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1.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pivotTables/pivotTable1.xml" ContentType="application/vnd.openxmlformats-officedocument.spreadsheetml.pivotTab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showInkAnnotation="0" updateLinks="never" codeName="ThisWorkbook" hidePivotFieldList="1" defaultThemeVersion="124226"/>
  <mc:AlternateContent xmlns:mc="http://schemas.openxmlformats.org/markup-compatibility/2006">
    <mc:Choice Requires="x15">
      <x15ac:absPath xmlns:x15ac="http://schemas.microsoft.com/office/spreadsheetml/2010/11/ac" url="C:\Users\camde\Downloads\"/>
    </mc:Choice>
  </mc:AlternateContent>
  <xr:revisionPtr revIDLastSave="0" documentId="13_ncr:1_{28E4ACF0-3288-40A2-8A0B-9B410FB081E1}" xr6:coauthVersionLast="47" xr6:coauthVersionMax="47" xr10:uidLastSave="{00000000-0000-0000-0000-000000000000}"/>
  <bookViews>
    <workbookView xWindow="-120" yWindow="-120" windowWidth="29040" windowHeight="15840" activeTab="9" xr2:uid="{00000000-000D-0000-FFFF-FFFF00000000}"/>
  </bookViews>
  <sheets>
    <sheet name="Logo" sheetId="41" r:id="rId1"/>
    <sheet name="Instructions" sheetId="11" r:id="rId2"/>
    <sheet name="Draft" sheetId="39" r:id="rId3"/>
    <sheet name="Draft Slayer Classic" sheetId="12" r:id="rId4"/>
    <sheet name="Teams" sheetId="37" r:id="rId5"/>
    <sheet name="ADP" sheetId="9" r:id="rId6"/>
    <sheet name="Draft Pick Order" sheetId="35" r:id="rId7"/>
    <sheet name="QBproj" sheetId="4" r:id="rId8"/>
    <sheet name="RBproj" sheetId="33" r:id="rId9"/>
    <sheet name="WRproj" sheetId="6" r:id="rId10"/>
    <sheet name="TEproj" sheetId="7" r:id="rId11"/>
    <sheet name="DEFproj" sheetId="13" r:id="rId12"/>
    <sheet name="Kproj" sheetId="14" r:id="rId13"/>
    <sheet name="Beersheet" sheetId="40" state="hidden" r:id="rId14"/>
    <sheet name="FFARawStatProjections" sheetId="36" state="hidden" r:id="rId15"/>
    <sheet name="ADP_Import" sheetId="38" state="hidden" r:id="rId16"/>
    <sheet name="Tier" sheetId="34" state="hidden" r:id="rId17"/>
  </sheets>
  <functionGroups builtInGroupCount="19"/>
  <definedNames>
    <definedName name="_xlnm._FilterDatabase" localSheetId="3" hidden="1">'Draft Slayer Classic'!$T$2:$AC$135</definedName>
    <definedName name="_xlnm._FilterDatabase" localSheetId="16" hidden="1">Tier!#REF!</definedName>
    <definedName name="Draft_Bye_Offset" localSheetId="2">Draft!$J$6:$J$48,Draft!$V$6:$V$48,Draft!$AH$6:$AH$48,Draft!$AT$6:$AT$48,Draft!$BL$6:$BL$48,Draft!$BG$6:$BG$48,Draft!$AH$2</definedName>
    <definedName name="Draft_Names_Master">Draft!$BT:$BT</definedName>
    <definedName name="Draft_Player_Names" localSheetId="2">Draft!$H$6:$H$48,Draft!$T$6:$T$48,Draft!$AF$6:$AF$48,Draft!$AR$6:$AR$48,Draft!$BD$6:$BD$48,Draft!$BJ$6:$BJ$48</definedName>
    <definedName name="Draft_Risk_Offset" localSheetId="2">Draft!$L$6:$L$48,Draft!$X$6:$X$48,Draft!$AJ$6:$AJ$48,Draft!$AV$6:$AV$48</definedName>
    <definedName name="Draft_Slayer_Names">'Draft Slayer Classic'!$T$3:$T$135,'Draft Slayer Classic'!$I$3:$I$57,'Draft Slayer Classic'!$AE$3:$AE$177,'Draft Slayer Classic'!$AP$3:$AP$85</definedName>
    <definedName name="Draft_Slayer_Names_All">'Draft Slayer Classic'!$T$3:$T$135,'Draft Slayer Classic'!$I$3:$I$57,'Draft Slayer Classic'!$AE$3:$AE$177,'Draft Slayer Classic'!$AP$3:$AP$85,'Draft Slayer Classic'!$BA$3:$BA$34,'Draft Slayer Classic'!$BF$3:$BF$36</definedName>
    <definedName name="Draft_Slayer_NamesMaster">'Draft Slayer Classic'!$BM$5:$BM$654</definedName>
    <definedName name="Draft_Slayer_Team">'Draft Slayer Classic'!$J$3:$J$57,'Draft Slayer Classic'!$U$3:$U$135,'Draft Slayer Classic'!$AF$3:$AF$177,'Draft Slayer Classic'!$AQ$3:$AQ$85,'Draft Slayer Classic'!$BF$3:$BF$36</definedName>
    <definedName name="Draft_Team_Offset" localSheetId="2">Draft!$I$6:$I$48,Draft!$U$6:$U$48,Draft!$AG$6:$AG$48,Draft!$AS$6:$AS$48,Draft!$BK$6:$BK$48,Draft!$BE$6:$BE$48,Draft!$AG$2</definedName>
    <definedName name="Draft_Tier_Offset" localSheetId="2">Draft!$Q$6:$Q$48,Draft!$AC$6:$AC$48,Draft!$AO$6:$AO$48,Draft!$BA$6:$BA$48</definedName>
    <definedName name="Draft_Val_Offset" localSheetId="2">Draft!$O$6:$O$48,Draft!$AA$6:$AA$48,Draft!$AM$6:$AM$48,Draft!$AY$6:$AY$48</definedName>
    <definedName name="dstBlk">FFARawStatProjections!$V:$V</definedName>
    <definedName name="dstFumlRec">FFARawStatProjections!$W:$W</definedName>
    <definedName name="dstInt">FFARawStatProjections!$X:$X</definedName>
    <definedName name="dstPtsAllow">FFARawStatProjections!$Y:$Y</definedName>
    <definedName name="dstRetTd">FFARawStatProjections!$Z:$Z</definedName>
    <definedName name="dstSack">FFARawStatProjections!$AA:$AA</definedName>
    <definedName name="dstSafety">FFARawStatProjections!$AB:$AB</definedName>
    <definedName name="dstTd">FFARawStatProjections!$AC:$AC</definedName>
    <definedName name="fg">FFARawStatProjections!$AE:$AE</definedName>
    <definedName name="fg_0019">FFARawStatProjections!$AF:$AF</definedName>
    <definedName name="fg_2029">FFARawStatProjections!$AG:$AG</definedName>
    <definedName name="fg_3039">FFARawStatProjections!$AH:$AH</definedName>
    <definedName name="fg_4049">FFARawStatProjections!$AI:$AI</definedName>
    <definedName name="fg_50">FFARawStatProjections!$AJ:$AJ</definedName>
    <definedName name="Fumbles">FFARawStatProjections!$F:$F</definedName>
    <definedName name="Keeper_10">Instructions!$154:$180</definedName>
    <definedName name="Keeper_12">Instructions!$163:$180</definedName>
    <definedName name="Keeper_14">Instructions!$172:$180</definedName>
    <definedName name="Keeper_8">Instructions!$145:$180</definedName>
    <definedName name="Keepers">'Draft Slayer Classic'!$R$3:$R$57,'Draft Slayer Classic'!$AC$3:$AC$135,'Draft Slayer Classic'!$AN$3:$AN$177,'Draft Slayer Classic'!$AY$3:$AY$85</definedName>
    <definedName name="passInt">FFARawStatProjections!$I:$I</definedName>
    <definedName name="passTds">FFARawStatProjections!$J:$J</definedName>
    <definedName name="passYds">FFARawStatProjections!$K:$K</definedName>
    <definedName name="players?status_A_pos_QB_cut_type_9_stat1_S_S_2013_myteam_0_sort_PTS_sdir_1" localSheetId="16">Tier!$D$32:$G$80</definedName>
    <definedName name="players?status_A_pos_QB_cut_type_9_stat1_S_S_2013_myteam_0_sort_PTS_sdir_1_1" localSheetId="16">Tier!$AH$32:$AK$80</definedName>
    <definedName name="players?status_A_pos_QB_cut_type_9_stat1_S_S_2013_myteam_0_sort_PTS_sdir_1_2" localSheetId="16">Tier!$AR$32:$BI$80</definedName>
    <definedName name="players?status_A_pos_QB_cut_type_9_stat1_S_S_2013_myteam_0_sort_PTS_sdir_1_3" localSheetId="16">Tier!$CW$32:$DN$80</definedName>
    <definedName name="QB_Score">FFARawStatProjections!$AP$1:$AR$2500</definedName>
    <definedName name="RB_Score">FFARawStatProjections!$AT$1:$AV$2500</definedName>
    <definedName name="rec">FFARawStatProjections!$L:$L</definedName>
    <definedName name="recTds">FFARawStatProjections!$M:$M</definedName>
    <definedName name="recYds">FFARawStatProjections!$N:$N</definedName>
    <definedName name="returnTds">FFARawStatProjections!$T:$T</definedName>
    <definedName name="returnYds">FFARawStatProjections!$U:$U</definedName>
    <definedName name="Round_01_QB" localSheetId="3">INDEX('Draft Slayer Classic'!$DY$3:$DY$76,'Draft Slayer Classic'!$DF$3):'Draft Slayer Classic'!$DY$76</definedName>
    <definedName name="Round_01_RB" localSheetId="3">INDEX('Draft Slayer Classic'!$EA$3:$EA$135,'Draft Slayer Classic'!$DG$3):'Draft Slayer Classic'!$EA$135</definedName>
    <definedName name="Round_01_TE" localSheetId="3">INDEX('Draft Slayer Classic'!$EE$3:$EE$85,'Draft Slayer Classic'!$DI$3):'Draft Slayer Classic'!$EE$85</definedName>
    <definedName name="Round_01_WR" localSheetId="3">INDEX('Draft Slayer Classic'!$EC$3:$EC$177,'Draft Slayer Classic'!$DH$3):'Draft Slayer Classic'!$EC$177</definedName>
    <definedName name="Round_02_QB" localSheetId="3">INDEX('Draft Slayer Classic'!$DY$3:$DY$76,('Draft Slayer Classic'!$DF$4)):'Draft Slayer Classic'!$DY$76</definedName>
    <definedName name="Round_02_RB" localSheetId="3">INDEX('Draft Slayer Classic'!$EA$3:$EA$135,'Draft Slayer Classic'!$DG$4):'Draft Slayer Classic'!$EA$135</definedName>
    <definedName name="Round_02_TE" localSheetId="3">INDEX('Draft Slayer Classic'!$EE$3:$EE$85,'Draft Slayer Classic'!$DI$4):'Draft Slayer Classic'!$EE$85</definedName>
    <definedName name="Round_02_WR" localSheetId="3">INDEX('Draft Slayer Classic'!$EC$3:$EC$177,'Draft Slayer Classic'!$DH$4):'Draft Slayer Classic'!$EC$177</definedName>
    <definedName name="Round_03_QB" localSheetId="3">INDEX('Draft Slayer Classic'!$DY$3:$DY$76,('Draft Slayer Classic'!$DF$5)):'Draft Slayer Classic'!$DY$76</definedName>
    <definedName name="Round_03_RB" localSheetId="3">INDEX('Draft Slayer Classic'!$EA$3:$EA$135,'Draft Slayer Classic'!$DG$5):'Draft Slayer Classic'!$EA$135</definedName>
    <definedName name="Round_03_TE" localSheetId="3">INDEX('Draft Slayer Classic'!$EE$3:$EE$85,'Draft Slayer Classic'!$DI$5):'Draft Slayer Classic'!$EE$85</definedName>
    <definedName name="Round_03_WR" localSheetId="3">INDEX('Draft Slayer Classic'!$EC$3:$EC$177,'Draft Slayer Classic'!$DH$5):'Draft Slayer Classic'!$EC$177</definedName>
    <definedName name="Round_04_QB" localSheetId="3">INDEX('Draft Slayer Classic'!$DY$3:$DY$76,('Draft Slayer Classic'!$DF$6)):'Draft Slayer Classic'!$DY$76</definedName>
    <definedName name="Round_04_RB" localSheetId="3">INDEX('Draft Slayer Classic'!$EA$3:$EA$135,'Draft Slayer Classic'!$DG$6):'Draft Slayer Classic'!$EA$135</definedName>
    <definedName name="Round_04_TE" localSheetId="3">INDEX('Draft Slayer Classic'!$EE$3:$EE$85,'Draft Slayer Classic'!$DI$6):'Draft Slayer Classic'!$EE$85</definedName>
    <definedName name="Round_04_WR" localSheetId="3">INDEX('Draft Slayer Classic'!$EC$3:$EC$177,'Draft Slayer Classic'!$DH$6):'Draft Slayer Classic'!$EC$177</definedName>
    <definedName name="Round_05_QB" localSheetId="3">INDEX('Draft Slayer Classic'!$DY$3:$DY$76,('Draft Slayer Classic'!$DF$7)):'Draft Slayer Classic'!$DY$76</definedName>
    <definedName name="Round_05_RB" localSheetId="3">INDEX('Draft Slayer Classic'!$EA$3:$EA$135,'Draft Slayer Classic'!$DG$7):'Draft Slayer Classic'!$EA$135</definedName>
    <definedName name="Round_05_TE" localSheetId="3">INDEX('Draft Slayer Classic'!$EE$3:$EE$85,'Draft Slayer Classic'!$DI$7):'Draft Slayer Classic'!$EE$85</definedName>
    <definedName name="Round_05_WR" localSheetId="3">INDEX('Draft Slayer Classic'!$EC$3:$EC$177,'Draft Slayer Classic'!$DH$7):'Draft Slayer Classic'!$EC$177</definedName>
    <definedName name="Round_06_QB" localSheetId="3">INDEX('Draft Slayer Classic'!$DY$3:$DY$76,('Draft Slayer Classic'!$DF$8)):'Draft Slayer Classic'!$DY$76</definedName>
    <definedName name="Round_06_RB" localSheetId="3">INDEX('Draft Slayer Classic'!$EA$3:$EA$135,'Draft Slayer Classic'!$DG$8):'Draft Slayer Classic'!$EA$135</definedName>
    <definedName name="Round_06_TE" localSheetId="3">INDEX('Draft Slayer Classic'!$EE$3:$EE$85,'Draft Slayer Classic'!$DI$8):'Draft Slayer Classic'!$EE$85</definedName>
    <definedName name="Round_06_WR" localSheetId="3">INDEX('Draft Slayer Classic'!$EC$3:$EC$177,'Draft Slayer Classic'!$DH$8):'Draft Slayer Classic'!$EC$177</definedName>
    <definedName name="Round_07_QB" localSheetId="3">INDEX('Draft Slayer Classic'!$DY$3:$DY$76,('Draft Slayer Classic'!$DF$9)):'Draft Slayer Classic'!$DY$76</definedName>
    <definedName name="Round_07_RB" localSheetId="3">INDEX('Draft Slayer Classic'!$EA$3:$EA$135,'Draft Slayer Classic'!$DG$9):'Draft Slayer Classic'!$EA$135</definedName>
    <definedName name="Round_07_TE" localSheetId="3">INDEX('Draft Slayer Classic'!$EE$3:$EE$85,'Draft Slayer Classic'!$DI$9):'Draft Slayer Classic'!$EE$85</definedName>
    <definedName name="Round_07_WR" localSheetId="3">INDEX('Draft Slayer Classic'!$EC$3:$EC$177,'Draft Slayer Classic'!$DH$9):'Draft Slayer Classic'!$EC$177</definedName>
    <definedName name="Round_08_QB" localSheetId="3">INDEX('Draft Slayer Classic'!$DY$3:$DY$76,('Draft Slayer Classic'!$DF$10)):'Draft Slayer Classic'!$DY$76</definedName>
    <definedName name="Round_08_RB" localSheetId="3">INDEX('Draft Slayer Classic'!$EA$3:$EA$135,'Draft Slayer Classic'!$DG$10):'Draft Slayer Classic'!$EA$135</definedName>
    <definedName name="Round_08_TE" localSheetId="3">INDEX('Draft Slayer Classic'!$EE$3:$EE$85,'Draft Slayer Classic'!$DI$10):'Draft Slayer Classic'!$EE$85</definedName>
    <definedName name="Round_08_WR" localSheetId="3">INDEX('Draft Slayer Classic'!$EC$3:$EC$177,'Draft Slayer Classic'!$DH$10):'Draft Slayer Classic'!$EC$177</definedName>
    <definedName name="Round_09_QB" localSheetId="3">INDEX('Draft Slayer Classic'!$DY$3:$DY$76,('Draft Slayer Classic'!$DF$11)):'Draft Slayer Classic'!$DY$76</definedName>
    <definedName name="Round_09_RB" localSheetId="3">INDEX('Draft Slayer Classic'!$EA$3:$EA$135,'Draft Slayer Classic'!$DG$11):'Draft Slayer Classic'!$EA$135</definedName>
    <definedName name="Round_09_TE" localSheetId="3">INDEX('Draft Slayer Classic'!$EE$3:$EE$85,'Draft Slayer Classic'!$DI$11):'Draft Slayer Classic'!$EE$85</definedName>
    <definedName name="Round_09_WR" localSheetId="3">INDEX('Draft Slayer Classic'!$EC$3:$EC$177,'Draft Slayer Classic'!$DH$11):'Draft Slayer Classic'!$EC$177</definedName>
    <definedName name="Round_10_QB" localSheetId="3">INDEX('Draft Slayer Classic'!$DY$3:$DY$76,('Draft Slayer Classic'!$DF$12)):'Draft Slayer Classic'!$DY$76</definedName>
    <definedName name="Round_10_RB" localSheetId="3">INDEX('Draft Slayer Classic'!$EA$3:$EA$135,'Draft Slayer Classic'!$DG$12):'Draft Slayer Classic'!$EA$135</definedName>
    <definedName name="Round_10_TE" localSheetId="3">INDEX('Draft Slayer Classic'!$EE$3:$EE$85,'Draft Slayer Classic'!$DI$12):'Draft Slayer Classic'!$EE$85</definedName>
    <definedName name="Round_10_WR" localSheetId="3">INDEX('Draft Slayer Classic'!$EC$3:$EC$177,'Draft Slayer Classic'!$DH$12):'Draft Slayer Classic'!$EC$177</definedName>
    <definedName name="Round_11_QB" localSheetId="3">INDEX('Draft Slayer Classic'!$DY$3:$DY$76,('Draft Slayer Classic'!$DF$13)):'Draft Slayer Classic'!$DY$76</definedName>
    <definedName name="Round_11_RB" localSheetId="3">INDEX('Draft Slayer Classic'!$EA$3:$EA$135,'Draft Slayer Classic'!$DG$13):'Draft Slayer Classic'!$EA$135</definedName>
    <definedName name="Round_11_TE" localSheetId="3">INDEX('Draft Slayer Classic'!$EE$3:$EE$85,'Draft Slayer Classic'!$DI$13):'Draft Slayer Classic'!$EE$85</definedName>
    <definedName name="Round_11_WR" localSheetId="3">INDEX('Draft Slayer Classic'!$EC$3:$EC$177,'Draft Slayer Classic'!$DH$13):'Draft Slayer Classic'!$EC$177</definedName>
    <definedName name="Round_Current_QB" localSheetId="3">INDEX('Draft Slayer Classic'!$DY$3:$DY$76,('Draft Slayer Classic'!$C$56+'Draft Slayer Classic'!$E$56+1)):'Draft Slayer Classic'!$DY$76</definedName>
    <definedName name="Round_Current_RB" localSheetId="3">INDEX('Draft Slayer Classic'!$EA$3:$EA$135,'Draft Slayer Classic'!$C$57+'Draft Slayer Classic'!$E$57+1):'Draft Slayer Classic'!$EA$135</definedName>
    <definedName name="Round_Current_TE" localSheetId="3">INDEX('Draft Slayer Classic'!$EE$3:$EE$85,'Draft Slayer Classic'!$C$59+'Draft Slayer Classic'!$E$59+1):'Draft Slayer Classic'!$EE$85</definedName>
    <definedName name="Round_Current_WR" localSheetId="3">INDEX('Draft Slayer Classic'!$EC$3:$EC$177,'Draft Slayer Classic'!$C$58+'Draft Slayer Classic'!$E$58+1):'Draft Slayer Classic'!$EC$177</definedName>
    <definedName name="rushAtt">FFARawStatProjections!$O:$O</definedName>
    <definedName name="rushTds">FFARawStatProjections!$P:$P</definedName>
    <definedName name="rushYds">FFARawStatProjections!$Q:$Q</definedName>
    <definedName name="sacks">FFARawStatProjections!$R:$R</definedName>
    <definedName name="solver_adj" localSheetId="3" hidden="1">'Draft Slayer Classic'!$DM$21:$DP$31</definedName>
    <definedName name="solver_eng" localSheetId="3" hidden="1">1</definedName>
    <definedName name="solver_neg" localSheetId="3" hidden="1">1</definedName>
    <definedName name="solver_num" localSheetId="3" hidden="1">0</definedName>
    <definedName name="solver_opt" localSheetId="3" hidden="1">'Draft Slayer Classic'!$DP$37</definedName>
    <definedName name="solver_typ" localSheetId="3" hidden="1">1</definedName>
    <definedName name="solver_val" localSheetId="3" hidden="1">0</definedName>
    <definedName name="solver_ver" localSheetId="3" hidden="1">3</definedName>
    <definedName name="TE_SCORE">FFARawStatProjections!$BB$1:$BD$2500</definedName>
    <definedName name="TeamName_10">Instructions!$F$42:$G$51</definedName>
    <definedName name="TeamName_12">Instructions!$F$42:$G$53</definedName>
    <definedName name="TeamName_14">Instructions!$F$42:$G$55</definedName>
    <definedName name="TeamName_16">Instructions!$F$42:$G$57</definedName>
    <definedName name="TeamName_8">Instructions!$F$42:$G$49</definedName>
    <definedName name="Teams_10">Instructions!$52:$57</definedName>
    <definedName name="Teams_12">Instructions!$54:$57</definedName>
    <definedName name="Teams_14">Instructions!$56:$57</definedName>
    <definedName name="Teams_16">Instructions!$42:$57</definedName>
    <definedName name="Teams_8">Instructions!$50:$57</definedName>
    <definedName name="twoPts">FFARawStatProjections!$S:$S</definedName>
    <definedName name="WR_Score">FFARawStatProjections!$AX$1:$AZ$2500</definedName>
    <definedName name="xp">FFARawStatProjections!$AD:$AD</definedName>
    <definedName name="Z_11E3893E_1244_4BD8_8481_55AC844C97C9_.wvu.Cols" localSheetId="5" hidden="1">ADP!$N:$XFD</definedName>
    <definedName name="Z_11E3893E_1244_4BD8_8481_55AC844C97C9_.wvu.Cols" localSheetId="11" hidden="1">DEFproj!$F:$XFD</definedName>
    <definedName name="Z_11E3893E_1244_4BD8_8481_55AC844C97C9_.wvu.Cols" localSheetId="3" hidden="1">'Draft Slayer Classic'!$F:$G,'Draft Slayer Classic'!$N:$Q,'Draft Slayer Classic'!$Y:$AB,'Draft Slayer Classic'!$AJ:$AM,'Draft Slayer Classic'!$AU:$AX,'Draft Slayer Classic'!$BD:$BD,'Draft Slayer Classic'!$BJ:$BJ,'Draft Slayer Classic'!$BL:$XFD</definedName>
    <definedName name="Z_11E3893E_1244_4BD8_8481_55AC844C97C9_.wvu.Cols" localSheetId="1" hidden="1">Instructions!$S:$XFD</definedName>
    <definedName name="Z_11E3893E_1244_4BD8_8481_55AC844C97C9_.wvu.Cols" localSheetId="12" hidden="1">Kproj!$M:$XFD</definedName>
    <definedName name="Z_11E3893E_1244_4BD8_8481_55AC844C97C9_.wvu.Cols" localSheetId="7" hidden="1">QBproj!$L:$XFD</definedName>
    <definedName name="Z_11E3893E_1244_4BD8_8481_55AC844C97C9_.wvu.Cols" localSheetId="4" hidden="1">Teams!#REF!,Teams!#REF!,Teams!#REF!,Teams!#REF!,Teams!#REF!,Teams!#REF!,Teams!#REF!,Teams!#REF!,Teams!#REF!,Teams!#REF!,Teams!#REF!,Teams!#REF!,Teams!$1:$1048576</definedName>
    <definedName name="Z_11E3893E_1244_4BD8_8481_55AC844C97C9_.wvu.Cols" localSheetId="10" hidden="1">TEproj!$L:$XFD</definedName>
    <definedName name="Z_11E3893E_1244_4BD8_8481_55AC844C97C9_.wvu.Cols" localSheetId="9" hidden="1">WRproj!$L:$XFD</definedName>
    <definedName name="Z_11E3893E_1244_4BD8_8481_55AC844C97C9_.wvu.FilterData" localSheetId="3" hidden="1">'Draft Slayer Classic'!$T$2:$AC$135</definedName>
    <definedName name="Z_11E3893E_1244_4BD8_8481_55AC844C97C9_.wvu.Rows" localSheetId="11" hidden="1">DEFproj!$39:$1048576</definedName>
    <definedName name="Z_11E3893E_1244_4BD8_8481_55AC844C97C9_.wvu.Rows" localSheetId="3" hidden="1">'Draft Slayer Classic'!$668:$1048576,'Draft Slayer Classic'!$226:$666</definedName>
    <definedName name="Z_11E3893E_1244_4BD8_8481_55AC844C97C9_.wvu.Rows" localSheetId="1" hidden="1">Instructions!$268:$1048576,Instructions!$250:$267</definedName>
    <definedName name="Z_11E3893E_1244_4BD8_8481_55AC844C97C9_.wvu.Rows" localSheetId="4" hidden="1">Teams!$36:$1048576</definedName>
    <definedName name="Z_3F8A0846_2F87_40BF_8ED6_1DE413C2FC1A_.wvu.Cols" localSheetId="5" hidden="1">ADP!$N:$XFD</definedName>
    <definedName name="Z_3F8A0846_2F87_40BF_8ED6_1DE413C2FC1A_.wvu.Cols" localSheetId="11" hidden="1">DEFproj!$F:$XFD</definedName>
    <definedName name="Z_3F8A0846_2F87_40BF_8ED6_1DE413C2FC1A_.wvu.Cols" localSheetId="3" hidden="1">'Draft Slayer Classic'!$F:$G,'Draft Slayer Classic'!$Y:$AB,'Draft Slayer Classic'!$AJ:$AM,'Draft Slayer Classic'!$AU:$AX,'Draft Slayer Classic'!$BD:$BD,'Draft Slayer Classic'!$BJ:$BJ,'Draft Slayer Classic'!$BL:$XFD</definedName>
    <definedName name="Z_3F8A0846_2F87_40BF_8ED6_1DE413C2FC1A_.wvu.Cols" localSheetId="1" hidden="1">Instructions!$S:$XFD</definedName>
    <definedName name="Z_3F8A0846_2F87_40BF_8ED6_1DE413C2FC1A_.wvu.Cols" localSheetId="12" hidden="1">Kproj!$M:$XFD</definedName>
    <definedName name="Z_3F8A0846_2F87_40BF_8ED6_1DE413C2FC1A_.wvu.Cols" localSheetId="7" hidden="1">QBproj!$L:$XFD</definedName>
    <definedName name="Z_3F8A0846_2F87_40BF_8ED6_1DE413C2FC1A_.wvu.Cols" localSheetId="4" hidden="1">Teams!#REF!,Teams!#REF!,Teams!#REF!,Teams!#REF!,Teams!#REF!,Teams!#REF!,Teams!#REF!,Teams!#REF!,Teams!#REF!,Teams!#REF!,Teams!#REF!,Teams!#REF!,Teams!$1:$1048576</definedName>
    <definedName name="Z_3F8A0846_2F87_40BF_8ED6_1DE413C2FC1A_.wvu.Cols" localSheetId="10" hidden="1">TEproj!$L:$XFD</definedName>
    <definedName name="Z_3F8A0846_2F87_40BF_8ED6_1DE413C2FC1A_.wvu.Cols" localSheetId="9" hidden="1">WRproj!$L:$XFD</definedName>
    <definedName name="Z_3F8A0846_2F87_40BF_8ED6_1DE413C2FC1A_.wvu.FilterData" localSheetId="3" hidden="1">'Draft Slayer Classic'!$T$2:$AC$135</definedName>
    <definedName name="Z_3F8A0846_2F87_40BF_8ED6_1DE413C2FC1A_.wvu.Rows" localSheetId="11" hidden="1">DEFproj!$39:$1048576</definedName>
    <definedName name="Z_3F8A0846_2F87_40BF_8ED6_1DE413C2FC1A_.wvu.Rows" localSheetId="3" hidden="1">'Draft Slayer Classic'!$668:$1048576,'Draft Slayer Classic'!$226:$666</definedName>
    <definedName name="Z_3F8A0846_2F87_40BF_8ED6_1DE413C2FC1A_.wvu.Rows" localSheetId="1" hidden="1">Instructions!$268:$1048576,Instructions!$250:$267</definedName>
    <definedName name="Z_3F8A0846_2F87_40BF_8ED6_1DE413C2FC1A_.wvu.Rows" localSheetId="4" hidden="1">Teams!$36:$1048576</definedName>
    <definedName name="ZoomRange">Draft!$A:$BO</definedName>
  </definedNames>
  <calcPr calcId="191029"/>
  <customWorkbookViews>
    <customWorkbookView name="Raw" guid="{3F8A0846-2F87-40BF-8ED6-1DE413C2FC1A}" maximized="1" windowWidth="1276" windowHeight="798" activeSheetId="12"/>
    <customWorkbookView name="Polished" guid="{11E3893E-1244-4BD8-8481-55AC844C97C9}" maximized="1" windowWidth="1276" windowHeight="798" activeSheetId="12"/>
  </customWorkbookViews>
  <pivotCaches>
    <pivotCache cacheId="0" r:id="rId18"/>
  </pivotCaches>
</workbook>
</file>

<file path=xl/calcChain.xml><?xml version="1.0" encoding="utf-8"?>
<calcChain xmlns="http://schemas.openxmlformats.org/spreadsheetml/2006/main">
  <c r="AP2" i="36" l="1"/>
  <c r="AP3" i="36"/>
  <c r="AP4" i="36"/>
  <c r="AP5" i="36"/>
  <c r="AP6" i="36"/>
  <c r="AP7" i="36"/>
  <c r="AP8" i="36"/>
  <c r="AP9" i="36"/>
  <c r="AP10" i="36"/>
  <c r="AP11" i="36"/>
  <c r="AP12" i="36"/>
  <c r="AP13" i="36"/>
  <c r="AP14" i="36"/>
  <c r="AP15" i="36"/>
  <c r="AP16" i="36"/>
  <c r="AP17" i="36"/>
  <c r="AP18" i="36"/>
  <c r="AP19" i="36"/>
  <c r="AP20" i="36"/>
  <c r="AP21" i="36"/>
  <c r="AP22" i="36"/>
  <c r="AP23" i="36"/>
  <c r="AP24" i="36"/>
  <c r="AP25" i="36"/>
  <c r="AP26" i="36"/>
  <c r="AP27" i="36"/>
  <c r="AP28" i="36"/>
  <c r="AP29" i="36"/>
  <c r="AP30" i="36"/>
  <c r="AP31" i="36"/>
  <c r="AP32" i="36"/>
  <c r="AP33" i="36"/>
  <c r="AP34" i="36"/>
  <c r="AP35" i="36"/>
  <c r="AP36" i="36"/>
  <c r="AP37" i="36"/>
  <c r="AP38" i="36"/>
  <c r="AP39" i="36"/>
  <c r="AP40" i="36"/>
  <c r="AP41" i="36"/>
  <c r="AP42" i="36"/>
  <c r="AP43" i="36"/>
  <c r="AP44" i="36"/>
  <c r="AP45" i="36"/>
  <c r="AP46" i="36"/>
  <c r="AP47" i="36"/>
  <c r="AP48" i="36"/>
  <c r="AP49" i="36"/>
  <c r="AP50" i="36"/>
  <c r="AP51" i="36"/>
  <c r="AP52" i="36"/>
  <c r="AP53" i="36"/>
  <c r="AP54" i="36"/>
  <c r="AP55" i="36"/>
  <c r="AP56" i="36"/>
  <c r="AP57" i="36"/>
  <c r="AP58" i="36"/>
  <c r="AP59" i="36"/>
  <c r="AP60" i="36"/>
  <c r="AP61" i="36"/>
  <c r="AP62" i="36"/>
  <c r="AP63" i="36"/>
  <c r="AP64" i="36"/>
  <c r="AP65" i="36"/>
  <c r="AP66" i="36"/>
  <c r="AP67" i="36"/>
  <c r="AP68" i="36"/>
  <c r="AP69" i="36"/>
  <c r="AP70" i="36"/>
  <c r="AP71" i="36"/>
  <c r="AP72" i="36"/>
  <c r="AP73" i="36"/>
  <c r="AP74" i="36"/>
  <c r="AP75" i="36"/>
  <c r="AP76" i="36"/>
  <c r="AP77" i="36"/>
  <c r="AP78" i="36"/>
  <c r="AP79" i="36"/>
  <c r="AP80" i="36"/>
  <c r="AP81" i="36"/>
  <c r="AP82" i="36"/>
  <c r="AP83" i="36"/>
  <c r="AP84" i="36"/>
  <c r="AP85" i="36"/>
  <c r="AP86" i="36"/>
  <c r="AP87" i="36"/>
  <c r="AP88" i="36"/>
  <c r="AP89" i="36"/>
  <c r="AP90" i="36"/>
  <c r="AP91" i="36"/>
  <c r="AP92" i="36"/>
  <c r="AP93" i="36"/>
  <c r="AP94" i="36"/>
  <c r="AP95" i="36"/>
  <c r="AP96" i="36"/>
  <c r="AP97" i="36"/>
  <c r="AP98" i="36"/>
  <c r="AP99" i="36"/>
  <c r="AP100" i="36"/>
  <c r="AP101" i="36"/>
  <c r="AP102" i="36"/>
  <c r="AP103" i="36"/>
  <c r="AP104" i="36"/>
  <c r="AP105" i="36"/>
  <c r="AP106" i="36"/>
  <c r="AP107" i="36"/>
  <c r="AP108" i="36"/>
  <c r="AP109" i="36"/>
  <c r="AP110" i="36"/>
  <c r="AP111" i="36"/>
  <c r="AP112" i="36"/>
  <c r="AP113" i="36"/>
  <c r="AP114" i="36"/>
  <c r="AP115" i="36"/>
  <c r="AP116" i="36"/>
  <c r="AP117" i="36"/>
  <c r="AP118" i="36"/>
  <c r="AP119" i="36"/>
  <c r="AP120" i="36"/>
  <c r="AP121" i="36"/>
  <c r="AP122" i="36"/>
  <c r="AP123" i="36"/>
  <c r="AP124" i="36"/>
  <c r="AP125" i="36"/>
  <c r="AP126" i="36"/>
  <c r="AP127" i="36"/>
  <c r="AP128" i="36"/>
  <c r="AP129" i="36"/>
  <c r="AP130" i="36"/>
  <c r="AP131" i="36"/>
  <c r="AP132" i="36"/>
  <c r="AP133" i="36"/>
  <c r="AP134" i="36"/>
  <c r="AP135" i="36"/>
  <c r="AP136" i="36"/>
  <c r="AP137" i="36"/>
  <c r="AP138" i="36"/>
  <c r="AP139" i="36"/>
  <c r="AP140" i="36"/>
  <c r="AP141" i="36"/>
  <c r="AP142" i="36"/>
  <c r="AP143" i="36"/>
  <c r="AP144" i="36"/>
  <c r="AP145" i="36"/>
  <c r="AP146" i="36"/>
  <c r="AP147" i="36"/>
  <c r="AP148" i="36"/>
  <c r="AP149" i="36"/>
  <c r="AP150" i="36"/>
  <c r="AP151" i="36"/>
  <c r="AP152" i="36"/>
  <c r="AP153" i="36"/>
  <c r="AP154" i="36"/>
  <c r="AP155" i="36"/>
  <c r="AP156" i="36"/>
  <c r="AP157" i="36"/>
  <c r="AP158" i="36"/>
  <c r="AP159" i="36"/>
  <c r="AP160" i="36"/>
  <c r="AP161" i="36"/>
  <c r="AP162" i="36"/>
  <c r="AP163" i="36"/>
  <c r="AP164" i="36"/>
  <c r="AP165" i="36"/>
  <c r="AP166" i="36"/>
  <c r="AP167" i="36"/>
  <c r="AP168" i="36"/>
  <c r="AP169" i="36"/>
  <c r="AP170" i="36"/>
  <c r="AP171" i="36"/>
  <c r="AP172" i="36"/>
  <c r="AP173" i="36"/>
  <c r="AP174" i="36"/>
  <c r="AP175" i="36"/>
  <c r="AP176" i="36"/>
  <c r="AP177" i="36"/>
  <c r="AP178" i="36"/>
  <c r="AP179" i="36"/>
  <c r="AP180" i="36"/>
  <c r="AP181" i="36"/>
  <c r="AP182" i="36"/>
  <c r="AP183" i="36"/>
  <c r="AP184" i="36"/>
  <c r="AP185" i="36"/>
  <c r="AP186" i="36"/>
  <c r="AP187" i="36"/>
  <c r="AP188" i="36"/>
  <c r="AP189" i="36"/>
  <c r="AP190" i="36"/>
  <c r="AP191" i="36"/>
  <c r="AP192" i="36"/>
  <c r="AP193" i="36"/>
  <c r="AP194" i="36"/>
  <c r="AP195" i="36"/>
  <c r="AP196" i="36"/>
  <c r="AP197" i="36"/>
  <c r="AP198" i="36"/>
  <c r="AP199" i="36"/>
  <c r="AP200" i="36"/>
  <c r="AP201" i="36"/>
  <c r="AP202" i="36"/>
  <c r="AP203" i="36"/>
  <c r="AP204" i="36"/>
  <c r="AP205" i="36"/>
  <c r="AP206" i="36"/>
  <c r="AP207" i="36"/>
  <c r="AP208" i="36"/>
  <c r="AP209" i="36"/>
  <c r="AP210" i="36"/>
  <c r="AP211" i="36"/>
  <c r="AP212" i="36"/>
  <c r="AP213" i="36"/>
  <c r="AP214" i="36"/>
  <c r="AP215" i="36"/>
  <c r="AP216" i="36"/>
  <c r="AP217" i="36"/>
  <c r="AP218" i="36"/>
  <c r="AP219" i="36"/>
  <c r="AP220" i="36"/>
  <c r="AP221" i="36"/>
  <c r="AP222" i="36"/>
  <c r="AP223" i="36"/>
  <c r="AP224" i="36"/>
  <c r="AP225" i="36"/>
  <c r="AP226" i="36"/>
  <c r="AP227" i="36"/>
  <c r="AP228" i="36"/>
  <c r="AP229" i="36"/>
  <c r="AP230" i="36"/>
  <c r="AP231" i="36"/>
  <c r="AP232" i="36"/>
  <c r="AP233" i="36"/>
  <c r="AP234" i="36"/>
  <c r="AP235" i="36"/>
  <c r="AP236" i="36"/>
  <c r="AP237" i="36"/>
  <c r="AP238" i="36"/>
  <c r="AP239" i="36"/>
  <c r="AP240" i="36"/>
  <c r="AP241" i="36"/>
  <c r="AP242" i="36"/>
  <c r="AP243" i="36"/>
  <c r="AP244" i="36"/>
  <c r="AP245" i="36"/>
  <c r="AP246" i="36"/>
  <c r="AP247" i="36"/>
  <c r="AP248" i="36"/>
  <c r="AP249" i="36"/>
  <c r="AP250" i="36"/>
  <c r="AP251" i="36"/>
  <c r="AP252" i="36"/>
  <c r="AP253" i="36"/>
  <c r="AP254" i="36"/>
  <c r="AP255" i="36"/>
  <c r="AP256" i="36"/>
  <c r="AP257" i="36"/>
  <c r="AP258" i="36"/>
  <c r="AP259" i="36"/>
  <c r="AP260" i="36"/>
  <c r="AP261" i="36"/>
  <c r="AP262" i="36"/>
  <c r="AP263" i="36"/>
  <c r="AP264" i="36"/>
  <c r="AP265" i="36"/>
  <c r="AP266" i="36"/>
  <c r="AP267" i="36"/>
  <c r="AP268" i="36"/>
  <c r="AP269" i="36"/>
  <c r="AP270" i="36"/>
  <c r="AP271" i="36"/>
  <c r="AP272" i="36"/>
  <c r="AP273" i="36"/>
  <c r="AP274" i="36"/>
  <c r="AP275" i="36"/>
  <c r="AP276" i="36"/>
  <c r="AP277" i="36"/>
  <c r="AP278" i="36"/>
  <c r="AP279" i="36"/>
  <c r="AP280" i="36"/>
  <c r="AP281" i="36"/>
  <c r="AP282" i="36"/>
  <c r="AP283" i="36"/>
  <c r="AP284" i="36"/>
  <c r="AP285" i="36"/>
  <c r="AP286" i="36"/>
  <c r="AP287" i="36"/>
  <c r="AP288" i="36"/>
  <c r="AP289" i="36"/>
  <c r="AP290" i="36"/>
  <c r="AP291" i="36"/>
  <c r="AP292" i="36"/>
  <c r="AP293" i="36"/>
  <c r="AP294" i="36"/>
  <c r="AP295" i="36"/>
  <c r="AP296" i="36"/>
  <c r="AP297" i="36"/>
  <c r="AP298" i="36"/>
  <c r="AP299" i="36"/>
  <c r="AP300" i="36"/>
  <c r="AP301" i="36"/>
  <c r="AP302" i="36"/>
  <c r="AP303" i="36"/>
  <c r="AP304" i="36"/>
  <c r="AP305" i="36"/>
  <c r="AP306" i="36"/>
  <c r="AP307" i="36"/>
  <c r="AP308" i="36"/>
  <c r="AP309" i="36"/>
  <c r="AP310" i="36"/>
  <c r="AP311" i="36"/>
  <c r="AP312" i="36"/>
  <c r="AP313" i="36"/>
  <c r="AP314" i="36"/>
  <c r="AP315" i="36"/>
  <c r="AP316" i="36"/>
  <c r="AP317" i="36"/>
  <c r="AP318" i="36"/>
  <c r="AP319" i="36"/>
  <c r="AP320" i="36"/>
  <c r="AP321" i="36"/>
  <c r="AP322" i="36"/>
  <c r="AP323" i="36"/>
  <c r="AP324" i="36"/>
  <c r="AP325" i="36"/>
  <c r="AP326" i="36"/>
  <c r="AP327" i="36"/>
  <c r="AP328" i="36"/>
  <c r="AP329" i="36"/>
  <c r="AP330" i="36"/>
  <c r="AP331" i="36"/>
  <c r="AP332" i="36"/>
  <c r="AP333" i="36"/>
  <c r="AP334" i="36"/>
  <c r="AP335" i="36"/>
  <c r="AP336" i="36"/>
  <c r="AP337" i="36"/>
  <c r="AP338" i="36"/>
  <c r="AP339" i="36"/>
  <c r="AP340" i="36"/>
  <c r="AP341" i="36"/>
  <c r="AP342" i="36"/>
  <c r="AP343" i="36"/>
  <c r="AP344" i="36"/>
  <c r="AP345" i="36"/>
  <c r="AP346" i="36"/>
  <c r="AP347" i="36"/>
  <c r="AP348" i="36"/>
  <c r="AP349" i="36"/>
  <c r="AP350" i="36"/>
  <c r="AP351" i="36"/>
  <c r="AP352" i="36"/>
  <c r="AP353" i="36"/>
  <c r="AP354" i="36"/>
  <c r="AP355" i="36"/>
  <c r="AP356" i="36"/>
  <c r="AP357" i="36"/>
  <c r="AP358" i="36"/>
  <c r="AP359" i="36"/>
  <c r="AP360" i="36"/>
  <c r="AP361" i="36"/>
  <c r="AP362" i="36"/>
  <c r="AP363" i="36"/>
  <c r="AP364" i="36"/>
  <c r="AP365" i="36"/>
  <c r="AP366" i="36"/>
  <c r="AP367" i="36"/>
  <c r="AP368" i="36"/>
  <c r="AP369" i="36"/>
  <c r="AP370" i="36"/>
  <c r="AP371" i="36"/>
  <c r="AP372" i="36"/>
  <c r="AP373" i="36"/>
  <c r="AP374" i="36"/>
  <c r="AP375" i="36"/>
  <c r="AP376" i="36"/>
  <c r="AP377" i="36"/>
  <c r="AP378" i="36"/>
  <c r="AP379" i="36"/>
  <c r="AP380" i="36"/>
  <c r="AP381" i="36"/>
  <c r="AP382" i="36"/>
  <c r="AP383" i="36"/>
  <c r="AP384" i="36"/>
  <c r="AP385" i="36"/>
  <c r="AP386" i="36"/>
  <c r="AP387" i="36"/>
  <c r="AP388" i="36"/>
  <c r="AP389" i="36"/>
  <c r="AP390" i="36"/>
  <c r="AP391" i="36"/>
  <c r="AP392" i="36"/>
  <c r="AP393" i="36"/>
  <c r="AP394" i="36"/>
  <c r="AP395" i="36"/>
  <c r="AP396" i="36"/>
  <c r="AP397" i="36"/>
  <c r="AP398" i="36"/>
  <c r="AP399" i="36"/>
  <c r="AP400" i="36"/>
  <c r="AP401" i="36"/>
  <c r="AP402" i="36"/>
  <c r="AP403" i="36"/>
  <c r="AP404" i="36"/>
  <c r="AP405" i="36"/>
  <c r="AP406" i="36"/>
  <c r="AP407" i="36"/>
  <c r="AP408" i="36"/>
  <c r="AP409" i="36"/>
  <c r="AP410" i="36"/>
  <c r="AP411" i="36"/>
  <c r="AP412" i="36"/>
  <c r="AP413" i="36"/>
  <c r="AP414" i="36"/>
  <c r="AP415" i="36"/>
  <c r="AP416" i="36"/>
  <c r="AP417" i="36"/>
  <c r="AP418" i="36"/>
  <c r="AP419" i="36"/>
  <c r="AP420" i="36"/>
  <c r="AP421" i="36"/>
  <c r="AP422" i="36"/>
  <c r="AP423" i="36"/>
  <c r="AP424" i="36"/>
  <c r="AP425" i="36"/>
  <c r="AP426" i="36"/>
  <c r="AP427" i="36"/>
  <c r="AP428" i="36"/>
  <c r="AP429" i="36"/>
  <c r="AP430" i="36"/>
  <c r="AP431" i="36"/>
  <c r="AP432" i="36"/>
  <c r="AP433" i="36"/>
  <c r="AP434" i="36"/>
  <c r="AP435" i="36"/>
  <c r="AP436" i="36"/>
  <c r="AP437" i="36"/>
  <c r="AP438" i="36"/>
  <c r="AP439" i="36"/>
  <c r="AP440" i="36"/>
  <c r="AP441" i="36"/>
  <c r="AP442" i="36"/>
  <c r="AP443" i="36"/>
  <c r="AP444" i="36"/>
  <c r="AP445" i="36"/>
  <c r="AP446" i="36"/>
  <c r="AP447" i="36"/>
  <c r="AP448" i="36"/>
  <c r="AP449" i="36"/>
  <c r="AP450" i="36"/>
  <c r="AP451" i="36"/>
  <c r="AP452" i="36"/>
  <c r="AP453" i="36"/>
  <c r="AP454" i="36"/>
  <c r="AP455" i="36"/>
  <c r="AP456" i="36"/>
  <c r="AP457" i="36"/>
  <c r="AP458" i="36"/>
  <c r="AP459" i="36"/>
  <c r="AP460" i="36"/>
  <c r="AP461" i="36"/>
  <c r="AP462" i="36"/>
  <c r="AP463" i="36"/>
  <c r="AP464" i="36"/>
  <c r="AP465" i="36"/>
  <c r="AP466" i="36"/>
  <c r="AP467" i="36"/>
  <c r="AP468" i="36"/>
  <c r="AP469" i="36"/>
  <c r="AP470" i="36"/>
  <c r="AP471" i="36"/>
  <c r="AP472" i="36"/>
  <c r="AP473" i="36"/>
  <c r="AP474" i="36"/>
  <c r="AP475" i="36"/>
  <c r="AP476" i="36"/>
  <c r="AP477" i="36"/>
  <c r="AP478" i="36"/>
  <c r="AP479" i="36"/>
  <c r="AP480" i="36"/>
  <c r="AP481" i="36"/>
  <c r="AP482" i="36"/>
  <c r="AP483" i="36"/>
  <c r="AP484" i="36"/>
  <c r="AP485" i="36"/>
  <c r="AP486" i="36"/>
  <c r="AP487" i="36"/>
  <c r="AP488" i="36"/>
  <c r="AP489" i="36"/>
  <c r="AP490" i="36"/>
  <c r="AP491" i="36"/>
  <c r="AP492" i="36"/>
  <c r="AP493" i="36"/>
  <c r="AP494" i="36"/>
  <c r="AP495" i="36"/>
  <c r="AP496" i="36"/>
  <c r="AP497" i="36"/>
  <c r="AP498" i="36"/>
  <c r="AP499" i="36"/>
  <c r="AP500" i="36"/>
  <c r="AP501" i="36"/>
  <c r="AP502" i="36"/>
  <c r="AP503" i="36"/>
  <c r="AP504" i="36"/>
  <c r="AP505" i="36"/>
  <c r="AP506" i="36"/>
  <c r="AP507" i="36"/>
  <c r="AP508" i="36"/>
  <c r="AP509" i="36"/>
  <c r="AP510" i="36"/>
  <c r="AP511" i="36"/>
  <c r="AP512" i="36"/>
  <c r="AP513" i="36"/>
  <c r="AP514" i="36"/>
  <c r="AP515" i="36"/>
  <c r="AP516" i="36"/>
  <c r="AP517" i="36"/>
  <c r="AP518" i="36"/>
  <c r="AP519" i="36"/>
  <c r="AP520" i="36"/>
  <c r="AP521" i="36"/>
  <c r="AP522" i="36"/>
  <c r="AP523" i="36"/>
  <c r="AP524" i="36"/>
  <c r="AP525" i="36"/>
  <c r="AP526" i="36"/>
  <c r="AP527" i="36"/>
  <c r="AP528" i="36"/>
  <c r="AP529" i="36"/>
  <c r="AP530" i="36"/>
  <c r="AP531" i="36"/>
  <c r="AP532" i="36"/>
  <c r="AP533" i="36"/>
  <c r="AP534" i="36"/>
  <c r="AP535" i="36"/>
  <c r="AP536" i="36"/>
  <c r="AP537" i="36"/>
  <c r="AP538" i="36"/>
  <c r="AP539" i="36"/>
  <c r="AP540" i="36"/>
  <c r="AP541" i="36"/>
  <c r="AP542" i="36"/>
  <c r="AP543" i="36"/>
  <c r="AP544" i="36"/>
  <c r="AP545" i="36"/>
  <c r="AP546" i="36"/>
  <c r="AP547" i="36"/>
  <c r="AP548" i="36"/>
  <c r="AP549" i="36"/>
  <c r="AP550" i="36"/>
  <c r="AP551" i="36"/>
  <c r="AP552" i="36"/>
  <c r="AP553" i="36"/>
  <c r="AP554" i="36"/>
  <c r="AP555" i="36"/>
  <c r="AP556" i="36"/>
  <c r="AP557" i="36"/>
  <c r="AP558" i="36"/>
  <c r="AP559" i="36"/>
  <c r="AP560" i="36"/>
  <c r="AP561" i="36"/>
  <c r="AP562" i="36"/>
  <c r="AP563" i="36"/>
  <c r="AP564" i="36"/>
  <c r="AP565" i="36"/>
  <c r="AP566" i="36"/>
  <c r="AP567" i="36"/>
  <c r="AP568" i="36"/>
  <c r="AP569" i="36"/>
  <c r="AP570" i="36"/>
  <c r="AP571" i="36"/>
  <c r="AP572" i="36"/>
  <c r="AP573" i="36"/>
  <c r="AP574" i="36"/>
  <c r="AP575" i="36"/>
  <c r="AP576" i="36"/>
  <c r="AP577" i="36"/>
  <c r="AP578" i="36"/>
  <c r="AP579" i="36"/>
  <c r="AP580" i="36"/>
  <c r="AP581" i="36"/>
  <c r="AP582" i="36"/>
  <c r="AP583" i="36"/>
  <c r="AP584" i="36"/>
  <c r="AP585" i="36"/>
  <c r="AP586" i="36"/>
  <c r="AP587" i="36"/>
  <c r="AP588" i="36"/>
  <c r="AP589" i="36"/>
  <c r="AP590" i="36"/>
  <c r="AP591" i="36"/>
  <c r="AP592" i="36"/>
  <c r="AP593" i="36"/>
  <c r="AP594" i="36"/>
  <c r="AP595" i="36"/>
  <c r="AP596" i="36"/>
  <c r="AP597" i="36"/>
  <c r="AP598" i="36"/>
  <c r="AP599" i="36"/>
  <c r="AP600" i="36"/>
  <c r="AP601" i="36"/>
  <c r="AP602" i="36"/>
  <c r="AP603" i="36"/>
  <c r="AP604" i="36"/>
  <c r="AP605" i="36"/>
  <c r="AP606" i="36"/>
  <c r="AP607" i="36"/>
  <c r="AP608" i="36"/>
  <c r="AP609" i="36"/>
  <c r="AP610" i="36"/>
  <c r="AP611" i="36"/>
  <c r="AP612" i="36"/>
  <c r="AP613" i="36"/>
  <c r="AP614" i="36"/>
  <c r="AP615" i="36"/>
  <c r="AP616" i="36"/>
  <c r="AP617" i="36"/>
  <c r="AP618" i="36"/>
  <c r="AP619" i="36"/>
  <c r="AP620" i="36"/>
  <c r="AP621" i="36"/>
  <c r="AP622" i="36"/>
  <c r="AP623" i="36"/>
  <c r="AP624" i="36"/>
  <c r="AP625" i="36"/>
  <c r="AP626" i="36"/>
  <c r="AP627" i="36"/>
  <c r="AP628" i="36"/>
  <c r="AP629" i="36"/>
  <c r="AP630" i="36"/>
  <c r="AP631" i="36"/>
  <c r="AP632" i="36"/>
  <c r="AP633" i="36"/>
  <c r="AP634" i="36"/>
  <c r="AP635" i="36"/>
  <c r="AP636" i="36"/>
  <c r="AP637" i="36"/>
  <c r="AP638" i="36"/>
  <c r="AP639" i="36"/>
  <c r="AP640" i="36"/>
  <c r="AP641" i="36"/>
  <c r="AP642" i="36"/>
  <c r="AP643" i="36"/>
  <c r="AP644" i="36"/>
  <c r="AP645" i="36"/>
  <c r="AP646" i="36"/>
  <c r="AP647" i="36"/>
  <c r="AP648" i="36"/>
  <c r="AP649" i="36"/>
  <c r="AP650" i="36"/>
  <c r="AP651" i="36"/>
  <c r="AP652" i="36"/>
  <c r="AP653" i="36"/>
  <c r="AP654" i="36"/>
  <c r="AP655" i="36"/>
  <c r="AP656" i="36"/>
  <c r="AP657" i="36"/>
  <c r="AP658" i="36"/>
  <c r="AP659" i="36"/>
  <c r="AP660" i="36"/>
  <c r="AP661" i="36"/>
  <c r="AP662" i="36"/>
  <c r="AP663" i="36"/>
  <c r="AP664" i="36"/>
  <c r="AP665" i="36"/>
  <c r="AP666" i="36"/>
  <c r="AP667" i="36"/>
  <c r="AP668" i="36"/>
  <c r="AP669" i="36"/>
  <c r="AP670" i="36"/>
  <c r="AP671" i="36"/>
  <c r="AP672" i="36"/>
  <c r="AP673" i="36"/>
  <c r="AP674" i="36"/>
  <c r="AP675" i="36"/>
  <c r="AP676" i="36"/>
  <c r="AP677" i="36"/>
  <c r="AP678" i="36"/>
  <c r="AP679" i="36"/>
  <c r="AP680" i="36"/>
  <c r="AP681" i="36"/>
  <c r="AP682" i="36"/>
  <c r="AP683" i="36"/>
  <c r="AP684" i="36"/>
  <c r="AP685" i="36"/>
  <c r="AP686" i="36"/>
  <c r="AP687" i="36"/>
  <c r="AP688" i="36"/>
  <c r="AP689" i="36"/>
  <c r="AP690" i="36"/>
  <c r="AP691" i="36"/>
  <c r="AP692" i="36"/>
  <c r="AP693" i="36"/>
  <c r="AP694" i="36"/>
  <c r="AP695" i="36"/>
  <c r="AP696" i="36"/>
  <c r="AP697" i="36"/>
  <c r="AP698" i="36"/>
  <c r="AP699" i="36"/>
  <c r="AP700" i="36"/>
  <c r="AP701" i="36"/>
  <c r="AP702" i="36"/>
  <c r="AP703" i="36"/>
  <c r="AP704" i="36"/>
  <c r="AP705" i="36"/>
  <c r="AP706" i="36"/>
  <c r="AP707" i="36"/>
  <c r="AP708" i="36"/>
  <c r="AP709" i="36"/>
  <c r="AP710" i="36"/>
  <c r="AP711" i="36"/>
  <c r="AP712" i="36"/>
  <c r="AP713" i="36"/>
  <c r="AP714" i="36"/>
  <c r="AP715" i="36"/>
  <c r="AP716" i="36"/>
  <c r="AP717" i="36"/>
  <c r="AP718" i="36"/>
  <c r="AP719" i="36"/>
  <c r="AP720" i="36"/>
  <c r="AP721" i="36"/>
  <c r="AP722" i="36"/>
  <c r="AP723" i="36"/>
  <c r="AP724" i="36"/>
  <c r="AP725" i="36"/>
  <c r="AP726" i="36"/>
  <c r="AP727" i="36"/>
  <c r="AP728" i="36"/>
  <c r="AP729" i="36"/>
  <c r="AP730" i="36"/>
  <c r="AP731" i="36"/>
  <c r="AP732" i="36"/>
  <c r="AP733" i="36"/>
  <c r="AP734" i="36"/>
  <c r="AP735" i="36"/>
  <c r="AP736" i="36"/>
  <c r="AP737" i="36"/>
  <c r="AP738" i="36"/>
  <c r="AP739" i="36"/>
  <c r="AP740" i="36"/>
  <c r="AP741" i="36"/>
  <c r="AP742" i="36"/>
  <c r="AP743" i="36"/>
  <c r="AP744" i="36"/>
  <c r="AP745" i="36"/>
  <c r="AP746" i="36"/>
  <c r="AP747" i="36"/>
  <c r="AP748" i="36"/>
  <c r="AP749" i="36"/>
  <c r="AP750" i="36"/>
  <c r="AP751" i="36"/>
  <c r="AP752" i="36"/>
  <c r="AP753" i="36"/>
  <c r="AP754" i="36"/>
  <c r="AP755" i="36"/>
  <c r="AP756" i="36"/>
  <c r="AP757" i="36"/>
  <c r="AP758" i="36"/>
  <c r="AP759" i="36"/>
  <c r="AP760" i="36"/>
  <c r="AP761" i="36"/>
  <c r="AP762" i="36"/>
  <c r="AP763" i="36"/>
  <c r="AP764" i="36"/>
  <c r="AP765" i="36"/>
  <c r="AP766" i="36"/>
  <c r="AP767" i="36"/>
  <c r="AP768" i="36"/>
  <c r="AP769" i="36"/>
  <c r="AP770" i="36"/>
  <c r="AP771" i="36"/>
  <c r="AP772" i="36"/>
  <c r="AP773" i="36"/>
  <c r="AP774" i="36"/>
  <c r="AP775" i="36"/>
  <c r="AP776" i="36"/>
  <c r="AP777" i="36"/>
  <c r="AP778" i="36"/>
  <c r="AP779" i="36"/>
  <c r="AP780" i="36"/>
  <c r="AP781" i="36"/>
  <c r="AP782" i="36"/>
  <c r="AP783" i="36"/>
  <c r="AP784" i="36"/>
  <c r="AP785" i="36"/>
  <c r="AP786" i="36"/>
  <c r="AP787" i="36"/>
  <c r="AP788" i="36"/>
  <c r="AP789" i="36"/>
  <c r="AP790" i="36"/>
  <c r="AP791" i="36"/>
  <c r="AP792" i="36"/>
  <c r="AP793" i="36"/>
  <c r="AP794" i="36"/>
  <c r="AP795" i="36"/>
  <c r="AP796" i="36"/>
  <c r="AP797" i="36"/>
  <c r="AP798" i="36"/>
  <c r="AP799" i="36"/>
  <c r="AP800" i="36"/>
  <c r="AP801" i="36"/>
  <c r="AP802" i="36"/>
  <c r="AP803" i="36"/>
  <c r="AP804" i="36"/>
  <c r="AP805" i="36"/>
  <c r="AP806" i="36"/>
  <c r="AP807" i="36"/>
  <c r="AP808" i="36"/>
  <c r="AP809" i="36"/>
  <c r="AP810" i="36"/>
  <c r="AP811" i="36"/>
  <c r="AP812" i="36"/>
  <c r="AP813" i="36"/>
  <c r="AP814" i="36"/>
  <c r="AP815" i="36"/>
  <c r="AP816" i="36"/>
  <c r="AP817" i="36"/>
  <c r="AP818" i="36"/>
  <c r="AP819" i="36"/>
  <c r="AP820" i="36"/>
  <c r="AP821" i="36"/>
  <c r="AP822" i="36"/>
  <c r="AP823" i="36"/>
  <c r="AP824" i="36"/>
  <c r="AP825" i="36"/>
  <c r="AP826" i="36"/>
  <c r="AP827" i="36"/>
  <c r="AP828" i="36"/>
  <c r="AP829" i="36"/>
  <c r="AP830" i="36"/>
  <c r="AP831" i="36"/>
  <c r="AP832" i="36"/>
  <c r="AP833" i="36"/>
  <c r="AP834" i="36"/>
  <c r="AP835" i="36"/>
  <c r="AP836" i="36"/>
  <c r="AP837" i="36"/>
  <c r="AP838" i="36"/>
  <c r="AP839" i="36"/>
  <c r="AP840" i="36"/>
  <c r="AP841" i="36"/>
  <c r="AP842" i="36"/>
  <c r="AP843" i="36"/>
  <c r="AP844" i="36"/>
  <c r="AP845" i="36"/>
  <c r="AP846" i="36"/>
  <c r="AP847" i="36"/>
  <c r="AP848" i="36"/>
  <c r="AP849" i="36"/>
  <c r="AP850" i="36"/>
  <c r="AP851" i="36"/>
  <c r="AP852" i="36"/>
  <c r="AP853" i="36"/>
  <c r="AP854" i="36"/>
  <c r="AP855" i="36"/>
  <c r="AP856" i="36"/>
  <c r="AP857" i="36"/>
  <c r="AP858" i="36"/>
  <c r="AP859" i="36"/>
  <c r="AP860" i="36"/>
  <c r="AP861" i="36"/>
  <c r="AP862" i="36"/>
  <c r="AP863" i="36"/>
  <c r="AP864" i="36"/>
  <c r="AP865" i="36"/>
  <c r="AP866" i="36"/>
  <c r="AP867" i="36"/>
  <c r="AP868" i="36"/>
  <c r="BF29" i="39" l="1"/>
  <c r="BF30" i="39"/>
  <c r="BF31" i="39"/>
  <c r="BF32" i="39"/>
  <c r="BF33" i="39"/>
  <c r="BF34" i="39"/>
  <c r="BF35" i="39"/>
  <c r="BF36" i="39"/>
  <c r="BF37" i="39"/>
  <c r="BF38" i="39"/>
  <c r="BF39" i="39"/>
  <c r="BF40" i="39"/>
  <c r="BF41" i="39"/>
  <c r="BF42" i="39"/>
  <c r="BF43" i="39"/>
  <c r="BF44" i="39"/>
  <c r="BF45" i="39"/>
  <c r="BF46" i="39"/>
  <c r="BF47" i="39"/>
  <c r="BF48" i="39"/>
  <c r="BF21" i="39"/>
  <c r="BF22" i="39"/>
  <c r="BF23" i="39"/>
  <c r="BF24" i="39"/>
  <c r="BF25" i="39"/>
  <c r="BF26" i="39"/>
  <c r="BF27" i="39"/>
  <c r="BF28" i="39"/>
  <c r="AG10" i="9" l="1"/>
  <c r="AF10" i="9"/>
  <c r="AG22" i="9" l="1"/>
  <c r="AG26" i="9" s="1"/>
  <c r="AF22" i="9"/>
  <c r="AF26" i="9" s="1"/>
  <c r="AF6" i="9"/>
  <c r="AB6" i="9" l="1"/>
  <c r="AG807" i="38"/>
  <c r="AG815" i="38"/>
  <c r="AG823" i="38"/>
  <c r="AG831" i="38"/>
  <c r="AG839" i="38"/>
  <c r="AG847" i="38"/>
  <c r="AG855" i="38"/>
  <c r="AG863" i="38"/>
  <c r="AG871" i="38"/>
  <c r="AG879" i="38"/>
  <c r="AG887" i="38"/>
  <c r="AG895" i="38"/>
  <c r="AG903" i="38"/>
  <c r="AG911" i="38"/>
  <c r="AG919" i="38"/>
  <c r="AG927" i="38"/>
  <c r="AG935" i="38"/>
  <c r="AG787" i="38"/>
  <c r="AG795" i="38"/>
  <c r="AG803" i="38"/>
  <c r="AG779" i="38"/>
  <c r="AG761" i="38"/>
  <c r="AG939" i="38"/>
  <c r="AG757" i="38"/>
  <c r="AG752" i="38"/>
  <c r="AG808" i="38"/>
  <c r="AG816" i="38"/>
  <c r="AG824" i="38"/>
  <c r="AG832" i="38"/>
  <c r="AG840" i="38"/>
  <c r="AG848" i="38"/>
  <c r="AG856" i="38"/>
  <c r="AG864" i="38"/>
  <c r="AG872" i="38"/>
  <c r="AG880" i="38"/>
  <c r="AG888" i="38"/>
  <c r="AG896" i="38"/>
  <c r="AG904" i="38"/>
  <c r="AG912" i="38"/>
  <c r="AG920" i="38"/>
  <c r="AG928" i="38"/>
  <c r="AG936" i="38"/>
  <c r="AG788" i="38"/>
  <c r="AG796" i="38"/>
  <c r="AG768" i="38"/>
  <c r="AG772" i="38"/>
  <c r="AG780" i="38"/>
  <c r="AG754" i="38"/>
  <c r="AG762" i="38"/>
  <c r="AG865" i="38"/>
  <c r="AG881" i="38"/>
  <c r="AG897" i="38"/>
  <c r="AG913" i="38"/>
  <c r="AG921" i="38"/>
  <c r="AG937" i="38"/>
  <c r="AG797" i="38"/>
  <c r="AG773" i="38"/>
  <c r="AG755" i="38"/>
  <c r="AG763" i="38"/>
  <c r="AG804" i="38"/>
  <c r="AG819" i="38"/>
  <c r="AG835" i="38"/>
  <c r="AG851" i="38"/>
  <c r="AG867" i="38"/>
  <c r="AG875" i="38"/>
  <c r="AG891" i="38"/>
  <c r="AG907" i="38"/>
  <c r="AG923" i="38"/>
  <c r="AG931" i="38"/>
  <c r="AG799" i="38"/>
  <c r="AG783" i="38"/>
  <c r="AG765" i="38"/>
  <c r="AG809" i="38"/>
  <c r="AG817" i="38"/>
  <c r="AG825" i="38"/>
  <c r="AG833" i="38"/>
  <c r="AG841" i="38"/>
  <c r="AG849" i="38"/>
  <c r="AG857" i="38"/>
  <c r="AG873" i="38"/>
  <c r="AG889" i="38"/>
  <c r="AG905" i="38"/>
  <c r="AG929" i="38"/>
  <c r="AG789" i="38"/>
  <c r="AG781" i="38"/>
  <c r="AG811" i="38"/>
  <c r="AG827" i="38"/>
  <c r="AG843" i="38"/>
  <c r="AG859" i="38"/>
  <c r="AG883" i="38"/>
  <c r="AG899" i="38"/>
  <c r="AG915" i="38"/>
  <c r="AG791" i="38"/>
  <c r="AG775" i="38"/>
  <c r="AG778" i="38"/>
  <c r="AG810" i="38"/>
  <c r="AG818" i="38"/>
  <c r="AG826" i="38"/>
  <c r="AG834" i="38"/>
  <c r="AG842" i="38"/>
  <c r="AG850" i="38"/>
  <c r="AG858" i="38"/>
  <c r="AG866" i="38"/>
  <c r="AG874" i="38"/>
  <c r="AG882" i="38"/>
  <c r="AG890" i="38"/>
  <c r="AG898" i="38"/>
  <c r="AG906" i="38"/>
  <c r="AG914" i="38"/>
  <c r="AG922" i="38"/>
  <c r="AG930" i="38"/>
  <c r="AG938" i="38"/>
  <c r="AG790" i="38"/>
  <c r="AG798" i="38"/>
  <c r="AG769" i="38"/>
  <c r="AG774" i="38"/>
  <c r="AG782" i="38"/>
  <c r="AG756" i="38"/>
  <c r="AG764" i="38"/>
  <c r="AG812" i="38"/>
  <c r="AG820" i="38"/>
  <c r="AG828" i="38"/>
  <c r="AG836" i="38"/>
  <c r="AG844" i="38"/>
  <c r="AG852" i="38"/>
  <c r="AG860" i="38"/>
  <c r="AG868" i="38"/>
  <c r="AG876" i="38"/>
  <c r="AG884" i="38"/>
  <c r="AG892" i="38"/>
  <c r="AG900" i="38"/>
  <c r="AG908" i="38"/>
  <c r="AG916" i="38"/>
  <c r="AG924" i="38"/>
  <c r="AG932" i="38"/>
  <c r="AG940" i="38"/>
  <c r="AG792" i="38"/>
  <c r="AG800" i="38"/>
  <c r="AG770" i="38"/>
  <c r="AG776" i="38"/>
  <c r="AG784" i="38"/>
  <c r="AG758" i="38"/>
  <c r="AG766" i="38"/>
  <c r="AG767" i="38"/>
  <c r="AG806" i="38"/>
  <c r="AG814" i="38"/>
  <c r="AG822" i="38"/>
  <c r="AG830" i="38"/>
  <c r="AG838" i="38"/>
  <c r="AG854" i="38"/>
  <c r="AG862" i="38"/>
  <c r="AG878" i="38"/>
  <c r="AG894" i="38"/>
  <c r="AG902" i="38"/>
  <c r="AG918" i="38"/>
  <c r="AG934" i="38"/>
  <c r="AG794" i="38"/>
  <c r="AG771" i="38"/>
  <c r="AG760" i="38"/>
  <c r="AG805" i="38"/>
  <c r="AG813" i="38"/>
  <c r="AG821" i="38"/>
  <c r="AG829" i="38"/>
  <c r="AG837" i="38"/>
  <c r="AG845" i="38"/>
  <c r="AG853" i="38"/>
  <c r="AG861" i="38"/>
  <c r="AG869" i="38"/>
  <c r="AG877" i="38"/>
  <c r="AG885" i="38"/>
  <c r="AG893" i="38"/>
  <c r="AG901" i="38"/>
  <c r="AG909" i="38"/>
  <c r="AG917" i="38"/>
  <c r="AG925" i="38"/>
  <c r="AG933" i="38"/>
  <c r="AG786" i="38"/>
  <c r="AG793" i="38"/>
  <c r="AG801" i="38"/>
  <c r="AG777" i="38"/>
  <c r="AG785" i="38"/>
  <c r="AG759" i="38"/>
  <c r="AG846" i="38"/>
  <c r="AG870" i="38"/>
  <c r="AG886" i="38"/>
  <c r="AG910" i="38"/>
  <c r="AG926" i="38"/>
  <c r="AG802" i="38"/>
  <c r="AG753" i="38"/>
  <c r="BY7" i="39"/>
  <c r="BV6" i="36" l="1"/>
  <c r="BV5" i="36"/>
  <c r="BV4" i="36"/>
  <c r="BV3" i="36"/>
  <c r="BV2" i="36"/>
  <c r="BW27" i="36"/>
  <c r="BW26" i="36"/>
  <c r="BW23" i="36"/>
  <c r="BW21" i="36"/>
  <c r="BW22" i="36"/>
  <c r="BW20" i="36"/>
  <c r="BW19" i="36"/>
  <c r="BW18" i="36"/>
  <c r="BW17" i="36"/>
  <c r="BW16" i="36"/>
  <c r="BW15" i="36"/>
  <c r="BW12" i="36"/>
  <c r="BV8" i="36"/>
  <c r="BV9" i="36"/>
  <c r="BV10" i="36"/>
  <c r="BV11" i="36"/>
  <c r="BV12" i="36"/>
  <c r="BV13" i="36"/>
  <c r="BV14" i="36"/>
  <c r="BV15" i="36"/>
  <c r="BV16" i="36"/>
  <c r="BV17" i="36"/>
  <c r="BV18" i="36"/>
  <c r="BV19" i="36"/>
  <c r="BV20" i="36"/>
  <c r="BV21" i="36"/>
  <c r="BV22" i="36"/>
  <c r="BV23" i="36"/>
  <c r="BV24" i="36"/>
  <c r="BV25" i="36"/>
  <c r="BV26" i="36"/>
  <c r="BV27" i="36"/>
  <c r="BV28" i="36"/>
  <c r="BV29" i="36"/>
  <c r="BV30" i="36"/>
  <c r="BV31" i="36"/>
  <c r="BV32" i="36"/>
  <c r="BV33" i="36"/>
  <c r="BV34" i="36"/>
  <c r="BV35" i="36"/>
  <c r="BV36" i="36"/>
  <c r="BV37" i="36"/>
  <c r="BV38" i="36"/>
  <c r="BV39" i="36"/>
  <c r="BV56" i="36"/>
  <c r="BV57" i="36"/>
  <c r="BV58" i="36"/>
  <c r="BV59" i="36"/>
  <c r="BV60" i="36"/>
  <c r="BV61" i="36"/>
  <c r="BV62" i="36"/>
  <c r="BV7" i="36"/>
  <c r="AR19" i="36" l="1"/>
  <c r="BF20" i="39"/>
  <c r="BF19" i="39"/>
  <c r="BF18" i="39"/>
  <c r="BF17" i="39"/>
  <c r="BF16" i="39"/>
  <c r="BF15" i="39"/>
  <c r="BF14" i="39"/>
  <c r="BF13" i="39"/>
  <c r="BF12" i="39"/>
  <c r="BF11" i="39"/>
  <c r="BF10" i="39"/>
  <c r="BF9" i="39"/>
  <c r="BF8" i="39"/>
  <c r="BF7" i="39"/>
  <c r="BF6" i="39"/>
  <c r="BV40" i="36" l="1"/>
  <c r="BV48" i="36"/>
  <c r="BV50" i="36"/>
  <c r="BV41" i="36"/>
  <c r="BV49" i="36"/>
  <c r="BV42" i="36"/>
  <c r="BV46" i="36"/>
  <c r="BV55" i="36"/>
  <c r="BV43" i="36"/>
  <c r="BV51" i="36"/>
  <c r="BV45" i="36"/>
  <c r="BV54" i="36"/>
  <c r="BV44" i="36"/>
  <c r="BV52" i="36"/>
  <c r="BV47" i="36"/>
  <c r="BV53" i="36"/>
  <c r="BT8" i="39"/>
  <c r="BU8" i="39"/>
  <c r="BV8" i="39"/>
  <c r="BT9" i="39"/>
  <c r="BU9" i="39"/>
  <c r="BV9" i="39"/>
  <c r="BT10" i="39"/>
  <c r="BU10" i="39"/>
  <c r="BV10" i="39"/>
  <c r="BT11" i="39"/>
  <c r="BU11" i="39"/>
  <c r="BV11" i="39"/>
  <c r="BT12" i="39"/>
  <c r="BU12" i="39"/>
  <c r="BV12" i="39"/>
  <c r="BT13" i="39"/>
  <c r="BU13" i="39"/>
  <c r="BV13" i="39"/>
  <c r="BT14" i="39"/>
  <c r="BU14" i="39"/>
  <c r="BV14" i="39"/>
  <c r="BT15" i="39"/>
  <c r="BU15" i="39"/>
  <c r="BV15" i="39"/>
  <c r="BT16" i="39"/>
  <c r="BU16" i="39"/>
  <c r="BV16" i="39"/>
  <c r="BT17" i="39"/>
  <c r="BU17" i="39"/>
  <c r="BV17" i="39"/>
  <c r="BT18" i="39"/>
  <c r="BU18" i="39"/>
  <c r="BV18" i="39"/>
  <c r="BT19" i="39"/>
  <c r="BU19" i="39"/>
  <c r="BV19" i="39"/>
  <c r="BT20" i="39"/>
  <c r="BU20" i="39"/>
  <c r="BV20" i="39"/>
  <c r="BT21" i="39"/>
  <c r="BU21" i="39"/>
  <c r="BV21" i="39"/>
  <c r="BT22" i="39"/>
  <c r="BU22" i="39"/>
  <c r="BV22" i="39"/>
  <c r="BT23" i="39"/>
  <c r="BU23" i="39"/>
  <c r="BV23" i="39"/>
  <c r="BT24" i="39"/>
  <c r="BU24" i="39"/>
  <c r="BV24" i="39"/>
  <c r="BT25" i="39"/>
  <c r="BU25" i="39"/>
  <c r="BV25" i="39"/>
  <c r="BT26" i="39"/>
  <c r="BU26" i="39"/>
  <c r="BV26" i="39"/>
  <c r="BT27" i="39"/>
  <c r="BU27" i="39"/>
  <c r="BV27" i="39"/>
  <c r="BT28" i="39"/>
  <c r="BU28" i="39"/>
  <c r="BV28" i="39"/>
  <c r="BT29" i="39"/>
  <c r="BU29" i="39"/>
  <c r="BV29" i="39"/>
  <c r="BT30" i="39"/>
  <c r="BU30" i="39"/>
  <c r="BV30" i="39"/>
  <c r="BT31" i="39"/>
  <c r="BU31" i="39"/>
  <c r="BV31" i="39"/>
  <c r="BT32" i="39"/>
  <c r="BU32" i="39"/>
  <c r="BV32" i="39"/>
  <c r="BT33" i="39"/>
  <c r="BU33" i="39"/>
  <c r="BV33" i="39"/>
  <c r="BT34" i="39"/>
  <c r="BU34" i="39"/>
  <c r="BV34" i="39"/>
  <c r="BT35" i="39"/>
  <c r="BU35" i="39"/>
  <c r="BV35" i="39"/>
  <c r="BT36" i="39"/>
  <c r="BU36" i="39"/>
  <c r="BV36" i="39"/>
  <c r="BT37" i="39"/>
  <c r="BU37" i="39"/>
  <c r="BV37" i="39"/>
  <c r="BT38" i="39"/>
  <c r="BU38" i="39"/>
  <c r="BV38" i="39"/>
  <c r="BT39" i="39"/>
  <c r="BU39" i="39"/>
  <c r="BV39" i="39"/>
  <c r="BT40" i="39"/>
  <c r="BU40" i="39"/>
  <c r="BV40" i="39"/>
  <c r="BT41" i="39"/>
  <c r="BU41" i="39"/>
  <c r="BV41" i="39"/>
  <c r="BT42" i="39"/>
  <c r="BU42" i="39"/>
  <c r="BV42" i="39"/>
  <c r="BT43" i="39"/>
  <c r="BU43" i="39"/>
  <c r="BV43" i="39"/>
  <c r="BT44" i="39"/>
  <c r="BU44" i="39"/>
  <c r="BV44" i="39"/>
  <c r="BT45" i="39"/>
  <c r="BU45" i="39"/>
  <c r="BV45" i="39"/>
  <c r="BT46" i="39"/>
  <c r="BU46" i="39"/>
  <c r="BV46" i="39"/>
  <c r="BT47" i="39"/>
  <c r="BU47" i="39"/>
  <c r="BV47" i="39"/>
  <c r="BT48" i="39"/>
  <c r="BU48" i="39"/>
  <c r="BV48" i="39"/>
  <c r="BT49" i="39"/>
  <c r="BU49" i="39"/>
  <c r="BV49" i="39"/>
  <c r="BT50" i="39"/>
  <c r="BU50" i="39"/>
  <c r="BV50" i="39"/>
  <c r="BT51" i="39"/>
  <c r="BU51" i="39"/>
  <c r="BV51" i="39"/>
  <c r="BT52" i="39"/>
  <c r="BU52" i="39"/>
  <c r="BV52" i="39"/>
  <c r="BT53" i="39"/>
  <c r="BU53" i="39"/>
  <c r="BV53" i="39"/>
  <c r="BT54" i="39"/>
  <c r="BU54" i="39"/>
  <c r="BV54" i="39"/>
  <c r="BT55" i="39"/>
  <c r="BU55" i="39"/>
  <c r="BV55" i="39"/>
  <c r="BT56" i="39"/>
  <c r="BU56" i="39"/>
  <c r="BV56" i="39"/>
  <c r="BT57" i="39"/>
  <c r="BU57" i="39"/>
  <c r="BV57" i="39"/>
  <c r="BT58" i="39"/>
  <c r="BU58" i="39"/>
  <c r="BV58" i="39"/>
  <c r="BT59" i="39"/>
  <c r="BU59" i="39"/>
  <c r="BV59" i="39"/>
  <c r="BT60" i="39"/>
  <c r="BU60" i="39"/>
  <c r="BV60" i="39"/>
  <c r="BT61" i="39"/>
  <c r="BU61" i="39"/>
  <c r="BV61" i="39"/>
  <c r="BT62" i="39"/>
  <c r="BU62" i="39"/>
  <c r="BV62" i="39"/>
  <c r="BT63" i="39"/>
  <c r="BU63" i="39"/>
  <c r="BV63" i="39"/>
  <c r="BT64" i="39"/>
  <c r="BU64" i="39"/>
  <c r="BV64" i="39"/>
  <c r="BT65" i="39"/>
  <c r="BU65" i="39"/>
  <c r="BV65" i="39"/>
  <c r="BT66" i="39"/>
  <c r="BU66" i="39"/>
  <c r="BV66" i="39"/>
  <c r="BT67" i="39"/>
  <c r="BU67" i="39"/>
  <c r="BV67" i="39"/>
  <c r="BT68" i="39"/>
  <c r="BU68" i="39"/>
  <c r="BV68" i="39"/>
  <c r="BT69" i="39"/>
  <c r="BU69" i="39"/>
  <c r="BV69" i="39"/>
  <c r="BT70" i="39"/>
  <c r="BU70" i="39"/>
  <c r="BV70" i="39"/>
  <c r="BT71" i="39"/>
  <c r="BU71" i="39"/>
  <c r="BV71" i="39"/>
  <c r="BT72" i="39"/>
  <c r="BU72" i="39"/>
  <c r="BV72" i="39"/>
  <c r="BT73" i="39"/>
  <c r="BU73" i="39"/>
  <c r="BV73" i="39"/>
  <c r="BT74" i="39"/>
  <c r="BU74" i="39"/>
  <c r="BV74" i="39"/>
  <c r="BT75" i="39"/>
  <c r="BU75" i="39"/>
  <c r="BV75" i="39"/>
  <c r="BT76" i="39"/>
  <c r="BU76" i="39"/>
  <c r="BV76" i="39"/>
  <c r="BT77" i="39"/>
  <c r="BU77" i="39"/>
  <c r="BV77" i="39"/>
  <c r="BT78" i="39"/>
  <c r="BU78" i="39"/>
  <c r="BV78" i="39"/>
  <c r="BT79" i="39"/>
  <c r="BU79" i="39"/>
  <c r="BV79" i="39"/>
  <c r="BT80" i="39"/>
  <c r="BU80" i="39"/>
  <c r="BV80" i="39"/>
  <c r="BT81" i="39"/>
  <c r="BU81" i="39"/>
  <c r="BV81" i="39"/>
  <c r="BT82" i="39"/>
  <c r="BU82" i="39"/>
  <c r="BV82" i="39"/>
  <c r="BT83" i="39"/>
  <c r="BU83" i="39"/>
  <c r="BV83" i="39"/>
  <c r="BT84" i="39"/>
  <c r="BU84" i="39"/>
  <c r="BV84" i="39"/>
  <c r="BT85" i="39"/>
  <c r="BU85" i="39"/>
  <c r="BV85" i="39"/>
  <c r="BT86" i="39"/>
  <c r="BU86" i="39"/>
  <c r="BV86" i="39"/>
  <c r="BT87" i="39"/>
  <c r="BU87" i="39"/>
  <c r="BV87" i="39"/>
  <c r="BT88" i="39"/>
  <c r="BU88" i="39"/>
  <c r="BV88" i="39"/>
  <c r="BT89" i="39"/>
  <c r="BU89" i="39"/>
  <c r="BV89" i="39"/>
  <c r="BT90" i="39"/>
  <c r="BU90" i="39"/>
  <c r="BV90" i="39"/>
  <c r="BT91" i="39"/>
  <c r="BU91" i="39"/>
  <c r="BV91" i="39"/>
  <c r="BT92" i="39"/>
  <c r="BU92" i="39"/>
  <c r="BV92" i="39"/>
  <c r="BT93" i="39"/>
  <c r="BU93" i="39"/>
  <c r="BV93" i="39"/>
  <c r="BT94" i="39"/>
  <c r="BU94" i="39"/>
  <c r="BV94" i="39"/>
  <c r="BT95" i="39"/>
  <c r="BU95" i="39"/>
  <c r="BV95" i="39"/>
  <c r="BT96" i="39"/>
  <c r="BU96" i="39"/>
  <c r="BV96" i="39"/>
  <c r="BT97" i="39"/>
  <c r="BU97" i="39"/>
  <c r="BV97" i="39"/>
  <c r="BT98" i="39"/>
  <c r="BU98" i="39"/>
  <c r="BV98" i="39"/>
  <c r="BT99" i="39"/>
  <c r="BU99" i="39"/>
  <c r="BV99" i="39"/>
  <c r="BT100" i="39"/>
  <c r="BU100" i="39"/>
  <c r="BV100" i="39"/>
  <c r="BT101" i="39"/>
  <c r="BU101" i="39"/>
  <c r="BV101" i="39"/>
  <c r="BT102" i="39"/>
  <c r="BU102" i="39"/>
  <c r="BV102" i="39"/>
  <c r="BT103" i="39"/>
  <c r="BU103" i="39"/>
  <c r="BV103" i="39"/>
  <c r="BT104" i="39"/>
  <c r="BU104" i="39"/>
  <c r="BV104" i="39"/>
  <c r="BT105" i="39"/>
  <c r="BU105" i="39"/>
  <c r="BV105" i="39"/>
  <c r="BT106" i="39"/>
  <c r="BU106" i="39"/>
  <c r="BV106" i="39"/>
  <c r="BT107" i="39"/>
  <c r="BU107" i="39"/>
  <c r="BV107" i="39"/>
  <c r="BT108" i="39"/>
  <c r="BU108" i="39"/>
  <c r="BV108" i="39"/>
  <c r="BT109" i="39"/>
  <c r="BU109" i="39"/>
  <c r="BV109" i="39"/>
  <c r="BT110" i="39"/>
  <c r="BU110" i="39"/>
  <c r="BV110" i="39"/>
  <c r="BT111" i="39"/>
  <c r="BU111" i="39"/>
  <c r="BV111" i="39"/>
  <c r="BT112" i="39"/>
  <c r="BU112" i="39"/>
  <c r="BV112" i="39"/>
  <c r="BT113" i="39"/>
  <c r="BU113" i="39"/>
  <c r="BV113" i="39"/>
  <c r="BT114" i="39"/>
  <c r="BU114" i="39"/>
  <c r="BV114" i="39"/>
  <c r="BT115" i="39"/>
  <c r="BU115" i="39"/>
  <c r="BV115" i="39"/>
  <c r="BT116" i="39"/>
  <c r="BU116" i="39"/>
  <c r="BV116" i="39"/>
  <c r="BT117" i="39"/>
  <c r="BU117" i="39"/>
  <c r="BV117" i="39"/>
  <c r="BT118" i="39"/>
  <c r="BU118" i="39"/>
  <c r="BV118" i="39"/>
  <c r="BT119" i="39"/>
  <c r="BU119" i="39"/>
  <c r="BV119" i="39"/>
  <c r="BT120" i="39"/>
  <c r="BU120" i="39"/>
  <c r="BV120" i="39"/>
  <c r="BT121" i="39"/>
  <c r="BU121" i="39"/>
  <c r="BV121" i="39"/>
  <c r="BT122" i="39"/>
  <c r="BU122" i="39"/>
  <c r="BV122" i="39"/>
  <c r="BT123" i="39"/>
  <c r="BU123" i="39"/>
  <c r="BV123" i="39"/>
  <c r="BT124" i="39"/>
  <c r="BU124" i="39"/>
  <c r="BV124" i="39"/>
  <c r="BT125" i="39"/>
  <c r="BU125" i="39"/>
  <c r="BV125" i="39"/>
  <c r="BT126" i="39"/>
  <c r="BU126" i="39"/>
  <c r="BV126" i="39"/>
  <c r="BT127" i="39"/>
  <c r="BU127" i="39"/>
  <c r="BV127" i="39"/>
  <c r="BT128" i="39"/>
  <c r="BU128" i="39"/>
  <c r="BV128" i="39"/>
  <c r="BT129" i="39"/>
  <c r="BU129" i="39"/>
  <c r="BV129" i="39"/>
  <c r="BT130" i="39"/>
  <c r="BU130" i="39"/>
  <c r="BV130" i="39"/>
  <c r="BT131" i="39"/>
  <c r="BU131" i="39"/>
  <c r="BV131" i="39"/>
  <c r="BT132" i="39"/>
  <c r="BU132" i="39"/>
  <c r="BV132" i="39"/>
  <c r="BT133" i="39"/>
  <c r="BU133" i="39"/>
  <c r="BV133" i="39"/>
  <c r="BT134" i="39"/>
  <c r="BU134" i="39"/>
  <c r="BV134" i="39"/>
  <c r="BT135" i="39"/>
  <c r="BU135" i="39"/>
  <c r="BV135" i="39"/>
  <c r="BT136" i="39"/>
  <c r="BU136" i="39"/>
  <c r="BV136" i="39"/>
  <c r="BT137" i="39"/>
  <c r="BU137" i="39"/>
  <c r="BV137" i="39"/>
  <c r="BT138" i="39"/>
  <c r="BU138" i="39"/>
  <c r="BV138" i="39"/>
  <c r="BT139" i="39"/>
  <c r="BU139" i="39"/>
  <c r="BV139" i="39"/>
  <c r="BT140" i="39"/>
  <c r="BU140" i="39"/>
  <c r="BV140" i="39"/>
  <c r="BT141" i="39"/>
  <c r="BU141" i="39"/>
  <c r="BV141" i="39"/>
  <c r="BT142" i="39"/>
  <c r="BU142" i="39"/>
  <c r="BV142" i="39"/>
  <c r="BT143" i="39"/>
  <c r="BU143" i="39"/>
  <c r="BV143" i="39"/>
  <c r="BT144" i="39"/>
  <c r="BU144" i="39"/>
  <c r="BV144" i="39"/>
  <c r="BT145" i="39"/>
  <c r="BU145" i="39"/>
  <c r="BV145" i="39"/>
  <c r="BT146" i="39"/>
  <c r="BU146" i="39"/>
  <c r="BV146" i="39"/>
  <c r="BT147" i="39"/>
  <c r="BU147" i="39"/>
  <c r="BV147" i="39"/>
  <c r="BT148" i="39"/>
  <c r="BU148" i="39"/>
  <c r="BV148" i="39"/>
  <c r="BT149" i="39"/>
  <c r="BU149" i="39"/>
  <c r="BV149" i="39"/>
  <c r="BT150" i="39"/>
  <c r="BU150" i="39"/>
  <c r="BV150" i="39"/>
  <c r="BT151" i="39"/>
  <c r="BU151" i="39"/>
  <c r="BV151" i="39"/>
  <c r="BT152" i="39"/>
  <c r="BU152" i="39"/>
  <c r="BV152" i="39"/>
  <c r="BT153" i="39"/>
  <c r="BU153" i="39"/>
  <c r="BV153" i="39"/>
  <c r="BT154" i="39"/>
  <c r="BU154" i="39"/>
  <c r="BV154" i="39"/>
  <c r="BT155" i="39"/>
  <c r="BU155" i="39"/>
  <c r="BV155" i="39"/>
  <c r="BT156" i="39"/>
  <c r="BU156" i="39"/>
  <c r="BV156" i="39"/>
  <c r="BT157" i="39"/>
  <c r="BU157" i="39"/>
  <c r="BV157" i="39"/>
  <c r="BT158" i="39"/>
  <c r="BU158" i="39"/>
  <c r="BV158" i="39"/>
  <c r="BT159" i="39"/>
  <c r="BU159" i="39"/>
  <c r="BV159" i="39"/>
  <c r="BT160" i="39"/>
  <c r="BU160" i="39"/>
  <c r="BV160" i="39"/>
  <c r="BT161" i="39"/>
  <c r="BU161" i="39"/>
  <c r="BV161" i="39"/>
  <c r="BT162" i="39"/>
  <c r="BU162" i="39"/>
  <c r="BV162" i="39"/>
  <c r="BT163" i="39"/>
  <c r="BU163" i="39"/>
  <c r="BV163" i="39"/>
  <c r="BT164" i="39"/>
  <c r="BU164" i="39"/>
  <c r="BV164" i="39"/>
  <c r="BT165" i="39"/>
  <c r="BU165" i="39"/>
  <c r="BV165" i="39"/>
  <c r="BT166" i="39"/>
  <c r="BU166" i="39"/>
  <c r="BV166" i="39"/>
  <c r="BT167" i="39"/>
  <c r="BU167" i="39"/>
  <c r="BV167" i="39"/>
  <c r="BT168" i="39"/>
  <c r="BU168" i="39"/>
  <c r="BV168" i="39"/>
  <c r="BT169" i="39"/>
  <c r="BU169" i="39"/>
  <c r="BV169" i="39"/>
  <c r="BT170" i="39"/>
  <c r="BU170" i="39"/>
  <c r="BV170" i="39"/>
  <c r="BT171" i="39"/>
  <c r="BU171" i="39"/>
  <c r="BV171" i="39"/>
  <c r="BT172" i="39"/>
  <c r="BU172" i="39"/>
  <c r="BV172" i="39"/>
  <c r="BT173" i="39"/>
  <c r="BU173" i="39"/>
  <c r="BV173" i="39"/>
  <c r="BT174" i="39"/>
  <c r="BU174" i="39"/>
  <c r="BV174" i="39"/>
  <c r="BT175" i="39"/>
  <c r="BU175" i="39"/>
  <c r="BV175" i="39"/>
  <c r="BT176" i="39"/>
  <c r="BU176" i="39"/>
  <c r="BV176" i="39"/>
  <c r="BT177" i="39"/>
  <c r="BU177" i="39"/>
  <c r="BV177" i="39"/>
  <c r="BT178" i="39"/>
  <c r="BU178" i="39"/>
  <c r="BV178" i="39"/>
  <c r="BT179" i="39"/>
  <c r="BU179" i="39"/>
  <c r="BV179" i="39"/>
  <c r="BT180" i="39"/>
  <c r="BU180" i="39"/>
  <c r="BV180" i="39"/>
  <c r="BT181" i="39"/>
  <c r="BU181" i="39"/>
  <c r="BV181" i="39"/>
  <c r="BT182" i="39"/>
  <c r="BU182" i="39"/>
  <c r="BV182" i="39"/>
  <c r="BT183" i="39"/>
  <c r="BU183" i="39"/>
  <c r="BV183" i="39"/>
  <c r="BT184" i="39"/>
  <c r="BU184" i="39"/>
  <c r="BV184" i="39"/>
  <c r="BT185" i="39"/>
  <c r="BU185" i="39"/>
  <c r="BV185" i="39"/>
  <c r="BT186" i="39"/>
  <c r="BU186" i="39"/>
  <c r="BV186" i="39"/>
  <c r="BT187" i="39"/>
  <c r="BU187" i="39"/>
  <c r="BV187" i="39"/>
  <c r="BT188" i="39"/>
  <c r="BU188" i="39"/>
  <c r="BV188" i="39"/>
  <c r="BT189" i="39"/>
  <c r="BU189" i="39"/>
  <c r="BV189" i="39"/>
  <c r="BT190" i="39"/>
  <c r="BU190" i="39"/>
  <c r="BV190" i="39"/>
  <c r="BT191" i="39"/>
  <c r="BU191" i="39"/>
  <c r="BV191" i="39"/>
  <c r="BT192" i="39"/>
  <c r="BU192" i="39"/>
  <c r="BV192" i="39"/>
  <c r="BT193" i="39"/>
  <c r="BU193" i="39"/>
  <c r="BV193" i="39"/>
  <c r="BT194" i="39"/>
  <c r="BU194" i="39"/>
  <c r="BV194" i="39"/>
  <c r="BT195" i="39"/>
  <c r="BU195" i="39"/>
  <c r="BV195" i="39"/>
  <c r="BT196" i="39"/>
  <c r="BU196" i="39"/>
  <c r="BV196" i="39"/>
  <c r="BT197" i="39"/>
  <c r="BU197" i="39"/>
  <c r="BV197" i="39"/>
  <c r="BT198" i="39"/>
  <c r="BU198" i="39"/>
  <c r="BV198" i="39"/>
  <c r="BT199" i="39"/>
  <c r="BU199" i="39"/>
  <c r="BV199" i="39"/>
  <c r="BT200" i="39"/>
  <c r="BU200" i="39"/>
  <c r="BV200" i="39"/>
  <c r="BT201" i="39"/>
  <c r="BU201" i="39"/>
  <c r="BV201" i="39"/>
  <c r="BT202" i="39"/>
  <c r="BU202" i="39"/>
  <c r="BV202" i="39"/>
  <c r="BT203" i="39"/>
  <c r="BU203" i="39"/>
  <c r="BV203" i="39"/>
  <c r="BT204" i="39"/>
  <c r="BU204" i="39"/>
  <c r="BV204" i="39"/>
  <c r="BT205" i="39"/>
  <c r="BU205" i="39"/>
  <c r="BV205" i="39"/>
  <c r="BT206" i="39"/>
  <c r="BU206" i="39"/>
  <c r="BV206" i="39"/>
  <c r="BT207" i="39"/>
  <c r="BU207" i="39"/>
  <c r="BV207" i="39"/>
  <c r="BT208" i="39"/>
  <c r="BU208" i="39"/>
  <c r="BV208" i="39"/>
  <c r="BT209" i="39"/>
  <c r="BU209" i="39"/>
  <c r="BV209" i="39"/>
  <c r="BT210" i="39"/>
  <c r="BU210" i="39"/>
  <c r="BV210" i="39"/>
  <c r="BT211" i="39"/>
  <c r="BU211" i="39"/>
  <c r="BV211" i="39"/>
  <c r="BT212" i="39"/>
  <c r="BU212" i="39"/>
  <c r="BV212" i="39"/>
  <c r="BT213" i="39"/>
  <c r="BU213" i="39"/>
  <c r="BV213" i="39"/>
  <c r="BT214" i="39"/>
  <c r="BU214" i="39"/>
  <c r="BV214" i="39"/>
  <c r="BT215" i="39"/>
  <c r="BU215" i="39"/>
  <c r="BV215" i="39"/>
  <c r="BT216" i="39"/>
  <c r="BU216" i="39"/>
  <c r="BV216" i="39"/>
  <c r="BT217" i="39"/>
  <c r="BU217" i="39"/>
  <c r="BV217" i="39"/>
  <c r="BT218" i="39"/>
  <c r="BU218" i="39"/>
  <c r="BV218" i="39"/>
  <c r="BT219" i="39"/>
  <c r="BU219" i="39"/>
  <c r="BV219" i="39"/>
  <c r="BT220" i="39"/>
  <c r="BU220" i="39"/>
  <c r="BV220" i="39"/>
  <c r="BT221" i="39"/>
  <c r="BU221" i="39"/>
  <c r="BV221" i="39"/>
  <c r="BT222" i="39"/>
  <c r="BU222" i="39"/>
  <c r="BV222" i="39"/>
  <c r="BT223" i="39"/>
  <c r="BU223" i="39"/>
  <c r="BV223" i="39"/>
  <c r="BT224" i="39"/>
  <c r="BU224" i="39"/>
  <c r="BV224" i="39"/>
  <c r="BT225" i="39"/>
  <c r="BU225" i="39"/>
  <c r="BV225" i="39"/>
  <c r="BT226" i="39"/>
  <c r="BU226" i="39"/>
  <c r="BV226" i="39"/>
  <c r="BT227" i="39"/>
  <c r="BU227" i="39"/>
  <c r="BV227" i="39"/>
  <c r="BT228" i="39"/>
  <c r="BU228" i="39"/>
  <c r="BV228" i="39"/>
  <c r="BT229" i="39"/>
  <c r="BU229" i="39"/>
  <c r="BV229" i="39"/>
  <c r="BT230" i="39"/>
  <c r="BU230" i="39"/>
  <c r="BV230" i="39"/>
  <c r="BT231" i="39"/>
  <c r="BU231" i="39"/>
  <c r="BV231" i="39"/>
  <c r="BT232" i="39"/>
  <c r="BU232" i="39"/>
  <c r="BV232" i="39"/>
  <c r="BT233" i="39"/>
  <c r="BU233" i="39"/>
  <c r="BV233" i="39"/>
  <c r="BT234" i="39"/>
  <c r="BU234" i="39"/>
  <c r="BV234" i="39"/>
  <c r="BT235" i="39"/>
  <c r="BU235" i="39"/>
  <c r="BV235" i="39"/>
  <c r="BT236" i="39"/>
  <c r="BU236" i="39"/>
  <c r="BV236" i="39"/>
  <c r="BT237" i="39"/>
  <c r="BU237" i="39"/>
  <c r="BV237" i="39"/>
  <c r="BT238" i="39"/>
  <c r="BU238" i="39"/>
  <c r="BV238" i="39"/>
  <c r="BT239" i="39"/>
  <c r="BU239" i="39"/>
  <c r="BV239" i="39"/>
  <c r="BT240" i="39"/>
  <c r="BU240" i="39"/>
  <c r="BV240" i="39"/>
  <c r="BT241" i="39"/>
  <c r="BU241" i="39"/>
  <c r="BV241" i="39"/>
  <c r="BT242" i="39"/>
  <c r="BU242" i="39"/>
  <c r="BV242" i="39"/>
  <c r="BT243" i="39"/>
  <c r="BU243" i="39"/>
  <c r="BV243" i="39"/>
  <c r="BT244" i="39"/>
  <c r="BU244" i="39"/>
  <c r="BV244" i="39"/>
  <c r="BT245" i="39"/>
  <c r="BU245" i="39"/>
  <c r="BV245" i="39"/>
  <c r="BT246" i="39"/>
  <c r="BU246" i="39"/>
  <c r="BV246" i="39"/>
  <c r="BT247" i="39"/>
  <c r="BU247" i="39"/>
  <c r="BV247" i="39"/>
  <c r="BT248" i="39"/>
  <c r="BU248" i="39"/>
  <c r="BV248" i="39"/>
  <c r="BT249" i="39"/>
  <c r="BU249" i="39"/>
  <c r="BV249" i="39"/>
  <c r="BT250" i="39"/>
  <c r="BU250" i="39"/>
  <c r="BV250" i="39"/>
  <c r="BT251" i="39"/>
  <c r="BU251" i="39"/>
  <c r="BV251" i="39"/>
  <c r="BT252" i="39"/>
  <c r="BU252" i="39"/>
  <c r="BV252" i="39"/>
  <c r="BT253" i="39"/>
  <c r="BU253" i="39"/>
  <c r="BV253" i="39"/>
  <c r="BT254" i="39"/>
  <c r="BU254" i="39"/>
  <c r="BV254" i="39"/>
  <c r="BT255" i="39"/>
  <c r="BU255" i="39"/>
  <c r="BV255" i="39"/>
  <c r="BT256" i="39"/>
  <c r="BU256" i="39"/>
  <c r="BV256" i="39"/>
  <c r="BT257" i="39"/>
  <c r="BU257" i="39"/>
  <c r="BV257" i="39"/>
  <c r="BT258" i="39"/>
  <c r="BU258" i="39"/>
  <c r="BV258" i="39"/>
  <c r="BT259" i="39"/>
  <c r="BU259" i="39"/>
  <c r="BV259" i="39"/>
  <c r="BT260" i="39"/>
  <c r="BU260" i="39"/>
  <c r="BV260" i="39"/>
  <c r="BT261" i="39"/>
  <c r="BU261" i="39"/>
  <c r="BV261" i="39"/>
  <c r="BT262" i="39"/>
  <c r="BU262" i="39"/>
  <c r="BV262" i="39"/>
  <c r="BT263" i="39"/>
  <c r="BU263" i="39"/>
  <c r="BV263" i="39"/>
  <c r="BT264" i="39"/>
  <c r="BU264" i="39"/>
  <c r="BV264" i="39"/>
  <c r="BT265" i="39"/>
  <c r="BU265" i="39"/>
  <c r="BV265" i="39"/>
  <c r="BT266" i="39"/>
  <c r="BU266" i="39"/>
  <c r="BV266" i="39"/>
  <c r="BT267" i="39"/>
  <c r="BU267" i="39"/>
  <c r="BV267" i="39"/>
  <c r="BT268" i="39"/>
  <c r="BU268" i="39"/>
  <c r="BV268" i="39"/>
  <c r="BT269" i="39"/>
  <c r="BU269" i="39"/>
  <c r="BV269" i="39"/>
  <c r="BT270" i="39"/>
  <c r="BU270" i="39"/>
  <c r="BV270" i="39"/>
  <c r="BT271" i="39"/>
  <c r="BU271" i="39"/>
  <c r="BV271" i="39"/>
  <c r="BT272" i="39"/>
  <c r="BU272" i="39"/>
  <c r="BV272" i="39"/>
  <c r="BT273" i="39"/>
  <c r="BU273" i="39"/>
  <c r="BV273" i="39"/>
  <c r="BT274" i="39"/>
  <c r="BU274" i="39"/>
  <c r="BV274" i="39"/>
  <c r="BT275" i="39"/>
  <c r="BU275" i="39"/>
  <c r="BV275" i="39"/>
  <c r="BT276" i="39"/>
  <c r="BU276" i="39"/>
  <c r="BV276" i="39"/>
  <c r="BT277" i="39"/>
  <c r="BU277" i="39"/>
  <c r="BV277" i="39"/>
  <c r="BT278" i="39"/>
  <c r="BU278" i="39"/>
  <c r="BV278" i="39"/>
  <c r="BT279" i="39"/>
  <c r="BU279" i="39"/>
  <c r="BV279" i="39"/>
  <c r="BT280" i="39"/>
  <c r="BU280" i="39"/>
  <c r="BV280" i="39"/>
  <c r="BT281" i="39"/>
  <c r="BU281" i="39"/>
  <c r="BV281" i="39"/>
  <c r="BT282" i="39"/>
  <c r="BU282" i="39"/>
  <c r="BV282" i="39"/>
  <c r="BT283" i="39"/>
  <c r="BU283" i="39"/>
  <c r="BV283" i="39"/>
  <c r="BT284" i="39"/>
  <c r="BU284" i="39"/>
  <c r="BV284" i="39"/>
  <c r="BT285" i="39"/>
  <c r="BU285" i="39"/>
  <c r="BV285" i="39"/>
  <c r="BT286" i="39"/>
  <c r="BU286" i="39"/>
  <c r="BV286" i="39"/>
  <c r="BT287" i="39"/>
  <c r="BU287" i="39"/>
  <c r="BV287" i="39"/>
  <c r="BT288" i="39"/>
  <c r="BU288" i="39"/>
  <c r="BV288" i="39"/>
  <c r="BT289" i="39"/>
  <c r="BU289" i="39"/>
  <c r="BV289" i="39"/>
  <c r="BT290" i="39"/>
  <c r="BU290" i="39"/>
  <c r="BV290" i="39"/>
  <c r="BT291" i="39"/>
  <c r="BU291" i="39"/>
  <c r="BV291" i="39"/>
  <c r="BT292" i="39"/>
  <c r="BU292" i="39"/>
  <c r="BV292" i="39"/>
  <c r="BT293" i="39"/>
  <c r="BU293" i="39"/>
  <c r="BV293" i="39"/>
  <c r="BT294" i="39"/>
  <c r="BU294" i="39"/>
  <c r="BV294" i="39"/>
  <c r="BT295" i="39"/>
  <c r="BU295" i="39"/>
  <c r="BV295" i="39"/>
  <c r="BT296" i="39"/>
  <c r="BU296" i="39"/>
  <c r="BV296" i="39"/>
  <c r="BT297" i="39"/>
  <c r="BU297" i="39"/>
  <c r="BV297" i="39"/>
  <c r="BT298" i="39"/>
  <c r="BU298" i="39"/>
  <c r="BV298" i="39"/>
  <c r="BT299" i="39"/>
  <c r="BU299" i="39"/>
  <c r="BV299" i="39"/>
  <c r="BT300" i="39"/>
  <c r="BU300" i="39"/>
  <c r="BV300" i="39"/>
  <c r="BT301" i="39"/>
  <c r="BU301" i="39"/>
  <c r="BV301" i="39"/>
  <c r="BT302" i="39"/>
  <c r="BU302" i="39"/>
  <c r="BV302" i="39"/>
  <c r="BT303" i="39"/>
  <c r="BU303" i="39"/>
  <c r="BV303" i="39"/>
  <c r="BT304" i="39"/>
  <c r="BU304" i="39"/>
  <c r="BV304" i="39"/>
  <c r="BT305" i="39"/>
  <c r="BU305" i="39"/>
  <c r="BV305" i="39"/>
  <c r="BT306" i="39"/>
  <c r="BU306" i="39"/>
  <c r="BV306" i="39"/>
  <c r="BT307" i="39"/>
  <c r="BU307" i="39"/>
  <c r="BV307" i="39"/>
  <c r="BT308" i="39"/>
  <c r="BU308" i="39"/>
  <c r="BV308" i="39"/>
  <c r="BT309" i="39"/>
  <c r="BU309" i="39"/>
  <c r="BV309" i="39"/>
  <c r="BT310" i="39"/>
  <c r="BU310" i="39"/>
  <c r="BV310" i="39"/>
  <c r="BT311" i="39"/>
  <c r="BU311" i="39"/>
  <c r="BV311" i="39"/>
  <c r="BT312" i="39"/>
  <c r="BU312" i="39"/>
  <c r="BV312" i="39"/>
  <c r="BT313" i="39"/>
  <c r="BU313" i="39"/>
  <c r="BV313" i="39"/>
  <c r="BT314" i="39"/>
  <c r="BU314" i="39"/>
  <c r="BV314" i="39"/>
  <c r="BT315" i="39"/>
  <c r="BU315" i="39"/>
  <c r="BV315" i="39"/>
  <c r="BT316" i="39"/>
  <c r="BU316" i="39"/>
  <c r="BV316" i="39"/>
  <c r="BT317" i="39"/>
  <c r="BU317" i="39"/>
  <c r="BV317" i="39"/>
  <c r="BT318" i="39"/>
  <c r="BU318" i="39"/>
  <c r="BV318" i="39"/>
  <c r="BT319" i="39"/>
  <c r="BU319" i="39"/>
  <c r="BV319" i="39"/>
  <c r="BT320" i="39"/>
  <c r="BU320" i="39"/>
  <c r="BV320" i="39"/>
  <c r="BT321" i="39"/>
  <c r="BU321" i="39"/>
  <c r="BV321" i="39"/>
  <c r="BT322" i="39"/>
  <c r="BU322" i="39"/>
  <c r="BV322" i="39"/>
  <c r="BT323" i="39"/>
  <c r="BU323" i="39"/>
  <c r="BV323" i="39"/>
  <c r="BT324" i="39"/>
  <c r="BU324" i="39"/>
  <c r="BV324" i="39"/>
  <c r="BT325" i="39"/>
  <c r="BU325" i="39"/>
  <c r="BV325" i="39"/>
  <c r="BT326" i="39"/>
  <c r="BU326" i="39"/>
  <c r="BV326" i="39"/>
  <c r="BT327" i="39"/>
  <c r="BU327" i="39"/>
  <c r="BV327" i="39"/>
  <c r="BT328" i="39"/>
  <c r="BU328" i="39"/>
  <c r="BV328" i="39"/>
  <c r="BT329" i="39"/>
  <c r="BU329" i="39"/>
  <c r="BV329" i="39"/>
  <c r="BT330" i="39"/>
  <c r="BU330" i="39"/>
  <c r="BV330" i="39"/>
  <c r="BT331" i="39"/>
  <c r="BU331" i="39"/>
  <c r="BV331" i="39"/>
  <c r="BT332" i="39"/>
  <c r="BU332" i="39"/>
  <c r="BV332" i="39"/>
  <c r="BT333" i="39"/>
  <c r="BU333" i="39"/>
  <c r="BV333" i="39"/>
  <c r="BT334" i="39"/>
  <c r="BU334" i="39"/>
  <c r="BV334" i="39"/>
  <c r="BT335" i="39"/>
  <c r="BU335" i="39"/>
  <c r="BV335" i="39"/>
  <c r="BT336" i="39"/>
  <c r="BU336" i="39"/>
  <c r="BV336" i="39"/>
  <c r="BT337" i="39"/>
  <c r="BU337" i="39"/>
  <c r="BV337" i="39"/>
  <c r="BT338" i="39"/>
  <c r="BU338" i="39"/>
  <c r="BV338" i="39"/>
  <c r="BT339" i="39"/>
  <c r="BU339" i="39"/>
  <c r="BV339" i="39"/>
  <c r="BT340" i="39"/>
  <c r="BU340" i="39"/>
  <c r="BV340" i="39"/>
  <c r="BT341" i="39"/>
  <c r="BU341" i="39"/>
  <c r="BV341" i="39"/>
  <c r="BT342" i="39"/>
  <c r="BU342" i="39"/>
  <c r="BV342" i="39"/>
  <c r="BT343" i="39"/>
  <c r="BU343" i="39"/>
  <c r="BV343" i="39"/>
  <c r="BT344" i="39"/>
  <c r="BU344" i="39"/>
  <c r="BV344" i="39"/>
  <c r="BT345" i="39"/>
  <c r="BU345" i="39"/>
  <c r="BV345" i="39"/>
  <c r="BT346" i="39"/>
  <c r="BU346" i="39"/>
  <c r="BV346" i="39"/>
  <c r="BT347" i="39"/>
  <c r="BU347" i="39"/>
  <c r="BV347" i="39"/>
  <c r="BT348" i="39"/>
  <c r="BU348" i="39"/>
  <c r="BV348" i="39"/>
  <c r="BT349" i="39"/>
  <c r="BU349" i="39"/>
  <c r="BV349" i="39"/>
  <c r="BT350" i="39"/>
  <c r="BU350" i="39"/>
  <c r="BV350" i="39"/>
  <c r="BT351" i="39"/>
  <c r="BU351" i="39"/>
  <c r="BV351" i="39"/>
  <c r="BT352" i="39"/>
  <c r="BU352" i="39"/>
  <c r="BV352" i="39"/>
  <c r="BT353" i="39"/>
  <c r="BU353" i="39"/>
  <c r="BV353" i="39"/>
  <c r="BT354" i="39"/>
  <c r="BU354" i="39"/>
  <c r="BV354" i="39"/>
  <c r="BT355" i="39"/>
  <c r="BU355" i="39"/>
  <c r="BV355" i="39"/>
  <c r="BT356" i="39"/>
  <c r="BU356" i="39"/>
  <c r="BV356" i="39"/>
  <c r="BT357" i="39"/>
  <c r="BU357" i="39"/>
  <c r="BV357" i="39"/>
  <c r="BT358" i="39"/>
  <c r="BU358" i="39"/>
  <c r="BV358" i="39"/>
  <c r="BT359" i="39"/>
  <c r="BU359" i="39"/>
  <c r="BV359" i="39"/>
  <c r="BT360" i="39"/>
  <c r="BU360" i="39"/>
  <c r="BV360" i="39"/>
  <c r="BT361" i="39"/>
  <c r="BU361" i="39"/>
  <c r="BV361" i="39"/>
  <c r="BT362" i="39"/>
  <c r="BU362" i="39"/>
  <c r="BV362" i="39"/>
  <c r="BT363" i="39"/>
  <c r="BU363" i="39"/>
  <c r="BV363" i="39"/>
  <c r="BT364" i="39"/>
  <c r="BU364" i="39"/>
  <c r="BV364" i="39"/>
  <c r="BT365" i="39"/>
  <c r="BU365" i="39"/>
  <c r="BV365" i="39"/>
  <c r="BT366" i="39"/>
  <c r="BU366" i="39"/>
  <c r="BV366" i="39"/>
  <c r="BT367" i="39"/>
  <c r="BU367" i="39"/>
  <c r="BV367" i="39"/>
  <c r="BT368" i="39"/>
  <c r="BU368" i="39"/>
  <c r="BV368" i="39"/>
  <c r="BT369" i="39"/>
  <c r="BU369" i="39"/>
  <c r="BV369" i="39"/>
  <c r="BT370" i="39"/>
  <c r="BU370" i="39"/>
  <c r="BV370" i="39"/>
  <c r="BT371" i="39"/>
  <c r="BU371" i="39"/>
  <c r="BV371" i="39"/>
  <c r="BT372" i="39"/>
  <c r="BU372" i="39"/>
  <c r="BV372" i="39"/>
  <c r="BT373" i="39"/>
  <c r="BU373" i="39"/>
  <c r="BV373" i="39"/>
  <c r="BT374" i="39"/>
  <c r="BU374" i="39"/>
  <c r="BV374" i="39"/>
  <c r="BT375" i="39"/>
  <c r="BU375" i="39"/>
  <c r="BV375" i="39"/>
  <c r="BT376" i="39"/>
  <c r="BU376" i="39"/>
  <c r="BV376" i="39"/>
  <c r="BT377" i="39"/>
  <c r="BU377" i="39"/>
  <c r="BV377" i="39"/>
  <c r="BT378" i="39"/>
  <c r="BU378" i="39"/>
  <c r="BV378" i="39"/>
  <c r="BT379" i="39"/>
  <c r="BU379" i="39"/>
  <c r="BV379" i="39"/>
  <c r="BT380" i="39"/>
  <c r="BU380" i="39"/>
  <c r="BV380" i="39"/>
  <c r="BT381" i="39"/>
  <c r="BU381" i="39"/>
  <c r="BV381" i="39"/>
  <c r="BT382" i="39"/>
  <c r="BU382" i="39"/>
  <c r="BV382" i="39"/>
  <c r="BT383" i="39"/>
  <c r="BU383" i="39"/>
  <c r="BV383" i="39"/>
  <c r="BT384" i="39"/>
  <c r="BU384" i="39"/>
  <c r="BV384" i="39"/>
  <c r="BT385" i="39"/>
  <c r="BU385" i="39"/>
  <c r="BV385" i="39"/>
  <c r="BT386" i="39"/>
  <c r="BU386" i="39"/>
  <c r="BV386" i="39"/>
  <c r="BT387" i="39"/>
  <c r="BU387" i="39"/>
  <c r="BV387" i="39"/>
  <c r="BT388" i="39"/>
  <c r="BU388" i="39"/>
  <c r="BV388" i="39"/>
  <c r="BT389" i="39"/>
  <c r="BU389" i="39"/>
  <c r="BV389" i="39"/>
  <c r="BT390" i="39"/>
  <c r="BU390" i="39"/>
  <c r="BV390" i="39"/>
  <c r="BT391" i="39"/>
  <c r="BU391" i="39"/>
  <c r="BV391" i="39"/>
  <c r="BT392" i="39"/>
  <c r="BU392" i="39"/>
  <c r="BV392" i="39"/>
  <c r="BT393" i="39"/>
  <c r="BU393" i="39"/>
  <c r="BV393" i="39"/>
  <c r="BT394" i="39"/>
  <c r="BU394" i="39"/>
  <c r="BV394" i="39"/>
  <c r="BT395" i="39"/>
  <c r="BU395" i="39"/>
  <c r="BV395" i="39"/>
  <c r="BT396" i="39"/>
  <c r="BU396" i="39"/>
  <c r="BV396" i="39"/>
  <c r="BT397" i="39"/>
  <c r="BU397" i="39"/>
  <c r="BV397" i="39"/>
  <c r="BT398" i="39"/>
  <c r="BU398" i="39"/>
  <c r="BV398" i="39"/>
  <c r="BT399" i="39"/>
  <c r="BU399" i="39"/>
  <c r="BV399" i="39"/>
  <c r="BT400" i="39"/>
  <c r="BU400" i="39"/>
  <c r="BV400" i="39"/>
  <c r="BT401" i="39"/>
  <c r="BU401" i="39"/>
  <c r="BV401" i="39"/>
  <c r="BT402" i="39"/>
  <c r="BU402" i="39"/>
  <c r="BV402" i="39"/>
  <c r="BT403" i="39"/>
  <c r="BU403" i="39"/>
  <c r="BV403" i="39"/>
  <c r="BT404" i="39"/>
  <c r="BU404" i="39"/>
  <c r="BV404" i="39"/>
  <c r="BT405" i="39"/>
  <c r="BU405" i="39"/>
  <c r="BV405" i="39"/>
  <c r="BT406" i="39"/>
  <c r="BU406" i="39"/>
  <c r="BV406" i="39"/>
  <c r="BT407" i="39"/>
  <c r="BU407" i="39"/>
  <c r="BV407" i="39"/>
  <c r="BT408" i="39"/>
  <c r="BU408" i="39"/>
  <c r="BV408" i="39"/>
  <c r="BT409" i="39"/>
  <c r="BU409" i="39"/>
  <c r="BV409" i="39"/>
  <c r="BT410" i="39"/>
  <c r="BU410" i="39"/>
  <c r="BV410" i="39"/>
  <c r="BT411" i="39"/>
  <c r="BU411" i="39"/>
  <c r="BV411" i="39"/>
  <c r="BT412" i="39"/>
  <c r="BU412" i="39"/>
  <c r="BV412" i="39"/>
  <c r="BT413" i="39"/>
  <c r="BU413" i="39"/>
  <c r="BV413" i="39"/>
  <c r="BT414" i="39"/>
  <c r="BU414" i="39"/>
  <c r="BV414" i="39"/>
  <c r="BT415" i="39"/>
  <c r="BU415" i="39"/>
  <c r="BV415" i="39"/>
  <c r="BT416" i="39"/>
  <c r="BU416" i="39"/>
  <c r="BV416" i="39"/>
  <c r="BT417" i="39"/>
  <c r="BU417" i="39"/>
  <c r="BV417" i="39"/>
  <c r="BT418" i="39"/>
  <c r="BU418" i="39"/>
  <c r="BV418" i="39"/>
  <c r="BT419" i="39"/>
  <c r="BU419" i="39"/>
  <c r="BV419" i="39"/>
  <c r="BT420" i="39"/>
  <c r="BU420" i="39"/>
  <c r="BV420" i="39"/>
  <c r="BT421" i="39"/>
  <c r="BU421" i="39"/>
  <c r="BV421" i="39"/>
  <c r="BT422" i="39"/>
  <c r="BU422" i="39"/>
  <c r="BV422" i="39"/>
  <c r="BT423" i="39"/>
  <c r="BU423" i="39"/>
  <c r="BV423" i="39"/>
  <c r="BT424" i="39"/>
  <c r="BU424" i="39"/>
  <c r="BV424" i="39"/>
  <c r="BT425" i="39"/>
  <c r="BU425" i="39"/>
  <c r="BV425" i="39"/>
  <c r="BT426" i="39"/>
  <c r="BU426" i="39"/>
  <c r="BV426" i="39"/>
  <c r="BT427" i="39"/>
  <c r="BU427" i="39"/>
  <c r="BV427" i="39"/>
  <c r="BT428" i="39"/>
  <c r="BU428" i="39"/>
  <c r="BV428" i="39"/>
  <c r="BT429" i="39"/>
  <c r="BU429" i="39"/>
  <c r="BV429" i="39"/>
  <c r="BT430" i="39"/>
  <c r="BU430" i="39"/>
  <c r="BV430" i="39"/>
  <c r="BT431" i="39"/>
  <c r="BU431" i="39"/>
  <c r="BV431" i="39"/>
  <c r="BT432" i="39"/>
  <c r="BU432" i="39"/>
  <c r="BV432" i="39"/>
  <c r="BT433" i="39"/>
  <c r="BU433" i="39"/>
  <c r="BV433" i="39"/>
  <c r="BT434" i="39"/>
  <c r="BU434" i="39"/>
  <c r="BV434" i="39"/>
  <c r="BT435" i="39"/>
  <c r="BU435" i="39"/>
  <c r="BV435" i="39"/>
  <c r="BT436" i="39"/>
  <c r="BU436" i="39"/>
  <c r="BV436" i="39"/>
  <c r="BT437" i="39"/>
  <c r="BU437" i="39"/>
  <c r="BV437" i="39"/>
  <c r="BT438" i="39"/>
  <c r="BU438" i="39"/>
  <c r="BV438" i="39"/>
  <c r="BT439" i="39"/>
  <c r="BU439" i="39"/>
  <c r="BV439" i="39"/>
  <c r="BT440" i="39"/>
  <c r="BU440" i="39"/>
  <c r="BV440" i="39"/>
  <c r="BT441" i="39"/>
  <c r="BU441" i="39"/>
  <c r="BV441" i="39"/>
  <c r="BT442" i="39"/>
  <c r="BU442" i="39"/>
  <c r="BV442" i="39"/>
  <c r="BT443" i="39"/>
  <c r="BU443" i="39"/>
  <c r="BV443" i="39"/>
  <c r="BT444" i="39"/>
  <c r="BU444" i="39"/>
  <c r="BV444" i="39"/>
  <c r="BT445" i="39"/>
  <c r="BU445" i="39"/>
  <c r="BV445" i="39"/>
  <c r="BT446" i="39"/>
  <c r="BU446" i="39"/>
  <c r="BV446" i="39"/>
  <c r="BT447" i="39"/>
  <c r="BU447" i="39"/>
  <c r="BV447" i="39"/>
  <c r="BT448" i="39"/>
  <c r="BU448" i="39"/>
  <c r="BV448" i="39"/>
  <c r="BT449" i="39"/>
  <c r="BU449" i="39"/>
  <c r="BV449" i="39"/>
  <c r="BT450" i="39"/>
  <c r="BU450" i="39"/>
  <c r="BV450" i="39"/>
  <c r="BT451" i="39"/>
  <c r="BU451" i="39"/>
  <c r="BV451" i="39"/>
  <c r="BT452" i="39"/>
  <c r="BU452" i="39"/>
  <c r="BV452" i="39"/>
  <c r="BT453" i="39"/>
  <c r="BU453" i="39"/>
  <c r="BV453" i="39"/>
  <c r="BT454" i="39"/>
  <c r="BU454" i="39"/>
  <c r="BV454" i="39"/>
  <c r="BT455" i="39"/>
  <c r="BU455" i="39"/>
  <c r="BV455" i="39"/>
  <c r="BT456" i="39"/>
  <c r="BU456" i="39"/>
  <c r="BV456" i="39"/>
  <c r="BT457" i="39"/>
  <c r="BU457" i="39"/>
  <c r="BV457" i="39"/>
  <c r="BT458" i="39"/>
  <c r="BU458" i="39"/>
  <c r="BV458" i="39"/>
  <c r="BT459" i="39"/>
  <c r="BU459" i="39"/>
  <c r="BV459" i="39"/>
  <c r="BT460" i="39"/>
  <c r="BU460" i="39"/>
  <c r="BV460" i="39"/>
  <c r="BT461" i="39"/>
  <c r="BU461" i="39"/>
  <c r="BV461" i="39"/>
  <c r="BT462" i="39"/>
  <c r="BU462" i="39"/>
  <c r="BV462" i="39"/>
  <c r="BT463" i="39"/>
  <c r="BU463" i="39"/>
  <c r="BV463" i="39"/>
  <c r="BT464" i="39"/>
  <c r="BU464" i="39"/>
  <c r="BV464" i="39"/>
  <c r="BT465" i="39"/>
  <c r="BU465" i="39"/>
  <c r="BV465" i="39"/>
  <c r="BT466" i="39"/>
  <c r="BU466" i="39"/>
  <c r="BV466" i="39"/>
  <c r="BT467" i="39"/>
  <c r="BU467" i="39"/>
  <c r="BV467" i="39"/>
  <c r="BT468" i="39"/>
  <c r="BU468" i="39"/>
  <c r="BV468" i="39"/>
  <c r="BT469" i="39"/>
  <c r="BU469" i="39"/>
  <c r="BV469" i="39"/>
  <c r="BT470" i="39"/>
  <c r="BU470" i="39"/>
  <c r="BV470" i="39"/>
  <c r="BT471" i="39"/>
  <c r="BU471" i="39"/>
  <c r="BV471" i="39"/>
  <c r="BT472" i="39"/>
  <c r="BU472" i="39"/>
  <c r="BV472" i="39"/>
  <c r="BT473" i="39"/>
  <c r="BU473" i="39"/>
  <c r="BV473" i="39"/>
  <c r="BT474" i="39"/>
  <c r="BU474" i="39"/>
  <c r="BV474" i="39"/>
  <c r="BT475" i="39"/>
  <c r="BU475" i="39"/>
  <c r="BV475" i="39"/>
  <c r="BT476" i="39"/>
  <c r="BU476" i="39"/>
  <c r="BV476" i="39"/>
  <c r="BT477" i="39"/>
  <c r="BU477" i="39"/>
  <c r="BV477" i="39"/>
  <c r="BT478" i="39"/>
  <c r="BU478" i="39"/>
  <c r="BV478" i="39"/>
  <c r="BT479" i="39"/>
  <c r="BU479" i="39"/>
  <c r="BV479" i="39"/>
  <c r="BT480" i="39"/>
  <c r="BU480" i="39"/>
  <c r="BV480" i="39"/>
  <c r="BT481" i="39"/>
  <c r="BU481" i="39"/>
  <c r="BV481" i="39"/>
  <c r="BT482" i="39"/>
  <c r="BU482" i="39"/>
  <c r="BV482" i="39"/>
  <c r="BT483" i="39"/>
  <c r="BU483" i="39"/>
  <c r="BV483" i="39"/>
  <c r="BT484" i="39"/>
  <c r="BU484" i="39"/>
  <c r="BV484" i="39"/>
  <c r="BT485" i="39"/>
  <c r="BU485" i="39"/>
  <c r="BV485" i="39"/>
  <c r="BT486" i="39"/>
  <c r="BU486" i="39"/>
  <c r="BV486" i="39"/>
  <c r="BT487" i="39"/>
  <c r="BU487" i="39"/>
  <c r="BV487" i="39"/>
  <c r="BT488" i="39"/>
  <c r="BU488" i="39"/>
  <c r="BV488" i="39"/>
  <c r="BT489" i="39"/>
  <c r="BU489" i="39"/>
  <c r="BV489" i="39"/>
  <c r="BT490" i="39"/>
  <c r="BU490" i="39"/>
  <c r="BV490" i="39"/>
  <c r="BT491" i="39"/>
  <c r="BU491" i="39"/>
  <c r="BV491" i="39"/>
  <c r="BT492" i="39"/>
  <c r="BU492" i="39"/>
  <c r="BV492" i="39"/>
  <c r="BT493" i="39"/>
  <c r="BU493" i="39"/>
  <c r="BV493" i="39"/>
  <c r="BT494" i="39"/>
  <c r="BU494" i="39"/>
  <c r="BV494" i="39"/>
  <c r="BT495" i="39"/>
  <c r="BU495" i="39"/>
  <c r="BV495" i="39"/>
  <c r="BT496" i="39"/>
  <c r="BU496" i="39"/>
  <c r="BV496" i="39"/>
  <c r="BT497" i="39"/>
  <c r="BU497" i="39"/>
  <c r="BV497" i="39"/>
  <c r="BT498" i="39"/>
  <c r="BU498" i="39"/>
  <c r="BV498" i="39"/>
  <c r="BT499" i="39"/>
  <c r="BU499" i="39"/>
  <c r="BV499" i="39"/>
  <c r="BT500" i="39"/>
  <c r="BU500" i="39"/>
  <c r="BV500" i="39"/>
  <c r="BT501" i="39"/>
  <c r="BU501" i="39"/>
  <c r="BV501" i="39"/>
  <c r="BT502" i="39"/>
  <c r="BU502" i="39"/>
  <c r="BV502" i="39"/>
  <c r="BT503" i="39"/>
  <c r="BU503" i="39"/>
  <c r="BV503" i="39"/>
  <c r="BT504" i="39"/>
  <c r="BU504" i="39"/>
  <c r="BV504" i="39"/>
  <c r="BT505" i="39"/>
  <c r="BU505" i="39"/>
  <c r="BV505" i="39"/>
  <c r="BT506" i="39"/>
  <c r="BU506" i="39"/>
  <c r="BV506" i="39"/>
  <c r="BT507" i="39"/>
  <c r="BU507" i="39"/>
  <c r="BV507" i="39"/>
  <c r="BT508" i="39"/>
  <c r="BU508" i="39"/>
  <c r="BV508" i="39"/>
  <c r="BT509" i="39"/>
  <c r="BU509" i="39"/>
  <c r="BV509" i="39"/>
  <c r="BT510" i="39"/>
  <c r="BU510" i="39"/>
  <c r="BV510" i="39"/>
  <c r="BT511" i="39"/>
  <c r="BU511" i="39"/>
  <c r="BV511" i="39"/>
  <c r="BT512" i="39"/>
  <c r="BU512" i="39"/>
  <c r="BV512" i="39"/>
  <c r="BT513" i="39"/>
  <c r="BU513" i="39"/>
  <c r="BV513" i="39"/>
  <c r="BT514" i="39"/>
  <c r="BU514" i="39"/>
  <c r="BV514" i="39"/>
  <c r="BT515" i="39"/>
  <c r="BU515" i="39"/>
  <c r="BV515" i="39"/>
  <c r="BT516" i="39"/>
  <c r="BU516" i="39"/>
  <c r="BV516" i="39"/>
  <c r="BT517" i="39"/>
  <c r="BU517" i="39"/>
  <c r="BV517" i="39"/>
  <c r="BT518" i="39"/>
  <c r="BU518" i="39"/>
  <c r="BV518" i="39"/>
  <c r="BT519" i="39"/>
  <c r="BU519" i="39"/>
  <c r="BV519" i="39"/>
  <c r="BT520" i="39"/>
  <c r="BU520" i="39"/>
  <c r="BV520" i="39"/>
  <c r="BT521" i="39"/>
  <c r="BU521" i="39"/>
  <c r="BV521" i="39"/>
  <c r="BT522" i="39"/>
  <c r="BU522" i="39"/>
  <c r="BV522" i="39"/>
  <c r="BT523" i="39"/>
  <c r="BU523" i="39"/>
  <c r="BV523" i="39"/>
  <c r="BT524" i="39"/>
  <c r="BU524" i="39"/>
  <c r="BV524" i="39"/>
  <c r="BT525" i="39"/>
  <c r="BU525" i="39"/>
  <c r="BV525" i="39"/>
  <c r="BT526" i="39"/>
  <c r="BU526" i="39"/>
  <c r="BV526" i="39"/>
  <c r="BT527" i="39"/>
  <c r="BU527" i="39"/>
  <c r="BV527" i="39"/>
  <c r="BT528" i="39"/>
  <c r="BU528" i="39"/>
  <c r="BV528" i="39"/>
  <c r="BT529" i="39"/>
  <c r="BU529" i="39"/>
  <c r="BV529" i="39"/>
  <c r="BT530" i="39"/>
  <c r="BU530" i="39"/>
  <c r="BV530" i="39"/>
  <c r="BT531" i="39"/>
  <c r="BU531" i="39"/>
  <c r="BV531" i="39"/>
  <c r="BT532" i="39"/>
  <c r="BU532" i="39"/>
  <c r="BV532" i="39"/>
  <c r="BT533" i="39"/>
  <c r="BU533" i="39"/>
  <c r="BV533" i="39"/>
  <c r="BT534" i="39"/>
  <c r="BU534" i="39"/>
  <c r="BV534" i="39"/>
  <c r="BT535" i="39"/>
  <c r="BU535" i="39"/>
  <c r="BV535" i="39"/>
  <c r="BT536" i="39"/>
  <c r="BU536" i="39"/>
  <c r="BV536" i="39"/>
  <c r="BT537" i="39"/>
  <c r="BU537" i="39"/>
  <c r="BV537" i="39"/>
  <c r="BT538" i="39"/>
  <c r="BU538" i="39"/>
  <c r="BV538" i="39"/>
  <c r="BT539" i="39"/>
  <c r="BU539" i="39"/>
  <c r="BV539" i="39"/>
  <c r="BT540" i="39"/>
  <c r="BU540" i="39"/>
  <c r="BV540" i="39"/>
  <c r="BT541" i="39"/>
  <c r="BU541" i="39"/>
  <c r="BV541" i="39"/>
  <c r="BT542" i="39"/>
  <c r="BU542" i="39"/>
  <c r="BV542" i="39"/>
  <c r="BT543" i="39"/>
  <c r="BU543" i="39"/>
  <c r="BV543" i="39"/>
  <c r="BT544" i="39"/>
  <c r="BU544" i="39"/>
  <c r="BV544" i="39"/>
  <c r="BT545" i="39"/>
  <c r="BU545" i="39"/>
  <c r="BV545" i="39"/>
  <c r="BT546" i="39"/>
  <c r="BU546" i="39"/>
  <c r="BV546" i="39"/>
  <c r="BT547" i="39"/>
  <c r="BU547" i="39"/>
  <c r="BV547" i="39"/>
  <c r="BT548" i="39"/>
  <c r="BU548" i="39"/>
  <c r="BV548" i="39"/>
  <c r="BT549" i="39"/>
  <c r="BU549" i="39"/>
  <c r="BV549" i="39"/>
  <c r="BT550" i="39"/>
  <c r="BU550" i="39"/>
  <c r="BV550" i="39"/>
  <c r="BT551" i="39"/>
  <c r="BU551" i="39"/>
  <c r="BV551" i="39"/>
  <c r="BT552" i="39"/>
  <c r="BU552" i="39"/>
  <c r="BV552" i="39"/>
  <c r="BT553" i="39"/>
  <c r="BU553" i="39"/>
  <c r="BV553" i="39"/>
  <c r="BT554" i="39"/>
  <c r="BU554" i="39"/>
  <c r="BV554" i="39"/>
  <c r="BT555" i="39"/>
  <c r="BU555" i="39"/>
  <c r="BV555" i="39"/>
  <c r="BT556" i="39"/>
  <c r="BU556" i="39"/>
  <c r="BV556" i="39"/>
  <c r="BT557" i="39"/>
  <c r="BU557" i="39"/>
  <c r="BV557" i="39"/>
  <c r="BT558" i="39"/>
  <c r="BU558" i="39"/>
  <c r="BV558" i="39"/>
  <c r="BT559" i="39"/>
  <c r="BU559" i="39"/>
  <c r="BV559" i="39"/>
  <c r="BT560" i="39"/>
  <c r="BU560" i="39"/>
  <c r="BV560" i="39"/>
  <c r="BT561" i="39"/>
  <c r="BU561" i="39"/>
  <c r="BV561" i="39"/>
  <c r="BT562" i="39"/>
  <c r="BU562" i="39"/>
  <c r="BV562" i="39"/>
  <c r="BT563" i="39"/>
  <c r="BU563" i="39"/>
  <c r="BV563" i="39"/>
  <c r="BT564" i="39"/>
  <c r="BU564" i="39"/>
  <c r="BV564" i="39"/>
  <c r="BT565" i="39"/>
  <c r="BU565" i="39"/>
  <c r="BV565" i="39"/>
  <c r="BT566" i="39"/>
  <c r="BU566" i="39"/>
  <c r="BV566" i="39"/>
  <c r="BT567" i="39"/>
  <c r="BU567" i="39"/>
  <c r="BV567" i="39"/>
  <c r="BT568" i="39"/>
  <c r="BU568" i="39"/>
  <c r="BV568" i="39"/>
  <c r="BT569" i="39"/>
  <c r="BU569" i="39"/>
  <c r="BV569" i="39"/>
  <c r="BT570" i="39"/>
  <c r="BU570" i="39"/>
  <c r="BV570" i="39"/>
  <c r="BT571" i="39"/>
  <c r="BU571" i="39"/>
  <c r="BV571" i="39"/>
  <c r="BT572" i="39"/>
  <c r="BU572" i="39"/>
  <c r="BV572" i="39"/>
  <c r="BT573" i="39"/>
  <c r="BU573" i="39"/>
  <c r="BV573" i="39"/>
  <c r="BT574" i="39"/>
  <c r="BU574" i="39"/>
  <c r="BV574" i="39"/>
  <c r="BT575" i="39"/>
  <c r="BU575" i="39"/>
  <c r="BV575" i="39"/>
  <c r="BT576" i="39"/>
  <c r="BU576" i="39"/>
  <c r="BV576" i="39"/>
  <c r="BT577" i="39"/>
  <c r="BU577" i="39"/>
  <c r="BV577" i="39"/>
  <c r="BT578" i="39"/>
  <c r="BU578" i="39"/>
  <c r="BV578" i="39"/>
  <c r="BT579" i="39"/>
  <c r="BU579" i="39"/>
  <c r="BV579" i="39"/>
  <c r="BT580" i="39"/>
  <c r="BU580" i="39"/>
  <c r="BV580" i="39"/>
  <c r="BT581" i="39"/>
  <c r="BU581" i="39"/>
  <c r="BV581" i="39"/>
  <c r="BT582" i="39"/>
  <c r="BU582" i="39"/>
  <c r="BV582" i="39"/>
  <c r="BT583" i="39"/>
  <c r="BU583" i="39"/>
  <c r="BV583" i="39"/>
  <c r="BT584" i="39"/>
  <c r="BU584" i="39"/>
  <c r="BV584" i="39"/>
  <c r="BT585" i="39"/>
  <c r="BU585" i="39"/>
  <c r="BV585" i="39"/>
  <c r="BT586" i="39"/>
  <c r="BU586" i="39"/>
  <c r="BV586" i="39"/>
  <c r="BT587" i="39"/>
  <c r="BU587" i="39"/>
  <c r="BV587" i="39"/>
  <c r="BT588" i="39"/>
  <c r="BU588" i="39"/>
  <c r="BV588" i="39"/>
  <c r="BT589" i="39"/>
  <c r="BU589" i="39"/>
  <c r="BV589" i="39"/>
  <c r="BT590" i="39"/>
  <c r="BU590" i="39"/>
  <c r="BV590" i="39"/>
  <c r="BT591" i="39"/>
  <c r="BU591" i="39"/>
  <c r="BV591" i="39"/>
  <c r="BT592" i="39"/>
  <c r="BU592" i="39"/>
  <c r="BV592" i="39"/>
  <c r="BT593" i="39"/>
  <c r="BU593" i="39"/>
  <c r="BV593" i="39"/>
  <c r="BT594" i="39"/>
  <c r="BU594" i="39"/>
  <c r="BV594" i="39"/>
  <c r="BT595" i="39"/>
  <c r="BU595" i="39"/>
  <c r="BV595" i="39"/>
  <c r="BT596" i="39"/>
  <c r="BU596" i="39"/>
  <c r="BV596" i="39"/>
  <c r="BT597" i="39"/>
  <c r="BU597" i="39"/>
  <c r="BV597" i="39"/>
  <c r="BT598" i="39"/>
  <c r="BU598" i="39"/>
  <c r="BV598" i="39"/>
  <c r="BT599" i="39"/>
  <c r="BU599" i="39"/>
  <c r="BV599" i="39"/>
  <c r="BT600" i="39"/>
  <c r="BU600" i="39"/>
  <c r="BV600" i="39"/>
  <c r="BT601" i="39"/>
  <c r="BU601" i="39"/>
  <c r="BV601" i="39"/>
  <c r="BT602" i="39"/>
  <c r="BU602" i="39"/>
  <c r="BV602" i="39"/>
  <c r="BT603" i="39"/>
  <c r="BU603" i="39"/>
  <c r="BV603" i="39"/>
  <c r="BT604" i="39"/>
  <c r="BU604" i="39"/>
  <c r="BV604" i="39"/>
  <c r="BT605" i="39"/>
  <c r="BU605" i="39"/>
  <c r="BV605" i="39"/>
  <c r="BT606" i="39"/>
  <c r="BU606" i="39"/>
  <c r="BV606" i="39"/>
  <c r="BT607" i="39"/>
  <c r="BU607" i="39"/>
  <c r="BV607" i="39"/>
  <c r="BT608" i="39"/>
  <c r="BU608" i="39"/>
  <c r="BV608" i="39"/>
  <c r="BT609" i="39"/>
  <c r="BU609" i="39"/>
  <c r="BV609" i="39"/>
  <c r="BT610" i="39"/>
  <c r="BU610" i="39"/>
  <c r="BV610" i="39"/>
  <c r="BT611" i="39"/>
  <c r="BU611" i="39"/>
  <c r="BV611" i="39"/>
  <c r="BT612" i="39"/>
  <c r="BU612" i="39"/>
  <c r="BV612" i="39"/>
  <c r="BT613" i="39"/>
  <c r="BU613" i="39"/>
  <c r="BV613" i="39"/>
  <c r="BT614" i="39"/>
  <c r="BU614" i="39"/>
  <c r="BV614" i="39"/>
  <c r="BT615" i="39"/>
  <c r="BU615" i="39"/>
  <c r="BV615" i="39"/>
  <c r="BT616" i="39"/>
  <c r="BU616" i="39"/>
  <c r="BV616" i="39"/>
  <c r="BT617" i="39"/>
  <c r="BU617" i="39"/>
  <c r="BV617" i="39"/>
  <c r="BT618" i="39"/>
  <c r="BU618" i="39"/>
  <c r="BV618" i="39"/>
  <c r="BT619" i="39"/>
  <c r="BU619" i="39"/>
  <c r="BV619" i="39"/>
  <c r="BT620" i="39"/>
  <c r="BU620" i="39"/>
  <c r="BV620" i="39"/>
  <c r="BT621" i="39"/>
  <c r="BU621" i="39"/>
  <c r="BV621" i="39"/>
  <c r="BT622" i="39"/>
  <c r="BU622" i="39"/>
  <c r="BV622" i="39"/>
  <c r="BT623" i="39"/>
  <c r="BU623" i="39"/>
  <c r="BV623" i="39"/>
  <c r="BT624" i="39"/>
  <c r="BU624" i="39"/>
  <c r="BV624" i="39"/>
  <c r="BT625" i="39"/>
  <c r="BU625" i="39"/>
  <c r="BV625" i="39"/>
  <c r="BT626" i="39"/>
  <c r="BU626" i="39"/>
  <c r="BV626" i="39"/>
  <c r="BT627" i="39"/>
  <c r="BU627" i="39"/>
  <c r="BV627" i="39"/>
  <c r="BT628" i="39"/>
  <c r="BU628" i="39"/>
  <c r="BV628" i="39"/>
  <c r="BT629" i="39"/>
  <c r="BU629" i="39"/>
  <c r="BV629" i="39"/>
  <c r="BT630" i="39"/>
  <c r="BU630" i="39"/>
  <c r="BV630" i="39"/>
  <c r="BT631" i="39"/>
  <c r="BU631" i="39"/>
  <c r="BV631" i="39"/>
  <c r="BT632" i="39"/>
  <c r="BU632" i="39"/>
  <c r="BV632" i="39"/>
  <c r="BT633" i="39"/>
  <c r="BU633" i="39"/>
  <c r="BV633" i="39"/>
  <c r="BT634" i="39"/>
  <c r="BU634" i="39"/>
  <c r="BV634" i="39"/>
  <c r="BT635" i="39"/>
  <c r="BU635" i="39"/>
  <c r="BV635" i="39"/>
  <c r="BT636" i="39"/>
  <c r="BU636" i="39"/>
  <c r="BV636" i="39"/>
  <c r="BT637" i="39"/>
  <c r="BU637" i="39"/>
  <c r="BV637" i="39"/>
  <c r="BT638" i="39"/>
  <c r="BU638" i="39"/>
  <c r="BV638" i="39"/>
  <c r="BT639" i="39"/>
  <c r="BU639" i="39"/>
  <c r="BV639" i="39"/>
  <c r="BT640" i="39"/>
  <c r="BU640" i="39"/>
  <c r="BV640" i="39"/>
  <c r="BT641" i="39"/>
  <c r="BU641" i="39"/>
  <c r="BV641" i="39"/>
  <c r="BT642" i="39"/>
  <c r="BU642" i="39"/>
  <c r="BV642" i="39"/>
  <c r="BT643" i="39"/>
  <c r="BU643" i="39"/>
  <c r="BV643" i="39"/>
  <c r="BT644" i="39"/>
  <c r="BU644" i="39"/>
  <c r="BV644" i="39"/>
  <c r="BT645" i="39"/>
  <c r="BU645" i="39"/>
  <c r="BV645" i="39"/>
  <c r="BT646" i="39"/>
  <c r="BU646" i="39"/>
  <c r="BV646" i="39"/>
  <c r="BT647" i="39"/>
  <c r="BU647" i="39"/>
  <c r="BV647" i="39"/>
  <c r="BT648" i="39"/>
  <c r="BU648" i="39"/>
  <c r="BV648" i="39"/>
  <c r="BT649" i="39"/>
  <c r="BU649" i="39"/>
  <c r="BV649" i="39"/>
  <c r="BT650" i="39"/>
  <c r="BU650" i="39"/>
  <c r="BV650" i="39"/>
  <c r="BT651" i="39"/>
  <c r="BU651" i="39"/>
  <c r="BV651" i="39"/>
  <c r="BT652" i="39"/>
  <c r="BU652" i="39"/>
  <c r="BV652" i="39"/>
  <c r="BT653" i="39"/>
  <c r="BU653" i="39"/>
  <c r="BV653" i="39"/>
  <c r="BT654" i="39"/>
  <c r="BU654" i="39"/>
  <c r="BV654" i="39"/>
  <c r="BT655" i="39"/>
  <c r="BU655" i="39"/>
  <c r="BV655" i="39"/>
  <c r="BT656" i="39"/>
  <c r="BU656" i="39"/>
  <c r="BV656" i="39"/>
  <c r="BT657" i="39"/>
  <c r="BU657" i="39"/>
  <c r="BV657" i="39"/>
  <c r="BT658" i="39"/>
  <c r="BU658" i="39"/>
  <c r="BV658" i="39"/>
  <c r="BT659" i="39"/>
  <c r="BU659" i="39"/>
  <c r="BV659" i="39"/>
  <c r="BT660" i="39"/>
  <c r="BU660" i="39"/>
  <c r="BV660" i="39"/>
  <c r="BT661" i="39"/>
  <c r="BU661" i="39"/>
  <c r="BV661" i="39"/>
  <c r="BT662" i="39"/>
  <c r="BU662" i="39"/>
  <c r="BV662" i="39"/>
  <c r="BT663" i="39"/>
  <c r="BU663" i="39"/>
  <c r="BV663" i="39"/>
  <c r="BT664" i="39"/>
  <c r="BU664" i="39"/>
  <c r="BV664" i="39"/>
  <c r="BT665" i="39"/>
  <c r="BU665" i="39"/>
  <c r="BV665" i="39"/>
  <c r="BT666" i="39"/>
  <c r="BU666" i="39"/>
  <c r="BV666" i="39"/>
  <c r="BT667" i="39"/>
  <c r="BU667" i="39"/>
  <c r="BV667" i="39"/>
  <c r="BT668" i="39"/>
  <c r="BU668" i="39"/>
  <c r="BV668" i="39"/>
  <c r="BT669" i="39"/>
  <c r="BU669" i="39"/>
  <c r="BV669" i="39"/>
  <c r="BT670" i="39"/>
  <c r="BU670" i="39"/>
  <c r="BV670" i="39"/>
  <c r="BT671" i="39"/>
  <c r="BU671" i="39"/>
  <c r="BV671" i="39"/>
  <c r="BT672" i="39"/>
  <c r="BU672" i="39"/>
  <c r="BV672" i="39"/>
  <c r="BT673" i="39"/>
  <c r="BU673" i="39"/>
  <c r="BV673" i="39"/>
  <c r="BT674" i="39"/>
  <c r="BU674" i="39"/>
  <c r="BV674" i="39"/>
  <c r="BT675" i="39"/>
  <c r="BU675" i="39"/>
  <c r="BV675" i="39"/>
  <c r="BT676" i="39"/>
  <c r="BU676" i="39"/>
  <c r="BV676" i="39"/>
  <c r="BT677" i="39"/>
  <c r="BU677" i="39"/>
  <c r="BV677" i="39"/>
  <c r="BT678" i="39"/>
  <c r="BU678" i="39"/>
  <c r="BV678" i="39"/>
  <c r="BT679" i="39"/>
  <c r="BU679" i="39"/>
  <c r="BV679" i="39"/>
  <c r="BT680" i="39"/>
  <c r="BU680" i="39"/>
  <c r="BV680" i="39"/>
  <c r="BT681" i="39"/>
  <c r="BU681" i="39"/>
  <c r="BV681" i="39"/>
  <c r="BT682" i="39"/>
  <c r="BU682" i="39"/>
  <c r="BV682" i="39"/>
  <c r="BT683" i="39"/>
  <c r="BU683" i="39"/>
  <c r="BV683" i="39"/>
  <c r="BT684" i="39"/>
  <c r="BU684" i="39"/>
  <c r="BV684" i="39"/>
  <c r="BT685" i="39"/>
  <c r="BU685" i="39"/>
  <c r="BV685" i="39"/>
  <c r="BT686" i="39"/>
  <c r="BU686" i="39"/>
  <c r="BV686" i="39"/>
  <c r="BT687" i="39"/>
  <c r="BU687" i="39"/>
  <c r="BV687" i="39"/>
  <c r="BT688" i="39"/>
  <c r="BU688" i="39"/>
  <c r="BV688" i="39"/>
  <c r="BT689" i="39"/>
  <c r="BU689" i="39"/>
  <c r="BV689" i="39"/>
  <c r="BT690" i="39"/>
  <c r="BU690" i="39"/>
  <c r="BV690" i="39"/>
  <c r="BT691" i="39"/>
  <c r="BU691" i="39"/>
  <c r="BV691" i="39"/>
  <c r="BT692" i="39"/>
  <c r="BU692" i="39"/>
  <c r="BV692" i="39"/>
  <c r="BT693" i="39"/>
  <c r="BU693" i="39"/>
  <c r="BV693" i="39"/>
  <c r="BT694" i="39"/>
  <c r="BU694" i="39"/>
  <c r="BV694" i="39"/>
  <c r="BT695" i="39"/>
  <c r="BU695" i="39"/>
  <c r="BV695" i="39"/>
  <c r="BT696" i="39"/>
  <c r="BU696" i="39"/>
  <c r="BV696" i="39"/>
  <c r="BT697" i="39"/>
  <c r="BU697" i="39"/>
  <c r="BV697" i="39"/>
  <c r="BT698" i="39"/>
  <c r="BU698" i="39"/>
  <c r="BV698" i="39"/>
  <c r="BT699" i="39"/>
  <c r="BU699" i="39"/>
  <c r="BV699" i="39"/>
  <c r="BT700" i="39"/>
  <c r="BU700" i="39"/>
  <c r="BV700" i="39"/>
  <c r="BT701" i="39"/>
  <c r="BU701" i="39"/>
  <c r="BV701" i="39"/>
  <c r="BT702" i="39"/>
  <c r="BU702" i="39"/>
  <c r="BV702" i="39"/>
  <c r="BT703" i="39"/>
  <c r="BU703" i="39"/>
  <c r="BV703" i="39"/>
  <c r="BT704" i="39"/>
  <c r="BU704" i="39"/>
  <c r="BV704" i="39"/>
  <c r="BT705" i="39"/>
  <c r="BU705" i="39"/>
  <c r="BV705" i="39"/>
  <c r="BT706" i="39"/>
  <c r="BU706" i="39"/>
  <c r="BV706" i="39"/>
  <c r="BT707" i="39"/>
  <c r="BU707" i="39"/>
  <c r="BV707" i="39"/>
  <c r="BT708" i="39"/>
  <c r="BU708" i="39"/>
  <c r="BV708" i="39"/>
  <c r="BT709" i="39"/>
  <c r="BU709" i="39"/>
  <c r="BV709" i="39"/>
  <c r="BT710" i="39"/>
  <c r="BU710" i="39"/>
  <c r="BV710" i="39"/>
  <c r="BT711" i="39"/>
  <c r="BU711" i="39"/>
  <c r="BV711" i="39"/>
  <c r="BT712" i="39"/>
  <c r="BU712" i="39"/>
  <c r="BV712" i="39"/>
  <c r="BT713" i="39"/>
  <c r="BU713" i="39"/>
  <c r="BV713" i="39"/>
  <c r="BT714" i="39"/>
  <c r="BU714" i="39"/>
  <c r="BV714" i="39"/>
  <c r="BT715" i="39"/>
  <c r="BU715" i="39"/>
  <c r="BV715" i="39"/>
  <c r="BT716" i="39"/>
  <c r="BU716" i="39"/>
  <c r="BV716" i="39"/>
  <c r="BT717" i="39"/>
  <c r="BU717" i="39"/>
  <c r="BV717" i="39"/>
  <c r="BT718" i="39"/>
  <c r="BU718" i="39"/>
  <c r="BV718" i="39"/>
  <c r="BT719" i="39"/>
  <c r="BU719" i="39"/>
  <c r="BV719" i="39"/>
  <c r="BT720" i="39"/>
  <c r="BU720" i="39"/>
  <c r="BV720" i="39"/>
  <c r="BT721" i="39"/>
  <c r="BU721" i="39"/>
  <c r="BV721" i="39"/>
  <c r="BT722" i="39"/>
  <c r="BU722" i="39"/>
  <c r="BV722" i="39"/>
  <c r="BT723" i="39"/>
  <c r="BU723" i="39"/>
  <c r="BV723" i="39"/>
  <c r="BT724" i="39"/>
  <c r="BU724" i="39"/>
  <c r="BV724" i="39"/>
  <c r="BT725" i="39"/>
  <c r="BU725" i="39"/>
  <c r="BV725" i="39"/>
  <c r="BT726" i="39"/>
  <c r="BU726" i="39"/>
  <c r="BV726" i="39"/>
  <c r="BT727" i="39"/>
  <c r="BU727" i="39"/>
  <c r="BV727" i="39"/>
  <c r="BT728" i="39"/>
  <c r="BU728" i="39"/>
  <c r="BV728" i="39"/>
  <c r="BT729" i="39"/>
  <c r="BU729" i="39"/>
  <c r="BV729" i="39"/>
  <c r="BT730" i="39"/>
  <c r="BU730" i="39"/>
  <c r="BV730" i="39"/>
  <c r="BT731" i="39"/>
  <c r="BU731" i="39"/>
  <c r="BV731" i="39"/>
  <c r="BT732" i="39"/>
  <c r="BU732" i="39"/>
  <c r="BV732" i="39"/>
  <c r="BT733" i="39"/>
  <c r="BU733" i="39"/>
  <c r="BV733" i="39"/>
  <c r="BT734" i="39"/>
  <c r="BU734" i="39"/>
  <c r="BV734" i="39"/>
  <c r="BT735" i="39"/>
  <c r="BU735" i="39"/>
  <c r="BV735" i="39"/>
  <c r="BT736" i="39"/>
  <c r="BU736" i="39"/>
  <c r="BV736" i="39"/>
  <c r="BT737" i="39"/>
  <c r="BU737" i="39"/>
  <c r="BV737" i="39"/>
  <c r="BT738" i="39"/>
  <c r="BU738" i="39"/>
  <c r="BV738" i="39"/>
  <c r="BT739" i="39"/>
  <c r="BU739" i="39"/>
  <c r="BV739" i="39"/>
  <c r="BT740" i="39"/>
  <c r="BU740" i="39"/>
  <c r="BV740" i="39"/>
  <c r="BT741" i="39"/>
  <c r="BU741" i="39"/>
  <c r="BV741" i="39"/>
  <c r="BT742" i="39"/>
  <c r="BU742" i="39"/>
  <c r="BV742" i="39"/>
  <c r="BT743" i="39"/>
  <c r="BU743" i="39"/>
  <c r="BV743" i="39"/>
  <c r="BT744" i="39"/>
  <c r="BU744" i="39"/>
  <c r="BV744" i="39"/>
  <c r="BT745" i="39"/>
  <c r="BU745" i="39"/>
  <c r="BV745" i="39"/>
  <c r="BT746" i="39"/>
  <c r="BU746" i="39"/>
  <c r="BV746" i="39"/>
  <c r="BT747" i="39"/>
  <c r="BU747" i="39"/>
  <c r="BV747" i="39"/>
  <c r="BT748" i="39"/>
  <c r="BU748" i="39"/>
  <c r="BV748" i="39"/>
  <c r="BT749" i="39"/>
  <c r="BU749" i="39"/>
  <c r="BV749" i="39"/>
  <c r="BT750" i="39"/>
  <c r="BU750" i="39"/>
  <c r="BV750" i="39"/>
  <c r="BT751" i="39"/>
  <c r="BU751" i="39"/>
  <c r="BV751" i="39"/>
  <c r="BT752" i="39"/>
  <c r="BU752" i="39"/>
  <c r="BV752" i="39"/>
  <c r="BT753" i="39"/>
  <c r="BU753" i="39"/>
  <c r="BV753" i="39"/>
  <c r="BT754" i="39"/>
  <c r="BU754" i="39"/>
  <c r="BV754" i="39"/>
  <c r="BT755" i="39"/>
  <c r="BU755" i="39"/>
  <c r="BV755" i="39"/>
  <c r="BT756" i="39"/>
  <c r="BU756" i="39"/>
  <c r="BV756" i="39"/>
  <c r="BT757" i="39"/>
  <c r="BU757" i="39"/>
  <c r="BV757" i="39"/>
  <c r="BT758" i="39"/>
  <c r="BU758" i="39"/>
  <c r="BV758" i="39"/>
  <c r="BT759" i="39"/>
  <c r="BU759" i="39"/>
  <c r="BV759" i="39"/>
  <c r="BT760" i="39"/>
  <c r="BU760" i="39"/>
  <c r="BV760" i="39"/>
  <c r="BT761" i="39"/>
  <c r="BU761" i="39"/>
  <c r="BV761" i="39"/>
  <c r="BT762" i="39"/>
  <c r="BU762" i="39"/>
  <c r="BV762" i="39"/>
  <c r="BT763" i="39"/>
  <c r="BU763" i="39"/>
  <c r="BV763" i="39"/>
  <c r="BT764" i="39"/>
  <c r="BU764" i="39"/>
  <c r="BV764" i="39"/>
  <c r="BT765" i="39"/>
  <c r="BU765" i="39"/>
  <c r="BV765" i="39"/>
  <c r="BT766" i="39"/>
  <c r="BU766" i="39"/>
  <c r="BV766" i="39"/>
  <c r="BT767" i="39"/>
  <c r="BU767" i="39"/>
  <c r="BV767" i="39"/>
  <c r="BT768" i="39"/>
  <c r="BU768" i="39"/>
  <c r="BV768" i="39"/>
  <c r="BT769" i="39"/>
  <c r="BU769" i="39"/>
  <c r="BV769" i="39"/>
  <c r="BT770" i="39"/>
  <c r="BU770" i="39"/>
  <c r="BV770" i="39"/>
  <c r="BT771" i="39"/>
  <c r="BU771" i="39"/>
  <c r="BV771" i="39"/>
  <c r="BT772" i="39"/>
  <c r="BU772" i="39"/>
  <c r="BV772" i="39"/>
  <c r="BT773" i="39"/>
  <c r="BU773" i="39"/>
  <c r="BV773" i="39"/>
  <c r="BT774" i="39"/>
  <c r="BU774" i="39"/>
  <c r="BV774" i="39"/>
  <c r="BT775" i="39"/>
  <c r="BU775" i="39"/>
  <c r="BV775" i="39"/>
  <c r="BT776" i="39"/>
  <c r="BU776" i="39"/>
  <c r="BV776" i="39"/>
  <c r="BT777" i="39"/>
  <c r="BU777" i="39"/>
  <c r="BV777" i="39"/>
  <c r="BT778" i="39"/>
  <c r="BU778" i="39"/>
  <c r="BV778" i="39"/>
  <c r="BT779" i="39"/>
  <c r="BU779" i="39"/>
  <c r="BV779" i="39"/>
  <c r="BT780" i="39"/>
  <c r="BU780" i="39"/>
  <c r="BV780" i="39"/>
  <c r="BT781" i="39"/>
  <c r="BU781" i="39"/>
  <c r="BV781" i="39"/>
  <c r="BT782" i="39"/>
  <c r="BU782" i="39"/>
  <c r="BV782" i="39"/>
  <c r="BT783" i="39"/>
  <c r="BU783" i="39"/>
  <c r="BV783" i="39"/>
  <c r="BT784" i="39"/>
  <c r="BU784" i="39"/>
  <c r="BV784" i="39"/>
  <c r="BT785" i="39"/>
  <c r="BU785" i="39"/>
  <c r="BV785" i="39"/>
  <c r="BT786" i="39"/>
  <c r="BU786" i="39"/>
  <c r="BV786" i="39"/>
  <c r="BT787" i="39"/>
  <c r="BU787" i="39"/>
  <c r="BV787" i="39"/>
  <c r="BT788" i="39"/>
  <c r="BU788" i="39"/>
  <c r="BV788" i="39"/>
  <c r="BT789" i="39"/>
  <c r="BU789" i="39"/>
  <c r="BV789" i="39"/>
  <c r="BT790" i="39"/>
  <c r="BU790" i="39"/>
  <c r="BV790" i="39"/>
  <c r="BT791" i="39"/>
  <c r="BU791" i="39"/>
  <c r="BV791" i="39"/>
  <c r="BT792" i="39"/>
  <c r="BU792" i="39"/>
  <c r="BV792" i="39"/>
  <c r="BT793" i="39"/>
  <c r="BU793" i="39"/>
  <c r="BV793" i="39"/>
  <c r="BT794" i="39"/>
  <c r="BU794" i="39"/>
  <c r="BV794" i="39"/>
  <c r="BT795" i="39"/>
  <c r="BU795" i="39"/>
  <c r="BV795" i="39"/>
  <c r="BT796" i="39"/>
  <c r="BU796" i="39"/>
  <c r="BV796" i="39"/>
  <c r="BT797" i="39"/>
  <c r="BU797" i="39"/>
  <c r="BV797" i="39"/>
  <c r="BT798" i="39"/>
  <c r="BU798" i="39"/>
  <c r="BV798" i="39"/>
  <c r="BT799" i="39"/>
  <c r="BU799" i="39"/>
  <c r="BV799" i="39"/>
  <c r="BT800" i="39"/>
  <c r="BU800" i="39"/>
  <c r="BV800" i="39"/>
  <c r="BT801" i="39"/>
  <c r="BU801" i="39"/>
  <c r="BV801" i="39"/>
  <c r="BT802" i="39"/>
  <c r="BU802" i="39"/>
  <c r="BV802" i="39"/>
  <c r="BT803" i="39"/>
  <c r="BU803" i="39"/>
  <c r="BV803" i="39"/>
  <c r="BT804" i="39"/>
  <c r="BU804" i="39"/>
  <c r="BV804" i="39"/>
  <c r="BT805" i="39"/>
  <c r="BU805" i="39"/>
  <c r="BV805" i="39"/>
  <c r="BT806" i="39"/>
  <c r="BU806" i="39"/>
  <c r="BV806" i="39"/>
  <c r="BT807" i="39"/>
  <c r="BU807" i="39"/>
  <c r="BV807" i="39"/>
  <c r="BT808" i="39"/>
  <c r="BU808" i="39"/>
  <c r="BV808" i="39"/>
  <c r="BT809" i="39"/>
  <c r="BU809" i="39"/>
  <c r="BV809" i="39"/>
  <c r="BT810" i="39"/>
  <c r="BU810" i="39"/>
  <c r="BV810" i="39"/>
  <c r="BT811" i="39"/>
  <c r="BU811" i="39"/>
  <c r="BV811" i="39"/>
  <c r="BT812" i="39"/>
  <c r="BU812" i="39"/>
  <c r="BV812" i="39"/>
  <c r="BT813" i="39"/>
  <c r="BU813" i="39"/>
  <c r="BV813" i="39"/>
  <c r="BT814" i="39"/>
  <c r="BU814" i="39"/>
  <c r="BV814" i="39"/>
  <c r="BT815" i="39"/>
  <c r="BU815" i="39"/>
  <c r="BV815" i="39"/>
  <c r="BT816" i="39"/>
  <c r="BU816" i="39"/>
  <c r="BV816" i="39"/>
  <c r="BT817" i="39"/>
  <c r="BU817" i="39"/>
  <c r="BV817" i="39"/>
  <c r="BT818" i="39"/>
  <c r="BU818" i="39"/>
  <c r="BV818" i="39"/>
  <c r="BT819" i="39"/>
  <c r="BU819" i="39"/>
  <c r="BV819" i="39"/>
  <c r="BT820" i="39"/>
  <c r="BU820" i="39"/>
  <c r="BV820" i="39"/>
  <c r="BT821" i="39"/>
  <c r="BU821" i="39"/>
  <c r="BV821" i="39"/>
  <c r="BT822" i="39"/>
  <c r="BU822" i="39"/>
  <c r="BV822" i="39"/>
  <c r="BT823" i="39"/>
  <c r="BU823" i="39"/>
  <c r="BV823" i="39"/>
  <c r="BT824" i="39"/>
  <c r="BU824" i="39"/>
  <c r="BV824" i="39"/>
  <c r="BT825" i="39"/>
  <c r="BU825" i="39"/>
  <c r="BV825" i="39"/>
  <c r="BT826" i="39"/>
  <c r="BU826" i="39"/>
  <c r="BV826" i="39"/>
  <c r="BT827" i="39"/>
  <c r="BU827" i="39"/>
  <c r="BV827" i="39"/>
  <c r="BT828" i="39"/>
  <c r="BU828" i="39"/>
  <c r="BV828" i="39"/>
  <c r="BT829" i="39"/>
  <c r="BU829" i="39"/>
  <c r="BV829" i="39"/>
  <c r="BT830" i="39"/>
  <c r="BU830" i="39"/>
  <c r="BV830" i="39"/>
  <c r="BT831" i="39"/>
  <c r="BU831" i="39"/>
  <c r="BV831" i="39"/>
  <c r="BT832" i="39"/>
  <c r="BU832" i="39"/>
  <c r="BV832" i="39"/>
  <c r="BT833" i="39"/>
  <c r="BU833" i="39"/>
  <c r="BV833" i="39"/>
  <c r="BT834" i="39"/>
  <c r="BU834" i="39"/>
  <c r="BV834" i="39"/>
  <c r="BT835" i="39"/>
  <c r="BU835" i="39"/>
  <c r="BV835" i="39"/>
  <c r="BT836" i="39"/>
  <c r="BU836" i="39"/>
  <c r="BV836" i="39"/>
  <c r="BT837" i="39"/>
  <c r="BU837" i="39"/>
  <c r="BV837" i="39"/>
  <c r="BT838" i="39"/>
  <c r="BU838" i="39"/>
  <c r="BV838" i="39"/>
  <c r="BT839" i="39"/>
  <c r="BU839" i="39"/>
  <c r="BV839" i="39"/>
  <c r="BT840" i="39"/>
  <c r="BU840" i="39"/>
  <c r="BV840" i="39"/>
  <c r="BT841" i="39"/>
  <c r="BU841" i="39"/>
  <c r="BV841" i="39"/>
  <c r="BT842" i="39"/>
  <c r="BU842" i="39"/>
  <c r="BV842" i="39"/>
  <c r="BT843" i="39"/>
  <c r="BU843" i="39"/>
  <c r="BV843" i="39"/>
  <c r="BT844" i="39"/>
  <c r="BU844" i="39"/>
  <c r="BV844" i="39"/>
  <c r="BT845" i="39"/>
  <c r="BU845" i="39"/>
  <c r="BV845" i="39"/>
  <c r="BT846" i="39"/>
  <c r="BU846" i="39"/>
  <c r="BV846" i="39"/>
  <c r="BT847" i="39"/>
  <c r="BU847" i="39"/>
  <c r="BV847" i="39"/>
  <c r="BT848" i="39"/>
  <c r="BU848" i="39"/>
  <c r="BV848" i="39"/>
  <c r="BT849" i="39"/>
  <c r="BU849" i="39"/>
  <c r="BV849" i="39"/>
  <c r="BT850" i="39"/>
  <c r="BU850" i="39"/>
  <c r="BV850" i="39"/>
  <c r="BT851" i="39"/>
  <c r="BU851" i="39"/>
  <c r="BV851" i="39"/>
  <c r="BT852" i="39"/>
  <c r="BU852" i="39"/>
  <c r="BV852" i="39"/>
  <c r="BT853" i="39"/>
  <c r="BU853" i="39"/>
  <c r="BV853" i="39"/>
  <c r="BT854" i="39"/>
  <c r="BU854" i="39"/>
  <c r="BV854" i="39"/>
  <c r="BT855" i="39"/>
  <c r="BU855" i="39"/>
  <c r="BV855" i="39"/>
  <c r="BT856" i="39"/>
  <c r="BU856" i="39"/>
  <c r="BV856" i="39"/>
  <c r="BT857" i="39"/>
  <c r="BU857" i="39"/>
  <c r="BV857" i="39"/>
  <c r="BT858" i="39"/>
  <c r="BU858" i="39"/>
  <c r="BV858" i="39"/>
  <c r="BT859" i="39"/>
  <c r="BU859" i="39"/>
  <c r="BV859" i="39"/>
  <c r="BT860" i="39"/>
  <c r="BU860" i="39"/>
  <c r="BV860" i="39"/>
  <c r="BT861" i="39"/>
  <c r="BU861" i="39"/>
  <c r="BV861" i="39"/>
  <c r="BT862" i="39"/>
  <c r="BU862" i="39"/>
  <c r="BV862" i="39"/>
  <c r="BT863" i="39"/>
  <c r="BU863" i="39"/>
  <c r="BV863" i="39"/>
  <c r="BT864" i="39"/>
  <c r="BU864" i="39"/>
  <c r="BV864" i="39"/>
  <c r="BT865" i="39"/>
  <c r="BU865" i="39"/>
  <c r="BV865" i="39"/>
  <c r="BT866" i="39"/>
  <c r="BU866" i="39"/>
  <c r="BV866" i="39"/>
  <c r="BT867" i="39"/>
  <c r="BU867" i="39"/>
  <c r="BV867" i="39"/>
  <c r="BT868" i="39"/>
  <c r="BU868" i="39"/>
  <c r="BV868" i="39"/>
  <c r="BT869" i="39"/>
  <c r="BU869" i="39"/>
  <c r="BV869" i="39"/>
  <c r="BT870" i="39"/>
  <c r="BU870" i="39"/>
  <c r="BV870" i="39"/>
  <c r="BT871" i="39"/>
  <c r="BU871" i="39"/>
  <c r="BV871" i="39"/>
  <c r="BT872" i="39"/>
  <c r="BU872" i="39"/>
  <c r="BV872" i="39"/>
  <c r="BT873" i="39"/>
  <c r="BU873" i="39"/>
  <c r="BV873" i="39"/>
  <c r="BT874" i="39"/>
  <c r="BU874" i="39"/>
  <c r="BV874" i="39"/>
  <c r="BT875" i="39"/>
  <c r="BU875" i="39"/>
  <c r="BV875" i="39"/>
  <c r="BT876" i="39"/>
  <c r="BU876" i="39"/>
  <c r="BV876" i="39"/>
  <c r="BT877" i="39"/>
  <c r="BU877" i="39"/>
  <c r="BV877" i="39"/>
  <c r="BT878" i="39"/>
  <c r="BU878" i="39"/>
  <c r="BV878" i="39"/>
  <c r="BT879" i="39"/>
  <c r="BU879" i="39"/>
  <c r="BV879" i="39"/>
  <c r="BT880" i="39"/>
  <c r="BU880" i="39"/>
  <c r="BV880" i="39"/>
  <c r="BT881" i="39"/>
  <c r="BU881" i="39"/>
  <c r="BV881" i="39"/>
  <c r="BT882" i="39"/>
  <c r="BU882" i="39"/>
  <c r="BV882" i="39"/>
  <c r="BT883" i="39"/>
  <c r="BU883" i="39"/>
  <c r="BV883" i="39"/>
  <c r="BT884" i="39"/>
  <c r="BU884" i="39"/>
  <c r="BV884" i="39"/>
  <c r="BT885" i="39"/>
  <c r="BU885" i="39"/>
  <c r="BV885" i="39"/>
  <c r="BT886" i="39"/>
  <c r="BU886" i="39"/>
  <c r="BV886" i="39"/>
  <c r="BT887" i="39"/>
  <c r="BU887" i="39"/>
  <c r="BV887" i="39"/>
  <c r="BT888" i="39"/>
  <c r="BU888" i="39"/>
  <c r="BV888" i="39"/>
  <c r="BT889" i="39"/>
  <c r="BU889" i="39"/>
  <c r="BV889" i="39"/>
  <c r="BT890" i="39"/>
  <c r="BU890" i="39"/>
  <c r="BV890" i="39"/>
  <c r="BT891" i="39"/>
  <c r="BU891" i="39"/>
  <c r="BV891" i="39"/>
  <c r="BT892" i="39"/>
  <c r="BU892" i="39"/>
  <c r="BV892" i="39"/>
  <c r="BT893" i="39"/>
  <c r="BU893" i="39"/>
  <c r="BV893" i="39"/>
  <c r="BT894" i="39"/>
  <c r="BU894" i="39"/>
  <c r="BV894" i="39"/>
  <c r="BT895" i="39"/>
  <c r="BU895" i="39"/>
  <c r="BV895" i="39"/>
  <c r="BT896" i="39"/>
  <c r="BU896" i="39"/>
  <c r="BV896" i="39"/>
  <c r="BT897" i="39"/>
  <c r="BU897" i="39"/>
  <c r="BV897" i="39"/>
  <c r="BT898" i="39"/>
  <c r="BU898" i="39"/>
  <c r="BV898" i="39"/>
  <c r="BT899" i="39"/>
  <c r="BU899" i="39"/>
  <c r="BV899" i="39"/>
  <c r="BT900" i="39"/>
  <c r="BU900" i="39"/>
  <c r="BV900" i="39"/>
  <c r="BT901" i="39"/>
  <c r="BU901" i="39"/>
  <c r="BV901" i="39"/>
  <c r="BT902" i="39"/>
  <c r="BU902" i="39"/>
  <c r="BV902" i="39"/>
  <c r="BT903" i="39"/>
  <c r="BU903" i="39"/>
  <c r="BV903" i="39"/>
  <c r="BT904" i="39"/>
  <c r="BU904" i="39"/>
  <c r="BV904" i="39"/>
  <c r="BT905" i="39"/>
  <c r="BU905" i="39"/>
  <c r="BV905" i="39"/>
  <c r="BT906" i="39"/>
  <c r="BU906" i="39"/>
  <c r="BV906" i="39"/>
  <c r="BV7" i="39"/>
  <c r="BU7" i="39"/>
  <c r="BT7" i="39"/>
  <c r="AG6" i="9" l="1"/>
  <c r="AG2" i="38" l="1"/>
  <c r="AG285" i="38"/>
  <c r="AG296" i="38"/>
  <c r="AG317" i="38"/>
  <c r="AG351" i="38"/>
  <c r="AG394" i="38"/>
  <c r="AG402" i="38"/>
  <c r="AG424" i="38"/>
  <c r="AG442" i="38"/>
  <c r="AG482" i="38"/>
  <c r="AG491" i="38"/>
  <c r="AG511" i="38"/>
  <c r="AG611" i="38"/>
  <c r="AG619" i="38"/>
  <c r="AG627" i="38"/>
  <c r="AG635" i="38"/>
  <c r="AG651" i="38"/>
  <c r="AG675" i="38"/>
  <c r="AG699" i="38"/>
  <c r="AG715" i="38"/>
  <c r="AG731" i="38"/>
  <c r="AG739" i="38"/>
  <c r="AG443" i="38"/>
  <c r="AG483" i="38"/>
  <c r="AG555" i="38"/>
  <c r="AG590" i="38"/>
  <c r="AG620" i="38"/>
  <c r="AG628" i="38"/>
  <c r="AG652" i="38"/>
  <c r="AG660" i="38"/>
  <c r="AG676" i="38"/>
  <c r="AG708" i="38"/>
  <c r="AG748" i="38"/>
  <c r="AG718" i="38"/>
  <c r="AG284" i="38"/>
  <c r="AG268" i="38"/>
  <c r="AG343" i="38"/>
  <c r="AG385" i="38"/>
  <c r="AG425" i="38"/>
  <c r="AG434" i="38"/>
  <c r="AG668" i="38"/>
  <c r="AG710" i="38"/>
  <c r="AG269" i="38"/>
  <c r="AG278" i="38"/>
  <c r="AG298" i="38"/>
  <c r="AG311" i="38"/>
  <c r="AG355" i="38"/>
  <c r="AG366" i="38"/>
  <c r="AG375" i="38"/>
  <c r="AG396" i="38"/>
  <c r="AG426" i="38"/>
  <c r="AG435" i="38"/>
  <c r="AG444" i="38"/>
  <c r="AG453" i="38"/>
  <c r="AG475" i="38"/>
  <c r="AG484" i="38"/>
  <c r="AG522" i="38"/>
  <c r="AG605" i="38"/>
  <c r="AG613" i="38"/>
  <c r="AG629" i="38"/>
  <c r="AG645" i="38"/>
  <c r="AG661" i="38"/>
  <c r="AG677" i="38"/>
  <c r="AG262" i="38"/>
  <c r="AG279" i="38"/>
  <c r="AG299" i="38"/>
  <c r="AG312" i="38"/>
  <c r="AG356" i="38"/>
  <c r="AG367" i="38"/>
  <c r="AG397" i="38"/>
  <c r="AG418" i="38"/>
  <c r="AG436" i="38"/>
  <c r="AG445" i="38"/>
  <c r="AG454" i="38"/>
  <c r="AG464" i="38"/>
  <c r="AG485" i="38"/>
  <c r="AG506" i="38"/>
  <c r="AG514" i="38"/>
  <c r="AG548" i="38"/>
  <c r="AG570" i="38"/>
  <c r="AG614" i="38"/>
  <c r="AG622" i="38"/>
  <c r="AG654" i="38"/>
  <c r="AG694" i="38"/>
  <c r="AG734" i="38"/>
  <c r="AG263" i="38"/>
  <c r="AG271" i="38"/>
  <c r="AG292" i="38"/>
  <c r="AG313" i="38"/>
  <c r="AG322" i="38"/>
  <c r="AG333" i="38"/>
  <c r="AG357" i="38"/>
  <c r="AG368" i="38"/>
  <c r="AG406" i="38"/>
  <c r="AG455" i="38"/>
  <c r="AG507" i="38"/>
  <c r="AG515" i="38"/>
  <c r="AG560" i="38"/>
  <c r="AG584" i="38"/>
  <c r="AG615" i="38"/>
  <c r="AG623" i="38"/>
  <c r="AG671" i="38"/>
  <c r="AG719" i="38"/>
  <c r="AG448" i="38"/>
  <c r="AG478" i="38"/>
  <c r="AG487" i="38"/>
  <c r="AG508" i="38"/>
  <c r="AG516" i="38"/>
  <c r="AG550" i="38"/>
  <c r="AG585" i="38"/>
  <c r="AG616" i="38"/>
  <c r="AG672" i="38"/>
  <c r="AG680" i="38"/>
  <c r="AG704" i="38"/>
  <c r="AG657" i="38"/>
  <c r="AG721" i="38"/>
  <c r="AG339" i="38"/>
  <c r="AG361" i="38"/>
  <c r="AG272" i="38"/>
  <c r="AG282" i="38"/>
  <c r="AG293" i="38"/>
  <c r="AG302" i="38"/>
  <c r="AG314" i="38"/>
  <c r="AG358" i="38"/>
  <c r="AG391" i="38"/>
  <c r="AG469" i="38"/>
  <c r="AG529" i="38"/>
  <c r="AG572" i="38"/>
  <c r="AG736" i="38"/>
  <c r="AG705" i="38"/>
  <c r="AG326" i="38"/>
  <c r="AG338" i="38"/>
  <c r="AG370" i="38"/>
  <c r="AG400" i="38"/>
  <c r="AG422" i="38"/>
  <c r="AG431" i="38"/>
  <c r="AG440" i="38"/>
  <c r="AG449" i="38"/>
  <c r="AG470" i="38"/>
  <c r="AG479" i="38"/>
  <c r="AG499" i="38"/>
  <c r="AG509" i="38"/>
  <c r="AG540" i="38"/>
  <c r="AG562" i="38"/>
  <c r="AG609" i="38"/>
  <c r="AG681" i="38"/>
  <c r="AG713" i="38"/>
  <c r="AG471" i="38"/>
  <c r="AG510" i="38"/>
  <c r="AG450" i="38"/>
  <c r="AG383" i="38"/>
  <c r="AG401" i="38"/>
  <c r="AG642" i="38"/>
  <c r="AG650" i="38"/>
  <c r="AG714" i="38"/>
  <c r="AG371" i="38"/>
  <c r="AG459" i="38"/>
  <c r="AG500" i="38"/>
  <c r="AG722" i="38"/>
  <c r="AG432" i="38"/>
  <c r="AG690" i="38"/>
  <c r="AG441" i="38"/>
  <c r="AG674" i="38"/>
  <c r="AG286" i="38"/>
  <c r="AG289" i="38"/>
  <c r="AG300" i="38"/>
  <c r="L26" i="35"/>
  <c r="L25" i="35"/>
  <c r="L24" i="35"/>
  <c r="L23" i="35"/>
  <c r="L22" i="35"/>
  <c r="L21" i="35"/>
  <c r="L20" i="35"/>
  <c r="L19" i="35"/>
  <c r="L18" i="35"/>
  <c r="L17" i="35"/>
  <c r="L16" i="35"/>
  <c r="L15" i="35"/>
  <c r="AG306" i="38" l="1"/>
  <c r="L35" i="35"/>
  <c r="AT851" i="36" l="1"/>
  <c r="AV851" i="36" s="1"/>
  <c r="AX851" i="36"/>
  <c r="AZ851" i="36" s="1"/>
  <c r="BB851" i="36"/>
  <c r="BD851" i="36" s="1"/>
  <c r="BF851" i="36"/>
  <c r="BJ851" i="36"/>
  <c r="BL851" i="36" s="1"/>
  <c r="AT852" i="36"/>
  <c r="AV852" i="36" s="1"/>
  <c r="AX852" i="36"/>
  <c r="AZ852" i="36" s="1"/>
  <c r="BB852" i="36"/>
  <c r="BD852" i="36" s="1"/>
  <c r="BF852" i="36"/>
  <c r="BJ852" i="36"/>
  <c r="BL852" i="36" s="1"/>
  <c r="AT853" i="36"/>
  <c r="AV853" i="36" s="1"/>
  <c r="AX853" i="36"/>
  <c r="AZ853" i="36" s="1"/>
  <c r="BB853" i="36"/>
  <c r="BD853" i="36" s="1"/>
  <c r="BF853" i="36"/>
  <c r="BJ853" i="36"/>
  <c r="BL853" i="36" s="1"/>
  <c r="AT854" i="36"/>
  <c r="AV854" i="36" s="1"/>
  <c r="AX854" i="36"/>
  <c r="AZ854" i="36" s="1"/>
  <c r="BB854" i="36"/>
  <c r="BD854" i="36" s="1"/>
  <c r="BF854" i="36"/>
  <c r="BJ854" i="36"/>
  <c r="BL854" i="36" s="1"/>
  <c r="AT855" i="36"/>
  <c r="AV855" i="36" s="1"/>
  <c r="AX855" i="36"/>
  <c r="AZ855" i="36" s="1"/>
  <c r="BB855" i="36"/>
  <c r="BD855" i="36" s="1"/>
  <c r="BF855" i="36"/>
  <c r="BJ855" i="36"/>
  <c r="BL855" i="36" s="1"/>
  <c r="AT856" i="36"/>
  <c r="AV856" i="36" s="1"/>
  <c r="AX856" i="36"/>
  <c r="AZ856" i="36" s="1"/>
  <c r="BB856" i="36"/>
  <c r="BD856" i="36" s="1"/>
  <c r="BF856" i="36"/>
  <c r="BJ856" i="36"/>
  <c r="BL856" i="36" s="1"/>
  <c r="AT857" i="36"/>
  <c r="AV857" i="36" s="1"/>
  <c r="AX857" i="36"/>
  <c r="AZ857" i="36" s="1"/>
  <c r="BB857" i="36"/>
  <c r="BD857" i="36" s="1"/>
  <c r="BF857" i="36"/>
  <c r="BJ857" i="36"/>
  <c r="BL857" i="36" s="1"/>
  <c r="AT858" i="36"/>
  <c r="AV858" i="36" s="1"/>
  <c r="AX858" i="36"/>
  <c r="AZ858" i="36" s="1"/>
  <c r="BB858" i="36"/>
  <c r="BD858" i="36" s="1"/>
  <c r="BF858" i="36"/>
  <c r="BH858" i="36" s="1"/>
  <c r="BJ858" i="36"/>
  <c r="BL858" i="36" s="1"/>
  <c r="AT859" i="36"/>
  <c r="AV859" i="36" s="1"/>
  <c r="AX859" i="36"/>
  <c r="AZ859" i="36" s="1"/>
  <c r="BB859" i="36"/>
  <c r="BD859" i="36" s="1"/>
  <c r="BF859" i="36"/>
  <c r="BJ859" i="36"/>
  <c r="BL859" i="36" s="1"/>
  <c r="AT860" i="36"/>
  <c r="AV860" i="36" s="1"/>
  <c r="AX860" i="36"/>
  <c r="AZ860" i="36" s="1"/>
  <c r="BB860" i="36"/>
  <c r="BD860" i="36" s="1"/>
  <c r="BF860" i="36"/>
  <c r="BJ860" i="36"/>
  <c r="BL860" i="36" s="1"/>
  <c r="AT861" i="36"/>
  <c r="AV861" i="36" s="1"/>
  <c r="AX861" i="36"/>
  <c r="AZ861" i="36" s="1"/>
  <c r="BB861" i="36"/>
  <c r="BD861" i="36" s="1"/>
  <c r="BF861" i="36"/>
  <c r="BJ861" i="36"/>
  <c r="BL861" i="36" s="1"/>
  <c r="AT862" i="36"/>
  <c r="AV862" i="36" s="1"/>
  <c r="AX862" i="36"/>
  <c r="AZ862" i="36" s="1"/>
  <c r="BB862" i="36"/>
  <c r="BD862" i="36" s="1"/>
  <c r="BF862" i="36"/>
  <c r="BJ862" i="36"/>
  <c r="BL862" i="36" s="1"/>
  <c r="AT863" i="36"/>
  <c r="AV863" i="36" s="1"/>
  <c r="AX863" i="36"/>
  <c r="AZ863" i="36" s="1"/>
  <c r="BB863" i="36"/>
  <c r="BD863" i="36" s="1"/>
  <c r="BF863" i="36"/>
  <c r="BJ863" i="36"/>
  <c r="BL863" i="36" s="1"/>
  <c r="AT864" i="36"/>
  <c r="AV864" i="36" s="1"/>
  <c r="AX864" i="36"/>
  <c r="AZ864" i="36" s="1"/>
  <c r="BB864" i="36"/>
  <c r="BD864" i="36" s="1"/>
  <c r="BF864" i="36"/>
  <c r="BJ864" i="36"/>
  <c r="BL864" i="36" s="1"/>
  <c r="AT865" i="36"/>
  <c r="AV865" i="36" s="1"/>
  <c r="AX865" i="36"/>
  <c r="AZ865" i="36" s="1"/>
  <c r="BB865" i="36"/>
  <c r="BD865" i="36" s="1"/>
  <c r="BF865" i="36"/>
  <c r="BJ865" i="36"/>
  <c r="BL865" i="36" s="1"/>
  <c r="AT866" i="36"/>
  <c r="AV866" i="36" s="1"/>
  <c r="AX866" i="36"/>
  <c r="AZ866" i="36" s="1"/>
  <c r="BB866" i="36"/>
  <c r="BD866" i="36" s="1"/>
  <c r="BF866" i="36"/>
  <c r="BH866" i="36" s="1"/>
  <c r="BJ866" i="36"/>
  <c r="BL866" i="36" s="1"/>
  <c r="AT867" i="36"/>
  <c r="AV867" i="36" s="1"/>
  <c r="AX867" i="36"/>
  <c r="AZ867" i="36" s="1"/>
  <c r="BB867" i="36"/>
  <c r="BD867" i="36" s="1"/>
  <c r="BF867" i="36"/>
  <c r="BJ867" i="36"/>
  <c r="BL867" i="36" s="1"/>
  <c r="AT868" i="36"/>
  <c r="AV868" i="36" s="1"/>
  <c r="AX868" i="36"/>
  <c r="AZ868" i="36" s="1"/>
  <c r="BB868" i="36"/>
  <c r="BD868" i="36" s="1"/>
  <c r="BF868" i="36"/>
  <c r="BH868" i="36" s="1"/>
  <c r="BJ868" i="36"/>
  <c r="BL868" i="36" s="1"/>
  <c r="AR851" i="36"/>
  <c r="AR852" i="36"/>
  <c r="AR853" i="36"/>
  <c r="AR854" i="36"/>
  <c r="AR855" i="36"/>
  <c r="AR856" i="36"/>
  <c r="AR857" i="36"/>
  <c r="AR858" i="36"/>
  <c r="AR859" i="36"/>
  <c r="AR860" i="36"/>
  <c r="AR861" i="36"/>
  <c r="AR862" i="36"/>
  <c r="AR863" i="36"/>
  <c r="AR864" i="36"/>
  <c r="AR865" i="36"/>
  <c r="AR866" i="36"/>
  <c r="AR867" i="36"/>
  <c r="AR868" i="36"/>
  <c r="BG861" i="36" l="1"/>
  <c r="BH861" i="36"/>
  <c r="BG853" i="36"/>
  <c r="BH853" i="36"/>
  <c r="BG864" i="36"/>
  <c r="BH864" i="36"/>
  <c r="BG856" i="36"/>
  <c r="BH856" i="36"/>
  <c r="BG863" i="36"/>
  <c r="BH863" i="36"/>
  <c r="BG855" i="36"/>
  <c r="BH855" i="36"/>
  <c r="BG851" i="36"/>
  <c r="BH851" i="36"/>
  <c r="BG862" i="36"/>
  <c r="BH862" i="36"/>
  <c r="BG854" i="36"/>
  <c r="BH854" i="36"/>
  <c r="BG867" i="36"/>
  <c r="BH867" i="36"/>
  <c r="BG859" i="36"/>
  <c r="BH859" i="36"/>
  <c r="BG865" i="36"/>
  <c r="BH865" i="36"/>
  <c r="BG857" i="36"/>
  <c r="BH857" i="36"/>
  <c r="BG860" i="36"/>
  <c r="BH860" i="36"/>
  <c r="BG852" i="36"/>
  <c r="BH852" i="36"/>
  <c r="AY861" i="36"/>
  <c r="AQ860" i="36"/>
  <c r="AQ856" i="36"/>
  <c r="AY867" i="36"/>
  <c r="AU865" i="36"/>
  <c r="AU852" i="36"/>
  <c r="AQ868" i="36"/>
  <c r="AQ852" i="36"/>
  <c r="AY857" i="36"/>
  <c r="AQ864" i="36"/>
  <c r="AU860" i="36"/>
  <c r="AU853" i="36"/>
  <c r="AQ866" i="36"/>
  <c r="AQ858" i="36"/>
  <c r="AU866" i="36"/>
  <c r="BC865" i="36"/>
  <c r="BC858" i="36"/>
  <c r="BC853" i="36"/>
  <c r="BC866" i="36"/>
  <c r="AQ862" i="36"/>
  <c r="AQ854" i="36"/>
  <c r="BG868" i="36"/>
  <c r="AU868" i="36"/>
  <c r="BC857" i="36"/>
  <c r="AU857" i="36"/>
  <c r="AU856" i="36"/>
  <c r="BC854" i="36"/>
  <c r="AY853" i="36"/>
  <c r="AQ867" i="36"/>
  <c r="AQ865" i="36"/>
  <c r="AQ863" i="36"/>
  <c r="AQ861" i="36"/>
  <c r="AQ859" i="36"/>
  <c r="AQ857" i="36"/>
  <c r="AQ855" i="36"/>
  <c r="AQ853" i="36"/>
  <c r="AQ851" i="36"/>
  <c r="BG866" i="36"/>
  <c r="AY866" i="36"/>
  <c r="AY865" i="36"/>
  <c r="AU864" i="36"/>
  <c r="BC862" i="36"/>
  <c r="BC861" i="36"/>
  <c r="AU861" i="36"/>
  <c r="BG858" i="36"/>
  <c r="AY858" i="36"/>
  <c r="AY868" i="36"/>
  <c r="BC864" i="36"/>
  <c r="BC863" i="36"/>
  <c r="AU863" i="36"/>
  <c r="AY860" i="36"/>
  <c r="AY859" i="36"/>
  <c r="AU858" i="36"/>
  <c r="BC856" i="36"/>
  <c r="BC855" i="36"/>
  <c r="AU855" i="36"/>
  <c r="AY852" i="36"/>
  <c r="AY851" i="36"/>
  <c r="AY862" i="36"/>
  <c r="AY854" i="36"/>
  <c r="BC868" i="36"/>
  <c r="BC867" i="36"/>
  <c r="AU867" i="36"/>
  <c r="AY864" i="36"/>
  <c r="AY863" i="36"/>
  <c r="AU862" i="36"/>
  <c r="BC860" i="36"/>
  <c r="BC859" i="36"/>
  <c r="AU859" i="36"/>
  <c r="AY856" i="36"/>
  <c r="AY855" i="36"/>
  <c r="AU854" i="36"/>
  <c r="BC852" i="36"/>
  <c r="BC851" i="36"/>
  <c r="AU851" i="36"/>
  <c r="BY700" i="39" l="1"/>
  <c r="BZ700" i="39"/>
  <c r="CA700" i="39"/>
  <c r="BY701" i="39"/>
  <c r="BZ701" i="39"/>
  <c r="CA701" i="39"/>
  <c r="BY702" i="39"/>
  <c r="BZ702" i="39"/>
  <c r="CA702" i="39"/>
  <c r="BY703" i="39"/>
  <c r="BZ703" i="39"/>
  <c r="CA703" i="39"/>
  <c r="BY704" i="39"/>
  <c r="BZ704" i="39"/>
  <c r="CA704" i="39"/>
  <c r="BY705" i="39"/>
  <c r="BZ705" i="39"/>
  <c r="CA705" i="39"/>
  <c r="BY706" i="39"/>
  <c r="BZ706" i="39"/>
  <c r="CA706" i="39"/>
  <c r="BY707" i="39"/>
  <c r="BZ707" i="39"/>
  <c r="CA707" i="39"/>
  <c r="BY708" i="39"/>
  <c r="BZ708" i="39"/>
  <c r="CA708" i="39"/>
  <c r="BY709" i="39"/>
  <c r="BZ709" i="39"/>
  <c r="CA709" i="39"/>
  <c r="BY710" i="39"/>
  <c r="BZ710" i="39"/>
  <c r="CA710" i="39"/>
  <c r="BY711" i="39"/>
  <c r="BZ711" i="39"/>
  <c r="CA711" i="39"/>
  <c r="BY712" i="39"/>
  <c r="BZ712" i="39"/>
  <c r="CA712" i="39"/>
  <c r="BY713" i="39"/>
  <c r="BZ713" i="39"/>
  <c r="CA713" i="39"/>
  <c r="BY714" i="39"/>
  <c r="BZ714" i="39"/>
  <c r="CA714" i="39"/>
  <c r="BY715" i="39"/>
  <c r="BZ715" i="39"/>
  <c r="CA715" i="39"/>
  <c r="BY716" i="39"/>
  <c r="BZ716" i="39"/>
  <c r="CA716" i="39"/>
  <c r="BY717" i="39"/>
  <c r="BZ717" i="39"/>
  <c r="CA717" i="39"/>
  <c r="BY718" i="39"/>
  <c r="BZ718" i="39"/>
  <c r="CA718" i="39"/>
  <c r="BY719" i="39"/>
  <c r="BZ719" i="39"/>
  <c r="CA719" i="39"/>
  <c r="BY720" i="39"/>
  <c r="BZ720" i="39"/>
  <c r="CA720" i="39"/>
  <c r="BY721" i="39"/>
  <c r="BZ721" i="39"/>
  <c r="CA721" i="39"/>
  <c r="BY722" i="39"/>
  <c r="BZ722" i="39"/>
  <c r="CA722" i="39"/>
  <c r="BY723" i="39"/>
  <c r="BZ723" i="39"/>
  <c r="CA723" i="39"/>
  <c r="BY724" i="39"/>
  <c r="BZ724" i="39"/>
  <c r="CA724" i="39"/>
  <c r="BY725" i="39"/>
  <c r="BZ725" i="39"/>
  <c r="CA725" i="39"/>
  <c r="BY726" i="39"/>
  <c r="BZ726" i="39"/>
  <c r="CA726" i="39"/>
  <c r="BY727" i="39"/>
  <c r="BZ727" i="39"/>
  <c r="CA727" i="39"/>
  <c r="BY728" i="39"/>
  <c r="BZ728" i="39"/>
  <c r="CA728" i="39"/>
  <c r="BY729" i="39"/>
  <c r="BZ729" i="39"/>
  <c r="CA729" i="39"/>
  <c r="BY730" i="39"/>
  <c r="BZ730" i="39"/>
  <c r="CA730" i="39"/>
  <c r="BY731" i="39"/>
  <c r="BZ731" i="39"/>
  <c r="CA731" i="39"/>
  <c r="BY732" i="39"/>
  <c r="BZ732" i="39"/>
  <c r="CA732" i="39"/>
  <c r="BY733" i="39"/>
  <c r="BZ733" i="39"/>
  <c r="CA733" i="39"/>
  <c r="BY734" i="39"/>
  <c r="BZ734" i="39"/>
  <c r="CA734" i="39"/>
  <c r="BY735" i="39"/>
  <c r="BZ735" i="39"/>
  <c r="CA735" i="39"/>
  <c r="BY736" i="39"/>
  <c r="BZ736" i="39"/>
  <c r="CA736" i="39"/>
  <c r="BY737" i="39"/>
  <c r="BZ737" i="39"/>
  <c r="CA737" i="39"/>
  <c r="BY738" i="39"/>
  <c r="BZ738" i="39"/>
  <c r="CA738" i="39"/>
  <c r="BY739" i="39"/>
  <c r="BZ739" i="39"/>
  <c r="CA739" i="39"/>
  <c r="BY740" i="39"/>
  <c r="BZ740" i="39"/>
  <c r="CA740" i="39"/>
  <c r="BY741" i="39"/>
  <c r="BZ741" i="39"/>
  <c r="CA741" i="39"/>
  <c r="BY742" i="39"/>
  <c r="BZ742" i="39"/>
  <c r="CA742" i="39"/>
  <c r="BY743" i="39"/>
  <c r="BZ743" i="39"/>
  <c r="CA743" i="39"/>
  <c r="BY744" i="39"/>
  <c r="BZ744" i="39"/>
  <c r="CA744" i="39"/>
  <c r="BY745" i="39"/>
  <c r="BZ745" i="39"/>
  <c r="CA745" i="39"/>
  <c r="BY746" i="39"/>
  <c r="BZ746" i="39"/>
  <c r="CA746" i="39"/>
  <c r="BY747" i="39"/>
  <c r="BZ747" i="39"/>
  <c r="CA747" i="39"/>
  <c r="BY748" i="39"/>
  <c r="BZ748" i="39"/>
  <c r="CA748" i="39"/>
  <c r="BY749" i="39"/>
  <c r="BZ749" i="39"/>
  <c r="CA749" i="39"/>
  <c r="BY750" i="39"/>
  <c r="BZ750" i="39"/>
  <c r="CA750" i="39"/>
  <c r="BY751" i="39"/>
  <c r="BZ751" i="39"/>
  <c r="CA751" i="39"/>
  <c r="BY752" i="39"/>
  <c r="BZ752" i="39"/>
  <c r="CA752" i="39"/>
  <c r="BY753" i="39"/>
  <c r="BZ753" i="39"/>
  <c r="CA753" i="39"/>
  <c r="BY754" i="39"/>
  <c r="BZ754" i="39"/>
  <c r="CA754" i="39"/>
  <c r="BY755" i="39"/>
  <c r="BZ755" i="39"/>
  <c r="CA755" i="39"/>
  <c r="BY756" i="39"/>
  <c r="BZ756" i="39"/>
  <c r="CA756" i="39"/>
  <c r="BY757" i="39"/>
  <c r="BZ757" i="39"/>
  <c r="CA757" i="39"/>
  <c r="BY758" i="39"/>
  <c r="BZ758" i="39"/>
  <c r="CA758" i="39"/>
  <c r="BY759" i="39"/>
  <c r="BZ759" i="39"/>
  <c r="CA759" i="39"/>
  <c r="BY760" i="39"/>
  <c r="BZ760" i="39"/>
  <c r="CA760" i="39"/>
  <c r="BY761" i="39"/>
  <c r="BZ761" i="39"/>
  <c r="CA761" i="39"/>
  <c r="BY762" i="39"/>
  <c r="BZ762" i="39"/>
  <c r="CA762" i="39"/>
  <c r="BY763" i="39"/>
  <c r="BZ763" i="39"/>
  <c r="CA763" i="39"/>
  <c r="BY764" i="39"/>
  <c r="BZ764" i="39"/>
  <c r="CA764" i="39"/>
  <c r="BY765" i="39"/>
  <c r="BZ765" i="39"/>
  <c r="CA765" i="39"/>
  <c r="BY766" i="39"/>
  <c r="BZ766" i="39"/>
  <c r="CA766" i="39"/>
  <c r="BY767" i="39"/>
  <c r="BZ767" i="39"/>
  <c r="CA767" i="39"/>
  <c r="BY768" i="39"/>
  <c r="BZ768" i="39"/>
  <c r="CA768" i="39"/>
  <c r="BY769" i="39"/>
  <c r="BZ769" i="39"/>
  <c r="CA769" i="39"/>
  <c r="BY770" i="39"/>
  <c r="BZ770" i="39"/>
  <c r="CA770" i="39"/>
  <c r="BY771" i="39"/>
  <c r="BZ771" i="39"/>
  <c r="CA771" i="39"/>
  <c r="BY772" i="39"/>
  <c r="BZ772" i="39"/>
  <c r="CA772" i="39"/>
  <c r="BY773" i="39"/>
  <c r="BZ773" i="39"/>
  <c r="CA773" i="39"/>
  <c r="BY774" i="39"/>
  <c r="BZ774" i="39"/>
  <c r="CA774" i="39"/>
  <c r="BY775" i="39"/>
  <c r="BZ775" i="39"/>
  <c r="CA775" i="39"/>
  <c r="BY776" i="39"/>
  <c r="BZ776" i="39"/>
  <c r="CA776" i="39"/>
  <c r="BY777" i="39"/>
  <c r="BZ777" i="39"/>
  <c r="CA777" i="39"/>
  <c r="BY778" i="39"/>
  <c r="BZ778" i="39"/>
  <c r="CA778" i="39"/>
  <c r="BY779" i="39"/>
  <c r="BZ779" i="39"/>
  <c r="CA779" i="39"/>
  <c r="BY780" i="39"/>
  <c r="BZ780" i="39"/>
  <c r="CA780" i="39"/>
  <c r="BY781" i="39"/>
  <c r="BZ781" i="39"/>
  <c r="CA781" i="39"/>
  <c r="BY782" i="39"/>
  <c r="BZ782" i="39"/>
  <c r="CA782" i="39"/>
  <c r="BY783" i="39"/>
  <c r="BZ783" i="39"/>
  <c r="CA783" i="39"/>
  <c r="BY784" i="39"/>
  <c r="BZ784" i="39"/>
  <c r="CA784" i="39"/>
  <c r="BY785" i="39"/>
  <c r="BZ785" i="39"/>
  <c r="CA785" i="39"/>
  <c r="BY786" i="39"/>
  <c r="BZ786" i="39"/>
  <c r="CA786" i="39"/>
  <c r="BY787" i="39"/>
  <c r="BZ787" i="39"/>
  <c r="CA787" i="39"/>
  <c r="BY788" i="39"/>
  <c r="BZ788" i="39"/>
  <c r="CA788" i="39"/>
  <c r="BY789" i="39"/>
  <c r="BZ789" i="39"/>
  <c r="CA789" i="39"/>
  <c r="BY790" i="39"/>
  <c r="BZ790" i="39"/>
  <c r="CA790" i="39"/>
  <c r="BY791" i="39"/>
  <c r="BZ791" i="39"/>
  <c r="CA791" i="39"/>
  <c r="BY792" i="39"/>
  <c r="BZ792" i="39"/>
  <c r="CA792" i="39"/>
  <c r="BY793" i="39"/>
  <c r="BZ793" i="39"/>
  <c r="CA793" i="39"/>
  <c r="BY794" i="39"/>
  <c r="BZ794" i="39"/>
  <c r="CA794" i="39"/>
  <c r="BY795" i="39"/>
  <c r="BZ795" i="39"/>
  <c r="CA795" i="39"/>
  <c r="BY796" i="39"/>
  <c r="BZ796" i="39"/>
  <c r="CA796" i="39"/>
  <c r="BY797" i="39"/>
  <c r="BZ797" i="39"/>
  <c r="CA797" i="39"/>
  <c r="BY798" i="39"/>
  <c r="BZ798" i="39"/>
  <c r="CA798" i="39"/>
  <c r="BY799" i="39"/>
  <c r="BZ799" i="39"/>
  <c r="CA799" i="39"/>
  <c r="BY800" i="39"/>
  <c r="BZ800" i="39"/>
  <c r="CA800" i="39"/>
  <c r="BY801" i="39"/>
  <c r="BZ801" i="39"/>
  <c r="CA801" i="39"/>
  <c r="BY802" i="39"/>
  <c r="BZ802" i="39"/>
  <c r="CA802" i="39"/>
  <c r="BY803" i="39"/>
  <c r="BZ803" i="39"/>
  <c r="CA803" i="39"/>
  <c r="BY804" i="39"/>
  <c r="BZ804" i="39"/>
  <c r="CA804" i="39"/>
  <c r="BY805" i="39"/>
  <c r="BZ805" i="39"/>
  <c r="CA805" i="39"/>
  <c r="BY806" i="39"/>
  <c r="BZ806" i="39"/>
  <c r="CA806" i="39"/>
  <c r="BY807" i="39"/>
  <c r="BZ807" i="39"/>
  <c r="CA807" i="39"/>
  <c r="BY808" i="39"/>
  <c r="BZ808" i="39"/>
  <c r="CA808" i="39"/>
  <c r="BY809" i="39"/>
  <c r="BZ809" i="39"/>
  <c r="CA809" i="39"/>
  <c r="BY810" i="39"/>
  <c r="BZ810" i="39"/>
  <c r="CA810" i="39"/>
  <c r="BY811" i="39"/>
  <c r="BZ811" i="39"/>
  <c r="CA811" i="39"/>
  <c r="BY812" i="39"/>
  <c r="BZ812" i="39"/>
  <c r="CA812" i="39"/>
  <c r="BY813" i="39"/>
  <c r="BZ813" i="39"/>
  <c r="CA813" i="39"/>
  <c r="BY814" i="39"/>
  <c r="BZ814" i="39"/>
  <c r="CA814" i="39"/>
  <c r="BY815" i="39"/>
  <c r="BZ815" i="39"/>
  <c r="CA815" i="39"/>
  <c r="BY816" i="39"/>
  <c r="BZ816" i="39"/>
  <c r="CA816" i="39"/>
  <c r="BY817" i="39"/>
  <c r="BZ817" i="39"/>
  <c r="CA817" i="39"/>
  <c r="BY818" i="39"/>
  <c r="BZ818" i="39"/>
  <c r="CA818" i="39"/>
  <c r="BY819" i="39"/>
  <c r="BZ819" i="39"/>
  <c r="CA819" i="39"/>
  <c r="BY820" i="39"/>
  <c r="BZ820" i="39"/>
  <c r="CA820" i="39"/>
  <c r="BY821" i="39"/>
  <c r="BZ821" i="39"/>
  <c r="CA821" i="39"/>
  <c r="BY822" i="39"/>
  <c r="BZ822" i="39"/>
  <c r="CA822" i="39"/>
  <c r="BY823" i="39"/>
  <c r="BZ823" i="39"/>
  <c r="CA823" i="39"/>
  <c r="BY824" i="39"/>
  <c r="BZ824" i="39"/>
  <c r="CA824" i="39"/>
  <c r="BY825" i="39"/>
  <c r="BZ825" i="39"/>
  <c r="CA825" i="39"/>
  <c r="BY826" i="39"/>
  <c r="BZ826" i="39"/>
  <c r="CA826" i="39"/>
  <c r="BY827" i="39"/>
  <c r="BZ827" i="39"/>
  <c r="CA827" i="39"/>
  <c r="BY828" i="39"/>
  <c r="BZ828" i="39"/>
  <c r="CA828" i="39"/>
  <c r="BY829" i="39"/>
  <c r="BZ829" i="39"/>
  <c r="CA829" i="39"/>
  <c r="BY830" i="39"/>
  <c r="BZ830" i="39"/>
  <c r="CA830" i="39"/>
  <c r="BY831" i="39"/>
  <c r="BZ831" i="39"/>
  <c r="CA831" i="39"/>
  <c r="BY832" i="39"/>
  <c r="BZ832" i="39"/>
  <c r="CA832" i="39"/>
  <c r="BY833" i="39"/>
  <c r="BZ833" i="39"/>
  <c r="CA833" i="39"/>
  <c r="BY834" i="39"/>
  <c r="BZ834" i="39"/>
  <c r="CA834" i="39"/>
  <c r="BY835" i="39"/>
  <c r="BZ835" i="39"/>
  <c r="CA835" i="39"/>
  <c r="BY836" i="39"/>
  <c r="BZ836" i="39"/>
  <c r="CA836" i="39"/>
  <c r="BY837" i="39"/>
  <c r="BZ837" i="39"/>
  <c r="CA837" i="39"/>
  <c r="BY838" i="39"/>
  <c r="BZ838" i="39"/>
  <c r="CA838" i="39"/>
  <c r="BY839" i="39"/>
  <c r="BZ839" i="39"/>
  <c r="CA839" i="39"/>
  <c r="BY840" i="39"/>
  <c r="BZ840" i="39"/>
  <c r="CA840" i="39"/>
  <c r="BY841" i="39"/>
  <c r="BZ841" i="39"/>
  <c r="CA841" i="39"/>
  <c r="BY842" i="39"/>
  <c r="BZ842" i="39"/>
  <c r="CA842" i="39"/>
  <c r="BY843" i="39"/>
  <c r="BZ843" i="39"/>
  <c r="CA843" i="39"/>
  <c r="BY844" i="39"/>
  <c r="BZ844" i="39"/>
  <c r="CA844" i="39"/>
  <c r="BY845" i="39"/>
  <c r="BZ845" i="39"/>
  <c r="CA845" i="39"/>
  <c r="BY846" i="39"/>
  <c r="BZ846" i="39"/>
  <c r="CA846" i="39"/>
  <c r="BY847" i="39"/>
  <c r="BZ847" i="39"/>
  <c r="CA847" i="39"/>
  <c r="BY848" i="39"/>
  <c r="BZ848" i="39"/>
  <c r="CA848" i="39"/>
  <c r="BY849" i="39"/>
  <c r="BZ849" i="39"/>
  <c r="CA849" i="39"/>
  <c r="BY850" i="39"/>
  <c r="BZ850" i="39"/>
  <c r="CA850" i="39"/>
  <c r="BY851" i="39"/>
  <c r="BZ851" i="39"/>
  <c r="CA851" i="39"/>
  <c r="BY852" i="39"/>
  <c r="BZ852" i="39"/>
  <c r="CA852" i="39"/>
  <c r="BY853" i="39"/>
  <c r="BZ853" i="39"/>
  <c r="CA853" i="39"/>
  <c r="BY854" i="39"/>
  <c r="BZ854" i="39"/>
  <c r="CA854" i="39"/>
  <c r="BY855" i="39"/>
  <c r="BZ855" i="39"/>
  <c r="CA855" i="39"/>
  <c r="BY856" i="39"/>
  <c r="BZ856" i="39"/>
  <c r="CA856" i="39"/>
  <c r="BY857" i="39"/>
  <c r="BZ857" i="39"/>
  <c r="CA857" i="39"/>
  <c r="BY858" i="39"/>
  <c r="BZ858" i="39"/>
  <c r="CA858" i="39"/>
  <c r="BY859" i="39"/>
  <c r="BZ859" i="39"/>
  <c r="CA859" i="39"/>
  <c r="BY860" i="39"/>
  <c r="BZ860" i="39"/>
  <c r="CA860" i="39"/>
  <c r="BY861" i="39"/>
  <c r="BZ861" i="39"/>
  <c r="CA861" i="39"/>
  <c r="BY862" i="39"/>
  <c r="BZ862" i="39"/>
  <c r="CA862" i="39"/>
  <c r="BY863" i="39"/>
  <c r="BZ863" i="39"/>
  <c r="CA863" i="39"/>
  <c r="BY864" i="39"/>
  <c r="BZ864" i="39"/>
  <c r="CA864" i="39"/>
  <c r="BY865" i="39"/>
  <c r="BZ865" i="39"/>
  <c r="CA865" i="39"/>
  <c r="BY866" i="39"/>
  <c r="BZ866" i="39"/>
  <c r="CA866" i="39"/>
  <c r="BY867" i="39"/>
  <c r="BZ867" i="39"/>
  <c r="CA867" i="39"/>
  <c r="BY868" i="39"/>
  <c r="BZ868" i="39"/>
  <c r="CA868" i="39"/>
  <c r="BY869" i="39"/>
  <c r="BZ869" i="39"/>
  <c r="CA869" i="39"/>
  <c r="BY870" i="39"/>
  <c r="BZ870" i="39"/>
  <c r="CA870" i="39"/>
  <c r="BY871" i="39"/>
  <c r="BZ871" i="39"/>
  <c r="CA871" i="39"/>
  <c r="BY872" i="39"/>
  <c r="BZ872" i="39"/>
  <c r="CA872" i="39"/>
  <c r="BY873" i="39"/>
  <c r="BZ873" i="39"/>
  <c r="CA873" i="39"/>
  <c r="BY874" i="39"/>
  <c r="BZ874" i="39"/>
  <c r="CA874" i="39"/>
  <c r="BY875" i="39"/>
  <c r="BZ875" i="39"/>
  <c r="CA875" i="39"/>
  <c r="BY876" i="39"/>
  <c r="BZ876" i="39"/>
  <c r="CA876" i="39"/>
  <c r="BY877" i="39"/>
  <c r="BZ877" i="39"/>
  <c r="CA877" i="39"/>
  <c r="BY878" i="39"/>
  <c r="BZ878" i="39"/>
  <c r="CA878" i="39"/>
  <c r="BY879" i="39"/>
  <c r="BZ879" i="39"/>
  <c r="CA879" i="39"/>
  <c r="BY880" i="39"/>
  <c r="BZ880" i="39"/>
  <c r="CA880" i="39"/>
  <c r="BY881" i="39"/>
  <c r="BZ881" i="39"/>
  <c r="CA881" i="39"/>
  <c r="BY882" i="39"/>
  <c r="BZ882" i="39"/>
  <c r="CA882" i="39"/>
  <c r="BY883" i="39"/>
  <c r="BZ883" i="39"/>
  <c r="CA883" i="39"/>
  <c r="BY884" i="39"/>
  <c r="BZ884" i="39"/>
  <c r="CA884" i="39"/>
  <c r="BY885" i="39"/>
  <c r="BZ885" i="39"/>
  <c r="CA885" i="39"/>
  <c r="BY886" i="39"/>
  <c r="BZ886" i="39"/>
  <c r="CA886" i="39"/>
  <c r="BY887" i="39"/>
  <c r="BZ887" i="39"/>
  <c r="CA887" i="39"/>
  <c r="BY888" i="39"/>
  <c r="BZ888" i="39"/>
  <c r="CA888" i="39"/>
  <c r="BY889" i="39"/>
  <c r="BZ889" i="39"/>
  <c r="CA889" i="39"/>
  <c r="BY890" i="39"/>
  <c r="BZ890" i="39"/>
  <c r="CA890" i="39"/>
  <c r="BY891" i="39"/>
  <c r="BZ891" i="39"/>
  <c r="CA891" i="39"/>
  <c r="BY892" i="39"/>
  <c r="BZ892" i="39"/>
  <c r="CA892" i="39"/>
  <c r="BY893" i="39"/>
  <c r="BZ893" i="39"/>
  <c r="CA893" i="39"/>
  <c r="BY894" i="39"/>
  <c r="BZ894" i="39"/>
  <c r="CA894" i="39"/>
  <c r="BY895" i="39"/>
  <c r="BZ895" i="39"/>
  <c r="CA895" i="39"/>
  <c r="BY896" i="39"/>
  <c r="BZ896" i="39"/>
  <c r="CA896" i="39"/>
  <c r="BY897" i="39"/>
  <c r="BZ897" i="39"/>
  <c r="CA897" i="39"/>
  <c r="BY898" i="39"/>
  <c r="BZ898" i="39"/>
  <c r="CA898" i="39"/>
  <c r="BY899" i="39"/>
  <c r="BZ899" i="39"/>
  <c r="CA899" i="39"/>
  <c r="BY900" i="39"/>
  <c r="BZ900" i="39"/>
  <c r="CA900" i="39"/>
  <c r="BY901" i="39"/>
  <c r="BZ901" i="39"/>
  <c r="CA901" i="39"/>
  <c r="BY902" i="39"/>
  <c r="BZ902" i="39"/>
  <c r="CA902" i="39"/>
  <c r="BY903" i="39"/>
  <c r="BZ903" i="39"/>
  <c r="CA903" i="39"/>
  <c r="BY904" i="39"/>
  <c r="BZ904" i="39"/>
  <c r="CA904" i="39"/>
  <c r="BY905" i="39"/>
  <c r="BZ905" i="39"/>
  <c r="CA905" i="39"/>
  <c r="BY906" i="39"/>
  <c r="BZ906" i="39"/>
  <c r="CA906" i="39"/>
  <c r="BY657" i="39"/>
  <c r="BZ657" i="39"/>
  <c r="CA657" i="39"/>
  <c r="BY658" i="39"/>
  <c r="BZ658" i="39"/>
  <c r="CA658" i="39"/>
  <c r="BY659" i="39"/>
  <c r="BZ659" i="39"/>
  <c r="CA659" i="39"/>
  <c r="BY660" i="39"/>
  <c r="BZ660" i="39"/>
  <c r="CA660" i="39"/>
  <c r="BY661" i="39"/>
  <c r="BZ661" i="39"/>
  <c r="CA661" i="39"/>
  <c r="BY662" i="39"/>
  <c r="BZ662" i="39"/>
  <c r="CA662" i="39"/>
  <c r="BY663" i="39"/>
  <c r="BZ663" i="39"/>
  <c r="CA663" i="39"/>
  <c r="BY664" i="39"/>
  <c r="BZ664" i="39"/>
  <c r="CA664" i="39"/>
  <c r="BY665" i="39"/>
  <c r="BZ665" i="39"/>
  <c r="CA665" i="39"/>
  <c r="BY666" i="39"/>
  <c r="BZ666" i="39"/>
  <c r="CA666" i="39"/>
  <c r="BY667" i="39"/>
  <c r="BZ667" i="39"/>
  <c r="CA667" i="39"/>
  <c r="BY668" i="39"/>
  <c r="BZ668" i="39"/>
  <c r="CA668" i="39"/>
  <c r="BY669" i="39"/>
  <c r="BZ669" i="39"/>
  <c r="CA669" i="39"/>
  <c r="BY670" i="39"/>
  <c r="BZ670" i="39"/>
  <c r="CA670" i="39"/>
  <c r="BY671" i="39"/>
  <c r="BZ671" i="39"/>
  <c r="CA671" i="39"/>
  <c r="BY672" i="39"/>
  <c r="BZ672" i="39"/>
  <c r="CA672" i="39"/>
  <c r="BY673" i="39"/>
  <c r="BZ673" i="39"/>
  <c r="CA673" i="39"/>
  <c r="BY674" i="39"/>
  <c r="BZ674" i="39"/>
  <c r="CA674" i="39"/>
  <c r="BY675" i="39"/>
  <c r="BZ675" i="39"/>
  <c r="CA675" i="39"/>
  <c r="BY676" i="39"/>
  <c r="BZ676" i="39"/>
  <c r="CA676" i="39"/>
  <c r="BY677" i="39"/>
  <c r="BZ677" i="39"/>
  <c r="CA677" i="39"/>
  <c r="BY678" i="39"/>
  <c r="BZ678" i="39"/>
  <c r="CA678" i="39"/>
  <c r="BY679" i="39"/>
  <c r="BZ679" i="39"/>
  <c r="CA679" i="39"/>
  <c r="BY680" i="39"/>
  <c r="BZ680" i="39"/>
  <c r="CA680" i="39"/>
  <c r="BY681" i="39"/>
  <c r="BZ681" i="39"/>
  <c r="CA681" i="39"/>
  <c r="BY682" i="39"/>
  <c r="BZ682" i="39"/>
  <c r="CA682" i="39"/>
  <c r="BY683" i="39"/>
  <c r="BZ683" i="39"/>
  <c r="CA683" i="39"/>
  <c r="BY684" i="39"/>
  <c r="BZ684" i="39"/>
  <c r="CA684" i="39"/>
  <c r="BY685" i="39"/>
  <c r="BZ685" i="39"/>
  <c r="CA685" i="39"/>
  <c r="BY686" i="39"/>
  <c r="BZ686" i="39"/>
  <c r="CA686" i="39"/>
  <c r="BY687" i="39"/>
  <c r="BZ687" i="39"/>
  <c r="CA687" i="39"/>
  <c r="BY688" i="39"/>
  <c r="BZ688" i="39"/>
  <c r="CA688" i="39"/>
  <c r="BY689" i="39"/>
  <c r="BZ689" i="39"/>
  <c r="CA689" i="39"/>
  <c r="BY690" i="39"/>
  <c r="BZ690" i="39"/>
  <c r="CA690" i="39"/>
  <c r="BY691" i="39"/>
  <c r="BZ691" i="39"/>
  <c r="CA691" i="39"/>
  <c r="BY692" i="39"/>
  <c r="BZ692" i="39"/>
  <c r="CA692" i="39"/>
  <c r="BY693" i="39"/>
  <c r="BZ693" i="39"/>
  <c r="CA693" i="39"/>
  <c r="BY694" i="39"/>
  <c r="BZ694" i="39"/>
  <c r="CA694" i="39"/>
  <c r="BY695" i="39"/>
  <c r="BZ695" i="39"/>
  <c r="CA695" i="39"/>
  <c r="BY696" i="39"/>
  <c r="BZ696" i="39"/>
  <c r="CA696" i="39"/>
  <c r="BY697" i="39"/>
  <c r="BZ697" i="39"/>
  <c r="CA697" i="39"/>
  <c r="BY698" i="39"/>
  <c r="BZ698" i="39"/>
  <c r="CA698" i="39"/>
  <c r="BY699" i="39"/>
  <c r="BZ699" i="39"/>
  <c r="CA699" i="39"/>
  <c r="AR702" i="36" l="1"/>
  <c r="AT702" i="36"/>
  <c r="AV702" i="36" s="1"/>
  <c r="AX702" i="36"/>
  <c r="AZ702" i="36" s="1"/>
  <c r="BB702" i="36"/>
  <c r="BD702" i="36" s="1"/>
  <c r="BF702" i="36"/>
  <c r="BH702" i="36" s="1"/>
  <c r="BJ702" i="36"/>
  <c r="BL702" i="36" s="1"/>
  <c r="AR703" i="36"/>
  <c r="AT703" i="36"/>
  <c r="AV703" i="36" s="1"/>
  <c r="AX703" i="36"/>
  <c r="AZ703" i="36" s="1"/>
  <c r="BB703" i="36"/>
  <c r="BD703" i="36" s="1"/>
  <c r="BF703" i="36"/>
  <c r="BH703" i="36" s="1"/>
  <c r="BJ703" i="36"/>
  <c r="BL703" i="36" s="1"/>
  <c r="AR704" i="36"/>
  <c r="AT704" i="36"/>
  <c r="AV704" i="36" s="1"/>
  <c r="AX704" i="36"/>
  <c r="AZ704" i="36" s="1"/>
  <c r="BB704" i="36"/>
  <c r="BD704" i="36" s="1"/>
  <c r="BF704" i="36"/>
  <c r="BH704" i="36" s="1"/>
  <c r="BJ704" i="36"/>
  <c r="BL704" i="36" s="1"/>
  <c r="AR705" i="36"/>
  <c r="AT705" i="36"/>
  <c r="AV705" i="36" s="1"/>
  <c r="AX705" i="36"/>
  <c r="AZ705" i="36" s="1"/>
  <c r="BB705" i="36"/>
  <c r="BD705" i="36" s="1"/>
  <c r="BF705" i="36"/>
  <c r="BH705" i="36" s="1"/>
  <c r="BJ705" i="36"/>
  <c r="BL705" i="36" s="1"/>
  <c r="AR706" i="36"/>
  <c r="AT706" i="36"/>
  <c r="AV706" i="36" s="1"/>
  <c r="AX706" i="36"/>
  <c r="AZ706" i="36" s="1"/>
  <c r="BB706" i="36"/>
  <c r="BD706" i="36" s="1"/>
  <c r="BF706" i="36"/>
  <c r="BH706" i="36" s="1"/>
  <c r="BJ706" i="36"/>
  <c r="BL706" i="36" s="1"/>
  <c r="AR707" i="36"/>
  <c r="AT707" i="36"/>
  <c r="AV707" i="36" s="1"/>
  <c r="AX707" i="36"/>
  <c r="AZ707" i="36" s="1"/>
  <c r="BB707" i="36"/>
  <c r="BD707" i="36" s="1"/>
  <c r="BF707" i="36"/>
  <c r="BH707" i="36" s="1"/>
  <c r="BJ707" i="36"/>
  <c r="BL707" i="36" s="1"/>
  <c r="AR708" i="36"/>
  <c r="AT708" i="36"/>
  <c r="AV708" i="36" s="1"/>
  <c r="AX708" i="36"/>
  <c r="AZ708" i="36" s="1"/>
  <c r="BB708" i="36"/>
  <c r="BD708" i="36" s="1"/>
  <c r="BF708" i="36"/>
  <c r="BH708" i="36" s="1"/>
  <c r="BJ708" i="36"/>
  <c r="BL708" i="36" s="1"/>
  <c r="AR709" i="36"/>
  <c r="AT709" i="36"/>
  <c r="AV709" i="36" s="1"/>
  <c r="AX709" i="36"/>
  <c r="AZ709" i="36" s="1"/>
  <c r="BB709" i="36"/>
  <c r="BD709" i="36" s="1"/>
  <c r="BF709" i="36"/>
  <c r="BH709" i="36" s="1"/>
  <c r="BJ709" i="36"/>
  <c r="BL709" i="36" s="1"/>
  <c r="AR710" i="36"/>
  <c r="AT710" i="36"/>
  <c r="AV710" i="36" s="1"/>
  <c r="AX710" i="36"/>
  <c r="AZ710" i="36" s="1"/>
  <c r="BB710" i="36"/>
  <c r="BD710" i="36" s="1"/>
  <c r="BF710" i="36"/>
  <c r="BH710" i="36" s="1"/>
  <c r="BJ710" i="36"/>
  <c r="BL710" i="36" s="1"/>
  <c r="AR711" i="36"/>
  <c r="AT711" i="36"/>
  <c r="AV711" i="36" s="1"/>
  <c r="AX711" i="36"/>
  <c r="AZ711" i="36" s="1"/>
  <c r="BB711" i="36"/>
  <c r="BD711" i="36" s="1"/>
  <c r="BF711" i="36"/>
  <c r="BH711" i="36" s="1"/>
  <c r="BJ711" i="36"/>
  <c r="BL711" i="36" s="1"/>
  <c r="AR712" i="36"/>
  <c r="AT712" i="36"/>
  <c r="AV712" i="36" s="1"/>
  <c r="AX712" i="36"/>
  <c r="AZ712" i="36" s="1"/>
  <c r="BB712" i="36"/>
  <c r="BD712" i="36" s="1"/>
  <c r="BF712" i="36"/>
  <c r="BH712" i="36" s="1"/>
  <c r="BJ712" i="36"/>
  <c r="BL712" i="36" s="1"/>
  <c r="AR713" i="36"/>
  <c r="AT713" i="36"/>
  <c r="AV713" i="36" s="1"/>
  <c r="AX713" i="36"/>
  <c r="AZ713" i="36" s="1"/>
  <c r="BB713" i="36"/>
  <c r="BD713" i="36" s="1"/>
  <c r="BF713" i="36"/>
  <c r="BH713" i="36" s="1"/>
  <c r="BJ713" i="36"/>
  <c r="BL713" i="36" s="1"/>
  <c r="AR714" i="36"/>
  <c r="AT714" i="36"/>
  <c r="AV714" i="36" s="1"/>
  <c r="AX714" i="36"/>
  <c r="AZ714" i="36" s="1"/>
  <c r="BB714" i="36"/>
  <c r="BD714" i="36" s="1"/>
  <c r="BF714" i="36"/>
  <c r="BH714" i="36" s="1"/>
  <c r="BJ714" i="36"/>
  <c r="BL714" i="36" s="1"/>
  <c r="AR715" i="36"/>
  <c r="AT715" i="36"/>
  <c r="AV715" i="36" s="1"/>
  <c r="AX715" i="36"/>
  <c r="AZ715" i="36" s="1"/>
  <c r="BB715" i="36"/>
  <c r="BD715" i="36" s="1"/>
  <c r="BF715" i="36"/>
  <c r="BH715" i="36" s="1"/>
  <c r="BJ715" i="36"/>
  <c r="BL715" i="36" s="1"/>
  <c r="AR716" i="36"/>
  <c r="AT716" i="36"/>
  <c r="AV716" i="36" s="1"/>
  <c r="AX716" i="36"/>
  <c r="AZ716" i="36" s="1"/>
  <c r="BB716" i="36"/>
  <c r="BD716" i="36" s="1"/>
  <c r="BF716" i="36"/>
  <c r="BH716" i="36" s="1"/>
  <c r="BJ716" i="36"/>
  <c r="BL716" i="36" s="1"/>
  <c r="AR717" i="36"/>
  <c r="AT717" i="36"/>
  <c r="AV717" i="36" s="1"/>
  <c r="AX717" i="36"/>
  <c r="AZ717" i="36" s="1"/>
  <c r="BB717" i="36"/>
  <c r="BD717" i="36" s="1"/>
  <c r="BF717" i="36"/>
  <c r="BH717" i="36" s="1"/>
  <c r="BJ717" i="36"/>
  <c r="BL717" i="36" s="1"/>
  <c r="AR718" i="36"/>
  <c r="AT718" i="36"/>
  <c r="AV718" i="36" s="1"/>
  <c r="AX718" i="36"/>
  <c r="AZ718" i="36" s="1"/>
  <c r="BB718" i="36"/>
  <c r="BD718" i="36" s="1"/>
  <c r="BF718" i="36"/>
  <c r="BH718" i="36" s="1"/>
  <c r="BJ718" i="36"/>
  <c r="BL718" i="36" s="1"/>
  <c r="AR719" i="36"/>
  <c r="AT719" i="36"/>
  <c r="AV719" i="36" s="1"/>
  <c r="AX719" i="36"/>
  <c r="AZ719" i="36" s="1"/>
  <c r="BB719" i="36"/>
  <c r="BD719" i="36" s="1"/>
  <c r="BF719" i="36"/>
  <c r="BH719" i="36" s="1"/>
  <c r="BJ719" i="36"/>
  <c r="BL719" i="36" s="1"/>
  <c r="AR720" i="36"/>
  <c r="AT720" i="36"/>
  <c r="AV720" i="36" s="1"/>
  <c r="AX720" i="36"/>
  <c r="AZ720" i="36" s="1"/>
  <c r="BB720" i="36"/>
  <c r="BD720" i="36" s="1"/>
  <c r="BF720" i="36"/>
  <c r="BH720" i="36" s="1"/>
  <c r="BJ720" i="36"/>
  <c r="BL720" i="36" s="1"/>
  <c r="AR721" i="36"/>
  <c r="AT721" i="36"/>
  <c r="AV721" i="36" s="1"/>
  <c r="AX721" i="36"/>
  <c r="AZ721" i="36" s="1"/>
  <c r="BB721" i="36"/>
  <c r="BD721" i="36" s="1"/>
  <c r="BF721" i="36"/>
  <c r="BH721" i="36" s="1"/>
  <c r="BJ721" i="36"/>
  <c r="BL721" i="36" s="1"/>
  <c r="AR722" i="36"/>
  <c r="AT722" i="36"/>
  <c r="AV722" i="36" s="1"/>
  <c r="AX722" i="36"/>
  <c r="AZ722" i="36" s="1"/>
  <c r="BB722" i="36"/>
  <c r="BD722" i="36" s="1"/>
  <c r="BF722" i="36"/>
  <c r="BH722" i="36" s="1"/>
  <c r="BJ722" i="36"/>
  <c r="BL722" i="36" s="1"/>
  <c r="AR723" i="36"/>
  <c r="AT723" i="36"/>
  <c r="AV723" i="36" s="1"/>
  <c r="AX723" i="36"/>
  <c r="AZ723" i="36" s="1"/>
  <c r="BB723" i="36"/>
  <c r="BD723" i="36" s="1"/>
  <c r="BF723" i="36"/>
  <c r="BH723" i="36" s="1"/>
  <c r="BJ723" i="36"/>
  <c r="BL723" i="36" s="1"/>
  <c r="AR724" i="36"/>
  <c r="AT724" i="36"/>
  <c r="AV724" i="36" s="1"/>
  <c r="AX724" i="36"/>
  <c r="AZ724" i="36" s="1"/>
  <c r="BB724" i="36"/>
  <c r="BD724" i="36" s="1"/>
  <c r="BF724" i="36"/>
  <c r="BH724" i="36" s="1"/>
  <c r="BJ724" i="36"/>
  <c r="BL724" i="36" s="1"/>
  <c r="AR725" i="36"/>
  <c r="AT725" i="36"/>
  <c r="AV725" i="36" s="1"/>
  <c r="AX725" i="36"/>
  <c r="AZ725" i="36" s="1"/>
  <c r="BB725" i="36"/>
  <c r="BD725" i="36" s="1"/>
  <c r="BF725" i="36"/>
  <c r="BH725" i="36" s="1"/>
  <c r="BJ725" i="36"/>
  <c r="BL725" i="36" s="1"/>
  <c r="AR726" i="36"/>
  <c r="AT726" i="36"/>
  <c r="AV726" i="36" s="1"/>
  <c r="AX726" i="36"/>
  <c r="AZ726" i="36" s="1"/>
  <c r="BB726" i="36"/>
  <c r="BD726" i="36" s="1"/>
  <c r="BF726" i="36"/>
  <c r="BH726" i="36" s="1"/>
  <c r="BJ726" i="36"/>
  <c r="BL726" i="36" s="1"/>
  <c r="AR727" i="36"/>
  <c r="AT727" i="36"/>
  <c r="AV727" i="36" s="1"/>
  <c r="AX727" i="36"/>
  <c r="AZ727" i="36" s="1"/>
  <c r="BB727" i="36"/>
  <c r="BD727" i="36" s="1"/>
  <c r="BF727" i="36"/>
  <c r="BH727" i="36" s="1"/>
  <c r="BJ727" i="36"/>
  <c r="BL727" i="36" s="1"/>
  <c r="AR728" i="36"/>
  <c r="AT728" i="36"/>
  <c r="AV728" i="36" s="1"/>
  <c r="AX728" i="36"/>
  <c r="AZ728" i="36" s="1"/>
  <c r="BB728" i="36"/>
  <c r="BD728" i="36" s="1"/>
  <c r="BF728" i="36"/>
  <c r="BH728" i="36" s="1"/>
  <c r="BJ728" i="36"/>
  <c r="BL728" i="36" s="1"/>
  <c r="AR729" i="36"/>
  <c r="AT729" i="36"/>
  <c r="AV729" i="36" s="1"/>
  <c r="AX729" i="36"/>
  <c r="AZ729" i="36" s="1"/>
  <c r="BB729" i="36"/>
  <c r="BD729" i="36" s="1"/>
  <c r="BF729" i="36"/>
  <c r="BH729" i="36" s="1"/>
  <c r="BJ729" i="36"/>
  <c r="BL729" i="36" s="1"/>
  <c r="AR730" i="36"/>
  <c r="AT730" i="36"/>
  <c r="AV730" i="36" s="1"/>
  <c r="AX730" i="36"/>
  <c r="AZ730" i="36" s="1"/>
  <c r="BB730" i="36"/>
  <c r="BD730" i="36" s="1"/>
  <c r="BF730" i="36"/>
  <c r="BH730" i="36" s="1"/>
  <c r="BJ730" i="36"/>
  <c r="BL730" i="36" s="1"/>
  <c r="AR731" i="36"/>
  <c r="AT731" i="36"/>
  <c r="AV731" i="36" s="1"/>
  <c r="AX731" i="36"/>
  <c r="AZ731" i="36" s="1"/>
  <c r="BB731" i="36"/>
  <c r="BD731" i="36" s="1"/>
  <c r="BF731" i="36"/>
  <c r="BH731" i="36" s="1"/>
  <c r="BJ731" i="36"/>
  <c r="BL731" i="36" s="1"/>
  <c r="AR732" i="36"/>
  <c r="AT732" i="36"/>
  <c r="AV732" i="36" s="1"/>
  <c r="AX732" i="36"/>
  <c r="AZ732" i="36" s="1"/>
  <c r="BB732" i="36"/>
  <c r="BD732" i="36" s="1"/>
  <c r="BF732" i="36"/>
  <c r="BH732" i="36" s="1"/>
  <c r="BJ732" i="36"/>
  <c r="BL732" i="36" s="1"/>
  <c r="AR733" i="36"/>
  <c r="AT733" i="36"/>
  <c r="AV733" i="36" s="1"/>
  <c r="AX733" i="36"/>
  <c r="AZ733" i="36" s="1"/>
  <c r="BB733" i="36"/>
  <c r="BD733" i="36" s="1"/>
  <c r="BF733" i="36"/>
  <c r="BH733" i="36" s="1"/>
  <c r="BJ733" i="36"/>
  <c r="BL733" i="36" s="1"/>
  <c r="AR734" i="36"/>
  <c r="AT734" i="36"/>
  <c r="AV734" i="36" s="1"/>
  <c r="AX734" i="36"/>
  <c r="AZ734" i="36" s="1"/>
  <c r="BB734" i="36"/>
  <c r="BD734" i="36" s="1"/>
  <c r="BF734" i="36"/>
  <c r="BH734" i="36" s="1"/>
  <c r="BJ734" i="36"/>
  <c r="BL734" i="36" s="1"/>
  <c r="AR735" i="36"/>
  <c r="AT735" i="36"/>
  <c r="AV735" i="36" s="1"/>
  <c r="AX735" i="36"/>
  <c r="AZ735" i="36" s="1"/>
  <c r="BB735" i="36"/>
  <c r="BD735" i="36" s="1"/>
  <c r="BF735" i="36"/>
  <c r="BH735" i="36" s="1"/>
  <c r="BJ735" i="36"/>
  <c r="BL735" i="36" s="1"/>
  <c r="AR736" i="36"/>
  <c r="AT736" i="36"/>
  <c r="AV736" i="36" s="1"/>
  <c r="AX736" i="36"/>
  <c r="AZ736" i="36" s="1"/>
  <c r="BB736" i="36"/>
  <c r="BD736" i="36" s="1"/>
  <c r="BF736" i="36"/>
  <c r="BH736" i="36" s="1"/>
  <c r="BJ736" i="36"/>
  <c r="BL736" i="36" s="1"/>
  <c r="AR737" i="36"/>
  <c r="AT737" i="36"/>
  <c r="AV737" i="36" s="1"/>
  <c r="AX737" i="36"/>
  <c r="AZ737" i="36" s="1"/>
  <c r="BB737" i="36"/>
  <c r="BD737" i="36" s="1"/>
  <c r="BF737" i="36"/>
  <c r="BH737" i="36" s="1"/>
  <c r="BJ737" i="36"/>
  <c r="BL737" i="36" s="1"/>
  <c r="AR738" i="36"/>
  <c r="AT738" i="36"/>
  <c r="AV738" i="36" s="1"/>
  <c r="AX738" i="36"/>
  <c r="AZ738" i="36" s="1"/>
  <c r="BB738" i="36"/>
  <c r="BD738" i="36" s="1"/>
  <c r="BF738" i="36"/>
  <c r="BH738" i="36" s="1"/>
  <c r="BJ738" i="36"/>
  <c r="BL738" i="36" s="1"/>
  <c r="AR739" i="36"/>
  <c r="AT739" i="36"/>
  <c r="AV739" i="36" s="1"/>
  <c r="AX739" i="36"/>
  <c r="AZ739" i="36" s="1"/>
  <c r="BB739" i="36"/>
  <c r="BD739" i="36" s="1"/>
  <c r="BF739" i="36"/>
  <c r="BH739" i="36" s="1"/>
  <c r="BJ739" i="36"/>
  <c r="BL739" i="36" s="1"/>
  <c r="AR740" i="36"/>
  <c r="AT740" i="36"/>
  <c r="AV740" i="36" s="1"/>
  <c r="AX740" i="36"/>
  <c r="AZ740" i="36" s="1"/>
  <c r="BB740" i="36"/>
  <c r="BD740" i="36" s="1"/>
  <c r="BF740" i="36"/>
  <c r="BH740" i="36" s="1"/>
  <c r="BJ740" i="36"/>
  <c r="BL740" i="36" s="1"/>
  <c r="AR741" i="36"/>
  <c r="AT741" i="36"/>
  <c r="AV741" i="36" s="1"/>
  <c r="AX741" i="36"/>
  <c r="AZ741" i="36" s="1"/>
  <c r="BB741" i="36"/>
  <c r="BD741" i="36" s="1"/>
  <c r="BF741" i="36"/>
  <c r="BH741" i="36" s="1"/>
  <c r="BJ741" i="36"/>
  <c r="BL741" i="36" s="1"/>
  <c r="AR742" i="36"/>
  <c r="AT742" i="36"/>
  <c r="AV742" i="36" s="1"/>
  <c r="AX742" i="36"/>
  <c r="AZ742" i="36" s="1"/>
  <c r="BB742" i="36"/>
  <c r="BD742" i="36" s="1"/>
  <c r="BF742" i="36"/>
  <c r="BH742" i="36" s="1"/>
  <c r="BJ742" i="36"/>
  <c r="BL742" i="36" s="1"/>
  <c r="AR743" i="36"/>
  <c r="AT743" i="36"/>
  <c r="AV743" i="36" s="1"/>
  <c r="AX743" i="36"/>
  <c r="AZ743" i="36" s="1"/>
  <c r="BB743" i="36"/>
  <c r="BD743" i="36" s="1"/>
  <c r="BF743" i="36"/>
  <c r="BH743" i="36" s="1"/>
  <c r="BJ743" i="36"/>
  <c r="BL743" i="36" s="1"/>
  <c r="AR744" i="36"/>
  <c r="AT744" i="36"/>
  <c r="AV744" i="36" s="1"/>
  <c r="AX744" i="36"/>
  <c r="AZ744" i="36" s="1"/>
  <c r="BB744" i="36"/>
  <c r="BD744" i="36" s="1"/>
  <c r="BF744" i="36"/>
  <c r="BH744" i="36" s="1"/>
  <c r="BJ744" i="36"/>
  <c r="BL744" i="36" s="1"/>
  <c r="AR745" i="36"/>
  <c r="AT745" i="36"/>
  <c r="AV745" i="36" s="1"/>
  <c r="AX745" i="36"/>
  <c r="AZ745" i="36" s="1"/>
  <c r="BB745" i="36"/>
  <c r="BD745" i="36" s="1"/>
  <c r="BF745" i="36"/>
  <c r="BH745" i="36" s="1"/>
  <c r="BJ745" i="36"/>
  <c r="BL745" i="36" s="1"/>
  <c r="AR746" i="36"/>
  <c r="AT746" i="36"/>
  <c r="AV746" i="36" s="1"/>
  <c r="AX746" i="36"/>
  <c r="AZ746" i="36" s="1"/>
  <c r="BB746" i="36"/>
  <c r="BD746" i="36" s="1"/>
  <c r="BF746" i="36"/>
  <c r="BH746" i="36" s="1"/>
  <c r="BJ746" i="36"/>
  <c r="BL746" i="36" s="1"/>
  <c r="AR747" i="36"/>
  <c r="AT747" i="36"/>
  <c r="AV747" i="36" s="1"/>
  <c r="AX747" i="36"/>
  <c r="AZ747" i="36" s="1"/>
  <c r="BB747" i="36"/>
  <c r="BD747" i="36" s="1"/>
  <c r="BF747" i="36"/>
  <c r="BH747" i="36" s="1"/>
  <c r="BJ747" i="36"/>
  <c r="BL747" i="36" s="1"/>
  <c r="AR748" i="36"/>
  <c r="AT748" i="36"/>
  <c r="AV748" i="36" s="1"/>
  <c r="AX748" i="36"/>
  <c r="AZ748" i="36" s="1"/>
  <c r="BB748" i="36"/>
  <c r="BD748" i="36" s="1"/>
  <c r="BF748" i="36"/>
  <c r="BH748" i="36" s="1"/>
  <c r="BJ748" i="36"/>
  <c r="BL748" i="36" s="1"/>
  <c r="AR749" i="36"/>
  <c r="AT749" i="36"/>
  <c r="AV749" i="36" s="1"/>
  <c r="AX749" i="36"/>
  <c r="AZ749" i="36" s="1"/>
  <c r="BB749" i="36"/>
  <c r="BD749" i="36" s="1"/>
  <c r="BF749" i="36"/>
  <c r="BH749" i="36" s="1"/>
  <c r="BJ749" i="36"/>
  <c r="BL749" i="36" s="1"/>
  <c r="AR750" i="36"/>
  <c r="AT750" i="36"/>
  <c r="AV750" i="36" s="1"/>
  <c r="AX750" i="36"/>
  <c r="AZ750" i="36" s="1"/>
  <c r="BB750" i="36"/>
  <c r="BD750" i="36" s="1"/>
  <c r="BF750" i="36"/>
  <c r="BH750" i="36" s="1"/>
  <c r="BJ750" i="36"/>
  <c r="BL750" i="36" s="1"/>
  <c r="AR751" i="36"/>
  <c r="AT751" i="36"/>
  <c r="AV751" i="36" s="1"/>
  <c r="AX751" i="36"/>
  <c r="AZ751" i="36" s="1"/>
  <c r="BB751" i="36"/>
  <c r="BD751" i="36" s="1"/>
  <c r="BF751" i="36"/>
  <c r="BH751" i="36" s="1"/>
  <c r="BJ751" i="36"/>
  <c r="BL751" i="36" s="1"/>
  <c r="AR752" i="36"/>
  <c r="AT752" i="36"/>
  <c r="AV752" i="36" s="1"/>
  <c r="AX752" i="36"/>
  <c r="AZ752" i="36" s="1"/>
  <c r="BB752" i="36"/>
  <c r="BD752" i="36" s="1"/>
  <c r="BF752" i="36"/>
  <c r="BH752" i="36" s="1"/>
  <c r="BJ752" i="36"/>
  <c r="BL752" i="36" s="1"/>
  <c r="AR753" i="36"/>
  <c r="AT753" i="36"/>
  <c r="AV753" i="36" s="1"/>
  <c r="AX753" i="36"/>
  <c r="AZ753" i="36" s="1"/>
  <c r="BB753" i="36"/>
  <c r="BD753" i="36" s="1"/>
  <c r="BF753" i="36"/>
  <c r="BH753" i="36" s="1"/>
  <c r="BJ753" i="36"/>
  <c r="BL753" i="36" s="1"/>
  <c r="AR754" i="36"/>
  <c r="AT754" i="36"/>
  <c r="AV754" i="36" s="1"/>
  <c r="AX754" i="36"/>
  <c r="AZ754" i="36" s="1"/>
  <c r="BB754" i="36"/>
  <c r="BD754" i="36" s="1"/>
  <c r="BF754" i="36"/>
  <c r="BH754" i="36" s="1"/>
  <c r="BJ754" i="36"/>
  <c r="BL754" i="36" s="1"/>
  <c r="AR755" i="36"/>
  <c r="AT755" i="36"/>
  <c r="AV755" i="36" s="1"/>
  <c r="AX755" i="36"/>
  <c r="AZ755" i="36" s="1"/>
  <c r="BB755" i="36"/>
  <c r="BD755" i="36" s="1"/>
  <c r="BF755" i="36"/>
  <c r="BH755" i="36" s="1"/>
  <c r="BJ755" i="36"/>
  <c r="BL755" i="36" s="1"/>
  <c r="AR756" i="36"/>
  <c r="AT756" i="36"/>
  <c r="AV756" i="36" s="1"/>
  <c r="AX756" i="36"/>
  <c r="AZ756" i="36" s="1"/>
  <c r="BB756" i="36"/>
  <c r="BD756" i="36" s="1"/>
  <c r="BF756" i="36"/>
  <c r="BH756" i="36" s="1"/>
  <c r="BJ756" i="36"/>
  <c r="BL756" i="36" s="1"/>
  <c r="AR757" i="36"/>
  <c r="AT757" i="36"/>
  <c r="AV757" i="36" s="1"/>
  <c r="AX757" i="36"/>
  <c r="AZ757" i="36" s="1"/>
  <c r="BB757" i="36"/>
  <c r="BD757" i="36" s="1"/>
  <c r="BF757" i="36"/>
  <c r="BH757" i="36" s="1"/>
  <c r="BJ757" i="36"/>
  <c r="BL757" i="36" s="1"/>
  <c r="AR758" i="36"/>
  <c r="AT758" i="36"/>
  <c r="AV758" i="36" s="1"/>
  <c r="AX758" i="36"/>
  <c r="AZ758" i="36" s="1"/>
  <c r="BB758" i="36"/>
  <c r="BD758" i="36" s="1"/>
  <c r="BF758" i="36"/>
  <c r="BH758" i="36" s="1"/>
  <c r="BJ758" i="36"/>
  <c r="BL758" i="36" s="1"/>
  <c r="AR759" i="36"/>
  <c r="AT759" i="36"/>
  <c r="AV759" i="36" s="1"/>
  <c r="AX759" i="36"/>
  <c r="AZ759" i="36" s="1"/>
  <c r="BB759" i="36"/>
  <c r="BD759" i="36" s="1"/>
  <c r="BF759" i="36"/>
  <c r="BH759" i="36" s="1"/>
  <c r="BJ759" i="36"/>
  <c r="BL759" i="36" s="1"/>
  <c r="AR760" i="36"/>
  <c r="AT760" i="36"/>
  <c r="AV760" i="36" s="1"/>
  <c r="AX760" i="36"/>
  <c r="AZ760" i="36" s="1"/>
  <c r="BB760" i="36"/>
  <c r="BD760" i="36" s="1"/>
  <c r="BF760" i="36"/>
  <c r="BH760" i="36" s="1"/>
  <c r="BJ760" i="36"/>
  <c r="BL760" i="36" s="1"/>
  <c r="AR761" i="36"/>
  <c r="AT761" i="36"/>
  <c r="AV761" i="36" s="1"/>
  <c r="AX761" i="36"/>
  <c r="AZ761" i="36" s="1"/>
  <c r="BB761" i="36"/>
  <c r="BD761" i="36" s="1"/>
  <c r="BF761" i="36"/>
  <c r="BH761" i="36" s="1"/>
  <c r="BJ761" i="36"/>
  <c r="BL761" i="36" s="1"/>
  <c r="AR762" i="36"/>
  <c r="AT762" i="36"/>
  <c r="AV762" i="36" s="1"/>
  <c r="AX762" i="36"/>
  <c r="AZ762" i="36" s="1"/>
  <c r="BB762" i="36"/>
  <c r="BD762" i="36" s="1"/>
  <c r="BF762" i="36"/>
  <c r="BH762" i="36" s="1"/>
  <c r="BJ762" i="36"/>
  <c r="BL762" i="36" s="1"/>
  <c r="AR763" i="36"/>
  <c r="AT763" i="36"/>
  <c r="AV763" i="36" s="1"/>
  <c r="AX763" i="36"/>
  <c r="AZ763" i="36" s="1"/>
  <c r="BB763" i="36"/>
  <c r="BD763" i="36" s="1"/>
  <c r="BF763" i="36"/>
  <c r="BH763" i="36" s="1"/>
  <c r="BJ763" i="36"/>
  <c r="BL763" i="36" s="1"/>
  <c r="AR764" i="36"/>
  <c r="AT764" i="36"/>
  <c r="AV764" i="36" s="1"/>
  <c r="AX764" i="36"/>
  <c r="AZ764" i="36" s="1"/>
  <c r="BB764" i="36"/>
  <c r="BD764" i="36" s="1"/>
  <c r="BF764" i="36"/>
  <c r="BH764" i="36" s="1"/>
  <c r="BJ764" i="36"/>
  <c r="BL764" i="36" s="1"/>
  <c r="AR765" i="36"/>
  <c r="AT765" i="36"/>
  <c r="AV765" i="36" s="1"/>
  <c r="AX765" i="36"/>
  <c r="AZ765" i="36" s="1"/>
  <c r="BB765" i="36"/>
  <c r="BD765" i="36" s="1"/>
  <c r="BF765" i="36"/>
  <c r="BH765" i="36" s="1"/>
  <c r="BJ765" i="36"/>
  <c r="BL765" i="36" s="1"/>
  <c r="AR766" i="36"/>
  <c r="AT766" i="36"/>
  <c r="AV766" i="36" s="1"/>
  <c r="AX766" i="36"/>
  <c r="AZ766" i="36" s="1"/>
  <c r="BB766" i="36"/>
  <c r="BD766" i="36" s="1"/>
  <c r="BF766" i="36"/>
  <c r="BH766" i="36" s="1"/>
  <c r="BJ766" i="36"/>
  <c r="BL766" i="36" s="1"/>
  <c r="AR767" i="36"/>
  <c r="AT767" i="36"/>
  <c r="AV767" i="36" s="1"/>
  <c r="AX767" i="36"/>
  <c r="AZ767" i="36" s="1"/>
  <c r="BB767" i="36"/>
  <c r="BD767" i="36" s="1"/>
  <c r="BF767" i="36"/>
  <c r="BH767" i="36" s="1"/>
  <c r="BJ767" i="36"/>
  <c r="BL767" i="36" s="1"/>
  <c r="AR768" i="36"/>
  <c r="AT768" i="36"/>
  <c r="AV768" i="36" s="1"/>
  <c r="AX768" i="36"/>
  <c r="AZ768" i="36" s="1"/>
  <c r="BB768" i="36"/>
  <c r="BD768" i="36" s="1"/>
  <c r="BF768" i="36"/>
  <c r="BH768" i="36" s="1"/>
  <c r="BJ768" i="36"/>
  <c r="BL768" i="36" s="1"/>
  <c r="AR769" i="36"/>
  <c r="AT769" i="36"/>
  <c r="AV769" i="36" s="1"/>
  <c r="AX769" i="36"/>
  <c r="AZ769" i="36" s="1"/>
  <c r="BB769" i="36"/>
  <c r="BD769" i="36" s="1"/>
  <c r="BF769" i="36"/>
  <c r="BH769" i="36" s="1"/>
  <c r="BJ769" i="36"/>
  <c r="BL769" i="36" s="1"/>
  <c r="AR770" i="36"/>
  <c r="AT770" i="36"/>
  <c r="AV770" i="36" s="1"/>
  <c r="AX770" i="36"/>
  <c r="AZ770" i="36" s="1"/>
  <c r="BB770" i="36"/>
  <c r="BD770" i="36" s="1"/>
  <c r="BF770" i="36"/>
  <c r="BH770" i="36" s="1"/>
  <c r="BJ770" i="36"/>
  <c r="BL770" i="36" s="1"/>
  <c r="AR771" i="36"/>
  <c r="AT771" i="36"/>
  <c r="AV771" i="36" s="1"/>
  <c r="AX771" i="36"/>
  <c r="AZ771" i="36" s="1"/>
  <c r="BB771" i="36"/>
  <c r="BD771" i="36" s="1"/>
  <c r="BF771" i="36"/>
  <c r="BH771" i="36" s="1"/>
  <c r="BJ771" i="36"/>
  <c r="BL771" i="36" s="1"/>
  <c r="AR772" i="36"/>
  <c r="AT772" i="36"/>
  <c r="AV772" i="36" s="1"/>
  <c r="AX772" i="36"/>
  <c r="AZ772" i="36" s="1"/>
  <c r="BB772" i="36"/>
  <c r="BD772" i="36" s="1"/>
  <c r="BF772" i="36"/>
  <c r="BH772" i="36" s="1"/>
  <c r="BJ772" i="36"/>
  <c r="BL772" i="36" s="1"/>
  <c r="AR773" i="36"/>
  <c r="AT773" i="36"/>
  <c r="AV773" i="36" s="1"/>
  <c r="AX773" i="36"/>
  <c r="AZ773" i="36" s="1"/>
  <c r="BB773" i="36"/>
  <c r="BD773" i="36" s="1"/>
  <c r="BF773" i="36"/>
  <c r="BH773" i="36" s="1"/>
  <c r="BJ773" i="36"/>
  <c r="BL773" i="36" s="1"/>
  <c r="AR774" i="36"/>
  <c r="AT774" i="36"/>
  <c r="AV774" i="36" s="1"/>
  <c r="AX774" i="36"/>
  <c r="AZ774" i="36" s="1"/>
  <c r="BB774" i="36"/>
  <c r="BD774" i="36" s="1"/>
  <c r="BF774" i="36"/>
  <c r="BH774" i="36" s="1"/>
  <c r="BJ774" i="36"/>
  <c r="BL774" i="36" s="1"/>
  <c r="AR775" i="36"/>
  <c r="AT775" i="36"/>
  <c r="AV775" i="36" s="1"/>
  <c r="AX775" i="36"/>
  <c r="AZ775" i="36" s="1"/>
  <c r="BB775" i="36"/>
  <c r="BD775" i="36" s="1"/>
  <c r="BF775" i="36"/>
  <c r="BH775" i="36" s="1"/>
  <c r="BJ775" i="36"/>
  <c r="BL775" i="36" s="1"/>
  <c r="AR776" i="36"/>
  <c r="AT776" i="36"/>
  <c r="AV776" i="36" s="1"/>
  <c r="AX776" i="36"/>
  <c r="AZ776" i="36" s="1"/>
  <c r="BB776" i="36"/>
  <c r="BD776" i="36" s="1"/>
  <c r="BF776" i="36"/>
  <c r="BH776" i="36" s="1"/>
  <c r="BJ776" i="36"/>
  <c r="BL776" i="36" s="1"/>
  <c r="AR777" i="36"/>
  <c r="AT777" i="36"/>
  <c r="AV777" i="36" s="1"/>
  <c r="AX777" i="36"/>
  <c r="AZ777" i="36" s="1"/>
  <c r="BB777" i="36"/>
  <c r="BD777" i="36" s="1"/>
  <c r="BF777" i="36"/>
  <c r="BH777" i="36" s="1"/>
  <c r="BJ777" i="36"/>
  <c r="BL777" i="36" s="1"/>
  <c r="AR778" i="36"/>
  <c r="AT778" i="36"/>
  <c r="AV778" i="36" s="1"/>
  <c r="AX778" i="36"/>
  <c r="AZ778" i="36" s="1"/>
  <c r="BB778" i="36"/>
  <c r="BD778" i="36" s="1"/>
  <c r="BF778" i="36"/>
  <c r="BH778" i="36" s="1"/>
  <c r="BJ778" i="36"/>
  <c r="BL778" i="36" s="1"/>
  <c r="AR779" i="36"/>
  <c r="AT779" i="36"/>
  <c r="AV779" i="36" s="1"/>
  <c r="AX779" i="36"/>
  <c r="AZ779" i="36" s="1"/>
  <c r="BB779" i="36"/>
  <c r="BD779" i="36" s="1"/>
  <c r="BF779" i="36"/>
  <c r="BH779" i="36" s="1"/>
  <c r="BJ779" i="36"/>
  <c r="BL779" i="36" s="1"/>
  <c r="AR780" i="36"/>
  <c r="AT780" i="36"/>
  <c r="AV780" i="36" s="1"/>
  <c r="AX780" i="36"/>
  <c r="AZ780" i="36" s="1"/>
  <c r="BB780" i="36"/>
  <c r="BD780" i="36" s="1"/>
  <c r="BF780" i="36"/>
  <c r="BH780" i="36" s="1"/>
  <c r="BJ780" i="36"/>
  <c r="BL780" i="36" s="1"/>
  <c r="AR781" i="36"/>
  <c r="AT781" i="36"/>
  <c r="AV781" i="36" s="1"/>
  <c r="AX781" i="36"/>
  <c r="AZ781" i="36" s="1"/>
  <c r="BB781" i="36"/>
  <c r="BD781" i="36" s="1"/>
  <c r="BF781" i="36"/>
  <c r="BH781" i="36" s="1"/>
  <c r="BJ781" i="36"/>
  <c r="BL781" i="36" s="1"/>
  <c r="AR782" i="36"/>
  <c r="AT782" i="36"/>
  <c r="AV782" i="36" s="1"/>
  <c r="AX782" i="36"/>
  <c r="AZ782" i="36" s="1"/>
  <c r="BB782" i="36"/>
  <c r="BD782" i="36" s="1"/>
  <c r="BF782" i="36"/>
  <c r="BH782" i="36" s="1"/>
  <c r="BJ782" i="36"/>
  <c r="BL782" i="36" s="1"/>
  <c r="AR783" i="36"/>
  <c r="AT783" i="36"/>
  <c r="AV783" i="36" s="1"/>
  <c r="AX783" i="36"/>
  <c r="AZ783" i="36" s="1"/>
  <c r="BB783" i="36"/>
  <c r="BD783" i="36" s="1"/>
  <c r="BF783" i="36"/>
  <c r="BH783" i="36" s="1"/>
  <c r="BJ783" i="36"/>
  <c r="BL783" i="36" s="1"/>
  <c r="AR784" i="36"/>
  <c r="AT784" i="36"/>
  <c r="AV784" i="36" s="1"/>
  <c r="AX784" i="36"/>
  <c r="AZ784" i="36" s="1"/>
  <c r="BB784" i="36"/>
  <c r="BD784" i="36" s="1"/>
  <c r="BF784" i="36"/>
  <c r="BH784" i="36" s="1"/>
  <c r="BJ784" i="36"/>
  <c r="BL784" i="36" s="1"/>
  <c r="AR785" i="36"/>
  <c r="AT785" i="36"/>
  <c r="AV785" i="36" s="1"/>
  <c r="AX785" i="36"/>
  <c r="AZ785" i="36" s="1"/>
  <c r="BB785" i="36"/>
  <c r="BD785" i="36" s="1"/>
  <c r="BF785" i="36"/>
  <c r="BH785" i="36" s="1"/>
  <c r="BJ785" i="36"/>
  <c r="BL785" i="36" s="1"/>
  <c r="AR786" i="36"/>
  <c r="AT786" i="36"/>
  <c r="AV786" i="36" s="1"/>
  <c r="AX786" i="36"/>
  <c r="AZ786" i="36" s="1"/>
  <c r="BB786" i="36"/>
  <c r="BD786" i="36" s="1"/>
  <c r="BF786" i="36"/>
  <c r="BH786" i="36" s="1"/>
  <c r="BJ786" i="36"/>
  <c r="BL786" i="36" s="1"/>
  <c r="AR787" i="36"/>
  <c r="AT787" i="36"/>
  <c r="AV787" i="36" s="1"/>
  <c r="AX787" i="36"/>
  <c r="AZ787" i="36" s="1"/>
  <c r="BB787" i="36"/>
  <c r="BD787" i="36" s="1"/>
  <c r="BF787" i="36"/>
  <c r="BH787" i="36" s="1"/>
  <c r="BJ787" i="36"/>
  <c r="BL787" i="36" s="1"/>
  <c r="AR788" i="36"/>
  <c r="AT788" i="36"/>
  <c r="AV788" i="36" s="1"/>
  <c r="AX788" i="36"/>
  <c r="AZ788" i="36" s="1"/>
  <c r="BB788" i="36"/>
  <c r="BD788" i="36" s="1"/>
  <c r="BF788" i="36"/>
  <c r="BH788" i="36" s="1"/>
  <c r="BJ788" i="36"/>
  <c r="BL788" i="36" s="1"/>
  <c r="AR789" i="36"/>
  <c r="AT789" i="36"/>
  <c r="AV789" i="36" s="1"/>
  <c r="AX789" i="36"/>
  <c r="AZ789" i="36" s="1"/>
  <c r="BB789" i="36"/>
  <c r="BD789" i="36" s="1"/>
  <c r="BF789" i="36"/>
  <c r="BH789" i="36" s="1"/>
  <c r="BJ789" i="36"/>
  <c r="BL789" i="36" s="1"/>
  <c r="AR790" i="36"/>
  <c r="AT790" i="36"/>
  <c r="AV790" i="36" s="1"/>
  <c r="AX790" i="36"/>
  <c r="AZ790" i="36" s="1"/>
  <c r="BB790" i="36"/>
  <c r="BD790" i="36" s="1"/>
  <c r="BF790" i="36"/>
  <c r="BH790" i="36" s="1"/>
  <c r="BJ790" i="36"/>
  <c r="BL790" i="36" s="1"/>
  <c r="AR791" i="36"/>
  <c r="AT791" i="36"/>
  <c r="AV791" i="36" s="1"/>
  <c r="AX791" i="36"/>
  <c r="AZ791" i="36" s="1"/>
  <c r="BB791" i="36"/>
  <c r="BD791" i="36" s="1"/>
  <c r="BF791" i="36"/>
  <c r="BH791" i="36" s="1"/>
  <c r="BJ791" i="36"/>
  <c r="BL791" i="36" s="1"/>
  <c r="AR792" i="36"/>
  <c r="AT792" i="36"/>
  <c r="AV792" i="36" s="1"/>
  <c r="AX792" i="36"/>
  <c r="AZ792" i="36" s="1"/>
  <c r="BB792" i="36"/>
  <c r="BD792" i="36" s="1"/>
  <c r="BF792" i="36"/>
  <c r="BH792" i="36" s="1"/>
  <c r="BJ792" i="36"/>
  <c r="BL792" i="36" s="1"/>
  <c r="AR793" i="36"/>
  <c r="AT793" i="36"/>
  <c r="AV793" i="36" s="1"/>
  <c r="AX793" i="36"/>
  <c r="AZ793" i="36" s="1"/>
  <c r="BB793" i="36"/>
  <c r="BD793" i="36" s="1"/>
  <c r="BF793" i="36"/>
  <c r="BH793" i="36" s="1"/>
  <c r="BJ793" i="36"/>
  <c r="BL793" i="36" s="1"/>
  <c r="AR794" i="36"/>
  <c r="AT794" i="36"/>
  <c r="AV794" i="36" s="1"/>
  <c r="AX794" i="36"/>
  <c r="AZ794" i="36" s="1"/>
  <c r="BB794" i="36"/>
  <c r="BD794" i="36" s="1"/>
  <c r="BF794" i="36"/>
  <c r="BH794" i="36" s="1"/>
  <c r="BJ794" i="36"/>
  <c r="BL794" i="36" s="1"/>
  <c r="AR795" i="36"/>
  <c r="AT795" i="36"/>
  <c r="AV795" i="36" s="1"/>
  <c r="AX795" i="36"/>
  <c r="AZ795" i="36" s="1"/>
  <c r="BB795" i="36"/>
  <c r="BD795" i="36" s="1"/>
  <c r="BF795" i="36"/>
  <c r="BH795" i="36" s="1"/>
  <c r="BJ795" i="36"/>
  <c r="BL795" i="36" s="1"/>
  <c r="AR796" i="36"/>
  <c r="AT796" i="36"/>
  <c r="AV796" i="36" s="1"/>
  <c r="AX796" i="36"/>
  <c r="AZ796" i="36" s="1"/>
  <c r="BB796" i="36"/>
  <c r="BD796" i="36" s="1"/>
  <c r="BF796" i="36"/>
  <c r="BH796" i="36" s="1"/>
  <c r="BJ796" i="36"/>
  <c r="BL796" i="36" s="1"/>
  <c r="AR797" i="36"/>
  <c r="AT797" i="36"/>
  <c r="AV797" i="36" s="1"/>
  <c r="AX797" i="36"/>
  <c r="AZ797" i="36" s="1"/>
  <c r="BB797" i="36"/>
  <c r="BD797" i="36" s="1"/>
  <c r="BF797" i="36"/>
  <c r="BH797" i="36" s="1"/>
  <c r="BJ797" i="36"/>
  <c r="BL797" i="36" s="1"/>
  <c r="AR798" i="36"/>
  <c r="AT798" i="36"/>
  <c r="AV798" i="36" s="1"/>
  <c r="AX798" i="36"/>
  <c r="AZ798" i="36" s="1"/>
  <c r="BB798" i="36"/>
  <c r="BD798" i="36" s="1"/>
  <c r="BF798" i="36"/>
  <c r="BH798" i="36" s="1"/>
  <c r="BJ798" i="36"/>
  <c r="BL798" i="36" s="1"/>
  <c r="AR799" i="36"/>
  <c r="AT799" i="36"/>
  <c r="AV799" i="36" s="1"/>
  <c r="AX799" i="36"/>
  <c r="AZ799" i="36" s="1"/>
  <c r="BB799" i="36"/>
  <c r="BD799" i="36" s="1"/>
  <c r="BF799" i="36"/>
  <c r="BH799" i="36" s="1"/>
  <c r="BJ799" i="36"/>
  <c r="BL799" i="36" s="1"/>
  <c r="AR800" i="36"/>
  <c r="AT800" i="36"/>
  <c r="AV800" i="36" s="1"/>
  <c r="AX800" i="36"/>
  <c r="AZ800" i="36" s="1"/>
  <c r="BB800" i="36"/>
  <c r="BD800" i="36" s="1"/>
  <c r="BF800" i="36"/>
  <c r="BH800" i="36" s="1"/>
  <c r="BJ800" i="36"/>
  <c r="BL800" i="36" s="1"/>
  <c r="AR801" i="36"/>
  <c r="AT801" i="36"/>
  <c r="AV801" i="36" s="1"/>
  <c r="AX801" i="36"/>
  <c r="AZ801" i="36" s="1"/>
  <c r="BB801" i="36"/>
  <c r="BD801" i="36" s="1"/>
  <c r="BF801" i="36"/>
  <c r="BH801" i="36" s="1"/>
  <c r="BJ801" i="36"/>
  <c r="BL801" i="36" s="1"/>
  <c r="AR802" i="36"/>
  <c r="AT802" i="36"/>
  <c r="AV802" i="36" s="1"/>
  <c r="AX802" i="36"/>
  <c r="AZ802" i="36" s="1"/>
  <c r="BB802" i="36"/>
  <c r="BD802" i="36" s="1"/>
  <c r="BF802" i="36"/>
  <c r="BH802" i="36" s="1"/>
  <c r="BJ802" i="36"/>
  <c r="BL802" i="36" s="1"/>
  <c r="AR803" i="36"/>
  <c r="AT803" i="36"/>
  <c r="AV803" i="36" s="1"/>
  <c r="AX803" i="36"/>
  <c r="AZ803" i="36" s="1"/>
  <c r="BB803" i="36"/>
  <c r="BD803" i="36" s="1"/>
  <c r="BF803" i="36"/>
  <c r="BH803" i="36" s="1"/>
  <c r="BJ803" i="36"/>
  <c r="BL803" i="36" s="1"/>
  <c r="AR804" i="36"/>
  <c r="AT804" i="36"/>
  <c r="AV804" i="36" s="1"/>
  <c r="AX804" i="36"/>
  <c r="AZ804" i="36" s="1"/>
  <c r="BB804" i="36"/>
  <c r="BD804" i="36" s="1"/>
  <c r="BF804" i="36"/>
  <c r="BH804" i="36" s="1"/>
  <c r="BJ804" i="36"/>
  <c r="BL804" i="36" s="1"/>
  <c r="AR805" i="36"/>
  <c r="AT805" i="36"/>
  <c r="AV805" i="36" s="1"/>
  <c r="AX805" i="36"/>
  <c r="AZ805" i="36" s="1"/>
  <c r="BB805" i="36"/>
  <c r="BD805" i="36" s="1"/>
  <c r="BF805" i="36"/>
  <c r="BH805" i="36" s="1"/>
  <c r="BJ805" i="36"/>
  <c r="BL805" i="36" s="1"/>
  <c r="AR806" i="36"/>
  <c r="AT806" i="36"/>
  <c r="AV806" i="36" s="1"/>
  <c r="AX806" i="36"/>
  <c r="AZ806" i="36" s="1"/>
  <c r="BB806" i="36"/>
  <c r="BD806" i="36" s="1"/>
  <c r="BF806" i="36"/>
  <c r="BH806" i="36" s="1"/>
  <c r="BJ806" i="36"/>
  <c r="BL806" i="36" s="1"/>
  <c r="AR807" i="36"/>
  <c r="AT807" i="36"/>
  <c r="AV807" i="36" s="1"/>
  <c r="AX807" i="36"/>
  <c r="AZ807" i="36" s="1"/>
  <c r="BB807" i="36"/>
  <c r="BD807" i="36" s="1"/>
  <c r="BF807" i="36"/>
  <c r="BH807" i="36" s="1"/>
  <c r="BJ807" i="36"/>
  <c r="BL807" i="36" s="1"/>
  <c r="AR808" i="36"/>
  <c r="AT808" i="36"/>
  <c r="AV808" i="36" s="1"/>
  <c r="AX808" i="36"/>
  <c r="AZ808" i="36" s="1"/>
  <c r="BB808" i="36"/>
  <c r="BD808" i="36" s="1"/>
  <c r="BF808" i="36"/>
  <c r="BH808" i="36" s="1"/>
  <c r="BJ808" i="36"/>
  <c r="BL808" i="36" s="1"/>
  <c r="AR809" i="36"/>
  <c r="AT809" i="36"/>
  <c r="AV809" i="36" s="1"/>
  <c r="AX809" i="36"/>
  <c r="AZ809" i="36" s="1"/>
  <c r="BB809" i="36"/>
  <c r="BD809" i="36" s="1"/>
  <c r="BF809" i="36"/>
  <c r="BH809" i="36" s="1"/>
  <c r="BJ809" i="36"/>
  <c r="BL809" i="36" s="1"/>
  <c r="AR810" i="36"/>
  <c r="AT810" i="36"/>
  <c r="AV810" i="36" s="1"/>
  <c r="AX810" i="36"/>
  <c r="AZ810" i="36" s="1"/>
  <c r="BB810" i="36"/>
  <c r="BD810" i="36" s="1"/>
  <c r="BF810" i="36"/>
  <c r="BH810" i="36" s="1"/>
  <c r="BJ810" i="36"/>
  <c r="BL810" i="36" s="1"/>
  <c r="AR811" i="36"/>
  <c r="AT811" i="36"/>
  <c r="AV811" i="36" s="1"/>
  <c r="AX811" i="36"/>
  <c r="AZ811" i="36" s="1"/>
  <c r="BB811" i="36"/>
  <c r="BD811" i="36" s="1"/>
  <c r="BF811" i="36"/>
  <c r="BH811" i="36" s="1"/>
  <c r="BJ811" i="36"/>
  <c r="BL811" i="36" s="1"/>
  <c r="AR812" i="36"/>
  <c r="AT812" i="36"/>
  <c r="AV812" i="36" s="1"/>
  <c r="AX812" i="36"/>
  <c r="AZ812" i="36" s="1"/>
  <c r="BB812" i="36"/>
  <c r="BD812" i="36" s="1"/>
  <c r="BF812" i="36"/>
  <c r="BH812" i="36" s="1"/>
  <c r="BJ812" i="36"/>
  <c r="BL812" i="36" s="1"/>
  <c r="AR813" i="36"/>
  <c r="AT813" i="36"/>
  <c r="AV813" i="36" s="1"/>
  <c r="AX813" i="36"/>
  <c r="AZ813" i="36" s="1"/>
  <c r="BB813" i="36"/>
  <c r="BD813" i="36" s="1"/>
  <c r="BF813" i="36"/>
  <c r="BH813" i="36" s="1"/>
  <c r="BJ813" i="36"/>
  <c r="BL813" i="36" s="1"/>
  <c r="AR814" i="36"/>
  <c r="AT814" i="36"/>
  <c r="AV814" i="36" s="1"/>
  <c r="AX814" i="36"/>
  <c r="AZ814" i="36" s="1"/>
  <c r="BB814" i="36"/>
  <c r="BD814" i="36" s="1"/>
  <c r="BF814" i="36"/>
  <c r="BH814" i="36" s="1"/>
  <c r="BJ814" i="36"/>
  <c r="BL814" i="36" s="1"/>
  <c r="AR815" i="36"/>
  <c r="AT815" i="36"/>
  <c r="AV815" i="36" s="1"/>
  <c r="AX815" i="36"/>
  <c r="AZ815" i="36" s="1"/>
  <c r="BB815" i="36"/>
  <c r="BD815" i="36" s="1"/>
  <c r="BF815" i="36"/>
  <c r="BH815" i="36" s="1"/>
  <c r="BJ815" i="36"/>
  <c r="BL815" i="36" s="1"/>
  <c r="AR816" i="36"/>
  <c r="AT816" i="36"/>
  <c r="AV816" i="36" s="1"/>
  <c r="AX816" i="36"/>
  <c r="AZ816" i="36" s="1"/>
  <c r="BB816" i="36"/>
  <c r="BD816" i="36" s="1"/>
  <c r="BF816" i="36"/>
  <c r="BH816" i="36" s="1"/>
  <c r="BJ816" i="36"/>
  <c r="BL816" i="36" s="1"/>
  <c r="AR817" i="36"/>
  <c r="AT817" i="36"/>
  <c r="AV817" i="36" s="1"/>
  <c r="AX817" i="36"/>
  <c r="AZ817" i="36" s="1"/>
  <c r="BB817" i="36"/>
  <c r="BD817" i="36" s="1"/>
  <c r="BF817" i="36"/>
  <c r="BH817" i="36" s="1"/>
  <c r="BJ817" i="36"/>
  <c r="BL817" i="36" s="1"/>
  <c r="AR818" i="36"/>
  <c r="AT818" i="36"/>
  <c r="AV818" i="36" s="1"/>
  <c r="AX818" i="36"/>
  <c r="AZ818" i="36" s="1"/>
  <c r="BB818" i="36"/>
  <c r="BD818" i="36" s="1"/>
  <c r="BF818" i="36"/>
  <c r="BH818" i="36" s="1"/>
  <c r="BJ818" i="36"/>
  <c r="BL818" i="36" s="1"/>
  <c r="AR819" i="36"/>
  <c r="AT819" i="36"/>
  <c r="AV819" i="36" s="1"/>
  <c r="AX819" i="36"/>
  <c r="AZ819" i="36" s="1"/>
  <c r="BB819" i="36"/>
  <c r="BD819" i="36" s="1"/>
  <c r="BF819" i="36"/>
  <c r="BH819" i="36" s="1"/>
  <c r="BJ819" i="36"/>
  <c r="BL819" i="36" s="1"/>
  <c r="AR820" i="36"/>
  <c r="AT820" i="36"/>
  <c r="AV820" i="36" s="1"/>
  <c r="AX820" i="36"/>
  <c r="AZ820" i="36" s="1"/>
  <c r="BB820" i="36"/>
  <c r="BD820" i="36" s="1"/>
  <c r="BF820" i="36"/>
  <c r="BH820" i="36" s="1"/>
  <c r="BJ820" i="36"/>
  <c r="BL820" i="36" s="1"/>
  <c r="AR821" i="36"/>
  <c r="AT821" i="36"/>
  <c r="AV821" i="36" s="1"/>
  <c r="AX821" i="36"/>
  <c r="AZ821" i="36" s="1"/>
  <c r="BB821" i="36"/>
  <c r="BD821" i="36" s="1"/>
  <c r="BF821" i="36"/>
  <c r="BH821" i="36" s="1"/>
  <c r="BJ821" i="36"/>
  <c r="BL821" i="36" s="1"/>
  <c r="AR822" i="36"/>
  <c r="AT822" i="36"/>
  <c r="AV822" i="36" s="1"/>
  <c r="AX822" i="36"/>
  <c r="AZ822" i="36" s="1"/>
  <c r="BB822" i="36"/>
  <c r="BD822" i="36" s="1"/>
  <c r="BF822" i="36"/>
  <c r="BH822" i="36" s="1"/>
  <c r="BJ822" i="36"/>
  <c r="BL822" i="36" s="1"/>
  <c r="AR823" i="36"/>
  <c r="AT823" i="36"/>
  <c r="AV823" i="36" s="1"/>
  <c r="AX823" i="36"/>
  <c r="AZ823" i="36" s="1"/>
  <c r="BB823" i="36"/>
  <c r="BD823" i="36" s="1"/>
  <c r="BF823" i="36"/>
  <c r="BH823" i="36" s="1"/>
  <c r="BJ823" i="36"/>
  <c r="BL823" i="36" s="1"/>
  <c r="AR824" i="36"/>
  <c r="AT824" i="36"/>
  <c r="AV824" i="36" s="1"/>
  <c r="AX824" i="36"/>
  <c r="AZ824" i="36" s="1"/>
  <c r="BB824" i="36"/>
  <c r="BD824" i="36" s="1"/>
  <c r="BF824" i="36"/>
  <c r="BH824" i="36" s="1"/>
  <c r="BJ824" i="36"/>
  <c r="BL824" i="36" s="1"/>
  <c r="AR825" i="36"/>
  <c r="AT825" i="36"/>
  <c r="AV825" i="36" s="1"/>
  <c r="AX825" i="36"/>
  <c r="AZ825" i="36" s="1"/>
  <c r="BB825" i="36"/>
  <c r="BD825" i="36" s="1"/>
  <c r="BF825" i="36"/>
  <c r="BH825" i="36" s="1"/>
  <c r="BJ825" i="36"/>
  <c r="BL825" i="36" s="1"/>
  <c r="AR826" i="36"/>
  <c r="AT826" i="36"/>
  <c r="AV826" i="36" s="1"/>
  <c r="AX826" i="36"/>
  <c r="AZ826" i="36" s="1"/>
  <c r="BB826" i="36"/>
  <c r="BD826" i="36" s="1"/>
  <c r="BF826" i="36"/>
  <c r="BH826" i="36" s="1"/>
  <c r="BJ826" i="36"/>
  <c r="BL826" i="36" s="1"/>
  <c r="AR827" i="36"/>
  <c r="AT827" i="36"/>
  <c r="AV827" i="36" s="1"/>
  <c r="AX827" i="36"/>
  <c r="AZ827" i="36" s="1"/>
  <c r="BB827" i="36"/>
  <c r="BD827" i="36" s="1"/>
  <c r="BF827" i="36"/>
  <c r="BH827" i="36" s="1"/>
  <c r="BJ827" i="36"/>
  <c r="BL827" i="36" s="1"/>
  <c r="AR828" i="36"/>
  <c r="AT828" i="36"/>
  <c r="AV828" i="36" s="1"/>
  <c r="AX828" i="36"/>
  <c r="AZ828" i="36" s="1"/>
  <c r="BB828" i="36"/>
  <c r="BD828" i="36" s="1"/>
  <c r="BF828" i="36"/>
  <c r="BH828" i="36" s="1"/>
  <c r="BJ828" i="36"/>
  <c r="BL828" i="36" s="1"/>
  <c r="AR829" i="36"/>
  <c r="AT829" i="36"/>
  <c r="AV829" i="36" s="1"/>
  <c r="AX829" i="36"/>
  <c r="AZ829" i="36" s="1"/>
  <c r="BB829" i="36"/>
  <c r="BD829" i="36" s="1"/>
  <c r="BF829" i="36"/>
  <c r="BH829" i="36" s="1"/>
  <c r="BJ829" i="36"/>
  <c r="BL829" i="36" s="1"/>
  <c r="AR830" i="36"/>
  <c r="AT830" i="36"/>
  <c r="AV830" i="36" s="1"/>
  <c r="AX830" i="36"/>
  <c r="AZ830" i="36" s="1"/>
  <c r="BB830" i="36"/>
  <c r="BD830" i="36" s="1"/>
  <c r="BF830" i="36"/>
  <c r="BH830" i="36" s="1"/>
  <c r="BJ830" i="36"/>
  <c r="BL830" i="36" s="1"/>
  <c r="AR831" i="36"/>
  <c r="AT831" i="36"/>
  <c r="AV831" i="36" s="1"/>
  <c r="AX831" i="36"/>
  <c r="AZ831" i="36" s="1"/>
  <c r="BB831" i="36"/>
  <c r="BD831" i="36" s="1"/>
  <c r="BF831" i="36"/>
  <c r="BH831" i="36" s="1"/>
  <c r="BJ831" i="36"/>
  <c r="BL831" i="36" s="1"/>
  <c r="AR832" i="36"/>
  <c r="AT832" i="36"/>
  <c r="AV832" i="36" s="1"/>
  <c r="AX832" i="36"/>
  <c r="AZ832" i="36" s="1"/>
  <c r="BB832" i="36"/>
  <c r="BD832" i="36" s="1"/>
  <c r="BF832" i="36"/>
  <c r="BH832" i="36" s="1"/>
  <c r="BJ832" i="36"/>
  <c r="BL832" i="36" s="1"/>
  <c r="AR833" i="36"/>
  <c r="AT833" i="36"/>
  <c r="AV833" i="36" s="1"/>
  <c r="AX833" i="36"/>
  <c r="AZ833" i="36" s="1"/>
  <c r="BB833" i="36"/>
  <c r="BD833" i="36" s="1"/>
  <c r="BF833" i="36"/>
  <c r="BH833" i="36" s="1"/>
  <c r="BJ833" i="36"/>
  <c r="BL833" i="36" s="1"/>
  <c r="AR834" i="36"/>
  <c r="AT834" i="36"/>
  <c r="AV834" i="36" s="1"/>
  <c r="AX834" i="36"/>
  <c r="AZ834" i="36" s="1"/>
  <c r="BB834" i="36"/>
  <c r="BD834" i="36" s="1"/>
  <c r="BF834" i="36"/>
  <c r="BH834" i="36" s="1"/>
  <c r="BJ834" i="36"/>
  <c r="BL834" i="36" s="1"/>
  <c r="AR835" i="36"/>
  <c r="AT835" i="36"/>
  <c r="AV835" i="36" s="1"/>
  <c r="AX835" i="36"/>
  <c r="AZ835" i="36" s="1"/>
  <c r="BB835" i="36"/>
  <c r="BD835" i="36" s="1"/>
  <c r="BF835" i="36"/>
  <c r="BH835" i="36" s="1"/>
  <c r="BJ835" i="36"/>
  <c r="BL835" i="36" s="1"/>
  <c r="AR836" i="36"/>
  <c r="AT836" i="36"/>
  <c r="AV836" i="36" s="1"/>
  <c r="AX836" i="36"/>
  <c r="AZ836" i="36" s="1"/>
  <c r="BB836" i="36"/>
  <c r="BD836" i="36" s="1"/>
  <c r="BF836" i="36"/>
  <c r="BH836" i="36" s="1"/>
  <c r="BJ836" i="36"/>
  <c r="BL836" i="36" s="1"/>
  <c r="AR837" i="36"/>
  <c r="AT837" i="36"/>
  <c r="AV837" i="36" s="1"/>
  <c r="AX837" i="36"/>
  <c r="AZ837" i="36" s="1"/>
  <c r="BB837" i="36"/>
  <c r="BD837" i="36" s="1"/>
  <c r="BF837" i="36"/>
  <c r="BH837" i="36" s="1"/>
  <c r="BJ837" i="36"/>
  <c r="BL837" i="36" s="1"/>
  <c r="AR838" i="36"/>
  <c r="AT838" i="36"/>
  <c r="AV838" i="36" s="1"/>
  <c r="AX838" i="36"/>
  <c r="AZ838" i="36" s="1"/>
  <c r="BB838" i="36"/>
  <c r="BD838" i="36" s="1"/>
  <c r="BF838" i="36"/>
  <c r="BH838" i="36" s="1"/>
  <c r="BJ838" i="36"/>
  <c r="BL838" i="36" s="1"/>
  <c r="AR839" i="36"/>
  <c r="AT839" i="36"/>
  <c r="AV839" i="36" s="1"/>
  <c r="AX839" i="36"/>
  <c r="AZ839" i="36" s="1"/>
  <c r="BB839" i="36"/>
  <c r="BD839" i="36" s="1"/>
  <c r="BF839" i="36"/>
  <c r="BH839" i="36" s="1"/>
  <c r="BJ839" i="36"/>
  <c r="BL839" i="36" s="1"/>
  <c r="AR840" i="36"/>
  <c r="AT840" i="36"/>
  <c r="AV840" i="36" s="1"/>
  <c r="AX840" i="36"/>
  <c r="AZ840" i="36" s="1"/>
  <c r="BB840" i="36"/>
  <c r="BD840" i="36" s="1"/>
  <c r="BF840" i="36"/>
  <c r="BH840" i="36" s="1"/>
  <c r="BJ840" i="36"/>
  <c r="BL840" i="36" s="1"/>
  <c r="AR841" i="36"/>
  <c r="AT841" i="36"/>
  <c r="AV841" i="36" s="1"/>
  <c r="AX841" i="36"/>
  <c r="AZ841" i="36" s="1"/>
  <c r="BB841" i="36"/>
  <c r="BD841" i="36" s="1"/>
  <c r="BF841" i="36"/>
  <c r="BH841" i="36" s="1"/>
  <c r="BJ841" i="36"/>
  <c r="BL841" i="36" s="1"/>
  <c r="AR842" i="36"/>
  <c r="AT842" i="36"/>
  <c r="AV842" i="36" s="1"/>
  <c r="AX842" i="36"/>
  <c r="AZ842" i="36" s="1"/>
  <c r="BB842" i="36"/>
  <c r="BD842" i="36" s="1"/>
  <c r="BF842" i="36"/>
  <c r="BH842" i="36" s="1"/>
  <c r="BJ842" i="36"/>
  <c r="BL842" i="36" s="1"/>
  <c r="AR843" i="36"/>
  <c r="AT843" i="36"/>
  <c r="AV843" i="36" s="1"/>
  <c r="AX843" i="36"/>
  <c r="AZ843" i="36" s="1"/>
  <c r="BB843" i="36"/>
  <c r="BD843" i="36" s="1"/>
  <c r="BF843" i="36"/>
  <c r="BH843" i="36" s="1"/>
  <c r="BJ843" i="36"/>
  <c r="BL843" i="36" s="1"/>
  <c r="AR844" i="36"/>
  <c r="AT844" i="36"/>
  <c r="AV844" i="36" s="1"/>
  <c r="AX844" i="36"/>
  <c r="AZ844" i="36" s="1"/>
  <c r="BB844" i="36"/>
  <c r="BD844" i="36" s="1"/>
  <c r="BF844" i="36"/>
  <c r="BH844" i="36" s="1"/>
  <c r="BJ844" i="36"/>
  <c r="BL844" i="36" s="1"/>
  <c r="AR845" i="36"/>
  <c r="AT845" i="36"/>
  <c r="AV845" i="36" s="1"/>
  <c r="AX845" i="36"/>
  <c r="AZ845" i="36" s="1"/>
  <c r="BB845" i="36"/>
  <c r="BD845" i="36" s="1"/>
  <c r="BF845" i="36"/>
  <c r="BH845" i="36" s="1"/>
  <c r="BJ845" i="36"/>
  <c r="BL845" i="36" s="1"/>
  <c r="AR846" i="36"/>
  <c r="AT846" i="36"/>
  <c r="AV846" i="36" s="1"/>
  <c r="AX846" i="36"/>
  <c r="AZ846" i="36" s="1"/>
  <c r="BB846" i="36"/>
  <c r="BD846" i="36" s="1"/>
  <c r="BF846" i="36"/>
  <c r="BH846" i="36" s="1"/>
  <c r="BJ846" i="36"/>
  <c r="BL846" i="36" s="1"/>
  <c r="AR847" i="36"/>
  <c r="AT847" i="36"/>
  <c r="AV847" i="36" s="1"/>
  <c r="AX847" i="36"/>
  <c r="AZ847" i="36" s="1"/>
  <c r="BB847" i="36"/>
  <c r="BD847" i="36" s="1"/>
  <c r="BF847" i="36"/>
  <c r="BH847" i="36" s="1"/>
  <c r="BJ847" i="36"/>
  <c r="BL847" i="36" s="1"/>
  <c r="AR848" i="36"/>
  <c r="AT848" i="36"/>
  <c r="AV848" i="36" s="1"/>
  <c r="AX848" i="36"/>
  <c r="AZ848" i="36" s="1"/>
  <c r="BB848" i="36"/>
  <c r="BD848" i="36" s="1"/>
  <c r="BF848" i="36"/>
  <c r="BH848" i="36" s="1"/>
  <c r="BJ848" i="36"/>
  <c r="BL848" i="36" s="1"/>
  <c r="AR849" i="36"/>
  <c r="AT849" i="36"/>
  <c r="AV849" i="36" s="1"/>
  <c r="AX849" i="36"/>
  <c r="AZ849" i="36" s="1"/>
  <c r="BB849" i="36"/>
  <c r="BD849" i="36" s="1"/>
  <c r="BF849" i="36"/>
  <c r="BH849" i="36" s="1"/>
  <c r="BJ849" i="36"/>
  <c r="BL849" i="36" s="1"/>
  <c r="AR850" i="36"/>
  <c r="AT850" i="36"/>
  <c r="AV850" i="36" s="1"/>
  <c r="AX850" i="36"/>
  <c r="AZ850" i="36" s="1"/>
  <c r="BB850" i="36"/>
  <c r="BD850" i="36" s="1"/>
  <c r="BF850" i="36"/>
  <c r="BH850" i="36" s="1"/>
  <c r="BJ850" i="36"/>
  <c r="BL850" i="36" s="1"/>
  <c r="AG323" i="38" l="1"/>
  <c r="BC702" i="36"/>
  <c r="AQ810" i="36"/>
  <c r="BC809" i="36"/>
  <c r="BG807" i="36"/>
  <c r="AU801" i="36"/>
  <c r="BG800" i="36"/>
  <c r="AY796" i="36"/>
  <c r="BG776" i="36"/>
  <c r="AY738" i="36"/>
  <c r="AQ850" i="36"/>
  <c r="BC849" i="36"/>
  <c r="AQ849" i="36"/>
  <c r="AY848" i="36"/>
  <c r="AQ841" i="36"/>
  <c r="AQ837" i="36"/>
  <c r="AQ835" i="36"/>
  <c r="AQ833" i="36"/>
  <c r="AQ829" i="36"/>
  <c r="AY828" i="36"/>
  <c r="AQ819" i="36"/>
  <c r="AQ817" i="36"/>
  <c r="AQ813" i="36"/>
  <c r="AQ808" i="36"/>
  <c r="BC803" i="36"/>
  <c r="AQ792" i="36"/>
  <c r="AQ790" i="36"/>
  <c r="AQ786" i="36"/>
  <c r="AQ782" i="36"/>
  <c r="AU778" i="36"/>
  <c r="AQ777" i="36"/>
  <c r="AU760" i="36"/>
  <c r="AU756" i="36"/>
  <c r="AU752" i="36"/>
  <c r="AU744" i="36"/>
  <c r="AU742" i="36"/>
  <c r="BG741" i="36"/>
  <c r="AU741" i="36"/>
  <c r="AY739" i="36"/>
  <c r="AU736" i="36"/>
  <c r="AU832" i="36"/>
  <c r="AQ825" i="36"/>
  <c r="AQ822" i="36"/>
  <c r="AU816" i="36"/>
  <c r="AQ806" i="36"/>
  <c r="AQ775" i="36"/>
  <c r="AQ771" i="36"/>
  <c r="AQ764" i="36"/>
  <c r="AQ762" i="36"/>
  <c r="AQ760" i="36"/>
  <c r="AQ756" i="36"/>
  <c r="AQ754" i="36"/>
  <c r="AQ748" i="36"/>
  <c r="AQ730" i="36"/>
  <c r="BC716" i="36"/>
  <c r="AY714" i="36"/>
  <c r="AQ714" i="36"/>
  <c r="AU708" i="36"/>
  <c r="AU704" i="36"/>
  <c r="AQ845" i="36"/>
  <c r="AQ842" i="36"/>
  <c r="AQ838" i="36"/>
  <c r="AY835" i="36"/>
  <c r="AQ830" i="36"/>
  <c r="BC820" i="36"/>
  <c r="AY819" i="36"/>
  <c r="AQ818" i="36"/>
  <c r="AQ814" i="36"/>
  <c r="AQ809" i="36"/>
  <c r="AU800" i="36"/>
  <c r="AQ778" i="36"/>
  <c r="AU776" i="36"/>
  <c r="AU772" i="36"/>
  <c r="AU768" i="36"/>
  <c r="AQ739" i="36"/>
  <c r="AU724" i="36"/>
  <c r="AQ706" i="36"/>
  <c r="AQ704" i="36"/>
  <c r="AU848" i="36"/>
  <c r="AQ846" i="36"/>
  <c r="AQ844" i="36"/>
  <c r="BC843" i="36"/>
  <c r="AY842" i="36"/>
  <c r="BC836" i="36"/>
  <c r="AQ826" i="36"/>
  <c r="BG824" i="36"/>
  <c r="AU824" i="36"/>
  <c r="BC823" i="36"/>
  <c r="AQ821" i="36"/>
  <c r="AY820" i="36"/>
  <c r="AU808" i="36"/>
  <c r="AQ798" i="36"/>
  <c r="AU792" i="36"/>
  <c r="AU784" i="36"/>
  <c r="AU780" i="36"/>
  <c r="AQ779" i="36"/>
  <c r="AY771" i="36"/>
  <c r="AQ768" i="36"/>
  <c r="BC767" i="36"/>
  <c r="AQ763" i="36"/>
  <c r="AQ759" i="36"/>
  <c r="AQ755" i="36"/>
  <c r="AQ747" i="36"/>
  <c r="AQ745" i="36"/>
  <c r="AQ743" i="36"/>
  <c r="AU740" i="36"/>
  <c r="AQ733" i="36"/>
  <c r="AQ729" i="36"/>
  <c r="BC728" i="36"/>
  <c r="AQ726" i="36"/>
  <c r="AQ722" i="36"/>
  <c r="AQ720" i="36"/>
  <c r="BG716" i="36"/>
  <c r="AQ715" i="36"/>
  <c r="BC714" i="36"/>
  <c r="AU714" i="36"/>
  <c r="BG713" i="36"/>
  <c r="BG826" i="36"/>
  <c r="AU815" i="36"/>
  <c r="BG814" i="36"/>
  <c r="AY806" i="36"/>
  <c r="AQ788" i="36"/>
  <c r="AQ749" i="36"/>
  <c r="BG733" i="36"/>
  <c r="AU733" i="36"/>
  <c r="BG732" i="36"/>
  <c r="BC723" i="36"/>
  <c r="AQ723" i="36"/>
  <c r="BC722" i="36"/>
  <c r="AY709" i="36"/>
  <c r="BC708" i="36"/>
  <c r="AQ708" i="36"/>
  <c r="AY785" i="36"/>
  <c r="BC783" i="36"/>
  <c r="AY746" i="36"/>
  <c r="BC744" i="36"/>
  <c r="BG742" i="36"/>
  <c r="BG727" i="36"/>
  <c r="BG846" i="36"/>
  <c r="AQ836" i="36"/>
  <c r="BG819" i="36"/>
  <c r="AU819" i="36"/>
  <c r="BG818" i="36"/>
  <c r="AU811" i="36"/>
  <c r="BG810" i="36"/>
  <c r="AU804" i="36"/>
  <c r="BG798" i="36"/>
  <c r="AQ795" i="36"/>
  <c r="AU793" i="36"/>
  <c r="BG792" i="36"/>
  <c r="BC791" i="36"/>
  <c r="BG774" i="36"/>
  <c r="AU757" i="36"/>
  <c r="BG723" i="36"/>
  <c r="AY722" i="36"/>
  <c r="AU709" i="36"/>
  <c r="BG708" i="36"/>
  <c r="AY844" i="36"/>
  <c r="BG840" i="36"/>
  <c r="AU840" i="36"/>
  <c r="BG839" i="36"/>
  <c r="AU839" i="36"/>
  <c r="BG831" i="36"/>
  <c r="AU831" i="36"/>
  <c r="AY826" i="36"/>
  <c r="AQ820" i="36"/>
  <c r="AQ816" i="36"/>
  <c r="BC815" i="36"/>
  <c r="AU812" i="36"/>
  <c r="BG806" i="36"/>
  <c r="AU803" i="36"/>
  <c r="AQ802" i="36"/>
  <c r="BC801" i="36"/>
  <c r="AY798" i="36"/>
  <c r="AQ796" i="36"/>
  <c r="BC790" i="36"/>
  <c r="AQ787" i="36"/>
  <c r="AU779" i="36"/>
  <c r="AY776" i="36"/>
  <c r="AU765" i="36"/>
  <c r="AQ752" i="36"/>
  <c r="BC751" i="36"/>
  <c r="AY750" i="36"/>
  <c r="AY747" i="36"/>
  <c r="AQ738" i="36"/>
  <c r="AY730" i="36"/>
  <c r="AY726" i="36"/>
  <c r="AY721" i="36"/>
  <c r="BC719" i="36"/>
  <c r="AY717" i="36"/>
  <c r="AU712" i="36"/>
  <c r="AY710" i="36"/>
  <c r="AU705" i="36"/>
  <c r="BC703" i="36"/>
  <c r="AQ703" i="36"/>
  <c r="AQ848" i="36"/>
  <c r="BC847" i="36"/>
  <c r="AQ847" i="36"/>
  <c r="AU843" i="36"/>
  <c r="BG842" i="36"/>
  <c r="AY836" i="36"/>
  <c r="AY830" i="36"/>
  <c r="AQ828" i="36"/>
  <c r="BC827" i="36"/>
  <c r="AQ827" i="36"/>
  <c r="AU823" i="36"/>
  <c r="BG822" i="36"/>
  <c r="AY814" i="36"/>
  <c r="AY810" i="36"/>
  <c r="BG799" i="36"/>
  <c r="AQ794" i="36"/>
  <c r="BC793" i="36"/>
  <c r="AY788" i="36"/>
  <c r="BC782" i="36"/>
  <c r="AQ773" i="36"/>
  <c r="AY762" i="36"/>
  <c r="AU761" i="36"/>
  <c r="AU754" i="36"/>
  <c r="AQ746" i="36"/>
  <c r="BC745" i="36"/>
  <c r="AU739" i="36"/>
  <c r="BG738" i="36"/>
  <c r="AU735" i="36"/>
  <c r="AQ734" i="36"/>
  <c r="AU721" i="36"/>
  <c r="BG720" i="36"/>
  <c r="AU720" i="36"/>
  <c r="BG719" i="36"/>
  <c r="AY719" i="36"/>
  <c r="AU718" i="36"/>
  <c r="AQ713" i="36"/>
  <c r="AQ712" i="36"/>
  <c r="BC711" i="36"/>
  <c r="AQ711" i="36"/>
  <c r="BC710" i="36"/>
  <c r="AQ707" i="36"/>
  <c r="BC706" i="36"/>
  <c r="AY705" i="36"/>
  <c r="AQ705" i="36"/>
  <c r="BG731" i="36"/>
  <c r="AY729" i="36"/>
  <c r="AQ728" i="36"/>
  <c r="BC724" i="36"/>
  <c r="AQ724" i="36"/>
  <c r="BG721" i="36"/>
  <c r="AQ719" i="36"/>
  <c r="BC718" i="36"/>
  <c r="AQ717" i="36"/>
  <c r="AU716" i="36"/>
  <c r="BG715" i="36"/>
  <c r="AY713" i="36"/>
  <c r="BG707" i="36"/>
  <c r="AU706" i="36"/>
  <c r="BG705" i="36"/>
  <c r="AU702" i="36"/>
  <c r="AY850" i="36"/>
  <c r="AY845" i="36"/>
  <c r="BC842" i="36"/>
  <c r="AU837" i="36"/>
  <c r="BG836" i="36"/>
  <c r="AU833" i="36"/>
  <c r="AQ832" i="36"/>
  <c r="AU829" i="36"/>
  <c r="BG828" i="36"/>
  <c r="BC826" i="36"/>
  <c r="AQ823" i="36"/>
  <c r="AY821" i="36"/>
  <c r="BC817" i="36"/>
  <c r="AY816" i="36"/>
  <c r="AQ815" i="36"/>
  <c r="AY812" i="36"/>
  <c r="AQ812" i="36"/>
  <c r="BC811" i="36"/>
  <c r="BG808" i="36"/>
  <c r="AY804" i="36"/>
  <c r="AQ804" i="36"/>
  <c r="AQ803" i="36"/>
  <c r="BC799" i="36"/>
  <c r="BC798" i="36"/>
  <c r="AY793" i="36"/>
  <c r="AU788" i="36"/>
  <c r="AU787" i="36"/>
  <c r="BG783" i="36"/>
  <c r="BG782" i="36"/>
  <c r="AY782" i="36"/>
  <c r="AU773" i="36"/>
  <c r="AQ766" i="36"/>
  <c r="AQ765" i="36"/>
  <c r="AQ761" i="36"/>
  <c r="BG758" i="36"/>
  <c r="AQ757" i="36"/>
  <c r="AU749" i="36"/>
  <c r="AY748" i="36"/>
  <c r="AU746" i="36"/>
  <c r="AQ744" i="36"/>
  <c r="BC743" i="36"/>
  <c r="AQ741" i="36"/>
  <c r="BC740" i="36"/>
  <c r="AQ740" i="36"/>
  <c r="BC739" i="36"/>
  <c r="AU738" i="36"/>
  <c r="BC736" i="36"/>
  <c r="AQ736" i="36"/>
  <c r="BC735" i="36"/>
  <c r="BC732" i="36"/>
  <c r="AQ732" i="36"/>
  <c r="AQ731" i="36"/>
  <c r="BC730" i="36"/>
  <c r="AU730" i="36"/>
  <c r="BG729" i="36"/>
  <c r="AQ727" i="36"/>
  <c r="BC726" i="36"/>
  <c r="BG850" i="36"/>
  <c r="AU847" i="36"/>
  <c r="AY846" i="36"/>
  <c r="AU844" i="36"/>
  <c r="BC841" i="36"/>
  <c r="AQ839" i="36"/>
  <c r="BC838" i="36"/>
  <c r="BC837" i="36"/>
  <c r="AU836" i="36"/>
  <c r="BC834" i="36"/>
  <c r="AQ834" i="36"/>
  <c r="BC833" i="36"/>
  <c r="AQ831" i="36"/>
  <c r="BC829" i="36"/>
  <c r="AU828" i="36"/>
  <c r="AY825" i="36"/>
  <c r="AY824" i="36"/>
  <c r="AU820" i="36"/>
  <c r="AY818" i="36"/>
  <c r="AY813" i="36"/>
  <c r="BC810" i="36"/>
  <c r="BC807" i="36"/>
  <c r="BC806" i="36"/>
  <c r="AY801" i="36"/>
  <c r="AU796" i="36"/>
  <c r="AU795" i="36"/>
  <c r="BG791" i="36"/>
  <c r="BG790" i="36"/>
  <c r="AY790" i="36"/>
  <c r="BC785" i="36"/>
  <c r="AU785" i="36"/>
  <c r="BG784" i="36"/>
  <c r="AY780" i="36"/>
  <c r="AQ780" i="36"/>
  <c r="AY778" i="36"/>
  <c r="BC777" i="36"/>
  <c r="BC776" i="36"/>
  <c r="BG770" i="36"/>
  <c r="AY764" i="36"/>
  <c r="AY760" i="36"/>
  <c r="AY754" i="36"/>
  <c r="AQ750" i="36"/>
  <c r="BC749" i="36"/>
  <c r="BG748" i="36"/>
  <c r="AU745" i="36"/>
  <c r="BG744" i="36"/>
  <c r="AY744" i="36"/>
  <c r="AU728" i="36"/>
  <c r="AY727" i="36"/>
  <c r="AY725" i="36"/>
  <c r="BG709" i="36"/>
  <c r="AU842" i="36"/>
  <c r="BG837" i="36"/>
  <c r="AY769" i="36"/>
  <c r="BC766" i="36"/>
  <c r="BG739" i="36"/>
  <c r="BC729" i="36"/>
  <c r="AU719" i="36"/>
  <c r="BC713" i="36"/>
  <c r="BG843" i="36"/>
  <c r="BC812" i="36"/>
  <c r="BG811" i="36"/>
  <c r="AQ807" i="36"/>
  <c r="AY805" i="36"/>
  <c r="BG803" i="36"/>
  <c r="BC802" i="36"/>
  <c r="AY800" i="36"/>
  <c r="AQ800" i="36"/>
  <c r="AU799" i="36"/>
  <c r="BC797" i="36"/>
  <c r="AU797" i="36"/>
  <c r="BG796" i="36"/>
  <c r="BC795" i="36"/>
  <c r="BG794" i="36"/>
  <c r="AY794" i="36"/>
  <c r="AQ791" i="36"/>
  <c r="AY789" i="36"/>
  <c r="BG787" i="36"/>
  <c r="BC786" i="36"/>
  <c r="AY784" i="36"/>
  <c r="AQ784" i="36"/>
  <c r="AU783" i="36"/>
  <c r="BC781" i="36"/>
  <c r="AU781" i="36"/>
  <c r="BG780" i="36"/>
  <c r="BC779" i="36"/>
  <c r="BC778" i="36"/>
  <c r="AU777" i="36"/>
  <c r="AQ776" i="36"/>
  <c r="BC775" i="36"/>
  <c r="AU774" i="36"/>
  <c r="BG773" i="36"/>
  <c r="AY773" i="36"/>
  <c r="BC772" i="36"/>
  <c r="AQ772" i="36"/>
  <c r="BC771" i="36"/>
  <c r="AU770" i="36"/>
  <c r="BG769" i="36"/>
  <c r="AU769" i="36"/>
  <c r="BG768" i="36"/>
  <c r="AY768" i="36"/>
  <c r="AY766" i="36"/>
  <c r="BC765" i="36"/>
  <c r="BG764" i="36"/>
  <c r="AY763" i="36"/>
  <c r="BC762" i="36"/>
  <c r="BC761" i="36"/>
  <c r="BG760" i="36"/>
  <c r="AY759" i="36"/>
  <c r="AY758" i="36"/>
  <c r="BC757" i="36"/>
  <c r="BG756" i="36"/>
  <c r="AY755" i="36"/>
  <c r="BC754" i="36"/>
  <c r="BG753" i="36"/>
  <c r="AU753" i="36"/>
  <c r="BG752" i="36"/>
  <c r="AY752" i="36"/>
  <c r="BC746" i="36"/>
  <c r="AY741" i="36"/>
  <c r="BG735" i="36"/>
  <c r="BG730" i="36"/>
  <c r="AU723" i="36"/>
  <c r="BC717" i="36"/>
  <c r="BG714" i="36"/>
  <c r="AU711" i="36"/>
  <c r="AY833" i="36"/>
  <c r="AU810" i="36"/>
  <c r="BG706" i="36"/>
  <c r="AU703" i="36"/>
  <c r="AY839" i="36"/>
  <c r="BG833" i="36"/>
  <c r="BG825" i="36"/>
  <c r="AU814" i="36"/>
  <c r="BC770" i="36"/>
  <c r="BG763" i="36"/>
  <c r="BG755" i="36"/>
  <c r="BG747" i="36"/>
  <c r="AY737" i="36"/>
  <c r="BC734" i="36"/>
  <c r="AY732" i="36"/>
  <c r="AY724" i="36"/>
  <c r="AY708" i="36"/>
  <c r="AY704" i="36"/>
  <c r="BC848" i="36"/>
  <c r="AY843" i="36"/>
  <c r="BG841" i="36"/>
  <c r="AU838" i="36"/>
  <c r="AU830" i="36"/>
  <c r="BG829" i="36"/>
  <c r="BC824" i="36"/>
  <c r="BC816" i="36"/>
  <c r="AY811" i="36"/>
  <c r="BG809" i="36"/>
  <c r="BG771" i="36"/>
  <c r="AY753" i="36"/>
  <c r="BC750" i="36"/>
  <c r="AY733" i="36"/>
  <c r="BG718" i="36"/>
  <c r="AY716" i="36"/>
  <c r="AU707" i="36"/>
  <c r="BC844" i="36"/>
  <c r="AU834" i="36"/>
  <c r="AY831" i="36"/>
  <c r="BC830" i="36"/>
  <c r="AY849" i="36"/>
  <c r="AU846" i="36"/>
  <c r="BG845" i="36"/>
  <c r="BC840" i="36"/>
  <c r="BC832" i="36"/>
  <c r="AY827" i="36"/>
  <c r="AU826" i="36"/>
  <c r="AU822" i="36"/>
  <c r="BG821" i="36"/>
  <c r="AY817" i="36"/>
  <c r="BG813" i="36"/>
  <c r="BC850" i="36"/>
  <c r="AU850" i="36"/>
  <c r="BG849" i="36"/>
  <c r="AU849" i="36"/>
  <c r="BG847" i="36"/>
  <c r="AY847" i="36"/>
  <c r="BC846" i="36"/>
  <c r="BC845" i="36"/>
  <c r="AU845" i="36"/>
  <c r="BG844" i="36"/>
  <c r="AQ843" i="36"/>
  <c r="AY841" i="36"/>
  <c r="AY840" i="36"/>
  <c r="BC839" i="36"/>
  <c r="BG838" i="36"/>
  <c r="AY837" i="36"/>
  <c r="BG835" i="36"/>
  <c r="AU835" i="36"/>
  <c r="BG834" i="36"/>
  <c r="AY834" i="36"/>
  <c r="AY832" i="36"/>
  <c r="BC831" i="36"/>
  <c r="BG830" i="36"/>
  <c r="AY829" i="36"/>
  <c r="BC828" i="36"/>
  <c r="BG827" i="36"/>
  <c r="AU827" i="36"/>
  <c r="BC825" i="36"/>
  <c r="BG823" i="36"/>
  <c r="AY823" i="36"/>
  <c r="BC822" i="36"/>
  <c r="BC821" i="36"/>
  <c r="AU821" i="36"/>
  <c r="BG820" i="36"/>
  <c r="BC818" i="36"/>
  <c r="AU818" i="36"/>
  <c r="BG817" i="36"/>
  <c r="AU817" i="36"/>
  <c r="BG815" i="36"/>
  <c r="AY815" i="36"/>
  <c r="BC814" i="36"/>
  <c r="BC813" i="36"/>
  <c r="AU813" i="36"/>
  <c r="BG812" i="36"/>
  <c r="AQ811" i="36"/>
  <c r="AY809" i="36"/>
  <c r="AY808" i="36"/>
  <c r="AU807" i="36"/>
  <c r="BC805" i="36"/>
  <c r="AU805" i="36"/>
  <c r="BG804" i="36"/>
  <c r="BG802" i="36"/>
  <c r="AY802" i="36"/>
  <c r="AQ799" i="36"/>
  <c r="AY797" i="36"/>
  <c r="BG795" i="36"/>
  <c r="BC794" i="36"/>
  <c r="AY792" i="36"/>
  <c r="AU791" i="36"/>
  <c r="BC789" i="36"/>
  <c r="AU789" i="36"/>
  <c r="BG788" i="36"/>
  <c r="BC787" i="36"/>
  <c r="BG786" i="36"/>
  <c r="AY786" i="36"/>
  <c r="AQ783" i="36"/>
  <c r="AY781" i="36"/>
  <c r="BG779" i="36"/>
  <c r="AY775" i="36"/>
  <c r="AY774" i="36"/>
  <c r="BC773" i="36"/>
  <c r="BG772" i="36"/>
  <c r="AY770" i="36"/>
  <c r="BC768" i="36"/>
  <c r="BG767" i="36"/>
  <c r="AU767" i="36"/>
  <c r="BG765" i="36"/>
  <c r="AY765" i="36"/>
  <c r="BC763" i="36"/>
  <c r="AU763" i="36"/>
  <c r="BG762" i="36"/>
  <c r="BC759" i="36"/>
  <c r="AU758" i="36"/>
  <c r="BG757" i="36"/>
  <c r="AY757" i="36"/>
  <c r="BC756" i="36"/>
  <c r="BC755" i="36"/>
  <c r="AU755" i="36"/>
  <c r="BG754" i="36"/>
  <c r="BC752" i="36"/>
  <c r="BG751" i="36"/>
  <c r="AU751" i="36"/>
  <c r="BG749" i="36"/>
  <c r="AY749" i="36"/>
  <c r="BC747" i="36"/>
  <c r="AU747" i="36"/>
  <c r="BG746" i="36"/>
  <c r="AY743" i="36"/>
  <c r="AY742" i="36"/>
  <c r="BC741" i="36"/>
  <c r="BG740" i="36"/>
  <c r="BC738" i="36"/>
  <c r="BG737" i="36"/>
  <c r="AU737" i="36"/>
  <c r="BG736" i="36"/>
  <c r="AY736" i="36"/>
  <c r="AY734" i="36"/>
  <c r="AU732" i="36"/>
  <c r="AY731" i="36"/>
  <c r="AU729" i="36"/>
  <c r="BC727" i="36"/>
  <c r="AU727" i="36"/>
  <c r="BG725" i="36"/>
  <c r="AY718" i="36"/>
  <c r="BC715" i="36"/>
  <c r="BG712" i="36"/>
  <c r="BG711" i="36"/>
  <c r="AY711" i="36"/>
  <c r="AY706" i="36"/>
  <c r="BC705" i="36"/>
  <c r="BG704" i="36"/>
  <c r="BG703" i="36"/>
  <c r="AY702" i="36"/>
  <c r="AQ805" i="36"/>
  <c r="BG777" i="36"/>
  <c r="AU775" i="36"/>
  <c r="AQ769" i="36"/>
  <c r="AQ767" i="36"/>
  <c r="AY761" i="36"/>
  <c r="AY756" i="36"/>
  <c r="BG750" i="36"/>
  <c r="BC742" i="36"/>
  <c r="BC737" i="36"/>
  <c r="AQ725" i="36"/>
  <c r="AY720" i="36"/>
  <c r="BG717" i="36"/>
  <c r="AY715" i="36"/>
  <c r="AQ710" i="36"/>
  <c r="BC709" i="36"/>
  <c r="BG702" i="36"/>
  <c r="BG805" i="36"/>
  <c r="BG801" i="36"/>
  <c r="BG797" i="36"/>
  <c r="BG793" i="36"/>
  <c r="BG789" i="36"/>
  <c r="BG785" i="36"/>
  <c r="BG781" i="36"/>
  <c r="BG775" i="36"/>
  <c r="AQ774" i="36"/>
  <c r="AY767" i="36"/>
  <c r="AU766" i="36"/>
  <c r="AU764" i="36"/>
  <c r="BG761" i="36"/>
  <c r="AU759" i="36"/>
  <c r="AQ753" i="36"/>
  <c r="AQ751" i="36"/>
  <c r="AY745" i="36"/>
  <c r="AY740" i="36"/>
  <c r="BG734" i="36"/>
  <c r="BC731" i="36"/>
  <c r="AU726" i="36"/>
  <c r="AU722" i="36"/>
  <c r="AQ716" i="36"/>
  <c r="AU715" i="36"/>
  <c r="AY703" i="36"/>
  <c r="AQ801" i="36"/>
  <c r="AQ797" i="36"/>
  <c r="AQ793" i="36"/>
  <c r="AQ789" i="36"/>
  <c r="AQ785" i="36"/>
  <c r="AQ781" i="36"/>
  <c r="BC774" i="36"/>
  <c r="BC769" i="36"/>
  <c r="BC764" i="36"/>
  <c r="BG759" i="36"/>
  <c r="AQ758" i="36"/>
  <c r="AY751" i="36"/>
  <c r="AU750" i="36"/>
  <c r="AU748" i="36"/>
  <c r="BG745" i="36"/>
  <c r="AU743" i="36"/>
  <c r="AQ737" i="36"/>
  <c r="AQ735" i="36"/>
  <c r="BG726" i="36"/>
  <c r="BG722" i="36"/>
  <c r="AQ721" i="36"/>
  <c r="AU717" i="36"/>
  <c r="BC712" i="36"/>
  <c r="BC707" i="36"/>
  <c r="BC704" i="36"/>
  <c r="BG848" i="36"/>
  <c r="AU841" i="36"/>
  <c r="AQ840" i="36"/>
  <c r="AY838" i="36"/>
  <c r="BC835" i="36"/>
  <c r="BG832" i="36"/>
  <c r="AU825" i="36"/>
  <c r="AQ824" i="36"/>
  <c r="AY822" i="36"/>
  <c r="BC819" i="36"/>
  <c r="BG816" i="36"/>
  <c r="AU809" i="36"/>
  <c r="BC808" i="36"/>
  <c r="AY807" i="36"/>
  <c r="AU806" i="36"/>
  <c r="BC804" i="36"/>
  <c r="AY803" i="36"/>
  <c r="AU802" i="36"/>
  <c r="BC800" i="36"/>
  <c r="AY799" i="36"/>
  <c r="AU798" i="36"/>
  <c r="BC796" i="36"/>
  <c r="AY795" i="36"/>
  <c r="AU794" i="36"/>
  <c r="BC792" i="36"/>
  <c r="AY791" i="36"/>
  <c r="AU790" i="36"/>
  <c r="BC788" i="36"/>
  <c r="AY787" i="36"/>
  <c r="AU786" i="36"/>
  <c r="BC784" i="36"/>
  <c r="AY783" i="36"/>
  <c r="AU782" i="36"/>
  <c r="BC780" i="36"/>
  <c r="AY779" i="36"/>
  <c r="BG778" i="36"/>
  <c r="AY777" i="36"/>
  <c r="AY772" i="36"/>
  <c r="AU771" i="36"/>
  <c r="AQ770" i="36"/>
  <c r="BG766" i="36"/>
  <c r="AU762" i="36"/>
  <c r="BC760" i="36"/>
  <c r="BC758" i="36"/>
  <c r="BC753" i="36"/>
  <c r="BC748" i="36"/>
  <c r="BG743" i="36"/>
  <c r="AQ742" i="36"/>
  <c r="AY735" i="36"/>
  <c r="AU734" i="36"/>
  <c r="BC733" i="36"/>
  <c r="BG728" i="36"/>
  <c r="AU725" i="36"/>
  <c r="BG724" i="36"/>
  <c r="BC721" i="36"/>
  <c r="AU713" i="36"/>
  <c r="AY712" i="36"/>
  <c r="AY707" i="36"/>
  <c r="BC725" i="36"/>
  <c r="BC720" i="36"/>
  <c r="AQ718" i="36"/>
  <c r="AU710" i="36"/>
  <c r="AU731" i="36"/>
  <c r="AY728" i="36"/>
  <c r="AY723" i="36"/>
  <c r="BG710" i="36"/>
  <c r="AQ709" i="36"/>
  <c r="AQ702" i="36"/>
  <c r="N86" i="11" l="1"/>
  <c r="N64" i="11"/>
  <c r="N65" i="11"/>
  <c r="I64" i="11"/>
  <c r="AG327" i="38" l="1"/>
  <c r="N89" i="11"/>
  <c r="N90" i="11"/>
  <c r="N91" i="11"/>
  <c r="N92" i="11"/>
  <c r="N93" i="11"/>
  <c r="N94" i="11"/>
  <c r="N95" i="11"/>
  <c r="N96" i="11"/>
  <c r="N97" i="11"/>
  <c r="N98" i="11"/>
  <c r="N99" i="11"/>
  <c r="N100" i="11"/>
  <c r="N101" i="11"/>
  <c r="N102" i="11"/>
  <c r="N103" i="11"/>
  <c r="N104" i="11"/>
  <c r="I89" i="11"/>
  <c r="I90" i="11"/>
  <c r="I91" i="11"/>
  <c r="I92" i="11"/>
  <c r="I93" i="11"/>
  <c r="I94" i="11"/>
  <c r="I95" i="11"/>
  <c r="I96" i="11"/>
  <c r="I97" i="11"/>
  <c r="I98" i="11"/>
  <c r="I99" i="11"/>
  <c r="I100" i="11"/>
  <c r="I101" i="11"/>
  <c r="I102" i="11"/>
  <c r="I103" i="11"/>
  <c r="I104" i="11"/>
  <c r="I105" i="11"/>
  <c r="N105" i="11"/>
  <c r="N88" i="11"/>
  <c r="N87" i="11"/>
  <c r="I88" i="11"/>
  <c r="I87" i="11"/>
  <c r="N83" i="11"/>
  <c r="N67" i="11"/>
  <c r="N68" i="11"/>
  <c r="N69" i="11"/>
  <c r="N70" i="11"/>
  <c r="N71" i="11"/>
  <c r="N72" i="11"/>
  <c r="N73" i="11"/>
  <c r="N74" i="11"/>
  <c r="N75" i="11"/>
  <c r="N76" i="11"/>
  <c r="N77" i="11"/>
  <c r="N78" i="11"/>
  <c r="N79" i="11"/>
  <c r="N80" i="11"/>
  <c r="N81" i="11"/>
  <c r="N82" i="11"/>
  <c r="N66" i="11"/>
  <c r="I83" i="11"/>
  <c r="I67" i="11"/>
  <c r="I68" i="11"/>
  <c r="I69" i="11"/>
  <c r="I70" i="11"/>
  <c r="I71" i="11"/>
  <c r="I72" i="11"/>
  <c r="I73" i="11"/>
  <c r="I74" i="11"/>
  <c r="I75" i="11"/>
  <c r="I76" i="11"/>
  <c r="I77" i="11"/>
  <c r="I78" i="11"/>
  <c r="I79" i="11"/>
  <c r="I80" i="11"/>
  <c r="I81" i="11"/>
  <c r="I82" i="11"/>
  <c r="I66" i="11"/>
  <c r="I65" i="11"/>
  <c r="AI14" i="9"/>
  <c r="AI15" i="9"/>
  <c r="AI16" i="9"/>
  <c r="AI17" i="9"/>
  <c r="AI18" i="9"/>
  <c r="I86" i="11" s="1"/>
  <c r="AI19" i="9"/>
  <c r="AI20" i="9"/>
  <c r="AI21" i="9"/>
  <c r="AI22" i="9"/>
  <c r="AI23" i="9"/>
  <c r="AI24" i="9"/>
  <c r="AI25" i="9"/>
  <c r="AI26" i="9"/>
  <c r="AI27" i="9"/>
  <c r="AI28" i="9"/>
  <c r="AI29" i="9"/>
  <c r="AI30" i="9"/>
  <c r="AI31" i="9"/>
  <c r="AI32" i="9"/>
  <c r="AI33" i="9"/>
  <c r="AI34" i="9"/>
  <c r="AI35" i="9"/>
  <c r="AI36" i="9"/>
  <c r="AI37" i="9"/>
  <c r="AI38" i="9"/>
  <c r="AI39" i="9"/>
  <c r="AI40" i="9"/>
  <c r="AI41" i="9"/>
  <c r="AI42" i="9"/>
  <c r="AI43" i="9"/>
  <c r="AI44" i="9"/>
  <c r="AI45" i="9"/>
  <c r="AI46" i="9"/>
  <c r="AI47" i="9"/>
  <c r="AI48" i="9"/>
  <c r="AI49" i="9"/>
  <c r="AI50" i="9"/>
  <c r="AI51" i="9"/>
  <c r="AI52" i="9"/>
  <c r="AI53" i="9"/>
  <c r="AI54" i="9"/>
  <c r="AI55" i="9"/>
  <c r="AI56" i="9"/>
  <c r="AI57" i="9"/>
  <c r="AI58" i="9"/>
  <c r="AI59" i="9"/>
  <c r="AI60" i="9"/>
  <c r="AI61" i="9"/>
  <c r="AI62" i="9"/>
  <c r="AI63" i="9"/>
  <c r="AI64" i="9"/>
  <c r="AI65" i="9"/>
  <c r="AI66" i="9"/>
  <c r="AI67" i="9"/>
  <c r="AI68" i="9"/>
  <c r="AI69" i="9"/>
  <c r="AI70" i="9"/>
  <c r="AI71" i="9"/>
  <c r="AI72" i="9"/>
  <c r="AI73" i="9"/>
  <c r="AI74" i="9"/>
  <c r="AI75" i="9"/>
  <c r="AI76" i="9"/>
  <c r="AI77" i="9"/>
  <c r="AI78" i="9"/>
  <c r="AI79" i="9"/>
  <c r="AI80" i="9"/>
  <c r="AI81" i="9"/>
  <c r="AI82" i="9"/>
  <c r="AI83" i="9"/>
  <c r="AI84" i="9"/>
  <c r="AI85" i="9"/>
  <c r="AI86" i="9"/>
  <c r="AI87" i="9"/>
  <c r="AI88" i="9"/>
  <c r="AI89" i="9"/>
  <c r="AI90" i="9"/>
  <c r="AI91" i="9"/>
  <c r="AI92" i="9"/>
  <c r="AI93" i="9"/>
  <c r="AI94" i="9"/>
  <c r="AI95" i="9"/>
  <c r="AI96" i="9"/>
  <c r="AI97" i="9"/>
  <c r="AI98" i="9"/>
  <c r="AI99" i="9"/>
  <c r="AI100" i="9"/>
  <c r="AI101" i="9"/>
  <c r="AI102" i="9"/>
  <c r="AI103" i="9"/>
  <c r="AI104" i="9"/>
  <c r="AI105" i="9"/>
  <c r="AI106" i="9"/>
  <c r="AI107" i="9"/>
  <c r="AI108" i="9"/>
  <c r="AI109" i="9"/>
  <c r="AI110" i="9"/>
  <c r="AI111" i="9"/>
  <c r="AI112" i="9"/>
  <c r="AI113" i="9"/>
  <c r="AI114" i="9"/>
  <c r="AI115" i="9"/>
  <c r="AI116" i="9"/>
  <c r="AI117" i="9"/>
  <c r="AI118" i="9"/>
  <c r="AI119" i="9"/>
  <c r="AI120" i="9"/>
  <c r="AI121" i="9"/>
  <c r="AI122" i="9"/>
  <c r="AI123" i="9"/>
  <c r="AI124" i="9"/>
  <c r="AI125" i="9"/>
  <c r="AI126" i="9"/>
  <c r="AI127" i="9"/>
  <c r="AI128" i="9"/>
  <c r="AI129" i="9"/>
  <c r="AI130" i="9"/>
  <c r="AI131" i="9"/>
  <c r="AI132" i="9"/>
  <c r="AI133" i="9"/>
  <c r="AI134" i="9"/>
  <c r="AI135" i="9"/>
  <c r="AI136" i="9"/>
  <c r="AI137" i="9"/>
  <c r="AI138" i="9"/>
  <c r="AI139" i="9"/>
  <c r="AI140" i="9"/>
  <c r="AI141" i="9"/>
  <c r="AI142" i="9"/>
  <c r="AI143" i="9"/>
  <c r="AI144" i="9"/>
  <c r="AI145" i="9"/>
  <c r="AI146" i="9"/>
  <c r="AI147" i="9"/>
  <c r="AI148" i="9"/>
  <c r="AI149" i="9"/>
  <c r="AI150" i="9"/>
  <c r="AI151" i="9"/>
  <c r="AI152" i="9"/>
  <c r="AI153" i="9"/>
  <c r="AI154" i="9"/>
  <c r="AI155" i="9"/>
  <c r="AI156" i="9"/>
  <c r="AI157" i="9"/>
  <c r="AI158" i="9"/>
  <c r="AI159" i="9"/>
  <c r="AI160" i="9"/>
  <c r="AI161" i="9"/>
  <c r="AI162" i="9"/>
  <c r="AI163" i="9"/>
  <c r="AI164" i="9"/>
  <c r="AI165" i="9"/>
  <c r="AI166" i="9"/>
  <c r="AI167" i="9"/>
  <c r="AI168" i="9"/>
  <c r="AI169" i="9"/>
  <c r="AI170" i="9"/>
  <c r="AI171" i="9"/>
  <c r="AI172" i="9"/>
  <c r="AI173" i="9"/>
  <c r="AI174" i="9"/>
  <c r="AI175" i="9"/>
  <c r="AI176" i="9"/>
  <c r="AI177" i="9"/>
  <c r="AI178" i="9"/>
  <c r="AI179" i="9"/>
  <c r="AI180" i="9"/>
  <c r="AI181" i="9"/>
  <c r="AI182" i="9"/>
  <c r="AI183" i="9"/>
  <c r="AI184" i="9"/>
  <c r="AI185" i="9"/>
  <c r="AI186" i="9"/>
  <c r="AI187" i="9"/>
  <c r="AI188" i="9"/>
  <c r="AI189" i="9"/>
  <c r="AI190" i="9"/>
  <c r="AI191" i="9"/>
  <c r="AI192" i="9"/>
  <c r="AI193" i="9"/>
  <c r="AI194" i="9"/>
  <c r="AI195" i="9"/>
  <c r="AI196" i="9"/>
  <c r="AI197" i="9"/>
  <c r="AI198" i="9"/>
  <c r="AI199" i="9"/>
  <c r="AI200" i="9"/>
  <c r="AI201" i="9"/>
  <c r="AI202" i="9"/>
  <c r="AI203" i="9"/>
  <c r="AI204" i="9"/>
  <c r="AI205" i="9"/>
  <c r="AI206" i="9"/>
  <c r="AI207" i="9"/>
  <c r="AI208" i="9"/>
  <c r="AI209" i="9"/>
  <c r="AI210" i="9"/>
  <c r="AI211" i="9"/>
  <c r="AI212" i="9"/>
  <c r="AI213" i="9"/>
  <c r="AI214" i="9"/>
  <c r="AI215" i="9"/>
  <c r="AI216" i="9"/>
  <c r="AI217" i="9"/>
  <c r="AI218" i="9"/>
  <c r="AI219" i="9"/>
  <c r="AI220" i="9"/>
  <c r="AI221" i="9"/>
  <c r="AI222" i="9"/>
  <c r="AI223" i="9"/>
  <c r="AI224" i="9"/>
  <c r="AI225" i="9"/>
  <c r="AI226" i="9"/>
  <c r="AI227" i="9"/>
  <c r="AI228" i="9"/>
  <c r="AI229" i="9"/>
  <c r="AI230" i="9"/>
  <c r="AI231" i="9"/>
  <c r="AI232" i="9"/>
  <c r="AI233" i="9"/>
  <c r="AI234" i="9"/>
  <c r="AI235" i="9"/>
  <c r="AI236" i="9"/>
  <c r="AI237" i="9"/>
  <c r="AI238" i="9"/>
  <c r="AI239" i="9"/>
  <c r="AI240" i="9"/>
  <c r="AI241" i="9"/>
  <c r="AI242" i="9"/>
  <c r="AI243" i="9"/>
  <c r="AI244" i="9"/>
  <c r="AI245" i="9"/>
  <c r="AI246" i="9"/>
  <c r="AI247" i="9"/>
  <c r="AI248" i="9"/>
  <c r="AI249" i="9"/>
  <c r="AI250" i="9"/>
  <c r="AI251" i="9"/>
  <c r="AI252" i="9"/>
  <c r="AI253" i="9"/>
  <c r="AI254" i="9"/>
  <c r="AI255" i="9"/>
  <c r="AI256" i="9"/>
  <c r="AI257" i="9"/>
  <c r="AI258" i="9"/>
  <c r="AI8" i="9"/>
  <c r="AI9" i="9"/>
  <c r="AI10" i="9"/>
  <c r="AI11" i="9"/>
  <c r="AI12" i="9"/>
  <c r="AI13" i="9"/>
  <c r="AI7" i="9"/>
  <c r="T216" i="11"/>
  <c r="U216" i="11"/>
  <c r="T217" i="11"/>
  <c r="U217" i="11"/>
  <c r="T218" i="11"/>
  <c r="U218" i="11"/>
  <c r="T219" i="11"/>
  <c r="U219" i="11"/>
  <c r="T220" i="11"/>
  <c r="U220" i="11"/>
  <c r="T221" i="11"/>
  <c r="U221" i="11"/>
  <c r="F5" i="12"/>
  <c r="CU755" i="34" l="1"/>
  <c r="CB755" i="34"/>
  <c r="CU754" i="34"/>
  <c r="CB754" i="34"/>
  <c r="CU753" i="34"/>
  <c r="CB753" i="34"/>
  <c r="CU752" i="34"/>
  <c r="CB752" i="34"/>
  <c r="CU751" i="34"/>
  <c r="CB751" i="34"/>
  <c r="CU750" i="34"/>
  <c r="CB750" i="34"/>
  <c r="CU749" i="34"/>
  <c r="CB749" i="34"/>
  <c r="CU748" i="34"/>
  <c r="CB748" i="34"/>
  <c r="CU747" i="34"/>
  <c r="CB747" i="34"/>
  <c r="CU746" i="34"/>
  <c r="CB746" i="34"/>
  <c r="CU745" i="34"/>
  <c r="CB745" i="34"/>
  <c r="CU744" i="34"/>
  <c r="CB744" i="34"/>
  <c r="CU743" i="34"/>
  <c r="CB743" i="34"/>
  <c r="CU742" i="34"/>
  <c r="CB742" i="34"/>
  <c r="CU741" i="34"/>
  <c r="CB741" i="34"/>
  <c r="CU740" i="34"/>
  <c r="CB740" i="34"/>
  <c r="CU739" i="34"/>
  <c r="CB739" i="34"/>
  <c r="CU738" i="34"/>
  <c r="CB738" i="34"/>
  <c r="CU737" i="34"/>
  <c r="CB737" i="34"/>
  <c r="CU736" i="34"/>
  <c r="CB736" i="34"/>
  <c r="CU735" i="34"/>
  <c r="CB735" i="34"/>
  <c r="CU734" i="34"/>
  <c r="CB734" i="34"/>
  <c r="CU733" i="34"/>
  <c r="CB733" i="34"/>
  <c r="CU732" i="34"/>
  <c r="CB732" i="34"/>
  <c r="CU731" i="34"/>
  <c r="CB731" i="34"/>
  <c r="CU730" i="34"/>
  <c r="CB730" i="34"/>
  <c r="CU729" i="34"/>
  <c r="CB729" i="34"/>
  <c r="CU728" i="34"/>
  <c r="CB728" i="34"/>
  <c r="CU727" i="34"/>
  <c r="CB727" i="34"/>
  <c r="CU726" i="34"/>
  <c r="CB726" i="34"/>
  <c r="CU725" i="34"/>
  <c r="CB725" i="34"/>
  <c r="CU724" i="34"/>
  <c r="CB724" i="34"/>
  <c r="CU723" i="34"/>
  <c r="CB723" i="34"/>
  <c r="CU722" i="34"/>
  <c r="CB722" i="34"/>
  <c r="CU721" i="34"/>
  <c r="CB721" i="34"/>
  <c r="CU720" i="34"/>
  <c r="CB720" i="34"/>
  <c r="CU719" i="34"/>
  <c r="CB719" i="34"/>
  <c r="CU718" i="34"/>
  <c r="CB718" i="34"/>
  <c r="CU717" i="34"/>
  <c r="CB717" i="34"/>
  <c r="CU716" i="34"/>
  <c r="CB716" i="34"/>
  <c r="CU715" i="34"/>
  <c r="CB715" i="34"/>
  <c r="CU714" i="34"/>
  <c r="CB714" i="34"/>
  <c r="CU713" i="34"/>
  <c r="CB713" i="34"/>
  <c r="CU712" i="34"/>
  <c r="CB712" i="34"/>
  <c r="CU711" i="34"/>
  <c r="CB711" i="34"/>
  <c r="CU710" i="34"/>
  <c r="CB710" i="34"/>
  <c r="CU709" i="34"/>
  <c r="CB709" i="34"/>
  <c r="CU708" i="34"/>
  <c r="CB708" i="34"/>
  <c r="CU707" i="34"/>
  <c r="CB707" i="34"/>
  <c r="CU706" i="34"/>
  <c r="CB706" i="34"/>
  <c r="CU705" i="34"/>
  <c r="CB705" i="34"/>
  <c r="CU704" i="34"/>
  <c r="CB704" i="34"/>
  <c r="CU703" i="34"/>
  <c r="CB703" i="34"/>
  <c r="CU702" i="34"/>
  <c r="CB702" i="34"/>
  <c r="CU701" i="34"/>
  <c r="CB701" i="34"/>
  <c r="CU700" i="34"/>
  <c r="CB700" i="34"/>
  <c r="CU699" i="34"/>
  <c r="CB699" i="34"/>
  <c r="CU698" i="34"/>
  <c r="CB698" i="34"/>
  <c r="CU697" i="34"/>
  <c r="CB697" i="34"/>
  <c r="CU696" i="34"/>
  <c r="CB696" i="34"/>
  <c r="CU695" i="34"/>
  <c r="CB695" i="34"/>
  <c r="CU694" i="34"/>
  <c r="CB694" i="34"/>
  <c r="CU693" i="34"/>
  <c r="CB693" i="34"/>
  <c r="CU692" i="34"/>
  <c r="CB692" i="34"/>
  <c r="CU691" i="34"/>
  <c r="CB691" i="34"/>
  <c r="CU690" i="34"/>
  <c r="CB690" i="34"/>
  <c r="CU689" i="34"/>
  <c r="CB689" i="34"/>
  <c r="CU688" i="34"/>
  <c r="CB688" i="34"/>
  <c r="CU687" i="34"/>
  <c r="CB687" i="34"/>
  <c r="CU686" i="34"/>
  <c r="CB686" i="34"/>
  <c r="CU685" i="34"/>
  <c r="CB685" i="34"/>
  <c r="CU684" i="34"/>
  <c r="CB684" i="34"/>
  <c r="CU683" i="34"/>
  <c r="CB683" i="34"/>
  <c r="CU682" i="34"/>
  <c r="CB682" i="34"/>
  <c r="CU681" i="34"/>
  <c r="CB681" i="34"/>
  <c r="CU680" i="34"/>
  <c r="CB680" i="34"/>
  <c r="CU679" i="34"/>
  <c r="CB679" i="34"/>
  <c r="CU678" i="34"/>
  <c r="CB678" i="34"/>
  <c r="CU677" i="34"/>
  <c r="CB677" i="34"/>
  <c r="CU676" i="34"/>
  <c r="CB676" i="34"/>
  <c r="CU675" i="34"/>
  <c r="CB675" i="34"/>
  <c r="CU674" i="34"/>
  <c r="CB674" i="34"/>
  <c r="CU673" i="34"/>
  <c r="CB673" i="34"/>
  <c r="CU672" i="34"/>
  <c r="CB672" i="34"/>
  <c r="CU671" i="34"/>
  <c r="CB671" i="34"/>
  <c r="CU670" i="34"/>
  <c r="CB670" i="34"/>
  <c r="CU669" i="34"/>
  <c r="CB669" i="34"/>
  <c r="CU668" i="34"/>
  <c r="CB668" i="34"/>
  <c r="CU667" i="34"/>
  <c r="CB667" i="34"/>
  <c r="CU666" i="34"/>
  <c r="CB666" i="34"/>
  <c r="CU665" i="34"/>
  <c r="CB665" i="34"/>
  <c r="CU664" i="34"/>
  <c r="CB664" i="34"/>
  <c r="CU663" i="34"/>
  <c r="CB663" i="34"/>
  <c r="CU662" i="34"/>
  <c r="CB662" i="34"/>
  <c r="CU661" i="34"/>
  <c r="CB661" i="34"/>
  <c r="CU660" i="34"/>
  <c r="CB660" i="34"/>
  <c r="CU659" i="34"/>
  <c r="CB659" i="34"/>
  <c r="CU658" i="34"/>
  <c r="CB658" i="34"/>
  <c r="CU657" i="34"/>
  <c r="CB657" i="34"/>
  <c r="CU656" i="34"/>
  <c r="CB656" i="34"/>
  <c r="CU655" i="34"/>
  <c r="CB655" i="34"/>
  <c r="CU654" i="34"/>
  <c r="CB654" i="34"/>
  <c r="CU653" i="34"/>
  <c r="CB653" i="34"/>
  <c r="CU652" i="34"/>
  <c r="CB652" i="34"/>
  <c r="CU651" i="34"/>
  <c r="CB651" i="34"/>
  <c r="CU650" i="34"/>
  <c r="CB650" i="34"/>
  <c r="CU649" i="34"/>
  <c r="CB649" i="34"/>
  <c r="CU648" i="34"/>
  <c r="CB648" i="34"/>
  <c r="CU647" i="34"/>
  <c r="CB647" i="34"/>
  <c r="CU646" i="34"/>
  <c r="CB646" i="34"/>
  <c r="CU645" i="34"/>
  <c r="CB645" i="34"/>
  <c r="CU644" i="34"/>
  <c r="CB644" i="34"/>
  <c r="CU643" i="34"/>
  <c r="CB643" i="34"/>
  <c r="CU642" i="34"/>
  <c r="CB642" i="34"/>
  <c r="CU641" i="34"/>
  <c r="CB641" i="34"/>
  <c r="CU640" i="34"/>
  <c r="CB640" i="34"/>
  <c r="CU639" i="34"/>
  <c r="CB639" i="34"/>
  <c r="CU638" i="34"/>
  <c r="CB638" i="34"/>
  <c r="CU637" i="34"/>
  <c r="CB637" i="34"/>
  <c r="CU636" i="34"/>
  <c r="CB636" i="34"/>
  <c r="CU635" i="34"/>
  <c r="CB635" i="34"/>
  <c r="CU634" i="34"/>
  <c r="CB634" i="34"/>
  <c r="CU633" i="34"/>
  <c r="CB633" i="34"/>
  <c r="CU632" i="34"/>
  <c r="CB632" i="34"/>
  <c r="CU631" i="34"/>
  <c r="CB631" i="34"/>
  <c r="CU630" i="34"/>
  <c r="CB630" i="34"/>
  <c r="CU629" i="34"/>
  <c r="CB629" i="34"/>
  <c r="CU628" i="34"/>
  <c r="CB628" i="34"/>
  <c r="CU627" i="34"/>
  <c r="CB627" i="34"/>
  <c r="CU626" i="34"/>
  <c r="CB626" i="34"/>
  <c r="CU625" i="34"/>
  <c r="CB625" i="34"/>
  <c r="CU624" i="34"/>
  <c r="CB624" i="34"/>
  <c r="CU623" i="34"/>
  <c r="CB623" i="34"/>
  <c r="CU622" i="34"/>
  <c r="CB622" i="34"/>
  <c r="CU621" i="34"/>
  <c r="CB621" i="34"/>
  <c r="CU620" i="34"/>
  <c r="CB620" i="34"/>
  <c r="CU619" i="34"/>
  <c r="CB619" i="34"/>
  <c r="CU618" i="34"/>
  <c r="CB618" i="34"/>
  <c r="CU617" i="34"/>
  <c r="CB617" i="34"/>
  <c r="CU616" i="34"/>
  <c r="CB616" i="34"/>
  <c r="CU615" i="34"/>
  <c r="CB615" i="34"/>
  <c r="CU614" i="34"/>
  <c r="CB614" i="34"/>
  <c r="CU613" i="34"/>
  <c r="CB613" i="34"/>
  <c r="CU612" i="34"/>
  <c r="CB612" i="34"/>
  <c r="CU611" i="34"/>
  <c r="CB611" i="34"/>
  <c r="CU610" i="34"/>
  <c r="CB610" i="34"/>
  <c r="CU609" i="34"/>
  <c r="CB609" i="34"/>
  <c r="CU608" i="34"/>
  <c r="CB608" i="34"/>
  <c r="CU607" i="34"/>
  <c r="CB607" i="34"/>
  <c r="CU606" i="34"/>
  <c r="CB606" i="34"/>
  <c r="CU604" i="34"/>
  <c r="CB604" i="34"/>
  <c r="CU603" i="34"/>
  <c r="CB603" i="34"/>
  <c r="CU602" i="34"/>
  <c r="CB602" i="34"/>
  <c r="CU601" i="34"/>
  <c r="CB601" i="34"/>
  <c r="CU600" i="34"/>
  <c r="CB600" i="34"/>
  <c r="CU599" i="34"/>
  <c r="CB599" i="34"/>
  <c r="CU598" i="34"/>
  <c r="CB598" i="34"/>
  <c r="CU597" i="34"/>
  <c r="CB597" i="34"/>
  <c r="CU596" i="34"/>
  <c r="CB596" i="34"/>
  <c r="CU595" i="34"/>
  <c r="CB595" i="34"/>
  <c r="CU594" i="34"/>
  <c r="CB594" i="34"/>
  <c r="CU593" i="34"/>
  <c r="CB593" i="34"/>
  <c r="CU592" i="34"/>
  <c r="CB592" i="34"/>
  <c r="CU591" i="34"/>
  <c r="CB591" i="34"/>
  <c r="CU590" i="34"/>
  <c r="CB590" i="34"/>
  <c r="CU589" i="34"/>
  <c r="CB589" i="34"/>
  <c r="CU588" i="34"/>
  <c r="CB588" i="34"/>
  <c r="CU587" i="34"/>
  <c r="CB587" i="34"/>
  <c r="CU586" i="34"/>
  <c r="CB586" i="34"/>
  <c r="CU585" i="34"/>
  <c r="CB585" i="34"/>
  <c r="CU584" i="34"/>
  <c r="CB584" i="34"/>
  <c r="CU583" i="34"/>
  <c r="CB583" i="34"/>
  <c r="CU582" i="34"/>
  <c r="CB582" i="34"/>
  <c r="CU581" i="34"/>
  <c r="CB581" i="34"/>
  <c r="CU580" i="34"/>
  <c r="CB580" i="34"/>
  <c r="CU579" i="34"/>
  <c r="CB579" i="34"/>
  <c r="CU578" i="34"/>
  <c r="CB578" i="34"/>
  <c r="CU577" i="34"/>
  <c r="CB577" i="34"/>
  <c r="CU576" i="34"/>
  <c r="CB576" i="34"/>
  <c r="CU575" i="34"/>
  <c r="CB575" i="34"/>
  <c r="CU574" i="34"/>
  <c r="CB574" i="34"/>
  <c r="CU573" i="34"/>
  <c r="CB573" i="34"/>
  <c r="CU572" i="34"/>
  <c r="CB572" i="34"/>
  <c r="CU571" i="34"/>
  <c r="CB571" i="34"/>
  <c r="CU570" i="34"/>
  <c r="CB570" i="34"/>
  <c r="CU569" i="34"/>
  <c r="CB569" i="34"/>
  <c r="CU568" i="34"/>
  <c r="CB568" i="34"/>
  <c r="CU567" i="34"/>
  <c r="CB567" i="34"/>
  <c r="CU566" i="34"/>
  <c r="CB566" i="34"/>
  <c r="CU565" i="34"/>
  <c r="CB565" i="34"/>
  <c r="CU564" i="34"/>
  <c r="CB564" i="34"/>
  <c r="CU563" i="34"/>
  <c r="CB563" i="34"/>
  <c r="CU562" i="34"/>
  <c r="CB562" i="34"/>
  <c r="CU561" i="34"/>
  <c r="CB561" i="34"/>
  <c r="CU560" i="34"/>
  <c r="CB560" i="34"/>
  <c r="CU559" i="34"/>
  <c r="CB559" i="34"/>
  <c r="CU558" i="34"/>
  <c r="CB558" i="34"/>
  <c r="CU557" i="34"/>
  <c r="CB557" i="34"/>
  <c r="CU556" i="34"/>
  <c r="CB556" i="34"/>
  <c r="CU555" i="34"/>
  <c r="CB555" i="34"/>
  <c r="CU554" i="34"/>
  <c r="CB554" i="34"/>
  <c r="CU553" i="34"/>
  <c r="CB553" i="34"/>
  <c r="CU552" i="34"/>
  <c r="CB552" i="34"/>
  <c r="CU551" i="34"/>
  <c r="CB551" i="34"/>
  <c r="CU550" i="34"/>
  <c r="CB550" i="34"/>
  <c r="CU549" i="34"/>
  <c r="CB549" i="34"/>
  <c r="CU548" i="34"/>
  <c r="CB548" i="34"/>
  <c r="CU547" i="34"/>
  <c r="CB547" i="34"/>
  <c r="CU546" i="34"/>
  <c r="CB546" i="34"/>
  <c r="CU545" i="34"/>
  <c r="CB545" i="34"/>
  <c r="CU544" i="34"/>
  <c r="CB544" i="34"/>
  <c r="CU543" i="34"/>
  <c r="CB543" i="34"/>
  <c r="CU542" i="34"/>
  <c r="CB542" i="34"/>
  <c r="CU541" i="34"/>
  <c r="CB541" i="34"/>
  <c r="CU540" i="34"/>
  <c r="CB540" i="34"/>
  <c r="CU539" i="34"/>
  <c r="CB539" i="34"/>
  <c r="CU538" i="34"/>
  <c r="CB538" i="34"/>
  <c r="CU537" i="34"/>
  <c r="CB537" i="34"/>
  <c r="CU536" i="34"/>
  <c r="CB536" i="34"/>
  <c r="CU535" i="34"/>
  <c r="CB535" i="34"/>
  <c r="CU534" i="34"/>
  <c r="CB534" i="34"/>
  <c r="CU533" i="34"/>
  <c r="CB533" i="34"/>
  <c r="CU532" i="34"/>
  <c r="CB532" i="34"/>
  <c r="CU531" i="34"/>
  <c r="CB531" i="34"/>
  <c r="CU530" i="34"/>
  <c r="CB530" i="34"/>
  <c r="CU529" i="34"/>
  <c r="CB529" i="34"/>
  <c r="CU528" i="34"/>
  <c r="CB528" i="34"/>
  <c r="CU527" i="34"/>
  <c r="CB527" i="34"/>
  <c r="CU526" i="34"/>
  <c r="CB526" i="34"/>
  <c r="CU525" i="34"/>
  <c r="CB525" i="34"/>
  <c r="CU524" i="34"/>
  <c r="CB524" i="34"/>
  <c r="CU523" i="34"/>
  <c r="CB523" i="34"/>
  <c r="CU522" i="34"/>
  <c r="CB522" i="34"/>
  <c r="CU521" i="34"/>
  <c r="CB521" i="34"/>
  <c r="CU520" i="34"/>
  <c r="CB520" i="34"/>
  <c r="CU519" i="34"/>
  <c r="CB519" i="34"/>
  <c r="CU518" i="34"/>
  <c r="CB518" i="34"/>
  <c r="CU517" i="34"/>
  <c r="CB517" i="34"/>
  <c r="CU516" i="34"/>
  <c r="CB516" i="34"/>
  <c r="CU515" i="34"/>
  <c r="CB515" i="34"/>
  <c r="CU514" i="34"/>
  <c r="CB514" i="34"/>
  <c r="CU513" i="34"/>
  <c r="CB513" i="34"/>
  <c r="CU512" i="34"/>
  <c r="CB512" i="34"/>
  <c r="CU511" i="34"/>
  <c r="CB511" i="34"/>
  <c r="CU510" i="34"/>
  <c r="CB510" i="34"/>
  <c r="CU509" i="34"/>
  <c r="CB509" i="34"/>
  <c r="CU508" i="34"/>
  <c r="CB508" i="34"/>
  <c r="CU507" i="34"/>
  <c r="CB507" i="34"/>
  <c r="CU506" i="34"/>
  <c r="CB506" i="34"/>
  <c r="CU505" i="34"/>
  <c r="CB505" i="34"/>
  <c r="CU504" i="34"/>
  <c r="CB504" i="34"/>
  <c r="CU503" i="34"/>
  <c r="CB503" i="34"/>
  <c r="CU502" i="34"/>
  <c r="CB502" i="34"/>
  <c r="CU501" i="34"/>
  <c r="CB501" i="34"/>
  <c r="CU500" i="34"/>
  <c r="CB500" i="34"/>
  <c r="CU499" i="34"/>
  <c r="CB499" i="34"/>
  <c r="CU498" i="34"/>
  <c r="CB498" i="34"/>
  <c r="CU497" i="34"/>
  <c r="CB497" i="34"/>
  <c r="CU496" i="34"/>
  <c r="CB496" i="34"/>
  <c r="CU495" i="34"/>
  <c r="CB495" i="34"/>
  <c r="CU494" i="34"/>
  <c r="CB494" i="34"/>
  <c r="CU493" i="34"/>
  <c r="CB493" i="34"/>
  <c r="CU492" i="34"/>
  <c r="CB492" i="34"/>
  <c r="CU491" i="34"/>
  <c r="CB491" i="34"/>
  <c r="CU490" i="34"/>
  <c r="CB490" i="34"/>
  <c r="CU489" i="34"/>
  <c r="CB489" i="34"/>
  <c r="CU488" i="34"/>
  <c r="CB488" i="34"/>
  <c r="CU487" i="34"/>
  <c r="CB487" i="34"/>
  <c r="CU486" i="34"/>
  <c r="CB486" i="34"/>
  <c r="CU485" i="34"/>
  <c r="CB485" i="34"/>
  <c r="CU484" i="34"/>
  <c r="CB484" i="34"/>
  <c r="CU483" i="34"/>
  <c r="CB483" i="34"/>
  <c r="CU482" i="34"/>
  <c r="CB482" i="34"/>
  <c r="CU481" i="34"/>
  <c r="CB481" i="34"/>
  <c r="CU480" i="34"/>
  <c r="CB480" i="34"/>
  <c r="CU479" i="34"/>
  <c r="CB479" i="34"/>
  <c r="CU478" i="34"/>
  <c r="CB478" i="34"/>
  <c r="CU477" i="34"/>
  <c r="CB477" i="34"/>
  <c r="CU476" i="34"/>
  <c r="CB476" i="34"/>
  <c r="CU475" i="34"/>
  <c r="CB475" i="34"/>
  <c r="CU474" i="34"/>
  <c r="CB474" i="34"/>
  <c r="CU473" i="34"/>
  <c r="CB473" i="34"/>
  <c r="CU472" i="34"/>
  <c r="CB472" i="34"/>
  <c r="CU471" i="34"/>
  <c r="CB471" i="34"/>
  <c r="CU470" i="34"/>
  <c r="CB470" i="34"/>
  <c r="CU469" i="34"/>
  <c r="CB469" i="34"/>
  <c r="CU468" i="34"/>
  <c r="CB468" i="34"/>
  <c r="CU467" i="34"/>
  <c r="CB467" i="34"/>
  <c r="CU466" i="34"/>
  <c r="CB466" i="34"/>
  <c r="CU465" i="34"/>
  <c r="CB465" i="34"/>
  <c r="CU464" i="34"/>
  <c r="CB464" i="34"/>
  <c r="CU463" i="34"/>
  <c r="CB463" i="34"/>
  <c r="CU462" i="34"/>
  <c r="CB462" i="34"/>
  <c r="CU461" i="34"/>
  <c r="CB461" i="34"/>
  <c r="CU460" i="34"/>
  <c r="CB460" i="34"/>
  <c r="CU459" i="34"/>
  <c r="CB459" i="34"/>
  <c r="CU458" i="34"/>
  <c r="CB458" i="34"/>
  <c r="CU457" i="34"/>
  <c r="CB457" i="34"/>
  <c r="CU456" i="34"/>
  <c r="CB456" i="34"/>
  <c r="CU455" i="34"/>
  <c r="CB455" i="34"/>
  <c r="CU453" i="34"/>
  <c r="CB453" i="34"/>
  <c r="CU452" i="34"/>
  <c r="CB452" i="34"/>
  <c r="CU451" i="34"/>
  <c r="CB451" i="34"/>
  <c r="CU450" i="34"/>
  <c r="CB450" i="34"/>
  <c r="CU449" i="34"/>
  <c r="CB449" i="34"/>
  <c r="CU448" i="34"/>
  <c r="CB448" i="34"/>
  <c r="CU447" i="34"/>
  <c r="CB447" i="34"/>
  <c r="CU446" i="34"/>
  <c r="CB446" i="34"/>
  <c r="CU445" i="34"/>
  <c r="CB445" i="34"/>
  <c r="CU444" i="34"/>
  <c r="CB444" i="34"/>
  <c r="CU443" i="34"/>
  <c r="CB443" i="34"/>
  <c r="CU442" i="34"/>
  <c r="CB442" i="34"/>
  <c r="CU441" i="34"/>
  <c r="CB441" i="34"/>
  <c r="CU440" i="34"/>
  <c r="CB440" i="34"/>
  <c r="CU439" i="34"/>
  <c r="CB439" i="34"/>
  <c r="CU438" i="34"/>
  <c r="CB438" i="34"/>
  <c r="CU437" i="34"/>
  <c r="CB437" i="34"/>
  <c r="CU436" i="34"/>
  <c r="CB436" i="34"/>
  <c r="CU435" i="34"/>
  <c r="CB435" i="34"/>
  <c r="CU434" i="34"/>
  <c r="CB434" i="34"/>
  <c r="CU433" i="34"/>
  <c r="CB433" i="34"/>
  <c r="CU432" i="34"/>
  <c r="CB432" i="34"/>
  <c r="CU431" i="34"/>
  <c r="CB431" i="34"/>
  <c r="CU430" i="34"/>
  <c r="CB430" i="34"/>
  <c r="CU429" i="34"/>
  <c r="CB429" i="34"/>
  <c r="CU428" i="34"/>
  <c r="CB428" i="34"/>
  <c r="CU427" i="34"/>
  <c r="CB427" i="34"/>
  <c r="CU426" i="34"/>
  <c r="CB426" i="34"/>
  <c r="CU425" i="34"/>
  <c r="CB425" i="34"/>
  <c r="CU424" i="34"/>
  <c r="CB424" i="34"/>
  <c r="CU423" i="34"/>
  <c r="CB423" i="34"/>
  <c r="CU422" i="34"/>
  <c r="CB422" i="34"/>
  <c r="CU421" i="34"/>
  <c r="CB421" i="34"/>
  <c r="CU420" i="34"/>
  <c r="CB420" i="34"/>
  <c r="CU419" i="34"/>
  <c r="CB419" i="34"/>
  <c r="CU418" i="34"/>
  <c r="CB418" i="34"/>
  <c r="CU417" i="34"/>
  <c r="CB417" i="34"/>
  <c r="CU416" i="34"/>
  <c r="CB416" i="34"/>
  <c r="CU415" i="34"/>
  <c r="CB415" i="34"/>
  <c r="CU414" i="34"/>
  <c r="CB414" i="34"/>
  <c r="CU413" i="34"/>
  <c r="CB413" i="34"/>
  <c r="CU412" i="34"/>
  <c r="CB412" i="34"/>
  <c r="CU411" i="34"/>
  <c r="CB411" i="34"/>
  <c r="CU410" i="34"/>
  <c r="CB410" i="34"/>
  <c r="CU409" i="34"/>
  <c r="CB409" i="34"/>
  <c r="CU408" i="34"/>
  <c r="CB408" i="34"/>
  <c r="CU407" i="34"/>
  <c r="CB407" i="34"/>
  <c r="CU406" i="34"/>
  <c r="CB406" i="34"/>
  <c r="CU405" i="34"/>
  <c r="CB405" i="34"/>
  <c r="CU404" i="34"/>
  <c r="CB404" i="34"/>
  <c r="CU403" i="34"/>
  <c r="CB403" i="34"/>
  <c r="CU402" i="34"/>
  <c r="CB402" i="34"/>
  <c r="CU401" i="34"/>
  <c r="CB401" i="34"/>
  <c r="CU400" i="34"/>
  <c r="CB400" i="34"/>
  <c r="CU399" i="34"/>
  <c r="CB399" i="34"/>
  <c r="CU398" i="34"/>
  <c r="CB398" i="34"/>
  <c r="CU397" i="34"/>
  <c r="CB397" i="34"/>
  <c r="CU396" i="34"/>
  <c r="CB396" i="34"/>
  <c r="CU395" i="34"/>
  <c r="CB395" i="34"/>
  <c r="CU394" i="34"/>
  <c r="CB394" i="34"/>
  <c r="CU393" i="34"/>
  <c r="CB393" i="34"/>
  <c r="CU392" i="34"/>
  <c r="CB392" i="34"/>
  <c r="CU391" i="34"/>
  <c r="CB391" i="34"/>
  <c r="CU390" i="34"/>
  <c r="CB390" i="34"/>
  <c r="CU389" i="34"/>
  <c r="CB389" i="34"/>
  <c r="CU388" i="34"/>
  <c r="CB388" i="34"/>
  <c r="CU387" i="34"/>
  <c r="CB387" i="34"/>
  <c r="CU386" i="34"/>
  <c r="CB386" i="34"/>
  <c r="CU385" i="34"/>
  <c r="CB385" i="34"/>
  <c r="CU384" i="34"/>
  <c r="CB384" i="34"/>
  <c r="CU383" i="34"/>
  <c r="CB383" i="34"/>
  <c r="CU382" i="34"/>
  <c r="CB382" i="34"/>
  <c r="CU381" i="34"/>
  <c r="CB381" i="34"/>
  <c r="CU380" i="34"/>
  <c r="CB380" i="34"/>
  <c r="CU379" i="34"/>
  <c r="CB379" i="34"/>
  <c r="CU378" i="34"/>
  <c r="CB378" i="34"/>
  <c r="CU377" i="34"/>
  <c r="CB377" i="34"/>
  <c r="CU376" i="34"/>
  <c r="CB376" i="34"/>
  <c r="CU375" i="34"/>
  <c r="CB375" i="34"/>
  <c r="CU374" i="34"/>
  <c r="CB374" i="34"/>
  <c r="CU373" i="34"/>
  <c r="CB373" i="34"/>
  <c r="CU372" i="34"/>
  <c r="CB372" i="34"/>
  <c r="CU371" i="34"/>
  <c r="CB371" i="34"/>
  <c r="CU370" i="34"/>
  <c r="CB370" i="34"/>
  <c r="CU369" i="34"/>
  <c r="CB369" i="34"/>
  <c r="CU368" i="34"/>
  <c r="CB368" i="34"/>
  <c r="CU367" i="34"/>
  <c r="CB367" i="34"/>
  <c r="CU366" i="34"/>
  <c r="CB366" i="34"/>
  <c r="CU365" i="34"/>
  <c r="CB365" i="34"/>
  <c r="CU364" i="34"/>
  <c r="CB364" i="34"/>
  <c r="CU363" i="34"/>
  <c r="CB363" i="34"/>
  <c r="CU362" i="34"/>
  <c r="CB362" i="34"/>
  <c r="CU361" i="34"/>
  <c r="CB361" i="34"/>
  <c r="CU360" i="34"/>
  <c r="CB360" i="34"/>
  <c r="CU359" i="34"/>
  <c r="CB359" i="34"/>
  <c r="CU358" i="34"/>
  <c r="CB358" i="34"/>
  <c r="CU357" i="34"/>
  <c r="CB357" i="34"/>
  <c r="CU356" i="34"/>
  <c r="CB356" i="34"/>
  <c r="CU355" i="34"/>
  <c r="CB355" i="34"/>
  <c r="CU354" i="34"/>
  <c r="CB354" i="34"/>
  <c r="CU353" i="34"/>
  <c r="CB353" i="34"/>
  <c r="CU352" i="34"/>
  <c r="CB352" i="34"/>
  <c r="CU351" i="34"/>
  <c r="CB351" i="34"/>
  <c r="CU350" i="34"/>
  <c r="CB350" i="34"/>
  <c r="CU349" i="34"/>
  <c r="CB349" i="34"/>
  <c r="CU348" i="34"/>
  <c r="CB348" i="34"/>
  <c r="CU347" i="34"/>
  <c r="CB347" i="34"/>
  <c r="CU346" i="34"/>
  <c r="CB346" i="34"/>
  <c r="CU345" i="34"/>
  <c r="CB345" i="34"/>
  <c r="CU344" i="34"/>
  <c r="CB344" i="34"/>
  <c r="CU343" i="34"/>
  <c r="CB343" i="34"/>
  <c r="CU342" i="34"/>
  <c r="CB342" i="34"/>
  <c r="CU341" i="34"/>
  <c r="CB341" i="34"/>
  <c r="CU340" i="34"/>
  <c r="CB340" i="34"/>
  <c r="CU339" i="34"/>
  <c r="CB339" i="34"/>
  <c r="CU338" i="34"/>
  <c r="CB338" i="34"/>
  <c r="CU337" i="34"/>
  <c r="CB337" i="34"/>
  <c r="CU336" i="34"/>
  <c r="CB336" i="34"/>
  <c r="CU335" i="34"/>
  <c r="CB335" i="34"/>
  <c r="CU334" i="34"/>
  <c r="CB334" i="34"/>
  <c r="CU333" i="34"/>
  <c r="CB333" i="34"/>
  <c r="CU332" i="34"/>
  <c r="CB332" i="34"/>
  <c r="CU331" i="34"/>
  <c r="CB331" i="34"/>
  <c r="CU330" i="34"/>
  <c r="CB330" i="34"/>
  <c r="CU329" i="34"/>
  <c r="CB329" i="34"/>
  <c r="CU328" i="34"/>
  <c r="CB328" i="34"/>
  <c r="CU327" i="34"/>
  <c r="CB327" i="34"/>
  <c r="CU326" i="34"/>
  <c r="CB326" i="34"/>
  <c r="CU325" i="34"/>
  <c r="CB325" i="34"/>
  <c r="CU324" i="34"/>
  <c r="CB324" i="34"/>
  <c r="CU323" i="34"/>
  <c r="CB323" i="34"/>
  <c r="CU322" i="34"/>
  <c r="CB322" i="34"/>
  <c r="CU321" i="34"/>
  <c r="CB321" i="34"/>
  <c r="CU320" i="34"/>
  <c r="CB320" i="34"/>
  <c r="CU319" i="34"/>
  <c r="CB319" i="34"/>
  <c r="CU318" i="34"/>
  <c r="CB318" i="34"/>
  <c r="CU317" i="34"/>
  <c r="CB317" i="34"/>
  <c r="CU316" i="34"/>
  <c r="CB316" i="34"/>
  <c r="CU315" i="34"/>
  <c r="CB315" i="34"/>
  <c r="CU314" i="34"/>
  <c r="CB314" i="34"/>
  <c r="CU313" i="34"/>
  <c r="CB313" i="34"/>
  <c r="CU312" i="34"/>
  <c r="CB312" i="34"/>
  <c r="CU311" i="34"/>
  <c r="CB311" i="34"/>
  <c r="CU310" i="34"/>
  <c r="CB310" i="34"/>
  <c r="CU309" i="34"/>
  <c r="CB309" i="34"/>
  <c r="CU308" i="34"/>
  <c r="CB308" i="34"/>
  <c r="CU307" i="34"/>
  <c r="CB307" i="34"/>
  <c r="CU306" i="34"/>
  <c r="CB306" i="34"/>
  <c r="CU305" i="34"/>
  <c r="CB305" i="34"/>
  <c r="CU304" i="34"/>
  <c r="CB304" i="34"/>
  <c r="CU302" i="34"/>
  <c r="CB302" i="34"/>
  <c r="CU301" i="34"/>
  <c r="CB301" i="34"/>
  <c r="CU300" i="34"/>
  <c r="CB300" i="34"/>
  <c r="CU299" i="34"/>
  <c r="CB299" i="34"/>
  <c r="CU298" i="34"/>
  <c r="CB298" i="34"/>
  <c r="CU297" i="34"/>
  <c r="CB297" i="34"/>
  <c r="CU296" i="34"/>
  <c r="CB296" i="34"/>
  <c r="CU295" i="34"/>
  <c r="CB295" i="34"/>
  <c r="CU294" i="34"/>
  <c r="CB294" i="34"/>
  <c r="CU293" i="34"/>
  <c r="CB293" i="34"/>
  <c r="CU292" i="34"/>
  <c r="CB292" i="34"/>
  <c r="CU291" i="34"/>
  <c r="CB291" i="34"/>
  <c r="CU290" i="34"/>
  <c r="CB290" i="34"/>
  <c r="CU289" i="34"/>
  <c r="CB289" i="34"/>
  <c r="CU288" i="34"/>
  <c r="CB288" i="34"/>
  <c r="CU287" i="34"/>
  <c r="CB287" i="34"/>
  <c r="CU286" i="34"/>
  <c r="CB286" i="34"/>
  <c r="CU285" i="34"/>
  <c r="CB285" i="34"/>
  <c r="CU284" i="34"/>
  <c r="CB284" i="34"/>
  <c r="CU283" i="34"/>
  <c r="CB283" i="34"/>
  <c r="CU282" i="34"/>
  <c r="CB282" i="34"/>
  <c r="CU281" i="34"/>
  <c r="CB281" i="34"/>
  <c r="CU280" i="34"/>
  <c r="CB280" i="34"/>
  <c r="CU279" i="34"/>
  <c r="CB279" i="34"/>
  <c r="CU278" i="34"/>
  <c r="CB278" i="34"/>
  <c r="CU277" i="34"/>
  <c r="CB277" i="34"/>
  <c r="CU276" i="34"/>
  <c r="CB276" i="34"/>
  <c r="CU275" i="34"/>
  <c r="CB275" i="34"/>
  <c r="CU274" i="34"/>
  <c r="CB274" i="34"/>
  <c r="CU273" i="34"/>
  <c r="CB273" i="34"/>
  <c r="CU272" i="34"/>
  <c r="CB272" i="34"/>
  <c r="CU271" i="34"/>
  <c r="CB271" i="34"/>
  <c r="CU270" i="34"/>
  <c r="CB270" i="34"/>
  <c r="CU269" i="34"/>
  <c r="CB269" i="34"/>
  <c r="CU268" i="34"/>
  <c r="CB268" i="34"/>
  <c r="CU267" i="34"/>
  <c r="CB267" i="34"/>
  <c r="CU266" i="34"/>
  <c r="CB266" i="34"/>
  <c r="CU265" i="34"/>
  <c r="CB265" i="34"/>
  <c r="CU264" i="34"/>
  <c r="CB264" i="34"/>
  <c r="CU263" i="34"/>
  <c r="CB263" i="34"/>
  <c r="CU262" i="34"/>
  <c r="CB262" i="34"/>
  <c r="CU261" i="34"/>
  <c r="CB261" i="34"/>
  <c r="CU260" i="34"/>
  <c r="CB260" i="34"/>
  <c r="CU259" i="34"/>
  <c r="CB259" i="34"/>
  <c r="CU258" i="34"/>
  <c r="CB258" i="34"/>
  <c r="CU257" i="34"/>
  <c r="CB257" i="34"/>
  <c r="CU256" i="34"/>
  <c r="CB256" i="34"/>
  <c r="CU255" i="34"/>
  <c r="CB255" i="34"/>
  <c r="CU254" i="34"/>
  <c r="CB254" i="34"/>
  <c r="CU253" i="34"/>
  <c r="CB253" i="34"/>
  <c r="CU252" i="34"/>
  <c r="CB252" i="34"/>
  <c r="CU251" i="34"/>
  <c r="CB251" i="34"/>
  <c r="CU250" i="34"/>
  <c r="CB250" i="34"/>
  <c r="CU249" i="34"/>
  <c r="CB249" i="34"/>
  <c r="CU248" i="34"/>
  <c r="CB248" i="34"/>
  <c r="CU247" i="34"/>
  <c r="CB247" i="34"/>
  <c r="CU246" i="34"/>
  <c r="CB246" i="34"/>
  <c r="CU245" i="34"/>
  <c r="CB245" i="34"/>
  <c r="CU244" i="34"/>
  <c r="CB244" i="34"/>
  <c r="CU243" i="34"/>
  <c r="CB243" i="34"/>
  <c r="CU242" i="34"/>
  <c r="CB242" i="34"/>
  <c r="CU241" i="34"/>
  <c r="CB241" i="34"/>
  <c r="CU240" i="34"/>
  <c r="CB240" i="34"/>
  <c r="CU239" i="34"/>
  <c r="CB239" i="34"/>
  <c r="CU238" i="34"/>
  <c r="CB238" i="34"/>
  <c r="CU237" i="34"/>
  <c r="CB237" i="34"/>
  <c r="CU236" i="34"/>
  <c r="CB236" i="34"/>
  <c r="CU235" i="34"/>
  <c r="CB235" i="34"/>
  <c r="CU234" i="34"/>
  <c r="CB234" i="34"/>
  <c r="CU233" i="34"/>
  <c r="CB233" i="34"/>
  <c r="CU232" i="34"/>
  <c r="CB232" i="34"/>
  <c r="CU231" i="34"/>
  <c r="CB231" i="34"/>
  <c r="CU230" i="34"/>
  <c r="CB230" i="34"/>
  <c r="CU229" i="34"/>
  <c r="CB229" i="34"/>
  <c r="CU228" i="34"/>
  <c r="CB228" i="34"/>
  <c r="CU227" i="34"/>
  <c r="CB227" i="34"/>
  <c r="CU226" i="34"/>
  <c r="CB226" i="34"/>
  <c r="CU225" i="34"/>
  <c r="CB225" i="34"/>
  <c r="CU224" i="34"/>
  <c r="CB224" i="34"/>
  <c r="CU223" i="34"/>
  <c r="CB223" i="34"/>
  <c r="CU222" i="34"/>
  <c r="CB222" i="34"/>
  <c r="CU221" i="34"/>
  <c r="CB221" i="34"/>
  <c r="CU220" i="34"/>
  <c r="CB220" i="34"/>
  <c r="CU219" i="34"/>
  <c r="CB219" i="34"/>
  <c r="CU218" i="34"/>
  <c r="CB218" i="34"/>
  <c r="CU217" i="34"/>
  <c r="CB217" i="34"/>
  <c r="CU216" i="34"/>
  <c r="CB216" i="34"/>
  <c r="CU215" i="34"/>
  <c r="CB215" i="34"/>
  <c r="CU214" i="34"/>
  <c r="CB214" i="34"/>
  <c r="CU213" i="34"/>
  <c r="CB213" i="34"/>
  <c r="CU212" i="34"/>
  <c r="CB212" i="34"/>
  <c r="CU211" i="34"/>
  <c r="CB211" i="34"/>
  <c r="CU210" i="34"/>
  <c r="CB210" i="34"/>
  <c r="CU209" i="34"/>
  <c r="CB209" i="34"/>
  <c r="CU208" i="34"/>
  <c r="CB208" i="34"/>
  <c r="CU207" i="34"/>
  <c r="CB207" i="34"/>
  <c r="CU206" i="34"/>
  <c r="CB206" i="34"/>
  <c r="CU205" i="34"/>
  <c r="CB205" i="34"/>
  <c r="CU204" i="34"/>
  <c r="CB204" i="34"/>
  <c r="CU203" i="34"/>
  <c r="CB203" i="34"/>
  <c r="CU202" i="34"/>
  <c r="CB202" i="34"/>
  <c r="CU201" i="34"/>
  <c r="CB201" i="34"/>
  <c r="CU200" i="34"/>
  <c r="CB200" i="34"/>
  <c r="CU199" i="34"/>
  <c r="CB199" i="34"/>
  <c r="CU198" i="34"/>
  <c r="CB198" i="34"/>
  <c r="CU197" i="34"/>
  <c r="CB197" i="34"/>
  <c r="CU196" i="34"/>
  <c r="CB196" i="34"/>
  <c r="CU195" i="34"/>
  <c r="CB195" i="34"/>
  <c r="CU194" i="34"/>
  <c r="CB194" i="34"/>
  <c r="CU193" i="34"/>
  <c r="CB193" i="34"/>
  <c r="CU192" i="34"/>
  <c r="CB192" i="34"/>
  <c r="CU191" i="34"/>
  <c r="CB191" i="34"/>
  <c r="CU190" i="34"/>
  <c r="CB190" i="34"/>
  <c r="CU189" i="34"/>
  <c r="CB189" i="34"/>
  <c r="CU188" i="34"/>
  <c r="CB188" i="34"/>
  <c r="CU187" i="34"/>
  <c r="CB187" i="34"/>
  <c r="CU186" i="34"/>
  <c r="CB186" i="34"/>
  <c r="CU185" i="34"/>
  <c r="CB185" i="34"/>
  <c r="CU184" i="34"/>
  <c r="CB184" i="34"/>
  <c r="CU183" i="34"/>
  <c r="CB183" i="34"/>
  <c r="CU182" i="34"/>
  <c r="CB182" i="34"/>
  <c r="CU181" i="34"/>
  <c r="CB181" i="34"/>
  <c r="CU180" i="34"/>
  <c r="CB180" i="34"/>
  <c r="CU179" i="34"/>
  <c r="CB179" i="34"/>
  <c r="CU178" i="34"/>
  <c r="CB178" i="34"/>
  <c r="CU177" i="34"/>
  <c r="CB177" i="34"/>
  <c r="CU176" i="34"/>
  <c r="CB176" i="34"/>
  <c r="CU175" i="34"/>
  <c r="CB175" i="34"/>
  <c r="CU174" i="34"/>
  <c r="CB174" i="34"/>
  <c r="CU173" i="34"/>
  <c r="CB173" i="34"/>
  <c r="CU172" i="34"/>
  <c r="CB172" i="34"/>
  <c r="CU171" i="34"/>
  <c r="CB171" i="34"/>
  <c r="CU170" i="34"/>
  <c r="CB170" i="34"/>
  <c r="CU169" i="34"/>
  <c r="CB169" i="34"/>
  <c r="CU168" i="34"/>
  <c r="CB168" i="34"/>
  <c r="CU167" i="34"/>
  <c r="CB167" i="34"/>
  <c r="CU166" i="34"/>
  <c r="CB166" i="34"/>
  <c r="DN165" i="34"/>
  <c r="CU165" i="34"/>
  <c r="CB165" i="34"/>
  <c r="BI165" i="34"/>
  <c r="DN164" i="34"/>
  <c r="CU164" i="34"/>
  <c r="CB164" i="34"/>
  <c r="BI164" i="34"/>
  <c r="DN163" i="34"/>
  <c r="CU163" i="34"/>
  <c r="CB163" i="34"/>
  <c r="BI163" i="34"/>
  <c r="DN162" i="34"/>
  <c r="CU162" i="34"/>
  <c r="CB162" i="34"/>
  <c r="BI162" i="34"/>
  <c r="DN161" i="34"/>
  <c r="CU161" i="34"/>
  <c r="CB161" i="34"/>
  <c r="BI161" i="34"/>
  <c r="DN160" i="34"/>
  <c r="CU160" i="34"/>
  <c r="CB160" i="34"/>
  <c r="BI160" i="34"/>
  <c r="DN159" i="34"/>
  <c r="CU159" i="34"/>
  <c r="CB159" i="34"/>
  <c r="BI159" i="34"/>
  <c r="DN158" i="34"/>
  <c r="CU158" i="34"/>
  <c r="CB158" i="34"/>
  <c r="BI158" i="34"/>
  <c r="DN157" i="34"/>
  <c r="CU157" i="34"/>
  <c r="CB157" i="34"/>
  <c r="BI157" i="34"/>
  <c r="DN156" i="34"/>
  <c r="CU156" i="34"/>
  <c r="CB156" i="34"/>
  <c r="BI156" i="34"/>
  <c r="DN155" i="34"/>
  <c r="CU155" i="34"/>
  <c r="CB155" i="34"/>
  <c r="BI155" i="34"/>
  <c r="DN154" i="34"/>
  <c r="CU154" i="34"/>
  <c r="CB154" i="34"/>
  <c r="BI154" i="34"/>
  <c r="DN153" i="34"/>
  <c r="CU153" i="34"/>
  <c r="CB153" i="34"/>
  <c r="BI153" i="34"/>
  <c r="DN152" i="34"/>
  <c r="BI152" i="34"/>
  <c r="DN151" i="34"/>
  <c r="CU151" i="34"/>
  <c r="CB151" i="34"/>
  <c r="BI151" i="34"/>
  <c r="DN150" i="34"/>
  <c r="CU150" i="34"/>
  <c r="CB150" i="34"/>
  <c r="BI150" i="34"/>
  <c r="DN149" i="34"/>
  <c r="CU149" i="34"/>
  <c r="CB149" i="34"/>
  <c r="BI149" i="34"/>
  <c r="DN148" i="34"/>
  <c r="CU148" i="34"/>
  <c r="CB148" i="34"/>
  <c r="BI148" i="34"/>
  <c r="DN147" i="34"/>
  <c r="CU147" i="34"/>
  <c r="CB147" i="34"/>
  <c r="BI147" i="34"/>
  <c r="DN146" i="34"/>
  <c r="CU146" i="34"/>
  <c r="CB146" i="34"/>
  <c r="BI146" i="34"/>
  <c r="DN145" i="34"/>
  <c r="CU145" i="34"/>
  <c r="CB145" i="34"/>
  <c r="BI145" i="34"/>
  <c r="DN144" i="34"/>
  <c r="CU144" i="34"/>
  <c r="CB144" i="34"/>
  <c r="BI144" i="34"/>
  <c r="DN143" i="34"/>
  <c r="CU143" i="34"/>
  <c r="CB143" i="34"/>
  <c r="BI143" i="34"/>
  <c r="DN142" i="34"/>
  <c r="CU142" i="34"/>
  <c r="CB142" i="34"/>
  <c r="BI142" i="34"/>
  <c r="DN141" i="34"/>
  <c r="CU141" i="34"/>
  <c r="CB141" i="34"/>
  <c r="BI141" i="34"/>
  <c r="DN140" i="34"/>
  <c r="CU140" i="34"/>
  <c r="CB140" i="34"/>
  <c r="BI140" i="34"/>
  <c r="DN139" i="34"/>
  <c r="CU139" i="34"/>
  <c r="CB139" i="34"/>
  <c r="BI139" i="34"/>
  <c r="DN138" i="34"/>
  <c r="CU138" i="34"/>
  <c r="CB138" i="34"/>
  <c r="BI138" i="34"/>
  <c r="DN137" i="34"/>
  <c r="CU137" i="34"/>
  <c r="CB137" i="34"/>
  <c r="BI137" i="34"/>
  <c r="DN136" i="34"/>
  <c r="CU136" i="34"/>
  <c r="CB136" i="34"/>
  <c r="BI136" i="34"/>
  <c r="DN135" i="34"/>
  <c r="CU135" i="34"/>
  <c r="CB135" i="34"/>
  <c r="BI135" i="34"/>
  <c r="DN134" i="34"/>
  <c r="CU134" i="34"/>
  <c r="CB134" i="34"/>
  <c r="BI134" i="34"/>
  <c r="CU133" i="34"/>
  <c r="CB133" i="34"/>
  <c r="DN132" i="34"/>
  <c r="CU132" i="34"/>
  <c r="CB132" i="34"/>
  <c r="BI132" i="34"/>
  <c r="DN131" i="34"/>
  <c r="CU131" i="34"/>
  <c r="CB131" i="34"/>
  <c r="BI131" i="34"/>
  <c r="DN130" i="34"/>
  <c r="CU130" i="34"/>
  <c r="CB130" i="34"/>
  <c r="BI130" i="34"/>
  <c r="DN129" i="34"/>
  <c r="CU129" i="34"/>
  <c r="CB129" i="34"/>
  <c r="BI129" i="34"/>
  <c r="DN128" i="34"/>
  <c r="CU128" i="34"/>
  <c r="CB128" i="34"/>
  <c r="BI128" i="34"/>
  <c r="DN127" i="34"/>
  <c r="CU127" i="34"/>
  <c r="CB127" i="34"/>
  <c r="BI127" i="34"/>
  <c r="DN126" i="34"/>
  <c r="CU126" i="34"/>
  <c r="CB126" i="34"/>
  <c r="BI126" i="34"/>
  <c r="DN125" i="34"/>
  <c r="CU125" i="34"/>
  <c r="CB125" i="34"/>
  <c r="BI125" i="34"/>
  <c r="DN124" i="34"/>
  <c r="CU124" i="34"/>
  <c r="CB124" i="34"/>
  <c r="BI124" i="34"/>
  <c r="DN123" i="34"/>
  <c r="CU123" i="34"/>
  <c r="CB123" i="34"/>
  <c r="BI123" i="34"/>
  <c r="DN122" i="34"/>
  <c r="CU122" i="34"/>
  <c r="CB122" i="34"/>
  <c r="BI122" i="34"/>
  <c r="DN121" i="34"/>
  <c r="CU121" i="34"/>
  <c r="CB121" i="34"/>
  <c r="BI121" i="34"/>
  <c r="DN120" i="34"/>
  <c r="CU120" i="34"/>
  <c r="CB120" i="34"/>
  <c r="BI120" i="34"/>
  <c r="DN119" i="34"/>
  <c r="CU119" i="34"/>
  <c r="CB119" i="34"/>
  <c r="BI119" i="34"/>
  <c r="DN118" i="34"/>
  <c r="CU118" i="34"/>
  <c r="CB118" i="34"/>
  <c r="BI118" i="34"/>
  <c r="DN117" i="34"/>
  <c r="CU117" i="34"/>
  <c r="CB117" i="34"/>
  <c r="BI117" i="34"/>
  <c r="DN116" i="34"/>
  <c r="CU116" i="34"/>
  <c r="CB116" i="34"/>
  <c r="BI116" i="34"/>
  <c r="DN115" i="34"/>
  <c r="CU115" i="34"/>
  <c r="CB115" i="34"/>
  <c r="BI115" i="34"/>
  <c r="DN114" i="34"/>
  <c r="CU114" i="34"/>
  <c r="CB114" i="34"/>
  <c r="BI114" i="34"/>
  <c r="DN113" i="34"/>
  <c r="CU113" i="34"/>
  <c r="CB113" i="34"/>
  <c r="BI113" i="34"/>
  <c r="DN112" i="34"/>
  <c r="CU112" i="34"/>
  <c r="CB112" i="34"/>
  <c r="BI112" i="34"/>
  <c r="DN111" i="34"/>
  <c r="CU111" i="34"/>
  <c r="CB111" i="34"/>
  <c r="BI111" i="34"/>
  <c r="DN110" i="34"/>
  <c r="CU110" i="34"/>
  <c r="CB110" i="34"/>
  <c r="BI110" i="34"/>
  <c r="DN109" i="34"/>
  <c r="CU109" i="34"/>
  <c r="CB109" i="34"/>
  <c r="BI109" i="34"/>
  <c r="DN108" i="34"/>
  <c r="CU108" i="34"/>
  <c r="CB108" i="34"/>
  <c r="BI108" i="34"/>
  <c r="DN107" i="34"/>
  <c r="CU107" i="34"/>
  <c r="CB107" i="34"/>
  <c r="BI107" i="34"/>
  <c r="DN106" i="34"/>
  <c r="CU106" i="34"/>
  <c r="CB106" i="34"/>
  <c r="BI106" i="34"/>
  <c r="DN105" i="34"/>
  <c r="CU105" i="34"/>
  <c r="CB105" i="34"/>
  <c r="BI105" i="34"/>
  <c r="DN104" i="34"/>
  <c r="CU104" i="34"/>
  <c r="CB104" i="34"/>
  <c r="BI104" i="34"/>
  <c r="DN103" i="34"/>
  <c r="CU103" i="34"/>
  <c r="CB103" i="34"/>
  <c r="BI103" i="34"/>
  <c r="DN102" i="34"/>
  <c r="CU102" i="34"/>
  <c r="CB102" i="34"/>
  <c r="BI102" i="34"/>
  <c r="DN101" i="34"/>
  <c r="CU101" i="34"/>
  <c r="CB101" i="34"/>
  <c r="BI101" i="34"/>
  <c r="CU100" i="34"/>
  <c r="CB100" i="34"/>
  <c r="DN99" i="34"/>
  <c r="CU99" i="34"/>
  <c r="CB99" i="34"/>
  <c r="BI99" i="34"/>
  <c r="DN98" i="34"/>
  <c r="CU98" i="34"/>
  <c r="CB98" i="34"/>
  <c r="BI98" i="34"/>
  <c r="DN97" i="34"/>
  <c r="CU97" i="34"/>
  <c r="CB97" i="34"/>
  <c r="BI97" i="34"/>
  <c r="DN96" i="34"/>
  <c r="CU96" i="34"/>
  <c r="CB96" i="34"/>
  <c r="BI96" i="34"/>
  <c r="DN95" i="34"/>
  <c r="CU95" i="34"/>
  <c r="CB95" i="34"/>
  <c r="BI95" i="34"/>
  <c r="DN94" i="34"/>
  <c r="CU94" i="34"/>
  <c r="CB94" i="34"/>
  <c r="BI94" i="34"/>
  <c r="DN93" i="34"/>
  <c r="CU93" i="34"/>
  <c r="CB93" i="34"/>
  <c r="BI93" i="34"/>
  <c r="DN92" i="34"/>
  <c r="CU92" i="34"/>
  <c r="CB92" i="34"/>
  <c r="BI92" i="34"/>
  <c r="DN91" i="34"/>
  <c r="CU91" i="34"/>
  <c r="CB91" i="34"/>
  <c r="BI91" i="34"/>
  <c r="DN90" i="34"/>
  <c r="CU90" i="34"/>
  <c r="CB90" i="34"/>
  <c r="BI90" i="34"/>
  <c r="DN89" i="34"/>
  <c r="CU89" i="34"/>
  <c r="CB89" i="34"/>
  <c r="BI89" i="34"/>
  <c r="DN88" i="34"/>
  <c r="CU88" i="34"/>
  <c r="CB88" i="34"/>
  <c r="BI88" i="34"/>
  <c r="DN87" i="34"/>
  <c r="CU87" i="34"/>
  <c r="CB87" i="34"/>
  <c r="BI87" i="34"/>
  <c r="DN86" i="34"/>
  <c r="CU86" i="34"/>
  <c r="CB86" i="34"/>
  <c r="BI86" i="34"/>
  <c r="DN85" i="34"/>
  <c r="CU85" i="34"/>
  <c r="CB85" i="34"/>
  <c r="BI85" i="34"/>
  <c r="DN84" i="34"/>
  <c r="CU84" i="34"/>
  <c r="CB84" i="34"/>
  <c r="BI84" i="34"/>
  <c r="DN83" i="34"/>
  <c r="CU83" i="34"/>
  <c r="CB83" i="34"/>
  <c r="BI83" i="34"/>
  <c r="DN82" i="34"/>
  <c r="CU82" i="34"/>
  <c r="CB82" i="34"/>
  <c r="BI82" i="34"/>
  <c r="DN81" i="34"/>
  <c r="CU81" i="34"/>
  <c r="CB81" i="34"/>
  <c r="BI81" i="34"/>
  <c r="DN80" i="34"/>
  <c r="CU80" i="34"/>
  <c r="CB80" i="34"/>
  <c r="BI80" i="34"/>
  <c r="DN79" i="34"/>
  <c r="CU79" i="34"/>
  <c r="CB79" i="34"/>
  <c r="BI79" i="34"/>
  <c r="DN78" i="34"/>
  <c r="CU78" i="34"/>
  <c r="CB78" i="34"/>
  <c r="BI78" i="34"/>
  <c r="DN77" i="34"/>
  <c r="CU77" i="34"/>
  <c r="CB77" i="34"/>
  <c r="BI77" i="34"/>
  <c r="DN76" i="34"/>
  <c r="CU76" i="34"/>
  <c r="CB76" i="34"/>
  <c r="BI76" i="34"/>
  <c r="DN75" i="34"/>
  <c r="CU75" i="34"/>
  <c r="CB75" i="34"/>
  <c r="BI75" i="34"/>
  <c r="DN74" i="34"/>
  <c r="CU74" i="34"/>
  <c r="CB74" i="34"/>
  <c r="BI74" i="34"/>
  <c r="DN73" i="34"/>
  <c r="CU73" i="34"/>
  <c r="CB73" i="34"/>
  <c r="BI73" i="34"/>
  <c r="DN72" i="34"/>
  <c r="CU72" i="34"/>
  <c r="CB72" i="34"/>
  <c r="BI72" i="34"/>
  <c r="DN71" i="34"/>
  <c r="CU71" i="34"/>
  <c r="CB71" i="34"/>
  <c r="BI71" i="34"/>
  <c r="DN70" i="34"/>
  <c r="CU70" i="34"/>
  <c r="CB70" i="34"/>
  <c r="BI70" i="34"/>
  <c r="DN69" i="34"/>
  <c r="CU69" i="34"/>
  <c r="CB69" i="34"/>
  <c r="BI69" i="34"/>
  <c r="DN68" i="34"/>
  <c r="CU68" i="34"/>
  <c r="CB68" i="34"/>
  <c r="BI68" i="34"/>
  <c r="CU67" i="34"/>
  <c r="CB67" i="34"/>
  <c r="DN66" i="34"/>
  <c r="CU66" i="34"/>
  <c r="CB66" i="34"/>
  <c r="BI66" i="34"/>
  <c r="DN65" i="34"/>
  <c r="CU65" i="34"/>
  <c r="CB65" i="34"/>
  <c r="BI65" i="34"/>
  <c r="DN64" i="34"/>
  <c r="CU64" i="34"/>
  <c r="CB64" i="34"/>
  <c r="BI64" i="34"/>
  <c r="DN63" i="34"/>
  <c r="CU63" i="34"/>
  <c r="CB63" i="34"/>
  <c r="BI63" i="34"/>
  <c r="DN62" i="34"/>
  <c r="CU62" i="34"/>
  <c r="CB62" i="34"/>
  <c r="BI62" i="34"/>
  <c r="DN61" i="34"/>
  <c r="CU61" i="34"/>
  <c r="CB61" i="34"/>
  <c r="BI61" i="34"/>
  <c r="DN60" i="34"/>
  <c r="CU60" i="34"/>
  <c r="CB60" i="34"/>
  <c r="BI60" i="34"/>
  <c r="DN59" i="34"/>
  <c r="CU59" i="34"/>
  <c r="CB59" i="34"/>
  <c r="BI59" i="34"/>
  <c r="DN58" i="34"/>
  <c r="CU58" i="34"/>
  <c r="CB58" i="34"/>
  <c r="BI58" i="34"/>
  <c r="DN57" i="34"/>
  <c r="CU57" i="34"/>
  <c r="CB57" i="34"/>
  <c r="BI57" i="34"/>
  <c r="DN56" i="34"/>
  <c r="CU56" i="34"/>
  <c r="CB56" i="34"/>
  <c r="BI56" i="34"/>
  <c r="DN55" i="34"/>
  <c r="CU55" i="34"/>
  <c r="CB55" i="34"/>
  <c r="BI55" i="34"/>
  <c r="DN54" i="34"/>
  <c r="CU54" i="34"/>
  <c r="CB54" i="34"/>
  <c r="BI54" i="34"/>
  <c r="DN53" i="34"/>
  <c r="CU53" i="34"/>
  <c r="CB53" i="34"/>
  <c r="BI53" i="34"/>
  <c r="DN52" i="34"/>
  <c r="CU52" i="34"/>
  <c r="CB52" i="34"/>
  <c r="BI52" i="34"/>
  <c r="DN51" i="34"/>
  <c r="CU51" i="34"/>
  <c r="CB51" i="34"/>
  <c r="BI51" i="34"/>
  <c r="DN50" i="34"/>
  <c r="CU50" i="34"/>
  <c r="CB50" i="34"/>
  <c r="BI50" i="34"/>
  <c r="DN49" i="34"/>
  <c r="CU49" i="34"/>
  <c r="CB49" i="34"/>
  <c r="BI49" i="34"/>
  <c r="DN48" i="34"/>
  <c r="CU48" i="34"/>
  <c r="CB48" i="34"/>
  <c r="BI48" i="34"/>
  <c r="DN47" i="34"/>
  <c r="CU47" i="34"/>
  <c r="CB47" i="34"/>
  <c r="BI47" i="34"/>
  <c r="DN46" i="34"/>
  <c r="CU46" i="34"/>
  <c r="CB46" i="34"/>
  <c r="BI46" i="34"/>
  <c r="DN45" i="34"/>
  <c r="CU45" i="34"/>
  <c r="CB45" i="34"/>
  <c r="BI45" i="34"/>
  <c r="DN44" i="34"/>
  <c r="CU44" i="34"/>
  <c r="CB44" i="34"/>
  <c r="BI44" i="34"/>
  <c r="DN43" i="34"/>
  <c r="CU43" i="34"/>
  <c r="CB43" i="34"/>
  <c r="BI43" i="34"/>
  <c r="DN42" i="34"/>
  <c r="CU42" i="34"/>
  <c r="CB42" i="34"/>
  <c r="BI42" i="34"/>
  <c r="DN41" i="34"/>
  <c r="CU41" i="34"/>
  <c r="CB41" i="34"/>
  <c r="BI41" i="34"/>
  <c r="DN40" i="34"/>
  <c r="CU40" i="34"/>
  <c r="CB40" i="34"/>
  <c r="BI40" i="34"/>
  <c r="DN39" i="34"/>
  <c r="CU39" i="34"/>
  <c r="CB39" i="34"/>
  <c r="BI39" i="34"/>
  <c r="DN38" i="34"/>
  <c r="CU38" i="34"/>
  <c r="CB38" i="34"/>
  <c r="BI38" i="34"/>
  <c r="DN37" i="34"/>
  <c r="CU37" i="34"/>
  <c r="CB37" i="34"/>
  <c r="BI37" i="34"/>
  <c r="DN36" i="34"/>
  <c r="CU36" i="34"/>
  <c r="CB36" i="34"/>
  <c r="BI36" i="34"/>
  <c r="DN35" i="34"/>
  <c r="CU35" i="34"/>
  <c r="CB35" i="34"/>
  <c r="BI35" i="34"/>
  <c r="CU34" i="34"/>
  <c r="CB34" i="34"/>
  <c r="DN33" i="34"/>
  <c r="CU33" i="34"/>
  <c r="CB33" i="34"/>
  <c r="BI33" i="34"/>
  <c r="DN32" i="34"/>
  <c r="CU32" i="34"/>
  <c r="CB32" i="34"/>
  <c r="BI32" i="34"/>
  <c r="DN31" i="34"/>
  <c r="CU31" i="34"/>
  <c r="CB31" i="34"/>
  <c r="BI31" i="34"/>
  <c r="DN30" i="34"/>
  <c r="CU30" i="34"/>
  <c r="CB30" i="34"/>
  <c r="BI30" i="34"/>
  <c r="DN29" i="34"/>
  <c r="CU29" i="34"/>
  <c r="CB29" i="34"/>
  <c r="BI29" i="34"/>
  <c r="DN28" i="34"/>
  <c r="CU28" i="34"/>
  <c r="CB28" i="34"/>
  <c r="BI28" i="34"/>
  <c r="DN27" i="34"/>
  <c r="CU27" i="34"/>
  <c r="CB27" i="34"/>
  <c r="BI27" i="34"/>
  <c r="DN26" i="34"/>
  <c r="CU26" i="34"/>
  <c r="CB26" i="34"/>
  <c r="BI26" i="34"/>
  <c r="DN25" i="34"/>
  <c r="CU25" i="34"/>
  <c r="CB25" i="34"/>
  <c r="BI25" i="34"/>
  <c r="DN24" i="34"/>
  <c r="CU24" i="34"/>
  <c r="CB24" i="34"/>
  <c r="BI24" i="34"/>
  <c r="DN23" i="34"/>
  <c r="CU23" i="34"/>
  <c r="CB23" i="34"/>
  <c r="BI23" i="34"/>
  <c r="DN22" i="34"/>
  <c r="CU22" i="34"/>
  <c r="CB22" i="34"/>
  <c r="BI22" i="34"/>
  <c r="DN21" i="34"/>
  <c r="CU21" i="34"/>
  <c r="CB21" i="34"/>
  <c r="BI21" i="34"/>
  <c r="DN20" i="34"/>
  <c r="CU20" i="34"/>
  <c r="CB20" i="34"/>
  <c r="BI20" i="34"/>
  <c r="DN19" i="34"/>
  <c r="CU19" i="34"/>
  <c r="CB19" i="34"/>
  <c r="BI19" i="34"/>
  <c r="DN18" i="34"/>
  <c r="CU18" i="34"/>
  <c r="CB18" i="34"/>
  <c r="BI18" i="34"/>
  <c r="DN17" i="34"/>
  <c r="CU17" i="34"/>
  <c r="CB17" i="34"/>
  <c r="BI17" i="34"/>
  <c r="DN16" i="34"/>
  <c r="CU16" i="34"/>
  <c r="CB16" i="34"/>
  <c r="BI16" i="34"/>
  <c r="DN15" i="34"/>
  <c r="CU15" i="34"/>
  <c r="CB15" i="34"/>
  <c r="BI15" i="34"/>
  <c r="DN14" i="34"/>
  <c r="CU14" i="34"/>
  <c r="CB14" i="34"/>
  <c r="BI14" i="34"/>
  <c r="DN13" i="34"/>
  <c r="CU13" i="34"/>
  <c r="CB13" i="34"/>
  <c r="BI13" i="34"/>
  <c r="DN12" i="34"/>
  <c r="CU12" i="34"/>
  <c r="CB12" i="34"/>
  <c r="BI12" i="34"/>
  <c r="DN11" i="34"/>
  <c r="CU11" i="34"/>
  <c r="CB11" i="34"/>
  <c r="BI11" i="34"/>
  <c r="DN10" i="34"/>
  <c r="CU10" i="34"/>
  <c r="CB10" i="34"/>
  <c r="BI10" i="34"/>
  <c r="DN9" i="34"/>
  <c r="CU9" i="34"/>
  <c r="CB9" i="34"/>
  <c r="BI9" i="34"/>
  <c r="DN8" i="34"/>
  <c r="CU8" i="34"/>
  <c r="CB8" i="34"/>
  <c r="BI8" i="34"/>
  <c r="DN7" i="34"/>
  <c r="CU7" i="34"/>
  <c r="CB7" i="34"/>
  <c r="BI7" i="34"/>
  <c r="DN6" i="34"/>
  <c r="CU6" i="34"/>
  <c r="CB6" i="34"/>
  <c r="BI6" i="34"/>
  <c r="DN5" i="34"/>
  <c r="CU5" i="34"/>
  <c r="CB5" i="34"/>
  <c r="BI5" i="34"/>
  <c r="DN4" i="34"/>
  <c r="CU4" i="34"/>
  <c r="CB4" i="34"/>
  <c r="BI4" i="34"/>
  <c r="DN3" i="34"/>
  <c r="CU3" i="34"/>
  <c r="CB3" i="34"/>
  <c r="BI3" i="34"/>
  <c r="DN2" i="34"/>
  <c r="CU2" i="34"/>
  <c r="CB2" i="34"/>
  <c r="BI2" i="34"/>
  <c r="BJ701" i="36"/>
  <c r="BL701" i="36" s="1"/>
  <c r="BF701" i="36"/>
  <c r="BH701" i="36" s="1"/>
  <c r="BB701" i="36"/>
  <c r="BD701" i="36" s="1"/>
  <c r="AX701" i="36"/>
  <c r="AZ701" i="36" s="1"/>
  <c r="AT701" i="36"/>
  <c r="AV701" i="36" s="1"/>
  <c r="AR701" i="36"/>
  <c r="BJ700" i="36"/>
  <c r="BL700" i="36" s="1"/>
  <c r="BF700" i="36"/>
  <c r="BH700" i="36" s="1"/>
  <c r="BB700" i="36"/>
  <c r="BD700" i="36" s="1"/>
  <c r="AX700" i="36"/>
  <c r="AZ700" i="36" s="1"/>
  <c r="AT700" i="36"/>
  <c r="AV700" i="36" s="1"/>
  <c r="AR700" i="36"/>
  <c r="BJ699" i="36"/>
  <c r="BL699" i="36" s="1"/>
  <c r="BF699" i="36"/>
  <c r="BH699" i="36" s="1"/>
  <c r="BB699" i="36"/>
  <c r="BD699" i="36" s="1"/>
  <c r="AX699" i="36"/>
  <c r="AZ699" i="36" s="1"/>
  <c r="AT699" i="36"/>
  <c r="AV699" i="36" s="1"/>
  <c r="AR699" i="36"/>
  <c r="BJ698" i="36"/>
  <c r="BL698" i="36" s="1"/>
  <c r="BF698" i="36"/>
  <c r="BH698" i="36" s="1"/>
  <c r="BB698" i="36"/>
  <c r="BD698" i="36" s="1"/>
  <c r="AX698" i="36"/>
  <c r="AZ698" i="36" s="1"/>
  <c r="AT698" i="36"/>
  <c r="AV698" i="36" s="1"/>
  <c r="AR698" i="36"/>
  <c r="BJ697" i="36"/>
  <c r="BL697" i="36" s="1"/>
  <c r="BF697" i="36"/>
  <c r="BH697" i="36" s="1"/>
  <c r="BB697" i="36"/>
  <c r="BD697" i="36" s="1"/>
  <c r="AX697" i="36"/>
  <c r="AZ697" i="36" s="1"/>
  <c r="AT697" i="36"/>
  <c r="AV697" i="36" s="1"/>
  <c r="AR697" i="36"/>
  <c r="BJ696" i="36"/>
  <c r="BL696" i="36" s="1"/>
  <c r="BF696" i="36"/>
  <c r="BH696" i="36" s="1"/>
  <c r="BB696" i="36"/>
  <c r="BD696" i="36" s="1"/>
  <c r="AX696" i="36"/>
  <c r="AZ696" i="36" s="1"/>
  <c r="AT696" i="36"/>
  <c r="AV696" i="36" s="1"/>
  <c r="AR696" i="36"/>
  <c r="BJ695" i="36"/>
  <c r="BL695" i="36" s="1"/>
  <c r="BF695" i="36"/>
  <c r="BH695" i="36" s="1"/>
  <c r="BB695" i="36"/>
  <c r="BD695" i="36" s="1"/>
  <c r="AX695" i="36"/>
  <c r="AZ695" i="36" s="1"/>
  <c r="AT695" i="36"/>
  <c r="AV695" i="36" s="1"/>
  <c r="AR695" i="36"/>
  <c r="BJ694" i="36"/>
  <c r="BL694" i="36" s="1"/>
  <c r="BF694" i="36"/>
  <c r="BH694" i="36" s="1"/>
  <c r="BB694" i="36"/>
  <c r="BD694" i="36" s="1"/>
  <c r="AX694" i="36"/>
  <c r="AZ694" i="36" s="1"/>
  <c r="AT694" i="36"/>
  <c r="AV694" i="36" s="1"/>
  <c r="AR694" i="36"/>
  <c r="BJ693" i="36"/>
  <c r="BL693" i="36" s="1"/>
  <c r="BF693" i="36"/>
  <c r="BH693" i="36" s="1"/>
  <c r="BB693" i="36"/>
  <c r="BD693" i="36" s="1"/>
  <c r="AX693" i="36"/>
  <c r="AZ693" i="36" s="1"/>
  <c r="AT693" i="36"/>
  <c r="AV693" i="36" s="1"/>
  <c r="AR693" i="36"/>
  <c r="BJ692" i="36"/>
  <c r="BL692" i="36" s="1"/>
  <c r="BF692" i="36"/>
  <c r="BH692" i="36" s="1"/>
  <c r="BB692" i="36"/>
  <c r="BD692" i="36" s="1"/>
  <c r="AX692" i="36"/>
  <c r="AZ692" i="36" s="1"/>
  <c r="AT692" i="36"/>
  <c r="AV692" i="36" s="1"/>
  <c r="AR692" i="36"/>
  <c r="BJ691" i="36"/>
  <c r="BL691" i="36" s="1"/>
  <c r="BF691" i="36"/>
  <c r="BH691" i="36" s="1"/>
  <c r="BB691" i="36"/>
  <c r="BD691" i="36" s="1"/>
  <c r="AX691" i="36"/>
  <c r="AZ691" i="36" s="1"/>
  <c r="AT691" i="36"/>
  <c r="AV691" i="36" s="1"/>
  <c r="AR691" i="36"/>
  <c r="BJ690" i="36"/>
  <c r="BL690" i="36" s="1"/>
  <c r="BF690" i="36"/>
  <c r="BH690" i="36" s="1"/>
  <c r="BB690" i="36"/>
  <c r="BD690" i="36" s="1"/>
  <c r="AX690" i="36"/>
  <c r="AZ690" i="36" s="1"/>
  <c r="AT690" i="36"/>
  <c r="AV690" i="36" s="1"/>
  <c r="AR690" i="36"/>
  <c r="BJ689" i="36"/>
  <c r="BL689" i="36" s="1"/>
  <c r="BF689" i="36"/>
  <c r="BH689" i="36" s="1"/>
  <c r="BB689" i="36"/>
  <c r="BD689" i="36" s="1"/>
  <c r="AX689" i="36"/>
  <c r="AZ689" i="36" s="1"/>
  <c r="AT689" i="36"/>
  <c r="AV689" i="36" s="1"/>
  <c r="AR689" i="36"/>
  <c r="BJ688" i="36"/>
  <c r="BL688" i="36" s="1"/>
  <c r="BF688" i="36"/>
  <c r="BH688" i="36" s="1"/>
  <c r="BB688" i="36"/>
  <c r="BD688" i="36" s="1"/>
  <c r="AX688" i="36"/>
  <c r="AZ688" i="36" s="1"/>
  <c r="AT688" i="36"/>
  <c r="AV688" i="36" s="1"/>
  <c r="AR688" i="36"/>
  <c r="BJ687" i="36"/>
  <c r="BL687" i="36" s="1"/>
  <c r="BF687" i="36"/>
  <c r="BH687" i="36" s="1"/>
  <c r="BB687" i="36"/>
  <c r="BD687" i="36" s="1"/>
  <c r="AX687" i="36"/>
  <c r="AZ687" i="36" s="1"/>
  <c r="AT687" i="36"/>
  <c r="AV687" i="36" s="1"/>
  <c r="AR687" i="36"/>
  <c r="BJ686" i="36"/>
  <c r="BL686" i="36" s="1"/>
  <c r="BF686" i="36"/>
  <c r="BH686" i="36" s="1"/>
  <c r="BB686" i="36"/>
  <c r="BD686" i="36" s="1"/>
  <c r="AX686" i="36"/>
  <c r="AZ686" i="36" s="1"/>
  <c r="AT686" i="36"/>
  <c r="AV686" i="36" s="1"/>
  <c r="AR686" i="36"/>
  <c r="BJ685" i="36"/>
  <c r="BL685" i="36" s="1"/>
  <c r="BF685" i="36"/>
  <c r="BH685" i="36" s="1"/>
  <c r="BB685" i="36"/>
  <c r="BD685" i="36" s="1"/>
  <c r="AX685" i="36"/>
  <c r="AZ685" i="36" s="1"/>
  <c r="AT685" i="36"/>
  <c r="AV685" i="36" s="1"/>
  <c r="AR685" i="36"/>
  <c r="BJ684" i="36"/>
  <c r="BL684" i="36" s="1"/>
  <c r="BF684" i="36"/>
  <c r="BH684" i="36" s="1"/>
  <c r="BB684" i="36"/>
  <c r="BD684" i="36" s="1"/>
  <c r="AX684" i="36"/>
  <c r="AZ684" i="36" s="1"/>
  <c r="AT684" i="36"/>
  <c r="AV684" i="36" s="1"/>
  <c r="AR684" i="36"/>
  <c r="BJ683" i="36"/>
  <c r="BL683" i="36" s="1"/>
  <c r="BF683" i="36"/>
  <c r="BH683" i="36" s="1"/>
  <c r="BB683" i="36"/>
  <c r="BD683" i="36" s="1"/>
  <c r="AX683" i="36"/>
  <c r="AZ683" i="36" s="1"/>
  <c r="AT683" i="36"/>
  <c r="AV683" i="36" s="1"/>
  <c r="AR683" i="36"/>
  <c r="BJ682" i="36"/>
  <c r="BL682" i="36" s="1"/>
  <c r="BF682" i="36"/>
  <c r="BH682" i="36" s="1"/>
  <c r="BB682" i="36"/>
  <c r="BD682" i="36" s="1"/>
  <c r="AX682" i="36"/>
  <c r="AZ682" i="36" s="1"/>
  <c r="AT682" i="36"/>
  <c r="AV682" i="36" s="1"/>
  <c r="AR682" i="36"/>
  <c r="BJ681" i="36"/>
  <c r="BL681" i="36" s="1"/>
  <c r="BF681" i="36"/>
  <c r="BH681" i="36" s="1"/>
  <c r="BB681" i="36"/>
  <c r="BD681" i="36" s="1"/>
  <c r="AX681" i="36"/>
  <c r="AZ681" i="36" s="1"/>
  <c r="AT681" i="36"/>
  <c r="AV681" i="36" s="1"/>
  <c r="AR681" i="36"/>
  <c r="BJ680" i="36"/>
  <c r="BL680" i="36" s="1"/>
  <c r="BF680" i="36"/>
  <c r="BH680" i="36" s="1"/>
  <c r="BB680" i="36"/>
  <c r="BD680" i="36" s="1"/>
  <c r="AX680" i="36"/>
  <c r="AZ680" i="36" s="1"/>
  <c r="AT680" i="36"/>
  <c r="AV680" i="36" s="1"/>
  <c r="AR680" i="36"/>
  <c r="BJ679" i="36"/>
  <c r="BL679" i="36" s="1"/>
  <c r="BF679" i="36"/>
  <c r="BH679" i="36" s="1"/>
  <c r="BB679" i="36"/>
  <c r="BD679" i="36" s="1"/>
  <c r="AX679" i="36"/>
  <c r="AZ679" i="36" s="1"/>
  <c r="AT679" i="36"/>
  <c r="AV679" i="36" s="1"/>
  <c r="AR679" i="36"/>
  <c r="BJ678" i="36"/>
  <c r="BL678" i="36" s="1"/>
  <c r="BF678" i="36"/>
  <c r="BH678" i="36" s="1"/>
  <c r="BB678" i="36"/>
  <c r="BD678" i="36" s="1"/>
  <c r="AX678" i="36"/>
  <c r="AZ678" i="36" s="1"/>
  <c r="AT678" i="36"/>
  <c r="AV678" i="36" s="1"/>
  <c r="AR678" i="36"/>
  <c r="BJ677" i="36"/>
  <c r="BL677" i="36" s="1"/>
  <c r="BF677" i="36"/>
  <c r="BH677" i="36" s="1"/>
  <c r="BB677" i="36"/>
  <c r="BD677" i="36" s="1"/>
  <c r="AX677" i="36"/>
  <c r="AZ677" i="36" s="1"/>
  <c r="AT677" i="36"/>
  <c r="AV677" i="36" s="1"/>
  <c r="AR677" i="36"/>
  <c r="BJ676" i="36"/>
  <c r="BL676" i="36" s="1"/>
  <c r="BF676" i="36"/>
  <c r="BH676" i="36" s="1"/>
  <c r="BB676" i="36"/>
  <c r="BD676" i="36" s="1"/>
  <c r="AX676" i="36"/>
  <c r="AZ676" i="36" s="1"/>
  <c r="AT676" i="36"/>
  <c r="AV676" i="36" s="1"/>
  <c r="AR676" i="36"/>
  <c r="BJ675" i="36"/>
  <c r="BL675" i="36" s="1"/>
  <c r="BF675" i="36"/>
  <c r="BH675" i="36" s="1"/>
  <c r="BB675" i="36"/>
  <c r="BD675" i="36" s="1"/>
  <c r="AX675" i="36"/>
  <c r="AZ675" i="36" s="1"/>
  <c r="AT675" i="36"/>
  <c r="AV675" i="36" s="1"/>
  <c r="AR675" i="36"/>
  <c r="BJ674" i="36"/>
  <c r="BL674" i="36" s="1"/>
  <c r="BF674" i="36"/>
  <c r="BH674" i="36" s="1"/>
  <c r="BB674" i="36"/>
  <c r="BD674" i="36" s="1"/>
  <c r="AX674" i="36"/>
  <c r="AZ674" i="36" s="1"/>
  <c r="AT674" i="36"/>
  <c r="AV674" i="36" s="1"/>
  <c r="AR674" i="36"/>
  <c r="BJ673" i="36"/>
  <c r="BL673" i="36" s="1"/>
  <c r="BF673" i="36"/>
  <c r="BH673" i="36" s="1"/>
  <c r="BB673" i="36"/>
  <c r="BD673" i="36" s="1"/>
  <c r="AX673" i="36"/>
  <c r="AZ673" i="36" s="1"/>
  <c r="AT673" i="36"/>
  <c r="AV673" i="36" s="1"/>
  <c r="AR673" i="36"/>
  <c r="BJ672" i="36"/>
  <c r="BL672" i="36" s="1"/>
  <c r="BF672" i="36"/>
  <c r="BH672" i="36" s="1"/>
  <c r="BB672" i="36"/>
  <c r="BD672" i="36" s="1"/>
  <c r="AX672" i="36"/>
  <c r="AZ672" i="36" s="1"/>
  <c r="AT672" i="36"/>
  <c r="AV672" i="36" s="1"/>
  <c r="AR672" i="36"/>
  <c r="BJ671" i="36"/>
  <c r="BL671" i="36" s="1"/>
  <c r="BF671" i="36"/>
  <c r="BH671" i="36" s="1"/>
  <c r="BB671" i="36"/>
  <c r="BD671" i="36" s="1"/>
  <c r="AX671" i="36"/>
  <c r="AZ671" i="36" s="1"/>
  <c r="AT671" i="36"/>
  <c r="AV671" i="36" s="1"/>
  <c r="AR671" i="36"/>
  <c r="BJ670" i="36"/>
  <c r="BL670" i="36" s="1"/>
  <c r="BF670" i="36"/>
  <c r="BH670" i="36" s="1"/>
  <c r="BB670" i="36"/>
  <c r="BD670" i="36" s="1"/>
  <c r="AX670" i="36"/>
  <c r="AZ670" i="36" s="1"/>
  <c r="AT670" i="36"/>
  <c r="AV670" i="36" s="1"/>
  <c r="AR670" i="36"/>
  <c r="BJ669" i="36"/>
  <c r="BL669" i="36" s="1"/>
  <c r="BF669" i="36"/>
  <c r="BH669" i="36" s="1"/>
  <c r="BB669" i="36"/>
  <c r="BD669" i="36" s="1"/>
  <c r="AX669" i="36"/>
  <c r="AZ669" i="36" s="1"/>
  <c r="AT669" i="36"/>
  <c r="AV669" i="36" s="1"/>
  <c r="AR669" i="36"/>
  <c r="BJ668" i="36"/>
  <c r="BL668" i="36" s="1"/>
  <c r="BF668" i="36"/>
  <c r="BH668" i="36" s="1"/>
  <c r="BB668" i="36"/>
  <c r="BD668" i="36" s="1"/>
  <c r="AX668" i="36"/>
  <c r="AZ668" i="36" s="1"/>
  <c r="AT668" i="36"/>
  <c r="AV668" i="36" s="1"/>
  <c r="AR668" i="36"/>
  <c r="BJ667" i="36"/>
  <c r="BL667" i="36" s="1"/>
  <c r="BF667" i="36"/>
  <c r="BH667" i="36" s="1"/>
  <c r="BB667" i="36"/>
  <c r="BD667" i="36" s="1"/>
  <c r="AX667" i="36"/>
  <c r="AZ667" i="36" s="1"/>
  <c r="AT667" i="36"/>
  <c r="AV667" i="36" s="1"/>
  <c r="AR667" i="36"/>
  <c r="BJ666" i="36"/>
  <c r="BL666" i="36" s="1"/>
  <c r="BF666" i="36"/>
  <c r="BH666" i="36" s="1"/>
  <c r="BB666" i="36"/>
  <c r="BD666" i="36" s="1"/>
  <c r="AX666" i="36"/>
  <c r="AZ666" i="36" s="1"/>
  <c r="AT666" i="36"/>
  <c r="AV666" i="36" s="1"/>
  <c r="AR666" i="36"/>
  <c r="BJ665" i="36"/>
  <c r="BL665" i="36" s="1"/>
  <c r="BF665" i="36"/>
  <c r="BH665" i="36" s="1"/>
  <c r="BB665" i="36"/>
  <c r="BD665" i="36" s="1"/>
  <c r="AX665" i="36"/>
  <c r="AZ665" i="36" s="1"/>
  <c r="AT665" i="36"/>
  <c r="AV665" i="36" s="1"/>
  <c r="AR665" i="36"/>
  <c r="BJ664" i="36"/>
  <c r="BL664" i="36" s="1"/>
  <c r="BF664" i="36"/>
  <c r="BH664" i="36" s="1"/>
  <c r="BB664" i="36"/>
  <c r="BD664" i="36" s="1"/>
  <c r="AX664" i="36"/>
  <c r="AZ664" i="36" s="1"/>
  <c r="AT664" i="36"/>
  <c r="AV664" i="36" s="1"/>
  <c r="AR664" i="36"/>
  <c r="BJ663" i="36"/>
  <c r="BL663" i="36" s="1"/>
  <c r="BF663" i="36"/>
  <c r="BH663" i="36" s="1"/>
  <c r="BB663" i="36"/>
  <c r="BD663" i="36" s="1"/>
  <c r="AX663" i="36"/>
  <c r="AZ663" i="36" s="1"/>
  <c r="AT663" i="36"/>
  <c r="AV663" i="36" s="1"/>
  <c r="AR663" i="36"/>
  <c r="BJ662" i="36"/>
  <c r="BL662" i="36" s="1"/>
  <c r="BF662" i="36"/>
  <c r="BH662" i="36" s="1"/>
  <c r="BB662" i="36"/>
  <c r="BD662" i="36" s="1"/>
  <c r="AX662" i="36"/>
  <c r="AZ662" i="36" s="1"/>
  <c r="AT662" i="36"/>
  <c r="AV662" i="36" s="1"/>
  <c r="AR662" i="36"/>
  <c r="BJ661" i="36"/>
  <c r="BL661" i="36" s="1"/>
  <c r="BF661" i="36"/>
  <c r="BH661" i="36" s="1"/>
  <c r="BB661" i="36"/>
  <c r="BD661" i="36" s="1"/>
  <c r="AX661" i="36"/>
  <c r="AZ661" i="36" s="1"/>
  <c r="AT661" i="36"/>
  <c r="AV661" i="36" s="1"/>
  <c r="AR661" i="36"/>
  <c r="BJ660" i="36"/>
  <c r="BL660" i="36" s="1"/>
  <c r="BF660" i="36"/>
  <c r="BH660" i="36" s="1"/>
  <c r="BB660" i="36"/>
  <c r="BD660" i="36" s="1"/>
  <c r="AX660" i="36"/>
  <c r="AZ660" i="36" s="1"/>
  <c r="AT660" i="36"/>
  <c r="AV660" i="36" s="1"/>
  <c r="AR660" i="36"/>
  <c r="BJ659" i="36"/>
  <c r="BL659" i="36" s="1"/>
  <c r="BF659" i="36"/>
  <c r="BH659" i="36" s="1"/>
  <c r="BB659" i="36"/>
  <c r="BD659" i="36" s="1"/>
  <c r="AX659" i="36"/>
  <c r="AZ659" i="36" s="1"/>
  <c r="AT659" i="36"/>
  <c r="AV659" i="36" s="1"/>
  <c r="AR659" i="36"/>
  <c r="BJ658" i="36"/>
  <c r="BL658" i="36" s="1"/>
  <c r="BF658" i="36"/>
  <c r="BH658" i="36" s="1"/>
  <c r="BB658" i="36"/>
  <c r="BD658" i="36" s="1"/>
  <c r="AX658" i="36"/>
  <c r="AZ658" i="36" s="1"/>
  <c r="AT658" i="36"/>
  <c r="AV658" i="36" s="1"/>
  <c r="AR658" i="36"/>
  <c r="BJ657" i="36"/>
  <c r="BL657" i="36" s="1"/>
  <c r="BF657" i="36"/>
  <c r="BH657" i="36" s="1"/>
  <c r="BB657" i="36"/>
  <c r="BD657" i="36" s="1"/>
  <c r="AX657" i="36"/>
  <c r="AZ657" i="36" s="1"/>
  <c r="AT657" i="36"/>
  <c r="AV657" i="36" s="1"/>
  <c r="AR657" i="36"/>
  <c r="BJ656" i="36"/>
  <c r="BL656" i="36" s="1"/>
  <c r="BF656" i="36"/>
  <c r="BH656" i="36" s="1"/>
  <c r="BB656" i="36"/>
  <c r="BD656" i="36" s="1"/>
  <c r="AX656" i="36"/>
  <c r="AZ656" i="36" s="1"/>
  <c r="AT656" i="36"/>
  <c r="AV656" i="36" s="1"/>
  <c r="AR656" i="36"/>
  <c r="BJ655" i="36"/>
  <c r="BL655" i="36" s="1"/>
  <c r="BF655" i="36"/>
  <c r="BH655" i="36" s="1"/>
  <c r="BB655" i="36"/>
  <c r="BD655" i="36" s="1"/>
  <c r="AX655" i="36"/>
  <c r="AZ655" i="36" s="1"/>
  <c r="AT655" i="36"/>
  <c r="AV655" i="36" s="1"/>
  <c r="AR655" i="36"/>
  <c r="BJ654" i="36"/>
  <c r="BL654" i="36" s="1"/>
  <c r="BF654" i="36"/>
  <c r="BH654" i="36" s="1"/>
  <c r="BB654" i="36"/>
  <c r="BD654" i="36" s="1"/>
  <c r="AX654" i="36"/>
  <c r="AZ654" i="36" s="1"/>
  <c r="AT654" i="36"/>
  <c r="AV654" i="36" s="1"/>
  <c r="AR654" i="36"/>
  <c r="BJ653" i="36"/>
  <c r="BL653" i="36" s="1"/>
  <c r="BF653" i="36"/>
  <c r="BH653" i="36" s="1"/>
  <c r="BB653" i="36"/>
  <c r="BD653" i="36" s="1"/>
  <c r="AX653" i="36"/>
  <c r="AZ653" i="36" s="1"/>
  <c r="AT653" i="36"/>
  <c r="AV653" i="36" s="1"/>
  <c r="AR653" i="36"/>
  <c r="BJ652" i="36"/>
  <c r="BL652" i="36" s="1"/>
  <c r="BF652" i="36"/>
  <c r="BH652" i="36" s="1"/>
  <c r="BB652" i="36"/>
  <c r="BD652" i="36" s="1"/>
  <c r="AX652" i="36"/>
  <c r="AZ652" i="36" s="1"/>
  <c r="AT652" i="36"/>
  <c r="AV652" i="36" s="1"/>
  <c r="AR652" i="36"/>
  <c r="BJ651" i="36"/>
  <c r="BL651" i="36" s="1"/>
  <c r="BF651" i="36"/>
  <c r="BH651" i="36" s="1"/>
  <c r="BB651" i="36"/>
  <c r="BD651" i="36" s="1"/>
  <c r="AX651" i="36"/>
  <c r="AZ651" i="36" s="1"/>
  <c r="AT651" i="36"/>
  <c r="AV651" i="36" s="1"/>
  <c r="AR651" i="36"/>
  <c r="BJ650" i="36"/>
  <c r="BL650" i="36" s="1"/>
  <c r="BF650" i="36"/>
  <c r="BH650" i="36" s="1"/>
  <c r="BB650" i="36"/>
  <c r="BD650" i="36" s="1"/>
  <c r="AX650" i="36"/>
  <c r="AZ650" i="36" s="1"/>
  <c r="AT650" i="36"/>
  <c r="AV650" i="36" s="1"/>
  <c r="AR650" i="36"/>
  <c r="BJ649" i="36"/>
  <c r="BL649" i="36" s="1"/>
  <c r="BF649" i="36"/>
  <c r="BH649" i="36" s="1"/>
  <c r="BB649" i="36"/>
  <c r="BD649" i="36" s="1"/>
  <c r="AX649" i="36"/>
  <c r="AZ649" i="36" s="1"/>
  <c r="AT649" i="36"/>
  <c r="AV649" i="36" s="1"/>
  <c r="AR649" i="36"/>
  <c r="BJ648" i="36"/>
  <c r="BL648" i="36" s="1"/>
  <c r="BF648" i="36"/>
  <c r="BH648" i="36" s="1"/>
  <c r="BB648" i="36"/>
  <c r="BD648" i="36" s="1"/>
  <c r="AX648" i="36"/>
  <c r="AZ648" i="36" s="1"/>
  <c r="AT648" i="36"/>
  <c r="AV648" i="36" s="1"/>
  <c r="AR648" i="36"/>
  <c r="BJ647" i="36"/>
  <c r="BL647" i="36" s="1"/>
  <c r="BF647" i="36"/>
  <c r="BH647" i="36" s="1"/>
  <c r="BB647" i="36"/>
  <c r="BD647" i="36" s="1"/>
  <c r="AX647" i="36"/>
  <c r="AZ647" i="36" s="1"/>
  <c r="AT647" i="36"/>
  <c r="AV647" i="36" s="1"/>
  <c r="AR647" i="36"/>
  <c r="BJ646" i="36"/>
  <c r="BL646" i="36" s="1"/>
  <c r="BF646" i="36"/>
  <c r="BH646" i="36" s="1"/>
  <c r="BB646" i="36"/>
  <c r="BD646" i="36" s="1"/>
  <c r="AX646" i="36"/>
  <c r="AZ646" i="36" s="1"/>
  <c r="AT646" i="36"/>
  <c r="AV646" i="36" s="1"/>
  <c r="AR646" i="36"/>
  <c r="BJ645" i="36"/>
  <c r="BL645" i="36" s="1"/>
  <c r="BF645" i="36"/>
  <c r="BH645" i="36" s="1"/>
  <c r="BB645" i="36"/>
  <c r="BD645" i="36" s="1"/>
  <c r="AX645" i="36"/>
  <c r="AZ645" i="36" s="1"/>
  <c r="AT645" i="36"/>
  <c r="AV645" i="36" s="1"/>
  <c r="AR645" i="36"/>
  <c r="BJ644" i="36"/>
  <c r="BL644" i="36" s="1"/>
  <c r="BF644" i="36"/>
  <c r="BH644" i="36" s="1"/>
  <c r="BB644" i="36"/>
  <c r="BD644" i="36" s="1"/>
  <c r="AX644" i="36"/>
  <c r="AZ644" i="36" s="1"/>
  <c r="AT644" i="36"/>
  <c r="AV644" i="36" s="1"/>
  <c r="AR644" i="36"/>
  <c r="BJ643" i="36"/>
  <c r="BL643" i="36" s="1"/>
  <c r="BF643" i="36"/>
  <c r="BH643" i="36" s="1"/>
  <c r="BB643" i="36"/>
  <c r="BD643" i="36" s="1"/>
  <c r="AX643" i="36"/>
  <c r="AZ643" i="36" s="1"/>
  <c r="AT643" i="36"/>
  <c r="AV643" i="36" s="1"/>
  <c r="AR643" i="36"/>
  <c r="BJ642" i="36"/>
  <c r="BL642" i="36" s="1"/>
  <c r="BF642" i="36"/>
  <c r="BH642" i="36" s="1"/>
  <c r="BB642" i="36"/>
  <c r="BD642" i="36" s="1"/>
  <c r="AX642" i="36"/>
  <c r="AZ642" i="36" s="1"/>
  <c r="AT642" i="36"/>
  <c r="AV642" i="36" s="1"/>
  <c r="AR642" i="36"/>
  <c r="BJ641" i="36"/>
  <c r="BL641" i="36" s="1"/>
  <c r="BF641" i="36"/>
  <c r="BH641" i="36" s="1"/>
  <c r="BB641" i="36"/>
  <c r="BD641" i="36" s="1"/>
  <c r="AX641" i="36"/>
  <c r="AZ641" i="36" s="1"/>
  <c r="AT641" i="36"/>
  <c r="AV641" i="36" s="1"/>
  <c r="AR641" i="36"/>
  <c r="BJ640" i="36"/>
  <c r="BL640" i="36" s="1"/>
  <c r="BF640" i="36"/>
  <c r="BH640" i="36" s="1"/>
  <c r="BB640" i="36"/>
  <c r="BD640" i="36" s="1"/>
  <c r="AX640" i="36"/>
  <c r="AZ640" i="36" s="1"/>
  <c r="AT640" i="36"/>
  <c r="AV640" i="36" s="1"/>
  <c r="AR640" i="36"/>
  <c r="BJ639" i="36"/>
  <c r="BL639" i="36" s="1"/>
  <c r="BF639" i="36"/>
  <c r="BH639" i="36" s="1"/>
  <c r="BB639" i="36"/>
  <c r="BD639" i="36" s="1"/>
  <c r="AX639" i="36"/>
  <c r="AZ639" i="36" s="1"/>
  <c r="AT639" i="36"/>
  <c r="AV639" i="36" s="1"/>
  <c r="AR639" i="36"/>
  <c r="BJ638" i="36"/>
  <c r="BL638" i="36" s="1"/>
  <c r="BF638" i="36"/>
  <c r="BH638" i="36" s="1"/>
  <c r="BB638" i="36"/>
  <c r="BD638" i="36" s="1"/>
  <c r="AX638" i="36"/>
  <c r="AZ638" i="36" s="1"/>
  <c r="AT638" i="36"/>
  <c r="AV638" i="36" s="1"/>
  <c r="AR638" i="36"/>
  <c r="BJ637" i="36"/>
  <c r="BL637" i="36" s="1"/>
  <c r="BF637" i="36"/>
  <c r="BH637" i="36" s="1"/>
  <c r="BB637" i="36"/>
  <c r="BD637" i="36" s="1"/>
  <c r="AX637" i="36"/>
  <c r="AZ637" i="36" s="1"/>
  <c r="AT637" i="36"/>
  <c r="AV637" i="36" s="1"/>
  <c r="AR637" i="36"/>
  <c r="BJ636" i="36"/>
  <c r="BL636" i="36" s="1"/>
  <c r="BF636" i="36"/>
  <c r="BH636" i="36" s="1"/>
  <c r="BB636" i="36"/>
  <c r="BD636" i="36" s="1"/>
  <c r="AX636" i="36"/>
  <c r="AZ636" i="36" s="1"/>
  <c r="AT636" i="36"/>
  <c r="AV636" i="36" s="1"/>
  <c r="AR636" i="36"/>
  <c r="BJ635" i="36"/>
  <c r="BL635" i="36" s="1"/>
  <c r="BF635" i="36"/>
  <c r="BH635" i="36" s="1"/>
  <c r="BB635" i="36"/>
  <c r="BD635" i="36" s="1"/>
  <c r="AX635" i="36"/>
  <c r="AZ635" i="36" s="1"/>
  <c r="AT635" i="36"/>
  <c r="AV635" i="36" s="1"/>
  <c r="AR635" i="36"/>
  <c r="BJ634" i="36"/>
  <c r="BL634" i="36" s="1"/>
  <c r="BF634" i="36"/>
  <c r="BH634" i="36" s="1"/>
  <c r="BB634" i="36"/>
  <c r="BD634" i="36" s="1"/>
  <c r="AX634" i="36"/>
  <c r="AZ634" i="36" s="1"/>
  <c r="AT634" i="36"/>
  <c r="AV634" i="36" s="1"/>
  <c r="AR634" i="36"/>
  <c r="BJ633" i="36"/>
  <c r="BL633" i="36" s="1"/>
  <c r="BF633" i="36"/>
  <c r="BH633" i="36" s="1"/>
  <c r="BB633" i="36"/>
  <c r="BD633" i="36" s="1"/>
  <c r="AX633" i="36"/>
  <c r="AZ633" i="36" s="1"/>
  <c r="AT633" i="36"/>
  <c r="AV633" i="36" s="1"/>
  <c r="AR633" i="36"/>
  <c r="BJ632" i="36"/>
  <c r="BL632" i="36" s="1"/>
  <c r="BF632" i="36"/>
  <c r="BH632" i="36" s="1"/>
  <c r="BB632" i="36"/>
  <c r="BD632" i="36" s="1"/>
  <c r="AX632" i="36"/>
  <c r="AZ632" i="36" s="1"/>
  <c r="AT632" i="36"/>
  <c r="AV632" i="36" s="1"/>
  <c r="AR632" i="36"/>
  <c r="BJ631" i="36"/>
  <c r="BL631" i="36" s="1"/>
  <c r="BF631" i="36"/>
  <c r="BH631" i="36" s="1"/>
  <c r="BB631" i="36"/>
  <c r="BD631" i="36" s="1"/>
  <c r="AX631" i="36"/>
  <c r="AZ631" i="36" s="1"/>
  <c r="AT631" i="36"/>
  <c r="AV631" i="36" s="1"/>
  <c r="AR631" i="36"/>
  <c r="BJ630" i="36"/>
  <c r="BL630" i="36" s="1"/>
  <c r="BF630" i="36"/>
  <c r="BH630" i="36" s="1"/>
  <c r="BB630" i="36"/>
  <c r="BD630" i="36" s="1"/>
  <c r="AX630" i="36"/>
  <c r="AZ630" i="36" s="1"/>
  <c r="AT630" i="36"/>
  <c r="AV630" i="36" s="1"/>
  <c r="AR630" i="36"/>
  <c r="BJ629" i="36"/>
  <c r="BL629" i="36" s="1"/>
  <c r="BF629" i="36"/>
  <c r="BH629" i="36" s="1"/>
  <c r="BB629" i="36"/>
  <c r="BD629" i="36" s="1"/>
  <c r="AX629" i="36"/>
  <c r="AZ629" i="36" s="1"/>
  <c r="AT629" i="36"/>
  <c r="AV629" i="36" s="1"/>
  <c r="AR629" i="36"/>
  <c r="BJ628" i="36"/>
  <c r="BL628" i="36" s="1"/>
  <c r="BF628" i="36"/>
  <c r="BH628" i="36" s="1"/>
  <c r="BB628" i="36"/>
  <c r="BD628" i="36" s="1"/>
  <c r="AX628" i="36"/>
  <c r="AZ628" i="36" s="1"/>
  <c r="AT628" i="36"/>
  <c r="AV628" i="36" s="1"/>
  <c r="AR628" i="36"/>
  <c r="BJ627" i="36"/>
  <c r="BL627" i="36" s="1"/>
  <c r="BF627" i="36"/>
  <c r="BH627" i="36" s="1"/>
  <c r="BB627" i="36"/>
  <c r="BD627" i="36" s="1"/>
  <c r="AX627" i="36"/>
  <c r="AZ627" i="36" s="1"/>
  <c r="AT627" i="36"/>
  <c r="AV627" i="36" s="1"/>
  <c r="AR627" i="36"/>
  <c r="BJ626" i="36"/>
  <c r="BL626" i="36" s="1"/>
  <c r="BF626" i="36"/>
  <c r="BH626" i="36" s="1"/>
  <c r="BB626" i="36"/>
  <c r="BD626" i="36" s="1"/>
  <c r="AX626" i="36"/>
  <c r="AZ626" i="36" s="1"/>
  <c r="AT626" i="36"/>
  <c r="AV626" i="36" s="1"/>
  <c r="AR626" i="36"/>
  <c r="BJ625" i="36"/>
  <c r="BL625" i="36" s="1"/>
  <c r="BF625" i="36"/>
  <c r="BH625" i="36" s="1"/>
  <c r="BB625" i="36"/>
  <c r="BD625" i="36" s="1"/>
  <c r="AX625" i="36"/>
  <c r="AZ625" i="36" s="1"/>
  <c r="AT625" i="36"/>
  <c r="AV625" i="36" s="1"/>
  <c r="AR625" i="36"/>
  <c r="BJ624" i="36"/>
  <c r="BL624" i="36" s="1"/>
  <c r="BF624" i="36"/>
  <c r="BH624" i="36" s="1"/>
  <c r="BB624" i="36"/>
  <c r="BD624" i="36" s="1"/>
  <c r="AX624" i="36"/>
  <c r="AZ624" i="36" s="1"/>
  <c r="AT624" i="36"/>
  <c r="AV624" i="36" s="1"/>
  <c r="AR624" i="36"/>
  <c r="BJ623" i="36"/>
  <c r="BL623" i="36" s="1"/>
  <c r="BF623" i="36"/>
  <c r="BH623" i="36" s="1"/>
  <c r="BB623" i="36"/>
  <c r="BD623" i="36" s="1"/>
  <c r="AX623" i="36"/>
  <c r="AZ623" i="36" s="1"/>
  <c r="AT623" i="36"/>
  <c r="AV623" i="36" s="1"/>
  <c r="AR623" i="36"/>
  <c r="BJ622" i="36"/>
  <c r="BL622" i="36" s="1"/>
  <c r="BF622" i="36"/>
  <c r="BH622" i="36" s="1"/>
  <c r="BB622" i="36"/>
  <c r="BD622" i="36" s="1"/>
  <c r="AX622" i="36"/>
  <c r="AZ622" i="36" s="1"/>
  <c r="AT622" i="36"/>
  <c r="AV622" i="36" s="1"/>
  <c r="AR622" i="36"/>
  <c r="BJ621" i="36"/>
  <c r="BL621" i="36" s="1"/>
  <c r="BF621" i="36"/>
  <c r="BH621" i="36" s="1"/>
  <c r="BB621" i="36"/>
  <c r="BD621" i="36" s="1"/>
  <c r="AX621" i="36"/>
  <c r="AZ621" i="36" s="1"/>
  <c r="AT621" i="36"/>
  <c r="AV621" i="36" s="1"/>
  <c r="AR621" i="36"/>
  <c r="BJ620" i="36"/>
  <c r="BL620" i="36" s="1"/>
  <c r="BF620" i="36"/>
  <c r="BH620" i="36" s="1"/>
  <c r="BB620" i="36"/>
  <c r="BD620" i="36" s="1"/>
  <c r="AX620" i="36"/>
  <c r="AZ620" i="36" s="1"/>
  <c r="AT620" i="36"/>
  <c r="AV620" i="36" s="1"/>
  <c r="AR620" i="36"/>
  <c r="BJ619" i="36"/>
  <c r="BL619" i="36" s="1"/>
  <c r="BF619" i="36"/>
  <c r="BH619" i="36" s="1"/>
  <c r="BB619" i="36"/>
  <c r="BD619" i="36" s="1"/>
  <c r="AX619" i="36"/>
  <c r="AZ619" i="36" s="1"/>
  <c r="AT619" i="36"/>
  <c r="AV619" i="36" s="1"/>
  <c r="AR619" i="36"/>
  <c r="BJ618" i="36"/>
  <c r="BL618" i="36" s="1"/>
  <c r="BF618" i="36"/>
  <c r="BH618" i="36" s="1"/>
  <c r="BB618" i="36"/>
  <c r="BD618" i="36" s="1"/>
  <c r="AX618" i="36"/>
  <c r="AZ618" i="36" s="1"/>
  <c r="AT618" i="36"/>
  <c r="AV618" i="36" s="1"/>
  <c r="AR618" i="36"/>
  <c r="BJ617" i="36"/>
  <c r="BL617" i="36" s="1"/>
  <c r="BF617" i="36"/>
  <c r="BH617" i="36" s="1"/>
  <c r="BB617" i="36"/>
  <c r="BD617" i="36" s="1"/>
  <c r="AX617" i="36"/>
  <c r="AZ617" i="36" s="1"/>
  <c r="AT617" i="36"/>
  <c r="AV617" i="36" s="1"/>
  <c r="AR617" i="36"/>
  <c r="BJ616" i="36"/>
  <c r="BL616" i="36" s="1"/>
  <c r="BF616" i="36"/>
  <c r="BH616" i="36" s="1"/>
  <c r="BB616" i="36"/>
  <c r="BD616" i="36" s="1"/>
  <c r="AX616" i="36"/>
  <c r="AZ616" i="36" s="1"/>
  <c r="AT616" i="36"/>
  <c r="AV616" i="36" s="1"/>
  <c r="AR616" i="36"/>
  <c r="BJ615" i="36"/>
  <c r="BL615" i="36" s="1"/>
  <c r="BF615" i="36"/>
  <c r="BH615" i="36" s="1"/>
  <c r="BB615" i="36"/>
  <c r="BD615" i="36" s="1"/>
  <c r="AX615" i="36"/>
  <c r="AZ615" i="36" s="1"/>
  <c r="AT615" i="36"/>
  <c r="AV615" i="36" s="1"/>
  <c r="AR615" i="36"/>
  <c r="BJ614" i="36"/>
  <c r="BL614" i="36" s="1"/>
  <c r="BF614" i="36"/>
  <c r="BH614" i="36" s="1"/>
  <c r="BB614" i="36"/>
  <c r="BD614" i="36" s="1"/>
  <c r="AX614" i="36"/>
  <c r="AZ614" i="36" s="1"/>
  <c r="AT614" i="36"/>
  <c r="AV614" i="36" s="1"/>
  <c r="AR614" i="36"/>
  <c r="BJ613" i="36"/>
  <c r="BL613" i="36" s="1"/>
  <c r="BF613" i="36"/>
  <c r="BH613" i="36" s="1"/>
  <c r="BB613" i="36"/>
  <c r="BD613" i="36" s="1"/>
  <c r="AX613" i="36"/>
  <c r="AZ613" i="36" s="1"/>
  <c r="AT613" i="36"/>
  <c r="AV613" i="36" s="1"/>
  <c r="AR613" i="36"/>
  <c r="BJ612" i="36"/>
  <c r="BL612" i="36" s="1"/>
  <c r="BF612" i="36"/>
  <c r="BH612" i="36" s="1"/>
  <c r="BB612" i="36"/>
  <c r="BD612" i="36" s="1"/>
  <c r="AX612" i="36"/>
  <c r="AZ612" i="36" s="1"/>
  <c r="AT612" i="36"/>
  <c r="AV612" i="36" s="1"/>
  <c r="AR612" i="36"/>
  <c r="BJ611" i="36"/>
  <c r="BL611" i="36" s="1"/>
  <c r="BF611" i="36"/>
  <c r="BH611" i="36" s="1"/>
  <c r="BB611" i="36"/>
  <c r="BD611" i="36" s="1"/>
  <c r="AX611" i="36"/>
  <c r="AZ611" i="36" s="1"/>
  <c r="AT611" i="36"/>
  <c r="AV611" i="36" s="1"/>
  <c r="AR611" i="36"/>
  <c r="BJ610" i="36"/>
  <c r="BL610" i="36" s="1"/>
  <c r="BF610" i="36"/>
  <c r="BH610" i="36" s="1"/>
  <c r="BB610" i="36"/>
  <c r="BD610" i="36" s="1"/>
  <c r="AX610" i="36"/>
  <c r="AZ610" i="36" s="1"/>
  <c r="AT610" i="36"/>
  <c r="AV610" i="36" s="1"/>
  <c r="AR610" i="36"/>
  <c r="BJ609" i="36"/>
  <c r="BL609" i="36" s="1"/>
  <c r="BF609" i="36"/>
  <c r="BH609" i="36" s="1"/>
  <c r="BB609" i="36"/>
  <c r="BD609" i="36" s="1"/>
  <c r="AX609" i="36"/>
  <c r="AZ609" i="36" s="1"/>
  <c r="AT609" i="36"/>
  <c r="AV609" i="36" s="1"/>
  <c r="AR609" i="36"/>
  <c r="BJ608" i="36"/>
  <c r="BL608" i="36" s="1"/>
  <c r="BF608" i="36"/>
  <c r="BH608" i="36" s="1"/>
  <c r="BB608" i="36"/>
  <c r="BD608" i="36" s="1"/>
  <c r="AX608" i="36"/>
  <c r="AZ608" i="36" s="1"/>
  <c r="AT608" i="36"/>
  <c r="AV608" i="36" s="1"/>
  <c r="AR608" i="36"/>
  <c r="BJ607" i="36"/>
  <c r="BL607" i="36" s="1"/>
  <c r="BF607" i="36"/>
  <c r="BH607" i="36" s="1"/>
  <c r="BB607" i="36"/>
  <c r="BD607" i="36" s="1"/>
  <c r="AX607" i="36"/>
  <c r="AZ607" i="36" s="1"/>
  <c r="AT607" i="36"/>
  <c r="AV607" i="36" s="1"/>
  <c r="AR607" i="36"/>
  <c r="BJ606" i="36"/>
  <c r="BL606" i="36" s="1"/>
  <c r="BF606" i="36"/>
  <c r="BH606" i="36" s="1"/>
  <c r="BB606" i="36"/>
  <c r="BD606" i="36" s="1"/>
  <c r="AX606" i="36"/>
  <c r="AZ606" i="36" s="1"/>
  <c r="AT606" i="36"/>
  <c r="AV606" i="36" s="1"/>
  <c r="AR606" i="36"/>
  <c r="BJ605" i="36"/>
  <c r="BL605" i="36" s="1"/>
  <c r="BF605" i="36"/>
  <c r="BH605" i="36" s="1"/>
  <c r="BB605" i="36"/>
  <c r="BD605" i="36" s="1"/>
  <c r="AX605" i="36"/>
  <c r="AZ605" i="36" s="1"/>
  <c r="AT605" i="36"/>
  <c r="AV605" i="36" s="1"/>
  <c r="AR605" i="36"/>
  <c r="BJ604" i="36"/>
  <c r="BL604" i="36" s="1"/>
  <c r="BF604" i="36"/>
  <c r="BH604" i="36" s="1"/>
  <c r="BB604" i="36"/>
  <c r="BD604" i="36" s="1"/>
  <c r="AX604" i="36"/>
  <c r="AZ604" i="36" s="1"/>
  <c r="AT604" i="36"/>
  <c r="AV604" i="36" s="1"/>
  <c r="AR604" i="36"/>
  <c r="BJ603" i="36"/>
  <c r="BL603" i="36" s="1"/>
  <c r="BF603" i="36"/>
  <c r="BH603" i="36" s="1"/>
  <c r="BB603" i="36"/>
  <c r="BD603" i="36" s="1"/>
  <c r="AX603" i="36"/>
  <c r="AZ603" i="36" s="1"/>
  <c r="AT603" i="36"/>
  <c r="AV603" i="36" s="1"/>
  <c r="AR603" i="36"/>
  <c r="BJ602" i="36"/>
  <c r="BL602" i="36" s="1"/>
  <c r="BF602" i="36"/>
  <c r="BH602" i="36" s="1"/>
  <c r="BB602" i="36"/>
  <c r="BD602" i="36" s="1"/>
  <c r="AX602" i="36"/>
  <c r="AZ602" i="36" s="1"/>
  <c r="AT602" i="36"/>
  <c r="AV602" i="36" s="1"/>
  <c r="AR602" i="36"/>
  <c r="BJ601" i="36"/>
  <c r="BL601" i="36" s="1"/>
  <c r="BF601" i="36"/>
  <c r="BH601" i="36" s="1"/>
  <c r="BB601" i="36"/>
  <c r="BD601" i="36" s="1"/>
  <c r="AX601" i="36"/>
  <c r="AZ601" i="36" s="1"/>
  <c r="AT601" i="36"/>
  <c r="AV601" i="36" s="1"/>
  <c r="AR601" i="36"/>
  <c r="BJ600" i="36"/>
  <c r="BL600" i="36" s="1"/>
  <c r="BF600" i="36"/>
  <c r="BH600" i="36" s="1"/>
  <c r="BB600" i="36"/>
  <c r="BD600" i="36" s="1"/>
  <c r="AX600" i="36"/>
  <c r="AZ600" i="36" s="1"/>
  <c r="AT600" i="36"/>
  <c r="AV600" i="36" s="1"/>
  <c r="AR600" i="36"/>
  <c r="BJ599" i="36"/>
  <c r="BL599" i="36" s="1"/>
  <c r="BF599" i="36"/>
  <c r="BH599" i="36" s="1"/>
  <c r="BB599" i="36"/>
  <c r="BD599" i="36" s="1"/>
  <c r="AX599" i="36"/>
  <c r="AZ599" i="36" s="1"/>
  <c r="AT599" i="36"/>
  <c r="AV599" i="36" s="1"/>
  <c r="AR599" i="36"/>
  <c r="BJ598" i="36"/>
  <c r="BL598" i="36" s="1"/>
  <c r="BF598" i="36"/>
  <c r="BH598" i="36" s="1"/>
  <c r="BB598" i="36"/>
  <c r="BD598" i="36" s="1"/>
  <c r="AX598" i="36"/>
  <c r="AZ598" i="36" s="1"/>
  <c r="AT598" i="36"/>
  <c r="AV598" i="36" s="1"/>
  <c r="AR598" i="36"/>
  <c r="BJ597" i="36"/>
  <c r="BL597" i="36" s="1"/>
  <c r="BF597" i="36"/>
  <c r="BH597" i="36" s="1"/>
  <c r="BB597" i="36"/>
  <c r="BD597" i="36" s="1"/>
  <c r="AX597" i="36"/>
  <c r="AZ597" i="36" s="1"/>
  <c r="AT597" i="36"/>
  <c r="AV597" i="36" s="1"/>
  <c r="AR597" i="36"/>
  <c r="BJ596" i="36"/>
  <c r="BL596" i="36" s="1"/>
  <c r="BF596" i="36"/>
  <c r="BH596" i="36" s="1"/>
  <c r="BB596" i="36"/>
  <c r="BD596" i="36" s="1"/>
  <c r="AX596" i="36"/>
  <c r="AZ596" i="36" s="1"/>
  <c r="AT596" i="36"/>
  <c r="AV596" i="36" s="1"/>
  <c r="AR596" i="36"/>
  <c r="BJ595" i="36"/>
  <c r="BL595" i="36" s="1"/>
  <c r="BF595" i="36"/>
  <c r="BH595" i="36" s="1"/>
  <c r="BB595" i="36"/>
  <c r="BD595" i="36" s="1"/>
  <c r="AX595" i="36"/>
  <c r="AZ595" i="36" s="1"/>
  <c r="AT595" i="36"/>
  <c r="AV595" i="36" s="1"/>
  <c r="AR595" i="36"/>
  <c r="BJ594" i="36"/>
  <c r="BL594" i="36" s="1"/>
  <c r="BF594" i="36"/>
  <c r="BH594" i="36" s="1"/>
  <c r="BB594" i="36"/>
  <c r="BD594" i="36" s="1"/>
  <c r="AX594" i="36"/>
  <c r="AZ594" i="36" s="1"/>
  <c r="AT594" i="36"/>
  <c r="AV594" i="36" s="1"/>
  <c r="AR594" i="36"/>
  <c r="BJ593" i="36"/>
  <c r="BL593" i="36" s="1"/>
  <c r="BF593" i="36"/>
  <c r="BH593" i="36" s="1"/>
  <c r="BB593" i="36"/>
  <c r="BD593" i="36" s="1"/>
  <c r="AX593" i="36"/>
  <c r="AZ593" i="36" s="1"/>
  <c r="AT593" i="36"/>
  <c r="AV593" i="36" s="1"/>
  <c r="AR593" i="36"/>
  <c r="BJ592" i="36"/>
  <c r="BL592" i="36" s="1"/>
  <c r="BF592" i="36"/>
  <c r="BH592" i="36" s="1"/>
  <c r="BB592" i="36"/>
  <c r="BD592" i="36" s="1"/>
  <c r="AX592" i="36"/>
  <c r="AZ592" i="36" s="1"/>
  <c r="AT592" i="36"/>
  <c r="AV592" i="36" s="1"/>
  <c r="AR592" i="36"/>
  <c r="BJ591" i="36"/>
  <c r="BL591" i="36" s="1"/>
  <c r="BF591" i="36"/>
  <c r="BH591" i="36" s="1"/>
  <c r="BB591" i="36"/>
  <c r="BD591" i="36" s="1"/>
  <c r="AX591" i="36"/>
  <c r="AZ591" i="36" s="1"/>
  <c r="AT591" i="36"/>
  <c r="AV591" i="36" s="1"/>
  <c r="AR591" i="36"/>
  <c r="BJ590" i="36"/>
  <c r="BL590" i="36" s="1"/>
  <c r="BF590" i="36"/>
  <c r="BH590" i="36" s="1"/>
  <c r="BB590" i="36"/>
  <c r="BD590" i="36" s="1"/>
  <c r="AX590" i="36"/>
  <c r="AZ590" i="36" s="1"/>
  <c r="AT590" i="36"/>
  <c r="AV590" i="36" s="1"/>
  <c r="AR590" i="36"/>
  <c r="BJ589" i="36"/>
  <c r="BL589" i="36" s="1"/>
  <c r="BF589" i="36"/>
  <c r="BH589" i="36" s="1"/>
  <c r="BB589" i="36"/>
  <c r="BD589" i="36" s="1"/>
  <c r="AX589" i="36"/>
  <c r="AZ589" i="36" s="1"/>
  <c r="AT589" i="36"/>
  <c r="AV589" i="36" s="1"/>
  <c r="AR589" i="36"/>
  <c r="BJ588" i="36"/>
  <c r="BL588" i="36" s="1"/>
  <c r="BF588" i="36"/>
  <c r="BH588" i="36" s="1"/>
  <c r="BB588" i="36"/>
  <c r="BD588" i="36" s="1"/>
  <c r="AX588" i="36"/>
  <c r="AZ588" i="36" s="1"/>
  <c r="AT588" i="36"/>
  <c r="AV588" i="36" s="1"/>
  <c r="AR588" i="36"/>
  <c r="BJ587" i="36"/>
  <c r="BL587" i="36" s="1"/>
  <c r="BF587" i="36"/>
  <c r="BH587" i="36" s="1"/>
  <c r="BB587" i="36"/>
  <c r="BD587" i="36" s="1"/>
  <c r="AX587" i="36"/>
  <c r="AZ587" i="36" s="1"/>
  <c r="AT587" i="36"/>
  <c r="AV587" i="36" s="1"/>
  <c r="AR587" i="36"/>
  <c r="BJ586" i="36"/>
  <c r="BL586" i="36" s="1"/>
  <c r="BF586" i="36"/>
  <c r="BH586" i="36" s="1"/>
  <c r="BB586" i="36"/>
  <c r="BD586" i="36" s="1"/>
  <c r="AX586" i="36"/>
  <c r="AZ586" i="36" s="1"/>
  <c r="AT586" i="36"/>
  <c r="AV586" i="36" s="1"/>
  <c r="AR586" i="36"/>
  <c r="BJ585" i="36"/>
  <c r="BL585" i="36" s="1"/>
  <c r="BF585" i="36"/>
  <c r="BH585" i="36" s="1"/>
  <c r="BB585" i="36"/>
  <c r="BD585" i="36" s="1"/>
  <c r="AX585" i="36"/>
  <c r="AZ585" i="36" s="1"/>
  <c r="AT585" i="36"/>
  <c r="AV585" i="36" s="1"/>
  <c r="AR585" i="36"/>
  <c r="BJ584" i="36"/>
  <c r="BL584" i="36" s="1"/>
  <c r="BF584" i="36"/>
  <c r="BH584" i="36" s="1"/>
  <c r="BB584" i="36"/>
  <c r="BD584" i="36" s="1"/>
  <c r="AX584" i="36"/>
  <c r="AZ584" i="36" s="1"/>
  <c r="AT584" i="36"/>
  <c r="AV584" i="36" s="1"/>
  <c r="AR584" i="36"/>
  <c r="BJ583" i="36"/>
  <c r="BL583" i="36" s="1"/>
  <c r="BF583" i="36"/>
  <c r="BH583" i="36" s="1"/>
  <c r="BB583" i="36"/>
  <c r="BD583" i="36" s="1"/>
  <c r="AX583" i="36"/>
  <c r="AZ583" i="36" s="1"/>
  <c r="AT583" i="36"/>
  <c r="AV583" i="36" s="1"/>
  <c r="AR583" i="36"/>
  <c r="BJ582" i="36"/>
  <c r="BL582" i="36" s="1"/>
  <c r="BF582" i="36"/>
  <c r="BH582" i="36" s="1"/>
  <c r="BB582" i="36"/>
  <c r="BD582" i="36" s="1"/>
  <c r="AX582" i="36"/>
  <c r="AZ582" i="36" s="1"/>
  <c r="AT582" i="36"/>
  <c r="AV582" i="36" s="1"/>
  <c r="AR582" i="36"/>
  <c r="BJ581" i="36"/>
  <c r="BL581" i="36" s="1"/>
  <c r="BF581" i="36"/>
  <c r="BH581" i="36" s="1"/>
  <c r="BB581" i="36"/>
  <c r="BD581" i="36" s="1"/>
  <c r="AX581" i="36"/>
  <c r="AZ581" i="36" s="1"/>
  <c r="AT581" i="36"/>
  <c r="AV581" i="36" s="1"/>
  <c r="AR581" i="36"/>
  <c r="BJ580" i="36"/>
  <c r="BL580" i="36" s="1"/>
  <c r="BF580" i="36"/>
  <c r="BH580" i="36" s="1"/>
  <c r="BB580" i="36"/>
  <c r="BD580" i="36" s="1"/>
  <c r="AX580" i="36"/>
  <c r="AZ580" i="36" s="1"/>
  <c r="AT580" i="36"/>
  <c r="AV580" i="36" s="1"/>
  <c r="AR580" i="36"/>
  <c r="BJ579" i="36"/>
  <c r="BL579" i="36" s="1"/>
  <c r="BF579" i="36"/>
  <c r="BH579" i="36" s="1"/>
  <c r="BB579" i="36"/>
  <c r="BD579" i="36" s="1"/>
  <c r="AX579" i="36"/>
  <c r="AZ579" i="36" s="1"/>
  <c r="AT579" i="36"/>
  <c r="AV579" i="36" s="1"/>
  <c r="AR579" i="36"/>
  <c r="BJ578" i="36"/>
  <c r="BL578" i="36" s="1"/>
  <c r="BF578" i="36"/>
  <c r="BH578" i="36" s="1"/>
  <c r="BB578" i="36"/>
  <c r="BD578" i="36" s="1"/>
  <c r="AX578" i="36"/>
  <c r="AZ578" i="36" s="1"/>
  <c r="AT578" i="36"/>
  <c r="AV578" i="36" s="1"/>
  <c r="AR578" i="36"/>
  <c r="BJ577" i="36"/>
  <c r="BL577" i="36" s="1"/>
  <c r="BF577" i="36"/>
  <c r="BH577" i="36" s="1"/>
  <c r="BB577" i="36"/>
  <c r="BD577" i="36" s="1"/>
  <c r="AX577" i="36"/>
  <c r="AZ577" i="36" s="1"/>
  <c r="AT577" i="36"/>
  <c r="AV577" i="36" s="1"/>
  <c r="AR577" i="36"/>
  <c r="BJ576" i="36"/>
  <c r="BL576" i="36" s="1"/>
  <c r="BF576" i="36"/>
  <c r="BH576" i="36" s="1"/>
  <c r="BB576" i="36"/>
  <c r="BD576" i="36" s="1"/>
  <c r="AX576" i="36"/>
  <c r="AZ576" i="36" s="1"/>
  <c r="AT576" i="36"/>
  <c r="AV576" i="36" s="1"/>
  <c r="AR576" i="36"/>
  <c r="BJ575" i="36"/>
  <c r="BL575" i="36" s="1"/>
  <c r="BF575" i="36"/>
  <c r="BH575" i="36" s="1"/>
  <c r="BB575" i="36"/>
  <c r="BD575" i="36" s="1"/>
  <c r="AX575" i="36"/>
  <c r="AZ575" i="36" s="1"/>
  <c r="AT575" i="36"/>
  <c r="AV575" i="36" s="1"/>
  <c r="AR575" i="36"/>
  <c r="BJ574" i="36"/>
  <c r="BL574" i="36" s="1"/>
  <c r="BF574" i="36"/>
  <c r="BH574" i="36" s="1"/>
  <c r="BB574" i="36"/>
  <c r="BD574" i="36" s="1"/>
  <c r="AX574" i="36"/>
  <c r="AZ574" i="36" s="1"/>
  <c r="AT574" i="36"/>
  <c r="AV574" i="36" s="1"/>
  <c r="AR574" i="36"/>
  <c r="BJ573" i="36"/>
  <c r="BL573" i="36" s="1"/>
  <c r="BF573" i="36"/>
  <c r="BH573" i="36" s="1"/>
  <c r="BB573" i="36"/>
  <c r="BD573" i="36" s="1"/>
  <c r="AX573" i="36"/>
  <c r="AZ573" i="36" s="1"/>
  <c r="AT573" i="36"/>
  <c r="AV573" i="36" s="1"/>
  <c r="AR573" i="36"/>
  <c r="BJ572" i="36"/>
  <c r="BL572" i="36" s="1"/>
  <c r="BF572" i="36"/>
  <c r="BH572" i="36" s="1"/>
  <c r="BB572" i="36"/>
  <c r="BD572" i="36" s="1"/>
  <c r="AX572" i="36"/>
  <c r="AZ572" i="36" s="1"/>
  <c r="AT572" i="36"/>
  <c r="AV572" i="36" s="1"/>
  <c r="AR572" i="36"/>
  <c r="BJ571" i="36"/>
  <c r="BL571" i="36" s="1"/>
  <c r="BF571" i="36"/>
  <c r="BH571" i="36" s="1"/>
  <c r="BB571" i="36"/>
  <c r="BD571" i="36" s="1"/>
  <c r="AX571" i="36"/>
  <c r="AZ571" i="36" s="1"/>
  <c r="AT571" i="36"/>
  <c r="AV571" i="36" s="1"/>
  <c r="AR571" i="36"/>
  <c r="BJ570" i="36"/>
  <c r="BL570" i="36" s="1"/>
  <c r="BF570" i="36"/>
  <c r="BH570" i="36" s="1"/>
  <c r="BB570" i="36"/>
  <c r="BD570" i="36" s="1"/>
  <c r="AX570" i="36"/>
  <c r="AZ570" i="36" s="1"/>
  <c r="AT570" i="36"/>
  <c r="AV570" i="36" s="1"/>
  <c r="AR570" i="36"/>
  <c r="BJ569" i="36"/>
  <c r="BL569" i="36" s="1"/>
  <c r="BF569" i="36"/>
  <c r="BH569" i="36" s="1"/>
  <c r="BB569" i="36"/>
  <c r="BD569" i="36" s="1"/>
  <c r="AX569" i="36"/>
  <c r="AZ569" i="36" s="1"/>
  <c r="AT569" i="36"/>
  <c r="AV569" i="36" s="1"/>
  <c r="AR569" i="36"/>
  <c r="BJ568" i="36"/>
  <c r="BL568" i="36" s="1"/>
  <c r="BF568" i="36"/>
  <c r="BH568" i="36" s="1"/>
  <c r="BB568" i="36"/>
  <c r="BD568" i="36" s="1"/>
  <c r="AX568" i="36"/>
  <c r="AZ568" i="36" s="1"/>
  <c r="AT568" i="36"/>
  <c r="AV568" i="36" s="1"/>
  <c r="AR568" i="36"/>
  <c r="BJ567" i="36"/>
  <c r="BL567" i="36" s="1"/>
  <c r="BF567" i="36"/>
  <c r="BH567" i="36" s="1"/>
  <c r="BB567" i="36"/>
  <c r="BD567" i="36" s="1"/>
  <c r="AX567" i="36"/>
  <c r="AZ567" i="36" s="1"/>
  <c r="AT567" i="36"/>
  <c r="AV567" i="36" s="1"/>
  <c r="AR567" i="36"/>
  <c r="BJ566" i="36"/>
  <c r="BL566" i="36" s="1"/>
  <c r="BF566" i="36"/>
  <c r="BH566" i="36" s="1"/>
  <c r="BB566" i="36"/>
  <c r="BD566" i="36" s="1"/>
  <c r="AX566" i="36"/>
  <c r="AZ566" i="36" s="1"/>
  <c r="AT566" i="36"/>
  <c r="AV566" i="36" s="1"/>
  <c r="AR566" i="36"/>
  <c r="BJ565" i="36"/>
  <c r="BL565" i="36" s="1"/>
  <c r="BF565" i="36"/>
  <c r="BH565" i="36" s="1"/>
  <c r="BB565" i="36"/>
  <c r="BD565" i="36" s="1"/>
  <c r="AX565" i="36"/>
  <c r="AZ565" i="36" s="1"/>
  <c r="AT565" i="36"/>
  <c r="AV565" i="36" s="1"/>
  <c r="AR565" i="36"/>
  <c r="BJ564" i="36"/>
  <c r="BL564" i="36" s="1"/>
  <c r="BF564" i="36"/>
  <c r="BH564" i="36" s="1"/>
  <c r="BB564" i="36"/>
  <c r="BD564" i="36" s="1"/>
  <c r="AX564" i="36"/>
  <c r="AZ564" i="36" s="1"/>
  <c r="AT564" i="36"/>
  <c r="AV564" i="36" s="1"/>
  <c r="AR564" i="36"/>
  <c r="BJ563" i="36"/>
  <c r="BL563" i="36" s="1"/>
  <c r="BF563" i="36"/>
  <c r="BH563" i="36" s="1"/>
  <c r="BB563" i="36"/>
  <c r="BD563" i="36" s="1"/>
  <c r="AX563" i="36"/>
  <c r="AZ563" i="36" s="1"/>
  <c r="AT563" i="36"/>
  <c r="AV563" i="36" s="1"/>
  <c r="AR563" i="36"/>
  <c r="BJ562" i="36"/>
  <c r="BL562" i="36" s="1"/>
  <c r="BF562" i="36"/>
  <c r="BH562" i="36" s="1"/>
  <c r="BB562" i="36"/>
  <c r="BD562" i="36" s="1"/>
  <c r="AX562" i="36"/>
  <c r="AZ562" i="36" s="1"/>
  <c r="AT562" i="36"/>
  <c r="AV562" i="36" s="1"/>
  <c r="AR562" i="36"/>
  <c r="BJ561" i="36"/>
  <c r="BL561" i="36" s="1"/>
  <c r="BF561" i="36"/>
  <c r="BH561" i="36" s="1"/>
  <c r="BB561" i="36"/>
  <c r="BD561" i="36" s="1"/>
  <c r="AX561" i="36"/>
  <c r="AZ561" i="36" s="1"/>
  <c r="AT561" i="36"/>
  <c r="AV561" i="36" s="1"/>
  <c r="AR561" i="36"/>
  <c r="BJ560" i="36"/>
  <c r="BL560" i="36" s="1"/>
  <c r="BF560" i="36"/>
  <c r="BH560" i="36" s="1"/>
  <c r="BB560" i="36"/>
  <c r="BD560" i="36" s="1"/>
  <c r="AX560" i="36"/>
  <c r="AZ560" i="36" s="1"/>
  <c r="AT560" i="36"/>
  <c r="AV560" i="36" s="1"/>
  <c r="AR560" i="36"/>
  <c r="BJ559" i="36"/>
  <c r="BL559" i="36" s="1"/>
  <c r="BF559" i="36"/>
  <c r="BH559" i="36" s="1"/>
  <c r="BB559" i="36"/>
  <c r="BD559" i="36" s="1"/>
  <c r="AX559" i="36"/>
  <c r="AZ559" i="36" s="1"/>
  <c r="AT559" i="36"/>
  <c r="AV559" i="36" s="1"/>
  <c r="AR559" i="36"/>
  <c r="BJ558" i="36"/>
  <c r="BL558" i="36" s="1"/>
  <c r="BF558" i="36"/>
  <c r="BH558" i="36" s="1"/>
  <c r="BB558" i="36"/>
  <c r="BD558" i="36" s="1"/>
  <c r="AX558" i="36"/>
  <c r="AZ558" i="36" s="1"/>
  <c r="AT558" i="36"/>
  <c r="AV558" i="36" s="1"/>
  <c r="AR558" i="36"/>
  <c r="BJ557" i="36"/>
  <c r="BL557" i="36" s="1"/>
  <c r="BF557" i="36"/>
  <c r="BH557" i="36" s="1"/>
  <c r="BB557" i="36"/>
  <c r="BD557" i="36" s="1"/>
  <c r="AX557" i="36"/>
  <c r="AZ557" i="36" s="1"/>
  <c r="AT557" i="36"/>
  <c r="AV557" i="36" s="1"/>
  <c r="AR557" i="36"/>
  <c r="BJ556" i="36"/>
  <c r="BL556" i="36" s="1"/>
  <c r="BF556" i="36"/>
  <c r="BH556" i="36" s="1"/>
  <c r="BB556" i="36"/>
  <c r="BD556" i="36" s="1"/>
  <c r="AX556" i="36"/>
  <c r="AZ556" i="36" s="1"/>
  <c r="AT556" i="36"/>
  <c r="AV556" i="36" s="1"/>
  <c r="AR556" i="36"/>
  <c r="BJ555" i="36"/>
  <c r="BL555" i="36" s="1"/>
  <c r="BF555" i="36"/>
  <c r="BH555" i="36" s="1"/>
  <c r="BB555" i="36"/>
  <c r="BD555" i="36" s="1"/>
  <c r="AX555" i="36"/>
  <c r="AZ555" i="36" s="1"/>
  <c r="AT555" i="36"/>
  <c r="AV555" i="36" s="1"/>
  <c r="AR555" i="36"/>
  <c r="BJ554" i="36"/>
  <c r="BL554" i="36" s="1"/>
  <c r="BF554" i="36"/>
  <c r="BH554" i="36" s="1"/>
  <c r="BB554" i="36"/>
  <c r="BD554" i="36" s="1"/>
  <c r="AX554" i="36"/>
  <c r="AZ554" i="36" s="1"/>
  <c r="AT554" i="36"/>
  <c r="AV554" i="36" s="1"/>
  <c r="AR554" i="36"/>
  <c r="BJ553" i="36"/>
  <c r="BL553" i="36" s="1"/>
  <c r="BF553" i="36"/>
  <c r="BH553" i="36" s="1"/>
  <c r="BB553" i="36"/>
  <c r="BD553" i="36" s="1"/>
  <c r="AX553" i="36"/>
  <c r="AZ553" i="36" s="1"/>
  <c r="AT553" i="36"/>
  <c r="AV553" i="36" s="1"/>
  <c r="AR553" i="36"/>
  <c r="BJ552" i="36"/>
  <c r="BL552" i="36" s="1"/>
  <c r="BF552" i="36"/>
  <c r="BH552" i="36" s="1"/>
  <c r="BB552" i="36"/>
  <c r="BD552" i="36" s="1"/>
  <c r="AX552" i="36"/>
  <c r="AZ552" i="36" s="1"/>
  <c r="AT552" i="36"/>
  <c r="AV552" i="36" s="1"/>
  <c r="AR552" i="36"/>
  <c r="BJ551" i="36"/>
  <c r="BL551" i="36" s="1"/>
  <c r="BF551" i="36"/>
  <c r="BH551" i="36" s="1"/>
  <c r="BB551" i="36"/>
  <c r="BD551" i="36" s="1"/>
  <c r="AX551" i="36"/>
  <c r="AZ551" i="36" s="1"/>
  <c r="AT551" i="36"/>
  <c r="AV551" i="36" s="1"/>
  <c r="AR551" i="36"/>
  <c r="BJ550" i="36"/>
  <c r="BL550" i="36" s="1"/>
  <c r="BF550" i="36"/>
  <c r="BH550" i="36" s="1"/>
  <c r="BB550" i="36"/>
  <c r="BD550" i="36" s="1"/>
  <c r="AX550" i="36"/>
  <c r="AZ550" i="36" s="1"/>
  <c r="AT550" i="36"/>
  <c r="AV550" i="36" s="1"/>
  <c r="AR550" i="36"/>
  <c r="BJ549" i="36"/>
  <c r="BL549" i="36" s="1"/>
  <c r="BF549" i="36"/>
  <c r="BH549" i="36" s="1"/>
  <c r="BB549" i="36"/>
  <c r="BD549" i="36" s="1"/>
  <c r="AX549" i="36"/>
  <c r="AZ549" i="36" s="1"/>
  <c r="AT549" i="36"/>
  <c r="AV549" i="36" s="1"/>
  <c r="AR549" i="36"/>
  <c r="BJ548" i="36"/>
  <c r="BL548" i="36" s="1"/>
  <c r="BF548" i="36"/>
  <c r="BH548" i="36" s="1"/>
  <c r="BB548" i="36"/>
  <c r="BD548" i="36" s="1"/>
  <c r="AX548" i="36"/>
  <c r="AZ548" i="36" s="1"/>
  <c r="AT548" i="36"/>
  <c r="AV548" i="36" s="1"/>
  <c r="AR548" i="36"/>
  <c r="BJ547" i="36"/>
  <c r="BL547" i="36" s="1"/>
  <c r="BF547" i="36"/>
  <c r="BH547" i="36" s="1"/>
  <c r="BB547" i="36"/>
  <c r="BD547" i="36" s="1"/>
  <c r="AX547" i="36"/>
  <c r="AZ547" i="36" s="1"/>
  <c r="AT547" i="36"/>
  <c r="AV547" i="36" s="1"/>
  <c r="AR547" i="36"/>
  <c r="BJ546" i="36"/>
  <c r="BL546" i="36" s="1"/>
  <c r="BF546" i="36"/>
  <c r="BH546" i="36" s="1"/>
  <c r="BB546" i="36"/>
  <c r="BD546" i="36" s="1"/>
  <c r="AX546" i="36"/>
  <c r="AZ546" i="36" s="1"/>
  <c r="AT546" i="36"/>
  <c r="AV546" i="36" s="1"/>
  <c r="AR546" i="36"/>
  <c r="BJ545" i="36"/>
  <c r="BL545" i="36" s="1"/>
  <c r="BF545" i="36"/>
  <c r="BH545" i="36" s="1"/>
  <c r="BB545" i="36"/>
  <c r="BD545" i="36" s="1"/>
  <c r="AX545" i="36"/>
  <c r="AZ545" i="36" s="1"/>
  <c r="AT545" i="36"/>
  <c r="AV545" i="36" s="1"/>
  <c r="AR545" i="36"/>
  <c r="BJ544" i="36"/>
  <c r="BL544" i="36" s="1"/>
  <c r="BF544" i="36"/>
  <c r="BH544" i="36" s="1"/>
  <c r="BB544" i="36"/>
  <c r="BD544" i="36" s="1"/>
  <c r="AX544" i="36"/>
  <c r="AZ544" i="36" s="1"/>
  <c r="AT544" i="36"/>
  <c r="AV544" i="36" s="1"/>
  <c r="AR544" i="36"/>
  <c r="BJ543" i="36"/>
  <c r="BL543" i="36" s="1"/>
  <c r="BF543" i="36"/>
  <c r="BH543" i="36" s="1"/>
  <c r="BB543" i="36"/>
  <c r="BD543" i="36" s="1"/>
  <c r="AX543" i="36"/>
  <c r="AZ543" i="36" s="1"/>
  <c r="AT543" i="36"/>
  <c r="AV543" i="36" s="1"/>
  <c r="AR543" i="36"/>
  <c r="BJ542" i="36"/>
  <c r="BL542" i="36" s="1"/>
  <c r="BF542" i="36"/>
  <c r="BH542" i="36" s="1"/>
  <c r="BB542" i="36"/>
  <c r="BD542" i="36" s="1"/>
  <c r="AX542" i="36"/>
  <c r="AZ542" i="36" s="1"/>
  <c r="AT542" i="36"/>
  <c r="AV542" i="36" s="1"/>
  <c r="AR542" i="36"/>
  <c r="BJ541" i="36"/>
  <c r="BL541" i="36" s="1"/>
  <c r="BF541" i="36"/>
  <c r="BH541" i="36" s="1"/>
  <c r="BB541" i="36"/>
  <c r="BD541" i="36" s="1"/>
  <c r="AX541" i="36"/>
  <c r="AZ541" i="36" s="1"/>
  <c r="AT541" i="36"/>
  <c r="AV541" i="36" s="1"/>
  <c r="AR541" i="36"/>
  <c r="BJ540" i="36"/>
  <c r="BL540" i="36" s="1"/>
  <c r="BF540" i="36"/>
  <c r="BH540" i="36" s="1"/>
  <c r="BB540" i="36"/>
  <c r="BD540" i="36" s="1"/>
  <c r="AX540" i="36"/>
  <c r="AZ540" i="36" s="1"/>
  <c r="AT540" i="36"/>
  <c r="AV540" i="36" s="1"/>
  <c r="AR540" i="36"/>
  <c r="BJ539" i="36"/>
  <c r="BL539" i="36" s="1"/>
  <c r="BF539" i="36"/>
  <c r="BH539" i="36" s="1"/>
  <c r="BB539" i="36"/>
  <c r="BD539" i="36" s="1"/>
  <c r="AX539" i="36"/>
  <c r="AZ539" i="36" s="1"/>
  <c r="AT539" i="36"/>
  <c r="AV539" i="36" s="1"/>
  <c r="AR539" i="36"/>
  <c r="BJ538" i="36"/>
  <c r="BL538" i="36" s="1"/>
  <c r="BF538" i="36"/>
  <c r="BH538" i="36" s="1"/>
  <c r="BB538" i="36"/>
  <c r="BD538" i="36" s="1"/>
  <c r="AX538" i="36"/>
  <c r="AZ538" i="36" s="1"/>
  <c r="AT538" i="36"/>
  <c r="AV538" i="36" s="1"/>
  <c r="AR538" i="36"/>
  <c r="BJ537" i="36"/>
  <c r="BL537" i="36" s="1"/>
  <c r="BF537" i="36"/>
  <c r="BH537" i="36" s="1"/>
  <c r="BB537" i="36"/>
  <c r="BD537" i="36" s="1"/>
  <c r="AX537" i="36"/>
  <c r="AZ537" i="36" s="1"/>
  <c r="AT537" i="36"/>
  <c r="AV537" i="36" s="1"/>
  <c r="AR537" i="36"/>
  <c r="BJ536" i="36"/>
  <c r="BL536" i="36" s="1"/>
  <c r="BF536" i="36"/>
  <c r="BH536" i="36" s="1"/>
  <c r="BB536" i="36"/>
  <c r="BD536" i="36" s="1"/>
  <c r="AX536" i="36"/>
  <c r="AZ536" i="36" s="1"/>
  <c r="AT536" i="36"/>
  <c r="AV536" i="36" s="1"/>
  <c r="AR536" i="36"/>
  <c r="BJ535" i="36"/>
  <c r="BL535" i="36" s="1"/>
  <c r="BF535" i="36"/>
  <c r="BH535" i="36" s="1"/>
  <c r="BB535" i="36"/>
  <c r="BD535" i="36" s="1"/>
  <c r="AX535" i="36"/>
  <c r="AZ535" i="36" s="1"/>
  <c r="AT535" i="36"/>
  <c r="AV535" i="36" s="1"/>
  <c r="AR535" i="36"/>
  <c r="BJ534" i="36"/>
  <c r="BL534" i="36" s="1"/>
  <c r="BF534" i="36"/>
  <c r="BH534" i="36" s="1"/>
  <c r="BB534" i="36"/>
  <c r="BD534" i="36" s="1"/>
  <c r="AX534" i="36"/>
  <c r="AZ534" i="36" s="1"/>
  <c r="AT534" i="36"/>
  <c r="AV534" i="36" s="1"/>
  <c r="AR534" i="36"/>
  <c r="BJ533" i="36"/>
  <c r="BL533" i="36" s="1"/>
  <c r="BF533" i="36"/>
  <c r="BH533" i="36" s="1"/>
  <c r="BB533" i="36"/>
  <c r="BD533" i="36" s="1"/>
  <c r="AX533" i="36"/>
  <c r="AZ533" i="36" s="1"/>
  <c r="AT533" i="36"/>
  <c r="AV533" i="36" s="1"/>
  <c r="AR533" i="36"/>
  <c r="BJ532" i="36"/>
  <c r="BL532" i="36" s="1"/>
  <c r="BF532" i="36"/>
  <c r="BH532" i="36" s="1"/>
  <c r="BB532" i="36"/>
  <c r="BD532" i="36" s="1"/>
  <c r="AX532" i="36"/>
  <c r="AZ532" i="36" s="1"/>
  <c r="AT532" i="36"/>
  <c r="AV532" i="36" s="1"/>
  <c r="AR532" i="36"/>
  <c r="BJ531" i="36"/>
  <c r="BL531" i="36" s="1"/>
  <c r="BF531" i="36"/>
  <c r="BH531" i="36" s="1"/>
  <c r="BB531" i="36"/>
  <c r="BD531" i="36" s="1"/>
  <c r="AX531" i="36"/>
  <c r="AZ531" i="36" s="1"/>
  <c r="AT531" i="36"/>
  <c r="AV531" i="36" s="1"/>
  <c r="AR531" i="36"/>
  <c r="BJ530" i="36"/>
  <c r="BL530" i="36" s="1"/>
  <c r="BF530" i="36"/>
  <c r="BH530" i="36" s="1"/>
  <c r="BB530" i="36"/>
  <c r="BD530" i="36" s="1"/>
  <c r="AX530" i="36"/>
  <c r="AZ530" i="36" s="1"/>
  <c r="AT530" i="36"/>
  <c r="AV530" i="36" s="1"/>
  <c r="AR530" i="36"/>
  <c r="BJ529" i="36"/>
  <c r="BL529" i="36" s="1"/>
  <c r="BF529" i="36"/>
  <c r="BH529" i="36" s="1"/>
  <c r="BB529" i="36"/>
  <c r="BD529" i="36" s="1"/>
  <c r="AX529" i="36"/>
  <c r="AZ529" i="36" s="1"/>
  <c r="AT529" i="36"/>
  <c r="AV529" i="36" s="1"/>
  <c r="AR529" i="36"/>
  <c r="BJ528" i="36"/>
  <c r="BL528" i="36" s="1"/>
  <c r="BF528" i="36"/>
  <c r="BH528" i="36" s="1"/>
  <c r="BB528" i="36"/>
  <c r="BD528" i="36" s="1"/>
  <c r="AX528" i="36"/>
  <c r="AZ528" i="36" s="1"/>
  <c r="AT528" i="36"/>
  <c r="AV528" i="36" s="1"/>
  <c r="AR528" i="36"/>
  <c r="BJ527" i="36"/>
  <c r="BL527" i="36" s="1"/>
  <c r="BF527" i="36"/>
  <c r="BH527" i="36" s="1"/>
  <c r="BB527" i="36"/>
  <c r="BD527" i="36" s="1"/>
  <c r="AX527" i="36"/>
  <c r="AZ527" i="36" s="1"/>
  <c r="AT527" i="36"/>
  <c r="AV527" i="36" s="1"/>
  <c r="AR527" i="36"/>
  <c r="BJ526" i="36"/>
  <c r="BL526" i="36" s="1"/>
  <c r="BF526" i="36"/>
  <c r="BH526" i="36" s="1"/>
  <c r="BB526" i="36"/>
  <c r="BD526" i="36" s="1"/>
  <c r="AX526" i="36"/>
  <c r="AZ526" i="36" s="1"/>
  <c r="AT526" i="36"/>
  <c r="AV526" i="36" s="1"/>
  <c r="AR526" i="36"/>
  <c r="BJ525" i="36"/>
  <c r="BL525" i="36" s="1"/>
  <c r="BF525" i="36"/>
  <c r="BH525" i="36" s="1"/>
  <c r="BB525" i="36"/>
  <c r="BD525" i="36" s="1"/>
  <c r="AX525" i="36"/>
  <c r="AZ525" i="36" s="1"/>
  <c r="AT525" i="36"/>
  <c r="AV525" i="36" s="1"/>
  <c r="AR525" i="36"/>
  <c r="BJ524" i="36"/>
  <c r="BL524" i="36" s="1"/>
  <c r="BF524" i="36"/>
  <c r="BH524" i="36" s="1"/>
  <c r="BB524" i="36"/>
  <c r="BD524" i="36" s="1"/>
  <c r="AX524" i="36"/>
  <c r="AZ524" i="36" s="1"/>
  <c r="AT524" i="36"/>
  <c r="AV524" i="36" s="1"/>
  <c r="AR524" i="36"/>
  <c r="BJ523" i="36"/>
  <c r="BL523" i="36" s="1"/>
  <c r="BF523" i="36"/>
  <c r="BH523" i="36" s="1"/>
  <c r="BB523" i="36"/>
  <c r="BD523" i="36" s="1"/>
  <c r="AX523" i="36"/>
  <c r="AZ523" i="36" s="1"/>
  <c r="AT523" i="36"/>
  <c r="AV523" i="36" s="1"/>
  <c r="AR523" i="36"/>
  <c r="BJ522" i="36"/>
  <c r="BL522" i="36" s="1"/>
  <c r="BF522" i="36"/>
  <c r="BH522" i="36" s="1"/>
  <c r="BB522" i="36"/>
  <c r="BD522" i="36" s="1"/>
  <c r="AX522" i="36"/>
  <c r="AZ522" i="36" s="1"/>
  <c r="AT522" i="36"/>
  <c r="AV522" i="36" s="1"/>
  <c r="AR522" i="36"/>
  <c r="BJ521" i="36"/>
  <c r="BL521" i="36" s="1"/>
  <c r="BF521" i="36"/>
  <c r="BH521" i="36" s="1"/>
  <c r="BB521" i="36"/>
  <c r="BD521" i="36" s="1"/>
  <c r="AX521" i="36"/>
  <c r="AZ521" i="36" s="1"/>
  <c r="AT521" i="36"/>
  <c r="AV521" i="36" s="1"/>
  <c r="AR521" i="36"/>
  <c r="BJ520" i="36"/>
  <c r="BL520" i="36" s="1"/>
  <c r="BF520" i="36"/>
  <c r="BH520" i="36" s="1"/>
  <c r="BB520" i="36"/>
  <c r="BD520" i="36" s="1"/>
  <c r="AX520" i="36"/>
  <c r="AZ520" i="36" s="1"/>
  <c r="AT520" i="36"/>
  <c r="AV520" i="36" s="1"/>
  <c r="AR520" i="36"/>
  <c r="BJ519" i="36"/>
  <c r="BL519" i="36" s="1"/>
  <c r="BF519" i="36"/>
  <c r="BH519" i="36" s="1"/>
  <c r="BB519" i="36"/>
  <c r="BD519" i="36" s="1"/>
  <c r="AX519" i="36"/>
  <c r="AZ519" i="36" s="1"/>
  <c r="AT519" i="36"/>
  <c r="AV519" i="36" s="1"/>
  <c r="AR519" i="36"/>
  <c r="BJ518" i="36"/>
  <c r="BL518" i="36" s="1"/>
  <c r="BF518" i="36"/>
  <c r="BH518" i="36" s="1"/>
  <c r="BB518" i="36"/>
  <c r="BD518" i="36" s="1"/>
  <c r="AX518" i="36"/>
  <c r="AZ518" i="36" s="1"/>
  <c r="AT518" i="36"/>
  <c r="AV518" i="36" s="1"/>
  <c r="AR518" i="36"/>
  <c r="BJ517" i="36"/>
  <c r="BL517" i="36" s="1"/>
  <c r="BF517" i="36"/>
  <c r="BH517" i="36" s="1"/>
  <c r="BB517" i="36"/>
  <c r="BD517" i="36" s="1"/>
  <c r="AX517" i="36"/>
  <c r="AZ517" i="36" s="1"/>
  <c r="AT517" i="36"/>
  <c r="AV517" i="36" s="1"/>
  <c r="AR517" i="36"/>
  <c r="BJ516" i="36"/>
  <c r="BL516" i="36" s="1"/>
  <c r="BF516" i="36"/>
  <c r="BH516" i="36" s="1"/>
  <c r="BB516" i="36"/>
  <c r="BD516" i="36" s="1"/>
  <c r="AX516" i="36"/>
  <c r="AZ516" i="36" s="1"/>
  <c r="AT516" i="36"/>
  <c r="AV516" i="36" s="1"/>
  <c r="AR516" i="36"/>
  <c r="BJ515" i="36"/>
  <c r="BL515" i="36" s="1"/>
  <c r="BF515" i="36"/>
  <c r="BH515" i="36" s="1"/>
  <c r="BB515" i="36"/>
  <c r="BD515" i="36" s="1"/>
  <c r="AX515" i="36"/>
  <c r="AZ515" i="36" s="1"/>
  <c r="AT515" i="36"/>
  <c r="AV515" i="36" s="1"/>
  <c r="AR515" i="36"/>
  <c r="BJ514" i="36"/>
  <c r="BL514" i="36" s="1"/>
  <c r="BF514" i="36"/>
  <c r="BH514" i="36" s="1"/>
  <c r="BB514" i="36"/>
  <c r="BD514" i="36" s="1"/>
  <c r="AX514" i="36"/>
  <c r="AZ514" i="36" s="1"/>
  <c r="AT514" i="36"/>
  <c r="AV514" i="36" s="1"/>
  <c r="AR514" i="36"/>
  <c r="BJ513" i="36"/>
  <c r="BL513" i="36" s="1"/>
  <c r="BF513" i="36"/>
  <c r="BH513" i="36" s="1"/>
  <c r="BB513" i="36"/>
  <c r="BD513" i="36" s="1"/>
  <c r="AX513" i="36"/>
  <c r="AZ513" i="36" s="1"/>
  <c r="AT513" i="36"/>
  <c r="AV513" i="36" s="1"/>
  <c r="AR513" i="36"/>
  <c r="BJ512" i="36"/>
  <c r="BL512" i="36" s="1"/>
  <c r="BF512" i="36"/>
  <c r="BH512" i="36" s="1"/>
  <c r="BB512" i="36"/>
  <c r="BD512" i="36" s="1"/>
  <c r="AX512" i="36"/>
  <c r="AZ512" i="36" s="1"/>
  <c r="AT512" i="36"/>
  <c r="AV512" i="36" s="1"/>
  <c r="AR512" i="36"/>
  <c r="BJ511" i="36"/>
  <c r="BL511" i="36" s="1"/>
  <c r="BF511" i="36"/>
  <c r="BH511" i="36" s="1"/>
  <c r="BB511" i="36"/>
  <c r="BD511" i="36" s="1"/>
  <c r="AX511" i="36"/>
  <c r="AZ511" i="36" s="1"/>
  <c r="AT511" i="36"/>
  <c r="AV511" i="36" s="1"/>
  <c r="AR511" i="36"/>
  <c r="BJ510" i="36"/>
  <c r="BL510" i="36" s="1"/>
  <c r="BF510" i="36"/>
  <c r="BH510" i="36" s="1"/>
  <c r="BB510" i="36"/>
  <c r="BD510" i="36" s="1"/>
  <c r="AX510" i="36"/>
  <c r="AZ510" i="36" s="1"/>
  <c r="AT510" i="36"/>
  <c r="AV510" i="36" s="1"/>
  <c r="AR510" i="36"/>
  <c r="BJ509" i="36"/>
  <c r="BL509" i="36" s="1"/>
  <c r="BF509" i="36"/>
  <c r="BH509" i="36" s="1"/>
  <c r="BB509" i="36"/>
  <c r="BD509" i="36" s="1"/>
  <c r="AX509" i="36"/>
  <c r="AZ509" i="36" s="1"/>
  <c r="AT509" i="36"/>
  <c r="AV509" i="36" s="1"/>
  <c r="AR509" i="36"/>
  <c r="BJ508" i="36"/>
  <c r="BL508" i="36" s="1"/>
  <c r="BF508" i="36"/>
  <c r="BH508" i="36" s="1"/>
  <c r="BB508" i="36"/>
  <c r="BD508" i="36" s="1"/>
  <c r="AX508" i="36"/>
  <c r="AZ508" i="36" s="1"/>
  <c r="AT508" i="36"/>
  <c r="AV508" i="36" s="1"/>
  <c r="AR508" i="36"/>
  <c r="BJ507" i="36"/>
  <c r="BL507" i="36" s="1"/>
  <c r="BF507" i="36"/>
  <c r="BH507" i="36" s="1"/>
  <c r="BB507" i="36"/>
  <c r="BD507" i="36" s="1"/>
  <c r="AX507" i="36"/>
  <c r="AZ507" i="36" s="1"/>
  <c r="AT507" i="36"/>
  <c r="AV507" i="36" s="1"/>
  <c r="AR507" i="36"/>
  <c r="BJ506" i="36"/>
  <c r="BL506" i="36" s="1"/>
  <c r="BF506" i="36"/>
  <c r="BH506" i="36" s="1"/>
  <c r="BB506" i="36"/>
  <c r="BD506" i="36" s="1"/>
  <c r="AX506" i="36"/>
  <c r="AZ506" i="36" s="1"/>
  <c r="AT506" i="36"/>
  <c r="AV506" i="36" s="1"/>
  <c r="AR506" i="36"/>
  <c r="BJ505" i="36"/>
  <c r="BL505" i="36" s="1"/>
  <c r="BF505" i="36"/>
  <c r="BH505" i="36" s="1"/>
  <c r="BB505" i="36"/>
  <c r="BD505" i="36" s="1"/>
  <c r="AX505" i="36"/>
  <c r="AZ505" i="36" s="1"/>
  <c r="AT505" i="36"/>
  <c r="AV505" i="36" s="1"/>
  <c r="AR505" i="36"/>
  <c r="BJ504" i="36"/>
  <c r="BL504" i="36" s="1"/>
  <c r="BF504" i="36"/>
  <c r="BH504" i="36" s="1"/>
  <c r="BB504" i="36"/>
  <c r="BD504" i="36" s="1"/>
  <c r="AX504" i="36"/>
  <c r="AZ504" i="36" s="1"/>
  <c r="AT504" i="36"/>
  <c r="AV504" i="36" s="1"/>
  <c r="AR504" i="36"/>
  <c r="BJ503" i="36"/>
  <c r="BL503" i="36" s="1"/>
  <c r="BF503" i="36"/>
  <c r="BH503" i="36" s="1"/>
  <c r="BB503" i="36"/>
  <c r="BD503" i="36" s="1"/>
  <c r="AX503" i="36"/>
  <c r="AZ503" i="36" s="1"/>
  <c r="AT503" i="36"/>
  <c r="AV503" i="36" s="1"/>
  <c r="AR503" i="36"/>
  <c r="BJ502" i="36"/>
  <c r="BL502" i="36" s="1"/>
  <c r="BF502" i="36"/>
  <c r="BH502" i="36" s="1"/>
  <c r="BB502" i="36"/>
  <c r="BD502" i="36" s="1"/>
  <c r="AX502" i="36"/>
  <c r="AZ502" i="36" s="1"/>
  <c r="AT502" i="36"/>
  <c r="AV502" i="36" s="1"/>
  <c r="AR502" i="36"/>
  <c r="BJ501" i="36"/>
  <c r="BL501" i="36" s="1"/>
  <c r="BF501" i="36"/>
  <c r="BH501" i="36" s="1"/>
  <c r="BB501" i="36"/>
  <c r="BD501" i="36" s="1"/>
  <c r="AX501" i="36"/>
  <c r="AZ501" i="36" s="1"/>
  <c r="AT501" i="36"/>
  <c r="AV501" i="36" s="1"/>
  <c r="AR501" i="36"/>
  <c r="BJ500" i="36"/>
  <c r="BL500" i="36" s="1"/>
  <c r="BF500" i="36"/>
  <c r="BH500" i="36" s="1"/>
  <c r="BB500" i="36"/>
  <c r="BD500" i="36" s="1"/>
  <c r="AX500" i="36"/>
  <c r="AZ500" i="36" s="1"/>
  <c r="AT500" i="36"/>
  <c r="AV500" i="36" s="1"/>
  <c r="AR500" i="36"/>
  <c r="BJ499" i="36"/>
  <c r="BL499" i="36" s="1"/>
  <c r="BF499" i="36"/>
  <c r="BH499" i="36" s="1"/>
  <c r="BB499" i="36"/>
  <c r="BD499" i="36" s="1"/>
  <c r="AX499" i="36"/>
  <c r="AZ499" i="36" s="1"/>
  <c r="AT499" i="36"/>
  <c r="AV499" i="36" s="1"/>
  <c r="AR499" i="36"/>
  <c r="BJ498" i="36"/>
  <c r="BL498" i="36" s="1"/>
  <c r="BF498" i="36"/>
  <c r="BH498" i="36" s="1"/>
  <c r="BB498" i="36"/>
  <c r="BD498" i="36" s="1"/>
  <c r="AX498" i="36"/>
  <c r="AZ498" i="36" s="1"/>
  <c r="AT498" i="36"/>
  <c r="AV498" i="36" s="1"/>
  <c r="AR498" i="36"/>
  <c r="BJ497" i="36"/>
  <c r="BL497" i="36" s="1"/>
  <c r="BF497" i="36"/>
  <c r="BH497" i="36" s="1"/>
  <c r="BB497" i="36"/>
  <c r="BD497" i="36" s="1"/>
  <c r="AX497" i="36"/>
  <c r="AZ497" i="36" s="1"/>
  <c r="AT497" i="36"/>
  <c r="AV497" i="36" s="1"/>
  <c r="AR497" i="36"/>
  <c r="BJ496" i="36"/>
  <c r="BL496" i="36" s="1"/>
  <c r="BF496" i="36"/>
  <c r="BH496" i="36" s="1"/>
  <c r="BB496" i="36"/>
  <c r="BD496" i="36" s="1"/>
  <c r="AX496" i="36"/>
  <c r="AZ496" i="36" s="1"/>
  <c r="AT496" i="36"/>
  <c r="AV496" i="36" s="1"/>
  <c r="AR496" i="36"/>
  <c r="BJ495" i="36"/>
  <c r="BL495" i="36" s="1"/>
  <c r="BF495" i="36"/>
  <c r="BH495" i="36" s="1"/>
  <c r="BB495" i="36"/>
  <c r="BD495" i="36" s="1"/>
  <c r="AX495" i="36"/>
  <c r="AZ495" i="36" s="1"/>
  <c r="AT495" i="36"/>
  <c r="AV495" i="36" s="1"/>
  <c r="AR495" i="36"/>
  <c r="BJ494" i="36"/>
  <c r="BL494" i="36" s="1"/>
  <c r="BF494" i="36"/>
  <c r="BH494" i="36" s="1"/>
  <c r="BB494" i="36"/>
  <c r="BD494" i="36" s="1"/>
  <c r="AX494" i="36"/>
  <c r="AZ494" i="36" s="1"/>
  <c r="AT494" i="36"/>
  <c r="AV494" i="36" s="1"/>
  <c r="AR494" i="36"/>
  <c r="BJ493" i="36"/>
  <c r="BL493" i="36" s="1"/>
  <c r="BF493" i="36"/>
  <c r="BH493" i="36" s="1"/>
  <c r="BB493" i="36"/>
  <c r="BD493" i="36" s="1"/>
  <c r="AX493" i="36"/>
  <c r="AZ493" i="36" s="1"/>
  <c r="AT493" i="36"/>
  <c r="AV493" i="36" s="1"/>
  <c r="AR493" i="36"/>
  <c r="BJ492" i="36"/>
  <c r="BL492" i="36" s="1"/>
  <c r="BF492" i="36"/>
  <c r="BH492" i="36" s="1"/>
  <c r="BB492" i="36"/>
  <c r="BD492" i="36" s="1"/>
  <c r="AX492" i="36"/>
  <c r="AZ492" i="36" s="1"/>
  <c r="AT492" i="36"/>
  <c r="AV492" i="36" s="1"/>
  <c r="AR492" i="36"/>
  <c r="BJ491" i="36"/>
  <c r="BL491" i="36" s="1"/>
  <c r="BF491" i="36"/>
  <c r="BH491" i="36" s="1"/>
  <c r="BB491" i="36"/>
  <c r="BD491" i="36" s="1"/>
  <c r="AX491" i="36"/>
  <c r="AZ491" i="36" s="1"/>
  <c r="AT491" i="36"/>
  <c r="AV491" i="36" s="1"/>
  <c r="AR491" i="36"/>
  <c r="BJ490" i="36"/>
  <c r="BL490" i="36" s="1"/>
  <c r="BF490" i="36"/>
  <c r="BH490" i="36" s="1"/>
  <c r="BB490" i="36"/>
  <c r="BD490" i="36" s="1"/>
  <c r="AX490" i="36"/>
  <c r="AZ490" i="36" s="1"/>
  <c r="AT490" i="36"/>
  <c r="AV490" i="36" s="1"/>
  <c r="AR490" i="36"/>
  <c r="BJ489" i="36"/>
  <c r="BL489" i="36" s="1"/>
  <c r="BF489" i="36"/>
  <c r="BH489" i="36" s="1"/>
  <c r="BB489" i="36"/>
  <c r="BD489" i="36" s="1"/>
  <c r="AX489" i="36"/>
  <c r="AZ489" i="36" s="1"/>
  <c r="AT489" i="36"/>
  <c r="AV489" i="36" s="1"/>
  <c r="AR489" i="36"/>
  <c r="BJ488" i="36"/>
  <c r="BL488" i="36" s="1"/>
  <c r="BF488" i="36"/>
  <c r="BH488" i="36" s="1"/>
  <c r="BB488" i="36"/>
  <c r="BD488" i="36" s="1"/>
  <c r="AX488" i="36"/>
  <c r="AZ488" i="36" s="1"/>
  <c r="AT488" i="36"/>
  <c r="AV488" i="36" s="1"/>
  <c r="AR488" i="36"/>
  <c r="BJ487" i="36"/>
  <c r="BL487" i="36" s="1"/>
  <c r="BF487" i="36"/>
  <c r="BH487" i="36" s="1"/>
  <c r="BB487" i="36"/>
  <c r="BD487" i="36" s="1"/>
  <c r="AX487" i="36"/>
  <c r="AZ487" i="36" s="1"/>
  <c r="AT487" i="36"/>
  <c r="AV487" i="36" s="1"/>
  <c r="AR487" i="36"/>
  <c r="BJ486" i="36"/>
  <c r="BL486" i="36" s="1"/>
  <c r="BF486" i="36"/>
  <c r="BH486" i="36" s="1"/>
  <c r="BB486" i="36"/>
  <c r="BD486" i="36" s="1"/>
  <c r="AX486" i="36"/>
  <c r="AZ486" i="36" s="1"/>
  <c r="AT486" i="36"/>
  <c r="AV486" i="36" s="1"/>
  <c r="AR486" i="36"/>
  <c r="BJ485" i="36"/>
  <c r="BL485" i="36" s="1"/>
  <c r="BF485" i="36"/>
  <c r="BH485" i="36" s="1"/>
  <c r="BB485" i="36"/>
  <c r="BD485" i="36" s="1"/>
  <c r="AX485" i="36"/>
  <c r="AZ485" i="36" s="1"/>
  <c r="AT485" i="36"/>
  <c r="AV485" i="36" s="1"/>
  <c r="AR485" i="36"/>
  <c r="BJ484" i="36"/>
  <c r="BL484" i="36" s="1"/>
  <c r="BF484" i="36"/>
  <c r="BH484" i="36" s="1"/>
  <c r="BB484" i="36"/>
  <c r="BD484" i="36" s="1"/>
  <c r="AX484" i="36"/>
  <c r="AZ484" i="36" s="1"/>
  <c r="AT484" i="36"/>
  <c r="AV484" i="36" s="1"/>
  <c r="AR484" i="36"/>
  <c r="BJ483" i="36"/>
  <c r="BL483" i="36" s="1"/>
  <c r="BF483" i="36"/>
  <c r="BH483" i="36" s="1"/>
  <c r="BB483" i="36"/>
  <c r="BD483" i="36" s="1"/>
  <c r="AX483" i="36"/>
  <c r="AZ483" i="36" s="1"/>
  <c r="AT483" i="36"/>
  <c r="AV483" i="36" s="1"/>
  <c r="AR483" i="36"/>
  <c r="BJ482" i="36"/>
  <c r="BL482" i="36" s="1"/>
  <c r="BF482" i="36"/>
  <c r="BH482" i="36" s="1"/>
  <c r="BB482" i="36"/>
  <c r="BD482" i="36" s="1"/>
  <c r="AX482" i="36"/>
  <c r="AZ482" i="36" s="1"/>
  <c r="AT482" i="36"/>
  <c r="AV482" i="36" s="1"/>
  <c r="AR482" i="36"/>
  <c r="BJ481" i="36"/>
  <c r="BL481" i="36" s="1"/>
  <c r="BF481" i="36"/>
  <c r="BH481" i="36" s="1"/>
  <c r="BB481" i="36"/>
  <c r="BD481" i="36" s="1"/>
  <c r="AX481" i="36"/>
  <c r="AZ481" i="36" s="1"/>
  <c r="AT481" i="36"/>
  <c r="AV481" i="36" s="1"/>
  <c r="AR481" i="36"/>
  <c r="BJ480" i="36"/>
  <c r="BL480" i="36" s="1"/>
  <c r="BF480" i="36"/>
  <c r="BH480" i="36" s="1"/>
  <c r="BB480" i="36"/>
  <c r="BD480" i="36" s="1"/>
  <c r="AX480" i="36"/>
  <c r="AZ480" i="36" s="1"/>
  <c r="AT480" i="36"/>
  <c r="AV480" i="36" s="1"/>
  <c r="AR480" i="36"/>
  <c r="BJ479" i="36"/>
  <c r="BL479" i="36" s="1"/>
  <c r="BF479" i="36"/>
  <c r="BH479" i="36" s="1"/>
  <c r="BB479" i="36"/>
  <c r="BD479" i="36" s="1"/>
  <c r="AX479" i="36"/>
  <c r="AZ479" i="36" s="1"/>
  <c r="AT479" i="36"/>
  <c r="AV479" i="36" s="1"/>
  <c r="AR479" i="36"/>
  <c r="BJ478" i="36"/>
  <c r="BL478" i="36" s="1"/>
  <c r="BF478" i="36"/>
  <c r="BH478" i="36" s="1"/>
  <c r="BB478" i="36"/>
  <c r="BD478" i="36" s="1"/>
  <c r="AX478" i="36"/>
  <c r="AZ478" i="36" s="1"/>
  <c r="AT478" i="36"/>
  <c r="AV478" i="36" s="1"/>
  <c r="AR478" i="36"/>
  <c r="BJ477" i="36"/>
  <c r="BL477" i="36" s="1"/>
  <c r="BF477" i="36"/>
  <c r="BH477" i="36" s="1"/>
  <c r="BB477" i="36"/>
  <c r="BD477" i="36" s="1"/>
  <c r="AX477" i="36"/>
  <c r="AZ477" i="36" s="1"/>
  <c r="AT477" i="36"/>
  <c r="AV477" i="36" s="1"/>
  <c r="AR477" i="36"/>
  <c r="BJ476" i="36"/>
  <c r="BL476" i="36" s="1"/>
  <c r="BF476" i="36"/>
  <c r="BH476" i="36" s="1"/>
  <c r="BB476" i="36"/>
  <c r="BD476" i="36" s="1"/>
  <c r="AX476" i="36"/>
  <c r="AZ476" i="36" s="1"/>
  <c r="AT476" i="36"/>
  <c r="AV476" i="36" s="1"/>
  <c r="AR476" i="36"/>
  <c r="BJ475" i="36"/>
  <c r="BL475" i="36" s="1"/>
  <c r="BF475" i="36"/>
  <c r="BH475" i="36" s="1"/>
  <c r="BB475" i="36"/>
  <c r="BD475" i="36" s="1"/>
  <c r="AX475" i="36"/>
  <c r="AZ475" i="36" s="1"/>
  <c r="AT475" i="36"/>
  <c r="AV475" i="36" s="1"/>
  <c r="AR475" i="36"/>
  <c r="BJ474" i="36"/>
  <c r="BL474" i="36" s="1"/>
  <c r="BF474" i="36"/>
  <c r="BH474" i="36" s="1"/>
  <c r="BB474" i="36"/>
  <c r="BD474" i="36" s="1"/>
  <c r="AX474" i="36"/>
  <c r="AZ474" i="36" s="1"/>
  <c r="AT474" i="36"/>
  <c r="AV474" i="36" s="1"/>
  <c r="AR474" i="36"/>
  <c r="BJ473" i="36"/>
  <c r="BL473" i="36" s="1"/>
  <c r="BF473" i="36"/>
  <c r="BH473" i="36" s="1"/>
  <c r="BB473" i="36"/>
  <c r="BD473" i="36" s="1"/>
  <c r="AX473" i="36"/>
  <c r="AZ473" i="36" s="1"/>
  <c r="AT473" i="36"/>
  <c r="AV473" i="36" s="1"/>
  <c r="AR473" i="36"/>
  <c r="BJ472" i="36"/>
  <c r="BL472" i="36" s="1"/>
  <c r="BF472" i="36"/>
  <c r="BH472" i="36" s="1"/>
  <c r="BB472" i="36"/>
  <c r="BD472" i="36" s="1"/>
  <c r="AX472" i="36"/>
  <c r="AZ472" i="36" s="1"/>
  <c r="AT472" i="36"/>
  <c r="AV472" i="36" s="1"/>
  <c r="AR472" i="36"/>
  <c r="BJ471" i="36"/>
  <c r="BL471" i="36" s="1"/>
  <c r="BF471" i="36"/>
  <c r="BH471" i="36" s="1"/>
  <c r="BB471" i="36"/>
  <c r="BD471" i="36" s="1"/>
  <c r="AX471" i="36"/>
  <c r="AZ471" i="36" s="1"/>
  <c r="AT471" i="36"/>
  <c r="AV471" i="36" s="1"/>
  <c r="AR471" i="36"/>
  <c r="BJ470" i="36"/>
  <c r="BL470" i="36" s="1"/>
  <c r="BF470" i="36"/>
  <c r="BH470" i="36" s="1"/>
  <c r="BB470" i="36"/>
  <c r="BD470" i="36" s="1"/>
  <c r="AX470" i="36"/>
  <c r="AZ470" i="36" s="1"/>
  <c r="AT470" i="36"/>
  <c r="AV470" i="36" s="1"/>
  <c r="AR470" i="36"/>
  <c r="BJ469" i="36"/>
  <c r="BL469" i="36" s="1"/>
  <c r="BF469" i="36"/>
  <c r="BH469" i="36" s="1"/>
  <c r="BB469" i="36"/>
  <c r="BD469" i="36" s="1"/>
  <c r="AX469" i="36"/>
  <c r="AZ469" i="36" s="1"/>
  <c r="AT469" i="36"/>
  <c r="AV469" i="36" s="1"/>
  <c r="AR469" i="36"/>
  <c r="BJ468" i="36"/>
  <c r="BL468" i="36" s="1"/>
  <c r="BF468" i="36"/>
  <c r="BH468" i="36" s="1"/>
  <c r="BB468" i="36"/>
  <c r="BD468" i="36" s="1"/>
  <c r="AX468" i="36"/>
  <c r="AZ468" i="36" s="1"/>
  <c r="AT468" i="36"/>
  <c r="AV468" i="36" s="1"/>
  <c r="AR468" i="36"/>
  <c r="BJ467" i="36"/>
  <c r="BL467" i="36" s="1"/>
  <c r="BF467" i="36"/>
  <c r="BH467" i="36" s="1"/>
  <c r="BB467" i="36"/>
  <c r="BD467" i="36" s="1"/>
  <c r="AX467" i="36"/>
  <c r="AZ467" i="36" s="1"/>
  <c r="AT467" i="36"/>
  <c r="AV467" i="36" s="1"/>
  <c r="AR467" i="36"/>
  <c r="BJ466" i="36"/>
  <c r="BL466" i="36" s="1"/>
  <c r="BF466" i="36"/>
  <c r="BH466" i="36" s="1"/>
  <c r="BB466" i="36"/>
  <c r="BD466" i="36" s="1"/>
  <c r="AX466" i="36"/>
  <c r="AZ466" i="36" s="1"/>
  <c r="AT466" i="36"/>
  <c r="AV466" i="36" s="1"/>
  <c r="AR466" i="36"/>
  <c r="BJ465" i="36"/>
  <c r="BL465" i="36" s="1"/>
  <c r="BF465" i="36"/>
  <c r="BH465" i="36" s="1"/>
  <c r="BB465" i="36"/>
  <c r="BD465" i="36" s="1"/>
  <c r="AX465" i="36"/>
  <c r="AZ465" i="36" s="1"/>
  <c r="AT465" i="36"/>
  <c r="AV465" i="36" s="1"/>
  <c r="AR465" i="36"/>
  <c r="BJ464" i="36"/>
  <c r="BL464" i="36" s="1"/>
  <c r="BF464" i="36"/>
  <c r="BH464" i="36" s="1"/>
  <c r="BB464" i="36"/>
  <c r="BD464" i="36" s="1"/>
  <c r="AX464" i="36"/>
  <c r="AZ464" i="36" s="1"/>
  <c r="AT464" i="36"/>
  <c r="AV464" i="36" s="1"/>
  <c r="AR464" i="36"/>
  <c r="BJ463" i="36"/>
  <c r="BL463" i="36" s="1"/>
  <c r="BF463" i="36"/>
  <c r="BH463" i="36" s="1"/>
  <c r="BB463" i="36"/>
  <c r="BD463" i="36" s="1"/>
  <c r="AX463" i="36"/>
  <c r="AZ463" i="36" s="1"/>
  <c r="AT463" i="36"/>
  <c r="AV463" i="36" s="1"/>
  <c r="AR463" i="36"/>
  <c r="BJ462" i="36"/>
  <c r="BL462" i="36" s="1"/>
  <c r="BF462" i="36"/>
  <c r="BH462" i="36" s="1"/>
  <c r="BB462" i="36"/>
  <c r="BD462" i="36" s="1"/>
  <c r="AX462" i="36"/>
  <c r="AZ462" i="36" s="1"/>
  <c r="AT462" i="36"/>
  <c r="AV462" i="36" s="1"/>
  <c r="AR462" i="36"/>
  <c r="BJ461" i="36"/>
  <c r="BL461" i="36" s="1"/>
  <c r="BF461" i="36"/>
  <c r="BH461" i="36" s="1"/>
  <c r="BB461" i="36"/>
  <c r="BD461" i="36" s="1"/>
  <c r="AX461" i="36"/>
  <c r="AZ461" i="36" s="1"/>
  <c r="AT461" i="36"/>
  <c r="AV461" i="36" s="1"/>
  <c r="AR461" i="36"/>
  <c r="BJ460" i="36"/>
  <c r="BL460" i="36" s="1"/>
  <c r="BF460" i="36"/>
  <c r="BH460" i="36" s="1"/>
  <c r="BB460" i="36"/>
  <c r="BD460" i="36" s="1"/>
  <c r="AX460" i="36"/>
  <c r="AZ460" i="36" s="1"/>
  <c r="AT460" i="36"/>
  <c r="AV460" i="36" s="1"/>
  <c r="AR460" i="36"/>
  <c r="BJ459" i="36"/>
  <c r="BL459" i="36" s="1"/>
  <c r="BF459" i="36"/>
  <c r="BH459" i="36" s="1"/>
  <c r="BB459" i="36"/>
  <c r="BD459" i="36" s="1"/>
  <c r="AX459" i="36"/>
  <c r="AZ459" i="36" s="1"/>
  <c r="AT459" i="36"/>
  <c r="AV459" i="36" s="1"/>
  <c r="AR459" i="36"/>
  <c r="BJ458" i="36"/>
  <c r="BL458" i="36" s="1"/>
  <c r="BF458" i="36"/>
  <c r="BH458" i="36" s="1"/>
  <c r="BB458" i="36"/>
  <c r="BD458" i="36" s="1"/>
  <c r="AX458" i="36"/>
  <c r="AZ458" i="36" s="1"/>
  <c r="AT458" i="36"/>
  <c r="AV458" i="36" s="1"/>
  <c r="AR458" i="36"/>
  <c r="BJ457" i="36"/>
  <c r="BL457" i="36" s="1"/>
  <c r="BF457" i="36"/>
  <c r="BH457" i="36" s="1"/>
  <c r="BB457" i="36"/>
  <c r="BD457" i="36" s="1"/>
  <c r="AX457" i="36"/>
  <c r="AZ457" i="36" s="1"/>
  <c r="AT457" i="36"/>
  <c r="AV457" i="36" s="1"/>
  <c r="AR457" i="36"/>
  <c r="BJ456" i="36"/>
  <c r="BL456" i="36" s="1"/>
  <c r="BF456" i="36"/>
  <c r="BH456" i="36" s="1"/>
  <c r="BB456" i="36"/>
  <c r="BD456" i="36" s="1"/>
  <c r="AX456" i="36"/>
  <c r="AZ456" i="36" s="1"/>
  <c r="AT456" i="36"/>
  <c r="AV456" i="36" s="1"/>
  <c r="AR456" i="36"/>
  <c r="BJ455" i="36"/>
  <c r="BL455" i="36" s="1"/>
  <c r="BF455" i="36"/>
  <c r="BH455" i="36" s="1"/>
  <c r="BB455" i="36"/>
  <c r="BD455" i="36" s="1"/>
  <c r="AX455" i="36"/>
  <c r="AZ455" i="36" s="1"/>
  <c r="AT455" i="36"/>
  <c r="AV455" i="36" s="1"/>
  <c r="AR455" i="36"/>
  <c r="BJ454" i="36"/>
  <c r="BL454" i="36" s="1"/>
  <c r="BF454" i="36"/>
  <c r="BH454" i="36" s="1"/>
  <c r="BB454" i="36"/>
  <c r="BD454" i="36" s="1"/>
  <c r="AX454" i="36"/>
  <c r="AZ454" i="36" s="1"/>
  <c r="AT454" i="36"/>
  <c r="AV454" i="36" s="1"/>
  <c r="AR454" i="36"/>
  <c r="BJ453" i="36"/>
  <c r="BL453" i="36" s="1"/>
  <c r="BF453" i="36"/>
  <c r="BH453" i="36" s="1"/>
  <c r="BB453" i="36"/>
  <c r="BD453" i="36" s="1"/>
  <c r="AX453" i="36"/>
  <c r="AZ453" i="36" s="1"/>
  <c r="AT453" i="36"/>
  <c r="AV453" i="36" s="1"/>
  <c r="AR453" i="36"/>
  <c r="BJ452" i="36"/>
  <c r="BL452" i="36" s="1"/>
  <c r="BF452" i="36"/>
  <c r="BH452" i="36" s="1"/>
  <c r="BB452" i="36"/>
  <c r="BD452" i="36" s="1"/>
  <c r="AX452" i="36"/>
  <c r="AZ452" i="36" s="1"/>
  <c r="AT452" i="36"/>
  <c r="AV452" i="36" s="1"/>
  <c r="AR452" i="36"/>
  <c r="BJ451" i="36"/>
  <c r="BL451" i="36" s="1"/>
  <c r="BF451" i="36"/>
  <c r="BH451" i="36" s="1"/>
  <c r="BB451" i="36"/>
  <c r="BD451" i="36" s="1"/>
  <c r="AX451" i="36"/>
  <c r="AZ451" i="36" s="1"/>
  <c r="AT451" i="36"/>
  <c r="AV451" i="36" s="1"/>
  <c r="AR451" i="36"/>
  <c r="BJ450" i="36"/>
  <c r="BL450" i="36" s="1"/>
  <c r="BF450" i="36"/>
  <c r="BH450" i="36" s="1"/>
  <c r="BB450" i="36"/>
  <c r="BD450" i="36" s="1"/>
  <c r="AX450" i="36"/>
  <c r="AZ450" i="36" s="1"/>
  <c r="AT450" i="36"/>
  <c r="AV450" i="36" s="1"/>
  <c r="AR450" i="36"/>
  <c r="BJ449" i="36"/>
  <c r="BL449" i="36" s="1"/>
  <c r="BF449" i="36"/>
  <c r="BH449" i="36" s="1"/>
  <c r="BB449" i="36"/>
  <c r="BD449" i="36" s="1"/>
  <c r="AX449" i="36"/>
  <c r="AZ449" i="36" s="1"/>
  <c r="AT449" i="36"/>
  <c r="AV449" i="36" s="1"/>
  <c r="AR449" i="36"/>
  <c r="BJ448" i="36"/>
  <c r="BL448" i="36" s="1"/>
  <c r="BF448" i="36"/>
  <c r="BH448" i="36" s="1"/>
  <c r="BB448" i="36"/>
  <c r="BD448" i="36" s="1"/>
  <c r="AX448" i="36"/>
  <c r="AZ448" i="36" s="1"/>
  <c r="AT448" i="36"/>
  <c r="AV448" i="36" s="1"/>
  <c r="AR448" i="36"/>
  <c r="BJ447" i="36"/>
  <c r="BL447" i="36" s="1"/>
  <c r="BF447" i="36"/>
  <c r="BH447" i="36" s="1"/>
  <c r="BB447" i="36"/>
  <c r="BD447" i="36" s="1"/>
  <c r="AX447" i="36"/>
  <c r="AZ447" i="36" s="1"/>
  <c r="AT447" i="36"/>
  <c r="AV447" i="36" s="1"/>
  <c r="AR447" i="36"/>
  <c r="BJ446" i="36"/>
  <c r="BL446" i="36" s="1"/>
  <c r="BF446" i="36"/>
  <c r="BH446" i="36" s="1"/>
  <c r="BB446" i="36"/>
  <c r="BD446" i="36" s="1"/>
  <c r="AX446" i="36"/>
  <c r="AZ446" i="36" s="1"/>
  <c r="AT446" i="36"/>
  <c r="AV446" i="36" s="1"/>
  <c r="AR446" i="36"/>
  <c r="BJ445" i="36"/>
  <c r="BL445" i="36" s="1"/>
  <c r="BF445" i="36"/>
  <c r="BH445" i="36" s="1"/>
  <c r="BB445" i="36"/>
  <c r="BD445" i="36" s="1"/>
  <c r="AX445" i="36"/>
  <c r="AZ445" i="36" s="1"/>
  <c r="AT445" i="36"/>
  <c r="AV445" i="36" s="1"/>
  <c r="AR445" i="36"/>
  <c r="BJ444" i="36"/>
  <c r="BL444" i="36" s="1"/>
  <c r="BF444" i="36"/>
  <c r="BH444" i="36" s="1"/>
  <c r="BB444" i="36"/>
  <c r="BD444" i="36" s="1"/>
  <c r="AX444" i="36"/>
  <c r="AZ444" i="36" s="1"/>
  <c r="AT444" i="36"/>
  <c r="AV444" i="36" s="1"/>
  <c r="AR444" i="36"/>
  <c r="BJ443" i="36"/>
  <c r="BL443" i="36" s="1"/>
  <c r="BF443" i="36"/>
  <c r="BH443" i="36" s="1"/>
  <c r="BB443" i="36"/>
  <c r="BD443" i="36" s="1"/>
  <c r="AX443" i="36"/>
  <c r="AZ443" i="36" s="1"/>
  <c r="AT443" i="36"/>
  <c r="AV443" i="36" s="1"/>
  <c r="AR443" i="36"/>
  <c r="BJ442" i="36"/>
  <c r="BL442" i="36" s="1"/>
  <c r="BF442" i="36"/>
  <c r="BH442" i="36" s="1"/>
  <c r="BB442" i="36"/>
  <c r="BD442" i="36" s="1"/>
  <c r="AX442" i="36"/>
  <c r="AZ442" i="36" s="1"/>
  <c r="AT442" i="36"/>
  <c r="AV442" i="36" s="1"/>
  <c r="AR442" i="36"/>
  <c r="BJ441" i="36"/>
  <c r="BL441" i="36" s="1"/>
  <c r="BF441" i="36"/>
  <c r="BH441" i="36" s="1"/>
  <c r="BB441" i="36"/>
  <c r="BD441" i="36" s="1"/>
  <c r="AX441" i="36"/>
  <c r="AZ441" i="36" s="1"/>
  <c r="AT441" i="36"/>
  <c r="AV441" i="36" s="1"/>
  <c r="AR441" i="36"/>
  <c r="BJ440" i="36"/>
  <c r="BL440" i="36" s="1"/>
  <c r="BF440" i="36"/>
  <c r="BH440" i="36" s="1"/>
  <c r="BB440" i="36"/>
  <c r="BD440" i="36" s="1"/>
  <c r="AX440" i="36"/>
  <c r="AZ440" i="36" s="1"/>
  <c r="AT440" i="36"/>
  <c r="AV440" i="36" s="1"/>
  <c r="AR440" i="36"/>
  <c r="BJ439" i="36"/>
  <c r="BL439" i="36" s="1"/>
  <c r="BF439" i="36"/>
  <c r="BH439" i="36" s="1"/>
  <c r="BB439" i="36"/>
  <c r="BD439" i="36" s="1"/>
  <c r="AX439" i="36"/>
  <c r="AZ439" i="36" s="1"/>
  <c r="AT439" i="36"/>
  <c r="AV439" i="36" s="1"/>
  <c r="AR439" i="36"/>
  <c r="BJ438" i="36"/>
  <c r="BL438" i="36" s="1"/>
  <c r="BF438" i="36"/>
  <c r="BH438" i="36" s="1"/>
  <c r="BB438" i="36"/>
  <c r="BD438" i="36" s="1"/>
  <c r="AX438" i="36"/>
  <c r="AZ438" i="36" s="1"/>
  <c r="AT438" i="36"/>
  <c r="AV438" i="36" s="1"/>
  <c r="AR438" i="36"/>
  <c r="BJ437" i="36"/>
  <c r="BL437" i="36" s="1"/>
  <c r="BF437" i="36"/>
  <c r="BH437" i="36" s="1"/>
  <c r="BB437" i="36"/>
  <c r="BD437" i="36" s="1"/>
  <c r="AX437" i="36"/>
  <c r="AZ437" i="36" s="1"/>
  <c r="AT437" i="36"/>
  <c r="AV437" i="36" s="1"/>
  <c r="AR437" i="36"/>
  <c r="BJ436" i="36"/>
  <c r="BL436" i="36" s="1"/>
  <c r="BF436" i="36"/>
  <c r="BH436" i="36" s="1"/>
  <c r="BB436" i="36"/>
  <c r="BD436" i="36" s="1"/>
  <c r="AX436" i="36"/>
  <c r="AZ436" i="36" s="1"/>
  <c r="AT436" i="36"/>
  <c r="AV436" i="36" s="1"/>
  <c r="AR436" i="36"/>
  <c r="BJ435" i="36"/>
  <c r="BL435" i="36" s="1"/>
  <c r="BF435" i="36"/>
  <c r="BH435" i="36" s="1"/>
  <c r="BB435" i="36"/>
  <c r="BD435" i="36" s="1"/>
  <c r="AX435" i="36"/>
  <c r="AZ435" i="36" s="1"/>
  <c r="AT435" i="36"/>
  <c r="AV435" i="36" s="1"/>
  <c r="AR435" i="36"/>
  <c r="BJ434" i="36"/>
  <c r="BL434" i="36" s="1"/>
  <c r="BF434" i="36"/>
  <c r="BH434" i="36" s="1"/>
  <c r="BB434" i="36"/>
  <c r="BD434" i="36" s="1"/>
  <c r="AX434" i="36"/>
  <c r="AZ434" i="36" s="1"/>
  <c r="AT434" i="36"/>
  <c r="AV434" i="36" s="1"/>
  <c r="AR434" i="36"/>
  <c r="BJ433" i="36"/>
  <c r="BL433" i="36" s="1"/>
  <c r="BF433" i="36"/>
  <c r="BH433" i="36" s="1"/>
  <c r="BB433" i="36"/>
  <c r="BD433" i="36" s="1"/>
  <c r="AX433" i="36"/>
  <c r="AZ433" i="36" s="1"/>
  <c r="AT433" i="36"/>
  <c r="AV433" i="36" s="1"/>
  <c r="AR433" i="36"/>
  <c r="BJ432" i="36"/>
  <c r="BL432" i="36" s="1"/>
  <c r="BF432" i="36"/>
  <c r="BH432" i="36" s="1"/>
  <c r="BB432" i="36"/>
  <c r="BD432" i="36" s="1"/>
  <c r="AX432" i="36"/>
  <c r="AZ432" i="36" s="1"/>
  <c r="AT432" i="36"/>
  <c r="AV432" i="36" s="1"/>
  <c r="AR432" i="36"/>
  <c r="BJ431" i="36"/>
  <c r="BL431" i="36" s="1"/>
  <c r="BF431" i="36"/>
  <c r="BH431" i="36" s="1"/>
  <c r="BB431" i="36"/>
  <c r="BD431" i="36" s="1"/>
  <c r="AX431" i="36"/>
  <c r="AZ431" i="36" s="1"/>
  <c r="AT431" i="36"/>
  <c r="AV431" i="36" s="1"/>
  <c r="AR431" i="36"/>
  <c r="BJ430" i="36"/>
  <c r="BL430" i="36" s="1"/>
  <c r="BF430" i="36"/>
  <c r="BH430" i="36" s="1"/>
  <c r="BB430" i="36"/>
  <c r="BD430" i="36" s="1"/>
  <c r="AX430" i="36"/>
  <c r="AZ430" i="36" s="1"/>
  <c r="AT430" i="36"/>
  <c r="AV430" i="36" s="1"/>
  <c r="AR430" i="36"/>
  <c r="BJ429" i="36"/>
  <c r="BL429" i="36" s="1"/>
  <c r="BF429" i="36"/>
  <c r="BH429" i="36" s="1"/>
  <c r="BB429" i="36"/>
  <c r="BD429" i="36" s="1"/>
  <c r="AX429" i="36"/>
  <c r="AZ429" i="36" s="1"/>
  <c r="AT429" i="36"/>
  <c r="AV429" i="36" s="1"/>
  <c r="AR429" i="36"/>
  <c r="BJ428" i="36"/>
  <c r="BL428" i="36" s="1"/>
  <c r="BF428" i="36"/>
  <c r="BH428" i="36" s="1"/>
  <c r="BB428" i="36"/>
  <c r="BD428" i="36" s="1"/>
  <c r="AX428" i="36"/>
  <c r="AZ428" i="36" s="1"/>
  <c r="AT428" i="36"/>
  <c r="AV428" i="36" s="1"/>
  <c r="AR428" i="36"/>
  <c r="BJ427" i="36"/>
  <c r="BL427" i="36" s="1"/>
  <c r="BF427" i="36"/>
  <c r="BH427" i="36" s="1"/>
  <c r="BB427" i="36"/>
  <c r="BD427" i="36" s="1"/>
  <c r="AX427" i="36"/>
  <c r="AZ427" i="36" s="1"/>
  <c r="AT427" i="36"/>
  <c r="AV427" i="36" s="1"/>
  <c r="AR427" i="36"/>
  <c r="BJ426" i="36"/>
  <c r="BL426" i="36" s="1"/>
  <c r="BF426" i="36"/>
  <c r="BH426" i="36" s="1"/>
  <c r="BB426" i="36"/>
  <c r="BD426" i="36" s="1"/>
  <c r="AX426" i="36"/>
  <c r="AZ426" i="36" s="1"/>
  <c r="AT426" i="36"/>
  <c r="AV426" i="36" s="1"/>
  <c r="AR426" i="36"/>
  <c r="BJ425" i="36"/>
  <c r="BL425" i="36" s="1"/>
  <c r="BF425" i="36"/>
  <c r="BH425" i="36" s="1"/>
  <c r="BB425" i="36"/>
  <c r="BD425" i="36" s="1"/>
  <c r="AX425" i="36"/>
  <c r="AZ425" i="36" s="1"/>
  <c r="AT425" i="36"/>
  <c r="AV425" i="36" s="1"/>
  <c r="AR425" i="36"/>
  <c r="BJ424" i="36"/>
  <c r="BL424" i="36" s="1"/>
  <c r="BF424" i="36"/>
  <c r="BH424" i="36" s="1"/>
  <c r="BB424" i="36"/>
  <c r="BD424" i="36" s="1"/>
  <c r="AX424" i="36"/>
  <c r="AZ424" i="36" s="1"/>
  <c r="AT424" i="36"/>
  <c r="AV424" i="36" s="1"/>
  <c r="AR424" i="36"/>
  <c r="BJ423" i="36"/>
  <c r="BL423" i="36" s="1"/>
  <c r="BF423" i="36"/>
  <c r="BH423" i="36" s="1"/>
  <c r="BB423" i="36"/>
  <c r="BD423" i="36" s="1"/>
  <c r="AX423" i="36"/>
  <c r="AZ423" i="36" s="1"/>
  <c r="AT423" i="36"/>
  <c r="AV423" i="36" s="1"/>
  <c r="AR423" i="36"/>
  <c r="BJ422" i="36"/>
  <c r="BL422" i="36" s="1"/>
  <c r="BF422" i="36"/>
  <c r="BH422" i="36" s="1"/>
  <c r="BB422" i="36"/>
  <c r="BD422" i="36" s="1"/>
  <c r="AX422" i="36"/>
  <c r="AZ422" i="36" s="1"/>
  <c r="AT422" i="36"/>
  <c r="AV422" i="36" s="1"/>
  <c r="AR422" i="36"/>
  <c r="BJ421" i="36"/>
  <c r="BL421" i="36" s="1"/>
  <c r="BF421" i="36"/>
  <c r="BH421" i="36" s="1"/>
  <c r="BB421" i="36"/>
  <c r="BD421" i="36" s="1"/>
  <c r="AX421" i="36"/>
  <c r="AZ421" i="36" s="1"/>
  <c r="AT421" i="36"/>
  <c r="AV421" i="36" s="1"/>
  <c r="AR421" i="36"/>
  <c r="BJ420" i="36"/>
  <c r="BL420" i="36" s="1"/>
  <c r="BF420" i="36"/>
  <c r="BH420" i="36" s="1"/>
  <c r="BB420" i="36"/>
  <c r="BD420" i="36" s="1"/>
  <c r="AX420" i="36"/>
  <c r="AZ420" i="36" s="1"/>
  <c r="AT420" i="36"/>
  <c r="AV420" i="36" s="1"/>
  <c r="AR420" i="36"/>
  <c r="BJ419" i="36"/>
  <c r="BL419" i="36" s="1"/>
  <c r="BF419" i="36"/>
  <c r="BH419" i="36" s="1"/>
  <c r="BB419" i="36"/>
  <c r="BD419" i="36" s="1"/>
  <c r="AX419" i="36"/>
  <c r="AZ419" i="36" s="1"/>
  <c r="AT419" i="36"/>
  <c r="AV419" i="36" s="1"/>
  <c r="AR419" i="36"/>
  <c r="BJ418" i="36"/>
  <c r="BL418" i="36" s="1"/>
  <c r="BF418" i="36"/>
  <c r="BH418" i="36" s="1"/>
  <c r="BB418" i="36"/>
  <c r="BD418" i="36" s="1"/>
  <c r="AX418" i="36"/>
  <c r="AZ418" i="36" s="1"/>
  <c r="AT418" i="36"/>
  <c r="AV418" i="36" s="1"/>
  <c r="AR418" i="36"/>
  <c r="BJ417" i="36"/>
  <c r="BL417" i="36" s="1"/>
  <c r="BF417" i="36"/>
  <c r="BH417" i="36" s="1"/>
  <c r="BB417" i="36"/>
  <c r="BD417" i="36" s="1"/>
  <c r="AX417" i="36"/>
  <c r="AZ417" i="36" s="1"/>
  <c r="AT417" i="36"/>
  <c r="AV417" i="36" s="1"/>
  <c r="AR417" i="36"/>
  <c r="BJ416" i="36"/>
  <c r="BL416" i="36" s="1"/>
  <c r="BF416" i="36"/>
  <c r="BH416" i="36" s="1"/>
  <c r="BB416" i="36"/>
  <c r="BD416" i="36" s="1"/>
  <c r="AX416" i="36"/>
  <c r="AZ416" i="36" s="1"/>
  <c r="AT416" i="36"/>
  <c r="AV416" i="36" s="1"/>
  <c r="AR416" i="36"/>
  <c r="BJ415" i="36"/>
  <c r="BL415" i="36" s="1"/>
  <c r="BF415" i="36"/>
  <c r="BH415" i="36" s="1"/>
  <c r="BB415" i="36"/>
  <c r="BD415" i="36" s="1"/>
  <c r="AX415" i="36"/>
  <c r="AZ415" i="36" s="1"/>
  <c r="AT415" i="36"/>
  <c r="AV415" i="36" s="1"/>
  <c r="AR415" i="36"/>
  <c r="BJ414" i="36"/>
  <c r="BL414" i="36" s="1"/>
  <c r="BF414" i="36"/>
  <c r="BH414" i="36" s="1"/>
  <c r="BB414" i="36"/>
  <c r="BD414" i="36" s="1"/>
  <c r="AX414" i="36"/>
  <c r="AZ414" i="36" s="1"/>
  <c r="AT414" i="36"/>
  <c r="AV414" i="36" s="1"/>
  <c r="AR414" i="36"/>
  <c r="BJ413" i="36"/>
  <c r="BL413" i="36" s="1"/>
  <c r="BF413" i="36"/>
  <c r="BH413" i="36" s="1"/>
  <c r="BB413" i="36"/>
  <c r="BD413" i="36" s="1"/>
  <c r="AX413" i="36"/>
  <c r="AZ413" i="36" s="1"/>
  <c r="AT413" i="36"/>
  <c r="AV413" i="36" s="1"/>
  <c r="AR413" i="36"/>
  <c r="BJ412" i="36"/>
  <c r="BL412" i="36" s="1"/>
  <c r="BF412" i="36"/>
  <c r="BH412" i="36" s="1"/>
  <c r="BB412" i="36"/>
  <c r="BD412" i="36" s="1"/>
  <c r="AX412" i="36"/>
  <c r="AZ412" i="36" s="1"/>
  <c r="AT412" i="36"/>
  <c r="AV412" i="36" s="1"/>
  <c r="AR412" i="36"/>
  <c r="BJ411" i="36"/>
  <c r="BL411" i="36" s="1"/>
  <c r="BF411" i="36"/>
  <c r="BH411" i="36" s="1"/>
  <c r="BB411" i="36"/>
  <c r="BD411" i="36" s="1"/>
  <c r="AX411" i="36"/>
  <c r="AZ411" i="36" s="1"/>
  <c r="AT411" i="36"/>
  <c r="AV411" i="36" s="1"/>
  <c r="AR411" i="36"/>
  <c r="BJ410" i="36"/>
  <c r="BL410" i="36" s="1"/>
  <c r="BF410" i="36"/>
  <c r="BH410" i="36" s="1"/>
  <c r="BB410" i="36"/>
  <c r="BD410" i="36" s="1"/>
  <c r="AX410" i="36"/>
  <c r="AZ410" i="36" s="1"/>
  <c r="AT410" i="36"/>
  <c r="AV410" i="36" s="1"/>
  <c r="AR410" i="36"/>
  <c r="BJ409" i="36"/>
  <c r="BL409" i="36" s="1"/>
  <c r="BF409" i="36"/>
  <c r="BH409" i="36" s="1"/>
  <c r="BB409" i="36"/>
  <c r="BD409" i="36" s="1"/>
  <c r="AX409" i="36"/>
  <c r="AZ409" i="36" s="1"/>
  <c r="AT409" i="36"/>
  <c r="AV409" i="36" s="1"/>
  <c r="AR409" i="36"/>
  <c r="BJ408" i="36"/>
  <c r="BL408" i="36" s="1"/>
  <c r="BF408" i="36"/>
  <c r="BH408" i="36" s="1"/>
  <c r="BB408" i="36"/>
  <c r="BD408" i="36" s="1"/>
  <c r="AX408" i="36"/>
  <c r="AZ408" i="36" s="1"/>
  <c r="AT408" i="36"/>
  <c r="AV408" i="36" s="1"/>
  <c r="AR408" i="36"/>
  <c r="BJ407" i="36"/>
  <c r="BL407" i="36" s="1"/>
  <c r="BF407" i="36"/>
  <c r="BH407" i="36" s="1"/>
  <c r="BB407" i="36"/>
  <c r="BD407" i="36" s="1"/>
  <c r="AX407" i="36"/>
  <c r="AZ407" i="36" s="1"/>
  <c r="AT407" i="36"/>
  <c r="AV407" i="36" s="1"/>
  <c r="AR407" i="36"/>
  <c r="BJ406" i="36"/>
  <c r="BL406" i="36" s="1"/>
  <c r="BF406" i="36"/>
  <c r="BH406" i="36" s="1"/>
  <c r="BB406" i="36"/>
  <c r="BD406" i="36" s="1"/>
  <c r="AX406" i="36"/>
  <c r="AZ406" i="36" s="1"/>
  <c r="AT406" i="36"/>
  <c r="AV406" i="36" s="1"/>
  <c r="AR406" i="36"/>
  <c r="BJ405" i="36"/>
  <c r="BL405" i="36" s="1"/>
  <c r="BF405" i="36"/>
  <c r="BH405" i="36" s="1"/>
  <c r="BB405" i="36"/>
  <c r="BD405" i="36" s="1"/>
  <c r="AX405" i="36"/>
  <c r="AZ405" i="36" s="1"/>
  <c r="AT405" i="36"/>
  <c r="AV405" i="36" s="1"/>
  <c r="AR405" i="36"/>
  <c r="BJ404" i="36"/>
  <c r="BL404" i="36" s="1"/>
  <c r="BF404" i="36"/>
  <c r="BH404" i="36" s="1"/>
  <c r="BB404" i="36"/>
  <c r="BD404" i="36" s="1"/>
  <c r="AX404" i="36"/>
  <c r="AZ404" i="36" s="1"/>
  <c r="AT404" i="36"/>
  <c r="AV404" i="36" s="1"/>
  <c r="AR404" i="36"/>
  <c r="BJ403" i="36"/>
  <c r="BL403" i="36" s="1"/>
  <c r="BF403" i="36"/>
  <c r="BH403" i="36" s="1"/>
  <c r="BB403" i="36"/>
  <c r="BD403" i="36" s="1"/>
  <c r="AX403" i="36"/>
  <c r="AZ403" i="36" s="1"/>
  <c r="AT403" i="36"/>
  <c r="AV403" i="36" s="1"/>
  <c r="AR403" i="36"/>
  <c r="BJ402" i="36"/>
  <c r="BL402" i="36" s="1"/>
  <c r="BF402" i="36"/>
  <c r="BH402" i="36" s="1"/>
  <c r="BB402" i="36"/>
  <c r="BD402" i="36" s="1"/>
  <c r="AX402" i="36"/>
  <c r="AZ402" i="36" s="1"/>
  <c r="AT402" i="36"/>
  <c r="AV402" i="36" s="1"/>
  <c r="AR402" i="36"/>
  <c r="BJ401" i="36"/>
  <c r="BL401" i="36" s="1"/>
  <c r="BF401" i="36"/>
  <c r="BH401" i="36" s="1"/>
  <c r="BB401" i="36"/>
  <c r="BD401" i="36" s="1"/>
  <c r="AX401" i="36"/>
  <c r="AZ401" i="36" s="1"/>
  <c r="AT401" i="36"/>
  <c r="AV401" i="36" s="1"/>
  <c r="AR401" i="36"/>
  <c r="BJ400" i="36"/>
  <c r="BL400" i="36" s="1"/>
  <c r="BF400" i="36"/>
  <c r="BH400" i="36" s="1"/>
  <c r="BB400" i="36"/>
  <c r="BD400" i="36" s="1"/>
  <c r="AX400" i="36"/>
  <c r="AZ400" i="36" s="1"/>
  <c r="AT400" i="36"/>
  <c r="AV400" i="36" s="1"/>
  <c r="AR400" i="36"/>
  <c r="BJ399" i="36"/>
  <c r="BL399" i="36" s="1"/>
  <c r="BF399" i="36"/>
  <c r="BH399" i="36" s="1"/>
  <c r="BB399" i="36"/>
  <c r="BD399" i="36" s="1"/>
  <c r="AX399" i="36"/>
  <c r="AZ399" i="36" s="1"/>
  <c r="AT399" i="36"/>
  <c r="AV399" i="36" s="1"/>
  <c r="AR399" i="36"/>
  <c r="BJ398" i="36"/>
  <c r="BL398" i="36" s="1"/>
  <c r="BF398" i="36"/>
  <c r="BH398" i="36" s="1"/>
  <c r="BB398" i="36"/>
  <c r="BD398" i="36" s="1"/>
  <c r="AX398" i="36"/>
  <c r="AZ398" i="36" s="1"/>
  <c r="AT398" i="36"/>
  <c r="AV398" i="36" s="1"/>
  <c r="AR398" i="36"/>
  <c r="BJ397" i="36"/>
  <c r="BL397" i="36" s="1"/>
  <c r="BF397" i="36"/>
  <c r="BH397" i="36" s="1"/>
  <c r="BB397" i="36"/>
  <c r="BD397" i="36" s="1"/>
  <c r="AX397" i="36"/>
  <c r="AZ397" i="36" s="1"/>
  <c r="AT397" i="36"/>
  <c r="AV397" i="36" s="1"/>
  <c r="AR397" i="36"/>
  <c r="BJ396" i="36"/>
  <c r="BL396" i="36" s="1"/>
  <c r="BF396" i="36"/>
  <c r="BH396" i="36" s="1"/>
  <c r="BB396" i="36"/>
  <c r="BD396" i="36" s="1"/>
  <c r="AX396" i="36"/>
  <c r="AZ396" i="36" s="1"/>
  <c r="AT396" i="36"/>
  <c r="AV396" i="36" s="1"/>
  <c r="AR396" i="36"/>
  <c r="BJ395" i="36"/>
  <c r="BL395" i="36" s="1"/>
  <c r="BF395" i="36"/>
  <c r="BH395" i="36" s="1"/>
  <c r="BB395" i="36"/>
  <c r="BD395" i="36" s="1"/>
  <c r="AX395" i="36"/>
  <c r="AZ395" i="36" s="1"/>
  <c r="AT395" i="36"/>
  <c r="AV395" i="36" s="1"/>
  <c r="AR395" i="36"/>
  <c r="BJ394" i="36"/>
  <c r="BL394" i="36" s="1"/>
  <c r="BF394" i="36"/>
  <c r="BH394" i="36" s="1"/>
  <c r="BB394" i="36"/>
  <c r="BD394" i="36" s="1"/>
  <c r="AX394" i="36"/>
  <c r="AZ394" i="36" s="1"/>
  <c r="AT394" i="36"/>
  <c r="AV394" i="36" s="1"/>
  <c r="AR394" i="36"/>
  <c r="BJ393" i="36"/>
  <c r="BL393" i="36" s="1"/>
  <c r="BF393" i="36"/>
  <c r="BH393" i="36" s="1"/>
  <c r="BB393" i="36"/>
  <c r="BD393" i="36" s="1"/>
  <c r="AX393" i="36"/>
  <c r="AZ393" i="36" s="1"/>
  <c r="AT393" i="36"/>
  <c r="AV393" i="36" s="1"/>
  <c r="AR393" i="36"/>
  <c r="BJ392" i="36"/>
  <c r="BL392" i="36" s="1"/>
  <c r="BF392" i="36"/>
  <c r="BH392" i="36" s="1"/>
  <c r="BB392" i="36"/>
  <c r="BD392" i="36" s="1"/>
  <c r="AX392" i="36"/>
  <c r="AZ392" i="36" s="1"/>
  <c r="AT392" i="36"/>
  <c r="AV392" i="36" s="1"/>
  <c r="AR392" i="36"/>
  <c r="BJ391" i="36"/>
  <c r="BL391" i="36" s="1"/>
  <c r="BF391" i="36"/>
  <c r="BH391" i="36" s="1"/>
  <c r="BB391" i="36"/>
  <c r="BD391" i="36" s="1"/>
  <c r="AX391" i="36"/>
  <c r="AZ391" i="36" s="1"/>
  <c r="AT391" i="36"/>
  <c r="AV391" i="36" s="1"/>
  <c r="AR391" i="36"/>
  <c r="BJ390" i="36"/>
  <c r="BL390" i="36" s="1"/>
  <c r="BF390" i="36"/>
  <c r="BH390" i="36" s="1"/>
  <c r="BB390" i="36"/>
  <c r="BD390" i="36" s="1"/>
  <c r="AX390" i="36"/>
  <c r="AZ390" i="36" s="1"/>
  <c r="AT390" i="36"/>
  <c r="AV390" i="36" s="1"/>
  <c r="AR390" i="36"/>
  <c r="BJ389" i="36"/>
  <c r="BL389" i="36" s="1"/>
  <c r="BF389" i="36"/>
  <c r="BH389" i="36" s="1"/>
  <c r="BB389" i="36"/>
  <c r="BD389" i="36" s="1"/>
  <c r="AX389" i="36"/>
  <c r="AZ389" i="36" s="1"/>
  <c r="AT389" i="36"/>
  <c r="AV389" i="36" s="1"/>
  <c r="AR389" i="36"/>
  <c r="BJ388" i="36"/>
  <c r="BL388" i="36" s="1"/>
  <c r="BF388" i="36"/>
  <c r="BH388" i="36" s="1"/>
  <c r="BB388" i="36"/>
  <c r="BD388" i="36" s="1"/>
  <c r="AX388" i="36"/>
  <c r="AZ388" i="36" s="1"/>
  <c r="AT388" i="36"/>
  <c r="AV388" i="36" s="1"/>
  <c r="AR388" i="36"/>
  <c r="BJ387" i="36"/>
  <c r="BL387" i="36" s="1"/>
  <c r="BF387" i="36"/>
  <c r="BH387" i="36" s="1"/>
  <c r="BB387" i="36"/>
  <c r="BD387" i="36" s="1"/>
  <c r="AX387" i="36"/>
  <c r="AZ387" i="36" s="1"/>
  <c r="AT387" i="36"/>
  <c r="AV387" i="36" s="1"/>
  <c r="AR387" i="36"/>
  <c r="BJ386" i="36"/>
  <c r="BL386" i="36" s="1"/>
  <c r="BF386" i="36"/>
  <c r="BH386" i="36" s="1"/>
  <c r="BB386" i="36"/>
  <c r="BD386" i="36" s="1"/>
  <c r="AX386" i="36"/>
  <c r="AZ386" i="36" s="1"/>
  <c r="AT386" i="36"/>
  <c r="AV386" i="36" s="1"/>
  <c r="AR386" i="36"/>
  <c r="BJ385" i="36"/>
  <c r="BL385" i="36" s="1"/>
  <c r="BF385" i="36"/>
  <c r="BH385" i="36" s="1"/>
  <c r="BB385" i="36"/>
  <c r="BD385" i="36" s="1"/>
  <c r="AX385" i="36"/>
  <c r="AZ385" i="36" s="1"/>
  <c r="AT385" i="36"/>
  <c r="AV385" i="36" s="1"/>
  <c r="AR385" i="36"/>
  <c r="BJ384" i="36"/>
  <c r="BL384" i="36" s="1"/>
  <c r="BF384" i="36"/>
  <c r="BH384" i="36" s="1"/>
  <c r="BB384" i="36"/>
  <c r="BD384" i="36" s="1"/>
  <c r="AX384" i="36"/>
  <c r="AZ384" i="36" s="1"/>
  <c r="AT384" i="36"/>
  <c r="AV384" i="36" s="1"/>
  <c r="AR384" i="36"/>
  <c r="BJ383" i="36"/>
  <c r="BL383" i="36" s="1"/>
  <c r="BF383" i="36"/>
  <c r="BH383" i="36" s="1"/>
  <c r="BB383" i="36"/>
  <c r="BD383" i="36" s="1"/>
  <c r="AX383" i="36"/>
  <c r="AZ383" i="36" s="1"/>
  <c r="AT383" i="36"/>
  <c r="AV383" i="36" s="1"/>
  <c r="AR383" i="36"/>
  <c r="BJ382" i="36"/>
  <c r="BL382" i="36" s="1"/>
  <c r="BF382" i="36"/>
  <c r="BH382" i="36" s="1"/>
  <c r="BB382" i="36"/>
  <c r="BD382" i="36" s="1"/>
  <c r="AX382" i="36"/>
  <c r="AZ382" i="36" s="1"/>
  <c r="AT382" i="36"/>
  <c r="AV382" i="36" s="1"/>
  <c r="AR382" i="36"/>
  <c r="BJ381" i="36"/>
  <c r="BL381" i="36" s="1"/>
  <c r="BF381" i="36"/>
  <c r="BH381" i="36" s="1"/>
  <c r="BB381" i="36"/>
  <c r="BD381" i="36" s="1"/>
  <c r="AX381" i="36"/>
  <c r="AZ381" i="36" s="1"/>
  <c r="AT381" i="36"/>
  <c r="AV381" i="36" s="1"/>
  <c r="AR381" i="36"/>
  <c r="BJ380" i="36"/>
  <c r="BL380" i="36" s="1"/>
  <c r="BF380" i="36"/>
  <c r="BH380" i="36" s="1"/>
  <c r="BB380" i="36"/>
  <c r="BD380" i="36" s="1"/>
  <c r="AX380" i="36"/>
  <c r="AZ380" i="36" s="1"/>
  <c r="AT380" i="36"/>
  <c r="AV380" i="36" s="1"/>
  <c r="AR380" i="36"/>
  <c r="BJ379" i="36"/>
  <c r="BL379" i="36" s="1"/>
  <c r="BF379" i="36"/>
  <c r="BH379" i="36" s="1"/>
  <c r="BB379" i="36"/>
  <c r="BD379" i="36" s="1"/>
  <c r="AX379" i="36"/>
  <c r="AZ379" i="36" s="1"/>
  <c r="AT379" i="36"/>
  <c r="AV379" i="36" s="1"/>
  <c r="AR379" i="36"/>
  <c r="BJ378" i="36"/>
  <c r="BL378" i="36" s="1"/>
  <c r="BF378" i="36"/>
  <c r="BH378" i="36" s="1"/>
  <c r="BB378" i="36"/>
  <c r="BD378" i="36" s="1"/>
  <c r="AX378" i="36"/>
  <c r="AZ378" i="36" s="1"/>
  <c r="AT378" i="36"/>
  <c r="AV378" i="36" s="1"/>
  <c r="AR378" i="36"/>
  <c r="BJ377" i="36"/>
  <c r="BL377" i="36" s="1"/>
  <c r="BF377" i="36"/>
  <c r="BH377" i="36" s="1"/>
  <c r="BB377" i="36"/>
  <c r="BD377" i="36" s="1"/>
  <c r="AX377" i="36"/>
  <c r="AZ377" i="36" s="1"/>
  <c r="AT377" i="36"/>
  <c r="AV377" i="36" s="1"/>
  <c r="AR377" i="36"/>
  <c r="BJ376" i="36"/>
  <c r="BL376" i="36" s="1"/>
  <c r="BF376" i="36"/>
  <c r="BH376" i="36" s="1"/>
  <c r="BB376" i="36"/>
  <c r="BD376" i="36" s="1"/>
  <c r="AX376" i="36"/>
  <c r="AZ376" i="36" s="1"/>
  <c r="AT376" i="36"/>
  <c r="AV376" i="36" s="1"/>
  <c r="AR376" i="36"/>
  <c r="BJ375" i="36"/>
  <c r="BL375" i="36" s="1"/>
  <c r="BF375" i="36"/>
  <c r="BH375" i="36" s="1"/>
  <c r="BB375" i="36"/>
  <c r="BD375" i="36" s="1"/>
  <c r="AX375" i="36"/>
  <c r="AZ375" i="36" s="1"/>
  <c r="AT375" i="36"/>
  <c r="AV375" i="36" s="1"/>
  <c r="AR375" i="36"/>
  <c r="BJ374" i="36"/>
  <c r="BL374" i="36" s="1"/>
  <c r="BF374" i="36"/>
  <c r="BH374" i="36" s="1"/>
  <c r="BB374" i="36"/>
  <c r="BD374" i="36" s="1"/>
  <c r="AX374" i="36"/>
  <c r="AZ374" i="36" s="1"/>
  <c r="AT374" i="36"/>
  <c r="AV374" i="36" s="1"/>
  <c r="AR374" i="36"/>
  <c r="BJ373" i="36"/>
  <c r="BL373" i="36" s="1"/>
  <c r="BF373" i="36"/>
  <c r="BH373" i="36" s="1"/>
  <c r="BB373" i="36"/>
  <c r="BD373" i="36" s="1"/>
  <c r="AX373" i="36"/>
  <c r="AZ373" i="36" s="1"/>
  <c r="AT373" i="36"/>
  <c r="AV373" i="36" s="1"/>
  <c r="AR373" i="36"/>
  <c r="BJ372" i="36"/>
  <c r="BL372" i="36" s="1"/>
  <c r="BF372" i="36"/>
  <c r="BH372" i="36" s="1"/>
  <c r="BB372" i="36"/>
  <c r="BD372" i="36" s="1"/>
  <c r="AX372" i="36"/>
  <c r="AZ372" i="36" s="1"/>
  <c r="AT372" i="36"/>
  <c r="AV372" i="36" s="1"/>
  <c r="AR372" i="36"/>
  <c r="BJ371" i="36"/>
  <c r="BL371" i="36" s="1"/>
  <c r="BF371" i="36"/>
  <c r="BH371" i="36" s="1"/>
  <c r="BB371" i="36"/>
  <c r="BD371" i="36" s="1"/>
  <c r="AX371" i="36"/>
  <c r="AZ371" i="36" s="1"/>
  <c r="AT371" i="36"/>
  <c r="AV371" i="36" s="1"/>
  <c r="AR371" i="36"/>
  <c r="BJ370" i="36"/>
  <c r="BL370" i="36" s="1"/>
  <c r="BF370" i="36"/>
  <c r="BH370" i="36" s="1"/>
  <c r="BB370" i="36"/>
  <c r="BD370" i="36" s="1"/>
  <c r="AX370" i="36"/>
  <c r="AZ370" i="36" s="1"/>
  <c r="AT370" i="36"/>
  <c r="AV370" i="36" s="1"/>
  <c r="AR370" i="36"/>
  <c r="BJ369" i="36"/>
  <c r="BL369" i="36" s="1"/>
  <c r="BF369" i="36"/>
  <c r="BH369" i="36" s="1"/>
  <c r="BB369" i="36"/>
  <c r="BD369" i="36" s="1"/>
  <c r="AX369" i="36"/>
  <c r="AZ369" i="36" s="1"/>
  <c r="AT369" i="36"/>
  <c r="AV369" i="36" s="1"/>
  <c r="AR369" i="36"/>
  <c r="BJ368" i="36"/>
  <c r="BL368" i="36" s="1"/>
  <c r="BF368" i="36"/>
  <c r="BH368" i="36" s="1"/>
  <c r="BB368" i="36"/>
  <c r="BD368" i="36" s="1"/>
  <c r="AX368" i="36"/>
  <c r="AZ368" i="36" s="1"/>
  <c r="AT368" i="36"/>
  <c r="AV368" i="36" s="1"/>
  <c r="AR368" i="36"/>
  <c r="BJ367" i="36"/>
  <c r="BL367" i="36" s="1"/>
  <c r="BF367" i="36"/>
  <c r="BH367" i="36" s="1"/>
  <c r="BB367" i="36"/>
  <c r="BD367" i="36" s="1"/>
  <c r="AX367" i="36"/>
  <c r="AZ367" i="36" s="1"/>
  <c r="AT367" i="36"/>
  <c r="AV367" i="36" s="1"/>
  <c r="AR367" i="36"/>
  <c r="BJ366" i="36"/>
  <c r="BL366" i="36" s="1"/>
  <c r="BF366" i="36"/>
  <c r="BH366" i="36" s="1"/>
  <c r="BB366" i="36"/>
  <c r="BD366" i="36" s="1"/>
  <c r="AX366" i="36"/>
  <c r="AZ366" i="36" s="1"/>
  <c r="AT366" i="36"/>
  <c r="AV366" i="36" s="1"/>
  <c r="AR366" i="36"/>
  <c r="BJ365" i="36"/>
  <c r="BL365" i="36" s="1"/>
  <c r="BF365" i="36"/>
  <c r="BH365" i="36" s="1"/>
  <c r="BB365" i="36"/>
  <c r="BD365" i="36" s="1"/>
  <c r="AX365" i="36"/>
  <c r="AZ365" i="36" s="1"/>
  <c r="AT365" i="36"/>
  <c r="AV365" i="36" s="1"/>
  <c r="AR365" i="36"/>
  <c r="BJ364" i="36"/>
  <c r="BL364" i="36" s="1"/>
  <c r="BF364" i="36"/>
  <c r="BH364" i="36" s="1"/>
  <c r="BB364" i="36"/>
  <c r="BD364" i="36" s="1"/>
  <c r="AX364" i="36"/>
  <c r="AZ364" i="36" s="1"/>
  <c r="AT364" i="36"/>
  <c r="AV364" i="36" s="1"/>
  <c r="AR364" i="36"/>
  <c r="BJ363" i="36"/>
  <c r="BL363" i="36" s="1"/>
  <c r="BF363" i="36"/>
  <c r="BH363" i="36" s="1"/>
  <c r="BB363" i="36"/>
  <c r="BD363" i="36" s="1"/>
  <c r="AX363" i="36"/>
  <c r="AZ363" i="36" s="1"/>
  <c r="AT363" i="36"/>
  <c r="AV363" i="36" s="1"/>
  <c r="AR363" i="36"/>
  <c r="BJ362" i="36"/>
  <c r="BL362" i="36" s="1"/>
  <c r="BF362" i="36"/>
  <c r="BH362" i="36" s="1"/>
  <c r="BB362" i="36"/>
  <c r="BD362" i="36" s="1"/>
  <c r="AX362" i="36"/>
  <c r="AZ362" i="36" s="1"/>
  <c r="AT362" i="36"/>
  <c r="AV362" i="36" s="1"/>
  <c r="AR362" i="36"/>
  <c r="BJ361" i="36"/>
  <c r="BL361" i="36" s="1"/>
  <c r="BF361" i="36"/>
  <c r="BH361" i="36" s="1"/>
  <c r="BB361" i="36"/>
  <c r="BD361" i="36" s="1"/>
  <c r="AX361" i="36"/>
  <c r="AZ361" i="36" s="1"/>
  <c r="AT361" i="36"/>
  <c r="AV361" i="36" s="1"/>
  <c r="AR361" i="36"/>
  <c r="BJ360" i="36"/>
  <c r="BL360" i="36" s="1"/>
  <c r="BF360" i="36"/>
  <c r="BH360" i="36" s="1"/>
  <c r="BB360" i="36"/>
  <c r="BD360" i="36" s="1"/>
  <c r="AX360" i="36"/>
  <c r="AZ360" i="36" s="1"/>
  <c r="AT360" i="36"/>
  <c r="AV360" i="36" s="1"/>
  <c r="AR360" i="36"/>
  <c r="BJ359" i="36"/>
  <c r="BL359" i="36" s="1"/>
  <c r="BF359" i="36"/>
  <c r="BH359" i="36" s="1"/>
  <c r="BB359" i="36"/>
  <c r="BD359" i="36" s="1"/>
  <c r="AX359" i="36"/>
  <c r="AZ359" i="36" s="1"/>
  <c r="AT359" i="36"/>
  <c r="AV359" i="36" s="1"/>
  <c r="AR359" i="36"/>
  <c r="BJ358" i="36"/>
  <c r="BL358" i="36" s="1"/>
  <c r="BF358" i="36"/>
  <c r="BH358" i="36" s="1"/>
  <c r="BB358" i="36"/>
  <c r="BD358" i="36" s="1"/>
  <c r="AX358" i="36"/>
  <c r="AZ358" i="36" s="1"/>
  <c r="AT358" i="36"/>
  <c r="AV358" i="36" s="1"/>
  <c r="AR358" i="36"/>
  <c r="BJ357" i="36"/>
  <c r="BL357" i="36" s="1"/>
  <c r="BF357" i="36"/>
  <c r="BH357" i="36" s="1"/>
  <c r="BB357" i="36"/>
  <c r="BD357" i="36" s="1"/>
  <c r="AX357" i="36"/>
  <c r="AZ357" i="36" s="1"/>
  <c r="AT357" i="36"/>
  <c r="AV357" i="36" s="1"/>
  <c r="AR357" i="36"/>
  <c r="BJ356" i="36"/>
  <c r="BL356" i="36" s="1"/>
  <c r="BF356" i="36"/>
  <c r="BH356" i="36" s="1"/>
  <c r="BB356" i="36"/>
  <c r="BD356" i="36" s="1"/>
  <c r="AX356" i="36"/>
  <c r="AZ356" i="36" s="1"/>
  <c r="AT356" i="36"/>
  <c r="AV356" i="36" s="1"/>
  <c r="AR356" i="36"/>
  <c r="BJ355" i="36"/>
  <c r="BL355" i="36" s="1"/>
  <c r="BF355" i="36"/>
  <c r="BH355" i="36" s="1"/>
  <c r="BB355" i="36"/>
  <c r="BD355" i="36" s="1"/>
  <c r="AX355" i="36"/>
  <c r="AZ355" i="36" s="1"/>
  <c r="AT355" i="36"/>
  <c r="AV355" i="36" s="1"/>
  <c r="AR355" i="36"/>
  <c r="BJ354" i="36"/>
  <c r="BL354" i="36" s="1"/>
  <c r="BF354" i="36"/>
  <c r="BH354" i="36" s="1"/>
  <c r="BB354" i="36"/>
  <c r="BD354" i="36" s="1"/>
  <c r="AX354" i="36"/>
  <c r="AZ354" i="36" s="1"/>
  <c r="AT354" i="36"/>
  <c r="AV354" i="36" s="1"/>
  <c r="AR354" i="36"/>
  <c r="BJ353" i="36"/>
  <c r="BL353" i="36" s="1"/>
  <c r="BF353" i="36"/>
  <c r="BH353" i="36" s="1"/>
  <c r="BB353" i="36"/>
  <c r="BD353" i="36" s="1"/>
  <c r="AX353" i="36"/>
  <c r="AZ353" i="36" s="1"/>
  <c r="AT353" i="36"/>
  <c r="AV353" i="36" s="1"/>
  <c r="AR353" i="36"/>
  <c r="BJ352" i="36"/>
  <c r="BL352" i="36" s="1"/>
  <c r="BF352" i="36"/>
  <c r="BH352" i="36" s="1"/>
  <c r="BB352" i="36"/>
  <c r="BD352" i="36" s="1"/>
  <c r="AX352" i="36"/>
  <c r="AZ352" i="36" s="1"/>
  <c r="AT352" i="36"/>
  <c r="AV352" i="36" s="1"/>
  <c r="AR352" i="36"/>
  <c r="BJ351" i="36"/>
  <c r="BL351" i="36" s="1"/>
  <c r="BF351" i="36"/>
  <c r="BH351" i="36" s="1"/>
  <c r="BB351" i="36"/>
  <c r="BD351" i="36" s="1"/>
  <c r="AX351" i="36"/>
  <c r="AZ351" i="36" s="1"/>
  <c r="AT351" i="36"/>
  <c r="AV351" i="36" s="1"/>
  <c r="AR351" i="36"/>
  <c r="BJ350" i="36"/>
  <c r="BL350" i="36" s="1"/>
  <c r="BF350" i="36"/>
  <c r="BH350" i="36" s="1"/>
  <c r="BB350" i="36"/>
  <c r="BD350" i="36" s="1"/>
  <c r="AX350" i="36"/>
  <c r="AZ350" i="36" s="1"/>
  <c r="AT350" i="36"/>
  <c r="AV350" i="36" s="1"/>
  <c r="AR350" i="36"/>
  <c r="BJ349" i="36"/>
  <c r="BL349" i="36" s="1"/>
  <c r="BF349" i="36"/>
  <c r="BH349" i="36" s="1"/>
  <c r="BB349" i="36"/>
  <c r="BD349" i="36" s="1"/>
  <c r="AX349" i="36"/>
  <c r="AZ349" i="36" s="1"/>
  <c r="AT349" i="36"/>
  <c r="AV349" i="36" s="1"/>
  <c r="AR349" i="36"/>
  <c r="BJ348" i="36"/>
  <c r="BL348" i="36" s="1"/>
  <c r="BF348" i="36"/>
  <c r="BH348" i="36" s="1"/>
  <c r="BB348" i="36"/>
  <c r="BD348" i="36" s="1"/>
  <c r="AX348" i="36"/>
  <c r="AZ348" i="36" s="1"/>
  <c r="AT348" i="36"/>
  <c r="AV348" i="36" s="1"/>
  <c r="AR348" i="36"/>
  <c r="BJ347" i="36"/>
  <c r="BL347" i="36" s="1"/>
  <c r="BF347" i="36"/>
  <c r="BH347" i="36" s="1"/>
  <c r="BB347" i="36"/>
  <c r="BD347" i="36" s="1"/>
  <c r="AX347" i="36"/>
  <c r="AZ347" i="36" s="1"/>
  <c r="AT347" i="36"/>
  <c r="AV347" i="36" s="1"/>
  <c r="AR347" i="36"/>
  <c r="BJ346" i="36"/>
  <c r="BL346" i="36" s="1"/>
  <c r="BF346" i="36"/>
  <c r="BH346" i="36" s="1"/>
  <c r="BB346" i="36"/>
  <c r="BD346" i="36" s="1"/>
  <c r="AX346" i="36"/>
  <c r="AZ346" i="36" s="1"/>
  <c r="AT346" i="36"/>
  <c r="AV346" i="36" s="1"/>
  <c r="AR346" i="36"/>
  <c r="BJ345" i="36"/>
  <c r="BL345" i="36" s="1"/>
  <c r="BF345" i="36"/>
  <c r="BH345" i="36" s="1"/>
  <c r="BB345" i="36"/>
  <c r="BD345" i="36" s="1"/>
  <c r="AX345" i="36"/>
  <c r="AZ345" i="36" s="1"/>
  <c r="AT345" i="36"/>
  <c r="AV345" i="36" s="1"/>
  <c r="AR345" i="36"/>
  <c r="BJ344" i="36"/>
  <c r="BL344" i="36" s="1"/>
  <c r="BF344" i="36"/>
  <c r="BH344" i="36" s="1"/>
  <c r="BB344" i="36"/>
  <c r="BD344" i="36" s="1"/>
  <c r="AX344" i="36"/>
  <c r="AZ344" i="36" s="1"/>
  <c r="AT344" i="36"/>
  <c r="AV344" i="36" s="1"/>
  <c r="AR344" i="36"/>
  <c r="BJ343" i="36"/>
  <c r="BL343" i="36" s="1"/>
  <c r="BF343" i="36"/>
  <c r="BH343" i="36" s="1"/>
  <c r="BB343" i="36"/>
  <c r="BD343" i="36" s="1"/>
  <c r="AX343" i="36"/>
  <c r="AZ343" i="36" s="1"/>
  <c r="AT343" i="36"/>
  <c r="AV343" i="36" s="1"/>
  <c r="AR343" i="36"/>
  <c r="BJ342" i="36"/>
  <c r="BL342" i="36" s="1"/>
  <c r="BF342" i="36"/>
  <c r="BH342" i="36" s="1"/>
  <c r="BB342" i="36"/>
  <c r="BD342" i="36" s="1"/>
  <c r="AX342" i="36"/>
  <c r="AZ342" i="36" s="1"/>
  <c r="AT342" i="36"/>
  <c r="AV342" i="36" s="1"/>
  <c r="AR342" i="36"/>
  <c r="BJ341" i="36"/>
  <c r="BL341" i="36" s="1"/>
  <c r="BF341" i="36"/>
  <c r="BH341" i="36" s="1"/>
  <c r="BB341" i="36"/>
  <c r="BD341" i="36" s="1"/>
  <c r="AX341" i="36"/>
  <c r="AZ341" i="36" s="1"/>
  <c r="AT341" i="36"/>
  <c r="AV341" i="36" s="1"/>
  <c r="AR341" i="36"/>
  <c r="BJ340" i="36"/>
  <c r="BL340" i="36" s="1"/>
  <c r="BF340" i="36"/>
  <c r="BH340" i="36" s="1"/>
  <c r="BB340" i="36"/>
  <c r="BD340" i="36" s="1"/>
  <c r="AX340" i="36"/>
  <c r="AZ340" i="36" s="1"/>
  <c r="AT340" i="36"/>
  <c r="AV340" i="36" s="1"/>
  <c r="AR340" i="36"/>
  <c r="BJ339" i="36"/>
  <c r="BL339" i="36" s="1"/>
  <c r="BF339" i="36"/>
  <c r="BH339" i="36" s="1"/>
  <c r="BB339" i="36"/>
  <c r="BD339" i="36" s="1"/>
  <c r="AX339" i="36"/>
  <c r="AZ339" i="36" s="1"/>
  <c r="AT339" i="36"/>
  <c r="AV339" i="36" s="1"/>
  <c r="AR339" i="36"/>
  <c r="BJ338" i="36"/>
  <c r="BL338" i="36" s="1"/>
  <c r="BF338" i="36"/>
  <c r="BH338" i="36" s="1"/>
  <c r="BB338" i="36"/>
  <c r="BD338" i="36" s="1"/>
  <c r="AX338" i="36"/>
  <c r="AZ338" i="36" s="1"/>
  <c r="AT338" i="36"/>
  <c r="AV338" i="36" s="1"/>
  <c r="AR338" i="36"/>
  <c r="BJ337" i="36"/>
  <c r="BL337" i="36" s="1"/>
  <c r="BF337" i="36"/>
  <c r="BH337" i="36" s="1"/>
  <c r="BB337" i="36"/>
  <c r="BD337" i="36" s="1"/>
  <c r="AX337" i="36"/>
  <c r="AZ337" i="36" s="1"/>
  <c r="AT337" i="36"/>
  <c r="AV337" i="36" s="1"/>
  <c r="AR337" i="36"/>
  <c r="BJ336" i="36"/>
  <c r="BL336" i="36" s="1"/>
  <c r="BF336" i="36"/>
  <c r="BH336" i="36" s="1"/>
  <c r="BB336" i="36"/>
  <c r="BD336" i="36" s="1"/>
  <c r="AX336" i="36"/>
  <c r="AZ336" i="36" s="1"/>
  <c r="AT336" i="36"/>
  <c r="AV336" i="36" s="1"/>
  <c r="AR336" i="36"/>
  <c r="BJ335" i="36"/>
  <c r="BL335" i="36" s="1"/>
  <c r="BF335" i="36"/>
  <c r="BH335" i="36" s="1"/>
  <c r="BB335" i="36"/>
  <c r="BD335" i="36" s="1"/>
  <c r="AX335" i="36"/>
  <c r="AZ335" i="36" s="1"/>
  <c r="AT335" i="36"/>
  <c r="AV335" i="36" s="1"/>
  <c r="AR335" i="36"/>
  <c r="BJ334" i="36"/>
  <c r="BL334" i="36" s="1"/>
  <c r="BF334" i="36"/>
  <c r="BH334" i="36" s="1"/>
  <c r="BB334" i="36"/>
  <c r="BD334" i="36" s="1"/>
  <c r="AX334" i="36"/>
  <c r="AZ334" i="36" s="1"/>
  <c r="AT334" i="36"/>
  <c r="AV334" i="36" s="1"/>
  <c r="AR334" i="36"/>
  <c r="BJ333" i="36"/>
  <c r="BL333" i="36" s="1"/>
  <c r="BF333" i="36"/>
  <c r="BH333" i="36" s="1"/>
  <c r="BB333" i="36"/>
  <c r="BD333" i="36" s="1"/>
  <c r="AX333" i="36"/>
  <c r="AZ333" i="36" s="1"/>
  <c r="AT333" i="36"/>
  <c r="AV333" i="36" s="1"/>
  <c r="AR333" i="36"/>
  <c r="BJ332" i="36"/>
  <c r="BL332" i="36" s="1"/>
  <c r="BF332" i="36"/>
  <c r="BH332" i="36" s="1"/>
  <c r="BB332" i="36"/>
  <c r="BD332" i="36" s="1"/>
  <c r="AX332" i="36"/>
  <c r="AZ332" i="36" s="1"/>
  <c r="AT332" i="36"/>
  <c r="AV332" i="36" s="1"/>
  <c r="AR332" i="36"/>
  <c r="BJ331" i="36"/>
  <c r="BL331" i="36" s="1"/>
  <c r="BF331" i="36"/>
  <c r="BH331" i="36" s="1"/>
  <c r="BB331" i="36"/>
  <c r="BD331" i="36" s="1"/>
  <c r="AX331" i="36"/>
  <c r="AZ331" i="36" s="1"/>
  <c r="AT331" i="36"/>
  <c r="AV331" i="36" s="1"/>
  <c r="AR331" i="36"/>
  <c r="BJ330" i="36"/>
  <c r="BL330" i="36" s="1"/>
  <c r="BF330" i="36"/>
  <c r="BH330" i="36" s="1"/>
  <c r="BB330" i="36"/>
  <c r="BD330" i="36" s="1"/>
  <c r="AX330" i="36"/>
  <c r="AZ330" i="36" s="1"/>
  <c r="AT330" i="36"/>
  <c r="AV330" i="36" s="1"/>
  <c r="AR330" i="36"/>
  <c r="BJ329" i="36"/>
  <c r="BL329" i="36" s="1"/>
  <c r="BF329" i="36"/>
  <c r="BH329" i="36" s="1"/>
  <c r="BB329" i="36"/>
  <c r="BD329" i="36" s="1"/>
  <c r="AX329" i="36"/>
  <c r="AZ329" i="36" s="1"/>
  <c r="AT329" i="36"/>
  <c r="AV329" i="36" s="1"/>
  <c r="AR329" i="36"/>
  <c r="BJ328" i="36"/>
  <c r="BL328" i="36" s="1"/>
  <c r="BF328" i="36"/>
  <c r="BH328" i="36" s="1"/>
  <c r="BB328" i="36"/>
  <c r="BD328" i="36" s="1"/>
  <c r="AX328" i="36"/>
  <c r="AZ328" i="36" s="1"/>
  <c r="AT328" i="36"/>
  <c r="AV328" i="36" s="1"/>
  <c r="AR328" i="36"/>
  <c r="BJ327" i="36"/>
  <c r="BL327" i="36" s="1"/>
  <c r="BF327" i="36"/>
  <c r="BH327" i="36" s="1"/>
  <c r="BB327" i="36"/>
  <c r="BD327" i="36" s="1"/>
  <c r="AX327" i="36"/>
  <c r="AZ327" i="36" s="1"/>
  <c r="AT327" i="36"/>
  <c r="AV327" i="36" s="1"/>
  <c r="AR327" i="36"/>
  <c r="BJ326" i="36"/>
  <c r="BL326" i="36" s="1"/>
  <c r="BF326" i="36"/>
  <c r="BH326" i="36" s="1"/>
  <c r="BB326" i="36"/>
  <c r="BD326" i="36" s="1"/>
  <c r="AX326" i="36"/>
  <c r="AZ326" i="36" s="1"/>
  <c r="AT326" i="36"/>
  <c r="AV326" i="36" s="1"/>
  <c r="AR326" i="36"/>
  <c r="BJ325" i="36"/>
  <c r="BL325" i="36" s="1"/>
  <c r="BF325" i="36"/>
  <c r="BH325" i="36" s="1"/>
  <c r="BB325" i="36"/>
  <c r="BD325" i="36" s="1"/>
  <c r="AX325" i="36"/>
  <c r="AZ325" i="36" s="1"/>
  <c r="AT325" i="36"/>
  <c r="AV325" i="36" s="1"/>
  <c r="AR325" i="36"/>
  <c r="BJ324" i="36"/>
  <c r="BL324" i="36" s="1"/>
  <c r="BF324" i="36"/>
  <c r="BH324" i="36" s="1"/>
  <c r="BB324" i="36"/>
  <c r="BD324" i="36" s="1"/>
  <c r="AX324" i="36"/>
  <c r="AZ324" i="36" s="1"/>
  <c r="AT324" i="36"/>
  <c r="AV324" i="36" s="1"/>
  <c r="AR324" i="36"/>
  <c r="BJ323" i="36"/>
  <c r="BL323" i="36" s="1"/>
  <c r="BF323" i="36"/>
  <c r="BH323" i="36" s="1"/>
  <c r="BB323" i="36"/>
  <c r="BD323" i="36" s="1"/>
  <c r="AX323" i="36"/>
  <c r="AZ323" i="36" s="1"/>
  <c r="AT323" i="36"/>
  <c r="AV323" i="36" s="1"/>
  <c r="AR323" i="36"/>
  <c r="BJ322" i="36"/>
  <c r="BL322" i="36" s="1"/>
  <c r="BF322" i="36"/>
  <c r="BH322" i="36" s="1"/>
  <c r="BB322" i="36"/>
  <c r="BD322" i="36" s="1"/>
  <c r="AX322" i="36"/>
  <c r="AZ322" i="36" s="1"/>
  <c r="AT322" i="36"/>
  <c r="AV322" i="36" s="1"/>
  <c r="AR322" i="36"/>
  <c r="BJ321" i="36"/>
  <c r="BL321" i="36" s="1"/>
  <c r="BF321" i="36"/>
  <c r="BH321" i="36" s="1"/>
  <c r="BB321" i="36"/>
  <c r="BD321" i="36" s="1"/>
  <c r="AX321" i="36"/>
  <c r="AZ321" i="36" s="1"/>
  <c r="AT321" i="36"/>
  <c r="AV321" i="36" s="1"/>
  <c r="AR321" i="36"/>
  <c r="BJ320" i="36"/>
  <c r="BL320" i="36" s="1"/>
  <c r="BF320" i="36"/>
  <c r="BH320" i="36" s="1"/>
  <c r="BB320" i="36"/>
  <c r="BD320" i="36" s="1"/>
  <c r="AX320" i="36"/>
  <c r="AZ320" i="36" s="1"/>
  <c r="AT320" i="36"/>
  <c r="AV320" i="36" s="1"/>
  <c r="AR320" i="36"/>
  <c r="BJ319" i="36"/>
  <c r="BL319" i="36" s="1"/>
  <c r="BF319" i="36"/>
  <c r="BH319" i="36" s="1"/>
  <c r="BB319" i="36"/>
  <c r="BD319" i="36" s="1"/>
  <c r="AX319" i="36"/>
  <c r="AZ319" i="36" s="1"/>
  <c r="AT319" i="36"/>
  <c r="AV319" i="36" s="1"/>
  <c r="AR319" i="36"/>
  <c r="BJ318" i="36"/>
  <c r="BL318" i="36" s="1"/>
  <c r="BF318" i="36"/>
  <c r="BH318" i="36" s="1"/>
  <c r="BB318" i="36"/>
  <c r="BD318" i="36" s="1"/>
  <c r="AX318" i="36"/>
  <c r="AZ318" i="36" s="1"/>
  <c r="AT318" i="36"/>
  <c r="AV318" i="36" s="1"/>
  <c r="AR318" i="36"/>
  <c r="BJ317" i="36"/>
  <c r="BL317" i="36" s="1"/>
  <c r="BF317" i="36"/>
  <c r="BH317" i="36" s="1"/>
  <c r="BB317" i="36"/>
  <c r="BD317" i="36" s="1"/>
  <c r="AX317" i="36"/>
  <c r="AZ317" i="36" s="1"/>
  <c r="AT317" i="36"/>
  <c r="AV317" i="36" s="1"/>
  <c r="AR317" i="36"/>
  <c r="BJ316" i="36"/>
  <c r="BL316" i="36" s="1"/>
  <c r="BF316" i="36"/>
  <c r="BH316" i="36" s="1"/>
  <c r="BB316" i="36"/>
  <c r="BD316" i="36" s="1"/>
  <c r="AX316" i="36"/>
  <c r="AZ316" i="36" s="1"/>
  <c r="AT316" i="36"/>
  <c r="AV316" i="36" s="1"/>
  <c r="AR316" i="36"/>
  <c r="BJ315" i="36"/>
  <c r="BL315" i="36" s="1"/>
  <c r="BF315" i="36"/>
  <c r="BH315" i="36" s="1"/>
  <c r="BB315" i="36"/>
  <c r="BD315" i="36" s="1"/>
  <c r="AX315" i="36"/>
  <c r="AZ315" i="36" s="1"/>
  <c r="AT315" i="36"/>
  <c r="AV315" i="36" s="1"/>
  <c r="AR315" i="36"/>
  <c r="BJ314" i="36"/>
  <c r="BL314" i="36" s="1"/>
  <c r="BF314" i="36"/>
  <c r="BH314" i="36" s="1"/>
  <c r="BB314" i="36"/>
  <c r="BD314" i="36" s="1"/>
  <c r="AX314" i="36"/>
  <c r="AZ314" i="36" s="1"/>
  <c r="AT314" i="36"/>
  <c r="AV314" i="36" s="1"/>
  <c r="AR314" i="36"/>
  <c r="BJ313" i="36"/>
  <c r="BL313" i="36" s="1"/>
  <c r="BF313" i="36"/>
  <c r="BH313" i="36" s="1"/>
  <c r="BB313" i="36"/>
  <c r="BD313" i="36" s="1"/>
  <c r="AX313" i="36"/>
  <c r="AZ313" i="36" s="1"/>
  <c r="AT313" i="36"/>
  <c r="AV313" i="36" s="1"/>
  <c r="AR313" i="36"/>
  <c r="BJ312" i="36"/>
  <c r="BL312" i="36" s="1"/>
  <c r="BF312" i="36"/>
  <c r="BH312" i="36" s="1"/>
  <c r="BB312" i="36"/>
  <c r="BD312" i="36" s="1"/>
  <c r="AX312" i="36"/>
  <c r="AZ312" i="36" s="1"/>
  <c r="AT312" i="36"/>
  <c r="AV312" i="36" s="1"/>
  <c r="AR312" i="36"/>
  <c r="BJ311" i="36"/>
  <c r="BL311" i="36" s="1"/>
  <c r="BF311" i="36"/>
  <c r="BH311" i="36" s="1"/>
  <c r="BB311" i="36"/>
  <c r="BD311" i="36" s="1"/>
  <c r="AX311" i="36"/>
  <c r="AZ311" i="36" s="1"/>
  <c r="AT311" i="36"/>
  <c r="AV311" i="36" s="1"/>
  <c r="AR311" i="36"/>
  <c r="BJ310" i="36"/>
  <c r="BL310" i="36" s="1"/>
  <c r="BF310" i="36"/>
  <c r="BH310" i="36" s="1"/>
  <c r="BB310" i="36"/>
  <c r="BD310" i="36" s="1"/>
  <c r="AX310" i="36"/>
  <c r="AZ310" i="36" s="1"/>
  <c r="AT310" i="36"/>
  <c r="AV310" i="36" s="1"/>
  <c r="AR310" i="36"/>
  <c r="BJ309" i="36"/>
  <c r="BL309" i="36" s="1"/>
  <c r="BF309" i="36"/>
  <c r="BH309" i="36" s="1"/>
  <c r="BB309" i="36"/>
  <c r="BD309" i="36" s="1"/>
  <c r="AX309" i="36"/>
  <c r="AZ309" i="36" s="1"/>
  <c r="AT309" i="36"/>
  <c r="AV309" i="36" s="1"/>
  <c r="AR309" i="36"/>
  <c r="BJ308" i="36"/>
  <c r="BL308" i="36" s="1"/>
  <c r="BF308" i="36"/>
  <c r="BH308" i="36" s="1"/>
  <c r="BB308" i="36"/>
  <c r="BD308" i="36" s="1"/>
  <c r="AX308" i="36"/>
  <c r="AZ308" i="36" s="1"/>
  <c r="AT308" i="36"/>
  <c r="AV308" i="36" s="1"/>
  <c r="AR308" i="36"/>
  <c r="BJ307" i="36"/>
  <c r="BL307" i="36" s="1"/>
  <c r="BF307" i="36"/>
  <c r="BH307" i="36" s="1"/>
  <c r="BB307" i="36"/>
  <c r="BD307" i="36" s="1"/>
  <c r="AX307" i="36"/>
  <c r="AZ307" i="36" s="1"/>
  <c r="AT307" i="36"/>
  <c r="AV307" i="36" s="1"/>
  <c r="AR307" i="36"/>
  <c r="BJ306" i="36"/>
  <c r="BL306" i="36" s="1"/>
  <c r="BF306" i="36"/>
  <c r="BH306" i="36" s="1"/>
  <c r="BB306" i="36"/>
  <c r="BD306" i="36" s="1"/>
  <c r="AX306" i="36"/>
  <c r="AZ306" i="36" s="1"/>
  <c r="AT306" i="36"/>
  <c r="AV306" i="36" s="1"/>
  <c r="AR306" i="36"/>
  <c r="BJ305" i="36"/>
  <c r="BL305" i="36" s="1"/>
  <c r="BF305" i="36"/>
  <c r="BH305" i="36" s="1"/>
  <c r="BB305" i="36"/>
  <c r="BD305" i="36" s="1"/>
  <c r="AX305" i="36"/>
  <c r="AZ305" i="36" s="1"/>
  <c r="AT305" i="36"/>
  <c r="AV305" i="36" s="1"/>
  <c r="AR305" i="36"/>
  <c r="BJ304" i="36"/>
  <c r="BL304" i="36" s="1"/>
  <c r="BF304" i="36"/>
  <c r="BH304" i="36" s="1"/>
  <c r="BB304" i="36"/>
  <c r="BD304" i="36" s="1"/>
  <c r="AX304" i="36"/>
  <c r="AZ304" i="36" s="1"/>
  <c r="AT304" i="36"/>
  <c r="AV304" i="36" s="1"/>
  <c r="AR304" i="36"/>
  <c r="BJ303" i="36"/>
  <c r="BL303" i="36" s="1"/>
  <c r="BF303" i="36"/>
  <c r="BH303" i="36" s="1"/>
  <c r="BB303" i="36"/>
  <c r="BD303" i="36" s="1"/>
  <c r="AX303" i="36"/>
  <c r="AZ303" i="36" s="1"/>
  <c r="AT303" i="36"/>
  <c r="AV303" i="36" s="1"/>
  <c r="AR303" i="36"/>
  <c r="BJ302" i="36"/>
  <c r="BL302" i="36" s="1"/>
  <c r="BF302" i="36"/>
  <c r="BH302" i="36" s="1"/>
  <c r="BB302" i="36"/>
  <c r="BD302" i="36" s="1"/>
  <c r="AX302" i="36"/>
  <c r="AZ302" i="36" s="1"/>
  <c r="AT302" i="36"/>
  <c r="AV302" i="36" s="1"/>
  <c r="AR302" i="36"/>
  <c r="BJ301" i="36"/>
  <c r="BL301" i="36" s="1"/>
  <c r="BF301" i="36"/>
  <c r="BH301" i="36" s="1"/>
  <c r="BB301" i="36"/>
  <c r="BD301" i="36" s="1"/>
  <c r="AX301" i="36"/>
  <c r="AZ301" i="36" s="1"/>
  <c r="AT301" i="36"/>
  <c r="AV301" i="36" s="1"/>
  <c r="AR301" i="36"/>
  <c r="BJ300" i="36"/>
  <c r="BL300" i="36" s="1"/>
  <c r="BF300" i="36"/>
  <c r="BH300" i="36" s="1"/>
  <c r="BB300" i="36"/>
  <c r="BD300" i="36" s="1"/>
  <c r="AX300" i="36"/>
  <c r="AZ300" i="36" s="1"/>
  <c r="AT300" i="36"/>
  <c r="AV300" i="36" s="1"/>
  <c r="AR300" i="36"/>
  <c r="BJ299" i="36"/>
  <c r="BL299" i="36" s="1"/>
  <c r="BF299" i="36"/>
  <c r="BH299" i="36" s="1"/>
  <c r="BB299" i="36"/>
  <c r="BD299" i="36" s="1"/>
  <c r="AX299" i="36"/>
  <c r="AZ299" i="36" s="1"/>
  <c r="AT299" i="36"/>
  <c r="AV299" i="36" s="1"/>
  <c r="AR299" i="36"/>
  <c r="BJ298" i="36"/>
  <c r="BL298" i="36" s="1"/>
  <c r="BF298" i="36"/>
  <c r="BH298" i="36" s="1"/>
  <c r="BB298" i="36"/>
  <c r="BD298" i="36" s="1"/>
  <c r="AX298" i="36"/>
  <c r="AZ298" i="36" s="1"/>
  <c r="AT298" i="36"/>
  <c r="AV298" i="36" s="1"/>
  <c r="AR298" i="36"/>
  <c r="BJ297" i="36"/>
  <c r="BL297" i="36" s="1"/>
  <c r="BF297" i="36"/>
  <c r="BH297" i="36" s="1"/>
  <c r="BB297" i="36"/>
  <c r="BD297" i="36" s="1"/>
  <c r="AX297" i="36"/>
  <c r="AZ297" i="36" s="1"/>
  <c r="AT297" i="36"/>
  <c r="AV297" i="36" s="1"/>
  <c r="AR297" i="36"/>
  <c r="BJ296" i="36"/>
  <c r="BL296" i="36" s="1"/>
  <c r="BF296" i="36"/>
  <c r="BH296" i="36" s="1"/>
  <c r="BB296" i="36"/>
  <c r="BD296" i="36" s="1"/>
  <c r="AX296" i="36"/>
  <c r="AZ296" i="36" s="1"/>
  <c r="AT296" i="36"/>
  <c r="AV296" i="36" s="1"/>
  <c r="AR296" i="36"/>
  <c r="BJ295" i="36"/>
  <c r="BL295" i="36" s="1"/>
  <c r="BF295" i="36"/>
  <c r="BH295" i="36" s="1"/>
  <c r="BB295" i="36"/>
  <c r="BD295" i="36" s="1"/>
  <c r="AX295" i="36"/>
  <c r="AZ295" i="36" s="1"/>
  <c r="AT295" i="36"/>
  <c r="AV295" i="36" s="1"/>
  <c r="AR295" i="36"/>
  <c r="BJ294" i="36"/>
  <c r="BL294" i="36" s="1"/>
  <c r="BF294" i="36"/>
  <c r="BH294" i="36" s="1"/>
  <c r="BB294" i="36"/>
  <c r="BD294" i="36" s="1"/>
  <c r="AX294" i="36"/>
  <c r="AZ294" i="36" s="1"/>
  <c r="AT294" i="36"/>
  <c r="AV294" i="36" s="1"/>
  <c r="AR294" i="36"/>
  <c r="BJ293" i="36"/>
  <c r="BL293" i="36" s="1"/>
  <c r="BF293" i="36"/>
  <c r="BH293" i="36" s="1"/>
  <c r="BB293" i="36"/>
  <c r="BD293" i="36" s="1"/>
  <c r="AX293" i="36"/>
  <c r="AZ293" i="36" s="1"/>
  <c r="AT293" i="36"/>
  <c r="AV293" i="36" s="1"/>
  <c r="AR293" i="36"/>
  <c r="BJ292" i="36"/>
  <c r="BL292" i="36" s="1"/>
  <c r="BF292" i="36"/>
  <c r="BH292" i="36" s="1"/>
  <c r="BB292" i="36"/>
  <c r="BD292" i="36" s="1"/>
  <c r="AX292" i="36"/>
  <c r="AZ292" i="36" s="1"/>
  <c r="AT292" i="36"/>
  <c r="AV292" i="36" s="1"/>
  <c r="AR292" i="36"/>
  <c r="BJ291" i="36"/>
  <c r="BL291" i="36" s="1"/>
  <c r="BF291" i="36"/>
  <c r="BH291" i="36" s="1"/>
  <c r="BB291" i="36"/>
  <c r="BD291" i="36" s="1"/>
  <c r="AX291" i="36"/>
  <c r="AZ291" i="36" s="1"/>
  <c r="AT291" i="36"/>
  <c r="AV291" i="36" s="1"/>
  <c r="AR291" i="36"/>
  <c r="BJ290" i="36"/>
  <c r="BL290" i="36" s="1"/>
  <c r="BF290" i="36"/>
  <c r="BH290" i="36" s="1"/>
  <c r="BB290" i="36"/>
  <c r="BD290" i="36" s="1"/>
  <c r="AX290" i="36"/>
  <c r="AZ290" i="36" s="1"/>
  <c r="AT290" i="36"/>
  <c r="AV290" i="36" s="1"/>
  <c r="AR290" i="36"/>
  <c r="BJ289" i="36"/>
  <c r="BL289" i="36" s="1"/>
  <c r="BF289" i="36"/>
  <c r="BH289" i="36" s="1"/>
  <c r="BB289" i="36"/>
  <c r="BD289" i="36" s="1"/>
  <c r="AX289" i="36"/>
  <c r="AZ289" i="36" s="1"/>
  <c r="AT289" i="36"/>
  <c r="AV289" i="36" s="1"/>
  <c r="AR289" i="36"/>
  <c r="BJ288" i="36"/>
  <c r="BL288" i="36" s="1"/>
  <c r="BF288" i="36"/>
  <c r="BH288" i="36" s="1"/>
  <c r="BB288" i="36"/>
  <c r="BD288" i="36" s="1"/>
  <c r="AX288" i="36"/>
  <c r="AZ288" i="36" s="1"/>
  <c r="AT288" i="36"/>
  <c r="AV288" i="36" s="1"/>
  <c r="AR288" i="36"/>
  <c r="BJ287" i="36"/>
  <c r="BL287" i="36" s="1"/>
  <c r="BF287" i="36"/>
  <c r="BH287" i="36" s="1"/>
  <c r="BB287" i="36"/>
  <c r="BD287" i="36" s="1"/>
  <c r="AX287" i="36"/>
  <c r="AZ287" i="36" s="1"/>
  <c r="AT287" i="36"/>
  <c r="AV287" i="36" s="1"/>
  <c r="AR287" i="36"/>
  <c r="BJ286" i="36"/>
  <c r="BL286" i="36" s="1"/>
  <c r="BF286" i="36"/>
  <c r="BH286" i="36" s="1"/>
  <c r="BB286" i="36"/>
  <c r="BD286" i="36" s="1"/>
  <c r="AX286" i="36"/>
  <c r="AZ286" i="36" s="1"/>
  <c r="AT286" i="36"/>
  <c r="AV286" i="36" s="1"/>
  <c r="AR286" i="36"/>
  <c r="BJ285" i="36"/>
  <c r="BL285" i="36" s="1"/>
  <c r="BF285" i="36"/>
  <c r="BH285" i="36" s="1"/>
  <c r="BB285" i="36"/>
  <c r="BD285" i="36" s="1"/>
  <c r="AX285" i="36"/>
  <c r="AZ285" i="36" s="1"/>
  <c r="AT285" i="36"/>
  <c r="AV285" i="36" s="1"/>
  <c r="AR285" i="36"/>
  <c r="BJ284" i="36"/>
  <c r="BL284" i="36" s="1"/>
  <c r="BF284" i="36"/>
  <c r="BH284" i="36" s="1"/>
  <c r="BB284" i="36"/>
  <c r="BD284" i="36" s="1"/>
  <c r="AX284" i="36"/>
  <c r="AZ284" i="36" s="1"/>
  <c r="AT284" i="36"/>
  <c r="AV284" i="36" s="1"/>
  <c r="AR284" i="36"/>
  <c r="BJ283" i="36"/>
  <c r="BL283" i="36" s="1"/>
  <c r="BF283" i="36"/>
  <c r="BH283" i="36" s="1"/>
  <c r="BB283" i="36"/>
  <c r="BD283" i="36" s="1"/>
  <c r="AX283" i="36"/>
  <c r="AZ283" i="36" s="1"/>
  <c r="AT283" i="36"/>
  <c r="AV283" i="36" s="1"/>
  <c r="AR283" i="36"/>
  <c r="BJ282" i="36"/>
  <c r="BL282" i="36" s="1"/>
  <c r="BF282" i="36"/>
  <c r="BH282" i="36" s="1"/>
  <c r="BB282" i="36"/>
  <c r="BD282" i="36" s="1"/>
  <c r="AX282" i="36"/>
  <c r="AZ282" i="36" s="1"/>
  <c r="AT282" i="36"/>
  <c r="AV282" i="36" s="1"/>
  <c r="AR282" i="36"/>
  <c r="BJ281" i="36"/>
  <c r="BL281" i="36" s="1"/>
  <c r="BF281" i="36"/>
  <c r="BH281" i="36" s="1"/>
  <c r="BB281" i="36"/>
  <c r="BD281" i="36" s="1"/>
  <c r="AX281" i="36"/>
  <c r="AZ281" i="36" s="1"/>
  <c r="AT281" i="36"/>
  <c r="AV281" i="36" s="1"/>
  <c r="AR281" i="36"/>
  <c r="BJ280" i="36"/>
  <c r="BL280" i="36" s="1"/>
  <c r="BF280" i="36"/>
  <c r="BH280" i="36" s="1"/>
  <c r="BB280" i="36"/>
  <c r="BD280" i="36" s="1"/>
  <c r="AX280" i="36"/>
  <c r="AZ280" i="36" s="1"/>
  <c r="AT280" i="36"/>
  <c r="AV280" i="36" s="1"/>
  <c r="AR280" i="36"/>
  <c r="BJ279" i="36"/>
  <c r="BL279" i="36" s="1"/>
  <c r="BF279" i="36"/>
  <c r="BH279" i="36" s="1"/>
  <c r="BB279" i="36"/>
  <c r="BD279" i="36" s="1"/>
  <c r="AX279" i="36"/>
  <c r="AZ279" i="36" s="1"/>
  <c r="AT279" i="36"/>
  <c r="AV279" i="36" s="1"/>
  <c r="AR279" i="36"/>
  <c r="BJ278" i="36"/>
  <c r="BL278" i="36" s="1"/>
  <c r="BF278" i="36"/>
  <c r="BH278" i="36" s="1"/>
  <c r="BB278" i="36"/>
  <c r="BD278" i="36" s="1"/>
  <c r="AX278" i="36"/>
  <c r="AZ278" i="36" s="1"/>
  <c r="AT278" i="36"/>
  <c r="AV278" i="36" s="1"/>
  <c r="AR278" i="36"/>
  <c r="BJ277" i="36"/>
  <c r="BL277" i="36" s="1"/>
  <c r="BF277" i="36"/>
  <c r="BH277" i="36" s="1"/>
  <c r="BB277" i="36"/>
  <c r="BD277" i="36" s="1"/>
  <c r="AX277" i="36"/>
  <c r="AZ277" i="36" s="1"/>
  <c r="AT277" i="36"/>
  <c r="AV277" i="36" s="1"/>
  <c r="AR277" i="36"/>
  <c r="BJ276" i="36"/>
  <c r="BL276" i="36" s="1"/>
  <c r="BF276" i="36"/>
  <c r="BH276" i="36" s="1"/>
  <c r="BB276" i="36"/>
  <c r="BD276" i="36" s="1"/>
  <c r="AX276" i="36"/>
  <c r="AZ276" i="36" s="1"/>
  <c r="AT276" i="36"/>
  <c r="AV276" i="36" s="1"/>
  <c r="AR276" i="36"/>
  <c r="BJ275" i="36"/>
  <c r="BL275" i="36" s="1"/>
  <c r="BF275" i="36"/>
  <c r="BH275" i="36" s="1"/>
  <c r="BB275" i="36"/>
  <c r="BD275" i="36" s="1"/>
  <c r="AX275" i="36"/>
  <c r="AZ275" i="36" s="1"/>
  <c r="AT275" i="36"/>
  <c r="AV275" i="36" s="1"/>
  <c r="AR275" i="36"/>
  <c r="BJ274" i="36"/>
  <c r="BL274" i="36" s="1"/>
  <c r="BF274" i="36"/>
  <c r="BH274" i="36" s="1"/>
  <c r="BB274" i="36"/>
  <c r="BD274" i="36" s="1"/>
  <c r="AX274" i="36"/>
  <c r="AZ274" i="36" s="1"/>
  <c r="AT274" i="36"/>
  <c r="AV274" i="36" s="1"/>
  <c r="AR274" i="36"/>
  <c r="BJ273" i="36"/>
  <c r="BL273" i="36" s="1"/>
  <c r="BF273" i="36"/>
  <c r="BH273" i="36" s="1"/>
  <c r="BB273" i="36"/>
  <c r="BD273" i="36" s="1"/>
  <c r="AX273" i="36"/>
  <c r="AZ273" i="36" s="1"/>
  <c r="AT273" i="36"/>
  <c r="AV273" i="36" s="1"/>
  <c r="AR273" i="36"/>
  <c r="BJ272" i="36"/>
  <c r="BL272" i="36" s="1"/>
  <c r="BF272" i="36"/>
  <c r="BH272" i="36" s="1"/>
  <c r="BB272" i="36"/>
  <c r="BD272" i="36" s="1"/>
  <c r="AX272" i="36"/>
  <c r="AZ272" i="36" s="1"/>
  <c r="AT272" i="36"/>
  <c r="AV272" i="36" s="1"/>
  <c r="AR272" i="36"/>
  <c r="BJ271" i="36"/>
  <c r="BL271" i="36" s="1"/>
  <c r="BF271" i="36"/>
  <c r="BH271" i="36" s="1"/>
  <c r="BB271" i="36"/>
  <c r="BD271" i="36" s="1"/>
  <c r="AX271" i="36"/>
  <c r="AZ271" i="36" s="1"/>
  <c r="AT271" i="36"/>
  <c r="AV271" i="36" s="1"/>
  <c r="AR271" i="36"/>
  <c r="BJ270" i="36"/>
  <c r="BL270" i="36" s="1"/>
  <c r="BF270" i="36"/>
  <c r="BH270" i="36" s="1"/>
  <c r="BB270" i="36"/>
  <c r="BD270" i="36" s="1"/>
  <c r="AX270" i="36"/>
  <c r="AZ270" i="36" s="1"/>
  <c r="AT270" i="36"/>
  <c r="AV270" i="36" s="1"/>
  <c r="AR270" i="36"/>
  <c r="BJ269" i="36"/>
  <c r="BL269" i="36" s="1"/>
  <c r="BF269" i="36"/>
  <c r="BH269" i="36" s="1"/>
  <c r="BB269" i="36"/>
  <c r="BD269" i="36" s="1"/>
  <c r="AX269" i="36"/>
  <c r="AZ269" i="36" s="1"/>
  <c r="AT269" i="36"/>
  <c r="AV269" i="36" s="1"/>
  <c r="AR269" i="36"/>
  <c r="BJ268" i="36"/>
  <c r="BL268" i="36" s="1"/>
  <c r="BF268" i="36"/>
  <c r="BH268" i="36" s="1"/>
  <c r="BB268" i="36"/>
  <c r="BD268" i="36" s="1"/>
  <c r="AX268" i="36"/>
  <c r="AZ268" i="36" s="1"/>
  <c r="AT268" i="36"/>
  <c r="AV268" i="36" s="1"/>
  <c r="AR268" i="36"/>
  <c r="BJ267" i="36"/>
  <c r="BL267" i="36" s="1"/>
  <c r="BF267" i="36"/>
  <c r="BH267" i="36" s="1"/>
  <c r="BB267" i="36"/>
  <c r="BD267" i="36" s="1"/>
  <c r="AX267" i="36"/>
  <c r="AZ267" i="36" s="1"/>
  <c r="AT267" i="36"/>
  <c r="AV267" i="36" s="1"/>
  <c r="AR267" i="36"/>
  <c r="BJ266" i="36"/>
  <c r="BL266" i="36" s="1"/>
  <c r="BF266" i="36"/>
  <c r="BH266" i="36" s="1"/>
  <c r="BB266" i="36"/>
  <c r="BD266" i="36" s="1"/>
  <c r="AX266" i="36"/>
  <c r="AZ266" i="36" s="1"/>
  <c r="AT266" i="36"/>
  <c r="AV266" i="36" s="1"/>
  <c r="AR266" i="36"/>
  <c r="BJ265" i="36"/>
  <c r="BL265" i="36" s="1"/>
  <c r="BF265" i="36"/>
  <c r="BH265" i="36" s="1"/>
  <c r="BB265" i="36"/>
  <c r="BD265" i="36" s="1"/>
  <c r="AX265" i="36"/>
  <c r="AZ265" i="36" s="1"/>
  <c r="AT265" i="36"/>
  <c r="AV265" i="36" s="1"/>
  <c r="AR265" i="36"/>
  <c r="BJ264" i="36"/>
  <c r="BL264" i="36" s="1"/>
  <c r="BF264" i="36"/>
  <c r="BH264" i="36" s="1"/>
  <c r="BB264" i="36"/>
  <c r="BD264" i="36" s="1"/>
  <c r="AX264" i="36"/>
  <c r="AZ264" i="36" s="1"/>
  <c r="AT264" i="36"/>
  <c r="AV264" i="36" s="1"/>
  <c r="AR264" i="36"/>
  <c r="BJ263" i="36"/>
  <c r="BL263" i="36" s="1"/>
  <c r="BF263" i="36"/>
  <c r="BH263" i="36" s="1"/>
  <c r="BB263" i="36"/>
  <c r="BD263" i="36" s="1"/>
  <c r="AX263" i="36"/>
  <c r="AZ263" i="36" s="1"/>
  <c r="AT263" i="36"/>
  <c r="AV263" i="36" s="1"/>
  <c r="AR263" i="36"/>
  <c r="BJ262" i="36"/>
  <c r="BL262" i="36" s="1"/>
  <c r="BF262" i="36"/>
  <c r="BH262" i="36" s="1"/>
  <c r="BB262" i="36"/>
  <c r="BD262" i="36" s="1"/>
  <c r="AX262" i="36"/>
  <c r="AZ262" i="36" s="1"/>
  <c r="AT262" i="36"/>
  <c r="AV262" i="36" s="1"/>
  <c r="AR262" i="36"/>
  <c r="BJ261" i="36"/>
  <c r="BL261" i="36" s="1"/>
  <c r="BF261" i="36"/>
  <c r="BH261" i="36" s="1"/>
  <c r="BB261" i="36"/>
  <c r="BD261" i="36" s="1"/>
  <c r="AX261" i="36"/>
  <c r="AZ261" i="36" s="1"/>
  <c r="AT261" i="36"/>
  <c r="AV261" i="36" s="1"/>
  <c r="AR261" i="36"/>
  <c r="BJ260" i="36"/>
  <c r="BL260" i="36" s="1"/>
  <c r="BF260" i="36"/>
  <c r="BH260" i="36" s="1"/>
  <c r="BB260" i="36"/>
  <c r="BD260" i="36" s="1"/>
  <c r="AX260" i="36"/>
  <c r="AZ260" i="36" s="1"/>
  <c r="AT260" i="36"/>
  <c r="AV260" i="36" s="1"/>
  <c r="AR260" i="36"/>
  <c r="BJ259" i="36"/>
  <c r="BL259" i="36" s="1"/>
  <c r="BF259" i="36"/>
  <c r="BH259" i="36" s="1"/>
  <c r="BB259" i="36"/>
  <c r="BD259" i="36" s="1"/>
  <c r="AX259" i="36"/>
  <c r="AZ259" i="36" s="1"/>
  <c r="AT259" i="36"/>
  <c r="AV259" i="36" s="1"/>
  <c r="AR259" i="36"/>
  <c r="BJ258" i="36"/>
  <c r="BL258" i="36" s="1"/>
  <c r="BF258" i="36"/>
  <c r="BH258" i="36" s="1"/>
  <c r="BB258" i="36"/>
  <c r="BD258" i="36" s="1"/>
  <c r="AX258" i="36"/>
  <c r="AZ258" i="36" s="1"/>
  <c r="AT258" i="36"/>
  <c r="AV258" i="36" s="1"/>
  <c r="AR258" i="36"/>
  <c r="BJ257" i="36"/>
  <c r="BL257" i="36" s="1"/>
  <c r="BF257" i="36"/>
  <c r="BH257" i="36" s="1"/>
  <c r="BB257" i="36"/>
  <c r="BD257" i="36" s="1"/>
  <c r="AX257" i="36"/>
  <c r="AZ257" i="36" s="1"/>
  <c r="AT257" i="36"/>
  <c r="AV257" i="36" s="1"/>
  <c r="AR257" i="36"/>
  <c r="BJ256" i="36"/>
  <c r="BL256" i="36" s="1"/>
  <c r="BF256" i="36"/>
  <c r="BH256" i="36" s="1"/>
  <c r="BB256" i="36"/>
  <c r="BD256" i="36" s="1"/>
  <c r="AX256" i="36"/>
  <c r="AZ256" i="36" s="1"/>
  <c r="AT256" i="36"/>
  <c r="AV256" i="36" s="1"/>
  <c r="AR256" i="36"/>
  <c r="BJ255" i="36"/>
  <c r="BL255" i="36" s="1"/>
  <c r="BF255" i="36"/>
  <c r="BH255" i="36" s="1"/>
  <c r="BB255" i="36"/>
  <c r="BD255" i="36" s="1"/>
  <c r="AX255" i="36"/>
  <c r="AZ255" i="36" s="1"/>
  <c r="AT255" i="36"/>
  <c r="AV255" i="36" s="1"/>
  <c r="AR255" i="36"/>
  <c r="BJ254" i="36"/>
  <c r="BL254" i="36" s="1"/>
  <c r="BF254" i="36"/>
  <c r="BH254" i="36" s="1"/>
  <c r="BB254" i="36"/>
  <c r="BD254" i="36" s="1"/>
  <c r="AX254" i="36"/>
  <c r="AZ254" i="36" s="1"/>
  <c r="AT254" i="36"/>
  <c r="AV254" i="36" s="1"/>
  <c r="AR254" i="36"/>
  <c r="BJ253" i="36"/>
  <c r="BL253" i="36" s="1"/>
  <c r="BF253" i="36"/>
  <c r="BH253" i="36" s="1"/>
  <c r="BB253" i="36"/>
  <c r="BD253" i="36" s="1"/>
  <c r="AX253" i="36"/>
  <c r="AZ253" i="36" s="1"/>
  <c r="AT253" i="36"/>
  <c r="AV253" i="36" s="1"/>
  <c r="AR253" i="36"/>
  <c r="BJ252" i="36"/>
  <c r="BL252" i="36" s="1"/>
  <c r="BF252" i="36"/>
  <c r="BH252" i="36" s="1"/>
  <c r="BB252" i="36"/>
  <c r="BD252" i="36" s="1"/>
  <c r="AX252" i="36"/>
  <c r="AZ252" i="36" s="1"/>
  <c r="AT252" i="36"/>
  <c r="AV252" i="36" s="1"/>
  <c r="AR252" i="36"/>
  <c r="BJ251" i="36"/>
  <c r="BL251" i="36" s="1"/>
  <c r="BF251" i="36"/>
  <c r="BH251" i="36" s="1"/>
  <c r="BB251" i="36"/>
  <c r="BD251" i="36" s="1"/>
  <c r="AX251" i="36"/>
  <c r="AZ251" i="36" s="1"/>
  <c r="AT251" i="36"/>
  <c r="AV251" i="36" s="1"/>
  <c r="AR251" i="36"/>
  <c r="BJ250" i="36"/>
  <c r="BL250" i="36" s="1"/>
  <c r="BF250" i="36"/>
  <c r="BH250" i="36" s="1"/>
  <c r="BB250" i="36"/>
  <c r="BD250" i="36" s="1"/>
  <c r="AX250" i="36"/>
  <c r="AZ250" i="36" s="1"/>
  <c r="AT250" i="36"/>
  <c r="AV250" i="36" s="1"/>
  <c r="AR250" i="36"/>
  <c r="BJ249" i="36"/>
  <c r="BL249" i="36" s="1"/>
  <c r="BF249" i="36"/>
  <c r="BH249" i="36" s="1"/>
  <c r="BB249" i="36"/>
  <c r="BD249" i="36" s="1"/>
  <c r="AX249" i="36"/>
  <c r="AZ249" i="36" s="1"/>
  <c r="AT249" i="36"/>
  <c r="AV249" i="36" s="1"/>
  <c r="AR249" i="36"/>
  <c r="BJ248" i="36"/>
  <c r="BL248" i="36" s="1"/>
  <c r="BF248" i="36"/>
  <c r="BH248" i="36" s="1"/>
  <c r="BB248" i="36"/>
  <c r="BD248" i="36" s="1"/>
  <c r="AX248" i="36"/>
  <c r="AZ248" i="36" s="1"/>
  <c r="AT248" i="36"/>
  <c r="AV248" i="36" s="1"/>
  <c r="AR248" i="36"/>
  <c r="BJ247" i="36"/>
  <c r="BL247" i="36" s="1"/>
  <c r="BF247" i="36"/>
  <c r="BH247" i="36" s="1"/>
  <c r="BB247" i="36"/>
  <c r="BD247" i="36" s="1"/>
  <c r="AX247" i="36"/>
  <c r="AZ247" i="36" s="1"/>
  <c r="AT247" i="36"/>
  <c r="AV247" i="36" s="1"/>
  <c r="AR247" i="36"/>
  <c r="BJ246" i="36"/>
  <c r="BL246" i="36" s="1"/>
  <c r="BF246" i="36"/>
  <c r="BH246" i="36" s="1"/>
  <c r="BB246" i="36"/>
  <c r="BD246" i="36" s="1"/>
  <c r="AX246" i="36"/>
  <c r="AZ246" i="36" s="1"/>
  <c r="AT246" i="36"/>
  <c r="AV246" i="36" s="1"/>
  <c r="AR246" i="36"/>
  <c r="BJ245" i="36"/>
  <c r="BL245" i="36" s="1"/>
  <c r="BF245" i="36"/>
  <c r="BH245" i="36" s="1"/>
  <c r="BB245" i="36"/>
  <c r="BD245" i="36" s="1"/>
  <c r="AX245" i="36"/>
  <c r="AZ245" i="36" s="1"/>
  <c r="AT245" i="36"/>
  <c r="AV245" i="36" s="1"/>
  <c r="AR245" i="36"/>
  <c r="BJ244" i="36"/>
  <c r="BL244" i="36" s="1"/>
  <c r="BF244" i="36"/>
  <c r="BH244" i="36" s="1"/>
  <c r="BB244" i="36"/>
  <c r="BD244" i="36" s="1"/>
  <c r="AX244" i="36"/>
  <c r="AZ244" i="36" s="1"/>
  <c r="AT244" i="36"/>
  <c r="AV244" i="36" s="1"/>
  <c r="AR244" i="36"/>
  <c r="BJ243" i="36"/>
  <c r="BL243" i="36" s="1"/>
  <c r="BF243" i="36"/>
  <c r="BH243" i="36" s="1"/>
  <c r="BB243" i="36"/>
  <c r="BD243" i="36" s="1"/>
  <c r="AX243" i="36"/>
  <c r="AZ243" i="36" s="1"/>
  <c r="AT243" i="36"/>
  <c r="AV243" i="36" s="1"/>
  <c r="AR243" i="36"/>
  <c r="BJ242" i="36"/>
  <c r="BL242" i="36" s="1"/>
  <c r="BF242" i="36"/>
  <c r="BH242" i="36" s="1"/>
  <c r="BB242" i="36"/>
  <c r="BD242" i="36" s="1"/>
  <c r="AX242" i="36"/>
  <c r="AZ242" i="36" s="1"/>
  <c r="AT242" i="36"/>
  <c r="AV242" i="36" s="1"/>
  <c r="AR242" i="36"/>
  <c r="BJ241" i="36"/>
  <c r="BL241" i="36" s="1"/>
  <c r="BF241" i="36"/>
  <c r="BH241" i="36" s="1"/>
  <c r="BB241" i="36"/>
  <c r="BD241" i="36" s="1"/>
  <c r="AX241" i="36"/>
  <c r="AZ241" i="36" s="1"/>
  <c r="AT241" i="36"/>
  <c r="AV241" i="36" s="1"/>
  <c r="AR241" i="36"/>
  <c r="BJ240" i="36"/>
  <c r="BL240" i="36" s="1"/>
  <c r="BF240" i="36"/>
  <c r="BH240" i="36" s="1"/>
  <c r="BB240" i="36"/>
  <c r="BD240" i="36" s="1"/>
  <c r="AX240" i="36"/>
  <c r="AZ240" i="36" s="1"/>
  <c r="AT240" i="36"/>
  <c r="AV240" i="36" s="1"/>
  <c r="AR240" i="36"/>
  <c r="BJ239" i="36"/>
  <c r="BL239" i="36" s="1"/>
  <c r="BF239" i="36"/>
  <c r="BH239" i="36" s="1"/>
  <c r="BB239" i="36"/>
  <c r="BD239" i="36" s="1"/>
  <c r="AX239" i="36"/>
  <c r="AZ239" i="36" s="1"/>
  <c r="AT239" i="36"/>
  <c r="AV239" i="36" s="1"/>
  <c r="AR239" i="36"/>
  <c r="BJ238" i="36"/>
  <c r="BL238" i="36" s="1"/>
  <c r="BF238" i="36"/>
  <c r="BH238" i="36" s="1"/>
  <c r="BB238" i="36"/>
  <c r="BD238" i="36" s="1"/>
  <c r="AX238" i="36"/>
  <c r="AZ238" i="36" s="1"/>
  <c r="AT238" i="36"/>
  <c r="AV238" i="36" s="1"/>
  <c r="AR238" i="36"/>
  <c r="BJ237" i="36"/>
  <c r="BL237" i="36" s="1"/>
  <c r="BF237" i="36"/>
  <c r="BH237" i="36" s="1"/>
  <c r="BB237" i="36"/>
  <c r="BD237" i="36" s="1"/>
  <c r="AX237" i="36"/>
  <c r="AZ237" i="36" s="1"/>
  <c r="AT237" i="36"/>
  <c r="AV237" i="36" s="1"/>
  <c r="AR237" i="36"/>
  <c r="BJ236" i="36"/>
  <c r="BL236" i="36" s="1"/>
  <c r="BF236" i="36"/>
  <c r="BH236" i="36" s="1"/>
  <c r="BB236" i="36"/>
  <c r="BD236" i="36" s="1"/>
  <c r="AX236" i="36"/>
  <c r="AZ236" i="36" s="1"/>
  <c r="AT236" i="36"/>
  <c r="AV236" i="36" s="1"/>
  <c r="AR236" i="36"/>
  <c r="BJ235" i="36"/>
  <c r="BL235" i="36" s="1"/>
  <c r="BF235" i="36"/>
  <c r="BH235" i="36" s="1"/>
  <c r="BB235" i="36"/>
  <c r="BD235" i="36" s="1"/>
  <c r="AX235" i="36"/>
  <c r="AZ235" i="36" s="1"/>
  <c r="AT235" i="36"/>
  <c r="AV235" i="36" s="1"/>
  <c r="AR235" i="36"/>
  <c r="BJ234" i="36"/>
  <c r="BL234" i="36" s="1"/>
  <c r="BF234" i="36"/>
  <c r="BH234" i="36" s="1"/>
  <c r="BB234" i="36"/>
  <c r="BD234" i="36" s="1"/>
  <c r="AX234" i="36"/>
  <c r="AZ234" i="36" s="1"/>
  <c r="AT234" i="36"/>
  <c r="AV234" i="36" s="1"/>
  <c r="AR234" i="36"/>
  <c r="BJ233" i="36"/>
  <c r="BL233" i="36" s="1"/>
  <c r="BF233" i="36"/>
  <c r="BH233" i="36" s="1"/>
  <c r="BB233" i="36"/>
  <c r="BD233" i="36" s="1"/>
  <c r="AX233" i="36"/>
  <c r="AZ233" i="36" s="1"/>
  <c r="AT233" i="36"/>
  <c r="AV233" i="36" s="1"/>
  <c r="AR233" i="36"/>
  <c r="BJ232" i="36"/>
  <c r="BL232" i="36" s="1"/>
  <c r="BF232" i="36"/>
  <c r="BH232" i="36" s="1"/>
  <c r="BB232" i="36"/>
  <c r="BD232" i="36" s="1"/>
  <c r="AX232" i="36"/>
  <c r="AZ232" i="36" s="1"/>
  <c r="AT232" i="36"/>
  <c r="AV232" i="36" s="1"/>
  <c r="AR232" i="36"/>
  <c r="BJ231" i="36"/>
  <c r="BL231" i="36" s="1"/>
  <c r="BF231" i="36"/>
  <c r="BH231" i="36" s="1"/>
  <c r="BB231" i="36"/>
  <c r="BD231" i="36" s="1"/>
  <c r="AX231" i="36"/>
  <c r="AZ231" i="36" s="1"/>
  <c r="AT231" i="36"/>
  <c r="AV231" i="36" s="1"/>
  <c r="AR231" i="36"/>
  <c r="BJ230" i="36"/>
  <c r="BL230" i="36" s="1"/>
  <c r="BF230" i="36"/>
  <c r="BH230" i="36" s="1"/>
  <c r="BB230" i="36"/>
  <c r="BD230" i="36" s="1"/>
  <c r="AX230" i="36"/>
  <c r="AZ230" i="36" s="1"/>
  <c r="AT230" i="36"/>
  <c r="AV230" i="36" s="1"/>
  <c r="AR230" i="36"/>
  <c r="BJ229" i="36"/>
  <c r="BL229" i="36" s="1"/>
  <c r="BF229" i="36"/>
  <c r="BH229" i="36" s="1"/>
  <c r="BB229" i="36"/>
  <c r="BD229" i="36" s="1"/>
  <c r="AX229" i="36"/>
  <c r="AZ229" i="36" s="1"/>
  <c r="AT229" i="36"/>
  <c r="AV229" i="36" s="1"/>
  <c r="AR229" i="36"/>
  <c r="BJ228" i="36"/>
  <c r="BL228" i="36" s="1"/>
  <c r="BF228" i="36"/>
  <c r="BH228" i="36" s="1"/>
  <c r="BB228" i="36"/>
  <c r="BD228" i="36" s="1"/>
  <c r="AX228" i="36"/>
  <c r="AZ228" i="36" s="1"/>
  <c r="AT228" i="36"/>
  <c r="AV228" i="36" s="1"/>
  <c r="AR228" i="36"/>
  <c r="BJ227" i="36"/>
  <c r="BL227" i="36" s="1"/>
  <c r="BF227" i="36"/>
  <c r="BH227" i="36" s="1"/>
  <c r="BB227" i="36"/>
  <c r="BD227" i="36" s="1"/>
  <c r="AX227" i="36"/>
  <c r="AZ227" i="36" s="1"/>
  <c r="AT227" i="36"/>
  <c r="AV227" i="36" s="1"/>
  <c r="AR227" i="36"/>
  <c r="BJ226" i="36"/>
  <c r="BL226" i="36" s="1"/>
  <c r="BF226" i="36"/>
  <c r="BH226" i="36" s="1"/>
  <c r="BB226" i="36"/>
  <c r="BD226" i="36" s="1"/>
  <c r="AX226" i="36"/>
  <c r="AZ226" i="36" s="1"/>
  <c r="AT226" i="36"/>
  <c r="AV226" i="36" s="1"/>
  <c r="AR226" i="36"/>
  <c r="BJ225" i="36"/>
  <c r="BL225" i="36" s="1"/>
  <c r="BF225" i="36"/>
  <c r="BH225" i="36" s="1"/>
  <c r="BB225" i="36"/>
  <c r="BD225" i="36" s="1"/>
  <c r="AX225" i="36"/>
  <c r="AZ225" i="36" s="1"/>
  <c r="AT225" i="36"/>
  <c r="AV225" i="36" s="1"/>
  <c r="AR225" i="36"/>
  <c r="BJ224" i="36"/>
  <c r="BL224" i="36" s="1"/>
  <c r="BF224" i="36"/>
  <c r="BH224" i="36" s="1"/>
  <c r="BB224" i="36"/>
  <c r="BD224" i="36" s="1"/>
  <c r="AX224" i="36"/>
  <c r="AZ224" i="36" s="1"/>
  <c r="AT224" i="36"/>
  <c r="AV224" i="36" s="1"/>
  <c r="AR224" i="36"/>
  <c r="BJ223" i="36"/>
  <c r="BL223" i="36" s="1"/>
  <c r="BF223" i="36"/>
  <c r="BH223" i="36" s="1"/>
  <c r="BB223" i="36"/>
  <c r="BD223" i="36" s="1"/>
  <c r="AX223" i="36"/>
  <c r="AZ223" i="36" s="1"/>
  <c r="AT223" i="36"/>
  <c r="AV223" i="36" s="1"/>
  <c r="AR223" i="36"/>
  <c r="BJ222" i="36"/>
  <c r="BL222" i="36" s="1"/>
  <c r="BF222" i="36"/>
  <c r="BH222" i="36" s="1"/>
  <c r="BB222" i="36"/>
  <c r="BD222" i="36" s="1"/>
  <c r="AX222" i="36"/>
  <c r="AZ222" i="36" s="1"/>
  <c r="AT222" i="36"/>
  <c r="AV222" i="36" s="1"/>
  <c r="AR222" i="36"/>
  <c r="BJ221" i="36"/>
  <c r="BL221" i="36" s="1"/>
  <c r="BF221" i="36"/>
  <c r="BH221" i="36" s="1"/>
  <c r="BB221" i="36"/>
  <c r="BD221" i="36" s="1"/>
  <c r="AX221" i="36"/>
  <c r="AZ221" i="36" s="1"/>
  <c r="AT221" i="36"/>
  <c r="AV221" i="36" s="1"/>
  <c r="AR221" i="36"/>
  <c r="BJ220" i="36"/>
  <c r="BL220" i="36" s="1"/>
  <c r="BF220" i="36"/>
  <c r="BH220" i="36" s="1"/>
  <c r="BB220" i="36"/>
  <c r="BD220" i="36" s="1"/>
  <c r="AX220" i="36"/>
  <c r="AZ220" i="36" s="1"/>
  <c r="AT220" i="36"/>
  <c r="AV220" i="36" s="1"/>
  <c r="AR220" i="36"/>
  <c r="BJ219" i="36"/>
  <c r="BL219" i="36" s="1"/>
  <c r="BF219" i="36"/>
  <c r="BH219" i="36" s="1"/>
  <c r="BB219" i="36"/>
  <c r="BD219" i="36" s="1"/>
  <c r="AX219" i="36"/>
  <c r="AZ219" i="36" s="1"/>
  <c r="AT219" i="36"/>
  <c r="AV219" i="36" s="1"/>
  <c r="AR219" i="36"/>
  <c r="BJ218" i="36"/>
  <c r="BL218" i="36" s="1"/>
  <c r="BF218" i="36"/>
  <c r="BH218" i="36" s="1"/>
  <c r="BB218" i="36"/>
  <c r="BD218" i="36" s="1"/>
  <c r="AX218" i="36"/>
  <c r="AZ218" i="36" s="1"/>
  <c r="AT218" i="36"/>
  <c r="AV218" i="36" s="1"/>
  <c r="AR218" i="36"/>
  <c r="BJ217" i="36"/>
  <c r="BL217" i="36" s="1"/>
  <c r="BF217" i="36"/>
  <c r="BH217" i="36" s="1"/>
  <c r="BB217" i="36"/>
  <c r="BD217" i="36" s="1"/>
  <c r="AX217" i="36"/>
  <c r="AZ217" i="36" s="1"/>
  <c r="AT217" i="36"/>
  <c r="AV217" i="36" s="1"/>
  <c r="AR217" i="36"/>
  <c r="BJ216" i="36"/>
  <c r="BL216" i="36" s="1"/>
  <c r="BF216" i="36"/>
  <c r="BH216" i="36" s="1"/>
  <c r="BB216" i="36"/>
  <c r="BD216" i="36" s="1"/>
  <c r="AX216" i="36"/>
  <c r="AZ216" i="36" s="1"/>
  <c r="AT216" i="36"/>
  <c r="AV216" i="36" s="1"/>
  <c r="AR216" i="36"/>
  <c r="BJ215" i="36"/>
  <c r="BL215" i="36" s="1"/>
  <c r="BF215" i="36"/>
  <c r="BH215" i="36" s="1"/>
  <c r="BB215" i="36"/>
  <c r="BD215" i="36" s="1"/>
  <c r="AX215" i="36"/>
  <c r="AZ215" i="36" s="1"/>
  <c r="AT215" i="36"/>
  <c r="AV215" i="36" s="1"/>
  <c r="AR215" i="36"/>
  <c r="BJ214" i="36"/>
  <c r="BL214" i="36" s="1"/>
  <c r="BF214" i="36"/>
  <c r="BH214" i="36" s="1"/>
  <c r="BB214" i="36"/>
  <c r="BD214" i="36" s="1"/>
  <c r="AX214" i="36"/>
  <c r="AZ214" i="36" s="1"/>
  <c r="AT214" i="36"/>
  <c r="AV214" i="36" s="1"/>
  <c r="AR214" i="36"/>
  <c r="BJ213" i="36"/>
  <c r="BL213" i="36" s="1"/>
  <c r="BF213" i="36"/>
  <c r="BH213" i="36" s="1"/>
  <c r="BB213" i="36"/>
  <c r="BD213" i="36" s="1"/>
  <c r="AX213" i="36"/>
  <c r="AZ213" i="36" s="1"/>
  <c r="AT213" i="36"/>
  <c r="AV213" i="36" s="1"/>
  <c r="AR213" i="36"/>
  <c r="BJ212" i="36"/>
  <c r="BL212" i="36" s="1"/>
  <c r="BF212" i="36"/>
  <c r="BH212" i="36" s="1"/>
  <c r="BB212" i="36"/>
  <c r="BD212" i="36" s="1"/>
  <c r="AX212" i="36"/>
  <c r="AZ212" i="36" s="1"/>
  <c r="AT212" i="36"/>
  <c r="AV212" i="36" s="1"/>
  <c r="AR212" i="36"/>
  <c r="BJ211" i="36"/>
  <c r="BL211" i="36" s="1"/>
  <c r="BF211" i="36"/>
  <c r="BH211" i="36" s="1"/>
  <c r="BB211" i="36"/>
  <c r="BD211" i="36" s="1"/>
  <c r="AX211" i="36"/>
  <c r="AZ211" i="36" s="1"/>
  <c r="AT211" i="36"/>
  <c r="AV211" i="36" s="1"/>
  <c r="AR211" i="36"/>
  <c r="BJ210" i="36"/>
  <c r="BL210" i="36" s="1"/>
  <c r="BF210" i="36"/>
  <c r="BH210" i="36" s="1"/>
  <c r="BB210" i="36"/>
  <c r="BD210" i="36" s="1"/>
  <c r="AX210" i="36"/>
  <c r="AZ210" i="36" s="1"/>
  <c r="AT210" i="36"/>
  <c r="AV210" i="36" s="1"/>
  <c r="AR210" i="36"/>
  <c r="BJ209" i="36"/>
  <c r="BL209" i="36" s="1"/>
  <c r="BF209" i="36"/>
  <c r="BH209" i="36" s="1"/>
  <c r="BB209" i="36"/>
  <c r="BD209" i="36" s="1"/>
  <c r="AX209" i="36"/>
  <c r="AZ209" i="36" s="1"/>
  <c r="AT209" i="36"/>
  <c r="AV209" i="36" s="1"/>
  <c r="AR209" i="36"/>
  <c r="BJ208" i="36"/>
  <c r="BL208" i="36" s="1"/>
  <c r="BF208" i="36"/>
  <c r="BH208" i="36" s="1"/>
  <c r="BB208" i="36"/>
  <c r="BD208" i="36" s="1"/>
  <c r="AX208" i="36"/>
  <c r="AZ208" i="36" s="1"/>
  <c r="AT208" i="36"/>
  <c r="AV208" i="36" s="1"/>
  <c r="AR208" i="36"/>
  <c r="BJ207" i="36"/>
  <c r="BL207" i="36" s="1"/>
  <c r="BF207" i="36"/>
  <c r="BH207" i="36" s="1"/>
  <c r="BB207" i="36"/>
  <c r="BD207" i="36" s="1"/>
  <c r="AX207" i="36"/>
  <c r="AZ207" i="36" s="1"/>
  <c r="AT207" i="36"/>
  <c r="AV207" i="36" s="1"/>
  <c r="AR207" i="36"/>
  <c r="BJ206" i="36"/>
  <c r="BL206" i="36" s="1"/>
  <c r="BF206" i="36"/>
  <c r="BH206" i="36" s="1"/>
  <c r="BB206" i="36"/>
  <c r="BD206" i="36" s="1"/>
  <c r="AX206" i="36"/>
  <c r="AZ206" i="36" s="1"/>
  <c r="AT206" i="36"/>
  <c r="AV206" i="36" s="1"/>
  <c r="AR206" i="36"/>
  <c r="BJ205" i="36"/>
  <c r="BL205" i="36" s="1"/>
  <c r="BF205" i="36"/>
  <c r="BH205" i="36" s="1"/>
  <c r="BB205" i="36"/>
  <c r="BD205" i="36" s="1"/>
  <c r="AX205" i="36"/>
  <c r="AZ205" i="36" s="1"/>
  <c r="AT205" i="36"/>
  <c r="AV205" i="36" s="1"/>
  <c r="AR205" i="36"/>
  <c r="BJ204" i="36"/>
  <c r="BL204" i="36" s="1"/>
  <c r="BF204" i="36"/>
  <c r="BH204" i="36" s="1"/>
  <c r="BB204" i="36"/>
  <c r="BD204" i="36" s="1"/>
  <c r="AX204" i="36"/>
  <c r="AZ204" i="36" s="1"/>
  <c r="AT204" i="36"/>
  <c r="AV204" i="36" s="1"/>
  <c r="AR204" i="36"/>
  <c r="BJ203" i="36"/>
  <c r="BL203" i="36" s="1"/>
  <c r="BF203" i="36"/>
  <c r="BH203" i="36" s="1"/>
  <c r="BB203" i="36"/>
  <c r="BD203" i="36" s="1"/>
  <c r="AX203" i="36"/>
  <c r="AZ203" i="36" s="1"/>
  <c r="AT203" i="36"/>
  <c r="AV203" i="36" s="1"/>
  <c r="AR203" i="36"/>
  <c r="BJ202" i="36"/>
  <c r="BL202" i="36" s="1"/>
  <c r="BF202" i="36"/>
  <c r="BH202" i="36" s="1"/>
  <c r="BB202" i="36"/>
  <c r="BD202" i="36" s="1"/>
  <c r="AX202" i="36"/>
  <c r="AZ202" i="36" s="1"/>
  <c r="AT202" i="36"/>
  <c r="AV202" i="36" s="1"/>
  <c r="AR202" i="36"/>
  <c r="BJ201" i="36"/>
  <c r="BL201" i="36" s="1"/>
  <c r="BF201" i="36"/>
  <c r="BH201" i="36" s="1"/>
  <c r="BB201" i="36"/>
  <c r="BD201" i="36" s="1"/>
  <c r="AX201" i="36"/>
  <c r="AZ201" i="36" s="1"/>
  <c r="AT201" i="36"/>
  <c r="AV201" i="36" s="1"/>
  <c r="AR201" i="36"/>
  <c r="BJ200" i="36"/>
  <c r="BL200" i="36" s="1"/>
  <c r="BF200" i="36"/>
  <c r="BH200" i="36" s="1"/>
  <c r="BB200" i="36"/>
  <c r="BD200" i="36" s="1"/>
  <c r="AX200" i="36"/>
  <c r="AZ200" i="36" s="1"/>
  <c r="AT200" i="36"/>
  <c r="AV200" i="36" s="1"/>
  <c r="AR200" i="36"/>
  <c r="BJ199" i="36"/>
  <c r="BL199" i="36" s="1"/>
  <c r="BF199" i="36"/>
  <c r="BH199" i="36" s="1"/>
  <c r="BB199" i="36"/>
  <c r="BD199" i="36" s="1"/>
  <c r="AX199" i="36"/>
  <c r="AZ199" i="36" s="1"/>
  <c r="AT199" i="36"/>
  <c r="AV199" i="36" s="1"/>
  <c r="AR199" i="36"/>
  <c r="BJ198" i="36"/>
  <c r="BL198" i="36" s="1"/>
  <c r="BF198" i="36"/>
  <c r="BH198" i="36" s="1"/>
  <c r="BB198" i="36"/>
  <c r="BD198" i="36" s="1"/>
  <c r="AX198" i="36"/>
  <c r="AZ198" i="36" s="1"/>
  <c r="AT198" i="36"/>
  <c r="AV198" i="36" s="1"/>
  <c r="AR198" i="36"/>
  <c r="BJ197" i="36"/>
  <c r="BL197" i="36" s="1"/>
  <c r="BF197" i="36"/>
  <c r="BH197" i="36" s="1"/>
  <c r="BB197" i="36"/>
  <c r="BD197" i="36" s="1"/>
  <c r="AX197" i="36"/>
  <c r="AZ197" i="36" s="1"/>
  <c r="AT197" i="36"/>
  <c r="AV197" i="36" s="1"/>
  <c r="AR197" i="36"/>
  <c r="BJ196" i="36"/>
  <c r="BL196" i="36" s="1"/>
  <c r="BF196" i="36"/>
  <c r="BH196" i="36" s="1"/>
  <c r="BB196" i="36"/>
  <c r="BD196" i="36" s="1"/>
  <c r="AX196" i="36"/>
  <c r="AZ196" i="36" s="1"/>
  <c r="AT196" i="36"/>
  <c r="AV196" i="36" s="1"/>
  <c r="AR196" i="36"/>
  <c r="BJ195" i="36"/>
  <c r="BL195" i="36" s="1"/>
  <c r="BF195" i="36"/>
  <c r="BH195" i="36" s="1"/>
  <c r="BB195" i="36"/>
  <c r="BD195" i="36" s="1"/>
  <c r="AX195" i="36"/>
  <c r="AZ195" i="36" s="1"/>
  <c r="AT195" i="36"/>
  <c r="AV195" i="36" s="1"/>
  <c r="AR195" i="36"/>
  <c r="BJ194" i="36"/>
  <c r="BL194" i="36" s="1"/>
  <c r="BF194" i="36"/>
  <c r="BH194" i="36" s="1"/>
  <c r="BB194" i="36"/>
  <c r="BD194" i="36" s="1"/>
  <c r="AX194" i="36"/>
  <c r="AZ194" i="36" s="1"/>
  <c r="AT194" i="36"/>
  <c r="AV194" i="36" s="1"/>
  <c r="AR194" i="36"/>
  <c r="BJ193" i="36"/>
  <c r="BL193" i="36" s="1"/>
  <c r="BF193" i="36"/>
  <c r="BH193" i="36" s="1"/>
  <c r="BB193" i="36"/>
  <c r="BD193" i="36" s="1"/>
  <c r="AX193" i="36"/>
  <c r="AZ193" i="36" s="1"/>
  <c r="AT193" i="36"/>
  <c r="AV193" i="36" s="1"/>
  <c r="AR193" i="36"/>
  <c r="BJ192" i="36"/>
  <c r="BL192" i="36" s="1"/>
  <c r="BF192" i="36"/>
  <c r="BH192" i="36" s="1"/>
  <c r="BB192" i="36"/>
  <c r="BD192" i="36" s="1"/>
  <c r="AX192" i="36"/>
  <c r="AZ192" i="36" s="1"/>
  <c r="AT192" i="36"/>
  <c r="AV192" i="36" s="1"/>
  <c r="AR192" i="36"/>
  <c r="BJ191" i="36"/>
  <c r="BL191" i="36" s="1"/>
  <c r="BF191" i="36"/>
  <c r="BH191" i="36" s="1"/>
  <c r="BB191" i="36"/>
  <c r="BD191" i="36" s="1"/>
  <c r="AX191" i="36"/>
  <c r="AZ191" i="36" s="1"/>
  <c r="AT191" i="36"/>
  <c r="AV191" i="36" s="1"/>
  <c r="AR191" i="36"/>
  <c r="BJ190" i="36"/>
  <c r="BL190" i="36" s="1"/>
  <c r="BF190" i="36"/>
  <c r="BH190" i="36" s="1"/>
  <c r="BB190" i="36"/>
  <c r="BD190" i="36" s="1"/>
  <c r="AX190" i="36"/>
  <c r="AZ190" i="36" s="1"/>
  <c r="AT190" i="36"/>
  <c r="AV190" i="36" s="1"/>
  <c r="AR190" i="36"/>
  <c r="BJ189" i="36"/>
  <c r="BL189" i="36" s="1"/>
  <c r="BF189" i="36"/>
  <c r="BH189" i="36" s="1"/>
  <c r="BB189" i="36"/>
  <c r="BD189" i="36" s="1"/>
  <c r="AX189" i="36"/>
  <c r="AZ189" i="36" s="1"/>
  <c r="AT189" i="36"/>
  <c r="AV189" i="36" s="1"/>
  <c r="AR189" i="36"/>
  <c r="BJ188" i="36"/>
  <c r="BL188" i="36" s="1"/>
  <c r="BF188" i="36"/>
  <c r="BH188" i="36" s="1"/>
  <c r="BB188" i="36"/>
  <c r="BD188" i="36" s="1"/>
  <c r="AX188" i="36"/>
  <c r="AZ188" i="36" s="1"/>
  <c r="AT188" i="36"/>
  <c r="AV188" i="36" s="1"/>
  <c r="AR188" i="36"/>
  <c r="BJ187" i="36"/>
  <c r="BL187" i="36" s="1"/>
  <c r="BF187" i="36"/>
  <c r="BH187" i="36" s="1"/>
  <c r="BB187" i="36"/>
  <c r="BD187" i="36" s="1"/>
  <c r="AX187" i="36"/>
  <c r="AZ187" i="36" s="1"/>
  <c r="AT187" i="36"/>
  <c r="AV187" i="36" s="1"/>
  <c r="AR187" i="36"/>
  <c r="BJ186" i="36"/>
  <c r="BL186" i="36" s="1"/>
  <c r="BF186" i="36"/>
  <c r="BH186" i="36" s="1"/>
  <c r="BB186" i="36"/>
  <c r="BD186" i="36" s="1"/>
  <c r="AX186" i="36"/>
  <c r="AZ186" i="36" s="1"/>
  <c r="AT186" i="36"/>
  <c r="AV186" i="36" s="1"/>
  <c r="AR186" i="36"/>
  <c r="BJ185" i="36"/>
  <c r="BL185" i="36" s="1"/>
  <c r="BF185" i="36"/>
  <c r="BH185" i="36" s="1"/>
  <c r="BB185" i="36"/>
  <c r="BD185" i="36" s="1"/>
  <c r="AX185" i="36"/>
  <c r="AZ185" i="36" s="1"/>
  <c r="AT185" i="36"/>
  <c r="AV185" i="36" s="1"/>
  <c r="AR185" i="36"/>
  <c r="BJ184" i="36"/>
  <c r="BL184" i="36" s="1"/>
  <c r="BF184" i="36"/>
  <c r="BH184" i="36" s="1"/>
  <c r="BB184" i="36"/>
  <c r="BD184" i="36" s="1"/>
  <c r="AX184" i="36"/>
  <c r="AZ184" i="36" s="1"/>
  <c r="AT184" i="36"/>
  <c r="AV184" i="36" s="1"/>
  <c r="AR184" i="36"/>
  <c r="BJ183" i="36"/>
  <c r="BL183" i="36" s="1"/>
  <c r="BF183" i="36"/>
  <c r="BH183" i="36" s="1"/>
  <c r="BB183" i="36"/>
  <c r="BD183" i="36" s="1"/>
  <c r="AX183" i="36"/>
  <c r="AZ183" i="36" s="1"/>
  <c r="AT183" i="36"/>
  <c r="AV183" i="36" s="1"/>
  <c r="AR183" i="36"/>
  <c r="BJ182" i="36"/>
  <c r="BL182" i="36" s="1"/>
  <c r="BF182" i="36"/>
  <c r="BH182" i="36" s="1"/>
  <c r="BB182" i="36"/>
  <c r="BD182" i="36" s="1"/>
  <c r="AX182" i="36"/>
  <c r="AZ182" i="36" s="1"/>
  <c r="AT182" i="36"/>
  <c r="AV182" i="36" s="1"/>
  <c r="AR182" i="36"/>
  <c r="BJ181" i="36"/>
  <c r="BL181" i="36" s="1"/>
  <c r="BF181" i="36"/>
  <c r="BH181" i="36" s="1"/>
  <c r="BB181" i="36"/>
  <c r="BD181" i="36" s="1"/>
  <c r="AX181" i="36"/>
  <c r="AZ181" i="36" s="1"/>
  <c r="AT181" i="36"/>
  <c r="AV181" i="36" s="1"/>
  <c r="AR181" i="36"/>
  <c r="BJ180" i="36"/>
  <c r="BL180" i="36" s="1"/>
  <c r="BF180" i="36"/>
  <c r="BH180" i="36" s="1"/>
  <c r="BB180" i="36"/>
  <c r="BD180" i="36" s="1"/>
  <c r="AX180" i="36"/>
  <c r="AZ180" i="36" s="1"/>
  <c r="AT180" i="36"/>
  <c r="AV180" i="36" s="1"/>
  <c r="AR180" i="36"/>
  <c r="BJ179" i="36"/>
  <c r="BL179" i="36" s="1"/>
  <c r="BF179" i="36"/>
  <c r="BH179" i="36" s="1"/>
  <c r="BB179" i="36"/>
  <c r="BD179" i="36" s="1"/>
  <c r="AX179" i="36"/>
  <c r="AZ179" i="36" s="1"/>
  <c r="AT179" i="36"/>
  <c r="AV179" i="36" s="1"/>
  <c r="AR179" i="36"/>
  <c r="BJ178" i="36"/>
  <c r="BL178" i="36" s="1"/>
  <c r="BF178" i="36"/>
  <c r="BH178" i="36" s="1"/>
  <c r="BB178" i="36"/>
  <c r="BD178" i="36" s="1"/>
  <c r="AX178" i="36"/>
  <c r="AZ178" i="36" s="1"/>
  <c r="AT178" i="36"/>
  <c r="AV178" i="36" s="1"/>
  <c r="AR178" i="36"/>
  <c r="BJ177" i="36"/>
  <c r="BL177" i="36" s="1"/>
  <c r="BF177" i="36"/>
  <c r="BH177" i="36" s="1"/>
  <c r="BB177" i="36"/>
  <c r="BD177" i="36" s="1"/>
  <c r="AX177" i="36"/>
  <c r="AZ177" i="36" s="1"/>
  <c r="AT177" i="36"/>
  <c r="AV177" i="36" s="1"/>
  <c r="AR177" i="36"/>
  <c r="BJ176" i="36"/>
  <c r="BL176" i="36" s="1"/>
  <c r="BF176" i="36"/>
  <c r="BH176" i="36" s="1"/>
  <c r="BB176" i="36"/>
  <c r="BD176" i="36" s="1"/>
  <c r="AX176" i="36"/>
  <c r="AZ176" i="36" s="1"/>
  <c r="AT176" i="36"/>
  <c r="AV176" i="36" s="1"/>
  <c r="AR176" i="36"/>
  <c r="BJ175" i="36"/>
  <c r="BL175" i="36" s="1"/>
  <c r="BF175" i="36"/>
  <c r="BH175" i="36" s="1"/>
  <c r="BB175" i="36"/>
  <c r="BD175" i="36" s="1"/>
  <c r="AX175" i="36"/>
  <c r="AZ175" i="36" s="1"/>
  <c r="AT175" i="36"/>
  <c r="AV175" i="36" s="1"/>
  <c r="AR175" i="36"/>
  <c r="BJ174" i="36"/>
  <c r="BL174" i="36" s="1"/>
  <c r="BF174" i="36"/>
  <c r="BH174" i="36" s="1"/>
  <c r="BB174" i="36"/>
  <c r="BD174" i="36" s="1"/>
  <c r="AX174" i="36"/>
  <c r="AZ174" i="36" s="1"/>
  <c r="AT174" i="36"/>
  <c r="AV174" i="36" s="1"/>
  <c r="AR174" i="36"/>
  <c r="BJ173" i="36"/>
  <c r="BL173" i="36" s="1"/>
  <c r="BF173" i="36"/>
  <c r="BH173" i="36" s="1"/>
  <c r="BB173" i="36"/>
  <c r="BD173" i="36" s="1"/>
  <c r="AX173" i="36"/>
  <c r="AZ173" i="36" s="1"/>
  <c r="AT173" i="36"/>
  <c r="AV173" i="36" s="1"/>
  <c r="AR173" i="36"/>
  <c r="BJ172" i="36"/>
  <c r="BL172" i="36" s="1"/>
  <c r="BF172" i="36"/>
  <c r="BH172" i="36" s="1"/>
  <c r="BB172" i="36"/>
  <c r="BD172" i="36" s="1"/>
  <c r="AX172" i="36"/>
  <c r="AZ172" i="36" s="1"/>
  <c r="AT172" i="36"/>
  <c r="AV172" i="36" s="1"/>
  <c r="AR172" i="36"/>
  <c r="BJ171" i="36"/>
  <c r="BL171" i="36" s="1"/>
  <c r="BF171" i="36"/>
  <c r="BH171" i="36" s="1"/>
  <c r="BB171" i="36"/>
  <c r="BD171" i="36" s="1"/>
  <c r="AX171" i="36"/>
  <c r="AZ171" i="36" s="1"/>
  <c r="AT171" i="36"/>
  <c r="AV171" i="36" s="1"/>
  <c r="AR171" i="36"/>
  <c r="BJ170" i="36"/>
  <c r="BL170" i="36" s="1"/>
  <c r="BF170" i="36"/>
  <c r="BH170" i="36" s="1"/>
  <c r="BB170" i="36"/>
  <c r="BD170" i="36" s="1"/>
  <c r="AX170" i="36"/>
  <c r="AZ170" i="36" s="1"/>
  <c r="AT170" i="36"/>
  <c r="AV170" i="36" s="1"/>
  <c r="AR170" i="36"/>
  <c r="BJ169" i="36"/>
  <c r="BL169" i="36" s="1"/>
  <c r="BF169" i="36"/>
  <c r="BH169" i="36" s="1"/>
  <c r="BB169" i="36"/>
  <c r="BD169" i="36" s="1"/>
  <c r="AX169" i="36"/>
  <c r="AZ169" i="36" s="1"/>
  <c r="AT169" i="36"/>
  <c r="AV169" i="36" s="1"/>
  <c r="AR169" i="36"/>
  <c r="BJ168" i="36"/>
  <c r="BL168" i="36" s="1"/>
  <c r="BF168" i="36"/>
  <c r="BH168" i="36" s="1"/>
  <c r="BB168" i="36"/>
  <c r="BD168" i="36" s="1"/>
  <c r="AX168" i="36"/>
  <c r="AZ168" i="36" s="1"/>
  <c r="AT168" i="36"/>
  <c r="AV168" i="36" s="1"/>
  <c r="AR168" i="36"/>
  <c r="BJ167" i="36"/>
  <c r="BL167" i="36" s="1"/>
  <c r="BF167" i="36"/>
  <c r="BH167" i="36" s="1"/>
  <c r="BB167" i="36"/>
  <c r="BD167" i="36" s="1"/>
  <c r="AX167" i="36"/>
  <c r="AZ167" i="36" s="1"/>
  <c r="AT167" i="36"/>
  <c r="AV167" i="36" s="1"/>
  <c r="AR167" i="36"/>
  <c r="BJ166" i="36"/>
  <c r="BL166" i="36" s="1"/>
  <c r="BF166" i="36"/>
  <c r="BH166" i="36" s="1"/>
  <c r="BB166" i="36"/>
  <c r="BD166" i="36" s="1"/>
  <c r="AX166" i="36"/>
  <c r="AZ166" i="36" s="1"/>
  <c r="AT166" i="36"/>
  <c r="AV166" i="36" s="1"/>
  <c r="AR166" i="36"/>
  <c r="BJ165" i="36"/>
  <c r="BL165" i="36" s="1"/>
  <c r="BF165" i="36"/>
  <c r="BH165" i="36" s="1"/>
  <c r="BB165" i="36"/>
  <c r="BD165" i="36" s="1"/>
  <c r="AX165" i="36"/>
  <c r="AZ165" i="36" s="1"/>
  <c r="AT165" i="36"/>
  <c r="AV165" i="36" s="1"/>
  <c r="AR165" i="36"/>
  <c r="BJ164" i="36"/>
  <c r="BL164" i="36" s="1"/>
  <c r="BF164" i="36"/>
  <c r="BH164" i="36" s="1"/>
  <c r="BB164" i="36"/>
  <c r="BD164" i="36" s="1"/>
  <c r="AX164" i="36"/>
  <c r="AZ164" i="36" s="1"/>
  <c r="AT164" i="36"/>
  <c r="AV164" i="36" s="1"/>
  <c r="AR164" i="36"/>
  <c r="BJ163" i="36"/>
  <c r="BL163" i="36" s="1"/>
  <c r="BF163" i="36"/>
  <c r="BH163" i="36" s="1"/>
  <c r="BB163" i="36"/>
  <c r="BD163" i="36" s="1"/>
  <c r="AX163" i="36"/>
  <c r="AZ163" i="36" s="1"/>
  <c r="AT163" i="36"/>
  <c r="AV163" i="36" s="1"/>
  <c r="AR163" i="36"/>
  <c r="BJ162" i="36"/>
  <c r="BL162" i="36" s="1"/>
  <c r="BF162" i="36"/>
  <c r="BH162" i="36" s="1"/>
  <c r="BB162" i="36"/>
  <c r="BD162" i="36" s="1"/>
  <c r="AX162" i="36"/>
  <c r="AZ162" i="36" s="1"/>
  <c r="AT162" i="36"/>
  <c r="AV162" i="36" s="1"/>
  <c r="AR162" i="36"/>
  <c r="BJ161" i="36"/>
  <c r="BL161" i="36" s="1"/>
  <c r="BF161" i="36"/>
  <c r="BH161" i="36" s="1"/>
  <c r="BB161" i="36"/>
  <c r="BD161" i="36" s="1"/>
  <c r="AX161" i="36"/>
  <c r="AZ161" i="36" s="1"/>
  <c r="AT161" i="36"/>
  <c r="AV161" i="36" s="1"/>
  <c r="AR161" i="36"/>
  <c r="BJ160" i="36"/>
  <c r="BL160" i="36" s="1"/>
  <c r="BF160" i="36"/>
  <c r="BH160" i="36" s="1"/>
  <c r="BB160" i="36"/>
  <c r="BD160" i="36" s="1"/>
  <c r="AX160" i="36"/>
  <c r="AZ160" i="36" s="1"/>
  <c r="AT160" i="36"/>
  <c r="AV160" i="36" s="1"/>
  <c r="AR160" i="36"/>
  <c r="BJ159" i="36"/>
  <c r="BL159" i="36" s="1"/>
  <c r="BF159" i="36"/>
  <c r="BH159" i="36" s="1"/>
  <c r="BB159" i="36"/>
  <c r="BD159" i="36" s="1"/>
  <c r="AX159" i="36"/>
  <c r="AZ159" i="36" s="1"/>
  <c r="AT159" i="36"/>
  <c r="AV159" i="36" s="1"/>
  <c r="AR159" i="36"/>
  <c r="BJ158" i="36"/>
  <c r="BL158" i="36" s="1"/>
  <c r="BF158" i="36"/>
  <c r="BH158" i="36" s="1"/>
  <c r="BB158" i="36"/>
  <c r="BD158" i="36" s="1"/>
  <c r="AX158" i="36"/>
  <c r="AZ158" i="36" s="1"/>
  <c r="AT158" i="36"/>
  <c r="AV158" i="36" s="1"/>
  <c r="AR158" i="36"/>
  <c r="BJ157" i="36"/>
  <c r="BL157" i="36" s="1"/>
  <c r="BF157" i="36"/>
  <c r="BH157" i="36" s="1"/>
  <c r="BB157" i="36"/>
  <c r="BD157" i="36" s="1"/>
  <c r="AX157" i="36"/>
  <c r="AZ157" i="36" s="1"/>
  <c r="AT157" i="36"/>
  <c r="AV157" i="36" s="1"/>
  <c r="AR157" i="36"/>
  <c r="BJ156" i="36"/>
  <c r="BL156" i="36" s="1"/>
  <c r="BF156" i="36"/>
  <c r="BH156" i="36" s="1"/>
  <c r="BB156" i="36"/>
  <c r="BD156" i="36" s="1"/>
  <c r="AX156" i="36"/>
  <c r="AZ156" i="36" s="1"/>
  <c r="AT156" i="36"/>
  <c r="AV156" i="36" s="1"/>
  <c r="AR156" i="36"/>
  <c r="BJ155" i="36"/>
  <c r="BL155" i="36" s="1"/>
  <c r="BF155" i="36"/>
  <c r="BH155" i="36" s="1"/>
  <c r="BB155" i="36"/>
  <c r="BD155" i="36" s="1"/>
  <c r="AX155" i="36"/>
  <c r="AZ155" i="36" s="1"/>
  <c r="AT155" i="36"/>
  <c r="AV155" i="36" s="1"/>
  <c r="AR155" i="36"/>
  <c r="BJ154" i="36"/>
  <c r="BL154" i="36" s="1"/>
  <c r="BF154" i="36"/>
  <c r="BH154" i="36" s="1"/>
  <c r="BB154" i="36"/>
  <c r="BD154" i="36" s="1"/>
  <c r="AX154" i="36"/>
  <c r="AZ154" i="36" s="1"/>
  <c r="AT154" i="36"/>
  <c r="AV154" i="36" s="1"/>
  <c r="AR154" i="36"/>
  <c r="BJ153" i="36"/>
  <c r="BL153" i="36" s="1"/>
  <c r="BF153" i="36"/>
  <c r="BH153" i="36" s="1"/>
  <c r="BB153" i="36"/>
  <c r="BD153" i="36" s="1"/>
  <c r="AX153" i="36"/>
  <c r="AZ153" i="36" s="1"/>
  <c r="AT153" i="36"/>
  <c r="AV153" i="36" s="1"/>
  <c r="AR153" i="36"/>
  <c r="BJ152" i="36"/>
  <c r="BL152" i="36" s="1"/>
  <c r="BF152" i="36"/>
  <c r="BH152" i="36" s="1"/>
  <c r="BB152" i="36"/>
  <c r="BD152" i="36" s="1"/>
  <c r="AX152" i="36"/>
  <c r="AZ152" i="36" s="1"/>
  <c r="AT152" i="36"/>
  <c r="AV152" i="36" s="1"/>
  <c r="AR152" i="36"/>
  <c r="BJ151" i="36"/>
  <c r="BL151" i="36" s="1"/>
  <c r="BF151" i="36"/>
  <c r="BH151" i="36" s="1"/>
  <c r="BB151" i="36"/>
  <c r="BD151" i="36" s="1"/>
  <c r="AX151" i="36"/>
  <c r="AZ151" i="36" s="1"/>
  <c r="AT151" i="36"/>
  <c r="AV151" i="36" s="1"/>
  <c r="AR151" i="36"/>
  <c r="BJ150" i="36"/>
  <c r="BL150" i="36" s="1"/>
  <c r="BF150" i="36"/>
  <c r="BH150" i="36" s="1"/>
  <c r="BB150" i="36"/>
  <c r="BD150" i="36" s="1"/>
  <c r="AX150" i="36"/>
  <c r="AZ150" i="36" s="1"/>
  <c r="AT150" i="36"/>
  <c r="AV150" i="36" s="1"/>
  <c r="AR150" i="36"/>
  <c r="BJ149" i="36"/>
  <c r="BL149" i="36" s="1"/>
  <c r="BF149" i="36"/>
  <c r="BH149" i="36" s="1"/>
  <c r="BB149" i="36"/>
  <c r="BD149" i="36" s="1"/>
  <c r="AX149" i="36"/>
  <c r="AZ149" i="36" s="1"/>
  <c r="AT149" i="36"/>
  <c r="AV149" i="36" s="1"/>
  <c r="AR149" i="36"/>
  <c r="BJ148" i="36"/>
  <c r="BL148" i="36" s="1"/>
  <c r="BF148" i="36"/>
  <c r="BH148" i="36" s="1"/>
  <c r="BB148" i="36"/>
  <c r="BD148" i="36" s="1"/>
  <c r="AX148" i="36"/>
  <c r="AZ148" i="36" s="1"/>
  <c r="AT148" i="36"/>
  <c r="AV148" i="36" s="1"/>
  <c r="AR148" i="36"/>
  <c r="BJ147" i="36"/>
  <c r="BL147" i="36" s="1"/>
  <c r="BF147" i="36"/>
  <c r="BH147" i="36" s="1"/>
  <c r="BB147" i="36"/>
  <c r="BD147" i="36" s="1"/>
  <c r="AX147" i="36"/>
  <c r="AZ147" i="36" s="1"/>
  <c r="AT147" i="36"/>
  <c r="AV147" i="36" s="1"/>
  <c r="AR147" i="36"/>
  <c r="BJ146" i="36"/>
  <c r="BL146" i="36" s="1"/>
  <c r="BF146" i="36"/>
  <c r="BH146" i="36" s="1"/>
  <c r="BB146" i="36"/>
  <c r="BD146" i="36" s="1"/>
  <c r="AX146" i="36"/>
  <c r="AZ146" i="36" s="1"/>
  <c r="AT146" i="36"/>
  <c r="AV146" i="36" s="1"/>
  <c r="AR146" i="36"/>
  <c r="BJ145" i="36"/>
  <c r="BL145" i="36" s="1"/>
  <c r="BF145" i="36"/>
  <c r="BH145" i="36" s="1"/>
  <c r="BB145" i="36"/>
  <c r="BD145" i="36" s="1"/>
  <c r="AX145" i="36"/>
  <c r="AZ145" i="36" s="1"/>
  <c r="AT145" i="36"/>
  <c r="AV145" i="36" s="1"/>
  <c r="AR145" i="36"/>
  <c r="BJ144" i="36"/>
  <c r="BL144" i="36" s="1"/>
  <c r="BF144" i="36"/>
  <c r="BH144" i="36" s="1"/>
  <c r="BB144" i="36"/>
  <c r="BD144" i="36" s="1"/>
  <c r="AX144" i="36"/>
  <c r="AZ144" i="36" s="1"/>
  <c r="AT144" i="36"/>
  <c r="AV144" i="36" s="1"/>
  <c r="AR144" i="36"/>
  <c r="BJ143" i="36"/>
  <c r="BL143" i="36" s="1"/>
  <c r="BF143" i="36"/>
  <c r="BH143" i="36" s="1"/>
  <c r="BB143" i="36"/>
  <c r="BD143" i="36" s="1"/>
  <c r="AX143" i="36"/>
  <c r="AZ143" i="36" s="1"/>
  <c r="AT143" i="36"/>
  <c r="AV143" i="36" s="1"/>
  <c r="AR143" i="36"/>
  <c r="BJ142" i="36"/>
  <c r="BL142" i="36" s="1"/>
  <c r="BF142" i="36"/>
  <c r="BH142" i="36" s="1"/>
  <c r="BB142" i="36"/>
  <c r="BD142" i="36" s="1"/>
  <c r="AX142" i="36"/>
  <c r="AZ142" i="36" s="1"/>
  <c r="AT142" i="36"/>
  <c r="AV142" i="36" s="1"/>
  <c r="AR142" i="36"/>
  <c r="BJ141" i="36"/>
  <c r="BL141" i="36" s="1"/>
  <c r="BF141" i="36"/>
  <c r="BH141" i="36" s="1"/>
  <c r="BB141" i="36"/>
  <c r="BD141" i="36" s="1"/>
  <c r="AX141" i="36"/>
  <c r="AZ141" i="36" s="1"/>
  <c r="AT141" i="36"/>
  <c r="AV141" i="36" s="1"/>
  <c r="AR141" i="36"/>
  <c r="BJ140" i="36"/>
  <c r="BL140" i="36" s="1"/>
  <c r="BF140" i="36"/>
  <c r="BH140" i="36" s="1"/>
  <c r="BB140" i="36"/>
  <c r="BD140" i="36" s="1"/>
  <c r="AX140" i="36"/>
  <c r="AZ140" i="36" s="1"/>
  <c r="AT140" i="36"/>
  <c r="AV140" i="36" s="1"/>
  <c r="AR140" i="36"/>
  <c r="BJ139" i="36"/>
  <c r="BL139" i="36" s="1"/>
  <c r="BF139" i="36"/>
  <c r="BH139" i="36" s="1"/>
  <c r="BB139" i="36"/>
  <c r="BD139" i="36" s="1"/>
  <c r="AX139" i="36"/>
  <c r="AZ139" i="36" s="1"/>
  <c r="AT139" i="36"/>
  <c r="AV139" i="36" s="1"/>
  <c r="AR139" i="36"/>
  <c r="BJ138" i="36"/>
  <c r="BL138" i="36" s="1"/>
  <c r="BF138" i="36"/>
  <c r="BH138" i="36" s="1"/>
  <c r="BB138" i="36"/>
  <c r="BD138" i="36" s="1"/>
  <c r="AX138" i="36"/>
  <c r="AZ138" i="36" s="1"/>
  <c r="AT138" i="36"/>
  <c r="AV138" i="36" s="1"/>
  <c r="AR138" i="36"/>
  <c r="BJ137" i="36"/>
  <c r="BL137" i="36" s="1"/>
  <c r="BF137" i="36"/>
  <c r="BH137" i="36" s="1"/>
  <c r="BB137" i="36"/>
  <c r="BD137" i="36" s="1"/>
  <c r="AX137" i="36"/>
  <c r="AZ137" i="36" s="1"/>
  <c r="AT137" i="36"/>
  <c r="AV137" i="36" s="1"/>
  <c r="AR137" i="36"/>
  <c r="BJ136" i="36"/>
  <c r="BL136" i="36" s="1"/>
  <c r="BF136" i="36"/>
  <c r="BH136" i="36" s="1"/>
  <c r="BB136" i="36"/>
  <c r="BD136" i="36" s="1"/>
  <c r="AX136" i="36"/>
  <c r="AZ136" i="36" s="1"/>
  <c r="AT136" i="36"/>
  <c r="AV136" i="36" s="1"/>
  <c r="AR136" i="36"/>
  <c r="BJ135" i="36"/>
  <c r="BL135" i="36" s="1"/>
  <c r="BF135" i="36"/>
  <c r="BH135" i="36" s="1"/>
  <c r="BB135" i="36"/>
  <c r="BD135" i="36" s="1"/>
  <c r="AX135" i="36"/>
  <c r="AZ135" i="36" s="1"/>
  <c r="AT135" i="36"/>
  <c r="AV135" i="36" s="1"/>
  <c r="AR135" i="36"/>
  <c r="BJ134" i="36"/>
  <c r="BL134" i="36" s="1"/>
  <c r="BF134" i="36"/>
  <c r="BH134" i="36" s="1"/>
  <c r="BB134" i="36"/>
  <c r="BD134" i="36" s="1"/>
  <c r="AX134" i="36"/>
  <c r="AZ134" i="36" s="1"/>
  <c r="AT134" i="36"/>
  <c r="AV134" i="36" s="1"/>
  <c r="AR134" i="36"/>
  <c r="BJ133" i="36"/>
  <c r="BL133" i="36" s="1"/>
  <c r="BF133" i="36"/>
  <c r="BH133" i="36" s="1"/>
  <c r="BB133" i="36"/>
  <c r="BD133" i="36" s="1"/>
  <c r="AX133" i="36"/>
  <c r="AZ133" i="36" s="1"/>
  <c r="AT133" i="36"/>
  <c r="AV133" i="36" s="1"/>
  <c r="AR133" i="36"/>
  <c r="BJ132" i="36"/>
  <c r="BL132" i="36" s="1"/>
  <c r="BF132" i="36"/>
  <c r="BH132" i="36" s="1"/>
  <c r="BB132" i="36"/>
  <c r="BD132" i="36" s="1"/>
  <c r="AX132" i="36"/>
  <c r="AZ132" i="36" s="1"/>
  <c r="AT132" i="36"/>
  <c r="AV132" i="36" s="1"/>
  <c r="AR132" i="36"/>
  <c r="BJ131" i="36"/>
  <c r="BL131" i="36" s="1"/>
  <c r="BF131" i="36"/>
  <c r="BH131" i="36" s="1"/>
  <c r="BB131" i="36"/>
  <c r="BD131" i="36" s="1"/>
  <c r="AX131" i="36"/>
  <c r="AZ131" i="36" s="1"/>
  <c r="AT131" i="36"/>
  <c r="AV131" i="36" s="1"/>
  <c r="AR131" i="36"/>
  <c r="BJ130" i="36"/>
  <c r="BL130" i="36" s="1"/>
  <c r="BF130" i="36"/>
  <c r="BH130" i="36" s="1"/>
  <c r="BB130" i="36"/>
  <c r="BD130" i="36" s="1"/>
  <c r="AX130" i="36"/>
  <c r="AZ130" i="36" s="1"/>
  <c r="AT130" i="36"/>
  <c r="AV130" i="36" s="1"/>
  <c r="AR130" i="36"/>
  <c r="BJ129" i="36"/>
  <c r="BL129" i="36" s="1"/>
  <c r="BF129" i="36"/>
  <c r="BH129" i="36" s="1"/>
  <c r="BB129" i="36"/>
  <c r="BD129" i="36" s="1"/>
  <c r="AX129" i="36"/>
  <c r="AZ129" i="36" s="1"/>
  <c r="AT129" i="36"/>
  <c r="AV129" i="36" s="1"/>
  <c r="AR129" i="36"/>
  <c r="BJ128" i="36"/>
  <c r="BL128" i="36" s="1"/>
  <c r="BF128" i="36"/>
  <c r="BH128" i="36" s="1"/>
  <c r="BB128" i="36"/>
  <c r="BD128" i="36" s="1"/>
  <c r="AX128" i="36"/>
  <c r="AZ128" i="36" s="1"/>
  <c r="AT128" i="36"/>
  <c r="AV128" i="36" s="1"/>
  <c r="AR128" i="36"/>
  <c r="BJ127" i="36"/>
  <c r="BL127" i="36" s="1"/>
  <c r="BF127" i="36"/>
  <c r="BH127" i="36" s="1"/>
  <c r="BB127" i="36"/>
  <c r="BD127" i="36" s="1"/>
  <c r="AX127" i="36"/>
  <c r="AZ127" i="36" s="1"/>
  <c r="AT127" i="36"/>
  <c r="AV127" i="36" s="1"/>
  <c r="AR127" i="36"/>
  <c r="BJ126" i="36"/>
  <c r="BL126" i="36" s="1"/>
  <c r="BF126" i="36"/>
  <c r="BH126" i="36" s="1"/>
  <c r="BB126" i="36"/>
  <c r="BD126" i="36" s="1"/>
  <c r="AX126" i="36"/>
  <c r="AZ126" i="36" s="1"/>
  <c r="AT126" i="36"/>
  <c r="AV126" i="36" s="1"/>
  <c r="AR126" i="36"/>
  <c r="BJ125" i="36"/>
  <c r="BL125" i="36" s="1"/>
  <c r="BF125" i="36"/>
  <c r="BH125" i="36" s="1"/>
  <c r="BB125" i="36"/>
  <c r="BD125" i="36" s="1"/>
  <c r="AX125" i="36"/>
  <c r="AZ125" i="36" s="1"/>
  <c r="AT125" i="36"/>
  <c r="AV125" i="36" s="1"/>
  <c r="AR125" i="36"/>
  <c r="BJ124" i="36"/>
  <c r="BL124" i="36" s="1"/>
  <c r="BF124" i="36"/>
  <c r="BH124" i="36" s="1"/>
  <c r="BB124" i="36"/>
  <c r="BD124" i="36" s="1"/>
  <c r="AX124" i="36"/>
  <c r="AZ124" i="36" s="1"/>
  <c r="AT124" i="36"/>
  <c r="AV124" i="36" s="1"/>
  <c r="AR124" i="36"/>
  <c r="BJ123" i="36"/>
  <c r="BL123" i="36" s="1"/>
  <c r="BF123" i="36"/>
  <c r="BH123" i="36" s="1"/>
  <c r="BB123" i="36"/>
  <c r="BD123" i="36" s="1"/>
  <c r="AX123" i="36"/>
  <c r="AZ123" i="36" s="1"/>
  <c r="AT123" i="36"/>
  <c r="AV123" i="36" s="1"/>
  <c r="AR123" i="36"/>
  <c r="BJ122" i="36"/>
  <c r="BL122" i="36" s="1"/>
  <c r="BF122" i="36"/>
  <c r="BH122" i="36" s="1"/>
  <c r="BB122" i="36"/>
  <c r="BD122" i="36" s="1"/>
  <c r="AX122" i="36"/>
  <c r="AZ122" i="36" s="1"/>
  <c r="AT122" i="36"/>
  <c r="AV122" i="36" s="1"/>
  <c r="AR122" i="36"/>
  <c r="BJ121" i="36"/>
  <c r="BL121" i="36" s="1"/>
  <c r="BF121" i="36"/>
  <c r="BH121" i="36" s="1"/>
  <c r="BB121" i="36"/>
  <c r="BD121" i="36" s="1"/>
  <c r="AX121" i="36"/>
  <c r="AZ121" i="36" s="1"/>
  <c r="AT121" i="36"/>
  <c r="AV121" i="36" s="1"/>
  <c r="AR121" i="36"/>
  <c r="BJ120" i="36"/>
  <c r="BL120" i="36" s="1"/>
  <c r="BF120" i="36"/>
  <c r="BH120" i="36" s="1"/>
  <c r="BB120" i="36"/>
  <c r="BD120" i="36" s="1"/>
  <c r="AX120" i="36"/>
  <c r="AZ120" i="36" s="1"/>
  <c r="AT120" i="36"/>
  <c r="AV120" i="36" s="1"/>
  <c r="AR120" i="36"/>
  <c r="BJ119" i="36"/>
  <c r="BL119" i="36" s="1"/>
  <c r="BF119" i="36"/>
  <c r="BH119" i="36" s="1"/>
  <c r="BB119" i="36"/>
  <c r="BD119" i="36" s="1"/>
  <c r="AX119" i="36"/>
  <c r="AZ119" i="36" s="1"/>
  <c r="AT119" i="36"/>
  <c r="AV119" i="36" s="1"/>
  <c r="AR119" i="36"/>
  <c r="BJ118" i="36"/>
  <c r="BL118" i="36" s="1"/>
  <c r="BF118" i="36"/>
  <c r="BH118" i="36" s="1"/>
  <c r="BB118" i="36"/>
  <c r="BD118" i="36" s="1"/>
  <c r="AX118" i="36"/>
  <c r="AZ118" i="36" s="1"/>
  <c r="AT118" i="36"/>
  <c r="AV118" i="36" s="1"/>
  <c r="AR118" i="36"/>
  <c r="BJ117" i="36"/>
  <c r="BL117" i="36" s="1"/>
  <c r="BF117" i="36"/>
  <c r="BH117" i="36" s="1"/>
  <c r="BB117" i="36"/>
  <c r="BD117" i="36" s="1"/>
  <c r="AX117" i="36"/>
  <c r="AZ117" i="36" s="1"/>
  <c r="AT117" i="36"/>
  <c r="AV117" i="36" s="1"/>
  <c r="AR117" i="36"/>
  <c r="BJ116" i="36"/>
  <c r="BL116" i="36" s="1"/>
  <c r="BF116" i="36"/>
  <c r="BH116" i="36" s="1"/>
  <c r="BB116" i="36"/>
  <c r="BD116" i="36" s="1"/>
  <c r="AX116" i="36"/>
  <c r="AZ116" i="36" s="1"/>
  <c r="AT116" i="36"/>
  <c r="AV116" i="36" s="1"/>
  <c r="AR116" i="36"/>
  <c r="BJ115" i="36"/>
  <c r="BL115" i="36" s="1"/>
  <c r="BF115" i="36"/>
  <c r="BH115" i="36" s="1"/>
  <c r="BB115" i="36"/>
  <c r="BD115" i="36" s="1"/>
  <c r="AX115" i="36"/>
  <c r="AZ115" i="36" s="1"/>
  <c r="AT115" i="36"/>
  <c r="AV115" i="36" s="1"/>
  <c r="AR115" i="36"/>
  <c r="BJ114" i="36"/>
  <c r="BL114" i="36" s="1"/>
  <c r="BF114" i="36"/>
  <c r="BH114" i="36" s="1"/>
  <c r="BB114" i="36"/>
  <c r="BD114" i="36" s="1"/>
  <c r="AX114" i="36"/>
  <c r="AZ114" i="36" s="1"/>
  <c r="AT114" i="36"/>
  <c r="AV114" i="36" s="1"/>
  <c r="AR114" i="36"/>
  <c r="BJ113" i="36"/>
  <c r="BL113" i="36" s="1"/>
  <c r="BF113" i="36"/>
  <c r="BH113" i="36" s="1"/>
  <c r="BB113" i="36"/>
  <c r="BD113" i="36" s="1"/>
  <c r="AX113" i="36"/>
  <c r="AZ113" i="36" s="1"/>
  <c r="AT113" i="36"/>
  <c r="AV113" i="36" s="1"/>
  <c r="AR113" i="36"/>
  <c r="BJ112" i="36"/>
  <c r="BL112" i="36" s="1"/>
  <c r="BF112" i="36"/>
  <c r="BH112" i="36" s="1"/>
  <c r="BB112" i="36"/>
  <c r="BD112" i="36" s="1"/>
  <c r="AX112" i="36"/>
  <c r="AZ112" i="36" s="1"/>
  <c r="AT112" i="36"/>
  <c r="AV112" i="36" s="1"/>
  <c r="AR112" i="36"/>
  <c r="BJ111" i="36"/>
  <c r="BL111" i="36" s="1"/>
  <c r="BF111" i="36"/>
  <c r="BH111" i="36" s="1"/>
  <c r="BB111" i="36"/>
  <c r="BD111" i="36" s="1"/>
  <c r="AX111" i="36"/>
  <c r="AZ111" i="36" s="1"/>
  <c r="AT111" i="36"/>
  <c r="AV111" i="36" s="1"/>
  <c r="AR111" i="36"/>
  <c r="BJ110" i="36"/>
  <c r="BL110" i="36" s="1"/>
  <c r="BF110" i="36"/>
  <c r="BH110" i="36" s="1"/>
  <c r="BB110" i="36"/>
  <c r="BD110" i="36" s="1"/>
  <c r="AX110" i="36"/>
  <c r="AZ110" i="36" s="1"/>
  <c r="AT110" i="36"/>
  <c r="AV110" i="36" s="1"/>
  <c r="AR110" i="36"/>
  <c r="BJ109" i="36"/>
  <c r="BL109" i="36" s="1"/>
  <c r="BF109" i="36"/>
  <c r="BH109" i="36" s="1"/>
  <c r="BB109" i="36"/>
  <c r="BD109" i="36" s="1"/>
  <c r="AX109" i="36"/>
  <c r="AZ109" i="36" s="1"/>
  <c r="AT109" i="36"/>
  <c r="AV109" i="36" s="1"/>
  <c r="AR109" i="36"/>
  <c r="BJ108" i="36"/>
  <c r="BL108" i="36" s="1"/>
  <c r="BF108" i="36"/>
  <c r="BH108" i="36" s="1"/>
  <c r="BB108" i="36"/>
  <c r="BD108" i="36" s="1"/>
  <c r="AX108" i="36"/>
  <c r="AZ108" i="36" s="1"/>
  <c r="AT108" i="36"/>
  <c r="AV108" i="36" s="1"/>
  <c r="AR108" i="36"/>
  <c r="BJ107" i="36"/>
  <c r="BL107" i="36" s="1"/>
  <c r="BF107" i="36"/>
  <c r="BH107" i="36" s="1"/>
  <c r="BB107" i="36"/>
  <c r="BD107" i="36" s="1"/>
  <c r="AX107" i="36"/>
  <c r="AZ107" i="36" s="1"/>
  <c r="AT107" i="36"/>
  <c r="AV107" i="36" s="1"/>
  <c r="AR107" i="36"/>
  <c r="BJ106" i="36"/>
  <c r="BL106" i="36" s="1"/>
  <c r="BF106" i="36"/>
  <c r="BH106" i="36" s="1"/>
  <c r="BB106" i="36"/>
  <c r="BD106" i="36" s="1"/>
  <c r="AX106" i="36"/>
  <c r="AZ106" i="36" s="1"/>
  <c r="AT106" i="36"/>
  <c r="AV106" i="36" s="1"/>
  <c r="AR106" i="36"/>
  <c r="BJ105" i="36"/>
  <c r="BL105" i="36" s="1"/>
  <c r="BF105" i="36"/>
  <c r="BH105" i="36" s="1"/>
  <c r="BB105" i="36"/>
  <c r="BD105" i="36" s="1"/>
  <c r="AX105" i="36"/>
  <c r="AZ105" i="36" s="1"/>
  <c r="AT105" i="36"/>
  <c r="AV105" i="36" s="1"/>
  <c r="AR105" i="36"/>
  <c r="BJ104" i="36"/>
  <c r="BL104" i="36" s="1"/>
  <c r="BF104" i="36"/>
  <c r="BH104" i="36" s="1"/>
  <c r="BB104" i="36"/>
  <c r="BD104" i="36" s="1"/>
  <c r="AX104" i="36"/>
  <c r="AZ104" i="36" s="1"/>
  <c r="AT104" i="36"/>
  <c r="AV104" i="36" s="1"/>
  <c r="AR104" i="36"/>
  <c r="BJ103" i="36"/>
  <c r="BL103" i="36" s="1"/>
  <c r="BF103" i="36"/>
  <c r="BH103" i="36" s="1"/>
  <c r="BB103" i="36"/>
  <c r="BD103" i="36" s="1"/>
  <c r="AX103" i="36"/>
  <c r="AZ103" i="36" s="1"/>
  <c r="AT103" i="36"/>
  <c r="AV103" i="36" s="1"/>
  <c r="AR103" i="36"/>
  <c r="BJ102" i="36"/>
  <c r="BL102" i="36" s="1"/>
  <c r="BF102" i="36"/>
  <c r="BH102" i="36" s="1"/>
  <c r="BB102" i="36"/>
  <c r="BD102" i="36" s="1"/>
  <c r="AX102" i="36"/>
  <c r="AZ102" i="36" s="1"/>
  <c r="AT102" i="36"/>
  <c r="AV102" i="36" s="1"/>
  <c r="AR102" i="36"/>
  <c r="BJ101" i="36"/>
  <c r="BL101" i="36" s="1"/>
  <c r="BF101" i="36"/>
  <c r="BH101" i="36" s="1"/>
  <c r="BB101" i="36"/>
  <c r="BD101" i="36" s="1"/>
  <c r="AX101" i="36"/>
  <c r="AZ101" i="36" s="1"/>
  <c r="AT101" i="36"/>
  <c r="AV101" i="36" s="1"/>
  <c r="AR101" i="36"/>
  <c r="BJ100" i="36"/>
  <c r="BL100" i="36" s="1"/>
  <c r="BF100" i="36"/>
  <c r="BH100" i="36" s="1"/>
  <c r="BB100" i="36"/>
  <c r="BD100" i="36" s="1"/>
  <c r="AX100" i="36"/>
  <c r="AZ100" i="36" s="1"/>
  <c r="AT100" i="36"/>
  <c r="AV100" i="36" s="1"/>
  <c r="AR100" i="36"/>
  <c r="BJ99" i="36"/>
  <c r="BL99" i="36" s="1"/>
  <c r="BF99" i="36"/>
  <c r="BH99" i="36" s="1"/>
  <c r="BB99" i="36"/>
  <c r="BD99" i="36" s="1"/>
  <c r="AX99" i="36"/>
  <c r="AZ99" i="36" s="1"/>
  <c r="AT99" i="36"/>
  <c r="AV99" i="36" s="1"/>
  <c r="AR99" i="36"/>
  <c r="BJ98" i="36"/>
  <c r="BL98" i="36" s="1"/>
  <c r="BF98" i="36"/>
  <c r="BH98" i="36" s="1"/>
  <c r="BB98" i="36"/>
  <c r="BD98" i="36" s="1"/>
  <c r="AX98" i="36"/>
  <c r="AZ98" i="36" s="1"/>
  <c r="AT98" i="36"/>
  <c r="AV98" i="36" s="1"/>
  <c r="AR98" i="36"/>
  <c r="BJ97" i="36"/>
  <c r="BL97" i="36" s="1"/>
  <c r="BF97" i="36"/>
  <c r="BH97" i="36" s="1"/>
  <c r="BB97" i="36"/>
  <c r="BD97" i="36" s="1"/>
  <c r="AX97" i="36"/>
  <c r="AZ97" i="36" s="1"/>
  <c r="AT97" i="36"/>
  <c r="AV97" i="36" s="1"/>
  <c r="AR97" i="36"/>
  <c r="BJ96" i="36"/>
  <c r="BL96" i="36" s="1"/>
  <c r="BF96" i="36"/>
  <c r="BH96" i="36" s="1"/>
  <c r="BB96" i="36"/>
  <c r="BD96" i="36" s="1"/>
  <c r="AX96" i="36"/>
  <c r="AZ96" i="36" s="1"/>
  <c r="AT96" i="36"/>
  <c r="AV96" i="36" s="1"/>
  <c r="AR96" i="36"/>
  <c r="BJ95" i="36"/>
  <c r="BL95" i="36" s="1"/>
  <c r="BF95" i="36"/>
  <c r="BH95" i="36" s="1"/>
  <c r="BB95" i="36"/>
  <c r="BD95" i="36" s="1"/>
  <c r="AX95" i="36"/>
  <c r="AZ95" i="36" s="1"/>
  <c r="AT95" i="36"/>
  <c r="AV95" i="36" s="1"/>
  <c r="AR95" i="36"/>
  <c r="BJ94" i="36"/>
  <c r="BL94" i="36" s="1"/>
  <c r="BF94" i="36"/>
  <c r="BH94" i="36" s="1"/>
  <c r="BB94" i="36"/>
  <c r="BD94" i="36" s="1"/>
  <c r="AX94" i="36"/>
  <c r="AZ94" i="36" s="1"/>
  <c r="AT94" i="36"/>
  <c r="AV94" i="36" s="1"/>
  <c r="AR94" i="36"/>
  <c r="BJ93" i="36"/>
  <c r="BL93" i="36" s="1"/>
  <c r="BF93" i="36"/>
  <c r="BH93" i="36" s="1"/>
  <c r="BB93" i="36"/>
  <c r="BD93" i="36" s="1"/>
  <c r="AX93" i="36"/>
  <c r="AZ93" i="36" s="1"/>
  <c r="AT93" i="36"/>
  <c r="AV93" i="36" s="1"/>
  <c r="AR93" i="36"/>
  <c r="BJ92" i="36"/>
  <c r="BL92" i="36" s="1"/>
  <c r="BF92" i="36"/>
  <c r="BH92" i="36" s="1"/>
  <c r="BB92" i="36"/>
  <c r="BD92" i="36" s="1"/>
  <c r="AX92" i="36"/>
  <c r="AZ92" i="36" s="1"/>
  <c r="AT92" i="36"/>
  <c r="AV92" i="36" s="1"/>
  <c r="AR92" i="36"/>
  <c r="BJ91" i="36"/>
  <c r="BL91" i="36" s="1"/>
  <c r="BF91" i="36"/>
  <c r="BH91" i="36" s="1"/>
  <c r="BB91" i="36"/>
  <c r="BD91" i="36" s="1"/>
  <c r="AX91" i="36"/>
  <c r="AZ91" i="36" s="1"/>
  <c r="AT91" i="36"/>
  <c r="AV91" i="36" s="1"/>
  <c r="AR91" i="36"/>
  <c r="BJ90" i="36"/>
  <c r="BL90" i="36" s="1"/>
  <c r="BF90" i="36"/>
  <c r="BH90" i="36" s="1"/>
  <c r="BB90" i="36"/>
  <c r="BD90" i="36" s="1"/>
  <c r="AX90" i="36"/>
  <c r="AZ90" i="36" s="1"/>
  <c r="AT90" i="36"/>
  <c r="AV90" i="36" s="1"/>
  <c r="AR90" i="36"/>
  <c r="BJ89" i="36"/>
  <c r="BL89" i="36" s="1"/>
  <c r="BF89" i="36"/>
  <c r="BH89" i="36" s="1"/>
  <c r="BB89" i="36"/>
  <c r="BD89" i="36" s="1"/>
  <c r="AX89" i="36"/>
  <c r="AZ89" i="36" s="1"/>
  <c r="AT89" i="36"/>
  <c r="AV89" i="36" s="1"/>
  <c r="AR89" i="36"/>
  <c r="BJ88" i="36"/>
  <c r="BL88" i="36" s="1"/>
  <c r="BF88" i="36"/>
  <c r="BH88" i="36" s="1"/>
  <c r="BB88" i="36"/>
  <c r="BD88" i="36" s="1"/>
  <c r="AX88" i="36"/>
  <c r="AZ88" i="36" s="1"/>
  <c r="AT88" i="36"/>
  <c r="AV88" i="36" s="1"/>
  <c r="AR88" i="36"/>
  <c r="BJ87" i="36"/>
  <c r="BL87" i="36" s="1"/>
  <c r="BF87" i="36"/>
  <c r="BH87" i="36" s="1"/>
  <c r="BB87" i="36"/>
  <c r="BD87" i="36" s="1"/>
  <c r="AX87" i="36"/>
  <c r="AZ87" i="36" s="1"/>
  <c r="AT87" i="36"/>
  <c r="AV87" i="36" s="1"/>
  <c r="AR87" i="36"/>
  <c r="BJ86" i="36"/>
  <c r="BL86" i="36" s="1"/>
  <c r="BF86" i="36"/>
  <c r="BH86" i="36" s="1"/>
  <c r="BB86" i="36"/>
  <c r="BD86" i="36" s="1"/>
  <c r="AX86" i="36"/>
  <c r="AZ86" i="36" s="1"/>
  <c r="AT86" i="36"/>
  <c r="AV86" i="36" s="1"/>
  <c r="AR86" i="36"/>
  <c r="BJ85" i="36"/>
  <c r="BL85" i="36" s="1"/>
  <c r="BF85" i="36"/>
  <c r="BH85" i="36" s="1"/>
  <c r="BB85" i="36"/>
  <c r="BD85" i="36" s="1"/>
  <c r="AX85" i="36"/>
  <c r="AZ85" i="36" s="1"/>
  <c r="AT85" i="36"/>
  <c r="AV85" i="36" s="1"/>
  <c r="AR85" i="36"/>
  <c r="BJ84" i="36"/>
  <c r="BL84" i="36" s="1"/>
  <c r="BF84" i="36"/>
  <c r="BH84" i="36" s="1"/>
  <c r="BB84" i="36"/>
  <c r="BD84" i="36" s="1"/>
  <c r="AX84" i="36"/>
  <c r="AZ84" i="36" s="1"/>
  <c r="AT84" i="36"/>
  <c r="AV84" i="36" s="1"/>
  <c r="AR84" i="36"/>
  <c r="BJ83" i="36"/>
  <c r="BL83" i="36" s="1"/>
  <c r="BF83" i="36"/>
  <c r="BH83" i="36" s="1"/>
  <c r="BB83" i="36"/>
  <c r="BD83" i="36" s="1"/>
  <c r="AX83" i="36"/>
  <c r="AZ83" i="36" s="1"/>
  <c r="AT83" i="36"/>
  <c r="AV83" i="36" s="1"/>
  <c r="AR83" i="36"/>
  <c r="BJ82" i="36"/>
  <c r="BL82" i="36" s="1"/>
  <c r="BF82" i="36"/>
  <c r="BH82" i="36" s="1"/>
  <c r="BB82" i="36"/>
  <c r="BD82" i="36" s="1"/>
  <c r="AX82" i="36"/>
  <c r="AZ82" i="36" s="1"/>
  <c r="AT82" i="36"/>
  <c r="AV82" i="36" s="1"/>
  <c r="AR82" i="36"/>
  <c r="BJ81" i="36"/>
  <c r="BL81" i="36" s="1"/>
  <c r="BF81" i="36"/>
  <c r="BH81" i="36" s="1"/>
  <c r="BB81" i="36"/>
  <c r="BD81" i="36" s="1"/>
  <c r="AX81" i="36"/>
  <c r="AZ81" i="36" s="1"/>
  <c r="AT81" i="36"/>
  <c r="AV81" i="36" s="1"/>
  <c r="AR81" i="36"/>
  <c r="BJ80" i="36"/>
  <c r="BL80" i="36" s="1"/>
  <c r="BF80" i="36"/>
  <c r="BH80" i="36" s="1"/>
  <c r="BB80" i="36"/>
  <c r="BD80" i="36" s="1"/>
  <c r="AX80" i="36"/>
  <c r="AZ80" i="36" s="1"/>
  <c r="AT80" i="36"/>
  <c r="AV80" i="36" s="1"/>
  <c r="AR80" i="36"/>
  <c r="BJ79" i="36"/>
  <c r="BL79" i="36" s="1"/>
  <c r="BF79" i="36"/>
  <c r="BH79" i="36" s="1"/>
  <c r="BB79" i="36"/>
  <c r="BD79" i="36" s="1"/>
  <c r="AX79" i="36"/>
  <c r="AZ79" i="36" s="1"/>
  <c r="AT79" i="36"/>
  <c r="AV79" i="36" s="1"/>
  <c r="AR79" i="36"/>
  <c r="BJ78" i="36"/>
  <c r="BL78" i="36" s="1"/>
  <c r="BF78" i="36"/>
  <c r="BH78" i="36" s="1"/>
  <c r="BB78" i="36"/>
  <c r="BD78" i="36" s="1"/>
  <c r="AX78" i="36"/>
  <c r="AZ78" i="36" s="1"/>
  <c r="AT78" i="36"/>
  <c r="AV78" i="36" s="1"/>
  <c r="AR78" i="36"/>
  <c r="BJ77" i="36"/>
  <c r="BL77" i="36" s="1"/>
  <c r="BF77" i="36"/>
  <c r="BH77" i="36" s="1"/>
  <c r="BB77" i="36"/>
  <c r="BD77" i="36" s="1"/>
  <c r="AX77" i="36"/>
  <c r="AZ77" i="36" s="1"/>
  <c r="AT77" i="36"/>
  <c r="AV77" i="36" s="1"/>
  <c r="AR77" i="36"/>
  <c r="BJ76" i="36"/>
  <c r="BL76" i="36" s="1"/>
  <c r="BF76" i="36"/>
  <c r="BH76" i="36" s="1"/>
  <c r="BB76" i="36"/>
  <c r="BD76" i="36" s="1"/>
  <c r="AX76" i="36"/>
  <c r="AZ76" i="36" s="1"/>
  <c r="AT76" i="36"/>
  <c r="AV76" i="36" s="1"/>
  <c r="AR76" i="36"/>
  <c r="BJ75" i="36"/>
  <c r="BL75" i="36" s="1"/>
  <c r="BF75" i="36"/>
  <c r="BH75" i="36" s="1"/>
  <c r="BB75" i="36"/>
  <c r="BD75" i="36" s="1"/>
  <c r="AX75" i="36"/>
  <c r="AZ75" i="36" s="1"/>
  <c r="AT75" i="36"/>
  <c r="AV75" i="36" s="1"/>
  <c r="AR75" i="36"/>
  <c r="BJ74" i="36"/>
  <c r="BL74" i="36" s="1"/>
  <c r="BF74" i="36"/>
  <c r="BH74" i="36" s="1"/>
  <c r="BB74" i="36"/>
  <c r="BD74" i="36" s="1"/>
  <c r="AX74" i="36"/>
  <c r="AZ74" i="36" s="1"/>
  <c r="AT74" i="36"/>
  <c r="AV74" i="36" s="1"/>
  <c r="AR74" i="36"/>
  <c r="BJ73" i="36"/>
  <c r="BL73" i="36" s="1"/>
  <c r="BF73" i="36"/>
  <c r="BH73" i="36" s="1"/>
  <c r="BB73" i="36"/>
  <c r="BD73" i="36" s="1"/>
  <c r="AX73" i="36"/>
  <c r="AZ73" i="36" s="1"/>
  <c r="AT73" i="36"/>
  <c r="AV73" i="36" s="1"/>
  <c r="AR73" i="36"/>
  <c r="BJ72" i="36"/>
  <c r="BL72" i="36" s="1"/>
  <c r="BF72" i="36"/>
  <c r="BH72" i="36" s="1"/>
  <c r="BB72" i="36"/>
  <c r="BD72" i="36" s="1"/>
  <c r="AX72" i="36"/>
  <c r="AZ72" i="36" s="1"/>
  <c r="AT72" i="36"/>
  <c r="AV72" i="36" s="1"/>
  <c r="AR72" i="36"/>
  <c r="BJ71" i="36"/>
  <c r="BL71" i="36" s="1"/>
  <c r="BF71" i="36"/>
  <c r="BH71" i="36" s="1"/>
  <c r="BB71" i="36"/>
  <c r="BD71" i="36" s="1"/>
  <c r="AX71" i="36"/>
  <c r="AZ71" i="36" s="1"/>
  <c r="AT71" i="36"/>
  <c r="AV71" i="36" s="1"/>
  <c r="AR71" i="36"/>
  <c r="BJ70" i="36"/>
  <c r="BL70" i="36" s="1"/>
  <c r="BF70" i="36"/>
  <c r="BH70" i="36" s="1"/>
  <c r="BB70" i="36"/>
  <c r="BD70" i="36" s="1"/>
  <c r="AX70" i="36"/>
  <c r="AZ70" i="36" s="1"/>
  <c r="AT70" i="36"/>
  <c r="AV70" i="36" s="1"/>
  <c r="AR70" i="36"/>
  <c r="BJ69" i="36"/>
  <c r="BL69" i="36" s="1"/>
  <c r="BF69" i="36"/>
  <c r="BH69" i="36" s="1"/>
  <c r="BB69" i="36"/>
  <c r="BD69" i="36" s="1"/>
  <c r="AX69" i="36"/>
  <c r="AZ69" i="36" s="1"/>
  <c r="AT69" i="36"/>
  <c r="AV69" i="36" s="1"/>
  <c r="AR69" i="36"/>
  <c r="BJ68" i="36"/>
  <c r="BL68" i="36" s="1"/>
  <c r="BF68" i="36"/>
  <c r="BH68" i="36" s="1"/>
  <c r="BB68" i="36"/>
  <c r="BD68" i="36" s="1"/>
  <c r="AX68" i="36"/>
  <c r="AZ68" i="36" s="1"/>
  <c r="AT68" i="36"/>
  <c r="AV68" i="36" s="1"/>
  <c r="AR68" i="36"/>
  <c r="BJ67" i="36"/>
  <c r="BL67" i="36" s="1"/>
  <c r="BF67" i="36"/>
  <c r="BH67" i="36" s="1"/>
  <c r="BB67" i="36"/>
  <c r="BD67" i="36" s="1"/>
  <c r="AX67" i="36"/>
  <c r="AZ67" i="36" s="1"/>
  <c r="AT67" i="36"/>
  <c r="AV67" i="36" s="1"/>
  <c r="AR67" i="36"/>
  <c r="BJ66" i="36"/>
  <c r="BL66" i="36" s="1"/>
  <c r="BF66" i="36"/>
  <c r="BH66" i="36" s="1"/>
  <c r="BB66" i="36"/>
  <c r="BD66" i="36" s="1"/>
  <c r="AX66" i="36"/>
  <c r="AZ66" i="36" s="1"/>
  <c r="AT66" i="36"/>
  <c r="AV66" i="36" s="1"/>
  <c r="AR66" i="36"/>
  <c r="BJ65" i="36"/>
  <c r="BL65" i="36" s="1"/>
  <c r="BF65" i="36"/>
  <c r="BH65" i="36" s="1"/>
  <c r="BB65" i="36"/>
  <c r="BD65" i="36" s="1"/>
  <c r="AX65" i="36"/>
  <c r="AZ65" i="36" s="1"/>
  <c r="AT65" i="36"/>
  <c r="AV65" i="36" s="1"/>
  <c r="AR65" i="36"/>
  <c r="BJ64" i="36"/>
  <c r="BL64" i="36" s="1"/>
  <c r="BF64" i="36"/>
  <c r="BH64" i="36" s="1"/>
  <c r="BB64" i="36"/>
  <c r="BD64" i="36" s="1"/>
  <c r="AX64" i="36"/>
  <c r="AZ64" i="36" s="1"/>
  <c r="AT64" i="36"/>
  <c r="AV64" i="36" s="1"/>
  <c r="AR64" i="36"/>
  <c r="BJ63" i="36"/>
  <c r="BL63" i="36" s="1"/>
  <c r="BF63" i="36"/>
  <c r="BH63" i="36" s="1"/>
  <c r="BB63" i="36"/>
  <c r="BD63" i="36" s="1"/>
  <c r="AX63" i="36"/>
  <c r="AZ63" i="36" s="1"/>
  <c r="AT63" i="36"/>
  <c r="AV63" i="36" s="1"/>
  <c r="AR63" i="36"/>
  <c r="BJ62" i="36"/>
  <c r="BL62" i="36" s="1"/>
  <c r="BF62" i="36"/>
  <c r="BH62" i="36" s="1"/>
  <c r="BB62" i="36"/>
  <c r="BD62" i="36" s="1"/>
  <c r="AX62" i="36"/>
  <c r="AZ62" i="36" s="1"/>
  <c r="AT62" i="36"/>
  <c r="AV62" i="36" s="1"/>
  <c r="AR62" i="36"/>
  <c r="BJ61" i="36"/>
  <c r="BL61" i="36" s="1"/>
  <c r="BF61" i="36"/>
  <c r="BH61" i="36" s="1"/>
  <c r="BB61" i="36"/>
  <c r="BD61" i="36" s="1"/>
  <c r="AX61" i="36"/>
  <c r="AZ61" i="36" s="1"/>
  <c r="AT61" i="36"/>
  <c r="AV61" i="36" s="1"/>
  <c r="AR61" i="36"/>
  <c r="BJ60" i="36"/>
  <c r="BL60" i="36" s="1"/>
  <c r="BF60" i="36"/>
  <c r="BH60" i="36" s="1"/>
  <c r="BB60" i="36"/>
  <c r="BD60" i="36" s="1"/>
  <c r="AX60" i="36"/>
  <c r="AZ60" i="36" s="1"/>
  <c r="AT60" i="36"/>
  <c r="AV60" i="36" s="1"/>
  <c r="AR60" i="36"/>
  <c r="BJ59" i="36"/>
  <c r="BL59" i="36" s="1"/>
  <c r="BF59" i="36"/>
  <c r="BH59" i="36" s="1"/>
  <c r="BB59" i="36"/>
  <c r="BD59" i="36" s="1"/>
  <c r="AX59" i="36"/>
  <c r="AZ59" i="36" s="1"/>
  <c r="AT59" i="36"/>
  <c r="AV59" i="36" s="1"/>
  <c r="AR59" i="36"/>
  <c r="BJ58" i="36"/>
  <c r="BL58" i="36" s="1"/>
  <c r="BF58" i="36"/>
  <c r="BH58" i="36" s="1"/>
  <c r="BB58" i="36"/>
  <c r="BD58" i="36" s="1"/>
  <c r="AX58" i="36"/>
  <c r="AZ58" i="36" s="1"/>
  <c r="AT58" i="36"/>
  <c r="AV58" i="36" s="1"/>
  <c r="AR58" i="36"/>
  <c r="BJ57" i="36"/>
  <c r="BL57" i="36" s="1"/>
  <c r="BF57" i="36"/>
  <c r="BH57" i="36" s="1"/>
  <c r="BB57" i="36"/>
  <c r="BD57" i="36" s="1"/>
  <c r="AX57" i="36"/>
  <c r="AZ57" i="36" s="1"/>
  <c r="AT57" i="36"/>
  <c r="AV57" i="36" s="1"/>
  <c r="AR57" i="36"/>
  <c r="BJ56" i="36"/>
  <c r="BL56" i="36" s="1"/>
  <c r="BF56" i="36"/>
  <c r="BH56" i="36" s="1"/>
  <c r="BB56" i="36"/>
  <c r="BD56" i="36" s="1"/>
  <c r="AX56" i="36"/>
  <c r="AZ56" i="36" s="1"/>
  <c r="AT56" i="36"/>
  <c r="AV56" i="36" s="1"/>
  <c r="AR56" i="36"/>
  <c r="BJ55" i="36"/>
  <c r="BL55" i="36" s="1"/>
  <c r="BF55" i="36"/>
  <c r="BH55" i="36" s="1"/>
  <c r="BB55" i="36"/>
  <c r="BD55" i="36" s="1"/>
  <c r="AX55" i="36"/>
  <c r="AZ55" i="36" s="1"/>
  <c r="AT55" i="36"/>
  <c r="AV55" i="36" s="1"/>
  <c r="AR55" i="36"/>
  <c r="BJ54" i="36"/>
  <c r="BL54" i="36" s="1"/>
  <c r="BF54" i="36"/>
  <c r="BH54" i="36" s="1"/>
  <c r="BB54" i="36"/>
  <c r="BD54" i="36" s="1"/>
  <c r="AX54" i="36"/>
  <c r="AZ54" i="36" s="1"/>
  <c r="AT54" i="36"/>
  <c r="AV54" i="36" s="1"/>
  <c r="AR54" i="36"/>
  <c r="BJ53" i="36"/>
  <c r="BL53" i="36" s="1"/>
  <c r="BF53" i="36"/>
  <c r="BH53" i="36" s="1"/>
  <c r="BB53" i="36"/>
  <c r="BD53" i="36" s="1"/>
  <c r="AX53" i="36"/>
  <c r="AZ53" i="36" s="1"/>
  <c r="AT53" i="36"/>
  <c r="AV53" i="36" s="1"/>
  <c r="AR53" i="36"/>
  <c r="BJ52" i="36"/>
  <c r="BL52" i="36" s="1"/>
  <c r="BF52" i="36"/>
  <c r="BH52" i="36" s="1"/>
  <c r="BB52" i="36"/>
  <c r="BD52" i="36" s="1"/>
  <c r="AX52" i="36"/>
  <c r="AZ52" i="36" s="1"/>
  <c r="AT52" i="36"/>
  <c r="AV52" i="36" s="1"/>
  <c r="AR52" i="36"/>
  <c r="BJ51" i="36"/>
  <c r="BL51" i="36" s="1"/>
  <c r="BF51" i="36"/>
  <c r="BH51" i="36" s="1"/>
  <c r="BB51" i="36"/>
  <c r="BD51" i="36" s="1"/>
  <c r="AX51" i="36"/>
  <c r="AZ51" i="36" s="1"/>
  <c r="AT51" i="36"/>
  <c r="AV51" i="36" s="1"/>
  <c r="AR51" i="36"/>
  <c r="BJ50" i="36"/>
  <c r="BL50" i="36" s="1"/>
  <c r="BF50" i="36"/>
  <c r="BH50" i="36" s="1"/>
  <c r="BB50" i="36"/>
  <c r="BD50" i="36" s="1"/>
  <c r="AX50" i="36"/>
  <c r="AZ50" i="36" s="1"/>
  <c r="AT50" i="36"/>
  <c r="AV50" i="36" s="1"/>
  <c r="AR50" i="36"/>
  <c r="BJ49" i="36"/>
  <c r="BL49" i="36" s="1"/>
  <c r="BF49" i="36"/>
  <c r="BH49" i="36" s="1"/>
  <c r="BB49" i="36"/>
  <c r="BD49" i="36" s="1"/>
  <c r="AX49" i="36"/>
  <c r="AZ49" i="36" s="1"/>
  <c r="AT49" i="36"/>
  <c r="AV49" i="36" s="1"/>
  <c r="AR49" i="36"/>
  <c r="BJ48" i="36"/>
  <c r="BL48" i="36" s="1"/>
  <c r="BF48" i="36"/>
  <c r="BH48" i="36" s="1"/>
  <c r="BB48" i="36"/>
  <c r="BD48" i="36" s="1"/>
  <c r="AX48" i="36"/>
  <c r="AZ48" i="36" s="1"/>
  <c r="AT48" i="36"/>
  <c r="AV48" i="36" s="1"/>
  <c r="AR48" i="36"/>
  <c r="BJ47" i="36"/>
  <c r="BL47" i="36" s="1"/>
  <c r="BF47" i="36"/>
  <c r="BH47" i="36" s="1"/>
  <c r="BB47" i="36"/>
  <c r="BD47" i="36" s="1"/>
  <c r="AX47" i="36"/>
  <c r="AZ47" i="36" s="1"/>
  <c r="AT47" i="36"/>
  <c r="AV47" i="36" s="1"/>
  <c r="AR47" i="36"/>
  <c r="BJ46" i="36"/>
  <c r="BL46" i="36" s="1"/>
  <c r="BF46" i="36"/>
  <c r="BH46" i="36" s="1"/>
  <c r="BB46" i="36"/>
  <c r="BD46" i="36" s="1"/>
  <c r="AX46" i="36"/>
  <c r="AZ46" i="36" s="1"/>
  <c r="AT46" i="36"/>
  <c r="AV46" i="36" s="1"/>
  <c r="AR46" i="36"/>
  <c r="BJ45" i="36"/>
  <c r="BL45" i="36" s="1"/>
  <c r="BF45" i="36"/>
  <c r="BH45" i="36" s="1"/>
  <c r="BB45" i="36"/>
  <c r="BD45" i="36" s="1"/>
  <c r="AX45" i="36"/>
  <c r="AZ45" i="36" s="1"/>
  <c r="AT45" i="36"/>
  <c r="AV45" i="36" s="1"/>
  <c r="AR45" i="36"/>
  <c r="BJ44" i="36"/>
  <c r="BL44" i="36" s="1"/>
  <c r="BF44" i="36"/>
  <c r="BH44" i="36" s="1"/>
  <c r="BB44" i="36"/>
  <c r="BD44" i="36" s="1"/>
  <c r="AX44" i="36"/>
  <c r="AZ44" i="36" s="1"/>
  <c r="AT44" i="36"/>
  <c r="AV44" i="36" s="1"/>
  <c r="AR44" i="36"/>
  <c r="BJ43" i="36"/>
  <c r="BL43" i="36" s="1"/>
  <c r="BF43" i="36"/>
  <c r="BH43" i="36" s="1"/>
  <c r="BB43" i="36"/>
  <c r="BD43" i="36" s="1"/>
  <c r="AX43" i="36"/>
  <c r="AZ43" i="36" s="1"/>
  <c r="AT43" i="36"/>
  <c r="AV43" i="36" s="1"/>
  <c r="AR43" i="36"/>
  <c r="BJ42" i="36"/>
  <c r="BL42" i="36" s="1"/>
  <c r="BF42" i="36"/>
  <c r="BH42" i="36" s="1"/>
  <c r="BB42" i="36"/>
  <c r="BD42" i="36" s="1"/>
  <c r="AX42" i="36"/>
  <c r="AZ42" i="36" s="1"/>
  <c r="AT42" i="36"/>
  <c r="AV42" i="36" s="1"/>
  <c r="AR42" i="36"/>
  <c r="BJ41" i="36"/>
  <c r="BL41" i="36" s="1"/>
  <c r="BF41" i="36"/>
  <c r="BH41" i="36" s="1"/>
  <c r="BB41" i="36"/>
  <c r="BD41" i="36" s="1"/>
  <c r="AX41" i="36"/>
  <c r="AZ41" i="36" s="1"/>
  <c r="AT41" i="36"/>
  <c r="AV41" i="36" s="1"/>
  <c r="AR41" i="36"/>
  <c r="BJ40" i="36"/>
  <c r="BL40" i="36" s="1"/>
  <c r="BF40" i="36"/>
  <c r="BH40" i="36" s="1"/>
  <c r="BB40" i="36"/>
  <c r="BD40" i="36" s="1"/>
  <c r="AX40" i="36"/>
  <c r="AZ40" i="36" s="1"/>
  <c r="AT40" i="36"/>
  <c r="AV40" i="36" s="1"/>
  <c r="AR40" i="36"/>
  <c r="BJ39" i="36"/>
  <c r="BL39" i="36" s="1"/>
  <c r="BF39" i="36"/>
  <c r="BH39" i="36" s="1"/>
  <c r="BB39" i="36"/>
  <c r="BD39" i="36" s="1"/>
  <c r="AX39" i="36"/>
  <c r="AZ39" i="36" s="1"/>
  <c r="AT39" i="36"/>
  <c r="AV39" i="36" s="1"/>
  <c r="AR39" i="36"/>
  <c r="BJ38" i="36"/>
  <c r="BL38" i="36" s="1"/>
  <c r="BF38" i="36"/>
  <c r="BH38" i="36" s="1"/>
  <c r="BB38" i="36"/>
  <c r="BD38" i="36" s="1"/>
  <c r="AX38" i="36"/>
  <c r="AZ38" i="36" s="1"/>
  <c r="AT38" i="36"/>
  <c r="AV38" i="36" s="1"/>
  <c r="AR38" i="36"/>
  <c r="BJ37" i="36"/>
  <c r="BL37" i="36" s="1"/>
  <c r="BF37" i="36"/>
  <c r="BH37" i="36" s="1"/>
  <c r="BB37" i="36"/>
  <c r="BD37" i="36" s="1"/>
  <c r="AX37" i="36"/>
  <c r="AZ37" i="36" s="1"/>
  <c r="AT37" i="36"/>
  <c r="AV37" i="36" s="1"/>
  <c r="AR37" i="36"/>
  <c r="BJ36" i="36"/>
  <c r="BL36" i="36" s="1"/>
  <c r="BF36" i="36"/>
  <c r="BH36" i="36" s="1"/>
  <c r="BB36" i="36"/>
  <c r="BD36" i="36" s="1"/>
  <c r="AX36" i="36"/>
  <c r="AZ36" i="36" s="1"/>
  <c r="AT36" i="36"/>
  <c r="AV36" i="36" s="1"/>
  <c r="AR36" i="36"/>
  <c r="BJ35" i="36"/>
  <c r="BL35" i="36" s="1"/>
  <c r="BF35" i="36"/>
  <c r="BH35" i="36" s="1"/>
  <c r="BB35" i="36"/>
  <c r="BD35" i="36" s="1"/>
  <c r="AX35" i="36"/>
  <c r="AZ35" i="36" s="1"/>
  <c r="AT35" i="36"/>
  <c r="AV35" i="36" s="1"/>
  <c r="AR35" i="36"/>
  <c r="BJ34" i="36"/>
  <c r="BL34" i="36" s="1"/>
  <c r="BF34" i="36"/>
  <c r="BH34" i="36" s="1"/>
  <c r="BB34" i="36"/>
  <c r="BD34" i="36" s="1"/>
  <c r="AX34" i="36"/>
  <c r="AZ34" i="36" s="1"/>
  <c r="AT34" i="36"/>
  <c r="AV34" i="36" s="1"/>
  <c r="AR34" i="36"/>
  <c r="BJ33" i="36"/>
  <c r="BL33" i="36" s="1"/>
  <c r="BF33" i="36"/>
  <c r="BH33" i="36" s="1"/>
  <c r="BB33" i="36"/>
  <c r="BD33" i="36" s="1"/>
  <c r="AX33" i="36"/>
  <c r="AZ33" i="36" s="1"/>
  <c r="AT33" i="36"/>
  <c r="AV33" i="36" s="1"/>
  <c r="AR33" i="36"/>
  <c r="BJ32" i="36"/>
  <c r="BL32" i="36" s="1"/>
  <c r="BF32" i="36"/>
  <c r="BH32" i="36" s="1"/>
  <c r="BB32" i="36"/>
  <c r="BD32" i="36" s="1"/>
  <c r="AX32" i="36"/>
  <c r="AZ32" i="36" s="1"/>
  <c r="AT32" i="36"/>
  <c r="AV32" i="36" s="1"/>
  <c r="AR32" i="36"/>
  <c r="BJ31" i="36"/>
  <c r="BL31" i="36" s="1"/>
  <c r="BF31" i="36"/>
  <c r="BH31" i="36" s="1"/>
  <c r="BB31" i="36"/>
  <c r="BD31" i="36" s="1"/>
  <c r="AX31" i="36"/>
  <c r="AZ31" i="36" s="1"/>
  <c r="AT31" i="36"/>
  <c r="AV31" i="36" s="1"/>
  <c r="AR31" i="36"/>
  <c r="BJ30" i="36"/>
  <c r="BL30" i="36" s="1"/>
  <c r="BF30" i="36"/>
  <c r="BH30" i="36" s="1"/>
  <c r="BB30" i="36"/>
  <c r="BD30" i="36" s="1"/>
  <c r="AX30" i="36"/>
  <c r="AZ30" i="36" s="1"/>
  <c r="AT30" i="36"/>
  <c r="AV30" i="36" s="1"/>
  <c r="AR30" i="36"/>
  <c r="BJ29" i="36"/>
  <c r="BL29" i="36" s="1"/>
  <c r="BF29" i="36"/>
  <c r="BH29" i="36" s="1"/>
  <c r="BB29" i="36"/>
  <c r="BD29" i="36" s="1"/>
  <c r="AX29" i="36"/>
  <c r="AZ29" i="36" s="1"/>
  <c r="AT29" i="36"/>
  <c r="AV29" i="36" s="1"/>
  <c r="AR29" i="36"/>
  <c r="BJ28" i="36"/>
  <c r="BL28" i="36" s="1"/>
  <c r="BF28" i="36"/>
  <c r="BH28" i="36" s="1"/>
  <c r="BB28" i="36"/>
  <c r="BD28" i="36" s="1"/>
  <c r="AX28" i="36"/>
  <c r="AZ28" i="36" s="1"/>
  <c r="AT28" i="36"/>
  <c r="AV28" i="36" s="1"/>
  <c r="AR28" i="36"/>
  <c r="BJ27" i="36"/>
  <c r="BL27" i="36" s="1"/>
  <c r="BF27" i="36"/>
  <c r="BH27" i="36" s="1"/>
  <c r="BB27" i="36"/>
  <c r="BD27" i="36" s="1"/>
  <c r="AX27" i="36"/>
  <c r="AZ27" i="36" s="1"/>
  <c r="AT27" i="36"/>
  <c r="AV27" i="36" s="1"/>
  <c r="AR27" i="36"/>
  <c r="BJ26" i="36"/>
  <c r="BL26" i="36" s="1"/>
  <c r="BF26" i="36"/>
  <c r="BH26" i="36" s="1"/>
  <c r="BB26" i="36"/>
  <c r="BD26" i="36" s="1"/>
  <c r="AX26" i="36"/>
  <c r="AZ26" i="36" s="1"/>
  <c r="AT26" i="36"/>
  <c r="AV26" i="36" s="1"/>
  <c r="AR26" i="36"/>
  <c r="BJ25" i="36"/>
  <c r="BL25" i="36" s="1"/>
  <c r="BF25" i="36"/>
  <c r="BH25" i="36" s="1"/>
  <c r="BB25" i="36"/>
  <c r="BD25" i="36" s="1"/>
  <c r="AX25" i="36"/>
  <c r="AZ25" i="36" s="1"/>
  <c r="AT25" i="36"/>
  <c r="AV25" i="36" s="1"/>
  <c r="AR25" i="36"/>
  <c r="BJ24" i="36"/>
  <c r="BL24" i="36" s="1"/>
  <c r="BF24" i="36"/>
  <c r="BH24" i="36" s="1"/>
  <c r="BB24" i="36"/>
  <c r="BD24" i="36" s="1"/>
  <c r="AX24" i="36"/>
  <c r="AZ24" i="36" s="1"/>
  <c r="AT24" i="36"/>
  <c r="AV24" i="36" s="1"/>
  <c r="AR24" i="36"/>
  <c r="BJ23" i="36"/>
  <c r="BL23" i="36" s="1"/>
  <c r="BF23" i="36"/>
  <c r="BH23" i="36" s="1"/>
  <c r="BB23" i="36"/>
  <c r="BD23" i="36" s="1"/>
  <c r="AX23" i="36"/>
  <c r="AZ23" i="36" s="1"/>
  <c r="AT23" i="36"/>
  <c r="AV23" i="36" s="1"/>
  <c r="AR23" i="36"/>
  <c r="BJ22" i="36"/>
  <c r="BL22" i="36" s="1"/>
  <c r="BF22" i="36"/>
  <c r="BH22" i="36" s="1"/>
  <c r="BB22" i="36"/>
  <c r="BD22" i="36" s="1"/>
  <c r="AX22" i="36"/>
  <c r="AZ22" i="36" s="1"/>
  <c r="AT22" i="36"/>
  <c r="AV22" i="36" s="1"/>
  <c r="AR22" i="36"/>
  <c r="BJ21" i="36"/>
  <c r="BL21" i="36" s="1"/>
  <c r="BF21" i="36"/>
  <c r="BH21" i="36" s="1"/>
  <c r="BB21" i="36"/>
  <c r="BD21" i="36" s="1"/>
  <c r="AX21" i="36"/>
  <c r="AZ21" i="36" s="1"/>
  <c r="AT21" i="36"/>
  <c r="AV21" i="36" s="1"/>
  <c r="AR21" i="36"/>
  <c r="BJ20" i="36"/>
  <c r="BL20" i="36" s="1"/>
  <c r="BF20" i="36"/>
  <c r="BH20" i="36" s="1"/>
  <c r="BB20" i="36"/>
  <c r="BD20" i="36" s="1"/>
  <c r="AX20" i="36"/>
  <c r="AZ20" i="36" s="1"/>
  <c r="AT20" i="36"/>
  <c r="AV20" i="36" s="1"/>
  <c r="AR20" i="36"/>
  <c r="BJ19" i="36"/>
  <c r="BL19" i="36" s="1"/>
  <c r="BF19" i="36"/>
  <c r="BH19" i="36" s="1"/>
  <c r="BB19" i="36"/>
  <c r="BD19" i="36" s="1"/>
  <c r="AX19" i="36"/>
  <c r="AZ19" i="36" s="1"/>
  <c r="AT19" i="36"/>
  <c r="AV19" i="36" s="1"/>
  <c r="AQ19" i="36"/>
  <c r="BJ18" i="36"/>
  <c r="BL18" i="36" s="1"/>
  <c r="BF18" i="36"/>
  <c r="BH18" i="36" s="1"/>
  <c r="BB18" i="36"/>
  <c r="BD18" i="36" s="1"/>
  <c r="AX18" i="36"/>
  <c r="AZ18" i="36" s="1"/>
  <c r="AT18" i="36"/>
  <c r="AV18" i="36" s="1"/>
  <c r="AR18" i="36"/>
  <c r="BJ17" i="36"/>
  <c r="BL17" i="36" s="1"/>
  <c r="BF17" i="36"/>
  <c r="BH17" i="36" s="1"/>
  <c r="BB17" i="36"/>
  <c r="BD17" i="36" s="1"/>
  <c r="AX17" i="36"/>
  <c r="AZ17" i="36" s="1"/>
  <c r="AT17" i="36"/>
  <c r="AV17" i="36" s="1"/>
  <c r="AR17" i="36"/>
  <c r="BJ16" i="36"/>
  <c r="BL16" i="36" s="1"/>
  <c r="BF16" i="36"/>
  <c r="BH16" i="36" s="1"/>
  <c r="BB16" i="36"/>
  <c r="BD16" i="36" s="1"/>
  <c r="AX16" i="36"/>
  <c r="AZ16" i="36" s="1"/>
  <c r="AT16" i="36"/>
  <c r="AV16" i="36" s="1"/>
  <c r="AR16" i="36"/>
  <c r="BJ15" i="36"/>
  <c r="BL15" i="36" s="1"/>
  <c r="BF15" i="36"/>
  <c r="BH15" i="36" s="1"/>
  <c r="BB15" i="36"/>
  <c r="BD15" i="36" s="1"/>
  <c r="AX15" i="36"/>
  <c r="AZ15" i="36" s="1"/>
  <c r="AT15" i="36"/>
  <c r="AV15" i="36" s="1"/>
  <c r="AR15" i="36"/>
  <c r="BJ14" i="36"/>
  <c r="BL14" i="36" s="1"/>
  <c r="BF14" i="36"/>
  <c r="BH14" i="36" s="1"/>
  <c r="BB14" i="36"/>
  <c r="BD14" i="36" s="1"/>
  <c r="AX14" i="36"/>
  <c r="AZ14" i="36" s="1"/>
  <c r="AT14" i="36"/>
  <c r="AV14" i="36" s="1"/>
  <c r="AR14" i="36"/>
  <c r="BJ13" i="36"/>
  <c r="BL13" i="36" s="1"/>
  <c r="BF13" i="36"/>
  <c r="BH13" i="36" s="1"/>
  <c r="BB13" i="36"/>
  <c r="BD13" i="36" s="1"/>
  <c r="AX13" i="36"/>
  <c r="AZ13" i="36" s="1"/>
  <c r="AT13" i="36"/>
  <c r="AV13" i="36" s="1"/>
  <c r="AR13" i="36"/>
  <c r="BJ12" i="36"/>
  <c r="BL12" i="36" s="1"/>
  <c r="BF12" i="36"/>
  <c r="BH12" i="36" s="1"/>
  <c r="BB12" i="36"/>
  <c r="BD12" i="36" s="1"/>
  <c r="AX12" i="36"/>
  <c r="AZ12" i="36" s="1"/>
  <c r="AT12" i="36"/>
  <c r="AV12" i="36" s="1"/>
  <c r="AR12" i="36"/>
  <c r="BJ11" i="36"/>
  <c r="BL11" i="36" s="1"/>
  <c r="BF11" i="36"/>
  <c r="BH11" i="36" s="1"/>
  <c r="BB11" i="36"/>
  <c r="BD11" i="36" s="1"/>
  <c r="AX11" i="36"/>
  <c r="AZ11" i="36" s="1"/>
  <c r="AT11" i="36"/>
  <c r="AV11" i="36" s="1"/>
  <c r="AR11" i="36"/>
  <c r="BJ10" i="36"/>
  <c r="BL10" i="36" s="1"/>
  <c r="BF10" i="36"/>
  <c r="BH10" i="36" s="1"/>
  <c r="BB10" i="36"/>
  <c r="BD10" i="36" s="1"/>
  <c r="AX10" i="36"/>
  <c r="AZ10" i="36" s="1"/>
  <c r="AT10" i="36"/>
  <c r="AV10" i="36" s="1"/>
  <c r="AR10" i="36"/>
  <c r="BJ9" i="36"/>
  <c r="BL9" i="36" s="1"/>
  <c r="BF9" i="36"/>
  <c r="BH9" i="36" s="1"/>
  <c r="BB9" i="36"/>
  <c r="BD9" i="36" s="1"/>
  <c r="AX9" i="36"/>
  <c r="AZ9" i="36" s="1"/>
  <c r="AT9" i="36"/>
  <c r="AV9" i="36" s="1"/>
  <c r="AR9" i="36"/>
  <c r="BJ8" i="36"/>
  <c r="BL8" i="36" s="1"/>
  <c r="BF8" i="36"/>
  <c r="BH8" i="36" s="1"/>
  <c r="BB8" i="36"/>
  <c r="BD8" i="36" s="1"/>
  <c r="AX8" i="36"/>
  <c r="AZ8" i="36" s="1"/>
  <c r="AT8" i="36"/>
  <c r="AV8" i="36" s="1"/>
  <c r="AR8" i="36"/>
  <c r="BJ7" i="36"/>
  <c r="BL7" i="36" s="1"/>
  <c r="BF7" i="36"/>
  <c r="BH7" i="36" s="1"/>
  <c r="BB7" i="36"/>
  <c r="BD7" i="36" s="1"/>
  <c r="AX7" i="36"/>
  <c r="AZ7" i="36" s="1"/>
  <c r="AT7" i="36"/>
  <c r="AV7" i="36" s="1"/>
  <c r="AR7" i="36"/>
  <c r="BJ6" i="36"/>
  <c r="BL6" i="36" s="1"/>
  <c r="BF6" i="36"/>
  <c r="BH6" i="36" s="1"/>
  <c r="BB6" i="36"/>
  <c r="BD6" i="36" s="1"/>
  <c r="AX6" i="36"/>
  <c r="AZ6" i="36" s="1"/>
  <c r="AT6" i="36"/>
  <c r="AV6" i="36" s="1"/>
  <c r="AR6" i="36"/>
  <c r="BJ5" i="36"/>
  <c r="BL5" i="36" s="1"/>
  <c r="BF5" i="36"/>
  <c r="BH5" i="36" s="1"/>
  <c r="BB5" i="36"/>
  <c r="BD5" i="36" s="1"/>
  <c r="AX5" i="36"/>
  <c r="AZ5" i="36" s="1"/>
  <c r="AT5" i="36"/>
  <c r="AV5" i="36" s="1"/>
  <c r="AR5" i="36"/>
  <c r="BJ4" i="36"/>
  <c r="BL4" i="36" s="1"/>
  <c r="BF4" i="36"/>
  <c r="BH4" i="36" s="1"/>
  <c r="BB4" i="36"/>
  <c r="BD4" i="36" s="1"/>
  <c r="AX4" i="36"/>
  <c r="AZ4" i="36" s="1"/>
  <c r="AT4" i="36"/>
  <c r="AV4" i="36" s="1"/>
  <c r="AR4" i="36"/>
  <c r="BJ3" i="36"/>
  <c r="BL3" i="36" s="1"/>
  <c r="BF3" i="36"/>
  <c r="BH3" i="36" s="1"/>
  <c r="BB3" i="36"/>
  <c r="BD3" i="36" s="1"/>
  <c r="AX3" i="36"/>
  <c r="AZ3" i="36" s="1"/>
  <c r="AT3" i="36"/>
  <c r="AV3" i="36" s="1"/>
  <c r="AR3" i="36"/>
  <c r="BJ2" i="36"/>
  <c r="BL2" i="36" s="1"/>
  <c r="BF2" i="36"/>
  <c r="BH2" i="36" s="1"/>
  <c r="BB2" i="36"/>
  <c r="BD2" i="36" s="1"/>
  <c r="AX2" i="36"/>
  <c r="AZ2" i="36" s="1"/>
  <c r="AT2" i="36"/>
  <c r="AV2" i="36" s="1"/>
  <c r="AR2" i="36"/>
  <c r="AH3" i="38"/>
  <c r="AH4" i="38" s="1"/>
  <c r="AH5" i="38" s="1"/>
  <c r="AH6" i="38" s="1"/>
  <c r="AH7" i="38" s="1"/>
  <c r="AH8" i="38" s="1"/>
  <c r="AH9" i="38" s="1"/>
  <c r="AH10" i="38" s="1"/>
  <c r="AH11" i="38" s="1"/>
  <c r="AH12" i="38" s="1"/>
  <c r="AH13" i="38" s="1"/>
  <c r="AH14" i="38" s="1"/>
  <c r="AH15" i="38" s="1"/>
  <c r="AH16" i="38" s="1"/>
  <c r="AH17" i="38" s="1"/>
  <c r="AH18" i="38" s="1"/>
  <c r="AH19" i="38" s="1"/>
  <c r="AH20" i="38" s="1"/>
  <c r="AH21" i="38" s="1"/>
  <c r="AH22" i="38" s="1"/>
  <c r="AH23" i="38" s="1"/>
  <c r="AH24" i="38" s="1"/>
  <c r="AH25" i="38" s="1"/>
  <c r="AH26" i="38" s="1"/>
  <c r="AH27" i="38" s="1"/>
  <c r="AH28" i="38" s="1"/>
  <c r="AH29" i="38" s="1"/>
  <c r="AH30" i="38" s="1"/>
  <c r="AH31" i="38" s="1"/>
  <c r="AH32" i="38" s="1"/>
  <c r="AH33" i="38" s="1"/>
  <c r="AH34" i="38" s="1"/>
  <c r="AH35" i="38" s="1"/>
  <c r="AH36" i="38" s="1"/>
  <c r="AH37" i="38" s="1"/>
  <c r="AH38" i="38" s="1"/>
  <c r="AH39" i="38" s="1"/>
  <c r="AH40" i="38" s="1"/>
  <c r="AH41" i="38" s="1"/>
  <c r="AH42" i="38" s="1"/>
  <c r="AH43" i="38" s="1"/>
  <c r="AH44" i="38" s="1"/>
  <c r="AH45" i="38" s="1"/>
  <c r="AH46" i="38" s="1"/>
  <c r="AH47" i="38" s="1"/>
  <c r="AH48" i="38" s="1"/>
  <c r="AH49" i="38" s="1"/>
  <c r="AH50" i="38" s="1"/>
  <c r="AH51" i="38" s="1"/>
  <c r="AH52" i="38" s="1"/>
  <c r="AH53" i="38" s="1"/>
  <c r="AH54" i="38" s="1"/>
  <c r="AH55" i="38" s="1"/>
  <c r="AH56" i="38" s="1"/>
  <c r="AH57" i="38" s="1"/>
  <c r="AH58" i="38" s="1"/>
  <c r="AH59" i="38" s="1"/>
  <c r="AH60" i="38" s="1"/>
  <c r="AH61" i="38" s="1"/>
  <c r="AH62" i="38" s="1"/>
  <c r="AH63" i="38" s="1"/>
  <c r="AH64" i="38" s="1"/>
  <c r="AH65" i="38" s="1"/>
  <c r="AH66" i="38" s="1"/>
  <c r="AH67" i="38" s="1"/>
  <c r="AH68" i="38" s="1"/>
  <c r="AH69" i="38" s="1"/>
  <c r="AH70" i="38" s="1"/>
  <c r="AH71" i="38" s="1"/>
  <c r="AH72" i="38" s="1"/>
  <c r="AH73" i="38" s="1"/>
  <c r="AH74" i="38" s="1"/>
  <c r="AH75" i="38" s="1"/>
  <c r="AH76" i="38" s="1"/>
  <c r="AH77" i="38" s="1"/>
  <c r="AH78" i="38" s="1"/>
  <c r="AH79" i="38" s="1"/>
  <c r="AH80" i="38" s="1"/>
  <c r="AH81" i="38" s="1"/>
  <c r="AH82" i="38" s="1"/>
  <c r="AH83" i="38" s="1"/>
  <c r="AH84" i="38" s="1"/>
  <c r="AH85" i="38" s="1"/>
  <c r="AH86" i="38" s="1"/>
  <c r="AH87" i="38" s="1"/>
  <c r="AH88" i="38" s="1"/>
  <c r="AH89" i="38" s="1"/>
  <c r="AH90" i="38" s="1"/>
  <c r="AH91" i="38" s="1"/>
  <c r="AH92" i="38" s="1"/>
  <c r="AH93" i="38" s="1"/>
  <c r="AH94" i="38" s="1"/>
  <c r="AH95" i="38" s="1"/>
  <c r="AH96" i="38" s="1"/>
  <c r="AH97" i="38" s="1"/>
  <c r="AH98" i="38" s="1"/>
  <c r="AH99" i="38" s="1"/>
  <c r="AH100" i="38" s="1"/>
  <c r="AH101" i="38" s="1"/>
  <c r="AH102" i="38" s="1"/>
  <c r="AH103" i="38" s="1"/>
  <c r="AH104" i="38" s="1"/>
  <c r="AH105" i="38" s="1"/>
  <c r="AH106" i="38" s="1"/>
  <c r="AH107" i="38" s="1"/>
  <c r="AH108" i="38" s="1"/>
  <c r="AH109" i="38" s="1"/>
  <c r="AH110" i="38" s="1"/>
  <c r="AH111" i="38" s="1"/>
  <c r="AH112" i="38" s="1"/>
  <c r="AH113" i="38" s="1"/>
  <c r="AH114" i="38" s="1"/>
  <c r="AH115" i="38" s="1"/>
  <c r="AH116" i="38" s="1"/>
  <c r="AH117" i="38" s="1"/>
  <c r="AH118" i="38" s="1"/>
  <c r="AH119" i="38" s="1"/>
  <c r="AH120" i="38" s="1"/>
  <c r="AH121" i="38" s="1"/>
  <c r="AH122" i="38" s="1"/>
  <c r="AH123" i="38" s="1"/>
  <c r="AH124" i="38" s="1"/>
  <c r="AH125" i="38" s="1"/>
  <c r="AH126" i="38" s="1"/>
  <c r="AH127" i="38" s="1"/>
  <c r="AH128" i="38" s="1"/>
  <c r="AH129" i="38" s="1"/>
  <c r="AH130" i="38" s="1"/>
  <c r="AH131" i="38" s="1"/>
  <c r="AH132" i="38" s="1"/>
  <c r="AH133" i="38" s="1"/>
  <c r="AH134" i="38" s="1"/>
  <c r="AH135" i="38" s="1"/>
  <c r="AH136" i="38" s="1"/>
  <c r="AH137" i="38" s="1"/>
  <c r="AH138" i="38" s="1"/>
  <c r="AH139" i="38" s="1"/>
  <c r="AH140" i="38" s="1"/>
  <c r="AH141" i="38" s="1"/>
  <c r="AH142" i="38" s="1"/>
  <c r="AH143" i="38" s="1"/>
  <c r="AH144" i="38" s="1"/>
  <c r="AH145" i="38" s="1"/>
  <c r="AH146" i="38" s="1"/>
  <c r="AH147" i="38" s="1"/>
  <c r="AH148" i="38" s="1"/>
  <c r="AH149" i="38" s="1"/>
  <c r="AH150" i="38" s="1"/>
  <c r="AH151" i="38" s="1"/>
  <c r="AH152" i="38" s="1"/>
  <c r="AH153" i="38" s="1"/>
  <c r="AH154" i="38" s="1"/>
  <c r="AH155" i="38" s="1"/>
  <c r="AH156" i="38" s="1"/>
  <c r="AH157" i="38" s="1"/>
  <c r="AH158" i="38" s="1"/>
  <c r="AH159" i="38" s="1"/>
  <c r="AH160" i="38" s="1"/>
  <c r="AH161" i="38" s="1"/>
  <c r="AH162" i="38" s="1"/>
  <c r="AH163" i="38" s="1"/>
  <c r="AH164" i="38" s="1"/>
  <c r="AH165" i="38" s="1"/>
  <c r="AH166" i="38" s="1"/>
  <c r="AH167" i="38" s="1"/>
  <c r="AH168" i="38" s="1"/>
  <c r="AH169" i="38" s="1"/>
  <c r="AH170" i="38" s="1"/>
  <c r="AH171" i="38" s="1"/>
  <c r="AH172" i="38" s="1"/>
  <c r="AH173" i="38" s="1"/>
  <c r="AH174" i="38" s="1"/>
  <c r="AH175" i="38" s="1"/>
  <c r="AH176" i="38" s="1"/>
  <c r="AH177" i="38" s="1"/>
  <c r="AH178" i="38" s="1"/>
  <c r="AH179" i="38" s="1"/>
  <c r="AH180" i="38" s="1"/>
  <c r="AH181" i="38" s="1"/>
  <c r="AH182" i="38" s="1"/>
  <c r="AH183" i="38" s="1"/>
  <c r="AH184" i="38" s="1"/>
  <c r="AH185" i="38" s="1"/>
  <c r="AH186" i="38" s="1"/>
  <c r="AH187" i="38" s="1"/>
  <c r="AH188" i="38" s="1"/>
  <c r="AH189" i="38" s="1"/>
  <c r="AH190" i="38" s="1"/>
  <c r="AH191" i="38" s="1"/>
  <c r="AH192" i="38" s="1"/>
  <c r="AH193" i="38" s="1"/>
  <c r="AH194" i="38" s="1"/>
  <c r="AH195" i="38" s="1"/>
  <c r="AH196" i="38" s="1"/>
  <c r="AH197" i="38" s="1"/>
  <c r="AH198" i="38" s="1"/>
  <c r="AH199" i="38" s="1"/>
  <c r="AH200" i="38" s="1"/>
  <c r="AH201" i="38" s="1"/>
  <c r="AH202" i="38" s="1"/>
  <c r="AH203" i="38" s="1"/>
  <c r="AH204" i="38" s="1"/>
  <c r="AH205" i="38" s="1"/>
  <c r="AH206" i="38" s="1"/>
  <c r="AH207" i="38" s="1"/>
  <c r="AH208" i="38" s="1"/>
  <c r="AH209" i="38" s="1"/>
  <c r="AH210" i="38" s="1"/>
  <c r="AH211" i="38" s="1"/>
  <c r="AH212" i="38" s="1"/>
  <c r="AH213" i="38" s="1"/>
  <c r="AH214" i="38" s="1"/>
  <c r="AH215" i="38" s="1"/>
  <c r="AH216" i="38" s="1"/>
  <c r="AH217" i="38" s="1"/>
  <c r="AH218" i="38" s="1"/>
  <c r="AH219" i="38" s="1"/>
  <c r="AH220" i="38" s="1"/>
  <c r="AH221" i="38" s="1"/>
  <c r="AH222" i="38" s="1"/>
  <c r="AH223" i="38" s="1"/>
  <c r="AH224" i="38" s="1"/>
  <c r="AH225" i="38" s="1"/>
  <c r="AH226" i="38" s="1"/>
  <c r="AH227" i="38" s="1"/>
  <c r="AH228" i="38" s="1"/>
  <c r="AH229" i="38" s="1"/>
  <c r="AH230" i="38" s="1"/>
  <c r="AH231" i="38" s="1"/>
  <c r="AH232" i="38" s="1"/>
  <c r="AH233" i="38" s="1"/>
  <c r="AH234" i="38" s="1"/>
  <c r="AH235" i="38" s="1"/>
  <c r="AH236" i="38" s="1"/>
  <c r="AH237" i="38" s="1"/>
  <c r="AH238" i="38" s="1"/>
  <c r="AH239" i="38" s="1"/>
  <c r="AH240" i="38" s="1"/>
  <c r="AH241" i="38" s="1"/>
  <c r="AH242" i="38" s="1"/>
  <c r="AH243" i="38" s="1"/>
  <c r="AH244" i="38" s="1"/>
  <c r="AH245" i="38" s="1"/>
  <c r="AH246" i="38" s="1"/>
  <c r="AH247" i="38" s="1"/>
  <c r="AH248" i="38" s="1"/>
  <c r="AH249" i="38" s="1"/>
  <c r="AH250" i="38" s="1"/>
  <c r="AH251" i="38" s="1"/>
  <c r="AH252" i="38" s="1"/>
  <c r="AH253" i="38" s="1"/>
  <c r="AH254" i="38" s="1"/>
  <c r="AH255" i="38" s="1"/>
  <c r="AH256" i="38" s="1"/>
  <c r="AH257" i="38" s="1"/>
  <c r="AH258" i="38" s="1"/>
  <c r="AH259" i="38" s="1"/>
  <c r="AH260" i="38" s="1"/>
  <c r="AH261" i="38" s="1"/>
  <c r="X101" i="7"/>
  <c r="I79" i="7"/>
  <c r="I78" i="7"/>
  <c r="I77" i="7"/>
  <c r="I76" i="7"/>
  <c r="I75" i="7"/>
  <c r="I74" i="7"/>
  <c r="I73" i="7"/>
  <c r="I72" i="7"/>
  <c r="I70" i="7"/>
  <c r="I69" i="7"/>
  <c r="I68" i="7"/>
  <c r="I67" i="7"/>
  <c r="I66" i="7"/>
  <c r="I62" i="7"/>
  <c r="I61" i="7"/>
  <c r="I59" i="7"/>
  <c r="I58" i="7"/>
  <c r="I56" i="7"/>
  <c r="I54" i="7"/>
  <c r="I51" i="7"/>
  <c r="I50" i="7"/>
  <c r="I48" i="7"/>
  <c r="I47" i="7"/>
  <c r="I46" i="7"/>
  <c r="I44" i="7"/>
  <c r="U2" i="7"/>
  <c r="I164" i="6"/>
  <c r="I163" i="6"/>
  <c r="I162" i="6"/>
  <c r="I161" i="6"/>
  <c r="I160" i="6"/>
  <c r="I158" i="6"/>
  <c r="I157" i="6"/>
  <c r="I156" i="6"/>
  <c r="I155" i="6"/>
  <c r="I153" i="6"/>
  <c r="I152" i="6"/>
  <c r="I151" i="6"/>
  <c r="I147" i="6"/>
  <c r="I146" i="6"/>
  <c r="I145" i="6"/>
  <c r="I144" i="6"/>
  <c r="I143" i="6"/>
  <c r="I140" i="6"/>
  <c r="I139" i="6"/>
  <c r="I138" i="6"/>
  <c r="I137" i="6"/>
  <c r="I136" i="6"/>
  <c r="I135" i="6"/>
  <c r="I134" i="6"/>
  <c r="I131" i="6"/>
  <c r="I130" i="6"/>
  <c r="I128" i="6"/>
  <c r="I127" i="6"/>
  <c r="I126" i="6"/>
  <c r="I125" i="6"/>
  <c r="I122" i="6"/>
  <c r="I121" i="6"/>
  <c r="I120" i="6"/>
  <c r="I119" i="6"/>
  <c r="I118" i="6"/>
  <c r="I116" i="6"/>
  <c r="I115" i="6"/>
  <c r="I114" i="6"/>
  <c r="I108" i="6"/>
  <c r="I105" i="6"/>
  <c r="I134" i="33"/>
  <c r="I132" i="33"/>
  <c r="I131" i="33"/>
  <c r="I129" i="33"/>
  <c r="I128" i="33"/>
  <c r="I127" i="33"/>
  <c r="I121" i="33"/>
  <c r="I120" i="33"/>
  <c r="I118" i="33"/>
  <c r="I114" i="33"/>
  <c r="I113" i="33"/>
  <c r="I111" i="33"/>
  <c r="I102" i="33"/>
  <c r="I101" i="33"/>
  <c r="I97" i="33"/>
  <c r="I49" i="4"/>
  <c r="I48" i="4"/>
  <c r="I45" i="4"/>
  <c r="U2" i="4"/>
  <c r="P254" i="35"/>
  <c r="L254" i="35"/>
  <c r="P253" i="35"/>
  <c r="L253" i="35"/>
  <c r="P252" i="35"/>
  <c r="L252" i="35"/>
  <c r="H252" i="35"/>
  <c r="P251" i="35"/>
  <c r="L251" i="35"/>
  <c r="H251" i="35"/>
  <c r="P250" i="35"/>
  <c r="L250" i="35"/>
  <c r="H250" i="35"/>
  <c r="P249" i="35"/>
  <c r="L249" i="35"/>
  <c r="H249" i="35"/>
  <c r="P248" i="35"/>
  <c r="L248" i="35"/>
  <c r="H248" i="35"/>
  <c r="P247" i="35"/>
  <c r="L247" i="35"/>
  <c r="H247" i="35"/>
  <c r="P246" i="35"/>
  <c r="L246" i="35"/>
  <c r="H246" i="35"/>
  <c r="P245" i="35"/>
  <c r="L245" i="35"/>
  <c r="H245" i="35"/>
  <c r="P244" i="35"/>
  <c r="L244" i="35"/>
  <c r="H244" i="35"/>
  <c r="P243" i="35"/>
  <c r="L243" i="35"/>
  <c r="H243" i="35"/>
  <c r="T242" i="35"/>
  <c r="P242" i="35"/>
  <c r="L242" i="35"/>
  <c r="H242" i="35"/>
  <c r="T241" i="35"/>
  <c r="P241" i="35"/>
  <c r="L241" i="35"/>
  <c r="H241" i="35"/>
  <c r="T240" i="35"/>
  <c r="P240" i="35"/>
  <c r="L240" i="35"/>
  <c r="H240" i="35"/>
  <c r="T239" i="35"/>
  <c r="P239" i="35"/>
  <c r="L239" i="35"/>
  <c r="H239" i="35"/>
  <c r="T238" i="35"/>
  <c r="P238" i="35"/>
  <c r="L238" i="35"/>
  <c r="H238" i="35"/>
  <c r="T237" i="35"/>
  <c r="P237" i="35"/>
  <c r="L237" i="35"/>
  <c r="H237" i="35"/>
  <c r="T236" i="35"/>
  <c r="P236" i="35"/>
  <c r="L236" i="35"/>
  <c r="H236" i="35"/>
  <c r="T235" i="35"/>
  <c r="P235" i="35"/>
  <c r="L235" i="35"/>
  <c r="H235" i="35"/>
  <c r="T234" i="35"/>
  <c r="P234" i="35"/>
  <c r="L234" i="35"/>
  <c r="H234" i="35"/>
  <c r="T233" i="35"/>
  <c r="P233" i="35"/>
  <c r="L233" i="35"/>
  <c r="H233" i="35"/>
  <c r="T232" i="35"/>
  <c r="P232" i="35"/>
  <c r="L232" i="35"/>
  <c r="H232" i="35"/>
  <c r="T231" i="35"/>
  <c r="P231" i="35"/>
  <c r="L231" i="35"/>
  <c r="H231" i="35"/>
  <c r="T230" i="35"/>
  <c r="P230" i="35"/>
  <c r="L230" i="35"/>
  <c r="H230" i="35"/>
  <c r="T229" i="35"/>
  <c r="P229" i="35"/>
  <c r="L229" i="35"/>
  <c r="H229" i="35"/>
  <c r="T228" i="35"/>
  <c r="P228" i="35"/>
  <c r="L228" i="35"/>
  <c r="H228" i="35"/>
  <c r="T227" i="35"/>
  <c r="P227" i="35"/>
  <c r="L227" i="35"/>
  <c r="H227" i="35"/>
  <c r="T226" i="35"/>
  <c r="P226" i="35"/>
  <c r="L226" i="35"/>
  <c r="H226" i="35"/>
  <c r="T225" i="35"/>
  <c r="P225" i="35"/>
  <c r="L225" i="35"/>
  <c r="H225" i="35"/>
  <c r="T224" i="35"/>
  <c r="P224" i="35"/>
  <c r="L224" i="35"/>
  <c r="H224" i="35"/>
  <c r="T223" i="35"/>
  <c r="P223" i="35"/>
  <c r="L223" i="35"/>
  <c r="H223" i="35"/>
  <c r="T222" i="35"/>
  <c r="P222" i="35"/>
  <c r="L222" i="35"/>
  <c r="H222" i="35"/>
  <c r="T221" i="35"/>
  <c r="P221" i="35"/>
  <c r="L221" i="35"/>
  <c r="H221" i="35"/>
  <c r="T220" i="35"/>
  <c r="P220" i="35"/>
  <c r="L220" i="35"/>
  <c r="H220" i="35"/>
  <c r="T219" i="35"/>
  <c r="P219" i="35"/>
  <c r="L219" i="35"/>
  <c r="H219" i="35"/>
  <c r="T218" i="35"/>
  <c r="P218" i="35"/>
  <c r="L218" i="35"/>
  <c r="H218" i="35"/>
  <c r="T217" i="35"/>
  <c r="P217" i="35"/>
  <c r="L217" i="35"/>
  <c r="H217" i="35"/>
  <c r="T216" i="35"/>
  <c r="P216" i="35"/>
  <c r="L216" i="35"/>
  <c r="H216" i="35"/>
  <c r="T215" i="35"/>
  <c r="P215" i="35"/>
  <c r="L215" i="35"/>
  <c r="H215" i="35"/>
  <c r="T214" i="35"/>
  <c r="P214" i="35"/>
  <c r="L214" i="35"/>
  <c r="H214" i="35"/>
  <c r="T213" i="35"/>
  <c r="P213" i="35"/>
  <c r="L213" i="35"/>
  <c r="H213" i="35"/>
  <c r="T212" i="35"/>
  <c r="P212" i="35"/>
  <c r="L212" i="35"/>
  <c r="H212" i="35"/>
  <c r="T211" i="35"/>
  <c r="P211" i="35"/>
  <c r="L211" i="35"/>
  <c r="H211" i="35"/>
  <c r="T210" i="35"/>
  <c r="P210" i="35"/>
  <c r="L210" i="35"/>
  <c r="H210" i="35"/>
  <c r="T209" i="35"/>
  <c r="P209" i="35"/>
  <c r="L209" i="35"/>
  <c r="H209" i="35"/>
  <c r="T208" i="35"/>
  <c r="P208" i="35"/>
  <c r="L208" i="35"/>
  <c r="H208" i="35"/>
  <c r="T207" i="35"/>
  <c r="P207" i="35"/>
  <c r="L207" i="35"/>
  <c r="H207" i="35"/>
  <c r="T206" i="35"/>
  <c r="P206" i="35"/>
  <c r="L206" i="35"/>
  <c r="H206" i="35"/>
  <c r="T205" i="35"/>
  <c r="P205" i="35"/>
  <c r="L205" i="35"/>
  <c r="H205" i="35"/>
  <c r="T204" i="35"/>
  <c r="P204" i="35"/>
  <c r="L204" i="35"/>
  <c r="H204" i="35"/>
  <c r="T203" i="35"/>
  <c r="P203" i="35"/>
  <c r="L203" i="35"/>
  <c r="H203" i="35"/>
  <c r="T202" i="35"/>
  <c r="P202" i="35"/>
  <c r="L202" i="35"/>
  <c r="H202" i="35"/>
  <c r="D202" i="35"/>
  <c r="T201" i="35"/>
  <c r="P201" i="35"/>
  <c r="L201" i="35"/>
  <c r="H201" i="35"/>
  <c r="D201" i="35"/>
  <c r="T200" i="35"/>
  <c r="P200" i="35"/>
  <c r="L200" i="35"/>
  <c r="H200" i="35"/>
  <c r="D200" i="35"/>
  <c r="T199" i="35"/>
  <c r="P199" i="35"/>
  <c r="L199" i="35"/>
  <c r="H199" i="35"/>
  <c r="D199" i="35"/>
  <c r="T198" i="35"/>
  <c r="P198" i="35"/>
  <c r="L198" i="35"/>
  <c r="H198" i="35"/>
  <c r="D198" i="35"/>
  <c r="T197" i="35"/>
  <c r="P197" i="35"/>
  <c r="L197" i="35"/>
  <c r="H197" i="35"/>
  <c r="D197" i="35"/>
  <c r="T196" i="35"/>
  <c r="P196" i="35"/>
  <c r="L196" i="35"/>
  <c r="H196" i="35"/>
  <c r="D196" i="35"/>
  <c r="T195" i="35"/>
  <c r="P195" i="35"/>
  <c r="L195" i="35"/>
  <c r="H195" i="35"/>
  <c r="D195" i="35"/>
  <c r="T194" i="35"/>
  <c r="P194" i="35"/>
  <c r="L194" i="35"/>
  <c r="H194" i="35"/>
  <c r="D194" i="35"/>
  <c r="T193" i="35"/>
  <c r="P193" i="35"/>
  <c r="L193" i="35"/>
  <c r="H193" i="35"/>
  <c r="D193" i="35"/>
  <c r="T192" i="35"/>
  <c r="P192" i="35"/>
  <c r="L192" i="35"/>
  <c r="H192" i="35"/>
  <c r="D192" i="35"/>
  <c r="T191" i="35"/>
  <c r="P191" i="35"/>
  <c r="L191" i="35"/>
  <c r="H191" i="35"/>
  <c r="D191" i="35"/>
  <c r="T190" i="35"/>
  <c r="P190" i="35"/>
  <c r="L190" i="35"/>
  <c r="H190" i="35"/>
  <c r="D190" i="35"/>
  <c r="T189" i="35"/>
  <c r="P189" i="35"/>
  <c r="L189" i="35"/>
  <c r="H189" i="35"/>
  <c r="D189" i="35"/>
  <c r="T188" i="35"/>
  <c r="P188" i="35"/>
  <c r="L188" i="35"/>
  <c r="H188" i="35"/>
  <c r="D188" i="35"/>
  <c r="T187" i="35"/>
  <c r="P187" i="35"/>
  <c r="L187" i="35"/>
  <c r="H187" i="35"/>
  <c r="D187" i="35"/>
  <c r="T186" i="35"/>
  <c r="P186" i="35"/>
  <c r="L186" i="35"/>
  <c r="H186" i="35"/>
  <c r="D186" i="35"/>
  <c r="T185" i="35"/>
  <c r="P185" i="35"/>
  <c r="L185" i="35"/>
  <c r="H185" i="35"/>
  <c r="D185" i="35"/>
  <c r="T184" i="35"/>
  <c r="P184" i="35"/>
  <c r="L184" i="35"/>
  <c r="H184" i="35"/>
  <c r="D184" i="35"/>
  <c r="T183" i="35"/>
  <c r="P183" i="35"/>
  <c r="L183" i="35"/>
  <c r="H183" i="35"/>
  <c r="D183" i="35"/>
  <c r="T182" i="35"/>
  <c r="P182" i="35"/>
  <c r="L182" i="35"/>
  <c r="H182" i="35"/>
  <c r="D182" i="35"/>
  <c r="T181" i="35"/>
  <c r="P181" i="35"/>
  <c r="L181" i="35"/>
  <c r="H181" i="35"/>
  <c r="D181" i="35"/>
  <c r="T180" i="35"/>
  <c r="P180" i="35"/>
  <c r="L180" i="35"/>
  <c r="H180" i="35"/>
  <c r="D180" i="35"/>
  <c r="T179" i="35"/>
  <c r="P179" i="35"/>
  <c r="L179" i="35"/>
  <c r="H179" i="35"/>
  <c r="D179" i="35"/>
  <c r="T178" i="35"/>
  <c r="P178" i="35"/>
  <c r="L178" i="35"/>
  <c r="H178" i="35"/>
  <c r="D178" i="35"/>
  <c r="T177" i="35"/>
  <c r="P177" i="35"/>
  <c r="L177" i="35"/>
  <c r="H177" i="35"/>
  <c r="D177" i="35"/>
  <c r="T176" i="35"/>
  <c r="P176" i="35"/>
  <c r="L176" i="35"/>
  <c r="H176" i="35"/>
  <c r="D176" i="35"/>
  <c r="T175" i="35"/>
  <c r="P175" i="35"/>
  <c r="L175" i="35"/>
  <c r="H175" i="35"/>
  <c r="D175" i="35"/>
  <c r="T174" i="35"/>
  <c r="P174" i="35"/>
  <c r="L174" i="35"/>
  <c r="H174" i="35"/>
  <c r="D174" i="35"/>
  <c r="T173" i="35"/>
  <c r="P173" i="35"/>
  <c r="L173" i="35"/>
  <c r="H173" i="35"/>
  <c r="D173" i="35"/>
  <c r="T172" i="35"/>
  <c r="P172" i="35"/>
  <c r="L172" i="35"/>
  <c r="H172" i="35"/>
  <c r="D172" i="35"/>
  <c r="T171" i="35"/>
  <c r="P171" i="35"/>
  <c r="L171" i="35"/>
  <c r="H171" i="35"/>
  <c r="D171" i="35"/>
  <c r="T170" i="35"/>
  <c r="P170" i="35"/>
  <c r="L170" i="35"/>
  <c r="H170" i="35"/>
  <c r="D170" i="35"/>
  <c r="T169" i="35"/>
  <c r="P169" i="35"/>
  <c r="L169" i="35"/>
  <c r="H169" i="35"/>
  <c r="D169" i="35"/>
  <c r="T168" i="35"/>
  <c r="P168" i="35"/>
  <c r="L168" i="35"/>
  <c r="H168" i="35"/>
  <c r="D168" i="35"/>
  <c r="T167" i="35"/>
  <c r="P167" i="35"/>
  <c r="L167" i="35"/>
  <c r="H167" i="35"/>
  <c r="D167" i="35"/>
  <c r="T166" i="35"/>
  <c r="P166" i="35"/>
  <c r="L166" i="35"/>
  <c r="H166" i="35"/>
  <c r="D166" i="35"/>
  <c r="T165" i="35"/>
  <c r="P165" i="35"/>
  <c r="L165" i="35"/>
  <c r="H165" i="35"/>
  <c r="D165" i="35"/>
  <c r="T164" i="35"/>
  <c r="P164" i="35"/>
  <c r="L164" i="35"/>
  <c r="H164" i="35"/>
  <c r="D164" i="35"/>
  <c r="T163" i="35"/>
  <c r="P163" i="35"/>
  <c r="L163" i="35"/>
  <c r="H163" i="35"/>
  <c r="D163" i="35"/>
  <c r="T162" i="35"/>
  <c r="P162" i="35"/>
  <c r="L162" i="35"/>
  <c r="H162" i="35"/>
  <c r="D162" i="35"/>
  <c r="T161" i="35"/>
  <c r="P161" i="35"/>
  <c r="L161" i="35"/>
  <c r="H161" i="35"/>
  <c r="D161" i="35"/>
  <c r="T160" i="35"/>
  <c r="P160" i="35"/>
  <c r="L160" i="35"/>
  <c r="H160" i="35"/>
  <c r="D160" i="35"/>
  <c r="T159" i="35"/>
  <c r="P159" i="35"/>
  <c r="L159" i="35"/>
  <c r="H159" i="35"/>
  <c r="D159" i="35"/>
  <c r="T158" i="35"/>
  <c r="P158" i="35"/>
  <c r="L158" i="35"/>
  <c r="H158" i="35"/>
  <c r="D158" i="35"/>
  <c r="T157" i="35"/>
  <c r="P157" i="35"/>
  <c r="L157" i="35"/>
  <c r="H157" i="35"/>
  <c r="D157" i="35"/>
  <c r="T156" i="35"/>
  <c r="P156" i="35"/>
  <c r="L156" i="35"/>
  <c r="H156" i="35"/>
  <c r="D156" i="35"/>
  <c r="T155" i="35"/>
  <c r="P155" i="35"/>
  <c r="L155" i="35"/>
  <c r="H155" i="35"/>
  <c r="D155" i="35"/>
  <c r="T154" i="35"/>
  <c r="P154" i="35"/>
  <c r="L154" i="35"/>
  <c r="H154" i="35"/>
  <c r="D154" i="35"/>
  <c r="T153" i="35"/>
  <c r="P153" i="35"/>
  <c r="L153" i="35"/>
  <c r="H153" i="35"/>
  <c r="D153" i="35"/>
  <c r="T152" i="35"/>
  <c r="P152" i="35"/>
  <c r="L152" i="35"/>
  <c r="H152" i="35"/>
  <c r="D152" i="35"/>
  <c r="T151" i="35"/>
  <c r="P151" i="35"/>
  <c r="L151" i="35"/>
  <c r="H151" i="35"/>
  <c r="D151" i="35"/>
  <c r="T150" i="35"/>
  <c r="P150" i="35"/>
  <c r="L150" i="35"/>
  <c r="H150" i="35"/>
  <c r="D150" i="35"/>
  <c r="T149" i="35"/>
  <c r="P149" i="35"/>
  <c r="L149" i="35"/>
  <c r="H149" i="35"/>
  <c r="D149" i="35"/>
  <c r="T148" i="35"/>
  <c r="P148" i="35"/>
  <c r="L148" i="35"/>
  <c r="H148" i="35"/>
  <c r="D148" i="35"/>
  <c r="T147" i="35"/>
  <c r="P147" i="35"/>
  <c r="L147" i="35"/>
  <c r="H147" i="35"/>
  <c r="D147" i="35"/>
  <c r="T146" i="35"/>
  <c r="P146" i="35"/>
  <c r="L146" i="35"/>
  <c r="H146" i="35"/>
  <c r="D146" i="35"/>
  <c r="T145" i="35"/>
  <c r="P145" i="35"/>
  <c r="L145" i="35"/>
  <c r="H145" i="35"/>
  <c r="D145" i="35"/>
  <c r="T144" i="35"/>
  <c r="P144" i="35"/>
  <c r="L144" i="35"/>
  <c r="H144" i="35"/>
  <c r="D144" i="35"/>
  <c r="T143" i="35"/>
  <c r="P143" i="35"/>
  <c r="L143" i="35"/>
  <c r="H143" i="35"/>
  <c r="D143" i="35"/>
  <c r="T142" i="35"/>
  <c r="P142" i="35"/>
  <c r="L142" i="35"/>
  <c r="H142" i="35"/>
  <c r="D142" i="35"/>
  <c r="T141" i="35"/>
  <c r="P141" i="35"/>
  <c r="L141" i="35"/>
  <c r="H141" i="35"/>
  <c r="D141" i="35"/>
  <c r="T140" i="35"/>
  <c r="P140" i="35"/>
  <c r="L140" i="35"/>
  <c r="H140" i="35"/>
  <c r="D140" i="35"/>
  <c r="T139" i="35"/>
  <c r="P139" i="35"/>
  <c r="L139" i="35"/>
  <c r="H139" i="35"/>
  <c r="D139" i="35"/>
  <c r="T138" i="35"/>
  <c r="P138" i="35"/>
  <c r="L138" i="35"/>
  <c r="H138" i="35"/>
  <c r="D138" i="35"/>
  <c r="T137" i="35"/>
  <c r="P137" i="35"/>
  <c r="L137" i="35"/>
  <c r="H137" i="35"/>
  <c r="D137" i="35"/>
  <c r="T136" i="35"/>
  <c r="P136" i="35"/>
  <c r="L136" i="35"/>
  <c r="H136" i="35"/>
  <c r="D136" i="35"/>
  <c r="T135" i="35"/>
  <c r="P135" i="35"/>
  <c r="L135" i="35"/>
  <c r="H135" i="35"/>
  <c r="D135" i="35"/>
  <c r="T134" i="35"/>
  <c r="P134" i="35"/>
  <c r="L134" i="35"/>
  <c r="H134" i="35"/>
  <c r="D134" i="35"/>
  <c r="T133" i="35"/>
  <c r="P133" i="35"/>
  <c r="L133" i="35"/>
  <c r="H133" i="35"/>
  <c r="D133" i="35"/>
  <c r="T132" i="35"/>
  <c r="P132" i="35"/>
  <c r="L132" i="35"/>
  <c r="H132" i="35"/>
  <c r="D132" i="35"/>
  <c r="T131" i="35"/>
  <c r="P131" i="35"/>
  <c r="L131" i="35"/>
  <c r="H131" i="35"/>
  <c r="D131" i="35"/>
  <c r="T130" i="35"/>
  <c r="P130" i="35"/>
  <c r="L130" i="35"/>
  <c r="H130" i="35"/>
  <c r="D130" i="35"/>
  <c r="T129" i="35"/>
  <c r="P129" i="35"/>
  <c r="L129" i="35"/>
  <c r="H129" i="35"/>
  <c r="D129" i="35"/>
  <c r="T128" i="35"/>
  <c r="P128" i="35"/>
  <c r="L128" i="35"/>
  <c r="H128" i="35"/>
  <c r="D128" i="35"/>
  <c r="T127" i="35"/>
  <c r="P127" i="35"/>
  <c r="L127" i="35"/>
  <c r="H127" i="35"/>
  <c r="D127" i="35"/>
  <c r="T126" i="35"/>
  <c r="P126" i="35"/>
  <c r="L126" i="35"/>
  <c r="H126" i="35"/>
  <c r="D126" i="35"/>
  <c r="T125" i="35"/>
  <c r="P125" i="35"/>
  <c r="L125" i="35"/>
  <c r="H125" i="35"/>
  <c r="D125" i="35"/>
  <c r="T124" i="35"/>
  <c r="P124" i="35"/>
  <c r="L124" i="35"/>
  <c r="H124" i="35"/>
  <c r="D124" i="35"/>
  <c r="T123" i="35"/>
  <c r="P123" i="35"/>
  <c r="L123" i="35"/>
  <c r="H123" i="35"/>
  <c r="D123" i="35"/>
  <c r="T122" i="35"/>
  <c r="P122" i="35"/>
  <c r="L122" i="35"/>
  <c r="H122" i="35"/>
  <c r="D122" i="35"/>
  <c r="T121" i="35"/>
  <c r="P121" i="35"/>
  <c r="L121" i="35"/>
  <c r="H121" i="35"/>
  <c r="D121" i="35"/>
  <c r="T120" i="35"/>
  <c r="P120" i="35"/>
  <c r="L120" i="35"/>
  <c r="H120" i="35"/>
  <c r="D120" i="35"/>
  <c r="T119" i="35"/>
  <c r="P119" i="35"/>
  <c r="L119" i="35"/>
  <c r="H119" i="35"/>
  <c r="D119" i="35"/>
  <c r="T118" i="35"/>
  <c r="P118" i="35"/>
  <c r="L118" i="35"/>
  <c r="H118" i="35"/>
  <c r="D118" i="35"/>
  <c r="T117" i="35"/>
  <c r="P117" i="35"/>
  <c r="L117" i="35"/>
  <c r="H117" i="35"/>
  <c r="D117" i="35"/>
  <c r="T116" i="35"/>
  <c r="P116" i="35"/>
  <c r="L116" i="35"/>
  <c r="H116" i="35"/>
  <c r="D116" i="35"/>
  <c r="T115" i="35"/>
  <c r="P115" i="35"/>
  <c r="L115" i="35"/>
  <c r="H115" i="35"/>
  <c r="D115" i="35"/>
  <c r="T114" i="35"/>
  <c r="P114" i="35"/>
  <c r="L114" i="35"/>
  <c r="H114" i="35"/>
  <c r="D114" i="35"/>
  <c r="T113" i="35"/>
  <c r="P113" i="35"/>
  <c r="L113" i="35"/>
  <c r="H113" i="35"/>
  <c r="D113" i="35"/>
  <c r="T112" i="35"/>
  <c r="P112" i="35"/>
  <c r="L112" i="35"/>
  <c r="H112" i="35"/>
  <c r="D112" i="35"/>
  <c r="T111" i="35"/>
  <c r="P111" i="35"/>
  <c r="L111" i="35"/>
  <c r="H111" i="35"/>
  <c r="D111" i="35"/>
  <c r="T110" i="35"/>
  <c r="P110" i="35"/>
  <c r="L110" i="35"/>
  <c r="H110" i="35"/>
  <c r="D110" i="35"/>
  <c r="T109" i="35"/>
  <c r="P109" i="35"/>
  <c r="L109" i="35"/>
  <c r="H109" i="35"/>
  <c r="D109" i="35"/>
  <c r="T108" i="35"/>
  <c r="P108" i="35"/>
  <c r="L108" i="35"/>
  <c r="H108" i="35"/>
  <c r="D108" i="35"/>
  <c r="T107" i="35"/>
  <c r="P107" i="35"/>
  <c r="L107" i="35"/>
  <c r="H107" i="35"/>
  <c r="D107" i="35"/>
  <c r="T106" i="35"/>
  <c r="P106" i="35"/>
  <c r="L106" i="35"/>
  <c r="H106" i="35"/>
  <c r="D106" i="35"/>
  <c r="T105" i="35"/>
  <c r="P105" i="35"/>
  <c r="L105" i="35"/>
  <c r="H105" i="35"/>
  <c r="D105" i="35"/>
  <c r="T104" i="35"/>
  <c r="P104" i="35"/>
  <c r="L104" i="35"/>
  <c r="H104" i="35"/>
  <c r="D104" i="35"/>
  <c r="T103" i="35"/>
  <c r="P103" i="35"/>
  <c r="L103" i="35"/>
  <c r="H103" i="35"/>
  <c r="D103" i="35"/>
  <c r="T102" i="35"/>
  <c r="P102" i="35"/>
  <c r="L102" i="35"/>
  <c r="H102" i="35"/>
  <c r="D102" i="35"/>
  <c r="T101" i="35"/>
  <c r="P101" i="35"/>
  <c r="L101" i="35"/>
  <c r="H101" i="35"/>
  <c r="D101" i="35"/>
  <c r="T100" i="35"/>
  <c r="P100" i="35"/>
  <c r="L100" i="35"/>
  <c r="H100" i="35"/>
  <c r="D100" i="35"/>
  <c r="T99" i="35"/>
  <c r="P99" i="35"/>
  <c r="L99" i="35"/>
  <c r="H99" i="35"/>
  <c r="D99" i="35"/>
  <c r="T98" i="35"/>
  <c r="P98" i="35"/>
  <c r="L98" i="35"/>
  <c r="H98" i="35"/>
  <c r="D98" i="35"/>
  <c r="T97" i="35"/>
  <c r="P97" i="35"/>
  <c r="L97" i="35"/>
  <c r="H97" i="35"/>
  <c r="D97" i="35"/>
  <c r="T96" i="35"/>
  <c r="P96" i="35"/>
  <c r="L96" i="35"/>
  <c r="H96" i="35"/>
  <c r="D96" i="35"/>
  <c r="T95" i="35"/>
  <c r="P95" i="35"/>
  <c r="L95" i="35"/>
  <c r="H95" i="35"/>
  <c r="D95" i="35"/>
  <c r="T94" i="35"/>
  <c r="P94" i="35"/>
  <c r="L94" i="35"/>
  <c r="H94" i="35"/>
  <c r="D94" i="35"/>
  <c r="T93" i="35"/>
  <c r="P93" i="35"/>
  <c r="L93" i="35"/>
  <c r="H93" i="35"/>
  <c r="D93" i="35"/>
  <c r="T92" i="35"/>
  <c r="P92" i="35"/>
  <c r="L92" i="35"/>
  <c r="H92" i="35"/>
  <c r="D92" i="35"/>
  <c r="T91" i="35"/>
  <c r="P91" i="35"/>
  <c r="L91" i="35"/>
  <c r="H91" i="35"/>
  <c r="D91" i="35"/>
  <c r="T90" i="35"/>
  <c r="P90" i="35"/>
  <c r="L90" i="35"/>
  <c r="H90" i="35"/>
  <c r="D90" i="35"/>
  <c r="T89" i="35"/>
  <c r="P89" i="35"/>
  <c r="L89" i="35"/>
  <c r="H89" i="35"/>
  <c r="D89" i="35"/>
  <c r="T88" i="35"/>
  <c r="P88" i="35"/>
  <c r="L88" i="35"/>
  <c r="H88" i="35"/>
  <c r="D88" i="35"/>
  <c r="T87" i="35"/>
  <c r="P87" i="35"/>
  <c r="L87" i="35"/>
  <c r="H87" i="35"/>
  <c r="D87" i="35"/>
  <c r="T86" i="35"/>
  <c r="P86" i="35"/>
  <c r="L86" i="35"/>
  <c r="H86" i="35"/>
  <c r="D86" i="35"/>
  <c r="T85" i="35"/>
  <c r="P85" i="35"/>
  <c r="L85" i="35"/>
  <c r="H85" i="35"/>
  <c r="D85" i="35"/>
  <c r="T84" i="35"/>
  <c r="P84" i="35"/>
  <c r="L84" i="35"/>
  <c r="H84" i="35"/>
  <c r="D84" i="35"/>
  <c r="T83" i="35"/>
  <c r="P83" i="35"/>
  <c r="L83" i="35"/>
  <c r="H83" i="35"/>
  <c r="D83" i="35"/>
  <c r="T82" i="35"/>
  <c r="P82" i="35"/>
  <c r="L82" i="35"/>
  <c r="H82" i="35"/>
  <c r="D82" i="35"/>
  <c r="T81" i="35"/>
  <c r="P81" i="35"/>
  <c r="L81" i="35"/>
  <c r="H81" i="35"/>
  <c r="D81" i="35"/>
  <c r="T80" i="35"/>
  <c r="P80" i="35"/>
  <c r="L80" i="35"/>
  <c r="H80" i="35"/>
  <c r="D80" i="35"/>
  <c r="T79" i="35"/>
  <c r="P79" i="35"/>
  <c r="L79" i="35"/>
  <c r="H79" i="35"/>
  <c r="D79" i="35"/>
  <c r="T78" i="35"/>
  <c r="P78" i="35"/>
  <c r="L78" i="35"/>
  <c r="H78" i="35"/>
  <c r="D78" i="35"/>
  <c r="T77" i="35"/>
  <c r="P77" i="35"/>
  <c r="L77" i="35"/>
  <c r="H77" i="35"/>
  <c r="D77" i="35"/>
  <c r="T76" i="35"/>
  <c r="P76" i="35"/>
  <c r="L76" i="35"/>
  <c r="H76" i="35"/>
  <c r="D76" i="35"/>
  <c r="T75" i="35"/>
  <c r="P75" i="35"/>
  <c r="L75" i="35"/>
  <c r="H75" i="35"/>
  <c r="D75" i="35"/>
  <c r="T74" i="35"/>
  <c r="P74" i="35"/>
  <c r="L74" i="35"/>
  <c r="H74" i="35"/>
  <c r="D74" i="35"/>
  <c r="T73" i="35"/>
  <c r="P73" i="35"/>
  <c r="L73" i="35"/>
  <c r="H73" i="35"/>
  <c r="D73" i="35"/>
  <c r="T72" i="35"/>
  <c r="P72" i="35"/>
  <c r="L72" i="35"/>
  <c r="H72" i="35"/>
  <c r="D72" i="35"/>
  <c r="T71" i="35"/>
  <c r="P71" i="35"/>
  <c r="L71" i="35"/>
  <c r="H71" i="35"/>
  <c r="D71" i="35"/>
  <c r="T70" i="35"/>
  <c r="P70" i="35"/>
  <c r="L70" i="35"/>
  <c r="H70" i="35"/>
  <c r="D70" i="35"/>
  <c r="T69" i="35"/>
  <c r="P69" i="35"/>
  <c r="L69" i="35"/>
  <c r="H69" i="35"/>
  <c r="D69" i="35"/>
  <c r="T68" i="35"/>
  <c r="P68" i="35"/>
  <c r="L68" i="35"/>
  <c r="H68" i="35"/>
  <c r="D68" i="35"/>
  <c r="T67" i="35"/>
  <c r="P67" i="35"/>
  <c r="L67" i="35"/>
  <c r="H67" i="35"/>
  <c r="D67" i="35"/>
  <c r="T66" i="35"/>
  <c r="P66" i="35"/>
  <c r="L66" i="35"/>
  <c r="H66" i="35"/>
  <c r="D66" i="35"/>
  <c r="T65" i="35"/>
  <c r="P65" i="35"/>
  <c r="L65" i="35"/>
  <c r="H65" i="35"/>
  <c r="D65" i="35"/>
  <c r="T64" i="35"/>
  <c r="P64" i="35"/>
  <c r="L64" i="35"/>
  <c r="H64" i="35"/>
  <c r="D64" i="35"/>
  <c r="T63" i="35"/>
  <c r="P63" i="35"/>
  <c r="L63" i="35"/>
  <c r="H63" i="35"/>
  <c r="D63" i="35"/>
  <c r="T62" i="35"/>
  <c r="P62" i="35"/>
  <c r="L62" i="35"/>
  <c r="H62" i="35"/>
  <c r="D62" i="35"/>
  <c r="T61" i="35"/>
  <c r="P61" i="35"/>
  <c r="L61" i="35"/>
  <c r="H61" i="35"/>
  <c r="D61" i="35"/>
  <c r="T60" i="35"/>
  <c r="P60" i="35"/>
  <c r="L60" i="35"/>
  <c r="H60" i="35"/>
  <c r="D60" i="35"/>
  <c r="T59" i="35"/>
  <c r="P59" i="35"/>
  <c r="L59" i="35"/>
  <c r="H59" i="35"/>
  <c r="D59" i="35"/>
  <c r="T58" i="35"/>
  <c r="P58" i="35"/>
  <c r="L58" i="35"/>
  <c r="H58" i="35"/>
  <c r="D58" i="35"/>
  <c r="T57" i="35"/>
  <c r="P57" i="35"/>
  <c r="L57" i="35"/>
  <c r="H57" i="35"/>
  <c r="D57" i="35"/>
  <c r="T56" i="35"/>
  <c r="P56" i="35"/>
  <c r="L56" i="35"/>
  <c r="H56" i="35"/>
  <c r="D56" i="35"/>
  <c r="T55" i="35"/>
  <c r="P55" i="35"/>
  <c r="L55" i="35"/>
  <c r="H55" i="35"/>
  <c r="D55" i="35"/>
  <c r="T54" i="35"/>
  <c r="P54" i="35"/>
  <c r="L54" i="35"/>
  <c r="H54" i="35"/>
  <c r="D54" i="35"/>
  <c r="T53" i="35"/>
  <c r="P53" i="35"/>
  <c r="L53" i="35"/>
  <c r="H53" i="35"/>
  <c r="D53" i="35"/>
  <c r="T52" i="35"/>
  <c r="P52" i="35"/>
  <c r="L52" i="35"/>
  <c r="H52" i="35"/>
  <c r="D52" i="35"/>
  <c r="T51" i="35"/>
  <c r="P51" i="35"/>
  <c r="L51" i="35"/>
  <c r="H51" i="35"/>
  <c r="D51" i="35"/>
  <c r="T50" i="35"/>
  <c r="P50" i="35"/>
  <c r="L50" i="35"/>
  <c r="H50" i="35"/>
  <c r="D50" i="35"/>
  <c r="T49" i="35"/>
  <c r="P49" i="35"/>
  <c r="L49" i="35"/>
  <c r="H49" i="35"/>
  <c r="D49" i="35"/>
  <c r="T48" i="35"/>
  <c r="P48" i="35"/>
  <c r="L48" i="35"/>
  <c r="H48" i="35"/>
  <c r="D48" i="35"/>
  <c r="T47" i="35"/>
  <c r="P47" i="35"/>
  <c r="L47" i="35"/>
  <c r="H47" i="35"/>
  <c r="D47" i="35"/>
  <c r="T46" i="35"/>
  <c r="P46" i="35"/>
  <c r="L46" i="35"/>
  <c r="H46" i="35"/>
  <c r="D46" i="35"/>
  <c r="T45" i="35"/>
  <c r="P45" i="35"/>
  <c r="L45" i="35"/>
  <c r="H45" i="35"/>
  <c r="D45" i="35"/>
  <c r="T44" i="35"/>
  <c r="P44" i="35"/>
  <c r="L44" i="35"/>
  <c r="H44" i="35"/>
  <c r="D44" i="35"/>
  <c r="T43" i="35"/>
  <c r="P43" i="35"/>
  <c r="L43" i="35"/>
  <c r="H43" i="35"/>
  <c r="D43" i="35"/>
  <c r="T42" i="35"/>
  <c r="P42" i="35"/>
  <c r="L42" i="35"/>
  <c r="H42" i="35"/>
  <c r="D42" i="35"/>
  <c r="T41" i="35"/>
  <c r="P41" i="35"/>
  <c r="L41" i="35"/>
  <c r="H41" i="35"/>
  <c r="D41" i="35"/>
  <c r="T40" i="35"/>
  <c r="P40" i="35"/>
  <c r="L40" i="35"/>
  <c r="H40" i="35"/>
  <c r="D40" i="35"/>
  <c r="T39" i="35"/>
  <c r="P39" i="35"/>
  <c r="L39" i="35"/>
  <c r="H39" i="35"/>
  <c r="D39" i="35"/>
  <c r="T38" i="35"/>
  <c r="P38" i="35"/>
  <c r="L38" i="35"/>
  <c r="H38" i="35"/>
  <c r="D38" i="35"/>
  <c r="T37" i="35"/>
  <c r="P37" i="35"/>
  <c r="L37" i="35"/>
  <c r="H37" i="35"/>
  <c r="D37" i="35"/>
  <c r="T36" i="35"/>
  <c r="P36" i="35"/>
  <c r="L36" i="35"/>
  <c r="H36" i="35"/>
  <c r="D36" i="35"/>
  <c r="T35" i="35"/>
  <c r="P35" i="35"/>
  <c r="H35" i="35"/>
  <c r="D35" i="35"/>
  <c r="P34" i="35"/>
  <c r="L34" i="35"/>
  <c r="H34" i="35"/>
  <c r="D34" i="35"/>
  <c r="P33" i="35"/>
  <c r="L33" i="35"/>
  <c r="H33" i="35"/>
  <c r="D33" i="35"/>
  <c r="P32" i="35"/>
  <c r="L32" i="35"/>
  <c r="H32" i="35"/>
  <c r="D32" i="35"/>
  <c r="P31" i="35"/>
  <c r="L31" i="35"/>
  <c r="H31" i="35"/>
  <c r="D31" i="35"/>
  <c r="P30" i="35"/>
  <c r="L30" i="35"/>
  <c r="H30" i="35"/>
  <c r="D30" i="35"/>
  <c r="P29" i="35"/>
  <c r="L29" i="35"/>
  <c r="H29" i="35"/>
  <c r="D29" i="35"/>
  <c r="P28" i="35"/>
  <c r="L28" i="35"/>
  <c r="H28" i="35"/>
  <c r="D28" i="35"/>
  <c r="P27" i="35"/>
  <c r="L27" i="35"/>
  <c r="H27" i="35"/>
  <c r="D27" i="35"/>
  <c r="P26" i="35"/>
  <c r="H26" i="35"/>
  <c r="D26" i="35"/>
  <c r="P25" i="35"/>
  <c r="H25" i="35"/>
  <c r="D25" i="35"/>
  <c r="P24" i="35"/>
  <c r="H24" i="35"/>
  <c r="D24" i="35"/>
  <c r="P23" i="35"/>
  <c r="H23" i="35"/>
  <c r="D23" i="35"/>
  <c r="P22" i="35"/>
  <c r="H22" i="35"/>
  <c r="D22" i="35"/>
  <c r="P21" i="35"/>
  <c r="H21" i="35"/>
  <c r="D21" i="35"/>
  <c r="P20" i="35"/>
  <c r="H20" i="35"/>
  <c r="D20" i="35"/>
  <c r="P19" i="35"/>
  <c r="H19" i="35"/>
  <c r="D19" i="35"/>
  <c r="T18" i="35"/>
  <c r="P18" i="35"/>
  <c r="H18" i="35"/>
  <c r="D18" i="35"/>
  <c r="T17" i="35"/>
  <c r="P17" i="35"/>
  <c r="H17" i="35"/>
  <c r="D17" i="35"/>
  <c r="T16" i="35"/>
  <c r="P16" i="35"/>
  <c r="H16" i="35"/>
  <c r="D16" i="35"/>
  <c r="T15" i="35"/>
  <c r="P15" i="35"/>
  <c r="H15" i="35"/>
  <c r="D15" i="35"/>
  <c r="T14" i="35"/>
  <c r="P14" i="35"/>
  <c r="L14" i="35"/>
  <c r="H14" i="35"/>
  <c r="D14" i="35"/>
  <c r="T13" i="35"/>
  <c r="P13" i="35"/>
  <c r="L13" i="35"/>
  <c r="H13" i="35"/>
  <c r="D13" i="35"/>
  <c r="T12" i="35"/>
  <c r="P12" i="35"/>
  <c r="L12" i="35"/>
  <c r="H12" i="35"/>
  <c r="D12" i="35"/>
  <c r="T11" i="35"/>
  <c r="P11" i="35"/>
  <c r="L11" i="35"/>
  <c r="H11" i="35"/>
  <c r="D11" i="35"/>
  <c r="T10" i="35"/>
  <c r="P10" i="35"/>
  <c r="L10" i="35"/>
  <c r="H10" i="35"/>
  <c r="D10" i="35"/>
  <c r="T9" i="35"/>
  <c r="P9" i="35"/>
  <c r="L9" i="35"/>
  <c r="H9" i="35"/>
  <c r="D9" i="35"/>
  <c r="T8" i="35"/>
  <c r="P8" i="35"/>
  <c r="L8" i="35"/>
  <c r="H8" i="35"/>
  <c r="D8" i="35"/>
  <c r="T7" i="35"/>
  <c r="P7" i="35"/>
  <c r="L7" i="35"/>
  <c r="H7" i="35"/>
  <c r="D7" i="35"/>
  <c r="T6" i="35"/>
  <c r="P6" i="35"/>
  <c r="L6" i="35"/>
  <c r="H6" i="35"/>
  <c r="D6" i="35"/>
  <c r="T5" i="35"/>
  <c r="P5" i="35"/>
  <c r="L5" i="35"/>
  <c r="H5" i="35"/>
  <c r="D5" i="35"/>
  <c r="T4" i="35"/>
  <c r="P4" i="35"/>
  <c r="L4" i="35"/>
  <c r="H4" i="35"/>
  <c r="D4" i="35"/>
  <c r="T3" i="35"/>
  <c r="P3" i="35"/>
  <c r="L3" i="35"/>
  <c r="H3" i="35"/>
  <c r="D3" i="35"/>
  <c r="BE1" i="35"/>
  <c r="BC1" i="35"/>
  <c r="BA1" i="35"/>
  <c r="AY1" i="35"/>
  <c r="AW1" i="35"/>
  <c r="AU1" i="35"/>
  <c r="AS1" i="35"/>
  <c r="AQ1" i="35"/>
  <c r="AO1" i="35"/>
  <c r="AM1" i="35"/>
  <c r="AK1" i="35"/>
  <c r="AI1" i="35"/>
  <c r="AG1" i="35"/>
  <c r="AE1" i="35"/>
  <c r="AC1" i="35"/>
  <c r="AA1" i="35"/>
  <c r="V260" i="9"/>
  <c r="U260" i="9"/>
  <c r="T260" i="9"/>
  <c r="S260" i="9"/>
  <c r="R260" i="9"/>
  <c r="Q260" i="9"/>
  <c r="P260" i="9"/>
  <c r="O260" i="9"/>
  <c r="V259" i="9"/>
  <c r="U259" i="9"/>
  <c r="T259" i="9"/>
  <c r="S259" i="9"/>
  <c r="R259" i="9"/>
  <c r="Q259" i="9"/>
  <c r="P259" i="9"/>
  <c r="O259" i="9"/>
  <c r="V258" i="9"/>
  <c r="U258" i="9"/>
  <c r="T258" i="9"/>
  <c r="S258" i="9"/>
  <c r="R258" i="9"/>
  <c r="Q258" i="9"/>
  <c r="O258" i="9"/>
  <c r="V257" i="9"/>
  <c r="U257" i="9"/>
  <c r="T257" i="9"/>
  <c r="S257" i="9"/>
  <c r="R257" i="9"/>
  <c r="Q257" i="9"/>
  <c r="O257" i="9"/>
  <c r="V256" i="9"/>
  <c r="U256" i="9"/>
  <c r="T256" i="9"/>
  <c r="S256" i="9"/>
  <c r="R256" i="9"/>
  <c r="Q256" i="9"/>
  <c r="O256" i="9"/>
  <c r="V255" i="9"/>
  <c r="U255" i="9"/>
  <c r="T255" i="9"/>
  <c r="S255" i="9"/>
  <c r="R255" i="9"/>
  <c r="Q255" i="9"/>
  <c r="O255" i="9"/>
  <c r="V254" i="9"/>
  <c r="U254" i="9"/>
  <c r="T254" i="9"/>
  <c r="S254" i="9"/>
  <c r="R254" i="9"/>
  <c r="Q254" i="9"/>
  <c r="O254" i="9"/>
  <c r="V253" i="9"/>
  <c r="U253" i="9"/>
  <c r="T253" i="9"/>
  <c r="S253" i="9"/>
  <c r="R253" i="9"/>
  <c r="Q253" i="9"/>
  <c r="O253" i="9"/>
  <c r="V252" i="9"/>
  <c r="U252" i="9"/>
  <c r="T252" i="9"/>
  <c r="S252" i="9"/>
  <c r="R252" i="9"/>
  <c r="Q252" i="9"/>
  <c r="O252" i="9"/>
  <c r="V251" i="9"/>
  <c r="U251" i="9"/>
  <c r="T251" i="9"/>
  <c r="S251" i="9"/>
  <c r="R251" i="9"/>
  <c r="Q251" i="9"/>
  <c r="O251" i="9"/>
  <c r="V250" i="9"/>
  <c r="U250" i="9"/>
  <c r="T250" i="9"/>
  <c r="S250" i="9"/>
  <c r="R250" i="9"/>
  <c r="Q250" i="9"/>
  <c r="O250" i="9"/>
  <c r="V249" i="9"/>
  <c r="U249" i="9"/>
  <c r="T249" i="9"/>
  <c r="S249" i="9"/>
  <c r="R249" i="9"/>
  <c r="Q249" i="9"/>
  <c r="O249" i="9"/>
  <c r="V248" i="9"/>
  <c r="U248" i="9"/>
  <c r="T248" i="9"/>
  <c r="S248" i="9"/>
  <c r="R248" i="9"/>
  <c r="Q248" i="9"/>
  <c r="O248" i="9"/>
  <c r="V247" i="9"/>
  <c r="U247" i="9"/>
  <c r="T247" i="9"/>
  <c r="S247" i="9"/>
  <c r="R247" i="9"/>
  <c r="Q247" i="9"/>
  <c r="O247" i="9"/>
  <c r="V246" i="9"/>
  <c r="U246" i="9"/>
  <c r="T246" i="9"/>
  <c r="S246" i="9"/>
  <c r="R246" i="9"/>
  <c r="Q246" i="9"/>
  <c r="O246" i="9"/>
  <c r="V245" i="9"/>
  <c r="U245" i="9"/>
  <c r="T245" i="9"/>
  <c r="S245" i="9"/>
  <c r="R245" i="9"/>
  <c r="Q245" i="9"/>
  <c r="O245" i="9"/>
  <c r="V244" i="9"/>
  <c r="U244" i="9"/>
  <c r="T244" i="9"/>
  <c r="S244" i="9"/>
  <c r="R244" i="9"/>
  <c r="Q244" i="9"/>
  <c r="O244" i="9"/>
  <c r="V243" i="9"/>
  <c r="U243" i="9"/>
  <c r="T243" i="9"/>
  <c r="S243" i="9"/>
  <c r="R243" i="9"/>
  <c r="Q243" i="9"/>
  <c r="O243" i="9"/>
  <c r="V242" i="9"/>
  <c r="U242" i="9"/>
  <c r="T242" i="9"/>
  <c r="S242" i="9"/>
  <c r="R242" i="9"/>
  <c r="Q242" i="9"/>
  <c r="O242" i="9"/>
  <c r="V241" i="9"/>
  <c r="U241" i="9"/>
  <c r="T241" i="9"/>
  <c r="S241" i="9"/>
  <c r="R241" i="9"/>
  <c r="Q241" i="9"/>
  <c r="O241" i="9"/>
  <c r="V240" i="9"/>
  <c r="U240" i="9"/>
  <c r="T240" i="9"/>
  <c r="S240" i="9"/>
  <c r="R240" i="9"/>
  <c r="Q240" i="9"/>
  <c r="O240" i="9"/>
  <c r="V239" i="9"/>
  <c r="U239" i="9"/>
  <c r="T239" i="9"/>
  <c r="S239" i="9"/>
  <c r="R239" i="9"/>
  <c r="Q239" i="9"/>
  <c r="O239" i="9"/>
  <c r="V238" i="9"/>
  <c r="U238" i="9"/>
  <c r="T238" i="9"/>
  <c r="S238" i="9"/>
  <c r="R238" i="9"/>
  <c r="Q238" i="9"/>
  <c r="O238" i="9"/>
  <c r="V237" i="9"/>
  <c r="U237" i="9"/>
  <c r="T237" i="9"/>
  <c r="S237" i="9"/>
  <c r="R237" i="9"/>
  <c r="Q237" i="9"/>
  <c r="O237" i="9"/>
  <c r="V236" i="9"/>
  <c r="U236" i="9"/>
  <c r="T236" i="9"/>
  <c r="S236" i="9"/>
  <c r="R236" i="9"/>
  <c r="Q236" i="9"/>
  <c r="O236" i="9"/>
  <c r="V235" i="9"/>
  <c r="U235" i="9"/>
  <c r="T235" i="9"/>
  <c r="S235" i="9"/>
  <c r="R235" i="9"/>
  <c r="Q235" i="9"/>
  <c r="O235" i="9"/>
  <c r="V234" i="9"/>
  <c r="U234" i="9"/>
  <c r="T234" i="9"/>
  <c r="S234" i="9"/>
  <c r="R234" i="9"/>
  <c r="Q234" i="9"/>
  <c r="O234" i="9"/>
  <c r="V233" i="9"/>
  <c r="U233" i="9"/>
  <c r="T233" i="9"/>
  <c r="S233" i="9"/>
  <c r="R233" i="9"/>
  <c r="Q233" i="9"/>
  <c r="O233" i="9"/>
  <c r="V232" i="9"/>
  <c r="U232" i="9"/>
  <c r="T232" i="9"/>
  <c r="S232" i="9"/>
  <c r="R232" i="9"/>
  <c r="Q232" i="9"/>
  <c r="O232" i="9"/>
  <c r="V231" i="9"/>
  <c r="U231" i="9"/>
  <c r="T231" i="9"/>
  <c r="S231" i="9"/>
  <c r="R231" i="9"/>
  <c r="Q231" i="9"/>
  <c r="O231" i="9"/>
  <c r="V230" i="9"/>
  <c r="U230" i="9"/>
  <c r="T230" i="9"/>
  <c r="S230" i="9"/>
  <c r="R230" i="9"/>
  <c r="Q230" i="9"/>
  <c r="O230" i="9"/>
  <c r="V229" i="9"/>
  <c r="U229" i="9"/>
  <c r="T229" i="9"/>
  <c r="S229" i="9"/>
  <c r="R229" i="9"/>
  <c r="Q229" i="9"/>
  <c r="O229" i="9"/>
  <c r="V228" i="9"/>
  <c r="U228" i="9"/>
  <c r="T228" i="9"/>
  <c r="S228" i="9"/>
  <c r="R228" i="9"/>
  <c r="Q228" i="9"/>
  <c r="O228" i="9"/>
  <c r="V227" i="9"/>
  <c r="U227" i="9"/>
  <c r="T227" i="9"/>
  <c r="S227" i="9"/>
  <c r="R227" i="9"/>
  <c r="Q227" i="9"/>
  <c r="O227" i="9"/>
  <c r="V226" i="9"/>
  <c r="U226" i="9"/>
  <c r="T226" i="9"/>
  <c r="S226" i="9"/>
  <c r="R226" i="9"/>
  <c r="Q226" i="9"/>
  <c r="O226" i="9"/>
  <c r="V225" i="9"/>
  <c r="U225" i="9"/>
  <c r="T225" i="9"/>
  <c r="S225" i="9"/>
  <c r="R225" i="9"/>
  <c r="Q225" i="9"/>
  <c r="O225" i="9"/>
  <c r="V224" i="9"/>
  <c r="U224" i="9"/>
  <c r="T224" i="9"/>
  <c r="S224" i="9"/>
  <c r="I106" i="6" s="1"/>
  <c r="R224" i="9"/>
  <c r="I96" i="33" s="1"/>
  <c r="Q224" i="9"/>
  <c r="O224" i="9"/>
  <c r="V223" i="9"/>
  <c r="U223" i="9"/>
  <c r="T223" i="9"/>
  <c r="S223" i="9"/>
  <c r="R223" i="9"/>
  <c r="I108" i="33" s="1"/>
  <c r="Q223" i="9"/>
  <c r="O223" i="9"/>
  <c r="V222" i="9"/>
  <c r="U222" i="9"/>
  <c r="T222" i="9"/>
  <c r="S222" i="9"/>
  <c r="R222" i="9"/>
  <c r="Q222" i="9"/>
  <c r="O222" i="9"/>
  <c r="V221" i="9"/>
  <c r="U221" i="9"/>
  <c r="T221" i="9"/>
  <c r="S221" i="9"/>
  <c r="R221" i="9"/>
  <c r="I119" i="33" s="1"/>
  <c r="Q221" i="9"/>
  <c r="O221" i="9"/>
  <c r="V220" i="9"/>
  <c r="U220" i="9"/>
  <c r="T220" i="9"/>
  <c r="S220" i="9"/>
  <c r="R220" i="9"/>
  <c r="Q220" i="9"/>
  <c r="O220" i="9"/>
  <c r="V219" i="9"/>
  <c r="U219" i="9"/>
  <c r="T219" i="9"/>
  <c r="S219" i="9"/>
  <c r="R219" i="9"/>
  <c r="Q219" i="9"/>
  <c r="O219" i="9"/>
  <c r="V218" i="9"/>
  <c r="U218" i="9"/>
  <c r="T218" i="9"/>
  <c r="S218" i="9"/>
  <c r="R218" i="9"/>
  <c r="Q218" i="9"/>
  <c r="O218" i="9"/>
  <c r="V217" i="9"/>
  <c r="U217" i="9"/>
  <c r="T217" i="9"/>
  <c r="S217" i="9"/>
  <c r="R217" i="9"/>
  <c r="Q217" i="9"/>
  <c r="O217" i="9"/>
  <c r="V216" i="9"/>
  <c r="U216" i="9"/>
  <c r="T216" i="9"/>
  <c r="S216" i="9"/>
  <c r="R216" i="9"/>
  <c r="Q216" i="9"/>
  <c r="O216" i="9"/>
  <c r="V215" i="9"/>
  <c r="U215" i="9"/>
  <c r="T215" i="9"/>
  <c r="S215" i="9"/>
  <c r="R215" i="9"/>
  <c r="Q215" i="9"/>
  <c r="O215" i="9"/>
  <c r="V214" i="9"/>
  <c r="U214" i="9"/>
  <c r="T214" i="9"/>
  <c r="S214" i="9"/>
  <c r="R214" i="9"/>
  <c r="Q214" i="9"/>
  <c r="O214" i="9"/>
  <c r="V213" i="9"/>
  <c r="U213" i="9"/>
  <c r="T213" i="9"/>
  <c r="S213" i="9"/>
  <c r="R213" i="9"/>
  <c r="Q213" i="9"/>
  <c r="O213" i="9"/>
  <c r="V212" i="9"/>
  <c r="U212" i="9"/>
  <c r="T212" i="9"/>
  <c r="S212" i="9"/>
  <c r="R212" i="9"/>
  <c r="Q212" i="9"/>
  <c r="O212" i="9"/>
  <c r="V211" i="9"/>
  <c r="U211" i="9"/>
  <c r="T211" i="9"/>
  <c r="S211" i="9"/>
  <c r="R211" i="9"/>
  <c r="Q211" i="9"/>
  <c r="O211" i="9"/>
  <c r="V210" i="9"/>
  <c r="U210" i="9"/>
  <c r="T210" i="9"/>
  <c r="S210" i="9"/>
  <c r="R210" i="9"/>
  <c r="Q210" i="9"/>
  <c r="O210" i="9"/>
  <c r="V209" i="9"/>
  <c r="U209" i="9"/>
  <c r="T209" i="9"/>
  <c r="S209" i="9"/>
  <c r="R209" i="9"/>
  <c r="Q209" i="9"/>
  <c r="O209" i="9"/>
  <c r="V208" i="9"/>
  <c r="U208" i="9"/>
  <c r="T208" i="9"/>
  <c r="S208" i="9"/>
  <c r="R208" i="9"/>
  <c r="Q208" i="9"/>
  <c r="O208" i="9"/>
  <c r="V207" i="9"/>
  <c r="U207" i="9"/>
  <c r="T207" i="9"/>
  <c r="S207" i="9"/>
  <c r="R207" i="9"/>
  <c r="Q207" i="9"/>
  <c r="O207" i="9"/>
  <c r="V206" i="9"/>
  <c r="U206" i="9"/>
  <c r="T206" i="9"/>
  <c r="S206" i="9"/>
  <c r="R206" i="9"/>
  <c r="Q206" i="9"/>
  <c r="O206" i="9"/>
  <c r="V205" i="9"/>
  <c r="U205" i="9"/>
  <c r="T205" i="9"/>
  <c r="S205" i="9"/>
  <c r="R205" i="9"/>
  <c r="Q205" i="9"/>
  <c r="O205" i="9"/>
  <c r="V204" i="9"/>
  <c r="U204" i="9"/>
  <c r="T204" i="9"/>
  <c r="S204" i="9"/>
  <c r="R204" i="9"/>
  <c r="Q204" i="9"/>
  <c r="O204" i="9"/>
  <c r="V203" i="9"/>
  <c r="U203" i="9"/>
  <c r="T203" i="9"/>
  <c r="S203" i="9"/>
  <c r="R203" i="9"/>
  <c r="Q203" i="9"/>
  <c r="O203" i="9"/>
  <c r="V202" i="9"/>
  <c r="U202" i="9"/>
  <c r="T202" i="9"/>
  <c r="S202" i="9"/>
  <c r="R202" i="9"/>
  <c r="Q202" i="9"/>
  <c r="O202" i="9"/>
  <c r="V201" i="9"/>
  <c r="U201" i="9"/>
  <c r="T201" i="9"/>
  <c r="S201" i="9"/>
  <c r="R201" i="9"/>
  <c r="Q201" i="9"/>
  <c r="O201" i="9"/>
  <c r="V200" i="9"/>
  <c r="U200" i="9"/>
  <c r="T200" i="9"/>
  <c r="S200" i="9"/>
  <c r="R200" i="9"/>
  <c r="Q200" i="9"/>
  <c r="O200" i="9"/>
  <c r="V199" i="9"/>
  <c r="U199" i="9"/>
  <c r="T199" i="9"/>
  <c r="S199" i="9"/>
  <c r="R199" i="9"/>
  <c r="Q199" i="9"/>
  <c r="O199" i="9"/>
  <c r="V198" i="9"/>
  <c r="U198" i="9"/>
  <c r="T198" i="9"/>
  <c r="S198" i="9"/>
  <c r="R198" i="9"/>
  <c r="Q198" i="9"/>
  <c r="O198" i="9"/>
  <c r="V197" i="9"/>
  <c r="U197" i="9"/>
  <c r="T197" i="9"/>
  <c r="S197" i="9"/>
  <c r="I117" i="6" s="1"/>
  <c r="R197" i="9"/>
  <c r="I109" i="33" s="1"/>
  <c r="Q197" i="9"/>
  <c r="O197" i="9"/>
  <c r="V196" i="9"/>
  <c r="U196" i="9"/>
  <c r="T196" i="9"/>
  <c r="S196" i="9"/>
  <c r="R196" i="9"/>
  <c r="Q196" i="9"/>
  <c r="O196" i="9"/>
  <c r="V195" i="9"/>
  <c r="U195" i="9"/>
  <c r="T195" i="9"/>
  <c r="S195" i="9"/>
  <c r="R195" i="9"/>
  <c r="Q195" i="9"/>
  <c r="O195" i="9"/>
  <c r="V194" i="9"/>
  <c r="U194" i="9"/>
  <c r="T194" i="9"/>
  <c r="S194" i="9"/>
  <c r="R194" i="9"/>
  <c r="Q194" i="9"/>
  <c r="O194" i="9"/>
  <c r="V193" i="9"/>
  <c r="U193" i="9"/>
  <c r="T193" i="9"/>
  <c r="S193" i="9"/>
  <c r="R193" i="9"/>
  <c r="Q193" i="9"/>
  <c r="O193" i="9"/>
  <c r="V192" i="9"/>
  <c r="U192" i="9"/>
  <c r="T192" i="9"/>
  <c r="S192" i="9"/>
  <c r="R192" i="9"/>
  <c r="Q192" i="9"/>
  <c r="O192" i="9"/>
  <c r="V191" i="9"/>
  <c r="U191" i="9"/>
  <c r="T191" i="9"/>
  <c r="S191" i="9"/>
  <c r="R191" i="9"/>
  <c r="Q191" i="9"/>
  <c r="O191" i="9"/>
  <c r="V190" i="9"/>
  <c r="U190" i="9"/>
  <c r="T190" i="9"/>
  <c r="S190" i="9"/>
  <c r="R190" i="9"/>
  <c r="Q190" i="9"/>
  <c r="O190" i="9"/>
  <c r="V189" i="9"/>
  <c r="U189" i="9"/>
  <c r="T189" i="9"/>
  <c r="S189" i="9"/>
  <c r="R189" i="9"/>
  <c r="Q189" i="9"/>
  <c r="O189" i="9"/>
  <c r="V188" i="9"/>
  <c r="U188" i="9"/>
  <c r="T188" i="9"/>
  <c r="S188" i="9"/>
  <c r="R188" i="9"/>
  <c r="Q188" i="9"/>
  <c r="O188" i="9"/>
  <c r="V187" i="9"/>
  <c r="U187" i="9"/>
  <c r="T187" i="9"/>
  <c r="S187" i="9"/>
  <c r="R187" i="9"/>
  <c r="Q187" i="9"/>
  <c r="O187" i="9"/>
  <c r="V186" i="9"/>
  <c r="U186" i="9"/>
  <c r="T186" i="9"/>
  <c r="S186" i="9"/>
  <c r="R186" i="9"/>
  <c r="I122" i="33" s="1"/>
  <c r="Q186" i="9"/>
  <c r="O186" i="9"/>
  <c r="V185" i="9"/>
  <c r="U185" i="9"/>
  <c r="T185" i="9"/>
  <c r="S185" i="9"/>
  <c r="I104" i="6" s="1"/>
  <c r="R185" i="9"/>
  <c r="Q185" i="9"/>
  <c r="O185" i="9"/>
  <c r="V184" i="9"/>
  <c r="U184" i="9"/>
  <c r="T184" i="9"/>
  <c r="S184" i="9"/>
  <c r="R184" i="9"/>
  <c r="Q184" i="9"/>
  <c r="O184" i="9"/>
  <c r="V183" i="9"/>
  <c r="U183" i="9"/>
  <c r="T183" i="9"/>
  <c r="S183" i="9"/>
  <c r="R183" i="9"/>
  <c r="Q183" i="9"/>
  <c r="O183" i="9"/>
  <c r="V182" i="9"/>
  <c r="U182" i="9"/>
  <c r="T182" i="9"/>
  <c r="S182" i="9"/>
  <c r="R182" i="9"/>
  <c r="Q182" i="9"/>
  <c r="O182" i="9"/>
  <c r="V181" i="9"/>
  <c r="U181" i="9"/>
  <c r="T181" i="9"/>
  <c r="S181" i="9"/>
  <c r="R181" i="9"/>
  <c r="Q181" i="9"/>
  <c r="O181" i="9"/>
  <c r="V180" i="9"/>
  <c r="U180" i="9"/>
  <c r="T180" i="9"/>
  <c r="S180" i="9"/>
  <c r="R180" i="9"/>
  <c r="Q180" i="9"/>
  <c r="O180" i="9"/>
  <c r="V179" i="9"/>
  <c r="U179" i="9"/>
  <c r="T179" i="9"/>
  <c r="S179" i="9"/>
  <c r="R179" i="9"/>
  <c r="Q179" i="9"/>
  <c r="O179" i="9"/>
  <c r="V178" i="9"/>
  <c r="U178" i="9"/>
  <c r="T178" i="9"/>
  <c r="S178" i="9"/>
  <c r="R178" i="9"/>
  <c r="Q178" i="9"/>
  <c r="O178" i="9"/>
  <c r="V177" i="9"/>
  <c r="U177" i="9"/>
  <c r="T177" i="9"/>
  <c r="S177" i="9"/>
  <c r="R177" i="9"/>
  <c r="Q177" i="9"/>
  <c r="O177" i="9"/>
  <c r="V176" i="9"/>
  <c r="U176" i="9"/>
  <c r="T176" i="9"/>
  <c r="S176" i="9"/>
  <c r="R176" i="9"/>
  <c r="Q176" i="9"/>
  <c r="O176" i="9"/>
  <c r="V175" i="9"/>
  <c r="U175" i="9"/>
  <c r="T175" i="9"/>
  <c r="S175" i="9"/>
  <c r="R175" i="9"/>
  <c r="Q175" i="9"/>
  <c r="O175" i="9"/>
  <c r="V174" i="9"/>
  <c r="U174" i="9"/>
  <c r="T174" i="9"/>
  <c r="I43" i="7" s="1"/>
  <c r="S174" i="9"/>
  <c r="R174" i="9"/>
  <c r="Q174" i="9"/>
  <c r="O174" i="9"/>
  <c r="V173" i="9"/>
  <c r="U173" i="9"/>
  <c r="T173" i="9"/>
  <c r="S173" i="9"/>
  <c r="R173" i="9"/>
  <c r="Q173" i="9"/>
  <c r="O173" i="9"/>
  <c r="V172" i="9"/>
  <c r="U172" i="9"/>
  <c r="T172" i="9"/>
  <c r="S172" i="9"/>
  <c r="R172" i="9"/>
  <c r="Q172" i="9"/>
  <c r="O172" i="9"/>
  <c r="V171" i="9"/>
  <c r="U171" i="9"/>
  <c r="T171" i="9"/>
  <c r="S171" i="9"/>
  <c r="R171" i="9"/>
  <c r="Q171" i="9"/>
  <c r="O171" i="9"/>
  <c r="V170" i="9"/>
  <c r="U170" i="9"/>
  <c r="T170" i="9"/>
  <c r="S170" i="9"/>
  <c r="R170" i="9"/>
  <c r="I90" i="33" s="1"/>
  <c r="Q170" i="9"/>
  <c r="O170" i="9"/>
  <c r="V169" i="9"/>
  <c r="U169" i="9"/>
  <c r="T169" i="9"/>
  <c r="S169" i="9"/>
  <c r="R169" i="9"/>
  <c r="Q169" i="9"/>
  <c r="O169" i="9"/>
  <c r="V168" i="9"/>
  <c r="U168" i="9"/>
  <c r="T168" i="9"/>
  <c r="S168" i="9"/>
  <c r="R168" i="9"/>
  <c r="Q168" i="9"/>
  <c r="O168" i="9"/>
  <c r="V167" i="9"/>
  <c r="U167" i="9"/>
  <c r="T167" i="9"/>
  <c r="S167" i="9"/>
  <c r="R167" i="9"/>
  <c r="Q167" i="9"/>
  <c r="O167" i="9"/>
  <c r="V166" i="9"/>
  <c r="U166" i="9"/>
  <c r="T166" i="9"/>
  <c r="S166" i="9"/>
  <c r="R166" i="9"/>
  <c r="Q166" i="9"/>
  <c r="O166" i="9"/>
  <c r="V165" i="9"/>
  <c r="U165" i="9"/>
  <c r="T165" i="9"/>
  <c r="S165" i="9"/>
  <c r="R165" i="9"/>
  <c r="Q165" i="9"/>
  <c r="O165" i="9"/>
  <c r="V164" i="9"/>
  <c r="U164" i="9"/>
  <c r="T164" i="9"/>
  <c r="S164" i="9"/>
  <c r="R164" i="9"/>
  <c r="Q164" i="9"/>
  <c r="O164" i="9"/>
  <c r="V163" i="9"/>
  <c r="U163" i="9"/>
  <c r="T163" i="9"/>
  <c r="S163" i="9"/>
  <c r="R163" i="9"/>
  <c r="Q163" i="9"/>
  <c r="O163" i="9"/>
  <c r="V162" i="9"/>
  <c r="U162" i="9"/>
  <c r="T162" i="9"/>
  <c r="S162" i="9"/>
  <c r="R162" i="9"/>
  <c r="Q162" i="9"/>
  <c r="O162" i="9"/>
  <c r="V161" i="9"/>
  <c r="U161" i="9"/>
  <c r="T161" i="9"/>
  <c r="S161" i="9"/>
  <c r="R161" i="9"/>
  <c r="Q161" i="9"/>
  <c r="O161" i="9"/>
  <c r="V160" i="9"/>
  <c r="U160" i="9"/>
  <c r="T160" i="9"/>
  <c r="S160" i="9"/>
  <c r="R160" i="9"/>
  <c r="Q160" i="9"/>
  <c r="O160" i="9"/>
  <c r="V159" i="9"/>
  <c r="U159" i="9"/>
  <c r="T159" i="9"/>
  <c r="S159" i="9"/>
  <c r="I132" i="6" s="1"/>
  <c r="R159" i="9"/>
  <c r="Q159" i="9"/>
  <c r="O159" i="9"/>
  <c r="V158" i="9"/>
  <c r="U158" i="9"/>
  <c r="T158" i="9"/>
  <c r="S158" i="9"/>
  <c r="R158" i="9"/>
  <c r="Q158" i="9"/>
  <c r="O158" i="9"/>
  <c r="V157" i="9"/>
  <c r="U157" i="9"/>
  <c r="T157" i="9"/>
  <c r="S157" i="9"/>
  <c r="R157" i="9"/>
  <c r="Q157" i="9"/>
  <c r="O157" i="9"/>
  <c r="V156" i="9"/>
  <c r="U156" i="9"/>
  <c r="T156" i="9"/>
  <c r="S156" i="9"/>
  <c r="R156" i="9"/>
  <c r="Q156" i="9"/>
  <c r="O156" i="9"/>
  <c r="V155" i="9"/>
  <c r="U155" i="9"/>
  <c r="T155" i="9"/>
  <c r="S155" i="9"/>
  <c r="R155" i="9"/>
  <c r="I99" i="33" s="1"/>
  <c r="Q155" i="9"/>
  <c r="O155" i="9"/>
  <c r="V154" i="9"/>
  <c r="U154" i="9"/>
  <c r="T154" i="9"/>
  <c r="S154" i="9"/>
  <c r="R154" i="9"/>
  <c r="Q154" i="9"/>
  <c r="O154" i="9"/>
  <c r="V153" i="9"/>
  <c r="U153" i="9"/>
  <c r="T153" i="9"/>
  <c r="S153" i="9"/>
  <c r="R153" i="9"/>
  <c r="Q153" i="9"/>
  <c r="O153" i="9"/>
  <c r="V152" i="9"/>
  <c r="U152" i="9"/>
  <c r="T152" i="9"/>
  <c r="S152" i="9"/>
  <c r="R152" i="9"/>
  <c r="Q152" i="9"/>
  <c r="O152" i="9"/>
  <c r="V151" i="9"/>
  <c r="U151" i="9"/>
  <c r="T151" i="9"/>
  <c r="S151" i="9"/>
  <c r="R151" i="9"/>
  <c r="Q151" i="9"/>
  <c r="I44" i="4" s="1"/>
  <c r="O151" i="9"/>
  <c r="V150" i="9"/>
  <c r="U150" i="9"/>
  <c r="T150" i="9"/>
  <c r="I80" i="7" s="1"/>
  <c r="S150" i="9"/>
  <c r="R150" i="9"/>
  <c r="Q150" i="9"/>
  <c r="O150" i="9"/>
  <c r="V149" i="9"/>
  <c r="U149" i="9"/>
  <c r="T149" i="9"/>
  <c r="S149" i="9"/>
  <c r="R149" i="9"/>
  <c r="Q149" i="9"/>
  <c r="O149" i="9"/>
  <c r="V148" i="9"/>
  <c r="U148" i="9"/>
  <c r="T148" i="9"/>
  <c r="S148" i="9"/>
  <c r="R148" i="9"/>
  <c r="I117" i="33" s="1"/>
  <c r="Q148" i="9"/>
  <c r="O148" i="9"/>
  <c r="V147" i="9"/>
  <c r="U147" i="9"/>
  <c r="T147" i="9"/>
  <c r="S147" i="9"/>
  <c r="R147" i="9"/>
  <c r="Q147" i="9"/>
  <c r="O147" i="9"/>
  <c r="V146" i="9"/>
  <c r="U146" i="9"/>
  <c r="T146" i="9"/>
  <c r="S146" i="9"/>
  <c r="R146" i="9"/>
  <c r="Q146" i="9"/>
  <c r="O146" i="9"/>
  <c r="V145" i="9"/>
  <c r="U145" i="9"/>
  <c r="T145" i="9"/>
  <c r="S145" i="9"/>
  <c r="R145" i="9"/>
  <c r="Q145" i="9"/>
  <c r="O145" i="9"/>
  <c r="V144" i="9"/>
  <c r="U144" i="9"/>
  <c r="T144" i="9"/>
  <c r="S144" i="9"/>
  <c r="R144" i="9"/>
  <c r="Q144" i="9"/>
  <c r="I46" i="4" s="1"/>
  <c r="O144" i="9"/>
  <c r="V143" i="9"/>
  <c r="U143" i="9"/>
  <c r="T143" i="9"/>
  <c r="I49" i="7" s="1"/>
  <c r="S143" i="9"/>
  <c r="R143" i="9"/>
  <c r="Q143" i="9"/>
  <c r="O143" i="9"/>
  <c r="V142" i="9"/>
  <c r="U142" i="9"/>
  <c r="T142" i="9"/>
  <c r="S142" i="9"/>
  <c r="R142" i="9"/>
  <c r="Q142" i="9"/>
  <c r="O142" i="9"/>
  <c r="V141" i="9"/>
  <c r="U141" i="9"/>
  <c r="T141" i="9"/>
  <c r="S141" i="9"/>
  <c r="R141" i="9"/>
  <c r="Q141" i="9"/>
  <c r="O141" i="9"/>
  <c r="V140" i="9"/>
  <c r="U140" i="9"/>
  <c r="T140" i="9"/>
  <c r="S140" i="9"/>
  <c r="I129" i="6" s="1"/>
  <c r="R140" i="9"/>
  <c r="Q140" i="9"/>
  <c r="O140" i="9"/>
  <c r="V139" i="9"/>
  <c r="U139" i="9"/>
  <c r="T139" i="9"/>
  <c r="S139" i="9"/>
  <c r="I100" i="6" s="1"/>
  <c r="R139" i="9"/>
  <c r="Q139" i="9"/>
  <c r="O139" i="9"/>
  <c r="V138" i="9"/>
  <c r="U138" i="9"/>
  <c r="T138" i="9"/>
  <c r="S138" i="9"/>
  <c r="R138" i="9"/>
  <c r="Q138" i="9"/>
  <c r="O138" i="9"/>
  <c r="V137" i="9"/>
  <c r="U137" i="9"/>
  <c r="T137" i="9"/>
  <c r="S137" i="9"/>
  <c r="R137" i="9"/>
  <c r="Q137" i="9"/>
  <c r="O137" i="9"/>
  <c r="V136" i="9"/>
  <c r="U136" i="9"/>
  <c r="T136" i="9"/>
  <c r="S136" i="9"/>
  <c r="R136" i="9"/>
  <c r="Q136" i="9"/>
  <c r="O136" i="9"/>
  <c r="V135" i="9"/>
  <c r="U135" i="9"/>
  <c r="T135" i="9"/>
  <c r="S135" i="9"/>
  <c r="R135" i="9"/>
  <c r="Q135" i="9"/>
  <c r="O135" i="9"/>
  <c r="V134" i="9"/>
  <c r="U134" i="9"/>
  <c r="T134" i="9"/>
  <c r="S134" i="9"/>
  <c r="R134" i="9"/>
  <c r="Q134" i="9"/>
  <c r="O134" i="9"/>
  <c r="V133" i="9"/>
  <c r="U133" i="9"/>
  <c r="T133" i="9"/>
  <c r="S133" i="9"/>
  <c r="I111" i="6" s="1"/>
  <c r="R133" i="9"/>
  <c r="Q133" i="9"/>
  <c r="O133" i="9"/>
  <c r="V132" i="9"/>
  <c r="U132" i="9"/>
  <c r="T132" i="9"/>
  <c r="S132" i="9"/>
  <c r="R132" i="9"/>
  <c r="Q132" i="9"/>
  <c r="O132" i="9"/>
  <c r="V131" i="9"/>
  <c r="U131" i="9"/>
  <c r="T131" i="9"/>
  <c r="S131" i="9"/>
  <c r="R131" i="9"/>
  <c r="Q131" i="9"/>
  <c r="O131" i="9"/>
  <c r="V130" i="9"/>
  <c r="U130" i="9"/>
  <c r="T130" i="9"/>
  <c r="S130" i="9"/>
  <c r="R130" i="9"/>
  <c r="I125" i="33" s="1"/>
  <c r="Q130" i="9"/>
  <c r="O130" i="9"/>
  <c r="V129" i="9"/>
  <c r="U129" i="9"/>
  <c r="T129" i="9"/>
  <c r="S129" i="9"/>
  <c r="R129" i="9"/>
  <c r="Q129" i="9"/>
  <c r="O129" i="9"/>
  <c r="V128" i="9"/>
  <c r="U128" i="9"/>
  <c r="T128" i="9"/>
  <c r="S128" i="9"/>
  <c r="I148" i="6" s="1"/>
  <c r="R128" i="9"/>
  <c r="Q128" i="9"/>
  <c r="O128" i="9"/>
  <c r="V127" i="9"/>
  <c r="U127" i="9"/>
  <c r="T127" i="9"/>
  <c r="S127" i="9"/>
  <c r="R127" i="9"/>
  <c r="Q127" i="9"/>
  <c r="O127" i="9"/>
  <c r="V126" i="9"/>
  <c r="U126" i="9"/>
  <c r="T126" i="9"/>
  <c r="S126" i="9"/>
  <c r="R126" i="9"/>
  <c r="Q126" i="9"/>
  <c r="O126" i="9"/>
  <c r="V125" i="9"/>
  <c r="U125" i="9"/>
  <c r="T125" i="9"/>
  <c r="S125" i="9"/>
  <c r="R125" i="9"/>
  <c r="Q125" i="9"/>
  <c r="O125" i="9"/>
  <c r="V124" i="9"/>
  <c r="U124" i="9"/>
  <c r="T124" i="9"/>
  <c r="S124" i="9"/>
  <c r="R124" i="9"/>
  <c r="Q124" i="9"/>
  <c r="O124" i="9"/>
  <c r="V123" i="9"/>
  <c r="U123" i="9"/>
  <c r="T123" i="9"/>
  <c r="S123" i="9"/>
  <c r="R123" i="9"/>
  <c r="Q123" i="9"/>
  <c r="O123" i="9"/>
  <c r="V122" i="9"/>
  <c r="U122" i="9"/>
  <c r="T122" i="9"/>
  <c r="I65" i="7" s="1"/>
  <c r="S122" i="9"/>
  <c r="R122" i="9"/>
  <c r="Q122" i="9"/>
  <c r="O122" i="9"/>
  <c r="V121" i="9"/>
  <c r="U121" i="9"/>
  <c r="T121" i="9"/>
  <c r="S121" i="9"/>
  <c r="R121" i="9"/>
  <c r="Q121" i="9"/>
  <c r="O121" i="9"/>
  <c r="V120" i="9"/>
  <c r="U120" i="9"/>
  <c r="T120" i="9"/>
  <c r="S120" i="9"/>
  <c r="R120" i="9"/>
  <c r="Q120" i="9"/>
  <c r="O120" i="9"/>
  <c r="V119" i="9"/>
  <c r="U119" i="9"/>
  <c r="T119" i="9"/>
  <c r="S119" i="9"/>
  <c r="R119" i="9"/>
  <c r="Q119" i="9"/>
  <c r="O119" i="9"/>
  <c r="V118" i="9"/>
  <c r="U118" i="9"/>
  <c r="T118" i="9"/>
  <c r="I53" i="7" s="1"/>
  <c r="S118" i="9"/>
  <c r="R118" i="9"/>
  <c r="Q118" i="9"/>
  <c r="O118" i="9"/>
  <c r="V117" i="9"/>
  <c r="U117" i="9"/>
  <c r="T117" i="9"/>
  <c r="S117" i="9"/>
  <c r="R117" i="9"/>
  <c r="Q117" i="9"/>
  <c r="O117" i="9"/>
  <c r="V116" i="9"/>
  <c r="U116" i="9"/>
  <c r="T116" i="9"/>
  <c r="S116" i="9"/>
  <c r="R116" i="9"/>
  <c r="Q116" i="9"/>
  <c r="O116" i="9"/>
  <c r="V115" i="9"/>
  <c r="U115" i="9"/>
  <c r="T115" i="9"/>
  <c r="S115" i="9"/>
  <c r="R115" i="9"/>
  <c r="Q115" i="9"/>
  <c r="O115" i="9"/>
  <c r="V114" i="9"/>
  <c r="U114" i="9"/>
  <c r="T114" i="9"/>
  <c r="S114" i="9"/>
  <c r="R114" i="9"/>
  <c r="Q114" i="9"/>
  <c r="O114" i="9"/>
  <c r="V113" i="9"/>
  <c r="U113" i="9"/>
  <c r="T113" i="9"/>
  <c r="S113" i="9"/>
  <c r="R113" i="9"/>
  <c r="Q113" i="9"/>
  <c r="O113" i="9"/>
  <c r="V112" i="9"/>
  <c r="U112" i="9"/>
  <c r="T112" i="9"/>
  <c r="S112" i="9"/>
  <c r="R112" i="9"/>
  <c r="Q112" i="9"/>
  <c r="O112" i="9"/>
  <c r="V111" i="9"/>
  <c r="U111" i="9"/>
  <c r="T111" i="9"/>
  <c r="S111" i="9"/>
  <c r="R111" i="9"/>
  <c r="Q111" i="9"/>
  <c r="O111" i="9"/>
  <c r="V110" i="9"/>
  <c r="U110" i="9"/>
  <c r="T110" i="9"/>
  <c r="S110" i="9"/>
  <c r="R110" i="9"/>
  <c r="Q110" i="9"/>
  <c r="O110" i="9"/>
  <c r="V109" i="9"/>
  <c r="U109" i="9"/>
  <c r="T109" i="9"/>
  <c r="S109" i="9"/>
  <c r="R109" i="9"/>
  <c r="Q109" i="9"/>
  <c r="O109" i="9"/>
  <c r="V108" i="9"/>
  <c r="U108" i="9"/>
  <c r="T108" i="9"/>
  <c r="S108" i="9"/>
  <c r="R108" i="9"/>
  <c r="Q108" i="9"/>
  <c r="O108" i="9"/>
  <c r="V107" i="9"/>
  <c r="U107" i="9"/>
  <c r="T107" i="9"/>
  <c r="S107" i="9"/>
  <c r="R107" i="9"/>
  <c r="Q107" i="9"/>
  <c r="O107" i="9"/>
  <c r="V106" i="9"/>
  <c r="U106" i="9"/>
  <c r="T106" i="9"/>
  <c r="S106" i="9"/>
  <c r="R106" i="9"/>
  <c r="Q106" i="9"/>
  <c r="O106" i="9"/>
  <c r="V105" i="9"/>
  <c r="U105" i="9"/>
  <c r="T105" i="9"/>
  <c r="S105" i="9"/>
  <c r="R105" i="9"/>
  <c r="I112" i="33" s="1"/>
  <c r="Q105" i="9"/>
  <c r="O105" i="9"/>
  <c r="V104" i="9"/>
  <c r="U104" i="9"/>
  <c r="T104" i="9"/>
  <c r="S104" i="9"/>
  <c r="R104" i="9"/>
  <c r="I110" i="33" s="1"/>
  <c r="Q104" i="9"/>
  <c r="O104" i="9"/>
  <c r="V103" i="9"/>
  <c r="U103" i="9"/>
  <c r="T103" i="9"/>
  <c r="S103" i="9"/>
  <c r="R103" i="9"/>
  <c r="Q103" i="9"/>
  <c r="O103" i="9"/>
  <c r="V102" i="9"/>
  <c r="U102" i="9"/>
  <c r="T102" i="9"/>
  <c r="S102" i="9"/>
  <c r="R102" i="9"/>
  <c r="Q102" i="9"/>
  <c r="O102" i="9"/>
  <c r="V101" i="9"/>
  <c r="U101" i="9"/>
  <c r="T101" i="9"/>
  <c r="S101" i="9"/>
  <c r="R101" i="9"/>
  <c r="Q101" i="9"/>
  <c r="O101" i="9"/>
  <c r="V100" i="9"/>
  <c r="U100" i="9"/>
  <c r="T100" i="9"/>
  <c r="I60" i="7" s="1"/>
  <c r="S100" i="9"/>
  <c r="R100" i="9"/>
  <c r="Q100" i="9"/>
  <c r="O100" i="9"/>
  <c r="V99" i="9"/>
  <c r="U99" i="9"/>
  <c r="T99" i="9"/>
  <c r="S99" i="9"/>
  <c r="R99" i="9"/>
  <c r="Q99" i="9"/>
  <c r="O99" i="9"/>
  <c r="V98" i="9"/>
  <c r="U98" i="9"/>
  <c r="T98" i="9"/>
  <c r="S98" i="9"/>
  <c r="R98" i="9"/>
  <c r="Q98" i="9"/>
  <c r="O98" i="9"/>
  <c r="V97" i="9"/>
  <c r="U97" i="9"/>
  <c r="T97" i="9"/>
  <c r="S97" i="9"/>
  <c r="R97" i="9"/>
  <c r="Q97" i="9"/>
  <c r="O97" i="9"/>
  <c r="V96" i="9"/>
  <c r="U96" i="9"/>
  <c r="T96" i="9"/>
  <c r="S96" i="9"/>
  <c r="R96" i="9"/>
  <c r="Q96" i="9"/>
  <c r="O96" i="9"/>
  <c r="V95" i="9"/>
  <c r="U95" i="9"/>
  <c r="T95" i="9"/>
  <c r="S95" i="9"/>
  <c r="R95" i="9"/>
  <c r="Q95" i="9"/>
  <c r="O95" i="9"/>
  <c r="V94" i="9"/>
  <c r="U94" i="9"/>
  <c r="T94" i="9"/>
  <c r="S94" i="9"/>
  <c r="R94" i="9"/>
  <c r="Q94" i="9"/>
  <c r="O94" i="9"/>
  <c r="V93" i="9"/>
  <c r="U93" i="9"/>
  <c r="T93" i="9"/>
  <c r="S93" i="9"/>
  <c r="R93" i="9"/>
  <c r="Q93" i="9"/>
  <c r="O93" i="9"/>
  <c r="V92" i="9"/>
  <c r="U92" i="9"/>
  <c r="T92" i="9"/>
  <c r="S92" i="9"/>
  <c r="R92" i="9"/>
  <c r="Q92" i="9"/>
  <c r="O92" i="9"/>
  <c r="V91" i="9"/>
  <c r="U91" i="9"/>
  <c r="T91" i="9"/>
  <c r="S91" i="9"/>
  <c r="R91" i="9"/>
  <c r="Q91" i="9"/>
  <c r="O91" i="9"/>
  <c r="V90" i="9"/>
  <c r="U90" i="9"/>
  <c r="T90" i="9"/>
  <c r="S90" i="9"/>
  <c r="R90" i="9"/>
  <c r="Q90" i="9"/>
  <c r="O90" i="9"/>
  <c r="V89" i="9"/>
  <c r="U89" i="9"/>
  <c r="T89" i="9"/>
  <c r="S89" i="9"/>
  <c r="R89" i="9"/>
  <c r="Q89" i="9"/>
  <c r="O89" i="9"/>
  <c r="V88" i="9"/>
  <c r="U88" i="9"/>
  <c r="T88" i="9"/>
  <c r="S88" i="9"/>
  <c r="R88" i="9"/>
  <c r="Q88" i="9"/>
  <c r="O88" i="9"/>
  <c r="V87" i="9"/>
  <c r="U87" i="9"/>
  <c r="T87" i="9"/>
  <c r="S87" i="9"/>
  <c r="R87" i="9"/>
  <c r="Q87" i="9"/>
  <c r="O87" i="9"/>
  <c r="V86" i="9"/>
  <c r="U86" i="9"/>
  <c r="T86" i="9"/>
  <c r="S86" i="9"/>
  <c r="R86" i="9"/>
  <c r="Q86" i="9"/>
  <c r="O86" i="9"/>
  <c r="V85" i="9"/>
  <c r="U85" i="9"/>
  <c r="T85" i="9"/>
  <c r="S85" i="9"/>
  <c r="R85" i="9"/>
  <c r="Q85" i="9"/>
  <c r="O85" i="9"/>
  <c r="V84" i="9"/>
  <c r="U84" i="9"/>
  <c r="T84" i="9"/>
  <c r="S84" i="9"/>
  <c r="R84" i="9"/>
  <c r="Q84" i="9"/>
  <c r="O84" i="9"/>
  <c r="V83" i="9"/>
  <c r="U83" i="9"/>
  <c r="T83" i="9"/>
  <c r="S83" i="9"/>
  <c r="R83" i="9"/>
  <c r="Q83" i="9"/>
  <c r="O83" i="9"/>
  <c r="V82" i="9"/>
  <c r="U82" i="9"/>
  <c r="T82" i="9"/>
  <c r="S82" i="9"/>
  <c r="R82" i="9"/>
  <c r="Q82" i="9"/>
  <c r="O82" i="9"/>
  <c r="V81" i="9"/>
  <c r="U81" i="9"/>
  <c r="T81" i="9"/>
  <c r="S81" i="9"/>
  <c r="R81" i="9"/>
  <c r="Q81" i="9"/>
  <c r="O81" i="9"/>
  <c r="V80" i="9"/>
  <c r="U80" i="9"/>
  <c r="T80" i="9"/>
  <c r="S80" i="9"/>
  <c r="R80" i="9"/>
  <c r="Q80" i="9"/>
  <c r="O80" i="9"/>
  <c r="V79" i="9"/>
  <c r="U79" i="9"/>
  <c r="T79" i="9"/>
  <c r="S79" i="9"/>
  <c r="R79" i="9"/>
  <c r="Q79" i="9"/>
  <c r="O79" i="9"/>
  <c r="V78" i="9"/>
  <c r="U78" i="9"/>
  <c r="T78" i="9"/>
  <c r="S78" i="9"/>
  <c r="R78" i="9"/>
  <c r="Q78" i="9"/>
  <c r="O78" i="9"/>
  <c r="V77" i="9"/>
  <c r="U77" i="9"/>
  <c r="T77" i="9"/>
  <c r="S77" i="9"/>
  <c r="R77" i="9"/>
  <c r="Q77" i="9"/>
  <c r="O77" i="9"/>
  <c r="V76" i="9"/>
  <c r="U76" i="9"/>
  <c r="T76" i="9"/>
  <c r="S76" i="9"/>
  <c r="R76" i="9"/>
  <c r="Q76" i="9"/>
  <c r="O76" i="9"/>
  <c r="V75" i="9"/>
  <c r="U75" i="9"/>
  <c r="T75" i="9"/>
  <c r="S75" i="9"/>
  <c r="R75" i="9"/>
  <c r="Q75" i="9"/>
  <c r="O75" i="9"/>
  <c r="V74" i="9"/>
  <c r="U74" i="9"/>
  <c r="T74" i="9"/>
  <c r="S74" i="9"/>
  <c r="R74" i="9"/>
  <c r="Q74" i="9"/>
  <c r="O74" i="9"/>
  <c r="V73" i="9"/>
  <c r="U73" i="9"/>
  <c r="T73" i="9"/>
  <c r="S73" i="9"/>
  <c r="R73" i="9"/>
  <c r="I123" i="33" s="1"/>
  <c r="Q73" i="9"/>
  <c r="O73" i="9"/>
  <c r="V72" i="9"/>
  <c r="U72" i="9"/>
  <c r="T72" i="9"/>
  <c r="S72" i="9"/>
  <c r="R72" i="9"/>
  <c r="Q72" i="9"/>
  <c r="O72" i="9"/>
  <c r="V71" i="9"/>
  <c r="U71" i="9"/>
  <c r="T71" i="9"/>
  <c r="S71" i="9"/>
  <c r="R71" i="9"/>
  <c r="Q71" i="9"/>
  <c r="O71" i="9"/>
  <c r="V70" i="9"/>
  <c r="U70" i="9"/>
  <c r="T70" i="9"/>
  <c r="S70" i="9"/>
  <c r="I112" i="6" s="1"/>
  <c r="R70" i="9"/>
  <c r="Q70" i="9"/>
  <c r="O70" i="9"/>
  <c r="V69" i="9"/>
  <c r="U69" i="9"/>
  <c r="T69" i="9"/>
  <c r="S69" i="9"/>
  <c r="R69" i="9"/>
  <c r="Q69" i="9"/>
  <c r="O69" i="9"/>
  <c r="V68" i="9"/>
  <c r="U68" i="9"/>
  <c r="T68" i="9"/>
  <c r="S68" i="9"/>
  <c r="I124" i="6" s="1"/>
  <c r="R68" i="9"/>
  <c r="Q68" i="9"/>
  <c r="O68" i="9"/>
  <c r="V67" i="9"/>
  <c r="U67" i="9"/>
  <c r="T67" i="9"/>
  <c r="I71" i="7" s="1"/>
  <c r="S67" i="9"/>
  <c r="R67" i="9"/>
  <c r="Q67" i="9"/>
  <c r="O67" i="9"/>
  <c r="V66" i="9"/>
  <c r="U66" i="9"/>
  <c r="T66" i="9"/>
  <c r="S66" i="9"/>
  <c r="R66" i="9"/>
  <c r="Q66" i="9"/>
  <c r="O66" i="9"/>
  <c r="V65" i="9"/>
  <c r="U65" i="9"/>
  <c r="T65" i="9"/>
  <c r="S65" i="9"/>
  <c r="R65" i="9"/>
  <c r="Q65" i="9"/>
  <c r="O65" i="9"/>
  <c r="V64" i="9"/>
  <c r="U64" i="9"/>
  <c r="T64" i="9"/>
  <c r="S64" i="9"/>
  <c r="R64" i="9"/>
  <c r="Q64" i="9"/>
  <c r="O64" i="9"/>
  <c r="V63" i="9"/>
  <c r="U63" i="9"/>
  <c r="T63" i="9"/>
  <c r="S63" i="9"/>
  <c r="R63" i="9"/>
  <c r="I133" i="33" s="1"/>
  <c r="Q63" i="9"/>
  <c r="O63" i="9"/>
  <c r="V62" i="9"/>
  <c r="U62" i="9"/>
  <c r="T62" i="9"/>
  <c r="S62" i="9"/>
  <c r="R62" i="9"/>
  <c r="Q62" i="9"/>
  <c r="O62" i="9"/>
  <c r="V61" i="9"/>
  <c r="U61" i="9"/>
  <c r="T61" i="9"/>
  <c r="S61" i="9"/>
  <c r="R61" i="9"/>
  <c r="Q61" i="9"/>
  <c r="O61" i="9"/>
  <c r="V60" i="9"/>
  <c r="U60" i="9"/>
  <c r="T60" i="9"/>
  <c r="I64" i="7" s="1"/>
  <c r="S60" i="9"/>
  <c r="R60" i="9"/>
  <c r="Q60" i="9"/>
  <c r="O60" i="9"/>
  <c r="V59" i="9"/>
  <c r="U59" i="9"/>
  <c r="T59" i="9"/>
  <c r="S59" i="9"/>
  <c r="R59" i="9"/>
  <c r="Q59" i="9"/>
  <c r="O59" i="9"/>
  <c r="V58" i="9"/>
  <c r="U58" i="9"/>
  <c r="T58" i="9"/>
  <c r="S58" i="9"/>
  <c r="I149" i="6" s="1"/>
  <c r="R58" i="9"/>
  <c r="Q58" i="9"/>
  <c r="O58" i="9"/>
  <c r="V57" i="9"/>
  <c r="U57" i="9"/>
  <c r="T57" i="9"/>
  <c r="S57" i="9"/>
  <c r="R57" i="9"/>
  <c r="Q57" i="9"/>
  <c r="O57" i="9"/>
  <c r="V56" i="9"/>
  <c r="U56" i="9"/>
  <c r="T56" i="9"/>
  <c r="S56" i="9"/>
  <c r="I159" i="6" s="1"/>
  <c r="R56" i="9"/>
  <c r="Q56" i="9"/>
  <c r="O56" i="9"/>
  <c r="V55" i="9"/>
  <c r="U55" i="9"/>
  <c r="T55" i="9"/>
  <c r="S55" i="9"/>
  <c r="R55" i="9"/>
  <c r="Q55" i="9"/>
  <c r="O55" i="9"/>
  <c r="V54" i="9"/>
  <c r="U54" i="9"/>
  <c r="T54" i="9"/>
  <c r="S54" i="9"/>
  <c r="R54" i="9"/>
  <c r="Q54" i="9"/>
  <c r="O54" i="9"/>
  <c r="V53" i="9"/>
  <c r="U53" i="9"/>
  <c r="T53" i="9"/>
  <c r="S53" i="9"/>
  <c r="R53" i="9"/>
  <c r="Q53" i="9"/>
  <c r="O53" i="9"/>
  <c r="V52" i="9"/>
  <c r="U52" i="9"/>
  <c r="T52" i="9"/>
  <c r="S52" i="9"/>
  <c r="R52" i="9"/>
  <c r="Q52" i="9"/>
  <c r="O52" i="9"/>
  <c r="V51" i="9"/>
  <c r="U51" i="9"/>
  <c r="T51" i="9"/>
  <c r="S51" i="9"/>
  <c r="I133" i="6" s="1"/>
  <c r="R51" i="9"/>
  <c r="Q51" i="9"/>
  <c r="O51" i="9"/>
  <c r="V50" i="9"/>
  <c r="U50" i="9"/>
  <c r="T50" i="9"/>
  <c r="S50" i="9"/>
  <c r="R50" i="9"/>
  <c r="Q50" i="9"/>
  <c r="O50" i="9"/>
  <c r="V49" i="9"/>
  <c r="U49" i="9"/>
  <c r="T49" i="9"/>
  <c r="S49" i="9"/>
  <c r="I96" i="6" s="1"/>
  <c r="R49" i="9"/>
  <c r="Q49" i="9"/>
  <c r="O49" i="9"/>
  <c r="V48" i="9"/>
  <c r="U48" i="9"/>
  <c r="T48" i="9"/>
  <c r="S48" i="9"/>
  <c r="I142" i="6" s="1"/>
  <c r="R48" i="9"/>
  <c r="Q48" i="9"/>
  <c r="O48" i="9"/>
  <c r="V47" i="9"/>
  <c r="U47" i="9"/>
  <c r="T47" i="9"/>
  <c r="S47" i="9"/>
  <c r="R47" i="9"/>
  <c r="Q47" i="9"/>
  <c r="O47" i="9"/>
  <c r="V46" i="9"/>
  <c r="U46" i="9"/>
  <c r="T46" i="9"/>
  <c r="S46" i="9"/>
  <c r="R46" i="9"/>
  <c r="Q46" i="9"/>
  <c r="I52" i="4" s="1"/>
  <c r="O46" i="9"/>
  <c r="V45" i="9"/>
  <c r="U45" i="9"/>
  <c r="T45" i="9"/>
  <c r="S45" i="9"/>
  <c r="R45" i="9"/>
  <c r="Q45" i="9"/>
  <c r="I50" i="4" s="1"/>
  <c r="O45" i="9"/>
  <c r="V44" i="9"/>
  <c r="U44" i="9"/>
  <c r="T44" i="9"/>
  <c r="S44" i="9"/>
  <c r="R44" i="9"/>
  <c r="Q44" i="9"/>
  <c r="O44" i="9"/>
  <c r="V43" i="9"/>
  <c r="U43" i="9"/>
  <c r="T43" i="9"/>
  <c r="S43" i="9"/>
  <c r="R43" i="9"/>
  <c r="Q43" i="9"/>
  <c r="O43" i="9"/>
  <c r="V42" i="9"/>
  <c r="U42" i="9"/>
  <c r="T42" i="9"/>
  <c r="S42" i="9"/>
  <c r="I150" i="6" s="1"/>
  <c r="R42" i="9"/>
  <c r="Q42" i="9"/>
  <c r="O42" i="9"/>
  <c r="V41" i="9"/>
  <c r="U41" i="9"/>
  <c r="T41" i="9"/>
  <c r="I57" i="7" s="1"/>
  <c r="S41" i="9"/>
  <c r="R41" i="9"/>
  <c r="Q41" i="9"/>
  <c r="O41" i="9"/>
  <c r="V40" i="9"/>
  <c r="U40" i="9"/>
  <c r="T40" i="9"/>
  <c r="S40" i="9"/>
  <c r="R40" i="9"/>
  <c r="Q40" i="9"/>
  <c r="O40" i="9"/>
  <c r="V39" i="9"/>
  <c r="U39" i="9"/>
  <c r="T39" i="9"/>
  <c r="S39" i="9"/>
  <c r="R39" i="9"/>
  <c r="Q39" i="9"/>
  <c r="O39" i="9"/>
  <c r="V38" i="9"/>
  <c r="U38" i="9"/>
  <c r="T38" i="9"/>
  <c r="I45" i="7" s="1"/>
  <c r="S38" i="9"/>
  <c r="R38" i="9"/>
  <c r="Q38" i="9"/>
  <c r="O38" i="9"/>
  <c r="V37" i="9"/>
  <c r="U37" i="9"/>
  <c r="T37" i="9"/>
  <c r="S37" i="9"/>
  <c r="R37" i="9"/>
  <c r="Q37" i="9"/>
  <c r="O37" i="9"/>
  <c r="V36" i="9"/>
  <c r="U36" i="9"/>
  <c r="T36" i="9"/>
  <c r="S36" i="9"/>
  <c r="R36" i="9"/>
  <c r="Q36" i="9"/>
  <c r="O36" i="9"/>
  <c r="V35" i="9"/>
  <c r="U35" i="9"/>
  <c r="T35" i="9"/>
  <c r="S35" i="9"/>
  <c r="R35" i="9"/>
  <c r="Q35" i="9"/>
  <c r="O35" i="9"/>
  <c r="V34" i="9"/>
  <c r="U34" i="9"/>
  <c r="T34" i="9"/>
  <c r="S34" i="9"/>
  <c r="R34" i="9"/>
  <c r="Q34" i="9"/>
  <c r="O34" i="9"/>
  <c r="V33" i="9"/>
  <c r="U33" i="9"/>
  <c r="T33" i="9"/>
  <c r="S33" i="9"/>
  <c r="R33" i="9"/>
  <c r="Q33" i="9"/>
  <c r="O33" i="9"/>
  <c r="V32" i="9"/>
  <c r="U32" i="9"/>
  <c r="T32" i="9"/>
  <c r="S32" i="9"/>
  <c r="R32" i="9"/>
  <c r="Q32" i="9"/>
  <c r="O32" i="9"/>
  <c r="V31" i="9"/>
  <c r="U31" i="9"/>
  <c r="T31" i="9"/>
  <c r="S31" i="9"/>
  <c r="R31" i="9"/>
  <c r="I115" i="33" s="1"/>
  <c r="Q31" i="9"/>
  <c r="O31" i="9"/>
  <c r="V30" i="9"/>
  <c r="U30" i="9"/>
  <c r="T30" i="9"/>
  <c r="S30" i="9"/>
  <c r="R30" i="9"/>
  <c r="Q30" i="9"/>
  <c r="O30" i="9"/>
  <c r="V29" i="9"/>
  <c r="U29" i="9"/>
  <c r="T29" i="9"/>
  <c r="S29" i="9"/>
  <c r="R29" i="9"/>
  <c r="Q29" i="9"/>
  <c r="O29" i="9"/>
  <c r="V28" i="9"/>
  <c r="U28" i="9"/>
  <c r="T28" i="9"/>
  <c r="S28" i="9"/>
  <c r="R28" i="9"/>
  <c r="Q28" i="9"/>
  <c r="O28" i="9"/>
  <c r="V27" i="9"/>
  <c r="U27" i="9"/>
  <c r="T27" i="9"/>
  <c r="S27" i="9"/>
  <c r="R27" i="9"/>
  <c r="Q27" i="9"/>
  <c r="O27" i="9"/>
  <c r="V26" i="9"/>
  <c r="U26" i="9"/>
  <c r="T26" i="9"/>
  <c r="S26" i="9"/>
  <c r="R26" i="9"/>
  <c r="Q26" i="9"/>
  <c r="O26" i="9"/>
  <c r="V25" i="9"/>
  <c r="U25" i="9"/>
  <c r="T25" i="9"/>
  <c r="S25" i="9"/>
  <c r="R25" i="9"/>
  <c r="Q25" i="9"/>
  <c r="O25" i="9"/>
  <c r="V24" i="9"/>
  <c r="U24" i="9"/>
  <c r="T24" i="9"/>
  <c r="S24" i="9"/>
  <c r="R24" i="9"/>
  <c r="Q24" i="9"/>
  <c r="O24" i="9"/>
  <c r="V23" i="9"/>
  <c r="U23" i="9"/>
  <c r="T23" i="9"/>
  <c r="S23" i="9"/>
  <c r="I154" i="6" s="1"/>
  <c r="R23" i="9"/>
  <c r="Q23" i="9"/>
  <c r="I47" i="4" s="1"/>
  <c r="O23" i="9"/>
  <c r="V22" i="9"/>
  <c r="U22" i="9"/>
  <c r="T22" i="9"/>
  <c r="S22" i="9"/>
  <c r="R22" i="9"/>
  <c r="Q22" i="9"/>
  <c r="O22" i="9"/>
  <c r="V21" i="9"/>
  <c r="U21" i="9"/>
  <c r="T21" i="9"/>
  <c r="S21" i="9"/>
  <c r="R21" i="9"/>
  <c r="Q21" i="9"/>
  <c r="O21" i="9"/>
  <c r="V20" i="9"/>
  <c r="U20" i="9"/>
  <c r="T20" i="9"/>
  <c r="S20" i="9"/>
  <c r="R20" i="9"/>
  <c r="I103" i="33" s="1"/>
  <c r="Q20" i="9"/>
  <c r="O20" i="9"/>
  <c r="V19" i="9"/>
  <c r="U19" i="9"/>
  <c r="T19" i="9"/>
  <c r="S19" i="9"/>
  <c r="R19" i="9"/>
  <c r="Q19" i="9"/>
  <c r="I51" i="4" s="1"/>
  <c r="O19" i="9"/>
  <c r="V18" i="9"/>
  <c r="U18" i="9"/>
  <c r="T18" i="9"/>
  <c r="S18" i="9"/>
  <c r="R18" i="9"/>
  <c r="Q18" i="9"/>
  <c r="O18" i="9"/>
  <c r="V17" i="9"/>
  <c r="U17" i="9"/>
  <c r="T17" i="9"/>
  <c r="S17" i="9"/>
  <c r="R17" i="9"/>
  <c r="Q17" i="9"/>
  <c r="O17" i="9"/>
  <c r="V16" i="9"/>
  <c r="U16" i="9"/>
  <c r="T16" i="9"/>
  <c r="S16" i="9"/>
  <c r="R16" i="9"/>
  <c r="Q16" i="9"/>
  <c r="O16" i="9"/>
  <c r="V15" i="9"/>
  <c r="U15" i="9"/>
  <c r="T15" i="9"/>
  <c r="S15" i="9"/>
  <c r="R15" i="9"/>
  <c r="Q15" i="9"/>
  <c r="O15" i="9"/>
  <c r="V14" i="9"/>
  <c r="U14" i="9"/>
  <c r="T14" i="9"/>
  <c r="S14" i="9"/>
  <c r="R14" i="9"/>
  <c r="Q14" i="9"/>
  <c r="O14" i="9"/>
  <c r="V13" i="9"/>
  <c r="U13" i="9"/>
  <c r="T13" i="9"/>
  <c r="S13" i="9"/>
  <c r="R13" i="9"/>
  <c r="Q13" i="9"/>
  <c r="O13" i="9"/>
  <c r="V12" i="9"/>
  <c r="U12" i="9"/>
  <c r="T12" i="9"/>
  <c r="S12" i="9"/>
  <c r="R12" i="9"/>
  <c r="Q12" i="9"/>
  <c r="O12" i="9"/>
  <c r="V11" i="9"/>
  <c r="U11" i="9"/>
  <c r="T11" i="9"/>
  <c r="S11" i="9"/>
  <c r="R11" i="9"/>
  <c r="Q11" i="9"/>
  <c r="O11" i="9"/>
  <c r="V10" i="9"/>
  <c r="U10" i="9"/>
  <c r="T10" i="9"/>
  <c r="S10" i="9"/>
  <c r="R10" i="9"/>
  <c r="Q10" i="9"/>
  <c r="O10" i="9"/>
  <c r="V9" i="9"/>
  <c r="U9" i="9"/>
  <c r="T9" i="9"/>
  <c r="S9" i="9"/>
  <c r="R9" i="9"/>
  <c r="Q9" i="9"/>
  <c r="O9" i="9"/>
  <c r="V8" i="9"/>
  <c r="U8" i="9"/>
  <c r="T8" i="9"/>
  <c r="I63" i="7" s="1"/>
  <c r="S8" i="9"/>
  <c r="R8" i="9"/>
  <c r="Q8" i="9"/>
  <c r="O8" i="9"/>
  <c r="V7" i="9"/>
  <c r="U7" i="9"/>
  <c r="T7" i="9"/>
  <c r="S7" i="9"/>
  <c r="R7" i="9"/>
  <c r="Q7" i="9"/>
  <c r="O7" i="9"/>
  <c r="AC6" i="9"/>
  <c r="AG259" i="38"/>
  <c r="AA6" i="9"/>
  <c r="Z6" i="9"/>
  <c r="Y6" i="9"/>
  <c r="AG2" i="37"/>
  <c r="AE2" i="37"/>
  <c r="AC2" i="37"/>
  <c r="AA2" i="37"/>
  <c r="Y2" i="37"/>
  <c r="W2" i="37"/>
  <c r="U2" i="37"/>
  <c r="S2" i="37"/>
  <c r="Q2" i="37"/>
  <c r="O2" i="37"/>
  <c r="M2" i="37"/>
  <c r="K2" i="37"/>
  <c r="I2" i="37"/>
  <c r="G2" i="37"/>
  <c r="E2" i="37"/>
  <c r="C2" i="37"/>
  <c r="AF177" i="12"/>
  <c r="AE177" i="12"/>
  <c r="AL177" i="12" s="1"/>
  <c r="AF176" i="12"/>
  <c r="AE176" i="12"/>
  <c r="AL176" i="12" s="1"/>
  <c r="AF175" i="12"/>
  <c r="AE175" i="12"/>
  <c r="AL175" i="12" s="1"/>
  <c r="AF174" i="12"/>
  <c r="AE174" i="12"/>
  <c r="AL174" i="12" s="1"/>
  <c r="AF173" i="12"/>
  <c r="AE173" i="12"/>
  <c r="AL173" i="12" s="1"/>
  <c r="AF172" i="12"/>
  <c r="AE172" i="12"/>
  <c r="AL172" i="12" s="1"/>
  <c r="AF171" i="12"/>
  <c r="AE171" i="12"/>
  <c r="AL171" i="12" s="1"/>
  <c r="AF170" i="12"/>
  <c r="AE170" i="12"/>
  <c r="AL170" i="12" s="1"/>
  <c r="AF169" i="12"/>
  <c r="AE169" i="12"/>
  <c r="AL169" i="12" s="1"/>
  <c r="AF168" i="12"/>
  <c r="AE168" i="12"/>
  <c r="AL168" i="12" s="1"/>
  <c r="AF167" i="12"/>
  <c r="AE167" i="12"/>
  <c r="AL167" i="12" s="1"/>
  <c r="AF166" i="12"/>
  <c r="AE166" i="12"/>
  <c r="AL166" i="12" s="1"/>
  <c r="AF165" i="12"/>
  <c r="AE165" i="12"/>
  <c r="AL165" i="12" s="1"/>
  <c r="AF164" i="12"/>
  <c r="AE164" i="12"/>
  <c r="AL164" i="12" s="1"/>
  <c r="AF163" i="12"/>
  <c r="AE163" i="12"/>
  <c r="AL163" i="12" s="1"/>
  <c r="AF162" i="12"/>
  <c r="AE162" i="12"/>
  <c r="AL162" i="12" s="1"/>
  <c r="AF161" i="12"/>
  <c r="AE161" i="12"/>
  <c r="AL161" i="12" s="1"/>
  <c r="AF160" i="12"/>
  <c r="AE160" i="12"/>
  <c r="AL160" i="12" s="1"/>
  <c r="AF159" i="12"/>
  <c r="AE159" i="12"/>
  <c r="AL159" i="12" s="1"/>
  <c r="AF158" i="12"/>
  <c r="AE158" i="12"/>
  <c r="AL158" i="12" s="1"/>
  <c r="AF157" i="12"/>
  <c r="AE157" i="12"/>
  <c r="AL157" i="12" s="1"/>
  <c r="AF156" i="12"/>
  <c r="AE156" i="12"/>
  <c r="AL156" i="12" s="1"/>
  <c r="AF155" i="12"/>
  <c r="AE155" i="12"/>
  <c r="AL155" i="12" s="1"/>
  <c r="AF154" i="12"/>
  <c r="AE154" i="12"/>
  <c r="AL154" i="12" s="1"/>
  <c r="AF153" i="12"/>
  <c r="AE153" i="12"/>
  <c r="AL153" i="12" s="1"/>
  <c r="AF152" i="12"/>
  <c r="AE152" i="12"/>
  <c r="AL152" i="12" s="1"/>
  <c r="AF151" i="12"/>
  <c r="AE151" i="12"/>
  <c r="AL151" i="12" s="1"/>
  <c r="AF150" i="12"/>
  <c r="AE150" i="12"/>
  <c r="AL150" i="12" s="1"/>
  <c r="AF149" i="12"/>
  <c r="AE149" i="12"/>
  <c r="AL149" i="12" s="1"/>
  <c r="AF148" i="12"/>
  <c r="AE148" i="12"/>
  <c r="AL148" i="12" s="1"/>
  <c r="AF147" i="12"/>
  <c r="AE147" i="12"/>
  <c r="AL147" i="12" s="1"/>
  <c r="AF146" i="12"/>
  <c r="AE146" i="12"/>
  <c r="AL146" i="12" s="1"/>
  <c r="AF145" i="12"/>
  <c r="AE145" i="12"/>
  <c r="AL145" i="12" s="1"/>
  <c r="AF144" i="12"/>
  <c r="AE144" i="12"/>
  <c r="AL144" i="12" s="1"/>
  <c r="AF143" i="12"/>
  <c r="AE143" i="12"/>
  <c r="AL143" i="12" s="1"/>
  <c r="AF142" i="12"/>
  <c r="AE142" i="12"/>
  <c r="AL142" i="12" s="1"/>
  <c r="AF141" i="12"/>
  <c r="AE141" i="12"/>
  <c r="AL141" i="12" s="1"/>
  <c r="AF140" i="12"/>
  <c r="AE140" i="12"/>
  <c r="AL140" i="12" s="1"/>
  <c r="AF139" i="12"/>
  <c r="AE139" i="12"/>
  <c r="AL139" i="12" s="1"/>
  <c r="AF138" i="12"/>
  <c r="AE138" i="12"/>
  <c r="AL138" i="12" s="1"/>
  <c r="AF137" i="12"/>
  <c r="AE137" i="12"/>
  <c r="AL137" i="12" s="1"/>
  <c r="AF136" i="12"/>
  <c r="AE136" i="12"/>
  <c r="AL136" i="12" s="1"/>
  <c r="AF135" i="12"/>
  <c r="AE135" i="12"/>
  <c r="AL135" i="12" s="1"/>
  <c r="U135" i="12"/>
  <c r="T135" i="12"/>
  <c r="AA135" i="12" s="1"/>
  <c r="AF134" i="12"/>
  <c r="AE134" i="12"/>
  <c r="AL134" i="12" s="1"/>
  <c r="U134" i="12"/>
  <c r="T134" i="12"/>
  <c r="AA134" i="12" s="1"/>
  <c r="AF133" i="12"/>
  <c r="AE133" i="12"/>
  <c r="AL133" i="12" s="1"/>
  <c r="U133" i="12"/>
  <c r="T133" i="12"/>
  <c r="AA133" i="12" s="1"/>
  <c r="AF132" i="12"/>
  <c r="AE132" i="12"/>
  <c r="AL132" i="12" s="1"/>
  <c r="U132" i="12"/>
  <c r="T132" i="12"/>
  <c r="AA132" i="12" s="1"/>
  <c r="AF131" i="12"/>
  <c r="AE131" i="12"/>
  <c r="AL131" i="12" s="1"/>
  <c r="U131" i="12"/>
  <c r="T131" i="12"/>
  <c r="AA131" i="12" s="1"/>
  <c r="AF130" i="12"/>
  <c r="AE130" i="12"/>
  <c r="AL130" i="12" s="1"/>
  <c r="U130" i="12"/>
  <c r="T130" i="12"/>
  <c r="AA130" i="12" s="1"/>
  <c r="AF129" i="12"/>
  <c r="AE129" i="12"/>
  <c r="AL129" i="12" s="1"/>
  <c r="U129" i="12"/>
  <c r="T129" i="12"/>
  <c r="AA129" i="12" s="1"/>
  <c r="AF128" i="12"/>
  <c r="AE128" i="12"/>
  <c r="AL128" i="12" s="1"/>
  <c r="U128" i="12"/>
  <c r="T128" i="12"/>
  <c r="AA128" i="12" s="1"/>
  <c r="AF127" i="12"/>
  <c r="AE127" i="12"/>
  <c r="AL127" i="12" s="1"/>
  <c r="U127" i="12"/>
  <c r="T127" i="12"/>
  <c r="AA127" i="12" s="1"/>
  <c r="AF126" i="12"/>
  <c r="AE126" i="12"/>
  <c r="AL126" i="12" s="1"/>
  <c r="U126" i="12"/>
  <c r="T126" i="12"/>
  <c r="AA126" i="12" s="1"/>
  <c r="AF125" i="12"/>
  <c r="AE125" i="12"/>
  <c r="AL125" i="12" s="1"/>
  <c r="U125" i="12"/>
  <c r="T125" i="12"/>
  <c r="AA125" i="12" s="1"/>
  <c r="AF124" i="12"/>
  <c r="AE124" i="12"/>
  <c r="AL124" i="12" s="1"/>
  <c r="U124" i="12"/>
  <c r="T124" i="12"/>
  <c r="AA124" i="12" s="1"/>
  <c r="AF123" i="12"/>
  <c r="AE123" i="12"/>
  <c r="AL123" i="12" s="1"/>
  <c r="U123" i="12"/>
  <c r="T123" i="12"/>
  <c r="AA123" i="12" s="1"/>
  <c r="AF122" i="12"/>
  <c r="AE122" i="12"/>
  <c r="AL122" i="12" s="1"/>
  <c r="U122" i="12"/>
  <c r="T122" i="12"/>
  <c r="AA122" i="12" s="1"/>
  <c r="AF121" i="12"/>
  <c r="AE121" i="12"/>
  <c r="AL121" i="12" s="1"/>
  <c r="U121" i="12"/>
  <c r="T121" i="12"/>
  <c r="AA121" i="12" s="1"/>
  <c r="AF120" i="12"/>
  <c r="AE120" i="12"/>
  <c r="AL120" i="12" s="1"/>
  <c r="U120" i="12"/>
  <c r="T120" i="12"/>
  <c r="AA120" i="12" s="1"/>
  <c r="AF119" i="12"/>
  <c r="AE119" i="12"/>
  <c r="AL119" i="12" s="1"/>
  <c r="U119" i="12"/>
  <c r="T119" i="12"/>
  <c r="AA119" i="12" s="1"/>
  <c r="AF118" i="12"/>
  <c r="AE118" i="12"/>
  <c r="AL118" i="12" s="1"/>
  <c r="U118" i="12"/>
  <c r="T118" i="12"/>
  <c r="AA118" i="12" s="1"/>
  <c r="AF117" i="12"/>
  <c r="AE117" i="12"/>
  <c r="AL117" i="12" s="1"/>
  <c r="U117" i="12"/>
  <c r="T117" i="12"/>
  <c r="AA117" i="12" s="1"/>
  <c r="AF116" i="12"/>
  <c r="AE116" i="12"/>
  <c r="AL116" i="12" s="1"/>
  <c r="U116" i="12"/>
  <c r="T116" i="12"/>
  <c r="AA116" i="12" s="1"/>
  <c r="AF115" i="12"/>
  <c r="AE115" i="12"/>
  <c r="AL115" i="12" s="1"/>
  <c r="U115" i="12"/>
  <c r="T115" i="12"/>
  <c r="AA115" i="12" s="1"/>
  <c r="AF114" i="12"/>
  <c r="AE114" i="12"/>
  <c r="AL114" i="12" s="1"/>
  <c r="U114" i="12"/>
  <c r="T114" i="12"/>
  <c r="AA114" i="12" s="1"/>
  <c r="AF113" i="12"/>
  <c r="AE113" i="12"/>
  <c r="AL113" i="12" s="1"/>
  <c r="U113" i="12"/>
  <c r="T113" i="12"/>
  <c r="AA113" i="12" s="1"/>
  <c r="AF112" i="12"/>
  <c r="AE112" i="12"/>
  <c r="AL112" i="12" s="1"/>
  <c r="U112" i="12"/>
  <c r="T112" i="12"/>
  <c r="AA112" i="12" s="1"/>
  <c r="AF111" i="12"/>
  <c r="AE111" i="12"/>
  <c r="AL111" i="12" s="1"/>
  <c r="U111" i="12"/>
  <c r="T111" i="12"/>
  <c r="AA111" i="12" s="1"/>
  <c r="AF110" i="12"/>
  <c r="AE110" i="12"/>
  <c r="AL110" i="12" s="1"/>
  <c r="U110" i="12"/>
  <c r="T110" i="12"/>
  <c r="AA110" i="12" s="1"/>
  <c r="AF109" i="12"/>
  <c r="AE109" i="12"/>
  <c r="AL109" i="12" s="1"/>
  <c r="U109" i="12"/>
  <c r="T109" i="12"/>
  <c r="AA109" i="12" s="1"/>
  <c r="AF108" i="12"/>
  <c r="AE108" i="12"/>
  <c r="AL108" i="12" s="1"/>
  <c r="U108" i="12"/>
  <c r="T108" i="12"/>
  <c r="AA108" i="12" s="1"/>
  <c r="AF107" i="12"/>
  <c r="AE107" i="12"/>
  <c r="AL107" i="12" s="1"/>
  <c r="U107" i="12"/>
  <c r="T107" i="12"/>
  <c r="AA107" i="12" s="1"/>
  <c r="AF106" i="12"/>
  <c r="AE106" i="12"/>
  <c r="AL106" i="12" s="1"/>
  <c r="U106" i="12"/>
  <c r="T106" i="12"/>
  <c r="AA106" i="12" s="1"/>
  <c r="AF105" i="12"/>
  <c r="AE105" i="12"/>
  <c r="AL105" i="12" s="1"/>
  <c r="U105" i="12"/>
  <c r="T105" i="12"/>
  <c r="AA105" i="12" s="1"/>
  <c r="AF104" i="12"/>
  <c r="AE104" i="12"/>
  <c r="AL104" i="12" s="1"/>
  <c r="U104" i="12"/>
  <c r="T104" i="12"/>
  <c r="AA104" i="12" s="1"/>
  <c r="AF103" i="12"/>
  <c r="AE103" i="12"/>
  <c r="AL103" i="12" s="1"/>
  <c r="U103" i="12"/>
  <c r="T103" i="12"/>
  <c r="AA103" i="12" s="1"/>
  <c r="AF102" i="12"/>
  <c r="AE102" i="12"/>
  <c r="AL102" i="12" s="1"/>
  <c r="U102" i="12"/>
  <c r="T102" i="12"/>
  <c r="AA102" i="12" s="1"/>
  <c r="AF101" i="12"/>
  <c r="AE101" i="12"/>
  <c r="AL101" i="12" s="1"/>
  <c r="U101" i="12"/>
  <c r="T101" i="12"/>
  <c r="AA101" i="12" s="1"/>
  <c r="AF100" i="12"/>
  <c r="AE100" i="12"/>
  <c r="AL100" i="12" s="1"/>
  <c r="U100" i="12"/>
  <c r="T100" i="12"/>
  <c r="AA100" i="12" s="1"/>
  <c r="AF99" i="12"/>
  <c r="AE99" i="12"/>
  <c r="AL99" i="12" s="1"/>
  <c r="U99" i="12"/>
  <c r="T99" i="12"/>
  <c r="AA99" i="12" s="1"/>
  <c r="AF98" i="12"/>
  <c r="AE98" i="12"/>
  <c r="AL98" i="12" s="1"/>
  <c r="U98" i="12"/>
  <c r="T98" i="12"/>
  <c r="AA98" i="12" s="1"/>
  <c r="AF97" i="12"/>
  <c r="AE97" i="12"/>
  <c r="AL97" i="12" s="1"/>
  <c r="U97" i="12"/>
  <c r="T97" i="12"/>
  <c r="AA97" i="12" s="1"/>
  <c r="AF96" i="12"/>
  <c r="AE96" i="12"/>
  <c r="AL96" i="12" s="1"/>
  <c r="U96" i="12"/>
  <c r="T96" i="12"/>
  <c r="AA96" i="12" s="1"/>
  <c r="AF95" i="12"/>
  <c r="AE95" i="12"/>
  <c r="AL95" i="12" s="1"/>
  <c r="U95" i="12"/>
  <c r="T95" i="12"/>
  <c r="AA95" i="12" s="1"/>
  <c r="AF94" i="12"/>
  <c r="AE94" i="12"/>
  <c r="AL94" i="12" s="1"/>
  <c r="U94" i="12"/>
  <c r="T94" i="12"/>
  <c r="AA94" i="12" s="1"/>
  <c r="AF93" i="12"/>
  <c r="AE93" i="12"/>
  <c r="AL93" i="12" s="1"/>
  <c r="U93" i="12"/>
  <c r="T93" i="12"/>
  <c r="AA93" i="12" s="1"/>
  <c r="AF92" i="12"/>
  <c r="AE92" i="12"/>
  <c r="AL92" i="12" s="1"/>
  <c r="U92" i="12"/>
  <c r="T92" i="12"/>
  <c r="AA92" i="12" s="1"/>
  <c r="AF91" i="12"/>
  <c r="AE91" i="12"/>
  <c r="AL91" i="12" s="1"/>
  <c r="U91" i="12"/>
  <c r="T91" i="12"/>
  <c r="AA91" i="12" s="1"/>
  <c r="AF90" i="12"/>
  <c r="AE90" i="12"/>
  <c r="AL90" i="12" s="1"/>
  <c r="U90" i="12"/>
  <c r="T90" i="12"/>
  <c r="AA90" i="12" s="1"/>
  <c r="AF89" i="12"/>
  <c r="AE89" i="12"/>
  <c r="AL89" i="12" s="1"/>
  <c r="U89" i="12"/>
  <c r="T89" i="12"/>
  <c r="AA89" i="12" s="1"/>
  <c r="AF88" i="12"/>
  <c r="AE88" i="12"/>
  <c r="AL88" i="12" s="1"/>
  <c r="U88" i="12"/>
  <c r="T88" i="12"/>
  <c r="AA88" i="12" s="1"/>
  <c r="AF87" i="12"/>
  <c r="AE87" i="12"/>
  <c r="AL87" i="12" s="1"/>
  <c r="U87" i="12"/>
  <c r="T87" i="12"/>
  <c r="AA87" i="12" s="1"/>
  <c r="AF86" i="12"/>
  <c r="AE86" i="12"/>
  <c r="AL86" i="12" s="1"/>
  <c r="U86" i="12"/>
  <c r="T86" i="12"/>
  <c r="AA86" i="12" s="1"/>
  <c r="AQ85" i="12"/>
  <c r="AP85" i="12"/>
  <c r="AW85" i="12" s="1"/>
  <c r="AF85" i="12"/>
  <c r="AE85" i="12"/>
  <c r="AL85" i="12" s="1"/>
  <c r="U85" i="12"/>
  <c r="T85" i="12"/>
  <c r="AA85" i="12" s="1"/>
  <c r="AQ84" i="12"/>
  <c r="AP84" i="12"/>
  <c r="AW84" i="12" s="1"/>
  <c r="AF84" i="12"/>
  <c r="AE84" i="12"/>
  <c r="AL84" i="12" s="1"/>
  <c r="U84" i="12"/>
  <c r="T84" i="12"/>
  <c r="AA84" i="12" s="1"/>
  <c r="AQ83" i="12"/>
  <c r="AP83" i="12"/>
  <c r="AW83" i="12" s="1"/>
  <c r="AF83" i="12"/>
  <c r="AE83" i="12"/>
  <c r="AL83" i="12" s="1"/>
  <c r="U83" i="12"/>
  <c r="T83" i="12"/>
  <c r="AA83" i="12" s="1"/>
  <c r="AQ82" i="12"/>
  <c r="AP82" i="12"/>
  <c r="AW82" i="12" s="1"/>
  <c r="AF82" i="12"/>
  <c r="AE82" i="12"/>
  <c r="AL82" i="12" s="1"/>
  <c r="U82" i="12"/>
  <c r="T82" i="12"/>
  <c r="AA82" i="12" s="1"/>
  <c r="AQ81" i="12"/>
  <c r="AP81" i="12"/>
  <c r="AW81" i="12" s="1"/>
  <c r="AF81" i="12"/>
  <c r="AE81" i="12"/>
  <c r="AL81" i="12" s="1"/>
  <c r="U81" i="12"/>
  <c r="T81" i="12"/>
  <c r="AA81" i="12" s="1"/>
  <c r="AQ80" i="12"/>
  <c r="AP80" i="12"/>
  <c r="AW80" i="12" s="1"/>
  <c r="AF80" i="12"/>
  <c r="AE80" i="12"/>
  <c r="AL80" i="12" s="1"/>
  <c r="U80" i="12"/>
  <c r="T80" i="12"/>
  <c r="AA80" i="12" s="1"/>
  <c r="AQ79" i="12"/>
  <c r="AP79" i="12"/>
  <c r="AW79" i="12" s="1"/>
  <c r="AF79" i="12"/>
  <c r="AE79" i="12"/>
  <c r="AL79" i="12" s="1"/>
  <c r="U79" i="12"/>
  <c r="T79" i="12"/>
  <c r="AA79" i="12" s="1"/>
  <c r="AQ78" i="12"/>
  <c r="AP78" i="12"/>
  <c r="AW78" i="12" s="1"/>
  <c r="AF78" i="12"/>
  <c r="AE78" i="12"/>
  <c r="AL78" i="12" s="1"/>
  <c r="U78" i="12"/>
  <c r="T78" i="12"/>
  <c r="AA78" i="12" s="1"/>
  <c r="AQ77" i="12"/>
  <c r="AP77" i="12"/>
  <c r="AW77" i="12" s="1"/>
  <c r="AF77" i="12"/>
  <c r="AE77" i="12"/>
  <c r="AL77" i="12" s="1"/>
  <c r="U77" i="12"/>
  <c r="T77" i="12"/>
  <c r="AA77" i="12" s="1"/>
  <c r="AQ76" i="12"/>
  <c r="AP76" i="12"/>
  <c r="AW76" i="12" s="1"/>
  <c r="AF76" i="12"/>
  <c r="AE76" i="12"/>
  <c r="AL76" i="12" s="1"/>
  <c r="U76" i="12"/>
  <c r="T76" i="12"/>
  <c r="AA76" i="12" s="1"/>
  <c r="AQ75" i="12"/>
  <c r="AP75" i="12"/>
  <c r="AW75" i="12" s="1"/>
  <c r="AF75" i="12"/>
  <c r="AE75" i="12"/>
  <c r="AL75" i="12" s="1"/>
  <c r="U75" i="12"/>
  <c r="T75" i="12"/>
  <c r="AA75" i="12" s="1"/>
  <c r="AQ74" i="12"/>
  <c r="AP74" i="12"/>
  <c r="AW74" i="12" s="1"/>
  <c r="AF74" i="12"/>
  <c r="AE74" i="12"/>
  <c r="AL74" i="12" s="1"/>
  <c r="U74" i="12"/>
  <c r="T74" i="12"/>
  <c r="AA74" i="12" s="1"/>
  <c r="AQ73" i="12"/>
  <c r="AP73" i="12"/>
  <c r="AW73" i="12" s="1"/>
  <c r="AF73" i="12"/>
  <c r="AE73" i="12"/>
  <c r="AL73" i="12" s="1"/>
  <c r="U73" i="12"/>
  <c r="T73" i="12"/>
  <c r="AA73" i="12" s="1"/>
  <c r="AQ72" i="12"/>
  <c r="AP72" i="12"/>
  <c r="AW72" i="12" s="1"/>
  <c r="AF72" i="12"/>
  <c r="AE72" i="12"/>
  <c r="AL72" i="12" s="1"/>
  <c r="U72" i="12"/>
  <c r="T72" i="12"/>
  <c r="AA72" i="12" s="1"/>
  <c r="AQ71" i="12"/>
  <c r="AP71" i="12"/>
  <c r="AW71" i="12" s="1"/>
  <c r="AF71" i="12"/>
  <c r="AE71" i="12"/>
  <c r="AL71" i="12" s="1"/>
  <c r="U71" i="12"/>
  <c r="T71" i="12"/>
  <c r="AA71" i="12" s="1"/>
  <c r="AQ70" i="12"/>
  <c r="AP70" i="12"/>
  <c r="AW70" i="12" s="1"/>
  <c r="AF70" i="12"/>
  <c r="AE70" i="12"/>
  <c r="AL70" i="12" s="1"/>
  <c r="U70" i="12"/>
  <c r="T70" i="12"/>
  <c r="AA70" i="12" s="1"/>
  <c r="AQ69" i="12"/>
  <c r="AP69" i="12"/>
  <c r="AW69" i="12" s="1"/>
  <c r="AF69" i="12"/>
  <c r="AE69" i="12"/>
  <c r="AL69" i="12" s="1"/>
  <c r="U69" i="12"/>
  <c r="T69" i="12"/>
  <c r="AA69" i="12" s="1"/>
  <c r="AQ68" i="12"/>
  <c r="AP68" i="12"/>
  <c r="AW68" i="12" s="1"/>
  <c r="AF68" i="12"/>
  <c r="AE68" i="12"/>
  <c r="AL68" i="12" s="1"/>
  <c r="U68" i="12"/>
  <c r="T68" i="12"/>
  <c r="AA68" i="12" s="1"/>
  <c r="BV67" i="12"/>
  <c r="AQ67" i="12"/>
  <c r="AP67" i="12"/>
  <c r="AW67" i="12" s="1"/>
  <c r="AF67" i="12"/>
  <c r="AE67" i="12"/>
  <c r="AL67" i="12" s="1"/>
  <c r="U67" i="12"/>
  <c r="T67" i="12"/>
  <c r="AA67" i="12" s="1"/>
  <c r="BV66" i="12"/>
  <c r="AQ66" i="12"/>
  <c r="AP66" i="12"/>
  <c r="AW66" i="12" s="1"/>
  <c r="AF66" i="12"/>
  <c r="AE66" i="12"/>
  <c r="AL66" i="12" s="1"/>
  <c r="U66" i="12"/>
  <c r="T66" i="12"/>
  <c r="AA66" i="12" s="1"/>
  <c r="BV65" i="12"/>
  <c r="AQ65" i="12"/>
  <c r="AP65" i="12"/>
  <c r="AW65" i="12" s="1"/>
  <c r="AF65" i="12"/>
  <c r="AE65" i="12"/>
  <c r="AL65" i="12" s="1"/>
  <c r="U65" i="12"/>
  <c r="T65" i="12"/>
  <c r="AA65" i="12" s="1"/>
  <c r="BV64" i="12"/>
  <c r="AQ64" i="12"/>
  <c r="AP64" i="12"/>
  <c r="AW64" i="12" s="1"/>
  <c r="AF64" i="12"/>
  <c r="AE64" i="12"/>
  <c r="AL64" i="12" s="1"/>
  <c r="U64" i="12"/>
  <c r="T64" i="12"/>
  <c r="AA64" i="12" s="1"/>
  <c r="BV63" i="12"/>
  <c r="AQ63" i="12"/>
  <c r="AP63" i="12"/>
  <c r="AW63" i="12" s="1"/>
  <c r="AF63" i="12"/>
  <c r="AE63" i="12"/>
  <c r="AL63" i="12" s="1"/>
  <c r="U63" i="12"/>
  <c r="T63" i="12"/>
  <c r="AA63" i="12" s="1"/>
  <c r="BV62" i="12"/>
  <c r="AQ62" i="12"/>
  <c r="AP62" i="12"/>
  <c r="AW62" i="12" s="1"/>
  <c r="AF62" i="12"/>
  <c r="AE62" i="12"/>
  <c r="AL62" i="12" s="1"/>
  <c r="U62" i="12"/>
  <c r="T62" i="12"/>
  <c r="AA62" i="12" s="1"/>
  <c r="BV61" i="12"/>
  <c r="AQ61" i="12"/>
  <c r="AP61" i="12"/>
  <c r="AW61" i="12" s="1"/>
  <c r="AF61" i="12"/>
  <c r="AE61" i="12"/>
  <c r="AL61" i="12" s="1"/>
  <c r="U61" i="12"/>
  <c r="T61" i="12"/>
  <c r="AA61" i="12" s="1"/>
  <c r="BV60" i="12"/>
  <c r="AQ60" i="12"/>
  <c r="AP60" i="12"/>
  <c r="AW60" i="12" s="1"/>
  <c r="AF60" i="12"/>
  <c r="AE60" i="12"/>
  <c r="AL60" i="12" s="1"/>
  <c r="U60" i="12"/>
  <c r="T60" i="12"/>
  <c r="AA60" i="12" s="1"/>
  <c r="BV59" i="12"/>
  <c r="AQ59" i="12"/>
  <c r="AP59" i="12"/>
  <c r="AW59" i="12" s="1"/>
  <c r="AF59" i="12"/>
  <c r="AE59" i="12"/>
  <c r="AL59" i="12" s="1"/>
  <c r="U59" i="12"/>
  <c r="T59" i="12"/>
  <c r="AA59" i="12" s="1"/>
  <c r="BV58" i="12"/>
  <c r="AQ58" i="12"/>
  <c r="AP58" i="12"/>
  <c r="AW58" i="12" s="1"/>
  <c r="AF58" i="12"/>
  <c r="AE58" i="12"/>
  <c r="AL58" i="12" s="1"/>
  <c r="U58" i="12"/>
  <c r="T58" i="12"/>
  <c r="AA58" i="12" s="1"/>
  <c r="BV57" i="12"/>
  <c r="AQ57" i="12"/>
  <c r="AP57" i="12"/>
  <c r="AW57" i="12" s="1"/>
  <c r="AF57" i="12"/>
  <c r="AE57" i="12"/>
  <c r="AL57" i="12" s="1"/>
  <c r="U57" i="12"/>
  <c r="T57" i="12"/>
  <c r="AA57" i="12" s="1"/>
  <c r="J57" i="12"/>
  <c r="I57" i="12"/>
  <c r="P57" i="12" s="1"/>
  <c r="BV56" i="12"/>
  <c r="AQ56" i="12"/>
  <c r="AP56" i="12"/>
  <c r="AW56" i="12" s="1"/>
  <c r="AF56" i="12"/>
  <c r="AE56" i="12"/>
  <c r="AL56" i="12" s="1"/>
  <c r="U56" i="12"/>
  <c r="T56" i="12"/>
  <c r="AA56" i="12" s="1"/>
  <c r="J56" i="12"/>
  <c r="I56" i="12"/>
  <c r="P56" i="12" s="1"/>
  <c r="BV55" i="12"/>
  <c r="AQ55" i="12"/>
  <c r="AP55" i="12"/>
  <c r="AW55" i="12" s="1"/>
  <c r="AF55" i="12"/>
  <c r="AE55" i="12"/>
  <c r="AL55" i="12" s="1"/>
  <c r="U55" i="12"/>
  <c r="T55" i="12"/>
  <c r="AA55" i="12" s="1"/>
  <c r="J55" i="12"/>
  <c r="I55" i="12"/>
  <c r="P55" i="12" s="1"/>
  <c r="BV54" i="12"/>
  <c r="AQ54" i="12"/>
  <c r="AP54" i="12"/>
  <c r="AW54" i="12" s="1"/>
  <c r="AF54" i="12"/>
  <c r="AE54" i="12"/>
  <c r="AL54" i="12" s="1"/>
  <c r="U54" i="12"/>
  <c r="T54" i="12"/>
  <c r="AA54" i="12" s="1"/>
  <c r="J54" i="12"/>
  <c r="I54" i="12"/>
  <c r="P54" i="12" s="1"/>
  <c r="BV53" i="12"/>
  <c r="AQ53" i="12"/>
  <c r="AP53" i="12"/>
  <c r="AW53" i="12" s="1"/>
  <c r="AF53" i="12"/>
  <c r="AE53" i="12"/>
  <c r="AL53" i="12" s="1"/>
  <c r="U53" i="12"/>
  <c r="T53" i="12"/>
  <c r="AA53" i="12" s="1"/>
  <c r="J53" i="12"/>
  <c r="I53" i="12"/>
  <c r="P53" i="12" s="1"/>
  <c r="BV52" i="12"/>
  <c r="AQ52" i="12"/>
  <c r="AP52" i="12"/>
  <c r="AW52" i="12" s="1"/>
  <c r="AF52" i="12"/>
  <c r="AE52" i="12"/>
  <c r="AL52" i="12" s="1"/>
  <c r="U52" i="12"/>
  <c r="T52" i="12"/>
  <c r="AA52" i="12" s="1"/>
  <c r="J52" i="12"/>
  <c r="I52" i="12"/>
  <c r="P52" i="12" s="1"/>
  <c r="AQ51" i="12"/>
  <c r="AP51" i="12"/>
  <c r="AW51" i="12" s="1"/>
  <c r="AF51" i="12"/>
  <c r="AE51" i="12"/>
  <c r="AL51" i="12" s="1"/>
  <c r="U51" i="12"/>
  <c r="T51" i="12"/>
  <c r="AA51" i="12" s="1"/>
  <c r="J51" i="12"/>
  <c r="I51" i="12"/>
  <c r="P51" i="12" s="1"/>
  <c r="BV50" i="12"/>
  <c r="AQ50" i="12"/>
  <c r="AP50" i="12"/>
  <c r="AW50" i="12" s="1"/>
  <c r="AF50" i="12"/>
  <c r="AE50" i="12"/>
  <c r="AL50" i="12" s="1"/>
  <c r="U50" i="12"/>
  <c r="T50" i="12"/>
  <c r="AA50" i="12" s="1"/>
  <c r="J50" i="12"/>
  <c r="I50" i="12"/>
  <c r="P50" i="12" s="1"/>
  <c r="BV49" i="12"/>
  <c r="AQ49" i="12"/>
  <c r="AP49" i="12"/>
  <c r="AW49" i="12" s="1"/>
  <c r="AF49" i="12"/>
  <c r="AE49" i="12"/>
  <c r="AL49" i="12" s="1"/>
  <c r="U49" i="12"/>
  <c r="T49" i="12"/>
  <c r="AA49" i="12" s="1"/>
  <c r="J49" i="12"/>
  <c r="I49" i="12"/>
  <c r="P49" i="12" s="1"/>
  <c r="BV48" i="12"/>
  <c r="AQ48" i="12"/>
  <c r="AP48" i="12"/>
  <c r="AW48" i="12" s="1"/>
  <c r="AF48" i="12"/>
  <c r="AE48" i="12"/>
  <c r="AL48" i="12" s="1"/>
  <c r="U48" i="12"/>
  <c r="T48" i="12"/>
  <c r="AA48" i="12" s="1"/>
  <c r="J48" i="12"/>
  <c r="I48" i="12"/>
  <c r="P48" i="12" s="1"/>
  <c r="BV47" i="12"/>
  <c r="AQ47" i="12"/>
  <c r="AP47" i="12"/>
  <c r="AW47" i="12" s="1"/>
  <c r="AF47" i="12"/>
  <c r="AE47" i="12"/>
  <c r="AL47" i="12" s="1"/>
  <c r="U47" i="12"/>
  <c r="T47" i="12"/>
  <c r="AA47" i="12" s="1"/>
  <c r="J47" i="12"/>
  <c r="I47" i="12"/>
  <c r="P47" i="12" s="1"/>
  <c r="BV46" i="12"/>
  <c r="AQ46" i="12"/>
  <c r="AP46" i="12"/>
  <c r="AW46" i="12" s="1"/>
  <c r="AF46" i="12"/>
  <c r="AE46" i="12"/>
  <c r="AL46" i="12" s="1"/>
  <c r="U46" i="12"/>
  <c r="T46" i="12"/>
  <c r="AA46" i="12" s="1"/>
  <c r="J46" i="12"/>
  <c r="I46" i="12"/>
  <c r="P46" i="12" s="1"/>
  <c r="BV45" i="12"/>
  <c r="AQ45" i="12"/>
  <c r="AP45" i="12"/>
  <c r="AW45" i="12" s="1"/>
  <c r="AF45" i="12"/>
  <c r="AE45" i="12"/>
  <c r="AL45" i="12" s="1"/>
  <c r="U45" i="12"/>
  <c r="T45" i="12"/>
  <c r="AA45" i="12" s="1"/>
  <c r="J45" i="12"/>
  <c r="I45" i="12"/>
  <c r="P45" i="12" s="1"/>
  <c r="BV44" i="12"/>
  <c r="AQ44" i="12"/>
  <c r="AP44" i="12"/>
  <c r="AW44" i="12" s="1"/>
  <c r="AF44" i="12"/>
  <c r="AE44" i="12"/>
  <c r="AL44" i="12" s="1"/>
  <c r="U44" i="12"/>
  <c r="T44" i="12"/>
  <c r="AA44" i="12" s="1"/>
  <c r="J44" i="12"/>
  <c r="I44" i="12"/>
  <c r="P44" i="12" s="1"/>
  <c r="BV43" i="12"/>
  <c r="AQ43" i="12"/>
  <c r="AP43" i="12"/>
  <c r="AW43" i="12" s="1"/>
  <c r="AF43" i="12"/>
  <c r="AE43" i="12"/>
  <c r="AL43" i="12" s="1"/>
  <c r="U43" i="12"/>
  <c r="T43" i="12"/>
  <c r="AA43" i="12" s="1"/>
  <c r="J43" i="12"/>
  <c r="I43" i="12"/>
  <c r="P43" i="12" s="1"/>
  <c r="BV42" i="12"/>
  <c r="AQ42" i="12"/>
  <c r="AP42" i="12"/>
  <c r="AW42" i="12" s="1"/>
  <c r="AF42" i="12"/>
  <c r="AE42" i="12"/>
  <c r="AL42" i="12" s="1"/>
  <c r="U42" i="12"/>
  <c r="T42" i="12"/>
  <c r="AA42" i="12" s="1"/>
  <c r="J42" i="12"/>
  <c r="I42" i="12"/>
  <c r="P42" i="12" s="1"/>
  <c r="BV41" i="12"/>
  <c r="AQ41" i="12"/>
  <c r="AP41" i="12"/>
  <c r="AW41" i="12" s="1"/>
  <c r="AF41" i="12"/>
  <c r="AE41" i="12"/>
  <c r="AL41" i="12" s="1"/>
  <c r="U41" i="12"/>
  <c r="T41" i="12"/>
  <c r="AA41" i="12" s="1"/>
  <c r="J41" i="12"/>
  <c r="I41" i="12"/>
  <c r="P41" i="12" s="1"/>
  <c r="BV40" i="12"/>
  <c r="AQ40" i="12"/>
  <c r="AP40" i="12"/>
  <c r="AW40" i="12" s="1"/>
  <c r="AF40" i="12"/>
  <c r="AE40" i="12"/>
  <c r="AL40" i="12" s="1"/>
  <c r="U40" i="12"/>
  <c r="T40" i="12"/>
  <c r="AA40" i="12" s="1"/>
  <c r="J40" i="12"/>
  <c r="I40" i="12"/>
  <c r="P40" i="12" s="1"/>
  <c r="BV39" i="12"/>
  <c r="AQ39" i="12"/>
  <c r="AP39" i="12"/>
  <c r="AW39" i="12" s="1"/>
  <c r="AF39" i="12"/>
  <c r="AE39" i="12"/>
  <c r="AL39" i="12" s="1"/>
  <c r="U39" i="12"/>
  <c r="T39" i="12"/>
  <c r="AA39" i="12" s="1"/>
  <c r="J39" i="12"/>
  <c r="I39" i="12"/>
  <c r="P39" i="12" s="1"/>
  <c r="BV38" i="12"/>
  <c r="AQ38" i="12"/>
  <c r="AP38" i="12"/>
  <c r="AW38" i="12" s="1"/>
  <c r="AF38" i="12"/>
  <c r="AE38" i="12"/>
  <c r="AL38" i="12" s="1"/>
  <c r="U38" i="12"/>
  <c r="T38" i="12"/>
  <c r="AA38" i="12" s="1"/>
  <c r="J38" i="12"/>
  <c r="I38" i="12"/>
  <c r="P38" i="12" s="1"/>
  <c r="BV37" i="12"/>
  <c r="AQ37" i="12"/>
  <c r="AP37" i="12"/>
  <c r="AW37" i="12" s="1"/>
  <c r="AF37" i="12"/>
  <c r="AE37" i="12"/>
  <c r="AL37" i="12" s="1"/>
  <c r="U37" i="12"/>
  <c r="T37" i="12"/>
  <c r="AA37" i="12" s="1"/>
  <c r="J37" i="12"/>
  <c r="I37" i="12"/>
  <c r="P37" i="12" s="1"/>
  <c r="BF36" i="12"/>
  <c r="BG36" i="12" s="1"/>
  <c r="AQ36" i="12"/>
  <c r="AP36" i="12"/>
  <c r="AW36" i="12" s="1"/>
  <c r="AF36" i="12"/>
  <c r="AE36" i="12"/>
  <c r="AL36" i="12" s="1"/>
  <c r="U36" i="12"/>
  <c r="T36" i="12"/>
  <c r="AA36" i="12" s="1"/>
  <c r="J36" i="12"/>
  <c r="I36" i="12"/>
  <c r="P36" i="12" s="1"/>
  <c r="BV35" i="12"/>
  <c r="BF35" i="12"/>
  <c r="BG35" i="12" s="1"/>
  <c r="AQ35" i="12"/>
  <c r="AP35" i="12"/>
  <c r="AW35" i="12" s="1"/>
  <c r="AF35" i="12"/>
  <c r="AE35" i="12"/>
  <c r="AL35" i="12" s="1"/>
  <c r="U35" i="12"/>
  <c r="T35" i="12"/>
  <c r="AA35" i="12" s="1"/>
  <c r="J35" i="12"/>
  <c r="I35" i="12"/>
  <c r="P35" i="12" s="1"/>
  <c r="BV34" i="12"/>
  <c r="BF34" i="12"/>
  <c r="BG34" i="12" s="1"/>
  <c r="BA34" i="12"/>
  <c r="AQ34" i="12"/>
  <c r="AP34" i="12"/>
  <c r="AW34" i="12" s="1"/>
  <c r="AF34" i="12"/>
  <c r="AE34" i="12"/>
  <c r="AL34" i="12" s="1"/>
  <c r="U34" i="12"/>
  <c r="T34" i="12"/>
  <c r="AA34" i="12" s="1"/>
  <c r="J34" i="12"/>
  <c r="I34" i="12"/>
  <c r="P34" i="12" s="1"/>
  <c r="BV33" i="12"/>
  <c r="BF33" i="12"/>
  <c r="BG33" i="12" s="1"/>
  <c r="BA33" i="12"/>
  <c r="AQ33" i="12"/>
  <c r="AP33" i="12"/>
  <c r="AW33" i="12" s="1"/>
  <c r="AF33" i="12"/>
  <c r="AE33" i="12"/>
  <c r="AL33" i="12" s="1"/>
  <c r="U33" i="12"/>
  <c r="T33" i="12"/>
  <c r="AA33" i="12" s="1"/>
  <c r="J33" i="12"/>
  <c r="I33" i="12"/>
  <c r="P33" i="12" s="1"/>
  <c r="BV32" i="12"/>
  <c r="BF32" i="12"/>
  <c r="BG32" i="12" s="1"/>
  <c r="BA32" i="12"/>
  <c r="AQ32" i="12"/>
  <c r="AP32" i="12"/>
  <c r="AW32" i="12" s="1"/>
  <c r="AF32" i="12"/>
  <c r="AE32" i="12"/>
  <c r="AL32" i="12" s="1"/>
  <c r="U32" i="12"/>
  <c r="T32" i="12"/>
  <c r="AA32" i="12" s="1"/>
  <c r="J32" i="12"/>
  <c r="I32" i="12"/>
  <c r="P32" i="12" s="1"/>
  <c r="BV31" i="12"/>
  <c r="BF31" i="12"/>
  <c r="BG31" i="12" s="1"/>
  <c r="BA31" i="12"/>
  <c r="AQ31" i="12"/>
  <c r="AP31" i="12"/>
  <c r="AW31" i="12" s="1"/>
  <c r="AF31" i="12"/>
  <c r="AE31" i="12"/>
  <c r="AL31" i="12" s="1"/>
  <c r="U31" i="12"/>
  <c r="T31" i="12"/>
  <c r="AA31" i="12" s="1"/>
  <c r="J31" i="12"/>
  <c r="I31" i="12"/>
  <c r="P31" i="12" s="1"/>
  <c r="BV30" i="12"/>
  <c r="BF30" i="12"/>
  <c r="BG30" i="12" s="1"/>
  <c r="BA30" i="12"/>
  <c r="AQ30" i="12"/>
  <c r="AP30" i="12"/>
  <c r="AW30" i="12" s="1"/>
  <c r="AF30" i="12"/>
  <c r="AE30" i="12"/>
  <c r="AL30" i="12" s="1"/>
  <c r="U30" i="12"/>
  <c r="T30" i="12"/>
  <c r="AA30" i="12" s="1"/>
  <c r="J30" i="12"/>
  <c r="I30" i="12"/>
  <c r="P30" i="12" s="1"/>
  <c r="BV29" i="12"/>
  <c r="BF29" i="12"/>
  <c r="BG29" i="12" s="1"/>
  <c r="BA29" i="12"/>
  <c r="AQ29" i="12"/>
  <c r="AP29" i="12"/>
  <c r="AW29" i="12" s="1"/>
  <c r="AF29" i="12"/>
  <c r="AE29" i="12"/>
  <c r="AL29" i="12" s="1"/>
  <c r="U29" i="12"/>
  <c r="T29" i="12"/>
  <c r="AA29" i="12" s="1"/>
  <c r="J29" i="12"/>
  <c r="I29" i="12"/>
  <c r="P29" i="12" s="1"/>
  <c r="BV28" i="12"/>
  <c r="BF28" i="12"/>
  <c r="BG28" i="12" s="1"/>
  <c r="BA28" i="12"/>
  <c r="AQ28" i="12"/>
  <c r="AP28" i="12"/>
  <c r="AW28" i="12" s="1"/>
  <c r="AF28" i="12"/>
  <c r="AE28" i="12"/>
  <c r="AL28" i="12" s="1"/>
  <c r="U28" i="12"/>
  <c r="T28" i="12"/>
  <c r="AA28" i="12" s="1"/>
  <c r="J28" i="12"/>
  <c r="I28" i="12"/>
  <c r="P28" i="12" s="1"/>
  <c r="BV27" i="12"/>
  <c r="BF27" i="12"/>
  <c r="BG27" i="12" s="1"/>
  <c r="BA27" i="12"/>
  <c r="AQ27" i="12"/>
  <c r="AP27" i="12"/>
  <c r="AW27" i="12" s="1"/>
  <c r="AF27" i="12"/>
  <c r="AE27" i="12"/>
  <c r="AL27" i="12" s="1"/>
  <c r="U27" i="12"/>
  <c r="T27" i="12"/>
  <c r="AA27" i="12" s="1"/>
  <c r="J27" i="12"/>
  <c r="I27" i="12"/>
  <c r="P27" i="12" s="1"/>
  <c r="BV26" i="12"/>
  <c r="BF26" i="12"/>
  <c r="BG26" i="12" s="1"/>
  <c r="BA26" i="12"/>
  <c r="AQ26" i="12"/>
  <c r="AP26" i="12"/>
  <c r="AW26" i="12" s="1"/>
  <c r="AF26" i="12"/>
  <c r="AE26" i="12"/>
  <c r="AL26" i="12" s="1"/>
  <c r="U26" i="12"/>
  <c r="T26" i="12"/>
  <c r="AA26" i="12" s="1"/>
  <c r="J26" i="12"/>
  <c r="I26" i="12"/>
  <c r="P26" i="12" s="1"/>
  <c r="BV25" i="12"/>
  <c r="BF25" i="12"/>
  <c r="BG25" i="12" s="1"/>
  <c r="BA25" i="12"/>
  <c r="AQ25" i="12"/>
  <c r="AP25" i="12"/>
  <c r="AW25" i="12" s="1"/>
  <c r="AF25" i="12"/>
  <c r="AE25" i="12"/>
  <c r="AL25" i="12" s="1"/>
  <c r="U25" i="12"/>
  <c r="T25" i="12"/>
  <c r="AA25" i="12" s="1"/>
  <c r="J25" i="12"/>
  <c r="I25" i="12"/>
  <c r="P25" i="12" s="1"/>
  <c r="BV24" i="12"/>
  <c r="BF24" i="12"/>
  <c r="BG24" i="12" s="1"/>
  <c r="BA24" i="12"/>
  <c r="AQ24" i="12"/>
  <c r="AP24" i="12"/>
  <c r="AW24" i="12" s="1"/>
  <c r="AF24" i="12"/>
  <c r="AE24" i="12"/>
  <c r="AL24" i="12" s="1"/>
  <c r="U24" i="12"/>
  <c r="T24" i="12"/>
  <c r="AA24" i="12" s="1"/>
  <c r="J24" i="12"/>
  <c r="I24" i="12"/>
  <c r="P24" i="12" s="1"/>
  <c r="BF23" i="12"/>
  <c r="BG23" i="12" s="1"/>
  <c r="BA23" i="12"/>
  <c r="AQ23" i="12"/>
  <c r="AP23" i="12"/>
  <c r="AW23" i="12" s="1"/>
  <c r="AF23" i="12"/>
  <c r="AE23" i="12"/>
  <c r="AL23" i="12" s="1"/>
  <c r="U23" i="12"/>
  <c r="T23" i="12"/>
  <c r="AA23" i="12" s="1"/>
  <c r="J23" i="12"/>
  <c r="I23" i="12"/>
  <c r="P23" i="12" s="1"/>
  <c r="BV22" i="12"/>
  <c r="BF22" i="12"/>
  <c r="BG22" i="12" s="1"/>
  <c r="BA22" i="12"/>
  <c r="AQ22" i="12"/>
  <c r="AP22" i="12"/>
  <c r="AW22" i="12" s="1"/>
  <c r="AF22" i="12"/>
  <c r="AE22" i="12"/>
  <c r="AL22" i="12" s="1"/>
  <c r="U22" i="12"/>
  <c r="T22" i="12"/>
  <c r="AA22" i="12" s="1"/>
  <c r="J22" i="12"/>
  <c r="I22" i="12"/>
  <c r="P22" i="12" s="1"/>
  <c r="E22" i="12"/>
  <c r="F34" i="12" s="1"/>
  <c r="BV21" i="12"/>
  <c r="BF21" i="12"/>
  <c r="BG21" i="12" s="1"/>
  <c r="BA21" i="12"/>
  <c r="AQ21" i="12"/>
  <c r="AP21" i="12"/>
  <c r="AW21" i="12" s="1"/>
  <c r="AF21" i="12"/>
  <c r="AE21" i="12"/>
  <c r="AL21" i="12" s="1"/>
  <c r="U21" i="12"/>
  <c r="T21" i="12"/>
  <c r="AA21" i="12" s="1"/>
  <c r="J21" i="12"/>
  <c r="I21" i="12"/>
  <c r="P21" i="12" s="1"/>
  <c r="E21" i="12"/>
  <c r="BV20" i="12"/>
  <c r="BF20" i="12"/>
  <c r="BG20" i="12" s="1"/>
  <c r="BA20" i="12"/>
  <c r="AQ20" i="12"/>
  <c r="AP20" i="12"/>
  <c r="AW20" i="12" s="1"/>
  <c r="AF20" i="12"/>
  <c r="AE20" i="12"/>
  <c r="AL20" i="12" s="1"/>
  <c r="U20" i="12"/>
  <c r="T20" i="12"/>
  <c r="AA20" i="12" s="1"/>
  <c r="J20" i="12"/>
  <c r="I20" i="12"/>
  <c r="P20" i="12" s="1"/>
  <c r="BV19" i="12"/>
  <c r="BF19" i="12"/>
  <c r="BG19" i="12" s="1"/>
  <c r="BA19" i="12"/>
  <c r="AQ19" i="12"/>
  <c r="AP19" i="12"/>
  <c r="AW19" i="12" s="1"/>
  <c r="AF19" i="12"/>
  <c r="AE19" i="12"/>
  <c r="AL19" i="12" s="1"/>
  <c r="U19" i="12"/>
  <c r="T19" i="12"/>
  <c r="AA19" i="12" s="1"/>
  <c r="J19" i="12"/>
  <c r="I19" i="12"/>
  <c r="P19" i="12" s="1"/>
  <c r="BV18" i="12"/>
  <c r="BF18" i="12"/>
  <c r="BG18" i="12" s="1"/>
  <c r="BA18" i="12"/>
  <c r="AQ18" i="12"/>
  <c r="AP18" i="12"/>
  <c r="AW18" i="12" s="1"/>
  <c r="AF18" i="12"/>
  <c r="AE18" i="12"/>
  <c r="AL18" i="12" s="1"/>
  <c r="U18" i="12"/>
  <c r="T18" i="12"/>
  <c r="AA18" i="12" s="1"/>
  <c r="J18" i="12"/>
  <c r="I18" i="12"/>
  <c r="P18" i="12" s="1"/>
  <c r="BV17" i="12"/>
  <c r="BF17" i="12"/>
  <c r="BG17" i="12" s="1"/>
  <c r="BA17" i="12"/>
  <c r="AQ17" i="12"/>
  <c r="AP17" i="12"/>
  <c r="AW17" i="12" s="1"/>
  <c r="AF17" i="12"/>
  <c r="AE17" i="12"/>
  <c r="AL17" i="12" s="1"/>
  <c r="U17" i="12"/>
  <c r="T17" i="12"/>
  <c r="AA17" i="12" s="1"/>
  <c r="J17" i="12"/>
  <c r="I17" i="12"/>
  <c r="P17" i="12" s="1"/>
  <c r="BV16" i="12"/>
  <c r="BF16" i="12"/>
  <c r="BG16" i="12" s="1"/>
  <c r="BA16" i="12"/>
  <c r="AQ16" i="12"/>
  <c r="AP16" i="12"/>
  <c r="AW16" i="12" s="1"/>
  <c r="AF16" i="12"/>
  <c r="AE16" i="12"/>
  <c r="AL16" i="12" s="1"/>
  <c r="U16" i="12"/>
  <c r="T16" i="12"/>
  <c r="AA16" i="12" s="1"/>
  <c r="J16" i="12"/>
  <c r="I16" i="12"/>
  <c r="P16" i="12" s="1"/>
  <c r="BV15" i="12"/>
  <c r="BF15" i="12"/>
  <c r="BG15" i="12" s="1"/>
  <c r="BA15" i="12"/>
  <c r="AQ15" i="12"/>
  <c r="AP15" i="12"/>
  <c r="AW15" i="12" s="1"/>
  <c r="AF15" i="12"/>
  <c r="AE15" i="12"/>
  <c r="AL15" i="12" s="1"/>
  <c r="U15" i="12"/>
  <c r="T15" i="12"/>
  <c r="AA15" i="12" s="1"/>
  <c r="J15" i="12"/>
  <c r="I15" i="12"/>
  <c r="P15" i="12" s="1"/>
  <c r="BV14" i="12"/>
  <c r="BF14" i="12"/>
  <c r="BG14" i="12" s="1"/>
  <c r="BA14" i="12"/>
  <c r="AQ14" i="12"/>
  <c r="AP14" i="12"/>
  <c r="AW14" i="12" s="1"/>
  <c r="AF14" i="12"/>
  <c r="AE14" i="12"/>
  <c r="AL14" i="12" s="1"/>
  <c r="U14" i="12"/>
  <c r="T14" i="12"/>
  <c r="AA14" i="12" s="1"/>
  <c r="J14" i="12"/>
  <c r="I14" i="12"/>
  <c r="P14" i="12" s="1"/>
  <c r="BV13" i="12"/>
  <c r="BF13" i="12"/>
  <c r="BG13" i="12" s="1"/>
  <c r="BA13" i="12"/>
  <c r="AQ13" i="12"/>
  <c r="AP13" i="12"/>
  <c r="AW13" i="12" s="1"/>
  <c r="AF13" i="12"/>
  <c r="AE13" i="12"/>
  <c r="AL13" i="12" s="1"/>
  <c r="U13" i="12"/>
  <c r="T13" i="12"/>
  <c r="AA13" i="12" s="1"/>
  <c r="J13" i="12"/>
  <c r="I13" i="12"/>
  <c r="P13" i="12" s="1"/>
  <c r="BF12" i="12"/>
  <c r="BG12" i="12" s="1"/>
  <c r="BA12" i="12"/>
  <c r="AQ12" i="12"/>
  <c r="AP12" i="12"/>
  <c r="AW12" i="12" s="1"/>
  <c r="AF12" i="12"/>
  <c r="AE12" i="12"/>
  <c r="AL12" i="12" s="1"/>
  <c r="U12" i="12"/>
  <c r="T12" i="12"/>
  <c r="AA12" i="12" s="1"/>
  <c r="J12" i="12"/>
  <c r="I12" i="12"/>
  <c r="P12" i="12" s="1"/>
  <c r="BV11" i="12"/>
  <c r="BF11" i="12"/>
  <c r="BG11" i="12" s="1"/>
  <c r="BA11" i="12"/>
  <c r="AQ11" i="12"/>
  <c r="AP11" i="12"/>
  <c r="AW11" i="12" s="1"/>
  <c r="AF11" i="12"/>
  <c r="AE11" i="12"/>
  <c r="AL11" i="12" s="1"/>
  <c r="U11" i="12"/>
  <c r="T11" i="12"/>
  <c r="AA11" i="12" s="1"/>
  <c r="J11" i="12"/>
  <c r="I11" i="12"/>
  <c r="P11" i="12" s="1"/>
  <c r="BV10" i="12"/>
  <c r="BF10" i="12"/>
  <c r="BG10" i="12" s="1"/>
  <c r="BA10" i="12"/>
  <c r="AQ10" i="12"/>
  <c r="AP10" i="12"/>
  <c r="AW10" i="12" s="1"/>
  <c r="AF10" i="12"/>
  <c r="AE10" i="12"/>
  <c r="AL10" i="12" s="1"/>
  <c r="U10" i="12"/>
  <c r="T10" i="12"/>
  <c r="AA10" i="12" s="1"/>
  <c r="J10" i="12"/>
  <c r="I10" i="12"/>
  <c r="P10" i="12" s="1"/>
  <c r="BV9" i="12"/>
  <c r="BF9" i="12"/>
  <c r="BG9" i="12" s="1"/>
  <c r="BA9" i="12"/>
  <c r="AQ9" i="12"/>
  <c r="AP9" i="12"/>
  <c r="AW9" i="12" s="1"/>
  <c r="AF9" i="12"/>
  <c r="AE9" i="12"/>
  <c r="AL9" i="12" s="1"/>
  <c r="U9" i="12"/>
  <c r="T9" i="12"/>
  <c r="AA9" i="12" s="1"/>
  <c r="J9" i="12"/>
  <c r="I9" i="12"/>
  <c r="P9" i="12" s="1"/>
  <c r="BV8" i="12"/>
  <c r="BF8" i="12"/>
  <c r="BG8" i="12" s="1"/>
  <c r="BA8" i="12"/>
  <c r="AQ8" i="12"/>
  <c r="AP8" i="12"/>
  <c r="AW8" i="12" s="1"/>
  <c r="AF8" i="12"/>
  <c r="AE8" i="12"/>
  <c r="AL8" i="12" s="1"/>
  <c r="U8" i="12"/>
  <c r="T8" i="12"/>
  <c r="AA8" i="12" s="1"/>
  <c r="J8" i="12"/>
  <c r="I8" i="12"/>
  <c r="BV7" i="12"/>
  <c r="BF7" i="12"/>
  <c r="BG7" i="12" s="1"/>
  <c r="BA7" i="12"/>
  <c r="AQ7" i="12"/>
  <c r="AP7" i="12"/>
  <c r="AW7" i="12" s="1"/>
  <c r="AF7" i="12"/>
  <c r="AE7" i="12"/>
  <c r="AL7" i="12" s="1"/>
  <c r="U7" i="12"/>
  <c r="T7" i="12"/>
  <c r="AA7" i="12" s="1"/>
  <c r="J7" i="12"/>
  <c r="I7" i="12"/>
  <c r="P7" i="12" s="1"/>
  <c r="F7" i="12"/>
  <c r="BV6" i="12"/>
  <c r="BF6" i="12"/>
  <c r="BG6" i="12" s="1"/>
  <c r="BA6" i="12"/>
  <c r="AQ6" i="12"/>
  <c r="AP6" i="12"/>
  <c r="AW6" i="12" s="1"/>
  <c r="AF6" i="12"/>
  <c r="AE6" i="12"/>
  <c r="AL6" i="12" s="1"/>
  <c r="U6" i="12"/>
  <c r="T6" i="12"/>
  <c r="AA6" i="12" s="1"/>
  <c r="J6" i="12"/>
  <c r="I6" i="12"/>
  <c r="P6" i="12" s="1"/>
  <c r="BV5" i="12"/>
  <c r="BF5" i="12"/>
  <c r="BG5" i="12" s="1"/>
  <c r="BA5" i="12"/>
  <c r="AQ5" i="12"/>
  <c r="AP5" i="12"/>
  <c r="AF5" i="12"/>
  <c r="AE5" i="12"/>
  <c r="AL5" i="12" s="1"/>
  <c r="U5" i="12"/>
  <c r="T5" i="12"/>
  <c r="AA5" i="12" s="1"/>
  <c r="J5" i="12"/>
  <c r="I5" i="12"/>
  <c r="BV4" i="12"/>
  <c r="BF4" i="12"/>
  <c r="BG4" i="12" s="1"/>
  <c r="BA4" i="12"/>
  <c r="AQ4" i="12"/>
  <c r="AP4" i="12"/>
  <c r="AW4" i="12" s="1"/>
  <c r="AF4" i="12"/>
  <c r="AE4" i="12"/>
  <c r="AL4" i="12" s="1"/>
  <c r="U4" i="12"/>
  <c r="T4" i="12"/>
  <c r="J4" i="12"/>
  <c r="I4" i="12"/>
  <c r="M4" i="12" s="1"/>
  <c r="BF3" i="12"/>
  <c r="BG3" i="12" s="1"/>
  <c r="BA3" i="12"/>
  <c r="AQ3" i="12"/>
  <c r="AP3" i="12"/>
  <c r="AF3" i="12"/>
  <c r="AE3" i="12"/>
  <c r="U3" i="12"/>
  <c r="T3" i="12"/>
  <c r="AA3" i="12" s="1"/>
  <c r="J3" i="12"/>
  <c r="I3" i="12"/>
  <c r="CA656" i="39"/>
  <c r="BZ656" i="39"/>
  <c r="BY656" i="39"/>
  <c r="CA655" i="39"/>
  <c r="BZ655" i="39"/>
  <c r="BY655" i="39"/>
  <c r="CA654" i="39"/>
  <c r="BZ654" i="39"/>
  <c r="BY654" i="39"/>
  <c r="CA653" i="39"/>
  <c r="BZ653" i="39"/>
  <c r="BY653" i="39"/>
  <c r="CA652" i="39"/>
  <c r="BZ652" i="39"/>
  <c r="BY652" i="39"/>
  <c r="CA651" i="39"/>
  <c r="BZ651" i="39"/>
  <c r="BY651" i="39"/>
  <c r="CA650" i="39"/>
  <c r="BZ650" i="39"/>
  <c r="BY650" i="39"/>
  <c r="CA649" i="39"/>
  <c r="BZ649" i="39"/>
  <c r="BY649" i="39"/>
  <c r="CA648" i="39"/>
  <c r="BZ648" i="39"/>
  <c r="BY648" i="39"/>
  <c r="CA647" i="39"/>
  <c r="BZ647" i="39"/>
  <c r="BY647" i="39"/>
  <c r="CA646" i="39"/>
  <c r="BZ646" i="39"/>
  <c r="BY646" i="39"/>
  <c r="CA645" i="39"/>
  <c r="BZ645" i="39"/>
  <c r="BY645" i="39"/>
  <c r="CA644" i="39"/>
  <c r="BZ644" i="39"/>
  <c r="BY644" i="39"/>
  <c r="CA643" i="39"/>
  <c r="BZ643" i="39"/>
  <c r="BY643" i="39"/>
  <c r="CA642" i="39"/>
  <c r="BZ642" i="39"/>
  <c r="BY642" i="39"/>
  <c r="CA641" i="39"/>
  <c r="BZ641" i="39"/>
  <c r="BY641" i="39"/>
  <c r="CA640" i="39"/>
  <c r="BZ640" i="39"/>
  <c r="BY640" i="39"/>
  <c r="CA639" i="39"/>
  <c r="BZ639" i="39"/>
  <c r="BY639" i="39"/>
  <c r="CA638" i="39"/>
  <c r="BZ638" i="39"/>
  <c r="BY638" i="39"/>
  <c r="CA637" i="39"/>
  <c r="BZ637" i="39"/>
  <c r="BY637" i="39"/>
  <c r="CA636" i="39"/>
  <c r="BZ636" i="39"/>
  <c r="BY636" i="39"/>
  <c r="CA635" i="39"/>
  <c r="BZ635" i="39"/>
  <c r="BY635" i="39"/>
  <c r="CA634" i="39"/>
  <c r="BZ634" i="39"/>
  <c r="BY634" i="39"/>
  <c r="CA633" i="39"/>
  <c r="BZ633" i="39"/>
  <c r="BY633" i="39"/>
  <c r="CA632" i="39"/>
  <c r="BZ632" i="39"/>
  <c r="BY632" i="39"/>
  <c r="CA631" i="39"/>
  <c r="BZ631" i="39"/>
  <c r="BY631" i="39"/>
  <c r="CA630" i="39"/>
  <c r="BZ630" i="39"/>
  <c r="BY630" i="39"/>
  <c r="CA629" i="39"/>
  <c r="BZ629" i="39"/>
  <c r="BY629" i="39"/>
  <c r="CA628" i="39"/>
  <c r="BZ628" i="39"/>
  <c r="BY628" i="39"/>
  <c r="CA627" i="39"/>
  <c r="BZ627" i="39"/>
  <c r="BY627" i="39"/>
  <c r="CA626" i="39"/>
  <c r="BZ626" i="39"/>
  <c r="BY626" i="39"/>
  <c r="CA625" i="39"/>
  <c r="BZ625" i="39"/>
  <c r="BY625" i="39"/>
  <c r="CA624" i="39"/>
  <c r="BZ624" i="39"/>
  <c r="BY624" i="39"/>
  <c r="CA623" i="39"/>
  <c r="BZ623" i="39"/>
  <c r="BY623" i="39"/>
  <c r="CA622" i="39"/>
  <c r="BZ622" i="39"/>
  <c r="BY622" i="39"/>
  <c r="CA621" i="39"/>
  <c r="BZ621" i="39"/>
  <c r="BY621" i="39"/>
  <c r="CA620" i="39"/>
  <c r="BZ620" i="39"/>
  <c r="BY620" i="39"/>
  <c r="CA619" i="39"/>
  <c r="BZ619" i="39"/>
  <c r="BY619" i="39"/>
  <c r="CA618" i="39"/>
  <c r="BZ618" i="39"/>
  <c r="BY618" i="39"/>
  <c r="CA617" i="39"/>
  <c r="BZ617" i="39"/>
  <c r="BY617" i="39"/>
  <c r="CA616" i="39"/>
  <c r="BZ616" i="39"/>
  <c r="BY616" i="39"/>
  <c r="CA615" i="39"/>
  <c r="BZ615" i="39"/>
  <c r="BY615" i="39"/>
  <c r="CA614" i="39"/>
  <c r="BZ614" i="39"/>
  <c r="BY614" i="39"/>
  <c r="CA613" i="39"/>
  <c r="BZ613" i="39"/>
  <c r="BY613" i="39"/>
  <c r="CA612" i="39"/>
  <c r="BZ612" i="39"/>
  <c r="BY612" i="39"/>
  <c r="CA611" i="39"/>
  <c r="BZ611" i="39"/>
  <c r="BY611" i="39"/>
  <c r="CA610" i="39"/>
  <c r="BZ610" i="39"/>
  <c r="BY610" i="39"/>
  <c r="CA609" i="39"/>
  <c r="BZ609" i="39"/>
  <c r="BY609" i="39"/>
  <c r="CA608" i="39"/>
  <c r="BZ608" i="39"/>
  <c r="BY608" i="39"/>
  <c r="CA607" i="39"/>
  <c r="BZ607" i="39"/>
  <c r="BY607" i="39"/>
  <c r="CA606" i="39"/>
  <c r="BZ606" i="39"/>
  <c r="BY606" i="39"/>
  <c r="CA605" i="39"/>
  <c r="BZ605" i="39"/>
  <c r="BY605" i="39"/>
  <c r="CA604" i="39"/>
  <c r="BZ604" i="39"/>
  <c r="BY604" i="39"/>
  <c r="CA603" i="39"/>
  <c r="BZ603" i="39"/>
  <c r="BY603" i="39"/>
  <c r="CA602" i="39"/>
  <c r="BZ602" i="39"/>
  <c r="BY602" i="39"/>
  <c r="CA601" i="39"/>
  <c r="BZ601" i="39"/>
  <c r="BY601" i="39"/>
  <c r="CA600" i="39"/>
  <c r="BZ600" i="39"/>
  <c r="BY600" i="39"/>
  <c r="CA599" i="39"/>
  <c r="BZ599" i="39"/>
  <c r="BY599" i="39"/>
  <c r="CA598" i="39"/>
  <c r="BZ598" i="39"/>
  <c r="BY598" i="39"/>
  <c r="CA597" i="39"/>
  <c r="BZ597" i="39"/>
  <c r="BY597" i="39"/>
  <c r="CA596" i="39"/>
  <c r="BZ596" i="39"/>
  <c r="BY596" i="39"/>
  <c r="CA595" i="39"/>
  <c r="BZ595" i="39"/>
  <c r="BY595" i="39"/>
  <c r="CA594" i="39"/>
  <c r="BZ594" i="39"/>
  <c r="BY594" i="39"/>
  <c r="CA593" i="39"/>
  <c r="BZ593" i="39"/>
  <c r="BY593" i="39"/>
  <c r="CA592" i="39"/>
  <c r="BZ592" i="39"/>
  <c r="BY592" i="39"/>
  <c r="CA591" i="39"/>
  <c r="BZ591" i="39"/>
  <c r="BY591" i="39"/>
  <c r="CA590" i="39"/>
  <c r="BZ590" i="39"/>
  <c r="BY590" i="39"/>
  <c r="CA589" i="39"/>
  <c r="BZ589" i="39"/>
  <c r="BY589" i="39"/>
  <c r="CA588" i="39"/>
  <c r="BZ588" i="39"/>
  <c r="BY588" i="39"/>
  <c r="CA587" i="39"/>
  <c r="BZ587" i="39"/>
  <c r="BY587" i="39"/>
  <c r="CA586" i="39"/>
  <c r="BZ586" i="39"/>
  <c r="BY586" i="39"/>
  <c r="CA585" i="39"/>
  <c r="BZ585" i="39"/>
  <c r="BY585" i="39"/>
  <c r="CA584" i="39"/>
  <c r="BZ584" i="39"/>
  <c r="BY584" i="39"/>
  <c r="CA583" i="39"/>
  <c r="BZ583" i="39"/>
  <c r="BY583" i="39"/>
  <c r="CA582" i="39"/>
  <c r="BZ582" i="39"/>
  <c r="BY582" i="39"/>
  <c r="CA581" i="39"/>
  <c r="BZ581" i="39"/>
  <c r="BY581" i="39"/>
  <c r="CA580" i="39"/>
  <c r="BZ580" i="39"/>
  <c r="BY580" i="39"/>
  <c r="CA579" i="39"/>
  <c r="BZ579" i="39"/>
  <c r="BY579" i="39"/>
  <c r="CA578" i="39"/>
  <c r="BZ578" i="39"/>
  <c r="BY578" i="39"/>
  <c r="CA577" i="39"/>
  <c r="BZ577" i="39"/>
  <c r="BY577" i="39"/>
  <c r="CA576" i="39"/>
  <c r="BZ576" i="39"/>
  <c r="BY576" i="39"/>
  <c r="CA575" i="39"/>
  <c r="BZ575" i="39"/>
  <c r="BY575" i="39"/>
  <c r="CA574" i="39"/>
  <c r="BZ574" i="39"/>
  <c r="BY574" i="39"/>
  <c r="CA573" i="39"/>
  <c r="BZ573" i="39"/>
  <c r="BY573" i="39"/>
  <c r="CA572" i="39"/>
  <c r="BZ572" i="39"/>
  <c r="BY572" i="39"/>
  <c r="CA571" i="39"/>
  <c r="BZ571" i="39"/>
  <c r="BY571" i="39"/>
  <c r="CA570" i="39"/>
  <c r="BZ570" i="39"/>
  <c r="BY570" i="39"/>
  <c r="CA569" i="39"/>
  <c r="BZ569" i="39"/>
  <c r="BY569" i="39"/>
  <c r="CA568" i="39"/>
  <c r="BZ568" i="39"/>
  <c r="BY568" i="39"/>
  <c r="CA567" i="39"/>
  <c r="BZ567" i="39"/>
  <c r="BY567" i="39"/>
  <c r="CA566" i="39"/>
  <c r="BZ566" i="39"/>
  <c r="BY566" i="39"/>
  <c r="CA565" i="39"/>
  <c r="BZ565" i="39"/>
  <c r="BY565" i="39"/>
  <c r="CA564" i="39"/>
  <c r="BZ564" i="39"/>
  <c r="BY564" i="39"/>
  <c r="CA563" i="39"/>
  <c r="BZ563" i="39"/>
  <c r="BY563" i="39"/>
  <c r="CA562" i="39"/>
  <c r="BZ562" i="39"/>
  <c r="BY562" i="39"/>
  <c r="CA561" i="39"/>
  <c r="BZ561" i="39"/>
  <c r="BY561" i="39"/>
  <c r="CA560" i="39"/>
  <c r="BZ560" i="39"/>
  <c r="BY560" i="39"/>
  <c r="CA559" i="39"/>
  <c r="BZ559" i="39"/>
  <c r="BY559" i="39"/>
  <c r="CA558" i="39"/>
  <c r="BZ558" i="39"/>
  <c r="BY558" i="39"/>
  <c r="CA557" i="39"/>
  <c r="BZ557" i="39"/>
  <c r="BY557" i="39"/>
  <c r="CA556" i="39"/>
  <c r="BZ556" i="39"/>
  <c r="BY556" i="39"/>
  <c r="CA555" i="39"/>
  <c r="BZ555" i="39"/>
  <c r="BY555" i="39"/>
  <c r="CA554" i="39"/>
  <c r="BZ554" i="39"/>
  <c r="BY554" i="39"/>
  <c r="CA553" i="39"/>
  <c r="BZ553" i="39"/>
  <c r="BY553" i="39"/>
  <c r="CA552" i="39"/>
  <c r="BZ552" i="39"/>
  <c r="BY552" i="39"/>
  <c r="CA551" i="39"/>
  <c r="BZ551" i="39"/>
  <c r="BY551" i="39"/>
  <c r="CA550" i="39"/>
  <c r="BZ550" i="39"/>
  <c r="BY550" i="39"/>
  <c r="CA549" i="39"/>
  <c r="BZ549" i="39"/>
  <c r="BY549" i="39"/>
  <c r="CA548" i="39"/>
  <c r="BZ548" i="39"/>
  <c r="BY548" i="39"/>
  <c r="CA547" i="39"/>
  <c r="BZ547" i="39"/>
  <c r="BY547" i="39"/>
  <c r="CA546" i="39"/>
  <c r="BZ546" i="39"/>
  <c r="BY546" i="39"/>
  <c r="CA545" i="39"/>
  <c r="BZ545" i="39"/>
  <c r="BY545" i="39"/>
  <c r="CA544" i="39"/>
  <c r="BZ544" i="39"/>
  <c r="BY544" i="39"/>
  <c r="CA543" i="39"/>
  <c r="BZ543" i="39"/>
  <c r="BY543" i="39"/>
  <c r="CA542" i="39"/>
  <c r="BZ542" i="39"/>
  <c r="BY542" i="39"/>
  <c r="CA541" i="39"/>
  <c r="BZ541" i="39"/>
  <c r="BY541" i="39"/>
  <c r="CA540" i="39"/>
  <c r="BZ540" i="39"/>
  <c r="BY540" i="39"/>
  <c r="CA539" i="39"/>
  <c r="BZ539" i="39"/>
  <c r="BY539" i="39"/>
  <c r="CA538" i="39"/>
  <c r="BZ538" i="39"/>
  <c r="BY538" i="39"/>
  <c r="CA537" i="39"/>
  <c r="BZ537" i="39"/>
  <c r="BY537" i="39"/>
  <c r="CA536" i="39"/>
  <c r="BZ536" i="39"/>
  <c r="BY536" i="39"/>
  <c r="CA535" i="39"/>
  <c r="BZ535" i="39"/>
  <c r="BY535" i="39"/>
  <c r="CA534" i="39"/>
  <c r="BZ534" i="39"/>
  <c r="BY534" i="39"/>
  <c r="CA533" i="39"/>
  <c r="BZ533" i="39"/>
  <c r="BY533" i="39"/>
  <c r="CA532" i="39"/>
  <c r="BZ532" i="39"/>
  <c r="BY532" i="39"/>
  <c r="CA531" i="39"/>
  <c r="BZ531" i="39"/>
  <c r="BY531" i="39"/>
  <c r="CA530" i="39"/>
  <c r="BZ530" i="39"/>
  <c r="BY530" i="39"/>
  <c r="CA529" i="39"/>
  <c r="BZ529" i="39"/>
  <c r="BY529" i="39"/>
  <c r="CA528" i="39"/>
  <c r="BZ528" i="39"/>
  <c r="BY528" i="39"/>
  <c r="CA527" i="39"/>
  <c r="BZ527" i="39"/>
  <c r="BY527" i="39"/>
  <c r="CA526" i="39"/>
  <c r="BZ526" i="39"/>
  <c r="BY526" i="39"/>
  <c r="CA525" i="39"/>
  <c r="BZ525" i="39"/>
  <c r="BY525" i="39"/>
  <c r="CA524" i="39"/>
  <c r="BZ524" i="39"/>
  <c r="BY524" i="39"/>
  <c r="CA523" i="39"/>
  <c r="BZ523" i="39"/>
  <c r="BY523" i="39"/>
  <c r="CA522" i="39"/>
  <c r="BZ522" i="39"/>
  <c r="BY522" i="39"/>
  <c r="CA521" i="39"/>
  <c r="BZ521" i="39"/>
  <c r="BY521" i="39"/>
  <c r="CA520" i="39"/>
  <c r="BZ520" i="39"/>
  <c r="BY520" i="39"/>
  <c r="CA519" i="39"/>
  <c r="BZ519" i="39"/>
  <c r="BY519" i="39"/>
  <c r="CA518" i="39"/>
  <c r="BZ518" i="39"/>
  <c r="BY518" i="39"/>
  <c r="CA517" i="39"/>
  <c r="BZ517" i="39"/>
  <c r="BY517" i="39"/>
  <c r="CA516" i="39"/>
  <c r="BZ516" i="39"/>
  <c r="BY516" i="39"/>
  <c r="CA515" i="39"/>
  <c r="BZ515" i="39"/>
  <c r="BY515" i="39"/>
  <c r="CA514" i="39"/>
  <c r="BZ514" i="39"/>
  <c r="BY514" i="39"/>
  <c r="CA513" i="39"/>
  <c r="BZ513" i="39"/>
  <c r="BY513" i="39"/>
  <c r="CA512" i="39"/>
  <c r="BZ512" i="39"/>
  <c r="BY512" i="39"/>
  <c r="CA511" i="39"/>
  <c r="BZ511" i="39"/>
  <c r="BY511" i="39"/>
  <c r="CA510" i="39"/>
  <c r="BZ510" i="39"/>
  <c r="BY510" i="39"/>
  <c r="CA509" i="39"/>
  <c r="BZ509" i="39"/>
  <c r="BY509" i="39"/>
  <c r="CA508" i="39"/>
  <c r="BZ508" i="39"/>
  <c r="BY508" i="39"/>
  <c r="CA507" i="39"/>
  <c r="BZ507" i="39"/>
  <c r="BY507" i="39"/>
  <c r="CA506" i="39"/>
  <c r="BZ506" i="39"/>
  <c r="BY506" i="39"/>
  <c r="CA505" i="39"/>
  <c r="BZ505" i="39"/>
  <c r="BY505" i="39"/>
  <c r="CA504" i="39"/>
  <c r="BZ504" i="39"/>
  <c r="BY504" i="39"/>
  <c r="CA503" i="39"/>
  <c r="BZ503" i="39"/>
  <c r="BY503" i="39"/>
  <c r="CA502" i="39"/>
  <c r="BZ502" i="39"/>
  <c r="BY502" i="39"/>
  <c r="CA501" i="39"/>
  <c r="BZ501" i="39"/>
  <c r="BY501" i="39"/>
  <c r="CA500" i="39"/>
  <c r="BZ500" i="39"/>
  <c r="BY500" i="39"/>
  <c r="CA499" i="39"/>
  <c r="BZ499" i="39"/>
  <c r="BY499" i="39"/>
  <c r="CA498" i="39"/>
  <c r="BZ498" i="39"/>
  <c r="BY498" i="39"/>
  <c r="CA497" i="39"/>
  <c r="BZ497" i="39"/>
  <c r="BY497" i="39"/>
  <c r="CA496" i="39"/>
  <c r="BZ496" i="39"/>
  <c r="BY496" i="39"/>
  <c r="CA495" i="39"/>
  <c r="BZ495" i="39"/>
  <c r="BY495" i="39"/>
  <c r="CA494" i="39"/>
  <c r="BZ494" i="39"/>
  <c r="BY494" i="39"/>
  <c r="CA493" i="39"/>
  <c r="BZ493" i="39"/>
  <c r="BY493" i="39"/>
  <c r="CA492" i="39"/>
  <c r="BZ492" i="39"/>
  <c r="BY492" i="39"/>
  <c r="CA491" i="39"/>
  <c r="BZ491" i="39"/>
  <c r="BY491" i="39"/>
  <c r="CA490" i="39"/>
  <c r="BZ490" i="39"/>
  <c r="BY490" i="39"/>
  <c r="CA489" i="39"/>
  <c r="BZ489" i="39"/>
  <c r="BY489" i="39"/>
  <c r="CA488" i="39"/>
  <c r="BZ488" i="39"/>
  <c r="BY488" i="39"/>
  <c r="CA487" i="39"/>
  <c r="BZ487" i="39"/>
  <c r="BY487" i="39"/>
  <c r="CA486" i="39"/>
  <c r="BZ486" i="39"/>
  <c r="BY486" i="39"/>
  <c r="CA485" i="39"/>
  <c r="BZ485" i="39"/>
  <c r="BY485" i="39"/>
  <c r="CA484" i="39"/>
  <c r="BZ484" i="39"/>
  <c r="BY484" i="39"/>
  <c r="CA483" i="39"/>
  <c r="BZ483" i="39"/>
  <c r="BY483" i="39"/>
  <c r="CA482" i="39"/>
  <c r="BZ482" i="39"/>
  <c r="BY482" i="39"/>
  <c r="CA481" i="39"/>
  <c r="BZ481" i="39"/>
  <c r="BY481" i="39"/>
  <c r="CA480" i="39"/>
  <c r="BZ480" i="39"/>
  <c r="BY480" i="39"/>
  <c r="CA479" i="39"/>
  <c r="BZ479" i="39"/>
  <c r="BY479" i="39"/>
  <c r="CA478" i="39"/>
  <c r="BZ478" i="39"/>
  <c r="BY478" i="39"/>
  <c r="CA477" i="39"/>
  <c r="BZ477" i="39"/>
  <c r="BY477" i="39"/>
  <c r="CA476" i="39"/>
  <c r="BZ476" i="39"/>
  <c r="BY476" i="39"/>
  <c r="CA475" i="39"/>
  <c r="BZ475" i="39"/>
  <c r="BY475" i="39"/>
  <c r="CA474" i="39"/>
  <c r="BZ474" i="39"/>
  <c r="BY474" i="39"/>
  <c r="CA473" i="39"/>
  <c r="BZ473" i="39"/>
  <c r="BY473" i="39"/>
  <c r="CA472" i="39"/>
  <c r="BZ472" i="39"/>
  <c r="BY472" i="39"/>
  <c r="CA471" i="39"/>
  <c r="BZ471" i="39"/>
  <c r="BY471" i="39"/>
  <c r="CA470" i="39"/>
  <c r="BZ470" i="39"/>
  <c r="BY470" i="39"/>
  <c r="CA469" i="39"/>
  <c r="BZ469" i="39"/>
  <c r="BY469" i="39"/>
  <c r="CA468" i="39"/>
  <c r="BZ468" i="39"/>
  <c r="BY468" i="39"/>
  <c r="CA467" i="39"/>
  <c r="BZ467" i="39"/>
  <c r="BY467" i="39"/>
  <c r="CA466" i="39"/>
  <c r="BZ466" i="39"/>
  <c r="BY466" i="39"/>
  <c r="CA465" i="39"/>
  <c r="BZ465" i="39"/>
  <c r="BY465" i="39"/>
  <c r="CA464" i="39"/>
  <c r="BZ464" i="39"/>
  <c r="BY464" i="39"/>
  <c r="CA463" i="39"/>
  <c r="BZ463" i="39"/>
  <c r="BY463" i="39"/>
  <c r="CA462" i="39"/>
  <c r="BZ462" i="39"/>
  <c r="BY462" i="39"/>
  <c r="CA461" i="39"/>
  <c r="BZ461" i="39"/>
  <c r="BY461" i="39"/>
  <c r="CA460" i="39"/>
  <c r="BZ460" i="39"/>
  <c r="BY460" i="39"/>
  <c r="CA459" i="39"/>
  <c r="BZ459" i="39"/>
  <c r="BY459" i="39"/>
  <c r="CA458" i="39"/>
  <c r="BZ458" i="39"/>
  <c r="BY458" i="39"/>
  <c r="CA457" i="39"/>
  <c r="BZ457" i="39"/>
  <c r="BY457" i="39"/>
  <c r="CA456" i="39"/>
  <c r="BZ456" i="39"/>
  <c r="BY456" i="39"/>
  <c r="CA455" i="39"/>
  <c r="BZ455" i="39"/>
  <c r="BY455" i="39"/>
  <c r="CA454" i="39"/>
  <c r="BZ454" i="39"/>
  <c r="BY454" i="39"/>
  <c r="CA453" i="39"/>
  <c r="BZ453" i="39"/>
  <c r="BY453" i="39"/>
  <c r="CA452" i="39"/>
  <c r="BZ452" i="39"/>
  <c r="BY452" i="39"/>
  <c r="CA451" i="39"/>
  <c r="BZ451" i="39"/>
  <c r="BY451" i="39"/>
  <c r="CA450" i="39"/>
  <c r="BZ450" i="39"/>
  <c r="BY450" i="39"/>
  <c r="CA449" i="39"/>
  <c r="BZ449" i="39"/>
  <c r="BY449" i="39"/>
  <c r="CA448" i="39"/>
  <c r="BZ448" i="39"/>
  <c r="BY448" i="39"/>
  <c r="CA447" i="39"/>
  <c r="BZ447" i="39"/>
  <c r="BY447" i="39"/>
  <c r="CA446" i="39"/>
  <c r="BZ446" i="39"/>
  <c r="BY446" i="39"/>
  <c r="CA445" i="39"/>
  <c r="BZ445" i="39"/>
  <c r="BY445" i="39"/>
  <c r="CA444" i="39"/>
  <c r="BZ444" i="39"/>
  <c r="BY444" i="39"/>
  <c r="CA443" i="39"/>
  <c r="BZ443" i="39"/>
  <c r="BY443" i="39"/>
  <c r="CA442" i="39"/>
  <c r="BZ442" i="39"/>
  <c r="BY442" i="39"/>
  <c r="CA441" i="39"/>
  <c r="BZ441" i="39"/>
  <c r="BY441" i="39"/>
  <c r="CA440" i="39"/>
  <c r="BZ440" i="39"/>
  <c r="BY440" i="39"/>
  <c r="CA439" i="39"/>
  <c r="BZ439" i="39"/>
  <c r="BY439" i="39"/>
  <c r="CA438" i="39"/>
  <c r="BZ438" i="39"/>
  <c r="BY438" i="39"/>
  <c r="CA437" i="39"/>
  <c r="BZ437" i="39"/>
  <c r="BY437" i="39"/>
  <c r="CA436" i="39"/>
  <c r="BZ436" i="39"/>
  <c r="BY436" i="39"/>
  <c r="CA435" i="39"/>
  <c r="BZ435" i="39"/>
  <c r="BY435" i="39"/>
  <c r="CA434" i="39"/>
  <c r="BZ434" i="39"/>
  <c r="BY434" i="39"/>
  <c r="CA433" i="39"/>
  <c r="BZ433" i="39"/>
  <c r="BY433" i="39"/>
  <c r="CA432" i="39"/>
  <c r="BZ432" i="39"/>
  <c r="BY432" i="39"/>
  <c r="CA431" i="39"/>
  <c r="BZ431" i="39"/>
  <c r="BY431" i="39"/>
  <c r="CA430" i="39"/>
  <c r="BZ430" i="39"/>
  <c r="BY430" i="39"/>
  <c r="CA429" i="39"/>
  <c r="BZ429" i="39"/>
  <c r="BY429" i="39"/>
  <c r="CA428" i="39"/>
  <c r="BZ428" i="39"/>
  <c r="BY428" i="39"/>
  <c r="CA427" i="39"/>
  <c r="BZ427" i="39"/>
  <c r="BY427" i="39"/>
  <c r="CA426" i="39"/>
  <c r="BZ426" i="39"/>
  <c r="BY426" i="39"/>
  <c r="CA425" i="39"/>
  <c r="BZ425" i="39"/>
  <c r="BY425" i="39"/>
  <c r="CA424" i="39"/>
  <c r="BZ424" i="39"/>
  <c r="BY424" i="39"/>
  <c r="CA423" i="39"/>
  <c r="BZ423" i="39"/>
  <c r="BY423" i="39"/>
  <c r="CA422" i="39"/>
  <c r="BZ422" i="39"/>
  <c r="BY422" i="39"/>
  <c r="CA421" i="39"/>
  <c r="BZ421" i="39"/>
  <c r="BY421" i="39"/>
  <c r="CA420" i="39"/>
  <c r="BZ420" i="39"/>
  <c r="BY420" i="39"/>
  <c r="CA419" i="39"/>
  <c r="BZ419" i="39"/>
  <c r="BY419" i="39"/>
  <c r="CA418" i="39"/>
  <c r="BZ418" i="39"/>
  <c r="BY418" i="39"/>
  <c r="CA417" i="39"/>
  <c r="BZ417" i="39"/>
  <c r="BY417" i="39"/>
  <c r="CA416" i="39"/>
  <c r="BZ416" i="39"/>
  <c r="BY416" i="39"/>
  <c r="CA415" i="39"/>
  <c r="BZ415" i="39"/>
  <c r="BY415" i="39"/>
  <c r="CA414" i="39"/>
  <c r="BZ414" i="39"/>
  <c r="BY414" i="39"/>
  <c r="CA413" i="39"/>
  <c r="BZ413" i="39"/>
  <c r="BY413" i="39"/>
  <c r="CA412" i="39"/>
  <c r="BZ412" i="39"/>
  <c r="BY412" i="39"/>
  <c r="CA411" i="39"/>
  <c r="BZ411" i="39"/>
  <c r="BY411" i="39"/>
  <c r="CA410" i="39"/>
  <c r="BZ410" i="39"/>
  <c r="BY410" i="39"/>
  <c r="CA409" i="39"/>
  <c r="BZ409" i="39"/>
  <c r="BY409" i="39"/>
  <c r="CA408" i="39"/>
  <c r="BZ408" i="39"/>
  <c r="BY408" i="39"/>
  <c r="CA407" i="39"/>
  <c r="BZ407" i="39"/>
  <c r="BY407" i="39"/>
  <c r="CA406" i="39"/>
  <c r="BZ406" i="39"/>
  <c r="BY406" i="39"/>
  <c r="CA405" i="39"/>
  <c r="BZ405" i="39"/>
  <c r="BY405" i="39"/>
  <c r="CA404" i="39"/>
  <c r="BZ404" i="39"/>
  <c r="BY404" i="39"/>
  <c r="CA403" i="39"/>
  <c r="BZ403" i="39"/>
  <c r="BY403" i="39"/>
  <c r="CA402" i="39"/>
  <c r="BZ402" i="39"/>
  <c r="BY402" i="39"/>
  <c r="CA401" i="39"/>
  <c r="BZ401" i="39"/>
  <c r="BY401" i="39"/>
  <c r="CA400" i="39"/>
  <c r="BZ400" i="39"/>
  <c r="BY400" i="39"/>
  <c r="CA399" i="39"/>
  <c r="BZ399" i="39"/>
  <c r="BY399" i="39"/>
  <c r="CA398" i="39"/>
  <c r="BZ398" i="39"/>
  <c r="BY398" i="39"/>
  <c r="CA397" i="39"/>
  <c r="BZ397" i="39"/>
  <c r="BY397" i="39"/>
  <c r="CA396" i="39"/>
  <c r="BZ396" i="39"/>
  <c r="BY396" i="39"/>
  <c r="CA395" i="39"/>
  <c r="BZ395" i="39"/>
  <c r="BY395" i="39"/>
  <c r="CA394" i="39"/>
  <c r="BZ394" i="39"/>
  <c r="BY394" i="39"/>
  <c r="CA393" i="39"/>
  <c r="BZ393" i="39"/>
  <c r="BY393" i="39"/>
  <c r="CA392" i="39"/>
  <c r="BZ392" i="39"/>
  <c r="BY392" i="39"/>
  <c r="CA391" i="39"/>
  <c r="BZ391" i="39"/>
  <c r="BY391" i="39"/>
  <c r="CA390" i="39"/>
  <c r="BZ390" i="39"/>
  <c r="BY390" i="39"/>
  <c r="CA389" i="39"/>
  <c r="BZ389" i="39"/>
  <c r="BY389" i="39"/>
  <c r="CA388" i="39"/>
  <c r="BZ388" i="39"/>
  <c r="BY388" i="39"/>
  <c r="CA387" i="39"/>
  <c r="BZ387" i="39"/>
  <c r="BY387" i="39"/>
  <c r="CA386" i="39"/>
  <c r="BZ386" i="39"/>
  <c r="BY386" i="39"/>
  <c r="CA385" i="39"/>
  <c r="BZ385" i="39"/>
  <c r="BY385" i="39"/>
  <c r="CA384" i="39"/>
  <c r="BZ384" i="39"/>
  <c r="BY384" i="39"/>
  <c r="CA383" i="39"/>
  <c r="BZ383" i="39"/>
  <c r="BY383" i="39"/>
  <c r="CA382" i="39"/>
  <c r="BZ382" i="39"/>
  <c r="BY382" i="39"/>
  <c r="CA381" i="39"/>
  <c r="BZ381" i="39"/>
  <c r="BY381" i="39"/>
  <c r="CA380" i="39"/>
  <c r="BZ380" i="39"/>
  <c r="BY380" i="39"/>
  <c r="CA379" i="39"/>
  <c r="BZ379" i="39"/>
  <c r="BY379" i="39"/>
  <c r="CA378" i="39"/>
  <c r="BZ378" i="39"/>
  <c r="BY378" i="39"/>
  <c r="CA377" i="39"/>
  <c r="BZ377" i="39"/>
  <c r="BY377" i="39"/>
  <c r="CA376" i="39"/>
  <c r="BZ376" i="39"/>
  <c r="BY376" i="39"/>
  <c r="CA375" i="39"/>
  <c r="BZ375" i="39"/>
  <c r="BY375" i="39"/>
  <c r="CA374" i="39"/>
  <c r="BZ374" i="39"/>
  <c r="BY374" i="39"/>
  <c r="CA373" i="39"/>
  <c r="BZ373" i="39"/>
  <c r="BY373" i="39"/>
  <c r="CA372" i="39"/>
  <c r="BZ372" i="39"/>
  <c r="BY372" i="39"/>
  <c r="CA371" i="39"/>
  <c r="BZ371" i="39"/>
  <c r="BY371" i="39"/>
  <c r="CA370" i="39"/>
  <c r="BZ370" i="39"/>
  <c r="BY370" i="39"/>
  <c r="CA369" i="39"/>
  <c r="BZ369" i="39"/>
  <c r="BY369" i="39"/>
  <c r="CA368" i="39"/>
  <c r="BZ368" i="39"/>
  <c r="BY368" i="39"/>
  <c r="CA367" i="39"/>
  <c r="BZ367" i="39"/>
  <c r="BY367" i="39"/>
  <c r="CA366" i="39"/>
  <c r="BZ366" i="39"/>
  <c r="BY366" i="39"/>
  <c r="CA365" i="39"/>
  <c r="BZ365" i="39"/>
  <c r="BY365" i="39"/>
  <c r="CA364" i="39"/>
  <c r="BZ364" i="39"/>
  <c r="BY364" i="39"/>
  <c r="CA363" i="39"/>
  <c r="BZ363" i="39"/>
  <c r="BY363" i="39"/>
  <c r="CA362" i="39"/>
  <c r="BZ362" i="39"/>
  <c r="BY362" i="39"/>
  <c r="CA361" i="39"/>
  <c r="BZ361" i="39"/>
  <c r="BY361" i="39"/>
  <c r="CA360" i="39"/>
  <c r="BZ360" i="39"/>
  <c r="BY360" i="39"/>
  <c r="CA359" i="39"/>
  <c r="BZ359" i="39"/>
  <c r="BY359" i="39"/>
  <c r="CA358" i="39"/>
  <c r="BZ358" i="39"/>
  <c r="BY358" i="39"/>
  <c r="CA357" i="39"/>
  <c r="BZ357" i="39"/>
  <c r="BY357" i="39"/>
  <c r="CA356" i="39"/>
  <c r="BZ356" i="39"/>
  <c r="BY356" i="39"/>
  <c r="CA355" i="39"/>
  <c r="BZ355" i="39"/>
  <c r="BY355" i="39"/>
  <c r="CA354" i="39"/>
  <c r="BZ354" i="39"/>
  <c r="BY354" i="39"/>
  <c r="CA353" i="39"/>
  <c r="BZ353" i="39"/>
  <c r="BY353" i="39"/>
  <c r="CA352" i="39"/>
  <c r="BZ352" i="39"/>
  <c r="BY352" i="39"/>
  <c r="CA351" i="39"/>
  <c r="BZ351" i="39"/>
  <c r="BY351" i="39"/>
  <c r="CA350" i="39"/>
  <c r="BZ350" i="39"/>
  <c r="BY350" i="39"/>
  <c r="CA349" i="39"/>
  <c r="BZ349" i="39"/>
  <c r="BY349" i="39"/>
  <c r="CA348" i="39"/>
  <c r="BZ348" i="39"/>
  <c r="BY348" i="39"/>
  <c r="CA347" i="39"/>
  <c r="BZ347" i="39"/>
  <c r="BY347" i="39"/>
  <c r="CA346" i="39"/>
  <c r="BZ346" i="39"/>
  <c r="BY346" i="39"/>
  <c r="CA345" i="39"/>
  <c r="BZ345" i="39"/>
  <c r="BY345" i="39"/>
  <c r="CA344" i="39"/>
  <c r="BZ344" i="39"/>
  <c r="BY344" i="39"/>
  <c r="CA343" i="39"/>
  <c r="BZ343" i="39"/>
  <c r="BY343" i="39"/>
  <c r="CA342" i="39"/>
  <c r="BZ342" i="39"/>
  <c r="BY342" i="39"/>
  <c r="CA341" i="39"/>
  <c r="BZ341" i="39"/>
  <c r="BY341" i="39"/>
  <c r="CA340" i="39"/>
  <c r="BZ340" i="39"/>
  <c r="BY340" i="39"/>
  <c r="CA339" i="39"/>
  <c r="BZ339" i="39"/>
  <c r="BY339" i="39"/>
  <c r="CA338" i="39"/>
  <c r="BZ338" i="39"/>
  <c r="BY338" i="39"/>
  <c r="CA337" i="39"/>
  <c r="BZ337" i="39"/>
  <c r="BY337" i="39"/>
  <c r="CA336" i="39"/>
  <c r="BZ336" i="39"/>
  <c r="BY336" i="39"/>
  <c r="CA335" i="39"/>
  <c r="BZ335" i="39"/>
  <c r="BY335" i="39"/>
  <c r="CA334" i="39"/>
  <c r="BZ334" i="39"/>
  <c r="BY334" i="39"/>
  <c r="CA333" i="39"/>
  <c r="BZ333" i="39"/>
  <c r="BY333" i="39"/>
  <c r="CA332" i="39"/>
  <c r="BZ332" i="39"/>
  <c r="BY332" i="39"/>
  <c r="CA331" i="39"/>
  <c r="BZ331" i="39"/>
  <c r="BY331" i="39"/>
  <c r="CA330" i="39"/>
  <c r="BZ330" i="39"/>
  <c r="BY330" i="39"/>
  <c r="CA329" i="39"/>
  <c r="BZ329" i="39"/>
  <c r="BY329" i="39"/>
  <c r="CA328" i="39"/>
  <c r="BZ328" i="39"/>
  <c r="BY328" i="39"/>
  <c r="CA327" i="39"/>
  <c r="BZ327" i="39"/>
  <c r="BY327" i="39"/>
  <c r="CA326" i="39"/>
  <c r="BZ326" i="39"/>
  <c r="BY326" i="39"/>
  <c r="CA325" i="39"/>
  <c r="BZ325" i="39"/>
  <c r="BY325" i="39"/>
  <c r="CA324" i="39"/>
  <c r="BZ324" i="39"/>
  <c r="BY324" i="39"/>
  <c r="CA323" i="39"/>
  <c r="BZ323" i="39"/>
  <c r="BY323" i="39"/>
  <c r="CA322" i="39"/>
  <c r="BZ322" i="39"/>
  <c r="BY322" i="39"/>
  <c r="CA321" i="39"/>
  <c r="BZ321" i="39"/>
  <c r="BY321" i="39"/>
  <c r="CA320" i="39"/>
  <c r="BZ320" i="39"/>
  <c r="BY320" i="39"/>
  <c r="CA319" i="39"/>
  <c r="BZ319" i="39"/>
  <c r="BY319" i="39"/>
  <c r="CA318" i="39"/>
  <c r="BZ318" i="39"/>
  <c r="BY318" i="39"/>
  <c r="CA317" i="39"/>
  <c r="BZ317" i="39"/>
  <c r="BY317" i="39"/>
  <c r="CA316" i="39"/>
  <c r="BZ316" i="39"/>
  <c r="BY316" i="39"/>
  <c r="CA315" i="39"/>
  <c r="BZ315" i="39"/>
  <c r="BY315" i="39"/>
  <c r="CA314" i="39"/>
  <c r="BZ314" i="39"/>
  <c r="BY314" i="39"/>
  <c r="CA313" i="39"/>
  <c r="BZ313" i="39"/>
  <c r="BY313" i="39"/>
  <c r="CA312" i="39"/>
  <c r="BZ312" i="39"/>
  <c r="BY312" i="39"/>
  <c r="CA311" i="39"/>
  <c r="BZ311" i="39"/>
  <c r="BY311" i="39"/>
  <c r="CA310" i="39"/>
  <c r="BZ310" i="39"/>
  <c r="BY310" i="39"/>
  <c r="CA309" i="39"/>
  <c r="BZ309" i="39"/>
  <c r="BY309" i="39"/>
  <c r="CA308" i="39"/>
  <c r="BZ308" i="39"/>
  <c r="BY308" i="39"/>
  <c r="CA307" i="39"/>
  <c r="BZ307" i="39"/>
  <c r="BY307" i="39"/>
  <c r="CA306" i="39"/>
  <c r="BZ306" i="39"/>
  <c r="BY306" i="39"/>
  <c r="CA305" i="39"/>
  <c r="BZ305" i="39"/>
  <c r="BY305" i="39"/>
  <c r="CA304" i="39"/>
  <c r="BZ304" i="39"/>
  <c r="BY304" i="39"/>
  <c r="CA303" i="39"/>
  <c r="BZ303" i="39"/>
  <c r="BY303" i="39"/>
  <c r="CA302" i="39"/>
  <c r="BZ302" i="39"/>
  <c r="BY302" i="39"/>
  <c r="CA301" i="39"/>
  <c r="BZ301" i="39"/>
  <c r="BY301" i="39"/>
  <c r="CA300" i="39"/>
  <c r="BZ300" i="39"/>
  <c r="BY300" i="39"/>
  <c r="CA299" i="39"/>
  <c r="BZ299" i="39"/>
  <c r="BY299" i="39"/>
  <c r="CA298" i="39"/>
  <c r="BZ298" i="39"/>
  <c r="BY298" i="39"/>
  <c r="CA297" i="39"/>
  <c r="BZ297" i="39"/>
  <c r="BY297" i="39"/>
  <c r="CA296" i="39"/>
  <c r="BZ296" i="39"/>
  <c r="BY296" i="39"/>
  <c r="CA295" i="39"/>
  <c r="BZ295" i="39"/>
  <c r="BY295" i="39"/>
  <c r="CA294" i="39"/>
  <c r="BZ294" i="39"/>
  <c r="BY294" i="39"/>
  <c r="CA293" i="39"/>
  <c r="BZ293" i="39"/>
  <c r="BY293" i="39"/>
  <c r="CA292" i="39"/>
  <c r="BZ292" i="39"/>
  <c r="BY292" i="39"/>
  <c r="CA291" i="39"/>
  <c r="BZ291" i="39"/>
  <c r="BY291" i="39"/>
  <c r="CA290" i="39"/>
  <c r="BZ290" i="39"/>
  <c r="BY290" i="39"/>
  <c r="CA289" i="39"/>
  <c r="BZ289" i="39"/>
  <c r="BY289" i="39"/>
  <c r="CA288" i="39"/>
  <c r="BZ288" i="39"/>
  <c r="BY288" i="39"/>
  <c r="CA287" i="39"/>
  <c r="BZ287" i="39"/>
  <c r="BY287" i="39"/>
  <c r="CA286" i="39"/>
  <c r="BZ286" i="39"/>
  <c r="BY286" i="39"/>
  <c r="CA285" i="39"/>
  <c r="BZ285" i="39"/>
  <c r="BY285" i="39"/>
  <c r="CA284" i="39"/>
  <c r="BZ284" i="39"/>
  <c r="BY284" i="39"/>
  <c r="CA283" i="39"/>
  <c r="BZ283" i="39"/>
  <c r="BY283" i="39"/>
  <c r="CA282" i="39"/>
  <c r="BZ282" i="39"/>
  <c r="BY282" i="39"/>
  <c r="CA281" i="39"/>
  <c r="BZ281" i="39"/>
  <c r="BY281" i="39"/>
  <c r="CA280" i="39"/>
  <c r="BZ280" i="39"/>
  <c r="BY280" i="39"/>
  <c r="CA279" i="39"/>
  <c r="BZ279" i="39"/>
  <c r="BY279" i="39"/>
  <c r="CA278" i="39"/>
  <c r="BZ278" i="39"/>
  <c r="BY278" i="39"/>
  <c r="CA277" i="39"/>
  <c r="BZ277" i="39"/>
  <c r="BY277" i="39"/>
  <c r="CA276" i="39"/>
  <c r="BZ276" i="39"/>
  <c r="BY276" i="39"/>
  <c r="CA275" i="39"/>
  <c r="BZ275" i="39"/>
  <c r="BY275" i="39"/>
  <c r="CA274" i="39"/>
  <c r="BZ274" i="39"/>
  <c r="BY274" i="39"/>
  <c r="CA273" i="39"/>
  <c r="BZ273" i="39"/>
  <c r="BY273" i="39"/>
  <c r="CA272" i="39"/>
  <c r="BZ272" i="39"/>
  <c r="BY272" i="39"/>
  <c r="CA271" i="39"/>
  <c r="BZ271" i="39"/>
  <c r="BY271" i="39"/>
  <c r="CA270" i="39"/>
  <c r="BZ270" i="39"/>
  <c r="BY270" i="39"/>
  <c r="CA269" i="39"/>
  <c r="BZ269" i="39"/>
  <c r="BY269" i="39"/>
  <c r="CA268" i="39"/>
  <c r="BZ268" i="39"/>
  <c r="BY268" i="39"/>
  <c r="CA267" i="39"/>
  <c r="BZ267" i="39"/>
  <c r="BY267" i="39"/>
  <c r="CA266" i="39"/>
  <c r="BZ266" i="39"/>
  <c r="BY266" i="39"/>
  <c r="CA265" i="39"/>
  <c r="BZ265" i="39"/>
  <c r="BY265" i="39"/>
  <c r="CA264" i="39"/>
  <c r="BZ264" i="39"/>
  <c r="BY264" i="39"/>
  <c r="CA263" i="39"/>
  <c r="BZ263" i="39"/>
  <c r="BY263" i="39"/>
  <c r="CA262" i="39"/>
  <c r="BZ262" i="39"/>
  <c r="BY262" i="39"/>
  <c r="CA261" i="39"/>
  <c r="BZ261" i="39"/>
  <c r="BY261" i="39"/>
  <c r="CA260" i="39"/>
  <c r="BZ260" i="39"/>
  <c r="BY260" i="39"/>
  <c r="CA259" i="39"/>
  <c r="BZ259" i="39"/>
  <c r="BY259" i="39"/>
  <c r="CA258" i="39"/>
  <c r="BZ258" i="39"/>
  <c r="BY258" i="39"/>
  <c r="CA257" i="39"/>
  <c r="BZ257" i="39"/>
  <c r="BY257" i="39"/>
  <c r="CA256" i="39"/>
  <c r="BZ256" i="39"/>
  <c r="BY256" i="39"/>
  <c r="CA255" i="39"/>
  <c r="BZ255" i="39"/>
  <c r="BY255" i="39"/>
  <c r="CA254" i="39"/>
  <c r="BZ254" i="39"/>
  <c r="BY254" i="39"/>
  <c r="CA253" i="39"/>
  <c r="BZ253" i="39"/>
  <c r="BY253" i="39"/>
  <c r="CA252" i="39"/>
  <c r="BZ252" i="39"/>
  <c r="BY252" i="39"/>
  <c r="CA251" i="39"/>
  <c r="BZ251" i="39"/>
  <c r="BY251" i="39"/>
  <c r="CA250" i="39"/>
  <c r="BZ250" i="39"/>
  <c r="BY250" i="39"/>
  <c r="CA249" i="39"/>
  <c r="BZ249" i="39"/>
  <c r="BY249" i="39"/>
  <c r="CA248" i="39"/>
  <c r="BZ248" i="39"/>
  <c r="BY248" i="39"/>
  <c r="CA247" i="39"/>
  <c r="BZ247" i="39"/>
  <c r="BY247" i="39"/>
  <c r="CA246" i="39"/>
  <c r="BZ246" i="39"/>
  <c r="BY246" i="39"/>
  <c r="CA245" i="39"/>
  <c r="BZ245" i="39"/>
  <c r="BY245" i="39"/>
  <c r="CA244" i="39"/>
  <c r="BZ244" i="39"/>
  <c r="BY244" i="39"/>
  <c r="CA243" i="39"/>
  <c r="BZ243" i="39"/>
  <c r="BY243" i="39"/>
  <c r="CA242" i="39"/>
  <c r="BZ242" i="39"/>
  <c r="BY242" i="39"/>
  <c r="CA241" i="39"/>
  <c r="BZ241" i="39"/>
  <c r="BY241" i="39"/>
  <c r="CA240" i="39"/>
  <c r="BZ240" i="39"/>
  <c r="BY240" i="39"/>
  <c r="CA239" i="39"/>
  <c r="BZ239" i="39"/>
  <c r="BY239" i="39"/>
  <c r="CA238" i="39"/>
  <c r="BZ238" i="39"/>
  <c r="BY238" i="39"/>
  <c r="CA237" i="39"/>
  <c r="BZ237" i="39"/>
  <c r="BY237" i="39"/>
  <c r="CA236" i="39"/>
  <c r="BZ236" i="39"/>
  <c r="BY236" i="39"/>
  <c r="CA235" i="39"/>
  <c r="BZ235" i="39"/>
  <c r="BY235" i="39"/>
  <c r="CA234" i="39"/>
  <c r="BZ234" i="39"/>
  <c r="BY234" i="39"/>
  <c r="CA233" i="39"/>
  <c r="BZ233" i="39"/>
  <c r="BY233" i="39"/>
  <c r="CA232" i="39"/>
  <c r="BZ232" i="39"/>
  <c r="BY232" i="39"/>
  <c r="CA231" i="39"/>
  <c r="BZ231" i="39"/>
  <c r="BY231" i="39"/>
  <c r="CA230" i="39"/>
  <c r="BZ230" i="39"/>
  <c r="BY230" i="39"/>
  <c r="CA229" i="39"/>
  <c r="BZ229" i="39"/>
  <c r="BY229" i="39"/>
  <c r="CA228" i="39"/>
  <c r="BZ228" i="39"/>
  <c r="BY228" i="39"/>
  <c r="CA227" i="39"/>
  <c r="BZ227" i="39"/>
  <c r="BY227" i="39"/>
  <c r="CA226" i="39"/>
  <c r="BZ226" i="39"/>
  <c r="BY226" i="39"/>
  <c r="CA225" i="39"/>
  <c r="BZ225" i="39"/>
  <c r="BY225" i="39"/>
  <c r="CA224" i="39"/>
  <c r="BZ224" i="39"/>
  <c r="BY224" i="39"/>
  <c r="CA223" i="39"/>
  <c r="BZ223" i="39"/>
  <c r="BY223" i="39"/>
  <c r="CA222" i="39"/>
  <c r="BZ222" i="39"/>
  <c r="BY222" i="39"/>
  <c r="CA221" i="39"/>
  <c r="BZ221" i="39"/>
  <c r="BY221" i="39"/>
  <c r="CA220" i="39"/>
  <c r="BZ220" i="39"/>
  <c r="BY220" i="39"/>
  <c r="CA219" i="39"/>
  <c r="BZ219" i="39"/>
  <c r="BY219" i="39"/>
  <c r="CA218" i="39"/>
  <c r="BZ218" i="39"/>
  <c r="BY218" i="39"/>
  <c r="CA217" i="39"/>
  <c r="BZ217" i="39"/>
  <c r="BY217" i="39"/>
  <c r="CA216" i="39"/>
  <c r="BZ216" i="39"/>
  <c r="BY216" i="39"/>
  <c r="CA215" i="39"/>
  <c r="BZ215" i="39"/>
  <c r="BY215" i="39"/>
  <c r="CA214" i="39"/>
  <c r="BZ214" i="39"/>
  <c r="BY214" i="39"/>
  <c r="CA213" i="39"/>
  <c r="BZ213" i="39"/>
  <c r="BY213" i="39"/>
  <c r="CA212" i="39"/>
  <c r="BZ212" i="39"/>
  <c r="BY212" i="39"/>
  <c r="CA211" i="39"/>
  <c r="BZ211" i="39"/>
  <c r="BY211" i="39"/>
  <c r="CA210" i="39"/>
  <c r="BZ210" i="39"/>
  <c r="BY210" i="39"/>
  <c r="CA209" i="39"/>
  <c r="BZ209" i="39"/>
  <c r="BY209" i="39"/>
  <c r="CA208" i="39"/>
  <c r="BZ208" i="39"/>
  <c r="BY208" i="39"/>
  <c r="CA207" i="39"/>
  <c r="BZ207" i="39"/>
  <c r="BY207" i="39"/>
  <c r="CA206" i="39"/>
  <c r="BZ206" i="39"/>
  <c r="BY206" i="39"/>
  <c r="CA205" i="39"/>
  <c r="BZ205" i="39"/>
  <c r="BY205" i="39"/>
  <c r="CA204" i="39"/>
  <c r="BZ204" i="39"/>
  <c r="BY204" i="39"/>
  <c r="CA203" i="39"/>
  <c r="BZ203" i="39"/>
  <c r="BY203" i="39"/>
  <c r="CA202" i="39"/>
  <c r="BZ202" i="39"/>
  <c r="BY202" i="39"/>
  <c r="CA201" i="39"/>
  <c r="BZ201" i="39"/>
  <c r="BY201" i="39"/>
  <c r="CA200" i="39"/>
  <c r="BZ200" i="39"/>
  <c r="BY200" i="39"/>
  <c r="CA199" i="39"/>
  <c r="BZ199" i="39"/>
  <c r="BY199" i="39"/>
  <c r="CA198" i="39"/>
  <c r="BZ198" i="39"/>
  <c r="BY198" i="39"/>
  <c r="CA197" i="39"/>
  <c r="BZ197" i="39"/>
  <c r="BY197" i="39"/>
  <c r="CA196" i="39"/>
  <c r="BZ196" i="39"/>
  <c r="BY196" i="39"/>
  <c r="CA195" i="39"/>
  <c r="BZ195" i="39"/>
  <c r="BY195" i="39"/>
  <c r="CA194" i="39"/>
  <c r="BZ194" i="39"/>
  <c r="BY194" i="39"/>
  <c r="CA193" i="39"/>
  <c r="BZ193" i="39"/>
  <c r="BY193" i="39"/>
  <c r="CA192" i="39"/>
  <c r="BZ192" i="39"/>
  <c r="BY192" i="39"/>
  <c r="CA191" i="39"/>
  <c r="BZ191" i="39"/>
  <c r="BY191" i="39"/>
  <c r="CA190" i="39"/>
  <c r="BZ190" i="39"/>
  <c r="BY190" i="39"/>
  <c r="CA189" i="39"/>
  <c r="BZ189" i="39"/>
  <c r="BY189" i="39"/>
  <c r="CA188" i="39"/>
  <c r="BZ188" i="39"/>
  <c r="BY188" i="39"/>
  <c r="CA187" i="39"/>
  <c r="BZ187" i="39"/>
  <c r="BY187" i="39"/>
  <c r="CA186" i="39"/>
  <c r="BZ186" i="39"/>
  <c r="BY186" i="39"/>
  <c r="CA185" i="39"/>
  <c r="BZ185" i="39"/>
  <c r="BY185" i="39"/>
  <c r="CA184" i="39"/>
  <c r="BZ184" i="39"/>
  <c r="BY184" i="39"/>
  <c r="CA183" i="39"/>
  <c r="BZ183" i="39"/>
  <c r="BY183" i="39"/>
  <c r="CA182" i="39"/>
  <c r="BZ182" i="39"/>
  <c r="BY182" i="39"/>
  <c r="CA181" i="39"/>
  <c r="BZ181" i="39"/>
  <c r="BY181" i="39"/>
  <c r="CA180" i="39"/>
  <c r="BZ180" i="39"/>
  <c r="BY180" i="39"/>
  <c r="CA179" i="39"/>
  <c r="BZ179" i="39"/>
  <c r="BY179" i="39"/>
  <c r="CA178" i="39"/>
  <c r="BZ178" i="39"/>
  <c r="BY178" i="39"/>
  <c r="CA177" i="39"/>
  <c r="BZ177" i="39"/>
  <c r="BY177" i="39"/>
  <c r="CA176" i="39"/>
  <c r="BZ176" i="39"/>
  <c r="BY176" i="39"/>
  <c r="CA175" i="39"/>
  <c r="BZ175" i="39"/>
  <c r="BY175" i="39"/>
  <c r="CA174" i="39"/>
  <c r="BZ174" i="39"/>
  <c r="BY174" i="39"/>
  <c r="CA173" i="39"/>
  <c r="BZ173" i="39"/>
  <c r="BY173" i="39"/>
  <c r="CA172" i="39"/>
  <c r="BZ172" i="39"/>
  <c r="BY172" i="39"/>
  <c r="CA171" i="39"/>
  <c r="BZ171" i="39"/>
  <c r="BY171" i="39"/>
  <c r="CA170" i="39"/>
  <c r="BZ170" i="39"/>
  <c r="BY170" i="39"/>
  <c r="CA169" i="39"/>
  <c r="BZ169" i="39"/>
  <c r="BY169" i="39"/>
  <c r="CA168" i="39"/>
  <c r="BZ168" i="39"/>
  <c r="BY168" i="39"/>
  <c r="CA167" i="39"/>
  <c r="BZ167" i="39"/>
  <c r="BY167" i="39"/>
  <c r="CA166" i="39"/>
  <c r="BZ166" i="39"/>
  <c r="BY166" i="39"/>
  <c r="CA165" i="39"/>
  <c r="BZ165" i="39"/>
  <c r="BY165" i="39"/>
  <c r="CA164" i="39"/>
  <c r="BZ164" i="39"/>
  <c r="BY164" i="39"/>
  <c r="CA163" i="39"/>
  <c r="BZ163" i="39"/>
  <c r="BY163" i="39"/>
  <c r="CA162" i="39"/>
  <c r="BZ162" i="39"/>
  <c r="BY162" i="39"/>
  <c r="CA161" i="39"/>
  <c r="BZ161" i="39"/>
  <c r="BY161" i="39"/>
  <c r="CA160" i="39"/>
  <c r="BZ160" i="39"/>
  <c r="BY160" i="39"/>
  <c r="CA159" i="39"/>
  <c r="BZ159" i="39"/>
  <c r="BY159" i="39"/>
  <c r="CA158" i="39"/>
  <c r="BZ158" i="39"/>
  <c r="BY158" i="39"/>
  <c r="CA157" i="39"/>
  <c r="BZ157" i="39"/>
  <c r="BY157" i="39"/>
  <c r="CA156" i="39"/>
  <c r="BZ156" i="39"/>
  <c r="BY156" i="39"/>
  <c r="CA155" i="39"/>
  <c r="BZ155" i="39"/>
  <c r="BY155" i="39"/>
  <c r="CA154" i="39"/>
  <c r="BZ154" i="39"/>
  <c r="BY154" i="39"/>
  <c r="CA153" i="39"/>
  <c r="BZ153" i="39"/>
  <c r="BY153" i="39"/>
  <c r="CA152" i="39"/>
  <c r="BZ152" i="39"/>
  <c r="BY152" i="39"/>
  <c r="CA151" i="39"/>
  <c r="BZ151" i="39"/>
  <c r="BY151" i="39"/>
  <c r="CA150" i="39"/>
  <c r="BZ150" i="39"/>
  <c r="BY150" i="39"/>
  <c r="CA149" i="39"/>
  <c r="BZ149" i="39"/>
  <c r="BY149" i="39"/>
  <c r="CA148" i="39"/>
  <c r="BZ148" i="39"/>
  <c r="BY148" i="39"/>
  <c r="CA147" i="39"/>
  <c r="BZ147" i="39"/>
  <c r="BY147" i="39"/>
  <c r="CA146" i="39"/>
  <c r="BZ146" i="39"/>
  <c r="BY146" i="39"/>
  <c r="CA145" i="39"/>
  <c r="BZ145" i="39"/>
  <c r="BY145" i="39"/>
  <c r="CA144" i="39"/>
  <c r="BZ144" i="39"/>
  <c r="BY144" i="39"/>
  <c r="CA143" i="39"/>
  <c r="BZ143" i="39"/>
  <c r="BY143" i="39"/>
  <c r="CA142" i="39"/>
  <c r="BZ142" i="39"/>
  <c r="BY142" i="39"/>
  <c r="CA141" i="39"/>
  <c r="BZ141" i="39"/>
  <c r="BY141" i="39"/>
  <c r="CA140" i="39"/>
  <c r="BZ140" i="39"/>
  <c r="BY140" i="39"/>
  <c r="CA139" i="39"/>
  <c r="BZ139" i="39"/>
  <c r="BY139" i="39"/>
  <c r="CA138" i="39"/>
  <c r="BZ138" i="39"/>
  <c r="BY138" i="39"/>
  <c r="CA137" i="39"/>
  <c r="BZ137" i="39"/>
  <c r="BY137" i="39"/>
  <c r="CA136" i="39"/>
  <c r="BZ136" i="39"/>
  <c r="BY136" i="39"/>
  <c r="CA135" i="39"/>
  <c r="BZ135" i="39"/>
  <c r="BY135" i="39"/>
  <c r="CA134" i="39"/>
  <c r="BZ134" i="39"/>
  <c r="BY134" i="39"/>
  <c r="CA133" i="39"/>
  <c r="BZ133" i="39"/>
  <c r="BY133" i="39"/>
  <c r="CA132" i="39"/>
  <c r="BZ132" i="39"/>
  <c r="BY132" i="39"/>
  <c r="CA131" i="39"/>
  <c r="BZ131" i="39"/>
  <c r="BY131" i="39"/>
  <c r="CA130" i="39"/>
  <c r="BZ130" i="39"/>
  <c r="BY130" i="39"/>
  <c r="CA129" i="39"/>
  <c r="BZ129" i="39"/>
  <c r="BY129" i="39"/>
  <c r="CA128" i="39"/>
  <c r="BZ128" i="39"/>
  <c r="BY128" i="39"/>
  <c r="CA127" i="39"/>
  <c r="BZ127" i="39"/>
  <c r="BY127" i="39"/>
  <c r="CA126" i="39"/>
  <c r="BZ126" i="39"/>
  <c r="BY126" i="39"/>
  <c r="CA125" i="39"/>
  <c r="BZ125" i="39"/>
  <c r="BY125" i="39"/>
  <c r="CA124" i="39"/>
  <c r="BZ124" i="39"/>
  <c r="BY124" i="39"/>
  <c r="CA123" i="39"/>
  <c r="BZ123" i="39"/>
  <c r="BY123" i="39"/>
  <c r="CA122" i="39"/>
  <c r="BZ122" i="39"/>
  <c r="BY122" i="39"/>
  <c r="CA121" i="39"/>
  <c r="BZ121" i="39"/>
  <c r="BY121" i="39"/>
  <c r="CA120" i="39"/>
  <c r="BZ120" i="39"/>
  <c r="BY120" i="39"/>
  <c r="CA119" i="39"/>
  <c r="BZ119" i="39"/>
  <c r="BY119" i="39"/>
  <c r="CA118" i="39"/>
  <c r="BZ118" i="39"/>
  <c r="BY118" i="39"/>
  <c r="CA117" i="39"/>
  <c r="BZ117" i="39"/>
  <c r="BY117" i="39"/>
  <c r="CA116" i="39"/>
  <c r="BZ116" i="39"/>
  <c r="BY116" i="39"/>
  <c r="CA115" i="39"/>
  <c r="BZ115" i="39"/>
  <c r="BY115" i="39"/>
  <c r="CA114" i="39"/>
  <c r="BZ114" i="39"/>
  <c r="BY114" i="39"/>
  <c r="CA113" i="39"/>
  <c r="BZ113" i="39"/>
  <c r="BY113" i="39"/>
  <c r="CA112" i="39"/>
  <c r="BZ112" i="39"/>
  <c r="BY112" i="39"/>
  <c r="CA111" i="39"/>
  <c r="BZ111" i="39"/>
  <c r="BY111" i="39"/>
  <c r="CA110" i="39"/>
  <c r="BZ110" i="39"/>
  <c r="BY110" i="39"/>
  <c r="CA109" i="39"/>
  <c r="BZ109" i="39"/>
  <c r="BY109" i="39"/>
  <c r="CA108" i="39"/>
  <c r="BZ108" i="39"/>
  <c r="BY108" i="39"/>
  <c r="CA107" i="39"/>
  <c r="BZ107" i="39"/>
  <c r="BY107" i="39"/>
  <c r="CA106" i="39"/>
  <c r="BZ106" i="39"/>
  <c r="BY106" i="39"/>
  <c r="CA105" i="39"/>
  <c r="BZ105" i="39"/>
  <c r="BY105" i="39"/>
  <c r="CA104" i="39"/>
  <c r="BZ104" i="39"/>
  <c r="BY104" i="39"/>
  <c r="CA103" i="39"/>
  <c r="BZ103" i="39"/>
  <c r="BY103" i="39"/>
  <c r="CA102" i="39"/>
  <c r="BZ102" i="39"/>
  <c r="BY102" i="39"/>
  <c r="CA101" i="39"/>
  <c r="BZ101" i="39"/>
  <c r="BY101" i="39"/>
  <c r="CA100" i="39"/>
  <c r="BZ100" i="39"/>
  <c r="BY100" i="39"/>
  <c r="CA99" i="39"/>
  <c r="BZ99" i="39"/>
  <c r="BY99" i="39"/>
  <c r="CA98" i="39"/>
  <c r="BZ98" i="39"/>
  <c r="BY98" i="39"/>
  <c r="CA97" i="39"/>
  <c r="BZ97" i="39"/>
  <c r="BY97" i="39"/>
  <c r="CA96" i="39"/>
  <c r="BZ96" i="39"/>
  <c r="BY96" i="39"/>
  <c r="CA95" i="39"/>
  <c r="BZ95" i="39"/>
  <c r="BY95" i="39"/>
  <c r="CA94" i="39"/>
  <c r="BZ94" i="39"/>
  <c r="BY94" i="39"/>
  <c r="CA93" i="39"/>
  <c r="BZ93" i="39"/>
  <c r="BY93" i="39"/>
  <c r="CA92" i="39"/>
  <c r="BZ92" i="39"/>
  <c r="BY92" i="39"/>
  <c r="CA91" i="39"/>
  <c r="BZ91" i="39"/>
  <c r="BY91" i="39"/>
  <c r="CA90" i="39"/>
  <c r="BZ90" i="39"/>
  <c r="BY90" i="39"/>
  <c r="CA89" i="39"/>
  <c r="BZ89" i="39"/>
  <c r="BY89" i="39"/>
  <c r="CA88" i="39"/>
  <c r="BZ88" i="39"/>
  <c r="BY88" i="39"/>
  <c r="CA87" i="39"/>
  <c r="BZ87" i="39"/>
  <c r="BY87" i="39"/>
  <c r="CA86" i="39"/>
  <c r="BZ86" i="39"/>
  <c r="BY86" i="39"/>
  <c r="CA85" i="39"/>
  <c r="BZ85" i="39"/>
  <c r="BY85" i="39"/>
  <c r="CA84" i="39"/>
  <c r="BZ84" i="39"/>
  <c r="BY84" i="39"/>
  <c r="CA83" i="39"/>
  <c r="BZ83" i="39"/>
  <c r="BY83" i="39"/>
  <c r="CA82" i="39"/>
  <c r="BZ82" i="39"/>
  <c r="BY82" i="39"/>
  <c r="CA81" i="39"/>
  <c r="BZ81" i="39"/>
  <c r="BY81" i="39"/>
  <c r="CA80" i="39"/>
  <c r="BZ80" i="39"/>
  <c r="BY80" i="39"/>
  <c r="CA79" i="39"/>
  <c r="BZ79" i="39"/>
  <c r="BY79" i="39"/>
  <c r="CA78" i="39"/>
  <c r="BZ78" i="39"/>
  <c r="BY78" i="39"/>
  <c r="CA77" i="39"/>
  <c r="BZ77" i="39"/>
  <c r="BY77" i="39"/>
  <c r="CA76" i="39"/>
  <c r="BZ76" i="39"/>
  <c r="BY76" i="39"/>
  <c r="CA75" i="39"/>
  <c r="BZ75" i="39"/>
  <c r="BY75" i="39"/>
  <c r="CA74" i="39"/>
  <c r="BZ74" i="39"/>
  <c r="BY74" i="39"/>
  <c r="CA73" i="39"/>
  <c r="BZ73" i="39"/>
  <c r="BY73" i="39"/>
  <c r="CA72" i="39"/>
  <c r="BZ72" i="39"/>
  <c r="BY72" i="39"/>
  <c r="CA71" i="39"/>
  <c r="BZ71" i="39"/>
  <c r="BY71" i="39"/>
  <c r="CA70" i="39"/>
  <c r="BZ70" i="39"/>
  <c r="BY70" i="39"/>
  <c r="CA69" i="39"/>
  <c r="BZ69" i="39"/>
  <c r="BY69" i="39"/>
  <c r="CA68" i="39"/>
  <c r="BZ68" i="39"/>
  <c r="BY68" i="39"/>
  <c r="CA67" i="39"/>
  <c r="BZ67" i="39"/>
  <c r="BY67" i="39"/>
  <c r="CA66" i="39"/>
  <c r="BZ66" i="39"/>
  <c r="BY66" i="39"/>
  <c r="CA65" i="39"/>
  <c r="BZ65" i="39"/>
  <c r="BY65" i="39"/>
  <c r="CA64" i="39"/>
  <c r="BZ64" i="39"/>
  <c r="BY64" i="39"/>
  <c r="CA63" i="39"/>
  <c r="BZ63" i="39"/>
  <c r="BY63" i="39"/>
  <c r="CA62" i="39"/>
  <c r="BZ62" i="39"/>
  <c r="BY62" i="39"/>
  <c r="CA61" i="39"/>
  <c r="BZ61" i="39"/>
  <c r="BY61" i="39"/>
  <c r="CA60" i="39"/>
  <c r="BZ60" i="39"/>
  <c r="BY60" i="39"/>
  <c r="CA59" i="39"/>
  <c r="BZ59" i="39"/>
  <c r="BY59" i="39"/>
  <c r="CA58" i="39"/>
  <c r="BZ58" i="39"/>
  <c r="BY58" i="39"/>
  <c r="CA57" i="39"/>
  <c r="BZ57" i="39"/>
  <c r="BY57" i="39"/>
  <c r="CA56" i="39"/>
  <c r="BZ56" i="39"/>
  <c r="BY56" i="39"/>
  <c r="CA55" i="39"/>
  <c r="BZ55" i="39"/>
  <c r="BY55" i="39"/>
  <c r="CA54" i="39"/>
  <c r="BZ54" i="39"/>
  <c r="BY54" i="39"/>
  <c r="CA53" i="39"/>
  <c r="BZ53" i="39"/>
  <c r="BY53" i="39"/>
  <c r="CA52" i="39"/>
  <c r="BZ52" i="39"/>
  <c r="BY52" i="39"/>
  <c r="CA51" i="39"/>
  <c r="BZ51" i="39"/>
  <c r="BY51" i="39"/>
  <c r="CA50" i="39"/>
  <c r="BZ50" i="39"/>
  <c r="BY50" i="39"/>
  <c r="CA49" i="39"/>
  <c r="BZ49" i="39"/>
  <c r="BY49" i="39"/>
  <c r="CA48" i="39"/>
  <c r="BZ48" i="39"/>
  <c r="BY48" i="39"/>
  <c r="CA47" i="39"/>
  <c r="BZ47" i="39"/>
  <c r="BY47" i="39"/>
  <c r="CA46" i="39"/>
  <c r="BZ46" i="39"/>
  <c r="BY46" i="39"/>
  <c r="CA45" i="39"/>
  <c r="BZ45" i="39"/>
  <c r="BY45" i="39"/>
  <c r="CA44" i="39"/>
  <c r="BZ44" i="39"/>
  <c r="BY44" i="39"/>
  <c r="CA43" i="39"/>
  <c r="BZ43" i="39"/>
  <c r="BY43" i="39"/>
  <c r="CA42" i="39"/>
  <c r="BZ42" i="39"/>
  <c r="BY42" i="39"/>
  <c r="CA41" i="39"/>
  <c r="BZ41" i="39"/>
  <c r="BY41" i="39"/>
  <c r="CA40" i="39"/>
  <c r="BZ40" i="39"/>
  <c r="BY40" i="39"/>
  <c r="CA39" i="39"/>
  <c r="BZ39" i="39"/>
  <c r="BY39" i="39"/>
  <c r="CA38" i="39"/>
  <c r="BZ38" i="39"/>
  <c r="BY38" i="39"/>
  <c r="CA37" i="39"/>
  <c r="BZ37" i="39"/>
  <c r="BY37" i="39"/>
  <c r="CA36" i="39"/>
  <c r="BZ36" i="39"/>
  <c r="BY36" i="39"/>
  <c r="CA35" i="39"/>
  <c r="BZ35" i="39"/>
  <c r="BY35" i="39"/>
  <c r="CA34" i="39"/>
  <c r="BZ34" i="39"/>
  <c r="BY34" i="39"/>
  <c r="CA33" i="39"/>
  <c r="BZ33" i="39"/>
  <c r="BY33" i="39"/>
  <c r="CA32" i="39"/>
  <c r="BZ32" i="39"/>
  <c r="BY32" i="39"/>
  <c r="CA31" i="39"/>
  <c r="BZ31" i="39"/>
  <c r="BY31" i="39"/>
  <c r="CA30" i="39"/>
  <c r="BZ30" i="39"/>
  <c r="BY30" i="39"/>
  <c r="CA29" i="39"/>
  <c r="BZ29" i="39"/>
  <c r="BY29" i="39"/>
  <c r="CA28" i="39"/>
  <c r="BZ28" i="39"/>
  <c r="BY28" i="39"/>
  <c r="CA27" i="39"/>
  <c r="BZ27" i="39"/>
  <c r="BY27" i="39"/>
  <c r="CA26" i="39"/>
  <c r="BZ26" i="39"/>
  <c r="BY26" i="39"/>
  <c r="CA25" i="39"/>
  <c r="BZ25" i="39"/>
  <c r="BY25" i="39"/>
  <c r="CA24" i="39"/>
  <c r="BZ24" i="39"/>
  <c r="BY24" i="39"/>
  <c r="CA23" i="39"/>
  <c r="BZ23" i="39"/>
  <c r="BY23" i="39"/>
  <c r="CA22" i="39"/>
  <c r="BZ22" i="39"/>
  <c r="BY22" i="39"/>
  <c r="CA21" i="39"/>
  <c r="BZ21" i="39"/>
  <c r="BY21" i="39"/>
  <c r="CA20" i="39"/>
  <c r="BZ20" i="39"/>
  <c r="BY20" i="39"/>
  <c r="CA19" i="39"/>
  <c r="BZ19" i="39"/>
  <c r="BY19" i="39"/>
  <c r="CA18" i="39"/>
  <c r="BZ18" i="39"/>
  <c r="BY18" i="39"/>
  <c r="CA17" i="39"/>
  <c r="BZ17" i="39"/>
  <c r="BY17" i="39"/>
  <c r="CA16" i="39"/>
  <c r="BZ16" i="39"/>
  <c r="BY16" i="39"/>
  <c r="CA15" i="39"/>
  <c r="BZ15" i="39"/>
  <c r="BY15" i="39"/>
  <c r="CA14" i="39"/>
  <c r="BZ14" i="39"/>
  <c r="BY14" i="39"/>
  <c r="CA13" i="39"/>
  <c r="BZ13" i="39"/>
  <c r="BY13" i="39"/>
  <c r="CA12" i="39"/>
  <c r="BZ12" i="39"/>
  <c r="BY12" i="39"/>
  <c r="CA11" i="39"/>
  <c r="BZ11" i="39"/>
  <c r="BY11" i="39"/>
  <c r="CA10" i="39"/>
  <c r="BZ10" i="39"/>
  <c r="BY10" i="39"/>
  <c r="CA9" i="39"/>
  <c r="BZ9" i="39"/>
  <c r="BY9" i="39"/>
  <c r="CA8" i="39"/>
  <c r="BZ8" i="39"/>
  <c r="BY8" i="39"/>
  <c r="BS8" i="39"/>
  <c r="CA7" i="39"/>
  <c r="BZ7" i="39"/>
  <c r="BS7" i="39"/>
  <c r="A6" i="39" s="1"/>
  <c r="BS6" i="39"/>
  <c r="E25" i="12" s="1"/>
  <c r="V73" i="11" s="1"/>
  <c r="U222" i="11"/>
  <c r="T222" i="11"/>
  <c r="U215" i="11"/>
  <c r="T215" i="11"/>
  <c r="U214" i="11"/>
  <c r="T214" i="11"/>
  <c r="U213" i="11"/>
  <c r="T213" i="11"/>
  <c r="U212" i="11"/>
  <c r="T212" i="11"/>
  <c r="U211" i="11"/>
  <c r="T211" i="11"/>
  <c r="U210" i="11"/>
  <c r="T210" i="11"/>
  <c r="U209" i="11"/>
  <c r="T209" i="11"/>
  <c r="U208" i="11"/>
  <c r="T208" i="11"/>
  <c r="U207" i="11"/>
  <c r="T207" i="11"/>
  <c r="U206" i="11"/>
  <c r="T206" i="11"/>
  <c r="U205" i="11"/>
  <c r="T205" i="11"/>
  <c r="U204" i="11"/>
  <c r="T204" i="11"/>
  <c r="U203" i="11"/>
  <c r="T203" i="11"/>
  <c r="U202" i="11"/>
  <c r="T202" i="11"/>
  <c r="U201" i="11"/>
  <c r="T201" i="11"/>
  <c r="U200" i="11"/>
  <c r="T200" i="11"/>
  <c r="U199" i="11"/>
  <c r="T199" i="11"/>
  <c r="U198" i="11"/>
  <c r="T198" i="11"/>
  <c r="G198" i="11"/>
  <c r="F198" i="11"/>
  <c r="U197" i="11"/>
  <c r="T197" i="11"/>
  <c r="G197" i="11"/>
  <c r="F197" i="11"/>
  <c r="U196" i="11"/>
  <c r="T196" i="11"/>
  <c r="U195" i="11"/>
  <c r="T195" i="11"/>
  <c r="U194" i="11"/>
  <c r="T194" i="11"/>
  <c r="U193" i="11"/>
  <c r="T193" i="11"/>
  <c r="U192" i="11"/>
  <c r="T192" i="11"/>
  <c r="U191" i="11"/>
  <c r="T191" i="11"/>
  <c r="U190" i="11"/>
  <c r="T190" i="11"/>
  <c r="U189" i="11"/>
  <c r="T189" i="11"/>
  <c r="U188" i="11"/>
  <c r="T188" i="11"/>
  <c r="U187" i="11"/>
  <c r="T187" i="11"/>
  <c r="U186" i="11"/>
  <c r="T186" i="11"/>
  <c r="U185" i="11"/>
  <c r="T185" i="11"/>
  <c r="U184" i="11"/>
  <c r="T184" i="11"/>
  <c r="U183" i="11"/>
  <c r="T183" i="11"/>
  <c r="U182" i="11"/>
  <c r="T182" i="11"/>
  <c r="U181" i="11"/>
  <c r="T181" i="11"/>
  <c r="U180" i="11"/>
  <c r="T180" i="11"/>
  <c r="U179" i="11"/>
  <c r="T179" i="11"/>
  <c r="U178" i="11"/>
  <c r="T178" i="11"/>
  <c r="U177" i="11"/>
  <c r="T177" i="11"/>
  <c r="U176" i="11"/>
  <c r="T176" i="11"/>
  <c r="U175" i="11"/>
  <c r="T175" i="11"/>
  <c r="U174" i="11"/>
  <c r="T174" i="11"/>
  <c r="U173" i="11"/>
  <c r="T173" i="11"/>
  <c r="K173" i="11"/>
  <c r="F173" i="11"/>
  <c r="U172" i="11"/>
  <c r="T172" i="11"/>
  <c r="U171" i="11"/>
  <c r="T171" i="11"/>
  <c r="U170" i="11"/>
  <c r="T170" i="11"/>
  <c r="U169" i="11"/>
  <c r="T169" i="11"/>
  <c r="U168" i="11"/>
  <c r="T168" i="11"/>
  <c r="U167" i="11"/>
  <c r="T167" i="11"/>
  <c r="U166" i="11"/>
  <c r="T166" i="11"/>
  <c r="U165" i="11"/>
  <c r="T165" i="11"/>
  <c r="U164" i="11"/>
  <c r="T164" i="11"/>
  <c r="K164" i="11"/>
  <c r="F164" i="11"/>
  <c r="U163" i="11"/>
  <c r="T163" i="11"/>
  <c r="U162" i="11"/>
  <c r="T162" i="11"/>
  <c r="U161" i="11"/>
  <c r="T161" i="11"/>
  <c r="U160" i="11"/>
  <c r="T160" i="11"/>
  <c r="U159" i="11"/>
  <c r="T159" i="11"/>
  <c r="U158" i="11"/>
  <c r="T158" i="11"/>
  <c r="U157" i="11"/>
  <c r="T157" i="11"/>
  <c r="U156" i="11"/>
  <c r="T156" i="11"/>
  <c r="U155" i="11"/>
  <c r="T155" i="11"/>
  <c r="K155" i="11"/>
  <c r="F155" i="11"/>
  <c r="U154" i="11"/>
  <c r="T154" i="11"/>
  <c r="U153" i="11"/>
  <c r="T153" i="11"/>
  <c r="U152" i="11"/>
  <c r="T152" i="11"/>
  <c r="U151" i="11"/>
  <c r="T151" i="11"/>
  <c r="U150" i="11"/>
  <c r="T150" i="11"/>
  <c r="U149" i="11"/>
  <c r="T149" i="11"/>
  <c r="U148" i="11"/>
  <c r="T148" i="11"/>
  <c r="U147" i="11"/>
  <c r="T147" i="11"/>
  <c r="U146" i="11"/>
  <c r="T146" i="11"/>
  <c r="K146" i="11"/>
  <c r="F146" i="11"/>
  <c r="U145" i="11"/>
  <c r="T145" i="11"/>
  <c r="U144" i="11"/>
  <c r="T144" i="11"/>
  <c r="U143" i="11"/>
  <c r="T143" i="11"/>
  <c r="U142" i="11"/>
  <c r="T142" i="11"/>
  <c r="U141" i="11"/>
  <c r="T141" i="11"/>
  <c r="U140" i="11"/>
  <c r="T140" i="11"/>
  <c r="U139" i="11"/>
  <c r="T139" i="11"/>
  <c r="U138" i="11"/>
  <c r="T138" i="11"/>
  <c r="U137" i="11"/>
  <c r="T137" i="11"/>
  <c r="K137" i="11"/>
  <c r="F137" i="11"/>
  <c r="U136" i="11"/>
  <c r="T136" i="11"/>
  <c r="U135" i="11"/>
  <c r="T135" i="11"/>
  <c r="U134" i="11"/>
  <c r="T134" i="11"/>
  <c r="U133" i="11"/>
  <c r="T133" i="11"/>
  <c r="U132" i="11"/>
  <c r="T132" i="11"/>
  <c r="U131" i="11"/>
  <c r="T131" i="11"/>
  <c r="U130" i="11"/>
  <c r="T130" i="11"/>
  <c r="U129" i="11"/>
  <c r="T129" i="11"/>
  <c r="U128" i="11"/>
  <c r="T128" i="11"/>
  <c r="K128" i="11"/>
  <c r="F128" i="11"/>
  <c r="U127" i="11"/>
  <c r="T127" i="11"/>
  <c r="U126" i="11"/>
  <c r="T126" i="11"/>
  <c r="U125" i="11"/>
  <c r="T125" i="11"/>
  <c r="U124" i="11"/>
  <c r="T124" i="11"/>
  <c r="U123" i="11"/>
  <c r="T123" i="11"/>
  <c r="U122" i="11"/>
  <c r="T122" i="11"/>
  <c r="U121" i="11"/>
  <c r="T121" i="11"/>
  <c r="U120" i="11"/>
  <c r="T120" i="11"/>
  <c r="U119" i="11"/>
  <c r="T119" i="11"/>
  <c r="K119" i="11"/>
  <c r="F119" i="11"/>
  <c r="U118" i="11"/>
  <c r="T118" i="11"/>
  <c r="U117" i="11"/>
  <c r="T117" i="11"/>
  <c r="U116" i="11"/>
  <c r="T116" i="11"/>
  <c r="U115" i="11"/>
  <c r="T115" i="11"/>
  <c r="U114" i="11"/>
  <c r="T114" i="11"/>
  <c r="U113" i="11"/>
  <c r="T113" i="11"/>
  <c r="U112" i="11"/>
  <c r="T112" i="11"/>
  <c r="U111" i="11"/>
  <c r="T111" i="11"/>
  <c r="K110" i="11"/>
  <c r="F110" i="11"/>
  <c r="X105" i="11"/>
  <c r="X104" i="11"/>
  <c r="X103" i="11"/>
  <c r="X102" i="11"/>
  <c r="X101" i="11"/>
  <c r="X100" i="11"/>
  <c r="X99" i="11"/>
  <c r="V99" i="11"/>
  <c r="X98" i="11"/>
  <c r="X97" i="11"/>
  <c r="X96" i="11"/>
  <c r="X95" i="11"/>
  <c r="X94" i="11"/>
  <c r="X93" i="11"/>
  <c r="X92" i="11"/>
  <c r="X91" i="11"/>
  <c r="X83" i="11"/>
  <c r="V83" i="11"/>
  <c r="V82" i="11"/>
  <c r="V81" i="11"/>
  <c r="V80" i="11"/>
  <c r="V79" i="11"/>
  <c r="V78" i="11"/>
  <c r="V77" i="11"/>
  <c r="V76" i="11"/>
  <c r="V75" i="11"/>
  <c r="V74" i="11"/>
  <c r="S31" i="11"/>
  <c r="S30" i="11"/>
  <c r="S29" i="11"/>
  <c r="S28" i="11"/>
  <c r="S27" i="11"/>
  <c r="S26" i="11"/>
  <c r="S25" i="11"/>
  <c r="S24" i="11"/>
  <c r="I55" i="7" l="1"/>
  <c r="I94" i="33"/>
  <c r="AH262" i="38"/>
  <c r="AH263" i="38" s="1"/>
  <c r="AH264" i="38" s="1"/>
  <c r="AG261" i="38"/>
  <c r="I103" i="6"/>
  <c r="I106" i="33"/>
  <c r="AG267" i="38"/>
  <c r="I97" i="6"/>
  <c r="I113" i="6"/>
  <c r="I39" i="4"/>
  <c r="I43" i="4"/>
  <c r="I42" i="4"/>
  <c r="I31" i="7"/>
  <c r="I110" i="6"/>
  <c r="I105" i="33"/>
  <c r="I124" i="33"/>
  <c r="I126" i="33"/>
  <c r="AG277" i="38"/>
  <c r="I104" i="33"/>
  <c r="I109" i="6"/>
  <c r="I98" i="6"/>
  <c r="I123" i="6"/>
  <c r="I101" i="6"/>
  <c r="I107" i="33"/>
  <c r="I130" i="33"/>
  <c r="I98" i="33"/>
  <c r="I36" i="7"/>
  <c r="I91" i="33"/>
  <c r="I141" i="6"/>
  <c r="I95" i="6"/>
  <c r="I37" i="4"/>
  <c r="I52" i="7"/>
  <c r="I93" i="33"/>
  <c r="I89" i="33"/>
  <c r="I100" i="33"/>
  <c r="I84" i="6"/>
  <c r="I116" i="33"/>
  <c r="I83" i="6"/>
  <c r="I33" i="7"/>
  <c r="X78" i="11"/>
  <c r="I41" i="4"/>
  <c r="V95" i="11"/>
  <c r="X77" i="11"/>
  <c r="X80" i="11"/>
  <c r="X89" i="11"/>
  <c r="V97" i="11"/>
  <c r="X75" i="11"/>
  <c r="V93" i="11"/>
  <c r="V104" i="11"/>
  <c r="X72" i="11"/>
  <c r="X88" i="11"/>
  <c r="V101" i="11"/>
  <c r="X81" i="11"/>
  <c r="V100" i="11"/>
  <c r="V70" i="11"/>
  <c r="X76" i="11"/>
  <c r="V92" i="11"/>
  <c r="V96" i="11"/>
  <c r="V105" i="11"/>
  <c r="V72" i="11"/>
  <c r="X87" i="11"/>
  <c r="V94" i="11"/>
  <c r="V98" i="11"/>
  <c r="V71" i="11"/>
  <c r="X73" i="11"/>
  <c r="V69" i="11"/>
  <c r="X74" i="11"/>
  <c r="I39" i="7"/>
  <c r="P5" i="12"/>
  <c r="M5" i="12"/>
  <c r="I80" i="6"/>
  <c r="I53" i="4"/>
  <c r="I78" i="6"/>
  <c r="I83" i="33"/>
  <c r="I37" i="7"/>
  <c r="I166" i="6"/>
  <c r="I76" i="6"/>
  <c r="I165" i="6"/>
  <c r="I167" i="6"/>
  <c r="I34" i="7"/>
  <c r="I41" i="7"/>
  <c r="H2" i="39"/>
  <c r="I81" i="7"/>
  <c r="I40" i="7"/>
  <c r="I40" i="4"/>
  <c r="I38" i="4"/>
  <c r="I38" i="7"/>
  <c r="I74" i="6"/>
  <c r="I90" i="7"/>
  <c r="I92" i="33"/>
  <c r="I148" i="33"/>
  <c r="I189" i="6"/>
  <c r="I35" i="7"/>
  <c r="I197" i="6"/>
  <c r="I174" i="6"/>
  <c r="I182" i="6"/>
  <c r="I190" i="6"/>
  <c r="I83" i="7"/>
  <c r="I91" i="7"/>
  <c r="I79" i="6"/>
  <c r="I175" i="6"/>
  <c r="I183" i="6"/>
  <c r="I42" i="7"/>
  <c r="I84" i="7"/>
  <c r="I92" i="7"/>
  <c r="I168" i="6"/>
  <c r="I176" i="6"/>
  <c r="I184" i="6"/>
  <c r="I85" i="7"/>
  <c r="I169" i="6"/>
  <c r="I177" i="6"/>
  <c r="I185" i="6"/>
  <c r="I86" i="7"/>
  <c r="I170" i="6"/>
  <c r="I178" i="6"/>
  <c r="I186" i="6"/>
  <c r="I87" i="7"/>
  <c r="I171" i="6"/>
  <c r="I179" i="6"/>
  <c r="I187" i="6"/>
  <c r="I88" i="7"/>
  <c r="I172" i="6"/>
  <c r="I180" i="6"/>
  <c r="I188" i="6"/>
  <c r="I89" i="7"/>
  <c r="I173" i="6"/>
  <c r="I181" i="6"/>
  <c r="I82" i="7"/>
  <c r="I29" i="7"/>
  <c r="I107" i="6"/>
  <c r="I32" i="7"/>
  <c r="I102" i="6"/>
  <c r="I88" i="33"/>
  <c r="I78" i="33"/>
  <c r="I73" i="33"/>
  <c r="I87" i="33"/>
  <c r="I86" i="33"/>
  <c r="I77" i="6"/>
  <c r="I28" i="7"/>
  <c r="I85" i="33"/>
  <c r="I66" i="33"/>
  <c r="I94" i="6"/>
  <c r="I95" i="33"/>
  <c r="I85" i="6"/>
  <c r="DF612" i="12"/>
  <c r="DF616" i="12"/>
  <c r="DF620" i="12"/>
  <c r="DF624" i="12"/>
  <c r="DF628" i="12"/>
  <c r="DF632" i="12"/>
  <c r="DF636" i="12"/>
  <c r="DF640" i="12"/>
  <c r="DF644" i="12"/>
  <c r="DF648" i="12"/>
  <c r="DF652" i="12"/>
  <c r="DF656" i="12"/>
  <c r="DF660" i="12"/>
  <c r="DF664" i="12"/>
  <c r="DF668" i="12"/>
  <c r="DF672" i="12"/>
  <c r="DF676" i="12"/>
  <c r="DF680" i="12"/>
  <c r="DF684" i="12"/>
  <c r="DF688" i="12"/>
  <c r="DF692" i="12"/>
  <c r="DF696" i="12"/>
  <c r="DF700" i="12"/>
  <c r="DF704" i="12"/>
  <c r="DF708" i="12"/>
  <c r="DF712" i="12"/>
  <c r="DF716" i="12"/>
  <c r="DF720" i="12"/>
  <c r="DF724" i="12"/>
  <c r="DF728" i="12"/>
  <c r="DF732" i="12"/>
  <c r="DF736" i="12"/>
  <c r="DF740" i="12"/>
  <c r="DF744" i="12"/>
  <c r="DF748" i="12"/>
  <c r="DF752" i="12"/>
  <c r="DF756" i="12"/>
  <c r="DF760" i="12"/>
  <c r="DF764" i="12"/>
  <c r="DF768" i="12"/>
  <c r="DF772" i="12"/>
  <c r="DF776" i="12"/>
  <c r="DF780" i="12"/>
  <c r="DF784" i="12"/>
  <c r="DF788" i="12"/>
  <c r="DF792" i="12"/>
  <c r="DF796" i="12"/>
  <c r="DF800" i="12"/>
  <c r="DF804" i="12"/>
  <c r="DF808" i="12"/>
  <c r="DF812" i="12"/>
  <c r="DF816" i="12"/>
  <c r="DF820" i="12"/>
  <c r="DF824" i="12"/>
  <c r="DF828" i="12"/>
  <c r="DF832" i="12"/>
  <c r="DF836" i="12"/>
  <c r="DF840" i="12"/>
  <c r="DF844" i="12"/>
  <c r="DF848" i="12"/>
  <c r="DF852" i="12"/>
  <c r="DF856" i="12"/>
  <c r="DF860" i="12"/>
  <c r="DF864" i="12"/>
  <c r="DF868" i="12"/>
  <c r="DF872" i="12"/>
  <c r="DF876" i="12"/>
  <c r="DF880" i="12"/>
  <c r="DF884" i="12"/>
  <c r="DF888" i="12"/>
  <c r="DF892" i="12"/>
  <c r="DF896" i="12"/>
  <c r="DF900" i="12"/>
  <c r="DF904" i="12"/>
  <c r="DF908" i="12"/>
  <c r="DF912" i="12"/>
  <c r="DF916" i="12"/>
  <c r="DF920" i="12"/>
  <c r="DF924" i="12"/>
  <c r="DF928" i="12"/>
  <c r="DF932" i="12"/>
  <c r="DF936" i="12"/>
  <c r="DF940" i="12"/>
  <c r="DF944" i="12"/>
  <c r="DF948" i="12"/>
  <c r="DF613" i="12"/>
  <c r="DF617" i="12"/>
  <c r="DF621" i="12"/>
  <c r="DF625" i="12"/>
  <c r="DF629" i="12"/>
  <c r="DF633" i="12"/>
  <c r="DF637" i="12"/>
  <c r="DF641" i="12"/>
  <c r="DF645" i="12"/>
  <c r="DF649" i="12"/>
  <c r="DF653" i="12"/>
  <c r="DF657" i="12"/>
  <c r="DF661" i="12"/>
  <c r="DF665" i="12"/>
  <c r="DF669" i="12"/>
  <c r="DF673" i="12"/>
  <c r="DF677" i="12"/>
  <c r="DF681" i="12"/>
  <c r="DF685" i="12"/>
  <c r="DF689" i="12"/>
  <c r="DF693" i="12"/>
  <c r="DF697" i="12"/>
  <c r="DF701" i="12"/>
  <c r="DF705" i="12"/>
  <c r="DF709" i="12"/>
  <c r="DF713" i="12"/>
  <c r="DF717" i="12"/>
  <c r="DF721" i="12"/>
  <c r="DF725" i="12"/>
  <c r="DF729" i="12"/>
  <c r="DF733" i="12"/>
  <c r="DF737" i="12"/>
  <c r="DF741" i="12"/>
  <c r="DF745" i="12"/>
  <c r="DF749" i="12"/>
  <c r="DF753" i="12"/>
  <c r="DF757" i="12"/>
  <c r="DF761" i="12"/>
  <c r="DF765" i="12"/>
  <c r="DF769" i="12"/>
  <c r="DF773" i="12"/>
  <c r="DF777" i="12"/>
  <c r="DF781" i="12"/>
  <c r="DF785" i="12"/>
  <c r="DF789" i="12"/>
  <c r="DF793" i="12"/>
  <c r="DF797" i="12"/>
  <c r="DF801" i="12"/>
  <c r="DF805" i="12"/>
  <c r="DF809" i="12"/>
  <c r="DF813" i="12"/>
  <c r="DF817" i="12"/>
  <c r="DF821" i="12"/>
  <c r="DF825" i="12"/>
  <c r="DF829" i="12"/>
  <c r="DF833" i="12"/>
  <c r="DF837" i="12"/>
  <c r="DF841" i="12"/>
  <c r="DF845" i="12"/>
  <c r="DF849" i="12"/>
  <c r="DF853" i="12"/>
  <c r="DF857" i="12"/>
  <c r="DF861" i="12"/>
  <c r="DF865" i="12"/>
  <c r="DF869" i="12"/>
  <c r="DF873" i="12"/>
  <c r="DF877" i="12"/>
  <c r="DF881" i="12"/>
  <c r="DF885" i="12"/>
  <c r="DF889" i="12"/>
  <c r="DF893" i="12"/>
  <c r="DF897" i="12"/>
  <c r="DF901" i="12"/>
  <c r="DF905" i="12"/>
  <c r="DF909" i="12"/>
  <c r="DF913" i="12"/>
  <c r="DF917" i="12"/>
  <c r="DF921" i="12"/>
  <c r="DF925" i="12"/>
  <c r="DF929" i="12"/>
  <c r="DF933" i="12"/>
  <c r="DF937" i="12"/>
  <c r="DF941" i="12"/>
  <c r="DF945" i="12"/>
  <c r="DF949" i="12"/>
  <c r="DF611" i="12"/>
  <c r="DF619" i="12"/>
  <c r="DF627" i="12"/>
  <c r="DF635" i="12"/>
  <c r="DF643" i="12"/>
  <c r="DF651" i="12"/>
  <c r="DF659" i="12"/>
  <c r="DF667" i="12"/>
  <c r="DF675" i="12"/>
  <c r="DF683" i="12"/>
  <c r="DF691" i="12"/>
  <c r="DF699" i="12"/>
  <c r="DF707" i="12"/>
  <c r="DF715" i="12"/>
  <c r="DF723" i="12"/>
  <c r="DF731" i="12"/>
  <c r="DF739" i="12"/>
  <c r="DF747" i="12"/>
  <c r="DF755" i="12"/>
  <c r="DF763" i="12"/>
  <c r="DF771" i="12"/>
  <c r="DF779" i="12"/>
  <c r="DF787" i="12"/>
  <c r="DF795" i="12"/>
  <c r="DF803" i="12"/>
  <c r="DF811" i="12"/>
  <c r="DF819" i="12"/>
  <c r="DF827" i="12"/>
  <c r="DF835" i="12"/>
  <c r="DF843" i="12"/>
  <c r="DF851" i="12"/>
  <c r="DF859" i="12"/>
  <c r="DF867" i="12"/>
  <c r="DF875" i="12"/>
  <c r="DF883" i="12"/>
  <c r="DF891" i="12"/>
  <c r="DF899" i="12"/>
  <c r="DF907" i="12"/>
  <c r="DF915" i="12"/>
  <c r="DF923" i="12"/>
  <c r="DF931" i="12"/>
  <c r="DF939" i="12"/>
  <c r="DF947" i="12"/>
  <c r="DF953" i="12"/>
  <c r="DF957" i="12"/>
  <c r="DF961" i="12"/>
  <c r="DF965" i="12"/>
  <c r="DF969" i="12"/>
  <c r="DF973" i="12"/>
  <c r="DF977" i="12"/>
  <c r="DF981" i="12"/>
  <c r="DF985" i="12"/>
  <c r="DF989" i="12"/>
  <c r="DF993" i="12"/>
  <c r="DF997" i="12"/>
  <c r="DF614" i="12"/>
  <c r="DF622" i="12"/>
  <c r="DF630" i="12"/>
  <c r="DF638" i="12"/>
  <c r="DF646" i="12"/>
  <c r="DF654" i="12"/>
  <c r="DF662" i="12"/>
  <c r="DF670" i="12"/>
  <c r="DF678" i="12"/>
  <c r="DF686" i="12"/>
  <c r="DF694" i="12"/>
  <c r="DF702" i="12"/>
  <c r="DF710" i="12"/>
  <c r="DF718" i="12"/>
  <c r="DF726" i="12"/>
  <c r="DF734" i="12"/>
  <c r="DF742" i="12"/>
  <c r="DF750" i="12"/>
  <c r="DF758" i="12"/>
  <c r="DF766" i="12"/>
  <c r="DF774" i="12"/>
  <c r="DF782" i="12"/>
  <c r="DF790" i="12"/>
  <c r="DF798" i="12"/>
  <c r="DF806" i="12"/>
  <c r="DF814" i="12"/>
  <c r="DF822" i="12"/>
  <c r="DF830" i="12"/>
  <c r="DF838" i="12"/>
  <c r="DF846" i="12"/>
  <c r="DF615" i="12"/>
  <c r="DF623" i="12"/>
  <c r="DF631" i="12"/>
  <c r="DF639" i="12"/>
  <c r="DF647" i="12"/>
  <c r="DF655" i="12"/>
  <c r="DF663" i="12"/>
  <c r="DF671" i="12"/>
  <c r="DF679" i="12"/>
  <c r="DF687" i="12"/>
  <c r="DF695" i="12"/>
  <c r="DF703" i="12"/>
  <c r="DF711" i="12"/>
  <c r="DF719" i="12"/>
  <c r="DF727" i="12"/>
  <c r="DF735" i="12"/>
  <c r="DF743" i="12"/>
  <c r="DF751" i="12"/>
  <c r="DF759" i="12"/>
  <c r="DF767" i="12"/>
  <c r="DF775" i="12"/>
  <c r="DF783" i="12"/>
  <c r="DF791" i="12"/>
  <c r="DF799" i="12"/>
  <c r="DF807" i="12"/>
  <c r="DF815" i="12"/>
  <c r="DF823" i="12"/>
  <c r="DF831" i="12"/>
  <c r="DF839" i="12"/>
  <c r="DF847" i="12"/>
  <c r="DF855" i="12"/>
  <c r="DF863" i="12"/>
  <c r="DF871" i="12"/>
  <c r="DF879" i="12"/>
  <c r="DF887" i="12"/>
  <c r="DF895" i="12"/>
  <c r="DF903" i="12"/>
  <c r="DF911" i="12"/>
  <c r="DF919" i="12"/>
  <c r="DF927" i="12"/>
  <c r="DF935" i="12"/>
  <c r="DF943" i="12"/>
  <c r="DF951" i="12"/>
  <c r="DF955" i="12"/>
  <c r="DF959" i="12"/>
  <c r="DF963" i="12"/>
  <c r="DF967" i="12"/>
  <c r="DF971" i="12"/>
  <c r="DF975" i="12"/>
  <c r="DF979" i="12"/>
  <c r="DF983" i="12"/>
  <c r="DF987" i="12"/>
  <c r="DF991" i="12"/>
  <c r="DF995" i="12"/>
  <c r="DF999" i="12"/>
  <c r="DF618" i="12"/>
  <c r="DF626" i="12"/>
  <c r="DF634" i="12"/>
  <c r="DF642" i="12"/>
  <c r="DF650" i="12"/>
  <c r="DF658" i="12"/>
  <c r="DF666" i="12"/>
  <c r="DF674" i="12"/>
  <c r="DF682" i="12"/>
  <c r="DF690" i="12"/>
  <c r="DF698" i="12"/>
  <c r="DF706" i="12"/>
  <c r="DF714" i="12"/>
  <c r="DF722" i="12"/>
  <c r="DF730" i="12"/>
  <c r="DF738" i="12"/>
  <c r="DF746" i="12"/>
  <c r="DF754" i="12"/>
  <c r="DF762" i="12"/>
  <c r="DF770" i="12"/>
  <c r="DF778" i="12"/>
  <c r="DF786" i="12"/>
  <c r="DF794" i="12"/>
  <c r="DF802" i="12"/>
  <c r="DF810" i="12"/>
  <c r="DF818" i="12"/>
  <c r="DF826" i="12"/>
  <c r="DF834" i="12"/>
  <c r="DF842" i="12"/>
  <c r="DF850" i="12"/>
  <c r="DF854" i="12"/>
  <c r="DF870" i="12"/>
  <c r="DF886" i="12"/>
  <c r="DF902" i="12"/>
  <c r="DF918" i="12"/>
  <c r="DF934" i="12"/>
  <c r="DF950" i="12"/>
  <c r="DF958" i="12"/>
  <c r="DF966" i="12"/>
  <c r="DF974" i="12"/>
  <c r="DF982" i="12"/>
  <c r="DF990" i="12"/>
  <c r="DF998" i="12"/>
  <c r="DF858" i="12"/>
  <c r="DF874" i="12"/>
  <c r="DF890" i="12"/>
  <c r="DF906" i="12"/>
  <c r="DF922" i="12"/>
  <c r="DF938" i="12"/>
  <c r="DF952" i="12"/>
  <c r="DF960" i="12"/>
  <c r="DF968" i="12"/>
  <c r="DF976" i="12"/>
  <c r="DF984" i="12"/>
  <c r="DF1000" i="12"/>
  <c r="DF862" i="12"/>
  <c r="DF878" i="12"/>
  <c r="DF894" i="12"/>
  <c r="DF910" i="12"/>
  <c r="DF926" i="12"/>
  <c r="DF942" i="12"/>
  <c r="DF954" i="12"/>
  <c r="DF962" i="12"/>
  <c r="DF970" i="12"/>
  <c r="DF978" i="12"/>
  <c r="DF986" i="12"/>
  <c r="DF994" i="12"/>
  <c r="DF866" i="12"/>
  <c r="DF882" i="12"/>
  <c r="DF898" i="12"/>
  <c r="DF914" i="12"/>
  <c r="DF930" i="12"/>
  <c r="DF946" i="12"/>
  <c r="DF956" i="12"/>
  <c r="DF964" i="12"/>
  <c r="DF972" i="12"/>
  <c r="DF980" i="12"/>
  <c r="DF988" i="12"/>
  <c r="DF996" i="12"/>
  <c r="DF992" i="12"/>
  <c r="AN3" i="12"/>
  <c r="I74" i="33"/>
  <c r="I66" i="6"/>
  <c r="I75" i="33"/>
  <c r="I79" i="33"/>
  <c r="I99" i="6"/>
  <c r="I60" i="6"/>
  <c r="I60" i="33"/>
  <c r="I76" i="33"/>
  <c r="I81" i="6"/>
  <c r="BG10" i="36"/>
  <c r="BG18" i="36"/>
  <c r="BG22" i="36"/>
  <c r="BG30" i="36"/>
  <c r="BG34" i="36"/>
  <c r="BG38" i="36"/>
  <c r="BG42" i="36"/>
  <c r="BG46" i="36"/>
  <c r="BG50" i="36"/>
  <c r="BG54" i="36"/>
  <c r="BG58" i="36"/>
  <c r="BG62" i="36"/>
  <c r="BG66" i="36"/>
  <c r="BG70" i="36"/>
  <c r="BG74" i="36"/>
  <c r="BG80" i="36"/>
  <c r="BG84" i="36"/>
  <c r="BG92" i="36"/>
  <c r="BG100" i="36"/>
  <c r="BG104" i="36"/>
  <c r="BG132" i="36"/>
  <c r="BG136" i="36"/>
  <c r="BG140" i="36"/>
  <c r="BG152" i="36"/>
  <c r="BG168" i="36"/>
  <c r="BG172" i="36"/>
  <c r="BG176" i="36"/>
  <c r="BG196" i="36"/>
  <c r="BG200" i="36"/>
  <c r="BG224" i="36"/>
  <c r="BG244" i="36"/>
  <c r="BG252" i="36"/>
  <c r="BG268" i="36"/>
  <c r="BG272" i="36"/>
  <c r="BG276" i="36"/>
  <c r="BG296" i="36"/>
  <c r="BG300" i="36"/>
  <c r="BG304" i="36"/>
  <c r="BG308" i="36"/>
  <c r="BG316" i="36"/>
  <c r="BG326" i="36"/>
  <c r="BG330" i="36"/>
  <c r="BG334" i="36"/>
  <c r="BG414" i="36"/>
  <c r="BG430" i="36"/>
  <c r="BG466" i="36"/>
  <c r="BG576" i="36"/>
  <c r="BG620" i="36"/>
  <c r="BG632" i="36"/>
  <c r="BG644" i="36"/>
  <c r="BG660" i="36"/>
  <c r="BG27" i="36"/>
  <c r="BG31" i="36"/>
  <c r="BG35" i="36"/>
  <c r="BG39" i="36"/>
  <c r="BG43" i="36"/>
  <c r="BG47" i="36"/>
  <c r="BG51" i="36"/>
  <c r="BG55" i="36"/>
  <c r="BG59" i="36"/>
  <c r="BG63" i="36"/>
  <c r="BG67" i="36"/>
  <c r="BG71" i="36"/>
  <c r="BG75" i="36"/>
  <c r="BG77" i="36"/>
  <c r="BG91" i="36"/>
  <c r="BG93" i="36"/>
  <c r="BG97" i="36"/>
  <c r="BG99" i="36"/>
  <c r="BG111" i="36"/>
  <c r="BG113" i="36"/>
  <c r="BG115" i="36"/>
  <c r="BG123" i="36"/>
  <c r="BG125" i="36"/>
  <c r="BG127" i="36"/>
  <c r="BG139" i="36"/>
  <c r="BG141" i="36"/>
  <c r="BG157" i="36"/>
  <c r="BG205" i="36"/>
  <c r="BG209" i="36"/>
  <c r="BG223" i="36"/>
  <c r="BG251" i="36"/>
  <c r="BG253" i="36"/>
  <c r="BG273" i="36"/>
  <c r="BG319" i="36"/>
  <c r="BG329" i="36"/>
  <c r="BG335" i="36"/>
  <c r="BG373" i="36"/>
  <c r="BG405" i="36"/>
  <c r="BG431" i="36"/>
  <c r="BG433" i="36"/>
  <c r="BG447" i="36"/>
  <c r="BG453" i="36"/>
  <c r="BG457" i="36"/>
  <c r="BG473" i="36"/>
  <c r="BG481" i="36"/>
  <c r="BG493" i="36"/>
  <c r="BG501" i="36"/>
  <c r="BG509" i="36"/>
  <c r="BG513" i="36"/>
  <c r="BG515" i="36"/>
  <c r="BG519" i="36"/>
  <c r="BG539" i="36"/>
  <c r="BG545" i="36"/>
  <c r="BG551" i="36"/>
  <c r="BG571" i="36"/>
  <c r="BG591" i="36"/>
  <c r="BG595" i="36"/>
  <c r="BG605" i="36"/>
  <c r="BG611" i="36"/>
  <c r="BG631" i="36"/>
  <c r="BG637" i="36"/>
  <c r="BG643" i="36"/>
  <c r="BG663" i="36"/>
  <c r="BG681" i="36"/>
  <c r="BC415" i="36"/>
  <c r="AU24" i="36"/>
  <c r="BC269" i="36"/>
  <c r="BG346" i="36"/>
  <c r="BC551" i="36"/>
  <c r="AU141" i="36"/>
  <c r="AY150" i="36"/>
  <c r="AU331" i="36"/>
  <c r="AU344" i="36"/>
  <c r="AY398" i="36"/>
  <c r="BG482" i="36"/>
  <c r="AU32" i="36"/>
  <c r="AQ94" i="36"/>
  <c r="AU202" i="36"/>
  <c r="AU306" i="36"/>
  <c r="BC485" i="36"/>
  <c r="AQ486" i="36"/>
  <c r="AU570" i="36"/>
  <c r="BG586" i="36"/>
  <c r="AQ18" i="36"/>
  <c r="AQ52" i="36"/>
  <c r="BG166" i="36"/>
  <c r="AU179" i="36"/>
  <c r="BC227" i="36"/>
  <c r="AY418" i="36"/>
  <c r="BC429" i="36"/>
  <c r="AQ430" i="36"/>
  <c r="BC438" i="36"/>
  <c r="BG439" i="36"/>
  <c r="BC447" i="36"/>
  <c r="AQ464" i="36"/>
  <c r="AY700" i="36"/>
  <c r="AY578" i="36"/>
  <c r="BG580" i="36"/>
  <c r="BC584" i="36"/>
  <c r="AU512" i="36"/>
  <c r="BC9" i="36"/>
  <c r="BC17" i="36"/>
  <c r="BC37" i="36"/>
  <c r="AY41" i="36"/>
  <c r="AQ42" i="36"/>
  <c r="AY45" i="36"/>
  <c r="AQ46" i="36"/>
  <c r="AU51" i="36"/>
  <c r="AY52" i="36"/>
  <c r="AQ55" i="36"/>
  <c r="AY56" i="36"/>
  <c r="AQ59" i="36"/>
  <c r="AU60" i="36"/>
  <c r="AY61" i="36"/>
  <c r="AQ62" i="36"/>
  <c r="AY65" i="36"/>
  <c r="AQ66" i="36"/>
  <c r="AY69" i="36"/>
  <c r="AQ70" i="36"/>
  <c r="AY73" i="36"/>
  <c r="AQ74" i="36"/>
  <c r="AY77" i="36"/>
  <c r="AY81" i="36"/>
  <c r="AY85" i="36"/>
  <c r="AY87" i="36"/>
  <c r="AY94" i="36"/>
  <c r="AU101" i="36"/>
  <c r="AQ107" i="36"/>
  <c r="AU112" i="36"/>
  <c r="AU116" i="36"/>
  <c r="AU128" i="36"/>
  <c r="AU132" i="36"/>
  <c r="AU136" i="36"/>
  <c r="BC139" i="36"/>
  <c r="BC142" i="36"/>
  <c r="BC146" i="36"/>
  <c r="AQ155" i="36"/>
  <c r="AQ161" i="36"/>
  <c r="AY167" i="36"/>
  <c r="AU185" i="36"/>
  <c r="AY186" i="36"/>
  <c r="AQ193" i="36"/>
  <c r="AY198" i="36"/>
  <c r="AU208" i="36"/>
  <c r="AU210" i="36"/>
  <c r="BC215" i="36"/>
  <c r="AU216" i="36"/>
  <c r="BC223" i="36"/>
  <c r="AU224" i="36"/>
  <c r="AY227" i="36"/>
  <c r="AQ229" i="36"/>
  <c r="AY230" i="36"/>
  <c r="AQ240" i="36"/>
  <c r="AQ245" i="36"/>
  <c r="BC251" i="36"/>
  <c r="AU260" i="36"/>
  <c r="AY266" i="36"/>
  <c r="BC275" i="36"/>
  <c r="AQ292" i="36"/>
  <c r="BC298" i="36"/>
  <c r="AU301" i="36"/>
  <c r="AU305" i="36"/>
  <c r="AY314" i="36"/>
  <c r="AQ315" i="36"/>
  <c r="BC320" i="36"/>
  <c r="BC328" i="36"/>
  <c r="AU332" i="36"/>
  <c r="BC346" i="36"/>
  <c r="AU392" i="36"/>
  <c r="AU396" i="36"/>
  <c r="BC402" i="36"/>
  <c r="AU403" i="36"/>
  <c r="AU454" i="36"/>
  <c r="AU460" i="36"/>
  <c r="AY472" i="36"/>
  <c r="BC477" i="36"/>
  <c r="AQ501" i="36"/>
  <c r="AQ503" i="36"/>
  <c r="BC511" i="36"/>
  <c r="AQ527" i="36"/>
  <c r="AQ529" i="36"/>
  <c r="AU554" i="36"/>
  <c r="AQ560" i="36"/>
  <c r="AU577" i="36"/>
  <c r="AU580" i="36"/>
  <c r="AY583" i="36"/>
  <c r="AU626" i="36"/>
  <c r="AU628" i="36"/>
  <c r="AU634" i="36"/>
  <c r="AY645" i="36"/>
  <c r="AQ677" i="36"/>
  <c r="AQ685" i="36"/>
  <c r="AY688" i="36"/>
  <c r="AQ691" i="36"/>
  <c r="AY4" i="36"/>
  <c r="AQ5" i="36"/>
  <c r="AY12" i="36"/>
  <c r="AU20" i="36"/>
  <c r="AQ26" i="36"/>
  <c r="AY29" i="36"/>
  <c r="AQ30" i="36"/>
  <c r="AQ35" i="36"/>
  <c r="AY36" i="36"/>
  <c r="AQ39" i="36"/>
  <c r="AU40" i="36"/>
  <c r="AY49" i="36"/>
  <c r="AQ50" i="36"/>
  <c r="AY60" i="36"/>
  <c r="AU68" i="36"/>
  <c r="BC69" i="36"/>
  <c r="BC79" i="36"/>
  <c r="AU80" i="36"/>
  <c r="AU84" i="36"/>
  <c r="AY93" i="36"/>
  <c r="BC94" i="36"/>
  <c r="BC96" i="36"/>
  <c r="AU97" i="36"/>
  <c r="AY98" i="36"/>
  <c r="BC99" i="36"/>
  <c r="AY103" i="36"/>
  <c r="BC106" i="36"/>
  <c r="AU109" i="36"/>
  <c r="BG109" i="36"/>
  <c r="AQ115" i="36"/>
  <c r="BC117" i="36"/>
  <c r="AU118" i="36"/>
  <c r="BC119" i="36"/>
  <c r="AU123" i="36"/>
  <c r="AU125" i="36"/>
  <c r="AQ131" i="36"/>
  <c r="AQ133" i="36"/>
  <c r="AQ135" i="36"/>
  <c r="AY138" i="36"/>
  <c r="AQ139" i="36"/>
  <c r="AY141" i="36"/>
  <c r="AY143" i="36"/>
  <c r="AQ144" i="36"/>
  <c r="AY145" i="36"/>
  <c r="AY149" i="36"/>
  <c r="BC158" i="36"/>
  <c r="BC160" i="36"/>
  <c r="BC164" i="36"/>
  <c r="BC167" i="36"/>
  <c r="BC175" i="36"/>
  <c r="AQ180" i="36"/>
  <c r="AU189" i="36"/>
  <c r="BC192" i="36"/>
  <c r="AU201" i="36"/>
  <c r="BC213" i="36"/>
  <c r="AY218" i="36"/>
  <c r="BC228" i="36"/>
  <c r="AQ237" i="36"/>
  <c r="AU240" i="36"/>
  <c r="BG240" i="36"/>
  <c r="AY243" i="36"/>
  <c r="AU245" i="36"/>
  <c r="BG245" i="36"/>
  <c r="AQ249" i="36"/>
  <c r="AY254" i="36"/>
  <c r="AY258" i="36"/>
  <c r="AY263" i="36"/>
  <c r="AQ264" i="36"/>
  <c r="AU265" i="36"/>
  <c r="AU269" i="36"/>
  <c r="AY274" i="36"/>
  <c r="AU290" i="36"/>
  <c r="BC291" i="36"/>
  <c r="AU292" i="36"/>
  <c r="BG292" i="36"/>
  <c r="AY293" i="36"/>
  <c r="AY301" i="36"/>
  <c r="AY306" i="36"/>
  <c r="BC307" i="36"/>
  <c r="AY311" i="36"/>
  <c r="AQ312" i="36"/>
  <c r="BC312" i="36"/>
  <c r="AU313" i="36"/>
  <c r="BC317" i="36"/>
  <c r="AQ320" i="36"/>
  <c r="AY323" i="36"/>
  <c r="AQ326" i="36"/>
  <c r="AQ335" i="36"/>
  <c r="AY348" i="36"/>
  <c r="AQ349" i="36"/>
  <c r="BC349" i="36"/>
  <c r="BG354" i="36"/>
  <c r="AY357" i="36"/>
  <c r="AY379" i="36"/>
  <c r="AQ382" i="36"/>
  <c r="AQ387" i="36"/>
  <c r="AY401" i="36"/>
  <c r="AU422" i="36"/>
  <c r="AY425" i="36"/>
  <c r="BG470" i="36"/>
  <c r="AQ477" i="36"/>
  <c r="AU484" i="36"/>
  <c r="BC486" i="36"/>
  <c r="BC492" i="36"/>
  <c r="BC498" i="36"/>
  <c r="AQ511" i="36"/>
  <c r="AU522" i="36"/>
  <c r="AU525" i="36"/>
  <c r="AU529" i="36"/>
  <c r="BC532" i="36"/>
  <c r="BC538" i="36"/>
  <c r="BC548" i="36"/>
  <c r="AQ553" i="36"/>
  <c r="AQ557" i="36"/>
  <c r="AU558" i="36"/>
  <c r="BG564" i="36"/>
  <c r="BC566" i="36"/>
  <c r="AQ571" i="36"/>
  <c r="BC573" i="36"/>
  <c r="AU576" i="36"/>
  <c r="AY577" i="36"/>
  <c r="AU582" i="36"/>
  <c r="BC590" i="36"/>
  <c r="AU597" i="36"/>
  <c r="BG597" i="36"/>
  <c r="AQ599" i="36"/>
  <c r="AQ607" i="36"/>
  <c r="AQ613" i="36"/>
  <c r="AY618" i="36"/>
  <c r="AQ619" i="36"/>
  <c r="AQ631" i="36"/>
  <c r="AQ635" i="36"/>
  <c r="AY638" i="36"/>
  <c r="AY642" i="36"/>
  <c r="AQ660" i="36"/>
  <c r="AY661" i="36"/>
  <c r="AY665" i="36"/>
  <c r="AU675" i="36"/>
  <c r="BC682" i="36"/>
  <c r="BC684" i="36"/>
  <c r="AU691" i="36"/>
  <c r="BC16" i="36"/>
  <c r="BC29" i="36"/>
  <c r="AU35" i="36"/>
  <c r="AQ43" i="36"/>
  <c r="AY44" i="36"/>
  <c r="AQ47" i="36"/>
  <c r="AU48" i="36"/>
  <c r="AY53" i="36"/>
  <c r="AQ54" i="36"/>
  <c r="AY57" i="36"/>
  <c r="AQ58" i="36"/>
  <c r="AQ63" i="36"/>
  <c r="AQ67" i="36"/>
  <c r="AQ71" i="36"/>
  <c r="AQ75" i="36"/>
  <c r="AY78" i="36"/>
  <c r="AY82" i="36"/>
  <c r="AQ85" i="36"/>
  <c r="AQ87" i="36"/>
  <c r="AU88" i="36"/>
  <c r="AQ96" i="36"/>
  <c r="AY97" i="36"/>
  <c r="BC98" i="36"/>
  <c r="AU100" i="36"/>
  <c r="AU104" i="36"/>
  <c r="AY109" i="36"/>
  <c r="BC110" i="36"/>
  <c r="BC112" i="36"/>
  <c r="BC114" i="36"/>
  <c r="AU117" i="36"/>
  <c r="AQ119" i="36"/>
  <c r="AY122" i="36"/>
  <c r="AQ124" i="36"/>
  <c r="BC126" i="36"/>
  <c r="BC128" i="36"/>
  <c r="AU133" i="36"/>
  <c r="AU137" i="36"/>
  <c r="BC138" i="36"/>
  <c r="AU142" i="36"/>
  <c r="AU144" i="36"/>
  <c r="AU146" i="36"/>
  <c r="BC147" i="36"/>
  <c r="AY163" i="36"/>
  <c r="AQ188" i="36"/>
  <c r="AU205" i="36"/>
  <c r="BC208" i="36"/>
  <c r="AU213" i="36"/>
  <c r="AU217" i="36"/>
  <c r="AY226" i="36"/>
  <c r="AQ227" i="36"/>
  <c r="AY231" i="36"/>
  <c r="AQ236" i="36"/>
  <c r="AY238" i="36"/>
  <c r="AU242" i="36"/>
  <c r="BC254" i="36"/>
  <c r="BC260" i="36"/>
  <c r="AU264" i="36"/>
  <c r="BC270" i="36"/>
  <c r="AU273" i="36"/>
  <c r="AQ277" i="36"/>
  <c r="AY278" i="36"/>
  <c r="AQ281" i="36"/>
  <c r="AQ283" i="36"/>
  <c r="AY286" i="36"/>
  <c r="AQ289" i="36"/>
  <c r="AY290" i="36"/>
  <c r="BC295" i="36"/>
  <c r="AU302" i="36"/>
  <c r="BC303" i="36"/>
  <c r="BC306" i="36"/>
  <c r="AY310" i="36"/>
  <c r="BC311" i="36"/>
  <c r="AU312" i="36"/>
  <c r="AU317" i="36"/>
  <c r="AY318" i="36"/>
  <c r="AU320" i="36"/>
  <c r="AU324" i="36"/>
  <c r="BC325" i="36"/>
  <c r="AY336" i="36"/>
  <c r="AY340" i="36"/>
  <c r="AU346" i="36"/>
  <c r="AU366" i="36"/>
  <c r="AU374" i="36"/>
  <c r="AU376" i="36"/>
  <c r="AU378" i="36"/>
  <c r="AU391" i="36"/>
  <c r="AU406" i="36"/>
  <c r="AQ425" i="36"/>
  <c r="AY429" i="36"/>
  <c r="AY445" i="36"/>
  <c r="BC450" i="36"/>
  <c r="AY471" i="36"/>
  <c r="AY495" i="36"/>
  <c r="BC508" i="36"/>
  <c r="AQ532" i="36"/>
  <c r="AY537" i="36"/>
  <c r="BC552" i="36"/>
  <c r="AU553" i="36"/>
  <c r="AQ559" i="36"/>
  <c r="AQ561" i="36"/>
  <c r="AY567" i="36"/>
  <c r="AQ568" i="36"/>
  <c r="AY569" i="36"/>
  <c r="BC570" i="36"/>
  <c r="AQ575" i="36"/>
  <c r="AQ583" i="36"/>
  <c r="AQ588" i="36"/>
  <c r="AQ592" i="36"/>
  <c r="AY593" i="36"/>
  <c r="BC598" i="36"/>
  <c r="BC600" i="36"/>
  <c r="BC608" i="36"/>
  <c r="AU609" i="36"/>
  <c r="BC612" i="36"/>
  <c r="AU617" i="36"/>
  <c r="BC622" i="36"/>
  <c r="BC624" i="36"/>
  <c r="BC630" i="36"/>
  <c r="AU633" i="36"/>
  <c r="BC640" i="36"/>
  <c r="AU641" i="36"/>
  <c r="AQ645" i="36"/>
  <c r="AQ651" i="36"/>
  <c r="AQ655" i="36"/>
  <c r="BC659" i="36"/>
  <c r="AU664" i="36"/>
  <c r="AY675" i="36"/>
  <c r="AY679" i="36"/>
  <c r="AQ682" i="36"/>
  <c r="AY683" i="36"/>
  <c r="AY693" i="36"/>
  <c r="AQ698" i="36"/>
  <c r="AQ27" i="36"/>
  <c r="AQ31" i="36"/>
  <c r="AY33" i="36"/>
  <c r="AQ34" i="36"/>
  <c r="AY37" i="36"/>
  <c r="AQ38" i="36"/>
  <c r="AQ51" i="36"/>
  <c r="AU52" i="36"/>
  <c r="AU71" i="36"/>
  <c r="AU77" i="36"/>
  <c r="BC78" i="36"/>
  <c r="AQ89" i="36"/>
  <c r="BC95" i="36"/>
  <c r="AU99" i="36"/>
  <c r="AQ101" i="36"/>
  <c r="AY102" i="36"/>
  <c r="BC105" i="36"/>
  <c r="BC107" i="36"/>
  <c r="AQ112" i="36"/>
  <c r="AY113" i="36"/>
  <c r="AY115" i="36"/>
  <c r="AQ116" i="36"/>
  <c r="AY117" i="36"/>
  <c r="BC122" i="36"/>
  <c r="AQ123" i="36"/>
  <c r="AY127" i="36"/>
  <c r="AQ132" i="36"/>
  <c r="AY133" i="36"/>
  <c r="AQ140" i="36"/>
  <c r="AY142" i="36"/>
  <c r="AY146" i="36"/>
  <c r="AQ147" i="36"/>
  <c r="AQ149" i="36"/>
  <c r="AU162" i="36"/>
  <c r="AU164" i="36"/>
  <c r="BG164" i="36"/>
  <c r="AY165" i="36"/>
  <c r="AU173" i="36"/>
  <c r="BC176" i="36"/>
  <c r="AU177" i="36"/>
  <c r="BC178" i="36"/>
  <c r="AQ181" i="36"/>
  <c r="BC187" i="36"/>
  <c r="AU194" i="36"/>
  <c r="BC199" i="36"/>
  <c r="AQ204" i="36"/>
  <c r="AQ208" i="36"/>
  <c r="AY213" i="36"/>
  <c r="BG213" i="36"/>
  <c r="BG214" i="36"/>
  <c r="AQ216" i="36"/>
  <c r="AQ224" i="36"/>
  <c r="BC224" i="36"/>
  <c r="AU232" i="36"/>
  <c r="AQ241" i="36"/>
  <c r="AU253" i="36"/>
  <c r="AQ254" i="36"/>
  <c r="AQ256" i="36"/>
  <c r="AY259" i="36"/>
  <c r="AQ260" i="36"/>
  <c r="AY261" i="36"/>
  <c r="AY262" i="36"/>
  <c r="AY271" i="36"/>
  <c r="AQ272" i="36"/>
  <c r="AU285" i="36"/>
  <c r="AU289" i="36"/>
  <c r="BC292" i="36"/>
  <c r="AY294" i="36"/>
  <c r="AY298" i="36"/>
  <c r="AU307" i="36"/>
  <c r="AY315" i="36"/>
  <c r="AY317" i="36"/>
  <c r="AY322" i="36"/>
  <c r="AQ323" i="36"/>
  <c r="AY328" i="36"/>
  <c r="BC329" i="36"/>
  <c r="AY344" i="36"/>
  <c r="AQ345" i="36"/>
  <c r="BC352" i="36"/>
  <c r="AY356" i="36"/>
  <c r="BC383" i="36"/>
  <c r="AY391" i="36"/>
  <c r="AU412" i="36"/>
  <c r="BC427" i="36"/>
  <c r="AU428" i="36"/>
  <c r="AU431" i="36"/>
  <c r="AU467" i="36"/>
  <c r="BC470" i="36"/>
  <c r="AQ474" i="36"/>
  <c r="AQ478" i="36"/>
  <c r="AU483" i="36"/>
  <c r="BC497" i="36"/>
  <c r="AU498" i="36"/>
  <c r="AU502" i="36"/>
  <c r="AQ512" i="36"/>
  <c r="BC512" i="36"/>
  <c r="AU513" i="36"/>
  <c r="BC516" i="36"/>
  <c r="AY522" i="36"/>
  <c r="BC523" i="36"/>
  <c r="AU524" i="36"/>
  <c r="BC531" i="36"/>
  <c r="AU534" i="36"/>
  <c r="BC564" i="36"/>
  <c r="AU566" i="36"/>
  <c r="AU568" i="36"/>
  <c r="AQ572" i="36"/>
  <c r="BC582" i="36"/>
  <c r="BC587" i="36"/>
  <c r="AU596" i="36"/>
  <c r="AY599" i="36"/>
  <c r="AQ612" i="36"/>
  <c r="AY613" i="36"/>
  <c r="AQ624" i="36"/>
  <c r="AQ628" i="36"/>
  <c r="AY629" i="36"/>
  <c r="AQ640" i="36"/>
  <c r="AQ644" i="36"/>
  <c r="BC654" i="36"/>
  <c r="AY658" i="36"/>
  <c r="AQ661" i="36"/>
  <c r="AQ663" i="36"/>
  <c r="AU682" i="36"/>
  <c r="AU686" i="36"/>
  <c r="I147" i="33"/>
  <c r="I143" i="33"/>
  <c r="I141" i="33"/>
  <c r="I92" i="6"/>
  <c r="I139" i="33"/>
  <c r="I149" i="33"/>
  <c r="I137" i="33"/>
  <c r="I145" i="33"/>
  <c r="I135" i="33"/>
  <c r="I192" i="6"/>
  <c r="I194" i="6"/>
  <c r="I196" i="6"/>
  <c r="I136" i="33"/>
  <c r="I138" i="33"/>
  <c r="I140" i="33"/>
  <c r="I142" i="33"/>
  <c r="I144" i="33"/>
  <c r="I146" i="33"/>
  <c r="I191" i="6"/>
  <c r="I193" i="6"/>
  <c r="I195" i="6"/>
  <c r="AK68" i="34"/>
  <c r="G99" i="34"/>
  <c r="BC8" i="36"/>
  <c r="AQ13" i="36"/>
  <c r="AU75" i="36"/>
  <c r="AQ83" i="36"/>
  <c r="AU153" i="36"/>
  <c r="AU197" i="36"/>
  <c r="AU244" i="36"/>
  <c r="AQ299" i="36"/>
  <c r="AY345" i="36"/>
  <c r="BG394" i="36"/>
  <c r="BG402" i="36"/>
  <c r="BG521" i="36"/>
  <c r="AQ547" i="36"/>
  <c r="AQ6" i="36"/>
  <c r="BC25" i="36"/>
  <c r="AU28" i="36"/>
  <c r="AU39" i="36"/>
  <c r="BC65" i="36"/>
  <c r="AQ72" i="36"/>
  <c r="BC80" i="36"/>
  <c r="BG149" i="36"/>
  <c r="AU150" i="36"/>
  <c r="AY187" i="36"/>
  <c r="AQ217" i="36"/>
  <c r="BC393" i="36"/>
  <c r="AQ398" i="36"/>
  <c r="AY450" i="36"/>
  <c r="AQ463" i="36"/>
  <c r="AU521" i="36"/>
  <c r="AY566" i="36"/>
  <c r="AU573" i="36"/>
  <c r="AY581" i="36"/>
  <c r="AY591" i="36"/>
  <c r="BG613" i="36"/>
  <c r="AQ617" i="36"/>
  <c r="BG671" i="36"/>
  <c r="BG682" i="36"/>
  <c r="BG5" i="36"/>
  <c r="AQ10" i="36"/>
  <c r="AQ14" i="36"/>
  <c r="AU44" i="36"/>
  <c r="AU56" i="36"/>
  <c r="BG116" i="36"/>
  <c r="BC155" i="36"/>
  <c r="BG236" i="36"/>
  <c r="AQ336" i="36"/>
  <c r="AY339" i="36"/>
  <c r="AY392" i="36"/>
  <c r="BC397" i="36"/>
  <c r="BC413" i="36"/>
  <c r="AU457" i="36"/>
  <c r="BG520" i="36"/>
  <c r="AY533" i="36"/>
  <c r="BG540" i="36"/>
  <c r="AQ548" i="36"/>
  <c r="AQ2" i="36"/>
  <c r="BG2" i="36"/>
  <c r="AU27" i="36"/>
  <c r="AU43" i="36"/>
  <c r="BC66" i="36"/>
  <c r="AU76" i="36"/>
  <c r="AU91" i="36"/>
  <c r="AY92" i="36"/>
  <c r="BC115" i="36"/>
  <c r="BC120" i="36"/>
  <c r="AU127" i="36"/>
  <c r="AY154" i="36"/>
  <c r="AU258" i="36"/>
  <c r="AY279" i="36"/>
  <c r="BC381" i="36"/>
  <c r="AQ386" i="36"/>
  <c r="AU395" i="36"/>
  <c r="AU405" i="36"/>
  <c r="BC547" i="36"/>
  <c r="BG162" i="36"/>
  <c r="AU174" i="36"/>
  <c r="AQ212" i="36"/>
  <c r="AY245" i="36"/>
  <c r="AY287" i="36"/>
  <c r="AY352" i="36"/>
  <c r="AQ381" i="36"/>
  <c r="AY412" i="36"/>
  <c r="AY446" i="36"/>
  <c r="AQ475" i="36"/>
  <c r="AU565" i="36"/>
  <c r="BG572" i="36"/>
  <c r="AY586" i="36"/>
  <c r="BC626" i="36"/>
  <c r="BC685" i="36"/>
  <c r="AU120" i="36"/>
  <c r="BG173" i="36"/>
  <c r="BC189" i="36"/>
  <c r="BC211" i="36"/>
  <c r="BG235" i="36"/>
  <c r="AQ261" i="36"/>
  <c r="AY295" i="36"/>
  <c r="BG298" i="36"/>
  <c r="AQ346" i="36"/>
  <c r="AY377" i="36"/>
  <c r="BC378" i="36"/>
  <c r="BG385" i="36"/>
  <c r="AU416" i="36"/>
  <c r="AY419" i="36"/>
  <c r="AU443" i="36"/>
  <c r="AY454" i="36"/>
  <c r="BC465" i="36"/>
  <c r="AY473" i="36"/>
  <c r="AU492" i="36"/>
  <c r="BG510" i="36"/>
  <c r="AY534" i="36"/>
  <c r="AY607" i="36"/>
  <c r="AQ616" i="36"/>
  <c r="AY684" i="36"/>
  <c r="BG9" i="36"/>
  <c r="BG13" i="36"/>
  <c r="AQ98" i="36"/>
  <c r="AQ100" i="36"/>
  <c r="BC101" i="36"/>
  <c r="BG117" i="36"/>
  <c r="AY118" i="36"/>
  <c r="AQ138" i="36"/>
  <c r="AU145" i="36"/>
  <c r="BG165" i="36"/>
  <c r="AY173" i="36"/>
  <c r="AU182" i="36"/>
  <c r="AQ197" i="36"/>
  <c r="AQ293" i="36"/>
  <c r="AU339" i="36"/>
  <c r="AQ355" i="36"/>
  <c r="BG358" i="36"/>
  <c r="BC384" i="36"/>
  <c r="BG424" i="36"/>
  <c r="BG442" i="36"/>
  <c r="AU447" i="36"/>
  <c r="BC449" i="36"/>
  <c r="BG483" i="36"/>
  <c r="AU508" i="36"/>
  <c r="BC559" i="36"/>
  <c r="AU574" i="36"/>
  <c r="BC609" i="36"/>
  <c r="AU674" i="36"/>
  <c r="AU683" i="36"/>
  <c r="BG568" i="36"/>
  <c r="BC588" i="36"/>
  <c r="AQ589" i="36"/>
  <c r="AU602" i="36"/>
  <c r="BG604" i="36"/>
  <c r="BG608" i="36"/>
  <c r="AQ620" i="36"/>
  <c r="AY620" i="36"/>
  <c r="BC631" i="36"/>
  <c r="AQ636" i="36"/>
  <c r="AU688" i="36"/>
  <c r="AY696" i="36"/>
  <c r="BC575" i="36"/>
  <c r="BG592" i="36"/>
  <c r="BC643" i="36"/>
  <c r="AY652" i="36"/>
  <c r="BC665" i="36"/>
  <c r="BC689" i="36"/>
  <c r="I12" i="6"/>
  <c r="I91" i="6"/>
  <c r="I34" i="4"/>
  <c r="I32" i="4"/>
  <c r="I33" i="4"/>
  <c r="I14" i="33"/>
  <c r="I10" i="7"/>
  <c r="I64" i="6"/>
  <c r="I93" i="6"/>
  <c r="I55" i="6"/>
  <c r="I7" i="33"/>
  <c r="I29" i="33"/>
  <c r="I19" i="6"/>
  <c r="I23" i="6"/>
  <c r="I25" i="6"/>
  <c r="I47" i="33"/>
  <c r="I67" i="33"/>
  <c r="I7" i="6"/>
  <c r="I9" i="4"/>
  <c r="I26" i="33"/>
  <c r="I33" i="33"/>
  <c r="I44" i="33"/>
  <c r="I18" i="7"/>
  <c r="AK41" i="34"/>
  <c r="I35" i="4"/>
  <c r="I21" i="4"/>
  <c r="I56" i="33"/>
  <c r="I36" i="4"/>
  <c r="I155" i="33"/>
  <c r="I14" i="6"/>
  <c r="I58" i="33"/>
  <c r="I31" i="33"/>
  <c r="I67" i="6"/>
  <c r="I27" i="33"/>
  <c r="I9" i="6"/>
  <c r="I36" i="6"/>
  <c r="I62" i="33"/>
  <c r="I50" i="33"/>
  <c r="I71" i="33"/>
  <c r="I87" i="6"/>
  <c r="I61" i="4"/>
  <c r="T100" i="11"/>
  <c r="AQ24" i="36"/>
  <c r="AU89" i="36"/>
  <c r="AQ120" i="36"/>
  <c r="AQ121" i="36"/>
  <c r="BC127" i="36"/>
  <c r="BG130" i="36"/>
  <c r="AU181" i="36"/>
  <c r="BG189" i="36"/>
  <c r="AU229" i="36"/>
  <c r="AU234" i="36"/>
  <c r="BC245" i="36"/>
  <c r="AU261" i="36"/>
  <c r="BG275" i="36"/>
  <c r="BC304" i="36"/>
  <c r="AQ307" i="36"/>
  <c r="AU310" i="36"/>
  <c r="BC319" i="36"/>
  <c r="AQ350" i="36"/>
  <c r="AQ362" i="36"/>
  <c r="BG375" i="36"/>
  <c r="AQ390" i="36"/>
  <c r="AU407" i="36"/>
  <c r="AQ416" i="36"/>
  <c r="AQ422" i="36"/>
  <c r="BG437" i="36"/>
  <c r="BC453" i="36"/>
  <c r="AQ498" i="36"/>
  <c r="BG612" i="36"/>
  <c r="AY666" i="36"/>
  <c r="AY670" i="36"/>
  <c r="BG23" i="36"/>
  <c r="BC26" i="36"/>
  <c r="AU31" i="36"/>
  <c r="BC41" i="36"/>
  <c r="BC50" i="36"/>
  <c r="AU55" i="36"/>
  <c r="AU64" i="36"/>
  <c r="AU85" i="36"/>
  <c r="BC87" i="36"/>
  <c r="BC103" i="36"/>
  <c r="AQ109" i="36"/>
  <c r="AY110" i="36"/>
  <c r="BG114" i="36"/>
  <c r="BC116" i="36"/>
  <c r="BG124" i="36"/>
  <c r="AU130" i="36"/>
  <c r="AQ148" i="36"/>
  <c r="BC159" i="36"/>
  <c r="AQ168" i="36"/>
  <c r="AY172" i="36"/>
  <c r="AY174" i="36"/>
  <c r="BG180" i="36"/>
  <c r="BG188" i="36"/>
  <c r="AY189" i="36"/>
  <c r="AU193" i="36"/>
  <c r="AY206" i="36"/>
  <c r="AY222" i="36"/>
  <c r="AY224" i="36"/>
  <c r="BG228" i="36"/>
  <c r="BC232" i="36"/>
  <c r="AQ244" i="36"/>
  <c r="AQ252" i="36"/>
  <c r="AY270" i="36"/>
  <c r="AY275" i="36"/>
  <c r="AQ280" i="36"/>
  <c r="AQ304" i="36"/>
  <c r="BG306" i="36"/>
  <c r="BG317" i="36"/>
  <c r="AQ328" i="36"/>
  <c r="AQ333" i="36"/>
  <c r="AU343" i="36"/>
  <c r="BC374" i="36"/>
  <c r="BG400" i="36"/>
  <c r="BC403" i="36"/>
  <c r="AU415" i="36"/>
  <c r="BG415" i="36"/>
  <c r="BC432" i="36"/>
  <c r="AU448" i="36"/>
  <c r="BG463" i="36"/>
  <c r="BG652" i="36"/>
  <c r="BC663" i="36"/>
  <c r="AU23" i="36"/>
  <c r="AY25" i="36"/>
  <c r="AU36" i="36"/>
  <c r="BC49" i="36"/>
  <c r="AU63" i="36"/>
  <c r="BC73" i="36"/>
  <c r="AY76" i="36"/>
  <c r="BG120" i="36"/>
  <c r="BC123" i="36"/>
  <c r="AU129" i="36"/>
  <c r="AQ145" i="36"/>
  <c r="BC156" i="36"/>
  <c r="AQ164" i="36"/>
  <c r="BC184" i="36"/>
  <c r="AQ185" i="36"/>
  <c r="BG186" i="36"/>
  <c r="AQ192" i="36"/>
  <c r="BG204" i="36"/>
  <c r="AQ220" i="36"/>
  <c r="BC231" i="36"/>
  <c r="BC243" i="36"/>
  <c r="BC247" i="36"/>
  <c r="AY267" i="36"/>
  <c r="AQ275" i="36"/>
  <c r="BC279" i="36"/>
  <c r="AU297" i="36"/>
  <c r="AY299" i="36"/>
  <c r="AQ306" i="36"/>
  <c r="AU309" i="36"/>
  <c r="BG314" i="36"/>
  <c r="BC323" i="36"/>
  <c r="AQ324" i="36"/>
  <c r="BC358" i="36"/>
  <c r="AY360" i="36"/>
  <c r="AY384" i="36"/>
  <c r="AU408" i="36"/>
  <c r="AY414" i="36"/>
  <c r="BC417" i="36"/>
  <c r="AQ432" i="36"/>
  <c r="AU440" i="36"/>
  <c r="AY461" i="36"/>
  <c r="AU545" i="36"/>
  <c r="AU552" i="36"/>
  <c r="BC591" i="36"/>
  <c r="BG639" i="36"/>
  <c r="AQ32" i="36"/>
  <c r="BC42" i="36"/>
  <c r="AQ56" i="36"/>
  <c r="AU67" i="36"/>
  <c r="AU86" i="36"/>
  <c r="AY90" i="36"/>
  <c r="AY120" i="36"/>
  <c r="BC132" i="36"/>
  <c r="AQ156" i="36"/>
  <c r="BC163" i="36"/>
  <c r="AY177" i="36"/>
  <c r="AU184" i="36"/>
  <c r="BC191" i="36"/>
  <c r="BG203" i="36"/>
  <c r="BG219" i="36"/>
  <c r="AQ231" i="36"/>
  <c r="BC264" i="36"/>
  <c r="AU271" i="36"/>
  <c r="BC272" i="36"/>
  <c r="AQ276" i="36"/>
  <c r="AY291" i="36"/>
  <c r="BG305" i="36"/>
  <c r="AY307" i="36"/>
  <c r="AY320" i="36"/>
  <c r="BC357" i="36"/>
  <c r="AY380" i="36"/>
  <c r="AY416" i="36"/>
  <c r="AU438" i="36"/>
  <c r="BC456" i="36"/>
  <c r="BC627" i="36"/>
  <c r="BC679" i="36"/>
  <c r="BC421" i="36"/>
  <c r="BC441" i="36"/>
  <c r="AU507" i="36"/>
  <c r="AQ536" i="36"/>
  <c r="AQ544" i="36"/>
  <c r="BG546" i="36"/>
  <c r="BG558" i="36"/>
  <c r="BG641" i="36"/>
  <c r="AQ664" i="36"/>
  <c r="AU669" i="36"/>
  <c r="BC686" i="36"/>
  <c r="AQ695" i="36"/>
  <c r="BG327" i="36"/>
  <c r="BC385" i="36"/>
  <c r="BG406" i="36"/>
  <c r="BG422" i="36"/>
  <c r="AQ441" i="36"/>
  <c r="AQ450" i="36"/>
  <c r="AY464" i="36"/>
  <c r="AY494" i="36"/>
  <c r="AU504" i="36"/>
  <c r="BG506" i="36"/>
  <c r="AY512" i="36"/>
  <c r="BG512" i="36"/>
  <c r="BC527" i="36"/>
  <c r="BC535" i="36"/>
  <c r="AY539" i="36"/>
  <c r="BC540" i="36"/>
  <c r="BC543" i="36"/>
  <c r="BC545" i="36"/>
  <c r="AQ584" i="36"/>
  <c r="AU595" i="36"/>
  <c r="AU599" i="36"/>
  <c r="BC599" i="36"/>
  <c r="AY604" i="36"/>
  <c r="AY610" i="36"/>
  <c r="AU630" i="36"/>
  <c r="AY639" i="36"/>
  <c r="AQ657" i="36"/>
  <c r="AQ668" i="36"/>
  <c r="AU679" i="36"/>
  <c r="AQ699" i="36"/>
  <c r="AU327" i="36"/>
  <c r="AQ354" i="36"/>
  <c r="BC390" i="36"/>
  <c r="BG403" i="36"/>
  <c r="AY430" i="36"/>
  <c r="AY451" i="36"/>
  <c r="AQ472" i="36"/>
  <c r="AU481" i="36"/>
  <c r="AY487" i="36"/>
  <c r="BG502" i="36"/>
  <c r="BC507" i="36"/>
  <c r="AY538" i="36"/>
  <c r="AY558" i="36"/>
  <c r="BC583" i="36"/>
  <c r="AU655" i="36"/>
  <c r="BC667" i="36"/>
  <c r="BG672" i="36"/>
  <c r="BG694" i="36"/>
  <c r="BC698" i="36"/>
  <c r="S81" i="11"/>
  <c r="S74" i="11"/>
  <c r="S65" i="11"/>
  <c r="I20" i="4"/>
  <c r="I16" i="7"/>
  <c r="I13" i="4"/>
  <c r="I205" i="6"/>
  <c r="I8" i="6"/>
  <c r="I63" i="33"/>
  <c r="I27" i="4"/>
  <c r="I40" i="33"/>
  <c r="I47" i="6"/>
  <c r="I53" i="6"/>
  <c r="I19" i="4"/>
  <c r="I61" i="6"/>
  <c r="I70" i="33"/>
  <c r="I100" i="7"/>
  <c r="I12" i="33"/>
  <c r="I10" i="4"/>
  <c r="I16" i="4"/>
  <c r="I28" i="4"/>
  <c r="I23" i="4"/>
  <c r="I30" i="4"/>
  <c r="I10" i="33"/>
  <c r="I20" i="33"/>
  <c r="I15" i="6"/>
  <c r="I37" i="33"/>
  <c r="I29" i="6"/>
  <c r="I15" i="7"/>
  <c r="I18" i="4"/>
  <c r="I23" i="7"/>
  <c r="I75" i="6"/>
  <c r="I27" i="7"/>
  <c r="I54" i="4"/>
  <c r="I56" i="4"/>
  <c r="I58" i="4"/>
  <c r="I60" i="4"/>
  <c r="I62" i="4"/>
  <c r="I198" i="6"/>
  <c r="I200" i="6"/>
  <c r="I202" i="6"/>
  <c r="I204" i="6"/>
  <c r="I206" i="6"/>
  <c r="I54" i="33"/>
  <c r="I30" i="7"/>
  <c r="I89" i="6"/>
  <c r="I150" i="33"/>
  <c r="I152" i="33"/>
  <c r="I154" i="33"/>
  <c r="I156" i="33"/>
  <c r="I93" i="7"/>
  <c r="I95" i="7"/>
  <c r="I97" i="7"/>
  <c r="I99" i="7"/>
  <c r="I13" i="33"/>
  <c r="I28" i="33"/>
  <c r="I9" i="7"/>
  <c r="I15" i="4"/>
  <c r="I14" i="7"/>
  <c r="I35" i="6"/>
  <c r="I51" i="6"/>
  <c r="I17" i="4"/>
  <c r="I55" i="4"/>
  <c r="I57" i="4"/>
  <c r="I59" i="4"/>
  <c r="I199" i="6"/>
  <c r="I201" i="6"/>
  <c r="I203" i="6"/>
  <c r="I31" i="6"/>
  <c r="I151" i="33"/>
  <c r="I153" i="33"/>
  <c r="I94" i="7"/>
  <c r="I96" i="7"/>
  <c r="I98" i="7"/>
  <c r="S67" i="11"/>
  <c r="CX24" i="12"/>
  <c r="S78" i="11"/>
  <c r="P4" i="12"/>
  <c r="CX22" i="12"/>
  <c r="P3" i="12"/>
  <c r="AU6" i="36"/>
  <c r="AY7" i="36"/>
  <c r="AU15" i="36"/>
  <c r="AQ20" i="36"/>
  <c r="BG26" i="36"/>
  <c r="BC34" i="36"/>
  <c r="BG81" i="36"/>
  <c r="BC91" i="36"/>
  <c r="BG95" i="36"/>
  <c r="AQ99" i="36"/>
  <c r="AQ108" i="36"/>
  <c r="AY125" i="36"/>
  <c r="AQ128" i="36"/>
  <c r="AY131" i="36"/>
  <c r="BC144" i="36"/>
  <c r="BG147" i="36"/>
  <c r="BG148" i="36"/>
  <c r="BC151" i="36"/>
  <c r="AU157" i="36"/>
  <c r="AQ160" i="36"/>
  <c r="AQ172" i="36"/>
  <c r="AY182" i="36"/>
  <c r="BG184" i="36"/>
  <c r="AY211" i="36"/>
  <c r="AQ213" i="36"/>
  <c r="BG220" i="36"/>
  <c r="BC238" i="36"/>
  <c r="BG256" i="36"/>
  <c r="AQ268" i="36"/>
  <c r="BC274" i="36"/>
  <c r="AU277" i="36"/>
  <c r="BG280" i="36"/>
  <c r="AQ284" i="36"/>
  <c r="BG284" i="36"/>
  <c r="BC286" i="36"/>
  <c r="BC345" i="36"/>
  <c r="BG371" i="36"/>
  <c r="AQ420" i="36"/>
  <c r="AY423" i="36"/>
  <c r="AQ424" i="36"/>
  <c r="AY441" i="36"/>
  <c r="AQ446" i="36"/>
  <c r="AU451" i="36"/>
  <c r="AU452" i="36"/>
  <c r="AY457" i="36"/>
  <c r="AQ458" i="36"/>
  <c r="BC463" i="36"/>
  <c r="AY468" i="36"/>
  <c r="AQ473" i="36"/>
  <c r="AU14" i="36"/>
  <c r="AY15" i="36"/>
  <c r="BC22" i="36"/>
  <c r="BC46" i="36"/>
  <c r="BC53" i="36"/>
  <c r="BC61" i="36"/>
  <c r="BC74" i="36"/>
  <c r="AU81" i="36"/>
  <c r="AU95" i="36"/>
  <c r="AQ105" i="36"/>
  <c r="AY130" i="36"/>
  <c r="AQ136" i="36"/>
  <c r="BC143" i="36"/>
  <c r="AY152" i="36"/>
  <c r="BC171" i="36"/>
  <c r="AY184" i="36"/>
  <c r="BC188" i="36"/>
  <c r="AU191" i="36"/>
  <c r="BC196" i="36"/>
  <c r="BG237" i="36"/>
  <c r="BC255" i="36"/>
  <c r="AQ267" i="36"/>
  <c r="AQ274" i="36"/>
  <c r="AU322" i="36"/>
  <c r="AQ329" i="36"/>
  <c r="AY332" i="36"/>
  <c r="BC333" i="36"/>
  <c r="AU363" i="36"/>
  <c r="AQ418" i="36"/>
  <c r="AY492" i="36"/>
  <c r="BC505" i="36"/>
  <c r="AU557" i="36"/>
  <c r="AY565" i="36"/>
  <c r="AQ566" i="36"/>
  <c r="AU569" i="36"/>
  <c r="AY576" i="36"/>
  <c r="AY580" i="36"/>
  <c r="AY582" i="36"/>
  <c r="AY590" i="36"/>
  <c r="AQ594" i="36"/>
  <c r="AY601" i="36"/>
  <c r="AQ606" i="36"/>
  <c r="BG606" i="36"/>
  <c r="AU612" i="36"/>
  <c r="AU648" i="36"/>
  <c r="BC649" i="36"/>
  <c r="BG3" i="36"/>
  <c r="BG7" i="36"/>
  <c r="BG17" i="36"/>
  <c r="AQ22" i="36"/>
  <c r="AY28" i="36"/>
  <c r="AQ36" i="36"/>
  <c r="AQ60" i="36"/>
  <c r="AU72" i="36"/>
  <c r="AQ104" i="36"/>
  <c r="AQ129" i="36"/>
  <c r="BC133" i="36"/>
  <c r="BC135" i="36"/>
  <c r="BC170" i="36"/>
  <c r="AQ184" i="36"/>
  <c r="AQ186" i="36"/>
  <c r="BG194" i="36"/>
  <c r="BC219" i="36"/>
  <c r="BG221" i="36"/>
  <c r="AQ228" i="36"/>
  <c r="AY232" i="36"/>
  <c r="AQ234" i="36"/>
  <c r="AU237" i="36"/>
  <c r="AU246" i="36"/>
  <c r="AY250" i="36"/>
  <c r="BC259" i="36"/>
  <c r="AY264" i="36"/>
  <c r="BC293" i="36"/>
  <c r="AY300" i="36"/>
  <c r="AY374" i="36"/>
  <c r="AY403" i="36"/>
  <c r="AY404" i="36"/>
  <c r="AU7" i="36"/>
  <c r="BG11" i="36"/>
  <c r="BG15" i="36"/>
  <c r="BC21" i="36"/>
  <c r="AQ28" i="36"/>
  <c r="BC30" i="36"/>
  <c r="AY32" i="36"/>
  <c r="AQ48" i="36"/>
  <c r="AY68" i="36"/>
  <c r="AU82" i="36"/>
  <c r="AQ92" i="36"/>
  <c r="BG96" i="36"/>
  <c r="AQ103" i="36"/>
  <c r="BC111" i="36"/>
  <c r="AU113" i="36"/>
  <c r="AY126" i="36"/>
  <c r="AU161" i="36"/>
  <c r="BC173" i="36"/>
  <c r="AY178" i="36"/>
  <c r="BC183" i="36"/>
  <c r="BG185" i="36"/>
  <c r="AU214" i="36"/>
  <c r="BG216" i="36"/>
  <c r="AU221" i="36"/>
  <c r="BG241" i="36"/>
  <c r="AU257" i="36"/>
  <c r="BG269" i="36"/>
  <c r="AU351" i="36"/>
  <c r="AU699" i="36"/>
  <c r="AY701" i="36"/>
  <c r="BG79" i="36"/>
  <c r="AY86" i="36"/>
  <c r="BC90" i="36"/>
  <c r="AU96" i="36"/>
  <c r="AU98" i="36"/>
  <c r="BG108" i="36"/>
  <c r="AU121" i="36"/>
  <c r="AY134" i="36"/>
  <c r="BG144" i="36"/>
  <c r="AQ153" i="36"/>
  <c r="AY157" i="36"/>
  <c r="AQ158" i="36"/>
  <c r="BG160" i="36"/>
  <c r="AQ165" i="36"/>
  <c r="BC186" i="36"/>
  <c r="AQ187" i="36"/>
  <c r="AY191" i="36"/>
  <c r="AY195" i="36"/>
  <c r="BC197" i="36"/>
  <c r="BC203" i="36"/>
  <c r="AQ209" i="36"/>
  <c r="AU226" i="36"/>
  <c r="AU239" i="36"/>
  <c r="AY242" i="36"/>
  <c r="AY3" i="36"/>
  <c r="AY11" i="36"/>
  <c r="AU19" i="36"/>
  <c r="AY21" i="36"/>
  <c r="BC33" i="36"/>
  <c r="BC38" i="36"/>
  <c r="AQ40" i="36"/>
  <c r="AY40" i="36"/>
  <c r="BC45" i="36"/>
  <c r="BC57" i="36"/>
  <c r="BC62" i="36"/>
  <c r="AQ76" i="36"/>
  <c r="AQ80" i="36"/>
  <c r="AQ84" i="36"/>
  <c r="AQ88" i="36"/>
  <c r="AY99" i="36"/>
  <c r="AU102" i="36"/>
  <c r="AY104" i="36"/>
  <c r="AQ122" i="36"/>
  <c r="AY135" i="36"/>
  <c r="BG150" i="36"/>
  <c r="AY158" i="36"/>
  <c r="BG161" i="36"/>
  <c r="AY162" i="36"/>
  <c r="AY166" i="36"/>
  <c r="AU169" i="36"/>
  <c r="AY171" i="36"/>
  <c r="BG177" i="36"/>
  <c r="AU178" i="36"/>
  <c r="BG179" i="36"/>
  <c r="AY190" i="36"/>
  <c r="AQ202" i="36"/>
  <c r="BG208" i="36"/>
  <c r="AU212" i="36"/>
  <c r="BG217" i="36"/>
  <c r="AU225" i="36"/>
  <c r="BG232" i="36"/>
  <c r="AY234" i="36"/>
  <c r="BC239" i="36"/>
  <c r="BG246" i="36"/>
  <c r="BC256" i="36"/>
  <c r="AQ263" i="36"/>
  <c r="BG264" i="36"/>
  <c r="AY268" i="36"/>
  <c r="AU270" i="36"/>
  <c r="AY273" i="36"/>
  <c r="AU281" i="36"/>
  <c r="BC284" i="36"/>
  <c r="BC287" i="36"/>
  <c r="BG294" i="36"/>
  <c r="AY312" i="36"/>
  <c r="AU315" i="36"/>
  <c r="BG320" i="36"/>
  <c r="BG325" i="36"/>
  <c r="AY326" i="36"/>
  <c r="AY333" i="36"/>
  <c r="AQ334" i="36"/>
  <c r="AU336" i="36"/>
  <c r="BG341" i="36"/>
  <c r="AQ343" i="36"/>
  <c r="AQ351" i="36"/>
  <c r="AU360" i="36"/>
  <c r="AQ369" i="36"/>
  <c r="BC406" i="36"/>
  <c r="BC410" i="36"/>
  <c r="AQ426" i="36"/>
  <c r="AQ447" i="36"/>
  <c r="AU462" i="36"/>
  <c r="BC469" i="36"/>
  <c r="AY508" i="36"/>
  <c r="AY514" i="36"/>
  <c r="AU561" i="36"/>
  <c r="BC579" i="36"/>
  <c r="BG584" i="36"/>
  <c r="BC594" i="36"/>
  <c r="AQ600" i="36"/>
  <c r="AQ603" i="36"/>
  <c r="BC606" i="36"/>
  <c r="BC607" i="36"/>
  <c r="BG609" i="36"/>
  <c r="BG648" i="36"/>
  <c r="AQ652" i="36"/>
  <c r="AY48" i="36"/>
  <c r="AQ68" i="36"/>
  <c r="BG112" i="36"/>
  <c r="AU138" i="36"/>
  <c r="BG156" i="36"/>
  <c r="AQ171" i="36"/>
  <c r="AY179" i="36"/>
  <c r="AQ196" i="36"/>
  <c r="AY214" i="36"/>
  <c r="AU241" i="36"/>
  <c r="AY246" i="36"/>
  <c r="AU249" i="36"/>
  <c r="BG255" i="36"/>
  <c r="AQ259" i="36"/>
  <c r="BG260" i="36"/>
  <c r="BC266" i="36"/>
  <c r="BC267" i="36"/>
  <c r="AY269" i="36"/>
  <c r="BG274" i="36"/>
  <c r="AQ286" i="36"/>
  <c r="BC288" i="36"/>
  <c r="BG293" i="36"/>
  <c r="BC301" i="36"/>
  <c r="BG307" i="36"/>
  <c r="AQ309" i="36"/>
  <c r="BC314" i="36"/>
  <c r="AQ316" i="36"/>
  <c r="AU328" i="36"/>
  <c r="AQ331" i="36"/>
  <c r="BC335" i="36"/>
  <c r="BC361" i="36"/>
  <c r="AU371" i="36"/>
  <c r="BC373" i="36"/>
  <c r="BG376" i="36"/>
  <c r="AU383" i="36"/>
  <c r="BG387" i="36"/>
  <c r="AY388" i="36"/>
  <c r="AY396" i="36"/>
  <c r="AU399" i="36"/>
  <c r="BC405" i="36"/>
  <c r="BC411" i="36"/>
  <c r="AQ414" i="36"/>
  <c r="AU419" i="36"/>
  <c r="AU420" i="36"/>
  <c r="AU424" i="36"/>
  <c r="AU425" i="36"/>
  <c r="AQ434" i="36"/>
  <c r="AQ436" i="36"/>
  <c r="AY438" i="36"/>
  <c r="AY452" i="36"/>
  <c r="AQ456" i="36"/>
  <c r="AQ457" i="36"/>
  <c r="BC459" i="36"/>
  <c r="AQ482" i="36"/>
  <c r="AY485" i="36"/>
  <c r="BG490" i="36"/>
  <c r="AY496" i="36"/>
  <c r="BG498" i="36"/>
  <c r="AY499" i="36"/>
  <c r="AQ500" i="36"/>
  <c r="AU503" i="36"/>
  <c r="AQ505" i="36"/>
  <c r="AU517" i="36"/>
  <c r="BC520" i="36"/>
  <c r="AY526" i="36"/>
  <c r="AU541" i="36"/>
  <c r="AU547" i="36"/>
  <c r="BG552" i="36"/>
  <c r="BC555" i="36"/>
  <c r="BG657" i="36"/>
  <c r="AY659" i="36"/>
  <c r="AU666" i="36"/>
  <c r="AQ669" i="36"/>
  <c r="AY8" i="36"/>
  <c r="AY16" i="36"/>
  <c r="BG19" i="36"/>
  <c r="AQ23" i="36"/>
  <c r="AQ44" i="36"/>
  <c r="AU47" i="36"/>
  <c r="BC54" i="36"/>
  <c r="BC58" i="36"/>
  <c r="AU59" i="36"/>
  <c r="AQ64" i="36"/>
  <c r="BC70" i="36"/>
  <c r="AY72" i="36"/>
  <c r="AQ78" i="36"/>
  <c r="AU79" i="36"/>
  <c r="AY80" i="36"/>
  <c r="BC83" i="36"/>
  <c r="BC84" i="36"/>
  <c r="BC89" i="36"/>
  <c r="AU93" i="36"/>
  <c r="AU105" i="36"/>
  <c r="AY106" i="36"/>
  <c r="AY114" i="36"/>
  <c r="AQ117" i="36"/>
  <c r="BG118" i="36"/>
  <c r="AY119" i="36"/>
  <c r="BG122" i="36"/>
  <c r="AY123" i="36"/>
  <c r="BC124" i="36"/>
  <c r="BC125" i="36"/>
  <c r="BG128" i="36"/>
  <c r="BC131" i="36"/>
  <c r="AQ152" i="36"/>
  <c r="AY159" i="36"/>
  <c r="AU165" i="36"/>
  <c r="BC169" i="36"/>
  <c r="BG170" i="36"/>
  <c r="AU171" i="36"/>
  <c r="AQ176" i="36"/>
  <c r="AQ178" i="36"/>
  <c r="AQ179" i="36"/>
  <c r="BC179" i="36"/>
  <c r="AU187" i="36"/>
  <c r="AY194" i="36"/>
  <c r="BC195" i="36"/>
  <c r="AQ200" i="36"/>
  <c r="AY202" i="36"/>
  <c r="BC207" i="36"/>
  <c r="AU209" i="36"/>
  <c r="AY210" i="36"/>
  <c r="BG212" i="36"/>
  <c r="AQ218" i="36"/>
  <c r="BC218" i="36"/>
  <c r="AU233" i="36"/>
  <c r="BC235" i="36"/>
  <c r="AY239" i="36"/>
  <c r="AQ248" i="36"/>
  <c r="AY256" i="36"/>
  <c r="BC263" i="36"/>
  <c r="AQ265" i="36"/>
  <c r="BC265" i="36"/>
  <c r="BG266" i="36"/>
  <c r="BC271" i="36"/>
  <c r="AU274" i="36"/>
  <c r="AU278" i="36"/>
  <c r="AY282" i="36"/>
  <c r="BG285" i="36"/>
  <c r="AQ288" i="36"/>
  <c r="AU293" i="36"/>
  <c r="AY302" i="36"/>
  <c r="BG312" i="36"/>
  <c r="BC315" i="36"/>
  <c r="AU326" i="36"/>
  <c r="AY329" i="36"/>
  <c r="BC337" i="36"/>
  <c r="BC351" i="36"/>
  <c r="AY354" i="36"/>
  <c r="BG355" i="36"/>
  <c r="AY359" i="36"/>
  <c r="BC363" i="36"/>
  <c r="AY369" i="36"/>
  <c r="BG370" i="36"/>
  <c r="AY371" i="36"/>
  <c r="BC379" i="36"/>
  <c r="BG382" i="36"/>
  <c r="BG386" i="36"/>
  <c r="AU387" i="36"/>
  <c r="BG390" i="36"/>
  <c r="BC395" i="36"/>
  <c r="BG398" i="36"/>
  <c r="BC400" i="36"/>
  <c r="AQ401" i="36"/>
  <c r="AQ411" i="36"/>
  <c r="AU456" i="36"/>
  <c r="AQ459" i="36"/>
  <c r="BG462" i="36"/>
  <c r="AU464" i="36"/>
  <c r="BG474" i="36"/>
  <c r="AU475" i="36"/>
  <c r="BC480" i="36"/>
  <c r="AU500" i="36"/>
  <c r="BC509" i="36"/>
  <c r="BC515" i="36"/>
  <c r="AY530" i="36"/>
  <c r="AU533" i="36"/>
  <c r="AQ549" i="36"/>
  <c r="AY554" i="36"/>
  <c r="BC653" i="36"/>
  <c r="AQ656" i="36"/>
  <c r="BG656" i="36"/>
  <c r="AQ662" i="36"/>
  <c r="AU663" i="36"/>
  <c r="AU665" i="36"/>
  <c r="BC668" i="36"/>
  <c r="AY64" i="36"/>
  <c r="AY83" i="36"/>
  <c r="BG88" i="36"/>
  <c r="BG98" i="36"/>
  <c r="BC100" i="36"/>
  <c r="BG107" i="36"/>
  <c r="AU114" i="36"/>
  <c r="BG121" i="36"/>
  <c r="AQ141" i="36"/>
  <c r="BG145" i="36"/>
  <c r="AY151" i="36"/>
  <c r="BC165" i="36"/>
  <c r="AY170" i="36"/>
  <c r="BG178" i="36"/>
  <c r="BG192" i="36"/>
  <c r="AY199" i="36"/>
  <c r="AQ205" i="36"/>
  <c r="AU219" i="36"/>
  <c r="AQ232" i="36"/>
  <c r="BC240" i="36"/>
  <c r="BG248" i="36"/>
  <c r="AU256" i="36"/>
  <c r="AU267" i="36"/>
  <c r="AU275" i="36"/>
  <c r="AY280" i="36"/>
  <c r="AY285" i="36"/>
  <c r="BG288" i="36"/>
  <c r="BG289" i="36"/>
  <c r="AQ296" i="36"/>
  <c r="BC297" i="36"/>
  <c r="AU299" i="36"/>
  <c r="BC299" i="36"/>
  <c r="BG301" i="36"/>
  <c r="AQ308" i="36"/>
  <c r="AU321" i="36"/>
  <c r="BC326" i="36"/>
  <c r="AU329" i="36"/>
  <c r="AQ330" i="36"/>
  <c r="AQ340" i="36"/>
  <c r="BC341" i="36"/>
  <c r="AQ342" i="36"/>
  <c r="AQ347" i="36"/>
  <c r="AU352" i="36"/>
  <c r="AU353" i="36"/>
  <c r="AU359" i="36"/>
  <c r="AU364" i="36"/>
  <c r="BG366" i="36"/>
  <c r="BG368" i="36"/>
  <c r="BG378" i="36"/>
  <c r="AQ383" i="36"/>
  <c r="AU385" i="36"/>
  <c r="BC386" i="36"/>
  <c r="AU388" i="36"/>
  <c r="BC389" i="36"/>
  <c r="BG399" i="36"/>
  <c r="AY408" i="36"/>
  <c r="BC409" i="36"/>
  <c r="AU411" i="36"/>
  <c r="BC424" i="36"/>
  <c r="AU427" i="36"/>
  <c r="AU433" i="36"/>
  <c r="AU435" i="36"/>
  <c r="AQ442" i="36"/>
  <c r="AY444" i="36"/>
  <c r="AQ448" i="36"/>
  <c r="AY448" i="36"/>
  <c r="AQ452" i="36"/>
  <c r="BC454" i="36"/>
  <c r="AU455" i="36"/>
  <c r="AU459" i="36"/>
  <c r="AY462" i="36"/>
  <c r="AU463" i="36"/>
  <c r="AQ468" i="36"/>
  <c r="AQ470" i="36"/>
  <c r="AU472" i="36"/>
  <c r="BG472" i="36"/>
  <c r="AQ483" i="36"/>
  <c r="AU487" i="36"/>
  <c r="AY488" i="36"/>
  <c r="BC493" i="36"/>
  <c r="BG494" i="36"/>
  <c r="AU499" i="36"/>
  <c r="AY509" i="36"/>
  <c r="AQ510" i="36"/>
  <c r="AQ514" i="36"/>
  <c r="BG517" i="36"/>
  <c r="AY518" i="36"/>
  <c r="AQ525" i="36"/>
  <c r="AY528" i="36"/>
  <c r="BC536" i="36"/>
  <c r="BG548" i="36"/>
  <c r="AY562" i="36"/>
  <c r="AQ580" i="36"/>
  <c r="AU581" i="36"/>
  <c r="AU585" i="36"/>
  <c r="AY587" i="36"/>
  <c r="AQ608" i="36"/>
  <c r="BC617" i="36"/>
  <c r="AU637" i="36"/>
  <c r="BC639" i="36"/>
  <c r="AY641" i="36"/>
  <c r="AU649" i="36"/>
  <c r="AQ670" i="36"/>
  <c r="AY673" i="36"/>
  <c r="BG679" i="36"/>
  <c r="BC681" i="36"/>
  <c r="BC283" i="36"/>
  <c r="BG290" i="36"/>
  <c r="AQ300" i="36"/>
  <c r="AY305" i="36"/>
  <c r="BG328" i="36"/>
  <c r="BC331" i="36"/>
  <c r="AU337" i="36"/>
  <c r="BC347" i="36"/>
  <c r="AQ361" i="36"/>
  <c r="BC368" i="36"/>
  <c r="BC369" i="36"/>
  <c r="AY376" i="36"/>
  <c r="AY386" i="36"/>
  <c r="AY389" i="36"/>
  <c r="AU401" i="36"/>
  <c r="BG412" i="36"/>
  <c r="AY420" i="36"/>
  <c r="AQ427" i="36"/>
  <c r="BG435" i="36"/>
  <c r="BC437" i="36"/>
  <c r="BC442" i="36"/>
  <c r="BC445" i="36"/>
  <c r="BG455" i="36"/>
  <c r="BG456" i="36"/>
  <c r="AY467" i="36"/>
  <c r="BC472" i="36"/>
  <c r="BG478" i="36"/>
  <c r="AY484" i="36"/>
  <c r="AU488" i="36"/>
  <c r="BC489" i="36"/>
  <c r="BC491" i="36"/>
  <c r="AQ494" i="36"/>
  <c r="AU495" i="36"/>
  <c r="AQ502" i="36"/>
  <c r="BG532" i="36"/>
  <c r="BG538" i="36"/>
  <c r="AQ582" i="36"/>
  <c r="BG588" i="36"/>
  <c r="BC644" i="36"/>
  <c r="AY654" i="36"/>
  <c r="AQ675" i="36"/>
  <c r="AQ680" i="36"/>
  <c r="AQ363" i="36"/>
  <c r="AU369" i="36"/>
  <c r="BC371" i="36"/>
  <c r="AU379" i="36"/>
  <c r="AQ400" i="36"/>
  <c r="BC401" i="36"/>
  <c r="AY406" i="36"/>
  <c r="AY413" i="36"/>
  <c r="BG418" i="36"/>
  <c r="BG425" i="36"/>
  <c r="AY440" i="36"/>
  <c r="BG450" i="36"/>
  <c r="BC462" i="36"/>
  <c r="AU468" i="36"/>
  <c r="AU473" i="36"/>
  <c r="BG486" i="36"/>
  <c r="AQ493" i="36"/>
  <c r="AY498" i="36"/>
  <c r="AY500" i="36"/>
  <c r="AQ506" i="36"/>
  <c r="AU514" i="36"/>
  <c r="BC519" i="36"/>
  <c r="AU520" i="36"/>
  <c r="AU526" i="36"/>
  <c r="BG526" i="36"/>
  <c r="AQ528" i="36"/>
  <c r="AQ541" i="36"/>
  <c r="AY543" i="36"/>
  <c r="BC546" i="36"/>
  <c r="AY547" i="36"/>
  <c r="AU549" i="36"/>
  <c r="BG553" i="36"/>
  <c r="AY555" i="36"/>
  <c r="AY560" i="36"/>
  <c r="BC567" i="36"/>
  <c r="BC571" i="36"/>
  <c r="BC576" i="36"/>
  <c r="BC580" i="36"/>
  <c r="BG585" i="36"/>
  <c r="AU593" i="36"/>
  <c r="AQ596" i="36"/>
  <c r="BC603" i="36"/>
  <c r="BC611" i="36"/>
  <c r="AU613" i="36"/>
  <c r="BC623" i="36"/>
  <c r="AU625" i="36"/>
  <c r="AY635" i="36"/>
  <c r="BC637" i="36"/>
  <c r="AU644" i="36"/>
  <c r="AU645" i="36"/>
  <c r="AU661" i="36"/>
  <c r="BC662" i="36"/>
  <c r="BC680" i="36"/>
  <c r="AU685" i="36"/>
  <c r="BG686" i="36"/>
  <c r="AQ690" i="36"/>
  <c r="BC693" i="36"/>
  <c r="AY697" i="36"/>
  <c r="BG516" i="36"/>
  <c r="AQ521" i="36"/>
  <c r="AU537" i="36"/>
  <c r="AU556" i="36"/>
  <c r="BC563" i="36"/>
  <c r="AY574" i="36"/>
  <c r="BC604" i="36"/>
  <c r="AU607" i="36"/>
  <c r="AY609" i="36"/>
  <c r="AU616" i="36"/>
  <c r="BG625" i="36"/>
  <c r="BG645" i="36"/>
  <c r="BG661" i="36"/>
  <c r="BG675" i="36"/>
  <c r="AY678" i="36"/>
  <c r="AU687" i="36"/>
  <c r="AQ694" i="36"/>
  <c r="BG593" i="36"/>
  <c r="AU604" i="36"/>
  <c r="AY627" i="36"/>
  <c r="AQ632" i="36"/>
  <c r="AY634" i="36"/>
  <c r="AY656" i="36"/>
  <c r="AU668" i="36"/>
  <c r="AQ679" i="36"/>
  <c r="AQ686" i="36"/>
  <c r="BG695" i="36"/>
  <c r="BG699" i="36"/>
  <c r="AY622" i="36"/>
  <c r="BG628" i="36"/>
  <c r="BC633" i="36"/>
  <c r="BG638" i="36"/>
  <c r="BC641" i="36"/>
  <c r="AQ648" i="36"/>
  <c r="AU654" i="36"/>
  <c r="BG662" i="36"/>
  <c r="AY663" i="36"/>
  <c r="AQ665" i="36"/>
  <c r="BC677" i="36"/>
  <c r="BG687" i="36"/>
  <c r="AY689" i="36"/>
  <c r="AU696" i="36"/>
  <c r="AU697" i="36"/>
  <c r="BC697" i="36"/>
  <c r="AU701" i="36"/>
  <c r="T92" i="11"/>
  <c r="AT67" i="12"/>
  <c r="T104" i="11"/>
  <c r="I15" i="33"/>
  <c r="I11" i="6"/>
  <c r="I18" i="33"/>
  <c r="I40" i="6"/>
  <c r="I41" i="6"/>
  <c r="I48" i="6"/>
  <c r="I69" i="33"/>
  <c r="I53" i="33"/>
  <c r="I63" i="6"/>
  <c r="I52" i="6"/>
  <c r="I81" i="33"/>
  <c r="I61" i="33"/>
  <c r="I65" i="6"/>
  <c r="I56" i="6"/>
  <c r="I64" i="33"/>
  <c r="I72" i="33"/>
  <c r="I54" i="6"/>
  <c r="I49" i="33"/>
  <c r="I43" i="33"/>
  <c r="I34" i="6"/>
  <c r="I34" i="33"/>
  <c r="I22" i="7"/>
  <c r="I50" i="6"/>
  <c r="I24" i="7"/>
  <c r="I31" i="4"/>
  <c r="I65" i="33"/>
  <c r="I84" i="33"/>
  <c r="I49" i="6"/>
  <c r="I82" i="6"/>
  <c r="I86" i="6"/>
  <c r="I24" i="33"/>
  <c r="I59" i="33"/>
  <c r="T94" i="11"/>
  <c r="T102" i="11"/>
  <c r="T86" i="11"/>
  <c r="T88" i="11"/>
  <c r="T96" i="11"/>
  <c r="DD24" i="12"/>
  <c r="T90" i="11"/>
  <c r="T98" i="11"/>
  <c r="AW3" i="12"/>
  <c r="DD22" i="12"/>
  <c r="S103" i="11"/>
  <c r="T78" i="11"/>
  <c r="I22" i="6"/>
  <c r="I36" i="33"/>
  <c r="I45" i="6"/>
  <c r="I26" i="4"/>
  <c r="I46" i="6"/>
  <c r="I29" i="4"/>
  <c r="I9" i="33"/>
  <c r="I22" i="33"/>
  <c r="I23" i="33"/>
  <c r="I18" i="6"/>
  <c r="I8" i="7"/>
  <c r="I17" i="6"/>
  <c r="I24" i="6"/>
  <c r="I13" i="7"/>
  <c r="I32" i="33"/>
  <c r="I37" i="6"/>
  <c r="I11" i="7"/>
  <c r="I12" i="4"/>
  <c r="I33" i="6"/>
  <c r="I12" i="7"/>
  <c r="I41" i="33"/>
  <c r="I39" i="6"/>
  <c r="I39" i="33"/>
  <c r="I57" i="33"/>
  <c r="I38" i="6"/>
  <c r="I42" i="6"/>
  <c r="I52" i="33"/>
  <c r="I46" i="33"/>
  <c r="I71" i="6"/>
  <c r="I20" i="7"/>
  <c r="I68" i="33"/>
  <c r="I17" i="7"/>
  <c r="I19" i="7"/>
  <c r="I90" i="6"/>
  <c r="I55" i="33"/>
  <c r="I77" i="33"/>
  <c r="I16" i="33"/>
  <c r="I17" i="33"/>
  <c r="I25" i="33"/>
  <c r="I30" i="33"/>
  <c r="I30" i="6"/>
  <c r="I27" i="6"/>
  <c r="I69" i="6"/>
  <c r="I25" i="4"/>
  <c r="I51" i="33"/>
  <c r="I25" i="7"/>
  <c r="I88" i="6"/>
  <c r="I80" i="33"/>
  <c r="I21" i="6"/>
  <c r="I8" i="33"/>
  <c r="I11" i="33"/>
  <c r="I19" i="33"/>
  <c r="I10" i="6"/>
  <c r="I7" i="7"/>
  <c r="I13" i="6"/>
  <c r="I16" i="6"/>
  <c r="I7" i="4"/>
  <c r="L197" i="11" s="1"/>
  <c r="I21" i="33"/>
  <c r="I20" i="6"/>
  <c r="I26" i="6"/>
  <c r="I8" i="4"/>
  <c r="L198" i="11" s="1"/>
  <c r="I35" i="33"/>
  <c r="I28" i="6"/>
  <c r="I32" i="6"/>
  <c r="I45" i="33"/>
  <c r="I62" i="6"/>
  <c r="I38" i="33"/>
  <c r="I57" i="6"/>
  <c r="I11" i="4"/>
  <c r="I48" i="33"/>
  <c r="I22" i="4"/>
  <c r="I43" i="6"/>
  <c r="I14" i="4"/>
  <c r="I42" i="33"/>
  <c r="I59" i="6"/>
  <c r="I82" i="33"/>
  <c r="I44" i="6"/>
  <c r="I72" i="6"/>
  <c r="I58" i="6"/>
  <c r="I26" i="7"/>
  <c r="I24" i="4"/>
  <c r="I70" i="6"/>
  <c r="I21" i="7"/>
  <c r="I68" i="6"/>
  <c r="I73" i="6"/>
  <c r="AA4" i="12"/>
  <c r="T70" i="11"/>
  <c r="J23" i="13"/>
  <c r="AU228" i="36"/>
  <c r="AY229" i="36"/>
  <c r="BC233" i="36"/>
  <c r="BG234" i="36"/>
  <c r="AY235" i="36"/>
  <c r="BC237" i="36"/>
  <c r="BC242" i="36"/>
  <c r="AU243" i="36"/>
  <c r="BC248" i="36"/>
  <c r="AQ250" i="36"/>
  <c r="BC250" i="36"/>
  <c r="AU251" i="36"/>
  <c r="AQ257" i="36"/>
  <c r="AU266" i="36"/>
  <c r="AU272" i="36"/>
  <c r="AY277" i="36"/>
  <c r="AQ282" i="36"/>
  <c r="BC282" i="36"/>
  <c r="AY288" i="36"/>
  <c r="AU296" i="36"/>
  <c r="AU298" i="36"/>
  <c r="BC302" i="36"/>
  <c r="BG309" i="36"/>
  <c r="BG313" i="36"/>
  <c r="BC324" i="36"/>
  <c r="AY334" i="36"/>
  <c r="BG343" i="36"/>
  <c r="BG345" i="36"/>
  <c r="AY350" i="36"/>
  <c r="BG353" i="36"/>
  <c r="AY355" i="36"/>
  <c r="AQ358" i="36"/>
  <c r="AY364" i="36"/>
  <c r="AQ368" i="36"/>
  <c r="AQ372" i="36"/>
  <c r="AQ394" i="36"/>
  <c r="AQ406" i="36"/>
  <c r="BG409" i="36"/>
  <c r="BG419" i="36"/>
  <c r="AY428" i="36"/>
  <c r="BC433" i="36"/>
  <c r="AQ443" i="36"/>
  <c r="BG451" i="36"/>
  <c r="BG454" i="36"/>
  <c r="BC457" i="36"/>
  <c r="BC466" i="36"/>
  <c r="AQ467" i="36"/>
  <c r="BC473" i="36"/>
  <c r="AY476" i="36"/>
  <c r="BG479" i="36"/>
  <c r="AY480" i="36"/>
  <c r="AY482" i="36"/>
  <c r="BC484" i="36"/>
  <c r="AY486" i="36"/>
  <c r="BG487" i="36"/>
  <c r="BG488" i="36"/>
  <c r="AY489" i="36"/>
  <c r="AQ491" i="36"/>
  <c r="AQ495" i="36"/>
  <c r="BC495" i="36"/>
  <c r="BC496" i="36"/>
  <c r="BG499" i="36"/>
  <c r="BC502" i="36"/>
  <c r="AY505" i="36"/>
  <c r="AY510" i="36"/>
  <c r="AY511" i="36"/>
  <c r="AU518" i="36"/>
  <c r="AU519" i="36"/>
  <c r="AQ524" i="36"/>
  <c r="AY525" i="36"/>
  <c r="BG528" i="36"/>
  <c r="AY535" i="36"/>
  <c r="AU536" i="36"/>
  <c r="BG536" i="36"/>
  <c r="AY542" i="36"/>
  <c r="AQ546" i="36"/>
  <c r="AY550" i="36"/>
  <c r="AQ554" i="36"/>
  <c r="BG555" i="36"/>
  <c r="BC572" i="36"/>
  <c r="AQ573" i="36"/>
  <c r="AQ576" i="36"/>
  <c r="AU586" i="36"/>
  <c r="AQ591" i="36"/>
  <c r="AY592" i="36"/>
  <c r="BG596" i="36"/>
  <c r="BG618" i="36"/>
  <c r="AY630" i="36"/>
  <c r="AY636" i="36"/>
  <c r="BG640" i="36"/>
  <c r="AY646" i="36"/>
  <c r="BC647" i="36"/>
  <c r="AQ649" i="36"/>
  <c r="AU653" i="36"/>
  <c r="BG655" i="36"/>
  <c r="AY657" i="36"/>
  <c r="BC660" i="36"/>
  <c r="AY662" i="36"/>
  <c r="BG674" i="36"/>
  <c r="BG678" i="36"/>
  <c r="BG691" i="36"/>
  <c r="AQ154" i="36"/>
  <c r="BG159" i="36"/>
  <c r="AU160" i="36"/>
  <c r="AU170" i="36"/>
  <c r="AY175" i="36"/>
  <c r="AU180" i="36"/>
  <c r="BG181" i="36"/>
  <c r="BG182" i="36"/>
  <c r="AQ203" i="36"/>
  <c r="AU206" i="36"/>
  <c r="AU207" i="36"/>
  <c r="BC210" i="36"/>
  <c r="AU211" i="36"/>
  <c r="BC220" i="36"/>
  <c r="AY221" i="36"/>
  <c r="BG225" i="36"/>
  <c r="AU2" i="36"/>
  <c r="BC2" i="36"/>
  <c r="AU3" i="36"/>
  <c r="BC4" i="36"/>
  <c r="BC5" i="36"/>
  <c r="BG6" i="36"/>
  <c r="AQ9" i="36"/>
  <c r="AY9" i="36"/>
  <c r="AU10" i="36"/>
  <c r="BC10" i="36"/>
  <c r="AU11" i="36"/>
  <c r="BC12" i="36"/>
  <c r="BC13" i="36"/>
  <c r="BG14" i="36"/>
  <c r="AQ17" i="36"/>
  <c r="AY17" i="36"/>
  <c r="AU18" i="36"/>
  <c r="BC18" i="36"/>
  <c r="AY20" i="36"/>
  <c r="AU21" i="36"/>
  <c r="AY24" i="36"/>
  <c r="AU25" i="36"/>
  <c r="AU29" i="36"/>
  <c r="AU33" i="36"/>
  <c r="AU37" i="36"/>
  <c r="AU41" i="36"/>
  <c r="AU45" i="36"/>
  <c r="AU49" i="36"/>
  <c r="AU53" i="36"/>
  <c r="AU57" i="36"/>
  <c r="AU61" i="36"/>
  <c r="AU65" i="36"/>
  <c r="AU69" i="36"/>
  <c r="AU73" i="36"/>
  <c r="BG85" i="36"/>
  <c r="BG86" i="36"/>
  <c r="AY88" i="36"/>
  <c r="AQ90" i="36"/>
  <c r="BC93" i="36"/>
  <c r="AQ106" i="36"/>
  <c r="BG106" i="36"/>
  <c r="AY107" i="36"/>
  <c r="AY108" i="36"/>
  <c r="AQ110" i="36"/>
  <c r="AU111" i="36"/>
  <c r="AY128" i="36"/>
  <c r="BC136" i="36"/>
  <c r="BC137" i="36"/>
  <c r="AU139" i="36"/>
  <c r="BC141" i="36"/>
  <c r="AQ146" i="36"/>
  <c r="AU147" i="36"/>
  <c r="BC154" i="36"/>
  <c r="AY160" i="36"/>
  <c r="AQ167" i="36"/>
  <c r="AU168" i="36"/>
  <c r="BG171" i="36"/>
  <c r="AQ173" i="36"/>
  <c r="BG191" i="36"/>
  <c r="AQ195" i="36"/>
  <c r="AU200" i="36"/>
  <c r="BC202" i="36"/>
  <c r="AU203" i="36"/>
  <c r="AY205" i="36"/>
  <c r="AY209" i="36"/>
  <c r="BG210" i="36"/>
  <c r="BG211" i="36"/>
  <c r="AY215" i="36"/>
  <c r="AY216" i="36"/>
  <c r="AQ222" i="36"/>
  <c r="BC222" i="36"/>
  <c r="BG226" i="36"/>
  <c r="BC229" i="36"/>
  <c r="BG230" i="36"/>
  <c r="AY236" i="36"/>
  <c r="AY241" i="36"/>
  <c r="BG242" i="36"/>
  <c r="BG243" i="36"/>
  <c r="BG250" i="36"/>
  <c r="AY251" i="36"/>
  <c r="BC252" i="36"/>
  <c r="AY253" i="36"/>
  <c r="AU255" i="36"/>
  <c r="BG258" i="36"/>
  <c r="BG267" i="36"/>
  <c r="AQ269" i="36"/>
  <c r="AU276" i="36"/>
  <c r="BC277" i="36"/>
  <c r="AU283" i="36"/>
  <c r="BG283" i="36"/>
  <c r="AQ291" i="36"/>
  <c r="AY296" i="36"/>
  <c r="AQ301" i="36"/>
  <c r="AU303" i="36"/>
  <c r="AQ305" i="36"/>
  <c r="BG315" i="36"/>
  <c r="BC330" i="36"/>
  <c r="BC334" i="36"/>
  <c r="BC338" i="36"/>
  <c r="AY342" i="36"/>
  <c r="AU347" i="36"/>
  <c r="BG347" i="36"/>
  <c r="BG348" i="36"/>
  <c r="AU358" i="36"/>
  <c r="AQ360" i="36"/>
  <c r="BG360" i="36"/>
  <c r="BG362" i="36"/>
  <c r="BG369" i="36"/>
  <c r="AU375" i="36"/>
  <c r="AQ378" i="36"/>
  <c r="AY382" i="36"/>
  <c r="AU384" i="36"/>
  <c r="AY387" i="36"/>
  <c r="BG389" i="36"/>
  <c r="AQ392" i="36"/>
  <c r="AQ393" i="36"/>
  <c r="BG401" i="36"/>
  <c r="BG408" i="36"/>
  <c r="AY409" i="36"/>
  <c r="BC422" i="36"/>
  <c r="AY424" i="36"/>
  <c r="BG426" i="36"/>
  <c r="AU439" i="36"/>
  <c r="BC443" i="36"/>
  <c r="BG446" i="36"/>
  <c r="BC452" i="36"/>
  <c r="AQ454" i="36"/>
  <c r="AY455" i="36"/>
  <c r="AQ466" i="36"/>
  <c r="AY470" i="36"/>
  <c r="AU471" i="36"/>
  <c r="BC474" i="36"/>
  <c r="AU479" i="36"/>
  <c r="BC481" i="36"/>
  <c r="AQ490" i="36"/>
  <c r="BC261" i="36"/>
  <c r="BG277" i="36"/>
  <c r="BG281" i="36"/>
  <c r="BG287" i="36"/>
  <c r="AQ295" i="36"/>
  <c r="BC296" i="36"/>
  <c r="BG299" i="36"/>
  <c r="AY303" i="36"/>
  <c r="AU304" i="36"/>
  <c r="AY309" i="36"/>
  <c r="AQ314" i="36"/>
  <c r="AY316" i="36"/>
  <c r="AQ318" i="36"/>
  <c r="AQ321" i="36"/>
  <c r="AY327" i="36"/>
  <c r="BC336" i="36"/>
  <c r="AQ338" i="36"/>
  <c r="BG338" i="36"/>
  <c r="BG339" i="36"/>
  <c r="AU340" i="36"/>
  <c r="BC342" i="36"/>
  <c r="AY343" i="36"/>
  <c r="AQ344" i="36"/>
  <c r="BG344" i="36"/>
  <c r="AY347" i="36"/>
  <c r="AY349" i="36"/>
  <c r="BG350" i="36"/>
  <c r="AQ352" i="36"/>
  <c r="BG357" i="36"/>
  <c r="AY358" i="36"/>
  <c r="AY361" i="36"/>
  <c r="AQ366" i="36"/>
  <c r="BG367" i="36"/>
  <c r="AY368" i="36"/>
  <c r="BC370" i="36"/>
  <c r="AQ371" i="36"/>
  <c r="AY372" i="36"/>
  <c r="BG374" i="36"/>
  <c r="AQ377" i="36"/>
  <c r="BC377" i="36"/>
  <c r="AQ379" i="36"/>
  <c r="BG393" i="36"/>
  <c r="AQ399" i="36"/>
  <c r="AY400" i="36"/>
  <c r="AQ410" i="36"/>
  <c r="AU417" i="36"/>
  <c r="AQ419" i="36"/>
  <c r="AU423" i="36"/>
  <c r="BC425" i="36"/>
  <c r="BC435" i="36"/>
  <c r="AY436" i="36"/>
  <c r="BG438" i="36"/>
  <c r="BG440" i="36"/>
  <c r="AU449" i="36"/>
  <c r="AQ451" i="36"/>
  <c r="AY460" i="36"/>
  <c r="AQ462" i="36"/>
  <c r="BG467" i="36"/>
  <c r="BC475" i="36"/>
  <c r="AQ480" i="36"/>
  <c r="AY483" i="36"/>
  <c r="BG485" i="36"/>
  <c r="AQ488" i="36"/>
  <c r="AQ489" i="36"/>
  <c r="BG497" i="36"/>
  <c r="BC517" i="36"/>
  <c r="AQ520" i="36"/>
  <c r="BG523" i="36"/>
  <c r="BG525" i="36"/>
  <c r="AQ539" i="36"/>
  <c r="BC539" i="36"/>
  <c r="BC541" i="36"/>
  <c r="AY546" i="36"/>
  <c r="BC554" i="36"/>
  <c r="AU555" i="36"/>
  <c r="AQ556" i="36"/>
  <c r="BC557" i="36"/>
  <c r="BG560" i="36"/>
  <c r="BG565" i="36"/>
  <c r="AY570" i="36"/>
  <c r="BG583" i="36"/>
  <c r="AQ585" i="36"/>
  <c r="AU590" i="36"/>
  <c r="AY594" i="36"/>
  <c r="AY596" i="36"/>
  <c r="BG600" i="36"/>
  <c r="AY602" i="36"/>
  <c r="AQ604" i="36"/>
  <c r="AY606" i="36"/>
  <c r="AY617" i="36"/>
  <c r="AQ621" i="36"/>
  <c r="BG621" i="36"/>
  <c r="BG624" i="36"/>
  <c r="BC628" i="36"/>
  <c r="BC632" i="36"/>
  <c r="AQ633" i="36"/>
  <c r="BG636" i="36"/>
  <c r="BC638" i="36"/>
  <c r="AQ639" i="36"/>
  <c r="AU642" i="36"/>
  <c r="AQ646" i="36"/>
  <c r="BG646" i="36"/>
  <c r="AU647" i="36"/>
  <c r="BC651" i="36"/>
  <c r="AQ654" i="36"/>
  <c r="AU660" i="36"/>
  <c r="AY677" i="36"/>
  <c r="BG683" i="36"/>
  <c r="BG698" i="36"/>
  <c r="AU148" i="36"/>
  <c r="BC149" i="36"/>
  <c r="BG153" i="36"/>
  <c r="AU155" i="36"/>
  <c r="AQ163" i="36"/>
  <c r="AY168" i="36"/>
  <c r="BC174" i="36"/>
  <c r="AY181" i="36"/>
  <c r="BG187" i="36"/>
  <c r="AU192" i="36"/>
  <c r="AY200" i="36"/>
  <c r="BG202" i="36"/>
  <c r="AY203" i="36"/>
  <c r="BC205" i="36"/>
  <c r="AY223" i="36"/>
  <c r="BG229" i="36"/>
  <c r="AQ235" i="36"/>
  <c r="AU238" i="36"/>
  <c r="AU248" i="36"/>
  <c r="BG249" i="36"/>
  <c r="BC253" i="36"/>
  <c r="AY255" i="36"/>
  <c r="AY5" i="36"/>
  <c r="BC6" i="36"/>
  <c r="AY13" i="36"/>
  <c r="BC14" i="36"/>
  <c r="AQ77" i="36"/>
  <c r="BG82" i="36"/>
  <c r="BC85" i="36"/>
  <c r="BC88" i="36"/>
  <c r="AU90" i="36"/>
  <c r="BG102" i="36"/>
  <c r="AU107" i="36"/>
  <c r="AY112" i="36"/>
  <c r="AQ126" i="36"/>
  <c r="AY136" i="36"/>
  <c r="AQ137" i="36"/>
  <c r="BG138" i="36"/>
  <c r="AY139" i="36"/>
  <c r="AY140" i="36"/>
  <c r="AU143" i="36"/>
  <c r="BG146" i="36"/>
  <c r="AY147" i="36"/>
  <c r="AU149" i="36"/>
  <c r="BG155" i="36"/>
  <c r="BC168" i="36"/>
  <c r="AQ170" i="36"/>
  <c r="AU175" i="36"/>
  <c r="AU176" i="36"/>
  <c r="AQ177" i="36"/>
  <c r="BC181" i="36"/>
  <c r="AQ190" i="36"/>
  <c r="BC190" i="36"/>
  <c r="AY192" i="36"/>
  <c r="AQ199" i="36"/>
  <c r="BC200" i="36"/>
  <c r="AQ201" i="36"/>
  <c r="BC201" i="36"/>
  <c r="AY204" i="36"/>
  <c r="AQ210" i="36"/>
  <c r="AQ211" i="36"/>
  <c r="BC234" i="36"/>
  <c r="AU235" i="36"/>
  <c r="AY237" i="36"/>
  <c r="AQ242" i="36"/>
  <c r="AQ243" i="36"/>
  <c r="AY248" i="36"/>
  <c r="AQ251" i="36"/>
  <c r="AQ266" i="36"/>
  <c r="AQ273" i="36"/>
  <c r="BG278" i="36"/>
  <c r="AU288" i="36"/>
  <c r="AQ298" i="36"/>
  <c r="AU308" i="36"/>
  <c r="BC309" i="36"/>
  <c r="AQ311" i="36"/>
  <c r="BC313" i="36"/>
  <c r="AU314" i="36"/>
  <c r="BC316" i="36"/>
  <c r="AQ317" i="36"/>
  <c r="AU318" i="36"/>
  <c r="BG322" i="36"/>
  <c r="AU335" i="36"/>
  <c r="BG342" i="36"/>
  <c r="BC353" i="36"/>
  <c r="AU355" i="36"/>
  <c r="AU356" i="36"/>
  <c r="BC365" i="36"/>
  <c r="AU367" i="36"/>
  <c r="AQ370" i="36"/>
  <c r="AQ374" i="36"/>
  <c r="BG380" i="36"/>
  <c r="BC388" i="36"/>
  <c r="AY390" i="36"/>
  <c r="BG391" i="36"/>
  <c r="BG392" i="36"/>
  <c r="AY393" i="36"/>
  <c r="AQ395" i="36"/>
  <c r="AQ402" i="36"/>
  <c r="AY407" i="36"/>
  <c r="AQ408" i="36"/>
  <c r="AQ409" i="36"/>
  <c r="BG410" i="36"/>
  <c r="AQ431" i="36"/>
  <c r="AY432" i="36"/>
  <c r="BG434" i="36"/>
  <c r="AQ438" i="36"/>
  <c r="AQ445" i="36"/>
  <c r="AY456" i="36"/>
  <c r="BG458" i="36"/>
  <c r="BC461" i="36"/>
  <c r="AU465" i="36"/>
  <c r="BG465" i="36"/>
  <c r="AU469" i="36"/>
  <c r="AY477" i="36"/>
  <c r="AY478" i="36"/>
  <c r="BG489" i="36"/>
  <c r="AU334" i="36"/>
  <c r="BG337" i="36"/>
  <c r="AQ339" i="36"/>
  <c r="AU342" i="36"/>
  <c r="AU345" i="36"/>
  <c r="AU348" i="36"/>
  <c r="BC356" i="36"/>
  <c r="BG359" i="36"/>
  <c r="AU361" i="36"/>
  <c r="AY365" i="36"/>
  <c r="AY366" i="36"/>
  <c r="AY370" i="36"/>
  <c r="AU372" i="36"/>
  <c r="AU390" i="36"/>
  <c r="BC392" i="36"/>
  <c r="AU393" i="36"/>
  <c r="BC408" i="36"/>
  <c r="AU409" i="36"/>
  <c r="AQ413" i="36"/>
  <c r="BC416" i="36"/>
  <c r="BC426" i="36"/>
  <c r="AQ439" i="36"/>
  <c r="BG443" i="36"/>
  <c r="BC448" i="36"/>
  <c r="AQ461" i="36"/>
  <c r="AY466" i="36"/>
  <c r="AU476" i="36"/>
  <c r="BG476" i="36"/>
  <c r="AU486" i="36"/>
  <c r="BC488" i="36"/>
  <c r="AU489" i="36"/>
  <c r="AU491" i="36"/>
  <c r="BC500" i="36"/>
  <c r="AY504" i="36"/>
  <c r="BC513" i="36"/>
  <c r="BG514" i="36"/>
  <c r="AY515" i="36"/>
  <c r="AQ522" i="36"/>
  <c r="AQ523" i="36"/>
  <c r="BG524" i="36"/>
  <c r="BG529" i="36"/>
  <c r="AU531" i="36"/>
  <c r="AQ540" i="36"/>
  <c r="BG544" i="36"/>
  <c r="AY549" i="36"/>
  <c r="AQ552" i="36"/>
  <c r="AU563" i="36"/>
  <c r="BG563" i="36"/>
  <c r="AY571" i="36"/>
  <c r="AY598" i="36"/>
  <c r="AU601" i="36"/>
  <c r="AY603" i="36"/>
  <c r="AU605" i="36"/>
  <c r="BG607" i="36"/>
  <c r="AY614" i="36"/>
  <c r="BC615" i="36"/>
  <c r="AY338" i="36"/>
  <c r="AU341" i="36"/>
  <c r="BC344" i="36"/>
  <c r="BG351" i="36"/>
  <c r="BC360" i="36"/>
  <c r="BG361" i="36"/>
  <c r="BC367" i="36"/>
  <c r="AU368" i="36"/>
  <c r="AQ375" i="36"/>
  <c r="AQ384" i="36"/>
  <c r="AQ404" i="36"/>
  <c r="BG417" i="36"/>
  <c r="AQ429" i="36"/>
  <c r="BC434" i="36"/>
  <c r="AY435" i="36"/>
  <c r="AU442" i="36"/>
  <c r="AY443" i="36"/>
  <c r="BG449" i="36"/>
  <c r="BC458" i="36"/>
  <c r="BC464" i="36"/>
  <c r="BG469" i="36"/>
  <c r="AU470" i="36"/>
  <c r="BC479" i="36"/>
  <c r="AU480" i="36"/>
  <c r="BC501" i="36"/>
  <c r="BG503" i="36"/>
  <c r="BC506" i="36"/>
  <c r="AQ507" i="36"/>
  <c r="AQ515" i="36"/>
  <c r="AQ516" i="36"/>
  <c r="AY521" i="36"/>
  <c r="BG522" i="36"/>
  <c r="AY523" i="36"/>
  <c r="AQ530" i="36"/>
  <c r="BG533" i="36"/>
  <c r="AU538" i="36"/>
  <c r="AY544" i="36"/>
  <c r="BG549" i="36"/>
  <c r="BG556" i="36"/>
  <c r="AQ564" i="36"/>
  <c r="BC568" i="36"/>
  <c r="AY575" i="36"/>
  <c r="BC577" i="36"/>
  <c r="AU579" i="36"/>
  <c r="BG579" i="36"/>
  <c r="BG581" i="36"/>
  <c r="AU589" i="36"/>
  <c r="BC595" i="36"/>
  <c r="AQ598" i="36"/>
  <c r="AU610" i="36"/>
  <c r="AQ614" i="36"/>
  <c r="BG614" i="36"/>
  <c r="AU615" i="36"/>
  <c r="BG616" i="36"/>
  <c r="AQ496" i="36"/>
  <c r="AY501" i="36"/>
  <c r="BG504" i="36"/>
  <c r="BC514" i="36"/>
  <c r="AU515" i="36"/>
  <c r="BC522" i="36"/>
  <c r="AU523" i="36"/>
  <c r="BC524" i="36"/>
  <c r="BG531" i="36"/>
  <c r="AQ543" i="36"/>
  <c r="BC544" i="36"/>
  <c r="BG547" i="36"/>
  <c r="BC549" i="36"/>
  <c r="AY553" i="36"/>
  <c r="BG554" i="36"/>
  <c r="BC556" i="36"/>
  <c r="AY557" i="36"/>
  <c r="AQ562" i="36"/>
  <c r="BC562" i="36"/>
  <c r="BG570" i="36"/>
  <c r="BG577" i="36"/>
  <c r="AU584" i="36"/>
  <c r="BC589" i="36"/>
  <c r="BC596" i="36"/>
  <c r="AY597" i="36"/>
  <c r="BG599" i="36"/>
  <c r="AU600" i="36"/>
  <c r="AQ601" i="36"/>
  <c r="BC605" i="36"/>
  <c r="BC614" i="36"/>
  <c r="BG615" i="36"/>
  <c r="BC619" i="36"/>
  <c r="BC635" i="36"/>
  <c r="BG664" i="36"/>
  <c r="AU671" i="36"/>
  <c r="AU672" i="36"/>
  <c r="AY680" i="36"/>
  <c r="AQ687" i="36"/>
  <c r="AY692" i="36"/>
  <c r="AY493" i="36"/>
  <c r="BG495" i="36"/>
  <c r="AU497" i="36"/>
  <c r="AY517" i="36"/>
  <c r="BC525" i="36"/>
  <c r="BC530" i="36"/>
  <c r="BC534" i="36"/>
  <c r="AU542" i="36"/>
  <c r="AU544" i="36"/>
  <c r="AU546" i="36"/>
  <c r="AU550" i="36"/>
  <c r="AU551" i="36"/>
  <c r="AQ555" i="36"/>
  <c r="BG557" i="36"/>
  <c r="BG561" i="36"/>
  <c r="AQ578" i="36"/>
  <c r="BC578" i="36"/>
  <c r="AQ587" i="36"/>
  <c r="AU598" i="36"/>
  <c r="BG601" i="36"/>
  <c r="BG602" i="36"/>
  <c r="AU614" i="36"/>
  <c r="AY615" i="36"/>
  <c r="AU621" i="36"/>
  <c r="AY626" i="36"/>
  <c r="AU629" i="36"/>
  <c r="AY631" i="36"/>
  <c r="AY650" i="36"/>
  <c r="BG668" i="36"/>
  <c r="AQ673" i="36"/>
  <c r="AQ674" i="36"/>
  <c r="BG690" i="36"/>
  <c r="BC694" i="36"/>
  <c r="BG617" i="36"/>
  <c r="AU623" i="36"/>
  <c r="BG623" i="36"/>
  <c r="BG630" i="36"/>
  <c r="AU636" i="36"/>
  <c r="AU639" i="36"/>
  <c r="AU646" i="36"/>
  <c r="AY647" i="36"/>
  <c r="BG650" i="36"/>
  <c r="AY668" i="36"/>
  <c r="BG669" i="36"/>
  <c r="BC673" i="36"/>
  <c r="BC674" i="36"/>
  <c r="AY676" i="36"/>
  <c r="AQ678" i="36"/>
  <c r="AY685" i="36"/>
  <c r="AU693" i="36"/>
  <c r="AU611" i="36"/>
  <c r="AQ615" i="36"/>
  <c r="BC616" i="36"/>
  <c r="AQ622" i="36"/>
  <c r="AY625" i="36"/>
  <c r="BC636" i="36"/>
  <c r="AQ638" i="36"/>
  <c r="BC646" i="36"/>
  <c r="BG647" i="36"/>
  <c r="AY649" i="36"/>
  <c r="AQ653" i="36"/>
  <c r="BC655" i="36"/>
  <c r="AU657" i="36"/>
  <c r="AU658" i="36"/>
  <c r="AU662" i="36"/>
  <c r="AY672" i="36"/>
  <c r="BC675" i="36"/>
  <c r="AU681" i="36"/>
  <c r="AU684" i="36"/>
  <c r="AU689" i="36"/>
  <c r="BC690" i="36"/>
  <c r="AU692" i="36"/>
  <c r="AU695" i="36"/>
  <c r="AU700" i="36"/>
  <c r="AQ641" i="36"/>
  <c r="BG649" i="36"/>
  <c r="BC670" i="36"/>
  <c r="AU643" i="36"/>
  <c r="AQ647" i="36"/>
  <c r="BC648" i="36"/>
  <c r="AY687" i="36"/>
  <c r="BC701" i="36"/>
  <c r="CX16" i="12"/>
  <c r="S69" i="11"/>
  <c r="S72" i="11"/>
  <c r="S76" i="11"/>
  <c r="S79" i="11"/>
  <c r="S83" i="11"/>
  <c r="P8" i="12"/>
  <c r="CX15" i="12"/>
  <c r="CX17" i="12"/>
  <c r="CX21" i="12"/>
  <c r="CX23" i="12"/>
  <c r="S66" i="11"/>
  <c r="S70" i="11"/>
  <c r="S73" i="11"/>
  <c r="S77" i="11"/>
  <c r="S80" i="11"/>
  <c r="CX14" i="12"/>
  <c r="CX20" i="12"/>
  <c r="CX19" i="12"/>
  <c r="S64" i="11"/>
  <c r="S68" i="11"/>
  <c r="S71" i="11"/>
  <c r="S75" i="11"/>
  <c r="S82" i="11"/>
  <c r="CX18" i="12"/>
  <c r="T64" i="11"/>
  <c r="T74" i="11"/>
  <c r="T76" i="11"/>
  <c r="T65" i="11"/>
  <c r="T66" i="11"/>
  <c r="T82" i="11"/>
  <c r="T83" i="11"/>
  <c r="T81" i="11"/>
  <c r="T79" i="11"/>
  <c r="T77" i="11"/>
  <c r="T75" i="11"/>
  <c r="T73" i="11"/>
  <c r="T71" i="11"/>
  <c r="T69" i="11"/>
  <c r="T67" i="11"/>
  <c r="T72" i="11"/>
  <c r="T80" i="11"/>
  <c r="T68" i="11"/>
  <c r="S87" i="11"/>
  <c r="AI63" i="12"/>
  <c r="S94" i="11"/>
  <c r="AL3" i="12"/>
  <c r="S105" i="11"/>
  <c r="S100" i="11"/>
  <c r="S97" i="11"/>
  <c r="S92" i="11"/>
  <c r="S89" i="11"/>
  <c r="S88" i="11"/>
  <c r="S101" i="11"/>
  <c r="S102" i="11"/>
  <c r="S91" i="11"/>
  <c r="S104" i="11"/>
  <c r="S86" i="11"/>
  <c r="S95" i="11"/>
  <c r="S90" i="11"/>
  <c r="S93" i="11"/>
  <c r="S96" i="11"/>
  <c r="S99" i="11"/>
  <c r="S98" i="11"/>
  <c r="DD6" i="12"/>
  <c r="DD7" i="12"/>
  <c r="DD14" i="12"/>
  <c r="DD23" i="12"/>
  <c r="DD5" i="12"/>
  <c r="DD10" i="12"/>
  <c r="DD13" i="12"/>
  <c r="DD17" i="12"/>
  <c r="DD11" i="12"/>
  <c r="DD18" i="12"/>
  <c r="T87" i="11"/>
  <c r="T89" i="11"/>
  <c r="T91" i="11"/>
  <c r="T93" i="11"/>
  <c r="T95" i="11"/>
  <c r="T97" i="11"/>
  <c r="T99" i="11"/>
  <c r="T101" i="11"/>
  <c r="T103" i="11"/>
  <c r="T105" i="11"/>
  <c r="DD4" i="12"/>
  <c r="DC4" i="12" s="1"/>
  <c r="AW5" i="12"/>
  <c r="DD9" i="12"/>
  <c r="DD12" i="12"/>
  <c r="DD16" i="12"/>
  <c r="DD20" i="12"/>
  <c r="DD21" i="12"/>
  <c r="DD8" i="12"/>
  <c r="DD15" i="12"/>
  <c r="DD19" i="12"/>
  <c r="X5" i="12"/>
  <c r="AI5" i="12"/>
  <c r="AT5" i="12"/>
  <c r="BH7" i="12"/>
  <c r="BJ7" i="12" s="1"/>
  <c r="BB10" i="12"/>
  <c r="BD10" i="12" s="1"/>
  <c r="M16" i="12"/>
  <c r="X16" i="12"/>
  <c r="AI16" i="12"/>
  <c r="AT16" i="12"/>
  <c r="M22" i="12"/>
  <c r="AI22" i="12"/>
  <c r="M33" i="12"/>
  <c r="AI33" i="12"/>
  <c r="BH36" i="12"/>
  <c r="BJ36" i="12" s="1"/>
  <c r="X38" i="12"/>
  <c r="AI38" i="12"/>
  <c r="X42" i="12"/>
  <c r="AI42" i="12"/>
  <c r="X46" i="12"/>
  <c r="AI46" i="12"/>
  <c r="X50" i="12"/>
  <c r="AT50" i="12"/>
  <c r="X55" i="12"/>
  <c r="AI55" i="12"/>
  <c r="X63" i="12"/>
  <c r="AT63" i="12"/>
  <c r="BB3" i="12"/>
  <c r="BD3" i="12" s="1"/>
  <c r="BB4" i="12"/>
  <c r="BD4" i="12" s="1"/>
  <c r="BH6" i="12"/>
  <c r="BJ6" i="12" s="1"/>
  <c r="BB7" i="12"/>
  <c r="BD7" i="12" s="1"/>
  <c r="BH10" i="12"/>
  <c r="BJ10" i="12" s="1"/>
  <c r="M11" i="12"/>
  <c r="X11" i="12"/>
  <c r="AI11" i="12"/>
  <c r="AT11" i="12"/>
  <c r="BB15" i="12"/>
  <c r="BD15" i="12" s="1"/>
  <c r="BH19" i="12"/>
  <c r="BJ19" i="12" s="1"/>
  <c r="M20" i="12"/>
  <c r="X20" i="12"/>
  <c r="AI20" i="12"/>
  <c r="AT20" i="12"/>
  <c r="BB34" i="12"/>
  <c r="BD34" i="12" s="1"/>
  <c r="AU4" i="36"/>
  <c r="AU12" i="36"/>
  <c r="BG20" i="36"/>
  <c r="BG24" i="36"/>
  <c r="BG28" i="36"/>
  <c r="BG32" i="36"/>
  <c r="BG36" i="36"/>
  <c r="BG40" i="36"/>
  <c r="BG44" i="36"/>
  <c r="BG48" i="36"/>
  <c r="BG52" i="36"/>
  <c r="BG56" i="36"/>
  <c r="BG60" i="36"/>
  <c r="BG64" i="36"/>
  <c r="BG68" i="36"/>
  <c r="BG72" i="36"/>
  <c r="BG76" i="36"/>
  <c r="I18" i="13"/>
  <c r="J7" i="13"/>
  <c r="I37" i="13"/>
  <c r="I26" i="13"/>
  <c r="J15" i="13"/>
  <c r="AQ91" i="36"/>
  <c r="AY101" i="36"/>
  <c r="BC118" i="36"/>
  <c r="BC121" i="36"/>
  <c r="AU126" i="36"/>
  <c r="BG129" i="36"/>
  <c r="BG134" i="36"/>
  <c r="BC152" i="36"/>
  <c r="BC157" i="36"/>
  <c r="BG169" i="36"/>
  <c r="AQ175" i="36"/>
  <c r="BG175" i="36"/>
  <c r="BC182" i="36"/>
  <c r="AQ183" i="36"/>
  <c r="BG197" i="36"/>
  <c r="AY208" i="36"/>
  <c r="AY219" i="36"/>
  <c r="AU227" i="36"/>
  <c r="AU231" i="36"/>
  <c r="BC399" i="36"/>
  <c r="AU404" i="36"/>
  <c r="X3" i="12"/>
  <c r="AI3" i="12"/>
  <c r="AT3" i="12"/>
  <c r="X4" i="12"/>
  <c r="AI4" i="12"/>
  <c r="AT4" i="12"/>
  <c r="BB5" i="12"/>
  <c r="BD5" i="12" s="1"/>
  <c r="M7" i="12"/>
  <c r="X7" i="12"/>
  <c r="AI7" i="12"/>
  <c r="AT7" i="12"/>
  <c r="BB8" i="12"/>
  <c r="BD8" i="12" s="1"/>
  <c r="BH12" i="12"/>
  <c r="BJ12" i="12" s="1"/>
  <c r="BH13" i="12"/>
  <c r="BJ13" i="12" s="1"/>
  <c r="M14" i="12"/>
  <c r="X14" i="12"/>
  <c r="AI14" i="12"/>
  <c r="AT14" i="12"/>
  <c r="BH14" i="12"/>
  <c r="BJ14" i="12" s="1"/>
  <c r="M15" i="12"/>
  <c r="X15" i="12"/>
  <c r="AI15" i="12"/>
  <c r="AT15" i="12"/>
  <c r="BB16" i="12"/>
  <c r="BD16" i="12" s="1"/>
  <c r="BB17" i="12"/>
  <c r="BD17" i="12" s="1"/>
  <c r="M21" i="12"/>
  <c r="X21" i="12"/>
  <c r="AI21" i="12"/>
  <c r="AT21" i="12"/>
  <c r="BH21" i="12"/>
  <c r="BJ21" i="12" s="1"/>
  <c r="BB22" i="12"/>
  <c r="BD22" i="12" s="1"/>
  <c r="BB23" i="12"/>
  <c r="BD23" i="12" s="1"/>
  <c r="BB24" i="12"/>
  <c r="BD24" i="12" s="1"/>
  <c r="BB26" i="12"/>
  <c r="BD26" i="12" s="1"/>
  <c r="BB28" i="12"/>
  <c r="BD28" i="12" s="1"/>
  <c r="BB30" i="12"/>
  <c r="BD30" i="12" s="1"/>
  <c r="X67" i="12"/>
  <c r="AI67" i="12"/>
  <c r="I13" i="13"/>
  <c r="BH3" i="12"/>
  <c r="BJ3" i="12" s="1"/>
  <c r="BH4" i="12"/>
  <c r="BJ4" i="12" s="1"/>
  <c r="BB6" i="12"/>
  <c r="BD6" i="12" s="1"/>
  <c r="BH15" i="12"/>
  <c r="BJ15" i="12" s="1"/>
  <c r="BB19" i="12"/>
  <c r="BD19" i="12" s="1"/>
  <c r="X22" i="12"/>
  <c r="AT22" i="12"/>
  <c r="BH32" i="12"/>
  <c r="BJ32" i="12" s="1"/>
  <c r="X33" i="12"/>
  <c r="AT33" i="12"/>
  <c r="M38" i="12"/>
  <c r="AT38" i="12"/>
  <c r="M42" i="12"/>
  <c r="AT42" i="12"/>
  <c r="M46" i="12"/>
  <c r="AT46" i="12"/>
  <c r="M50" i="12"/>
  <c r="AI50" i="12"/>
  <c r="M55" i="12"/>
  <c r="AT55" i="12"/>
  <c r="M3" i="12"/>
  <c r="AT66" i="12"/>
  <c r="AI66" i="12"/>
  <c r="X66" i="12"/>
  <c r="AT62" i="12"/>
  <c r="AI62" i="12"/>
  <c r="X62" i="12"/>
  <c r="AT58" i="12"/>
  <c r="AI58" i="12"/>
  <c r="X58" i="12"/>
  <c r="AT54" i="12"/>
  <c r="AI54" i="12"/>
  <c r="X54" i="12"/>
  <c r="M54" i="12"/>
  <c r="AT49" i="12"/>
  <c r="AI49" i="12"/>
  <c r="X49" i="12"/>
  <c r="M49" i="12"/>
  <c r="AT45" i="12"/>
  <c r="AI45" i="12"/>
  <c r="X45" i="12"/>
  <c r="M45" i="12"/>
  <c r="AT41" i="12"/>
  <c r="AI41" i="12"/>
  <c r="X41" i="12"/>
  <c r="M41" i="12"/>
  <c r="AT37" i="12"/>
  <c r="AI37" i="12"/>
  <c r="X37" i="12"/>
  <c r="M37" i="12"/>
  <c r="BB33" i="12"/>
  <c r="BD33" i="12" s="1"/>
  <c r="AT32" i="12"/>
  <c r="AI32" i="12"/>
  <c r="X32" i="12"/>
  <c r="M32" i="12"/>
  <c r="BH31" i="12"/>
  <c r="BJ31" i="12" s="1"/>
  <c r="BB29" i="12"/>
  <c r="BD29" i="12" s="1"/>
  <c r="AT28" i="12"/>
  <c r="AI28" i="12"/>
  <c r="X28" i="12"/>
  <c r="M28" i="12"/>
  <c r="BH27" i="12"/>
  <c r="BJ27" i="12" s="1"/>
  <c r="BB25" i="12"/>
  <c r="BD25" i="12" s="1"/>
  <c r="AT24" i="12"/>
  <c r="AI24" i="12"/>
  <c r="X24" i="12"/>
  <c r="M24" i="12"/>
  <c r="AT23" i="12"/>
  <c r="AI23" i="12"/>
  <c r="X23" i="12"/>
  <c r="M23" i="12"/>
  <c r="BH22" i="12"/>
  <c r="BJ22" i="12" s="1"/>
  <c r="BB21" i="12"/>
  <c r="BD21" i="12" s="1"/>
  <c r="BH20" i="12"/>
  <c r="BJ20" i="12" s="1"/>
  <c r="BB18" i="12"/>
  <c r="BD18" i="12" s="1"/>
  <c r="AT17" i="12"/>
  <c r="AI17" i="12"/>
  <c r="X17" i="12"/>
  <c r="M17" i="12"/>
  <c r="BH16" i="12"/>
  <c r="BJ16" i="12" s="1"/>
  <c r="BB14" i="12"/>
  <c r="BD14" i="12" s="1"/>
  <c r="AT13" i="12"/>
  <c r="AI13" i="12"/>
  <c r="X13" i="12"/>
  <c r="M13" i="12"/>
  <c r="AT12" i="12"/>
  <c r="AI12" i="12"/>
  <c r="X12" i="12"/>
  <c r="M12" i="12"/>
  <c r="BH11" i="12"/>
  <c r="BJ11" i="12" s="1"/>
  <c r="BB9" i="12"/>
  <c r="BD9" i="12" s="1"/>
  <c r="AT8" i="12"/>
  <c r="AI8" i="12"/>
  <c r="X8" i="12"/>
  <c r="M8" i="12"/>
  <c r="AT65" i="12"/>
  <c r="AI65" i="12"/>
  <c r="X65" i="12"/>
  <c r="AT61" i="12"/>
  <c r="AI61" i="12"/>
  <c r="X61" i="12"/>
  <c r="AT57" i="12"/>
  <c r="AI57" i="12"/>
  <c r="X57" i="12"/>
  <c r="M57" i="12"/>
  <c r="AT53" i="12"/>
  <c r="AI53" i="12"/>
  <c r="X53" i="12"/>
  <c r="M53" i="12"/>
  <c r="AT48" i="12"/>
  <c r="AI48" i="12"/>
  <c r="X48" i="12"/>
  <c r="M48" i="12"/>
  <c r="AT44" i="12"/>
  <c r="AI44" i="12"/>
  <c r="X44" i="12"/>
  <c r="M44" i="12"/>
  <c r="AT40" i="12"/>
  <c r="AI40" i="12"/>
  <c r="X40" i="12"/>
  <c r="M40" i="12"/>
  <c r="AT35" i="12"/>
  <c r="AI35" i="12"/>
  <c r="X35" i="12"/>
  <c r="M35" i="12"/>
  <c r="BH34" i="12"/>
  <c r="BJ34" i="12" s="1"/>
  <c r="BB32" i="12"/>
  <c r="BD32" i="12" s="1"/>
  <c r="AT31" i="12"/>
  <c r="AI31" i="12"/>
  <c r="X31" i="12"/>
  <c r="M31" i="12"/>
  <c r="AI177" i="12"/>
  <c r="AI176" i="12"/>
  <c r="AI175" i="12"/>
  <c r="AI174" i="12"/>
  <c r="AI173" i="12"/>
  <c r="AI172" i="12"/>
  <c r="AI171" i="12"/>
  <c r="AI170" i="12"/>
  <c r="AI169" i="12"/>
  <c r="AI168" i="12"/>
  <c r="AI167" i="12"/>
  <c r="AI166" i="12"/>
  <c r="AI165" i="12"/>
  <c r="AI164" i="12"/>
  <c r="AI163" i="12"/>
  <c r="AI162" i="12"/>
  <c r="AI161" i="12"/>
  <c r="AI160" i="12"/>
  <c r="AI159" i="12"/>
  <c r="AI158" i="12"/>
  <c r="AI157" i="12"/>
  <c r="AI156" i="12"/>
  <c r="AI155" i="12"/>
  <c r="AI154" i="12"/>
  <c r="AI153" i="12"/>
  <c r="AI152" i="12"/>
  <c r="AI151" i="12"/>
  <c r="AI150" i="12"/>
  <c r="AI149" i="12"/>
  <c r="AI148" i="12"/>
  <c r="AI147" i="12"/>
  <c r="AI146" i="12"/>
  <c r="AI145" i="12"/>
  <c r="AI144" i="12"/>
  <c r="AI143" i="12"/>
  <c r="AI142" i="12"/>
  <c r="AI141" i="12"/>
  <c r="AI140" i="12"/>
  <c r="AI139" i="12"/>
  <c r="AI138" i="12"/>
  <c r="AI137" i="12"/>
  <c r="AI136" i="12"/>
  <c r="AI135" i="12"/>
  <c r="X135" i="12"/>
  <c r="AI134" i="12"/>
  <c r="X134" i="12"/>
  <c r="AI133" i="12"/>
  <c r="X133" i="12"/>
  <c r="AI132" i="12"/>
  <c r="X132" i="12"/>
  <c r="AI131" i="12"/>
  <c r="X131" i="12"/>
  <c r="AI130" i="12"/>
  <c r="X130" i="12"/>
  <c r="AI129" i="12"/>
  <c r="X129" i="12"/>
  <c r="AI128" i="12"/>
  <c r="X128" i="12"/>
  <c r="AI127" i="12"/>
  <c r="X127" i="12"/>
  <c r="AI126" i="12"/>
  <c r="X126" i="12"/>
  <c r="AI125" i="12"/>
  <c r="X125" i="12"/>
  <c r="AI124" i="12"/>
  <c r="X124" i="12"/>
  <c r="AI123" i="12"/>
  <c r="X123" i="12"/>
  <c r="AI122" i="12"/>
  <c r="X122" i="12"/>
  <c r="AI121" i="12"/>
  <c r="X121" i="12"/>
  <c r="AI120" i="12"/>
  <c r="X120" i="12"/>
  <c r="AI119" i="12"/>
  <c r="X119" i="12"/>
  <c r="AI118" i="12"/>
  <c r="X118" i="12"/>
  <c r="AI117" i="12"/>
  <c r="X117" i="12"/>
  <c r="AI116" i="12"/>
  <c r="X116" i="12"/>
  <c r="AI115" i="12"/>
  <c r="X115" i="12"/>
  <c r="AI114" i="12"/>
  <c r="X114" i="12"/>
  <c r="AI113" i="12"/>
  <c r="X113" i="12"/>
  <c r="AI112" i="12"/>
  <c r="X112" i="12"/>
  <c r="AI111" i="12"/>
  <c r="X111" i="12"/>
  <c r="AI110" i="12"/>
  <c r="X110" i="12"/>
  <c r="AI109" i="12"/>
  <c r="X109" i="12"/>
  <c r="AI108" i="12"/>
  <c r="X108" i="12"/>
  <c r="AI107" i="12"/>
  <c r="X107" i="12"/>
  <c r="AI106" i="12"/>
  <c r="X106" i="12"/>
  <c r="AI105" i="12"/>
  <c r="X105" i="12"/>
  <c r="AI104" i="12"/>
  <c r="X104" i="12"/>
  <c r="AI103" i="12"/>
  <c r="X103" i="12"/>
  <c r="AI102" i="12"/>
  <c r="X102" i="12"/>
  <c r="AI101" i="12"/>
  <c r="X101" i="12"/>
  <c r="AI100" i="12"/>
  <c r="X100" i="12"/>
  <c r="AI99" i="12"/>
  <c r="X99" i="12"/>
  <c r="AI98" i="12"/>
  <c r="X98" i="12"/>
  <c r="AI97" i="12"/>
  <c r="X97" i="12"/>
  <c r="AI96" i="12"/>
  <c r="X96" i="12"/>
  <c r="AI95" i="12"/>
  <c r="X95" i="12"/>
  <c r="AI94" i="12"/>
  <c r="X94" i="12"/>
  <c r="AI93" i="12"/>
  <c r="X93" i="12"/>
  <c r="AI92" i="12"/>
  <c r="X92" i="12"/>
  <c r="AI91" i="12"/>
  <c r="X91" i="12"/>
  <c r="AI90" i="12"/>
  <c r="X90" i="12"/>
  <c r="AI89" i="12"/>
  <c r="X89" i="12"/>
  <c r="AI88" i="12"/>
  <c r="X88" i="12"/>
  <c r="AI87" i="12"/>
  <c r="X87" i="12"/>
  <c r="AI86" i="12"/>
  <c r="X86" i="12"/>
  <c r="AT85" i="12"/>
  <c r="AI85" i="12"/>
  <c r="X85" i="12"/>
  <c r="AT84" i="12"/>
  <c r="AI84" i="12"/>
  <c r="X84" i="12"/>
  <c r="AT83" i="12"/>
  <c r="AI83" i="12"/>
  <c r="X83" i="12"/>
  <c r="AT82" i="12"/>
  <c r="AI82" i="12"/>
  <c r="X82" i="12"/>
  <c r="AT81" i="12"/>
  <c r="AI81" i="12"/>
  <c r="X81" i="12"/>
  <c r="AT80" i="12"/>
  <c r="AI80" i="12"/>
  <c r="X80" i="12"/>
  <c r="AT79" i="12"/>
  <c r="AI79" i="12"/>
  <c r="X79" i="12"/>
  <c r="AT78" i="12"/>
  <c r="AI78" i="12"/>
  <c r="X78" i="12"/>
  <c r="AT77" i="12"/>
  <c r="AI77" i="12"/>
  <c r="X77" i="12"/>
  <c r="AT76" i="12"/>
  <c r="AI76" i="12"/>
  <c r="X76" i="12"/>
  <c r="AT75" i="12"/>
  <c r="AI75" i="12"/>
  <c r="X75" i="12"/>
  <c r="AT74" i="12"/>
  <c r="AI74" i="12"/>
  <c r="X74" i="12"/>
  <c r="AT73" i="12"/>
  <c r="AI73" i="12"/>
  <c r="X73" i="12"/>
  <c r="AT72" i="12"/>
  <c r="AI72" i="12"/>
  <c r="X72" i="12"/>
  <c r="AT71" i="12"/>
  <c r="AI71" i="12"/>
  <c r="X71" i="12"/>
  <c r="AT70" i="12"/>
  <c r="AI70" i="12"/>
  <c r="X70" i="12"/>
  <c r="AT69" i="12"/>
  <c r="AI69" i="12"/>
  <c r="X69" i="12"/>
  <c r="AT68" i="12"/>
  <c r="AI68" i="12"/>
  <c r="X68" i="12"/>
  <c r="AT64" i="12"/>
  <c r="AI64" i="12"/>
  <c r="X64" i="12"/>
  <c r="AT60" i="12"/>
  <c r="AI60" i="12"/>
  <c r="X60" i="12"/>
  <c r="AT56" i="12"/>
  <c r="AI56" i="12"/>
  <c r="X56" i="12"/>
  <c r="M56" i="12"/>
  <c r="AT52" i="12"/>
  <c r="AI52" i="12"/>
  <c r="X52" i="12"/>
  <c r="M52" i="12"/>
  <c r="AT51" i="12"/>
  <c r="AI51" i="12"/>
  <c r="X51" i="12"/>
  <c r="M51" i="12"/>
  <c r="AT47" i="12"/>
  <c r="AI47" i="12"/>
  <c r="X47" i="12"/>
  <c r="M47" i="12"/>
  <c r="AT43" i="12"/>
  <c r="AI43" i="12"/>
  <c r="X43" i="12"/>
  <c r="M43" i="12"/>
  <c r="AT39" i="12"/>
  <c r="AI39" i="12"/>
  <c r="X39" i="12"/>
  <c r="M39" i="12"/>
  <c r="AT36" i="12"/>
  <c r="AI36" i="12"/>
  <c r="X36" i="12"/>
  <c r="M36" i="12"/>
  <c r="BH35" i="12"/>
  <c r="BJ35" i="12" s="1"/>
  <c r="AT34" i="12"/>
  <c r="AI34" i="12"/>
  <c r="X34" i="12"/>
  <c r="M34" i="12"/>
  <c r="BH33" i="12"/>
  <c r="BJ33" i="12" s="1"/>
  <c r="BB31" i="12"/>
  <c r="BD31" i="12" s="1"/>
  <c r="AT30" i="12"/>
  <c r="AI30" i="12"/>
  <c r="X30" i="12"/>
  <c r="M30" i="12"/>
  <c r="BH29" i="12"/>
  <c r="BJ29" i="12" s="1"/>
  <c r="BB27" i="12"/>
  <c r="BD27" i="12" s="1"/>
  <c r="AT26" i="12"/>
  <c r="AI26" i="12"/>
  <c r="X26" i="12"/>
  <c r="M26" i="12"/>
  <c r="BH25" i="12"/>
  <c r="BJ25" i="12" s="1"/>
  <c r="BH5" i="12"/>
  <c r="BJ5" i="12" s="1"/>
  <c r="M6" i="12"/>
  <c r="X6" i="12"/>
  <c r="AI6" i="12"/>
  <c r="AT6" i="12"/>
  <c r="BH8" i="12"/>
  <c r="BJ8" i="12" s="1"/>
  <c r="M9" i="12"/>
  <c r="X9" i="12"/>
  <c r="AI9" i="12"/>
  <c r="AT9" i="12"/>
  <c r="BH9" i="12"/>
  <c r="BJ9" i="12" s="1"/>
  <c r="M10" i="12"/>
  <c r="X10" i="12"/>
  <c r="AI10" i="12"/>
  <c r="AT10" i="12"/>
  <c r="BB11" i="12"/>
  <c r="BD11" i="12" s="1"/>
  <c r="BB12" i="12"/>
  <c r="BD12" i="12" s="1"/>
  <c r="BB13" i="12"/>
  <c r="BD13" i="12" s="1"/>
  <c r="BH17" i="12"/>
  <c r="BJ17" i="12" s="1"/>
  <c r="M18" i="12"/>
  <c r="X18" i="12"/>
  <c r="AI18" i="12"/>
  <c r="AT18" i="12"/>
  <c r="BH18" i="12"/>
  <c r="BJ18" i="12" s="1"/>
  <c r="M19" i="12"/>
  <c r="X19" i="12"/>
  <c r="AI19" i="12"/>
  <c r="AT19" i="12"/>
  <c r="BB20" i="12"/>
  <c r="BD20" i="12" s="1"/>
  <c r="BH23" i="12"/>
  <c r="BJ23" i="12" s="1"/>
  <c r="BH24" i="12"/>
  <c r="BJ24" i="12" s="1"/>
  <c r="M25" i="12"/>
  <c r="X25" i="12"/>
  <c r="AI25" i="12"/>
  <c r="AT25" i="12"/>
  <c r="BH26" i="12"/>
  <c r="BJ26" i="12" s="1"/>
  <c r="M27" i="12"/>
  <c r="X27" i="12"/>
  <c r="AI27" i="12"/>
  <c r="AT27" i="12"/>
  <c r="BH28" i="12"/>
  <c r="BJ28" i="12" s="1"/>
  <c r="M29" i="12"/>
  <c r="X29" i="12"/>
  <c r="AI29" i="12"/>
  <c r="AT29" i="12"/>
  <c r="BH30" i="12"/>
  <c r="BJ30" i="12" s="1"/>
  <c r="X59" i="12"/>
  <c r="AI59" i="12"/>
  <c r="AT59" i="12"/>
  <c r="I34" i="13"/>
  <c r="BG8" i="36"/>
  <c r="BG16" i="36"/>
  <c r="BC19" i="36"/>
  <c r="I38" i="13"/>
  <c r="J35" i="13"/>
  <c r="I33" i="13"/>
  <c r="I30" i="13"/>
  <c r="J27" i="13"/>
  <c r="I25" i="13"/>
  <c r="I22" i="13"/>
  <c r="J19" i="13"/>
  <c r="I17" i="13"/>
  <c r="I14" i="13"/>
  <c r="J11" i="13"/>
  <c r="I9" i="13"/>
  <c r="BC23" i="36"/>
  <c r="BC27" i="36"/>
  <c r="BC31" i="36"/>
  <c r="BC35" i="36"/>
  <c r="BC39" i="36"/>
  <c r="BC43" i="36"/>
  <c r="BC47" i="36"/>
  <c r="BC51" i="36"/>
  <c r="BC55" i="36"/>
  <c r="BC59" i="36"/>
  <c r="BC63" i="36"/>
  <c r="BC67" i="36"/>
  <c r="BC71" i="36"/>
  <c r="BC75" i="36"/>
  <c r="BC82" i="36"/>
  <c r="AU87" i="36"/>
  <c r="BG89" i="36"/>
  <c r="BG90" i="36"/>
  <c r="AU94" i="36"/>
  <c r="AY95" i="36"/>
  <c r="AY96" i="36"/>
  <c r="BC113" i="36"/>
  <c r="AY148" i="36"/>
  <c r="AU152" i="36"/>
  <c r="BC162" i="36"/>
  <c r="AU166" i="36"/>
  <c r="AQ169" i="36"/>
  <c r="AY197" i="36"/>
  <c r="AY207" i="36"/>
  <c r="AQ219" i="36"/>
  <c r="AQ225" i="36"/>
  <c r="AQ258" i="36"/>
  <c r="BG259" i="36"/>
  <c r="BG263" i="36"/>
  <c r="AQ270" i="36"/>
  <c r="AY281" i="36"/>
  <c r="AU282" i="36"/>
  <c r="AQ322" i="36"/>
  <c r="BG323" i="36"/>
  <c r="BC398" i="36"/>
  <c r="AQ403" i="36"/>
  <c r="BC418" i="36"/>
  <c r="AY433" i="36"/>
  <c r="BC440" i="36"/>
  <c r="AU444" i="36"/>
  <c r="I29" i="13"/>
  <c r="R101" i="7"/>
  <c r="I36" i="13"/>
  <c r="AU8" i="36"/>
  <c r="AU16" i="36"/>
  <c r="AY22" i="36"/>
  <c r="AY26" i="36"/>
  <c r="AY30" i="36"/>
  <c r="AY34" i="36"/>
  <c r="AY38" i="36"/>
  <c r="AY42" i="36"/>
  <c r="AY46" i="36"/>
  <c r="AY50" i="36"/>
  <c r="AY54" i="36"/>
  <c r="AY58" i="36"/>
  <c r="AY62" i="36"/>
  <c r="AY66" i="36"/>
  <c r="AY70" i="36"/>
  <c r="AY74" i="36"/>
  <c r="AQ79" i="36"/>
  <c r="AQ81" i="36"/>
  <c r="AQ82" i="36"/>
  <c r="BG83" i="36"/>
  <c r="AU92" i="36"/>
  <c r="AQ93" i="36"/>
  <c r="AQ102" i="36"/>
  <c r="BG103" i="36"/>
  <c r="BC108" i="36"/>
  <c r="BC109" i="36"/>
  <c r="AU196" i="36"/>
  <c r="BC206" i="36"/>
  <c r="BG218" i="36"/>
  <c r="AU223" i="36"/>
  <c r="BC249" i="36"/>
  <c r="AU254" i="36"/>
  <c r="BG257" i="36"/>
  <c r="BG262" i="36"/>
  <c r="BC280" i="36"/>
  <c r="BC285" i="36"/>
  <c r="BG297" i="36"/>
  <c r="AQ303" i="36"/>
  <c r="BG303" i="36"/>
  <c r="BC310" i="36"/>
  <c r="BG311" i="36"/>
  <c r="AQ313" i="36"/>
  <c r="BG321" i="36"/>
  <c r="AU398" i="36"/>
  <c r="AY402" i="36"/>
  <c r="AY410" i="36"/>
  <c r="AQ412" i="36"/>
  <c r="AU413" i="36"/>
  <c r="AU414" i="36"/>
  <c r="AQ415" i="36"/>
  <c r="AU474" i="36"/>
  <c r="I10" i="13"/>
  <c r="I21" i="13"/>
  <c r="J31" i="13"/>
  <c r="BG4" i="36"/>
  <c r="BG12" i="36"/>
  <c r="AQ21" i="36"/>
  <c r="AQ25" i="36"/>
  <c r="AQ29" i="36"/>
  <c r="AQ33" i="36"/>
  <c r="AQ37" i="36"/>
  <c r="AQ41" i="36"/>
  <c r="AQ45" i="36"/>
  <c r="AQ49" i="36"/>
  <c r="AQ53" i="36"/>
  <c r="AQ57" i="36"/>
  <c r="AQ61" i="36"/>
  <c r="AQ65" i="36"/>
  <c r="AQ69" i="36"/>
  <c r="AQ73" i="36"/>
  <c r="AU83" i="36"/>
  <c r="AY91" i="36"/>
  <c r="BG101" i="36"/>
  <c r="AQ130" i="36"/>
  <c r="BG131" i="36"/>
  <c r="BG135" i="36"/>
  <c r="AQ142" i="36"/>
  <c r="AY153" i="36"/>
  <c r="AU154" i="36"/>
  <c r="AY188" i="36"/>
  <c r="BG190" i="36"/>
  <c r="AY193" i="36"/>
  <c r="AQ198" i="36"/>
  <c r="AU220" i="36"/>
  <c r="AQ221" i="36"/>
  <c r="BC236" i="36"/>
  <c r="BC241" i="36"/>
  <c r="BC244" i="36"/>
  <c r="AY247" i="36"/>
  <c r="AY276" i="36"/>
  <c r="AU280" i="36"/>
  <c r="BC290" i="36"/>
  <c r="AU294" i="36"/>
  <c r="AQ297" i="36"/>
  <c r="BG363" i="36"/>
  <c r="AU400" i="36"/>
  <c r="AY405" i="36"/>
  <c r="BG407" i="36"/>
  <c r="I8" i="13"/>
  <c r="I11" i="13"/>
  <c r="J13" i="13"/>
  <c r="I16" i="13"/>
  <c r="I19" i="13"/>
  <c r="J21" i="13"/>
  <c r="I24" i="13"/>
  <c r="I27" i="13"/>
  <c r="J29" i="13"/>
  <c r="I32" i="13"/>
  <c r="I35" i="13"/>
  <c r="J37" i="13"/>
  <c r="J38" i="13"/>
  <c r="BG21" i="36"/>
  <c r="BG25" i="36"/>
  <c r="BG29" i="36"/>
  <c r="BG33" i="36"/>
  <c r="BG37" i="36"/>
  <c r="BG41" i="36"/>
  <c r="BG45" i="36"/>
  <c r="BG49" i="36"/>
  <c r="BG53" i="36"/>
  <c r="BG57" i="36"/>
  <c r="BG61" i="36"/>
  <c r="BG65" i="36"/>
  <c r="BG69" i="36"/>
  <c r="BG73" i="36"/>
  <c r="BG78" i="36"/>
  <c r="AY84" i="36"/>
  <c r="AY89" i="36"/>
  <c r="AQ95" i="36"/>
  <c r="AQ97" i="36"/>
  <c r="AU103" i="36"/>
  <c r="BG105" i="36"/>
  <c r="AU108" i="36"/>
  <c r="AU110" i="36"/>
  <c r="AY111" i="36"/>
  <c r="AQ118" i="36"/>
  <c r="BG119" i="36"/>
  <c r="AU124" i="36"/>
  <c r="AQ125" i="36"/>
  <c r="AU131" i="36"/>
  <c r="AU135" i="36"/>
  <c r="BC140" i="36"/>
  <c r="BC145" i="36"/>
  <c r="BC148" i="36"/>
  <c r="BC153" i="36"/>
  <c r="AU158" i="36"/>
  <c r="AQ162" i="36"/>
  <c r="BG163" i="36"/>
  <c r="BG167" i="36"/>
  <c r="AQ174" i="36"/>
  <c r="AY180" i="36"/>
  <c r="AY185" i="36"/>
  <c r="AU186" i="36"/>
  <c r="BC194" i="36"/>
  <c r="AU198" i="36"/>
  <c r="BG201" i="36"/>
  <c r="AQ207" i="36"/>
  <c r="BG207" i="36"/>
  <c r="BC214" i="36"/>
  <c r="AQ215" i="36"/>
  <c r="AY220" i="36"/>
  <c r="BG222" i="36"/>
  <c r="AY225" i="36"/>
  <c r="AQ230" i="36"/>
  <c r="AY240" i="36"/>
  <c r="AU252" i="36"/>
  <c r="AQ253" i="36"/>
  <c r="AU259" i="36"/>
  <c r="AU263" i="36"/>
  <c r="BC268" i="36"/>
  <c r="BC273" i="36"/>
  <c r="BC276" i="36"/>
  <c r="BC281" i="36"/>
  <c r="AU286" i="36"/>
  <c r="AQ290" i="36"/>
  <c r="BG291" i="36"/>
  <c r="BG295" i="36"/>
  <c r="AQ302" i="36"/>
  <c r="AY308" i="36"/>
  <c r="AU323" i="36"/>
  <c r="AY362" i="36"/>
  <c r="AY363" i="36"/>
  <c r="AQ365" i="36"/>
  <c r="AY385" i="36"/>
  <c r="AQ389" i="36"/>
  <c r="AQ391" i="36"/>
  <c r="BC394" i="36"/>
  <c r="BC404" i="36"/>
  <c r="AQ407" i="36"/>
  <c r="BG411" i="36"/>
  <c r="AY415" i="36"/>
  <c r="BG416" i="36"/>
  <c r="BG423" i="36"/>
  <c r="BG429" i="36"/>
  <c r="BC431" i="36"/>
  <c r="AQ433" i="36"/>
  <c r="AQ440" i="36"/>
  <c r="BG441" i="36"/>
  <c r="AQ476" i="36"/>
  <c r="AU477" i="36"/>
  <c r="AU478" i="36"/>
  <c r="AQ479" i="36"/>
  <c r="AU540" i="36"/>
  <c r="AQ542" i="36"/>
  <c r="AY548" i="36"/>
  <c r="BG569" i="36"/>
  <c r="BG574" i="36"/>
  <c r="AQ579" i="36"/>
  <c r="BC581" i="36"/>
  <c r="AY585" i="36"/>
  <c r="AY616" i="36"/>
  <c r="AY619" i="36"/>
  <c r="BG626" i="36"/>
  <c r="AY628" i="36"/>
  <c r="BG653" i="36"/>
  <c r="AQ671" i="36"/>
  <c r="BG677" i="36"/>
  <c r="AY2" i="36"/>
  <c r="BC3" i="36"/>
  <c r="AU5" i="36"/>
  <c r="AY6" i="36"/>
  <c r="BC7" i="36"/>
  <c r="AU9" i="36"/>
  <c r="AY10" i="36"/>
  <c r="BC11" i="36"/>
  <c r="AU13" i="36"/>
  <c r="AY14" i="36"/>
  <c r="BC15" i="36"/>
  <c r="AU17" i="36"/>
  <c r="AY18" i="36"/>
  <c r="BC81" i="36"/>
  <c r="BC86" i="36"/>
  <c r="BG94" i="36"/>
  <c r="AY100" i="36"/>
  <c r="AY105" i="36"/>
  <c r="AQ111" i="36"/>
  <c r="AQ113" i="36"/>
  <c r="AU119" i="36"/>
  <c r="AY124" i="36"/>
  <c r="BG126" i="36"/>
  <c r="AY129" i="36"/>
  <c r="AQ134" i="36"/>
  <c r="AY144" i="36"/>
  <c r="AU156" i="36"/>
  <c r="AQ157" i="36"/>
  <c r="AU163" i="36"/>
  <c r="AU167" i="36"/>
  <c r="BC172" i="36"/>
  <c r="BC177" i="36"/>
  <c r="BC180" i="36"/>
  <c r="BC185" i="36"/>
  <c r="AU190" i="36"/>
  <c r="AQ194" i="36"/>
  <c r="BG195" i="36"/>
  <c r="BG199" i="36"/>
  <c r="AQ206" i="36"/>
  <c r="AY212" i="36"/>
  <c r="AY217" i="36"/>
  <c r="AU218" i="36"/>
  <c r="BC226" i="36"/>
  <c r="AU230" i="36"/>
  <c r="BG233" i="36"/>
  <c r="AQ239" i="36"/>
  <c r="BG239" i="36"/>
  <c r="BC246" i="36"/>
  <c r="AQ247" i="36"/>
  <c r="AY252" i="36"/>
  <c r="BG254" i="36"/>
  <c r="AY257" i="36"/>
  <c r="AQ262" i="36"/>
  <c r="AY272" i="36"/>
  <c r="AU284" i="36"/>
  <c r="AQ285" i="36"/>
  <c r="AU291" i="36"/>
  <c r="AU295" i="36"/>
  <c r="BC300" i="36"/>
  <c r="BC305" i="36"/>
  <c r="BC308" i="36"/>
  <c r="BC318" i="36"/>
  <c r="AY321" i="36"/>
  <c r="AQ325" i="36"/>
  <c r="BC332" i="36"/>
  <c r="BG333" i="36"/>
  <c r="AQ337" i="36"/>
  <c r="BG340" i="36"/>
  <c r="AY346" i="36"/>
  <c r="BG349" i="36"/>
  <c r="AY351" i="36"/>
  <c r="BG352" i="36"/>
  <c r="AQ357" i="36"/>
  <c r="AQ359" i="36"/>
  <c r="BC362" i="36"/>
  <c r="BC372" i="36"/>
  <c r="AY375" i="36"/>
  <c r="AQ380" i="36"/>
  <c r="AY381" i="36"/>
  <c r="BC382" i="36"/>
  <c r="AQ385" i="36"/>
  <c r="AQ388" i="36"/>
  <c r="AQ396" i="36"/>
  <c r="BG396" i="36"/>
  <c r="AY397" i="36"/>
  <c r="BG420" i="36"/>
  <c r="AU421" i="36"/>
  <c r="AY422" i="36"/>
  <c r="BC428" i="36"/>
  <c r="BC430" i="36"/>
  <c r="BG432" i="36"/>
  <c r="AU436" i="36"/>
  <c r="AY439" i="36"/>
  <c r="AU441" i="36"/>
  <c r="AY447" i="36"/>
  <c r="BG448" i="36"/>
  <c r="BG452" i="36"/>
  <c r="AU453" i="36"/>
  <c r="BC455" i="36"/>
  <c r="AU458" i="36"/>
  <c r="AQ460" i="36"/>
  <c r="BG460" i="36"/>
  <c r="AY463" i="36"/>
  <c r="BG464" i="36"/>
  <c r="BG471" i="36"/>
  <c r="BG475" i="36"/>
  <c r="AQ485" i="36"/>
  <c r="AQ487" i="36"/>
  <c r="AY491" i="36"/>
  <c r="AY503" i="36"/>
  <c r="BC510" i="36"/>
  <c r="AY516" i="36"/>
  <c r="BG534" i="36"/>
  <c r="AY536" i="36"/>
  <c r="AU572" i="36"/>
  <c r="AQ574" i="36"/>
  <c r="AU583" i="36"/>
  <c r="BC610" i="36"/>
  <c r="AQ626" i="36"/>
  <c r="BG670" i="36"/>
  <c r="BC672" i="36"/>
  <c r="AU676" i="36"/>
  <c r="AY699" i="36"/>
  <c r="I7" i="13"/>
  <c r="J9" i="13"/>
  <c r="I12" i="13"/>
  <c r="I15" i="13"/>
  <c r="J17" i="13"/>
  <c r="I20" i="13"/>
  <c r="I23" i="13"/>
  <c r="J25" i="13"/>
  <c r="I28" i="13"/>
  <c r="I31" i="13"/>
  <c r="J33" i="13"/>
  <c r="AQ3" i="36"/>
  <c r="AQ4" i="36"/>
  <c r="AQ7" i="36"/>
  <c r="AQ8" i="36"/>
  <c r="AQ11" i="36"/>
  <c r="AQ12" i="36"/>
  <c r="AQ15" i="36"/>
  <c r="AQ16" i="36"/>
  <c r="AY19" i="36"/>
  <c r="BC20" i="36"/>
  <c r="AU22" i="36"/>
  <c r="AY23" i="36"/>
  <c r="BC24" i="36"/>
  <c r="AU26" i="36"/>
  <c r="AY27" i="36"/>
  <c r="BC28" i="36"/>
  <c r="AU30" i="36"/>
  <c r="AY31" i="36"/>
  <c r="BC32" i="36"/>
  <c r="AU34" i="36"/>
  <c r="AY35" i="36"/>
  <c r="BC36" i="36"/>
  <c r="AU38" i="36"/>
  <c r="AY39" i="36"/>
  <c r="BC40" i="36"/>
  <c r="AU42" i="36"/>
  <c r="AY43" i="36"/>
  <c r="BC44" i="36"/>
  <c r="AU46" i="36"/>
  <c r="AY47" i="36"/>
  <c r="BC48" i="36"/>
  <c r="AU50" i="36"/>
  <c r="AY51" i="36"/>
  <c r="BC52" i="36"/>
  <c r="AU54" i="36"/>
  <c r="AY55" i="36"/>
  <c r="BC56" i="36"/>
  <c r="AU58" i="36"/>
  <c r="AY59" i="36"/>
  <c r="BC60" i="36"/>
  <c r="AU62" i="36"/>
  <c r="AY63" i="36"/>
  <c r="BC64" i="36"/>
  <c r="AU66" i="36"/>
  <c r="AY67" i="36"/>
  <c r="BC68" i="36"/>
  <c r="AU70" i="36"/>
  <c r="AY71" i="36"/>
  <c r="BC72" i="36"/>
  <c r="AU74" i="36"/>
  <c r="AY75" i="36"/>
  <c r="BC76" i="36"/>
  <c r="BC77" i="36"/>
  <c r="AU78" i="36"/>
  <c r="AY79" i="36"/>
  <c r="AQ86" i="36"/>
  <c r="BG87" i="36"/>
  <c r="BC92" i="36"/>
  <c r="BC97" i="36"/>
  <c r="BC102" i="36"/>
  <c r="BC104" i="36"/>
  <c r="AU106" i="36"/>
  <c r="BG110" i="36"/>
  <c r="AQ114" i="36"/>
  <c r="AU115" i="36"/>
  <c r="AY116" i="36"/>
  <c r="AY121" i="36"/>
  <c r="AU122" i="36"/>
  <c r="BC130" i="36"/>
  <c r="BG133" i="36"/>
  <c r="AU134" i="36"/>
  <c r="BG137" i="36"/>
  <c r="AQ143" i="36"/>
  <c r="BG143" i="36"/>
  <c r="BC150" i="36"/>
  <c r="AQ151" i="36"/>
  <c r="BG154" i="36"/>
  <c r="AY155" i="36"/>
  <c r="AY156" i="36"/>
  <c r="BG158" i="36"/>
  <c r="AU159" i="36"/>
  <c r="AY161" i="36"/>
  <c r="AQ166" i="36"/>
  <c r="AY176" i="36"/>
  <c r="AY183" i="36"/>
  <c r="AU188" i="36"/>
  <c r="AQ189" i="36"/>
  <c r="BG193" i="36"/>
  <c r="AU195" i="36"/>
  <c r="BG198" i="36"/>
  <c r="AU199" i="36"/>
  <c r="BC204" i="36"/>
  <c r="BC209" i="36"/>
  <c r="BC212" i="36"/>
  <c r="BC216" i="36"/>
  <c r="BC217" i="36"/>
  <c r="BC221" i="36"/>
  <c r="AU222" i="36"/>
  <c r="AQ226" i="36"/>
  <c r="BG227" i="36"/>
  <c r="BG231" i="36"/>
  <c r="AQ233" i="36"/>
  <c r="AQ238" i="36"/>
  <c r="AY244" i="36"/>
  <c r="AY249" i="36"/>
  <c r="AU250" i="36"/>
  <c r="BC258" i="36"/>
  <c r="BG261" i="36"/>
  <c r="AU262" i="36"/>
  <c r="BG265" i="36"/>
  <c r="AQ271" i="36"/>
  <c r="BG271" i="36"/>
  <c r="BC278" i="36"/>
  <c r="AQ279" i="36"/>
  <c r="BG282" i="36"/>
  <c r="AY283" i="36"/>
  <c r="AY284" i="36"/>
  <c r="BG286" i="36"/>
  <c r="AU287" i="36"/>
  <c r="AY289" i="36"/>
  <c r="AQ294" i="36"/>
  <c r="AY304" i="36"/>
  <c r="BG318" i="36"/>
  <c r="AU319" i="36"/>
  <c r="BC322" i="36"/>
  <c r="BG324" i="36"/>
  <c r="AU325" i="36"/>
  <c r="BC327" i="36"/>
  <c r="AU330" i="36"/>
  <c r="AQ332" i="36"/>
  <c r="BG332" i="36"/>
  <c r="AY335" i="36"/>
  <c r="BG336" i="36"/>
  <c r="AQ356" i="36"/>
  <c r="BC366" i="36"/>
  <c r="BG372" i="36"/>
  <c r="AU373" i="36"/>
  <c r="BC376" i="36"/>
  <c r="BG379" i="36"/>
  <c r="AU380" i="36"/>
  <c r="AY421" i="36"/>
  <c r="AU434" i="36"/>
  <c r="AQ435" i="36"/>
  <c r="BG436" i="36"/>
  <c r="AU437" i="36"/>
  <c r="BG445" i="36"/>
  <c r="BC446" i="36"/>
  <c r="AU450" i="36"/>
  <c r="BC451" i="36"/>
  <c r="AY453" i="36"/>
  <c r="AU466" i="36"/>
  <c r="BC467" i="36"/>
  <c r="AQ471" i="36"/>
  <c r="AY475" i="36"/>
  <c r="AY481" i="36"/>
  <c r="AQ484" i="36"/>
  <c r="BG484" i="36"/>
  <c r="AU485" i="36"/>
  <c r="BC490" i="36"/>
  <c r="BG492" i="36"/>
  <c r="AU501" i="36"/>
  <c r="AQ509" i="36"/>
  <c r="AQ127" i="36"/>
  <c r="BC129" i="36"/>
  <c r="BC134" i="36"/>
  <c r="AU151" i="36"/>
  <c r="AQ159" i="36"/>
  <c r="BC161" i="36"/>
  <c r="BC166" i="36"/>
  <c r="AU183" i="36"/>
  <c r="AQ191" i="36"/>
  <c r="BC193" i="36"/>
  <c r="BC198" i="36"/>
  <c r="AU215" i="36"/>
  <c r="AQ223" i="36"/>
  <c r="BC225" i="36"/>
  <c r="BC230" i="36"/>
  <c r="AU247" i="36"/>
  <c r="AQ255" i="36"/>
  <c r="BC257" i="36"/>
  <c r="BC262" i="36"/>
  <c r="AU279" i="36"/>
  <c r="AQ287" i="36"/>
  <c r="BC289" i="36"/>
  <c r="BC294" i="36"/>
  <c r="AY319" i="36"/>
  <c r="AQ327" i="36"/>
  <c r="AY331" i="36"/>
  <c r="AY337" i="36"/>
  <c r="BC340" i="36"/>
  <c r="AQ353" i="36"/>
  <c r="BC354" i="36"/>
  <c r="AU377" i="36"/>
  <c r="AU381" i="36"/>
  <c r="AU386" i="36"/>
  <c r="BC387" i="36"/>
  <c r="AY394" i="36"/>
  <c r="AY395" i="36"/>
  <c r="AQ397" i="36"/>
  <c r="AY399" i="36"/>
  <c r="AU402" i="36"/>
  <c r="AU410" i="36"/>
  <c r="BC414" i="36"/>
  <c r="AY417" i="36"/>
  <c r="BC420" i="36"/>
  <c r="BC423" i="36"/>
  <c r="AY426" i="36"/>
  <c r="BG427" i="36"/>
  <c r="AY431" i="36"/>
  <c r="AU432" i="36"/>
  <c r="AY437" i="36"/>
  <c r="BG444" i="36"/>
  <c r="AQ449" i="36"/>
  <c r="AQ453" i="36"/>
  <c r="BC460" i="36"/>
  <c r="BG461" i="36"/>
  <c r="AQ465" i="36"/>
  <c r="BG468" i="36"/>
  <c r="AY474" i="36"/>
  <c r="BG477" i="36"/>
  <c r="AY479" i="36"/>
  <c r="BG480" i="36"/>
  <c r="AY490" i="36"/>
  <c r="BG491" i="36"/>
  <c r="BC494" i="36"/>
  <c r="AQ497" i="36"/>
  <c r="BC499" i="36"/>
  <c r="AU505" i="36"/>
  <c r="BG508" i="36"/>
  <c r="AQ517" i="36"/>
  <c r="BG537" i="36"/>
  <c r="BG542" i="36"/>
  <c r="AY559" i="36"/>
  <c r="AY561" i="36"/>
  <c r="AY563" i="36"/>
  <c r="BG567" i="36"/>
  <c r="J8" i="13"/>
  <c r="J10" i="13"/>
  <c r="J12" i="13"/>
  <c r="J14" i="13"/>
  <c r="J16" i="13"/>
  <c r="J18" i="13"/>
  <c r="J20" i="13"/>
  <c r="J22" i="13"/>
  <c r="J24" i="13"/>
  <c r="J26" i="13"/>
  <c r="J28" i="13"/>
  <c r="J30" i="13"/>
  <c r="J32" i="13"/>
  <c r="J34" i="13"/>
  <c r="J36" i="13"/>
  <c r="AY132" i="36"/>
  <c r="AY137" i="36"/>
  <c r="AU140" i="36"/>
  <c r="BG142" i="36"/>
  <c r="AQ150" i="36"/>
  <c r="BG151" i="36"/>
  <c r="AY164" i="36"/>
  <c r="AY169" i="36"/>
  <c r="AU172" i="36"/>
  <c r="BG174" i="36"/>
  <c r="AQ182" i="36"/>
  <c r="BG183" i="36"/>
  <c r="AY196" i="36"/>
  <c r="AY201" i="36"/>
  <c r="AU204" i="36"/>
  <c r="BG206" i="36"/>
  <c r="AQ214" i="36"/>
  <c r="BG215" i="36"/>
  <c r="AY228" i="36"/>
  <c r="AY233" i="36"/>
  <c r="AU236" i="36"/>
  <c r="BG238" i="36"/>
  <c r="AQ246" i="36"/>
  <c r="BG247" i="36"/>
  <c r="AY260" i="36"/>
  <c r="AY265" i="36"/>
  <c r="AU268" i="36"/>
  <c r="BG270" i="36"/>
  <c r="AQ278" i="36"/>
  <c r="BG279" i="36"/>
  <c r="AY292" i="36"/>
  <c r="AY297" i="36"/>
  <c r="AU300" i="36"/>
  <c r="BG302" i="36"/>
  <c r="AQ310" i="36"/>
  <c r="BG310" i="36"/>
  <c r="AY313" i="36"/>
  <c r="AU316" i="36"/>
  <c r="AY324" i="36"/>
  <c r="AY325" i="36"/>
  <c r="AU338" i="36"/>
  <c r="BC339" i="36"/>
  <c r="AQ348" i="36"/>
  <c r="AU349" i="36"/>
  <c r="AU350" i="36"/>
  <c r="AY353" i="36"/>
  <c r="BG356" i="36"/>
  <c r="AU357" i="36"/>
  <c r="BC364" i="36"/>
  <c r="BG365" i="36"/>
  <c r="AQ367" i="36"/>
  <c r="AY373" i="36"/>
  <c r="AQ376" i="36"/>
  <c r="BG377" i="36"/>
  <c r="AU382" i="36"/>
  <c r="BG383" i="36"/>
  <c r="BC391" i="36"/>
  <c r="AU394" i="36"/>
  <c r="BG395" i="36"/>
  <c r="AY411" i="36"/>
  <c r="BG413" i="36"/>
  <c r="AU418" i="36"/>
  <c r="BC419" i="36"/>
  <c r="BG421" i="36"/>
  <c r="AU426" i="36"/>
  <c r="AQ428" i="36"/>
  <c r="BG428" i="36"/>
  <c r="AU430" i="36"/>
  <c r="AY434" i="36"/>
  <c r="AY442" i="36"/>
  <c r="AQ455" i="36"/>
  <c r="AY459" i="36"/>
  <c r="AY465" i="36"/>
  <c r="BC468" i="36"/>
  <c r="AQ481" i="36"/>
  <c r="BC482" i="36"/>
  <c r="AY507" i="36"/>
  <c r="BC518" i="36"/>
  <c r="AY524" i="36"/>
  <c r="AU527" i="36"/>
  <c r="AU532" i="36"/>
  <c r="AQ534" i="36"/>
  <c r="AU587" i="36"/>
  <c r="BG590" i="36"/>
  <c r="BC593" i="36"/>
  <c r="AU632" i="36"/>
  <c r="AQ634" i="36"/>
  <c r="BC642" i="36"/>
  <c r="BC656" i="36"/>
  <c r="BC658" i="36"/>
  <c r="AY671" i="36"/>
  <c r="AU673" i="36"/>
  <c r="AY691" i="36"/>
  <c r="AU311" i="36"/>
  <c r="AQ319" i="36"/>
  <c r="BC321" i="36"/>
  <c r="AY330" i="36"/>
  <c r="BG331" i="36"/>
  <c r="AY341" i="36"/>
  <c r="BC350" i="36"/>
  <c r="AU354" i="36"/>
  <c r="BC355" i="36"/>
  <c r="BC359" i="36"/>
  <c r="AU362" i="36"/>
  <c r="AQ364" i="36"/>
  <c r="BG364" i="36"/>
  <c r="AY367" i="36"/>
  <c r="AU370" i="36"/>
  <c r="AY378" i="36"/>
  <c r="BG381" i="36"/>
  <c r="AY383" i="36"/>
  <c r="BG384" i="36"/>
  <c r="BG388" i="36"/>
  <c r="AU389" i="36"/>
  <c r="BC396" i="36"/>
  <c r="BG397" i="36"/>
  <c r="BG404" i="36"/>
  <c r="AQ417" i="36"/>
  <c r="AQ421" i="36"/>
  <c r="AQ423" i="36"/>
  <c r="AY427" i="36"/>
  <c r="BC436" i="36"/>
  <c r="AQ444" i="36"/>
  <c r="AU445" i="36"/>
  <c r="AU446" i="36"/>
  <c r="AY449" i="36"/>
  <c r="AY458" i="36"/>
  <c r="BG459" i="36"/>
  <c r="AY469" i="36"/>
  <c r="BC478" i="36"/>
  <c r="AU482" i="36"/>
  <c r="BC483" i="36"/>
  <c r="BC487" i="36"/>
  <c r="AU490" i="36"/>
  <c r="AU496" i="36"/>
  <c r="AY497" i="36"/>
  <c r="AU506" i="36"/>
  <c r="AY527" i="36"/>
  <c r="AY529" i="36"/>
  <c r="AY531" i="36"/>
  <c r="BG535" i="36"/>
  <c r="BC550" i="36"/>
  <c r="AY556" i="36"/>
  <c r="AU559" i="36"/>
  <c r="AU564" i="36"/>
  <c r="BG566" i="36"/>
  <c r="AY568" i="36"/>
  <c r="AY589" i="36"/>
  <c r="AU594" i="36"/>
  <c r="AY595" i="36"/>
  <c r="AQ609" i="36"/>
  <c r="BG659" i="36"/>
  <c r="AY667" i="36"/>
  <c r="AQ672" i="36"/>
  <c r="BG673" i="36"/>
  <c r="AY695" i="36"/>
  <c r="AQ499" i="36"/>
  <c r="AY502" i="36"/>
  <c r="AQ504" i="36"/>
  <c r="BG505" i="36"/>
  <c r="BG507" i="36"/>
  <c r="BG511" i="36"/>
  <c r="AY519" i="36"/>
  <c r="AU528" i="36"/>
  <c r="BG530" i="36"/>
  <c r="AU535" i="36"/>
  <c r="BC537" i="36"/>
  <c r="AY541" i="36"/>
  <c r="BC542" i="36"/>
  <c r="BG543" i="36"/>
  <c r="AY551" i="36"/>
  <c r="AU560" i="36"/>
  <c r="BG562" i="36"/>
  <c r="AU567" i="36"/>
  <c r="BC569" i="36"/>
  <c r="AY573" i="36"/>
  <c r="BC574" i="36"/>
  <c r="BG575" i="36"/>
  <c r="AU578" i="36"/>
  <c r="AY579" i="36"/>
  <c r="BC592" i="36"/>
  <c r="AU603" i="36"/>
  <c r="AY608" i="36"/>
  <c r="AU619" i="36"/>
  <c r="AY621" i="36"/>
  <c r="AY623" i="36"/>
  <c r="BG629" i="36"/>
  <c r="BG634" i="36"/>
  <c r="AY648" i="36"/>
  <c r="AY651" i="36"/>
  <c r="AU333" i="36"/>
  <c r="AQ341" i="36"/>
  <c r="BC343" i="36"/>
  <c r="BC348" i="36"/>
  <c r="AU365" i="36"/>
  <c r="AQ373" i="36"/>
  <c r="BC375" i="36"/>
  <c r="BC380" i="36"/>
  <c r="AU397" i="36"/>
  <c r="AQ405" i="36"/>
  <c r="BC407" i="36"/>
  <c r="BC412" i="36"/>
  <c r="AU429" i="36"/>
  <c r="AQ437" i="36"/>
  <c r="BC439" i="36"/>
  <c r="BC444" i="36"/>
  <c r="AU461" i="36"/>
  <c r="AQ469" i="36"/>
  <c r="BC471" i="36"/>
  <c r="BC476" i="36"/>
  <c r="AU494" i="36"/>
  <c r="BG496" i="36"/>
  <c r="BC504" i="36"/>
  <c r="AU510" i="36"/>
  <c r="AQ513" i="36"/>
  <c r="BC528" i="36"/>
  <c r="AQ531" i="36"/>
  <c r="BC533" i="36"/>
  <c r="AQ535" i="36"/>
  <c r="AQ537" i="36"/>
  <c r="BG541" i="36"/>
  <c r="AQ545" i="36"/>
  <c r="BC560" i="36"/>
  <c r="AQ563" i="36"/>
  <c r="BC565" i="36"/>
  <c r="AQ567" i="36"/>
  <c r="AQ569" i="36"/>
  <c r="BG573" i="36"/>
  <c r="AQ577" i="36"/>
  <c r="AU588" i="36"/>
  <c r="AQ595" i="36"/>
  <c r="BC597" i="36"/>
  <c r="AU624" i="36"/>
  <c r="BG627" i="36"/>
  <c r="AY640" i="36"/>
  <c r="AU651" i="36"/>
  <c r="AY653" i="36"/>
  <c r="BG654" i="36"/>
  <c r="AQ659" i="36"/>
  <c r="BC661" i="36"/>
  <c r="AY674" i="36"/>
  <c r="AU690" i="36"/>
  <c r="AU694" i="36"/>
  <c r="AU698" i="36"/>
  <c r="AU511" i="36"/>
  <c r="AQ519" i="36"/>
  <c r="BC521" i="36"/>
  <c r="BC526" i="36"/>
  <c r="AU543" i="36"/>
  <c r="AQ551" i="36"/>
  <c r="BC553" i="36"/>
  <c r="BC558" i="36"/>
  <c r="AU575" i="36"/>
  <c r="BG578" i="36"/>
  <c r="BC586" i="36"/>
  <c r="AU592" i="36"/>
  <c r="BG594" i="36"/>
  <c r="BC602" i="36"/>
  <c r="AQ605" i="36"/>
  <c r="BC620" i="36"/>
  <c r="AQ623" i="36"/>
  <c r="BC625" i="36"/>
  <c r="AQ627" i="36"/>
  <c r="AQ629" i="36"/>
  <c r="BG633" i="36"/>
  <c r="AQ637" i="36"/>
  <c r="BC652" i="36"/>
  <c r="AQ492" i="36"/>
  <c r="AU493" i="36"/>
  <c r="BG500" i="36"/>
  <c r="BC503" i="36"/>
  <c r="AY506" i="36"/>
  <c r="AQ508" i="36"/>
  <c r="AU509" i="36"/>
  <c r="AY513" i="36"/>
  <c r="AU516" i="36"/>
  <c r="AQ518" i="36"/>
  <c r="BG518" i="36"/>
  <c r="AY520" i="36"/>
  <c r="AQ526" i="36"/>
  <c r="BG527" i="36"/>
  <c r="BC529" i="36"/>
  <c r="AU530" i="36"/>
  <c r="AY532" i="36"/>
  <c r="AQ533" i="36"/>
  <c r="AQ538" i="36"/>
  <c r="AU539" i="36"/>
  <c r="AY540" i="36"/>
  <c r="AY545" i="36"/>
  <c r="AU548" i="36"/>
  <c r="AQ550" i="36"/>
  <c r="BG550" i="36"/>
  <c r="AY552" i="36"/>
  <c r="AQ558" i="36"/>
  <c r="BG559" i="36"/>
  <c r="BC561" i="36"/>
  <c r="AU562" i="36"/>
  <c r="AY564" i="36"/>
  <c r="AQ565" i="36"/>
  <c r="AQ570" i="36"/>
  <c r="AU571" i="36"/>
  <c r="AY572" i="36"/>
  <c r="AQ581" i="36"/>
  <c r="AY584" i="36"/>
  <c r="AQ586" i="36"/>
  <c r="BG587" i="36"/>
  <c r="BG589" i="36"/>
  <c r="AQ593" i="36"/>
  <c r="AQ597" i="36"/>
  <c r="AY600" i="36"/>
  <c r="AQ602" i="36"/>
  <c r="BG603" i="36"/>
  <c r="AU606" i="36"/>
  <c r="AY611" i="36"/>
  <c r="AU618" i="36"/>
  <c r="AU620" i="36"/>
  <c r="BG622" i="36"/>
  <c r="AU627" i="36"/>
  <c r="BC629" i="36"/>
  <c r="AY633" i="36"/>
  <c r="BC634" i="36"/>
  <c r="BG635" i="36"/>
  <c r="AU638" i="36"/>
  <c r="AY643" i="36"/>
  <c r="AU650" i="36"/>
  <c r="AU652" i="36"/>
  <c r="AQ611" i="36"/>
  <c r="BC613" i="36"/>
  <c r="BC618" i="36"/>
  <c r="AU635" i="36"/>
  <c r="AQ643" i="36"/>
  <c r="BC645" i="36"/>
  <c r="BC650" i="36"/>
  <c r="AQ658" i="36"/>
  <c r="AY664" i="36"/>
  <c r="AQ667" i="36"/>
  <c r="AY669" i="36"/>
  <c r="AU670" i="36"/>
  <c r="BG680" i="36"/>
  <c r="AQ683" i="36"/>
  <c r="AQ684" i="36"/>
  <c r="BG582" i="36"/>
  <c r="BC585" i="36"/>
  <c r="AY588" i="36"/>
  <c r="AQ590" i="36"/>
  <c r="AU591" i="36"/>
  <c r="BG598" i="36"/>
  <c r="BC601" i="36"/>
  <c r="AY605" i="36"/>
  <c r="AU608" i="36"/>
  <c r="AQ610" i="36"/>
  <c r="BG610" i="36"/>
  <c r="AY612" i="36"/>
  <c r="AQ618" i="36"/>
  <c r="BG619" i="36"/>
  <c r="BC621" i="36"/>
  <c r="AU622" i="36"/>
  <c r="AY624" i="36"/>
  <c r="AQ625" i="36"/>
  <c r="AQ630" i="36"/>
  <c r="AU631" i="36"/>
  <c r="AY632" i="36"/>
  <c r="AY637" i="36"/>
  <c r="AU640" i="36"/>
  <c r="AQ642" i="36"/>
  <c r="BG642" i="36"/>
  <c r="AY644" i="36"/>
  <c r="AQ650" i="36"/>
  <c r="BG651" i="36"/>
  <c r="AY660" i="36"/>
  <c r="BC664" i="36"/>
  <c r="BC666" i="36"/>
  <c r="BC669" i="36"/>
  <c r="AY682" i="36"/>
  <c r="AU656" i="36"/>
  <c r="BG658" i="36"/>
  <c r="AQ666" i="36"/>
  <c r="BG667" i="36"/>
  <c r="BC678" i="36"/>
  <c r="BC683" i="36"/>
  <c r="AY686" i="36"/>
  <c r="BC688" i="36"/>
  <c r="BC692" i="36"/>
  <c r="BC696" i="36"/>
  <c r="BC700" i="36"/>
  <c r="AY655" i="36"/>
  <c r="BC657" i="36"/>
  <c r="AU659" i="36"/>
  <c r="BG665" i="36"/>
  <c r="BG666" i="36"/>
  <c r="AU667" i="36"/>
  <c r="AQ676" i="36"/>
  <c r="BG676" i="36"/>
  <c r="AU677" i="36"/>
  <c r="AU678" i="36"/>
  <c r="AQ681" i="36"/>
  <c r="BG685" i="36"/>
  <c r="BC671" i="36"/>
  <c r="BC676" i="36"/>
  <c r="AU680" i="36"/>
  <c r="AY681" i="36"/>
  <c r="AQ688" i="36"/>
  <c r="AQ692" i="36"/>
  <c r="AQ696" i="36"/>
  <c r="AQ700" i="36"/>
  <c r="AQ689" i="36"/>
  <c r="AQ693" i="36"/>
  <c r="AQ697" i="36"/>
  <c r="AQ701" i="36"/>
  <c r="BG701" i="36"/>
  <c r="BG684" i="36"/>
  <c r="BC687" i="36"/>
  <c r="BG688" i="36"/>
  <c r="BG689" i="36"/>
  <c r="AY690" i="36"/>
  <c r="BC691" i="36"/>
  <c r="BG692" i="36"/>
  <c r="BG693" i="36"/>
  <c r="AY694" i="36"/>
  <c r="BC695" i="36"/>
  <c r="BG696" i="36"/>
  <c r="BG697" i="36"/>
  <c r="AY698" i="36"/>
  <c r="BC699" i="36"/>
  <c r="BG700" i="36"/>
  <c r="AA608" i="34"/>
  <c r="AK51" i="34"/>
  <c r="Y135" i="35"/>
  <c r="Y159" i="35"/>
  <c r="Y7" i="35"/>
  <c r="AG249" i="38"/>
  <c r="G24" i="34"/>
  <c r="AK143" i="34"/>
  <c r="Y3" i="35"/>
  <c r="AG89" i="38"/>
  <c r="AG227" i="38"/>
  <c r="Q10" i="34"/>
  <c r="G68" i="34"/>
  <c r="AJ3" i="35"/>
  <c r="AK3" i="35" s="1"/>
  <c r="Y19" i="35"/>
  <c r="Y35" i="35"/>
  <c r="Y51" i="35"/>
  <c r="Y67" i="35"/>
  <c r="Y83" i="35"/>
  <c r="Y103" i="35"/>
  <c r="Y151" i="35"/>
  <c r="AG67" i="38"/>
  <c r="AG205" i="38"/>
  <c r="AV3" i="35"/>
  <c r="AW3" i="35" s="1"/>
  <c r="AG25" i="38"/>
  <c r="AA155" i="34"/>
  <c r="Y87" i="35"/>
  <c r="Y107" i="35"/>
  <c r="Y143" i="35"/>
  <c r="AG109" i="38"/>
  <c r="AG131" i="38"/>
  <c r="AG173" i="38"/>
  <c r="G165" i="34"/>
  <c r="Q165" i="34"/>
  <c r="AA157" i="34"/>
  <c r="Y23" i="35"/>
  <c r="Y39" i="35"/>
  <c r="Y55" i="35"/>
  <c r="Y71" i="35"/>
  <c r="Y131" i="35"/>
  <c r="G101" i="34"/>
  <c r="G113" i="34"/>
  <c r="AF3" i="35"/>
  <c r="AG3" i="35" s="1"/>
  <c r="AZ3" i="35"/>
  <c r="Y4" i="35"/>
  <c r="Y15" i="35"/>
  <c r="Y31" i="35"/>
  <c r="Y47" i="35"/>
  <c r="Y63" i="35"/>
  <c r="Y79" i="35"/>
  <c r="Y99" i="35"/>
  <c r="Y111" i="35"/>
  <c r="Y119" i="35"/>
  <c r="Y139" i="35"/>
  <c r="AR3" i="35"/>
  <c r="AS3" i="35" s="1"/>
  <c r="BD3" i="35"/>
  <c r="BE3" i="35" s="1"/>
  <c r="Y95" i="35"/>
  <c r="Y123" i="35"/>
  <c r="AG77" i="38"/>
  <c r="AG99" i="38"/>
  <c r="AG121" i="38"/>
  <c r="AG237" i="38"/>
  <c r="Q29" i="34"/>
  <c r="AA156" i="34"/>
  <c r="AA154" i="34"/>
  <c r="AG185" i="38"/>
  <c r="AG163" i="38"/>
  <c r="AG141" i="38"/>
  <c r="AG57" i="38"/>
  <c r="AG35" i="38"/>
  <c r="AG13" i="38"/>
  <c r="AB3" i="35"/>
  <c r="AC3" i="35" s="1"/>
  <c r="AN3" i="35"/>
  <c r="Y11" i="35"/>
  <c r="Y27" i="35"/>
  <c r="Y43" i="35"/>
  <c r="Y59" i="35"/>
  <c r="Y75" i="35"/>
  <c r="Y91" i="35"/>
  <c r="Y115" i="35"/>
  <c r="Y127" i="35"/>
  <c r="Y241" i="35"/>
  <c r="AG3" i="38"/>
  <c r="AG45" i="38"/>
  <c r="AG153" i="38"/>
  <c r="AG195" i="38"/>
  <c r="AG217" i="38"/>
  <c r="G20" i="34"/>
  <c r="G46" i="34"/>
  <c r="Q628" i="34"/>
  <c r="Q33" i="34"/>
  <c r="AK48" i="34"/>
  <c r="AK132" i="34"/>
  <c r="AK109" i="34"/>
  <c r="AA298" i="34"/>
  <c r="AA413" i="34"/>
  <c r="AA429" i="34"/>
  <c r="AK30" i="34"/>
  <c r="AK66" i="34"/>
  <c r="AK62" i="34"/>
  <c r="G154" i="34"/>
  <c r="AA345" i="34"/>
  <c r="AA510" i="34"/>
  <c r="Y5" i="35"/>
  <c r="Y223" i="35"/>
  <c r="Y205" i="35"/>
  <c r="Y199" i="35"/>
  <c r="Y191" i="35"/>
  <c r="Y183" i="35"/>
  <c r="Y175" i="35"/>
  <c r="Y167" i="35"/>
  <c r="Y9" i="35"/>
  <c r="Y25" i="35"/>
  <c r="Y29" i="35"/>
  <c r="Y37" i="35"/>
  <c r="Y45" i="35"/>
  <c r="Y57" i="35"/>
  <c r="Y65" i="35"/>
  <c r="Y85" i="35"/>
  <c r="Y93" i="35"/>
  <c r="Y105" i="35"/>
  <c r="Y109" i="35"/>
  <c r="Y121" i="35"/>
  <c r="Y129" i="35"/>
  <c r="Y133" i="35"/>
  <c r="Y141" i="35"/>
  <c r="Y173" i="35"/>
  <c r="Y181" i="35"/>
  <c r="Y189" i="35"/>
  <c r="Y197" i="35"/>
  <c r="Y207" i="35"/>
  <c r="Y221" i="35"/>
  <c r="Y233" i="35"/>
  <c r="Y215" i="35"/>
  <c r="Y220" i="35"/>
  <c r="AA143" i="34"/>
  <c r="AA142" i="34"/>
  <c r="AA132" i="34"/>
  <c r="AA116" i="34"/>
  <c r="AA109" i="34"/>
  <c r="AA108" i="34"/>
  <c r="AA100" i="34"/>
  <c r="AA74" i="34"/>
  <c r="AA39" i="34"/>
  <c r="AA26" i="34"/>
  <c r="AA24" i="34"/>
  <c r="AA20" i="34"/>
  <c r="AA124" i="34"/>
  <c r="AA78" i="34"/>
  <c r="AA43" i="34"/>
  <c r="AA27" i="34"/>
  <c r="AA25" i="34"/>
  <c r="AA11" i="34"/>
  <c r="AA128" i="34"/>
  <c r="AA76" i="34"/>
  <c r="AA16" i="34"/>
  <c r="AA2" i="34"/>
  <c r="AA105" i="34"/>
  <c r="AA102" i="34"/>
  <c r="AA80" i="34"/>
  <c r="AA47" i="34"/>
  <c r="AA36" i="34"/>
  <c r="AA31" i="34"/>
  <c r="AA120" i="34"/>
  <c r="AA72" i="34"/>
  <c r="AA69" i="34"/>
  <c r="AA7" i="34"/>
  <c r="Y13" i="35"/>
  <c r="Y17" i="35"/>
  <c r="Y21" i="35"/>
  <c r="Y33" i="35"/>
  <c r="Y41" i="35"/>
  <c r="Y49" i="35"/>
  <c r="Y53" i="35"/>
  <c r="Y61" i="35"/>
  <c r="Y69" i="35"/>
  <c r="Y73" i="35"/>
  <c r="Y77" i="35"/>
  <c r="Y81" i="35"/>
  <c r="Y89" i="35"/>
  <c r="Y97" i="35"/>
  <c r="Y101" i="35"/>
  <c r="Y113" i="35"/>
  <c r="Y117" i="35"/>
  <c r="Y125" i="35"/>
  <c r="Y137" i="35"/>
  <c r="Y165" i="35"/>
  <c r="Y8" i="35"/>
  <c r="Y12" i="35"/>
  <c r="Y16" i="35"/>
  <c r="Y20" i="35"/>
  <c r="Y24" i="35"/>
  <c r="Y28" i="35"/>
  <c r="Y32" i="35"/>
  <c r="Y36" i="35"/>
  <c r="Y40" i="35"/>
  <c r="Y44" i="35"/>
  <c r="Y48" i="35"/>
  <c r="Y52" i="35"/>
  <c r="Y56" i="35"/>
  <c r="Y60" i="35"/>
  <c r="Y64" i="35"/>
  <c r="Y68" i="35"/>
  <c r="Y72" i="35"/>
  <c r="Y76" i="35"/>
  <c r="Y80" i="35"/>
  <c r="Y84" i="35"/>
  <c r="Y88" i="35"/>
  <c r="Y92" i="35"/>
  <c r="Y96" i="35"/>
  <c r="Y100" i="35"/>
  <c r="Y104" i="35"/>
  <c r="Y108" i="35"/>
  <c r="Y112" i="35"/>
  <c r="Y116" i="35"/>
  <c r="Y120" i="35"/>
  <c r="Y124" i="35"/>
  <c r="Y128" i="35"/>
  <c r="Y132" i="35"/>
  <c r="Y136" i="35"/>
  <c r="Y140" i="35"/>
  <c r="Y168" i="35"/>
  <c r="Y176" i="35"/>
  <c r="Y184" i="35"/>
  <c r="Y192" i="35"/>
  <c r="Y200" i="35"/>
  <c r="Y225" i="35"/>
  <c r="Y231" i="35"/>
  <c r="Y236" i="35"/>
  <c r="Y237" i="35"/>
  <c r="Y144" i="35"/>
  <c r="Y145" i="35"/>
  <c r="Y149" i="35"/>
  <c r="Y152" i="35"/>
  <c r="Y153" i="35"/>
  <c r="Y157" i="35"/>
  <c r="Y160" i="35"/>
  <c r="Y161" i="35"/>
  <c r="Y169" i="35"/>
  <c r="Y177" i="35"/>
  <c r="Y185" i="35"/>
  <c r="Y193" i="35"/>
  <c r="Y201" i="35"/>
  <c r="Y206" i="35"/>
  <c r="Y209" i="35"/>
  <c r="Y211" i="35"/>
  <c r="Y216" i="35"/>
  <c r="Y204" i="35"/>
  <c r="Y217" i="35"/>
  <c r="Y222" i="35"/>
  <c r="Y227" i="35"/>
  <c r="Y232" i="35"/>
  <c r="Y239" i="35"/>
  <c r="AK12" i="34"/>
  <c r="AK8" i="34"/>
  <c r="AK3" i="34"/>
  <c r="AK22" i="34"/>
  <c r="AK18" i="34"/>
  <c r="AK13" i="34"/>
  <c r="Q142" i="34"/>
  <c r="Q124" i="34"/>
  <c r="Q95" i="34"/>
  <c r="Q87" i="34"/>
  <c r="Q60" i="34"/>
  <c r="Q56" i="34"/>
  <c r="Q132" i="34"/>
  <c r="Q93" i="34"/>
  <c r="Q85" i="34"/>
  <c r="Q70" i="34"/>
  <c r="Q61" i="34"/>
  <c r="Q57" i="34"/>
  <c r="Q53" i="34"/>
  <c r="Q149" i="34"/>
  <c r="Q99" i="34"/>
  <c r="Q91" i="34"/>
  <c r="Q83" i="34"/>
  <c r="Q58" i="34"/>
  <c r="Q54" i="34"/>
  <c r="Q35" i="34"/>
  <c r="Q12" i="34"/>
  <c r="Q116" i="34"/>
  <c r="Q108" i="34"/>
  <c r="Q103" i="34"/>
  <c r="Q97" i="34"/>
  <c r="Q89" i="34"/>
  <c r="Q81" i="34"/>
  <c r="Q59" i="34"/>
  <c r="Q55" i="34"/>
  <c r="G2" i="34"/>
  <c r="G31" i="34"/>
  <c r="G16" i="34"/>
  <c r="G9" i="34"/>
  <c r="G32" i="34"/>
  <c r="G27" i="34"/>
  <c r="G5" i="34"/>
  <c r="G25" i="34"/>
  <c r="G26" i="34"/>
  <c r="AK38" i="34"/>
  <c r="AK49" i="34"/>
  <c r="AK101" i="34"/>
  <c r="AK124" i="34"/>
  <c r="AK150" i="34"/>
  <c r="AK139" i="34"/>
  <c r="AK134" i="34"/>
  <c r="AK160" i="34"/>
  <c r="AK159" i="34"/>
  <c r="AK156" i="34"/>
  <c r="AK155" i="34"/>
  <c r="AK153" i="34"/>
  <c r="AK148" i="34"/>
  <c r="AA186" i="34"/>
  <c r="AA218" i="34"/>
  <c r="AA250" i="34"/>
  <c r="AA282" i="34"/>
  <c r="AG260" i="38"/>
  <c r="AG258" i="38"/>
  <c r="AG256" i="38"/>
  <c r="AG254" i="38"/>
  <c r="AG252" i="38"/>
  <c r="AG250" i="38"/>
  <c r="AG248" i="38"/>
  <c r="AG246" i="38"/>
  <c r="AG244" i="38"/>
  <c r="AG242" i="38"/>
  <c r="AG240" i="38"/>
  <c r="AG238" i="38"/>
  <c r="AG236" i="38"/>
  <c r="AG234" i="38"/>
  <c r="AG232" i="38"/>
  <c r="AG230" i="38"/>
  <c r="AG228" i="38"/>
  <c r="AG226" i="38"/>
  <c r="AG224" i="38"/>
  <c r="AG222" i="38"/>
  <c r="AG220" i="38"/>
  <c r="AG218" i="38"/>
  <c r="AG216" i="38"/>
  <c r="AG214" i="38"/>
  <c r="AG212" i="38"/>
  <c r="AG210" i="38"/>
  <c r="AG208" i="38"/>
  <c r="AG206" i="38"/>
  <c r="AG204" i="38"/>
  <c r="AG202" i="38"/>
  <c r="AG200" i="38"/>
  <c r="AG198" i="38"/>
  <c r="AG196" i="38"/>
  <c r="AG194" i="38"/>
  <c r="AG192" i="38"/>
  <c r="AG190" i="38"/>
  <c r="AG188" i="38"/>
  <c r="AG186" i="38"/>
  <c r="AG184" i="38"/>
  <c r="AG182" i="38"/>
  <c r="AG180" i="38"/>
  <c r="AG178" i="38"/>
  <c r="AG176" i="38"/>
  <c r="AG174" i="38"/>
  <c r="AG172" i="38"/>
  <c r="AG170" i="38"/>
  <c r="AG168" i="38"/>
  <c r="AG166" i="38"/>
  <c r="AG164" i="38"/>
  <c r="AG162" i="38"/>
  <c r="AG160" i="38"/>
  <c r="AG158" i="38"/>
  <c r="AG156" i="38"/>
  <c r="AG154" i="38"/>
  <c r="AG152" i="38"/>
  <c r="AG150" i="38"/>
  <c r="AG148" i="38"/>
  <c r="AG146" i="38"/>
  <c r="AG144" i="38"/>
  <c r="AG142" i="38"/>
  <c r="AG140" i="38"/>
  <c r="AG138" i="38"/>
  <c r="AG136" i="38"/>
  <c r="AG134" i="38"/>
  <c r="AG132" i="38"/>
  <c r="AG130" i="38"/>
  <c r="AG128" i="38"/>
  <c r="AG126" i="38"/>
  <c r="AG124" i="38"/>
  <c r="AG122" i="38"/>
  <c r="AG120" i="38"/>
  <c r="AG118" i="38"/>
  <c r="AG116" i="38"/>
  <c r="AG114" i="38"/>
  <c r="AG112" i="38"/>
  <c r="AG110" i="38"/>
  <c r="AG108" i="38"/>
  <c r="AG106" i="38"/>
  <c r="AG104" i="38"/>
  <c r="AG102" i="38"/>
  <c r="AG100" i="38"/>
  <c r="AG98" i="38"/>
  <c r="AG96" i="38"/>
  <c r="AG94" i="38"/>
  <c r="AG92" i="38"/>
  <c r="AG90" i="38"/>
  <c r="AG88" i="38"/>
  <c r="AG86" i="38"/>
  <c r="AG84" i="38"/>
  <c r="AG82" i="38"/>
  <c r="AG80" i="38"/>
  <c r="AG78" i="38"/>
  <c r="AG76" i="38"/>
  <c r="AG74" i="38"/>
  <c r="AG72" i="38"/>
  <c r="AG70" i="38"/>
  <c r="AG68" i="38"/>
  <c r="AG66" i="38"/>
  <c r="AG64" i="38"/>
  <c r="AG62" i="38"/>
  <c r="AG60" i="38"/>
  <c r="AG58" i="38"/>
  <c r="AG56" i="38"/>
  <c r="AG54" i="38"/>
  <c r="AG52" i="38"/>
  <c r="AG50" i="38"/>
  <c r="AG48" i="38"/>
  <c r="AG46" i="38"/>
  <c r="AG44" i="38"/>
  <c r="AG42" i="38"/>
  <c r="AG40" i="38"/>
  <c r="AG38" i="38"/>
  <c r="AG36" i="38"/>
  <c r="AG34" i="38"/>
  <c r="AG32" i="38"/>
  <c r="AG30" i="38"/>
  <c r="AG28" i="38"/>
  <c r="AG26" i="38"/>
  <c r="AG24" i="38"/>
  <c r="AG22" i="38"/>
  <c r="AG20" i="38"/>
  <c r="AG18" i="38"/>
  <c r="AG16" i="38"/>
  <c r="AG14" i="38"/>
  <c r="AG12" i="38"/>
  <c r="AG10" i="38"/>
  <c r="AG8" i="38"/>
  <c r="AG6" i="38"/>
  <c r="AG4" i="38"/>
  <c r="AG255" i="38"/>
  <c r="AG247" i="38"/>
  <c r="AG239" i="38"/>
  <c r="AG231" i="38"/>
  <c r="AG223" i="38"/>
  <c r="AG215" i="38"/>
  <c r="AG207" i="38"/>
  <c r="AG199" i="38"/>
  <c r="AG191" i="38"/>
  <c r="AG183" i="38"/>
  <c r="AG175" i="38"/>
  <c r="AG167" i="38"/>
  <c r="AG159" i="38"/>
  <c r="AG151" i="38"/>
  <c r="AG143" i="38"/>
  <c r="AG135" i="38"/>
  <c r="AG127" i="38"/>
  <c r="AG119" i="38"/>
  <c r="AG111" i="38"/>
  <c r="AG103" i="38"/>
  <c r="AG95" i="38"/>
  <c r="AG87" i="38"/>
  <c r="AG79" i="38"/>
  <c r="AG71" i="38"/>
  <c r="AG63" i="38"/>
  <c r="AG55" i="38"/>
  <c r="AG47" i="38"/>
  <c r="AG39" i="38"/>
  <c r="AG31" i="38"/>
  <c r="AG23" i="38"/>
  <c r="AG15" i="38"/>
  <c r="AG7" i="38"/>
  <c r="AG257" i="38"/>
  <c r="AG251" i="38"/>
  <c r="AG245" i="38"/>
  <c r="AG225" i="38"/>
  <c r="AG219" i="38"/>
  <c r="AG213" i="38"/>
  <c r="AG193" i="38"/>
  <c r="AG187" i="38"/>
  <c r="AG181" i="38"/>
  <c r="AG161" i="38"/>
  <c r="AG155" i="38"/>
  <c r="AG149" i="38"/>
  <c r="AG129" i="38"/>
  <c r="AG123" i="38"/>
  <c r="AG117" i="38"/>
  <c r="AG97" i="38"/>
  <c r="AG91" i="38"/>
  <c r="AG85" i="38"/>
  <c r="AG65" i="38"/>
  <c r="AG59" i="38"/>
  <c r="AG53" i="38"/>
  <c r="AG33" i="38"/>
  <c r="AG27" i="38"/>
  <c r="AG21" i="38"/>
  <c r="AG241" i="38"/>
  <c r="AG235" i="38"/>
  <c r="AG229" i="38"/>
  <c r="AG209" i="38"/>
  <c r="AG203" i="38"/>
  <c r="AG197" i="38"/>
  <c r="AG177" i="38"/>
  <c r="AG171" i="38"/>
  <c r="AG165" i="38"/>
  <c r="AG145" i="38"/>
  <c r="AG139" i="38"/>
  <c r="AG133" i="38"/>
  <c r="AG113" i="38"/>
  <c r="AG107" i="38"/>
  <c r="AG101" i="38"/>
  <c r="AG81" i="38"/>
  <c r="AG75" i="38"/>
  <c r="AG69" i="38"/>
  <c r="AG49" i="38"/>
  <c r="AG43" i="38"/>
  <c r="AG37" i="38"/>
  <c r="AG17" i="38"/>
  <c r="AG11" i="38"/>
  <c r="AG5" i="38"/>
  <c r="Y254" i="35"/>
  <c r="Y6" i="35"/>
  <c r="Y14" i="35"/>
  <c r="Y22" i="35"/>
  <c r="Y30" i="35"/>
  <c r="Y38" i="35"/>
  <c r="Y46" i="35"/>
  <c r="Y54" i="35"/>
  <c r="Y62" i="35"/>
  <c r="Y70" i="35"/>
  <c r="Y78" i="35"/>
  <c r="Y86" i="35"/>
  <c r="Y94" i="35"/>
  <c r="Y102" i="35"/>
  <c r="Y110" i="35"/>
  <c r="Y118" i="35"/>
  <c r="Y126" i="35"/>
  <c r="Y134" i="35"/>
  <c r="Y142" i="35"/>
  <c r="Y150" i="35"/>
  <c r="Y155" i="35"/>
  <c r="Y156" i="35"/>
  <c r="Y166" i="35"/>
  <c r="Y171" i="35"/>
  <c r="Y172" i="35"/>
  <c r="Y182" i="35"/>
  <c r="Y187" i="35"/>
  <c r="Y188" i="35"/>
  <c r="Y198" i="35"/>
  <c r="Y203" i="35"/>
  <c r="Y208" i="35"/>
  <c r="Y212" i="35"/>
  <c r="Y229" i="35"/>
  <c r="Y230" i="35"/>
  <c r="Y235" i="35"/>
  <c r="Y240" i="35"/>
  <c r="Y243" i="35"/>
  <c r="Y245" i="35"/>
  <c r="Y247" i="35"/>
  <c r="Y249" i="35"/>
  <c r="Y251" i="35"/>
  <c r="AG41" i="38"/>
  <c r="AG51" i="38"/>
  <c r="AG61" i="38"/>
  <c r="AG105" i="38"/>
  <c r="AG115" i="38"/>
  <c r="AG125" i="38"/>
  <c r="AG169" i="38"/>
  <c r="AG179" i="38"/>
  <c r="AG189" i="38"/>
  <c r="AG233" i="38"/>
  <c r="AG243" i="38"/>
  <c r="AG253" i="38"/>
  <c r="AK116" i="34"/>
  <c r="AA300" i="34"/>
  <c r="AA292" i="34"/>
  <c r="AA284" i="34"/>
  <c r="AA276" i="34"/>
  <c r="AA268" i="34"/>
  <c r="AA260" i="34"/>
  <c r="AA252" i="34"/>
  <c r="AA244" i="34"/>
  <c r="AA236" i="34"/>
  <c r="AA228" i="34"/>
  <c r="AA220" i="34"/>
  <c r="AA212" i="34"/>
  <c r="AA204" i="34"/>
  <c r="AA196" i="34"/>
  <c r="AA188" i="34"/>
  <c r="AA180" i="34"/>
  <c r="AA172" i="34"/>
  <c r="AA161" i="34"/>
  <c r="AA160" i="34"/>
  <c r="AA296" i="34"/>
  <c r="AA288" i="34"/>
  <c r="AA280" i="34"/>
  <c r="AA272" i="34"/>
  <c r="AA264" i="34"/>
  <c r="AA256" i="34"/>
  <c r="AA248" i="34"/>
  <c r="AA240" i="34"/>
  <c r="AA232" i="34"/>
  <c r="AA224" i="34"/>
  <c r="AA216" i="34"/>
  <c r="AA208" i="34"/>
  <c r="AA200" i="34"/>
  <c r="AA192" i="34"/>
  <c r="AA184" i="34"/>
  <c r="AA176" i="34"/>
  <c r="AA168" i="34"/>
  <c r="AA302" i="34"/>
  <c r="AA286" i="34"/>
  <c r="AA270" i="34"/>
  <c r="AA254" i="34"/>
  <c r="AA238" i="34"/>
  <c r="AA222" i="34"/>
  <c r="AA206" i="34"/>
  <c r="AA190" i="34"/>
  <c r="AA174" i="34"/>
  <c r="AA165" i="34"/>
  <c r="AA164" i="34"/>
  <c r="AA294" i="34"/>
  <c r="AA278" i="34"/>
  <c r="AA262" i="34"/>
  <c r="AA246" i="34"/>
  <c r="AA230" i="34"/>
  <c r="AA214" i="34"/>
  <c r="AA198" i="34"/>
  <c r="AA182" i="34"/>
  <c r="AA166" i="34"/>
  <c r="G157" i="34"/>
  <c r="AK164" i="34"/>
  <c r="AA194" i="34"/>
  <c r="AA226" i="34"/>
  <c r="AA258" i="34"/>
  <c r="AA290" i="34"/>
  <c r="AA401" i="34"/>
  <c r="AA324" i="34"/>
  <c r="AA393" i="34"/>
  <c r="AA170" i="34"/>
  <c r="AA202" i="34"/>
  <c r="AA234" i="34"/>
  <c r="AA266" i="34"/>
  <c r="AA332" i="34"/>
  <c r="AA377" i="34"/>
  <c r="AA575" i="34"/>
  <c r="AA502" i="34"/>
  <c r="AA470" i="34"/>
  <c r="AA537" i="34"/>
  <c r="AA534" i="34"/>
  <c r="AA531" i="34"/>
  <c r="AA518" i="34"/>
  <c r="AA486" i="34"/>
  <c r="AA494" i="34"/>
  <c r="AA478" i="34"/>
  <c r="Q644" i="34"/>
  <c r="Q676" i="34"/>
  <c r="Q660" i="34"/>
  <c r="Y248" i="35"/>
  <c r="Y10" i="35"/>
  <c r="Y18" i="35"/>
  <c r="Y26" i="35"/>
  <c r="Y34" i="35"/>
  <c r="Y42" i="35"/>
  <c r="Y50" i="35"/>
  <c r="Y58" i="35"/>
  <c r="Y66" i="35"/>
  <c r="Y74" i="35"/>
  <c r="Y82" i="35"/>
  <c r="Y90" i="35"/>
  <c r="Y98" i="35"/>
  <c r="Y106" i="35"/>
  <c r="Y114" i="35"/>
  <c r="Y122" i="35"/>
  <c r="Y130" i="35"/>
  <c r="Y138" i="35"/>
  <c r="Y147" i="35"/>
  <c r="Y148" i="35"/>
  <c r="Y158" i="35"/>
  <c r="Y163" i="35"/>
  <c r="Y164" i="35"/>
  <c r="Y174" i="35"/>
  <c r="Y179" i="35"/>
  <c r="Y180" i="35"/>
  <c r="Y190" i="35"/>
  <c r="Y195" i="35"/>
  <c r="Y196" i="35"/>
  <c r="Y213" i="35"/>
  <c r="Y214" i="35"/>
  <c r="Y219" i="35"/>
  <c r="Y224" i="35"/>
  <c r="Y228" i="35"/>
  <c r="Y246" i="35"/>
  <c r="Y250" i="35"/>
  <c r="AG9" i="38"/>
  <c r="AG19" i="38"/>
  <c r="AG29" i="38"/>
  <c r="AG73" i="38"/>
  <c r="AG83" i="38"/>
  <c r="AG93" i="38"/>
  <c r="AG137" i="38"/>
  <c r="AG147" i="38"/>
  <c r="AG157" i="38"/>
  <c r="AG201" i="38"/>
  <c r="AG211" i="38"/>
  <c r="AG221" i="38"/>
  <c r="AK46" i="34"/>
  <c r="AK42" i="34"/>
  <c r="AK37" i="34"/>
  <c r="AK44" i="34"/>
  <c r="AK40" i="34"/>
  <c r="AK43" i="34"/>
  <c r="AK39" i="34"/>
  <c r="AK47" i="34"/>
  <c r="AK36" i="34"/>
  <c r="AK63" i="34"/>
  <c r="AK60" i="34"/>
  <c r="AK58" i="34"/>
  <c r="AK56" i="34"/>
  <c r="AK54" i="34"/>
  <c r="AK52" i="34"/>
  <c r="AK35" i="34"/>
  <c r="AK65" i="34"/>
  <c r="AK61" i="34"/>
  <c r="AK59" i="34"/>
  <c r="AK57" i="34"/>
  <c r="AK55" i="34"/>
  <c r="AK53" i="34"/>
  <c r="AK45" i="34"/>
  <c r="AK50" i="34"/>
  <c r="AK64" i="34"/>
  <c r="AK128" i="34"/>
  <c r="Q153" i="34"/>
  <c r="Q164" i="34"/>
  <c r="Q163" i="34"/>
  <c r="Q156" i="34"/>
  <c r="Q162" i="34"/>
  <c r="Q161" i="34"/>
  <c r="Q158" i="34"/>
  <c r="Q157" i="34"/>
  <c r="Q155" i="34"/>
  <c r="Q154" i="34"/>
  <c r="AK163" i="34"/>
  <c r="AA178" i="34"/>
  <c r="AA210" i="34"/>
  <c r="AA242" i="34"/>
  <c r="AA274" i="34"/>
  <c r="AA421" i="34"/>
  <c r="AA385" i="34"/>
  <c r="AA353" i="34"/>
  <c r="AA336" i="34"/>
  <c r="AA320" i="34"/>
  <c r="AA306" i="34"/>
  <c r="AA340" i="34"/>
  <c r="AA361" i="34"/>
  <c r="Q461" i="34"/>
  <c r="AA559" i="34"/>
  <c r="Y238" i="35"/>
  <c r="Q2" i="34"/>
  <c r="Q151" i="34"/>
  <c r="Q138" i="34"/>
  <c r="Q136" i="34"/>
  <c r="Q135" i="34"/>
  <c r="Q134" i="34"/>
  <c r="Q130" i="34"/>
  <c r="Q122" i="34"/>
  <c r="Q114" i="34"/>
  <c r="Q112" i="34"/>
  <c r="Q68" i="34"/>
  <c r="Q65" i="34"/>
  <c r="Q63" i="34"/>
  <c r="Q52" i="34"/>
  <c r="Q47" i="34"/>
  <c r="Q36" i="34"/>
  <c r="Q27" i="34"/>
  <c r="Q26" i="34"/>
  <c r="Q25" i="34"/>
  <c r="Q24" i="34"/>
  <c r="Q22" i="34"/>
  <c r="Q20" i="34"/>
  <c r="Q14" i="34"/>
  <c r="Q8" i="34"/>
  <c r="Q147" i="34"/>
  <c r="Q146" i="34"/>
  <c r="Q126" i="34"/>
  <c r="Q118" i="34"/>
  <c r="Q101" i="34"/>
  <c r="Q66" i="34"/>
  <c r="Q64" i="34"/>
  <c r="Q62" i="34"/>
  <c r="Q43" i="34"/>
  <c r="Q39" i="34"/>
  <c r="Q31" i="34"/>
  <c r="Q16" i="34"/>
  <c r="Q13" i="34"/>
  <c r="Q3" i="34"/>
  <c r="Q18" i="34"/>
  <c r="Q34" i="34"/>
  <c r="Q45" i="34"/>
  <c r="Q48" i="34"/>
  <c r="Q50" i="34"/>
  <c r="AK79" i="34"/>
  <c r="AK77" i="34"/>
  <c r="AK75" i="34"/>
  <c r="AK73" i="34"/>
  <c r="AK71" i="34"/>
  <c r="AK80" i="34"/>
  <c r="AK78" i="34"/>
  <c r="AK76" i="34"/>
  <c r="AK74" i="34"/>
  <c r="AK72" i="34"/>
  <c r="AK69" i="34"/>
  <c r="AK98" i="34"/>
  <c r="AK96" i="34"/>
  <c r="AK94" i="34"/>
  <c r="AK92" i="34"/>
  <c r="AK90" i="34"/>
  <c r="AK88" i="34"/>
  <c r="AK86" i="34"/>
  <c r="AK84" i="34"/>
  <c r="AK82" i="34"/>
  <c r="AK99" i="34"/>
  <c r="AK97" i="34"/>
  <c r="AK95" i="34"/>
  <c r="AK93" i="34"/>
  <c r="AK91" i="34"/>
  <c r="AK89" i="34"/>
  <c r="AK87" i="34"/>
  <c r="AK85" i="34"/>
  <c r="AK83" i="34"/>
  <c r="AK81" i="34"/>
  <c r="AK70" i="34"/>
  <c r="Q82" i="34"/>
  <c r="Q86" i="34"/>
  <c r="Q90" i="34"/>
  <c r="Q94" i="34"/>
  <c r="Q98" i="34"/>
  <c r="G109" i="34"/>
  <c r="Q120" i="34"/>
  <c r="G143" i="34"/>
  <c r="G149" i="34"/>
  <c r="Z3" i="35"/>
  <c r="AD3" i="35"/>
  <c r="AH3" i="35"/>
  <c r="AL3" i="35"/>
  <c r="AP3" i="35"/>
  <c r="AT3" i="35"/>
  <c r="AX3" i="35"/>
  <c r="BB3" i="35"/>
  <c r="Y146" i="35"/>
  <c r="Y154" i="35"/>
  <c r="Y162" i="35"/>
  <c r="Y170" i="35"/>
  <c r="Y178" i="35"/>
  <c r="Y186" i="35"/>
  <c r="Y194" i="35"/>
  <c r="Y202" i="35"/>
  <c r="Y210" i="35"/>
  <c r="Y218" i="35"/>
  <c r="Y226" i="35"/>
  <c r="Y234" i="35"/>
  <c r="Y242" i="35"/>
  <c r="Y244" i="35"/>
  <c r="Y252" i="35"/>
  <c r="Y253" i="35"/>
  <c r="AA139" i="34"/>
  <c r="AK2" i="34"/>
  <c r="AK17" i="34"/>
  <c r="AK11" i="34"/>
  <c r="AK7" i="34"/>
  <c r="AK31" i="34"/>
  <c r="AK16" i="34"/>
  <c r="AK10" i="34"/>
  <c r="AK27" i="34"/>
  <c r="AK26" i="34"/>
  <c r="AK25" i="34"/>
  <c r="AK24" i="34"/>
  <c r="AK20" i="34"/>
  <c r="AK6" i="34"/>
  <c r="Q6" i="34"/>
  <c r="AK14" i="34"/>
  <c r="AK29" i="34"/>
  <c r="AK33" i="34"/>
  <c r="G61" i="34"/>
  <c r="G60" i="34"/>
  <c r="G59" i="34"/>
  <c r="G58" i="34"/>
  <c r="G57" i="34"/>
  <c r="G56" i="34"/>
  <c r="G55" i="34"/>
  <c r="G54" i="34"/>
  <c r="G53" i="34"/>
  <c r="G44" i="34"/>
  <c r="G40" i="34"/>
  <c r="G35" i="34"/>
  <c r="G51" i="34"/>
  <c r="G50" i="34"/>
  <c r="G49" i="34"/>
  <c r="G48" i="34"/>
  <c r="Q38" i="34"/>
  <c r="Q41" i="34"/>
  <c r="Q49" i="34"/>
  <c r="Q51" i="34"/>
  <c r="Q84" i="34"/>
  <c r="Q88" i="34"/>
  <c r="Q92" i="34"/>
  <c r="Q96" i="34"/>
  <c r="AK112" i="34"/>
  <c r="AK110" i="34"/>
  <c r="AK108" i="34"/>
  <c r="AK106" i="34"/>
  <c r="AK131" i="34"/>
  <c r="AK127" i="34"/>
  <c r="AK123" i="34"/>
  <c r="AK119" i="34"/>
  <c r="AK115" i="34"/>
  <c r="AK111" i="34"/>
  <c r="AK105" i="34"/>
  <c r="AK102" i="34"/>
  <c r="AK129" i="34"/>
  <c r="AK125" i="34"/>
  <c r="AK121" i="34"/>
  <c r="AK117" i="34"/>
  <c r="AK107" i="34"/>
  <c r="AK104" i="34"/>
  <c r="AK130" i="34"/>
  <c r="AK122" i="34"/>
  <c r="AK114" i="34"/>
  <c r="AK113" i="34"/>
  <c r="AK103" i="34"/>
  <c r="AK126" i="34"/>
  <c r="AK118" i="34"/>
  <c r="AK120" i="34"/>
  <c r="Q128" i="34"/>
  <c r="AA328" i="34"/>
  <c r="AA344" i="34"/>
  <c r="AA369" i="34"/>
  <c r="Q465" i="34"/>
  <c r="G28" i="34"/>
  <c r="G22" i="34"/>
  <c r="G21" i="34"/>
  <c r="G17" i="34"/>
  <c r="G10" i="34"/>
  <c r="G6" i="34"/>
  <c r="G30" i="34"/>
  <c r="G23" i="34"/>
  <c r="G19" i="34"/>
  <c r="G15" i="34"/>
  <c r="G14" i="34"/>
  <c r="G13" i="34"/>
  <c r="G8" i="34"/>
  <c r="G4" i="34"/>
  <c r="G3" i="34"/>
  <c r="G7" i="34"/>
  <c r="AA9" i="34"/>
  <c r="G12" i="34"/>
  <c r="AA18" i="34"/>
  <c r="G29" i="34"/>
  <c r="G33" i="34"/>
  <c r="AA34" i="34"/>
  <c r="AA35" i="34"/>
  <c r="AA53" i="34"/>
  <c r="AA54" i="34"/>
  <c r="AA55" i="34"/>
  <c r="AA56" i="34"/>
  <c r="AA57" i="34"/>
  <c r="AA58" i="34"/>
  <c r="AA59" i="34"/>
  <c r="AA60" i="34"/>
  <c r="AA61" i="34"/>
  <c r="AA71" i="34"/>
  <c r="AA75" i="34"/>
  <c r="AA79" i="34"/>
  <c r="AA112" i="34"/>
  <c r="AA113" i="34"/>
  <c r="AA114" i="34"/>
  <c r="AA122" i="34"/>
  <c r="AA130" i="34"/>
  <c r="AA134" i="34"/>
  <c r="G164" i="34"/>
  <c r="AA135" i="34"/>
  <c r="G134" i="34"/>
  <c r="G159" i="34"/>
  <c r="G153" i="34"/>
  <c r="G150" i="34"/>
  <c r="G141" i="34"/>
  <c r="G163" i="34"/>
  <c r="G152" i="34"/>
  <c r="G148" i="34"/>
  <c r="G145" i="34"/>
  <c r="G137" i="34"/>
  <c r="G136" i="34"/>
  <c r="AA138" i="34"/>
  <c r="G139" i="34"/>
  <c r="G151" i="34"/>
  <c r="AA304" i="34"/>
  <c r="AA318" i="34"/>
  <c r="AA326" i="34"/>
  <c r="AA334" i="34"/>
  <c r="AA342" i="34"/>
  <c r="AA349" i="34"/>
  <c r="AA365" i="34"/>
  <c r="AA381" i="34"/>
  <c r="AA397" i="34"/>
  <c r="AA409" i="34"/>
  <c r="AA425" i="34"/>
  <c r="AA151" i="34"/>
  <c r="AA150" i="34"/>
  <c r="AA149" i="34"/>
  <c r="AA148" i="34"/>
  <c r="AA147" i="34"/>
  <c r="AA136" i="34"/>
  <c r="AA141" i="34"/>
  <c r="AA140" i="34"/>
  <c r="AA131" i="34"/>
  <c r="AA127" i="34"/>
  <c r="AA123" i="34"/>
  <c r="AA119" i="34"/>
  <c r="AA115" i="34"/>
  <c r="AA111" i="34"/>
  <c r="AA110" i="34"/>
  <c r="AA103" i="34"/>
  <c r="AA68" i="34"/>
  <c r="AA66" i="34"/>
  <c r="AA65" i="34"/>
  <c r="AA64" i="34"/>
  <c r="AA63" i="34"/>
  <c r="AA62" i="34"/>
  <c r="AA52" i="34"/>
  <c r="AA44" i="34"/>
  <c r="AA40" i="34"/>
  <c r="AA28" i="34"/>
  <c r="AA21" i="34"/>
  <c r="AA17" i="34"/>
  <c r="AA14" i="34"/>
  <c r="AA13" i="34"/>
  <c r="AA8" i="34"/>
  <c r="AA3" i="34"/>
  <c r="AA145" i="34"/>
  <c r="AA144" i="34"/>
  <c r="AA137" i="34"/>
  <c r="AA133" i="34"/>
  <c r="AA129" i="34"/>
  <c r="AA125" i="34"/>
  <c r="AA121" i="34"/>
  <c r="AA117" i="34"/>
  <c r="AA107" i="34"/>
  <c r="AA106" i="34"/>
  <c r="AA101" i="34"/>
  <c r="AA99" i="34"/>
  <c r="AA98" i="34"/>
  <c r="AA97" i="34"/>
  <c r="AA96" i="34"/>
  <c r="AA95" i="34"/>
  <c r="AA94" i="34"/>
  <c r="AA93" i="34"/>
  <c r="AA92" i="34"/>
  <c r="AA91" i="34"/>
  <c r="AA90" i="34"/>
  <c r="AA89" i="34"/>
  <c r="AA88" i="34"/>
  <c r="AA87" i="34"/>
  <c r="AA86" i="34"/>
  <c r="AA85" i="34"/>
  <c r="AA84" i="34"/>
  <c r="AA83" i="34"/>
  <c r="AA82" i="34"/>
  <c r="AA81" i="34"/>
  <c r="AA70" i="34"/>
  <c r="AA46" i="34"/>
  <c r="AA37" i="34"/>
  <c r="AA30" i="34"/>
  <c r="AA23" i="34"/>
  <c r="AA22" i="34"/>
  <c r="AA19" i="34"/>
  <c r="AA15" i="34"/>
  <c r="AA10" i="34"/>
  <c r="AA6" i="34"/>
  <c r="AA4" i="34"/>
  <c r="AA5" i="34"/>
  <c r="G11" i="34"/>
  <c r="AA12" i="34"/>
  <c r="G18" i="34"/>
  <c r="AA29" i="34"/>
  <c r="AA32" i="34"/>
  <c r="AA33" i="34"/>
  <c r="G47" i="34"/>
  <c r="AA38" i="34"/>
  <c r="AA41" i="34"/>
  <c r="AA42" i="34"/>
  <c r="AA45" i="34"/>
  <c r="AA48" i="34"/>
  <c r="AA49" i="34"/>
  <c r="AA50" i="34"/>
  <c r="AA51" i="34"/>
  <c r="AA67" i="34"/>
  <c r="AA73" i="34"/>
  <c r="AA77" i="34"/>
  <c r="AA104" i="34"/>
  <c r="AA118" i="34"/>
  <c r="AA126" i="34"/>
  <c r="AA146" i="34"/>
  <c r="G147" i="34"/>
  <c r="G161" i="34"/>
  <c r="Q316" i="34"/>
  <c r="AA322" i="34"/>
  <c r="AA330" i="34"/>
  <c r="AA338" i="34"/>
  <c r="Q305" i="34"/>
  <c r="Q304" i="34"/>
  <c r="AA357" i="34"/>
  <c r="AA373" i="34"/>
  <c r="AA389" i="34"/>
  <c r="AA405" i="34"/>
  <c r="AA417" i="34"/>
  <c r="AA713" i="34"/>
  <c r="AA710" i="34"/>
  <c r="AA707" i="34"/>
  <c r="AA616" i="34"/>
  <c r="AA610" i="34"/>
  <c r="Q668" i="34"/>
  <c r="Q636" i="34"/>
  <c r="Q684" i="34"/>
  <c r="Q652" i="34"/>
  <c r="Q620" i="34"/>
  <c r="Q145" i="34"/>
  <c r="Q143" i="34"/>
  <c r="Q141" i="34"/>
  <c r="Q139" i="34"/>
  <c r="Q137" i="34"/>
  <c r="Q133" i="34"/>
  <c r="Q113" i="34"/>
  <c r="Q111" i="34"/>
  <c r="Q109" i="34"/>
  <c r="Q107" i="34"/>
  <c r="Q5" i="34"/>
  <c r="Q9" i="34"/>
  <c r="Q17" i="34"/>
  <c r="Q21" i="34"/>
  <c r="AK21" i="34"/>
  <c r="Q28" i="34"/>
  <c r="AK28" i="34"/>
  <c r="AK32" i="34"/>
  <c r="G37" i="34"/>
  <c r="G38" i="34"/>
  <c r="Q40" i="34"/>
  <c r="G41" i="34"/>
  <c r="Q42" i="34"/>
  <c r="Q44" i="34"/>
  <c r="G45" i="34"/>
  <c r="G52" i="34"/>
  <c r="G62" i="34"/>
  <c r="G63" i="34"/>
  <c r="G64" i="34"/>
  <c r="G65" i="34"/>
  <c r="G66" i="34"/>
  <c r="Q67" i="34"/>
  <c r="G69" i="34"/>
  <c r="Q71" i="34"/>
  <c r="G72" i="34"/>
  <c r="Q73" i="34"/>
  <c r="G74" i="34"/>
  <c r="Q75" i="34"/>
  <c r="G76" i="34"/>
  <c r="Q77" i="34"/>
  <c r="G78" i="34"/>
  <c r="Q79" i="34"/>
  <c r="G80" i="34"/>
  <c r="Q102" i="34"/>
  <c r="G103" i="34"/>
  <c r="G104" i="34"/>
  <c r="Q105" i="34"/>
  <c r="Q106" i="34"/>
  <c r="G107" i="34"/>
  <c r="Q117" i="34"/>
  <c r="Q121" i="34"/>
  <c r="Q125" i="34"/>
  <c r="Q129" i="34"/>
  <c r="AK146" i="34"/>
  <c r="AK144" i="34"/>
  <c r="AK142" i="34"/>
  <c r="AK140" i="34"/>
  <c r="AK138" i="34"/>
  <c r="AK135" i="34"/>
  <c r="AK136" i="34"/>
  <c r="AK137" i="34"/>
  <c r="Q144" i="34"/>
  <c r="AK145" i="34"/>
  <c r="AK147" i="34"/>
  <c r="Q148" i="34"/>
  <c r="AK151" i="34"/>
  <c r="AK152" i="34"/>
  <c r="AA153" i="34"/>
  <c r="AK161" i="34"/>
  <c r="AA162" i="34"/>
  <c r="AK162" i="34"/>
  <c r="AA163" i="34"/>
  <c r="AK165" i="34"/>
  <c r="AA167" i="34"/>
  <c r="AA171" i="34"/>
  <c r="AA175" i="34"/>
  <c r="AA179" i="34"/>
  <c r="AA183" i="34"/>
  <c r="AA187" i="34"/>
  <c r="AA191" i="34"/>
  <c r="AA195" i="34"/>
  <c r="AA199" i="34"/>
  <c r="AA203" i="34"/>
  <c r="AA207" i="34"/>
  <c r="AA211" i="34"/>
  <c r="AA215" i="34"/>
  <c r="AA219" i="34"/>
  <c r="AA223" i="34"/>
  <c r="AA227" i="34"/>
  <c r="AA231" i="34"/>
  <c r="AA235" i="34"/>
  <c r="AA239" i="34"/>
  <c r="AA243" i="34"/>
  <c r="AA247" i="34"/>
  <c r="AA251" i="34"/>
  <c r="AA255" i="34"/>
  <c r="AA259" i="34"/>
  <c r="AA263" i="34"/>
  <c r="AA267" i="34"/>
  <c r="AA271" i="34"/>
  <c r="AA275" i="34"/>
  <c r="AA279" i="34"/>
  <c r="AA283" i="34"/>
  <c r="AA287" i="34"/>
  <c r="AA291" i="34"/>
  <c r="AA295" i="34"/>
  <c r="AA299" i="34"/>
  <c r="AA453" i="34"/>
  <c r="AA451" i="34"/>
  <c r="AA449" i="34"/>
  <c r="AA447" i="34"/>
  <c r="AA445" i="34"/>
  <c r="AA443" i="34"/>
  <c r="AA441" i="34"/>
  <c r="AA439" i="34"/>
  <c r="AA437" i="34"/>
  <c r="AA435" i="34"/>
  <c r="AA433" i="34"/>
  <c r="AA431" i="34"/>
  <c r="AA452" i="34"/>
  <c r="AA450" i="34"/>
  <c r="AA448" i="34"/>
  <c r="AA446" i="34"/>
  <c r="AA444" i="34"/>
  <c r="AA442" i="34"/>
  <c r="AA440" i="34"/>
  <c r="AA438" i="34"/>
  <c r="AA436" i="34"/>
  <c r="AA434" i="34"/>
  <c r="AA432" i="34"/>
  <c r="AA430" i="34"/>
  <c r="AA428" i="34"/>
  <c r="AA424" i="34"/>
  <c r="AA420" i="34"/>
  <c r="AA416" i="34"/>
  <c r="AA412" i="34"/>
  <c r="AA408" i="34"/>
  <c r="AA406" i="34"/>
  <c r="AA402" i="34"/>
  <c r="AA398" i="34"/>
  <c r="AA394" i="34"/>
  <c r="AA390" i="34"/>
  <c r="AA386" i="34"/>
  <c r="AA382" i="34"/>
  <c r="AA378" i="34"/>
  <c r="AA374" i="34"/>
  <c r="AA370" i="34"/>
  <c r="AA366" i="34"/>
  <c r="AA362" i="34"/>
  <c r="AA358" i="34"/>
  <c r="AA354" i="34"/>
  <c r="AA350" i="34"/>
  <c r="AA346" i="34"/>
  <c r="AA316" i="34"/>
  <c r="AA314" i="34"/>
  <c r="AA312" i="34"/>
  <c r="AA310" i="34"/>
  <c r="AA308" i="34"/>
  <c r="AA305" i="34"/>
  <c r="AA426" i="34"/>
  <c r="AA422" i="34"/>
  <c r="AA418" i="34"/>
  <c r="AA414" i="34"/>
  <c r="AA410" i="34"/>
  <c r="AA404" i="34"/>
  <c r="AA400" i="34"/>
  <c r="AA396" i="34"/>
  <c r="AA392" i="34"/>
  <c r="AA388" i="34"/>
  <c r="AA384" i="34"/>
  <c r="AA380" i="34"/>
  <c r="AA376" i="34"/>
  <c r="AA372" i="34"/>
  <c r="AA368" i="34"/>
  <c r="AA364" i="34"/>
  <c r="AA360" i="34"/>
  <c r="AA356" i="34"/>
  <c r="AA352" i="34"/>
  <c r="AA348" i="34"/>
  <c r="AA315" i="34"/>
  <c r="AA313" i="34"/>
  <c r="AA311" i="34"/>
  <c r="AA309" i="34"/>
  <c r="AA307" i="34"/>
  <c r="AA319" i="34"/>
  <c r="AA323" i="34"/>
  <c r="AA327" i="34"/>
  <c r="AA331" i="34"/>
  <c r="AA335" i="34"/>
  <c r="AA339" i="34"/>
  <c r="AA343" i="34"/>
  <c r="AA347" i="34"/>
  <c r="AA355" i="34"/>
  <c r="AA363" i="34"/>
  <c r="AA371" i="34"/>
  <c r="AA379" i="34"/>
  <c r="AA387" i="34"/>
  <c r="AA395" i="34"/>
  <c r="AA403" i="34"/>
  <c r="AA411" i="34"/>
  <c r="AA419" i="34"/>
  <c r="AA427" i="34"/>
  <c r="AA601" i="34"/>
  <c r="AA597" i="34"/>
  <c r="AA593" i="34"/>
  <c r="AA589" i="34"/>
  <c r="AA603" i="34"/>
  <c r="AA599" i="34"/>
  <c r="AA595" i="34"/>
  <c r="AA591" i="34"/>
  <c r="AA587" i="34"/>
  <c r="AA467" i="34"/>
  <c r="AA465" i="34"/>
  <c r="AA463" i="34"/>
  <c r="AA461" i="34"/>
  <c r="AA459" i="34"/>
  <c r="AA456" i="34"/>
  <c r="AA602" i="34"/>
  <c r="AA594" i="34"/>
  <c r="AA586" i="34"/>
  <c r="AA583" i="34"/>
  <c r="AA582" i="34"/>
  <c r="AA578" i="34"/>
  <c r="AA574" i="34"/>
  <c r="AA570" i="34"/>
  <c r="AA566" i="34"/>
  <c r="AA562" i="34"/>
  <c r="AA558" i="34"/>
  <c r="AA554" i="34"/>
  <c r="AA550" i="34"/>
  <c r="AA546" i="34"/>
  <c r="AA598" i="34"/>
  <c r="AA590" i="34"/>
  <c r="AA585" i="34"/>
  <c r="AA580" i="34"/>
  <c r="AA576" i="34"/>
  <c r="AA572" i="34"/>
  <c r="AA568" i="34"/>
  <c r="AA564" i="34"/>
  <c r="AA560" i="34"/>
  <c r="AA556" i="34"/>
  <c r="AA552" i="34"/>
  <c r="AA548" i="34"/>
  <c r="AA544" i="34"/>
  <c r="AA540" i="34"/>
  <c r="AA536" i="34"/>
  <c r="AA532" i="34"/>
  <c r="AA528" i="34"/>
  <c r="AA592" i="34"/>
  <c r="AA577" i="34"/>
  <c r="AA569" i="34"/>
  <c r="AA561" i="34"/>
  <c r="AA553" i="34"/>
  <c r="AA545" i="34"/>
  <c r="AA543" i="34"/>
  <c r="AA538" i="34"/>
  <c r="AA533" i="34"/>
  <c r="AA527" i="34"/>
  <c r="AA523" i="34"/>
  <c r="AA519" i="34"/>
  <c r="AA515" i="34"/>
  <c r="AA511" i="34"/>
  <c r="AA507" i="34"/>
  <c r="AA503" i="34"/>
  <c r="AA499" i="34"/>
  <c r="AA495" i="34"/>
  <c r="AA491" i="34"/>
  <c r="AA487" i="34"/>
  <c r="AA483" i="34"/>
  <c r="AA479" i="34"/>
  <c r="AA475" i="34"/>
  <c r="AA471" i="34"/>
  <c r="AA466" i="34"/>
  <c r="AA462" i="34"/>
  <c r="AA458" i="34"/>
  <c r="AA600" i="34"/>
  <c r="AA581" i="34"/>
  <c r="AA573" i="34"/>
  <c r="AA565" i="34"/>
  <c r="AA557" i="34"/>
  <c r="AA549" i="34"/>
  <c r="AA541" i="34"/>
  <c r="AA535" i="34"/>
  <c r="AA530" i="34"/>
  <c r="AA525" i="34"/>
  <c r="AA521" i="34"/>
  <c r="AA517" i="34"/>
  <c r="AA513" i="34"/>
  <c r="AA509" i="34"/>
  <c r="AA505" i="34"/>
  <c r="AA501" i="34"/>
  <c r="AA497" i="34"/>
  <c r="AA493" i="34"/>
  <c r="AA489" i="34"/>
  <c r="AA485" i="34"/>
  <c r="AA481" i="34"/>
  <c r="AA477" i="34"/>
  <c r="AA473" i="34"/>
  <c r="AA469" i="34"/>
  <c r="AA464" i="34"/>
  <c r="AA460" i="34"/>
  <c r="AA457" i="34"/>
  <c r="AA455" i="34"/>
  <c r="AA604" i="34"/>
  <c r="AA579" i="34"/>
  <c r="AA563" i="34"/>
  <c r="AA547" i="34"/>
  <c r="AA542" i="34"/>
  <c r="AA529" i="34"/>
  <c r="AA524" i="34"/>
  <c r="AA516" i="34"/>
  <c r="AA508" i="34"/>
  <c r="AA500" i="34"/>
  <c r="AA492" i="34"/>
  <c r="AA484" i="34"/>
  <c r="AA476" i="34"/>
  <c r="AA468" i="34"/>
  <c r="AA588" i="34"/>
  <c r="AA584" i="34"/>
  <c r="AA571" i="34"/>
  <c r="AA555" i="34"/>
  <c r="AA539" i="34"/>
  <c r="AA526" i="34"/>
  <c r="AA520" i="34"/>
  <c r="AA512" i="34"/>
  <c r="AA504" i="34"/>
  <c r="AA496" i="34"/>
  <c r="AA488" i="34"/>
  <c r="AA480" i="34"/>
  <c r="AA472" i="34"/>
  <c r="AA482" i="34"/>
  <c r="AA498" i="34"/>
  <c r="AA514" i="34"/>
  <c r="AA551" i="34"/>
  <c r="AA596" i="34"/>
  <c r="AA723" i="34"/>
  <c r="Q672" i="34"/>
  <c r="Q4" i="34"/>
  <c r="AK4" i="34"/>
  <c r="AK5" i="34"/>
  <c r="Q7" i="34"/>
  <c r="AK9" i="34"/>
  <c r="Q11" i="34"/>
  <c r="Q15" i="34"/>
  <c r="AK15" i="34"/>
  <c r="Q19" i="34"/>
  <c r="AK19" i="34"/>
  <c r="Q23" i="34"/>
  <c r="AK23" i="34"/>
  <c r="Q30" i="34"/>
  <c r="Q32" i="34"/>
  <c r="G36" i="34"/>
  <c r="Q37" i="34"/>
  <c r="G39" i="34"/>
  <c r="G42" i="34"/>
  <c r="G43" i="34"/>
  <c r="Q46" i="34"/>
  <c r="Q69" i="34"/>
  <c r="G70" i="34"/>
  <c r="G71" i="34"/>
  <c r="Q72" i="34"/>
  <c r="G73" i="34"/>
  <c r="Q74" i="34"/>
  <c r="G75" i="34"/>
  <c r="Q76" i="34"/>
  <c r="G77" i="34"/>
  <c r="Q78" i="34"/>
  <c r="G79" i="34"/>
  <c r="Q80" i="34"/>
  <c r="G81" i="34"/>
  <c r="G82" i="34"/>
  <c r="G83" i="34"/>
  <c r="G84" i="34"/>
  <c r="G85" i="34"/>
  <c r="G86" i="34"/>
  <c r="G87" i="34"/>
  <c r="G88" i="34"/>
  <c r="G89" i="34"/>
  <c r="G90" i="34"/>
  <c r="G91" i="34"/>
  <c r="G92" i="34"/>
  <c r="G93" i="34"/>
  <c r="G94" i="34"/>
  <c r="G95" i="34"/>
  <c r="G96" i="34"/>
  <c r="G97" i="34"/>
  <c r="G98" i="34"/>
  <c r="Q100" i="34"/>
  <c r="G132" i="34"/>
  <c r="G131" i="34"/>
  <c r="G130" i="34"/>
  <c r="G129" i="34"/>
  <c r="G128" i="34"/>
  <c r="G127" i="34"/>
  <c r="G126" i="34"/>
  <c r="G125" i="34"/>
  <c r="G124" i="34"/>
  <c r="G123" i="34"/>
  <c r="G122" i="34"/>
  <c r="G121" i="34"/>
  <c r="G120" i="34"/>
  <c r="G119" i="34"/>
  <c r="G118" i="34"/>
  <c r="G117" i="34"/>
  <c r="G116" i="34"/>
  <c r="G115" i="34"/>
  <c r="G114" i="34"/>
  <c r="G112" i="34"/>
  <c r="G110" i="34"/>
  <c r="G108" i="34"/>
  <c r="G106" i="34"/>
  <c r="G102" i="34"/>
  <c r="Q104" i="34"/>
  <c r="G105" i="34"/>
  <c r="Q110" i="34"/>
  <c r="G111" i="34"/>
  <c r="Q115" i="34"/>
  <c r="Q119" i="34"/>
  <c r="Q123" i="34"/>
  <c r="Q127" i="34"/>
  <c r="Q131" i="34"/>
  <c r="Q140" i="34"/>
  <c r="AK141" i="34"/>
  <c r="AK149" i="34"/>
  <c r="Q150" i="34"/>
  <c r="Q302" i="34"/>
  <c r="Q301" i="34"/>
  <c r="Q300" i="34"/>
  <c r="Q299" i="34"/>
  <c r="Q298" i="34"/>
  <c r="Q297" i="34"/>
  <c r="Q296" i="34"/>
  <c r="Q295" i="34"/>
  <c r="Q294" i="34"/>
  <c r="Q293" i="34"/>
  <c r="Q292" i="34"/>
  <c r="Q291" i="34"/>
  <c r="Q290" i="34"/>
  <c r="Q289" i="34"/>
  <c r="Q288" i="34"/>
  <c r="Q287" i="34"/>
  <c r="Q286" i="34"/>
  <c r="Q285" i="34"/>
  <c r="Q284" i="34"/>
  <c r="Q283" i="34"/>
  <c r="Q282" i="34"/>
  <c r="Q281" i="34"/>
  <c r="Q280" i="34"/>
  <c r="Q279" i="34"/>
  <c r="Q278" i="34"/>
  <c r="Q277" i="34"/>
  <c r="Q276" i="34"/>
  <c r="Q275" i="34"/>
  <c r="Q274" i="34"/>
  <c r="Q273" i="34"/>
  <c r="Q272" i="34"/>
  <c r="Q271" i="34"/>
  <c r="Q270" i="34"/>
  <c r="Q269" i="34"/>
  <c r="Q268" i="34"/>
  <c r="Q267" i="34"/>
  <c r="Q266" i="34"/>
  <c r="Q265" i="34"/>
  <c r="Q264" i="34"/>
  <c r="Q263" i="34"/>
  <c r="Q262" i="34"/>
  <c r="Q261" i="34"/>
  <c r="Q260" i="34"/>
  <c r="Q259" i="34"/>
  <c r="Q258" i="34"/>
  <c r="Q257" i="34"/>
  <c r="Q256" i="34"/>
  <c r="Q255" i="34"/>
  <c r="Q254" i="34"/>
  <c r="Q253" i="34"/>
  <c r="Q252" i="34"/>
  <c r="Q251" i="34"/>
  <c r="Q250" i="34"/>
  <c r="Q249" i="34"/>
  <c r="Q248" i="34"/>
  <c r="Q247" i="34"/>
  <c r="Q246" i="34"/>
  <c r="Q245" i="34"/>
  <c r="Q244" i="34"/>
  <c r="Q243" i="34"/>
  <c r="Q242" i="34"/>
  <c r="Q241" i="34"/>
  <c r="Q240" i="34"/>
  <c r="Q239" i="34"/>
  <c r="Q238" i="34"/>
  <c r="Q237" i="34"/>
  <c r="Q236" i="34"/>
  <c r="Q235" i="34"/>
  <c r="Q234" i="34"/>
  <c r="Q233" i="34"/>
  <c r="Q232" i="34"/>
  <c r="Q231" i="34"/>
  <c r="Q230" i="34"/>
  <c r="Q229" i="34"/>
  <c r="Q228" i="34"/>
  <c r="Q227" i="34"/>
  <c r="Q226" i="34"/>
  <c r="Q225" i="34"/>
  <c r="Q224" i="34"/>
  <c r="Q223" i="34"/>
  <c r="Q222" i="34"/>
  <c r="Q221" i="34"/>
  <c r="Q220" i="34"/>
  <c r="Q219" i="34"/>
  <c r="Q218" i="34"/>
  <c r="Q217" i="34"/>
  <c r="Q216" i="34"/>
  <c r="Q215" i="34"/>
  <c r="Q214" i="34"/>
  <c r="Q213" i="34"/>
  <c r="Q212" i="34"/>
  <c r="Q211" i="34"/>
  <c r="Q210" i="34"/>
  <c r="Q209" i="34"/>
  <c r="Q208" i="34"/>
  <c r="Q207" i="34"/>
  <c r="Q206" i="34"/>
  <c r="Q205" i="34"/>
  <c r="Q204" i="34"/>
  <c r="Q203" i="34"/>
  <c r="Q202" i="34"/>
  <c r="Q201" i="34"/>
  <c r="Q200" i="34"/>
  <c r="Q199" i="34"/>
  <c r="Q198" i="34"/>
  <c r="Q197" i="34"/>
  <c r="Q196" i="34"/>
  <c r="Q195" i="34"/>
  <c r="Q194" i="34"/>
  <c r="Q193" i="34"/>
  <c r="Q192" i="34"/>
  <c r="Q191" i="34"/>
  <c r="Q190" i="34"/>
  <c r="Q189" i="34"/>
  <c r="Q188" i="34"/>
  <c r="Q187" i="34"/>
  <c r="Q186" i="34"/>
  <c r="Q185" i="34"/>
  <c r="Q184" i="34"/>
  <c r="Q183" i="34"/>
  <c r="Q182" i="34"/>
  <c r="Q181" i="34"/>
  <c r="Q180" i="34"/>
  <c r="Q179" i="34"/>
  <c r="Q178" i="34"/>
  <c r="Q177" i="34"/>
  <c r="Q176" i="34"/>
  <c r="Q175" i="34"/>
  <c r="Q174" i="34"/>
  <c r="Q173" i="34"/>
  <c r="Q172" i="34"/>
  <c r="Q171" i="34"/>
  <c r="Q170" i="34"/>
  <c r="Q169" i="34"/>
  <c r="Q168" i="34"/>
  <c r="Q167" i="34"/>
  <c r="Q166" i="34"/>
  <c r="AK154" i="34"/>
  <c r="AK157" i="34"/>
  <c r="AA158" i="34"/>
  <c r="AK158" i="34"/>
  <c r="Q159" i="34"/>
  <c r="AA159" i="34"/>
  <c r="Q160" i="34"/>
  <c r="AA169" i="34"/>
  <c r="AA173" i="34"/>
  <c r="AA177" i="34"/>
  <c r="AA181" i="34"/>
  <c r="AA185" i="34"/>
  <c r="AA189" i="34"/>
  <c r="AA193" i="34"/>
  <c r="AA197" i="34"/>
  <c r="AA201" i="34"/>
  <c r="AA205" i="34"/>
  <c r="AA209" i="34"/>
  <c r="AA213" i="34"/>
  <c r="AA217" i="34"/>
  <c r="AA221" i="34"/>
  <c r="AA225" i="34"/>
  <c r="AA229" i="34"/>
  <c r="AA233" i="34"/>
  <c r="AA237" i="34"/>
  <c r="AA241" i="34"/>
  <c r="AA245" i="34"/>
  <c r="AA249" i="34"/>
  <c r="AA253" i="34"/>
  <c r="AA257" i="34"/>
  <c r="AA261" i="34"/>
  <c r="AA265" i="34"/>
  <c r="AA269" i="34"/>
  <c r="AA273" i="34"/>
  <c r="AA277" i="34"/>
  <c r="AA281" i="34"/>
  <c r="AA285" i="34"/>
  <c r="AA289" i="34"/>
  <c r="AA293" i="34"/>
  <c r="AA297" i="34"/>
  <c r="AA301" i="34"/>
  <c r="AA317" i="34"/>
  <c r="AA321" i="34"/>
  <c r="AA325" i="34"/>
  <c r="AA329" i="34"/>
  <c r="AA333" i="34"/>
  <c r="AA337" i="34"/>
  <c r="AA341" i="34"/>
  <c r="AA351" i="34"/>
  <c r="AA359" i="34"/>
  <c r="AA367" i="34"/>
  <c r="AA375" i="34"/>
  <c r="AA383" i="34"/>
  <c r="AA391" i="34"/>
  <c r="AA399" i="34"/>
  <c r="AA407" i="34"/>
  <c r="AA415" i="34"/>
  <c r="AA423" i="34"/>
  <c r="AA474" i="34"/>
  <c r="AA490" i="34"/>
  <c r="AA506" i="34"/>
  <c r="AA522" i="34"/>
  <c r="AA567" i="34"/>
  <c r="G135" i="34"/>
  <c r="G138" i="34"/>
  <c r="G140" i="34"/>
  <c r="G142" i="34"/>
  <c r="G144" i="34"/>
  <c r="G146" i="34"/>
  <c r="G155" i="34"/>
  <c r="G156" i="34"/>
  <c r="G158" i="34"/>
  <c r="G160" i="34"/>
  <c r="G162" i="34"/>
  <c r="Q308" i="34"/>
  <c r="Q310" i="34"/>
  <c r="Q312" i="34"/>
  <c r="Q314" i="34"/>
  <c r="Q456" i="34"/>
  <c r="Q455" i="34"/>
  <c r="Q463" i="34"/>
  <c r="Q624" i="34"/>
  <c r="Q640" i="34"/>
  <c r="Q656" i="34"/>
  <c r="Q453" i="34"/>
  <c r="Q451" i="34"/>
  <c r="Q449" i="34"/>
  <c r="Q447" i="34"/>
  <c r="Q445" i="34"/>
  <c r="Q443" i="34"/>
  <c r="Q441" i="34"/>
  <c r="Q439" i="34"/>
  <c r="Q437" i="34"/>
  <c r="Q435" i="34"/>
  <c r="Q433" i="34"/>
  <c r="Q431" i="34"/>
  <c r="Q452" i="34"/>
  <c r="Q450" i="34"/>
  <c r="Q448" i="34"/>
  <c r="Q446" i="34"/>
  <c r="Q444" i="34"/>
  <c r="Q442" i="34"/>
  <c r="Q440" i="34"/>
  <c r="Q438" i="34"/>
  <c r="Q436" i="34"/>
  <c r="Q434" i="34"/>
  <c r="Q432" i="34"/>
  <c r="Q430" i="34"/>
  <c r="Q429" i="34"/>
  <c r="Q428" i="34"/>
  <c r="Q427" i="34"/>
  <c r="Q426" i="34"/>
  <c r="Q425" i="34"/>
  <c r="Q424" i="34"/>
  <c r="Q423" i="34"/>
  <c r="Q422" i="34"/>
  <c r="Q421" i="34"/>
  <c r="Q420" i="34"/>
  <c r="Q419" i="34"/>
  <c r="Q418" i="34"/>
  <c r="Q417" i="34"/>
  <c r="Q416" i="34"/>
  <c r="Q415" i="34"/>
  <c r="Q414" i="34"/>
  <c r="Q413" i="34"/>
  <c r="Q412" i="34"/>
  <c r="Q411" i="34"/>
  <c r="Q410" i="34"/>
  <c r="Q409" i="34"/>
  <c r="Q408" i="34"/>
  <c r="Q407" i="34"/>
  <c r="Q406" i="34"/>
  <c r="Q405" i="34"/>
  <c r="Q404" i="34"/>
  <c r="Q403" i="34"/>
  <c r="Q402" i="34"/>
  <c r="Q401" i="34"/>
  <c r="Q400" i="34"/>
  <c r="Q399" i="34"/>
  <c r="Q398" i="34"/>
  <c r="Q397" i="34"/>
  <c r="Q396" i="34"/>
  <c r="Q395" i="34"/>
  <c r="Q394" i="34"/>
  <c r="Q393" i="34"/>
  <c r="Q392" i="34"/>
  <c r="Q391" i="34"/>
  <c r="Q390" i="34"/>
  <c r="Q389" i="34"/>
  <c r="Q388" i="34"/>
  <c r="Q387" i="34"/>
  <c r="Q386" i="34"/>
  <c r="Q385" i="34"/>
  <c r="Q384" i="34"/>
  <c r="Q383" i="34"/>
  <c r="Q382" i="34"/>
  <c r="Q381" i="34"/>
  <c r="Q380" i="34"/>
  <c r="Q379" i="34"/>
  <c r="Q378" i="34"/>
  <c r="Q377" i="34"/>
  <c r="Q376" i="34"/>
  <c r="Q375" i="34"/>
  <c r="Q374" i="34"/>
  <c r="Q373" i="34"/>
  <c r="Q372" i="34"/>
  <c r="Q371" i="34"/>
  <c r="Q370" i="34"/>
  <c r="Q369" i="34"/>
  <c r="Q368" i="34"/>
  <c r="Q367" i="34"/>
  <c r="Q366" i="34"/>
  <c r="Q365" i="34"/>
  <c r="Q364" i="34"/>
  <c r="Q363" i="34"/>
  <c r="Q362" i="34"/>
  <c r="Q361" i="34"/>
  <c r="Q360" i="34"/>
  <c r="Q359" i="34"/>
  <c r="Q358" i="34"/>
  <c r="Q357" i="34"/>
  <c r="Q356" i="34"/>
  <c r="Q355" i="34"/>
  <c r="Q354" i="34"/>
  <c r="Q353" i="34"/>
  <c r="Q352" i="34"/>
  <c r="Q351" i="34"/>
  <c r="Q350" i="34"/>
  <c r="Q349" i="34"/>
  <c r="Q348" i="34"/>
  <c r="Q347" i="34"/>
  <c r="Q346" i="34"/>
  <c r="Q345" i="34"/>
  <c r="Q306" i="34"/>
  <c r="Q307" i="34"/>
  <c r="Q309" i="34"/>
  <c r="Q311" i="34"/>
  <c r="Q313" i="34"/>
  <c r="Q315" i="34"/>
  <c r="Q317" i="34"/>
  <c r="Q318" i="34"/>
  <c r="Q319" i="34"/>
  <c r="Q320" i="34"/>
  <c r="Q321" i="34"/>
  <c r="Q322" i="34"/>
  <c r="Q323" i="34"/>
  <c r="Q324" i="34"/>
  <c r="Q325" i="34"/>
  <c r="Q326" i="34"/>
  <c r="Q327" i="34"/>
  <c r="Q328" i="34"/>
  <c r="Q329" i="34"/>
  <c r="Q330" i="34"/>
  <c r="Q331" i="34"/>
  <c r="Q332" i="34"/>
  <c r="Q333" i="34"/>
  <c r="Q334" i="34"/>
  <c r="Q335" i="34"/>
  <c r="Q336" i="34"/>
  <c r="Q337" i="34"/>
  <c r="Q338" i="34"/>
  <c r="Q339" i="34"/>
  <c r="Q340" i="34"/>
  <c r="Q341" i="34"/>
  <c r="Q342" i="34"/>
  <c r="Q343" i="34"/>
  <c r="Q344" i="34"/>
  <c r="Q459" i="34"/>
  <c r="Q467" i="34"/>
  <c r="Q678" i="34"/>
  <c r="Q670" i="34"/>
  <c r="Q662" i="34"/>
  <c r="Q654" i="34"/>
  <c r="Q646" i="34"/>
  <c r="Q638" i="34"/>
  <c r="Q630" i="34"/>
  <c r="Q622" i="34"/>
  <c r="Q609" i="34"/>
  <c r="Q608" i="34"/>
  <c r="Q682" i="34"/>
  <c r="Q674" i="34"/>
  <c r="Q666" i="34"/>
  <c r="Q658" i="34"/>
  <c r="Q650" i="34"/>
  <c r="Q642" i="34"/>
  <c r="Q634" i="34"/>
  <c r="Q626" i="34"/>
  <c r="Q617" i="34"/>
  <c r="Q632" i="34"/>
  <c r="Q648" i="34"/>
  <c r="Q664" i="34"/>
  <c r="Q680" i="34"/>
  <c r="Q748" i="34"/>
  <c r="AA694" i="34"/>
  <c r="AA755" i="34"/>
  <c r="AA754" i="34"/>
  <c r="AA753" i="34"/>
  <c r="AA752" i="34"/>
  <c r="AA751" i="34"/>
  <c r="AA750" i="34"/>
  <c r="AA749" i="34"/>
  <c r="AA748" i="34"/>
  <c r="AA747" i="34"/>
  <c r="AA746" i="34"/>
  <c r="AA745" i="34"/>
  <c r="AA744" i="34"/>
  <c r="AA743" i="34"/>
  <c r="AA742" i="34"/>
  <c r="AA741" i="34"/>
  <c r="AA740" i="34"/>
  <c r="AA739" i="34"/>
  <c r="AA738" i="34"/>
  <c r="AA737" i="34"/>
  <c r="AA736" i="34"/>
  <c r="AA735" i="34"/>
  <c r="AA734" i="34"/>
  <c r="AA733" i="34"/>
  <c r="AA732" i="34"/>
  <c r="AA731" i="34"/>
  <c r="AA730" i="34"/>
  <c r="AA729" i="34"/>
  <c r="AA728" i="34"/>
  <c r="AA724" i="34"/>
  <c r="AA720" i="34"/>
  <c r="AA716" i="34"/>
  <c r="AA712" i="34"/>
  <c r="AA708" i="34"/>
  <c r="AA704" i="34"/>
  <c r="AA700" i="34"/>
  <c r="AA696" i="34"/>
  <c r="AA692" i="34"/>
  <c r="AA688" i="34"/>
  <c r="AA617" i="34"/>
  <c r="AA615" i="34"/>
  <c r="AA613" i="34"/>
  <c r="AA611" i="34"/>
  <c r="AA609" i="34"/>
  <c r="AA727" i="34"/>
  <c r="AA722" i="34"/>
  <c r="AA717" i="34"/>
  <c r="AA711" i="34"/>
  <c r="AA706" i="34"/>
  <c r="AA701" i="34"/>
  <c r="AA695" i="34"/>
  <c r="AA690" i="34"/>
  <c r="AA686" i="34"/>
  <c r="AA725" i="34"/>
  <c r="AA719" i="34"/>
  <c r="AA714" i="34"/>
  <c r="AA709" i="34"/>
  <c r="AA703" i="34"/>
  <c r="AA698" i="34"/>
  <c r="AA693" i="34"/>
  <c r="AA687" i="34"/>
  <c r="AA685" i="34"/>
  <c r="AA683" i="34"/>
  <c r="AA681" i="34"/>
  <c r="AA679" i="34"/>
  <c r="AA677" i="34"/>
  <c r="AA675" i="34"/>
  <c r="AA673" i="34"/>
  <c r="AA671" i="34"/>
  <c r="AA669" i="34"/>
  <c r="AA667" i="34"/>
  <c r="AA665" i="34"/>
  <c r="AA663" i="34"/>
  <c r="AA661" i="34"/>
  <c r="AA659" i="34"/>
  <c r="AA657" i="34"/>
  <c r="AA655" i="34"/>
  <c r="AA653" i="34"/>
  <c r="AA651" i="34"/>
  <c r="AA649" i="34"/>
  <c r="AA647" i="34"/>
  <c r="AA645" i="34"/>
  <c r="AA643" i="34"/>
  <c r="AA641" i="34"/>
  <c r="AA639" i="34"/>
  <c r="AA637" i="34"/>
  <c r="AA635" i="34"/>
  <c r="AA633" i="34"/>
  <c r="AA631" i="34"/>
  <c r="AA629" i="34"/>
  <c r="AA627" i="34"/>
  <c r="AA625" i="34"/>
  <c r="AA623" i="34"/>
  <c r="AA621" i="34"/>
  <c r="AA619" i="34"/>
  <c r="AA721" i="34"/>
  <c r="AA715" i="34"/>
  <c r="AA702" i="34"/>
  <c r="AA689" i="34"/>
  <c r="AA684" i="34"/>
  <c r="AA682" i="34"/>
  <c r="AA680" i="34"/>
  <c r="AA678" i="34"/>
  <c r="AA676" i="34"/>
  <c r="AA674" i="34"/>
  <c r="AA672" i="34"/>
  <c r="AA670" i="34"/>
  <c r="AA668" i="34"/>
  <c r="AA666" i="34"/>
  <c r="AA664" i="34"/>
  <c r="AA662" i="34"/>
  <c r="AA660" i="34"/>
  <c r="AA658" i="34"/>
  <c r="AA656" i="34"/>
  <c r="AA654" i="34"/>
  <c r="AA652" i="34"/>
  <c r="AA650" i="34"/>
  <c r="AA648" i="34"/>
  <c r="AA646" i="34"/>
  <c r="AA644" i="34"/>
  <c r="AA642" i="34"/>
  <c r="AA640" i="34"/>
  <c r="AA638" i="34"/>
  <c r="AA636" i="34"/>
  <c r="AA634" i="34"/>
  <c r="AA632" i="34"/>
  <c r="AA630" i="34"/>
  <c r="AA628" i="34"/>
  <c r="AA626" i="34"/>
  <c r="AA624" i="34"/>
  <c r="AA622" i="34"/>
  <c r="AA620" i="34"/>
  <c r="AA614" i="34"/>
  <c r="AA606" i="34"/>
  <c r="AA718" i="34"/>
  <c r="AA705" i="34"/>
  <c r="AA699" i="34"/>
  <c r="AA612" i="34"/>
  <c r="AA607" i="34"/>
  <c r="AA618" i="34"/>
  <c r="AA691" i="34"/>
  <c r="AA697" i="34"/>
  <c r="AA726" i="34"/>
  <c r="Q604" i="34"/>
  <c r="Q603" i="34"/>
  <c r="Q602" i="34"/>
  <c r="Q601" i="34"/>
  <c r="Q600" i="34"/>
  <c r="Q599" i="34"/>
  <c r="Q598" i="34"/>
  <c r="Q597" i="34"/>
  <c r="Q596" i="34"/>
  <c r="Q595" i="34"/>
  <c r="Q594" i="34"/>
  <c r="Q593" i="34"/>
  <c r="Q592" i="34"/>
  <c r="Q591" i="34"/>
  <c r="Q590" i="34"/>
  <c r="Q589" i="34"/>
  <c r="Q588" i="34"/>
  <c r="Q587" i="34"/>
  <c r="Q586" i="34"/>
  <c r="Q457" i="34"/>
  <c r="Q458" i="34"/>
  <c r="Q460" i="34"/>
  <c r="Q462" i="34"/>
  <c r="Q464" i="34"/>
  <c r="Q466" i="34"/>
  <c r="Q468" i="34"/>
  <c r="Q469" i="34"/>
  <c r="Q470" i="34"/>
  <c r="Q471" i="34"/>
  <c r="Q472" i="34"/>
  <c r="Q473" i="34"/>
  <c r="Q474" i="34"/>
  <c r="Q475" i="34"/>
  <c r="Q476" i="34"/>
  <c r="Q477" i="34"/>
  <c r="Q478" i="34"/>
  <c r="Q479" i="34"/>
  <c r="Q480" i="34"/>
  <c r="Q481" i="34"/>
  <c r="Q482" i="34"/>
  <c r="Q483" i="34"/>
  <c r="Q484" i="34"/>
  <c r="Q485" i="34"/>
  <c r="Q486" i="34"/>
  <c r="Q487" i="34"/>
  <c r="Q488" i="34"/>
  <c r="Q489" i="34"/>
  <c r="Q490" i="34"/>
  <c r="Q491" i="34"/>
  <c r="Q492" i="34"/>
  <c r="Q493" i="34"/>
  <c r="Q494" i="34"/>
  <c r="Q495" i="34"/>
  <c r="Q496" i="34"/>
  <c r="Q497" i="34"/>
  <c r="Q498" i="34"/>
  <c r="Q499" i="34"/>
  <c r="Q500" i="34"/>
  <c r="Q501" i="34"/>
  <c r="Q502" i="34"/>
  <c r="Q503" i="34"/>
  <c r="Q504" i="34"/>
  <c r="Q505" i="34"/>
  <c r="Q506" i="34"/>
  <c r="Q507" i="34"/>
  <c r="Q508" i="34"/>
  <c r="Q509" i="34"/>
  <c r="Q510" i="34"/>
  <c r="Q511" i="34"/>
  <c r="Q512" i="34"/>
  <c r="Q513" i="34"/>
  <c r="Q514" i="34"/>
  <c r="Q515" i="34"/>
  <c r="Q516" i="34"/>
  <c r="Q517" i="34"/>
  <c r="Q518" i="34"/>
  <c r="Q519" i="34"/>
  <c r="Q520" i="34"/>
  <c r="Q521" i="34"/>
  <c r="Q522" i="34"/>
  <c r="Q523" i="34"/>
  <c r="Q524" i="34"/>
  <c r="Q525" i="34"/>
  <c r="Q526" i="34"/>
  <c r="Q527" i="34"/>
  <c r="Q528" i="34"/>
  <c r="Q529" i="34"/>
  <c r="Q530" i="34"/>
  <c r="Q531" i="34"/>
  <c r="Q532" i="34"/>
  <c r="Q533" i="34"/>
  <c r="Q534" i="34"/>
  <c r="Q535" i="34"/>
  <c r="Q536" i="34"/>
  <c r="Q537" i="34"/>
  <c r="Q538" i="34"/>
  <c r="Q539" i="34"/>
  <c r="Q540" i="34"/>
  <c r="Q541" i="34"/>
  <c r="Q542" i="34"/>
  <c r="Q543" i="34"/>
  <c r="Q544" i="34"/>
  <c r="Q545" i="34"/>
  <c r="Q546" i="34"/>
  <c r="Q547" i="34"/>
  <c r="Q548" i="34"/>
  <c r="Q549" i="34"/>
  <c r="Q550" i="34"/>
  <c r="Q551" i="34"/>
  <c r="Q552" i="34"/>
  <c r="Q553" i="34"/>
  <c r="Q554" i="34"/>
  <c r="Q555" i="34"/>
  <c r="Q556" i="34"/>
  <c r="Q557" i="34"/>
  <c r="Q558" i="34"/>
  <c r="Q559" i="34"/>
  <c r="Q560" i="34"/>
  <c r="Q561" i="34"/>
  <c r="Q562" i="34"/>
  <c r="Q563" i="34"/>
  <c r="Q564" i="34"/>
  <c r="Q565" i="34"/>
  <c r="Q566" i="34"/>
  <c r="Q567" i="34"/>
  <c r="Q568" i="34"/>
  <c r="Q569" i="34"/>
  <c r="Q570" i="34"/>
  <c r="Q571" i="34"/>
  <c r="Q572" i="34"/>
  <c r="Q573" i="34"/>
  <c r="Q574" i="34"/>
  <c r="Q575" i="34"/>
  <c r="Q576" i="34"/>
  <c r="Q577" i="34"/>
  <c r="Q578" i="34"/>
  <c r="Q579" i="34"/>
  <c r="Q580" i="34"/>
  <c r="Q581" i="34"/>
  <c r="Q582" i="34"/>
  <c r="Q583" i="34"/>
  <c r="Q584" i="34"/>
  <c r="Q585" i="34"/>
  <c r="Q730" i="34"/>
  <c r="Q734" i="34"/>
  <c r="Q735" i="34"/>
  <c r="Q736" i="34"/>
  <c r="Q743" i="34"/>
  <c r="Q747" i="34"/>
  <c r="Q753" i="34"/>
  <c r="Q749" i="34"/>
  <c r="Q745" i="34"/>
  <c r="Q741" i="34"/>
  <c r="Q737" i="34"/>
  <c r="Q733" i="34"/>
  <c r="Q729" i="34"/>
  <c r="Q727" i="34"/>
  <c r="Q726" i="34"/>
  <c r="Q725" i="34"/>
  <c r="Q724" i="34"/>
  <c r="Q723" i="34"/>
  <c r="Q722" i="34"/>
  <c r="Q721" i="34"/>
  <c r="Q720" i="34"/>
  <c r="Q719" i="34"/>
  <c r="Q718" i="34"/>
  <c r="Q717" i="34"/>
  <c r="Q716" i="34"/>
  <c r="Q715" i="34"/>
  <c r="Q714" i="34"/>
  <c r="Q713" i="34"/>
  <c r="Q712" i="34"/>
  <c r="Q711" i="34"/>
  <c r="Q710" i="34"/>
  <c r="Q709" i="34"/>
  <c r="Q708" i="34"/>
  <c r="Q707" i="34"/>
  <c r="Q706" i="34"/>
  <c r="Q705" i="34"/>
  <c r="Q704" i="34"/>
  <c r="Q703" i="34"/>
  <c r="Q702" i="34"/>
  <c r="Q701" i="34"/>
  <c r="Q700" i="34"/>
  <c r="Q699" i="34"/>
  <c r="Q698" i="34"/>
  <c r="Q697" i="34"/>
  <c r="Q696" i="34"/>
  <c r="Q695" i="34"/>
  <c r="Q694" i="34"/>
  <c r="Q693" i="34"/>
  <c r="Q692" i="34"/>
  <c r="Q691" i="34"/>
  <c r="Q690" i="34"/>
  <c r="Q689" i="34"/>
  <c r="Q688" i="34"/>
  <c r="Q755" i="34"/>
  <c r="Q754" i="34"/>
  <c r="Q744" i="34"/>
  <c r="Q739" i="34"/>
  <c r="Q738" i="34"/>
  <c r="Q728" i="34"/>
  <c r="Q618" i="34"/>
  <c r="Q616" i="34"/>
  <c r="Q614" i="34"/>
  <c r="Q612" i="34"/>
  <c r="Q610" i="34"/>
  <c r="Q607" i="34"/>
  <c r="Q606" i="34"/>
  <c r="Q751" i="34"/>
  <c r="Q732" i="34"/>
  <c r="Q686" i="34"/>
  <c r="Q752" i="34"/>
  <c r="Q750" i="34"/>
  <c r="Q746" i="34"/>
  <c r="Q742" i="34"/>
  <c r="Q740" i="34"/>
  <c r="Q731" i="34"/>
  <c r="Q687" i="34"/>
  <c r="Q685" i="34"/>
  <c r="Q683" i="34"/>
  <c r="Q681" i="34"/>
  <c r="Q679" i="34"/>
  <c r="Q677" i="34"/>
  <c r="Q675" i="34"/>
  <c r="Q673" i="34"/>
  <c r="Q671" i="34"/>
  <c r="Q669" i="34"/>
  <c r="Q667" i="34"/>
  <c r="Q665" i="34"/>
  <c r="Q663" i="34"/>
  <c r="Q661" i="34"/>
  <c r="Q659" i="34"/>
  <c r="Q657" i="34"/>
  <c r="Q655" i="34"/>
  <c r="Q653" i="34"/>
  <c r="Q651" i="34"/>
  <c r="Q649" i="34"/>
  <c r="Q647" i="34"/>
  <c r="Q645" i="34"/>
  <c r="Q643" i="34"/>
  <c r="Q641" i="34"/>
  <c r="Q639" i="34"/>
  <c r="Q637" i="34"/>
  <c r="Q635" i="34"/>
  <c r="Q633" i="34"/>
  <c r="Q631" i="34"/>
  <c r="Q629" i="34"/>
  <c r="Q627" i="34"/>
  <c r="Q625" i="34"/>
  <c r="Q623" i="34"/>
  <c r="Q621" i="34"/>
  <c r="Q619" i="34"/>
  <c r="Q615" i="34"/>
  <c r="Q611" i="34"/>
  <c r="Q613" i="34"/>
  <c r="F41" i="12"/>
  <c r="F49" i="12"/>
  <c r="F53" i="12"/>
  <c r="F52" i="12"/>
  <c r="F48" i="12"/>
  <c r="F44" i="12"/>
  <c r="F40" i="12"/>
  <c r="F33" i="12"/>
  <c r="F29" i="12"/>
  <c r="F50" i="12"/>
  <c r="F46" i="12"/>
  <c r="F42" i="12"/>
  <c r="F38" i="12"/>
  <c r="F35" i="12"/>
  <c r="F31" i="12"/>
  <c r="F51" i="12"/>
  <c r="F47" i="12"/>
  <c r="F43" i="12"/>
  <c r="F39" i="12"/>
  <c r="F32" i="12"/>
  <c r="F37" i="12"/>
  <c r="F45" i="12"/>
  <c r="F30" i="12"/>
  <c r="F36" i="12"/>
  <c r="D6" i="39"/>
  <c r="DF61" i="12"/>
  <c r="DF358" i="12"/>
  <c r="DF200" i="12"/>
  <c r="DF55" i="12"/>
  <c r="DF63" i="12"/>
  <c r="DF280" i="12"/>
  <c r="A7" i="39"/>
  <c r="DF65" i="12"/>
  <c r="DF67" i="12"/>
  <c r="DF95" i="12"/>
  <c r="DF216" i="12"/>
  <c r="DF264" i="12"/>
  <c r="DF301" i="12"/>
  <c r="DF15" i="12"/>
  <c r="DF57" i="12"/>
  <c r="DF71" i="12"/>
  <c r="DF20" i="12"/>
  <c r="DF79" i="12"/>
  <c r="DF83" i="12"/>
  <c r="DF87" i="12"/>
  <c r="DF111" i="12"/>
  <c r="DF232" i="12"/>
  <c r="B11" i="9"/>
  <c r="DF586" i="12"/>
  <c r="DF529" i="12"/>
  <c r="DF501" i="12"/>
  <c r="DF444" i="12"/>
  <c r="DF386" i="12"/>
  <c r="DF557" i="12"/>
  <c r="DF472" i="12"/>
  <c r="DF416" i="12"/>
  <c r="E23" i="12"/>
  <c r="F25" i="12"/>
  <c r="AR2" i="39"/>
  <c r="F24" i="12"/>
  <c r="E24" i="12" s="1"/>
  <c r="D2" i="39" s="1"/>
  <c r="B139" i="9"/>
  <c r="DF75" i="12"/>
  <c r="DF127" i="12"/>
  <c r="DF184" i="12"/>
  <c r="DF248" i="12"/>
  <c r="DF330" i="12"/>
  <c r="DF28" i="12"/>
  <c r="DF34" i="12"/>
  <c r="DF46" i="12"/>
  <c r="DF50" i="12"/>
  <c r="DF53" i="12"/>
  <c r="DF92" i="12"/>
  <c r="DF124" i="12"/>
  <c r="DF187" i="12"/>
  <c r="DF219" i="12"/>
  <c r="DF251" i="12"/>
  <c r="DF284" i="12"/>
  <c r="DF336" i="12"/>
  <c r="DF392" i="12"/>
  <c r="DF449" i="12"/>
  <c r="DF562" i="12"/>
  <c r="DF24" i="12"/>
  <c r="DF26" i="12"/>
  <c r="DF39" i="12"/>
  <c r="DF43" i="12"/>
  <c r="DF47" i="12"/>
  <c r="DF56" i="12"/>
  <c r="DF59" i="12"/>
  <c r="DF70" i="12"/>
  <c r="DF74" i="12"/>
  <c r="DF78" i="12"/>
  <c r="DF103" i="12"/>
  <c r="DF119" i="12"/>
  <c r="DF135" i="12"/>
  <c r="DF136" i="12"/>
  <c r="DF139" i="12"/>
  <c r="DF140" i="12"/>
  <c r="DF143" i="12"/>
  <c r="DF144" i="12"/>
  <c r="DF147" i="12"/>
  <c r="DF148" i="12"/>
  <c r="DF151" i="12"/>
  <c r="DF152" i="12"/>
  <c r="DF155" i="12"/>
  <c r="DF156" i="12"/>
  <c r="DF159" i="12"/>
  <c r="DF160" i="12"/>
  <c r="DF163" i="12"/>
  <c r="DF164" i="12"/>
  <c r="DF167" i="12"/>
  <c r="DF168" i="12"/>
  <c r="DF171" i="12"/>
  <c r="DF172" i="12"/>
  <c r="DF175" i="12"/>
  <c r="DF176" i="12"/>
  <c r="DF192" i="12"/>
  <c r="DF208" i="12"/>
  <c r="DF224" i="12"/>
  <c r="DF240" i="12"/>
  <c r="DF256" i="12"/>
  <c r="DF272" i="12"/>
  <c r="DF290" i="12"/>
  <c r="DF316" i="12"/>
  <c r="DF344" i="12"/>
  <c r="DF373" i="12"/>
  <c r="DF401" i="12"/>
  <c r="DF429" i="12"/>
  <c r="DF458" i="12"/>
  <c r="DF486" i="12"/>
  <c r="DF514" i="12"/>
  <c r="DF544" i="12"/>
  <c r="DF572" i="12"/>
  <c r="DF600" i="12"/>
  <c r="B257" i="9"/>
  <c r="B253" i="9"/>
  <c r="B249" i="9"/>
  <c r="B245" i="9"/>
  <c r="B241" i="9"/>
  <c r="B237" i="9"/>
  <c r="B233" i="9"/>
  <c r="B229" i="9"/>
  <c r="B225" i="9"/>
  <c r="B221" i="9"/>
  <c r="B217" i="9"/>
  <c r="B213" i="9"/>
  <c r="B209" i="9"/>
  <c r="B205" i="9"/>
  <c r="B201" i="9"/>
  <c r="B197" i="9"/>
  <c r="B193" i="9"/>
  <c r="B189" i="9"/>
  <c r="B185" i="9"/>
  <c r="B181" i="9"/>
  <c r="B177" i="9"/>
  <c r="B173" i="9"/>
  <c r="B169" i="9"/>
  <c r="B165" i="9"/>
  <c r="B161" i="9"/>
  <c r="B157" i="9"/>
  <c r="B153" i="9"/>
  <c r="B149" i="9"/>
  <c r="B145" i="9"/>
  <c r="B141" i="9"/>
  <c r="B137" i="9"/>
  <c r="B133" i="9"/>
  <c r="B129" i="9"/>
  <c r="B125" i="9"/>
  <c r="B121" i="9"/>
  <c r="B117" i="9"/>
  <c r="B113" i="9"/>
  <c r="B109" i="9"/>
  <c r="B105" i="9"/>
  <c r="B101" i="9"/>
  <c r="B97" i="9"/>
  <c r="B93" i="9"/>
  <c r="B89" i="9"/>
  <c r="B85" i="9"/>
  <c r="B81" i="9"/>
  <c r="B77" i="9"/>
  <c r="B73" i="9"/>
  <c r="B69" i="9"/>
  <c r="B65" i="9"/>
  <c r="B61" i="9"/>
  <c r="B57" i="9"/>
  <c r="B53" i="9"/>
  <c r="B49" i="9"/>
  <c r="B45" i="9"/>
  <c r="B41" i="9"/>
  <c r="B37" i="9"/>
  <c r="B33" i="9"/>
  <c r="B29" i="9"/>
  <c r="B25" i="9"/>
  <c r="B21" i="9"/>
  <c r="B17" i="9"/>
  <c r="B13" i="9"/>
  <c r="B9" i="9"/>
  <c r="B260" i="9"/>
  <c r="B256" i="9"/>
  <c r="B252" i="9"/>
  <c r="B248" i="9"/>
  <c r="B244" i="9"/>
  <c r="B240" i="9"/>
  <c r="B236" i="9"/>
  <c r="B232" i="9"/>
  <c r="B228" i="9"/>
  <c r="B224" i="9"/>
  <c r="B220" i="9"/>
  <c r="B216" i="9"/>
  <c r="B212" i="9"/>
  <c r="B208" i="9"/>
  <c r="B204" i="9"/>
  <c r="B200" i="9"/>
  <c r="B196" i="9"/>
  <c r="B192" i="9"/>
  <c r="B188" i="9"/>
  <c r="B184" i="9"/>
  <c r="B180" i="9"/>
  <c r="B176" i="9"/>
  <c r="B172" i="9"/>
  <c r="B168" i="9"/>
  <c r="B164" i="9"/>
  <c r="B160" i="9"/>
  <c r="B156" i="9"/>
  <c r="B152" i="9"/>
  <c r="B148" i="9"/>
  <c r="B144" i="9"/>
  <c r="B140" i="9"/>
  <c r="B136" i="9"/>
  <c r="B132" i="9"/>
  <c r="B128" i="9"/>
  <c r="B124" i="9"/>
  <c r="B120" i="9"/>
  <c r="B116" i="9"/>
  <c r="B112" i="9"/>
  <c r="B108" i="9"/>
  <c r="B104" i="9"/>
  <c r="B100" i="9"/>
  <c r="B96" i="9"/>
  <c r="B92" i="9"/>
  <c r="B88" i="9"/>
  <c r="B84" i="9"/>
  <c r="B80" i="9"/>
  <c r="B76" i="9"/>
  <c r="B72" i="9"/>
  <c r="B68" i="9"/>
  <c r="B64" i="9"/>
  <c r="B60" i="9"/>
  <c r="B56" i="9"/>
  <c r="B52" i="9"/>
  <c r="B48" i="9"/>
  <c r="B44" i="9"/>
  <c r="B40" i="9"/>
  <c r="B36" i="9"/>
  <c r="B32" i="9"/>
  <c r="B28" i="9"/>
  <c r="B24" i="9"/>
  <c r="B20" i="9"/>
  <c r="B16" i="9"/>
  <c r="B12" i="9"/>
  <c r="B8" i="9"/>
  <c r="B258" i="9"/>
  <c r="B250" i="9"/>
  <c r="B242" i="9"/>
  <c r="B234" i="9"/>
  <c r="B226" i="9"/>
  <c r="B218" i="9"/>
  <c r="B210" i="9"/>
  <c r="B202" i="9"/>
  <c r="B194" i="9"/>
  <c r="B186" i="9"/>
  <c r="B178" i="9"/>
  <c r="B170" i="9"/>
  <c r="B162" i="9"/>
  <c r="B154" i="9"/>
  <c r="B146" i="9"/>
  <c r="B138" i="9"/>
  <c r="B130" i="9"/>
  <c r="B122" i="9"/>
  <c r="B114" i="9"/>
  <c r="B106" i="9"/>
  <c r="B98" i="9"/>
  <c r="B90" i="9"/>
  <c r="B82" i="9"/>
  <c r="B74" i="9"/>
  <c r="B66" i="9"/>
  <c r="B58" i="9"/>
  <c r="B50" i="9"/>
  <c r="B42" i="9"/>
  <c r="B34" i="9"/>
  <c r="B26" i="9"/>
  <c r="B18" i="9"/>
  <c r="B10" i="9"/>
  <c r="B255" i="9"/>
  <c r="B247" i="9"/>
  <c r="B239" i="9"/>
  <c r="B231" i="9"/>
  <c r="B223" i="9"/>
  <c r="B215" i="9"/>
  <c r="B207" i="9"/>
  <c r="B199" i="9"/>
  <c r="B191" i="9"/>
  <c r="B183" i="9"/>
  <c r="B175" i="9"/>
  <c r="B167" i="9"/>
  <c r="B159" i="9"/>
  <c r="B151" i="9"/>
  <c r="B143" i="9"/>
  <c r="B135" i="9"/>
  <c r="B127" i="9"/>
  <c r="B119" i="9"/>
  <c r="B111" i="9"/>
  <c r="B103" i="9"/>
  <c r="B95" i="9"/>
  <c r="B87" i="9"/>
  <c r="B79" i="9"/>
  <c r="B71" i="9"/>
  <c r="B63" i="9"/>
  <c r="B55" i="9"/>
  <c r="B47" i="9"/>
  <c r="B39" i="9"/>
  <c r="B31" i="9"/>
  <c r="B23" i="9"/>
  <c r="B15" i="9"/>
  <c r="B7" i="9"/>
  <c r="B254" i="9"/>
  <c r="B238" i="9"/>
  <c r="B222" i="9"/>
  <c r="B206" i="9"/>
  <c r="B190" i="9"/>
  <c r="B174" i="9"/>
  <c r="B158" i="9"/>
  <c r="B142" i="9"/>
  <c r="B126" i="9"/>
  <c r="B110" i="9"/>
  <c r="B94" i="9"/>
  <c r="B78" i="9"/>
  <c r="B62" i="9"/>
  <c r="B46" i="9"/>
  <c r="B30" i="9"/>
  <c r="B14" i="9"/>
  <c r="DF607" i="12"/>
  <c r="DF603" i="12"/>
  <c r="DF599" i="12"/>
  <c r="DF595" i="12"/>
  <c r="DF591" i="12"/>
  <c r="DF587" i="12"/>
  <c r="DF583" i="12"/>
  <c r="DF579" i="12"/>
  <c r="DF575" i="12"/>
  <c r="DF571" i="12"/>
  <c r="DF567" i="12"/>
  <c r="DF563" i="12"/>
  <c r="DF559" i="12"/>
  <c r="DF555" i="12"/>
  <c r="DF551" i="12"/>
  <c r="DF547" i="12"/>
  <c r="DF543" i="12"/>
  <c r="DF539" i="12"/>
  <c r="DF535" i="12"/>
  <c r="DF531" i="12"/>
  <c r="DF527" i="12"/>
  <c r="DF523" i="12"/>
  <c r="DF519" i="12"/>
  <c r="DF515" i="12"/>
  <c r="DF511" i="12"/>
  <c r="DF507" i="12"/>
  <c r="DF503" i="12"/>
  <c r="DF499" i="12"/>
  <c r="DF495" i="12"/>
  <c r="DF491" i="12"/>
  <c r="DF487" i="12"/>
  <c r="DF483" i="12"/>
  <c r="DF479" i="12"/>
  <c r="DF475" i="12"/>
  <c r="DF471" i="12"/>
  <c r="DF467" i="12"/>
  <c r="DF463" i="12"/>
  <c r="DF459" i="12"/>
  <c r="DF455" i="12"/>
  <c r="DF451" i="12"/>
  <c r="DF447" i="12"/>
  <c r="DF443" i="12"/>
  <c r="DF439" i="12"/>
  <c r="DF435" i="12"/>
  <c r="DF431" i="12"/>
  <c r="DF427" i="12"/>
  <c r="DF423" i="12"/>
  <c r="DF419" i="12"/>
  <c r="DF415" i="12"/>
  <c r="DF411" i="12"/>
  <c r="DF407" i="12"/>
  <c r="DF403" i="12"/>
  <c r="DF399" i="12"/>
  <c r="DF395" i="12"/>
  <c r="DF391" i="12"/>
  <c r="DF387" i="12"/>
  <c r="DF383" i="12"/>
  <c r="DF379" i="12"/>
  <c r="DF375" i="12"/>
  <c r="DF371" i="12"/>
  <c r="DF367" i="12"/>
  <c r="DF363" i="12"/>
  <c r="DF359" i="12"/>
  <c r="DF355" i="12"/>
  <c r="DF351" i="12"/>
  <c r="DF347" i="12"/>
  <c r="DF343" i="12"/>
  <c r="DF339" i="12"/>
  <c r="DF335" i="12"/>
  <c r="DF331" i="12"/>
  <c r="DF327" i="12"/>
  <c r="DF323" i="12"/>
  <c r="DF319" i="12"/>
  <c r="DF315" i="12"/>
  <c r="DF311" i="12"/>
  <c r="DF307" i="12"/>
  <c r="DF303" i="12"/>
  <c r="DF299" i="12"/>
  <c r="DF295" i="12"/>
  <c r="DF291" i="12"/>
  <c r="DF287" i="12"/>
  <c r="DF283" i="12"/>
  <c r="B259" i="9"/>
  <c r="B243" i="9"/>
  <c r="B227" i="9"/>
  <c r="B211" i="9"/>
  <c r="B195" i="9"/>
  <c r="B179" i="9"/>
  <c r="B163" i="9"/>
  <c r="B147" i="9"/>
  <c r="B131" i="9"/>
  <c r="B115" i="9"/>
  <c r="B99" i="9"/>
  <c r="B83" i="9"/>
  <c r="B67" i="9"/>
  <c r="B51" i="9"/>
  <c r="B35" i="9"/>
  <c r="B19" i="9"/>
  <c r="B246" i="9"/>
  <c r="B214" i="9"/>
  <c r="B182" i="9"/>
  <c r="B150" i="9"/>
  <c r="B118" i="9"/>
  <c r="B86" i="9"/>
  <c r="B54" i="9"/>
  <c r="B22" i="9"/>
  <c r="DF606" i="12"/>
  <c r="DF601" i="12"/>
  <c r="DF596" i="12"/>
  <c r="DF590" i="12"/>
  <c r="DF585" i="12"/>
  <c r="DF580" i="12"/>
  <c r="DF574" i="12"/>
  <c r="DF569" i="12"/>
  <c r="DF564" i="12"/>
  <c r="DF558" i="12"/>
  <c r="DF553" i="12"/>
  <c r="DF548" i="12"/>
  <c r="DF542" i="12"/>
  <c r="DF537" i="12"/>
  <c r="DF532" i="12"/>
  <c r="DF526" i="12"/>
  <c r="DF521" i="12"/>
  <c r="DF516" i="12"/>
  <c r="DF510" i="12"/>
  <c r="DF505" i="12"/>
  <c r="DF500" i="12"/>
  <c r="DF494" i="12"/>
  <c r="DF489" i="12"/>
  <c r="DF484" i="12"/>
  <c r="DF478" i="12"/>
  <c r="DF473" i="12"/>
  <c r="DF468" i="12"/>
  <c r="DF462" i="12"/>
  <c r="DF457" i="12"/>
  <c r="DF452" i="12"/>
  <c r="DF446" i="12"/>
  <c r="DF441" i="12"/>
  <c r="DF436" i="12"/>
  <c r="DF430" i="12"/>
  <c r="DF425" i="12"/>
  <c r="DF420" i="12"/>
  <c r="DF414" i="12"/>
  <c r="DF409" i="12"/>
  <c r="DF404" i="12"/>
  <c r="DF398" i="12"/>
  <c r="DF393" i="12"/>
  <c r="DF388" i="12"/>
  <c r="DF382" i="12"/>
  <c r="DF377" i="12"/>
  <c r="DF372" i="12"/>
  <c r="DF366" i="12"/>
  <c r="DF361" i="12"/>
  <c r="DF356" i="12"/>
  <c r="DF350" i="12"/>
  <c r="DF345" i="12"/>
  <c r="DF340" i="12"/>
  <c r="DF334" i="12"/>
  <c r="DF329" i="12"/>
  <c r="DF324" i="12"/>
  <c r="DF318" i="12"/>
  <c r="DF313" i="12"/>
  <c r="DF308" i="12"/>
  <c r="DF302" i="12"/>
  <c r="B251" i="9"/>
  <c r="B219" i="9"/>
  <c r="B187" i="9"/>
  <c r="B155" i="9"/>
  <c r="B123" i="9"/>
  <c r="B91" i="9"/>
  <c r="B59" i="9"/>
  <c r="B27" i="9"/>
  <c r="DF610" i="12"/>
  <c r="DF605" i="12"/>
  <c r="B230" i="9"/>
  <c r="B166" i="9"/>
  <c r="B102" i="9"/>
  <c r="B38" i="9"/>
  <c r="DF604" i="12"/>
  <c r="DF597" i="12"/>
  <c r="DF589" i="12"/>
  <c r="DF582" i="12"/>
  <c r="DF576" i="12"/>
  <c r="DF568" i="12"/>
  <c r="DF561" i="12"/>
  <c r="DF554" i="12"/>
  <c r="DF546" i="12"/>
  <c r="DF540" i="12"/>
  <c r="DF533" i="12"/>
  <c r="DF525" i="12"/>
  <c r="DF518" i="12"/>
  <c r="DF512" i="12"/>
  <c r="DF504" i="12"/>
  <c r="DF497" i="12"/>
  <c r="DF490" i="12"/>
  <c r="DF482" i="12"/>
  <c r="DF476" i="12"/>
  <c r="DF469" i="12"/>
  <c r="DF461" i="12"/>
  <c r="DF454" i="12"/>
  <c r="DF448" i="12"/>
  <c r="DF440" i="12"/>
  <c r="DF433" i="12"/>
  <c r="DF426" i="12"/>
  <c r="DF418" i="12"/>
  <c r="DF412" i="12"/>
  <c r="DF405" i="12"/>
  <c r="DF397" i="12"/>
  <c r="DF390" i="12"/>
  <c r="DF384" i="12"/>
  <c r="DF376" i="12"/>
  <c r="DF369" i="12"/>
  <c r="DF362" i="12"/>
  <c r="DF354" i="12"/>
  <c r="DF348" i="12"/>
  <c r="DF341" i="12"/>
  <c r="DF333" i="12"/>
  <c r="DF326" i="12"/>
  <c r="DF320" i="12"/>
  <c r="DF312" i="12"/>
  <c r="DF305" i="12"/>
  <c r="DF298" i="12"/>
  <c r="DF293" i="12"/>
  <c r="DF288" i="12"/>
  <c r="DF282" i="12"/>
  <c r="DF278" i="12"/>
  <c r="DF274" i="12"/>
  <c r="DF270" i="12"/>
  <c r="DF266" i="12"/>
  <c r="DF262" i="12"/>
  <c r="DF258" i="12"/>
  <c r="DF254" i="12"/>
  <c r="DF250" i="12"/>
  <c r="DF246" i="12"/>
  <c r="DF242" i="12"/>
  <c r="DF238" i="12"/>
  <c r="DF234" i="12"/>
  <c r="DF230" i="12"/>
  <c r="DF226" i="12"/>
  <c r="DF222" i="12"/>
  <c r="DF218" i="12"/>
  <c r="DF214" i="12"/>
  <c r="DF210" i="12"/>
  <c r="DF206" i="12"/>
  <c r="DF202" i="12"/>
  <c r="DF198" i="12"/>
  <c r="DF194" i="12"/>
  <c r="DF190" i="12"/>
  <c r="DF186" i="12"/>
  <c r="DF182" i="12"/>
  <c r="DF178" i="12"/>
  <c r="DF174" i="12"/>
  <c r="DF170" i="12"/>
  <c r="DF166" i="12"/>
  <c r="DF162" i="12"/>
  <c r="DF158" i="12"/>
  <c r="DF154" i="12"/>
  <c r="DF150" i="12"/>
  <c r="DF146" i="12"/>
  <c r="DF142" i="12"/>
  <c r="DF138" i="12"/>
  <c r="DF134" i="12"/>
  <c r="DF130" i="12"/>
  <c r="DF126" i="12"/>
  <c r="DF122" i="12"/>
  <c r="DF118" i="12"/>
  <c r="DF114" i="12"/>
  <c r="DF110" i="12"/>
  <c r="DF106" i="12"/>
  <c r="DF102" i="12"/>
  <c r="DF98" i="12"/>
  <c r="DF94" i="12"/>
  <c r="DF90" i="12"/>
  <c r="DF86" i="12"/>
  <c r="DF82" i="12"/>
  <c r="B235" i="9"/>
  <c r="B171" i="9"/>
  <c r="B107" i="9"/>
  <c r="B43" i="9"/>
  <c r="DF602" i="12"/>
  <c r="DF594" i="12"/>
  <c r="DF588" i="12"/>
  <c r="DF581" i="12"/>
  <c r="DF573" i="12"/>
  <c r="DF566" i="12"/>
  <c r="DF560" i="12"/>
  <c r="DF552" i="12"/>
  <c r="DF545" i="12"/>
  <c r="DF538" i="12"/>
  <c r="DF530" i="12"/>
  <c r="DF524" i="12"/>
  <c r="DF517" i="12"/>
  <c r="DF509" i="12"/>
  <c r="DF502" i="12"/>
  <c r="DF496" i="12"/>
  <c r="DF488" i="12"/>
  <c r="DF481" i="12"/>
  <c r="DF474" i="12"/>
  <c r="DF466" i="12"/>
  <c r="DF460" i="12"/>
  <c r="DF453" i="12"/>
  <c r="DF445" i="12"/>
  <c r="DF438" i="12"/>
  <c r="DF432" i="12"/>
  <c r="DF424" i="12"/>
  <c r="DF417" i="12"/>
  <c r="DF410" i="12"/>
  <c r="DF402" i="12"/>
  <c r="DF396" i="12"/>
  <c r="DF389" i="12"/>
  <c r="DF381" i="12"/>
  <c r="DF374" i="12"/>
  <c r="DF368" i="12"/>
  <c r="DF360" i="12"/>
  <c r="DF353" i="12"/>
  <c r="DF346" i="12"/>
  <c r="DF338" i="12"/>
  <c r="DF332" i="12"/>
  <c r="DF325" i="12"/>
  <c r="DF317" i="12"/>
  <c r="DF310" i="12"/>
  <c r="DF304" i="12"/>
  <c r="DF297" i="12"/>
  <c r="DF292" i="12"/>
  <c r="DF286" i="12"/>
  <c r="DF281" i="12"/>
  <c r="DF277" i="12"/>
  <c r="DF273" i="12"/>
  <c r="DF269" i="12"/>
  <c r="DF265" i="12"/>
  <c r="DF261" i="12"/>
  <c r="DF257" i="12"/>
  <c r="DF253" i="12"/>
  <c r="DF249" i="12"/>
  <c r="DF245" i="12"/>
  <c r="DF241" i="12"/>
  <c r="DF237" i="12"/>
  <c r="DF233" i="12"/>
  <c r="DF229" i="12"/>
  <c r="DF225" i="12"/>
  <c r="DF221" i="12"/>
  <c r="DF217" i="12"/>
  <c r="DF213" i="12"/>
  <c r="DF209" i="12"/>
  <c r="DF205" i="12"/>
  <c r="DF201" i="12"/>
  <c r="DF197" i="12"/>
  <c r="DF193" i="12"/>
  <c r="DF189" i="12"/>
  <c r="DF185" i="12"/>
  <c r="DF181" i="12"/>
  <c r="DF177" i="12"/>
  <c r="DF173" i="12"/>
  <c r="DF169" i="12"/>
  <c r="DF165" i="12"/>
  <c r="DF161" i="12"/>
  <c r="DF157" i="12"/>
  <c r="DF153" i="12"/>
  <c r="DF149" i="12"/>
  <c r="DF145" i="12"/>
  <c r="DF141" i="12"/>
  <c r="DF137" i="12"/>
  <c r="DF133" i="12"/>
  <c r="DF129" i="12"/>
  <c r="DF125" i="12"/>
  <c r="DF121" i="12"/>
  <c r="DF117" i="12"/>
  <c r="DF113" i="12"/>
  <c r="DF109" i="12"/>
  <c r="DF105" i="12"/>
  <c r="DF101" i="12"/>
  <c r="DF97" i="12"/>
  <c r="DF93" i="12"/>
  <c r="DF89" i="12"/>
  <c r="B198" i="9"/>
  <c r="B70" i="9"/>
  <c r="DF598" i="12"/>
  <c r="DF584" i="12"/>
  <c r="DF570" i="12"/>
  <c r="DF556" i="12"/>
  <c r="DF541" i="12"/>
  <c r="DF528" i="12"/>
  <c r="DF513" i="12"/>
  <c r="DF498" i="12"/>
  <c r="DF485" i="12"/>
  <c r="DF470" i="12"/>
  <c r="DF456" i="12"/>
  <c r="DF442" i="12"/>
  <c r="DF428" i="12"/>
  <c r="DF413" i="12"/>
  <c r="DF400" i="12"/>
  <c r="DF385" i="12"/>
  <c r="DF370" i="12"/>
  <c r="DF357" i="12"/>
  <c r="DF342" i="12"/>
  <c r="DF328" i="12"/>
  <c r="DF314" i="12"/>
  <c r="DF300" i="12"/>
  <c r="DF289" i="12"/>
  <c r="DF279" i="12"/>
  <c r="DF271" i="12"/>
  <c r="DF263" i="12"/>
  <c r="DF255" i="12"/>
  <c r="DF247" i="12"/>
  <c r="DF239" i="12"/>
  <c r="DF231" i="12"/>
  <c r="DF223" i="12"/>
  <c r="DF215" i="12"/>
  <c r="DF207" i="12"/>
  <c r="DF199" i="12"/>
  <c r="DF191" i="12"/>
  <c r="DF183" i="12"/>
  <c r="DF128" i="12"/>
  <c r="DF120" i="12"/>
  <c r="DF112" i="12"/>
  <c r="DF104" i="12"/>
  <c r="DF96" i="12"/>
  <c r="DF88" i="12"/>
  <c r="DF85" i="12"/>
  <c r="DF81" i="12"/>
  <c r="DF77" i="12"/>
  <c r="DF73" i="12"/>
  <c r="DF69" i="12"/>
  <c r="DF66" i="12"/>
  <c r="DF64" i="12"/>
  <c r="DF62" i="12"/>
  <c r="DF54" i="12"/>
  <c r="DF51" i="12"/>
  <c r="DF48" i="12"/>
  <c r="DF44" i="12"/>
  <c r="DF41" i="12"/>
  <c r="DF37" i="12"/>
  <c r="DF35" i="12"/>
  <c r="DF32" i="12"/>
  <c r="DF31" i="12"/>
  <c r="DF19" i="12"/>
  <c r="DF18" i="12"/>
  <c r="DF14" i="12"/>
  <c r="DF8" i="12"/>
  <c r="DF7" i="12"/>
  <c r="DF6" i="12"/>
  <c r="B203" i="9"/>
  <c r="B75" i="9"/>
  <c r="DF609" i="12"/>
  <c r="DF593" i="12"/>
  <c r="DF578" i="12"/>
  <c r="DF565" i="12"/>
  <c r="DF550" i="12"/>
  <c r="DF536" i="12"/>
  <c r="DF522" i="12"/>
  <c r="DF508" i="12"/>
  <c r="DF493" i="12"/>
  <c r="DF480" i="12"/>
  <c r="DF465" i="12"/>
  <c r="DF450" i="12"/>
  <c r="DF437" i="12"/>
  <c r="DF422" i="12"/>
  <c r="DF408" i="12"/>
  <c r="DF394" i="12"/>
  <c r="DF380" i="12"/>
  <c r="DF365" i="12"/>
  <c r="DF352" i="12"/>
  <c r="DF337" i="12"/>
  <c r="DF322" i="12"/>
  <c r="DF309" i="12"/>
  <c r="DF296" i="12"/>
  <c r="DF285" i="12"/>
  <c r="DF276" i="12"/>
  <c r="DF268" i="12"/>
  <c r="DF260" i="12"/>
  <c r="DF252" i="12"/>
  <c r="DF244" i="12"/>
  <c r="DF236" i="12"/>
  <c r="DF228" i="12"/>
  <c r="DF220" i="12"/>
  <c r="DF212" i="12"/>
  <c r="DF204" i="12"/>
  <c r="DF196" i="12"/>
  <c r="DF188" i="12"/>
  <c r="DF180" i="12"/>
  <c r="DF131" i="12"/>
  <c r="DF123" i="12"/>
  <c r="DF115" i="12"/>
  <c r="DF107" i="12"/>
  <c r="DF99" i="12"/>
  <c r="DF91" i="12"/>
  <c r="DF84" i="12"/>
  <c r="DF80" i="12"/>
  <c r="DF76" i="12"/>
  <c r="DF72" i="12"/>
  <c r="DF68" i="12"/>
  <c r="DF52" i="12"/>
  <c r="DF49" i="12"/>
  <c r="DF45" i="12"/>
  <c r="DF38" i="12"/>
  <c r="DF30" i="12"/>
  <c r="DF27" i="12"/>
  <c r="DF25" i="12"/>
  <c r="DF23" i="12"/>
  <c r="DF22" i="12"/>
  <c r="DF17" i="12"/>
  <c r="DF13" i="12"/>
  <c r="DF11" i="12"/>
  <c r="DF10" i="12"/>
  <c r="DF9" i="12"/>
  <c r="DF5" i="12"/>
  <c r="DF4" i="12"/>
  <c r="DF3" i="12"/>
  <c r="DF16" i="12"/>
  <c r="DF42" i="12"/>
  <c r="DF60" i="12"/>
  <c r="DF108" i="12"/>
  <c r="DF203" i="12"/>
  <c r="DF235" i="12"/>
  <c r="DF267" i="12"/>
  <c r="DF306" i="12"/>
  <c r="DF364" i="12"/>
  <c r="DF421" i="12"/>
  <c r="DF477" i="12"/>
  <c r="DF506" i="12"/>
  <c r="DF534" i="12"/>
  <c r="DF592" i="12"/>
  <c r="C6" i="39"/>
  <c r="DF12" i="12"/>
  <c r="DF21" i="12"/>
  <c r="DF29" i="12"/>
  <c r="DF33" i="12"/>
  <c r="DF36" i="12"/>
  <c r="DF40" i="12"/>
  <c r="DF58" i="12"/>
  <c r="DF100" i="12"/>
  <c r="DF116" i="12"/>
  <c r="DF132" i="12"/>
  <c r="DF179" i="12"/>
  <c r="DF195" i="12"/>
  <c r="DF211" i="12"/>
  <c r="DF227" i="12"/>
  <c r="DF243" i="12"/>
  <c r="DF259" i="12"/>
  <c r="DF275" i="12"/>
  <c r="DF294" i="12"/>
  <c r="DF321" i="12"/>
  <c r="DF349" i="12"/>
  <c r="DF378" i="12"/>
  <c r="DF406" i="12"/>
  <c r="DF434" i="12"/>
  <c r="DF464" i="12"/>
  <c r="DF492" i="12"/>
  <c r="DF520" i="12"/>
  <c r="DF549" i="12"/>
  <c r="DF577" i="12"/>
  <c r="DF608" i="12"/>
  <c r="B134" i="9"/>
  <c r="AH265" i="38" l="1"/>
  <c r="AG264" i="38"/>
  <c r="BJ29" i="39"/>
  <c r="BJ32" i="39"/>
  <c r="BJ47" i="39"/>
  <c r="BJ41" i="39"/>
  <c r="BJ42" i="39"/>
  <c r="BJ34" i="39"/>
  <c r="BJ35" i="39"/>
  <c r="BJ44" i="39"/>
  <c r="BJ30" i="39"/>
  <c r="BJ36" i="39"/>
  <c r="BJ37" i="39"/>
  <c r="BJ48" i="39"/>
  <c r="BJ33" i="39"/>
  <c r="BJ43" i="39"/>
  <c r="BJ31" i="39"/>
  <c r="BJ38" i="39"/>
  <c r="BJ39" i="39"/>
  <c r="BJ45" i="39"/>
  <c r="BJ46" i="39"/>
  <c r="BJ40" i="39"/>
  <c r="BD36" i="39"/>
  <c r="BD41" i="39"/>
  <c r="BD42" i="39"/>
  <c r="BD43" i="39"/>
  <c r="BD48" i="39"/>
  <c r="BD30" i="39"/>
  <c r="BD33" i="39"/>
  <c r="BD37" i="39"/>
  <c r="BD46" i="39"/>
  <c r="BD31" i="39"/>
  <c r="BD38" i="39"/>
  <c r="BD39" i="39"/>
  <c r="BD45" i="39"/>
  <c r="BD40" i="39"/>
  <c r="BD34" i="39"/>
  <c r="BD35" i="39"/>
  <c r="BD44" i="39"/>
  <c r="BD29" i="39"/>
  <c r="BD32" i="39"/>
  <c r="BD47" i="39"/>
  <c r="BJ23" i="39"/>
  <c r="BJ21" i="39"/>
  <c r="BJ26" i="39"/>
  <c r="BJ25" i="39"/>
  <c r="BJ24" i="39"/>
  <c r="BJ28" i="39"/>
  <c r="BJ22" i="39"/>
  <c r="BJ27" i="39"/>
  <c r="BD25" i="39"/>
  <c r="BD26" i="39"/>
  <c r="BD24" i="39"/>
  <c r="BD28" i="39"/>
  <c r="BD23" i="39"/>
  <c r="BD27" i="39"/>
  <c r="BD21" i="39"/>
  <c r="BD22" i="39"/>
  <c r="AG270" i="38"/>
  <c r="O3" i="12"/>
  <c r="AK140" i="12"/>
  <c r="AK101" i="12"/>
  <c r="AK47" i="12"/>
  <c r="Z122" i="12"/>
  <c r="AK76" i="12"/>
  <c r="AK42" i="12"/>
  <c r="AK87" i="12"/>
  <c r="AK86" i="12"/>
  <c r="AK51" i="12"/>
  <c r="AK18" i="12"/>
  <c r="AK63" i="12"/>
  <c r="AK78" i="12"/>
  <c r="AK144" i="12"/>
  <c r="AK80" i="12"/>
  <c r="AK8" i="12"/>
  <c r="AK117" i="12"/>
  <c r="AK53" i="12"/>
  <c r="AK92" i="12"/>
  <c r="AK12" i="12"/>
  <c r="AK89" i="12"/>
  <c r="AK57" i="12"/>
  <c r="AK130" i="12"/>
  <c r="AK29" i="12"/>
  <c r="AK30" i="12"/>
  <c r="AK34" i="12"/>
  <c r="AK26" i="12"/>
  <c r="AK71" i="12"/>
  <c r="AK70" i="12"/>
  <c r="AK35" i="12"/>
  <c r="AK146" i="12"/>
  <c r="AK31" i="12"/>
  <c r="AK62" i="12"/>
  <c r="AK136" i="12"/>
  <c r="AK72" i="12"/>
  <c r="AK109" i="12"/>
  <c r="AK45" i="12"/>
  <c r="AK148" i="12"/>
  <c r="AK84" i="12"/>
  <c r="AK4" i="12"/>
  <c r="AK81" i="12"/>
  <c r="AK138" i="12"/>
  <c r="AK54" i="12"/>
  <c r="AK46" i="12"/>
  <c r="AK128" i="12"/>
  <c r="AK73" i="12"/>
  <c r="AK22" i="12"/>
  <c r="AK122" i="12"/>
  <c r="AK38" i="12"/>
  <c r="AK147" i="12"/>
  <c r="AK114" i="12"/>
  <c r="AK143" i="12"/>
  <c r="AK139" i="12"/>
  <c r="AK129" i="12"/>
  <c r="AK120" i="12"/>
  <c r="AK56" i="12"/>
  <c r="AK93" i="12"/>
  <c r="AK21" i="12"/>
  <c r="AK132" i="12"/>
  <c r="AK60" i="12"/>
  <c r="AK137" i="12"/>
  <c r="AK65" i="12"/>
  <c r="AK40" i="12"/>
  <c r="AK106" i="12"/>
  <c r="AK6" i="12"/>
  <c r="AK131" i="12"/>
  <c r="AK98" i="12"/>
  <c r="AK127" i="12"/>
  <c r="AK142" i="12"/>
  <c r="AK91" i="12"/>
  <c r="AK112" i="12"/>
  <c r="AK48" i="12"/>
  <c r="AK85" i="12"/>
  <c r="AK13" i="12"/>
  <c r="AK124" i="12"/>
  <c r="AK52" i="12"/>
  <c r="AK121" i="12"/>
  <c r="AK41" i="12"/>
  <c r="AK10" i="12"/>
  <c r="AK19" i="12"/>
  <c r="AK68" i="12"/>
  <c r="AK33" i="12"/>
  <c r="AK37" i="12"/>
  <c r="AK39" i="12"/>
  <c r="AK123" i="12"/>
  <c r="AK90" i="12"/>
  <c r="AK135" i="12"/>
  <c r="AK134" i="12"/>
  <c r="AK99" i="12"/>
  <c r="AK82" i="12"/>
  <c r="AK111" i="12"/>
  <c r="AK126" i="12"/>
  <c r="AK59" i="12"/>
  <c r="AK104" i="12"/>
  <c r="AK32" i="12"/>
  <c r="AK141" i="12"/>
  <c r="AK77" i="12"/>
  <c r="AK5" i="12"/>
  <c r="AK116" i="12"/>
  <c r="AK44" i="12"/>
  <c r="AK113" i="12"/>
  <c r="AK9" i="12"/>
  <c r="AK25" i="12"/>
  <c r="AK7" i="12"/>
  <c r="AK145" i="12"/>
  <c r="AK64" i="12"/>
  <c r="AK107" i="12"/>
  <c r="AK74" i="12"/>
  <c r="AK119" i="12"/>
  <c r="AK118" i="12"/>
  <c r="AK115" i="12"/>
  <c r="AK83" i="12"/>
  <c r="AK66" i="12"/>
  <c r="AK95" i="12"/>
  <c r="AK110" i="12"/>
  <c r="AK27" i="12"/>
  <c r="AK96" i="12"/>
  <c r="AK24" i="12"/>
  <c r="AK133" i="12"/>
  <c r="AK69" i="12"/>
  <c r="AK108" i="12"/>
  <c r="AK36" i="12"/>
  <c r="AK105" i="12"/>
  <c r="AK49" i="12"/>
  <c r="AK75" i="12"/>
  <c r="AK58" i="12"/>
  <c r="AK103" i="12"/>
  <c r="AK102" i="12"/>
  <c r="AK67" i="12"/>
  <c r="AK3" i="12"/>
  <c r="AK50" i="12"/>
  <c r="AK79" i="12"/>
  <c r="AK94" i="12"/>
  <c r="AK88" i="12"/>
  <c r="AK16" i="12"/>
  <c r="AK125" i="12"/>
  <c r="AK61" i="12"/>
  <c r="AK100" i="12"/>
  <c r="AK28" i="12"/>
  <c r="AK97" i="12"/>
  <c r="AV45" i="12"/>
  <c r="AV66" i="12"/>
  <c r="AV6" i="12"/>
  <c r="AV26" i="12"/>
  <c r="AV43" i="12"/>
  <c r="AV32" i="12"/>
  <c r="AV31" i="12"/>
  <c r="AV12" i="12"/>
  <c r="AV13" i="12"/>
  <c r="AV18" i="12"/>
  <c r="AV22" i="12"/>
  <c r="AV57" i="12"/>
  <c r="AV3" i="12"/>
  <c r="AV50" i="12"/>
  <c r="AV5" i="12"/>
  <c r="AV35" i="12"/>
  <c r="AV24" i="12"/>
  <c r="AV23" i="12"/>
  <c r="AV68" i="12"/>
  <c r="AV4" i="12"/>
  <c r="AV38" i="12"/>
  <c r="AV70" i="12"/>
  <c r="AV30" i="12"/>
  <c r="AV27" i="12"/>
  <c r="AV8" i="12"/>
  <c r="AV15" i="12"/>
  <c r="AV60" i="12"/>
  <c r="AV16" i="12"/>
  <c r="AV58" i="12"/>
  <c r="AV54" i="12"/>
  <c r="AV10" i="12"/>
  <c r="AV11" i="12"/>
  <c r="AV41" i="12"/>
  <c r="AV7" i="12"/>
  <c r="AV52" i="12"/>
  <c r="AV42" i="12"/>
  <c r="AV37" i="12"/>
  <c r="AV69" i="12"/>
  <c r="AV17" i="12"/>
  <c r="AV64" i="12"/>
  <c r="AV33" i="12"/>
  <c r="AV44" i="12"/>
  <c r="AV21" i="12"/>
  <c r="AV14" i="12"/>
  <c r="AV53" i="12"/>
  <c r="AV65" i="12"/>
  <c r="AV67" i="12"/>
  <c r="AV56" i="12"/>
  <c r="AV25" i="12"/>
  <c r="AV63" i="12"/>
  <c r="AV36" i="12"/>
  <c r="AV34" i="12"/>
  <c r="AV49" i="12"/>
  <c r="AV62" i="12"/>
  <c r="AV59" i="12"/>
  <c r="AV48" i="12"/>
  <c r="AV9" i="12"/>
  <c r="AV55" i="12"/>
  <c r="AV28" i="12"/>
  <c r="AV61" i="12"/>
  <c r="AV29" i="12"/>
  <c r="AV46" i="12"/>
  <c r="AV51" i="12"/>
  <c r="AV40" i="12"/>
  <c r="AV39" i="12"/>
  <c r="AV20" i="12"/>
  <c r="Z42" i="12"/>
  <c r="Z49" i="12"/>
  <c r="Z124" i="12"/>
  <c r="Z123" i="12"/>
  <c r="Z40" i="12"/>
  <c r="Z7" i="12"/>
  <c r="Z55" i="12"/>
  <c r="Z72" i="12"/>
  <c r="Z68" i="12"/>
  <c r="Z130" i="12"/>
  <c r="Z25" i="12"/>
  <c r="Z134" i="12"/>
  <c r="Z38" i="12"/>
  <c r="Z13" i="12"/>
  <c r="Z98" i="12"/>
  <c r="Z44" i="12"/>
  <c r="Z92" i="12"/>
  <c r="Z8" i="12"/>
  <c r="Z132" i="12"/>
  <c r="Z135" i="12"/>
  <c r="Z52" i="12"/>
  <c r="Z99" i="12"/>
  <c r="Z97" i="12"/>
  <c r="Z17" i="12"/>
  <c r="Z126" i="12"/>
  <c r="Z30" i="12"/>
  <c r="Z93" i="12"/>
  <c r="Z5" i="12"/>
  <c r="Z82" i="12"/>
  <c r="Z33" i="12"/>
  <c r="Z28" i="12"/>
  <c r="Z91" i="12"/>
  <c r="Z84" i="12"/>
  <c r="Z4" i="12"/>
  <c r="Z83" i="12"/>
  <c r="Z96" i="12"/>
  <c r="Z89" i="12"/>
  <c r="Z9" i="12"/>
  <c r="Z94" i="12"/>
  <c r="Z14" i="12"/>
  <c r="Z85" i="12"/>
  <c r="Z34" i="12"/>
  <c r="Z51" i="12"/>
  <c r="Z58" i="12"/>
  <c r="Z128" i="12"/>
  <c r="Z75" i="12"/>
  <c r="Z36" i="12"/>
  <c r="Z87" i="12"/>
  <c r="Z67" i="12"/>
  <c r="Z80" i="12"/>
  <c r="Z95" i="12"/>
  <c r="Z90" i="12"/>
  <c r="Z81" i="12"/>
  <c r="Z70" i="12"/>
  <c r="Z6" i="12"/>
  <c r="Z77" i="12"/>
  <c r="Z10" i="12"/>
  <c r="Z48" i="12"/>
  <c r="Z64" i="12"/>
  <c r="Z59" i="12"/>
  <c r="Z39" i="12"/>
  <c r="Z35" i="12"/>
  <c r="Z32" i="12"/>
  <c r="Z15" i="12"/>
  <c r="Z74" i="12"/>
  <c r="Z73" i="12"/>
  <c r="Z46" i="12"/>
  <c r="Z86" i="12"/>
  <c r="Z133" i="12"/>
  <c r="Z69" i="12"/>
  <c r="Z127" i="12"/>
  <c r="Z43" i="12"/>
  <c r="Z23" i="12"/>
  <c r="Z19" i="12"/>
  <c r="Z60" i="12"/>
  <c r="Z66" i="12"/>
  <c r="Z129" i="12"/>
  <c r="Z65" i="12"/>
  <c r="Z22" i="12"/>
  <c r="Z78" i="12"/>
  <c r="Z125" i="12"/>
  <c r="Z53" i="12"/>
  <c r="Z61" i="12"/>
  <c r="Z79" i="12"/>
  <c r="Z11" i="12"/>
  <c r="Z3" i="12"/>
  <c r="Z88" i="12"/>
  <c r="Z12" i="12"/>
  <c r="Z50" i="12"/>
  <c r="Z57" i="12"/>
  <c r="Z62" i="12"/>
  <c r="Z45" i="12"/>
  <c r="Z76" i="12"/>
  <c r="Z63" i="12"/>
  <c r="Z56" i="12"/>
  <c r="Z71" i="12"/>
  <c r="Z100" i="12"/>
  <c r="Z131" i="12"/>
  <c r="Z26" i="12"/>
  <c r="Z41" i="12"/>
  <c r="Z54" i="12"/>
  <c r="Z37" i="12"/>
  <c r="O24" i="12"/>
  <c r="O22" i="12"/>
  <c r="O18" i="12"/>
  <c r="O27" i="12"/>
  <c r="O7" i="12"/>
  <c r="O13" i="12"/>
  <c r="O26" i="12"/>
  <c r="O25" i="12"/>
  <c r="O11" i="12"/>
  <c r="O4" i="12"/>
  <c r="O17" i="12"/>
  <c r="O20" i="12"/>
  <c r="O9" i="12"/>
  <c r="O32" i="12"/>
  <c r="O28" i="12"/>
  <c r="O35" i="12"/>
  <c r="O30" i="12"/>
  <c r="O37" i="12"/>
  <c r="O12" i="12"/>
  <c r="O31" i="12"/>
  <c r="O5" i="12"/>
  <c r="O29" i="12"/>
  <c r="O34" i="12"/>
  <c r="O23" i="12"/>
  <c r="O36" i="12"/>
  <c r="O15" i="12"/>
  <c r="O21" i="12"/>
  <c r="O33" i="12"/>
  <c r="O14" i="12"/>
  <c r="AM3" i="12"/>
  <c r="J78" i="34"/>
  <c r="T48" i="4"/>
  <c r="T47" i="4"/>
  <c r="T15" i="4"/>
  <c r="T24" i="4"/>
  <c r="T44" i="4"/>
  <c r="T59" i="4"/>
  <c r="T27" i="4"/>
  <c r="T54" i="4"/>
  <c r="T38" i="4"/>
  <c r="T22" i="4"/>
  <c r="T61" i="4"/>
  <c r="T45" i="4"/>
  <c r="T29" i="4"/>
  <c r="T13" i="4"/>
  <c r="T11" i="4"/>
  <c r="T32" i="4"/>
  <c r="T39" i="4"/>
  <c r="T9" i="4"/>
  <c r="T8" i="4"/>
  <c r="T36" i="4"/>
  <c r="T51" i="4"/>
  <c r="T19" i="4"/>
  <c r="T50" i="4"/>
  <c r="T34" i="4"/>
  <c r="T18" i="4"/>
  <c r="T57" i="4"/>
  <c r="T41" i="4"/>
  <c r="T25" i="4"/>
  <c r="T55" i="4"/>
  <c r="T16" i="4"/>
  <c r="T31" i="4"/>
  <c r="T56" i="4"/>
  <c r="T60" i="4"/>
  <c r="T28" i="4"/>
  <c r="T43" i="4"/>
  <c r="T62" i="4"/>
  <c r="T46" i="4"/>
  <c r="T30" i="4"/>
  <c r="S30" i="4" s="1"/>
  <c r="T14" i="4"/>
  <c r="T53" i="4"/>
  <c r="T37" i="4"/>
  <c r="T21" i="4"/>
  <c r="T12" i="4"/>
  <c r="T7" i="4"/>
  <c r="T23" i="4"/>
  <c r="T40" i="4"/>
  <c r="T52" i="4"/>
  <c r="T20" i="4"/>
  <c r="T35" i="4"/>
  <c r="T58" i="4"/>
  <c r="T42" i="4"/>
  <c r="T26" i="4"/>
  <c r="T10" i="4"/>
  <c r="T49" i="4"/>
  <c r="T33" i="4"/>
  <c r="T17" i="4"/>
  <c r="J45" i="34"/>
  <c r="H46" i="34" s="1"/>
  <c r="I46" i="34" s="1"/>
  <c r="J111" i="34"/>
  <c r="J12" i="34"/>
  <c r="H13" i="34" s="1"/>
  <c r="J144" i="34"/>
  <c r="H139" i="34" s="1"/>
  <c r="T35" i="33"/>
  <c r="S35" i="33" s="1"/>
  <c r="T25" i="33"/>
  <c r="S25" i="33" s="1"/>
  <c r="T112" i="6"/>
  <c r="S112" i="6" s="1"/>
  <c r="T133" i="33"/>
  <c r="S133" i="33" s="1"/>
  <c r="T176" i="6"/>
  <c r="S176" i="6" s="1"/>
  <c r="T144" i="33"/>
  <c r="S144" i="33" s="1"/>
  <c r="T192" i="6"/>
  <c r="S192" i="6" s="1"/>
  <c r="T103" i="33"/>
  <c r="S103" i="33" s="1"/>
  <c r="T60" i="7"/>
  <c r="S60" i="7" s="1"/>
  <c r="T29" i="7"/>
  <c r="S29" i="7" s="1"/>
  <c r="T48" i="6"/>
  <c r="S48" i="6" s="1"/>
  <c r="T28" i="7"/>
  <c r="S28" i="7" s="1"/>
  <c r="T64" i="6"/>
  <c r="S64" i="6" s="1"/>
  <c r="T128" i="6"/>
  <c r="S128" i="6" s="1"/>
  <c r="T62" i="33"/>
  <c r="S62" i="33" s="1"/>
  <c r="T10" i="6"/>
  <c r="S10" i="6" s="1"/>
  <c r="T16" i="6"/>
  <c r="S16" i="6" s="1"/>
  <c r="T80" i="6"/>
  <c r="S80" i="6" s="1"/>
  <c r="T144" i="6"/>
  <c r="S144" i="6" s="1"/>
  <c r="T18" i="33"/>
  <c r="S18" i="33" s="1"/>
  <c r="T126" i="33"/>
  <c r="S126" i="33" s="1"/>
  <c r="T61" i="7"/>
  <c r="S61" i="7" s="1"/>
  <c r="T32" i="6"/>
  <c r="S32" i="6" s="1"/>
  <c r="T96" i="6"/>
  <c r="S96" i="6" s="1"/>
  <c r="T160" i="6"/>
  <c r="S160" i="6" s="1"/>
  <c r="T80" i="33"/>
  <c r="S80" i="33" s="1"/>
  <c r="T89" i="33"/>
  <c r="S89" i="33" s="1"/>
  <c r="T196" i="6"/>
  <c r="S196" i="6" s="1"/>
  <c r="T68" i="7"/>
  <c r="S68" i="7" s="1"/>
  <c r="T75" i="33"/>
  <c r="S75" i="33" s="1"/>
  <c r="T94" i="7"/>
  <c r="S94" i="7" s="1"/>
  <c r="R94" i="7" s="1"/>
  <c r="T77" i="7"/>
  <c r="S77" i="7" s="1"/>
  <c r="R77" i="7" s="1"/>
  <c r="T45" i="7"/>
  <c r="S45" i="7" s="1"/>
  <c r="T13" i="7"/>
  <c r="S13" i="7" s="1"/>
  <c r="T24" i="6"/>
  <c r="S24" i="6" s="1"/>
  <c r="T40" i="6"/>
  <c r="S40" i="6" s="1"/>
  <c r="T56" i="6"/>
  <c r="S56" i="6" s="1"/>
  <c r="T72" i="6"/>
  <c r="S72" i="6" s="1"/>
  <c r="T88" i="6"/>
  <c r="S88" i="6" s="1"/>
  <c r="T104" i="6"/>
  <c r="S104" i="6" s="1"/>
  <c r="T120" i="6"/>
  <c r="S120" i="6" s="1"/>
  <c r="T136" i="6"/>
  <c r="S136" i="6" s="1"/>
  <c r="T152" i="6"/>
  <c r="S152" i="6" s="1"/>
  <c r="T168" i="6"/>
  <c r="S168" i="6" s="1"/>
  <c r="T184" i="6"/>
  <c r="S184" i="6" s="1"/>
  <c r="T200" i="6"/>
  <c r="S200" i="6" s="1"/>
  <c r="T12" i="7"/>
  <c r="S12" i="7" s="1"/>
  <c r="T44" i="7"/>
  <c r="S44" i="7" s="1"/>
  <c r="T76" i="7"/>
  <c r="S76" i="7" s="1"/>
  <c r="R76" i="7" s="1"/>
  <c r="T48" i="33"/>
  <c r="S48" i="33" s="1"/>
  <c r="T112" i="33"/>
  <c r="S112" i="33" s="1"/>
  <c r="T30" i="33"/>
  <c r="S30" i="33" s="1"/>
  <c r="T94" i="33"/>
  <c r="S94" i="33" s="1"/>
  <c r="T12" i="33"/>
  <c r="S12" i="33" s="1"/>
  <c r="T57" i="33"/>
  <c r="S57" i="33" s="1"/>
  <c r="T71" i="33"/>
  <c r="S71" i="33" s="1"/>
  <c r="T139" i="33"/>
  <c r="S139" i="33" s="1"/>
  <c r="T7" i="6"/>
  <c r="S7" i="6" s="1"/>
  <c r="T63" i="33"/>
  <c r="S63" i="33" s="1"/>
  <c r="T205" i="6"/>
  <c r="S205" i="6" s="1"/>
  <c r="T78" i="7"/>
  <c r="S78" i="7" s="1"/>
  <c r="R78" i="7" s="1"/>
  <c r="T43" i="33"/>
  <c r="S43" i="33" s="1"/>
  <c r="T98" i="7"/>
  <c r="S98" i="7" s="1"/>
  <c r="R98" i="7" s="1"/>
  <c r="T69" i="7"/>
  <c r="S69" i="7" s="1"/>
  <c r="T37" i="7"/>
  <c r="S37" i="7" s="1"/>
  <c r="T8" i="6"/>
  <c r="S8" i="6" s="1"/>
  <c r="T12" i="6"/>
  <c r="S12" i="6" s="1"/>
  <c r="T28" i="6"/>
  <c r="T44" i="6"/>
  <c r="S44" i="6" s="1"/>
  <c r="T60" i="6"/>
  <c r="S60" i="6" s="1"/>
  <c r="T76" i="6"/>
  <c r="S76" i="6" s="1"/>
  <c r="T92" i="6"/>
  <c r="S92" i="6" s="1"/>
  <c r="T108" i="6"/>
  <c r="S108" i="6" s="1"/>
  <c r="T124" i="6"/>
  <c r="S124" i="6" s="1"/>
  <c r="T140" i="6"/>
  <c r="S140" i="6" s="1"/>
  <c r="T156" i="6"/>
  <c r="S156" i="6" s="1"/>
  <c r="T172" i="6"/>
  <c r="S172" i="6" s="1"/>
  <c r="T188" i="6"/>
  <c r="S188" i="6" s="1"/>
  <c r="T204" i="6"/>
  <c r="S204" i="6" s="1"/>
  <c r="T20" i="7"/>
  <c r="S20" i="7" s="1"/>
  <c r="T52" i="7"/>
  <c r="S52" i="7" s="1"/>
  <c r="T84" i="7"/>
  <c r="S84" i="7" s="1"/>
  <c r="R84" i="7" s="1"/>
  <c r="T64" i="33"/>
  <c r="S64" i="33" s="1"/>
  <c r="T128" i="33"/>
  <c r="S128" i="33" s="1"/>
  <c r="T46" i="33"/>
  <c r="S46" i="33" s="1"/>
  <c r="T110" i="33"/>
  <c r="S110" i="33" s="1"/>
  <c r="T105" i="33"/>
  <c r="S105" i="33" s="1"/>
  <c r="T41" i="33"/>
  <c r="S41" i="33" s="1"/>
  <c r="T151" i="33"/>
  <c r="S151" i="33" s="1"/>
  <c r="T87" i="33"/>
  <c r="S87" i="33" s="1"/>
  <c r="N26" i="14"/>
  <c r="M26" i="14" s="1"/>
  <c r="T82" i="7"/>
  <c r="S82" i="7" s="1"/>
  <c r="R82" i="7" s="1"/>
  <c r="T203" i="6"/>
  <c r="S203" i="6" s="1"/>
  <c r="T107" i="33"/>
  <c r="S107" i="33" s="1"/>
  <c r="T90" i="7"/>
  <c r="S90" i="7" s="1"/>
  <c r="R90" i="7" s="1"/>
  <c r="T85" i="7"/>
  <c r="S85" i="7" s="1"/>
  <c r="R85" i="7" s="1"/>
  <c r="T53" i="7"/>
  <c r="S53" i="7" s="1"/>
  <c r="T21" i="7"/>
  <c r="S21" i="7" s="1"/>
  <c r="T20" i="6"/>
  <c r="S20" i="6" s="1"/>
  <c r="T36" i="6"/>
  <c r="S36" i="6" s="1"/>
  <c r="T52" i="6"/>
  <c r="S52" i="6" s="1"/>
  <c r="T68" i="6"/>
  <c r="S68" i="6" s="1"/>
  <c r="T84" i="6"/>
  <c r="S84" i="6" s="1"/>
  <c r="T100" i="6"/>
  <c r="S100" i="6" s="1"/>
  <c r="T116" i="6"/>
  <c r="S116" i="6" s="1"/>
  <c r="T132" i="6"/>
  <c r="S132" i="6" s="1"/>
  <c r="T148" i="6"/>
  <c r="S148" i="6" s="1"/>
  <c r="T164" i="6"/>
  <c r="S164" i="6" s="1"/>
  <c r="T180" i="6"/>
  <c r="S180" i="6" s="1"/>
  <c r="T36" i="7"/>
  <c r="S36" i="7" s="1"/>
  <c r="T32" i="33"/>
  <c r="S32" i="33" s="1"/>
  <c r="T96" i="33"/>
  <c r="S96" i="33" s="1"/>
  <c r="T14" i="33"/>
  <c r="S14" i="33" s="1"/>
  <c r="T78" i="33"/>
  <c r="S78" i="33" s="1"/>
  <c r="T142" i="33"/>
  <c r="S142" i="33" s="1"/>
  <c r="T73" i="33"/>
  <c r="S73" i="33" s="1"/>
  <c r="T135" i="33"/>
  <c r="S135" i="33" s="1"/>
  <c r="T99" i="33"/>
  <c r="S99" i="33" s="1"/>
  <c r="T15" i="33"/>
  <c r="S15" i="33" s="1"/>
  <c r="BJ16" i="39"/>
  <c r="BJ7" i="39"/>
  <c r="BD8" i="39"/>
  <c r="BG8" i="39" s="1"/>
  <c r="BD18" i="39"/>
  <c r="BG18" i="39" s="1"/>
  <c r="BJ10" i="39"/>
  <c r="BJ12" i="39"/>
  <c r="E61" i="12"/>
  <c r="BD17" i="39"/>
  <c r="BG17" i="39" s="1"/>
  <c r="BD14" i="39"/>
  <c r="BG14" i="39" s="1"/>
  <c r="BJ20" i="39"/>
  <c r="BJ15" i="39"/>
  <c r="DC5" i="12"/>
  <c r="DC6" i="12" s="1"/>
  <c r="BD10" i="39"/>
  <c r="BG10" i="39" s="1"/>
  <c r="BD7" i="39"/>
  <c r="BG7" i="39" s="1"/>
  <c r="BD13" i="39"/>
  <c r="BG13" i="39" s="1"/>
  <c r="E60" i="12"/>
  <c r="BD6" i="39"/>
  <c r="BG6" i="39" s="1"/>
  <c r="BJ18" i="39"/>
  <c r="BJ11" i="39"/>
  <c r="BJ19" i="39"/>
  <c r="T99" i="7"/>
  <c r="S99" i="7" s="1"/>
  <c r="R99" i="7" s="1"/>
  <c r="T67" i="7"/>
  <c r="S67" i="7" s="1"/>
  <c r="T43" i="7"/>
  <c r="S43" i="7" s="1"/>
  <c r="T19" i="7"/>
  <c r="S19" i="7" s="1"/>
  <c r="T17" i="6"/>
  <c r="S17" i="6" s="1"/>
  <c r="T25" i="6"/>
  <c r="S25" i="6" s="1"/>
  <c r="T41" i="6"/>
  <c r="S41" i="6" s="1"/>
  <c r="T53" i="6"/>
  <c r="S53" i="6" s="1"/>
  <c r="T61" i="6"/>
  <c r="S61" i="6" s="1"/>
  <c r="T81" i="6"/>
  <c r="S81" i="6" s="1"/>
  <c r="T93" i="6"/>
  <c r="S93" i="6" s="1"/>
  <c r="T105" i="6"/>
  <c r="S105" i="6" s="1"/>
  <c r="T113" i="6"/>
  <c r="S113" i="6" s="1"/>
  <c r="T125" i="6"/>
  <c r="S125" i="6" s="1"/>
  <c r="T137" i="6"/>
  <c r="S137" i="6" s="1"/>
  <c r="T149" i="6"/>
  <c r="S149" i="6" s="1"/>
  <c r="T161" i="6"/>
  <c r="S161" i="6" s="1"/>
  <c r="T169" i="6"/>
  <c r="S169" i="6" s="1"/>
  <c r="T181" i="6"/>
  <c r="S181" i="6" s="1"/>
  <c r="T193" i="6"/>
  <c r="S193" i="6" s="1"/>
  <c r="T197" i="6"/>
  <c r="S197" i="6" s="1"/>
  <c r="T14" i="7"/>
  <c r="S14" i="7" s="1"/>
  <c r="T22" i="7"/>
  <c r="S22" i="7" s="1"/>
  <c r="T30" i="7"/>
  <c r="S30" i="7" s="1"/>
  <c r="T38" i="7"/>
  <c r="S38" i="7" s="1"/>
  <c r="T46" i="7"/>
  <c r="S46" i="7" s="1"/>
  <c r="T54" i="7"/>
  <c r="S54" i="7" s="1"/>
  <c r="T62" i="7"/>
  <c r="S62" i="7" s="1"/>
  <c r="T86" i="7"/>
  <c r="S86" i="7" s="1"/>
  <c r="R86" i="7" s="1"/>
  <c r="T21" i="33"/>
  <c r="S21" i="33" s="1"/>
  <c r="T36" i="33"/>
  <c r="S36" i="33" s="1"/>
  <c r="T52" i="33"/>
  <c r="S52" i="33" s="1"/>
  <c r="T68" i="33"/>
  <c r="S68" i="33" s="1"/>
  <c r="T84" i="33"/>
  <c r="S84" i="33" s="1"/>
  <c r="T100" i="33"/>
  <c r="S100" i="33" s="1"/>
  <c r="T116" i="33"/>
  <c r="S116" i="33" s="1"/>
  <c r="T132" i="33"/>
  <c r="S132" i="33" s="1"/>
  <c r="T148" i="33"/>
  <c r="S148" i="33" s="1"/>
  <c r="T17" i="33"/>
  <c r="S17" i="33" s="1"/>
  <c r="T34" i="33"/>
  <c r="S34" i="33" s="1"/>
  <c r="T50" i="33"/>
  <c r="S50" i="33" s="1"/>
  <c r="T66" i="33"/>
  <c r="S66" i="33" s="1"/>
  <c r="T82" i="33"/>
  <c r="S82" i="33" s="1"/>
  <c r="T98" i="33"/>
  <c r="S98" i="33" s="1"/>
  <c r="T114" i="33"/>
  <c r="S114" i="33" s="1"/>
  <c r="T130" i="33"/>
  <c r="S130" i="33" s="1"/>
  <c r="T146" i="33"/>
  <c r="S146" i="33" s="1"/>
  <c r="T16" i="33"/>
  <c r="S16" i="33" s="1"/>
  <c r="T101" i="33"/>
  <c r="S101" i="33" s="1"/>
  <c r="T85" i="33"/>
  <c r="S85" i="33" s="1"/>
  <c r="T69" i="33"/>
  <c r="S69" i="33" s="1"/>
  <c r="T53" i="33"/>
  <c r="S53" i="33" s="1"/>
  <c r="T37" i="33"/>
  <c r="S37" i="33" s="1"/>
  <c r="T9" i="33"/>
  <c r="S9" i="33" s="1"/>
  <c r="T129" i="33"/>
  <c r="S129" i="33" s="1"/>
  <c r="T47" i="33"/>
  <c r="S47" i="33" s="1"/>
  <c r="T7" i="33"/>
  <c r="S7" i="33" s="1"/>
  <c r="T51" i="33"/>
  <c r="S51" i="33" s="1"/>
  <c r="T115" i="33"/>
  <c r="S115" i="33" s="1"/>
  <c r="T147" i="33"/>
  <c r="S147" i="33" s="1"/>
  <c r="T145" i="33"/>
  <c r="S145" i="33" s="1"/>
  <c r="T79" i="33"/>
  <c r="S79" i="33" s="1"/>
  <c r="T127" i="33"/>
  <c r="S127" i="33" s="1"/>
  <c r="T55" i="33"/>
  <c r="S55" i="33" s="1"/>
  <c r="T141" i="33"/>
  <c r="S141" i="33" s="1"/>
  <c r="T23" i="33"/>
  <c r="S23" i="33" s="1"/>
  <c r="N9" i="14"/>
  <c r="N25" i="14"/>
  <c r="N10" i="14"/>
  <c r="N36" i="14"/>
  <c r="N28" i="14"/>
  <c r="N20" i="14"/>
  <c r="N12" i="14"/>
  <c r="N35" i="14"/>
  <c r="N27" i="14"/>
  <c r="N19" i="14"/>
  <c r="N11" i="14"/>
  <c r="N40" i="14"/>
  <c r="N32" i="14"/>
  <c r="N24" i="14"/>
  <c r="N16" i="14"/>
  <c r="N8" i="14"/>
  <c r="N31" i="14"/>
  <c r="N39" i="14"/>
  <c r="N7" i="14"/>
  <c r="N15" i="14"/>
  <c r="N23" i="14"/>
  <c r="T95" i="7"/>
  <c r="S95" i="7" s="1"/>
  <c r="R95" i="7" s="1"/>
  <c r="T75" i="7"/>
  <c r="S75" i="7" s="1"/>
  <c r="R75" i="7" s="1"/>
  <c r="T59" i="7"/>
  <c r="S59" i="7" s="1"/>
  <c r="T35" i="7"/>
  <c r="S35" i="7" s="1"/>
  <c r="T11" i="7"/>
  <c r="S11" i="7" s="1"/>
  <c r="T13" i="6"/>
  <c r="S13" i="6" s="1"/>
  <c r="T29" i="6"/>
  <c r="S29" i="6" s="1"/>
  <c r="T37" i="6"/>
  <c r="S37" i="6" s="1"/>
  <c r="T45" i="6"/>
  <c r="S45" i="6" s="1"/>
  <c r="T57" i="6"/>
  <c r="S57" i="6" s="1"/>
  <c r="T69" i="6"/>
  <c r="S69" i="6" s="1"/>
  <c r="T77" i="6"/>
  <c r="S77" i="6" s="1"/>
  <c r="T89" i="6"/>
  <c r="S89" i="6" s="1"/>
  <c r="T97" i="6"/>
  <c r="S97" i="6" s="1"/>
  <c r="T109" i="6"/>
  <c r="S109" i="6" s="1"/>
  <c r="T121" i="6"/>
  <c r="S121" i="6" s="1"/>
  <c r="T133" i="6"/>
  <c r="S133" i="6" s="1"/>
  <c r="T145" i="6"/>
  <c r="S145" i="6" s="1"/>
  <c r="T157" i="6"/>
  <c r="S157" i="6" s="1"/>
  <c r="T165" i="6"/>
  <c r="S165" i="6" s="1"/>
  <c r="T177" i="6"/>
  <c r="S177" i="6" s="1"/>
  <c r="T185" i="6"/>
  <c r="S185" i="6" s="1"/>
  <c r="T201" i="6"/>
  <c r="S201" i="6" s="1"/>
  <c r="T70" i="7"/>
  <c r="BD11" i="39"/>
  <c r="BG11" i="39" s="1"/>
  <c r="BD15" i="39"/>
  <c r="BG15" i="39" s="1"/>
  <c r="BD19" i="39"/>
  <c r="BG19" i="39" s="1"/>
  <c r="BJ8" i="39"/>
  <c r="BD9" i="39"/>
  <c r="BG9" i="39" s="1"/>
  <c r="BJ6" i="39"/>
  <c r="BJ13" i="39"/>
  <c r="BJ17" i="39"/>
  <c r="T88" i="7"/>
  <c r="S88" i="7" s="1"/>
  <c r="R88" i="7" s="1"/>
  <c r="T92" i="7"/>
  <c r="S92" i="7" s="1"/>
  <c r="R92" i="7" s="1"/>
  <c r="T96" i="7"/>
  <c r="S96" i="7" s="1"/>
  <c r="R96" i="7" s="1"/>
  <c r="T100" i="7"/>
  <c r="S100" i="7" s="1"/>
  <c r="R100" i="7" s="1"/>
  <c r="T81" i="7"/>
  <c r="S81" i="7" s="1"/>
  <c r="R81" i="7" s="1"/>
  <c r="T73" i="7"/>
  <c r="S73" i="7" s="1"/>
  <c r="R73" i="7" s="1"/>
  <c r="T65" i="7"/>
  <c r="S65" i="7" s="1"/>
  <c r="T57" i="7"/>
  <c r="S57" i="7" s="1"/>
  <c r="T49" i="7"/>
  <c r="S49" i="7" s="1"/>
  <c r="T41" i="7"/>
  <c r="S41" i="7" s="1"/>
  <c r="T33" i="7"/>
  <c r="S33" i="7" s="1"/>
  <c r="T25" i="7"/>
  <c r="S25" i="7" s="1"/>
  <c r="T17" i="7"/>
  <c r="S17" i="7" s="1"/>
  <c r="T9" i="7"/>
  <c r="S9" i="7" s="1"/>
  <c r="T14" i="6"/>
  <c r="S14" i="6" s="1"/>
  <c r="T18" i="6"/>
  <c r="S18" i="6" s="1"/>
  <c r="T22" i="6"/>
  <c r="S22" i="6" s="1"/>
  <c r="T26" i="6"/>
  <c r="S26" i="6" s="1"/>
  <c r="T30" i="6"/>
  <c r="T34" i="6"/>
  <c r="S34" i="6" s="1"/>
  <c r="T38" i="6"/>
  <c r="S38" i="6" s="1"/>
  <c r="T42" i="6"/>
  <c r="S42" i="6" s="1"/>
  <c r="T46" i="6"/>
  <c r="S46" i="6" s="1"/>
  <c r="T50" i="6"/>
  <c r="S50" i="6" s="1"/>
  <c r="T54" i="6"/>
  <c r="S54" i="6" s="1"/>
  <c r="T58" i="6"/>
  <c r="S58" i="6" s="1"/>
  <c r="T62" i="6"/>
  <c r="S62" i="6" s="1"/>
  <c r="T66" i="6"/>
  <c r="S66" i="6" s="1"/>
  <c r="T70" i="6"/>
  <c r="S70" i="6" s="1"/>
  <c r="T74" i="6"/>
  <c r="S74" i="6" s="1"/>
  <c r="T78" i="6"/>
  <c r="S78" i="6" s="1"/>
  <c r="T82" i="6"/>
  <c r="S82" i="6" s="1"/>
  <c r="T86" i="6"/>
  <c r="S86" i="6" s="1"/>
  <c r="T90" i="6"/>
  <c r="S90" i="6" s="1"/>
  <c r="T94" i="6"/>
  <c r="S94" i="6" s="1"/>
  <c r="T98" i="6"/>
  <c r="S98" i="6" s="1"/>
  <c r="T102" i="6"/>
  <c r="S102" i="6" s="1"/>
  <c r="T106" i="6"/>
  <c r="S106" i="6" s="1"/>
  <c r="T110" i="6"/>
  <c r="S110" i="6" s="1"/>
  <c r="T114" i="6"/>
  <c r="S114" i="6" s="1"/>
  <c r="T118" i="6"/>
  <c r="S118" i="6" s="1"/>
  <c r="T122" i="6"/>
  <c r="S122" i="6" s="1"/>
  <c r="T126" i="6"/>
  <c r="S126" i="6" s="1"/>
  <c r="T130" i="6"/>
  <c r="S130" i="6" s="1"/>
  <c r="T134" i="6"/>
  <c r="S134" i="6" s="1"/>
  <c r="T138" i="6"/>
  <c r="S138" i="6" s="1"/>
  <c r="T142" i="6"/>
  <c r="S142" i="6" s="1"/>
  <c r="T146" i="6"/>
  <c r="S146" i="6" s="1"/>
  <c r="T150" i="6"/>
  <c r="S150" i="6" s="1"/>
  <c r="T154" i="6"/>
  <c r="S154" i="6" s="1"/>
  <c r="T158" i="6"/>
  <c r="S158" i="6" s="1"/>
  <c r="T162" i="6"/>
  <c r="S162" i="6" s="1"/>
  <c r="T166" i="6"/>
  <c r="S166" i="6" s="1"/>
  <c r="T170" i="6"/>
  <c r="S170" i="6" s="1"/>
  <c r="T174" i="6"/>
  <c r="S174" i="6" s="1"/>
  <c r="T178" i="6"/>
  <c r="S178" i="6" s="1"/>
  <c r="T182" i="6"/>
  <c r="S182" i="6" s="1"/>
  <c r="T186" i="6"/>
  <c r="S186" i="6" s="1"/>
  <c r="T190" i="6"/>
  <c r="S190" i="6" s="1"/>
  <c r="T194" i="6"/>
  <c r="S194" i="6" s="1"/>
  <c r="T198" i="6"/>
  <c r="S198" i="6" s="1"/>
  <c r="T202" i="6"/>
  <c r="S202" i="6" s="1"/>
  <c r="T206" i="6"/>
  <c r="S206" i="6" s="1"/>
  <c r="T10" i="7"/>
  <c r="T16" i="7"/>
  <c r="S16" i="7" s="1"/>
  <c r="T24" i="7"/>
  <c r="S24" i="7" s="1"/>
  <c r="T32" i="7"/>
  <c r="S32" i="7" s="1"/>
  <c r="T40" i="7"/>
  <c r="S40" i="7" s="1"/>
  <c r="T48" i="7"/>
  <c r="S48" i="7" s="1"/>
  <c r="T56" i="7"/>
  <c r="S56" i="7" s="1"/>
  <c r="T64" i="7"/>
  <c r="S64" i="7" s="1"/>
  <c r="T72" i="7"/>
  <c r="S72" i="7" s="1"/>
  <c r="R72" i="7" s="1"/>
  <c r="T80" i="7"/>
  <c r="S80" i="7" s="1"/>
  <c r="R80" i="7" s="1"/>
  <c r="T10" i="33"/>
  <c r="S10" i="33" s="1"/>
  <c r="T24" i="33"/>
  <c r="S24" i="33" s="1"/>
  <c r="T40" i="33"/>
  <c r="S40" i="33" s="1"/>
  <c r="T56" i="33"/>
  <c r="S56" i="33" s="1"/>
  <c r="T72" i="33"/>
  <c r="S72" i="33" s="1"/>
  <c r="T88" i="33"/>
  <c r="S88" i="33" s="1"/>
  <c r="T104" i="33"/>
  <c r="S104" i="33" s="1"/>
  <c r="T120" i="33"/>
  <c r="S120" i="33" s="1"/>
  <c r="T136" i="33"/>
  <c r="S136" i="33" s="1"/>
  <c r="T152" i="33"/>
  <c r="S152" i="33" s="1"/>
  <c r="T22" i="33"/>
  <c r="S22" i="33" s="1"/>
  <c r="T38" i="33"/>
  <c r="S38" i="33" s="1"/>
  <c r="T54" i="33"/>
  <c r="S54" i="33" s="1"/>
  <c r="T70" i="33"/>
  <c r="S70" i="33" s="1"/>
  <c r="T86" i="33"/>
  <c r="S86" i="33" s="1"/>
  <c r="T102" i="33"/>
  <c r="S102" i="33" s="1"/>
  <c r="T118" i="33"/>
  <c r="S118" i="33" s="1"/>
  <c r="T134" i="33"/>
  <c r="S134" i="33" s="1"/>
  <c r="T150" i="33"/>
  <c r="S150" i="33" s="1"/>
  <c r="T20" i="33"/>
  <c r="S20" i="33" s="1"/>
  <c r="T97" i="33"/>
  <c r="S97" i="33" s="1"/>
  <c r="T81" i="33"/>
  <c r="S81" i="33" s="1"/>
  <c r="T65" i="33"/>
  <c r="S65" i="33" s="1"/>
  <c r="T49" i="33"/>
  <c r="S49" i="33" s="1"/>
  <c r="T33" i="33"/>
  <c r="S33" i="33" s="1"/>
  <c r="T111" i="33"/>
  <c r="S111" i="33" s="1"/>
  <c r="T27" i="33"/>
  <c r="S27" i="33" s="1"/>
  <c r="T8" i="33"/>
  <c r="S8" i="33" s="1"/>
  <c r="T67" i="33"/>
  <c r="S67" i="33" s="1"/>
  <c r="T123" i="33"/>
  <c r="S123" i="33" s="1"/>
  <c r="T155" i="33"/>
  <c r="S155" i="33" s="1"/>
  <c r="T125" i="33"/>
  <c r="S125" i="33" s="1"/>
  <c r="T59" i="33"/>
  <c r="S59" i="33" s="1"/>
  <c r="T9" i="6"/>
  <c r="S9" i="6" s="1"/>
  <c r="T121" i="33"/>
  <c r="S121" i="33" s="1"/>
  <c r="T31" i="33"/>
  <c r="S31" i="33" s="1"/>
  <c r="T143" i="33"/>
  <c r="S143" i="33" s="1"/>
  <c r="T149" i="33"/>
  <c r="S149" i="33" s="1"/>
  <c r="N13" i="14"/>
  <c r="N29" i="14"/>
  <c r="N14" i="14"/>
  <c r="N30" i="14"/>
  <c r="T91" i="7"/>
  <c r="S91" i="7" s="1"/>
  <c r="R91" i="7" s="1"/>
  <c r="T83" i="7"/>
  <c r="S83" i="7" s="1"/>
  <c r="R83" i="7" s="1"/>
  <c r="T51" i="7"/>
  <c r="S51" i="7" s="1"/>
  <c r="T27" i="7"/>
  <c r="S27" i="7" s="1"/>
  <c r="T21" i="6"/>
  <c r="S21" i="6" s="1"/>
  <c r="T33" i="6"/>
  <c r="S33" i="6" s="1"/>
  <c r="T49" i="6"/>
  <c r="S49" i="6" s="1"/>
  <c r="T65" i="6"/>
  <c r="S65" i="6" s="1"/>
  <c r="T73" i="6"/>
  <c r="S73" i="6" s="1"/>
  <c r="T85" i="6"/>
  <c r="S85" i="6" s="1"/>
  <c r="T101" i="6"/>
  <c r="S101" i="6" s="1"/>
  <c r="T117" i="6"/>
  <c r="S117" i="6" s="1"/>
  <c r="T129" i="6"/>
  <c r="S129" i="6" s="1"/>
  <c r="T141" i="6"/>
  <c r="S141" i="6" s="1"/>
  <c r="T153" i="6"/>
  <c r="S153" i="6" s="1"/>
  <c r="T173" i="6"/>
  <c r="S173" i="6" s="1"/>
  <c r="T189" i="6"/>
  <c r="S189" i="6" s="1"/>
  <c r="BD12" i="39"/>
  <c r="BG12" i="39" s="1"/>
  <c r="BD16" i="39"/>
  <c r="BG16" i="39" s="1"/>
  <c r="BD20" i="39"/>
  <c r="BG20" i="39" s="1"/>
  <c r="BJ9" i="39"/>
  <c r="BJ14" i="39"/>
  <c r="T89" i="7"/>
  <c r="S89" i="7" s="1"/>
  <c r="R89" i="7" s="1"/>
  <c r="T93" i="7"/>
  <c r="S93" i="7" s="1"/>
  <c r="R93" i="7" s="1"/>
  <c r="T97" i="7"/>
  <c r="S97" i="7" s="1"/>
  <c r="R97" i="7" s="1"/>
  <c r="T79" i="7"/>
  <c r="S79" i="7" s="1"/>
  <c r="R79" i="7" s="1"/>
  <c r="T71" i="7"/>
  <c r="S71" i="7" s="1"/>
  <c r="R71" i="7" s="1"/>
  <c r="T63" i="7"/>
  <c r="S63" i="7" s="1"/>
  <c r="T55" i="7"/>
  <c r="S55" i="7" s="1"/>
  <c r="T47" i="7"/>
  <c r="S47" i="7" s="1"/>
  <c r="T39" i="7"/>
  <c r="S39" i="7" s="1"/>
  <c r="T31" i="7"/>
  <c r="S31" i="7" s="1"/>
  <c r="T23" i="7"/>
  <c r="S23" i="7" s="1"/>
  <c r="T15" i="7"/>
  <c r="S15" i="7" s="1"/>
  <c r="T7" i="7"/>
  <c r="S7" i="7" s="1"/>
  <c r="T11" i="6"/>
  <c r="S11" i="6" s="1"/>
  <c r="T15" i="6"/>
  <c r="S15" i="6" s="1"/>
  <c r="T19" i="6"/>
  <c r="S19" i="6" s="1"/>
  <c r="T23" i="6"/>
  <c r="S23" i="6" s="1"/>
  <c r="T27" i="6"/>
  <c r="S27" i="6" s="1"/>
  <c r="T31" i="6"/>
  <c r="S31" i="6" s="1"/>
  <c r="T35" i="6"/>
  <c r="S35" i="6" s="1"/>
  <c r="T39" i="6"/>
  <c r="S39" i="6" s="1"/>
  <c r="T43" i="6"/>
  <c r="S43" i="6" s="1"/>
  <c r="T47" i="6"/>
  <c r="S47" i="6" s="1"/>
  <c r="T51" i="6"/>
  <c r="S51" i="6" s="1"/>
  <c r="T55" i="6"/>
  <c r="S55" i="6" s="1"/>
  <c r="T59" i="6"/>
  <c r="S59" i="6" s="1"/>
  <c r="T63" i="6"/>
  <c r="S63" i="6" s="1"/>
  <c r="T67" i="6"/>
  <c r="S67" i="6" s="1"/>
  <c r="T71" i="6"/>
  <c r="S71" i="6" s="1"/>
  <c r="T75" i="6"/>
  <c r="S75" i="6" s="1"/>
  <c r="T79" i="6"/>
  <c r="S79" i="6" s="1"/>
  <c r="T83" i="6"/>
  <c r="S83" i="6" s="1"/>
  <c r="T87" i="6"/>
  <c r="S87" i="6" s="1"/>
  <c r="T91" i="6"/>
  <c r="S91" i="6" s="1"/>
  <c r="T95" i="6"/>
  <c r="S95" i="6" s="1"/>
  <c r="T99" i="6"/>
  <c r="S99" i="6" s="1"/>
  <c r="T103" i="6"/>
  <c r="S103" i="6" s="1"/>
  <c r="T107" i="6"/>
  <c r="S107" i="6" s="1"/>
  <c r="T111" i="6"/>
  <c r="S111" i="6" s="1"/>
  <c r="T115" i="6"/>
  <c r="S115" i="6" s="1"/>
  <c r="T119" i="6"/>
  <c r="S119" i="6" s="1"/>
  <c r="T123" i="6"/>
  <c r="S123" i="6" s="1"/>
  <c r="T127" i="6"/>
  <c r="S127" i="6" s="1"/>
  <c r="T131" i="6"/>
  <c r="S131" i="6" s="1"/>
  <c r="T135" i="6"/>
  <c r="S135" i="6" s="1"/>
  <c r="T139" i="6"/>
  <c r="S139" i="6" s="1"/>
  <c r="T143" i="6"/>
  <c r="S143" i="6" s="1"/>
  <c r="T147" i="6"/>
  <c r="S147" i="6" s="1"/>
  <c r="T151" i="6"/>
  <c r="S151" i="6" s="1"/>
  <c r="T155" i="6"/>
  <c r="S155" i="6" s="1"/>
  <c r="T159" i="6"/>
  <c r="S159" i="6" s="1"/>
  <c r="T163" i="6"/>
  <c r="S163" i="6" s="1"/>
  <c r="T167" i="6"/>
  <c r="S167" i="6" s="1"/>
  <c r="T171" i="6"/>
  <c r="S171" i="6" s="1"/>
  <c r="T175" i="6"/>
  <c r="S175" i="6" s="1"/>
  <c r="T179" i="6"/>
  <c r="S179" i="6" s="1"/>
  <c r="T183" i="6"/>
  <c r="S183" i="6" s="1"/>
  <c r="T187" i="6"/>
  <c r="S187" i="6" s="1"/>
  <c r="T191" i="6"/>
  <c r="S191" i="6" s="1"/>
  <c r="T195" i="6"/>
  <c r="S195" i="6" s="1"/>
  <c r="T199" i="6"/>
  <c r="S199" i="6" s="1"/>
  <c r="T87" i="7"/>
  <c r="S87" i="7" s="1"/>
  <c r="R87" i="7" s="1"/>
  <c r="T8" i="7"/>
  <c r="S8" i="7" s="1"/>
  <c r="T18" i="7"/>
  <c r="W10" i="7" s="1"/>
  <c r="T26" i="7"/>
  <c r="S26" i="7" s="1"/>
  <c r="T34" i="7"/>
  <c r="S34" i="7" s="1"/>
  <c r="T42" i="7"/>
  <c r="S42" i="7" s="1"/>
  <c r="T50" i="7"/>
  <c r="S50" i="7" s="1"/>
  <c r="T58" i="7"/>
  <c r="S58" i="7" s="1"/>
  <c r="T66" i="7"/>
  <c r="S66" i="7" s="1"/>
  <c r="T74" i="7"/>
  <c r="S74" i="7" s="1"/>
  <c r="R74" i="7" s="1"/>
  <c r="T13" i="33"/>
  <c r="S13" i="33" s="1"/>
  <c r="T28" i="33"/>
  <c r="S28" i="33" s="1"/>
  <c r="T44" i="33"/>
  <c r="S44" i="33" s="1"/>
  <c r="T60" i="33"/>
  <c r="S60" i="33" s="1"/>
  <c r="T76" i="33"/>
  <c r="S76" i="33" s="1"/>
  <c r="T92" i="33"/>
  <c r="S92" i="33" s="1"/>
  <c r="T108" i="33"/>
  <c r="T124" i="33"/>
  <c r="S124" i="33" s="1"/>
  <c r="T140" i="33"/>
  <c r="S140" i="33" s="1"/>
  <c r="T156" i="33"/>
  <c r="S156" i="33" s="1"/>
  <c r="T26" i="33"/>
  <c r="S26" i="33" s="1"/>
  <c r="T42" i="33"/>
  <c r="S42" i="33" s="1"/>
  <c r="T58" i="33"/>
  <c r="S58" i="33" s="1"/>
  <c r="T74" i="33"/>
  <c r="S74" i="33" s="1"/>
  <c r="T90" i="33"/>
  <c r="S90" i="33" s="1"/>
  <c r="T106" i="33"/>
  <c r="S106" i="33" s="1"/>
  <c r="T122" i="33"/>
  <c r="S122" i="33" s="1"/>
  <c r="T138" i="33"/>
  <c r="S138" i="33" s="1"/>
  <c r="T154" i="33"/>
  <c r="S154" i="33" s="1"/>
  <c r="T109" i="33"/>
  <c r="S109" i="33" s="1"/>
  <c r="T93" i="33"/>
  <c r="S93" i="33" s="1"/>
  <c r="T77" i="33"/>
  <c r="S77" i="33" s="1"/>
  <c r="T61" i="33"/>
  <c r="S61" i="33" s="1"/>
  <c r="T45" i="33"/>
  <c r="T29" i="33"/>
  <c r="S29" i="33" s="1"/>
  <c r="T91" i="33"/>
  <c r="S91" i="33" s="1"/>
  <c r="T19" i="33"/>
  <c r="S19" i="33" s="1"/>
  <c r="T83" i="33"/>
  <c r="S83" i="33" s="1"/>
  <c r="T131" i="33"/>
  <c r="S131" i="33" s="1"/>
  <c r="T113" i="33"/>
  <c r="S113" i="33" s="1"/>
  <c r="T119" i="33"/>
  <c r="S119" i="33" s="1"/>
  <c r="T39" i="33"/>
  <c r="S39" i="33" s="1"/>
  <c r="T153" i="33"/>
  <c r="S153" i="33" s="1"/>
  <c r="T95" i="33"/>
  <c r="S95" i="33" s="1"/>
  <c r="T11" i="33"/>
  <c r="S11" i="33" s="1"/>
  <c r="T117" i="33"/>
  <c r="S117" i="33" s="1"/>
  <c r="T137" i="33"/>
  <c r="S137" i="33" s="1"/>
  <c r="N17" i="14"/>
  <c r="N33" i="14"/>
  <c r="N18" i="14"/>
  <c r="N34" i="14"/>
  <c r="N21" i="14"/>
  <c r="N37" i="14"/>
  <c r="N22" i="14"/>
  <c r="N38" i="14"/>
  <c r="AF4" i="35"/>
  <c r="AF5" i="35" s="1"/>
  <c r="AJ4" i="35"/>
  <c r="AK4" i="35" s="1"/>
  <c r="AV4" i="35"/>
  <c r="AW4" i="35" s="1"/>
  <c r="AR4" i="35"/>
  <c r="V4" i="37"/>
  <c r="W4" i="37" s="1"/>
  <c r="F4" i="37"/>
  <c r="G3" i="37" s="1"/>
  <c r="T4" i="37"/>
  <c r="U3" i="37" s="1"/>
  <c r="BD4" i="35"/>
  <c r="BE4" i="35" s="1"/>
  <c r="B4" i="37"/>
  <c r="N4" i="37"/>
  <c r="L4" i="37"/>
  <c r="M3" i="37" s="1"/>
  <c r="D28" i="37"/>
  <c r="E28" i="37" s="1"/>
  <c r="D4" i="37"/>
  <c r="V14" i="37"/>
  <c r="W14" i="37" s="1"/>
  <c r="AB6" i="37"/>
  <c r="AC5" i="37" s="1"/>
  <c r="D12" i="37"/>
  <c r="E12" i="37" s="1"/>
  <c r="D34" i="37"/>
  <c r="E34" i="37" s="1"/>
  <c r="BA3" i="35"/>
  <c r="AZ4" i="35"/>
  <c r="X18" i="37"/>
  <c r="Y18" i="37" s="1"/>
  <c r="F30" i="37"/>
  <c r="G30" i="37" s="1"/>
  <c r="D10" i="37"/>
  <c r="E10" i="37" s="1"/>
  <c r="AN4" i="35"/>
  <c r="AO3" i="35"/>
  <c r="Z14" i="37"/>
  <c r="AA14" i="37" s="1"/>
  <c r="AB4" i="35"/>
  <c r="AC4" i="35" s="1"/>
  <c r="AB38" i="37"/>
  <c r="T46" i="37"/>
  <c r="B50" i="37"/>
  <c r="AD616" i="34"/>
  <c r="AB647" i="34" s="1"/>
  <c r="AN144" i="34"/>
  <c r="AD12" i="34"/>
  <c r="AB86" i="34" s="1"/>
  <c r="L44" i="37"/>
  <c r="P52" i="37"/>
  <c r="D44" i="37"/>
  <c r="V28" i="37"/>
  <c r="T616" i="34"/>
  <c r="R606" i="34" s="1"/>
  <c r="T465" i="34"/>
  <c r="R503" i="34" s="1"/>
  <c r="AN78" i="34"/>
  <c r="AL97" i="34" s="1"/>
  <c r="AB44" i="37"/>
  <c r="R34" i="37"/>
  <c r="L18" i="37"/>
  <c r="D50" i="37"/>
  <c r="L16" i="37"/>
  <c r="T20" i="37"/>
  <c r="AF26" i="37"/>
  <c r="X26" i="37"/>
  <c r="B32" i="37"/>
  <c r="R24" i="37"/>
  <c r="J24" i="37"/>
  <c r="J26" i="37"/>
  <c r="Z26" i="37"/>
  <c r="P36" i="37"/>
  <c r="L20" i="37"/>
  <c r="AB8" i="37"/>
  <c r="L48" i="37"/>
  <c r="T16" i="37"/>
  <c r="L52" i="37"/>
  <c r="H22" i="37"/>
  <c r="H77" i="34"/>
  <c r="AD314" i="34"/>
  <c r="AB334" i="34" s="1"/>
  <c r="AQ3" i="35"/>
  <c r="AP4" i="35"/>
  <c r="AA3" i="35"/>
  <c r="Z4" i="35"/>
  <c r="L30" i="37"/>
  <c r="R48" i="37"/>
  <c r="L42" i="37"/>
  <c r="D46" i="37"/>
  <c r="D16" i="37"/>
  <c r="L38" i="37"/>
  <c r="L6" i="37"/>
  <c r="T38" i="37"/>
  <c r="T6" i="37"/>
  <c r="AB36" i="37"/>
  <c r="AB4" i="37"/>
  <c r="AB14" i="37"/>
  <c r="L22" i="37"/>
  <c r="AB30" i="37"/>
  <c r="AB46" i="37"/>
  <c r="H20" i="37"/>
  <c r="P22" i="37"/>
  <c r="AF28" i="37"/>
  <c r="D38" i="37"/>
  <c r="D6" i="37"/>
  <c r="L36" i="37"/>
  <c r="T36" i="37"/>
  <c r="AB34" i="37"/>
  <c r="D8" i="37"/>
  <c r="AB16" i="37"/>
  <c r="L24" i="37"/>
  <c r="L40" i="37"/>
  <c r="D48" i="37"/>
  <c r="H18" i="37"/>
  <c r="P20" i="37"/>
  <c r="X22" i="37"/>
  <c r="AF30" i="37"/>
  <c r="P18" i="37"/>
  <c r="X20" i="37"/>
  <c r="AF24" i="37"/>
  <c r="P32" i="37"/>
  <c r="F26" i="37"/>
  <c r="N8" i="37"/>
  <c r="AD26" i="37"/>
  <c r="H36" i="37"/>
  <c r="H48" i="37"/>
  <c r="X14" i="37"/>
  <c r="AF38" i="37"/>
  <c r="AB50" i="37"/>
  <c r="Z4" i="37"/>
  <c r="J34" i="37"/>
  <c r="F24" i="37"/>
  <c r="AD465" i="34"/>
  <c r="AB537" i="34" s="1"/>
  <c r="BC3" i="35"/>
  <c r="BB4" i="35"/>
  <c r="AL4" i="35"/>
  <c r="AM3" i="35"/>
  <c r="T163" i="34"/>
  <c r="R167" i="34" s="1"/>
  <c r="T12" i="34"/>
  <c r="R48" i="34" s="1"/>
  <c r="T314" i="34"/>
  <c r="D52" i="37"/>
  <c r="T42" i="37"/>
  <c r="L26" i="37"/>
  <c r="AB18" i="37"/>
  <c r="L10" i="37"/>
  <c r="AB24" i="37"/>
  <c r="AB48" i="37"/>
  <c r="T34" i="37"/>
  <c r="T50" i="37"/>
  <c r="L34" i="37"/>
  <c r="D36" i="37"/>
  <c r="AB26" i="37"/>
  <c r="L14" i="37"/>
  <c r="T8" i="37"/>
  <c r="H32" i="37"/>
  <c r="AB52" i="37"/>
  <c r="B42" i="37"/>
  <c r="T30" i="37"/>
  <c r="J16" i="37"/>
  <c r="Z6" i="37"/>
  <c r="L50" i="37"/>
  <c r="P48" i="37"/>
  <c r="N34" i="37"/>
  <c r="AB20" i="37"/>
  <c r="X12" i="37"/>
  <c r="Z38" i="37"/>
  <c r="Z30" i="37"/>
  <c r="R50" i="37"/>
  <c r="R8" i="37"/>
  <c r="J4" i="37"/>
  <c r="J30" i="37"/>
  <c r="B52" i="37"/>
  <c r="B26" i="37"/>
  <c r="N38" i="37"/>
  <c r="Z22" i="37"/>
  <c r="AD6" i="37"/>
  <c r="V26" i="37"/>
  <c r="V42" i="37"/>
  <c r="D26" i="37"/>
  <c r="H24" i="37"/>
  <c r="X8" i="37"/>
  <c r="H50" i="37"/>
  <c r="AD18" i="37"/>
  <c r="N14" i="37"/>
  <c r="AN111" i="34"/>
  <c r="AL116" i="34" s="1"/>
  <c r="AY3" i="35"/>
  <c r="AX4" i="35"/>
  <c r="AI3" i="35"/>
  <c r="AH4" i="35"/>
  <c r="AN45" i="34"/>
  <c r="AL60" i="34" s="1"/>
  <c r="V24" i="37"/>
  <c r="V50" i="37"/>
  <c r="V22" i="37"/>
  <c r="V32" i="37"/>
  <c r="N18" i="37"/>
  <c r="R12" i="37"/>
  <c r="Z24" i="37"/>
  <c r="H34" i="37"/>
  <c r="N40" i="37"/>
  <c r="J50" i="37"/>
  <c r="B40" i="37"/>
  <c r="B8" i="37"/>
  <c r="B22" i="37"/>
  <c r="B36" i="37"/>
  <c r="B14" i="37"/>
  <c r="J28" i="37"/>
  <c r="J42" i="37"/>
  <c r="J46" i="37"/>
  <c r="R30" i="37"/>
  <c r="R52" i="37"/>
  <c r="R18" i="37"/>
  <c r="R44" i="37"/>
  <c r="R6" i="37"/>
  <c r="Z28" i="37"/>
  <c r="Z12" i="37"/>
  <c r="Z20" i="37"/>
  <c r="V8" i="37"/>
  <c r="D14" i="37"/>
  <c r="D18" i="37"/>
  <c r="J22" i="37"/>
  <c r="AD28" i="37"/>
  <c r="AF34" i="37"/>
  <c r="R42" i="37"/>
  <c r="AD48" i="37"/>
  <c r="T28" i="37"/>
  <c r="F6" i="37"/>
  <c r="Z10" i="37"/>
  <c r="AD14" i="37"/>
  <c r="AF20" i="37"/>
  <c r="P28" i="37"/>
  <c r="V36" i="37"/>
  <c r="X40" i="37"/>
  <c r="Z44" i="37"/>
  <c r="AF50" i="37"/>
  <c r="V44" i="37"/>
  <c r="V12" i="37"/>
  <c r="V38" i="37"/>
  <c r="V52" i="37"/>
  <c r="V18" i="37"/>
  <c r="F50" i="37"/>
  <c r="P6" i="37"/>
  <c r="V20" i="37"/>
  <c r="AB28" i="37"/>
  <c r="AD36" i="37"/>
  <c r="P44" i="37"/>
  <c r="B28" i="37"/>
  <c r="B44" i="37"/>
  <c r="B6" i="37"/>
  <c r="B18" i="37"/>
  <c r="J40" i="37"/>
  <c r="J8" i="37"/>
  <c r="J20" i="37"/>
  <c r="J12" i="37"/>
  <c r="R26" i="37"/>
  <c r="R36" i="37"/>
  <c r="R14" i="37"/>
  <c r="R22" i="37"/>
  <c r="Z40" i="37"/>
  <c r="Z8" i="37"/>
  <c r="Z42" i="37"/>
  <c r="R4" i="37"/>
  <c r="B12" i="37"/>
  <c r="F16" i="37"/>
  <c r="F20" i="37"/>
  <c r="H26" i="37"/>
  <c r="N32" i="37"/>
  <c r="R38" i="37"/>
  <c r="R46" i="37"/>
  <c r="X52" i="37"/>
  <c r="D42" i="37"/>
  <c r="F8" i="37"/>
  <c r="AB12" i="37"/>
  <c r="J18" i="37"/>
  <c r="P24" i="37"/>
  <c r="T32" i="37"/>
  <c r="X38" i="37"/>
  <c r="X42" i="37"/>
  <c r="V46" i="37"/>
  <c r="F48" i="37"/>
  <c r="F14" i="37"/>
  <c r="F34" i="37"/>
  <c r="F40" i="37"/>
  <c r="N42" i="37"/>
  <c r="N10" i="37"/>
  <c r="N52" i="37"/>
  <c r="N16" i="37"/>
  <c r="AD22" i="37"/>
  <c r="AD42" i="37"/>
  <c r="AD4" i="37"/>
  <c r="AD16" i="37"/>
  <c r="AD44" i="37"/>
  <c r="AF44" i="37"/>
  <c r="AF32" i="37"/>
  <c r="AF22" i="37"/>
  <c r="AF10" i="37"/>
  <c r="X6" i="37"/>
  <c r="X46" i="37"/>
  <c r="P40" i="37"/>
  <c r="H28" i="37"/>
  <c r="X16" i="37"/>
  <c r="H8" i="37"/>
  <c r="P8" i="37"/>
  <c r="D22" i="37"/>
  <c r="H30" i="37"/>
  <c r="P46" i="37"/>
  <c r="AB22" i="37"/>
  <c r="T12" i="37"/>
  <c r="AF52" i="37"/>
  <c r="T48" i="37"/>
  <c r="D40" i="37"/>
  <c r="N26" i="37"/>
  <c r="J14" i="37"/>
  <c r="X4" i="37"/>
  <c r="T44" i="37"/>
  <c r="N30" i="37"/>
  <c r="Z18" i="37"/>
  <c r="T10" i="37"/>
  <c r="Z50" i="37"/>
  <c r="Z52" i="37"/>
  <c r="R16" i="37"/>
  <c r="R28" i="37"/>
  <c r="J38" i="37"/>
  <c r="J52" i="37"/>
  <c r="B10" i="37"/>
  <c r="B30" i="37"/>
  <c r="T52" i="37"/>
  <c r="J36" i="37"/>
  <c r="B20" i="37"/>
  <c r="V30" i="37"/>
  <c r="V40" i="37"/>
  <c r="V48" i="37"/>
  <c r="T14" i="37"/>
  <c r="AF36" i="37"/>
  <c r="H14" i="37"/>
  <c r="AD10" i="37"/>
  <c r="AD46" i="37"/>
  <c r="N46" i="37"/>
  <c r="F10" i="37"/>
  <c r="V16" i="37"/>
  <c r="AT4" i="35"/>
  <c r="AU3" i="35"/>
  <c r="AE3" i="35"/>
  <c r="AD4" i="35"/>
  <c r="AD163" i="34"/>
  <c r="AB285" i="34" s="1"/>
  <c r="L32" i="37"/>
  <c r="D20" i="37"/>
  <c r="AB10" i="37"/>
  <c r="X32" i="37"/>
  <c r="AN12" i="34"/>
  <c r="AL19" i="34" s="1"/>
  <c r="H46" i="37"/>
  <c r="B38" i="37"/>
  <c r="N22" i="37"/>
  <c r="H12" i="37"/>
  <c r="T40" i="37"/>
  <c r="L28" i="37"/>
  <c r="Z16" i="37"/>
  <c r="V6" i="37"/>
  <c r="Z34" i="37"/>
  <c r="R10" i="37"/>
  <c r="R32" i="37"/>
  <c r="R40" i="37"/>
  <c r="J48" i="37"/>
  <c r="B16" i="37"/>
  <c r="B24" i="37"/>
  <c r="B48" i="37"/>
  <c r="B46" i="37"/>
  <c r="J32" i="37"/>
  <c r="AF8" i="37"/>
  <c r="AD52" i="37"/>
  <c r="V34" i="37"/>
  <c r="V10" i="37"/>
  <c r="X50" i="37"/>
  <c r="P4" i="37"/>
  <c r="P42" i="37"/>
  <c r="X28" i="37"/>
  <c r="AD32" i="37"/>
  <c r="N36" i="37"/>
  <c r="F42" i="37"/>
  <c r="F52" i="37"/>
  <c r="AF42" i="37"/>
  <c r="F28" i="37"/>
  <c r="T18" i="37"/>
  <c r="AF4" i="37"/>
  <c r="H10" i="37"/>
  <c r="AF18" i="37"/>
  <c r="X36" i="37"/>
  <c r="AF40" i="37"/>
  <c r="AF46" i="37"/>
  <c r="AF6" i="37"/>
  <c r="P12" i="37"/>
  <c r="X24" i="37"/>
  <c r="P34" i="37"/>
  <c r="AF48" i="37"/>
  <c r="F36" i="37"/>
  <c r="AD30" i="37"/>
  <c r="AD24" i="37"/>
  <c r="AD8" i="37"/>
  <c r="AD40" i="37"/>
  <c r="N20" i="37"/>
  <c r="N6" i="37"/>
  <c r="N12" i="37"/>
  <c r="N44" i="37"/>
  <c r="F22" i="37"/>
  <c r="F18" i="37"/>
  <c r="F46" i="37"/>
  <c r="Z46" i="37"/>
  <c r="L46" i="37"/>
  <c r="J44" i="37"/>
  <c r="H42" i="37"/>
  <c r="H40" i="37"/>
  <c r="Z36" i="37"/>
  <c r="X34" i="37"/>
  <c r="Z32" i="37"/>
  <c r="X30" i="37"/>
  <c r="T26" i="37"/>
  <c r="T22" i="37"/>
  <c r="AF16" i="37"/>
  <c r="P14" i="37"/>
  <c r="L12" i="37"/>
  <c r="J6" i="37"/>
  <c r="H4" i="37"/>
  <c r="X48" i="37"/>
  <c r="AB42" i="37"/>
  <c r="AB40" i="37"/>
  <c r="H38" i="37"/>
  <c r="B34" i="37"/>
  <c r="D32" i="37"/>
  <c r="D30" i="37"/>
  <c r="T24" i="37"/>
  <c r="R20" i="37"/>
  <c r="P16" i="37"/>
  <c r="AF12" i="37"/>
  <c r="J10" i="37"/>
  <c r="L8" i="37"/>
  <c r="Z48" i="37"/>
  <c r="AB32" i="37"/>
  <c r="D24" i="37"/>
  <c r="P10" i="37"/>
  <c r="H6" i="37"/>
  <c r="AF14" i="37"/>
  <c r="P26" i="37"/>
  <c r="P38" i="37"/>
  <c r="H44" i="37"/>
  <c r="H52" i="37"/>
  <c r="X10" i="37"/>
  <c r="H16" i="37"/>
  <c r="P30" i="37"/>
  <c r="X44" i="37"/>
  <c r="P50" i="37"/>
  <c r="AD12" i="37"/>
  <c r="AD34" i="37"/>
  <c r="AD38" i="37"/>
  <c r="AD20" i="37"/>
  <c r="AD50" i="37"/>
  <c r="N48" i="37"/>
  <c r="N28" i="37"/>
  <c r="N24" i="37"/>
  <c r="N50" i="37"/>
  <c r="F38" i="37"/>
  <c r="F32" i="37"/>
  <c r="F12" i="37"/>
  <c r="F44" i="37"/>
  <c r="A8" i="39"/>
  <c r="D7" i="39"/>
  <c r="C7" i="39"/>
  <c r="AH266" i="38" l="1"/>
  <c r="AG265" i="38"/>
  <c r="BG47" i="39"/>
  <c r="BE47" i="39"/>
  <c r="BG39" i="39"/>
  <c r="BE39" i="39"/>
  <c r="BE43" i="39"/>
  <c r="BG43" i="39"/>
  <c r="BK38" i="39"/>
  <c r="BN38" i="39"/>
  <c r="BK44" i="39"/>
  <c r="BM44" i="39"/>
  <c r="BL44" i="39" s="1"/>
  <c r="BN44" i="39"/>
  <c r="BE32" i="39"/>
  <c r="BG32" i="39"/>
  <c r="BG38" i="39"/>
  <c r="BE38" i="39"/>
  <c r="BE42" i="39"/>
  <c r="BG42" i="39"/>
  <c r="BN31" i="39"/>
  <c r="BK31" i="39"/>
  <c r="BK35" i="39"/>
  <c r="BN35" i="39"/>
  <c r="BE29" i="39"/>
  <c r="BG29" i="39"/>
  <c r="BE31" i="39"/>
  <c r="BG31" i="39"/>
  <c r="BE41" i="39"/>
  <c r="BG41" i="39"/>
  <c r="BK43" i="39"/>
  <c r="BM43" i="39"/>
  <c r="BL43" i="39" s="1"/>
  <c r="BN43" i="39"/>
  <c r="BK34" i="39"/>
  <c r="BN34" i="39"/>
  <c r="BE44" i="39"/>
  <c r="BG44" i="39"/>
  <c r="BG46" i="39"/>
  <c r="BE46" i="39"/>
  <c r="BG36" i="39"/>
  <c r="BE36" i="39"/>
  <c r="BK33" i="39"/>
  <c r="BN33" i="39"/>
  <c r="BK42" i="39"/>
  <c r="BM42" i="39"/>
  <c r="BL42" i="39" s="1"/>
  <c r="BN42" i="39"/>
  <c r="BG35" i="39"/>
  <c r="BE35" i="39"/>
  <c r="BG37" i="39"/>
  <c r="BE37" i="39"/>
  <c r="BK40" i="39"/>
  <c r="BN40" i="39"/>
  <c r="BM40" i="39"/>
  <c r="BL40" i="39" s="1"/>
  <c r="BK48" i="39"/>
  <c r="BN48" i="39"/>
  <c r="BM48" i="39"/>
  <c r="BL48" i="39" s="1"/>
  <c r="BM41" i="39"/>
  <c r="BL41" i="39" s="1"/>
  <c r="BN41" i="39"/>
  <c r="BK41" i="39"/>
  <c r="BE34" i="39"/>
  <c r="BG34" i="39"/>
  <c r="BE33" i="39"/>
  <c r="BG33" i="39"/>
  <c r="BK46" i="39"/>
  <c r="BN46" i="39"/>
  <c r="BM46" i="39"/>
  <c r="BL46" i="39" s="1"/>
  <c r="BK37" i="39"/>
  <c r="BN37" i="39"/>
  <c r="BM47" i="39"/>
  <c r="BL47" i="39" s="1"/>
  <c r="BN47" i="39"/>
  <c r="BK47" i="39"/>
  <c r="BG40" i="39"/>
  <c r="BE40" i="39"/>
  <c r="BE30" i="39"/>
  <c r="BG30" i="39"/>
  <c r="BN45" i="39"/>
  <c r="BK45" i="39"/>
  <c r="BM45" i="39"/>
  <c r="BL45" i="39" s="1"/>
  <c r="BN36" i="39"/>
  <c r="BK36" i="39"/>
  <c r="BN32" i="39"/>
  <c r="BK32" i="39"/>
  <c r="BG45" i="39"/>
  <c r="BE45" i="39"/>
  <c r="BE48" i="39"/>
  <c r="BG48" i="39"/>
  <c r="BK39" i="39"/>
  <c r="BN39" i="39"/>
  <c r="BN30" i="39"/>
  <c r="BK30" i="39"/>
  <c r="BN29" i="39"/>
  <c r="BK29" i="39"/>
  <c r="BG22" i="39"/>
  <c r="BE22" i="39"/>
  <c r="BK27" i="39"/>
  <c r="BN27" i="39"/>
  <c r="BE21" i="39"/>
  <c r="BG21" i="39"/>
  <c r="BK22" i="39"/>
  <c r="BN22" i="39"/>
  <c r="BK28" i="39"/>
  <c r="BN28" i="39"/>
  <c r="BE23" i="39"/>
  <c r="BG23" i="39"/>
  <c r="BK24" i="39"/>
  <c r="BN24" i="39"/>
  <c r="BE27" i="39"/>
  <c r="BG27" i="39"/>
  <c r="BE28" i="39"/>
  <c r="BG28" i="39"/>
  <c r="BN25" i="39"/>
  <c r="BK25" i="39"/>
  <c r="BE24" i="39"/>
  <c r="BG24" i="39"/>
  <c r="BN26" i="39"/>
  <c r="BK26" i="39"/>
  <c r="BG26" i="39"/>
  <c r="BE26" i="39"/>
  <c r="BN21" i="39"/>
  <c r="BK21" i="39"/>
  <c r="BE25" i="39"/>
  <c r="BG25" i="39"/>
  <c r="BN23" i="39"/>
  <c r="BK23" i="39"/>
  <c r="AG273" i="38"/>
  <c r="BK10" i="39"/>
  <c r="BN14" i="39"/>
  <c r="BN19" i="39"/>
  <c r="BK9" i="39"/>
  <c r="BN17" i="39"/>
  <c r="BK11" i="39"/>
  <c r="BK15" i="39"/>
  <c r="BN13" i="39"/>
  <c r="BK18" i="39"/>
  <c r="BK20" i="39"/>
  <c r="BK7" i="39"/>
  <c r="BN6" i="39"/>
  <c r="BN16" i="39"/>
  <c r="BN8" i="39"/>
  <c r="BK12" i="39"/>
  <c r="S10" i="7"/>
  <c r="R10" i="7" s="1"/>
  <c r="F10" i="7"/>
  <c r="H35" i="34"/>
  <c r="K35" i="34" s="1"/>
  <c r="L35" i="34" s="1"/>
  <c r="R38" i="7"/>
  <c r="R28" i="7"/>
  <c r="R47" i="7"/>
  <c r="R16" i="7"/>
  <c r="R49" i="7"/>
  <c r="R30" i="7"/>
  <c r="R24" i="7"/>
  <c r="R8" i="7"/>
  <c r="R55" i="7"/>
  <c r="R57" i="7"/>
  <c r="R22" i="7"/>
  <c r="R21" i="7"/>
  <c r="R13" i="7"/>
  <c r="R29" i="7"/>
  <c r="R66" i="7"/>
  <c r="R63" i="7"/>
  <c r="R27" i="7"/>
  <c r="R64" i="7"/>
  <c r="R65" i="7"/>
  <c r="R14" i="7"/>
  <c r="R53" i="7"/>
  <c r="R52" i="7"/>
  <c r="R37" i="7"/>
  <c r="R45" i="7"/>
  <c r="R60" i="7"/>
  <c r="R39" i="7"/>
  <c r="R58" i="7"/>
  <c r="R51" i="7"/>
  <c r="R56" i="7"/>
  <c r="R9" i="7"/>
  <c r="R20" i="7"/>
  <c r="R69" i="7"/>
  <c r="R44" i="7"/>
  <c r="R26" i="7"/>
  <c r="R41" i="7"/>
  <c r="R50" i="7"/>
  <c r="R15" i="7"/>
  <c r="R48" i="7"/>
  <c r="R17" i="7"/>
  <c r="R11" i="7"/>
  <c r="R62" i="7"/>
  <c r="R19" i="7"/>
  <c r="R12" i="7"/>
  <c r="R7" i="7"/>
  <c r="R42" i="7"/>
  <c r="R23" i="7"/>
  <c r="R40" i="7"/>
  <c r="R25" i="7"/>
  <c r="R35" i="7"/>
  <c r="R54" i="7"/>
  <c r="R43" i="7"/>
  <c r="R36" i="7"/>
  <c r="R61" i="7"/>
  <c r="R34" i="7"/>
  <c r="R31" i="7"/>
  <c r="R32" i="7"/>
  <c r="R33" i="7"/>
  <c r="R59" i="7"/>
  <c r="R46" i="7"/>
  <c r="R67" i="7"/>
  <c r="R68" i="7"/>
  <c r="J44" i="34"/>
  <c r="J43" i="34" s="1"/>
  <c r="J42" i="34" s="1"/>
  <c r="J41" i="34" s="1"/>
  <c r="J40" i="34" s="1"/>
  <c r="J39" i="34" s="1"/>
  <c r="J38" i="34" s="1"/>
  <c r="H41" i="34"/>
  <c r="I41" i="34" s="1"/>
  <c r="H43" i="34"/>
  <c r="I43" i="34" s="1"/>
  <c r="B3" i="35"/>
  <c r="R195" i="6"/>
  <c r="R191" i="6"/>
  <c r="R175" i="6"/>
  <c r="R159" i="6"/>
  <c r="R143" i="6"/>
  <c r="R127" i="6"/>
  <c r="R111" i="6"/>
  <c r="R95" i="6"/>
  <c r="R79" i="6"/>
  <c r="R63" i="6"/>
  <c r="R47" i="6"/>
  <c r="R31" i="6"/>
  <c r="R15" i="6"/>
  <c r="R189" i="6"/>
  <c r="R129" i="6"/>
  <c r="R73" i="6"/>
  <c r="R21" i="6"/>
  <c r="R198" i="6"/>
  <c r="R182" i="6"/>
  <c r="R166" i="6"/>
  <c r="R150" i="6"/>
  <c r="R134" i="6"/>
  <c r="R118" i="6"/>
  <c r="R102" i="6"/>
  <c r="R86" i="6"/>
  <c r="R70" i="6"/>
  <c r="R54" i="6"/>
  <c r="R38" i="6"/>
  <c r="R22" i="6"/>
  <c r="R177" i="6"/>
  <c r="R133" i="6"/>
  <c r="R89" i="6"/>
  <c r="R45" i="6"/>
  <c r="R193" i="6"/>
  <c r="R149" i="6"/>
  <c r="R105" i="6"/>
  <c r="R53" i="6"/>
  <c r="R148" i="6"/>
  <c r="R84" i="6"/>
  <c r="R20" i="6"/>
  <c r="R204" i="6"/>
  <c r="R140" i="6"/>
  <c r="R76" i="6"/>
  <c r="R12" i="6"/>
  <c r="R152" i="6"/>
  <c r="R88" i="6"/>
  <c r="R24" i="6"/>
  <c r="R32" i="6"/>
  <c r="R144" i="6"/>
  <c r="R48" i="6"/>
  <c r="R192" i="6"/>
  <c r="R112" i="6"/>
  <c r="R199" i="6"/>
  <c r="R167" i="6"/>
  <c r="R151" i="6"/>
  <c r="R119" i="6"/>
  <c r="R103" i="6"/>
  <c r="R71" i="6"/>
  <c r="R55" i="6"/>
  <c r="R39" i="6"/>
  <c r="R23" i="6"/>
  <c r="R101" i="6"/>
  <c r="R49" i="6"/>
  <c r="R190" i="6"/>
  <c r="R158" i="6"/>
  <c r="R142" i="6"/>
  <c r="R110" i="6"/>
  <c r="R78" i="6"/>
  <c r="R46" i="6"/>
  <c r="R14" i="6"/>
  <c r="R157" i="6"/>
  <c r="R109" i="6"/>
  <c r="R169" i="6"/>
  <c r="R81" i="6"/>
  <c r="R25" i="6"/>
  <c r="R116" i="6"/>
  <c r="R52" i="6"/>
  <c r="R172" i="6"/>
  <c r="R108" i="6"/>
  <c r="R44" i="6"/>
  <c r="R120" i="6"/>
  <c r="R56" i="6"/>
  <c r="R16" i="6"/>
  <c r="R176" i="6"/>
  <c r="R179" i="6"/>
  <c r="R187" i="6"/>
  <c r="R171" i="6"/>
  <c r="R155" i="6"/>
  <c r="R139" i="6"/>
  <c r="R123" i="6"/>
  <c r="R107" i="6"/>
  <c r="R91" i="6"/>
  <c r="R75" i="6"/>
  <c r="R59" i="6"/>
  <c r="R43" i="6"/>
  <c r="R27" i="6"/>
  <c r="R11" i="6"/>
  <c r="R173" i="6"/>
  <c r="R117" i="6"/>
  <c r="R65" i="6"/>
  <c r="R9" i="6"/>
  <c r="R194" i="6"/>
  <c r="R178" i="6"/>
  <c r="R162" i="6"/>
  <c r="R146" i="6"/>
  <c r="R130" i="6"/>
  <c r="R114" i="6"/>
  <c r="R98" i="6"/>
  <c r="R82" i="6"/>
  <c r="R66" i="6"/>
  <c r="R50" i="6"/>
  <c r="R34" i="6"/>
  <c r="R18" i="6"/>
  <c r="R165" i="6"/>
  <c r="R121" i="6"/>
  <c r="R77" i="6"/>
  <c r="R37" i="6"/>
  <c r="R181" i="6"/>
  <c r="R137" i="6"/>
  <c r="R93" i="6"/>
  <c r="R41" i="6"/>
  <c r="R132" i="6"/>
  <c r="R68" i="6"/>
  <c r="R188" i="6"/>
  <c r="R124" i="6"/>
  <c r="R60" i="6"/>
  <c r="R8" i="6"/>
  <c r="R7" i="6"/>
  <c r="R200" i="6"/>
  <c r="R136" i="6"/>
  <c r="R72" i="6"/>
  <c r="R80" i="6"/>
  <c r="R128" i="6"/>
  <c r="R183" i="6"/>
  <c r="R135" i="6"/>
  <c r="R87" i="6"/>
  <c r="R153" i="6"/>
  <c r="R206" i="6"/>
  <c r="R174" i="6"/>
  <c r="R126" i="6"/>
  <c r="R94" i="6"/>
  <c r="R62" i="6"/>
  <c r="R201" i="6"/>
  <c r="R69" i="6"/>
  <c r="R29" i="6"/>
  <c r="R125" i="6"/>
  <c r="R180" i="6"/>
  <c r="R203" i="6"/>
  <c r="R184" i="6"/>
  <c r="R160" i="6"/>
  <c r="R64" i="6"/>
  <c r="R163" i="6"/>
  <c r="R147" i="6"/>
  <c r="R131" i="6"/>
  <c r="R115" i="6"/>
  <c r="R99" i="6"/>
  <c r="R83" i="6"/>
  <c r="R67" i="6"/>
  <c r="R51" i="6"/>
  <c r="R35" i="6"/>
  <c r="R19" i="6"/>
  <c r="R141" i="6"/>
  <c r="R85" i="6"/>
  <c r="R33" i="6"/>
  <c r="R202" i="6"/>
  <c r="R186" i="6"/>
  <c r="R170" i="6"/>
  <c r="R154" i="6"/>
  <c r="R138" i="6"/>
  <c r="R122" i="6"/>
  <c r="R106" i="6"/>
  <c r="R90" i="6"/>
  <c r="R74" i="6"/>
  <c r="R58" i="6"/>
  <c r="R42" i="6"/>
  <c r="R26" i="6"/>
  <c r="R185" i="6"/>
  <c r="R145" i="6"/>
  <c r="R97" i="6"/>
  <c r="R57" i="6"/>
  <c r="R13" i="6"/>
  <c r="R197" i="6"/>
  <c r="R161" i="6"/>
  <c r="R113" i="6"/>
  <c r="R61" i="6"/>
  <c r="R17" i="6"/>
  <c r="R164" i="6"/>
  <c r="R100" i="6"/>
  <c r="R36" i="6"/>
  <c r="R156" i="6"/>
  <c r="R92" i="6"/>
  <c r="R205" i="6"/>
  <c r="R168" i="6"/>
  <c r="R104" i="6"/>
  <c r="R40" i="6"/>
  <c r="R196" i="6"/>
  <c r="R96" i="6"/>
  <c r="R10" i="6"/>
  <c r="R109" i="33"/>
  <c r="R60" i="33"/>
  <c r="R8" i="33"/>
  <c r="R102" i="33"/>
  <c r="R147" i="33"/>
  <c r="R116" i="33"/>
  <c r="R15" i="33"/>
  <c r="R64" i="33"/>
  <c r="R89" i="33"/>
  <c r="R61" i="33"/>
  <c r="R154" i="33"/>
  <c r="R90" i="33"/>
  <c r="R26" i="33"/>
  <c r="R44" i="33"/>
  <c r="R149" i="33"/>
  <c r="R155" i="33"/>
  <c r="R27" i="33"/>
  <c r="R65" i="33"/>
  <c r="R150" i="33"/>
  <c r="R86" i="33"/>
  <c r="R22" i="33"/>
  <c r="R104" i="33"/>
  <c r="R40" i="33"/>
  <c r="R127" i="33"/>
  <c r="R115" i="33"/>
  <c r="R129" i="33"/>
  <c r="R69" i="33"/>
  <c r="R146" i="33"/>
  <c r="R82" i="33"/>
  <c r="R17" i="33"/>
  <c r="R100" i="33"/>
  <c r="R36" i="33"/>
  <c r="R99" i="33"/>
  <c r="R78" i="33"/>
  <c r="R107" i="33"/>
  <c r="R87" i="33"/>
  <c r="R110" i="33"/>
  <c r="R43" i="33"/>
  <c r="R12" i="33"/>
  <c r="R48" i="33"/>
  <c r="R75" i="33"/>
  <c r="R80" i="33"/>
  <c r="R144" i="33"/>
  <c r="R25" i="33"/>
  <c r="R117" i="33"/>
  <c r="R39" i="33"/>
  <c r="R83" i="33"/>
  <c r="R106" i="33"/>
  <c r="R42" i="33"/>
  <c r="R124" i="33"/>
  <c r="R121" i="33"/>
  <c r="R125" i="33"/>
  <c r="R49" i="33"/>
  <c r="R20" i="33"/>
  <c r="R38" i="33"/>
  <c r="R120" i="33"/>
  <c r="R56" i="33"/>
  <c r="R55" i="33"/>
  <c r="R47" i="33"/>
  <c r="R53" i="33"/>
  <c r="R16" i="33"/>
  <c r="R98" i="33"/>
  <c r="R34" i="33"/>
  <c r="R52" i="33"/>
  <c r="R142" i="33"/>
  <c r="R32" i="33"/>
  <c r="R105" i="33"/>
  <c r="R63" i="33"/>
  <c r="R57" i="33"/>
  <c r="R112" i="33"/>
  <c r="R62" i="33"/>
  <c r="R11" i="33"/>
  <c r="R119" i="33"/>
  <c r="R19" i="33"/>
  <c r="R95" i="33"/>
  <c r="R113" i="33"/>
  <c r="R91" i="33"/>
  <c r="R77" i="33"/>
  <c r="R138" i="33"/>
  <c r="R74" i="33"/>
  <c r="R156" i="33"/>
  <c r="R92" i="33"/>
  <c r="R28" i="33"/>
  <c r="R143" i="33"/>
  <c r="R123" i="33"/>
  <c r="R111" i="33"/>
  <c r="R81" i="33"/>
  <c r="R134" i="33"/>
  <c r="R70" i="33"/>
  <c r="R152" i="33"/>
  <c r="R88" i="33"/>
  <c r="R24" i="33"/>
  <c r="R23" i="33"/>
  <c r="R79" i="33"/>
  <c r="R51" i="33"/>
  <c r="R9" i="33"/>
  <c r="R85" i="33"/>
  <c r="R130" i="33"/>
  <c r="R66" i="33"/>
  <c r="R148" i="33"/>
  <c r="R84" i="33"/>
  <c r="R21" i="33"/>
  <c r="R135" i="33"/>
  <c r="R14" i="33"/>
  <c r="R151" i="33"/>
  <c r="R46" i="33"/>
  <c r="R139" i="33"/>
  <c r="R94" i="33"/>
  <c r="R126" i="33"/>
  <c r="R35" i="33"/>
  <c r="R137" i="33"/>
  <c r="R153" i="33"/>
  <c r="R131" i="33"/>
  <c r="R29" i="33"/>
  <c r="R93" i="33"/>
  <c r="R122" i="33"/>
  <c r="R58" i="33"/>
  <c r="R140" i="33"/>
  <c r="R76" i="33"/>
  <c r="R13" i="33"/>
  <c r="R31" i="33"/>
  <c r="R59" i="33"/>
  <c r="R67" i="33"/>
  <c r="R33" i="33"/>
  <c r="R97" i="33"/>
  <c r="R118" i="33"/>
  <c r="R54" i="33"/>
  <c r="R136" i="33"/>
  <c r="R72" i="33"/>
  <c r="R10" i="33"/>
  <c r="R141" i="33"/>
  <c r="R145" i="33"/>
  <c r="R7" i="33"/>
  <c r="R37" i="33"/>
  <c r="R101" i="33"/>
  <c r="R114" i="33"/>
  <c r="R50" i="33"/>
  <c r="R132" i="33"/>
  <c r="R68" i="33"/>
  <c r="R73" i="33"/>
  <c r="R96" i="33"/>
  <c r="R41" i="33"/>
  <c r="R128" i="33"/>
  <c r="R71" i="33"/>
  <c r="R30" i="33"/>
  <c r="R18" i="33"/>
  <c r="R103" i="33"/>
  <c r="R133" i="33"/>
  <c r="U19" i="7"/>
  <c r="V19" i="7" s="1"/>
  <c r="S20" i="4"/>
  <c r="S12" i="4"/>
  <c r="S51" i="4"/>
  <c r="S35" i="4"/>
  <c r="S19" i="4"/>
  <c r="S54" i="4"/>
  <c r="S38" i="4"/>
  <c r="S47" i="4"/>
  <c r="S31" i="4"/>
  <c r="S15" i="4"/>
  <c r="S8" i="4"/>
  <c r="S43" i="4"/>
  <c r="S27" i="4"/>
  <c r="S11" i="4"/>
  <c r="S62" i="4"/>
  <c r="S46" i="4"/>
  <c r="S14" i="4"/>
  <c r="S49" i="4"/>
  <c r="S33" i="4"/>
  <c r="S17" i="4"/>
  <c r="S7" i="4"/>
  <c r="S24" i="4"/>
  <c r="S55" i="4"/>
  <c r="S39" i="4"/>
  <c r="S23" i="4"/>
  <c r="S58" i="4"/>
  <c r="S42" i="4"/>
  <c r="S26" i="4"/>
  <c r="S10" i="4"/>
  <c r="S61" i="4"/>
  <c r="S45" i="4"/>
  <c r="S29" i="4"/>
  <c r="S13" i="4"/>
  <c r="S32" i="4"/>
  <c r="S28" i="4"/>
  <c r="S22" i="4"/>
  <c r="S57" i="4"/>
  <c r="S41" i="4"/>
  <c r="S25" i="4"/>
  <c r="S16" i="4"/>
  <c r="S59" i="4"/>
  <c r="S56" i="4"/>
  <c r="S9" i="4"/>
  <c r="S52" i="4"/>
  <c r="S60" i="4"/>
  <c r="S50" i="4"/>
  <c r="S34" i="4"/>
  <c r="S18" i="4"/>
  <c r="S53" i="4"/>
  <c r="S37" i="4"/>
  <c r="S21" i="4"/>
  <c r="S40" i="4"/>
  <c r="S36" i="4"/>
  <c r="S48" i="4"/>
  <c r="S44" i="4"/>
  <c r="L26" i="14"/>
  <c r="BK16" i="39"/>
  <c r="H65" i="34"/>
  <c r="K65" i="34" s="1"/>
  <c r="L65" i="34" s="1"/>
  <c r="H63" i="34"/>
  <c r="K63" i="34" s="1"/>
  <c r="L63" i="34" s="1"/>
  <c r="H45" i="34"/>
  <c r="I45" i="34" s="1"/>
  <c r="H56" i="34"/>
  <c r="I56" i="34" s="1"/>
  <c r="H62" i="34"/>
  <c r="K62" i="34" s="1"/>
  <c r="L62" i="34" s="1"/>
  <c r="J46" i="34"/>
  <c r="J47" i="34" s="1"/>
  <c r="E21" i="34" s="1"/>
  <c r="H57" i="34"/>
  <c r="K57" i="34" s="1"/>
  <c r="L57" i="34" s="1"/>
  <c r="H49" i="34"/>
  <c r="I49" i="34" s="1"/>
  <c r="H58" i="34"/>
  <c r="I58" i="34" s="1"/>
  <c r="H42" i="34"/>
  <c r="K42" i="34" s="1"/>
  <c r="L42" i="34" s="1"/>
  <c r="H51" i="34"/>
  <c r="I51" i="34" s="1"/>
  <c r="H55" i="34"/>
  <c r="K55" i="34" s="1"/>
  <c r="L55" i="34" s="1"/>
  <c r="H50" i="34"/>
  <c r="I50" i="34" s="1"/>
  <c r="H53" i="34"/>
  <c r="I53" i="34" s="1"/>
  <c r="H52" i="34"/>
  <c r="K52" i="34" s="1"/>
  <c r="L52" i="34" s="1"/>
  <c r="H59" i="34"/>
  <c r="K59" i="34" s="1"/>
  <c r="L59" i="34" s="1"/>
  <c r="H38" i="34"/>
  <c r="K38" i="34" s="1"/>
  <c r="L38" i="34" s="1"/>
  <c r="H48" i="34"/>
  <c r="I48" i="34" s="1"/>
  <c r="H44" i="34"/>
  <c r="K44" i="34" s="1"/>
  <c r="L44" i="34" s="1"/>
  <c r="H66" i="34"/>
  <c r="I66" i="34" s="1"/>
  <c r="H61" i="34"/>
  <c r="I61" i="34" s="1"/>
  <c r="H47" i="34"/>
  <c r="I47" i="34" s="1"/>
  <c r="H39" i="34"/>
  <c r="K39" i="34" s="1"/>
  <c r="L39" i="34" s="1"/>
  <c r="H40" i="34"/>
  <c r="K40" i="34" s="1"/>
  <c r="L40" i="34" s="1"/>
  <c r="H36" i="34"/>
  <c r="I36" i="34" s="1"/>
  <c r="H54" i="34"/>
  <c r="K54" i="34" s="1"/>
  <c r="L54" i="34" s="1"/>
  <c r="H64" i="34"/>
  <c r="I64" i="34" s="1"/>
  <c r="H60" i="34"/>
  <c r="K60" i="34" s="1"/>
  <c r="L60" i="34" s="1"/>
  <c r="H37" i="34"/>
  <c r="I37" i="34" s="1"/>
  <c r="AJ5" i="35"/>
  <c r="AK5" i="35" s="1"/>
  <c r="AG4" i="35"/>
  <c r="E33" i="37"/>
  <c r="G29" i="37"/>
  <c r="R30" i="4"/>
  <c r="W10" i="4"/>
  <c r="U32" i="4" s="1"/>
  <c r="H136" i="34"/>
  <c r="K136" i="34" s="1"/>
  <c r="L136" i="34" s="1"/>
  <c r="AB80" i="34"/>
  <c r="AC80" i="34" s="1"/>
  <c r="AB59" i="34"/>
  <c r="AE59" i="34" s="1"/>
  <c r="AF59" i="34" s="1"/>
  <c r="BK8" i="39"/>
  <c r="BN10" i="39"/>
  <c r="BK13" i="39"/>
  <c r="BK14" i="39"/>
  <c r="BN18" i="39"/>
  <c r="BN7" i="39"/>
  <c r="BN20" i="39"/>
  <c r="BN12" i="39"/>
  <c r="BN11" i="39"/>
  <c r="BK6" i="39"/>
  <c r="AB128" i="34"/>
  <c r="AE128" i="34" s="1"/>
  <c r="AF128" i="34" s="1"/>
  <c r="AB72" i="34"/>
  <c r="AC72" i="34" s="1"/>
  <c r="AB39" i="34"/>
  <c r="AE39" i="34" s="1"/>
  <c r="AF39" i="34" s="1"/>
  <c r="AB69" i="34"/>
  <c r="AE69" i="34" s="1"/>
  <c r="AF69" i="34" s="1"/>
  <c r="AB142" i="34"/>
  <c r="AE142" i="34" s="1"/>
  <c r="AF142" i="34" s="1"/>
  <c r="H149" i="34"/>
  <c r="I149" i="34" s="1"/>
  <c r="H164" i="34"/>
  <c r="K164" i="34" s="1"/>
  <c r="L164" i="34" s="1"/>
  <c r="AB52" i="34"/>
  <c r="AC52" i="34" s="1"/>
  <c r="H148" i="34"/>
  <c r="I148" i="34" s="1"/>
  <c r="H155" i="34"/>
  <c r="K155" i="34" s="1"/>
  <c r="L155" i="34" s="1"/>
  <c r="AB124" i="34"/>
  <c r="AC124" i="34" s="1"/>
  <c r="AB78" i="34"/>
  <c r="AC78" i="34" s="1"/>
  <c r="H152" i="34"/>
  <c r="K152" i="34" s="1"/>
  <c r="L152" i="34" s="1"/>
  <c r="AB88" i="34"/>
  <c r="AE88" i="34" s="1"/>
  <c r="AF88" i="34" s="1"/>
  <c r="H143" i="34"/>
  <c r="K143" i="34" s="1"/>
  <c r="L143" i="34" s="1"/>
  <c r="S18" i="7"/>
  <c r="AB747" i="34"/>
  <c r="AE747" i="34" s="1"/>
  <c r="AF747" i="34" s="1"/>
  <c r="AB132" i="34"/>
  <c r="AC132" i="34" s="1"/>
  <c r="R158" i="34"/>
  <c r="U158" i="34" s="1"/>
  <c r="V158" i="34" s="1"/>
  <c r="H153" i="34"/>
  <c r="I153" i="34" s="1"/>
  <c r="AB141" i="34"/>
  <c r="AC141" i="34" s="1"/>
  <c r="AB102" i="34"/>
  <c r="AE102" i="34" s="1"/>
  <c r="AF102" i="34" s="1"/>
  <c r="R565" i="34"/>
  <c r="U565" i="34" s="1"/>
  <c r="V565" i="34" s="1"/>
  <c r="H151" i="34"/>
  <c r="I151" i="34" s="1"/>
  <c r="R163" i="34"/>
  <c r="U163" i="34" s="1"/>
  <c r="V163" i="34" s="1"/>
  <c r="R157" i="34"/>
  <c r="W17" i="33"/>
  <c r="U77" i="33" s="1"/>
  <c r="W10" i="6"/>
  <c r="U143" i="6" s="1"/>
  <c r="X143" i="6" s="1"/>
  <c r="Y143" i="6" s="1"/>
  <c r="U70" i="7"/>
  <c r="V70" i="7" s="1"/>
  <c r="R161" i="34"/>
  <c r="S161" i="34" s="1"/>
  <c r="H19" i="34"/>
  <c r="I19" i="34" s="1"/>
  <c r="R508" i="34"/>
  <c r="U508" i="34" s="1"/>
  <c r="V508" i="34" s="1"/>
  <c r="S70" i="7"/>
  <c r="BK17" i="39"/>
  <c r="S30" i="6"/>
  <c r="BN15" i="39"/>
  <c r="S28" i="6"/>
  <c r="DC7" i="12"/>
  <c r="DC8" i="12" s="1"/>
  <c r="BK19" i="39"/>
  <c r="M30" i="14"/>
  <c r="L30" i="14"/>
  <c r="L39" i="14"/>
  <c r="M39" i="14"/>
  <c r="L24" i="14"/>
  <c r="M24" i="14"/>
  <c r="L19" i="14"/>
  <c r="M19" i="14"/>
  <c r="L20" i="14"/>
  <c r="M20" i="14"/>
  <c r="M25" i="14"/>
  <c r="L25" i="14"/>
  <c r="M33" i="14"/>
  <c r="L33" i="14"/>
  <c r="M13" i="14"/>
  <c r="L13" i="14"/>
  <c r="M17" i="14"/>
  <c r="L17" i="14"/>
  <c r="BN9" i="39"/>
  <c r="S45" i="33"/>
  <c r="S108" i="33"/>
  <c r="M38" i="14"/>
  <c r="L38" i="14"/>
  <c r="L34" i="14"/>
  <c r="M34" i="14"/>
  <c r="M14" i="14"/>
  <c r="L14" i="14"/>
  <c r="L23" i="14"/>
  <c r="M23" i="14"/>
  <c r="L31" i="14"/>
  <c r="M31" i="14"/>
  <c r="L32" i="14"/>
  <c r="M32" i="14"/>
  <c r="L27" i="14"/>
  <c r="M27" i="14"/>
  <c r="L28" i="14"/>
  <c r="M28" i="14"/>
  <c r="M9" i="14"/>
  <c r="L9" i="14"/>
  <c r="M37" i="14"/>
  <c r="L37" i="14"/>
  <c r="M21" i="14"/>
  <c r="L21" i="14"/>
  <c r="M22" i="14"/>
  <c r="L22" i="14"/>
  <c r="L18" i="14"/>
  <c r="M18" i="14"/>
  <c r="M29" i="14"/>
  <c r="L29" i="14"/>
  <c r="L15" i="14"/>
  <c r="M15" i="14"/>
  <c r="L8" i="14"/>
  <c r="M8" i="14"/>
  <c r="L40" i="14"/>
  <c r="M40" i="14"/>
  <c r="L35" i="14"/>
  <c r="M35" i="14"/>
  <c r="L36" i="14"/>
  <c r="M36" i="14"/>
  <c r="L7" i="14"/>
  <c r="M7" i="14"/>
  <c r="L16" i="14"/>
  <c r="M16" i="14"/>
  <c r="L11" i="14"/>
  <c r="M11" i="14"/>
  <c r="L12" i="14"/>
  <c r="M12" i="14"/>
  <c r="L10" i="14"/>
  <c r="M10" i="14"/>
  <c r="AB612" i="34"/>
  <c r="AB613" i="34"/>
  <c r="AC613" i="34" s="1"/>
  <c r="AB58" i="34"/>
  <c r="AB740" i="34"/>
  <c r="AE740" i="34" s="1"/>
  <c r="AF740" i="34" s="1"/>
  <c r="H157" i="34"/>
  <c r="I157" i="34" s="1"/>
  <c r="AB119" i="34"/>
  <c r="AE119" i="34" s="1"/>
  <c r="AF119" i="34" s="1"/>
  <c r="H142" i="34"/>
  <c r="K142" i="34" s="1"/>
  <c r="L142" i="34" s="1"/>
  <c r="H159" i="34"/>
  <c r="I159" i="34" s="1"/>
  <c r="AB41" i="34"/>
  <c r="AC41" i="34" s="1"/>
  <c r="H162" i="34"/>
  <c r="I162" i="34" s="1"/>
  <c r="R540" i="34"/>
  <c r="S540" i="34" s="1"/>
  <c r="AB4" i="34"/>
  <c r="AE4" i="34" s="1"/>
  <c r="AF4" i="34" s="1"/>
  <c r="R461" i="34"/>
  <c r="U461" i="34" s="1"/>
  <c r="V461" i="34" s="1"/>
  <c r="AB18" i="34"/>
  <c r="AC18" i="34" s="1"/>
  <c r="AB99" i="34"/>
  <c r="AE99" i="34" s="1"/>
  <c r="AF99" i="34" s="1"/>
  <c r="H156" i="34"/>
  <c r="R469" i="34"/>
  <c r="U469" i="34" s="1"/>
  <c r="V469" i="34" s="1"/>
  <c r="H163" i="34"/>
  <c r="I163" i="34" s="1"/>
  <c r="R572" i="34"/>
  <c r="S572" i="34" s="1"/>
  <c r="H150" i="34"/>
  <c r="AB12" i="34"/>
  <c r="AC12" i="34" s="1"/>
  <c r="R533" i="34"/>
  <c r="S533" i="34" s="1"/>
  <c r="AB68" i="34"/>
  <c r="AC68" i="34" s="1"/>
  <c r="H137" i="34"/>
  <c r="I137" i="34" s="1"/>
  <c r="H140" i="34"/>
  <c r="K140" i="34" s="1"/>
  <c r="L140" i="34" s="1"/>
  <c r="R603" i="34"/>
  <c r="U603" i="34" s="1"/>
  <c r="V603" i="34" s="1"/>
  <c r="H144" i="34"/>
  <c r="K144" i="34" s="1"/>
  <c r="L144" i="34" s="1"/>
  <c r="AL101" i="34"/>
  <c r="AO101" i="34" s="1"/>
  <c r="AP101" i="34" s="1"/>
  <c r="U38" i="7"/>
  <c r="V38" i="7" s="1"/>
  <c r="U20" i="7"/>
  <c r="V20" i="7" s="1"/>
  <c r="U54" i="7"/>
  <c r="X54" i="7" s="1"/>
  <c r="Y54" i="7" s="1"/>
  <c r="U68" i="7"/>
  <c r="X68" i="7" s="1"/>
  <c r="Y68" i="7" s="1"/>
  <c r="AV5" i="35"/>
  <c r="AV6" i="35" s="1"/>
  <c r="U87" i="7"/>
  <c r="V87" i="7" s="1"/>
  <c r="U17" i="7"/>
  <c r="X17" i="7" s="1"/>
  <c r="Y17" i="7" s="1"/>
  <c r="BD5" i="35"/>
  <c r="BE5" i="35" s="1"/>
  <c r="K46" i="34"/>
  <c r="L46" i="34" s="1"/>
  <c r="H84" i="34"/>
  <c r="I84" i="34" s="1"/>
  <c r="H147" i="34"/>
  <c r="K147" i="34" s="1"/>
  <c r="L147" i="34" s="1"/>
  <c r="H158" i="34"/>
  <c r="K158" i="34" s="1"/>
  <c r="L158" i="34" s="1"/>
  <c r="R275" i="34"/>
  <c r="U275" i="34" s="1"/>
  <c r="V275" i="34" s="1"/>
  <c r="AB57" i="34"/>
  <c r="AE57" i="34" s="1"/>
  <c r="AF57" i="34" s="1"/>
  <c r="AB107" i="34"/>
  <c r="AC107" i="34" s="1"/>
  <c r="H135" i="34"/>
  <c r="I135" i="34" s="1"/>
  <c r="H145" i="34"/>
  <c r="K145" i="34" s="1"/>
  <c r="L145" i="34" s="1"/>
  <c r="R146" i="34"/>
  <c r="U51" i="7"/>
  <c r="X51" i="7" s="1"/>
  <c r="Y51" i="7" s="1"/>
  <c r="U93" i="7"/>
  <c r="X93" i="7" s="1"/>
  <c r="Y93" i="7" s="1"/>
  <c r="AB75" i="34"/>
  <c r="AE75" i="34" s="1"/>
  <c r="AF75" i="34" s="1"/>
  <c r="AB121" i="34"/>
  <c r="AE121" i="34" s="1"/>
  <c r="AF121" i="34" s="1"/>
  <c r="AB79" i="34"/>
  <c r="AC79" i="34" s="1"/>
  <c r="AB17" i="34"/>
  <c r="AB77" i="34"/>
  <c r="AC77" i="34" s="1"/>
  <c r="AB145" i="34"/>
  <c r="AE145" i="34" s="1"/>
  <c r="AF145" i="34" s="1"/>
  <c r="H106" i="34"/>
  <c r="K106" i="34" s="1"/>
  <c r="L106" i="34" s="1"/>
  <c r="H120" i="34"/>
  <c r="K120" i="34" s="1"/>
  <c r="L120" i="34" s="1"/>
  <c r="AL152" i="34"/>
  <c r="AO152" i="34" s="1"/>
  <c r="AP152" i="34" s="1"/>
  <c r="AL137" i="34"/>
  <c r="AL160" i="34"/>
  <c r="AM160" i="34" s="1"/>
  <c r="R59" i="34"/>
  <c r="R99" i="34"/>
  <c r="U99" i="34" s="1"/>
  <c r="V99" i="34" s="1"/>
  <c r="R135" i="34"/>
  <c r="S135" i="34" s="1"/>
  <c r="R57" i="34"/>
  <c r="U57" i="34" s="1"/>
  <c r="V57" i="34" s="1"/>
  <c r="R112" i="34"/>
  <c r="S112" i="34" s="1"/>
  <c r="R22" i="34"/>
  <c r="S22" i="34" s="1"/>
  <c r="R149" i="34"/>
  <c r="S149" i="34" s="1"/>
  <c r="R43" i="34"/>
  <c r="S43" i="34" s="1"/>
  <c r="AB482" i="34"/>
  <c r="AC482" i="34" s="1"/>
  <c r="AB470" i="34"/>
  <c r="AE470" i="34" s="1"/>
  <c r="AF470" i="34" s="1"/>
  <c r="AB48" i="34"/>
  <c r="AC48" i="34" s="1"/>
  <c r="AB51" i="34"/>
  <c r="AC51" i="34" s="1"/>
  <c r="AB37" i="34"/>
  <c r="AC37" i="34" s="1"/>
  <c r="AB94" i="34"/>
  <c r="AC94" i="34" s="1"/>
  <c r="AB73" i="34"/>
  <c r="AE73" i="34" s="1"/>
  <c r="AF73" i="34" s="1"/>
  <c r="AB10" i="34"/>
  <c r="AE10" i="34" s="1"/>
  <c r="AF10" i="34" s="1"/>
  <c r="AB113" i="34"/>
  <c r="AE113" i="34" s="1"/>
  <c r="AF113" i="34" s="1"/>
  <c r="AB9" i="34"/>
  <c r="AE9" i="34" s="1"/>
  <c r="AF9" i="34" s="1"/>
  <c r="AB40" i="34"/>
  <c r="AE40" i="34" s="1"/>
  <c r="AF40" i="34" s="1"/>
  <c r="AB131" i="34"/>
  <c r="AE131" i="34" s="1"/>
  <c r="AF131" i="34" s="1"/>
  <c r="AB42" i="34"/>
  <c r="AB22" i="34"/>
  <c r="AE22" i="34" s="1"/>
  <c r="AF22" i="34" s="1"/>
  <c r="AB91" i="34"/>
  <c r="AC91" i="34" s="1"/>
  <c r="AB133" i="34"/>
  <c r="AC133" i="34" s="1"/>
  <c r="AB64" i="34"/>
  <c r="AE64" i="34" s="1"/>
  <c r="AF64" i="34" s="1"/>
  <c r="AB148" i="34"/>
  <c r="AE148" i="34" s="1"/>
  <c r="AF148" i="34" s="1"/>
  <c r="AB135" i="34"/>
  <c r="AC135" i="34" s="1"/>
  <c r="AB56" i="34"/>
  <c r="AC56" i="34" s="1"/>
  <c r="AB7" i="34"/>
  <c r="AB27" i="34"/>
  <c r="AE27" i="34" s="1"/>
  <c r="AF27" i="34" s="1"/>
  <c r="AB96" i="34"/>
  <c r="AC96" i="34" s="1"/>
  <c r="AB8" i="34"/>
  <c r="AC8" i="34" s="1"/>
  <c r="AB110" i="34"/>
  <c r="AB114" i="34"/>
  <c r="AC114" i="34" s="1"/>
  <c r="AB34" i="34"/>
  <c r="AE34" i="34" s="1"/>
  <c r="AF34" i="34" s="1"/>
  <c r="AB2" i="34"/>
  <c r="AE2" i="34" s="1"/>
  <c r="AF2" i="34" s="1"/>
  <c r="AB108" i="34"/>
  <c r="AB105" i="34"/>
  <c r="AE105" i="34" s="1"/>
  <c r="AF105" i="34" s="1"/>
  <c r="AB100" i="34"/>
  <c r="AB25" i="34"/>
  <c r="AC25" i="34" s="1"/>
  <c r="AB143" i="34"/>
  <c r="AC143" i="34" s="1"/>
  <c r="AB93" i="34"/>
  <c r="AC93" i="34" s="1"/>
  <c r="AB61" i="34"/>
  <c r="AC61" i="34" s="1"/>
  <c r="AB45" i="34"/>
  <c r="AE45" i="34" s="1"/>
  <c r="AF45" i="34" s="1"/>
  <c r="AB82" i="34"/>
  <c r="AB98" i="34"/>
  <c r="AE98" i="34" s="1"/>
  <c r="AF98" i="34" s="1"/>
  <c r="AB49" i="34"/>
  <c r="AB23" i="34"/>
  <c r="AC23" i="34" s="1"/>
  <c r="AB71" i="34"/>
  <c r="AB129" i="34"/>
  <c r="AC129" i="34" s="1"/>
  <c r="AB63" i="34"/>
  <c r="AE63" i="34" s="1"/>
  <c r="AF63" i="34" s="1"/>
  <c r="AB147" i="34"/>
  <c r="AC147" i="34" s="1"/>
  <c r="AB146" i="34"/>
  <c r="AE146" i="34" s="1"/>
  <c r="AF146" i="34" s="1"/>
  <c r="AB33" i="34"/>
  <c r="AE33" i="34" s="1"/>
  <c r="AF33" i="34" s="1"/>
  <c r="AB46" i="34"/>
  <c r="AB95" i="34"/>
  <c r="AE95" i="34" s="1"/>
  <c r="AF95" i="34" s="1"/>
  <c r="AB3" i="34"/>
  <c r="AC3" i="34" s="1"/>
  <c r="AB103" i="34"/>
  <c r="AE103" i="34" s="1"/>
  <c r="AF103" i="34" s="1"/>
  <c r="AB138" i="34"/>
  <c r="AC138" i="34" s="1"/>
  <c r="AB122" i="34"/>
  <c r="AC122" i="34" s="1"/>
  <c r="AB35" i="34"/>
  <c r="AB31" i="34"/>
  <c r="AC31" i="34" s="1"/>
  <c r="AB84" i="34"/>
  <c r="AC84" i="34" s="1"/>
  <c r="AB101" i="34"/>
  <c r="AC101" i="34" s="1"/>
  <c r="AB21" i="34"/>
  <c r="AC21" i="34" s="1"/>
  <c r="AB66" i="34"/>
  <c r="AC66" i="34" s="1"/>
  <c r="AB104" i="34"/>
  <c r="AE104" i="34" s="1"/>
  <c r="AF104" i="34" s="1"/>
  <c r="AB19" i="34"/>
  <c r="AE19" i="34" s="1"/>
  <c r="AF19" i="34" s="1"/>
  <c r="AB90" i="34"/>
  <c r="AC90" i="34" s="1"/>
  <c r="AB126" i="34"/>
  <c r="AC126" i="34" s="1"/>
  <c r="AB32" i="34"/>
  <c r="AE32" i="34" s="1"/>
  <c r="AF32" i="34" s="1"/>
  <c r="AB134" i="34"/>
  <c r="AC134" i="34" s="1"/>
  <c r="AB54" i="34"/>
  <c r="AB14" i="34"/>
  <c r="AC14" i="34" s="1"/>
  <c r="AB115" i="34"/>
  <c r="AC115" i="34" s="1"/>
  <c r="AB50" i="34"/>
  <c r="AC50" i="34" s="1"/>
  <c r="AB6" i="34"/>
  <c r="AC6" i="34" s="1"/>
  <c r="AB87" i="34"/>
  <c r="AC87" i="34" s="1"/>
  <c r="AB117" i="34"/>
  <c r="AC117" i="34" s="1"/>
  <c r="AB44" i="34"/>
  <c r="AE44" i="34" s="1"/>
  <c r="AF44" i="34" s="1"/>
  <c r="AB140" i="34"/>
  <c r="AB60" i="34"/>
  <c r="AC60" i="34" s="1"/>
  <c r="AB76" i="34"/>
  <c r="AE76" i="34" s="1"/>
  <c r="AF76" i="34" s="1"/>
  <c r="AB116" i="34"/>
  <c r="AE116" i="34" s="1"/>
  <c r="AF116" i="34" s="1"/>
  <c r="AB92" i="34"/>
  <c r="AC92" i="34" s="1"/>
  <c r="AB137" i="34"/>
  <c r="AC137" i="34" s="1"/>
  <c r="AB65" i="34"/>
  <c r="AC65" i="34" s="1"/>
  <c r="AB149" i="34"/>
  <c r="AC149" i="34" s="1"/>
  <c r="AB55" i="34"/>
  <c r="AC55" i="34" s="1"/>
  <c r="AB47" i="34"/>
  <c r="AC47" i="34" s="1"/>
  <c r="AB26" i="34"/>
  <c r="AC26" i="34" s="1"/>
  <c r="AB36" i="34"/>
  <c r="AE36" i="34" s="1"/>
  <c r="AF36" i="34" s="1"/>
  <c r="AB24" i="34"/>
  <c r="AB16" i="34"/>
  <c r="AE16" i="34" s="1"/>
  <c r="AF16" i="34" s="1"/>
  <c r="AB109" i="34"/>
  <c r="AB20" i="34"/>
  <c r="AE20" i="34" s="1"/>
  <c r="AF20" i="34" s="1"/>
  <c r="AB120" i="34"/>
  <c r="AB43" i="34"/>
  <c r="AC43" i="34" s="1"/>
  <c r="AB11" i="34"/>
  <c r="AC11" i="34" s="1"/>
  <c r="R6" i="34"/>
  <c r="U6" i="34" s="1"/>
  <c r="V6" i="34" s="1"/>
  <c r="AB123" i="34"/>
  <c r="AC123" i="34" s="1"/>
  <c r="AB74" i="34"/>
  <c r="AE74" i="34" s="1"/>
  <c r="AF74" i="34" s="1"/>
  <c r="AB83" i="34"/>
  <c r="AE83" i="34" s="1"/>
  <c r="AF83" i="34" s="1"/>
  <c r="AB151" i="34"/>
  <c r="AC151" i="34" s="1"/>
  <c r="AB70" i="34"/>
  <c r="AB387" i="34"/>
  <c r="AE387" i="34" s="1"/>
  <c r="AF387" i="34" s="1"/>
  <c r="AB672" i="34"/>
  <c r="R211" i="34"/>
  <c r="U86" i="7"/>
  <c r="X86" i="7" s="1"/>
  <c r="Y86" i="7" s="1"/>
  <c r="U22" i="7"/>
  <c r="X22" i="7" s="1"/>
  <c r="Y22" i="7" s="1"/>
  <c r="R164" i="34"/>
  <c r="S164" i="34" s="1"/>
  <c r="U49" i="7"/>
  <c r="X49" i="7" s="1"/>
  <c r="Y49" i="7" s="1"/>
  <c r="U84" i="7"/>
  <c r="V84" i="7" s="1"/>
  <c r="H92" i="34"/>
  <c r="I92" i="34" s="1"/>
  <c r="AB661" i="34"/>
  <c r="AE661" i="34" s="1"/>
  <c r="AF661" i="34" s="1"/>
  <c r="R501" i="34"/>
  <c r="U501" i="34" s="1"/>
  <c r="V501" i="34" s="1"/>
  <c r="R476" i="34"/>
  <c r="U476" i="34" s="1"/>
  <c r="V476" i="34" s="1"/>
  <c r="AB695" i="34"/>
  <c r="AC695" i="34" s="1"/>
  <c r="AL91" i="34"/>
  <c r="AM91" i="34" s="1"/>
  <c r="AL90" i="34"/>
  <c r="AO90" i="34" s="1"/>
  <c r="AP90" i="34" s="1"/>
  <c r="AL92" i="34"/>
  <c r="AM92" i="34" s="1"/>
  <c r="AB654" i="34"/>
  <c r="AE654" i="34" s="1"/>
  <c r="AF654" i="34" s="1"/>
  <c r="AS4" i="35"/>
  <c r="AR5" i="35"/>
  <c r="U92" i="7"/>
  <c r="V92" i="7" s="1"/>
  <c r="U66" i="7"/>
  <c r="V66" i="7" s="1"/>
  <c r="U83" i="7"/>
  <c r="V83" i="7" s="1"/>
  <c r="U35" i="7"/>
  <c r="X35" i="7" s="1"/>
  <c r="Y35" i="7" s="1"/>
  <c r="R330" i="34"/>
  <c r="S330" i="34" s="1"/>
  <c r="R448" i="34"/>
  <c r="U448" i="34" s="1"/>
  <c r="V448" i="34" s="1"/>
  <c r="R169" i="34"/>
  <c r="S169" i="34" s="1"/>
  <c r="R187" i="34"/>
  <c r="U187" i="34" s="1"/>
  <c r="V187" i="34" s="1"/>
  <c r="R263" i="34"/>
  <c r="S263" i="34" s="1"/>
  <c r="R219" i="34"/>
  <c r="U219" i="34" s="1"/>
  <c r="V219" i="34" s="1"/>
  <c r="R279" i="34"/>
  <c r="S279" i="34" s="1"/>
  <c r="R156" i="34"/>
  <c r="U156" i="34" s="1"/>
  <c r="V156" i="34" s="1"/>
  <c r="R154" i="34"/>
  <c r="S154" i="34" s="1"/>
  <c r="R235" i="34"/>
  <c r="AB644" i="34"/>
  <c r="AE644" i="34" s="1"/>
  <c r="AF644" i="34" s="1"/>
  <c r="AB622" i="34"/>
  <c r="AC622" i="34" s="1"/>
  <c r="AB675" i="34"/>
  <c r="AC675" i="34" s="1"/>
  <c r="AB754" i="34"/>
  <c r="AE754" i="34" s="1"/>
  <c r="AF754" i="34" s="1"/>
  <c r="AB715" i="34"/>
  <c r="AE715" i="34" s="1"/>
  <c r="AF715" i="34" s="1"/>
  <c r="AB712" i="34"/>
  <c r="AE712" i="34" s="1"/>
  <c r="AF712" i="34" s="1"/>
  <c r="AB640" i="34"/>
  <c r="AC640" i="34" s="1"/>
  <c r="AB703" i="34"/>
  <c r="AC703" i="34" s="1"/>
  <c r="AB733" i="34"/>
  <c r="AE733" i="34" s="1"/>
  <c r="AF733" i="34" s="1"/>
  <c r="AB689" i="34"/>
  <c r="AC689" i="34" s="1"/>
  <c r="AB704" i="34"/>
  <c r="AC704" i="34" s="1"/>
  <c r="AB626" i="34"/>
  <c r="AE626" i="34" s="1"/>
  <c r="AF626" i="34" s="1"/>
  <c r="AB679" i="34"/>
  <c r="AC679" i="34" s="1"/>
  <c r="AB694" i="34"/>
  <c r="AE694" i="34" s="1"/>
  <c r="AF694" i="34" s="1"/>
  <c r="AB629" i="34"/>
  <c r="AE629" i="34" s="1"/>
  <c r="AF629" i="34" s="1"/>
  <c r="AB731" i="34"/>
  <c r="AC731" i="34" s="1"/>
  <c r="AB643" i="34"/>
  <c r="AE643" i="34" s="1"/>
  <c r="AF643" i="34" s="1"/>
  <c r="AB738" i="34"/>
  <c r="AE738" i="34" s="1"/>
  <c r="AF738" i="34" s="1"/>
  <c r="AB658" i="34"/>
  <c r="AC658" i="34" s="1"/>
  <c r="AB706" i="34"/>
  <c r="AE706" i="34" s="1"/>
  <c r="AF706" i="34" s="1"/>
  <c r="AB397" i="34"/>
  <c r="AC397" i="34" s="1"/>
  <c r="H74" i="34"/>
  <c r="I74" i="34" s="1"/>
  <c r="R594" i="34"/>
  <c r="S594" i="34" s="1"/>
  <c r="R517" i="34"/>
  <c r="R581" i="34"/>
  <c r="U581" i="34" s="1"/>
  <c r="V581" i="34" s="1"/>
  <c r="W3" i="37"/>
  <c r="AL157" i="34"/>
  <c r="R492" i="34"/>
  <c r="U492" i="34" s="1"/>
  <c r="V492" i="34" s="1"/>
  <c r="R556" i="34"/>
  <c r="S556" i="34" s="1"/>
  <c r="AB136" i="34"/>
  <c r="AE136" i="34" s="1"/>
  <c r="AF136" i="34" s="1"/>
  <c r="AB424" i="34"/>
  <c r="AE424" i="34" s="1"/>
  <c r="AF424" i="34" s="1"/>
  <c r="R485" i="34"/>
  <c r="U485" i="34" s="1"/>
  <c r="V485" i="34" s="1"/>
  <c r="R549" i="34"/>
  <c r="U549" i="34" s="1"/>
  <c r="V549" i="34" s="1"/>
  <c r="R587" i="34"/>
  <c r="S587" i="34" s="1"/>
  <c r="R524" i="34"/>
  <c r="U524" i="34" s="1"/>
  <c r="V524" i="34" s="1"/>
  <c r="AL158" i="34"/>
  <c r="AO158" i="34" s="1"/>
  <c r="AP158" i="34" s="1"/>
  <c r="AL58" i="34"/>
  <c r="AO58" i="34" s="1"/>
  <c r="AP58" i="34" s="1"/>
  <c r="W13" i="37"/>
  <c r="AC6" i="37"/>
  <c r="U4" i="37"/>
  <c r="AL49" i="34"/>
  <c r="AO49" i="34" s="1"/>
  <c r="AP49" i="34" s="1"/>
  <c r="AL35" i="34"/>
  <c r="AM35" i="34" s="1"/>
  <c r="U52" i="7"/>
  <c r="X52" i="7" s="1"/>
  <c r="Y52" i="7" s="1"/>
  <c r="AL46" i="34"/>
  <c r="AM46" i="34" s="1"/>
  <c r="U82" i="7"/>
  <c r="V82" i="7" s="1"/>
  <c r="H69" i="34"/>
  <c r="H88" i="34"/>
  <c r="K88" i="34" s="1"/>
  <c r="L88" i="34" s="1"/>
  <c r="R299" i="34"/>
  <c r="U299" i="34" s="1"/>
  <c r="V299" i="34" s="1"/>
  <c r="R243" i="34"/>
  <c r="S243" i="34" s="1"/>
  <c r="R195" i="34"/>
  <c r="U195" i="34" s="1"/>
  <c r="V195" i="34" s="1"/>
  <c r="AB385" i="34"/>
  <c r="AC385" i="34" s="1"/>
  <c r="AL150" i="34"/>
  <c r="AO150" i="34" s="1"/>
  <c r="AP150" i="34" s="1"/>
  <c r="AL138" i="34"/>
  <c r="AM138" i="34" s="1"/>
  <c r="Y17" i="37"/>
  <c r="H141" i="34"/>
  <c r="I141" i="34" s="1"/>
  <c r="R249" i="34"/>
  <c r="S249" i="34" s="1"/>
  <c r="AL56" i="34"/>
  <c r="H78" i="34"/>
  <c r="I78" i="34" s="1"/>
  <c r="H96" i="34"/>
  <c r="I96" i="34" s="1"/>
  <c r="E9" i="37"/>
  <c r="H79" i="34"/>
  <c r="K79" i="34" s="1"/>
  <c r="L79" i="34" s="1"/>
  <c r="H76" i="34"/>
  <c r="I76" i="34" s="1"/>
  <c r="E27" i="37"/>
  <c r="U34" i="7"/>
  <c r="X34" i="7" s="1"/>
  <c r="Y34" i="7" s="1"/>
  <c r="AB707" i="34"/>
  <c r="AC707" i="34" s="1"/>
  <c r="AB755" i="34"/>
  <c r="AE755" i="34" s="1"/>
  <c r="AF755" i="34" s="1"/>
  <c r="AB739" i="34"/>
  <c r="AC739" i="34" s="1"/>
  <c r="AB708" i="34"/>
  <c r="AB701" i="34"/>
  <c r="AE701" i="34" s="1"/>
  <c r="AF701" i="34" s="1"/>
  <c r="AB677" i="34"/>
  <c r="AE677" i="34" s="1"/>
  <c r="AF677" i="34" s="1"/>
  <c r="AB645" i="34"/>
  <c r="AC645" i="34" s="1"/>
  <c r="AB702" i="34"/>
  <c r="AC702" i="34" s="1"/>
  <c r="AB656" i="34"/>
  <c r="AE656" i="34" s="1"/>
  <c r="AF656" i="34" s="1"/>
  <c r="AB624" i="34"/>
  <c r="AE624" i="34" s="1"/>
  <c r="AF624" i="34" s="1"/>
  <c r="R602" i="34"/>
  <c r="U602" i="34" s="1"/>
  <c r="V602" i="34" s="1"/>
  <c r="R586" i="34"/>
  <c r="R477" i="34"/>
  <c r="S477" i="34" s="1"/>
  <c r="R493" i="34"/>
  <c r="U493" i="34" s="1"/>
  <c r="V493" i="34" s="1"/>
  <c r="R509" i="34"/>
  <c r="S509" i="34" s="1"/>
  <c r="R525" i="34"/>
  <c r="R541" i="34"/>
  <c r="U541" i="34" s="1"/>
  <c r="V541" i="34" s="1"/>
  <c r="R557" i="34"/>
  <c r="U557" i="34" s="1"/>
  <c r="V557" i="34" s="1"/>
  <c r="R573" i="34"/>
  <c r="U573" i="34" s="1"/>
  <c r="V573" i="34" s="1"/>
  <c r="H91" i="34"/>
  <c r="K91" i="34" s="1"/>
  <c r="L91" i="34" s="1"/>
  <c r="R184" i="34"/>
  <c r="S184" i="34" s="1"/>
  <c r="AB748" i="34"/>
  <c r="AC748" i="34" s="1"/>
  <c r="AB732" i="34"/>
  <c r="AE732" i="34" s="1"/>
  <c r="AF732" i="34" s="1"/>
  <c r="AB615" i="34"/>
  <c r="AC615" i="34" s="1"/>
  <c r="AB709" i="34"/>
  <c r="AC709" i="34" s="1"/>
  <c r="AB663" i="34"/>
  <c r="AE663" i="34" s="1"/>
  <c r="AF663" i="34" s="1"/>
  <c r="AB631" i="34"/>
  <c r="AC631" i="34" s="1"/>
  <c r="AB674" i="34"/>
  <c r="AC674" i="34" s="1"/>
  <c r="AB642" i="34"/>
  <c r="AC642" i="34" s="1"/>
  <c r="AB699" i="34"/>
  <c r="AE699" i="34" s="1"/>
  <c r="AF699" i="34" s="1"/>
  <c r="R595" i="34"/>
  <c r="U595" i="34" s="1"/>
  <c r="V595" i="34" s="1"/>
  <c r="R468" i="34"/>
  <c r="S468" i="34" s="1"/>
  <c r="R484" i="34"/>
  <c r="S484" i="34" s="1"/>
  <c r="R500" i="34"/>
  <c r="U500" i="34" s="1"/>
  <c r="V500" i="34" s="1"/>
  <c r="R516" i="34"/>
  <c r="U516" i="34" s="1"/>
  <c r="V516" i="34" s="1"/>
  <c r="R532" i="34"/>
  <c r="S532" i="34" s="1"/>
  <c r="R548" i="34"/>
  <c r="S548" i="34" s="1"/>
  <c r="R564" i="34"/>
  <c r="U564" i="34" s="1"/>
  <c r="V564" i="34" s="1"/>
  <c r="R580" i="34"/>
  <c r="S580" i="34" s="1"/>
  <c r="AB616" i="34"/>
  <c r="AC616" i="34" s="1"/>
  <c r="R455" i="34"/>
  <c r="S455" i="34" s="1"/>
  <c r="AB746" i="34"/>
  <c r="AC746" i="34" s="1"/>
  <c r="AB730" i="34"/>
  <c r="AC730" i="34" s="1"/>
  <c r="AB611" i="34"/>
  <c r="AE611" i="34" s="1"/>
  <c r="AF611" i="34" s="1"/>
  <c r="AB698" i="34"/>
  <c r="AC698" i="34" s="1"/>
  <c r="AB659" i="34"/>
  <c r="AC659" i="34" s="1"/>
  <c r="AB627" i="34"/>
  <c r="AB670" i="34"/>
  <c r="AE670" i="34" s="1"/>
  <c r="AF670" i="34" s="1"/>
  <c r="AB638" i="34"/>
  <c r="AE638" i="34" s="1"/>
  <c r="AF638" i="34" s="1"/>
  <c r="AB607" i="34"/>
  <c r="AE607" i="34" s="1"/>
  <c r="AF607" i="34" s="1"/>
  <c r="R457" i="34"/>
  <c r="AB713" i="34"/>
  <c r="AE713" i="34" s="1"/>
  <c r="AF713" i="34" s="1"/>
  <c r="AB745" i="34"/>
  <c r="AE745" i="34" s="1"/>
  <c r="AF745" i="34" s="1"/>
  <c r="AB716" i="34"/>
  <c r="AC716" i="34" s="1"/>
  <c r="AB628" i="34"/>
  <c r="AE628" i="34" s="1"/>
  <c r="AF628" i="34" s="1"/>
  <c r="AB625" i="34"/>
  <c r="AC625" i="34" s="1"/>
  <c r="AL3" i="34"/>
  <c r="AO3" i="34" s="1"/>
  <c r="AP3" i="34" s="1"/>
  <c r="AB690" i="34"/>
  <c r="U33" i="7"/>
  <c r="X33" i="7" s="1"/>
  <c r="Y33" i="7" s="1"/>
  <c r="U36" i="7"/>
  <c r="V36" i="7" s="1"/>
  <c r="U67" i="7"/>
  <c r="U50" i="7"/>
  <c r="X50" i="7" s="1"/>
  <c r="Y50" i="7" s="1"/>
  <c r="H30" i="34"/>
  <c r="I30" i="34" s="1"/>
  <c r="H132" i="34"/>
  <c r="K132" i="34" s="1"/>
  <c r="L132" i="34" s="1"/>
  <c r="R295" i="34"/>
  <c r="S295" i="34" s="1"/>
  <c r="R251" i="34"/>
  <c r="S251" i="34" s="1"/>
  <c r="R215" i="34"/>
  <c r="S215" i="34" s="1"/>
  <c r="R179" i="34"/>
  <c r="S179" i="34" s="1"/>
  <c r="R456" i="34"/>
  <c r="U456" i="34" s="1"/>
  <c r="V456" i="34" s="1"/>
  <c r="AB751" i="34"/>
  <c r="AE751" i="34" s="1"/>
  <c r="AF751" i="34" s="1"/>
  <c r="AB735" i="34"/>
  <c r="AE735" i="34" s="1"/>
  <c r="AF735" i="34" s="1"/>
  <c r="AB692" i="34"/>
  <c r="AC692" i="34" s="1"/>
  <c r="AB725" i="34"/>
  <c r="AC725" i="34" s="1"/>
  <c r="AB669" i="34"/>
  <c r="AC669" i="34" s="1"/>
  <c r="AB637" i="34"/>
  <c r="AC637" i="34" s="1"/>
  <c r="AB680" i="34"/>
  <c r="AC680" i="34" s="1"/>
  <c r="AB648" i="34"/>
  <c r="AE648" i="34" s="1"/>
  <c r="AF648" i="34" s="1"/>
  <c r="AB606" i="34"/>
  <c r="AE606" i="34" s="1"/>
  <c r="AF606" i="34" s="1"/>
  <c r="R598" i="34"/>
  <c r="U598" i="34" s="1"/>
  <c r="V598" i="34" s="1"/>
  <c r="R462" i="34"/>
  <c r="S462" i="34" s="1"/>
  <c r="R481" i="34"/>
  <c r="S481" i="34" s="1"/>
  <c r="R497" i="34"/>
  <c r="S497" i="34" s="1"/>
  <c r="R513" i="34"/>
  <c r="U513" i="34" s="1"/>
  <c r="V513" i="34" s="1"/>
  <c r="R529" i="34"/>
  <c r="S529" i="34" s="1"/>
  <c r="R545" i="34"/>
  <c r="S545" i="34" s="1"/>
  <c r="R561" i="34"/>
  <c r="U561" i="34" s="1"/>
  <c r="V561" i="34" s="1"/>
  <c r="R577" i="34"/>
  <c r="S577" i="34" s="1"/>
  <c r="AL31" i="34"/>
  <c r="AB710" i="34"/>
  <c r="AE710" i="34" s="1"/>
  <c r="AF710" i="34" s="1"/>
  <c r="AB723" i="34"/>
  <c r="AE723" i="34" s="1"/>
  <c r="AF723" i="34" s="1"/>
  <c r="H75" i="34"/>
  <c r="K75" i="34" s="1"/>
  <c r="L75" i="34" s="1"/>
  <c r="H112" i="34"/>
  <c r="K112" i="34" s="1"/>
  <c r="L112" i="34" s="1"/>
  <c r="R356" i="34"/>
  <c r="S356" i="34" s="1"/>
  <c r="AB744" i="34"/>
  <c r="AC744" i="34" s="1"/>
  <c r="AB728" i="34"/>
  <c r="AC728" i="34" s="1"/>
  <c r="AB727" i="34"/>
  <c r="AB687" i="34"/>
  <c r="AE687" i="34" s="1"/>
  <c r="AF687" i="34" s="1"/>
  <c r="AB655" i="34"/>
  <c r="AC655" i="34" s="1"/>
  <c r="AB623" i="34"/>
  <c r="AC623" i="34" s="1"/>
  <c r="AB666" i="34"/>
  <c r="AB634" i="34"/>
  <c r="AE634" i="34" s="1"/>
  <c r="AF634" i="34" s="1"/>
  <c r="AB691" i="34"/>
  <c r="AE691" i="34" s="1"/>
  <c r="AF691" i="34" s="1"/>
  <c r="R591" i="34"/>
  <c r="S591" i="34" s="1"/>
  <c r="R472" i="34"/>
  <c r="R488" i="34"/>
  <c r="U488" i="34" s="1"/>
  <c r="V488" i="34" s="1"/>
  <c r="R504" i="34"/>
  <c r="U504" i="34" s="1"/>
  <c r="V504" i="34" s="1"/>
  <c r="R520" i="34"/>
  <c r="U520" i="34" s="1"/>
  <c r="V520" i="34" s="1"/>
  <c r="R536" i="34"/>
  <c r="R552" i="34"/>
  <c r="S552" i="34" s="1"/>
  <c r="R568" i="34"/>
  <c r="S568" i="34" s="1"/>
  <c r="R584" i="34"/>
  <c r="S584" i="34" s="1"/>
  <c r="R317" i="34"/>
  <c r="S317" i="34" s="1"/>
  <c r="AB742" i="34"/>
  <c r="AE742" i="34" s="1"/>
  <c r="AF742" i="34" s="1"/>
  <c r="AB720" i="34"/>
  <c r="AE720" i="34" s="1"/>
  <c r="AF720" i="34" s="1"/>
  <c r="AB717" i="34"/>
  <c r="AC717" i="34" s="1"/>
  <c r="AB683" i="34"/>
  <c r="AC683" i="34" s="1"/>
  <c r="AB651" i="34"/>
  <c r="AC651" i="34" s="1"/>
  <c r="AB619" i="34"/>
  <c r="AE619" i="34" s="1"/>
  <c r="AF619" i="34" s="1"/>
  <c r="AB662" i="34"/>
  <c r="AC662" i="34" s="1"/>
  <c r="AB630" i="34"/>
  <c r="AE630" i="34" s="1"/>
  <c r="AF630" i="34" s="1"/>
  <c r="AB726" i="34"/>
  <c r="AC726" i="34" s="1"/>
  <c r="R470" i="34"/>
  <c r="U470" i="34" s="1"/>
  <c r="V470" i="34" s="1"/>
  <c r="AB112" i="34"/>
  <c r="AC112" i="34" s="1"/>
  <c r="AB111" i="34"/>
  <c r="AC111" i="34" s="1"/>
  <c r="AB144" i="34"/>
  <c r="AC144" i="34" s="1"/>
  <c r="AB610" i="34"/>
  <c r="AC610" i="34" s="1"/>
  <c r="AB741" i="34"/>
  <c r="AB617" i="34"/>
  <c r="AC617" i="34" s="1"/>
  <c r="AB636" i="34"/>
  <c r="AE636" i="34" s="1"/>
  <c r="AF636" i="34" s="1"/>
  <c r="G4" i="37"/>
  <c r="R601" i="34"/>
  <c r="S601" i="34" s="1"/>
  <c r="H109" i="34"/>
  <c r="K109" i="34" s="1"/>
  <c r="L109" i="34" s="1"/>
  <c r="H15" i="34"/>
  <c r="H116" i="34"/>
  <c r="I116" i="34" s="1"/>
  <c r="R344" i="34"/>
  <c r="U344" i="34" s="1"/>
  <c r="V344" i="34" s="1"/>
  <c r="AB743" i="34"/>
  <c r="AC743" i="34" s="1"/>
  <c r="AB724" i="34"/>
  <c r="AC724" i="34" s="1"/>
  <c r="AB722" i="34"/>
  <c r="AE722" i="34" s="1"/>
  <c r="AF722" i="34" s="1"/>
  <c r="AB685" i="34"/>
  <c r="AE685" i="34" s="1"/>
  <c r="AF685" i="34" s="1"/>
  <c r="AB653" i="34"/>
  <c r="AC653" i="34" s="1"/>
  <c r="AB621" i="34"/>
  <c r="AC621" i="34" s="1"/>
  <c r="AB664" i="34"/>
  <c r="AE664" i="34" s="1"/>
  <c r="AF664" i="34" s="1"/>
  <c r="AB632" i="34"/>
  <c r="AE632" i="34" s="1"/>
  <c r="AF632" i="34" s="1"/>
  <c r="AB697" i="34"/>
  <c r="AE697" i="34" s="1"/>
  <c r="AF697" i="34" s="1"/>
  <c r="R590" i="34"/>
  <c r="S590" i="34" s="1"/>
  <c r="R473" i="34"/>
  <c r="U473" i="34" s="1"/>
  <c r="V473" i="34" s="1"/>
  <c r="R489" i="34"/>
  <c r="S489" i="34" s="1"/>
  <c r="R505" i="34"/>
  <c r="S505" i="34" s="1"/>
  <c r="R521" i="34"/>
  <c r="S521" i="34" s="1"/>
  <c r="R537" i="34"/>
  <c r="U537" i="34" s="1"/>
  <c r="V537" i="34" s="1"/>
  <c r="R553" i="34"/>
  <c r="U553" i="34" s="1"/>
  <c r="V553" i="34" s="1"/>
  <c r="R569" i="34"/>
  <c r="U569" i="34" s="1"/>
  <c r="V569" i="34" s="1"/>
  <c r="R585" i="34"/>
  <c r="S585" i="34" s="1"/>
  <c r="R272" i="34"/>
  <c r="U272" i="34" s="1"/>
  <c r="V272" i="34" s="1"/>
  <c r="AB752" i="34"/>
  <c r="AE752" i="34" s="1"/>
  <c r="AF752" i="34" s="1"/>
  <c r="AB736" i="34"/>
  <c r="AC736" i="34" s="1"/>
  <c r="AB696" i="34"/>
  <c r="AB686" i="34"/>
  <c r="AE686" i="34" s="1"/>
  <c r="AF686" i="34" s="1"/>
  <c r="AB671" i="34"/>
  <c r="AE671" i="34" s="1"/>
  <c r="AF671" i="34" s="1"/>
  <c r="AB639" i="34"/>
  <c r="AC639" i="34" s="1"/>
  <c r="AB682" i="34"/>
  <c r="AE682" i="34" s="1"/>
  <c r="AF682" i="34" s="1"/>
  <c r="AB650" i="34"/>
  <c r="AE650" i="34" s="1"/>
  <c r="AF650" i="34" s="1"/>
  <c r="AB614" i="34"/>
  <c r="AE614" i="34" s="1"/>
  <c r="AF614" i="34" s="1"/>
  <c r="R599" i="34"/>
  <c r="S599" i="34" s="1"/>
  <c r="R460" i="34"/>
  <c r="R480" i="34"/>
  <c r="U480" i="34" s="1"/>
  <c r="V480" i="34" s="1"/>
  <c r="R496" i="34"/>
  <c r="S496" i="34" s="1"/>
  <c r="R512" i="34"/>
  <c r="U512" i="34" s="1"/>
  <c r="V512" i="34" s="1"/>
  <c r="R528" i="34"/>
  <c r="S528" i="34" s="1"/>
  <c r="R544" i="34"/>
  <c r="S544" i="34" s="1"/>
  <c r="R560" i="34"/>
  <c r="U560" i="34" s="1"/>
  <c r="V560" i="34" s="1"/>
  <c r="R576" i="34"/>
  <c r="S576" i="34" s="1"/>
  <c r="R286" i="34"/>
  <c r="S286" i="34" s="1"/>
  <c r="AB750" i="34"/>
  <c r="AC750" i="34" s="1"/>
  <c r="AB734" i="34"/>
  <c r="AB688" i="34"/>
  <c r="AC688" i="34" s="1"/>
  <c r="AB719" i="34"/>
  <c r="AE719" i="34" s="1"/>
  <c r="AF719" i="34" s="1"/>
  <c r="AB667" i="34"/>
  <c r="AC667" i="34" s="1"/>
  <c r="AB635" i="34"/>
  <c r="AB678" i="34"/>
  <c r="AE678" i="34" s="1"/>
  <c r="AF678" i="34" s="1"/>
  <c r="AB646" i="34"/>
  <c r="AB718" i="34"/>
  <c r="AE718" i="34" s="1"/>
  <c r="AF718" i="34" s="1"/>
  <c r="R593" i="34"/>
  <c r="S593" i="34" s="1"/>
  <c r="U63" i="7"/>
  <c r="V63" i="7" s="1"/>
  <c r="AB13" i="34"/>
  <c r="AC13" i="34" s="1"/>
  <c r="AB5" i="34"/>
  <c r="AC5" i="34" s="1"/>
  <c r="AB749" i="34"/>
  <c r="AC749" i="34" s="1"/>
  <c r="AB729" i="34"/>
  <c r="AC729" i="34" s="1"/>
  <c r="AB609" i="34"/>
  <c r="AE609" i="34" s="1"/>
  <c r="AF609" i="34" s="1"/>
  <c r="AB676" i="34"/>
  <c r="AC676" i="34" s="1"/>
  <c r="AB5" i="35"/>
  <c r="R375" i="34"/>
  <c r="U375" i="34" s="1"/>
  <c r="V375" i="34" s="1"/>
  <c r="E11" i="37"/>
  <c r="R228" i="34"/>
  <c r="R420" i="34"/>
  <c r="S420" i="34" s="1"/>
  <c r="U40" i="7"/>
  <c r="X40" i="7" s="1"/>
  <c r="Y40" i="7" s="1"/>
  <c r="H73" i="34"/>
  <c r="K73" i="34" s="1"/>
  <c r="L73" i="34" s="1"/>
  <c r="R494" i="34"/>
  <c r="S494" i="34" s="1"/>
  <c r="U90" i="7"/>
  <c r="V90" i="7" s="1"/>
  <c r="R429" i="34"/>
  <c r="S429" i="34" s="1"/>
  <c r="R547" i="34"/>
  <c r="S547" i="34" s="1"/>
  <c r="O3" i="37"/>
  <c r="O4" i="37"/>
  <c r="AL13" i="34"/>
  <c r="AM13" i="34" s="1"/>
  <c r="AL80" i="34"/>
  <c r="AM80" i="34" s="1"/>
  <c r="U37" i="7"/>
  <c r="X37" i="7" s="1"/>
  <c r="Y37" i="7" s="1"/>
  <c r="R283" i="34"/>
  <c r="S283" i="34" s="1"/>
  <c r="R259" i="34"/>
  <c r="S259" i="34" s="1"/>
  <c r="R231" i="34"/>
  <c r="S231" i="34" s="1"/>
  <c r="R199" i="34"/>
  <c r="U199" i="34" s="1"/>
  <c r="V199" i="34" s="1"/>
  <c r="R171" i="34"/>
  <c r="R307" i="34"/>
  <c r="U307" i="34" s="1"/>
  <c r="V307" i="34" s="1"/>
  <c r="H87" i="34"/>
  <c r="I87" i="34" s="1"/>
  <c r="R292" i="34"/>
  <c r="S292" i="34" s="1"/>
  <c r="R208" i="34"/>
  <c r="U208" i="34" s="1"/>
  <c r="V208" i="34" s="1"/>
  <c r="R388" i="34"/>
  <c r="S388" i="34" s="1"/>
  <c r="H93" i="34"/>
  <c r="I93" i="34" s="1"/>
  <c r="R402" i="34"/>
  <c r="S402" i="34" s="1"/>
  <c r="R597" i="34"/>
  <c r="S597" i="34" s="1"/>
  <c r="R464" i="34"/>
  <c r="U464" i="34" s="1"/>
  <c r="V464" i="34" s="1"/>
  <c r="R478" i="34"/>
  <c r="R498" i="34"/>
  <c r="S498" i="34" s="1"/>
  <c r="AB139" i="34"/>
  <c r="AE139" i="34" s="1"/>
  <c r="AF139" i="34" s="1"/>
  <c r="AB53" i="34"/>
  <c r="AC53" i="34" s="1"/>
  <c r="AB130" i="34"/>
  <c r="AB150" i="34"/>
  <c r="AE150" i="34" s="1"/>
  <c r="AF150" i="34" s="1"/>
  <c r="AB62" i="34"/>
  <c r="AC62" i="34" s="1"/>
  <c r="AB106" i="34"/>
  <c r="AC106" i="34" s="1"/>
  <c r="AB38" i="34"/>
  <c r="AE38" i="34" s="1"/>
  <c r="AF38" i="34" s="1"/>
  <c r="R365" i="34"/>
  <c r="R530" i="34"/>
  <c r="S530" i="34" s="1"/>
  <c r="R575" i="34"/>
  <c r="U575" i="34" s="1"/>
  <c r="V575" i="34" s="1"/>
  <c r="R596" i="34"/>
  <c r="M4" i="37"/>
  <c r="C3" i="37"/>
  <c r="C4" i="37"/>
  <c r="AL70" i="34"/>
  <c r="AO70" i="34" s="1"/>
  <c r="AP70" i="34" s="1"/>
  <c r="AL22" i="34"/>
  <c r="AO22" i="34" s="1"/>
  <c r="AP22" i="34" s="1"/>
  <c r="AL42" i="34"/>
  <c r="AO42" i="34" s="1"/>
  <c r="AP42" i="34" s="1"/>
  <c r="R407" i="34"/>
  <c r="U407" i="34" s="1"/>
  <c r="V407" i="34" s="1"/>
  <c r="U95" i="7"/>
  <c r="R248" i="34"/>
  <c r="S248" i="34" s="1"/>
  <c r="R451" i="34"/>
  <c r="S451" i="34" s="1"/>
  <c r="R331" i="34"/>
  <c r="U331" i="34" s="1"/>
  <c r="V331" i="34" s="1"/>
  <c r="R222" i="34"/>
  <c r="S222" i="34" s="1"/>
  <c r="R459" i="34"/>
  <c r="R589" i="34"/>
  <c r="S589" i="34" s="1"/>
  <c r="R474" i="34"/>
  <c r="S474" i="34" s="1"/>
  <c r="R482" i="34"/>
  <c r="S482" i="34" s="1"/>
  <c r="AB30" i="34"/>
  <c r="R185" i="34"/>
  <c r="S185" i="34" s="1"/>
  <c r="R578" i="34"/>
  <c r="S578" i="34" s="1"/>
  <c r="E3" i="37"/>
  <c r="E4" i="37"/>
  <c r="AL139" i="34"/>
  <c r="AM139" i="34" s="1"/>
  <c r="AL134" i="34"/>
  <c r="AO134" i="34" s="1"/>
  <c r="AP134" i="34" s="1"/>
  <c r="H9" i="34"/>
  <c r="K9" i="34" s="1"/>
  <c r="L9" i="34" s="1"/>
  <c r="U69" i="7"/>
  <c r="V69" i="7" s="1"/>
  <c r="AL14" i="34"/>
  <c r="AM14" i="34" s="1"/>
  <c r="H3" i="34"/>
  <c r="K3" i="34" s="1"/>
  <c r="L3" i="34" s="1"/>
  <c r="R304" i="34"/>
  <c r="S304" i="34" s="1"/>
  <c r="AL165" i="34"/>
  <c r="AO165" i="34" s="1"/>
  <c r="AP165" i="34" s="1"/>
  <c r="AB404" i="34"/>
  <c r="AE404" i="34" s="1"/>
  <c r="AF404" i="34" s="1"/>
  <c r="R423" i="34"/>
  <c r="R391" i="34"/>
  <c r="S391" i="34" s="1"/>
  <c r="R359" i="34"/>
  <c r="U359" i="34" s="1"/>
  <c r="V359" i="34" s="1"/>
  <c r="R328" i="34"/>
  <c r="S328" i="34" s="1"/>
  <c r="R153" i="34"/>
  <c r="S153" i="34" s="1"/>
  <c r="U7" i="7"/>
  <c r="X7" i="7" s="1"/>
  <c r="Y7" i="7" s="1"/>
  <c r="AL148" i="34"/>
  <c r="AM148" i="34" s="1"/>
  <c r="U73" i="7"/>
  <c r="V73" i="7" s="1"/>
  <c r="H28" i="34"/>
  <c r="K28" i="34" s="1"/>
  <c r="L28" i="34" s="1"/>
  <c r="AL136" i="34"/>
  <c r="AM136" i="34" s="1"/>
  <c r="AL5" i="34"/>
  <c r="AM5" i="34" s="1"/>
  <c r="H129" i="34"/>
  <c r="I129" i="34" s="1"/>
  <c r="AL149" i="34"/>
  <c r="AM149" i="34" s="1"/>
  <c r="R280" i="34"/>
  <c r="U280" i="34" s="1"/>
  <c r="V280" i="34" s="1"/>
  <c r="R260" i="34"/>
  <c r="U260" i="34" s="1"/>
  <c r="V260" i="34" s="1"/>
  <c r="R240" i="34"/>
  <c r="U240" i="34" s="1"/>
  <c r="V240" i="34" s="1"/>
  <c r="R216" i="34"/>
  <c r="S216" i="34" s="1"/>
  <c r="R196" i="34"/>
  <c r="R176" i="34"/>
  <c r="S176" i="34" s="1"/>
  <c r="R442" i="34"/>
  <c r="S442" i="34" s="1"/>
  <c r="R404" i="34"/>
  <c r="U404" i="34" s="1"/>
  <c r="V404" i="34" s="1"/>
  <c r="R372" i="34"/>
  <c r="S372" i="34" s="1"/>
  <c r="R313" i="34"/>
  <c r="U313" i="34" s="1"/>
  <c r="V313" i="34" s="1"/>
  <c r="U72" i="7"/>
  <c r="X72" i="7" s="1"/>
  <c r="Y72" i="7" s="1"/>
  <c r="H2" i="34"/>
  <c r="I2" i="34" s="1"/>
  <c r="H104" i="34"/>
  <c r="K104" i="34" s="1"/>
  <c r="L104" i="34" s="1"/>
  <c r="H85" i="34"/>
  <c r="I85" i="34" s="1"/>
  <c r="H108" i="34"/>
  <c r="I108" i="34" s="1"/>
  <c r="R254" i="34"/>
  <c r="S254" i="34" s="1"/>
  <c r="R190" i="34"/>
  <c r="U190" i="34" s="1"/>
  <c r="V190" i="34" s="1"/>
  <c r="R438" i="34"/>
  <c r="S438" i="34" s="1"/>
  <c r="R370" i="34"/>
  <c r="S370" i="34" s="1"/>
  <c r="U31" i="7"/>
  <c r="X31" i="7" s="1"/>
  <c r="Y31" i="7" s="1"/>
  <c r="R465" i="34"/>
  <c r="S465" i="34" s="1"/>
  <c r="AL135" i="34"/>
  <c r="AO135" i="34" s="1"/>
  <c r="AP135" i="34" s="1"/>
  <c r="AL162" i="34"/>
  <c r="AM162" i="34" s="1"/>
  <c r="H94" i="34"/>
  <c r="I94" i="34" s="1"/>
  <c r="R281" i="34"/>
  <c r="U281" i="34" s="1"/>
  <c r="V281" i="34" s="1"/>
  <c r="R217" i="34"/>
  <c r="S217" i="34" s="1"/>
  <c r="R312" i="34"/>
  <c r="R397" i="34"/>
  <c r="S397" i="34" s="1"/>
  <c r="R322" i="34"/>
  <c r="U322" i="34" s="1"/>
  <c r="V322" i="34" s="1"/>
  <c r="R471" i="34"/>
  <c r="S471" i="34" s="1"/>
  <c r="AA13" i="37"/>
  <c r="R458" i="34"/>
  <c r="S458" i="34" s="1"/>
  <c r="R562" i="34"/>
  <c r="U562" i="34" s="1"/>
  <c r="V562" i="34" s="1"/>
  <c r="R555" i="34"/>
  <c r="U555" i="34" s="1"/>
  <c r="V555" i="34" s="1"/>
  <c r="AL55" i="34"/>
  <c r="AL163" i="34"/>
  <c r="AO163" i="34" s="1"/>
  <c r="AP163" i="34" s="1"/>
  <c r="H31" i="34"/>
  <c r="I31" i="34" s="1"/>
  <c r="AL156" i="34"/>
  <c r="AO156" i="34" s="1"/>
  <c r="AP156" i="34" s="1"/>
  <c r="AL44" i="34"/>
  <c r="AL57" i="34"/>
  <c r="AM57" i="34" s="1"/>
  <c r="H16" i="34"/>
  <c r="I16" i="34" s="1"/>
  <c r="AL155" i="34"/>
  <c r="AO155" i="34" s="1"/>
  <c r="AP155" i="34" s="1"/>
  <c r="AL40" i="34"/>
  <c r="AO40" i="34" s="1"/>
  <c r="AP40" i="34" s="1"/>
  <c r="AL64" i="34"/>
  <c r="H22" i="34"/>
  <c r="I22" i="34" s="1"/>
  <c r="H12" i="34"/>
  <c r="I12" i="34" s="1"/>
  <c r="H27" i="34"/>
  <c r="K27" i="34" s="1"/>
  <c r="L27" i="34" s="1"/>
  <c r="AL47" i="34"/>
  <c r="AO47" i="34" s="1"/>
  <c r="AP47" i="34" s="1"/>
  <c r="AL50" i="34"/>
  <c r="AO50" i="34" s="1"/>
  <c r="AP50" i="34" s="1"/>
  <c r="AB340" i="34"/>
  <c r="H5" i="34"/>
  <c r="K5" i="34" s="1"/>
  <c r="L5" i="34" s="1"/>
  <c r="AL36" i="34"/>
  <c r="AO36" i="34" s="1"/>
  <c r="AP36" i="34" s="1"/>
  <c r="AL17" i="34"/>
  <c r="AO17" i="34" s="1"/>
  <c r="AP17" i="34" s="1"/>
  <c r="H6" i="34"/>
  <c r="H25" i="34"/>
  <c r="K25" i="34" s="1"/>
  <c r="L25" i="34" s="1"/>
  <c r="U53" i="7"/>
  <c r="V53" i="7" s="1"/>
  <c r="H21" i="34"/>
  <c r="I21" i="34" s="1"/>
  <c r="AL140" i="34"/>
  <c r="AO140" i="34" s="1"/>
  <c r="AP140" i="34" s="1"/>
  <c r="AB435" i="34"/>
  <c r="AC435" i="34" s="1"/>
  <c r="AB313" i="34"/>
  <c r="AC313" i="34" s="1"/>
  <c r="R291" i="34"/>
  <c r="S291" i="34" s="1"/>
  <c r="R267" i="34"/>
  <c r="R247" i="34"/>
  <c r="R227" i="34"/>
  <c r="S227" i="34" s="1"/>
  <c r="R203" i="34"/>
  <c r="U203" i="34" s="1"/>
  <c r="V203" i="34" s="1"/>
  <c r="R183" i="34"/>
  <c r="AB337" i="34"/>
  <c r="R433" i="34"/>
  <c r="U433" i="34" s="1"/>
  <c r="V433" i="34" s="1"/>
  <c r="R411" i="34"/>
  <c r="U411" i="34" s="1"/>
  <c r="V411" i="34" s="1"/>
  <c r="R379" i="34"/>
  <c r="U379" i="34" s="1"/>
  <c r="V379" i="34" s="1"/>
  <c r="R347" i="34"/>
  <c r="S347" i="34" s="1"/>
  <c r="R340" i="34"/>
  <c r="U340" i="34" s="1"/>
  <c r="V340" i="34" s="1"/>
  <c r="R162" i="34"/>
  <c r="U162" i="34" s="1"/>
  <c r="V162" i="34" s="1"/>
  <c r="AL164" i="34"/>
  <c r="AO164" i="34" s="1"/>
  <c r="AP164" i="34" s="1"/>
  <c r="H10" i="34"/>
  <c r="K10" i="34" s="1"/>
  <c r="L10" i="34" s="1"/>
  <c r="H33" i="34"/>
  <c r="I33" i="34" s="1"/>
  <c r="R305" i="34"/>
  <c r="S305" i="34" s="1"/>
  <c r="AL147" i="34"/>
  <c r="H71" i="34"/>
  <c r="I71" i="34" s="1"/>
  <c r="H83" i="34"/>
  <c r="K83" i="34" s="1"/>
  <c r="L83" i="34" s="1"/>
  <c r="H125" i="34"/>
  <c r="I125" i="34" s="1"/>
  <c r="R296" i="34"/>
  <c r="S296" i="34" s="1"/>
  <c r="R276" i="34"/>
  <c r="U276" i="34" s="1"/>
  <c r="V276" i="34" s="1"/>
  <c r="R256" i="34"/>
  <c r="S256" i="34" s="1"/>
  <c r="R232" i="34"/>
  <c r="U232" i="34" s="1"/>
  <c r="V232" i="34" s="1"/>
  <c r="R212" i="34"/>
  <c r="R192" i="34"/>
  <c r="S192" i="34" s="1"/>
  <c r="R168" i="34"/>
  <c r="S168" i="34" s="1"/>
  <c r="R424" i="34"/>
  <c r="S424" i="34" s="1"/>
  <c r="R392" i="34"/>
  <c r="R360" i="34"/>
  <c r="S360" i="34" s="1"/>
  <c r="R327" i="34"/>
  <c r="S327" i="34" s="1"/>
  <c r="U24" i="7"/>
  <c r="X24" i="7" s="1"/>
  <c r="Y24" i="7" s="1"/>
  <c r="H26" i="34"/>
  <c r="AL146" i="34"/>
  <c r="AM146" i="34" s="1"/>
  <c r="H89" i="34"/>
  <c r="R302" i="34"/>
  <c r="S302" i="34" s="1"/>
  <c r="R238" i="34"/>
  <c r="S238" i="34" s="1"/>
  <c r="R174" i="34"/>
  <c r="S174" i="34" s="1"/>
  <c r="R418" i="34"/>
  <c r="R354" i="34"/>
  <c r="S354" i="34" s="1"/>
  <c r="R490" i="34"/>
  <c r="U490" i="34" s="1"/>
  <c r="V490" i="34" s="1"/>
  <c r="U79" i="7"/>
  <c r="X79" i="7" s="1"/>
  <c r="Y79" i="7" s="1"/>
  <c r="H17" i="34"/>
  <c r="I17" i="34" s="1"/>
  <c r="H134" i="34"/>
  <c r="I134" i="34" s="1"/>
  <c r="AB85" i="34"/>
  <c r="AE85" i="34" s="1"/>
  <c r="AF85" i="34" s="1"/>
  <c r="AB67" i="34"/>
  <c r="AC67" i="34" s="1"/>
  <c r="AL145" i="34"/>
  <c r="AM145" i="34" s="1"/>
  <c r="AL4" i="34"/>
  <c r="H122" i="34"/>
  <c r="I122" i="34" s="1"/>
  <c r="R265" i="34"/>
  <c r="U265" i="34" s="1"/>
  <c r="V265" i="34" s="1"/>
  <c r="R201" i="34"/>
  <c r="S201" i="34" s="1"/>
  <c r="R437" i="34"/>
  <c r="U437" i="34" s="1"/>
  <c r="V437" i="34" s="1"/>
  <c r="R381" i="34"/>
  <c r="S381" i="34" s="1"/>
  <c r="R338" i="34"/>
  <c r="S338" i="34" s="1"/>
  <c r="R506" i="34"/>
  <c r="AB657" i="34"/>
  <c r="AE657" i="34" s="1"/>
  <c r="AF657" i="34" s="1"/>
  <c r="R523" i="34"/>
  <c r="U523" i="34" s="1"/>
  <c r="V523" i="34" s="1"/>
  <c r="AB714" i="34"/>
  <c r="AE714" i="34" s="1"/>
  <c r="AF714" i="34" s="1"/>
  <c r="R507" i="34"/>
  <c r="S507" i="34" s="1"/>
  <c r="AB649" i="34"/>
  <c r="AE649" i="34" s="1"/>
  <c r="AF649" i="34" s="1"/>
  <c r="AO4" i="35"/>
  <c r="AN5" i="35"/>
  <c r="AL141" i="34"/>
  <c r="H4" i="34"/>
  <c r="I4" i="34" s="1"/>
  <c r="AL153" i="34"/>
  <c r="AO153" i="34" s="1"/>
  <c r="AP153" i="34" s="1"/>
  <c r="AL61" i="34"/>
  <c r="AO61" i="34" s="1"/>
  <c r="AP61" i="34" s="1"/>
  <c r="U21" i="7"/>
  <c r="X21" i="7" s="1"/>
  <c r="Y21" i="7" s="1"/>
  <c r="U85" i="7"/>
  <c r="X85" i="7" s="1"/>
  <c r="Y85" i="7" s="1"/>
  <c r="H14" i="34"/>
  <c r="K14" i="34" s="1"/>
  <c r="L14" i="34" s="1"/>
  <c r="AB322" i="34"/>
  <c r="AC322" i="34" s="1"/>
  <c r="AL161" i="34"/>
  <c r="AB362" i="34"/>
  <c r="AC362" i="34" s="1"/>
  <c r="R427" i="34"/>
  <c r="U427" i="34" s="1"/>
  <c r="V427" i="34" s="1"/>
  <c r="R395" i="34"/>
  <c r="S395" i="34" s="1"/>
  <c r="R363" i="34"/>
  <c r="R324" i="34"/>
  <c r="S324" i="34" s="1"/>
  <c r="AL159" i="34"/>
  <c r="AM159" i="34" s="1"/>
  <c r="AB328" i="34"/>
  <c r="AC328" i="34" s="1"/>
  <c r="H8" i="34"/>
  <c r="K8" i="34" s="1"/>
  <c r="L8" i="34" s="1"/>
  <c r="H11" i="34"/>
  <c r="K11" i="34" s="1"/>
  <c r="L11" i="34" s="1"/>
  <c r="AL142" i="34"/>
  <c r="AM142" i="34" s="1"/>
  <c r="R288" i="34"/>
  <c r="U288" i="34" s="1"/>
  <c r="V288" i="34" s="1"/>
  <c r="R264" i="34"/>
  <c r="R244" i="34"/>
  <c r="S244" i="34" s="1"/>
  <c r="R224" i="34"/>
  <c r="S224" i="34" s="1"/>
  <c r="R200" i="34"/>
  <c r="S200" i="34" s="1"/>
  <c r="R180" i="34"/>
  <c r="U180" i="34" s="1"/>
  <c r="V180" i="34" s="1"/>
  <c r="R450" i="34"/>
  <c r="U450" i="34" s="1"/>
  <c r="V450" i="34" s="1"/>
  <c r="R408" i="34"/>
  <c r="S408" i="34" s="1"/>
  <c r="R376" i="34"/>
  <c r="S376" i="34" s="1"/>
  <c r="R306" i="34"/>
  <c r="R343" i="34"/>
  <c r="S343" i="34" s="1"/>
  <c r="U56" i="7"/>
  <c r="V56" i="7" s="1"/>
  <c r="AL151" i="34"/>
  <c r="AM151" i="34" s="1"/>
  <c r="H127" i="34"/>
  <c r="K127" i="34" s="1"/>
  <c r="L127" i="34" s="1"/>
  <c r="R270" i="34"/>
  <c r="S270" i="34" s="1"/>
  <c r="R206" i="34"/>
  <c r="R447" i="34"/>
  <c r="S447" i="34" s="1"/>
  <c r="R386" i="34"/>
  <c r="U386" i="34" s="1"/>
  <c r="V386" i="34" s="1"/>
  <c r="R333" i="34"/>
  <c r="U333" i="34" s="1"/>
  <c r="V333" i="34" s="1"/>
  <c r="U47" i="7"/>
  <c r="AL20" i="34"/>
  <c r="AO20" i="34" s="1"/>
  <c r="AP20" i="34" s="1"/>
  <c r="H7" i="34"/>
  <c r="K7" i="34" s="1"/>
  <c r="L7" i="34" s="1"/>
  <c r="U98" i="7"/>
  <c r="V98" i="7" s="1"/>
  <c r="AL144" i="34"/>
  <c r="AO144" i="34" s="1"/>
  <c r="AP144" i="34" s="1"/>
  <c r="R297" i="34"/>
  <c r="R233" i="34"/>
  <c r="U233" i="34" s="1"/>
  <c r="V233" i="34" s="1"/>
  <c r="R413" i="34"/>
  <c r="S413" i="34" s="1"/>
  <c r="R349" i="34"/>
  <c r="R570" i="34"/>
  <c r="S570" i="34" s="1"/>
  <c r="R518" i="34"/>
  <c r="S518" i="34" s="1"/>
  <c r="BA4" i="35"/>
  <c r="AZ5" i="35"/>
  <c r="AM19" i="34"/>
  <c r="AO19" i="34"/>
  <c r="AP19" i="34" s="1"/>
  <c r="I13" i="34"/>
  <c r="K13" i="34"/>
  <c r="L13" i="34" s="1"/>
  <c r="S606" i="34"/>
  <c r="U606" i="34"/>
  <c r="V606" i="34" s="1"/>
  <c r="AE285" i="34"/>
  <c r="AF285" i="34" s="1"/>
  <c r="AC285" i="34"/>
  <c r="O28" i="37"/>
  <c r="O27" i="37"/>
  <c r="AG13" i="37"/>
  <c r="AG14" i="37"/>
  <c r="E30" i="37"/>
  <c r="E29" i="37"/>
  <c r="Y34" i="37"/>
  <c r="Y33" i="37"/>
  <c r="AE51" i="37"/>
  <c r="AE52" i="37"/>
  <c r="I11" i="37"/>
  <c r="I12" i="37"/>
  <c r="E19" i="37"/>
  <c r="E20" i="37"/>
  <c r="AB188" i="34"/>
  <c r="AB194" i="34"/>
  <c r="AU4" i="35"/>
  <c r="AT5" i="35"/>
  <c r="C19" i="37"/>
  <c r="C20" i="37"/>
  <c r="S15" i="37"/>
  <c r="S16" i="37"/>
  <c r="K13" i="37"/>
  <c r="K14" i="37"/>
  <c r="AG43" i="37"/>
  <c r="AG44" i="37"/>
  <c r="Y37" i="37"/>
  <c r="Y38" i="37"/>
  <c r="G19" i="37"/>
  <c r="G20" i="37"/>
  <c r="K19" i="37"/>
  <c r="K20" i="37"/>
  <c r="C5" i="37"/>
  <c r="C6" i="37"/>
  <c r="AE13" i="37"/>
  <c r="AE14" i="37"/>
  <c r="W50" i="37"/>
  <c r="W49" i="37"/>
  <c r="AB190" i="34"/>
  <c r="AB274" i="34"/>
  <c r="AN110" i="34"/>
  <c r="AN109" i="34" s="1"/>
  <c r="AN108" i="34" s="1"/>
  <c r="AN107" i="34" s="1"/>
  <c r="AN106" i="34" s="1"/>
  <c r="AN105" i="34" s="1"/>
  <c r="AN104" i="34" s="1"/>
  <c r="AN112" i="34"/>
  <c r="AN113" i="34" s="1"/>
  <c r="AL109" i="34"/>
  <c r="AL132" i="34"/>
  <c r="E25" i="37"/>
  <c r="E26" i="37"/>
  <c r="C25" i="37"/>
  <c r="C26" i="37"/>
  <c r="M49" i="37"/>
  <c r="M50" i="37"/>
  <c r="AB186" i="34"/>
  <c r="AB268" i="34"/>
  <c r="AB288" i="34"/>
  <c r="AB302" i="34"/>
  <c r="AB214" i="34"/>
  <c r="AB234" i="34"/>
  <c r="T13" i="34"/>
  <c r="T11" i="34"/>
  <c r="T10" i="34" s="1"/>
  <c r="T9" i="34" s="1"/>
  <c r="T8" i="34" s="1"/>
  <c r="T7" i="34" s="1"/>
  <c r="T6" i="34" s="1"/>
  <c r="T5" i="34" s="1"/>
  <c r="R10" i="34"/>
  <c r="R29" i="34"/>
  <c r="R33" i="34"/>
  <c r="R50" i="34"/>
  <c r="R82" i="34"/>
  <c r="R60" i="34"/>
  <c r="AB260" i="34"/>
  <c r="AB280" i="34"/>
  <c r="AB286" i="34"/>
  <c r="AB198" i="34"/>
  <c r="AL102" i="34"/>
  <c r="R28" i="34"/>
  <c r="AD315" i="34"/>
  <c r="AD313" i="34"/>
  <c r="AD312" i="34" s="1"/>
  <c r="AD311" i="34" s="1"/>
  <c r="AD310" i="34" s="1"/>
  <c r="AD309" i="34" s="1"/>
  <c r="AD308" i="34" s="1"/>
  <c r="AD307" i="34" s="1"/>
  <c r="AB413" i="34"/>
  <c r="AB345" i="34"/>
  <c r="AB429" i="34"/>
  <c r="AB467" i="34"/>
  <c r="AB544" i="34"/>
  <c r="AB600" i="34"/>
  <c r="AB542" i="34"/>
  <c r="AB520" i="34"/>
  <c r="M47" i="37"/>
  <c r="M48" i="37"/>
  <c r="AC44" i="37"/>
  <c r="AC43" i="37"/>
  <c r="R36" i="34"/>
  <c r="R62" i="34"/>
  <c r="AL88" i="34"/>
  <c r="R86" i="34"/>
  <c r="R107" i="34"/>
  <c r="R144" i="34"/>
  <c r="AB449" i="34"/>
  <c r="AB390" i="34"/>
  <c r="AB339" i="34"/>
  <c r="AB582" i="34"/>
  <c r="AB545" i="34"/>
  <c r="AB457" i="34"/>
  <c r="R30" i="34"/>
  <c r="AB233" i="34"/>
  <c r="AL108" i="34"/>
  <c r="AB326" i="34"/>
  <c r="R141" i="34"/>
  <c r="AB203" i="34"/>
  <c r="AB439" i="34"/>
  <c r="AB370" i="34"/>
  <c r="AB348" i="34"/>
  <c r="AB587" i="34"/>
  <c r="AB548" i="34"/>
  <c r="AB458" i="34"/>
  <c r="AB547" i="34"/>
  <c r="R78" i="34"/>
  <c r="AB253" i="34"/>
  <c r="AB506" i="34"/>
  <c r="G38" i="37"/>
  <c r="G37" i="37"/>
  <c r="Q29" i="37"/>
  <c r="Q30" i="37"/>
  <c r="E32" i="37"/>
  <c r="E31" i="37"/>
  <c r="M45" i="37"/>
  <c r="M46" i="37"/>
  <c r="O12" i="37"/>
  <c r="O11" i="37"/>
  <c r="AG17" i="37"/>
  <c r="AG18" i="37"/>
  <c r="Y28" i="37"/>
  <c r="Y27" i="37"/>
  <c r="S31" i="37"/>
  <c r="S32" i="37"/>
  <c r="W48" i="37"/>
  <c r="W47" i="37"/>
  <c r="AA51" i="37"/>
  <c r="AA52" i="37"/>
  <c r="AG9" i="37"/>
  <c r="AG10" i="37"/>
  <c r="C44" i="37"/>
  <c r="C43" i="37"/>
  <c r="W17" i="37"/>
  <c r="W18" i="37"/>
  <c r="W35" i="37"/>
  <c r="W36" i="37"/>
  <c r="K41" i="37"/>
  <c r="K42" i="37"/>
  <c r="AE11" i="37"/>
  <c r="AE12" i="37"/>
  <c r="I15" i="37"/>
  <c r="I16" i="37"/>
  <c r="C33" i="37"/>
  <c r="C34" i="37"/>
  <c r="Q13" i="37"/>
  <c r="Q14" i="37"/>
  <c r="AA45" i="37"/>
  <c r="AA46" i="37"/>
  <c r="O5" i="37"/>
  <c r="O6" i="37"/>
  <c r="AG45" i="37"/>
  <c r="AG46" i="37"/>
  <c r="I10" i="37"/>
  <c r="I9" i="37"/>
  <c r="Q42" i="37"/>
  <c r="Q41" i="37"/>
  <c r="M27" i="37"/>
  <c r="M28" i="37"/>
  <c r="AL8" i="34"/>
  <c r="R56" i="34"/>
  <c r="R116" i="34"/>
  <c r="Y31" i="37"/>
  <c r="Y32" i="37"/>
  <c r="AB252" i="34"/>
  <c r="AB272" i="34"/>
  <c r="AB270" i="34"/>
  <c r="AB246" i="34"/>
  <c r="AB170" i="34"/>
  <c r="AB242" i="34"/>
  <c r="R63" i="34"/>
  <c r="R45" i="34"/>
  <c r="AL94" i="34"/>
  <c r="AL81" i="34"/>
  <c r="U9" i="7"/>
  <c r="U25" i="7"/>
  <c r="U41" i="7"/>
  <c r="U57" i="7"/>
  <c r="AE46" i="37"/>
  <c r="AE45" i="37"/>
  <c r="W39" i="37"/>
  <c r="W40" i="37"/>
  <c r="U52" i="37"/>
  <c r="U51" i="37"/>
  <c r="K38" i="37"/>
  <c r="K37" i="37"/>
  <c r="AA50" i="37"/>
  <c r="AA49" i="37"/>
  <c r="U44" i="37"/>
  <c r="U43" i="37"/>
  <c r="E40" i="37"/>
  <c r="E39" i="37"/>
  <c r="R132" i="34"/>
  <c r="R108" i="34"/>
  <c r="AC22" i="37"/>
  <c r="AC21" i="37"/>
  <c r="Q7" i="37"/>
  <c r="Q8" i="37"/>
  <c r="Q40" i="37"/>
  <c r="Q39" i="37"/>
  <c r="AG21" i="37"/>
  <c r="AG22" i="37"/>
  <c r="AE15" i="37"/>
  <c r="AE16" i="37"/>
  <c r="O15" i="37"/>
  <c r="O16" i="37"/>
  <c r="G40" i="37"/>
  <c r="G39" i="37"/>
  <c r="W45" i="37"/>
  <c r="W46" i="37"/>
  <c r="Q23" i="37"/>
  <c r="Q24" i="37"/>
  <c r="E41" i="37"/>
  <c r="E42" i="37"/>
  <c r="O31" i="37"/>
  <c r="O32" i="37"/>
  <c r="C11" i="37"/>
  <c r="C12" i="37"/>
  <c r="AA40" i="37"/>
  <c r="AA39" i="37"/>
  <c r="S25" i="37"/>
  <c r="S26" i="37"/>
  <c r="K39" i="37"/>
  <c r="K40" i="37"/>
  <c r="C27" i="37"/>
  <c r="C28" i="37"/>
  <c r="W19" i="37"/>
  <c r="W20" i="37"/>
  <c r="W51" i="37"/>
  <c r="W52" i="37"/>
  <c r="AG50" i="37"/>
  <c r="AG49" i="37"/>
  <c r="Q28" i="37"/>
  <c r="Q27" i="37"/>
  <c r="G5" i="37"/>
  <c r="G6" i="37"/>
  <c r="AG34" i="37"/>
  <c r="AG33" i="37"/>
  <c r="E13" i="37"/>
  <c r="E14" i="37"/>
  <c r="AA27" i="37"/>
  <c r="AA28" i="37"/>
  <c r="S51" i="37"/>
  <c r="S52" i="37"/>
  <c r="K27" i="37"/>
  <c r="K28" i="37"/>
  <c r="C7" i="37"/>
  <c r="C8" i="37"/>
  <c r="I33" i="37"/>
  <c r="I34" i="37"/>
  <c r="W31" i="37"/>
  <c r="W32" i="37"/>
  <c r="AB276" i="34"/>
  <c r="AB296" i="34"/>
  <c r="AB168" i="34"/>
  <c r="AB230" i="34"/>
  <c r="AB202" i="34"/>
  <c r="AN46" i="34"/>
  <c r="AN47" i="34" s="1"/>
  <c r="AN44" i="34"/>
  <c r="AN43" i="34" s="1"/>
  <c r="AN42" i="34" s="1"/>
  <c r="AN41" i="34" s="1"/>
  <c r="AN40" i="34" s="1"/>
  <c r="AN39" i="34" s="1"/>
  <c r="AN38" i="34" s="1"/>
  <c r="AL48" i="34"/>
  <c r="AL41" i="34"/>
  <c r="AL51" i="34"/>
  <c r="AL66" i="34"/>
  <c r="AL62" i="34"/>
  <c r="AL65" i="34"/>
  <c r="AB361" i="34"/>
  <c r="R26" i="34"/>
  <c r="R39" i="34"/>
  <c r="AL78" i="34"/>
  <c r="AL95" i="34"/>
  <c r="U11" i="7"/>
  <c r="U27" i="7"/>
  <c r="U43" i="7"/>
  <c r="U59" i="7"/>
  <c r="U75" i="7"/>
  <c r="AL16" i="34"/>
  <c r="R84" i="34"/>
  <c r="AL115" i="34"/>
  <c r="AL118" i="34"/>
  <c r="AB304" i="34"/>
  <c r="U97" i="7"/>
  <c r="U89" i="7"/>
  <c r="O13" i="37"/>
  <c r="O14" i="37"/>
  <c r="I24" i="37"/>
  <c r="I23" i="37"/>
  <c r="AA22" i="37"/>
  <c r="AA21" i="37"/>
  <c r="K30" i="37"/>
  <c r="K29" i="37"/>
  <c r="AA30" i="37"/>
  <c r="AA29" i="37"/>
  <c r="O33" i="37"/>
  <c r="O34" i="37"/>
  <c r="K15" i="37"/>
  <c r="K16" i="37"/>
  <c r="U18" i="7"/>
  <c r="R87" i="34"/>
  <c r="R35" i="34"/>
  <c r="U7" i="37"/>
  <c r="U8" i="37"/>
  <c r="AB204" i="34"/>
  <c r="AB224" i="34"/>
  <c r="AB174" i="34"/>
  <c r="AB258" i="34"/>
  <c r="AB534" i="34"/>
  <c r="M33" i="37"/>
  <c r="M34" i="37"/>
  <c r="AC23" i="37"/>
  <c r="AC24" i="37"/>
  <c r="U41" i="37"/>
  <c r="U42" i="37"/>
  <c r="AL63" i="34"/>
  <c r="AL128" i="34"/>
  <c r="AB421" i="34"/>
  <c r="R138" i="34"/>
  <c r="R47" i="34"/>
  <c r="T164" i="34"/>
  <c r="T162" i="34"/>
  <c r="T161" i="34" s="1"/>
  <c r="R165" i="34"/>
  <c r="R31" i="34"/>
  <c r="AL76" i="34"/>
  <c r="AL93" i="34"/>
  <c r="R120" i="34"/>
  <c r="U13" i="7"/>
  <c r="U29" i="7"/>
  <c r="U45" i="7"/>
  <c r="U61" i="7"/>
  <c r="U77" i="7"/>
  <c r="AL10" i="34"/>
  <c r="R88" i="34"/>
  <c r="AL125" i="34"/>
  <c r="AB369" i="34"/>
  <c r="AB349" i="34"/>
  <c r="AB405" i="34"/>
  <c r="R137" i="34"/>
  <c r="R40" i="34"/>
  <c r="H103" i="34"/>
  <c r="AB179" i="34"/>
  <c r="AB243" i="34"/>
  <c r="AB451" i="34"/>
  <c r="AB442" i="34"/>
  <c r="AB394" i="34"/>
  <c r="AB310" i="34"/>
  <c r="AB372" i="34"/>
  <c r="AB335" i="34"/>
  <c r="AB593" i="34"/>
  <c r="AB583" i="34"/>
  <c r="AB572" i="34"/>
  <c r="AB553" i="34"/>
  <c r="AB483" i="34"/>
  <c r="AB549" i="34"/>
  <c r="AB477" i="34"/>
  <c r="AB500" i="34"/>
  <c r="AB480" i="34"/>
  <c r="AL15" i="34"/>
  <c r="R72" i="34"/>
  <c r="H128" i="34"/>
  <c r="H110" i="34"/>
  <c r="R150" i="34"/>
  <c r="R287" i="34"/>
  <c r="R271" i="34"/>
  <c r="R255" i="34"/>
  <c r="R239" i="34"/>
  <c r="R223" i="34"/>
  <c r="R207" i="34"/>
  <c r="R191" i="34"/>
  <c r="R175" i="34"/>
  <c r="R160" i="34"/>
  <c r="AB229" i="34"/>
  <c r="AB293" i="34"/>
  <c r="AB399" i="34"/>
  <c r="R449" i="34"/>
  <c r="R440" i="34"/>
  <c r="R419" i="34"/>
  <c r="R403" i="34"/>
  <c r="R387" i="34"/>
  <c r="R371" i="34"/>
  <c r="R355" i="34"/>
  <c r="R315" i="34"/>
  <c r="R332" i="34"/>
  <c r="AA4" i="37"/>
  <c r="AA3" i="37"/>
  <c r="I47" i="37"/>
  <c r="I48" i="37"/>
  <c r="G25" i="37"/>
  <c r="G26" i="37"/>
  <c r="Q18" i="37"/>
  <c r="Q17" i="37"/>
  <c r="I18" i="37"/>
  <c r="I17" i="37"/>
  <c r="AC15" i="37"/>
  <c r="AC16" i="37"/>
  <c r="M35" i="37"/>
  <c r="M36" i="37"/>
  <c r="Q21" i="37"/>
  <c r="Q22" i="37"/>
  <c r="M21" i="37"/>
  <c r="M22" i="37"/>
  <c r="U5" i="37"/>
  <c r="U6" i="37"/>
  <c r="E16" i="37"/>
  <c r="E15" i="37"/>
  <c r="AL12" i="34"/>
  <c r="AB531" i="34"/>
  <c r="AL37" i="34"/>
  <c r="AL59" i="34"/>
  <c r="R155" i="34"/>
  <c r="AB559" i="34"/>
  <c r="M41" i="37"/>
  <c r="M42" i="37"/>
  <c r="AB196" i="34"/>
  <c r="AB216" i="34"/>
  <c r="AB165" i="34"/>
  <c r="AB290" i="34"/>
  <c r="U99" i="7"/>
  <c r="U91" i="7"/>
  <c r="U65" i="7"/>
  <c r="U81" i="7"/>
  <c r="AL6" i="34"/>
  <c r="AL106" i="34"/>
  <c r="AL122" i="34"/>
  <c r="R111" i="34"/>
  <c r="R67" i="34"/>
  <c r="R106" i="34"/>
  <c r="AB191" i="34"/>
  <c r="AB255" i="34"/>
  <c r="AB445" i="34"/>
  <c r="AB436" i="34"/>
  <c r="AB382" i="34"/>
  <c r="AB426" i="34"/>
  <c r="AB360" i="34"/>
  <c r="AB331" i="34"/>
  <c r="AB597" i="34"/>
  <c r="AB586" i="34"/>
  <c r="AB576" i="34"/>
  <c r="AB561" i="34"/>
  <c r="AB487" i="34"/>
  <c r="AB530" i="34"/>
  <c r="AB464" i="34"/>
  <c r="AB476" i="34"/>
  <c r="AB498" i="34"/>
  <c r="R23" i="34"/>
  <c r="J77" i="34"/>
  <c r="J76" i="34" s="1"/>
  <c r="J75" i="34" s="1"/>
  <c r="J74" i="34" s="1"/>
  <c r="J73" i="34" s="1"/>
  <c r="J72" i="34" s="1"/>
  <c r="J71" i="34" s="1"/>
  <c r="J79" i="34"/>
  <c r="H68" i="34"/>
  <c r="H99" i="34"/>
  <c r="H95" i="34"/>
  <c r="H121" i="34"/>
  <c r="H102" i="34"/>
  <c r="R300" i="34"/>
  <c r="R284" i="34"/>
  <c r="R268" i="34"/>
  <c r="R252" i="34"/>
  <c r="R236" i="34"/>
  <c r="R220" i="34"/>
  <c r="R204" i="34"/>
  <c r="R188" i="34"/>
  <c r="R172" i="34"/>
  <c r="AB177" i="34"/>
  <c r="AB241" i="34"/>
  <c r="AB317" i="34"/>
  <c r="AB423" i="34"/>
  <c r="R443" i="34"/>
  <c r="R434" i="34"/>
  <c r="R416" i="34"/>
  <c r="R400" i="34"/>
  <c r="R384" i="34"/>
  <c r="R368" i="34"/>
  <c r="R352" i="34"/>
  <c r="R319" i="34"/>
  <c r="R335" i="34"/>
  <c r="M51" i="37"/>
  <c r="M52" i="37"/>
  <c r="M19" i="37"/>
  <c r="M20" i="37"/>
  <c r="K23" i="37"/>
  <c r="K24" i="37"/>
  <c r="AG25" i="37"/>
  <c r="AG26" i="37"/>
  <c r="M17" i="37"/>
  <c r="M18" i="37"/>
  <c r="U80" i="7"/>
  <c r="U64" i="7"/>
  <c r="U48" i="7"/>
  <c r="U32" i="7"/>
  <c r="U16" i="7"/>
  <c r="H32" i="34"/>
  <c r="R122" i="34"/>
  <c r="R8" i="34"/>
  <c r="R34" i="34"/>
  <c r="AL74" i="34"/>
  <c r="H18" i="34"/>
  <c r="AB357" i="34"/>
  <c r="R143" i="34"/>
  <c r="AL32" i="34"/>
  <c r="R75" i="34"/>
  <c r="AB162" i="34"/>
  <c r="AB215" i="34"/>
  <c r="AB279" i="34"/>
  <c r="AB433" i="34"/>
  <c r="AB420" i="34"/>
  <c r="AB358" i="34"/>
  <c r="AB400" i="34"/>
  <c r="AB311" i="34"/>
  <c r="AB395" i="34"/>
  <c r="AB463" i="34"/>
  <c r="AB550" i="34"/>
  <c r="AB536" i="34"/>
  <c r="AB511" i="34"/>
  <c r="AB573" i="34"/>
  <c r="AB489" i="34"/>
  <c r="AB524" i="34"/>
  <c r="AB504" i="34"/>
  <c r="AL9" i="34"/>
  <c r="H81" i="34"/>
  <c r="H97" i="34"/>
  <c r="H119" i="34"/>
  <c r="R119" i="34"/>
  <c r="R294" i="34"/>
  <c r="R278" i="34"/>
  <c r="R262" i="34"/>
  <c r="R246" i="34"/>
  <c r="R230" i="34"/>
  <c r="R214" i="34"/>
  <c r="R198" i="34"/>
  <c r="R182" i="34"/>
  <c r="R166" i="34"/>
  <c r="AB201" i="34"/>
  <c r="AB265" i="34"/>
  <c r="AB341" i="34"/>
  <c r="R431" i="34"/>
  <c r="R426" i="34"/>
  <c r="R410" i="34"/>
  <c r="R394" i="34"/>
  <c r="R378" i="34"/>
  <c r="R362" i="34"/>
  <c r="R346" i="34"/>
  <c r="R325" i="34"/>
  <c r="R341" i="34"/>
  <c r="T464" i="34"/>
  <c r="T463" i="34" s="1"/>
  <c r="T462" i="34" s="1"/>
  <c r="T461" i="34" s="1"/>
  <c r="T460" i="34" s="1"/>
  <c r="T459" i="34" s="1"/>
  <c r="T458" i="34" s="1"/>
  <c r="T466" i="34"/>
  <c r="R486" i="34"/>
  <c r="W27" i="37"/>
  <c r="W28" i="37"/>
  <c r="R12" i="34"/>
  <c r="M43" i="37"/>
  <c r="M44" i="37"/>
  <c r="U23" i="7"/>
  <c r="U39" i="7"/>
  <c r="U55" i="7"/>
  <c r="U71" i="7"/>
  <c r="AL7" i="34"/>
  <c r="R49" i="34"/>
  <c r="AL105" i="34"/>
  <c r="R128" i="34"/>
  <c r="J145" i="34"/>
  <c r="J143" i="34"/>
  <c r="J142" i="34" s="1"/>
  <c r="J141" i="34" s="1"/>
  <c r="J140" i="34" s="1"/>
  <c r="J139" i="34" s="1"/>
  <c r="J138" i="34" s="1"/>
  <c r="J137" i="34" s="1"/>
  <c r="H154" i="34"/>
  <c r="H165" i="34"/>
  <c r="AB425" i="34"/>
  <c r="U94" i="7"/>
  <c r="H161" i="34"/>
  <c r="R5" i="34"/>
  <c r="R42" i="34"/>
  <c r="R105" i="34"/>
  <c r="AB171" i="34"/>
  <c r="AB235" i="34"/>
  <c r="AB299" i="34"/>
  <c r="AB446" i="34"/>
  <c r="AB402" i="34"/>
  <c r="AB314" i="34"/>
  <c r="AB380" i="34"/>
  <c r="AB327" i="34"/>
  <c r="AB601" i="34"/>
  <c r="AB594" i="34"/>
  <c r="AB580" i="34"/>
  <c r="AB569" i="34"/>
  <c r="AB491" i="34"/>
  <c r="AB535" i="34"/>
  <c r="AB469" i="34"/>
  <c r="AB484" i="34"/>
  <c r="H70" i="34"/>
  <c r="H86" i="34"/>
  <c r="H130" i="34"/>
  <c r="H114" i="34"/>
  <c r="R289" i="34"/>
  <c r="R273" i="34"/>
  <c r="R257" i="34"/>
  <c r="R241" i="34"/>
  <c r="R225" i="34"/>
  <c r="R209" i="34"/>
  <c r="R193" i="34"/>
  <c r="R177" i="34"/>
  <c r="R159" i="34"/>
  <c r="AB221" i="34"/>
  <c r="AB383" i="34"/>
  <c r="H146" i="34"/>
  <c r="R453" i="34"/>
  <c r="R444" i="34"/>
  <c r="R421" i="34"/>
  <c r="R405" i="34"/>
  <c r="R389" i="34"/>
  <c r="R373" i="34"/>
  <c r="R357" i="34"/>
  <c r="R311" i="34"/>
  <c r="R467" i="34"/>
  <c r="U46" i="37"/>
  <c r="U45" i="37"/>
  <c r="R514" i="34"/>
  <c r="R542" i="34"/>
  <c r="R600" i="34"/>
  <c r="R499" i="34"/>
  <c r="R551" i="34"/>
  <c r="AC37" i="37"/>
  <c r="AC38" i="37"/>
  <c r="R554" i="34"/>
  <c r="AB665" i="34"/>
  <c r="AB668" i="34"/>
  <c r="AB618" i="34"/>
  <c r="R483" i="34"/>
  <c r="R531" i="34"/>
  <c r="R571" i="34"/>
  <c r="R534" i="34"/>
  <c r="R582" i="34"/>
  <c r="AB711" i="34"/>
  <c r="R479" i="34"/>
  <c r="R527" i="34"/>
  <c r="R579" i="34"/>
  <c r="AE37" i="37"/>
  <c r="AE38" i="37"/>
  <c r="I51" i="37"/>
  <c r="I52" i="37"/>
  <c r="AC32" i="37"/>
  <c r="AC31" i="37"/>
  <c r="AC40" i="37"/>
  <c r="AC39" i="37"/>
  <c r="K44" i="37"/>
  <c r="K43" i="37"/>
  <c r="O43" i="37"/>
  <c r="O44" i="37"/>
  <c r="G35" i="37"/>
  <c r="G36" i="37"/>
  <c r="Q11" i="37"/>
  <c r="Q12" i="37"/>
  <c r="U17" i="37"/>
  <c r="U18" i="37"/>
  <c r="AE31" i="37"/>
  <c r="AE32" i="37"/>
  <c r="S39" i="37"/>
  <c r="S40" i="37"/>
  <c r="W5" i="37"/>
  <c r="W6" i="37"/>
  <c r="AD162" i="34"/>
  <c r="AD161" i="34" s="1"/>
  <c r="AD160" i="34" s="1"/>
  <c r="AD159" i="34" s="1"/>
  <c r="AD158" i="34" s="1"/>
  <c r="AD157" i="34" s="1"/>
  <c r="AD156" i="34" s="1"/>
  <c r="AD164" i="34"/>
  <c r="AB154" i="34"/>
  <c r="AB156" i="34"/>
  <c r="AB155" i="34"/>
  <c r="AB298" i="34"/>
  <c r="AB157" i="34"/>
  <c r="AO97" i="34"/>
  <c r="AP97" i="34" s="1"/>
  <c r="AM97" i="34"/>
  <c r="G9" i="37"/>
  <c r="G10" i="37"/>
  <c r="I13" i="37"/>
  <c r="I14" i="37"/>
  <c r="AA18" i="37"/>
  <c r="AA17" i="37"/>
  <c r="I29" i="37"/>
  <c r="I30" i="37"/>
  <c r="Y15" i="37"/>
  <c r="Y16" i="37"/>
  <c r="Y5" i="37"/>
  <c r="Y6" i="37"/>
  <c r="O10" i="37"/>
  <c r="O9" i="37"/>
  <c r="G13" i="37"/>
  <c r="G14" i="37"/>
  <c r="AC12" i="37"/>
  <c r="AC11" i="37"/>
  <c r="AA42" i="37"/>
  <c r="AA41" i="37"/>
  <c r="S13" i="37"/>
  <c r="S14" i="37"/>
  <c r="AE35" i="37"/>
  <c r="AE36" i="37"/>
  <c r="W11" i="37"/>
  <c r="W12" i="37"/>
  <c r="Y40" i="37"/>
  <c r="Y39" i="37"/>
  <c r="AE47" i="37"/>
  <c r="AE48" i="37"/>
  <c r="K22" i="37"/>
  <c r="K21" i="37"/>
  <c r="AA19" i="37"/>
  <c r="AA20" i="37"/>
  <c r="K46" i="37"/>
  <c r="K45" i="37"/>
  <c r="C35" i="37"/>
  <c r="C36" i="37"/>
  <c r="K50" i="37"/>
  <c r="K49" i="37"/>
  <c r="S11" i="37"/>
  <c r="S12" i="37"/>
  <c r="AB212" i="34"/>
  <c r="AB232" i="34"/>
  <c r="AB226" i="34"/>
  <c r="AE537" i="34"/>
  <c r="AF537" i="34" s="1"/>
  <c r="AC537" i="34"/>
  <c r="U48" i="34"/>
  <c r="V48" i="34" s="1"/>
  <c r="S48" i="34"/>
  <c r="AL107" i="34"/>
  <c r="I50" i="37"/>
  <c r="I49" i="37"/>
  <c r="W26" i="37"/>
  <c r="W25" i="37"/>
  <c r="S7" i="37"/>
  <c r="S8" i="37"/>
  <c r="Y11" i="37"/>
  <c r="Y12" i="37"/>
  <c r="C41" i="37"/>
  <c r="C42" i="37"/>
  <c r="AC26" i="37"/>
  <c r="AC25" i="37"/>
  <c r="AC18" i="37"/>
  <c r="AC17" i="37"/>
  <c r="R17" i="34"/>
  <c r="R129" i="34"/>
  <c r="AB275" i="34"/>
  <c r="AD464" i="34"/>
  <c r="AD463" i="34" s="1"/>
  <c r="AD462" i="34" s="1"/>
  <c r="AD461" i="34" s="1"/>
  <c r="AD460" i="34" s="1"/>
  <c r="AD459" i="34" s="1"/>
  <c r="AD458" i="34" s="1"/>
  <c r="AD466" i="34"/>
  <c r="AB510" i="34"/>
  <c r="AB579" i="34"/>
  <c r="AB555" i="34"/>
  <c r="R37" i="34"/>
  <c r="R80" i="34"/>
  <c r="R115" i="34"/>
  <c r="AB197" i="34"/>
  <c r="AG38" i="37"/>
  <c r="AG37" i="37"/>
  <c r="AE25" i="37"/>
  <c r="AE26" i="37"/>
  <c r="Y21" i="37"/>
  <c r="Y22" i="37"/>
  <c r="M39" i="37"/>
  <c r="M40" i="37"/>
  <c r="E38" i="37"/>
  <c r="E37" i="37"/>
  <c r="AC3" i="37"/>
  <c r="AC4" i="37"/>
  <c r="M5" i="37"/>
  <c r="M6" i="37"/>
  <c r="AB266" i="34"/>
  <c r="AO60" i="34"/>
  <c r="AP60" i="34" s="1"/>
  <c r="AM60" i="34"/>
  <c r="M30" i="37"/>
  <c r="M29" i="37"/>
  <c r="R51" i="34"/>
  <c r="AE334" i="34"/>
  <c r="AF334" i="34" s="1"/>
  <c r="AC334" i="34"/>
  <c r="R77" i="34"/>
  <c r="AB163" i="34"/>
  <c r="AB223" i="34"/>
  <c r="AB287" i="34"/>
  <c r="AB452" i="34"/>
  <c r="AB412" i="34"/>
  <c r="AB350" i="34"/>
  <c r="AB392" i="34"/>
  <c r="AB379" i="34"/>
  <c r="AB558" i="34"/>
  <c r="AB519" i="34"/>
  <c r="AB497" i="34"/>
  <c r="R127" i="34"/>
  <c r="AB209" i="34"/>
  <c r="AB273" i="34"/>
  <c r="AB359" i="34"/>
  <c r="AA26" i="37"/>
  <c r="AA25" i="37"/>
  <c r="C31" i="37"/>
  <c r="C32" i="37"/>
  <c r="M15" i="37"/>
  <c r="M16" i="37"/>
  <c r="AB218" i="34"/>
  <c r="AN77" i="34"/>
  <c r="AN76" i="34" s="1"/>
  <c r="AN75" i="34" s="1"/>
  <c r="AN74" i="34" s="1"/>
  <c r="AN73" i="34" s="1"/>
  <c r="AN72" i="34" s="1"/>
  <c r="AN71" i="34" s="1"/>
  <c r="AN79" i="34"/>
  <c r="AN80" i="34" s="1"/>
  <c r="AL68" i="34"/>
  <c r="AB183" i="34"/>
  <c r="AB247" i="34"/>
  <c r="AB440" i="34"/>
  <c r="AB308" i="34"/>
  <c r="AB368" i="34"/>
  <c r="AB589" i="34"/>
  <c r="AB568" i="34"/>
  <c r="AB479" i="34"/>
  <c r="AB521" i="34"/>
  <c r="AB588" i="34"/>
  <c r="AB551" i="34"/>
  <c r="AB169" i="34"/>
  <c r="AB297" i="34"/>
  <c r="AB407" i="34"/>
  <c r="T617" i="34"/>
  <c r="T615" i="34"/>
  <c r="T614" i="34" s="1"/>
  <c r="T613" i="34" s="1"/>
  <c r="T612" i="34" s="1"/>
  <c r="T611" i="34" s="1"/>
  <c r="T610" i="34" s="1"/>
  <c r="T609" i="34" s="1"/>
  <c r="R53" i="34"/>
  <c r="R55" i="34"/>
  <c r="AL130" i="34"/>
  <c r="S503" i="34"/>
  <c r="U503" i="34"/>
  <c r="V503" i="34" s="1"/>
  <c r="O47" i="37"/>
  <c r="O48" i="37"/>
  <c r="AE33" i="37"/>
  <c r="AE34" i="37"/>
  <c r="AA47" i="37"/>
  <c r="AA48" i="37"/>
  <c r="AC42" i="37"/>
  <c r="AC41" i="37"/>
  <c r="U25" i="37"/>
  <c r="U26" i="37"/>
  <c r="AA36" i="37"/>
  <c r="AA35" i="37"/>
  <c r="AE7" i="37"/>
  <c r="AE8" i="37"/>
  <c r="AG48" i="37"/>
  <c r="AG47" i="37"/>
  <c r="G27" i="37"/>
  <c r="G28" i="37"/>
  <c r="AG8" i="37"/>
  <c r="AG7" i="37"/>
  <c r="AA16" i="37"/>
  <c r="AA15" i="37"/>
  <c r="R124" i="34"/>
  <c r="R58" i="34"/>
  <c r="AB250" i="34"/>
  <c r="M31" i="37"/>
  <c r="M32" i="37"/>
  <c r="AB284" i="34"/>
  <c r="AB160" i="34"/>
  <c r="AB176" i="34"/>
  <c r="AB164" i="34"/>
  <c r="AB401" i="34"/>
  <c r="AB518" i="34"/>
  <c r="R114" i="34"/>
  <c r="R147" i="34"/>
  <c r="R13" i="34"/>
  <c r="AL72" i="34"/>
  <c r="AL89" i="34"/>
  <c r="AE4" i="35"/>
  <c r="AD5" i="35"/>
  <c r="AG36" i="37"/>
  <c r="AG35" i="37"/>
  <c r="K52" i="37"/>
  <c r="K51" i="37"/>
  <c r="O29" i="37"/>
  <c r="O30" i="37"/>
  <c r="R54" i="34"/>
  <c r="U12" i="37"/>
  <c r="U11" i="37"/>
  <c r="E21" i="37"/>
  <c r="E22" i="37"/>
  <c r="I27" i="37"/>
  <c r="I28" i="37"/>
  <c r="AE21" i="37"/>
  <c r="AE22" i="37"/>
  <c r="G48" i="37"/>
  <c r="G47" i="37"/>
  <c r="U32" i="37"/>
  <c r="U31" i="37"/>
  <c r="G7" i="37"/>
  <c r="G8" i="37"/>
  <c r="G15" i="37"/>
  <c r="G16" i="37"/>
  <c r="AA8" i="37"/>
  <c r="AA7" i="37"/>
  <c r="AC28" i="37"/>
  <c r="AC27" i="37"/>
  <c r="W43" i="37"/>
  <c r="W44" i="37"/>
  <c r="S41" i="37"/>
  <c r="S42" i="37"/>
  <c r="AA12" i="37"/>
  <c r="AA11" i="37"/>
  <c r="S17" i="37"/>
  <c r="S18" i="37"/>
  <c r="O39" i="37"/>
  <c r="O40" i="37"/>
  <c r="O17" i="37"/>
  <c r="O18" i="37"/>
  <c r="W23" i="37"/>
  <c r="W24" i="37"/>
  <c r="AB180" i="34"/>
  <c r="AB200" i="34"/>
  <c r="AB294" i="34"/>
  <c r="AB324" i="34"/>
  <c r="AB486" i="34"/>
  <c r="AB336" i="34"/>
  <c r="R151" i="34"/>
  <c r="R52" i="34"/>
  <c r="R66" i="34"/>
  <c r="AL75" i="34"/>
  <c r="AL84" i="34"/>
  <c r="R94" i="34"/>
  <c r="G43" i="37"/>
  <c r="G44" i="37"/>
  <c r="O50" i="37"/>
  <c r="O49" i="37"/>
  <c r="AE49" i="37"/>
  <c r="AE50" i="37"/>
  <c r="Q37" i="37"/>
  <c r="Q38" i="37"/>
  <c r="Q10" i="37"/>
  <c r="Q9" i="37"/>
  <c r="M7" i="37"/>
  <c r="M8" i="37"/>
  <c r="S20" i="37"/>
  <c r="S19" i="37"/>
  <c r="Y48" i="37"/>
  <c r="Y47" i="37"/>
  <c r="Y29" i="37"/>
  <c r="Y30" i="37"/>
  <c r="I40" i="37"/>
  <c r="I39" i="37"/>
  <c r="G17" i="37"/>
  <c r="G18" i="37"/>
  <c r="AE23" i="37"/>
  <c r="AE24" i="37"/>
  <c r="Q33" i="37"/>
  <c r="Q34" i="37"/>
  <c r="AG41" i="37"/>
  <c r="AG42" i="37"/>
  <c r="G42" i="37"/>
  <c r="G41" i="37"/>
  <c r="W10" i="37"/>
  <c r="W9" i="37"/>
  <c r="K32" i="37"/>
  <c r="K31" i="37"/>
  <c r="C15" i="37"/>
  <c r="C16" i="37"/>
  <c r="S9" i="37"/>
  <c r="S10" i="37"/>
  <c r="C37" i="37"/>
  <c r="C38" i="37"/>
  <c r="G11" i="37"/>
  <c r="G12" i="37"/>
  <c r="O23" i="37"/>
  <c r="O24" i="37"/>
  <c r="AE20" i="37"/>
  <c r="AE19" i="37"/>
  <c r="Q49" i="37"/>
  <c r="Q50" i="37"/>
  <c r="Y10" i="37"/>
  <c r="Y9" i="37"/>
  <c r="Q26" i="37"/>
  <c r="Q25" i="37"/>
  <c r="E24" i="37"/>
  <c r="E23" i="37"/>
  <c r="K9" i="37"/>
  <c r="K10" i="37"/>
  <c r="U24" i="37"/>
  <c r="U23" i="37"/>
  <c r="I37" i="37"/>
  <c r="I38" i="37"/>
  <c r="I3" i="37"/>
  <c r="I4" i="37"/>
  <c r="AG16" i="37"/>
  <c r="AG15" i="37"/>
  <c r="AA32" i="37"/>
  <c r="AA31" i="37"/>
  <c r="I42" i="37"/>
  <c r="I41" i="37"/>
  <c r="G22" i="37"/>
  <c r="G21" i="37"/>
  <c r="O19" i="37"/>
  <c r="O20" i="37"/>
  <c r="AE29" i="37"/>
  <c r="AE30" i="37"/>
  <c r="Y24" i="37"/>
  <c r="Y23" i="37"/>
  <c r="AG39" i="37"/>
  <c r="AG40" i="37"/>
  <c r="AG4" i="37"/>
  <c r="AG3" i="37"/>
  <c r="G52" i="37"/>
  <c r="G51" i="37"/>
  <c r="O35" i="37"/>
  <c r="O36" i="37"/>
  <c r="Q3" i="37"/>
  <c r="Q4" i="37"/>
  <c r="W33" i="37"/>
  <c r="W34" i="37"/>
  <c r="C45" i="37"/>
  <c r="C46" i="37"/>
  <c r="K48" i="37"/>
  <c r="K47" i="37"/>
  <c r="AA34" i="37"/>
  <c r="AA33" i="37"/>
  <c r="U40" i="37"/>
  <c r="U39" i="37"/>
  <c r="I46" i="37"/>
  <c r="I45" i="37"/>
  <c r="U78" i="7"/>
  <c r="U62" i="7"/>
  <c r="U46" i="7"/>
  <c r="U30" i="7"/>
  <c r="U14" i="7"/>
  <c r="AN13" i="34"/>
  <c r="AN14" i="34" s="1"/>
  <c r="AN11" i="34"/>
  <c r="AN10" i="34" s="1"/>
  <c r="AN9" i="34" s="1"/>
  <c r="AN8" i="34" s="1"/>
  <c r="AN7" i="34" s="1"/>
  <c r="AN6" i="34" s="1"/>
  <c r="AN5" i="34" s="1"/>
  <c r="AL30" i="34"/>
  <c r="R70" i="34"/>
  <c r="R89" i="34"/>
  <c r="AC10" i="37"/>
  <c r="AC9" i="37"/>
  <c r="AB220" i="34"/>
  <c r="AB240" i="34"/>
  <c r="AB206" i="34"/>
  <c r="AB182" i="34"/>
  <c r="AB332" i="34"/>
  <c r="AB353" i="34"/>
  <c r="R2" i="34"/>
  <c r="R27" i="34"/>
  <c r="R101" i="34"/>
  <c r="AL77" i="34"/>
  <c r="AL86" i="34"/>
  <c r="R90" i="34"/>
  <c r="W15" i="37"/>
  <c r="W16" i="37"/>
  <c r="AE9" i="37"/>
  <c r="AE10" i="37"/>
  <c r="U14" i="37"/>
  <c r="U13" i="37"/>
  <c r="W29" i="37"/>
  <c r="W30" i="37"/>
  <c r="C29" i="37"/>
  <c r="C30" i="37"/>
  <c r="S27" i="37"/>
  <c r="S28" i="37"/>
  <c r="U9" i="37"/>
  <c r="U10" i="37"/>
  <c r="Y3" i="37"/>
  <c r="Y4" i="37"/>
  <c r="U47" i="37"/>
  <c r="U48" i="37"/>
  <c r="U76" i="7"/>
  <c r="U60" i="7"/>
  <c r="U44" i="7"/>
  <c r="U28" i="7"/>
  <c r="U12" i="7"/>
  <c r="R61" i="34"/>
  <c r="R81" i="34"/>
  <c r="AB282" i="34"/>
  <c r="Q46" i="37"/>
  <c r="Q45" i="37"/>
  <c r="I7" i="37"/>
  <c r="I8" i="37"/>
  <c r="Y46" i="37"/>
  <c r="Y45" i="37"/>
  <c r="AG32" i="37"/>
  <c r="AG31" i="37"/>
  <c r="AE3" i="37"/>
  <c r="AE4" i="37"/>
  <c r="O51" i="37"/>
  <c r="O52" i="37"/>
  <c r="G34" i="37"/>
  <c r="G33" i="37"/>
  <c r="Y42" i="37"/>
  <c r="Y41" i="37"/>
  <c r="K17" i="37"/>
  <c r="K18" i="37"/>
  <c r="Y52" i="37"/>
  <c r="Y51" i="37"/>
  <c r="I26" i="37"/>
  <c r="I25" i="37"/>
  <c r="S4" i="37"/>
  <c r="S3" i="37"/>
  <c r="S21" i="37"/>
  <c r="S22" i="37"/>
  <c r="K11" i="37"/>
  <c r="K12" i="37"/>
  <c r="C18" i="37"/>
  <c r="C17" i="37"/>
  <c r="Q44" i="37"/>
  <c r="Q43" i="37"/>
  <c r="Q5" i="37"/>
  <c r="Q6" i="37"/>
  <c r="W37" i="37"/>
  <c r="W38" i="37"/>
  <c r="AA44" i="37"/>
  <c r="AA43" i="37"/>
  <c r="AG19" i="37"/>
  <c r="AG20" i="37"/>
  <c r="U28" i="37"/>
  <c r="U27" i="37"/>
  <c r="AE28" i="37"/>
  <c r="AE27" i="37"/>
  <c r="W8" i="37"/>
  <c r="W7" i="37"/>
  <c r="S5" i="37"/>
  <c r="S6" i="37"/>
  <c r="S29" i="37"/>
  <c r="S30" i="37"/>
  <c r="C13" i="37"/>
  <c r="C14" i="37"/>
  <c r="C39" i="37"/>
  <c r="C40" i="37"/>
  <c r="AA24" i="37"/>
  <c r="AA23" i="37"/>
  <c r="W21" i="37"/>
  <c r="W22" i="37"/>
  <c r="AB244" i="34"/>
  <c r="AB264" i="34"/>
  <c r="AB254" i="34"/>
  <c r="AB166" i="34"/>
  <c r="AB377" i="34"/>
  <c r="R134" i="34"/>
  <c r="R20" i="34"/>
  <c r="R3" i="34"/>
  <c r="AL69" i="34"/>
  <c r="AL87" i="34"/>
  <c r="AI4" i="35"/>
  <c r="AH5" i="35"/>
  <c r="AL25" i="34"/>
  <c r="AL112" i="34"/>
  <c r="AL129" i="34"/>
  <c r="AB344" i="34"/>
  <c r="AB342" i="34"/>
  <c r="AE17" i="37"/>
  <c r="AE18" i="37"/>
  <c r="W41" i="37"/>
  <c r="W42" i="37"/>
  <c r="O37" i="37"/>
  <c r="O38" i="37"/>
  <c r="K3" i="37"/>
  <c r="K4" i="37"/>
  <c r="AA38" i="37"/>
  <c r="AA37" i="37"/>
  <c r="Q48" i="37"/>
  <c r="Q47" i="37"/>
  <c r="U29" i="37"/>
  <c r="U30" i="37"/>
  <c r="U74" i="7"/>
  <c r="U58" i="7"/>
  <c r="U42" i="7"/>
  <c r="U26" i="7"/>
  <c r="U8" i="7"/>
  <c r="R93" i="34"/>
  <c r="R103" i="34"/>
  <c r="M13" i="37"/>
  <c r="M14" i="37"/>
  <c r="AB300" i="34"/>
  <c r="AB172" i="34"/>
  <c r="AB192" i="34"/>
  <c r="AB278" i="34"/>
  <c r="AB393" i="34"/>
  <c r="AB494" i="34"/>
  <c r="U49" i="37"/>
  <c r="U50" i="37"/>
  <c r="M9" i="37"/>
  <c r="M10" i="37"/>
  <c r="E52" i="37"/>
  <c r="E51" i="37"/>
  <c r="AL54" i="34"/>
  <c r="AB320" i="34"/>
  <c r="R130" i="34"/>
  <c r="T313" i="34"/>
  <c r="T312" i="34" s="1"/>
  <c r="T311" i="34" s="1"/>
  <c r="T310" i="34" s="1"/>
  <c r="T309" i="34" s="1"/>
  <c r="T308" i="34" s="1"/>
  <c r="T307" i="34" s="1"/>
  <c r="T315" i="34"/>
  <c r="R14" i="34"/>
  <c r="R18" i="34"/>
  <c r="AL98" i="34"/>
  <c r="AL85" i="34"/>
  <c r="AL24" i="34"/>
  <c r="AL110" i="34"/>
  <c r="AL104" i="34"/>
  <c r="AB409" i="34"/>
  <c r="U96" i="7"/>
  <c r="U88" i="7"/>
  <c r="R109" i="34"/>
  <c r="H107" i="34"/>
  <c r="R148" i="34"/>
  <c r="AB195" i="34"/>
  <c r="AB259" i="34"/>
  <c r="AB443" i="34"/>
  <c r="AB434" i="34"/>
  <c r="AB378" i="34"/>
  <c r="AB422" i="34"/>
  <c r="AB356" i="34"/>
  <c r="AB355" i="34"/>
  <c r="AB595" i="34"/>
  <c r="AB570" i="34"/>
  <c r="AB556" i="34"/>
  <c r="AB533" i="34"/>
  <c r="AB466" i="34"/>
  <c r="AB525" i="34"/>
  <c r="AB460" i="34"/>
  <c r="AB468" i="34"/>
  <c r="AB514" i="34"/>
  <c r="AL23" i="34"/>
  <c r="R76" i="34"/>
  <c r="H124" i="34"/>
  <c r="R104" i="34"/>
  <c r="AB181" i="34"/>
  <c r="AB245" i="34"/>
  <c r="AB321" i="34"/>
  <c r="AB474" i="34"/>
  <c r="R308" i="34"/>
  <c r="R441" i="34"/>
  <c r="R432" i="34"/>
  <c r="R415" i="34"/>
  <c r="R399" i="34"/>
  <c r="R383" i="34"/>
  <c r="R367" i="34"/>
  <c r="R351" i="34"/>
  <c r="R320" i="34"/>
  <c r="R336" i="34"/>
  <c r="AC49" i="37"/>
  <c r="AC50" i="37"/>
  <c r="I35" i="37"/>
  <c r="I36" i="37"/>
  <c r="Q32" i="37"/>
  <c r="Q31" i="37"/>
  <c r="AG29" i="37"/>
  <c r="AG30" i="37"/>
  <c r="E47" i="37"/>
  <c r="E48" i="37"/>
  <c r="E8" i="37"/>
  <c r="E7" i="37"/>
  <c r="E5" i="37"/>
  <c r="E6" i="37"/>
  <c r="I19" i="37"/>
  <c r="I20" i="37"/>
  <c r="AC14" i="37"/>
  <c r="AC13" i="37"/>
  <c r="U38" i="37"/>
  <c r="U37" i="37"/>
  <c r="E45" i="37"/>
  <c r="E46" i="37"/>
  <c r="AL18" i="34"/>
  <c r="AB478" i="34"/>
  <c r="AL39" i="34"/>
  <c r="AL45" i="34"/>
  <c r="AB210" i="34"/>
  <c r="U15" i="7"/>
  <c r="R142" i="34"/>
  <c r="AL38" i="34"/>
  <c r="AB292" i="34"/>
  <c r="AB161" i="34"/>
  <c r="AB184" i="34"/>
  <c r="AB262" i="34"/>
  <c r="S48" i="37"/>
  <c r="S47" i="37"/>
  <c r="AQ4" i="35"/>
  <c r="AP5" i="35"/>
  <c r="AL2" i="34"/>
  <c r="AL33" i="34"/>
  <c r="AL119" i="34"/>
  <c r="AL126" i="34"/>
  <c r="R316" i="34"/>
  <c r="R9" i="34"/>
  <c r="R44" i="34"/>
  <c r="R73" i="34"/>
  <c r="R125" i="34"/>
  <c r="AB153" i="34"/>
  <c r="AB207" i="34"/>
  <c r="AB271" i="34"/>
  <c r="AB437" i="34"/>
  <c r="AB428" i="34"/>
  <c r="AB366" i="34"/>
  <c r="AB410" i="34"/>
  <c r="AB315" i="34"/>
  <c r="AB347" i="34"/>
  <c r="AB599" i="34"/>
  <c r="AB574" i="34"/>
  <c r="AB560" i="34"/>
  <c r="AB538" i="34"/>
  <c r="AB471" i="34"/>
  <c r="AB513" i="34"/>
  <c r="AB604" i="34"/>
  <c r="AB571" i="34"/>
  <c r="R100" i="34"/>
  <c r="H117" i="34"/>
  <c r="H111" i="34"/>
  <c r="AB193" i="34"/>
  <c r="AB257" i="34"/>
  <c r="AB333" i="34"/>
  <c r="AB522" i="34"/>
  <c r="R314" i="34"/>
  <c r="R435" i="34"/>
  <c r="R428" i="34"/>
  <c r="R412" i="34"/>
  <c r="R396" i="34"/>
  <c r="R380" i="34"/>
  <c r="R364" i="34"/>
  <c r="R348" i="34"/>
  <c r="R323" i="34"/>
  <c r="R339" i="34"/>
  <c r="AC647" i="34"/>
  <c r="AE647" i="34"/>
  <c r="AF647" i="34" s="1"/>
  <c r="U16" i="37"/>
  <c r="U15" i="37"/>
  <c r="Q36" i="37"/>
  <c r="Q35" i="37"/>
  <c r="S23" i="37"/>
  <c r="S24" i="37"/>
  <c r="U19" i="37"/>
  <c r="U20" i="37"/>
  <c r="S33" i="37"/>
  <c r="S34" i="37"/>
  <c r="U10" i="7"/>
  <c r="AG5" i="35"/>
  <c r="AF6" i="35"/>
  <c r="R65" i="34"/>
  <c r="R118" i="34"/>
  <c r="AL79" i="34"/>
  <c r="AL96" i="34"/>
  <c r="AL83" i="34"/>
  <c r="AB417" i="34"/>
  <c r="R133" i="34"/>
  <c r="R79" i="34"/>
  <c r="AB167" i="34"/>
  <c r="AB231" i="34"/>
  <c r="AB295" i="34"/>
  <c r="AB448" i="34"/>
  <c r="AB406" i="34"/>
  <c r="AB316" i="34"/>
  <c r="AB384" i="34"/>
  <c r="AB323" i="34"/>
  <c r="AB427" i="34"/>
  <c r="AB602" i="34"/>
  <c r="AB585" i="34"/>
  <c r="AB577" i="34"/>
  <c r="AB495" i="34"/>
  <c r="AB541" i="34"/>
  <c r="AB473" i="34"/>
  <c r="AB492" i="34"/>
  <c r="AB472" i="34"/>
  <c r="R19" i="34"/>
  <c r="R69" i="34"/>
  <c r="H131" i="34"/>
  <c r="H115" i="34"/>
  <c r="R140" i="34"/>
  <c r="R290" i="34"/>
  <c r="R274" i="34"/>
  <c r="R258" i="34"/>
  <c r="R242" i="34"/>
  <c r="R226" i="34"/>
  <c r="R210" i="34"/>
  <c r="R194" i="34"/>
  <c r="R178" i="34"/>
  <c r="AB217" i="34"/>
  <c r="AB281" i="34"/>
  <c r="AB375" i="34"/>
  <c r="R446" i="34"/>
  <c r="R422" i="34"/>
  <c r="R406" i="34"/>
  <c r="R390" i="34"/>
  <c r="R374" i="34"/>
  <c r="R358" i="34"/>
  <c r="R309" i="34"/>
  <c r="R329" i="34"/>
  <c r="E44" i="37"/>
  <c r="E43" i="37"/>
  <c r="R97" i="34"/>
  <c r="AL27" i="34"/>
  <c r="R92" i="34"/>
  <c r="AL121" i="34"/>
  <c r="J11" i="34"/>
  <c r="J10" i="34" s="1"/>
  <c r="J9" i="34" s="1"/>
  <c r="J8" i="34" s="1"/>
  <c r="J7" i="34" s="1"/>
  <c r="J6" i="34" s="1"/>
  <c r="J5" i="34" s="1"/>
  <c r="J13" i="34"/>
  <c r="H20" i="34"/>
  <c r="H24" i="34"/>
  <c r="I139" i="34"/>
  <c r="K139" i="34"/>
  <c r="L139" i="34" s="1"/>
  <c r="AB127" i="34"/>
  <c r="AB28" i="34"/>
  <c r="AB125" i="34"/>
  <c r="AB89" i="34"/>
  <c r="AB15" i="34"/>
  <c r="AB338" i="34"/>
  <c r="AL21" i="34"/>
  <c r="H72" i="34"/>
  <c r="R121" i="34"/>
  <c r="AN145" i="34"/>
  <c r="AN146" i="34" s="1"/>
  <c r="AN143" i="34"/>
  <c r="AN142" i="34" s="1"/>
  <c r="AN141" i="34" s="1"/>
  <c r="AN140" i="34" s="1"/>
  <c r="AN139" i="34" s="1"/>
  <c r="AN138" i="34" s="1"/>
  <c r="AN137" i="34" s="1"/>
  <c r="AL143" i="34"/>
  <c r="AB187" i="34"/>
  <c r="AB251" i="34"/>
  <c r="AB447" i="34"/>
  <c r="AB438" i="34"/>
  <c r="AB386" i="34"/>
  <c r="AB305" i="34"/>
  <c r="AB364" i="34"/>
  <c r="AB343" i="34"/>
  <c r="AB603" i="34"/>
  <c r="AB578" i="34"/>
  <c r="AB564" i="34"/>
  <c r="AB543" i="34"/>
  <c r="AB475" i="34"/>
  <c r="AB517" i="34"/>
  <c r="AB455" i="34"/>
  <c r="AB584" i="34"/>
  <c r="AB596" i="34"/>
  <c r="R32" i="34"/>
  <c r="R74" i="34"/>
  <c r="H90" i="34"/>
  <c r="H126" i="34"/>
  <c r="R301" i="34"/>
  <c r="R285" i="34"/>
  <c r="R269" i="34"/>
  <c r="R253" i="34"/>
  <c r="R237" i="34"/>
  <c r="R221" i="34"/>
  <c r="R205" i="34"/>
  <c r="R189" i="34"/>
  <c r="R173" i="34"/>
  <c r="AB173" i="34"/>
  <c r="AB237" i="34"/>
  <c r="AB301" i="34"/>
  <c r="AB415" i="34"/>
  <c r="H160" i="34"/>
  <c r="R445" i="34"/>
  <c r="R436" i="34"/>
  <c r="R417" i="34"/>
  <c r="R401" i="34"/>
  <c r="R385" i="34"/>
  <c r="R369" i="34"/>
  <c r="R353" i="34"/>
  <c r="R318" i="34"/>
  <c r="R334" i="34"/>
  <c r="AD617" i="34"/>
  <c r="AD615" i="34"/>
  <c r="AD614" i="34" s="1"/>
  <c r="AD613" i="34" s="1"/>
  <c r="AD612" i="34" s="1"/>
  <c r="AD611" i="34" s="1"/>
  <c r="AD610" i="34" s="1"/>
  <c r="AD609" i="34" s="1"/>
  <c r="AB608" i="34"/>
  <c r="R502" i="34"/>
  <c r="R522" i="34"/>
  <c r="R558" i="34"/>
  <c r="AB681" i="34"/>
  <c r="AB652" i="34"/>
  <c r="R588" i="34"/>
  <c r="R515" i="34"/>
  <c r="R563" i="34"/>
  <c r="R566" i="34"/>
  <c r="AB641" i="34"/>
  <c r="AB660" i="34"/>
  <c r="R592" i="34"/>
  <c r="R491" i="34"/>
  <c r="R539" i="34"/>
  <c r="R583" i="34"/>
  <c r="R550" i="34"/>
  <c r="AB673" i="34"/>
  <c r="AB705" i="34"/>
  <c r="R495" i="34"/>
  <c r="R535" i="34"/>
  <c r="G31" i="37"/>
  <c r="G32" i="37"/>
  <c r="Y44" i="37"/>
  <c r="Y43" i="37"/>
  <c r="AG12" i="37"/>
  <c r="AG11" i="37"/>
  <c r="K5" i="37"/>
  <c r="K6" i="37"/>
  <c r="U21" i="37"/>
  <c r="U22" i="37"/>
  <c r="AE39" i="37"/>
  <c r="AE40" i="37"/>
  <c r="Y36" i="37"/>
  <c r="Y35" i="37"/>
  <c r="C47" i="37"/>
  <c r="C48" i="37"/>
  <c r="AM116" i="34"/>
  <c r="AO116" i="34"/>
  <c r="AP116" i="34" s="1"/>
  <c r="AB208" i="34"/>
  <c r="C9" i="37"/>
  <c r="C10" i="37"/>
  <c r="AG51" i="37"/>
  <c r="AG52" i="37"/>
  <c r="AE41" i="37"/>
  <c r="AE42" i="37"/>
  <c r="S45" i="37"/>
  <c r="S46" i="37"/>
  <c r="G50" i="37"/>
  <c r="G49" i="37"/>
  <c r="S44" i="37"/>
  <c r="S43" i="37"/>
  <c r="U34" i="37"/>
  <c r="U33" i="37"/>
  <c r="R126" i="34"/>
  <c r="AM4" i="35"/>
  <c r="AL5" i="35"/>
  <c r="AL127" i="34"/>
  <c r="AL113" i="34"/>
  <c r="AB211" i="34"/>
  <c r="AB465" i="34"/>
  <c r="AB554" i="34"/>
  <c r="AB540" i="34"/>
  <c r="AB515" i="34"/>
  <c r="AB509" i="34"/>
  <c r="S167" i="34"/>
  <c r="U167" i="34"/>
  <c r="V167" i="34" s="1"/>
  <c r="AB261" i="34"/>
  <c r="AB567" i="34"/>
  <c r="G23" i="37"/>
  <c r="G24" i="37"/>
  <c r="AG24" i="37"/>
  <c r="AG23" i="37"/>
  <c r="AC33" i="37"/>
  <c r="AC34" i="37"/>
  <c r="AC45" i="37"/>
  <c r="AC46" i="37"/>
  <c r="AB373" i="34"/>
  <c r="AB267" i="34"/>
  <c r="AB430" i="34"/>
  <c r="AB414" i="34"/>
  <c r="AB371" i="34"/>
  <c r="AB562" i="34"/>
  <c r="AB523" i="34"/>
  <c r="AB501" i="34"/>
  <c r="AB526" i="34"/>
  <c r="R110" i="34"/>
  <c r="AB189" i="34"/>
  <c r="AB329" i="34"/>
  <c r="I44" i="37"/>
  <c r="I43" i="37"/>
  <c r="I5" i="37"/>
  <c r="I6" i="37"/>
  <c r="Q15" i="37"/>
  <c r="Q16" i="37"/>
  <c r="M11" i="37"/>
  <c r="M12" i="37"/>
  <c r="G45" i="37"/>
  <c r="G46" i="37"/>
  <c r="AG6" i="37"/>
  <c r="AG5" i="37"/>
  <c r="Y50" i="37"/>
  <c r="Y49" i="37"/>
  <c r="C23" i="37"/>
  <c r="C24" i="37"/>
  <c r="O21" i="37"/>
  <c r="O22" i="37"/>
  <c r="O46" i="37"/>
  <c r="O45" i="37"/>
  <c r="K35" i="37"/>
  <c r="K36" i="37"/>
  <c r="O25" i="37"/>
  <c r="O26" i="37"/>
  <c r="R95" i="34"/>
  <c r="AE44" i="37"/>
  <c r="AE43" i="37"/>
  <c r="O41" i="37"/>
  <c r="O42" i="37"/>
  <c r="S37" i="37"/>
  <c r="S38" i="37"/>
  <c r="S36" i="37"/>
  <c r="S35" i="37"/>
  <c r="K7" i="37"/>
  <c r="K8" i="37"/>
  <c r="AA10" i="37"/>
  <c r="AA9" i="37"/>
  <c r="E17" i="37"/>
  <c r="E18" i="37"/>
  <c r="C21" i="37"/>
  <c r="C22" i="37"/>
  <c r="AY4" i="35"/>
  <c r="AX5" i="35"/>
  <c r="R38" i="34"/>
  <c r="AL131" i="34"/>
  <c r="AL114" i="34"/>
  <c r="Y7" i="37"/>
  <c r="Y8" i="37"/>
  <c r="AE5" i="37"/>
  <c r="AE6" i="37"/>
  <c r="C52" i="37"/>
  <c r="C51" i="37"/>
  <c r="S49" i="37"/>
  <c r="S50" i="37"/>
  <c r="AC20" i="37"/>
  <c r="AC19" i="37"/>
  <c r="AA6" i="37"/>
  <c r="AA5" i="37"/>
  <c r="AC52" i="37"/>
  <c r="AC51" i="37"/>
  <c r="R91" i="34"/>
  <c r="AL124" i="34"/>
  <c r="I32" i="37"/>
  <c r="I31" i="37"/>
  <c r="AB236" i="34"/>
  <c r="AB256" i="34"/>
  <c r="AB238" i="34"/>
  <c r="AB575" i="34"/>
  <c r="E36" i="37"/>
  <c r="E35" i="37"/>
  <c r="AC48" i="37"/>
  <c r="AC47" i="37"/>
  <c r="M26" i="37"/>
  <c r="M25" i="37"/>
  <c r="AL43" i="34"/>
  <c r="AL53" i="34"/>
  <c r="AB178" i="34"/>
  <c r="R68" i="34"/>
  <c r="R25" i="34"/>
  <c r="R64" i="34"/>
  <c r="AL73" i="34"/>
  <c r="AL82" i="34"/>
  <c r="R98" i="34"/>
  <c r="BC4" i="35"/>
  <c r="BB5" i="35"/>
  <c r="AL11" i="34"/>
  <c r="R41" i="34"/>
  <c r="AL111" i="34"/>
  <c r="AL120" i="34"/>
  <c r="AB318" i="34"/>
  <c r="U100" i="7"/>
  <c r="R145" i="34"/>
  <c r="AL28" i="34"/>
  <c r="AB227" i="34"/>
  <c r="AB291" i="34"/>
  <c r="AB450" i="34"/>
  <c r="AB408" i="34"/>
  <c r="AB346" i="34"/>
  <c r="AB388" i="34"/>
  <c r="AB319" i="34"/>
  <c r="AB419" i="34"/>
  <c r="AB456" i="34"/>
  <c r="AB590" i="34"/>
  <c r="AB592" i="34"/>
  <c r="AB499" i="34"/>
  <c r="AB581" i="34"/>
  <c r="AB493" i="34"/>
  <c r="AB529" i="34"/>
  <c r="AB512" i="34"/>
  <c r="R7" i="34"/>
  <c r="R46" i="34"/>
  <c r="R131" i="34"/>
  <c r="AB158" i="34"/>
  <c r="AB213" i="34"/>
  <c r="AB277" i="34"/>
  <c r="AB367" i="34"/>
  <c r="K33" i="37"/>
  <c r="K34" i="37"/>
  <c r="Y13" i="37"/>
  <c r="Y14" i="37"/>
  <c r="O7" i="37"/>
  <c r="O8" i="37"/>
  <c r="Y19" i="37"/>
  <c r="Y20" i="37"/>
  <c r="Q20" i="37"/>
  <c r="Q19" i="37"/>
  <c r="M23" i="37"/>
  <c r="M24" i="37"/>
  <c r="U36" i="37"/>
  <c r="U35" i="37"/>
  <c r="AG28" i="37"/>
  <c r="AG27" i="37"/>
  <c r="AC29" i="37"/>
  <c r="AC30" i="37"/>
  <c r="AC36" i="37"/>
  <c r="AC35" i="37"/>
  <c r="M38" i="37"/>
  <c r="M37" i="37"/>
  <c r="AB502" i="34"/>
  <c r="AL52" i="34"/>
  <c r="AB306" i="34"/>
  <c r="R85" i="34"/>
  <c r="AB228" i="34"/>
  <c r="AB248" i="34"/>
  <c r="AB222" i="34"/>
  <c r="AA4" i="35"/>
  <c r="Z5" i="35"/>
  <c r="AL26" i="34"/>
  <c r="R96" i="34"/>
  <c r="AL117" i="34"/>
  <c r="AB381" i="34"/>
  <c r="AB389" i="34"/>
  <c r="R139" i="34"/>
  <c r="R102" i="34"/>
  <c r="AB175" i="34"/>
  <c r="AB239" i="34"/>
  <c r="AB453" i="34"/>
  <c r="AB444" i="34"/>
  <c r="AB398" i="34"/>
  <c r="AB312" i="34"/>
  <c r="AB376" i="34"/>
  <c r="AB307" i="34"/>
  <c r="AB411" i="34"/>
  <c r="AB459" i="34"/>
  <c r="AB598" i="34"/>
  <c r="AB528" i="34"/>
  <c r="AB503" i="34"/>
  <c r="AB557" i="34"/>
  <c r="AB481" i="34"/>
  <c r="AB508" i="34"/>
  <c r="AB488" i="34"/>
  <c r="R15" i="34"/>
  <c r="J110" i="34"/>
  <c r="J109" i="34" s="1"/>
  <c r="J108" i="34" s="1"/>
  <c r="J107" i="34" s="1"/>
  <c r="J106" i="34" s="1"/>
  <c r="J105" i="34" s="1"/>
  <c r="J104" i="34" s="1"/>
  <c r="J112" i="34"/>
  <c r="H113" i="34"/>
  <c r="H101" i="34"/>
  <c r="AB159" i="34"/>
  <c r="AB225" i="34"/>
  <c r="AB289" i="34"/>
  <c r="AB391" i="34"/>
  <c r="I21" i="37"/>
  <c r="I22" i="37"/>
  <c r="AC7" i="37"/>
  <c r="AC8" i="37"/>
  <c r="K25" i="37"/>
  <c r="K26" i="37"/>
  <c r="Y26" i="37"/>
  <c r="Y25" i="37"/>
  <c r="E50" i="37"/>
  <c r="E49" i="37"/>
  <c r="R136" i="34"/>
  <c r="R24" i="34"/>
  <c r="R16" i="34"/>
  <c r="AL71" i="34"/>
  <c r="AL99" i="34"/>
  <c r="AC86" i="34"/>
  <c r="AE86" i="34"/>
  <c r="AF86" i="34" s="1"/>
  <c r="AB330" i="34"/>
  <c r="R21" i="34"/>
  <c r="R71" i="34"/>
  <c r="R117" i="34"/>
  <c r="AB199" i="34"/>
  <c r="AB263" i="34"/>
  <c r="AB441" i="34"/>
  <c r="AB432" i="34"/>
  <c r="AB374" i="34"/>
  <c r="AB418" i="34"/>
  <c r="AB352" i="34"/>
  <c r="AB363" i="34"/>
  <c r="AB591" i="34"/>
  <c r="AB566" i="34"/>
  <c r="AB552" i="34"/>
  <c r="AB527" i="34"/>
  <c r="AB462" i="34"/>
  <c r="AB505" i="34"/>
  <c r="AB563" i="34"/>
  <c r="AB539" i="34"/>
  <c r="R4" i="34"/>
  <c r="K77" i="34"/>
  <c r="L77" i="34" s="1"/>
  <c r="I77" i="34"/>
  <c r="H123" i="34"/>
  <c r="H105" i="34"/>
  <c r="R298" i="34"/>
  <c r="R282" i="34"/>
  <c r="R266" i="34"/>
  <c r="R250" i="34"/>
  <c r="R234" i="34"/>
  <c r="R218" i="34"/>
  <c r="R202" i="34"/>
  <c r="R186" i="34"/>
  <c r="R170" i="34"/>
  <c r="AB185" i="34"/>
  <c r="AB249" i="34"/>
  <c r="AB325" i="34"/>
  <c r="AB490" i="34"/>
  <c r="R310" i="34"/>
  <c r="R439" i="34"/>
  <c r="R430" i="34"/>
  <c r="R414" i="34"/>
  <c r="R398" i="34"/>
  <c r="R382" i="34"/>
  <c r="R366" i="34"/>
  <c r="R350" i="34"/>
  <c r="R321" i="34"/>
  <c r="R337" i="34"/>
  <c r="R83" i="34"/>
  <c r="Q51" i="37"/>
  <c r="Q52" i="37"/>
  <c r="AL29" i="34"/>
  <c r="AL123" i="34"/>
  <c r="AL103" i="34"/>
  <c r="H23" i="34"/>
  <c r="H29" i="34"/>
  <c r="AB365" i="34"/>
  <c r="AD11" i="34"/>
  <c r="AD10" i="34" s="1"/>
  <c r="AD9" i="34" s="1"/>
  <c r="AD8" i="34" s="1"/>
  <c r="AD7" i="34" s="1"/>
  <c r="AD6" i="34" s="1"/>
  <c r="AD5" i="34" s="1"/>
  <c r="AD13" i="34"/>
  <c r="AB97" i="34"/>
  <c r="AB81" i="34"/>
  <c r="AB29" i="34"/>
  <c r="AB118" i="34"/>
  <c r="R113" i="34"/>
  <c r="H80" i="34"/>
  <c r="AB219" i="34"/>
  <c r="AB283" i="34"/>
  <c r="AB431" i="34"/>
  <c r="AB416" i="34"/>
  <c r="AB354" i="34"/>
  <c r="AB396" i="34"/>
  <c r="AB309" i="34"/>
  <c r="AB403" i="34"/>
  <c r="AB461" i="34"/>
  <c r="AB546" i="34"/>
  <c r="AB532" i="34"/>
  <c r="AB507" i="34"/>
  <c r="AB565" i="34"/>
  <c r="AB485" i="34"/>
  <c r="AB516" i="34"/>
  <c r="AB496" i="34"/>
  <c r="R11" i="34"/>
  <c r="H82" i="34"/>
  <c r="H98" i="34"/>
  <c r="H118" i="34"/>
  <c r="R123" i="34"/>
  <c r="R293" i="34"/>
  <c r="R277" i="34"/>
  <c r="R261" i="34"/>
  <c r="R245" i="34"/>
  <c r="R229" i="34"/>
  <c r="R213" i="34"/>
  <c r="R197" i="34"/>
  <c r="R181" i="34"/>
  <c r="AL154" i="34"/>
  <c r="AB205" i="34"/>
  <c r="AB269" i="34"/>
  <c r="AB351" i="34"/>
  <c r="H138" i="34"/>
  <c r="R463" i="34"/>
  <c r="R452" i="34"/>
  <c r="R425" i="34"/>
  <c r="R409" i="34"/>
  <c r="R393" i="34"/>
  <c r="R377" i="34"/>
  <c r="R361" i="34"/>
  <c r="R345" i="34"/>
  <c r="R326" i="34"/>
  <c r="R342" i="34"/>
  <c r="AB753" i="34"/>
  <c r="AB737" i="34"/>
  <c r="AB700" i="34"/>
  <c r="C50" i="37"/>
  <c r="C49" i="37"/>
  <c r="R510" i="34"/>
  <c r="R538" i="34"/>
  <c r="AB633" i="34"/>
  <c r="R604" i="34"/>
  <c r="R487" i="34"/>
  <c r="R543" i="34"/>
  <c r="R546" i="34"/>
  <c r="AB693" i="34"/>
  <c r="AB684" i="34"/>
  <c r="AB620" i="34"/>
  <c r="R475" i="34"/>
  <c r="R519" i="34"/>
  <c r="R559" i="34"/>
  <c r="R526" i="34"/>
  <c r="R574" i="34"/>
  <c r="AB721" i="34"/>
  <c r="R466" i="34"/>
  <c r="R511" i="34"/>
  <c r="R567" i="34"/>
  <c r="C8" i="39"/>
  <c r="A9" i="39"/>
  <c r="D8" i="39"/>
  <c r="AH267" i="38" l="1"/>
  <c r="AH268" i="38" s="1"/>
  <c r="AH269" i="38" s="1"/>
  <c r="AH270" i="38" s="1"/>
  <c r="AH271" i="38" s="1"/>
  <c r="AH272" i="38" s="1"/>
  <c r="AH273" i="38" s="1"/>
  <c r="AH274" i="38" s="1"/>
  <c r="AG266" i="38"/>
  <c r="AH275" i="38"/>
  <c r="AG274" i="38"/>
  <c r="K56" i="34"/>
  <c r="L56" i="34" s="1"/>
  <c r="I35" i="34"/>
  <c r="AG288" i="38"/>
  <c r="P7" i="9"/>
  <c r="R70" i="7"/>
  <c r="R18" i="7"/>
  <c r="X19" i="7"/>
  <c r="Y19" i="7" s="1"/>
  <c r="K41" i="34"/>
  <c r="L41" i="34" s="1"/>
  <c r="AJ6" i="35"/>
  <c r="AJ7" i="35" s="1"/>
  <c r="K58" i="34"/>
  <c r="L58" i="34" s="1"/>
  <c r="K43" i="34"/>
  <c r="L43" i="34" s="1"/>
  <c r="B4" i="35"/>
  <c r="P8" i="9" s="1"/>
  <c r="I65" i="34"/>
  <c r="I62" i="34"/>
  <c r="G85" i="7"/>
  <c r="G24" i="7"/>
  <c r="G21" i="7"/>
  <c r="G31" i="7"/>
  <c r="G7" i="7"/>
  <c r="G50" i="7"/>
  <c r="G86" i="7"/>
  <c r="G93" i="7"/>
  <c r="G68" i="7"/>
  <c r="G37" i="7"/>
  <c r="G33" i="7"/>
  <c r="G52" i="7"/>
  <c r="G79" i="7"/>
  <c r="G22" i="7"/>
  <c r="G72" i="7"/>
  <c r="G40" i="7"/>
  <c r="G35" i="7"/>
  <c r="G49" i="7"/>
  <c r="G51" i="7"/>
  <c r="G17" i="7"/>
  <c r="G54" i="7"/>
  <c r="G34" i="7"/>
  <c r="R28" i="6"/>
  <c r="G143" i="6"/>
  <c r="R30" i="6"/>
  <c r="R45" i="33"/>
  <c r="R108" i="33"/>
  <c r="U22" i="33"/>
  <c r="V22" i="33" s="1"/>
  <c r="R31" i="4"/>
  <c r="R21" i="4"/>
  <c r="R45" i="4"/>
  <c r="R42" i="4"/>
  <c r="R55" i="4"/>
  <c r="R33" i="4"/>
  <c r="R62" i="4"/>
  <c r="R8" i="4"/>
  <c r="R38" i="4"/>
  <c r="R51" i="4"/>
  <c r="R36" i="4"/>
  <c r="R53" i="4"/>
  <c r="R59" i="4"/>
  <c r="R57" i="4"/>
  <c r="R13" i="4"/>
  <c r="R10" i="4"/>
  <c r="R7" i="4"/>
  <c r="R14" i="4"/>
  <c r="R27" i="4"/>
  <c r="R19" i="4"/>
  <c r="R44" i="4"/>
  <c r="R34" i="4"/>
  <c r="R9" i="4"/>
  <c r="R25" i="4"/>
  <c r="R28" i="4"/>
  <c r="R48" i="4"/>
  <c r="R37" i="4"/>
  <c r="R50" i="4"/>
  <c r="R56" i="4"/>
  <c r="R41" i="4"/>
  <c r="R32" i="4"/>
  <c r="R61" i="4"/>
  <c r="R58" i="4"/>
  <c r="R24" i="4"/>
  <c r="R49" i="4"/>
  <c r="R11" i="4"/>
  <c r="R15" i="4"/>
  <c r="R54" i="4"/>
  <c r="R12" i="4"/>
  <c r="R60" i="4"/>
  <c r="R23" i="4"/>
  <c r="R20" i="4"/>
  <c r="R40" i="4"/>
  <c r="R18" i="4"/>
  <c r="R52" i="4"/>
  <c r="R16" i="4"/>
  <c r="R22" i="4"/>
  <c r="R29" i="4"/>
  <c r="R26" i="4"/>
  <c r="R39" i="4"/>
  <c r="R17" i="4"/>
  <c r="R46" i="4"/>
  <c r="R43" i="4"/>
  <c r="R47" i="4"/>
  <c r="R35" i="4"/>
  <c r="I55" i="34"/>
  <c r="I57" i="34"/>
  <c r="I63" i="34"/>
  <c r="K45" i="34"/>
  <c r="L45" i="34" s="1"/>
  <c r="I42" i="34"/>
  <c r="K49" i="34"/>
  <c r="L49" i="34" s="1"/>
  <c r="K51" i="34"/>
  <c r="L51" i="34" s="1"/>
  <c r="K50" i="34"/>
  <c r="L50" i="34" s="1"/>
  <c r="K48" i="34"/>
  <c r="L48" i="34" s="1"/>
  <c r="K53" i="34"/>
  <c r="L53" i="34" s="1"/>
  <c r="K47" i="34"/>
  <c r="L47" i="34" s="1"/>
  <c r="I54" i="34"/>
  <c r="AE679" i="34"/>
  <c r="AF679" i="34" s="1"/>
  <c r="K151" i="34"/>
  <c r="L151" i="34" s="1"/>
  <c r="I38" i="34"/>
  <c r="K64" i="34"/>
  <c r="L64" i="34" s="1"/>
  <c r="I44" i="34"/>
  <c r="I52" i="34"/>
  <c r="I39" i="34"/>
  <c r="K61" i="34"/>
  <c r="L61" i="34" s="1"/>
  <c r="K36" i="34"/>
  <c r="L36" i="34" s="1"/>
  <c r="K37" i="34"/>
  <c r="L37" i="34" s="1"/>
  <c r="K66" i="34"/>
  <c r="L66" i="34" s="1"/>
  <c r="I59" i="34"/>
  <c r="I60" i="34"/>
  <c r="I40" i="34"/>
  <c r="U597" i="34"/>
  <c r="V597" i="34" s="1"/>
  <c r="BD6" i="35"/>
  <c r="BD7" i="35" s="1"/>
  <c r="AE613" i="34"/>
  <c r="AF613" i="34" s="1"/>
  <c r="U11" i="6"/>
  <c r="V11" i="6" s="1"/>
  <c r="U556" i="34"/>
  <c r="V556" i="34" s="1"/>
  <c r="X38" i="7"/>
  <c r="Y38" i="7" s="1"/>
  <c r="AC59" i="34"/>
  <c r="AE124" i="34"/>
  <c r="AF124" i="34" s="1"/>
  <c r="U474" i="34"/>
  <c r="V474" i="34" s="1"/>
  <c r="AE141" i="34"/>
  <c r="AF141" i="34" s="1"/>
  <c r="S331" i="34"/>
  <c r="U135" i="34"/>
  <c r="V135" i="34" s="1"/>
  <c r="U21" i="6"/>
  <c r="V21" i="6" s="1"/>
  <c r="AE11" i="34"/>
  <c r="AF11" i="34" s="1"/>
  <c r="AC57" i="34"/>
  <c r="S508" i="34"/>
  <c r="S493" i="34"/>
  <c r="S564" i="34"/>
  <c r="U149" i="34"/>
  <c r="V149" i="34" s="1"/>
  <c r="AC128" i="34"/>
  <c r="AC643" i="34"/>
  <c r="AE52" i="34"/>
  <c r="AF52" i="34" s="1"/>
  <c r="U193" i="6"/>
  <c r="X193" i="6" s="1"/>
  <c r="Y193" i="6" s="1"/>
  <c r="U139" i="6"/>
  <c r="V139" i="6" s="1"/>
  <c r="U149" i="6"/>
  <c r="X149" i="6" s="1"/>
  <c r="Y149" i="6" s="1"/>
  <c r="AE80" i="34"/>
  <c r="AF80" i="34" s="1"/>
  <c r="U200" i="6"/>
  <c r="V200" i="6" s="1"/>
  <c r="AC104" i="34"/>
  <c r="AC73" i="34"/>
  <c r="AE692" i="34"/>
  <c r="AF692" i="34" s="1"/>
  <c r="AE91" i="34"/>
  <c r="AF91" i="34" s="1"/>
  <c r="AE115" i="34"/>
  <c r="AF115" i="34" s="1"/>
  <c r="U94" i="6"/>
  <c r="V94" i="6" s="1"/>
  <c r="AC88" i="34"/>
  <c r="U137" i="6"/>
  <c r="V137" i="6" s="1"/>
  <c r="U72" i="6"/>
  <c r="X72" i="6" s="1"/>
  <c r="Y72" i="6" s="1"/>
  <c r="AE151" i="34"/>
  <c r="AF151" i="34" s="1"/>
  <c r="S6" i="34"/>
  <c r="AE72" i="34"/>
  <c r="AF72" i="34" s="1"/>
  <c r="AE135" i="34"/>
  <c r="AF135" i="34" s="1"/>
  <c r="AE84" i="34"/>
  <c r="AF84" i="34" s="1"/>
  <c r="AE138" i="34"/>
  <c r="AF138" i="34" s="1"/>
  <c r="AC715" i="34"/>
  <c r="AE134" i="34"/>
  <c r="AF134" i="34" s="1"/>
  <c r="AE65" i="34"/>
  <c r="AF65" i="34" s="1"/>
  <c r="AC69" i="34"/>
  <c r="AE25" i="34"/>
  <c r="AF25" i="34" s="1"/>
  <c r="S163" i="34"/>
  <c r="AC747" i="34"/>
  <c r="AE61" i="34"/>
  <c r="AF61" i="34" s="1"/>
  <c r="AE147" i="34"/>
  <c r="AF147" i="34" s="1"/>
  <c r="U43" i="34"/>
  <c r="V43" i="34" s="1"/>
  <c r="AC40" i="34"/>
  <c r="AE117" i="34"/>
  <c r="AF117" i="34" s="1"/>
  <c r="AC34" i="34"/>
  <c r="AC145" i="34"/>
  <c r="AE26" i="34"/>
  <c r="AF26" i="34" s="1"/>
  <c r="AE385" i="34"/>
  <c r="AF385" i="34" s="1"/>
  <c r="AE12" i="34"/>
  <c r="AF12" i="34" s="1"/>
  <c r="I152" i="34"/>
  <c r="I144" i="34"/>
  <c r="U572" i="34"/>
  <c r="V572" i="34" s="1"/>
  <c r="U110" i="33"/>
  <c r="V110" i="33" s="1"/>
  <c r="U130" i="33"/>
  <c r="X130" i="33" s="1"/>
  <c r="Y130" i="33" s="1"/>
  <c r="K19" i="34"/>
  <c r="L19" i="34" s="1"/>
  <c r="AE625" i="34"/>
  <c r="AF625" i="34" s="1"/>
  <c r="U39" i="33"/>
  <c r="V39" i="33" s="1"/>
  <c r="AC99" i="34"/>
  <c r="AC139" i="34"/>
  <c r="U153" i="33"/>
  <c r="V153" i="33" s="1"/>
  <c r="AC39" i="34"/>
  <c r="S603" i="34"/>
  <c r="U143" i="33"/>
  <c r="X143" i="33" s="1"/>
  <c r="Y143" i="33" s="1"/>
  <c r="U61" i="33"/>
  <c r="V61" i="33" s="1"/>
  <c r="U14" i="33"/>
  <c r="X14" i="33" s="1"/>
  <c r="Y14" i="33" s="1"/>
  <c r="U594" i="34"/>
  <c r="V594" i="34" s="1"/>
  <c r="U540" i="34"/>
  <c r="V540" i="34" s="1"/>
  <c r="S565" i="34"/>
  <c r="AC742" i="34"/>
  <c r="AO138" i="34"/>
  <c r="AP138" i="34" s="1"/>
  <c r="AE18" i="34"/>
  <c r="AF18" i="34" s="1"/>
  <c r="AE123" i="34"/>
  <c r="AF123" i="34" s="1"/>
  <c r="U533" i="34"/>
  <c r="V533" i="34" s="1"/>
  <c r="U263" i="34"/>
  <c r="V263" i="34" s="1"/>
  <c r="AC146" i="34"/>
  <c r="AE144" i="34"/>
  <c r="AF144" i="34" s="1"/>
  <c r="AE704" i="34"/>
  <c r="AF704" i="34" s="1"/>
  <c r="S158" i="34"/>
  <c r="U227" i="34"/>
  <c r="V227" i="34" s="1"/>
  <c r="S476" i="34"/>
  <c r="AC611" i="34"/>
  <c r="AE55" i="34"/>
  <c r="AF55" i="34" s="1"/>
  <c r="I136" i="34"/>
  <c r="K153" i="34"/>
  <c r="L153" i="34" s="1"/>
  <c r="K135" i="34"/>
  <c r="L135" i="34" s="1"/>
  <c r="I164" i="34"/>
  <c r="K163" i="34"/>
  <c r="L163" i="34" s="1"/>
  <c r="X66" i="7"/>
  <c r="Y66" i="7" s="1"/>
  <c r="X70" i="7"/>
  <c r="Y70" i="7" s="1"/>
  <c r="U47" i="4"/>
  <c r="X47" i="4" s="1"/>
  <c r="Y47" i="4" s="1"/>
  <c r="I155" i="34"/>
  <c r="K149" i="34"/>
  <c r="L149" i="34" s="1"/>
  <c r="I145" i="34"/>
  <c r="AC630" i="34"/>
  <c r="AC131" i="34"/>
  <c r="AC44" i="34"/>
  <c r="S461" i="34"/>
  <c r="AC678" i="34"/>
  <c r="AM163" i="34"/>
  <c r="AC638" i="34"/>
  <c r="AE51" i="34"/>
  <c r="AF51" i="34" s="1"/>
  <c r="S488" i="34"/>
  <c r="AE78" i="34"/>
  <c r="AF78" i="34" s="1"/>
  <c r="AC4" i="34"/>
  <c r="I11" i="34"/>
  <c r="U481" i="34"/>
  <c r="V481" i="34" s="1"/>
  <c r="AE50" i="34"/>
  <c r="AF50" i="34" s="1"/>
  <c r="K157" i="34"/>
  <c r="L157" i="34" s="1"/>
  <c r="AE23" i="34"/>
  <c r="AF23" i="34" s="1"/>
  <c r="I140" i="34"/>
  <c r="S276" i="34"/>
  <c r="AE8" i="34"/>
  <c r="AF8" i="34" s="1"/>
  <c r="I147" i="34"/>
  <c r="U29" i="4"/>
  <c r="V29" i="4" s="1"/>
  <c r="U37" i="4"/>
  <c r="X37" i="4" s="1"/>
  <c r="Y37" i="4" s="1"/>
  <c r="U8" i="4"/>
  <c r="X8" i="4" s="1"/>
  <c r="Y8" i="4" s="1"/>
  <c r="U39" i="4"/>
  <c r="V39" i="4" s="1"/>
  <c r="U41" i="4"/>
  <c r="X41" i="4" s="1"/>
  <c r="Y41" i="4" s="1"/>
  <c r="U19" i="4"/>
  <c r="X19" i="4" s="1"/>
  <c r="Y19" i="4" s="1"/>
  <c r="U48" i="4"/>
  <c r="X48" i="4" s="1"/>
  <c r="Y48" i="4" s="1"/>
  <c r="U27" i="4"/>
  <c r="V27" i="4" s="1"/>
  <c r="U26" i="4"/>
  <c r="V26" i="4" s="1"/>
  <c r="U31" i="4"/>
  <c r="V31" i="4" s="1"/>
  <c r="X77" i="33"/>
  <c r="Y77" i="33" s="1"/>
  <c r="V77" i="33"/>
  <c r="U37" i="33"/>
  <c r="V37" i="33" s="1"/>
  <c r="U59" i="33"/>
  <c r="V59" i="33" s="1"/>
  <c r="U119" i="33"/>
  <c r="V119" i="33" s="1"/>
  <c r="U94" i="33"/>
  <c r="V94" i="33" s="1"/>
  <c r="U146" i="33"/>
  <c r="X146" i="33" s="1"/>
  <c r="Y146" i="33" s="1"/>
  <c r="U102" i="33"/>
  <c r="X102" i="33" s="1"/>
  <c r="Y102" i="33" s="1"/>
  <c r="U86" i="33"/>
  <c r="V86" i="33" s="1"/>
  <c r="U23" i="4"/>
  <c r="X23" i="4" s="1"/>
  <c r="Y23" i="4" s="1"/>
  <c r="V52" i="7"/>
  <c r="U99" i="33"/>
  <c r="V99" i="33" s="1"/>
  <c r="U19" i="33"/>
  <c r="X19" i="33" s="1"/>
  <c r="Y19" i="33" s="1"/>
  <c r="U106" i="33"/>
  <c r="V106" i="33" s="1"/>
  <c r="AC24" i="34"/>
  <c r="AE24" i="34"/>
  <c r="AF24" i="34" s="1"/>
  <c r="AE35" i="34"/>
  <c r="AF35" i="34" s="1"/>
  <c r="AC35" i="34"/>
  <c r="AE71" i="34"/>
  <c r="AF71" i="34" s="1"/>
  <c r="AC71" i="34"/>
  <c r="AE108" i="34"/>
  <c r="AF108" i="34" s="1"/>
  <c r="AC108" i="34"/>
  <c r="AE110" i="34"/>
  <c r="AF110" i="34" s="1"/>
  <c r="AC110" i="34"/>
  <c r="AE7" i="34"/>
  <c r="AF7" i="34" s="1"/>
  <c r="AC7" i="34"/>
  <c r="U58" i="6"/>
  <c r="U55" i="6"/>
  <c r="X55" i="6" s="1"/>
  <c r="Y55" i="6" s="1"/>
  <c r="U44" i="6"/>
  <c r="X44" i="6" s="1"/>
  <c r="Y44" i="6" s="1"/>
  <c r="AE143" i="34"/>
  <c r="AF143" i="34" s="1"/>
  <c r="AE21" i="34"/>
  <c r="AF21" i="34" s="1"/>
  <c r="U7" i="6"/>
  <c r="V7" i="6" s="1"/>
  <c r="S541" i="34"/>
  <c r="I120" i="34"/>
  <c r="U117" i="6"/>
  <c r="X117" i="6" s="1"/>
  <c r="Y117" i="6" s="1"/>
  <c r="U62" i="6"/>
  <c r="V62" i="6" s="1"/>
  <c r="U190" i="6"/>
  <c r="V190" i="6" s="1"/>
  <c r="U112" i="34"/>
  <c r="V112" i="34" s="1"/>
  <c r="U65" i="6"/>
  <c r="X65" i="6" s="1"/>
  <c r="Y65" i="6" s="1"/>
  <c r="U104" i="6"/>
  <c r="V104" i="6" s="1"/>
  <c r="U171" i="6"/>
  <c r="V171" i="6" s="1"/>
  <c r="U43" i="6"/>
  <c r="V43" i="6" s="1"/>
  <c r="U50" i="6"/>
  <c r="V50" i="6" s="1"/>
  <c r="U199" i="6"/>
  <c r="X199" i="6" s="1"/>
  <c r="Y199" i="6" s="1"/>
  <c r="U84" i="6"/>
  <c r="X84" i="6" s="1"/>
  <c r="Y84" i="6" s="1"/>
  <c r="I69" i="34"/>
  <c r="K69" i="34"/>
  <c r="L69" i="34" s="1"/>
  <c r="U235" i="34"/>
  <c r="V235" i="34" s="1"/>
  <c r="S235" i="34"/>
  <c r="U211" i="34"/>
  <c r="V211" i="34" s="1"/>
  <c r="S211" i="34"/>
  <c r="AC120" i="34"/>
  <c r="AE120" i="34"/>
  <c r="AF120" i="34" s="1"/>
  <c r="AE140" i="34"/>
  <c r="AF140" i="34" s="1"/>
  <c r="AC140" i="34"/>
  <c r="AE54" i="34"/>
  <c r="AF54" i="34" s="1"/>
  <c r="AC54" i="34"/>
  <c r="S59" i="34"/>
  <c r="U59" i="34"/>
  <c r="V59" i="34" s="1"/>
  <c r="U18" i="6"/>
  <c r="U28" i="6"/>
  <c r="U191" i="6"/>
  <c r="X191" i="6" s="1"/>
  <c r="Y191" i="6" s="1"/>
  <c r="U92" i="6"/>
  <c r="X92" i="6" s="1"/>
  <c r="Y92" i="6" s="1"/>
  <c r="U60" i="6"/>
  <c r="U95" i="6"/>
  <c r="X95" i="6" s="1"/>
  <c r="Y95" i="6" s="1"/>
  <c r="U122" i="6"/>
  <c r="X122" i="6" s="1"/>
  <c r="Y122" i="6" s="1"/>
  <c r="U36" i="6"/>
  <c r="V36" i="6" s="1"/>
  <c r="U108" i="6"/>
  <c r="U15" i="6"/>
  <c r="X15" i="6" s="1"/>
  <c r="Y15" i="6" s="1"/>
  <c r="U148" i="6"/>
  <c r="X148" i="6" s="1"/>
  <c r="Y148" i="6" s="1"/>
  <c r="U20" i="6"/>
  <c r="X20" i="6" s="1"/>
  <c r="Y20" i="6" s="1"/>
  <c r="U119" i="6"/>
  <c r="X119" i="6" s="1"/>
  <c r="Y119" i="6" s="1"/>
  <c r="U202" i="6"/>
  <c r="X202" i="6" s="1"/>
  <c r="Y202" i="6" s="1"/>
  <c r="U135" i="6"/>
  <c r="U170" i="6"/>
  <c r="X170" i="6" s="1"/>
  <c r="Y170" i="6" s="1"/>
  <c r="U42" i="6"/>
  <c r="V42" i="6" s="1"/>
  <c r="U106" i="6"/>
  <c r="V106" i="6" s="1"/>
  <c r="U154" i="6"/>
  <c r="V154" i="6" s="1"/>
  <c r="U114" i="6"/>
  <c r="V114" i="6" s="1"/>
  <c r="U34" i="6"/>
  <c r="V34" i="6" s="1"/>
  <c r="U162" i="6"/>
  <c r="X162" i="6" s="1"/>
  <c r="Y162" i="6" s="1"/>
  <c r="U27" i="6"/>
  <c r="V27" i="6" s="1"/>
  <c r="U59" i="6"/>
  <c r="V59" i="6" s="1"/>
  <c r="U91" i="6"/>
  <c r="V91" i="6" s="1"/>
  <c r="U123" i="6"/>
  <c r="V123" i="6" s="1"/>
  <c r="U155" i="6"/>
  <c r="V155" i="6" s="1"/>
  <c r="U187" i="6"/>
  <c r="V187" i="6" s="1"/>
  <c r="U24" i="6"/>
  <c r="X24" i="6" s="1"/>
  <c r="Y24" i="6" s="1"/>
  <c r="U56" i="6"/>
  <c r="X56" i="6" s="1"/>
  <c r="Y56" i="6" s="1"/>
  <c r="U88" i="6"/>
  <c r="V88" i="6" s="1"/>
  <c r="U120" i="6"/>
  <c r="X120" i="6" s="1"/>
  <c r="Y120" i="6" s="1"/>
  <c r="U152" i="6"/>
  <c r="V152" i="6" s="1"/>
  <c r="U184" i="6"/>
  <c r="V184" i="6" s="1"/>
  <c r="U25" i="6"/>
  <c r="V25" i="6" s="1"/>
  <c r="U185" i="6"/>
  <c r="V185" i="6" s="1"/>
  <c r="U201" i="6"/>
  <c r="V201" i="6" s="1"/>
  <c r="U73" i="6"/>
  <c r="X73" i="6" s="1"/>
  <c r="Y73" i="6" s="1"/>
  <c r="U177" i="6"/>
  <c r="V177" i="6" s="1"/>
  <c r="U49" i="6"/>
  <c r="X49" i="6" s="1"/>
  <c r="Y49" i="6" s="1"/>
  <c r="U129" i="6"/>
  <c r="X129" i="6" s="1"/>
  <c r="Y129" i="6" s="1"/>
  <c r="U206" i="6"/>
  <c r="X206" i="6" s="1"/>
  <c r="Y206" i="6" s="1"/>
  <c r="U174" i="6"/>
  <c r="V174" i="6" s="1"/>
  <c r="U142" i="6"/>
  <c r="X142" i="6" s="1"/>
  <c r="Y142" i="6" s="1"/>
  <c r="U110" i="6"/>
  <c r="V110" i="6" s="1"/>
  <c r="U78" i="6"/>
  <c r="X78" i="6" s="1"/>
  <c r="Y78" i="6" s="1"/>
  <c r="U46" i="6"/>
  <c r="X46" i="6" s="1"/>
  <c r="Y46" i="6" s="1"/>
  <c r="U197" i="6"/>
  <c r="X197" i="6" s="1"/>
  <c r="Y197" i="6" s="1"/>
  <c r="U165" i="6"/>
  <c r="X165" i="6" s="1"/>
  <c r="Y165" i="6" s="1"/>
  <c r="U133" i="6"/>
  <c r="X133" i="6" s="1"/>
  <c r="Y133" i="6" s="1"/>
  <c r="U101" i="6"/>
  <c r="V101" i="6" s="1"/>
  <c r="U69" i="6"/>
  <c r="V69" i="6" s="1"/>
  <c r="U37" i="6"/>
  <c r="X37" i="6" s="1"/>
  <c r="Y37" i="6" s="1"/>
  <c r="U127" i="6"/>
  <c r="X127" i="6" s="1"/>
  <c r="Y127" i="6" s="1"/>
  <c r="U63" i="6"/>
  <c r="X63" i="6" s="1"/>
  <c r="Y63" i="6" s="1"/>
  <c r="U132" i="6"/>
  <c r="X132" i="6" s="1"/>
  <c r="Y132" i="6" s="1"/>
  <c r="U196" i="6"/>
  <c r="X196" i="6" s="1"/>
  <c r="Y196" i="6" s="1"/>
  <c r="U204" i="6"/>
  <c r="X204" i="6" s="1"/>
  <c r="Y204" i="6" s="1"/>
  <c r="U76" i="6"/>
  <c r="V76" i="6" s="1"/>
  <c r="U175" i="6"/>
  <c r="X175" i="6" s="1"/>
  <c r="Y175" i="6" s="1"/>
  <c r="U116" i="6"/>
  <c r="X116" i="6" s="1"/>
  <c r="Y116" i="6" s="1"/>
  <c r="U87" i="6"/>
  <c r="X87" i="6" s="1"/>
  <c r="Y87" i="6" s="1"/>
  <c r="U164" i="6"/>
  <c r="X164" i="6" s="1"/>
  <c r="Y164" i="6" s="1"/>
  <c r="U103" i="6"/>
  <c r="X103" i="6" s="1"/>
  <c r="Y103" i="6" s="1"/>
  <c r="U74" i="6"/>
  <c r="V74" i="6" s="1"/>
  <c r="U90" i="6"/>
  <c r="X90" i="6" s="1"/>
  <c r="Y90" i="6" s="1"/>
  <c r="U13" i="6"/>
  <c r="V13" i="6" s="1"/>
  <c r="U146" i="6"/>
  <c r="V146" i="6" s="1"/>
  <c r="U66" i="6"/>
  <c r="U194" i="6"/>
  <c r="X194" i="6" s="1"/>
  <c r="Y194" i="6" s="1"/>
  <c r="U35" i="6"/>
  <c r="X35" i="6" s="1"/>
  <c r="Y35" i="6" s="1"/>
  <c r="U67" i="6"/>
  <c r="V67" i="6" s="1"/>
  <c r="U99" i="6"/>
  <c r="X99" i="6" s="1"/>
  <c r="Y99" i="6" s="1"/>
  <c r="U131" i="6"/>
  <c r="U163" i="6"/>
  <c r="X163" i="6" s="1"/>
  <c r="Y163" i="6" s="1"/>
  <c r="U195" i="6"/>
  <c r="V195" i="6" s="1"/>
  <c r="U32" i="6"/>
  <c r="V32" i="6" s="1"/>
  <c r="U64" i="6"/>
  <c r="U96" i="6"/>
  <c r="U128" i="6"/>
  <c r="U160" i="6"/>
  <c r="X160" i="6" s="1"/>
  <c r="Y160" i="6" s="1"/>
  <c r="U192" i="6"/>
  <c r="X192" i="6" s="1"/>
  <c r="Y192" i="6" s="1"/>
  <c r="U89" i="6"/>
  <c r="V89" i="6" s="1"/>
  <c r="U121" i="6"/>
  <c r="X121" i="6" s="1"/>
  <c r="Y121" i="6" s="1"/>
  <c r="U57" i="6"/>
  <c r="V57" i="6" s="1"/>
  <c r="U169" i="6"/>
  <c r="V169" i="6" s="1"/>
  <c r="U41" i="6"/>
  <c r="V41" i="6" s="1"/>
  <c r="U145" i="6"/>
  <c r="V145" i="6" s="1"/>
  <c r="U17" i="6"/>
  <c r="V17" i="6" s="1"/>
  <c r="U97" i="6"/>
  <c r="V97" i="6" s="1"/>
  <c r="U198" i="6"/>
  <c r="V198" i="6" s="1"/>
  <c r="U166" i="6"/>
  <c r="X166" i="6" s="1"/>
  <c r="Y166" i="6" s="1"/>
  <c r="U134" i="6"/>
  <c r="V134" i="6" s="1"/>
  <c r="U102" i="6"/>
  <c r="V102" i="6" s="1"/>
  <c r="U70" i="6"/>
  <c r="X70" i="6" s="1"/>
  <c r="Y70" i="6" s="1"/>
  <c r="U38" i="6"/>
  <c r="X38" i="6" s="1"/>
  <c r="Y38" i="6" s="1"/>
  <c r="U189" i="6"/>
  <c r="X189" i="6" s="1"/>
  <c r="Y189" i="6" s="1"/>
  <c r="U157" i="6"/>
  <c r="V157" i="6" s="1"/>
  <c r="U125" i="6"/>
  <c r="X125" i="6" s="1"/>
  <c r="Y125" i="6" s="1"/>
  <c r="U93" i="6"/>
  <c r="X93" i="6" s="1"/>
  <c r="Y93" i="6" s="1"/>
  <c r="U61" i="6"/>
  <c r="X61" i="6" s="1"/>
  <c r="Y61" i="6" s="1"/>
  <c r="U29" i="6"/>
  <c r="V29" i="6" s="1"/>
  <c r="U124" i="6"/>
  <c r="U188" i="6"/>
  <c r="U31" i="6"/>
  <c r="U111" i="6"/>
  <c r="U68" i="6"/>
  <c r="U140" i="6"/>
  <c r="U12" i="6"/>
  <c r="U47" i="6"/>
  <c r="U180" i="6"/>
  <c r="U52" i="6"/>
  <c r="U151" i="6"/>
  <c r="U23" i="6"/>
  <c r="U167" i="6"/>
  <c r="U39" i="6"/>
  <c r="U138" i="6"/>
  <c r="X138" i="6" s="1"/>
  <c r="Y138" i="6" s="1"/>
  <c r="U82" i="6"/>
  <c r="U8" i="6"/>
  <c r="V8" i="6" s="1"/>
  <c r="U130" i="6"/>
  <c r="X130" i="6" s="1"/>
  <c r="Y130" i="6" s="1"/>
  <c r="U19" i="6"/>
  <c r="X19" i="6" s="1"/>
  <c r="Y19" i="6" s="1"/>
  <c r="U51" i="6"/>
  <c r="X51" i="6" s="1"/>
  <c r="Y51" i="6" s="1"/>
  <c r="U83" i="6"/>
  <c r="X83" i="6" s="1"/>
  <c r="Y83" i="6" s="1"/>
  <c r="U115" i="6"/>
  <c r="X115" i="6" s="1"/>
  <c r="Y115" i="6" s="1"/>
  <c r="U147" i="6"/>
  <c r="X147" i="6" s="1"/>
  <c r="Y147" i="6" s="1"/>
  <c r="U179" i="6"/>
  <c r="X179" i="6" s="1"/>
  <c r="Y179" i="6" s="1"/>
  <c r="U16" i="6"/>
  <c r="X16" i="6" s="1"/>
  <c r="Y16" i="6" s="1"/>
  <c r="U48" i="6"/>
  <c r="X48" i="6" s="1"/>
  <c r="Y48" i="6" s="1"/>
  <c r="U80" i="6"/>
  <c r="X80" i="6" s="1"/>
  <c r="Y80" i="6" s="1"/>
  <c r="U112" i="6"/>
  <c r="X112" i="6" s="1"/>
  <c r="Y112" i="6" s="1"/>
  <c r="U144" i="6"/>
  <c r="X144" i="6" s="1"/>
  <c r="Y144" i="6" s="1"/>
  <c r="U176" i="6"/>
  <c r="X176" i="6" s="1"/>
  <c r="Y176" i="6" s="1"/>
  <c r="U153" i="6"/>
  <c r="X153" i="6" s="1"/>
  <c r="Y153" i="6" s="1"/>
  <c r="U105" i="6"/>
  <c r="V105" i="6" s="1"/>
  <c r="U81" i="6"/>
  <c r="V81" i="6" s="1"/>
  <c r="U161" i="6"/>
  <c r="V161" i="6" s="1"/>
  <c r="U33" i="6"/>
  <c r="V33" i="6" s="1"/>
  <c r="U182" i="6"/>
  <c r="X182" i="6" s="1"/>
  <c r="Y182" i="6" s="1"/>
  <c r="U150" i="6"/>
  <c r="X150" i="6" s="1"/>
  <c r="Y150" i="6" s="1"/>
  <c r="U118" i="6"/>
  <c r="X118" i="6" s="1"/>
  <c r="Y118" i="6" s="1"/>
  <c r="U86" i="6"/>
  <c r="V86" i="6" s="1"/>
  <c r="U54" i="6"/>
  <c r="X54" i="6" s="1"/>
  <c r="Y54" i="6" s="1"/>
  <c r="U22" i="6"/>
  <c r="V22" i="6" s="1"/>
  <c r="U205" i="6"/>
  <c r="X205" i="6" s="1"/>
  <c r="Y205" i="6" s="1"/>
  <c r="U173" i="6"/>
  <c r="X173" i="6" s="1"/>
  <c r="Y173" i="6" s="1"/>
  <c r="U141" i="6"/>
  <c r="X141" i="6" s="1"/>
  <c r="Y141" i="6" s="1"/>
  <c r="U109" i="6"/>
  <c r="V109" i="6" s="1"/>
  <c r="U77" i="6"/>
  <c r="X77" i="6" s="1"/>
  <c r="Y77" i="6" s="1"/>
  <c r="U45" i="6"/>
  <c r="X45" i="6" s="1"/>
  <c r="Y45" i="6" s="1"/>
  <c r="U14" i="6"/>
  <c r="X14" i="6" s="1"/>
  <c r="Y14" i="6" s="1"/>
  <c r="U9" i="6"/>
  <c r="V9" i="6" s="1"/>
  <c r="S157" i="34"/>
  <c r="U157" i="34"/>
  <c r="V157" i="34" s="1"/>
  <c r="AE37" i="34"/>
  <c r="AF37" i="34" s="1"/>
  <c r="K148" i="34"/>
  <c r="L148" i="34" s="1"/>
  <c r="U53" i="6"/>
  <c r="X53" i="6" s="1"/>
  <c r="Y53" i="6" s="1"/>
  <c r="U181" i="6"/>
  <c r="V181" i="6" s="1"/>
  <c r="U126" i="6"/>
  <c r="V126" i="6" s="1"/>
  <c r="U113" i="6"/>
  <c r="X113" i="6" s="1"/>
  <c r="Y113" i="6" s="1"/>
  <c r="AC646" i="34"/>
  <c r="AE646" i="34"/>
  <c r="AF646" i="34" s="1"/>
  <c r="U460" i="34"/>
  <c r="V460" i="34" s="1"/>
  <c r="S460" i="34"/>
  <c r="AE696" i="34"/>
  <c r="AF696" i="34" s="1"/>
  <c r="AC696" i="34"/>
  <c r="I15" i="34"/>
  <c r="K15" i="34"/>
  <c r="L15" i="34" s="1"/>
  <c r="U168" i="6"/>
  <c r="X168" i="6" s="1"/>
  <c r="Y168" i="6" s="1"/>
  <c r="U40" i="6"/>
  <c r="V40" i="6" s="1"/>
  <c r="U107" i="6"/>
  <c r="V107" i="6" s="1"/>
  <c r="U98" i="6"/>
  <c r="V98" i="6" s="1"/>
  <c r="U183" i="6"/>
  <c r="X183" i="6" s="1"/>
  <c r="Y183" i="6" s="1"/>
  <c r="U172" i="6"/>
  <c r="X172" i="6" s="1"/>
  <c r="Y172" i="6" s="1"/>
  <c r="U186" i="6"/>
  <c r="V186" i="6" s="1"/>
  <c r="U517" i="34"/>
  <c r="V517" i="34" s="1"/>
  <c r="S517" i="34"/>
  <c r="AC70" i="34"/>
  <c r="AE70" i="34"/>
  <c r="AF70" i="34" s="1"/>
  <c r="AC82" i="34"/>
  <c r="AE82" i="34"/>
  <c r="AF82" i="34" s="1"/>
  <c r="AE42" i="34"/>
  <c r="AF42" i="34" s="1"/>
  <c r="AC42" i="34"/>
  <c r="AE17" i="34"/>
  <c r="AF17" i="34" s="1"/>
  <c r="AC17" i="34"/>
  <c r="U159" i="6"/>
  <c r="V159" i="6" s="1"/>
  <c r="AM158" i="34"/>
  <c r="AE3" i="34"/>
  <c r="AF3" i="34" s="1"/>
  <c r="U164" i="34"/>
  <c r="V164" i="34" s="1"/>
  <c r="AE642" i="34"/>
  <c r="AF642" i="34" s="1"/>
  <c r="K78" i="34"/>
  <c r="L78" i="34" s="1"/>
  <c r="AE6" i="34"/>
  <c r="AF6" i="34" s="1"/>
  <c r="AC142" i="34"/>
  <c r="I143" i="34"/>
  <c r="U10" i="6"/>
  <c r="X10" i="6" s="1"/>
  <c r="Y10" i="6" s="1"/>
  <c r="AE92" i="34"/>
  <c r="AF92" i="34" s="1"/>
  <c r="U85" i="6"/>
  <c r="V85" i="6" s="1"/>
  <c r="U30" i="6"/>
  <c r="X30" i="6" s="1"/>
  <c r="Y30" i="6" s="1"/>
  <c r="U158" i="6"/>
  <c r="X158" i="6" s="1"/>
  <c r="Y158" i="6" s="1"/>
  <c r="U423" i="34"/>
  <c r="V423" i="34" s="1"/>
  <c r="S423" i="34"/>
  <c r="U136" i="6"/>
  <c r="V136" i="6" s="1"/>
  <c r="U203" i="6"/>
  <c r="V203" i="6" s="1"/>
  <c r="U75" i="6"/>
  <c r="V75" i="6" s="1"/>
  <c r="U178" i="6"/>
  <c r="X178" i="6" s="1"/>
  <c r="Y178" i="6" s="1"/>
  <c r="U26" i="6"/>
  <c r="V26" i="6" s="1"/>
  <c r="U71" i="6"/>
  <c r="V71" i="6" s="1"/>
  <c r="U79" i="6"/>
  <c r="X79" i="6" s="1"/>
  <c r="Y79" i="6" s="1"/>
  <c r="U100" i="6"/>
  <c r="X100" i="6" s="1"/>
  <c r="Y100" i="6" s="1"/>
  <c r="U156" i="6"/>
  <c r="V156" i="6" s="1"/>
  <c r="V32" i="4"/>
  <c r="X32" i="4"/>
  <c r="Y32" i="4" s="1"/>
  <c r="AE132" i="34"/>
  <c r="AF132" i="34" s="1"/>
  <c r="U216" i="34"/>
  <c r="V216" i="34" s="1"/>
  <c r="AO149" i="34"/>
  <c r="AP149" i="34" s="1"/>
  <c r="AC740" i="34"/>
  <c r="U161" i="34"/>
  <c r="V161" i="34" s="1"/>
  <c r="U13" i="4"/>
  <c r="V13" i="4" s="1"/>
  <c r="U49" i="4"/>
  <c r="X49" i="4" s="1"/>
  <c r="Y49" i="4" s="1"/>
  <c r="U17" i="4"/>
  <c r="X17" i="4" s="1"/>
  <c r="Y17" i="4" s="1"/>
  <c r="U33" i="4"/>
  <c r="V33" i="4" s="1"/>
  <c r="U38" i="4"/>
  <c r="X38" i="4" s="1"/>
  <c r="Y38" i="4" s="1"/>
  <c r="U22" i="4"/>
  <c r="U18" i="4"/>
  <c r="X18" i="4" s="1"/>
  <c r="Y18" i="4" s="1"/>
  <c r="U16" i="4"/>
  <c r="X16" i="4" s="1"/>
  <c r="Y16" i="4" s="1"/>
  <c r="U46" i="4"/>
  <c r="V46" i="4" s="1"/>
  <c r="U42" i="4"/>
  <c r="X42" i="4" s="1"/>
  <c r="Y42" i="4" s="1"/>
  <c r="U55" i="4"/>
  <c r="X55" i="4" s="1"/>
  <c r="Y55" i="4" s="1"/>
  <c r="U58" i="4"/>
  <c r="U30" i="4"/>
  <c r="X30" i="4" s="1"/>
  <c r="Y30" i="4" s="1"/>
  <c r="U14" i="4"/>
  <c r="U56" i="4"/>
  <c r="AC102" i="34"/>
  <c r="X84" i="7"/>
  <c r="Y84" i="7" s="1"/>
  <c r="U45" i="4"/>
  <c r="X45" i="4" s="1"/>
  <c r="Y45" i="4" s="1"/>
  <c r="U60" i="4"/>
  <c r="X60" i="4" s="1"/>
  <c r="Y60" i="4" s="1"/>
  <c r="U57" i="4"/>
  <c r="X57" i="4" s="1"/>
  <c r="Y57" i="4" s="1"/>
  <c r="U54" i="4"/>
  <c r="U43" i="4"/>
  <c r="X43" i="4" s="1"/>
  <c r="Y43" i="4" s="1"/>
  <c r="U21" i="4"/>
  <c r="X21" i="4" s="1"/>
  <c r="Y21" i="4" s="1"/>
  <c r="U11" i="4"/>
  <c r="U12" i="4"/>
  <c r="U44" i="4"/>
  <c r="X44" i="4" s="1"/>
  <c r="Y44" i="4" s="1"/>
  <c r="U10" i="4"/>
  <c r="U62" i="4"/>
  <c r="U36" i="4"/>
  <c r="U50" i="4"/>
  <c r="U391" i="34"/>
  <c r="V391" i="34" s="1"/>
  <c r="AE107" i="34"/>
  <c r="AF107" i="34" s="1"/>
  <c r="V86" i="7"/>
  <c r="V31" i="7"/>
  <c r="AO92" i="34"/>
  <c r="AP92" i="34" s="1"/>
  <c r="K137" i="34"/>
  <c r="L137" i="34" s="1"/>
  <c r="U61" i="4"/>
  <c r="V61" i="4" s="1"/>
  <c r="U25" i="4"/>
  <c r="V25" i="4" s="1"/>
  <c r="U53" i="4"/>
  <c r="U51" i="4"/>
  <c r="X51" i="4" s="1"/>
  <c r="Y51" i="4" s="1"/>
  <c r="U24" i="4"/>
  <c r="U20" i="4"/>
  <c r="U9" i="4"/>
  <c r="U40" i="4"/>
  <c r="U28" i="4"/>
  <c r="U35" i="4"/>
  <c r="U15" i="4"/>
  <c r="U59" i="4"/>
  <c r="AO157" i="34"/>
  <c r="AP157" i="34" s="1"/>
  <c r="AM157" i="34"/>
  <c r="I150" i="34"/>
  <c r="K150" i="34"/>
  <c r="L150" i="34" s="1"/>
  <c r="I156" i="34"/>
  <c r="K156" i="34"/>
  <c r="L156" i="34" s="1"/>
  <c r="U96" i="33"/>
  <c r="U45" i="33"/>
  <c r="U108" i="33"/>
  <c r="U89" i="33"/>
  <c r="X89" i="33" s="1"/>
  <c r="Y89" i="33" s="1"/>
  <c r="U136" i="33"/>
  <c r="V136" i="33" s="1"/>
  <c r="U21" i="33"/>
  <c r="X21" i="33" s="1"/>
  <c r="Y21" i="33" s="1"/>
  <c r="U85" i="33"/>
  <c r="X85" i="33" s="1"/>
  <c r="Y85" i="33" s="1"/>
  <c r="U154" i="33"/>
  <c r="X154" i="33" s="1"/>
  <c r="Y154" i="33" s="1"/>
  <c r="U72" i="33"/>
  <c r="U69" i="33"/>
  <c r="V69" i="33" s="1"/>
  <c r="U93" i="33"/>
  <c r="V93" i="33" s="1"/>
  <c r="U73" i="33"/>
  <c r="V73" i="33" s="1"/>
  <c r="U74" i="33"/>
  <c r="V74" i="33" s="1"/>
  <c r="U92" i="33"/>
  <c r="V92" i="33" s="1"/>
  <c r="U70" i="33"/>
  <c r="V70" i="33" s="1"/>
  <c r="U88" i="33"/>
  <c r="V88" i="33" s="1"/>
  <c r="U13" i="33"/>
  <c r="V13" i="33" s="1"/>
  <c r="U65" i="33"/>
  <c r="V65" i="33" s="1"/>
  <c r="U82" i="33"/>
  <c r="V82" i="33" s="1"/>
  <c r="U68" i="33"/>
  <c r="V68" i="33" s="1"/>
  <c r="U62" i="33"/>
  <c r="V62" i="33" s="1"/>
  <c r="U49" i="33"/>
  <c r="V49" i="33" s="1"/>
  <c r="U98" i="33"/>
  <c r="V98" i="33" s="1"/>
  <c r="U116" i="33"/>
  <c r="V116" i="33" s="1"/>
  <c r="U78" i="33"/>
  <c r="X78" i="33" s="1"/>
  <c r="Y78" i="33" s="1"/>
  <c r="U31" i="33"/>
  <c r="V31" i="33" s="1"/>
  <c r="U95" i="33"/>
  <c r="V95" i="33" s="1"/>
  <c r="U123" i="33"/>
  <c r="V123" i="33" s="1"/>
  <c r="U11" i="33"/>
  <c r="X11" i="33" s="1"/>
  <c r="Y11" i="33" s="1"/>
  <c r="U55" i="33"/>
  <c r="X55" i="33" s="1"/>
  <c r="Y55" i="33" s="1"/>
  <c r="U115" i="33"/>
  <c r="V115" i="33" s="1"/>
  <c r="U147" i="33"/>
  <c r="X147" i="33" s="1"/>
  <c r="Y147" i="33" s="1"/>
  <c r="U51" i="33"/>
  <c r="V51" i="33" s="1"/>
  <c r="U141" i="33"/>
  <c r="V141" i="33" s="1"/>
  <c r="U133" i="33"/>
  <c r="V133" i="33" s="1"/>
  <c r="U75" i="33"/>
  <c r="X75" i="33" s="1"/>
  <c r="Y75" i="33" s="1"/>
  <c r="U113" i="33"/>
  <c r="X113" i="33" s="1"/>
  <c r="Y113" i="33" s="1"/>
  <c r="U145" i="33"/>
  <c r="X145" i="33" s="1"/>
  <c r="Y145" i="33" s="1"/>
  <c r="U48" i="33"/>
  <c r="V48" i="33" s="1"/>
  <c r="U57" i="33"/>
  <c r="U109" i="33"/>
  <c r="U150" i="33"/>
  <c r="U104" i="33"/>
  <c r="U90" i="33"/>
  <c r="U40" i="33"/>
  <c r="U26" i="33"/>
  <c r="U17" i="33"/>
  <c r="V17" i="33" s="1"/>
  <c r="U101" i="33"/>
  <c r="V101" i="33" s="1"/>
  <c r="U53" i="33"/>
  <c r="X53" i="33" s="1"/>
  <c r="Y53" i="33" s="1"/>
  <c r="U20" i="33"/>
  <c r="X20" i="33" s="1"/>
  <c r="Y20" i="33" s="1"/>
  <c r="U105" i="33"/>
  <c r="U42" i="33"/>
  <c r="V42" i="33" s="1"/>
  <c r="U60" i="33"/>
  <c r="V60" i="33" s="1"/>
  <c r="U38" i="33"/>
  <c r="U56" i="33"/>
  <c r="U97" i="33"/>
  <c r="V97" i="33" s="1"/>
  <c r="U50" i="33"/>
  <c r="V50" i="33" s="1"/>
  <c r="U36" i="33"/>
  <c r="U12" i="33"/>
  <c r="V12" i="33" s="1"/>
  <c r="U30" i="33"/>
  <c r="X30" i="33" s="1"/>
  <c r="Y30" i="33" s="1"/>
  <c r="U81" i="33"/>
  <c r="U66" i="33"/>
  <c r="V66" i="33" s="1"/>
  <c r="U84" i="33"/>
  <c r="U46" i="33"/>
  <c r="W18" i="33"/>
  <c r="W19" i="33" s="1"/>
  <c r="W20" i="33" s="1"/>
  <c r="W21" i="33" s="1"/>
  <c r="U47" i="33"/>
  <c r="V47" i="33" s="1"/>
  <c r="U111" i="33"/>
  <c r="V111" i="33" s="1"/>
  <c r="U135" i="33"/>
  <c r="X135" i="33" s="1"/>
  <c r="Y135" i="33" s="1"/>
  <c r="U7" i="33"/>
  <c r="V7" i="33" s="1"/>
  <c r="U71" i="33"/>
  <c r="X71" i="33" s="1"/>
  <c r="Y71" i="33" s="1"/>
  <c r="U127" i="33"/>
  <c r="X127" i="33" s="1"/>
  <c r="Y127" i="33" s="1"/>
  <c r="U117" i="33"/>
  <c r="X117" i="33" s="1"/>
  <c r="Y117" i="33" s="1"/>
  <c r="U67" i="33"/>
  <c r="V67" i="33" s="1"/>
  <c r="U155" i="33"/>
  <c r="V155" i="33" s="1"/>
  <c r="U27" i="33"/>
  <c r="V27" i="33" s="1"/>
  <c r="U91" i="33"/>
  <c r="V91" i="33" s="1"/>
  <c r="U121" i="33"/>
  <c r="V121" i="33" s="1"/>
  <c r="U144" i="33"/>
  <c r="X144" i="33" s="1"/>
  <c r="Y144" i="33" s="1"/>
  <c r="U18" i="33"/>
  <c r="X18" i="33" s="1"/>
  <c r="Y18" i="33" s="1"/>
  <c r="X82" i="7"/>
  <c r="Y82" i="7" s="1"/>
  <c r="V17" i="7"/>
  <c r="U489" i="34"/>
  <c r="V489" i="34" s="1"/>
  <c r="U154" i="34"/>
  <c r="V154" i="34" s="1"/>
  <c r="AC424" i="34"/>
  <c r="U43" i="33"/>
  <c r="X43" i="33" s="1"/>
  <c r="Y43" i="33" s="1"/>
  <c r="U83" i="33"/>
  <c r="X83" i="33" s="1"/>
  <c r="Y83" i="33" s="1"/>
  <c r="U23" i="33"/>
  <c r="V23" i="33" s="1"/>
  <c r="U8" i="33"/>
  <c r="V8" i="33" s="1"/>
  <c r="U52" i="33"/>
  <c r="V52" i="33" s="1"/>
  <c r="U33" i="33"/>
  <c r="U140" i="33"/>
  <c r="X140" i="33" s="1"/>
  <c r="Y140" i="33" s="1"/>
  <c r="U76" i="33"/>
  <c r="AE58" i="34"/>
  <c r="AF58" i="34" s="1"/>
  <c r="AC58" i="34"/>
  <c r="AC612" i="34"/>
  <c r="AE612" i="34"/>
  <c r="AF612" i="34" s="1"/>
  <c r="U122" i="33"/>
  <c r="AE674" i="34"/>
  <c r="AF674" i="34" s="1"/>
  <c r="K84" i="34"/>
  <c r="L84" i="34" s="1"/>
  <c r="AM22" i="34"/>
  <c r="S524" i="34"/>
  <c r="AE658" i="34"/>
  <c r="AF658" i="34" s="1"/>
  <c r="AE41" i="34"/>
  <c r="AF41" i="34" s="1"/>
  <c r="X20" i="7"/>
  <c r="Y20" i="7" s="1"/>
  <c r="U80" i="33"/>
  <c r="V80" i="33" s="1"/>
  <c r="U125" i="33"/>
  <c r="V125" i="33" s="1"/>
  <c r="U129" i="33"/>
  <c r="V129" i="33" s="1"/>
  <c r="U35" i="33"/>
  <c r="V35" i="33" s="1"/>
  <c r="U103" i="33"/>
  <c r="V103" i="33" s="1"/>
  <c r="U151" i="33"/>
  <c r="V151" i="33" s="1"/>
  <c r="U79" i="33"/>
  <c r="V79" i="33" s="1"/>
  <c r="AE640" i="34"/>
  <c r="AF640" i="34" s="1"/>
  <c r="AM161" i="34"/>
  <c r="AO161" i="34"/>
  <c r="AP161" i="34" s="1"/>
  <c r="U32" i="33"/>
  <c r="V32" i="33" s="1"/>
  <c r="U148" i="33"/>
  <c r="X148" i="33" s="1"/>
  <c r="Y148" i="33" s="1"/>
  <c r="U132" i="33"/>
  <c r="X132" i="33" s="1"/>
  <c r="Y132" i="33" s="1"/>
  <c r="U120" i="33"/>
  <c r="V120" i="33" s="1"/>
  <c r="U124" i="33"/>
  <c r="V124" i="33" s="1"/>
  <c r="U41" i="33"/>
  <c r="V41" i="33" s="1"/>
  <c r="U54" i="33"/>
  <c r="S146" i="34"/>
  <c r="U146" i="34"/>
  <c r="V146" i="34" s="1"/>
  <c r="U25" i="33"/>
  <c r="V25" i="33" s="1"/>
  <c r="U58" i="33"/>
  <c r="AM56" i="34"/>
  <c r="AO56" i="34"/>
  <c r="AP56" i="34" s="1"/>
  <c r="AE112" i="34"/>
  <c r="AF112" i="34" s="1"/>
  <c r="AE662" i="34"/>
  <c r="AF662" i="34" s="1"/>
  <c r="U15" i="33"/>
  <c r="X15" i="33" s="1"/>
  <c r="Y15" i="33" s="1"/>
  <c r="U131" i="33"/>
  <c r="V131" i="33" s="1"/>
  <c r="W16" i="33"/>
  <c r="W15" i="33" s="1"/>
  <c r="W14" i="33" s="1"/>
  <c r="W13" i="33" s="1"/>
  <c r="W12" i="33" s="1"/>
  <c r="W11" i="33" s="1"/>
  <c r="W10" i="33" s="1"/>
  <c r="AE129" i="34"/>
  <c r="AF129" i="34" s="1"/>
  <c r="U142" i="33"/>
  <c r="X142" i="33" s="1"/>
  <c r="Y142" i="33" s="1"/>
  <c r="U16" i="33"/>
  <c r="X16" i="33" s="1"/>
  <c r="Y16" i="33" s="1"/>
  <c r="U126" i="33"/>
  <c r="V126" i="33" s="1"/>
  <c r="U100" i="33"/>
  <c r="V100" i="33" s="1"/>
  <c r="U24" i="33"/>
  <c r="V24" i="33" s="1"/>
  <c r="U28" i="33"/>
  <c r="X28" i="33" s="1"/>
  <c r="Y28" i="33" s="1"/>
  <c r="U138" i="33"/>
  <c r="V138" i="33" s="1"/>
  <c r="U29" i="33"/>
  <c r="V29" i="33" s="1"/>
  <c r="U9" i="33"/>
  <c r="X9" i="33" s="1"/>
  <c r="Y9" i="33" s="1"/>
  <c r="I79" i="34"/>
  <c r="AE68" i="34"/>
  <c r="AF68" i="34" s="1"/>
  <c r="K159" i="34"/>
  <c r="L159" i="34" s="1"/>
  <c r="AE675" i="34"/>
  <c r="AF675" i="34" s="1"/>
  <c r="U112" i="33"/>
  <c r="V112" i="33" s="1"/>
  <c r="U107" i="33"/>
  <c r="V107" i="33" s="1"/>
  <c r="U137" i="33"/>
  <c r="V137" i="33" s="1"/>
  <c r="U149" i="33"/>
  <c r="X149" i="33" s="1"/>
  <c r="Y149" i="33" s="1"/>
  <c r="U87" i="33"/>
  <c r="X87" i="33" s="1"/>
  <c r="Y87" i="33" s="1"/>
  <c r="U139" i="33"/>
  <c r="V139" i="33" s="1"/>
  <c r="U63" i="33"/>
  <c r="V63" i="33" s="1"/>
  <c r="AC629" i="34"/>
  <c r="AC119" i="34"/>
  <c r="AM49" i="34"/>
  <c r="AM101" i="34"/>
  <c r="X92" i="7"/>
  <c r="Y92" i="7" s="1"/>
  <c r="U128" i="33"/>
  <c r="V128" i="33" s="1"/>
  <c r="U34" i="33"/>
  <c r="X34" i="33" s="1"/>
  <c r="Y34" i="33" s="1"/>
  <c r="U114" i="33"/>
  <c r="V114" i="33" s="1"/>
  <c r="U152" i="33"/>
  <c r="X152" i="33" s="1"/>
  <c r="Y152" i="33" s="1"/>
  <c r="U156" i="33"/>
  <c r="X156" i="33" s="1"/>
  <c r="Y156" i="33" s="1"/>
  <c r="U134" i="33"/>
  <c r="V134" i="33" s="1"/>
  <c r="U64" i="33"/>
  <c r="X64" i="33" s="1"/>
  <c r="Y64" i="33" s="1"/>
  <c r="U44" i="33"/>
  <c r="V44" i="33" s="1"/>
  <c r="AC672" i="34"/>
  <c r="AE672" i="34"/>
  <c r="AF672" i="34" s="1"/>
  <c r="AC109" i="34"/>
  <c r="AE109" i="34"/>
  <c r="AF109" i="34" s="1"/>
  <c r="AE46" i="34"/>
  <c r="AF46" i="34" s="1"/>
  <c r="AC46" i="34"/>
  <c r="AC49" i="34"/>
  <c r="AE49" i="34"/>
  <c r="AF49" i="34" s="1"/>
  <c r="AC100" i="34"/>
  <c r="AE100" i="34"/>
  <c r="AF100" i="34" s="1"/>
  <c r="AO137" i="34"/>
  <c r="AP137" i="34" s="1"/>
  <c r="AM137" i="34"/>
  <c r="U10" i="33"/>
  <c r="V10" i="33" s="1"/>
  <c r="U118" i="33"/>
  <c r="U34" i="4"/>
  <c r="U52" i="4"/>
  <c r="U7" i="4"/>
  <c r="V54" i="7"/>
  <c r="V22" i="7"/>
  <c r="DC9" i="12"/>
  <c r="DC10" i="12" s="1"/>
  <c r="V68" i="7"/>
  <c r="S240" i="34"/>
  <c r="S537" i="34"/>
  <c r="S203" i="34"/>
  <c r="K162" i="34"/>
  <c r="L162" i="34" s="1"/>
  <c r="S469" i="34"/>
  <c r="I142" i="34"/>
  <c r="AC745" i="34"/>
  <c r="AE322" i="34"/>
  <c r="AF322" i="34" s="1"/>
  <c r="V143" i="6"/>
  <c r="AE111" i="34"/>
  <c r="AF111" i="34" s="1"/>
  <c r="AC670" i="34"/>
  <c r="U376" i="34"/>
  <c r="V376" i="34" s="1"/>
  <c r="AC720" i="34"/>
  <c r="U451" i="34"/>
  <c r="V451" i="34" s="1"/>
  <c r="S598" i="34"/>
  <c r="K125" i="34"/>
  <c r="L125" i="34" s="1"/>
  <c r="AE667" i="34"/>
  <c r="AF667" i="34" s="1"/>
  <c r="AC732" i="34"/>
  <c r="U577" i="34"/>
  <c r="V577" i="34" s="1"/>
  <c r="AE106" i="34"/>
  <c r="AF106" i="34" s="1"/>
  <c r="AC712" i="34"/>
  <c r="X36" i="7"/>
  <c r="Y36" i="7" s="1"/>
  <c r="AC738" i="34"/>
  <c r="AO151" i="34"/>
  <c r="AP151" i="34" s="1"/>
  <c r="AC45" i="34"/>
  <c r="AE56" i="34"/>
  <c r="AF56" i="34" s="1"/>
  <c r="AE122" i="34"/>
  <c r="AF122" i="34" s="1"/>
  <c r="AM90" i="34"/>
  <c r="AE729" i="34"/>
  <c r="AF729" i="34" s="1"/>
  <c r="S492" i="34"/>
  <c r="AC626" i="34"/>
  <c r="AE149" i="34"/>
  <c r="AF149" i="34" s="1"/>
  <c r="AW5" i="35"/>
  <c r="AC36" i="34"/>
  <c r="U477" i="34"/>
  <c r="V477" i="34" s="1"/>
  <c r="AE133" i="34"/>
  <c r="AF133" i="34" s="1"/>
  <c r="AC20" i="34"/>
  <c r="AC687" i="34"/>
  <c r="S501" i="34"/>
  <c r="AE703" i="34"/>
  <c r="AF703" i="34" s="1"/>
  <c r="AO160" i="34"/>
  <c r="AP160" i="34" s="1"/>
  <c r="AC116" i="34"/>
  <c r="AC2" i="34"/>
  <c r="AC19" i="34"/>
  <c r="V50" i="7"/>
  <c r="AC713" i="34"/>
  <c r="U498" i="34"/>
  <c r="V498" i="34" s="1"/>
  <c r="AE683" i="34"/>
  <c r="AF683" i="34" s="1"/>
  <c r="U548" i="34"/>
  <c r="V548" i="34" s="1"/>
  <c r="AE709" i="34"/>
  <c r="AF709" i="34" s="1"/>
  <c r="AC648" i="34"/>
  <c r="S195" i="34"/>
  <c r="S275" i="34"/>
  <c r="AE101" i="34"/>
  <c r="AF101" i="34" s="1"/>
  <c r="U570" i="34"/>
  <c r="V570" i="34" s="1"/>
  <c r="K76" i="34"/>
  <c r="L76" i="34" s="1"/>
  <c r="AE688" i="34"/>
  <c r="AF688" i="34" s="1"/>
  <c r="AE653" i="34"/>
  <c r="AF653" i="34" s="1"/>
  <c r="AE707" i="34"/>
  <c r="AF707" i="34" s="1"/>
  <c r="AC95" i="34"/>
  <c r="AE79" i="34"/>
  <c r="AF79" i="34" s="1"/>
  <c r="U484" i="34"/>
  <c r="V484" i="34" s="1"/>
  <c r="U545" i="34"/>
  <c r="V545" i="34" s="1"/>
  <c r="AE725" i="34"/>
  <c r="AF725" i="34" s="1"/>
  <c r="AC649" i="34"/>
  <c r="U295" i="34"/>
  <c r="V295" i="34" s="1"/>
  <c r="V85" i="7"/>
  <c r="U184" i="34"/>
  <c r="V184" i="34" s="1"/>
  <c r="U505" i="34"/>
  <c r="V505" i="34" s="1"/>
  <c r="AE743" i="34"/>
  <c r="AF743" i="34" s="1"/>
  <c r="S219" i="34"/>
  <c r="AO57" i="34"/>
  <c r="AP57" i="34" s="1"/>
  <c r="U244" i="34"/>
  <c r="V244" i="34" s="1"/>
  <c r="U324" i="34"/>
  <c r="V324" i="34" s="1"/>
  <c r="AO35" i="34"/>
  <c r="AP35" i="34" s="1"/>
  <c r="AE617" i="34"/>
  <c r="AF617" i="34" s="1"/>
  <c r="U552" i="34"/>
  <c r="V552" i="34" s="1"/>
  <c r="AC710" i="34"/>
  <c r="AC10" i="34"/>
  <c r="U356" i="34"/>
  <c r="V356" i="34" s="1"/>
  <c r="S208" i="34"/>
  <c r="S307" i="34"/>
  <c r="AC628" i="34"/>
  <c r="AE362" i="34"/>
  <c r="AF362" i="34" s="1"/>
  <c r="AC706" i="34"/>
  <c r="S569" i="34"/>
  <c r="AC697" i="34"/>
  <c r="I27" i="34"/>
  <c r="X63" i="7"/>
  <c r="Y63" i="7" s="1"/>
  <c r="AC634" i="34"/>
  <c r="S57" i="34"/>
  <c r="I106" i="34"/>
  <c r="S516" i="34"/>
  <c r="S448" i="34"/>
  <c r="AC619" i="34"/>
  <c r="U580" i="34"/>
  <c r="V580" i="34" s="1"/>
  <c r="AE637" i="34"/>
  <c r="AF637" i="34" s="1"/>
  <c r="V34" i="7"/>
  <c r="AO80" i="34"/>
  <c r="AP80" i="34" s="1"/>
  <c r="AE750" i="34"/>
  <c r="AF750" i="34" s="1"/>
  <c r="AE137" i="34"/>
  <c r="AF137" i="34" s="1"/>
  <c r="AC686" i="34"/>
  <c r="AE60" i="34"/>
  <c r="AF60" i="34" s="1"/>
  <c r="S272" i="34"/>
  <c r="U291" i="34"/>
  <c r="V291" i="34" s="1"/>
  <c r="AM135" i="34"/>
  <c r="U482" i="34"/>
  <c r="V482" i="34" s="1"/>
  <c r="AE631" i="34"/>
  <c r="AF631" i="34" s="1"/>
  <c r="S288" i="34"/>
  <c r="S513" i="34"/>
  <c r="U217" i="34"/>
  <c r="V217" i="34" s="1"/>
  <c r="AE739" i="34"/>
  <c r="AF739" i="34" s="1"/>
  <c r="K74" i="34"/>
  <c r="L74" i="34" s="1"/>
  <c r="AE47" i="34"/>
  <c r="AF47" i="34" s="1"/>
  <c r="U544" i="34"/>
  <c r="V544" i="34" s="1"/>
  <c r="X87" i="7"/>
  <c r="Y87" i="7" s="1"/>
  <c r="AC136" i="34"/>
  <c r="AO146" i="34"/>
  <c r="AP146" i="34" s="1"/>
  <c r="S595" i="34"/>
  <c r="U442" i="34"/>
  <c r="V442" i="34" s="1"/>
  <c r="S162" i="34"/>
  <c r="K116" i="34"/>
  <c r="L116" i="34" s="1"/>
  <c r="U304" i="34"/>
  <c r="V304" i="34" s="1"/>
  <c r="AM17" i="34"/>
  <c r="U338" i="34"/>
  <c r="V338" i="34" s="1"/>
  <c r="U249" i="34"/>
  <c r="V249" i="34" s="1"/>
  <c r="AE5" i="34"/>
  <c r="AF5" i="34" s="1"/>
  <c r="U215" i="34"/>
  <c r="V215" i="34" s="1"/>
  <c r="S464" i="34"/>
  <c r="AC694" i="34"/>
  <c r="U200" i="34"/>
  <c r="V200" i="34" s="1"/>
  <c r="S473" i="34"/>
  <c r="AC722" i="34"/>
  <c r="S187" i="34"/>
  <c r="S299" i="34"/>
  <c r="AC103" i="34"/>
  <c r="AM58" i="34"/>
  <c r="S480" i="34"/>
  <c r="K87" i="34"/>
  <c r="L87" i="34" s="1"/>
  <c r="S411" i="34"/>
  <c r="AE31" i="34"/>
  <c r="AF31" i="34" s="1"/>
  <c r="V51" i="7"/>
  <c r="AE610" i="34"/>
  <c r="AF610" i="34" s="1"/>
  <c r="AC98" i="34"/>
  <c r="AE14" i="34"/>
  <c r="AF14" i="34" s="1"/>
  <c r="AE77" i="34"/>
  <c r="AF77" i="34" s="1"/>
  <c r="I158" i="34"/>
  <c r="V72" i="7"/>
  <c r="AC735" i="34"/>
  <c r="S602" i="34"/>
  <c r="AC148" i="34"/>
  <c r="V37" i="7"/>
  <c r="AC470" i="34"/>
  <c r="AM156" i="34"/>
  <c r="AC718" i="34"/>
  <c r="AE94" i="34"/>
  <c r="AF94" i="34" s="1"/>
  <c r="U587" i="34"/>
  <c r="V587" i="34" s="1"/>
  <c r="S232" i="34"/>
  <c r="AC664" i="34"/>
  <c r="K21" i="34"/>
  <c r="L21" i="34" s="1"/>
  <c r="S156" i="34"/>
  <c r="I9" i="34"/>
  <c r="AE43" i="34"/>
  <c r="AF43" i="34" s="1"/>
  <c r="AO46" i="34"/>
  <c r="AP46" i="34" s="1"/>
  <c r="U370" i="34"/>
  <c r="V370" i="34" s="1"/>
  <c r="AC650" i="34"/>
  <c r="AE645" i="34"/>
  <c r="AF645" i="34" s="1"/>
  <c r="AC22" i="34"/>
  <c r="AE622" i="34"/>
  <c r="AF622" i="34" s="1"/>
  <c r="AE695" i="34"/>
  <c r="AF695" i="34" s="1"/>
  <c r="AC714" i="34"/>
  <c r="U22" i="34"/>
  <c r="V22" i="34" s="1"/>
  <c r="AE66" i="34"/>
  <c r="AF66" i="34" s="1"/>
  <c r="AE726" i="34"/>
  <c r="AF726" i="34" s="1"/>
  <c r="AE651" i="34"/>
  <c r="AF651" i="34" s="1"/>
  <c r="AC9" i="34"/>
  <c r="AC606" i="34"/>
  <c r="AE669" i="34"/>
  <c r="AF669" i="34" s="1"/>
  <c r="AC751" i="34"/>
  <c r="S407" i="34"/>
  <c r="AE87" i="34"/>
  <c r="AF87" i="34" s="1"/>
  <c r="AC27" i="34"/>
  <c r="AC609" i="34"/>
  <c r="AM152" i="34"/>
  <c r="AC677" i="34"/>
  <c r="AC387" i="34"/>
  <c r="U248" i="34"/>
  <c r="V248" i="34" s="1"/>
  <c r="U521" i="34"/>
  <c r="V521" i="34" s="1"/>
  <c r="AE621" i="34"/>
  <c r="AF621" i="34" s="1"/>
  <c r="AE724" i="34"/>
  <c r="AF724" i="34" s="1"/>
  <c r="U251" i="34"/>
  <c r="V251" i="34" s="1"/>
  <c r="AC33" i="34"/>
  <c r="AC74" i="34"/>
  <c r="AC105" i="34"/>
  <c r="U494" i="34"/>
  <c r="V494" i="34" s="1"/>
  <c r="AC755" i="34"/>
  <c r="AE93" i="34"/>
  <c r="AF93" i="34" s="1"/>
  <c r="AC654" i="34"/>
  <c r="U455" i="34"/>
  <c r="V455" i="34" s="1"/>
  <c r="AE397" i="34"/>
  <c r="AF397" i="34" s="1"/>
  <c r="S99" i="34"/>
  <c r="AC699" i="34"/>
  <c r="AE748" i="34"/>
  <c r="AF748" i="34" s="1"/>
  <c r="U388" i="34"/>
  <c r="V388" i="34" s="1"/>
  <c r="S561" i="34"/>
  <c r="U497" i="34"/>
  <c r="V497" i="34" s="1"/>
  <c r="AE114" i="34"/>
  <c r="AF114" i="34" s="1"/>
  <c r="S523" i="34"/>
  <c r="K30" i="34"/>
  <c r="L30" i="34" s="1"/>
  <c r="V49" i="7"/>
  <c r="AO13" i="34"/>
  <c r="AP13" i="34" s="1"/>
  <c r="S490" i="34"/>
  <c r="I83" i="34"/>
  <c r="U585" i="34"/>
  <c r="V585" i="34" s="1"/>
  <c r="U590" i="34"/>
  <c r="V590" i="34" s="1"/>
  <c r="K92" i="34"/>
  <c r="L92" i="34" s="1"/>
  <c r="AM153" i="34"/>
  <c r="U286" i="34"/>
  <c r="V286" i="34" s="1"/>
  <c r="AO142" i="34"/>
  <c r="AP142" i="34" s="1"/>
  <c r="AC624" i="34"/>
  <c r="U279" i="34"/>
  <c r="V279" i="34" s="1"/>
  <c r="AC16" i="34"/>
  <c r="AC733" i="34"/>
  <c r="S504" i="34"/>
  <c r="AE655" i="34"/>
  <c r="AF655" i="34" s="1"/>
  <c r="AE126" i="34"/>
  <c r="AF126" i="34" s="1"/>
  <c r="S549" i="34"/>
  <c r="I88" i="34"/>
  <c r="U169" i="34"/>
  <c r="V169" i="34" s="1"/>
  <c r="AC75" i="34"/>
  <c r="S500" i="34"/>
  <c r="AC663" i="34"/>
  <c r="U429" i="34"/>
  <c r="V429" i="34" s="1"/>
  <c r="AE13" i="34"/>
  <c r="AF13" i="34" s="1"/>
  <c r="K96" i="34"/>
  <c r="L96" i="34" s="1"/>
  <c r="X53" i="7"/>
  <c r="Y53" i="7" s="1"/>
  <c r="U465" i="34"/>
  <c r="V465" i="34" s="1"/>
  <c r="AC719" i="34"/>
  <c r="AC723" i="34"/>
  <c r="I127" i="34"/>
  <c r="S260" i="34"/>
  <c r="K33" i="34"/>
  <c r="L33" i="34" s="1"/>
  <c r="S581" i="34"/>
  <c r="K141" i="34"/>
  <c r="L141" i="34" s="1"/>
  <c r="AE698" i="34"/>
  <c r="AF698" i="34" s="1"/>
  <c r="AO5" i="34"/>
  <c r="AP5" i="34" s="1"/>
  <c r="AM50" i="34"/>
  <c r="U471" i="34"/>
  <c r="V471" i="34" s="1"/>
  <c r="AE746" i="34"/>
  <c r="AF746" i="34" s="1"/>
  <c r="U270" i="34"/>
  <c r="V270" i="34" s="1"/>
  <c r="K129" i="34"/>
  <c r="L129" i="34" s="1"/>
  <c r="AE48" i="34"/>
  <c r="AF48" i="34" s="1"/>
  <c r="U413" i="34"/>
  <c r="V413" i="34" s="1"/>
  <c r="S265" i="34"/>
  <c r="V79" i="7"/>
  <c r="U305" i="34"/>
  <c r="V305" i="34" s="1"/>
  <c r="AC63" i="34"/>
  <c r="V93" i="7"/>
  <c r="AC76" i="34"/>
  <c r="AM155" i="34"/>
  <c r="U297" i="34"/>
  <c r="V297" i="34" s="1"/>
  <c r="S297" i="34"/>
  <c r="AO4" i="34"/>
  <c r="AP4" i="34" s="1"/>
  <c r="AM4" i="34"/>
  <c r="AC337" i="34"/>
  <c r="AE337" i="34"/>
  <c r="AF337" i="34" s="1"/>
  <c r="S247" i="34"/>
  <c r="U247" i="34"/>
  <c r="V247" i="34" s="1"/>
  <c r="AO64" i="34"/>
  <c r="AP64" i="34" s="1"/>
  <c r="AM64" i="34"/>
  <c r="S196" i="34"/>
  <c r="U196" i="34"/>
  <c r="V196" i="34" s="1"/>
  <c r="X95" i="7"/>
  <c r="Y95" i="7" s="1"/>
  <c r="V95" i="7"/>
  <c r="S365" i="34"/>
  <c r="U365" i="34"/>
  <c r="V365" i="34" s="1"/>
  <c r="U420" i="34"/>
  <c r="V420" i="34" s="1"/>
  <c r="K94" i="34"/>
  <c r="L94" i="34" s="1"/>
  <c r="U347" i="34"/>
  <c r="V347" i="34" s="1"/>
  <c r="U547" i="34"/>
  <c r="V547" i="34" s="1"/>
  <c r="AE659" i="34"/>
  <c r="AF659" i="34" s="1"/>
  <c r="U447" i="34"/>
  <c r="V447" i="34" s="1"/>
  <c r="U222" i="34"/>
  <c r="V222" i="34" s="1"/>
  <c r="I73" i="34"/>
  <c r="AE616" i="34"/>
  <c r="AF616" i="34" s="1"/>
  <c r="S512" i="34"/>
  <c r="U599" i="34"/>
  <c r="V599" i="34" s="1"/>
  <c r="U153" i="34"/>
  <c r="V153" i="34" s="1"/>
  <c r="U509" i="34"/>
  <c r="V509" i="34" s="1"/>
  <c r="AC701" i="34"/>
  <c r="U395" i="34"/>
  <c r="V395" i="34" s="1"/>
  <c r="S199" i="34"/>
  <c r="AC754" i="34"/>
  <c r="S520" i="34"/>
  <c r="U591" i="34"/>
  <c r="V591" i="34" s="1"/>
  <c r="S485" i="34"/>
  <c r="AC661" i="34"/>
  <c r="AE731" i="34"/>
  <c r="AF731" i="34" s="1"/>
  <c r="AE96" i="34"/>
  <c r="AF96" i="34" s="1"/>
  <c r="I109" i="34"/>
  <c r="S555" i="34"/>
  <c r="AC657" i="34"/>
  <c r="AE67" i="34"/>
  <c r="AF67" i="34" s="1"/>
  <c r="S470" i="34"/>
  <c r="S333" i="34"/>
  <c r="U174" i="34"/>
  <c r="V174" i="34" s="1"/>
  <c r="AE90" i="34"/>
  <c r="AF90" i="34" s="1"/>
  <c r="V24" i="7"/>
  <c r="I75" i="34"/>
  <c r="AM150" i="34"/>
  <c r="I25" i="34"/>
  <c r="AC121" i="34"/>
  <c r="AM165" i="34"/>
  <c r="U185" i="34"/>
  <c r="V185" i="34" s="1"/>
  <c r="AM42" i="34"/>
  <c r="K134" i="34"/>
  <c r="L134" i="34" s="1"/>
  <c r="I5" i="34"/>
  <c r="AO139" i="34"/>
  <c r="AP139" i="34" s="1"/>
  <c r="AM20" i="34"/>
  <c r="AC607" i="34"/>
  <c r="U317" i="34"/>
  <c r="V317" i="34" s="1"/>
  <c r="K108" i="34"/>
  <c r="L108" i="34" s="1"/>
  <c r="U576" i="34"/>
  <c r="V576" i="34" s="1"/>
  <c r="AE639" i="34"/>
  <c r="AF639" i="34" s="1"/>
  <c r="AE736" i="34"/>
  <c r="AF736" i="34" s="1"/>
  <c r="AE328" i="34"/>
  <c r="AF328" i="34" s="1"/>
  <c r="S573" i="34"/>
  <c r="AC656" i="34"/>
  <c r="S456" i="34"/>
  <c r="AC64" i="34"/>
  <c r="AM61" i="34"/>
  <c r="X83" i="7"/>
  <c r="Y83" i="7" s="1"/>
  <c r="AE676" i="34"/>
  <c r="AF676" i="34" s="1"/>
  <c r="AE53" i="34"/>
  <c r="AF53" i="34" s="1"/>
  <c r="AE689" i="34"/>
  <c r="AF689" i="34" s="1"/>
  <c r="U584" i="34"/>
  <c r="V584" i="34" s="1"/>
  <c r="AE623" i="34"/>
  <c r="AF623" i="34" s="1"/>
  <c r="AE728" i="34"/>
  <c r="AF728" i="34" s="1"/>
  <c r="AC32" i="34"/>
  <c r="AC113" i="34"/>
  <c r="AC83" i="34"/>
  <c r="S575" i="34"/>
  <c r="X98" i="7"/>
  <c r="Y98" i="7" s="1"/>
  <c r="U302" i="34"/>
  <c r="V302" i="34" s="1"/>
  <c r="U424" i="34"/>
  <c r="V424" i="34" s="1"/>
  <c r="K22" i="34"/>
  <c r="L22" i="34" s="1"/>
  <c r="AM3" i="34"/>
  <c r="AE482" i="34"/>
  <c r="AF482" i="34" s="1"/>
  <c r="AO91" i="34"/>
  <c r="AP91" i="34" s="1"/>
  <c r="U176" i="34"/>
  <c r="V176" i="34" s="1"/>
  <c r="U328" i="34"/>
  <c r="V328" i="34" s="1"/>
  <c r="I14" i="34"/>
  <c r="S281" i="34"/>
  <c r="AC404" i="34"/>
  <c r="K31" i="34"/>
  <c r="L31" i="34" s="1"/>
  <c r="AC636" i="34"/>
  <c r="U528" i="34"/>
  <c r="V528" i="34" s="1"/>
  <c r="AC682" i="34"/>
  <c r="U408" i="34"/>
  <c r="V408" i="34" s="1"/>
  <c r="S557" i="34"/>
  <c r="U231" i="34"/>
  <c r="V231" i="34" s="1"/>
  <c r="V35" i="7"/>
  <c r="AE62" i="34"/>
  <c r="AF62" i="34" s="1"/>
  <c r="U568" i="34"/>
  <c r="V568" i="34" s="1"/>
  <c r="AC691" i="34"/>
  <c r="AE744" i="34"/>
  <c r="AF744" i="34" s="1"/>
  <c r="K16" i="34"/>
  <c r="L16" i="34" s="1"/>
  <c r="AM47" i="34"/>
  <c r="U530" i="34"/>
  <c r="V530" i="34" s="1"/>
  <c r="K122" i="34"/>
  <c r="L122" i="34" s="1"/>
  <c r="S386" i="34"/>
  <c r="V33" i="7"/>
  <c r="S562" i="34"/>
  <c r="S433" i="34"/>
  <c r="I3" i="34"/>
  <c r="U578" i="34"/>
  <c r="V578" i="34" s="1"/>
  <c r="V40" i="7"/>
  <c r="U330" i="34"/>
  <c r="V330" i="34" s="1"/>
  <c r="AC644" i="34"/>
  <c r="AS5" i="35"/>
  <c r="AR6" i="35"/>
  <c r="AM140" i="34"/>
  <c r="K2" i="34"/>
  <c r="L2" i="34" s="1"/>
  <c r="AC614" i="34"/>
  <c r="U507" i="34"/>
  <c r="V507" i="34" s="1"/>
  <c r="AE716" i="34"/>
  <c r="AF716" i="34" s="1"/>
  <c r="U201" i="34"/>
  <c r="V201" i="34" s="1"/>
  <c r="I28" i="34"/>
  <c r="S344" i="34"/>
  <c r="AO162" i="34"/>
  <c r="AP162" i="34" s="1"/>
  <c r="U243" i="34"/>
  <c r="V243" i="34" s="1"/>
  <c r="AE717" i="34"/>
  <c r="AF717" i="34" s="1"/>
  <c r="AE615" i="34"/>
  <c r="AF615" i="34" s="1"/>
  <c r="I91" i="34"/>
  <c r="AM164" i="34"/>
  <c r="U462" i="34"/>
  <c r="V462" i="34" s="1"/>
  <c r="I132" i="34"/>
  <c r="AM40" i="34"/>
  <c r="AE730" i="34"/>
  <c r="AF730" i="34" s="1"/>
  <c r="AC752" i="34"/>
  <c r="U468" i="34"/>
  <c r="V468" i="34" s="1"/>
  <c r="AC685" i="34"/>
  <c r="S560" i="34"/>
  <c r="U292" i="34"/>
  <c r="V292" i="34" s="1"/>
  <c r="AC38" i="34"/>
  <c r="AE680" i="34"/>
  <c r="AF680" i="34" s="1"/>
  <c r="S375" i="34"/>
  <c r="S379" i="34"/>
  <c r="S553" i="34"/>
  <c r="U283" i="34"/>
  <c r="V283" i="34" s="1"/>
  <c r="I104" i="34"/>
  <c r="AC671" i="34"/>
  <c r="I112" i="34"/>
  <c r="AE702" i="34"/>
  <c r="AF702" i="34" s="1"/>
  <c r="K12" i="34"/>
  <c r="L12" i="34" s="1"/>
  <c r="AM70" i="34"/>
  <c r="AO145" i="34"/>
  <c r="AP145" i="34" s="1"/>
  <c r="U601" i="34"/>
  <c r="V601" i="34" s="1"/>
  <c r="AM144" i="34"/>
  <c r="U349" i="34"/>
  <c r="V349" i="34" s="1"/>
  <c r="S349" i="34"/>
  <c r="V47" i="7"/>
  <c r="X47" i="7"/>
  <c r="Y47" i="7" s="1"/>
  <c r="U206" i="34"/>
  <c r="V206" i="34" s="1"/>
  <c r="S206" i="34"/>
  <c r="U306" i="34"/>
  <c r="V306" i="34" s="1"/>
  <c r="S306" i="34"/>
  <c r="S264" i="34"/>
  <c r="U264" i="34"/>
  <c r="V264" i="34" s="1"/>
  <c r="U363" i="34"/>
  <c r="V363" i="34" s="1"/>
  <c r="S363" i="34"/>
  <c r="AM141" i="34"/>
  <c r="AO141" i="34"/>
  <c r="AP141" i="34" s="1"/>
  <c r="S506" i="34"/>
  <c r="U506" i="34"/>
  <c r="V506" i="34" s="1"/>
  <c r="S418" i="34"/>
  <c r="U418" i="34"/>
  <c r="V418" i="34" s="1"/>
  <c r="I89" i="34"/>
  <c r="K89" i="34"/>
  <c r="L89" i="34" s="1"/>
  <c r="I26" i="34"/>
  <c r="K26" i="34"/>
  <c r="L26" i="34" s="1"/>
  <c r="U392" i="34"/>
  <c r="V392" i="34" s="1"/>
  <c r="S392" i="34"/>
  <c r="S212" i="34"/>
  <c r="U212" i="34"/>
  <c r="V212" i="34" s="1"/>
  <c r="AM147" i="34"/>
  <c r="AO147" i="34"/>
  <c r="AP147" i="34" s="1"/>
  <c r="U183" i="34"/>
  <c r="V183" i="34" s="1"/>
  <c r="S183" i="34"/>
  <c r="S267" i="34"/>
  <c r="U267" i="34"/>
  <c r="V267" i="34" s="1"/>
  <c r="K6" i="34"/>
  <c r="L6" i="34" s="1"/>
  <c r="I6" i="34"/>
  <c r="AE340" i="34"/>
  <c r="AF340" i="34" s="1"/>
  <c r="AC340" i="34"/>
  <c r="AO44" i="34"/>
  <c r="AP44" i="34" s="1"/>
  <c r="AM44" i="34"/>
  <c r="AM55" i="34"/>
  <c r="AO55" i="34"/>
  <c r="AP55" i="34" s="1"/>
  <c r="S312" i="34"/>
  <c r="U312" i="34"/>
  <c r="V312" i="34" s="1"/>
  <c r="AC30" i="34"/>
  <c r="AE30" i="34"/>
  <c r="AF30" i="34" s="1"/>
  <c r="S459" i="34"/>
  <c r="U459" i="34"/>
  <c r="V459" i="34" s="1"/>
  <c r="U596" i="34"/>
  <c r="V596" i="34" s="1"/>
  <c r="S596" i="34"/>
  <c r="AC130" i="34"/>
  <c r="AE130" i="34"/>
  <c r="AF130" i="34" s="1"/>
  <c r="U478" i="34"/>
  <c r="V478" i="34" s="1"/>
  <c r="S478" i="34"/>
  <c r="S171" i="34"/>
  <c r="U171" i="34"/>
  <c r="V171" i="34" s="1"/>
  <c r="S228" i="34"/>
  <c r="U228" i="34"/>
  <c r="V228" i="34" s="1"/>
  <c r="AC5" i="35"/>
  <c r="AB6" i="35"/>
  <c r="AC6" i="35" s="1"/>
  <c r="AC635" i="34"/>
  <c r="AE635" i="34"/>
  <c r="AF635" i="34" s="1"/>
  <c r="AE734" i="34"/>
  <c r="AF734" i="34" s="1"/>
  <c r="AC734" i="34"/>
  <c r="AC741" i="34"/>
  <c r="AE741" i="34"/>
  <c r="AF741" i="34" s="1"/>
  <c r="S536" i="34"/>
  <c r="U536" i="34"/>
  <c r="V536" i="34" s="1"/>
  <c r="U472" i="34"/>
  <c r="V472" i="34" s="1"/>
  <c r="S472" i="34"/>
  <c r="AE666" i="34"/>
  <c r="AF666" i="34" s="1"/>
  <c r="AC666" i="34"/>
  <c r="AE727" i="34"/>
  <c r="AF727" i="34" s="1"/>
  <c r="AC727" i="34"/>
  <c r="AM31" i="34"/>
  <c r="AO31" i="34"/>
  <c r="AP31" i="34" s="1"/>
  <c r="V67" i="7"/>
  <c r="X67" i="7"/>
  <c r="Y67" i="7" s="1"/>
  <c r="AC690" i="34"/>
  <c r="AE690" i="34"/>
  <c r="AF690" i="34" s="1"/>
  <c r="S457" i="34"/>
  <c r="U457" i="34"/>
  <c r="V457" i="34" s="1"/>
  <c r="AC627" i="34"/>
  <c r="AE627" i="34"/>
  <c r="AF627" i="34" s="1"/>
  <c r="U525" i="34"/>
  <c r="V525" i="34" s="1"/>
  <c r="S525" i="34"/>
  <c r="S586" i="34"/>
  <c r="U586" i="34"/>
  <c r="V586" i="34" s="1"/>
  <c r="AC708" i="34"/>
  <c r="AE708" i="34"/>
  <c r="AF708" i="34" s="1"/>
  <c r="K93" i="34"/>
  <c r="L93" i="34" s="1"/>
  <c r="U532" i="34"/>
  <c r="V532" i="34" s="1"/>
  <c r="S404" i="34"/>
  <c r="U529" i="34"/>
  <c r="V529" i="34" s="1"/>
  <c r="U179" i="34"/>
  <c r="V179" i="34" s="1"/>
  <c r="X69" i="7"/>
  <c r="Y69" i="7" s="1"/>
  <c r="V21" i="7"/>
  <c r="U296" i="34"/>
  <c r="V296" i="34" s="1"/>
  <c r="AC632" i="34"/>
  <c r="U593" i="34"/>
  <c r="V593" i="34" s="1"/>
  <c r="U254" i="34"/>
  <c r="V254" i="34" s="1"/>
  <c r="U496" i="34"/>
  <c r="V496" i="34" s="1"/>
  <c r="S180" i="34"/>
  <c r="I8" i="34"/>
  <c r="V7" i="7"/>
  <c r="AE749" i="34"/>
  <c r="AF749" i="34" s="1"/>
  <c r="X90" i="7"/>
  <c r="Y90" i="7" s="1"/>
  <c r="K17" i="34"/>
  <c r="L17" i="34" s="1"/>
  <c r="AC150" i="34"/>
  <c r="S359" i="34"/>
  <c r="K71" i="34"/>
  <c r="L71" i="34" s="1"/>
  <c r="K4" i="34"/>
  <c r="L4" i="34" s="1"/>
  <c r="U402" i="34"/>
  <c r="V402" i="34" s="1"/>
  <c r="S190" i="34"/>
  <c r="U343" i="34"/>
  <c r="V343" i="34" s="1"/>
  <c r="U360" i="34"/>
  <c r="V360" i="34" s="1"/>
  <c r="S450" i="34"/>
  <c r="I10" i="34"/>
  <c r="AO148" i="34"/>
  <c r="AP148" i="34" s="1"/>
  <c r="U397" i="34"/>
  <c r="V397" i="34" s="1"/>
  <c r="S437" i="34"/>
  <c r="U354" i="34"/>
  <c r="V354" i="34" s="1"/>
  <c r="U589" i="34"/>
  <c r="V589" i="34" s="1"/>
  <c r="U192" i="34"/>
  <c r="V192" i="34" s="1"/>
  <c r="U259" i="34"/>
  <c r="V259" i="34" s="1"/>
  <c r="U372" i="34"/>
  <c r="V372" i="34" s="1"/>
  <c r="AO136" i="34"/>
  <c r="AP136" i="34" s="1"/>
  <c r="U458" i="34"/>
  <c r="V458" i="34" s="1"/>
  <c r="AE435" i="34"/>
  <c r="AF435" i="34" s="1"/>
  <c r="AO14" i="34"/>
  <c r="AP14" i="34" s="1"/>
  <c r="S280" i="34"/>
  <c r="U518" i="34"/>
  <c r="V518" i="34" s="1"/>
  <c r="U381" i="34"/>
  <c r="V381" i="34" s="1"/>
  <c r="S427" i="34"/>
  <c r="U438" i="34"/>
  <c r="V438" i="34" s="1"/>
  <c r="U327" i="34"/>
  <c r="V327" i="34" s="1"/>
  <c r="S340" i="34"/>
  <c r="AM36" i="34"/>
  <c r="S322" i="34"/>
  <c r="S233" i="34"/>
  <c r="AC85" i="34"/>
  <c r="I7" i="34"/>
  <c r="U238" i="34"/>
  <c r="V238" i="34" s="1"/>
  <c r="X56" i="7"/>
  <c r="Y56" i="7" s="1"/>
  <c r="X73" i="7"/>
  <c r="Y73" i="7" s="1"/>
  <c r="BA5" i="35"/>
  <c r="AZ6" i="35"/>
  <c r="S313" i="34"/>
  <c r="U224" i="34"/>
  <c r="V224" i="34" s="1"/>
  <c r="U256" i="34"/>
  <c r="V256" i="34" s="1"/>
  <c r="AO159" i="34"/>
  <c r="AP159" i="34" s="1"/>
  <c r="AM134" i="34"/>
  <c r="AE313" i="34"/>
  <c r="AF313" i="34" s="1"/>
  <c r="K85" i="34"/>
  <c r="L85" i="34" s="1"/>
  <c r="U168" i="34"/>
  <c r="V168" i="34" s="1"/>
  <c r="AO5" i="35"/>
  <c r="AN6" i="35"/>
  <c r="U466" i="34"/>
  <c r="V466" i="34" s="1"/>
  <c r="S466" i="34"/>
  <c r="AE684" i="34"/>
  <c r="AF684" i="34" s="1"/>
  <c r="AC684" i="34"/>
  <c r="AC737" i="34"/>
  <c r="AE737" i="34"/>
  <c r="AF737" i="34" s="1"/>
  <c r="K138" i="34"/>
  <c r="L138" i="34" s="1"/>
  <c r="I138" i="34"/>
  <c r="S229" i="34"/>
  <c r="U229" i="34"/>
  <c r="V229" i="34" s="1"/>
  <c r="AE485" i="34"/>
  <c r="AF485" i="34" s="1"/>
  <c r="AC485" i="34"/>
  <c r="AE396" i="34"/>
  <c r="AF396" i="34" s="1"/>
  <c r="AC396" i="34"/>
  <c r="AE283" i="34"/>
  <c r="AF283" i="34" s="1"/>
  <c r="AC283" i="34"/>
  <c r="AC81" i="34"/>
  <c r="AE81" i="34"/>
  <c r="AF81" i="34" s="1"/>
  <c r="AE365" i="34"/>
  <c r="AF365" i="34" s="1"/>
  <c r="AC365" i="34"/>
  <c r="AE225" i="34"/>
  <c r="AF225" i="34" s="1"/>
  <c r="AC225" i="34"/>
  <c r="AO26" i="34"/>
  <c r="AP26" i="34" s="1"/>
  <c r="AM26" i="34"/>
  <c r="AE346" i="34"/>
  <c r="AF346" i="34" s="1"/>
  <c r="AC346" i="34"/>
  <c r="AM111" i="34"/>
  <c r="AO111" i="34"/>
  <c r="AP111" i="34" s="1"/>
  <c r="U64" i="34"/>
  <c r="V64" i="34" s="1"/>
  <c r="S64" i="34"/>
  <c r="AM114" i="34"/>
  <c r="AO114" i="34"/>
  <c r="AP114" i="34" s="1"/>
  <c r="S110" i="34"/>
  <c r="U110" i="34"/>
  <c r="V110" i="34" s="1"/>
  <c r="AE501" i="34"/>
  <c r="AF501" i="34" s="1"/>
  <c r="AC501" i="34"/>
  <c r="AE414" i="34"/>
  <c r="AF414" i="34" s="1"/>
  <c r="AC414" i="34"/>
  <c r="AE705" i="34"/>
  <c r="AF705" i="34" s="1"/>
  <c r="AC705" i="34"/>
  <c r="U588" i="34"/>
  <c r="V588" i="34" s="1"/>
  <c r="S588" i="34"/>
  <c r="U369" i="34"/>
  <c r="V369" i="34" s="1"/>
  <c r="S369" i="34"/>
  <c r="S189" i="34"/>
  <c r="U189" i="34"/>
  <c r="V189" i="34" s="1"/>
  <c r="AE596" i="34"/>
  <c r="AF596" i="34" s="1"/>
  <c r="AC596" i="34"/>
  <c r="AE187" i="34"/>
  <c r="AF187" i="34" s="1"/>
  <c r="AC187" i="34"/>
  <c r="U309" i="34"/>
  <c r="V309" i="34" s="1"/>
  <c r="S309" i="34"/>
  <c r="S210" i="34"/>
  <c r="U210" i="34"/>
  <c r="V210" i="34" s="1"/>
  <c r="S19" i="34"/>
  <c r="U19" i="34"/>
  <c r="V19" i="34" s="1"/>
  <c r="AE541" i="34"/>
  <c r="AF541" i="34" s="1"/>
  <c r="AC541" i="34"/>
  <c r="AE316" i="34"/>
  <c r="AF316" i="34" s="1"/>
  <c r="AC316" i="34"/>
  <c r="AE231" i="34"/>
  <c r="AF231" i="34" s="1"/>
  <c r="AC231" i="34"/>
  <c r="S79" i="34"/>
  <c r="U79" i="34"/>
  <c r="V79" i="34" s="1"/>
  <c r="U118" i="34"/>
  <c r="V118" i="34" s="1"/>
  <c r="S118" i="34"/>
  <c r="S396" i="34"/>
  <c r="U396" i="34"/>
  <c r="V396" i="34" s="1"/>
  <c r="I117" i="34"/>
  <c r="K117" i="34"/>
  <c r="L117" i="34" s="1"/>
  <c r="AE538" i="34"/>
  <c r="AF538" i="34" s="1"/>
  <c r="AC538" i="34"/>
  <c r="AO33" i="34"/>
  <c r="AP33" i="34" s="1"/>
  <c r="AM33" i="34"/>
  <c r="U351" i="34"/>
  <c r="V351" i="34" s="1"/>
  <c r="S351" i="34"/>
  <c r="S415" i="34"/>
  <c r="U415" i="34"/>
  <c r="V415" i="34" s="1"/>
  <c r="AE474" i="34"/>
  <c r="AF474" i="34" s="1"/>
  <c r="AC474" i="34"/>
  <c r="X88" i="7"/>
  <c r="Y88" i="7" s="1"/>
  <c r="V88" i="7"/>
  <c r="AE300" i="34"/>
  <c r="AF300" i="34" s="1"/>
  <c r="AC300" i="34"/>
  <c r="AE359" i="34"/>
  <c r="AF359" i="34" s="1"/>
  <c r="AC359" i="34"/>
  <c r="S511" i="34"/>
  <c r="U511" i="34"/>
  <c r="V511" i="34" s="1"/>
  <c r="S526" i="34"/>
  <c r="U526" i="34"/>
  <c r="V526" i="34" s="1"/>
  <c r="AE620" i="34"/>
  <c r="AF620" i="34" s="1"/>
  <c r="AC620" i="34"/>
  <c r="S543" i="34"/>
  <c r="U543" i="34"/>
  <c r="V543" i="34" s="1"/>
  <c r="S538" i="34"/>
  <c r="U538" i="34"/>
  <c r="V538" i="34" s="1"/>
  <c r="AE700" i="34"/>
  <c r="AF700" i="34" s="1"/>
  <c r="AC700" i="34"/>
  <c r="S326" i="34"/>
  <c r="U326" i="34"/>
  <c r="V326" i="34" s="1"/>
  <c r="U393" i="34"/>
  <c r="V393" i="34" s="1"/>
  <c r="S393" i="34"/>
  <c r="S463" i="34"/>
  <c r="U463" i="34"/>
  <c r="V463" i="34" s="1"/>
  <c r="AE205" i="34"/>
  <c r="AF205" i="34" s="1"/>
  <c r="AC205" i="34"/>
  <c r="S213" i="34"/>
  <c r="U213" i="34"/>
  <c r="V213" i="34" s="1"/>
  <c r="S277" i="34"/>
  <c r="U277" i="34"/>
  <c r="V277" i="34" s="1"/>
  <c r="I98" i="34"/>
  <c r="K98" i="34"/>
  <c r="L98" i="34" s="1"/>
  <c r="AE516" i="34"/>
  <c r="AF516" i="34" s="1"/>
  <c r="AC516" i="34"/>
  <c r="AE532" i="34"/>
  <c r="AF532" i="34" s="1"/>
  <c r="AC532" i="34"/>
  <c r="AC309" i="34"/>
  <c r="AE309" i="34"/>
  <c r="AF309" i="34" s="1"/>
  <c r="AE431" i="34"/>
  <c r="AF431" i="34" s="1"/>
  <c r="AC431" i="34"/>
  <c r="U113" i="34"/>
  <c r="V113" i="34" s="1"/>
  <c r="S113" i="34"/>
  <c r="AE29" i="34"/>
  <c r="AF29" i="34" s="1"/>
  <c r="AC29" i="34"/>
  <c r="AO103" i="34"/>
  <c r="AP103" i="34" s="1"/>
  <c r="AM103" i="34"/>
  <c r="S350" i="34"/>
  <c r="U350" i="34"/>
  <c r="V350" i="34" s="1"/>
  <c r="S414" i="34"/>
  <c r="U414" i="34"/>
  <c r="V414" i="34" s="1"/>
  <c r="AE490" i="34"/>
  <c r="AF490" i="34" s="1"/>
  <c r="AC490" i="34"/>
  <c r="S170" i="34"/>
  <c r="U170" i="34"/>
  <c r="V170" i="34" s="1"/>
  <c r="S234" i="34"/>
  <c r="U234" i="34"/>
  <c r="V234" i="34" s="1"/>
  <c r="S298" i="34"/>
  <c r="U298" i="34"/>
  <c r="V298" i="34" s="1"/>
  <c r="AE539" i="34"/>
  <c r="AF539" i="34" s="1"/>
  <c r="AC539" i="34"/>
  <c r="AE527" i="34"/>
  <c r="AF527" i="34" s="1"/>
  <c r="AC527" i="34"/>
  <c r="AE363" i="34"/>
  <c r="AF363" i="34" s="1"/>
  <c r="AC363" i="34"/>
  <c r="AE432" i="34"/>
  <c r="AF432" i="34" s="1"/>
  <c r="AC432" i="34"/>
  <c r="S21" i="34"/>
  <c r="U21" i="34"/>
  <c r="V21" i="34" s="1"/>
  <c r="U16" i="34"/>
  <c r="V16" i="34" s="1"/>
  <c r="S16" i="34"/>
  <c r="AE289" i="34"/>
  <c r="AF289" i="34" s="1"/>
  <c r="AC289" i="34"/>
  <c r="AE488" i="34"/>
  <c r="AF488" i="34" s="1"/>
  <c r="AC488" i="34"/>
  <c r="AE503" i="34"/>
  <c r="AF503" i="34" s="1"/>
  <c r="AC503" i="34"/>
  <c r="AE411" i="34"/>
  <c r="AF411" i="34" s="1"/>
  <c r="AC411" i="34"/>
  <c r="AE398" i="34"/>
  <c r="AF398" i="34" s="1"/>
  <c r="AC398" i="34"/>
  <c r="AE175" i="34"/>
  <c r="AF175" i="34" s="1"/>
  <c r="AC175" i="34"/>
  <c r="U139" i="34"/>
  <c r="V139" i="34" s="1"/>
  <c r="S139" i="34"/>
  <c r="U96" i="34"/>
  <c r="V96" i="34" s="1"/>
  <c r="S96" i="34"/>
  <c r="AE228" i="34"/>
  <c r="AF228" i="34" s="1"/>
  <c r="AC228" i="34"/>
  <c r="AC158" i="34"/>
  <c r="AE158" i="34"/>
  <c r="AF158" i="34" s="1"/>
  <c r="S46" i="34"/>
  <c r="U46" i="34"/>
  <c r="V46" i="34" s="1"/>
  <c r="AE493" i="34"/>
  <c r="AF493" i="34" s="1"/>
  <c r="AC493" i="34"/>
  <c r="AE590" i="34"/>
  <c r="AF590" i="34" s="1"/>
  <c r="AC590" i="34"/>
  <c r="AE388" i="34"/>
  <c r="AF388" i="34" s="1"/>
  <c r="AC388" i="34"/>
  <c r="AE291" i="34"/>
  <c r="AF291" i="34" s="1"/>
  <c r="AC291" i="34"/>
  <c r="AM28" i="34"/>
  <c r="AO28" i="34"/>
  <c r="AP28" i="34" s="1"/>
  <c r="X100" i="7"/>
  <c r="Y100" i="7" s="1"/>
  <c r="V100" i="7"/>
  <c r="AM120" i="34"/>
  <c r="AO120" i="34"/>
  <c r="AP120" i="34" s="1"/>
  <c r="BC5" i="35"/>
  <c r="BB6" i="35"/>
  <c r="AO73" i="34"/>
  <c r="AP73" i="34" s="1"/>
  <c r="AM73" i="34"/>
  <c r="AO43" i="34"/>
  <c r="AP43" i="34" s="1"/>
  <c r="AM43" i="34"/>
  <c r="AE236" i="34"/>
  <c r="AF236" i="34" s="1"/>
  <c r="AC236" i="34"/>
  <c r="U91" i="34"/>
  <c r="V91" i="34" s="1"/>
  <c r="S91" i="34"/>
  <c r="AE189" i="34"/>
  <c r="AF189" i="34" s="1"/>
  <c r="AC189" i="34"/>
  <c r="AE526" i="34"/>
  <c r="AF526" i="34" s="1"/>
  <c r="AC526" i="34"/>
  <c r="AE371" i="34"/>
  <c r="AF371" i="34" s="1"/>
  <c r="AC371" i="34"/>
  <c r="AE373" i="34"/>
  <c r="AF373" i="34" s="1"/>
  <c r="AC373" i="34"/>
  <c r="AE261" i="34"/>
  <c r="AF261" i="34" s="1"/>
  <c r="AC261" i="34"/>
  <c r="AE515" i="34"/>
  <c r="AF515" i="34" s="1"/>
  <c r="AC515" i="34"/>
  <c r="AO127" i="34"/>
  <c r="AP127" i="34" s="1"/>
  <c r="AM127" i="34"/>
  <c r="S495" i="34"/>
  <c r="U495" i="34"/>
  <c r="V495" i="34" s="1"/>
  <c r="S583" i="34"/>
  <c r="U583" i="34"/>
  <c r="V583" i="34" s="1"/>
  <c r="AE660" i="34"/>
  <c r="AF660" i="34" s="1"/>
  <c r="AC660" i="34"/>
  <c r="S515" i="34"/>
  <c r="U515" i="34"/>
  <c r="V515" i="34" s="1"/>
  <c r="S558" i="34"/>
  <c r="U558" i="34"/>
  <c r="V558" i="34" s="1"/>
  <c r="U353" i="34"/>
  <c r="V353" i="34" s="1"/>
  <c r="S353" i="34"/>
  <c r="S417" i="34"/>
  <c r="U417" i="34"/>
  <c r="V417" i="34" s="1"/>
  <c r="AE415" i="34"/>
  <c r="AF415" i="34" s="1"/>
  <c r="AC415" i="34"/>
  <c r="S173" i="34"/>
  <c r="U173" i="34"/>
  <c r="V173" i="34" s="1"/>
  <c r="S237" i="34"/>
  <c r="U237" i="34"/>
  <c r="V237" i="34" s="1"/>
  <c r="S301" i="34"/>
  <c r="U301" i="34"/>
  <c r="V301" i="34" s="1"/>
  <c r="S32" i="34"/>
  <c r="U32" i="34"/>
  <c r="V32" i="34" s="1"/>
  <c r="AE517" i="34"/>
  <c r="AF517" i="34" s="1"/>
  <c r="AC517" i="34"/>
  <c r="AE578" i="34"/>
  <c r="AF578" i="34" s="1"/>
  <c r="AC578" i="34"/>
  <c r="AE305" i="34"/>
  <c r="AF305" i="34" s="1"/>
  <c r="AC305" i="34"/>
  <c r="AE251" i="34"/>
  <c r="AF251" i="34" s="1"/>
  <c r="AC251" i="34"/>
  <c r="AE338" i="34"/>
  <c r="AF338" i="34" s="1"/>
  <c r="AC338" i="34"/>
  <c r="AC28" i="34"/>
  <c r="AE28" i="34"/>
  <c r="AF28" i="34" s="1"/>
  <c r="K24" i="34"/>
  <c r="L24" i="34" s="1"/>
  <c r="I24" i="34"/>
  <c r="AO27" i="34"/>
  <c r="AP27" i="34" s="1"/>
  <c r="AM27" i="34"/>
  <c r="S329" i="34"/>
  <c r="U329" i="34"/>
  <c r="V329" i="34" s="1"/>
  <c r="S390" i="34"/>
  <c r="U390" i="34"/>
  <c r="V390" i="34" s="1"/>
  <c r="AE217" i="34"/>
  <c r="AF217" i="34" s="1"/>
  <c r="AC217" i="34"/>
  <c r="S194" i="34"/>
  <c r="U194" i="34"/>
  <c r="V194" i="34" s="1"/>
  <c r="S258" i="34"/>
  <c r="U258" i="34"/>
  <c r="V258" i="34" s="1"/>
  <c r="I115" i="34"/>
  <c r="K115" i="34"/>
  <c r="L115" i="34" s="1"/>
  <c r="S69" i="34"/>
  <c r="U69" i="34"/>
  <c r="V69" i="34" s="1"/>
  <c r="AE473" i="34"/>
  <c r="AF473" i="34" s="1"/>
  <c r="AC473" i="34"/>
  <c r="AE585" i="34"/>
  <c r="AF585" i="34" s="1"/>
  <c r="AC585" i="34"/>
  <c r="AE384" i="34"/>
  <c r="AF384" i="34" s="1"/>
  <c r="AC384" i="34"/>
  <c r="AE295" i="34"/>
  <c r="AF295" i="34" s="1"/>
  <c r="AC295" i="34"/>
  <c r="AO79" i="34"/>
  <c r="AP79" i="34" s="1"/>
  <c r="AM79" i="34"/>
  <c r="S339" i="34"/>
  <c r="U339" i="34"/>
  <c r="V339" i="34" s="1"/>
  <c r="S380" i="34"/>
  <c r="U380" i="34"/>
  <c r="V380" i="34" s="1"/>
  <c r="S435" i="34"/>
  <c r="U435" i="34"/>
  <c r="V435" i="34" s="1"/>
  <c r="AE257" i="34"/>
  <c r="AF257" i="34" s="1"/>
  <c r="AC257" i="34"/>
  <c r="I111" i="34"/>
  <c r="K111" i="34"/>
  <c r="L111" i="34" s="1"/>
  <c r="AE471" i="34"/>
  <c r="AF471" i="34" s="1"/>
  <c r="AC471" i="34"/>
  <c r="AE599" i="34"/>
  <c r="AF599" i="34" s="1"/>
  <c r="AC599" i="34"/>
  <c r="AE366" i="34"/>
  <c r="AF366" i="34" s="1"/>
  <c r="AC366" i="34"/>
  <c r="AE207" i="34"/>
  <c r="AF207" i="34" s="1"/>
  <c r="AC207" i="34"/>
  <c r="S44" i="34"/>
  <c r="U44" i="34"/>
  <c r="V44" i="34" s="1"/>
  <c r="AO119" i="34"/>
  <c r="AP119" i="34" s="1"/>
  <c r="AM119" i="34"/>
  <c r="AE292" i="34"/>
  <c r="AF292" i="34" s="1"/>
  <c r="AC292" i="34"/>
  <c r="AO39" i="34"/>
  <c r="AP39" i="34" s="1"/>
  <c r="AM39" i="34"/>
  <c r="S320" i="34"/>
  <c r="U320" i="34"/>
  <c r="V320" i="34" s="1"/>
  <c r="U399" i="34"/>
  <c r="V399" i="34" s="1"/>
  <c r="S399" i="34"/>
  <c r="S308" i="34"/>
  <c r="U308" i="34"/>
  <c r="V308" i="34" s="1"/>
  <c r="AE181" i="34"/>
  <c r="AF181" i="34" s="1"/>
  <c r="AC181" i="34"/>
  <c r="K124" i="34"/>
  <c r="L124" i="34" s="1"/>
  <c r="I124" i="34"/>
  <c r="AM23" i="34"/>
  <c r="AO23" i="34"/>
  <c r="AP23" i="34" s="1"/>
  <c r="AE525" i="34"/>
  <c r="AF525" i="34" s="1"/>
  <c r="AC525" i="34"/>
  <c r="AE570" i="34"/>
  <c r="AF570" i="34" s="1"/>
  <c r="AC570" i="34"/>
  <c r="AE422" i="34"/>
  <c r="AF422" i="34" s="1"/>
  <c r="AC422" i="34"/>
  <c r="AE259" i="34"/>
  <c r="AF259" i="34" s="1"/>
  <c r="AC259" i="34"/>
  <c r="AM104" i="34"/>
  <c r="AO104" i="34"/>
  <c r="AP104" i="34" s="1"/>
  <c r="AO98" i="34"/>
  <c r="AP98" i="34" s="1"/>
  <c r="AM98" i="34"/>
  <c r="AE494" i="34"/>
  <c r="AF494" i="34" s="1"/>
  <c r="AC494" i="34"/>
  <c r="AE172" i="34"/>
  <c r="AF172" i="34" s="1"/>
  <c r="AC172" i="34"/>
  <c r="U103" i="34"/>
  <c r="V103" i="34" s="1"/>
  <c r="S103" i="34"/>
  <c r="X42" i="7"/>
  <c r="Y42" i="7" s="1"/>
  <c r="V42" i="7"/>
  <c r="AO112" i="34"/>
  <c r="AP112" i="34" s="1"/>
  <c r="AM112" i="34"/>
  <c r="AO87" i="34"/>
  <c r="AP87" i="34" s="1"/>
  <c r="AM87" i="34"/>
  <c r="U134" i="34"/>
  <c r="V134" i="34" s="1"/>
  <c r="S134" i="34"/>
  <c r="AE264" i="34"/>
  <c r="AF264" i="34" s="1"/>
  <c r="AC264" i="34"/>
  <c r="AE282" i="34"/>
  <c r="AF282" i="34" s="1"/>
  <c r="AC282" i="34"/>
  <c r="U61" i="34"/>
  <c r="V61" i="34" s="1"/>
  <c r="S61" i="34"/>
  <c r="X60" i="7"/>
  <c r="Y60" i="7" s="1"/>
  <c r="V60" i="7"/>
  <c r="U90" i="34"/>
  <c r="V90" i="34" s="1"/>
  <c r="S90" i="34"/>
  <c r="U27" i="34"/>
  <c r="V27" i="34" s="1"/>
  <c r="S27" i="34"/>
  <c r="AE182" i="34"/>
  <c r="AF182" i="34" s="1"/>
  <c r="AC182" i="34"/>
  <c r="U89" i="34"/>
  <c r="V89" i="34" s="1"/>
  <c r="S89" i="34"/>
  <c r="X62" i="7"/>
  <c r="Y62" i="7" s="1"/>
  <c r="V62" i="7"/>
  <c r="AO75" i="34"/>
  <c r="AP75" i="34" s="1"/>
  <c r="AM75" i="34"/>
  <c r="AE336" i="34"/>
  <c r="AF336" i="34" s="1"/>
  <c r="AC336" i="34"/>
  <c r="AE324" i="34"/>
  <c r="AF324" i="34" s="1"/>
  <c r="AC324" i="34"/>
  <c r="S147" i="34"/>
  <c r="U147" i="34"/>
  <c r="V147" i="34" s="1"/>
  <c r="AE518" i="34"/>
  <c r="AF518" i="34" s="1"/>
  <c r="AC518" i="34"/>
  <c r="AE160" i="34"/>
  <c r="AF160" i="34" s="1"/>
  <c r="AC160" i="34"/>
  <c r="AE250" i="34"/>
  <c r="AF250" i="34" s="1"/>
  <c r="AC250" i="34"/>
  <c r="U124" i="34"/>
  <c r="V124" i="34" s="1"/>
  <c r="S124" i="34"/>
  <c r="AM130" i="34"/>
  <c r="AO130" i="34"/>
  <c r="AP130" i="34" s="1"/>
  <c r="U53" i="34"/>
  <c r="V53" i="34" s="1"/>
  <c r="S53" i="34"/>
  <c r="T618" i="34"/>
  <c r="O51" i="34" s="1"/>
  <c r="AE521" i="34"/>
  <c r="AF521" i="34" s="1"/>
  <c r="AC521" i="34"/>
  <c r="AE368" i="34"/>
  <c r="AF368" i="34" s="1"/>
  <c r="AC368" i="34"/>
  <c r="AE183" i="34"/>
  <c r="AF183" i="34" s="1"/>
  <c r="AC183" i="34"/>
  <c r="AE218" i="34"/>
  <c r="AF218" i="34" s="1"/>
  <c r="AC218" i="34"/>
  <c r="AE519" i="34"/>
  <c r="AF519" i="34" s="1"/>
  <c r="AC519" i="34"/>
  <c r="AE350" i="34"/>
  <c r="AF350" i="34" s="1"/>
  <c r="AC350" i="34"/>
  <c r="AE223" i="34"/>
  <c r="AF223" i="34" s="1"/>
  <c r="AC223" i="34"/>
  <c r="S77" i="34"/>
  <c r="U77" i="34"/>
  <c r="V77" i="34" s="1"/>
  <c r="AE197" i="34"/>
  <c r="AF197" i="34" s="1"/>
  <c r="AC197" i="34"/>
  <c r="AE555" i="34"/>
  <c r="AF555" i="34" s="1"/>
  <c r="AC555" i="34"/>
  <c r="AE157" i="34"/>
  <c r="AF157" i="34" s="1"/>
  <c r="AC157" i="34"/>
  <c r="AE154" i="34"/>
  <c r="AF154" i="34" s="1"/>
  <c r="AC154" i="34"/>
  <c r="AE711" i="34"/>
  <c r="AF711" i="34" s="1"/>
  <c r="AC711" i="34"/>
  <c r="U531" i="34"/>
  <c r="V531" i="34" s="1"/>
  <c r="S531" i="34"/>
  <c r="AC665" i="34"/>
  <c r="AE665" i="34"/>
  <c r="AF665" i="34" s="1"/>
  <c r="U551" i="34"/>
  <c r="V551" i="34" s="1"/>
  <c r="S551" i="34"/>
  <c r="U514" i="34"/>
  <c r="V514" i="34" s="1"/>
  <c r="S514" i="34"/>
  <c r="U373" i="34"/>
  <c r="V373" i="34" s="1"/>
  <c r="S373" i="34"/>
  <c r="S444" i="34"/>
  <c r="U444" i="34"/>
  <c r="V444" i="34" s="1"/>
  <c r="AE221" i="34"/>
  <c r="AF221" i="34" s="1"/>
  <c r="AC221" i="34"/>
  <c r="S209" i="34"/>
  <c r="U209" i="34"/>
  <c r="V209" i="34" s="1"/>
  <c r="S273" i="34"/>
  <c r="U273" i="34"/>
  <c r="V273" i="34" s="1"/>
  <c r="K114" i="34"/>
  <c r="L114" i="34" s="1"/>
  <c r="I114" i="34"/>
  <c r="AE484" i="34"/>
  <c r="AF484" i="34" s="1"/>
  <c r="AC484" i="34"/>
  <c r="AE569" i="34"/>
  <c r="AF569" i="34" s="1"/>
  <c r="AC569" i="34"/>
  <c r="AE327" i="34"/>
  <c r="AF327" i="34" s="1"/>
  <c r="AC327" i="34"/>
  <c r="AE446" i="34"/>
  <c r="AF446" i="34" s="1"/>
  <c r="AC446" i="34"/>
  <c r="S5" i="34"/>
  <c r="U5" i="34"/>
  <c r="V5" i="34" s="1"/>
  <c r="X94" i="7"/>
  <c r="Y94" i="7" s="1"/>
  <c r="V94" i="7"/>
  <c r="U49" i="34"/>
  <c r="V49" i="34" s="1"/>
  <c r="S49" i="34"/>
  <c r="X39" i="7"/>
  <c r="Y39" i="7" s="1"/>
  <c r="V39" i="7"/>
  <c r="S12" i="34"/>
  <c r="U12" i="34"/>
  <c r="V12" i="34" s="1"/>
  <c r="T467" i="34"/>
  <c r="O41" i="34" s="1"/>
  <c r="S341" i="34"/>
  <c r="U341" i="34"/>
  <c r="V341" i="34" s="1"/>
  <c r="S378" i="34"/>
  <c r="U378" i="34"/>
  <c r="V378" i="34" s="1"/>
  <c r="S431" i="34"/>
  <c r="U431" i="34"/>
  <c r="V431" i="34" s="1"/>
  <c r="S166" i="34"/>
  <c r="U166" i="34"/>
  <c r="V166" i="34" s="1"/>
  <c r="S230" i="34"/>
  <c r="U230" i="34"/>
  <c r="V230" i="34" s="1"/>
  <c r="S294" i="34"/>
  <c r="U294" i="34"/>
  <c r="V294" i="34" s="1"/>
  <c r="I81" i="34"/>
  <c r="K81" i="34"/>
  <c r="L81" i="34" s="1"/>
  <c r="AE489" i="34"/>
  <c r="AF489" i="34" s="1"/>
  <c r="AC489" i="34"/>
  <c r="AE550" i="34"/>
  <c r="AF550" i="34" s="1"/>
  <c r="AC550" i="34"/>
  <c r="AE400" i="34"/>
  <c r="AF400" i="34" s="1"/>
  <c r="AC400" i="34"/>
  <c r="AE279" i="34"/>
  <c r="AF279" i="34" s="1"/>
  <c r="AC279" i="34"/>
  <c r="AE357" i="34"/>
  <c r="AF357" i="34" s="1"/>
  <c r="AC357" i="34"/>
  <c r="AM74" i="34"/>
  <c r="AO74" i="34"/>
  <c r="AP74" i="34" s="1"/>
  <c r="K32" i="34"/>
  <c r="L32" i="34" s="1"/>
  <c r="I32" i="34"/>
  <c r="X64" i="7"/>
  <c r="Y64" i="7" s="1"/>
  <c r="V64" i="7"/>
  <c r="S335" i="34"/>
  <c r="U335" i="34"/>
  <c r="V335" i="34" s="1"/>
  <c r="S384" i="34"/>
  <c r="U384" i="34"/>
  <c r="V384" i="34" s="1"/>
  <c r="S443" i="34"/>
  <c r="U443" i="34"/>
  <c r="V443" i="34" s="1"/>
  <c r="AE317" i="34"/>
  <c r="AF317" i="34" s="1"/>
  <c r="AC317" i="34"/>
  <c r="S188" i="34"/>
  <c r="U188" i="34"/>
  <c r="V188" i="34" s="1"/>
  <c r="S252" i="34"/>
  <c r="U252" i="34"/>
  <c r="V252" i="34" s="1"/>
  <c r="K102" i="34"/>
  <c r="L102" i="34" s="1"/>
  <c r="I102" i="34"/>
  <c r="I68" i="34"/>
  <c r="K68" i="34"/>
  <c r="L68" i="34" s="1"/>
  <c r="AE498" i="34"/>
  <c r="AF498" i="34" s="1"/>
  <c r="AC498" i="34"/>
  <c r="AE487" i="34"/>
  <c r="AF487" i="34" s="1"/>
  <c r="AC487" i="34"/>
  <c r="AE597" i="34"/>
  <c r="AF597" i="34" s="1"/>
  <c r="AC597" i="34"/>
  <c r="AE382" i="34"/>
  <c r="AF382" i="34" s="1"/>
  <c r="AC382" i="34"/>
  <c r="AE191" i="34"/>
  <c r="AF191" i="34" s="1"/>
  <c r="AC191" i="34"/>
  <c r="S67" i="34"/>
  <c r="U67" i="34"/>
  <c r="V67" i="34" s="1"/>
  <c r="AO6" i="34"/>
  <c r="AP6" i="34" s="1"/>
  <c r="AM6" i="34"/>
  <c r="AC165" i="34"/>
  <c r="AE165" i="34"/>
  <c r="AF165" i="34" s="1"/>
  <c r="AE559" i="34"/>
  <c r="AF559" i="34" s="1"/>
  <c r="AC559" i="34"/>
  <c r="AE531" i="34"/>
  <c r="AF531" i="34" s="1"/>
  <c r="AC531" i="34"/>
  <c r="S332" i="34"/>
  <c r="U332" i="34"/>
  <c r="V332" i="34" s="1"/>
  <c r="U387" i="34"/>
  <c r="V387" i="34" s="1"/>
  <c r="S387" i="34"/>
  <c r="S449" i="34"/>
  <c r="U449" i="34"/>
  <c r="V449" i="34" s="1"/>
  <c r="AE293" i="34"/>
  <c r="AF293" i="34" s="1"/>
  <c r="AC293" i="34"/>
  <c r="S191" i="34"/>
  <c r="U191" i="34"/>
  <c r="V191" i="34" s="1"/>
  <c r="S255" i="34"/>
  <c r="U255" i="34"/>
  <c r="V255" i="34" s="1"/>
  <c r="K110" i="34"/>
  <c r="L110" i="34" s="1"/>
  <c r="I110" i="34"/>
  <c r="S72" i="34"/>
  <c r="U72" i="34"/>
  <c r="V72" i="34" s="1"/>
  <c r="AE477" i="34"/>
  <c r="AF477" i="34" s="1"/>
  <c r="AC477" i="34"/>
  <c r="AE572" i="34"/>
  <c r="AF572" i="34" s="1"/>
  <c r="AC572" i="34"/>
  <c r="AE372" i="34"/>
  <c r="AF372" i="34" s="1"/>
  <c r="AC372" i="34"/>
  <c r="AE451" i="34"/>
  <c r="AF451" i="34" s="1"/>
  <c r="AC451" i="34"/>
  <c r="AE405" i="34"/>
  <c r="AF405" i="34" s="1"/>
  <c r="AC405" i="34"/>
  <c r="AE369" i="34"/>
  <c r="AF369" i="34" s="1"/>
  <c r="AC369" i="34"/>
  <c r="X77" i="7"/>
  <c r="Y77" i="7" s="1"/>
  <c r="V77" i="7"/>
  <c r="X13" i="7"/>
  <c r="Y13" i="7" s="1"/>
  <c r="V13" i="7"/>
  <c r="U31" i="34"/>
  <c r="V31" i="34" s="1"/>
  <c r="S31" i="34"/>
  <c r="U47" i="34"/>
  <c r="V47" i="34" s="1"/>
  <c r="S47" i="34"/>
  <c r="AO63" i="34"/>
  <c r="AP63" i="34" s="1"/>
  <c r="AM63" i="34"/>
  <c r="AE258" i="34"/>
  <c r="AF258" i="34" s="1"/>
  <c r="AC258" i="34"/>
  <c r="X18" i="7"/>
  <c r="Y18" i="7" s="1"/>
  <c r="V18" i="7"/>
  <c r="X97" i="7"/>
  <c r="Y97" i="7" s="1"/>
  <c r="V97" i="7"/>
  <c r="AM118" i="34"/>
  <c r="AO118" i="34"/>
  <c r="AP118" i="34" s="1"/>
  <c r="X75" i="7"/>
  <c r="Y75" i="7" s="1"/>
  <c r="V75" i="7"/>
  <c r="X11" i="7"/>
  <c r="Y11" i="7" s="1"/>
  <c r="V11" i="7"/>
  <c r="AM78" i="34"/>
  <c r="AO78" i="34"/>
  <c r="AP78" i="34" s="1"/>
  <c r="AO66" i="34"/>
  <c r="AP66" i="34" s="1"/>
  <c r="AM66" i="34"/>
  <c r="AE168" i="34"/>
  <c r="AF168" i="34" s="1"/>
  <c r="AC168" i="34"/>
  <c r="X41" i="7"/>
  <c r="Y41" i="7" s="1"/>
  <c r="V41" i="7"/>
  <c r="AO94" i="34"/>
  <c r="AP94" i="34" s="1"/>
  <c r="AM94" i="34"/>
  <c r="AE270" i="34"/>
  <c r="AF270" i="34" s="1"/>
  <c r="AC270" i="34"/>
  <c r="AE506" i="34"/>
  <c r="AF506" i="34" s="1"/>
  <c r="AC506" i="34"/>
  <c r="AE587" i="34"/>
  <c r="AF587" i="34" s="1"/>
  <c r="AC587" i="34"/>
  <c r="AE203" i="34"/>
  <c r="AF203" i="34" s="1"/>
  <c r="AC203" i="34"/>
  <c r="AE457" i="34"/>
  <c r="AF457" i="34" s="1"/>
  <c r="AC457" i="34"/>
  <c r="AE390" i="34"/>
  <c r="AF390" i="34" s="1"/>
  <c r="AC390" i="34"/>
  <c r="U62" i="34"/>
  <c r="V62" i="34" s="1"/>
  <c r="S62" i="34"/>
  <c r="AE600" i="34"/>
  <c r="AF600" i="34" s="1"/>
  <c r="AC600" i="34"/>
  <c r="AE345" i="34"/>
  <c r="AF345" i="34" s="1"/>
  <c r="AC345" i="34"/>
  <c r="S28" i="34"/>
  <c r="U28" i="34"/>
  <c r="V28" i="34" s="1"/>
  <c r="AE198" i="34"/>
  <c r="AF198" i="34" s="1"/>
  <c r="AC198" i="34"/>
  <c r="U50" i="34"/>
  <c r="V50" i="34" s="1"/>
  <c r="S50" i="34"/>
  <c r="AE234" i="34"/>
  <c r="AF234" i="34" s="1"/>
  <c r="AC234" i="34"/>
  <c r="AE268" i="34"/>
  <c r="AF268" i="34" s="1"/>
  <c r="AC268" i="34"/>
  <c r="AM132" i="34"/>
  <c r="AO132" i="34"/>
  <c r="AP132" i="34" s="1"/>
  <c r="AU5" i="35"/>
  <c r="AT6" i="35"/>
  <c r="S430" i="34"/>
  <c r="U430" i="34"/>
  <c r="V430" i="34" s="1"/>
  <c r="AE330" i="34"/>
  <c r="AF330" i="34" s="1"/>
  <c r="AC330" i="34"/>
  <c r="AO52" i="34"/>
  <c r="AP52" i="34" s="1"/>
  <c r="AM52" i="34"/>
  <c r="AE367" i="34"/>
  <c r="AF367" i="34" s="1"/>
  <c r="AC367" i="34"/>
  <c r="U131" i="34"/>
  <c r="V131" i="34" s="1"/>
  <c r="S131" i="34"/>
  <c r="AE581" i="34"/>
  <c r="AF581" i="34" s="1"/>
  <c r="AC581" i="34"/>
  <c r="S145" i="34"/>
  <c r="U145" i="34"/>
  <c r="V145" i="34" s="1"/>
  <c r="U539" i="34"/>
  <c r="V539" i="34" s="1"/>
  <c r="S539" i="34"/>
  <c r="U522" i="34"/>
  <c r="V522" i="34" s="1"/>
  <c r="S522" i="34"/>
  <c r="S253" i="34"/>
  <c r="U253" i="34"/>
  <c r="V253" i="34" s="1"/>
  <c r="AE603" i="34"/>
  <c r="AF603" i="34" s="1"/>
  <c r="AC603" i="34"/>
  <c r="S406" i="34"/>
  <c r="U406" i="34"/>
  <c r="V406" i="34" s="1"/>
  <c r="I131" i="34"/>
  <c r="K131" i="34"/>
  <c r="L131" i="34" s="1"/>
  <c r="AE602" i="34"/>
  <c r="AF602" i="34" s="1"/>
  <c r="AC602" i="34"/>
  <c r="AG6" i="35"/>
  <c r="AF7" i="35"/>
  <c r="S314" i="34"/>
  <c r="U314" i="34"/>
  <c r="V314" i="34" s="1"/>
  <c r="AE571" i="34"/>
  <c r="AF571" i="34" s="1"/>
  <c r="AC571" i="34"/>
  <c r="AE347" i="34"/>
  <c r="AF347" i="34" s="1"/>
  <c r="AC347" i="34"/>
  <c r="S9" i="34"/>
  <c r="U9" i="34"/>
  <c r="V9" i="34" s="1"/>
  <c r="AM38" i="34"/>
  <c r="AO38" i="34"/>
  <c r="AP38" i="34" s="1"/>
  <c r="U18" i="34"/>
  <c r="V18" i="34" s="1"/>
  <c r="S18" i="34"/>
  <c r="AO25" i="34"/>
  <c r="AP25" i="34" s="1"/>
  <c r="AM25" i="34"/>
  <c r="AM69" i="34"/>
  <c r="AO69" i="34"/>
  <c r="AP69" i="34" s="1"/>
  <c r="AE377" i="34"/>
  <c r="AF377" i="34" s="1"/>
  <c r="AC377" i="34"/>
  <c r="AE244" i="34"/>
  <c r="AF244" i="34" s="1"/>
  <c r="AC244" i="34"/>
  <c r="X12" i="7"/>
  <c r="Y12" i="7" s="1"/>
  <c r="V12" i="7"/>
  <c r="AO89" i="34"/>
  <c r="AP89" i="34" s="1"/>
  <c r="AM89" i="34"/>
  <c r="U114" i="34"/>
  <c r="V114" i="34" s="1"/>
  <c r="S114" i="34"/>
  <c r="AE579" i="34"/>
  <c r="AF579" i="34" s="1"/>
  <c r="AC579" i="34"/>
  <c r="AE226" i="34"/>
  <c r="AF226" i="34" s="1"/>
  <c r="AC226" i="34"/>
  <c r="U389" i="34"/>
  <c r="V389" i="34" s="1"/>
  <c r="S389" i="34"/>
  <c r="S159" i="34"/>
  <c r="U159" i="34"/>
  <c r="V159" i="34" s="1"/>
  <c r="K130" i="34"/>
  <c r="L130" i="34" s="1"/>
  <c r="I130" i="34"/>
  <c r="AE380" i="34"/>
  <c r="AF380" i="34" s="1"/>
  <c r="AC380" i="34"/>
  <c r="X23" i="7"/>
  <c r="Y23" i="7" s="1"/>
  <c r="V23" i="7"/>
  <c r="S246" i="34"/>
  <c r="U246" i="34"/>
  <c r="V246" i="34" s="1"/>
  <c r="AE573" i="34"/>
  <c r="AF573" i="34" s="1"/>
  <c r="AC573" i="34"/>
  <c r="AE358" i="34"/>
  <c r="AF358" i="34" s="1"/>
  <c r="AC358" i="34"/>
  <c r="S75" i="34"/>
  <c r="U75" i="34"/>
  <c r="V75" i="34" s="1"/>
  <c r="U34" i="34"/>
  <c r="V34" i="34" s="1"/>
  <c r="S34" i="34"/>
  <c r="X16" i="7"/>
  <c r="Y16" i="7" s="1"/>
  <c r="V16" i="7"/>
  <c r="X80" i="7"/>
  <c r="Y80" i="7" s="1"/>
  <c r="V80" i="7"/>
  <c r="S319" i="34"/>
  <c r="U319" i="34"/>
  <c r="V319" i="34" s="1"/>
  <c r="AE241" i="34"/>
  <c r="AF241" i="34" s="1"/>
  <c r="AC241" i="34"/>
  <c r="J80" i="34"/>
  <c r="E31" i="34" s="1"/>
  <c r="X81" i="7"/>
  <c r="Y81" i="7" s="1"/>
  <c r="V81" i="7"/>
  <c r="AE216" i="34"/>
  <c r="AF216" i="34" s="1"/>
  <c r="AC216" i="34"/>
  <c r="U315" i="34"/>
  <c r="V315" i="34" s="1"/>
  <c r="S315" i="34"/>
  <c r="U403" i="34"/>
  <c r="V403" i="34" s="1"/>
  <c r="S403" i="34"/>
  <c r="AE229" i="34"/>
  <c r="AF229" i="34" s="1"/>
  <c r="AC229" i="34"/>
  <c r="S271" i="34"/>
  <c r="U271" i="34"/>
  <c r="V271" i="34" s="1"/>
  <c r="AM15" i="34"/>
  <c r="AO15" i="34"/>
  <c r="AP15" i="34" s="1"/>
  <c r="AE583" i="34"/>
  <c r="AF583" i="34" s="1"/>
  <c r="AC583" i="34"/>
  <c r="AE243" i="34"/>
  <c r="AF243" i="34" s="1"/>
  <c r="AC243" i="34"/>
  <c r="I103" i="34"/>
  <c r="K103" i="34"/>
  <c r="L103" i="34" s="1"/>
  <c r="AE349" i="34"/>
  <c r="AF349" i="34" s="1"/>
  <c r="AC349" i="34"/>
  <c r="X61" i="7"/>
  <c r="Y61" i="7" s="1"/>
  <c r="V61" i="7"/>
  <c r="S138" i="34"/>
  <c r="U138" i="34"/>
  <c r="V138" i="34" s="1"/>
  <c r="AE174" i="34"/>
  <c r="AF174" i="34" s="1"/>
  <c r="AC174" i="34"/>
  <c r="AE296" i="34"/>
  <c r="AF296" i="34" s="1"/>
  <c r="AC296" i="34"/>
  <c r="X25" i="7"/>
  <c r="Y25" i="7" s="1"/>
  <c r="V25" i="7"/>
  <c r="AE242" i="34"/>
  <c r="AF242" i="34" s="1"/>
  <c r="AC242" i="34"/>
  <c r="AE348" i="34"/>
  <c r="AF348" i="34" s="1"/>
  <c r="AC348" i="34"/>
  <c r="AE286" i="34"/>
  <c r="AF286" i="34" s="1"/>
  <c r="AC286" i="34"/>
  <c r="AE186" i="34"/>
  <c r="AF186" i="34" s="1"/>
  <c r="AC186" i="34"/>
  <c r="AM109" i="34"/>
  <c r="AO109" i="34"/>
  <c r="AP109" i="34" s="1"/>
  <c r="AE721" i="34"/>
  <c r="AF721" i="34" s="1"/>
  <c r="AC721" i="34"/>
  <c r="S519" i="34"/>
  <c r="U519" i="34"/>
  <c r="V519" i="34" s="1"/>
  <c r="AE693" i="34"/>
  <c r="AF693" i="34" s="1"/>
  <c r="AC693" i="34"/>
  <c r="U604" i="34"/>
  <c r="V604" i="34" s="1"/>
  <c r="S604" i="34"/>
  <c r="U361" i="34"/>
  <c r="V361" i="34" s="1"/>
  <c r="S361" i="34"/>
  <c r="K29" i="34"/>
  <c r="L29" i="34" s="1"/>
  <c r="I29" i="34"/>
  <c r="AO29" i="34"/>
  <c r="AP29" i="34" s="1"/>
  <c r="AM29" i="34"/>
  <c r="S337" i="34"/>
  <c r="U337" i="34"/>
  <c r="V337" i="34" s="1"/>
  <c r="S439" i="34"/>
  <c r="U439" i="34"/>
  <c r="V439" i="34" s="1"/>
  <c r="S202" i="34"/>
  <c r="U202" i="34"/>
  <c r="V202" i="34" s="1"/>
  <c r="S266" i="34"/>
  <c r="U266" i="34"/>
  <c r="V266" i="34" s="1"/>
  <c r="I123" i="34"/>
  <c r="K123" i="34"/>
  <c r="L123" i="34" s="1"/>
  <c r="AE505" i="34"/>
  <c r="AF505" i="34" s="1"/>
  <c r="AC505" i="34"/>
  <c r="AE418" i="34"/>
  <c r="AF418" i="34" s="1"/>
  <c r="AC418" i="34"/>
  <c r="AO99" i="34"/>
  <c r="AP99" i="34" s="1"/>
  <c r="AM99" i="34"/>
  <c r="S136" i="34"/>
  <c r="U136" i="34"/>
  <c r="V136" i="34" s="1"/>
  <c r="AC159" i="34"/>
  <c r="AE159" i="34"/>
  <c r="AF159" i="34" s="1"/>
  <c r="I113" i="34"/>
  <c r="K113" i="34"/>
  <c r="L113" i="34" s="1"/>
  <c r="AE481" i="34"/>
  <c r="AF481" i="34" s="1"/>
  <c r="AC481" i="34"/>
  <c r="AE381" i="34"/>
  <c r="AF381" i="34" s="1"/>
  <c r="AC381" i="34"/>
  <c r="AE222" i="34"/>
  <c r="AF222" i="34" s="1"/>
  <c r="AC222" i="34"/>
  <c r="AE512" i="34"/>
  <c r="AF512" i="34" s="1"/>
  <c r="AC512" i="34"/>
  <c r="AE419" i="34"/>
  <c r="AF419" i="34" s="1"/>
  <c r="AC419" i="34"/>
  <c r="U25" i="34"/>
  <c r="V25" i="34" s="1"/>
  <c r="S25" i="34"/>
  <c r="AE238" i="34"/>
  <c r="AF238" i="34" s="1"/>
  <c r="AC238" i="34"/>
  <c r="AY5" i="35"/>
  <c r="AX6" i="35"/>
  <c r="AE523" i="34"/>
  <c r="AF523" i="34" s="1"/>
  <c r="AC523" i="34"/>
  <c r="AE430" i="34"/>
  <c r="AF430" i="34" s="1"/>
  <c r="AC430" i="34"/>
  <c r="AE554" i="34"/>
  <c r="AF554" i="34" s="1"/>
  <c r="AC554" i="34"/>
  <c r="AE211" i="34"/>
  <c r="AF211" i="34" s="1"/>
  <c r="AC211" i="34"/>
  <c r="S491" i="34"/>
  <c r="U491" i="34"/>
  <c r="V491" i="34" s="1"/>
  <c r="U502" i="34"/>
  <c r="V502" i="34" s="1"/>
  <c r="S502" i="34"/>
  <c r="U385" i="34"/>
  <c r="V385" i="34" s="1"/>
  <c r="S385" i="34"/>
  <c r="S205" i="34"/>
  <c r="U205" i="34"/>
  <c r="V205" i="34" s="1"/>
  <c r="AE584" i="34"/>
  <c r="AF584" i="34" s="1"/>
  <c r="AC584" i="34"/>
  <c r="AE343" i="34"/>
  <c r="AF343" i="34" s="1"/>
  <c r="AC343" i="34"/>
  <c r="I72" i="34"/>
  <c r="K72" i="34"/>
  <c r="L72" i="34" s="1"/>
  <c r="AC89" i="34"/>
  <c r="AE89" i="34"/>
  <c r="AF89" i="34" s="1"/>
  <c r="S226" i="34"/>
  <c r="U226" i="34"/>
  <c r="V226" i="34" s="1"/>
  <c r="S290" i="34"/>
  <c r="U290" i="34"/>
  <c r="V290" i="34" s="1"/>
  <c r="AE472" i="34"/>
  <c r="AF472" i="34" s="1"/>
  <c r="AC472" i="34"/>
  <c r="AE427" i="34"/>
  <c r="AF427" i="34" s="1"/>
  <c r="AC427" i="34"/>
  <c r="AE406" i="34"/>
  <c r="AF406" i="34" s="1"/>
  <c r="AC406" i="34"/>
  <c r="AE167" i="34"/>
  <c r="AF167" i="34" s="1"/>
  <c r="AC167" i="34"/>
  <c r="S133" i="34"/>
  <c r="U133" i="34"/>
  <c r="V133" i="34" s="1"/>
  <c r="AO83" i="34"/>
  <c r="AP83" i="34" s="1"/>
  <c r="AM83" i="34"/>
  <c r="U65" i="34"/>
  <c r="V65" i="34" s="1"/>
  <c r="S65" i="34"/>
  <c r="AC315" i="34"/>
  <c r="AE315" i="34"/>
  <c r="AF315" i="34" s="1"/>
  <c r="U367" i="34"/>
  <c r="V367" i="34" s="1"/>
  <c r="S367" i="34"/>
  <c r="AE468" i="34"/>
  <c r="AF468" i="34" s="1"/>
  <c r="AC468" i="34"/>
  <c r="V8" i="7"/>
  <c r="X8" i="7"/>
  <c r="Y8" i="7" s="1"/>
  <c r="X74" i="7"/>
  <c r="Y74" i="7" s="1"/>
  <c r="V74" i="7"/>
  <c r="AE344" i="34"/>
  <c r="AF344" i="34" s="1"/>
  <c r="AC344" i="34"/>
  <c r="AI5" i="35"/>
  <c r="AH6" i="35"/>
  <c r="U3" i="34"/>
  <c r="V3" i="34" s="1"/>
  <c r="S3" i="34"/>
  <c r="AE166" i="34"/>
  <c r="AF166" i="34" s="1"/>
  <c r="AC166" i="34"/>
  <c r="X28" i="7"/>
  <c r="Y28" i="7" s="1"/>
  <c r="V28" i="7"/>
  <c r="AO77" i="34"/>
  <c r="AP77" i="34" s="1"/>
  <c r="AM77" i="34"/>
  <c r="AE353" i="34"/>
  <c r="AF353" i="34" s="1"/>
  <c r="AC353" i="34"/>
  <c r="AE240" i="34"/>
  <c r="AF240" i="34" s="1"/>
  <c r="AC240" i="34"/>
  <c r="AM30" i="34"/>
  <c r="AO30" i="34"/>
  <c r="AP30" i="34" s="1"/>
  <c r="X30" i="7"/>
  <c r="Y30" i="7" s="1"/>
  <c r="V30" i="7"/>
  <c r="U94" i="34"/>
  <c r="V94" i="34" s="1"/>
  <c r="S94" i="34"/>
  <c r="U52" i="34"/>
  <c r="V52" i="34" s="1"/>
  <c r="S52" i="34"/>
  <c r="AE200" i="34"/>
  <c r="AF200" i="34" s="1"/>
  <c r="AC200" i="34"/>
  <c r="U54" i="34"/>
  <c r="V54" i="34" s="1"/>
  <c r="S54" i="34"/>
  <c r="AM72" i="34"/>
  <c r="AO72" i="34"/>
  <c r="AP72" i="34" s="1"/>
  <c r="AC164" i="34"/>
  <c r="AE164" i="34"/>
  <c r="AF164" i="34" s="1"/>
  <c r="AE297" i="34"/>
  <c r="AF297" i="34" s="1"/>
  <c r="AC297" i="34"/>
  <c r="AE551" i="34"/>
  <c r="AF551" i="34" s="1"/>
  <c r="AC551" i="34"/>
  <c r="AE568" i="34"/>
  <c r="AF568" i="34" s="1"/>
  <c r="AC568" i="34"/>
  <c r="AE440" i="34"/>
  <c r="AF440" i="34" s="1"/>
  <c r="AC440" i="34"/>
  <c r="AE273" i="34"/>
  <c r="AF273" i="34" s="1"/>
  <c r="AC273" i="34"/>
  <c r="U127" i="34"/>
  <c r="V127" i="34" s="1"/>
  <c r="S127" i="34"/>
  <c r="AE379" i="34"/>
  <c r="AF379" i="34" s="1"/>
  <c r="AC379" i="34"/>
  <c r="AE452" i="34"/>
  <c r="AF452" i="34" s="1"/>
  <c r="AC452" i="34"/>
  <c r="S80" i="34"/>
  <c r="U80" i="34"/>
  <c r="V80" i="34" s="1"/>
  <c r="AE510" i="34"/>
  <c r="AF510" i="34" s="1"/>
  <c r="AC510" i="34"/>
  <c r="U129" i="34"/>
  <c r="V129" i="34" s="1"/>
  <c r="S129" i="34"/>
  <c r="AM107" i="34"/>
  <c r="AO107" i="34"/>
  <c r="AP107" i="34" s="1"/>
  <c r="AE232" i="34"/>
  <c r="AF232" i="34" s="1"/>
  <c r="AC232" i="34"/>
  <c r="AC155" i="34"/>
  <c r="AE155" i="34"/>
  <c r="AF155" i="34" s="1"/>
  <c r="S527" i="34"/>
  <c r="U527" i="34"/>
  <c r="V527" i="34" s="1"/>
  <c r="S534" i="34"/>
  <c r="U534" i="34"/>
  <c r="V534" i="34" s="1"/>
  <c r="AC618" i="34"/>
  <c r="AE618" i="34"/>
  <c r="AF618" i="34" s="1"/>
  <c r="U600" i="34"/>
  <c r="V600" i="34" s="1"/>
  <c r="S600" i="34"/>
  <c r="U311" i="34"/>
  <c r="V311" i="34" s="1"/>
  <c r="S311" i="34"/>
  <c r="U405" i="34"/>
  <c r="V405" i="34" s="1"/>
  <c r="S405" i="34"/>
  <c r="K146" i="34"/>
  <c r="L146" i="34" s="1"/>
  <c r="I146" i="34"/>
  <c r="S177" i="34"/>
  <c r="U177" i="34"/>
  <c r="V177" i="34" s="1"/>
  <c r="S241" i="34"/>
  <c r="U241" i="34"/>
  <c r="V241" i="34" s="1"/>
  <c r="I86" i="34"/>
  <c r="K86" i="34"/>
  <c r="L86" i="34" s="1"/>
  <c r="AE535" i="34"/>
  <c r="AF535" i="34" s="1"/>
  <c r="AC535" i="34"/>
  <c r="AE594" i="34"/>
  <c r="AF594" i="34" s="1"/>
  <c r="AC594" i="34"/>
  <c r="AE314" i="34"/>
  <c r="AF314" i="34" s="1"/>
  <c r="AC314" i="34"/>
  <c r="AE235" i="34"/>
  <c r="AF235" i="34" s="1"/>
  <c r="AC235" i="34"/>
  <c r="S105" i="34"/>
  <c r="U105" i="34"/>
  <c r="V105" i="34" s="1"/>
  <c r="I165" i="34"/>
  <c r="K165" i="34"/>
  <c r="L165" i="34" s="1"/>
  <c r="U128" i="34"/>
  <c r="V128" i="34" s="1"/>
  <c r="S128" i="34"/>
  <c r="X71" i="7"/>
  <c r="Y71" i="7" s="1"/>
  <c r="V71" i="7"/>
  <c r="S346" i="34"/>
  <c r="U346" i="34"/>
  <c r="V346" i="34" s="1"/>
  <c r="S410" i="34"/>
  <c r="U410" i="34"/>
  <c r="V410" i="34" s="1"/>
  <c r="AE265" i="34"/>
  <c r="AF265" i="34" s="1"/>
  <c r="AC265" i="34"/>
  <c r="S198" i="34"/>
  <c r="U198" i="34"/>
  <c r="V198" i="34" s="1"/>
  <c r="S262" i="34"/>
  <c r="U262" i="34"/>
  <c r="V262" i="34" s="1"/>
  <c r="I119" i="34"/>
  <c r="K119" i="34"/>
  <c r="L119" i="34" s="1"/>
  <c r="AE504" i="34"/>
  <c r="AF504" i="34" s="1"/>
  <c r="AC504" i="34"/>
  <c r="AE511" i="34"/>
  <c r="AF511" i="34" s="1"/>
  <c r="AC511" i="34"/>
  <c r="AE395" i="34"/>
  <c r="AF395" i="34" s="1"/>
  <c r="AC395" i="34"/>
  <c r="AE420" i="34"/>
  <c r="AF420" i="34" s="1"/>
  <c r="AC420" i="34"/>
  <c r="AE162" i="34"/>
  <c r="AF162" i="34" s="1"/>
  <c r="AC162" i="34"/>
  <c r="AM32" i="34"/>
  <c r="AO32" i="34"/>
  <c r="AP32" i="34" s="1"/>
  <c r="U8" i="34"/>
  <c r="V8" i="34" s="1"/>
  <c r="S8" i="34"/>
  <c r="X32" i="7"/>
  <c r="Y32" i="7" s="1"/>
  <c r="V32" i="7"/>
  <c r="S352" i="34"/>
  <c r="U352" i="34"/>
  <c r="V352" i="34" s="1"/>
  <c r="S416" i="34"/>
  <c r="U416" i="34"/>
  <c r="V416" i="34" s="1"/>
  <c r="AE177" i="34"/>
  <c r="AF177" i="34" s="1"/>
  <c r="AC177" i="34"/>
  <c r="S220" i="34"/>
  <c r="U220" i="34"/>
  <c r="V220" i="34" s="1"/>
  <c r="S284" i="34"/>
  <c r="U284" i="34"/>
  <c r="V284" i="34" s="1"/>
  <c r="I95" i="34"/>
  <c r="K95" i="34"/>
  <c r="L95" i="34" s="1"/>
  <c r="AC464" i="34"/>
  <c r="AE464" i="34"/>
  <c r="AF464" i="34" s="1"/>
  <c r="AE576" i="34"/>
  <c r="AF576" i="34" s="1"/>
  <c r="AC576" i="34"/>
  <c r="AE360" i="34"/>
  <c r="AF360" i="34" s="1"/>
  <c r="AC360" i="34"/>
  <c r="AE445" i="34"/>
  <c r="AF445" i="34" s="1"/>
  <c r="AC445" i="34"/>
  <c r="AM122" i="34"/>
  <c r="AO122" i="34"/>
  <c r="AP122" i="34" s="1"/>
  <c r="X65" i="7"/>
  <c r="Y65" i="7" s="1"/>
  <c r="V65" i="7"/>
  <c r="X99" i="7"/>
  <c r="Y99" i="7" s="1"/>
  <c r="V99" i="7"/>
  <c r="AE196" i="34"/>
  <c r="AF196" i="34" s="1"/>
  <c r="AC196" i="34"/>
  <c r="AO59" i="34"/>
  <c r="AP59" i="34" s="1"/>
  <c r="AM59" i="34"/>
  <c r="U355" i="34"/>
  <c r="V355" i="34" s="1"/>
  <c r="S355" i="34"/>
  <c r="S419" i="34"/>
  <c r="U419" i="34"/>
  <c r="V419" i="34" s="1"/>
  <c r="S160" i="34"/>
  <c r="U160" i="34"/>
  <c r="V160" i="34" s="1"/>
  <c r="S223" i="34"/>
  <c r="U223" i="34"/>
  <c r="V223" i="34" s="1"/>
  <c r="S287" i="34"/>
  <c r="U287" i="34"/>
  <c r="V287" i="34" s="1"/>
  <c r="AE480" i="34"/>
  <c r="AF480" i="34" s="1"/>
  <c r="AC480" i="34"/>
  <c r="AE483" i="34"/>
  <c r="AF483" i="34" s="1"/>
  <c r="AC483" i="34"/>
  <c r="AE593" i="34"/>
  <c r="AF593" i="34" s="1"/>
  <c r="AC593" i="34"/>
  <c r="AE394" i="34"/>
  <c r="AF394" i="34" s="1"/>
  <c r="AC394" i="34"/>
  <c r="AE179" i="34"/>
  <c r="AF179" i="34" s="1"/>
  <c r="AC179" i="34"/>
  <c r="S40" i="34"/>
  <c r="U40" i="34"/>
  <c r="V40" i="34" s="1"/>
  <c r="U88" i="34"/>
  <c r="V88" i="34" s="1"/>
  <c r="S88" i="34"/>
  <c r="X45" i="7"/>
  <c r="Y45" i="7" s="1"/>
  <c r="V45" i="7"/>
  <c r="AO93" i="34"/>
  <c r="AP93" i="34" s="1"/>
  <c r="AM93" i="34"/>
  <c r="T160" i="34"/>
  <c r="T159" i="34" s="1"/>
  <c r="T158" i="34" s="1"/>
  <c r="T157" i="34" s="1"/>
  <c r="T156" i="34" s="1"/>
  <c r="R628" i="34"/>
  <c r="R635" i="34"/>
  <c r="R695" i="34"/>
  <c r="R629" i="34"/>
  <c r="R700" i="34"/>
  <c r="R651" i="34"/>
  <c r="R691" i="34"/>
  <c r="R723" i="34"/>
  <c r="R621" i="34"/>
  <c r="R742" i="34"/>
  <c r="R704" i="34"/>
  <c r="R730" i="34"/>
  <c r="R627" i="34"/>
  <c r="R755" i="34"/>
  <c r="R734" i="34"/>
  <c r="R613" i="34"/>
  <c r="R607" i="34"/>
  <c r="R729" i="34"/>
  <c r="R674" i="34"/>
  <c r="R680" i="34"/>
  <c r="R630" i="34"/>
  <c r="R684" i="34"/>
  <c r="R625" i="34"/>
  <c r="R657" i="34"/>
  <c r="R731" i="34"/>
  <c r="R728" i="34"/>
  <c r="R698" i="34"/>
  <c r="R714" i="34"/>
  <c r="R737" i="34"/>
  <c r="R634" i="34"/>
  <c r="R678" i="34"/>
  <c r="R631" i="34"/>
  <c r="R663" i="34"/>
  <c r="R746" i="34"/>
  <c r="R744" i="34"/>
  <c r="R701" i="34"/>
  <c r="R717" i="34"/>
  <c r="R749" i="34"/>
  <c r="R658" i="34"/>
  <c r="R640" i="34"/>
  <c r="R659" i="34"/>
  <c r="R727" i="34"/>
  <c r="R712" i="34"/>
  <c r="R667" i="34"/>
  <c r="R645" i="34"/>
  <c r="R608" i="34"/>
  <c r="R672" i="34"/>
  <c r="R636" i="34"/>
  <c r="R752" i="34"/>
  <c r="R747" i="34"/>
  <c r="R686" i="34"/>
  <c r="R743" i="34"/>
  <c r="R619" i="34"/>
  <c r="R683" i="34"/>
  <c r="R707" i="34"/>
  <c r="R653" i="34"/>
  <c r="R739" i="34"/>
  <c r="R720" i="34"/>
  <c r="R740" i="34"/>
  <c r="R719" i="34"/>
  <c r="R661" i="34"/>
  <c r="R708" i="34"/>
  <c r="R632" i="34"/>
  <c r="R654" i="34"/>
  <c r="R652" i="34"/>
  <c r="R650" i="34"/>
  <c r="R656" i="34"/>
  <c r="R641" i="34"/>
  <c r="R673" i="34"/>
  <c r="R751" i="34"/>
  <c r="R690" i="34"/>
  <c r="R706" i="34"/>
  <c r="R722" i="34"/>
  <c r="R735" i="34"/>
  <c r="R609" i="34"/>
  <c r="R668" i="34"/>
  <c r="R611" i="34"/>
  <c r="R647" i="34"/>
  <c r="R679" i="34"/>
  <c r="R610" i="34"/>
  <c r="R693" i="34"/>
  <c r="R709" i="34"/>
  <c r="R725" i="34"/>
  <c r="R664" i="34"/>
  <c r="R638" i="34"/>
  <c r="R711" i="34"/>
  <c r="R669" i="34"/>
  <c r="R675" i="34"/>
  <c r="R637" i="34"/>
  <c r="R616" i="34"/>
  <c r="R617" i="34"/>
  <c r="R662" i="34"/>
  <c r="R633" i="34"/>
  <c r="R665" i="34"/>
  <c r="R750" i="34"/>
  <c r="R754" i="34"/>
  <c r="R702" i="34"/>
  <c r="R718" i="34"/>
  <c r="R753" i="34"/>
  <c r="R666" i="34"/>
  <c r="R624" i="34"/>
  <c r="R620" i="34"/>
  <c r="R639" i="34"/>
  <c r="R671" i="34"/>
  <c r="R732" i="34"/>
  <c r="R689" i="34"/>
  <c r="R705" i="34"/>
  <c r="R721" i="34"/>
  <c r="R736" i="34"/>
  <c r="R738" i="34"/>
  <c r="R688" i="34"/>
  <c r="R643" i="34"/>
  <c r="R614" i="34"/>
  <c r="R715" i="34"/>
  <c r="R677" i="34"/>
  <c r="R696" i="34"/>
  <c r="R745" i="34"/>
  <c r="R741" i="34"/>
  <c r="R685" i="34"/>
  <c r="R724" i="34"/>
  <c r="R642" i="34"/>
  <c r="R682" i="34"/>
  <c r="R615" i="34"/>
  <c r="R649" i="34"/>
  <c r="R681" i="34"/>
  <c r="R612" i="34"/>
  <c r="R694" i="34"/>
  <c r="R710" i="34"/>
  <c r="R726" i="34"/>
  <c r="R648" i="34"/>
  <c r="R646" i="34"/>
  <c r="R623" i="34"/>
  <c r="R655" i="34"/>
  <c r="R687" i="34"/>
  <c r="R618" i="34"/>
  <c r="R697" i="34"/>
  <c r="R713" i="34"/>
  <c r="R733" i="34"/>
  <c r="R626" i="34"/>
  <c r="R670" i="34"/>
  <c r="R676" i="34"/>
  <c r="R644" i="34"/>
  <c r="R716" i="34"/>
  <c r="R699" i="34"/>
  <c r="R703" i="34"/>
  <c r="R692" i="34"/>
  <c r="R748" i="34"/>
  <c r="R622" i="34"/>
  <c r="R660" i="34"/>
  <c r="AE421" i="34"/>
  <c r="AF421" i="34" s="1"/>
  <c r="AC421" i="34"/>
  <c r="AE224" i="34"/>
  <c r="AF224" i="34" s="1"/>
  <c r="AC224" i="34"/>
  <c r="U35" i="34"/>
  <c r="V35" i="34" s="1"/>
  <c r="S35" i="34"/>
  <c r="U84" i="34"/>
  <c r="V84" i="34" s="1"/>
  <c r="S84" i="34"/>
  <c r="X43" i="7"/>
  <c r="Y43" i="7" s="1"/>
  <c r="V43" i="7"/>
  <c r="U26" i="34"/>
  <c r="V26" i="34" s="1"/>
  <c r="S26" i="34"/>
  <c r="AO65" i="34"/>
  <c r="AP65" i="34" s="1"/>
  <c r="AM65" i="34"/>
  <c r="AM41" i="34"/>
  <c r="AO41" i="34"/>
  <c r="AP41" i="34" s="1"/>
  <c r="AE202" i="34"/>
  <c r="AF202" i="34" s="1"/>
  <c r="AC202" i="34"/>
  <c r="AE276" i="34"/>
  <c r="AF276" i="34" s="1"/>
  <c r="AC276" i="34"/>
  <c r="U132" i="34"/>
  <c r="V132" i="34" s="1"/>
  <c r="S132" i="34"/>
  <c r="V9" i="7"/>
  <c r="X9" i="7"/>
  <c r="Y9" i="7" s="1"/>
  <c r="U63" i="34"/>
  <c r="V63" i="34" s="1"/>
  <c r="S63" i="34"/>
  <c r="AE170" i="34"/>
  <c r="AF170" i="34" s="1"/>
  <c r="AC170" i="34"/>
  <c r="AE252" i="34"/>
  <c r="AF252" i="34" s="1"/>
  <c r="AC252" i="34"/>
  <c r="U56" i="34"/>
  <c r="V56" i="34" s="1"/>
  <c r="S56" i="34"/>
  <c r="S78" i="34"/>
  <c r="U78" i="34"/>
  <c r="V78" i="34" s="1"/>
  <c r="AC458" i="34"/>
  <c r="AE458" i="34"/>
  <c r="AF458" i="34" s="1"/>
  <c r="AE370" i="34"/>
  <c r="AF370" i="34" s="1"/>
  <c r="AC370" i="34"/>
  <c r="AE326" i="34"/>
  <c r="AF326" i="34" s="1"/>
  <c r="AC326" i="34"/>
  <c r="AE233" i="34"/>
  <c r="AF233" i="34" s="1"/>
  <c r="AC233" i="34"/>
  <c r="AE582" i="34"/>
  <c r="AF582" i="34" s="1"/>
  <c r="AC582" i="34"/>
  <c r="S144" i="34"/>
  <c r="U144" i="34"/>
  <c r="V144" i="34" s="1"/>
  <c r="U86" i="34"/>
  <c r="V86" i="34" s="1"/>
  <c r="S86" i="34"/>
  <c r="AE520" i="34"/>
  <c r="AF520" i="34" s="1"/>
  <c r="AC520" i="34"/>
  <c r="AE467" i="34"/>
  <c r="AF467" i="34" s="1"/>
  <c r="AC467" i="34"/>
  <c r="AE280" i="34"/>
  <c r="AF280" i="34" s="1"/>
  <c r="AC280" i="34"/>
  <c r="U60" i="34"/>
  <c r="V60" i="34" s="1"/>
  <c r="S60" i="34"/>
  <c r="U29" i="34"/>
  <c r="V29" i="34" s="1"/>
  <c r="S29" i="34"/>
  <c r="AE302" i="34"/>
  <c r="AF302" i="34" s="1"/>
  <c r="AC302" i="34"/>
  <c r="AE274" i="34"/>
  <c r="AF274" i="34" s="1"/>
  <c r="AC274" i="34"/>
  <c r="AE194" i="34"/>
  <c r="AF194" i="34" s="1"/>
  <c r="AC194" i="34"/>
  <c r="U559" i="34"/>
  <c r="V559" i="34" s="1"/>
  <c r="S559" i="34"/>
  <c r="S487" i="34"/>
  <c r="U487" i="34"/>
  <c r="V487" i="34" s="1"/>
  <c r="U510" i="34"/>
  <c r="V510" i="34" s="1"/>
  <c r="S510" i="34"/>
  <c r="U345" i="34"/>
  <c r="V345" i="34" s="1"/>
  <c r="S345" i="34"/>
  <c r="S409" i="34"/>
  <c r="U409" i="34"/>
  <c r="V409" i="34" s="1"/>
  <c r="AO154" i="34"/>
  <c r="AP154" i="34" s="1"/>
  <c r="AM154" i="34"/>
  <c r="S293" i="34"/>
  <c r="U293" i="34"/>
  <c r="V293" i="34" s="1"/>
  <c r="I82" i="34"/>
  <c r="K82" i="34"/>
  <c r="L82" i="34" s="1"/>
  <c r="AE546" i="34"/>
  <c r="AF546" i="34" s="1"/>
  <c r="AC546" i="34"/>
  <c r="AO123" i="34"/>
  <c r="AP123" i="34" s="1"/>
  <c r="AM123" i="34"/>
  <c r="S366" i="34"/>
  <c r="U366" i="34"/>
  <c r="V366" i="34" s="1"/>
  <c r="AE325" i="34"/>
  <c r="AF325" i="34" s="1"/>
  <c r="AC325" i="34"/>
  <c r="S186" i="34"/>
  <c r="U186" i="34"/>
  <c r="V186" i="34" s="1"/>
  <c r="S250" i="34"/>
  <c r="U250" i="34"/>
  <c r="V250" i="34" s="1"/>
  <c r="K105" i="34"/>
  <c r="L105" i="34" s="1"/>
  <c r="I105" i="34"/>
  <c r="AE563" i="34"/>
  <c r="AF563" i="34" s="1"/>
  <c r="AC563" i="34"/>
  <c r="AE552" i="34"/>
  <c r="AF552" i="34" s="1"/>
  <c r="AC552" i="34"/>
  <c r="AE352" i="34"/>
  <c r="AF352" i="34" s="1"/>
  <c r="AC352" i="34"/>
  <c r="AE441" i="34"/>
  <c r="AF441" i="34" s="1"/>
  <c r="AC441" i="34"/>
  <c r="U24" i="34"/>
  <c r="V24" i="34" s="1"/>
  <c r="S24" i="34"/>
  <c r="I101" i="34"/>
  <c r="K101" i="34"/>
  <c r="L101" i="34" s="1"/>
  <c r="AE508" i="34"/>
  <c r="AF508" i="34" s="1"/>
  <c r="AC508" i="34"/>
  <c r="AE528" i="34"/>
  <c r="AF528" i="34" s="1"/>
  <c r="AC528" i="34"/>
  <c r="AC307" i="34"/>
  <c r="AE307" i="34"/>
  <c r="AF307" i="34" s="1"/>
  <c r="AE444" i="34"/>
  <c r="AF444" i="34" s="1"/>
  <c r="AC444" i="34"/>
  <c r="AE389" i="34"/>
  <c r="AF389" i="34" s="1"/>
  <c r="AC389" i="34"/>
  <c r="U7" i="34"/>
  <c r="V7" i="34" s="1"/>
  <c r="S7" i="34"/>
  <c r="AE456" i="34"/>
  <c r="AF456" i="34" s="1"/>
  <c r="AC456" i="34"/>
  <c r="AE227" i="34"/>
  <c r="AF227" i="34" s="1"/>
  <c r="AC227" i="34"/>
  <c r="AE318" i="34"/>
  <c r="AF318" i="34" s="1"/>
  <c r="AC318" i="34"/>
  <c r="AE540" i="34"/>
  <c r="AF540" i="34" s="1"/>
  <c r="AC540" i="34"/>
  <c r="AC641" i="34"/>
  <c r="AE641" i="34"/>
  <c r="AF641" i="34" s="1"/>
  <c r="AD618" i="34"/>
  <c r="Y51" i="34" s="1"/>
  <c r="S436" i="34"/>
  <c r="U436" i="34"/>
  <c r="V436" i="34" s="1"/>
  <c r="AE301" i="34"/>
  <c r="AF301" i="34" s="1"/>
  <c r="AC301" i="34"/>
  <c r="K126" i="34"/>
  <c r="L126" i="34" s="1"/>
  <c r="I126" i="34"/>
  <c r="AE475" i="34"/>
  <c r="AF475" i="34" s="1"/>
  <c r="AC475" i="34"/>
  <c r="AE386" i="34"/>
  <c r="AF386" i="34" s="1"/>
  <c r="AC386" i="34"/>
  <c r="U121" i="34"/>
  <c r="V121" i="34" s="1"/>
  <c r="S121" i="34"/>
  <c r="AC15" i="34"/>
  <c r="AE15" i="34"/>
  <c r="AF15" i="34" s="1"/>
  <c r="AC127" i="34"/>
  <c r="AE127" i="34"/>
  <c r="AF127" i="34" s="1"/>
  <c r="K20" i="34"/>
  <c r="L20" i="34" s="1"/>
  <c r="I20" i="34"/>
  <c r="U97" i="34"/>
  <c r="V97" i="34" s="1"/>
  <c r="S97" i="34"/>
  <c r="S274" i="34"/>
  <c r="U274" i="34"/>
  <c r="V274" i="34" s="1"/>
  <c r="V10" i="7"/>
  <c r="X10" i="7"/>
  <c r="Y10" i="7" s="1"/>
  <c r="S323" i="34"/>
  <c r="U323" i="34"/>
  <c r="V323" i="34" s="1"/>
  <c r="AE193" i="34"/>
  <c r="AF193" i="34" s="1"/>
  <c r="AC193" i="34"/>
  <c r="AE428" i="34"/>
  <c r="AF428" i="34" s="1"/>
  <c r="AC428" i="34"/>
  <c r="AE153" i="34"/>
  <c r="AF153" i="34" s="1"/>
  <c r="AC153" i="34"/>
  <c r="AE262" i="34"/>
  <c r="AF262" i="34" s="1"/>
  <c r="AC262" i="34"/>
  <c r="AE478" i="34"/>
  <c r="AF478" i="34" s="1"/>
  <c r="AC478" i="34"/>
  <c r="AE514" i="34"/>
  <c r="AF514" i="34" s="1"/>
  <c r="AC514" i="34"/>
  <c r="AC466" i="34"/>
  <c r="AE466" i="34"/>
  <c r="AF466" i="34" s="1"/>
  <c r="AE595" i="34"/>
  <c r="AF595" i="34" s="1"/>
  <c r="AC595" i="34"/>
  <c r="AE378" i="34"/>
  <c r="AF378" i="34" s="1"/>
  <c r="AC378" i="34"/>
  <c r="AE195" i="34"/>
  <c r="AF195" i="34" s="1"/>
  <c r="AC195" i="34"/>
  <c r="AO110" i="34"/>
  <c r="AP110" i="34" s="1"/>
  <c r="AM110" i="34"/>
  <c r="U130" i="34"/>
  <c r="V130" i="34" s="1"/>
  <c r="S130" i="34"/>
  <c r="AO54" i="34"/>
  <c r="AP54" i="34" s="1"/>
  <c r="AM54" i="34"/>
  <c r="AE393" i="34"/>
  <c r="AF393" i="34" s="1"/>
  <c r="AC393" i="34"/>
  <c r="U93" i="34"/>
  <c r="V93" i="34" s="1"/>
  <c r="S93" i="34"/>
  <c r="X58" i="7"/>
  <c r="Y58" i="7" s="1"/>
  <c r="V58" i="7"/>
  <c r="X76" i="7"/>
  <c r="Y76" i="7" s="1"/>
  <c r="V76" i="7"/>
  <c r="AO86" i="34"/>
  <c r="AP86" i="34" s="1"/>
  <c r="AM86" i="34"/>
  <c r="S2" i="34"/>
  <c r="U2" i="34"/>
  <c r="V2" i="34" s="1"/>
  <c r="AE206" i="34"/>
  <c r="AF206" i="34" s="1"/>
  <c r="AC206" i="34"/>
  <c r="U70" i="34"/>
  <c r="V70" i="34" s="1"/>
  <c r="S70" i="34"/>
  <c r="X14" i="7"/>
  <c r="Y14" i="7" s="1"/>
  <c r="V14" i="7"/>
  <c r="X78" i="7"/>
  <c r="Y78" i="7" s="1"/>
  <c r="V78" i="7"/>
  <c r="U66" i="34"/>
  <c r="V66" i="34" s="1"/>
  <c r="S66" i="34"/>
  <c r="AE294" i="34"/>
  <c r="AF294" i="34" s="1"/>
  <c r="AC294" i="34"/>
  <c r="AE401" i="34"/>
  <c r="AF401" i="34" s="1"/>
  <c r="AC401" i="34"/>
  <c r="AE284" i="34"/>
  <c r="AF284" i="34" s="1"/>
  <c r="AC284" i="34"/>
  <c r="AE407" i="34"/>
  <c r="AF407" i="34" s="1"/>
  <c r="AC407" i="34"/>
  <c r="AE479" i="34"/>
  <c r="AF479" i="34" s="1"/>
  <c r="AC479" i="34"/>
  <c r="AE308" i="34"/>
  <c r="AF308" i="34" s="1"/>
  <c r="AC308" i="34"/>
  <c r="AO68" i="34"/>
  <c r="AP68" i="34" s="1"/>
  <c r="AM68" i="34"/>
  <c r="AE558" i="34"/>
  <c r="AF558" i="34" s="1"/>
  <c r="AC558" i="34"/>
  <c r="AE412" i="34"/>
  <c r="AF412" i="34" s="1"/>
  <c r="AC412" i="34"/>
  <c r="AC163" i="34"/>
  <c r="AE163" i="34"/>
  <c r="AF163" i="34" s="1"/>
  <c r="AE298" i="34"/>
  <c r="AF298" i="34" s="1"/>
  <c r="AC298" i="34"/>
  <c r="AD165" i="34"/>
  <c r="Y21" i="34" s="1"/>
  <c r="U579" i="34"/>
  <c r="V579" i="34" s="1"/>
  <c r="S579" i="34"/>
  <c r="S582" i="34"/>
  <c r="U582" i="34"/>
  <c r="V582" i="34" s="1"/>
  <c r="S483" i="34"/>
  <c r="U483" i="34"/>
  <c r="V483" i="34" s="1"/>
  <c r="S554" i="34"/>
  <c r="U554" i="34"/>
  <c r="V554" i="34" s="1"/>
  <c r="S499" i="34"/>
  <c r="U499" i="34"/>
  <c r="V499" i="34" s="1"/>
  <c r="S467" i="34"/>
  <c r="U467" i="34"/>
  <c r="V467" i="34" s="1"/>
  <c r="S453" i="34"/>
  <c r="U453" i="34"/>
  <c r="V453" i="34" s="1"/>
  <c r="S225" i="34"/>
  <c r="U225" i="34"/>
  <c r="V225" i="34" s="1"/>
  <c r="S289" i="34"/>
  <c r="U289" i="34"/>
  <c r="V289" i="34" s="1"/>
  <c r="AE469" i="34"/>
  <c r="AF469" i="34" s="1"/>
  <c r="AC469" i="34"/>
  <c r="AE580" i="34"/>
  <c r="AF580" i="34" s="1"/>
  <c r="AC580" i="34"/>
  <c r="AE299" i="34"/>
  <c r="AF299" i="34" s="1"/>
  <c r="AC299" i="34"/>
  <c r="AE425" i="34"/>
  <c r="AF425" i="34" s="1"/>
  <c r="AC425" i="34"/>
  <c r="J146" i="34"/>
  <c r="E51" i="34" s="1"/>
  <c r="AM7" i="34"/>
  <c r="AO7" i="34"/>
  <c r="AP7" i="34" s="1"/>
  <c r="S325" i="34"/>
  <c r="U325" i="34"/>
  <c r="V325" i="34" s="1"/>
  <c r="S394" i="34"/>
  <c r="U394" i="34"/>
  <c r="V394" i="34" s="1"/>
  <c r="AE341" i="34"/>
  <c r="AF341" i="34" s="1"/>
  <c r="AC341" i="34"/>
  <c r="S182" i="34"/>
  <c r="U182" i="34"/>
  <c r="V182" i="34" s="1"/>
  <c r="U119" i="34"/>
  <c r="V119" i="34" s="1"/>
  <c r="S119" i="34"/>
  <c r="AO9" i="34"/>
  <c r="AP9" i="34" s="1"/>
  <c r="AM9" i="34"/>
  <c r="AE463" i="34"/>
  <c r="AF463" i="34" s="1"/>
  <c r="AC463" i="34"/>
  <c r="AE215" i="34"/>
  <c r="AF215" i="34" s="1"/>
  <c r="AC215" i="34"/>
  <c r="S400" i="34"/>
  <c r="U400" i="34"/>
  <c r="V400" i="34" s="1"/>
  <c r="S204" i="34"/>
  <c r="U204" i="34"/>
  <c r="V204" i="34" s="1"/>
  <c r="S268" i="34"/>
  <c r="U268" i="34"/>
  <c r="V268" i="34" s="1"/>
  <c r="I121" i="34"/>
  <c r="K121" i="34"/>
  <c r="L121" i="34" s="1"/>
  <c r="AE476" i="34"/>
  <c r="AF476" i="34" s="1"/>
  <c r="AC476" i="34"/>
  <c r="AE561" i="34"/>
  <c r="AF561" i="34" s="1"/>
  <c r="AC561" i="34"/>
  <c r="AE331" i="34"/>
  <c r="AF331" i="34" s="1"/>
  <c r="AC331" i="34"/>
  <c r="AE436" i="34"/>
  <c r="AF436" i="34" s="1"/>
  <c r="AC436" i="34"/>
  <c r="S111" i="34"/>
  <c r="U111" i="34"/>
  <c r="V111" i="34" s="1"/>
  <c r="X91" i="7"/>
  <c r="Y91" i="7" s="1"/>
  <c r="V91" i="7"/>
  <c r="U155" i="34"/>
  <c r="V155" i="34" s="1"/>
  <c r="S155" i="34"/>
  <c r="AM12" i="34"/>
  <c r="AO12" i="34"/>
  <c r="AP12" i="34" s="1"/>
  <c r="S207" i="34"/>
  <c r="U207" i="34"/>
  <c r="V207" i="34" s="1"/>
  <c r="K128" i="34"/>
  <c r="L128" i="34" s="1"/>
  <c r="I128" i="34"/>
  <c r="AE549" i="34"/>
  <c r="AF549" i="34" s="1"/>
  <c r="AC549" i="34"/>
  <c r="AE310" i="34"/>
  <c r="AF310" i="34" s="1"/>
  <c r="AC310" i="34"/>
  <c r="AO125" i="34"/>
  <c r="AP125" i="34" s="1"/>
  <c r="AM125" i="34"/>
  <c r="U120" i="34"/>
  <c r="V120" i="34" s="1"/>
  <c r="S120" i="34"/>
  <c r="S165" i="34"/>
  <c r="U165" i="34"/>
  <c r="V165" i="34" s="1"/>
  <c r="AE304" i="34"/>
  <c r="AF304" i="34" s="1"/>
  <c r="AC304" i="34"/>
  <c r="AO115" i="34"/>
  <c r="AP115" i="34" s="1"/>
  <c r="AM115" i="34"/>
  <c r="X59" i="7"/>
  <c r="Y59" i="7" s="1"/>
  <c r="V59" i="7"/>
  <c r="U39" i="34"/>
  <c r="V39" i="34" s="1"/>
  <c r="S39" i="34"/>
  <c r="AO51" i="34"/>
  <c r="AP51" i="34" s="1"/>
  <c r="AM51" i="34"/>
  <c r="S108" i="34"/>
  <c r="U108" i="34"/>
  <c r="V108" i="34" s="1"/>
  <c r="U45" i="34"/>
  <c r="V45" i="34" s="1"/>
  <c r="S45" i="34"/>
  <c r="AE272" i="34"/>
  <c r="AF272" i="34" s="1"/>
  <c r="AC272" i="34"/>
  <c r="U116" i="34"/>
  <c r="V116" i="34" s="1"/>
  <c r="S116" i="34"/>
  <c r="AE253" i="34"/>
  <c r="AF253" i="34" s="1"/>
  <c r="AC253" i="34"/>
  <c r="AE547" i="34"/>
  <c r="AF547" i="34" s="1"/>
  <c r="AC547" i="34"/>
  <c r="AE545" i="34"/>
  <c r="AF545" i="34" s="1"/>
  <c r="AC545" i="34"/>
  <c r="AE449" i="34"/>
  <c r="AF449" i="34" s="1"/>
  <c r="AC449" i="34"/>
  <c r="U36" i="34"/>
  <c r="V36" i="34" s="1"/>
  <c r="S36" i="34"/>
  <c r="AE544" i="34"/>
  <c r="AF544" i="34" s="1"/>
  <c r="AC544" i="34"/>
  <c r="AE413" i="34"/>
  <c r="AF413" i="34" s="1"/>
  <c r="AC413" i="34"/>
  <c r="U33" i="34"/>
  <c r="V33" i="34" s="1"/>
  <c r="S33" i="34"/>
  <c r="T14" i="34"/>
  <c r="O11" i="34" s="1"/>
  <c r="AE214" i="34"/>
  <c r="AF214" i="34" s="1"/>
  <c r="AC214" i="34"/>
  <c r="AC753" i="34"/>
  <c r="AE753" i="34"/>
  <c r="AF753" i="34" s="1"/>
  <c r="S425" i="34"/>
  <c r="U425" i="34"/>
  <c r="V425" i="34" s="1"/>
  <c r="AE351" i="34"/>
  <c r="AF351" i="34" s="1"/>
  <c r="AC351" i="34"/>
  <c r="S181" i="34"/>
  <c r="U181" i="34"/>
  <c r="V181" i="34" s="1"/>
  <c r="S245" i="34"/>
  <c r="U245" i="34"/>
  <c r="V245" i="34" s="1"/>
  <c r="U123" i="34"/>
  <c r="V123" i="34" s="1"/>
  <c r="S123" i="34"/>
  <c r="U11" i="34"/>
  <c r="V11" i="34" s="1"/>
  <c r="S11" i="34"/>
  <c r="AE565" i="34"/>
  <c r="AF565" i="34" s="1"/>
  <c r="AC565" i="34"/>
  <c r="AE461" i="34"/>
  <c r="AF461" i="34" s="1"/>
  <c r="AC461" i="34"/>
  <c r="AE354" i="34"/>
  <c r="AF354" i="34" s="1"/>
  <c r="AC354" i="34"/>
  <c r="AE219" i="34"/>
  <c r="AF219" i="34" s="1"/>
  <c r="AC219" i="34"/>
  <c r="AC97" i="34"/>
  <c r="AE97" i="34"/>
  <c r="AF97" i="34" s="1"/>
  <c r="S382" i="34"/>
  <c r="U382" i="34"/>
  <c r="V382" i="34" s="1"/>
  <c r="AE249" i="34"/>
  <c r="AF249" i="34" s="1"/>
  <c r="AC249" i="34"/>
  <c r="AE566" i="34"/>
  <c r="AF566" i="34" s="1"/>
  <c r="AC566" i="34"/>
  <c r="AE263" i="34"/>
  <c r="AF263" i="34" s="1"/>
  <c r="AC263" i="34"/>
  <c r="U117" i="34"/>
  <c r="V117" i="34" s="1"/>
  <c r="S117" i="34"/>
  <c r="AE598" i="34"/>
  <c r="AF598" i="34" s="1"/>
  <c r="AC598" i="34"/>
  <c r="AE376" i="34"/>
  <c r="AF376" i="34" s="1"/>
  <c r="AC376" i="34"/>
  <c r="AE453" i="34"/>
  <c r="AF453" i="34" s="1"/>
  <c r="AC453" i="34"/>
  <c r="AA5" i="35"/>
  <c r="Z6" i="35"/>
  <c r="AE306" i="34"/>
  <c r="AF306" i="34" s="1"/>
  <c r="AC306" i="34"/>
  <c r="AE502" i="34"/>
  <c r="AF502" i="34" s="1"/>
  <c r="AC502" i="34"/>
  <c r="AE277" i="34"/>
  <c r="AF277" i="34" s="1"/>
  <c r="AC277" i="34"/>
  <c r="AE499" i="34"/>
  <c r="AF499" i="34" s="1"/>
  <c r="AC499" i="34"/>
  <c r="AE408" i="34"/>
  <c r="AF408" i="34" s="1"/>
  <c r="AC408" i="34"/>
  <c r="U41" i="34"/>
  <c r="V41" i="34" s="1"/>
  <c r="S41" i="34"/>
  <c r="U98" i="34"/>
  <c r="V98" i="34" s="1"/>
  <c r="S98" i="34"/>
  <c r="AE178" i="34"/>
  <c r="AF178" i="34" s="1"/>
  <c r="AC178" i="34"/>
  <c r="AO131" i="34"/>
  <c r="AP131" i="34" s="1"/>
  <c r="AM131" i="34"/>
  <c r="U95" i="34"/>
  <c r="V95" i="34" s="1"/>
  <c r="S95" i="34"/>
  <c r="AE208" i="34"/>
  <c r="AF208" i="34" s="1"/>
  <c r="AC208" i="34"/>
  <c r="AC673" i="34"/>
  <c r="AE673" i="34"/>
  <c r="AF673" i="34" s="1"/>
  <c r="S566" i="34"/>
  <c r="U566" i="34"/>
  <c r="V566" i="34" s="1"/>
  <c r="AE652" i="34"/>
  <c r="AF652" i="34" s="1"/>
  <c r="AC652" i="34"/>
  <c r="S334" i="34"/>
  <c r="U334" i="34"/>
  <c r="V334" i="34" s="1"/>
  <c r="S445" i="34"/>
  <c r="U445" i="34"/>
  <c r="V445" i="34" s="1"/>
  <c r="AE237" i="34"/>
  <c r="AF237" i="34" s="1"/>
  <c r="AC237" i="34"/>
  <c r="S269" i="34"/>
  <c r="U269" i="34"/>
  <c r="V269" i="34" s="1"/>
  <c r="I90" i="34"/>
  <c r="K90" i="34"/>
  <c r="L90" i="34" s="1"/>
  <c r="AE543" i="34"/>
  <c r="AF543" i="34" s="1"/>
  <c r="AC543" i="34"/>
  <c r="AE438" i="34"/>
  <c r="AF438" i="34" s="1"/>
  <c r="AC438" i="34"/>
  <c r="AM143" i="34"/>
  <c r="AO143" i="34"/>
  <c r="AP143" i="34" s="1"/>
  <c r="J14" i="34"/>
  <c r="E11" i="34" s="1"/>
  <c r="AO121" i="34"/>
  <c r="AP121" i="34" s="1"/>
  <c r="AM121" i="34"/>
  <c r="S358" i="34"/>
  <c r="U358" i="34"/>
  <c r="V358" i="34" s="1"/>
  <c r="S422" i="34"/>
  <c r="U422" i="34"/>
  <c r="V422" i="34" s="1"/>
  <c r="AE375" i="34"/>
  <c r="AF375" i="34" s="1"/>
  <c r="AC375" i="34"/>
  <c r="AE495" i="34"/>
  <c r="AF495" i="34" s="1"/>
  <c r="AC495" i="34"/>
  <c r="S348" i="34"/>
  <c r="U348" i="34"/>
  <c r="V348" i="34" s="1"/>
  <c r="S412" i="34"/>
  <c r="U412" i="34"/>
  <c r="V412" i="34" s="1"/>
  <c r="AE522" i="34"/>
  <c r="AF522" i="34" s="1"/>
  <c r="AC522" i="34"/>
  <c r="S100" i="34"/>
  <c r="U100" i="34"/>
  <c r="V100" i="34" s="1"/>
  <c r="AE604" i="34"/>
  <c r="AF604" i="34" s="1"/>
  <c r="AC604" i="34"/>
  <c r="AE560" i="34"/>
  <c r="AF560" i="34" s="1"/>
  <c r="AC560" i="34"/>
  <c r="AE437" i="34"/>
  <c r="AF437" i="34" s="1"/>
  <c r="AC437" i="34"/>
  <c r="U125" i="34"/>
  <c r="V125" i="34" s="1"/>
  <c r="S125" i="34"/>
  <c r="S316" i="34"/>
  <c r="U316" i="34"/>
  <c r="V316" i="34" s="1"/>
  <c r="AM2" i="34"/>
  <c r="AO2" i="34"/>
  <c r="AP2" i="34" s="1"/>
  <c r="AE184" i="34"/>
  <c r="AF184" i="34" s="1"/>
  <c r="AC184" i="34"/>
  <c r="S142" i="34"/>
  <c r="U142" i="34"/>
  <c r="V142" i="34" s="1"/>
  <c r="AE210" i="34"/>
  <c r="AF210" i="34" s="1"/>
  <c r="AC210" i="34"/>
  <c r="AO18" i="34"/>
  <c r="AP18" i="34" s="1"/>
  <c r="AM18" i="34"/>
  <c r="S432" i="34"/>
  <c r="U432" i="34"/>
  <c r="V432" i="34" s="1"/>
  <c r="AE321" i="34"/>
  <c r="AF321" i="34" s="1"/>
  <c r="AC321" i="34"/>
  <c r="AE533" i="34"/>
  <c r="AF533" i="34" s="1"/>
  <c r="AC533" i="34"/>
  <c r="AE355" i="34"/>
  <c r="AF355" i="34" s="1"/>
  <c r="AC355" i="34"/>
  <c r="AE434" i="34"/>
  <c r="AF434" i="34" s="1"/>
  <c r="AC434" i="34"/>
  <c r="U148" i="34"/>
  <c r="V148" i="34" s="1"/>
  <c r="S148" i="34"/>
  <c r="U109" i="34"/>
  <c r="V109" i="34" s="1"/>
  <c r="S109" i="34"/>
  <c r="X96" i="7"/>
  <c r="Y96" i="7" s="1"/>
  <c r="V96" i="7"/>
  <c r="AO24" i="34"/>
  <c r="AP24" i="34" s="1"/>
  <c r="AM24" i="34"/>
  <c r="U14" i="34"/>
  <c r="V14" i="34" s="1"/>
  <c r="S14" i="34"/>
  <c r="AE320" i="34"/>
  <c r="AF320" i="34" s="1"/>
  <c r="AC320" i="34"/>
  <c r="AE278" i="34"/>
  <c r="AF278" i="34" s="1"/>
  <c r="AC278" i="34"/>
  <c r="U567" i="34"/>
  <c r="V567" i="34" s="1"/>
  <c r="S567" i="34"/>
  <c r="S574" i="34"/>
  <c r="U574" i="34"/>
  <c r="V574" i="34" s="1"/>
  <c r="S475" i="34"/>
  <c r="U475" i="34"/>
  <c r="V475" i="34" s="1"/>
  <c r="S546" i="34"/>
  <c r="U546" i="34"/>
  <c r="V546" i="34" s="1"/>
  <c r="AC633" i="34"/>
  <c r="AE633" i="34"/>
  <c r="AF633" i="34" s="1"/>
  <c r="S342" i="34"/>
  <c r="U342" i="34"/>
  <c r="V342" i="34" s="1"/>
  <c r="U377" i="34"/>
  <c r="V377" i="34" s="1"/>
  <c r="S377" i="34"/>
  <c r="S452" i="34"/>
  <c r="U452" i="34"/>
  <c r="V452" i="34" s="1"/>
  <c r="AE269" i="34"/>
  <c r="AF269" i="34" s="1"/>
  <c r="AC269" i="34"/>
  <c r="S197" i="34"/>
  <c r="U197" i="34"/>
  <c r="V197" i="34" s="1"/>
  <c r="S261" i="34"/>
  <c r="U261" i="34"/>
  <c r="V261" i="34" s="1"/>
  <c r="K118" i="34"/>
  <c r="L118" i="34" s="1"/>
  <c r="I118" i="34"/>
  <c r="AE496" i="34"/>
  <c r="AF496" i="34" s="1"/>
  <c r="AC496" i="34"/>
  <c r="AE507" i="34"/>
  <c r="AF507" i="34" s="1"/>
  <c r="AC507" i="34"/>
  <c r="AE403" i="34"/>
  <c r="AF403" i="34" s="1"/>
  <c r="AC403" i="34"/>
  <c r="AE416" i="34"/>
  <c r="AF416" i="34" s="1"/>
  <c r="AC416" i="34"/>
  <c r="I80" i="34"/>
  <c r="K80" i="34"/>
  <c r="L80" i="34" s="1"/>
  <c r="AC118" i="34"/>
  <c r="AE118" i="34"/>
  <c r="AF118" i="34" s="1"/>
  <c r="AD14" i="34"/>
  <c r="Y11" i="34" s="1"/>
  <c r="I23" i="34"/>
  <c r="K23" i="34"/>
  <c r="L23" i="34" s="1"/>
  <c r="U83" i="34"/>
  <c r="V83" i="34" s="1"/>
  <c r="S83" i="34"/>
  <c r="S321" i="34"/>
  <c r="U321" i="34"/>
  <c r="V321" i="34" s="1"/>
  <c r="S398" i="34"/>
  <c r="U398" i="34"/>
  <c r="V398" i="34" s="1"/>
  <c r="S310" i="34"/>
  <c r="U310" i="34"/>
  <c r="V310" i="34" s="1"/>
  <c r="AE185" i="34"/>
  <c r="AF185" i="34" s="1"/>
  <c r="AC185" i="34"/>
  <c r="S218" i="34"/>
  <c r="U218" i="34"/>
  <c r="V218" i="34" s="1"/>
  <c r="S282" i="34"/>
  <c r="U282" i="34"/>
  <c r="V282" i="34" s="1"/>
  <c r="S4" i="34"/>
  <c r="U4" i="34"/>
  <c r="V4" i="34" s="1"/>
  <c r="AC462" i="34"/>
  <c r="AE462" i="34"/>
  <c r="AF462" i="34" s="1"/>
  <c r="AE591" i="34"/>
  <c r="AF591" i="34" s="1"/>
  <c r="AC591" i="34"/>
  <c r="AE374" i="34"/>
  <c r="AF374" i="34" s="1"/>
  <c r="AC374" i="34"/>
  <c r="AE199" i="34"/>
  <c r="AF199" i="34" s="1"/>
  <c r="AC199" i="34"/>
  <c r="S71" i="34"/>
  <c r="U71" i="34"/>
  <c r="V71" i="34" s="1"/>
  <c r="AO71" i="34"/>
  <c r="AP71" i="34" s="1"/>
  <c r="AM71" i="34"/>
  <c r="AE391" i="34"/>
  <c r="AF391" i="34" s="1"/>
  <c r="AC391" i="34"/>
  <c r="J113" i="34"/>
  <c r="E41" i="34" s="1"/>
  <c r="S15" i="34"/>
  <c r="U15" i="34"/>
  <c r="V15" i="34" s="1"/>
  <c r="AE557" i="34"/>
  <c r="AF557" i="34" s="1"/>
  <c r="AC557" i="34"/>
  <c r="AE459" i="34"/>
  <c r="AF459" i="34" s="1"/>
  <c r="AC459" i="34"/>
  <c r="AE312" i="34"/>
  <c r="AF312" i="34" s="1"/>
  <c r="AC312" i="34"/>
  <c r="AE239" i="34"/>
  <c r="AF239" i="34" s="1"/>
  <c r="AC239" i="34"/>
  <c r="S102" i="34"/>
  <c r="U102" i="34"/>
  <c r="V102" i="34" s="1"/>
  <c r="AO117" i="34"/>
  <c r="AP117" i="34" s="1"/>
  <c r="AM117" i="34"/>
  <c r="AE248" i="34"/>
  <c r="AF248" i="34" s="1"/>
  <c r="AC248" i="34"/>
  <c r="U85" i="34"/>
  <c r="V85" i="34" s="1"/>
  <c r="S85" i="34"/>
  <c r="AE213" i="34"/>
  <c r="AF213" i="34" s="1"/>
  <c r="AC213" i="34"/>
  <c r="AE529" i="34"/>
  <c r="AF529" i="34" s="1"/>
  <c r="AC529" i="34"/>
  <c r="AE592" i="34"/>
  <c r="AF592" i="34" s="1"/>
  <c r="AC592" i="34"/>
  <c r="AE319" i="34"/>
  <c r="AF319" i="34" s="1"/>
  <c r="AC319" i="34"/>
  <c r="AE450" i="34"/>
  <c r="AF450" i="34" s="1"/>
  <c r="AC450" i="34"/>
  <c r="AM11" i="34"/>
  <c r="AO11" i="34"/>
  <c r="AP11" i="34" s="1"/>
  <c r="AO82" i="34"/>
  <c r="AP82" i="34" s="1"/>
  <c r="AM82" i="34"/>
  <c r="U68" i="34"/>
  <c r="V68" i="34" s="1"/>
  <c r="S68" i="34"/>
  <c r="AO53" i="34"/>
  <c r="AP53" i="34" s="1"/>
  <c r="AM53" i="34"/>
  <c r="AE575" i="34"/>
  <c r="AF575" i="34" s="1"/>
  <c r="AC575" i="34"/>
  <c r="AE256" i="34"/>
  <c r="AF256" i="34" s="1"/>
  <c r="AC256" i="34"/>
  <c r="AM124" i="34"/>
  <c r="AO124" i="34"/>
  <c r="AP124" i="34" s="1"/>
  <c r="U38" i="34"/>
  <c r="V38" i="34" s="1"/>
  <c r="S38" i="34"/>
  <c r="AE329" i="34"/>
  <c r="AF329" i="34" s="1"/>
  <c r="AC329" i="34"/>
  <c r="AE562" i="34"/>
  <c r="AF562" i="34" s="1"/>
  <c r="AC562" i="34"/>
  <c r="AE267" i="34"/>
  <c r="AF267" i="34" s="1"/>
  <c r="AC267" i="34"/>
  <c r="AE567" i="34"/>
  <c r="AF567" i="34" s="1"/>
  <c r="AC567" i="34"/>
  <c r="AE509" i="34"/>
  <c r="AF509" i="34" s="1"/>
  <c r="AC509" i="34"/>
  <c r="AE465" i="34"/>
  <c r="AF465" i="34" s="1"/>
  <c r="AC465" i="34"/>
  <c r="AM113" i="34"/>
  <c r="AO113" i="34"/>
  <c r="AP113" i="34" s="1"/>
  <c r="AM5" i="35"/>
  <c r="AL6" i="35"/>
  <c r="U126" i="34"/>
  <c r="V126" i="34" s="1"/>
  <c r="S126" i="34"/>
  <c r="S535" i="34"/>
  <c r="U535" i="34"/>
  <c r="V535" i="34" s="1"/>
  <c r="S550" i="34"/>
  <c r="U550" i="34"/>
  <c r="V550" i="34" s="1"/>
  <c r="U592" i="34"/>
  <c r="V592" i="34" s="1"/>
  <c r="S592" i="34"/>
  <c r="U563" i="34"/>
  <c r="V563" i="34" s="1"/>
  <c r="S563" i="34"/>
  <c r="AC681" i="34"/>
  <c r="AE681" i="34"/>
  <c r="AF681" i="34" s="1"/>
  <c r="AC608" i="34"/>
  <c r="AE608" i="34"/>
  <c r="AF608" i="34" s="1"/>
  <c r="S318" i="34"/>
  <c r="U318" i="34"/>
  <c r="V318" i="34" s="1"/>
  <c r="U401" i="34"/>
  <c r="V401" i="34" s="1"/>
  <c r="S401" i="34"/>
  <c r="I160" i="34"/>
  <c r="K160" i="34"/>
  <c r="L160" i="34" s="1"/>
  <c r="AE173" i="34"/>
  <c r="AF173" i="34" s="1"/>
  <c r="AC173" i="34"/>
  <c r="S221" i="34"/>
  <c r="U221" i="34"/>
  <c r="V221" i="34" s="1"/>
  <c r="S285" i="34"/>
  <c r="U285" i="34"/>
  <c r="V285" i="34" s="1"/>
  <c r="S74" i="34"/>
  <c r="U74" i="34"/>
  <c r="V74" i="34" s="1"/>
  <c r="AE455" i="34"/>
  <c r="AF455" i="34" s="1"/>
  <c r="AC455" i="34"/>
  <c r="AE564" i="34"/>
  <c r="AF564" i="34" s="1"/>
  <c r="AC564" i="34"/>
  <c r="AE364" i="34"/>
  <c r="AF364" i="34" s="1"/>
  <c r="AC364" i="34"/>
  <c r="AE447" i="34"/>
  <c r="AF447" i="34" s="1"/>
  <c r="AC447" i="34"/>
  <c r="AM21" i="34"/>
  <c r="AO21" i="34"/>
  <c r="AP21" i="34" s="1"/>
  <c r="AC125" i="34"/>
  <c r="AE125" i="34"/>
  <c r="AF125" i="34" s="1"/>
  <c r="U92" i="34"/>
  <c r="V92" i="34" s="1"/>
  <c r="S92" i="34"/>
  <c r="S374" i="34"/>
  <c r="U374" i="34"/>
  <c r="V374" i="34" s="1"/>
  <c r="S446" i="34"/>
  <c r="U446" i="34"/>
  <c r="V446" i="34" s="1"/>
  <c r="AE281" i="34"/>
  <c r="AF281" i="34" s="1"/>
  <c r="AC281" i="34"/>
  <c r="S178" i="34"/>
  <c r="U178" i="34"/>
  <c r="V178" i="34" s="1"/>
  <c r="S242" i="34"/>
  <c r="U242" i="34"/>
  <c r="V242" i="34" s="1"/>
  <c r="S140" i="34"/>
  <c r="U140" i="34"/>
  <c r="V140" i="34" s="1"/>
  <c r="AE492" i="34"/>
  <c r="AF492" i="34" s="1"/>
  <c r="AC492" i="34"/>
  <c r="AE577" i="34"/>
  <c r="AF577" i="34" s="1"/>
  <c r="AC577" i="34"/>
  <c r="AE323" i="34"/>
  <c r="AF323" i="34" s="1"/>
  <c r="AC323" i="34"/>
  <c r="AE448" i="34"/>
  <c r="AF448" i="34" s="1"/>
  <c r="AC448" i="34"/>
  <c r="AE417" i="34"/>
  <c r="AF417" i="34" s="1"/>
  <c r="AC417" i="34"/>
  <c r="AO96" i="34"/>
  <c r="AP96" i="34" s="1"/>
  <c r="AM96" i="34"/>
  <c r="S364" i="34"/>
  <c r="U364" i="34"/>
  <c r="V364" i="34" s="1"/>
  <c r="S428" i="34"/>
  <c r="U428" i="34"/>
  <c r="V428" i="34" s="1"/>
  <c r="AE333" i="34"/>
  <c r="AF333" i="34" s="1"/>
  <c r="AC333" i="34"/>
  <c r="AE513" i="34"/>
  <c r="AF513" i="34" s="1"/>
  <c r="AC513" i="34"/>
  <c r="AE574" i="34"/>
  <c r="AF574" i="34" s="1"/>
  <c r="AC574" i="34"/>
  <c r="AE410" i="34"/>
  <c r="AF410" i="34" s="1"/>
  <c r="AC410" i="34"/>
  <c r="AE271" i="34"/>
  <c r="AF271" i="34" s="1"/>
  <c r="AC271" i="34"/>
  <c r="S73" i="34"/>
  <c r="U73" i="34"/>
  <c r="V73" i="34" s="1"/>
  <c r="AM126" i="34"/>
  <c r="AO126" i="34"/>
  <c r="AP126" i="34" s="1"/>
  <c r="AQ5" i="35"/>
  <c r="AP6" i="35"/>
  <c r="AE161" i="34"/>
  <c r="AF161" i="34" s="1"/>
  <c r="AC161" i="34"/>
  <c r="X15" i="7"/>
  <c r="Y15" i="7" s="1"/>
  <c r="V15" i="7"/>
  <c r="AM45" i="34"/>
  <c r="AO45" i="34"/>
  <c r="AP45" i="34" s="1"/>
  <c r="S336" i="34"/>
  <c r="U336" i="34"/>
  <c r="V336" i="34" s="1"/>
  <c r="U383" i="34"/>
  <c r="V383" i="34" s="1"/>
  <c r="S383" i="34"/>
  <c r="S441" i="34"/>
  <c r="U441" i="34"/>
  <c r="V441" i="34" s="1"/>
  <c r="AE245" i="34"/>
  <c r="AF245" i="34" s="1"/>
  <c r="AC245" i="34"/>
  <c r="S104" i="34"/>
  <c r="U104" i="34"/>
  <c r="V104" i="34" s="1"/>
  <c r="S76" i="34"/>
  <c r="U76" i="34"/>
  <c r="V76" i="34" s="1"/>
  <c r="AC460" i="34"/>
  <c r="AE460" i="34"/>
  <c r="AF460" i="34" s="1"/>
  <c r="AE556" i="34"/>
  <c r="AF556" i="34" s="1"/>
  <c r="AC556" i="34"/>
  <c r="AE356" i="34"/>
  <c r="AF356" i="34" s="1"/>
  <c r="AC356" i="34"/>
  <c r="AE443" i="34"/>
  <c r="AF443" i="34" s="1"/>
  <c r="AC443" i="34"/>
  <c r="I107" i="34"/>
  <c r="K107" i="34"/>
  <c r="L107" i="34" s="1"/>
  <c r="AE409" i="34"/>
  <c r="AF409" i="34" s="1"/>
  <c r="AC409" i="34"/>
  <c r="AO85" i="34"/>
  <c r="AP85" i="34" s="1"/>
  <c r="AM85" i="34"/>
  <c r="T316" i="34"/>
  <c r="O31" i="34" s="1"/>
  <c r="AE192" i="34"/>
  <c r="AF192" i="34" s="1"/>
  <c r="AC192" i="34"/>
  <c r="X26" i="7"/>
  <c r="Y26" i="7" s="1"/>
  <c r="V26" i="7"/>
  <c r="AE342" i="34"/>
  <c r="AF342" i="34" s="1"/>
  <c r="AC342" i="34"/>
  <c r="AO129" i="34"/>
  <c r="AP129" i="34" s="1"/>
  <c r="AM129" i="34"/>
  <c r="U20" i="34"/>
  <c r="V20" i="34" s="1"/>
  <c r="S20" i="34"/>
  <c r="AW6" i="35"/>
  <c r="AV7" i="35"/>
  <c r="AE254" i="34"/>
  <c r="AF254" i="34" s="1"/>
  <c r="AC254" i="34"/>
  <c r="U81" i="34"/>
  <c r="V81" i="34" s="1"/>
  <c r="S81" i="34"/>
  <c r="X44" i="7"/>
  <c r="Y44" i="7" s="1"/>
  <c r="V44" i="7"/>
  <c r="U101" i="34"/>
  <c r="V101" i="34" s="1"/>
  <c r="S101" i="34"/>
  <c r="AE332" i="34"/>
  <c r="AF332" i="34" s="1"/>
  <c r="AC332" i="34"/>
  <c r="AE220" i="34"/>
  <c r="AF220" i="34" s="1"/>
  <c r="AC220" i="34"/>
  <c r="X46" i="7"/>
  <c r="Y46" i="7" s="1"/>
  <c r="V46" i="7"/>
  <c r="AO84" i="34"/>
  <c r="AP84" i="34" s="1"/>
  <c r="AM84" i="34"/>
  <c r="S151" i="34"/>
  <c r="U151" i="34"/>
  <c r="V151" i="34" s="1"/>
  <c r="AE486" i="34"/>
  <c r="AF486" i="34" s="1"/>
  <c r="AC486" i="34"/>
  <c r="AE180" i="34"/>
  <c r="AF180" i="34" s="1"/>
  <c r="AC180" i="34"/>
  <c r="AE5" i="35"/>
  <c r="AD6" i="35"/>
  <c r="U13" i="34"/>
  <c r="V13" i="34" s="1"/>
  <c r="S13" i="34"/>
  <c r="AE176" i="34"/>
  <c r="AF176" i="34" s="1"/>
  <c r="AC176" i="34"/>
  <c r="U58" i="34"/>
  <c r="V58" i="34" s="1"/>
  <c r="S58" i="34"/>
  <c r="U55" i="34"/>
  <c r="V55" i="34" s="1"/>
  <c r="S55" i="34"/>
  <c r="AE169" i="34"/>
  <c r="AF169" i="34" s="1"/>
  <c r="AC169" i="34"/>
  <c r="AE588" i="34"/>
  <c r="AF588" i="34" s="1"/>
  <c r="AC588" i="34"/>
  <c r="AE589" i="34"/>
  <c r="AF589" i="34" s="1"/>
  <c r="AC589" i="34"/>
  <c r="AE247" i="34"/>
  <c r="AF247" i="34" s="1"/>
  <c r="AC247" i="34"/>
  <c r="AE209" i="34"/>
  <c r="AF209" i="34" s="1"/>
  <c r="AC209" i="34"/>
  <c r="AE497" i="34"/>
  <c r="AF497" i="34" s="1"/>
  <c r="AC497" i="34"/>
  <c r="AE392" i="34"/>
  <c r="AF392" i="34" s="1"/>
  <c r="AC392" i="34"/>
  <c r="AE287" i="34"/>
  <c r="AF287" i="34" s="1"/>
  <c r="AC287" i="34"/>
  <c r="U51" i="34"/>
  <c r="V51" i="34" s="1"/>
  <c r="S51" i="34"/>
  <c r="AE266" i="34"/>
  <c r="AF266" i="34" s="1"/>
  <c r="AC266" i="34"/>
  <c r="U115" i="34"/>
  <c r="V115" i="34" s="1"/>
  <c r="S115" i="34"/>
  <c r="S37" i="34"/>
  <c r="U37" i="34"/>
  <c r="V37" i="34" s="1"/>
  <c r="AD467" i="34"/>
  <c r="Y41" i="34" s="1"/>
  <c r="AE275" i="34"/>
  <c r="AF275" i="34" s="1"/>
  <c r="AC275" i="34"/>
  <c r="S17" i="34"/>
  <c r="U17" i="34"/>
  <c r="V17" i="34" s="1"/>
  <c r="AE212" i="34"/>
  <c r="AF212" i="34" s="1"/>
  <c r="AC212" i="34"/>
  <c r="AC156" i="34"/>
  <c r="AE156" i="34"/>
  <c r="AF156" i="34" s="1"/>
  <c r="S479" i="34"/>
  <c r="U479" i="34"/>
  <c r="V479" i="34" s="1"/>
  <c r="U571" i="34"/>
  <c r="V571" i="34" s="1"/>
  <c r="S571" i="34"/>
  <c r="AE668" i="34"/>
  <c r="AF668" i="34" s="1"/>
  <c r="AC668" i="34"/>
  <c r="S542" i="34"/>
  <c r="U542" i="34"/>
  <c r="V542" i="34" s="1"/>
  <c r="U357" i="34"/>
  <c r="V357" i="34" s="1"/>
  <c r="S357" i="34"/>
  <c r="S421" i="34"/>
  <c r="U421" i="34"/>
  <c r="V421" i="34" s="1"/>
  <c r="AE383" i="34"/>
  <c r="AF383" i="34" s="1"/>
  <c r="AC383" i="34"/>
  <c r="S193" i="34"/>
  <c r="U193" i="34"/>
  <c r="V193" i="34" s="1"/>
  <c r="S257" i="34"/>
  <c r="U257" i="34"/>
  <c r="V257" i="34" s="1"/>
  <c r="I70" i="34"/>
  <c r="K70" i="34"/>
  <c r="L70" i="34" s="1"/>
  <c r="AE491" i="34"/>
  <c r="AF491" i="34" s="1"/>
  <c r="AC491" i="34"/>
  <c r="AE601" i="34"/>
  <c r="AF601" i="34" s="1"/>
  <c r="AC601" i="34"/>
  <c r="AE402" i="34"/>
  <c r="AF402" i="34" s="1"/>
  <c r="AC402" i="34"/>
  <c r="AE171" i="34"/>
  <c r="AF171" i="34" s="1"/>
  <c r="AC171" i="34"/>
  <c r="S42" i="34"/>
  <c r="U42" i="34"/>
  <c r="V42" i="34" s="1"/>
  <c r="I161" i="34"/>
  <c r="K161" i="34"/>
  <c r="L161" i="34" s="1"/>
  <c r="I154" i="34"/>
  <c r="K154" i="34"/>
  <c r="L154" i="34" s="1"/>
  <c r="AO105" i="34"/>
  <c r="AP105" i="34" s="1"/>
  <c r="AM105" i="34"/>
  <c r="X55" i="7"/>
  <c r="Y55" i="7" s="1"/>
  <c r="V55" i="7"/>
  <c r="U486" i="34"/>
  <c r="V486" i="34" s="1"/>
  <c r="S486" i="34"/>
  <c r="S362" i="34"/>
  <c r="U362" i="34"/>
  <c r="V362" i="34" s="1"/>
  <c r="S426" i="34"/>
  <c r="U426" i="34"/>
  <c r="V426" i="34" s="1"/>
  <c r="AE201" i="34"/>
  <c r="AF201" i="34" s="1"/>
  <c r="AC201" i="34"/>
  <c r="S214" i="34"/>
  <c r="U214" i="34"/>
  <c r="V214" i="34" s="1"/>
  <c r="S278" i="34"/>
  <c r="U278" i="34"/>
  <c r="V278" i="34" s="1"/>
  <c r="I97" i="34"/>
  <c r="K97" i="34"/>
  <c r="L97" i="34" s="1"/>
  <c r="AE524" i="34"/>
  <c r="AF524" i="34" s="1"/>
  <c r="AC524" i="34"/>
  <c r="AE536" i="34"/>
  <c r="AF536" i="34" s="1"/>
  <c r="AC536" i="34"/>
  <c r="AC311" i="34"/>
  <c r="AE311" i="34"/>
  <c r="AF311" i="34" s="1"/>
  <c r="AE433" i="34"/>
  <c r="AF433" i="34" s="1"/>
  <c r="AC433" i="34"/>
  <c r="U143" i="34"/>
  <c r="V143" i="34" s="1"/>
  <c r="S143" i="34"/>
  <c r="K18" i="34"/>
  <c r="L18" i="34" s="1"/>
  <c r="I18" i="34"/>
  <c r="U122" i="34"/>
  <c r="V122" i="34" s="1"/>
  <c r="S122" i="34"/>
  <c r="X48" i="7"/>
  <c r="Y48" i="7" s="1"/>
  <c r="V48" i="7"/>
  <c r="S368" i="34"/>
  <c r="U368" i="34"/>
  <c r="V368" i="34" s="1"/>
  <c r="S434" i="34"/>
  <c r="U434" i="34"/>
  <c r="V434" i="34" s="1"/>
  <c r="AE423" i="34"/>
  <c r="AF423" i="34" s="1"/>
  <c r="AC423" i="34"/>
  <c r="S172" i="34"/>
  <c r="U172" i="34"/>
  <c r="V172" i="34" s="1"/>
  <c r="S236" i="34"/>
  <c r="U236" i="34"/>
  <c r="V236" i="34" s="1"/>
  <c r="S300" i="34"/>
  <c r="U300" i="34"/>
  <c r="V300" i="34" s="1"/>
  <c r="I99" i="34"/>
  <c r="K99" i="34"/>
  <c r="L99" i="34" s="1"/>
  <c r="S23" i="34"/>
  <c r="U23" i="34"/>
  <c r="V23" i="34" s="1"/>
  <c r="AE530" i="34"/>
  <c r="AF530" i="34" s="1"/>
  <c r="AC530" i="34"/>
  <c r="AE586" i="34"/>
  <c r="AF586" i="34" s="1"/>
  <c r="AC586" i="34"/>
  <c r="AE426" i="34"/>
  <c r="AF426" i="34" s="1"/>
  <c r="AC426" i="34"/>
  <c r="AE255" i="34"/>
  <c r="AF255" i="34" s="1"/>
  <c r="AC255" i="34"/>
  <c r="S106" i="34"/>
  <c r="U106" i="34"/>
  <c r="V106" i="34" s="1"/>
  <c r="AO106" i="34"/>
  <c r="AP106" i="34" s="1"/>
  <c r="AM106" i="34"/>
  <c r="AE290" i="34"/>
  <c r="AF290" i="34" s="1"/>
  <c r="AC290" i="34"/>
  <c r="AM37" i="34"/>
  <c r="AO37" i="34"/>
  <c r="AP37" i="34" s="1"/>
  <c r="U371" i="34"/>
  <c r="V371" i="34" s="1"/>
  <c r="S371" i="34"/>
  <c r="S440" i="34"/>
  <c r="U440" i="34"/>
  <c r="V440" i="34" s="1"/>
  <c r="AE399" i="34"/>
  <c r="AF399" i="34" s="1"/>
  <c r="AC399" i="34"/>
  <c r="S175" i="34"/>
  <c r="U175" i="34"/>
  <c r="V175" i="34" s="1"/>
  <c r="S239" i="34"/>
  <c r="U239" i="34"/>
  <c r="V239" i="34" s="1"/>
  <c r="U150" i="34"/>
  <c r="V150" i="34" s="1"/>
  <c r="S150" i="34"/>
  <c r="AE500" i="34"/>
  <c r="AF500" i="34" s="1"/>
  <c r="AC500" i="34"/>
  <c r="AE553" i="34"/>
  <c r="AF553" i="34" s="1"/>
  <c r="AC553" i="34"/>
  <c r="AE335" i="34"/>
  <c r="AF335" i="34" s="1"/>
  <c r="AC335" i="34"/>
  <c r="AE442" i="34"/>
  <c r="AF442" i="34" s="1"/>
  <c r="AC442" i="34"/>
  <c r="S137" i="34"/>
  <c r="U137" i="34"/>
  <c r="V137" i="34" s="1"/>
  <c r="AO10" i="34"/>
  <c r="AP10" i="34" s="1"/>
  <c r="AM10" i="34"/>
  <c r="X29" i="7"/>
  <c r="Y29" i="7" s="1"/>
  <c r="V29" i="7"/>
  <c r="AM76" i="34"/>
  <c r="AO76" i="34"/>
  <c r="AP76" i="34" s="1"/>
  <c r="T165" i="34"/>
  <c r="O21" i="34" s="1"/>
  <c r="AM128" i="34"/>
  <c r="AO128" i="34"/>
  <c r="AP128" i="34" s="1"/>
  <c r="AE534" i="34"/>
  <c r="AF534" i="34" s="1"/>
  <c r="AC534" i="34"/>
  <c r="AE204" i="34"/>
  <c r="AF204" i="34" s="1"/>
  <c r="AC204" i="34"/>
  <c r="U87" i="34"/>
  <c r="V87" i="34" s="1"/>
  <c r="S87" i="34"/>
  <c r="X89" i="7"/>
  <c r="Y89" i="7" s="1"/>
  <c r="V89" i="7"/>
  <c r="AO16" i="34"/>
  <c r="AP16" i="34" s="1"/>
  <c r="AM16" i="34"/>
  <c r="X27" i="7"/>
  <c r="Y27" i="7" s="1"/>
  <c r="V27" i="7"/>
  <c r="AO95" i="34"/>
  <c r="AP95" i="34" s="1"/>
  <c r="AM95" i="34"/>
  <c r="AE361" i="34"/>
  <c r="AF361" i="34" s="1"/>
  <c r="AC361" i="34"/>
  <c r="AO62" i="34"/>
  <c r="AP62" i="34" s="1"/>
  <c r="AM62" i="34"/>
  <c r="AO48" i="34"/>
  <c r="AP48" i="34" s="1"/>
  <c r="AM48" i="34"/>
  <c r="AE230" i="34"/>
  <c r="AF230" i="34" s="1"/>
  <c r="AC230" i="34"/>
  <c r="X57" i="7"/>
  <c r="Y57" i="7" s="1"/>
  <c r="V57" i="7"/>
  <c r="AO81" i="34"/>
  <c r="AP81" i="34" s="1"/>
  <c r="AM81" i="34"/>
  <c r="AE246" i="34"/>
  <c r="AF246" i="34" s="1"/>
  <c r="AC246" i="34"/>
  <c r="AM8" i="34"/>
  <c r="AO8" i="34"/>
  <c r="AP8" i="34" s="1"/>
  <c r="AE548" i="34"/>
  <c r="AF548" i="34" s="1"/>
  <c r="AC548" i="34"/>
  <c r="AE439" i="34"/>
  <c r="AF439" i="34" s="1"/>
  <c r="AC439" i="34"/>
  <c r="S141" i="34"/>
  <c r="U141" i="34"/>
  <c r="V141" i="34" s="1"/>
  <c r="AO108" i="34"/>
  <c r="AP108" i="34" s="1"/>
  <c r="AM108" i="34"/>
  <c r="S30" i="34"/>
  <c r="U30" i="34"/>
  <c r="V30" i="34" s="1"/>
  <c r="AE339" i="34"/>
  <c r="AF339" i="34" s="1"/>
  <c r="AC339" i="34"/>
  <c r="S107" i="34"/>
  <c r="U107" i="34"/>
  <c r="V107" i="34" s="1"/>
  <c r="AO88" i="34"/>
  <c r="AP88" i="34" s="1"/>
  <c r="AM88" i="34"/>
  <c r="AE542" i="34"/>
  <c r="AF542" i="34" s="1"/>
  <c r="AC542" i="34"/>
  <c r="AE429" i="34"/>
  <c r="AF429" i="34" s="1"/>
  <c r="AC429" i="34"/>
  <c r="AD316" i="34"/>
  <c r="Y31" i="34" s="1"/>
  <c r="AO102" i="34"/>
  <c r="AP102" i="34" s="1"/>
  <c r="AM102" i="34"/>
  <c r="AE260" i="34"/>
  <c r="AF260" i="34" s="1"/>
  <c r="AC260" i="34"/>
  <c r="U82" i="34"/>
  <c r="V82" i="34" s="1"/>
  <c r="S82" i="34"/>
  <c r="S10" i="34"/>
  <c r="U10" i="34"/>
  <c r="V10" i="34" s="1"/>
  <c r="AE288" i="34"/>
  <c r="AF288" i="34" s="1"/>
  <c r="AC288" i="34"/>
  <c r="AE190" i="34"/>
  <c r="AF190" i="34" s="1"/>
  <c r="AC190" i="34"/>
  <c r="AE188" i="34"/>
  <c r="AF188" i="34" s="1"/>
  <c r="AC188" i="34"/>
  <c r="D9" i="39"/>
  <c r="A10" i="39"/>
  <c r="D10" i="39" s="1"/>
  <c r="C9" i="39"/>
  <c r="AH276" i="38" l="1"/>
  <c r="AG275" i="38"/>
  <c r="AH277" i="38"/>
  <c r="AH278" i="38" s="1"/>
  <c r="AH279" i="38" s="1"/>
  <c r="AH280" i="38" s="1"/>
  <c r="AG276" i="38"/>
  <c r="AG344" i="38"/>
  <c r="G19" i="7"/>
  <c r="AS15" i="12" s="1"/>
  <c r="AK6" i="35"/>
  <c r="AH139" i="12"/>
  <c r="AS13" i="12"/>
  <c r="AS36" i="12"/>
  <c r="AS48" i="12"/>
  <c r="AS47" i="12"/>
  <c r="AS68" i="12"/>
  <c r="AS29" i="12"/>
  <c r="AS82" i="12"/>
  <c r="AS17" i="12"/>
  <c r="AS30" i="12"/>
  <c r="AS45" i="12"/>
  <c r="AS18" i="12"/>
  <c r="AS33" i="12"/>
  <c r="AS46" i="12"/>
  <c r="AS20" i="12"/>
  <c r="AS27" i="12"/>
  <c r="AS50" i="12"/>
  <c r="AS31" i="12"/>
  <c r="AS75" i="12"/>
  <c r="AS64" i="12"/>
  <c r="AS3" i="12"/>
  <c r="AS81" i="12"/>
  <c r="B5" i="35"/>
  <c r="G29" i="7"/>
  <c r="G8" i="7"/>
  <c r="G80" i="7"/>
  <c r="G12" i="7"/>
  <c r="G10" i="7"/>
  <c r="G45" i="7"/>
  <c r="G65" i="7"/>
  <c r="G32" i="7"/>
  <c r="G71" i="7"/>
  <c r="G28" i="7"/>
  <c r="G81" i="7"/>
  <c r="G100" i="7"/>
  <c r="G73" i="7"/>
  <c r="G36" i="7"/>
  <c r="G64" i="33"/>
  <c r="G15" i="7"/>
  <c r="G78" i="7"/>
  <c r="G76" i="7"/>
  <c r="G56" i="7"/>
  <c r="G69" i="7"/>
  <c r="G95" i="7"/>
  <c r="G63" i="7"/>
  <c r="G34" i="33"/>
  <c r="G55" i="7"/>
  <c r="G57" i="7"/>
  <c r="G27" i="7"/>
  <c r="G89" i="7"/>
  <c r="G26" i="7"/>
  <c r="G11" i="7"/>
  <c r="G18" i="7"/>
  <c r="G77" i="7"/>
  <c r="G62" i="7"/>
  <c r="G42" i="7"/>
  <c r="G140" i="33"/>
  <c r="G18" i="33"/>
  <c r="G127" i="33"/>
  <c r="G85" i="33"/>
  <c r="G84" i="7"/>
  <c r="G30" i="4"/>
  <c r="G30" i="6"/>
  <c r="G172" i="6"/>
  <c r="G45" i="6"/>
  <c r="G173" i="6"/>
  <c r="G153" i="6"/>
  <c r="G80" i="6"/>
  <c r="G147" i="6"/>
  <c r="G19" i="6"/>
  <c r="G138" i="6"/>
  <c r="G61" i="6"/>
  <c r="G189" i="6"/>
  <c r="G160" i="6"/>
  <c r="G99" i="6"/>
  <c r="G116" i="6"/>
  <c r="G196" i="6"/>
  <c r="G37" i="6"/>
  <c r="G165" i="6"/>
  <c r="G129" i="6"/>
  <c r="G24" i="6"/>
  <c r="G119" i="6"/>
  <c r="G199" i="6"/>
  <c r="G55" i="6"/>
  <c r="G102" i="33"/>
  <c r="G143" i="33"/>
  <c r="G149" i="6"/>
  <c r="G83" i="33"/>
  <c r="G71" i="33"/>
  <c r="G20" i="33"/>
  <c r="G21" i="33"/>
  <c r="G100" i="6"/>
  <c r="G183" i="6"/>
  <c r="G53" i="6"/>
  <c r="G77" i="6"/>
  <c r="G118" i="6"/>
  <c r="G48" i="6"/>
  <c r="G130" i="6"/>
  <c r="G38" i="6"/>
  <c r="G166" i="6"/>
  <c r="G121" i="6"/>
  <c r="G175" i="6"/>
  <c r="G132" i="6"/>
  <c r="G197" i="6"/>
  <c r="G49" i="6"/>
  <c r="G120" i="6"/>
  <c r="G20" i="6"/>
  <c r="G92" i="6"/>
  <c r="G117" i="6"/>
  <c r="G146" i="33"/>
  <c r="G41" i="4"/>
  <c r="G57" i="4"/>
  <c r="G46" i="7"/>
  <c r="G96" i="7"/>
  <c r="G99" i="7"/>
  <c r="G23" i="7"/>
  <c r="G97" i="7"/>
  <c r="G13" i="7"/>
  <c r="G60" i="7"/>
  <c r="G88" i="7"/>
  <c r="G83" i="7"/>
  <c r="G53" i="7"/>
  <c r="G156" i="33"/>
  <c r="G28" i="33"/>
  <c r="G132" i="33"/>
  <c r="G78" i="33"/>
  <c r="G113" i="6"/>
  <c r="G150" i="6"/>
  <c r="G144" i="6"/>
  <c r="G83" i="6"/>
  <c r="G125" i="6"/>
  <c r="G35" i="6"/>
  <c r="G164" i="6"/>
  <c r="G63" i="6"/>
  <c r="G144" i="33"/>
  <c r="G145" i="33"/>
  <c r="G55" i="33"/>
  <c r="G178" i="6"/>
  <c r="G168" i="6"/>
  <c r="G205" i="6"/>
  <c r="G176" i="6"/>
  <c r="G115" i="6"/>
  <c r="G93" i="6"/>
  <c r="G103" i="6"/>
  <c r="G142" i="6"/>
  <c r="G170" i="6"/>
  <c r="G65" i="6"/>
  <c r="G130" i="33"/>
  <c r="G72" i="6"/>
  <c r="G16" i="4"/>
  <c r="G51" i="4"/>
  <c r="G44" i="7"/>
  <c r="G59" i="7"/>
  <c r="G91" i="7"/>
  <c r="G43" i="7"/>
  <c r="G16" i="7"/>
  <c r="G75" i="7"/>
  <c r="G64" i="7"/>
  <c r="G90" i="7"/>
  <c r="G87" i="7"/>
  <c r="G87" i="33"/>
  <c r="G16" i="33"/>
  <c r="X22" i="33"/>
  <c r="Y22" i="33" s="1"/>
  <c r="G43" i="33"/>
  <c r="G53" i="33"/>
  <c r="G113" i="33"/>
  <c r="G11" i="33"/>
  <c r="G21" i="4"/>
  <c r="G79" i="6"/>
  <c r="G16" i="6"/>
  <c r="G70" i="6"/>
  <c r="G163" i="6"/>
  <c r="G46" i="6"/>
  <c r="G148" i="6"/>
  <c r="G122" i="6"/>
  <c r="G191" i="6"/>
  <c r="G70" i="7"/>
  <c r="G14" i="33"/>
  <c r="G193" i="6"/>
  <c r="G48" i="7"/>
  <c r="G14" i="7"/>
  <c r="G58" i="7"/>
  <c r="G9" i="7"/>
  <c r="G30" i="7"/>
  <c r="G74" i="7"/>
  <c r="G25" i="7"/>
  <c r="G61" i="7"/>
  <c r="G41" i="7"/>
  <c r="G39" i="7"/>
  <c r="G94" i="7"/>
  <c r="G67" i="7"/>
  <c r="G47" i="7"/>
  <c r="G98" i="7"/>
  <c r="G152" i="33"/>
  <c r="G92" i="7"/>
  <c r="G149" i="33"/>
  <c r="G9" i="33"/>
  <c r="G142" i="33"/>
  <c r="G15" i="33"/>
  <c r="G148" i="33"/>
  <c r="G20" i="7"/>
  <c r="G82" i="7"/>
  <c r="G117" i="33"/>
  <c r="G135" i="33"/>
  <c r="G30" i="33"/>
  <c r="G75" i="33"/>
  <c r="G147" i="33"/>
  <c r="G154" i="33"/>
  <c r="G89" i="33"/>
  <c r="G42" i="4"/>
  <c r="G158" i="6"/>
  <c r="G10" i="6"/>
  <c r="G14" i="6"/>
  <c r="G141" i="6"/>
  <c r="G54" i="6"/>
  <c r="G182" i="6"/>
  <c r="G112" i="6"/>
  <c r="G179" i="6"/>
  <c r="G51" i="6"/>
  <c r="G192" i="6"/>
  <c r="G194" i="6"/>
  <c r="G90" i="6"/>
  <c r="G87" i="6"/>
  <c r="G204" i="6"/>
  <c r="G127" i="6"/>
  <c r="G133" i="6"/>
  <c r="G78" i="6"/>
  <c r="G206" i="6"/>
  <c r="G73" i="6"/>
  <c r="G56" i="6"/>
  <c r="G162" i="6"/>
  <c r="G202" i="6"/>
  <c r="G15" i="6"/>
  <c r="G95" i="6"/>
  <c r="G84" i="6"/>
  <c r="G44" i="6"/>
  <c r="G19" i="33"/>
  <c r="G77" i="33"/>
  <c r="G48" i="4"/>
  <c r="G8" i="4"/>
  <c r="G66" i="7"/>
  <c r="G38" i="7"/>
  <c r="G49" i="4"/>
  <c r="G44" i="4"/>
  <c r="G45" i="4"/>
  <c r="G43" i="4"/>
  <c r="G19" i="4"/>
  <c r="G38" i="4"/>
  <c r="G37" i="4"/>
  <c r="G47" i="4"/>
  <c r="G60" i="4"/>
  <c r="G55" i="4"/>
  <c r="G18" i="4"/>
  <c r="G17" i="4"/>
  <c r="G32" i="4"/>
  <c r="G23" i="4"/>
  <c r="E15" i="34"/>
  <c r="J36" i="34"/>
  <c r="E19" i="34"/>
  <c r="E18" i="34"/>
  <c r="E16" i="34"/>
  <c r="E17" i="34"/>
  <c r="E14" i="34"/>
  <c r="E20" i="34"/>
  <c r="E13" i="34"/>
  <c r="BE6" i="35"/>
  <c r="V165" i="6"/>
  <c r="V175" i="6"/>
  <c r="X11" i="6"/>
  <c r="Y11" i="6" s="1"/>
  <c r="V193" i="6"/>
  <c r="X61" i="33"/>
  <c r="Y61" i="33" s="1"/>
  <c r="V173" i="6"/>
  <c r="V149" i="6"/>
  <c r="X34" i="6"/>
  <c r="Y34" i="6" s="1"/>
  <c r="X59" i="33"/>
  <c r="Y59" i="33" s="1"/>
  <c r="X94" i="6"/>
  <c r="Y94" i="6" s="1"/>
  <c r="V143" i="33"/>
  <c r="X134" i="6"/>
  <c r="Y134" i="6" s="1"/>
  <c r="X21" i="6"/>
  <c r="Y21" i="6" s="1"/>
  <c r="V19" i="6"/>
  <c r="V16" i="33"/>
  <c r="V37" i="6"/>
  <c r="V199" i="6"/>
  <c r="V160" i="6"/>
  <c r="X74" i="6"/>
  <c r="Y74" i="6" s="1"/>
  <c r="X93" i="33"/>
  <c r="Y93" i="33" s="1"/>
  <c r="V38" i="6"/>
  <c r="X200" i="6"/>
  <c r="Y200" i="6" s="1"/>
  <c r="X110" i="33"/>
  <c r="Y110" i="33" s="1"/>
  <c r="V168" i="6"/>
  <c r="V77" i="6"/>
  <c r="V158" i="6"/>
  <c r="X137" i="6"/>
  <c r="Y137" i="6" s="1"/>
  <c r="X39" i="33"/>
  <c r="Y39" i="33" s="1"/>
  <c r="X91" i="33"/>
  <c r="Y91" i="33" s="1"/>
  <c r="V117" i="33"/>
  <c r="X139" i="33"/>
  <c r="Y139" i="33" s="1"/>
  <c r="X85" i="6"/>
  <c r="Y85" i="6" s="1"/>
  <c r="V130" i="33"/>
  <c r="V197" i="6"/>
  <c r="X128" i="33"/>
  <c r="Y128" i="33" s="1"/>
  <c r="X139" i="6"/>
  <c r="Y139" i="6" s="1"/>
  <c r="V120" i="6"/>
  <c r="V183" i="6"/>
  <c r="X50" i="6"/>
  <c r="Y50" i="6" s="1"/>
  <c r="X59" i="6"/>
  <c r="Y59" i="6" s="1"/>
  <c r="X69" i="6"/>
  <c r="Y69" i="6" s="1"/>
  <c r="V48" i="6"/>
  <c r="V72" i="6"/>
  <c r="V205" i="6"/>
  <c r="X161" i="6"/>
  <c r="Y161" i="6" s="1"/>
  <c r="X146" i="6"/>
  <c r="Y146" i="6" s="1"/>
  <c r="V135" i="33"/>
  <c r="X153" i="33"/>
  <c r="Y153" i="33" s="1"/>
  <c r="X107" i="6"/>
  <c r="Y107" i="6" s="1"/>
  <c r="X22" i="6"/>
  <c r="Y22" i="6" s="1"/>
  <c r="X174" i="6"/>
  <c r="Y174" i="6" s="1"/>
  <c r="V125" i="6"/>
  <c r="V142" i="33"/>
  <c r="X75" i="6"/>
  <c r="Y75" i="6" s="1"/>
  <c r="X109" i="6"/>
  <c r="Y109" i="6" s="1"/>
  <c r="X121" i="33"/>
  <c r="Y121" i="33" s="1"/>
  <c r="V46" i="6"/>
  <c r="X94" i="33"/>
  <c r="Y94" i="33" s="1"/>
  <c r="V14" i="33"/>
  <c r="V191" i="6"/>
  <c r="X81" i="6"/>
  <c r="Y81" i="6" s="1"/>
  <c r="X79" i="33"/>
  <c r="Y79" i="33" s="1"/>
  <c r="X37" i="33"/>
  <c r="Y37" i="33" s="1"/>
  <c r="V121" i="6"/>
  <c r="V176" i="6"/>
  <c r="V100" i="6"/>
  <c r="V178" i="6"/>
  <c r="V170" i="6"/>
  <c r="X67" i="6"/>
  <c r="Y67" i="6" s="1"/>
  <c r="X36" i="6"/>
  <c r="Y36" i="6" s="1"/>
  <c r="V142" i="6"/>
  <c r="V118" i="6"/>
  <c r="V93" i="6"/>
  <c r="V166" i="6"/>
  <c r="V117" i="6"/>
  <c r="V53" i="6"/>
  <c r="X185" i="6"/>
  <c r="Y185" i="6" s="1"/>
  <c r="V65" i="6"/>
  <c r="V130" i="6"/>
  <c r="V103" i="6"/>
  <c r="V20" i="6"/>
  <c r="V92" i="6"/>
  <c r="X114" i="6"/>
  <c r="Y114" i="6" s="1"/>
  <c r="V132" i="6"/>
  <c r="X67" i="33"/>
  <c r="Y67" i="33" s="1"/>
  <c r="X7" i="33"/>
  <c r="Y7" i="33" s="1"/>
  <c r="X80" i="33"/>
  <c r="Y80" i="33" s="1"/>
  <c r="X51" i="33"/>
  <c r="Y51" i="33" s="1"/>
  <c r="X145" i="6"/>
  <c r="Y145" i="6" s="1"/>
  <c r="V115" i="6"/>
  <c r="X74" i="33"/>
  <c r="Y74" i="33" s="1"/>
  <c r="V49" i="6"/>
  <c r="X98" i="6"/>
  <c r="Y98" i="6" s="1"/>
  <c r="V63" i="6"/>
  <c r="X195" i="6"/>
  <c r="Y195" i="6" s="1"/>
  <c r="X187" i="6"/>
  <c r="Y187" i="6" s="1"/>
  <c r="V14" i="6"/>
  <c r="X129" i="33"/>
  <c r="Y129" i="33" s="1"/>
  <c r="V149" i="33"/>
  <c r="X70" i="33"/>
  <c r="Y70" i="33" s="1"/>
  <c r="X41" i="33"/>
  <c r="Y41" i="33" s="1"/>
  <c r="V179" i="6"/>
  <c r="X17" i="33"/>
  <c r="Y17" i="33" s="1"/>
  <c r="X203" i="6"/>
  <c r="Y203" i="6" s="1"/>
  <c r="V162" i="6"/>
  <c r="V85" i="33"/>
  <c r="V45" i="6"/>
  <c r="X110" i="6"/>
  <c r="Y110" i="6" s="1"/>
  <c r="V189" i="6"/>
  <c r="X62" i="6"/>
  <c r="Y62" i="6" s="1"/>
  <c r="X63" i="33"/>
  <c r="Y63" i="33" s="1"/>
  <c r="X137" i="33"/>
  <c r="Y137" i="33" s="1"/>
  <c r="V61" i="6"/>
  <c r="V55" i="33"/>
  <c r="V24" i="6"/>
  <c r="X126" i="33"/>
  <c r="Y126" i="33" s="1"/>
  <c r="X104" i="6"/>
  <c r="Y104" i="6" s="1"/>
  <c r="X99" i="33"/>
  <c r="Y99" i="33" s="1"/>
  <c r="X86" i="6"/>
  <c r="Y86" i="6" s="1"/>
  <c r="X181" i="6"/>
  <c r="Y181" i="6" s="1"/>
  <c r="X124" i="33"/>
  <c r="Y124" i="33" s="1"/>
  <c r="X32" i="33"/>
  <c r="Y32" i="33" s="1"/>
  <c r="X33" i="6"/>
  <c r="Y33" i="6" s="1"/>
  <c r="V80" i="6"/>
  <c r="X91" i="6"/>
  <c r="Y91" i="6" s="1"/>
  <c r="V116" i="6"/>
  <c r="X7" i="6"/>
  <c r="Y7" i="6" s="1"/>
  <c r="V102" i="33"/>
  <c r="V147" i="6"/>
  <c r="X57" i="6"/>
  <c r="Y57" i="6" s="1"/>
  <c r="V138" i="6"/>
  <c r="X26" i="4"/>
  <c r="Y26" i="4" s="1"/>
  <c r="X126" i="6"/>
  <c r="Y126" i="6" s="1"/>
  <c r="V10" i="6"/>
  <c r="X186" i="6"/>
  <c r="Y186" i="6" s="1"/>
  <c r="V145" i="33"/>
  <c r="X17" i="6"/>
  <c r="Y17" i="6" s="1"/>
  <c r="V129" i="6"/>
  <c r="X92" i="33"/>
  <c r="Y92" i="33" s="1"/>
  <c r="X136" i="6"/>
  <c r="Y136" i="6" s="1"/>
  <c r="V55" i="6"/>
  <c r="X26" i="6"/>
  <c r="Y26" i="6" s="1"/>
  <c r="V172" i="6"/>
  <c r="X159" i="6"/>
  <c r="Y159" i="6" s="1"/>
  <c r="V99" i="6"/>
  <c r="X32" i="6"/>
  <c r="Y32" i="6" s="1"/>
  <c r="V144" i="33"/>
  <c r="X102" i="6"/>
  <c r="Y102" i="6" s="1"/>
  <c r="X97" i="6"/>
  <c r="Y97" i="6" s="1"/>
  <c r="V30" i="6"/>
  <c r="V71" i="33"/>
  <c r="X155" i="33"/>
  <c r="Y155" i="33" s="1"/>
  <c r="V78" i="6"/>
  <c r="V19" i="33"/>
  <c r="X119" i="33"/>
  <c r="Y119" i="33" s="1"/>
  <c r="X103" i="33"/>
  <c r="Y103" i="33" s="1"/>
  <c r="X190" i="6"/>
  <c r="Y190" i="6" s="1"/>
  <c r="X47" i="33"/>
  <c r="Y47" i="33" s="1"/>
  <c r="V206" i="6"/>
  <c r="V43" i="33"/>
  <c r="X201" i="6"/>
  <c r="Y201" i="6" s="1"/>
  <c r="V51" i="6"/>
  <c r="V153" i="6"/>
  <c r="X40" i="6"/>
  <c r="Y40" i="6" s="1"/>
  <c r="X152" i="6"/>
  <c r="Y152" i="6" s="1"/>
  <c r="V119" i="6"/>
  <c r="X156" i="6"/>
  <c r="Y156" i="6" s="1"/>
  <c r="V196" i="6"/>
  <c r="V89" i="33"/>
  <c r="X86" i="33"/>
  <c r="Y86" i="33" s="1"/>
  <c r="V204" i="6"/>
  <c r="V90" i="6"/>
  <c r="X31" i="4"/>
  <c r="Y31" i="4" s="1"/>
  <c r="X42" i="6"/>
  <c r="Y42" i="6" s="1"/>
  <c r="V47" i="4"/>
  <c r="X33" i="4"/>
  <c r="Y33" i="4" s="1"/>
  <c r="V8" i="4"/>
  <c r="V37" i="4"/>
  <c r="X29" i="4"/>
  <c r="Y29" i="4" s="1"/>
  <c r="X25" i="4"/>
  <c r="Y25" i="4" s="1"/>
  <c r="V60" i="4"/>
  <c r="V38" i="4"/>
  <c r="V16" i="4"/>
  <c r="V48" i="4"/>
  <c r="V21" i="4"/>
  <c r="V30" i="4"/>
  <c r="X27" i="4"/>
  <c r="Y27" i="4" s="1"/>
  <c r="X39" i="4"/>
  <c r="Y39" i="4" s="1"/>
  <c r="V23" i="4"/>
  <c r="V18" i="4"/>
  <c r="X61" i="4"/>
  <c r="Y61" i="4" s="1"/>
  <c r="V44" i="4"/>
  <c r="V41" i="4"/>
  <c r="V51" i="4"/>
  <c r="V19" i="4"/>
  <c r="X8" i="33"/>
  <c r="Y8" i="33" s="1"/>
  <c r="V15" i="33"/>
  <c r="X101" i="6"/>
  <c r="Y101" i="6" s="1"/>
  <c r="X198" i="6"/>
  <c r="Y198" i="6" s="1"/>
  <c r="V113" i="33"/>
  <c r="X62" i="33"/>
  <c r="Y62" i="33" s="1"/>
  <c r="X120" i="33"/>
  <c r="Y120" i="33" s="1"/>
  <c r="V144" i="6"/>
  <c r="V16" i="6"/>
  <c r="X60" i="33"/>
  <c r="Y60" i="33" s="1"/>
  <c r="X43" i="6"/>
  <c r="Y43" i="6" s="1"/>
  <c r="V113" i="6"/>
  <c r="V49" i="4"/>
  <c r="X50" i="33"/>
  <c r="Y50" i="33" s="1"/>
  <c r="V53" i="33"/>
  <c r="V140" i="33"/>
  <c r="X27" i="6"/>
  <c r="Y27" i="6" s="1"/>
  <c r="X154" i="6"/>
  <c r="Y154" i="6" s="1"/>
  <c r="V122" i="6"/>
  <c r="V148" i="6"/>
  <c r="V28" i="33"/>
  <c r="X136" i="33"/>
  <c r="Y136" i="33" s="1"/>
  <c r="X76" i="6"/>
  <c r="Y76" i="6" s="1"/>
  <c r="V35" i="6"/>
  <c r="V163" i="6"/>
  <c r="X9" i="6"/>
  <c r="Y9" i="6" s="1"/>
  <c r="V150" i="6"/>
  <c r="V87" i="33"/>
  <c r="V70" i="6"/>
  <c r="V11" i="33"/>
  <c r="V78" i="33"/>
  <c r="X177" i="6"/>
  <c r="Y177" i="6" s="1"/>
  <c r="X106" i="33"/>
  <c r="Y106" i="33" s="1"/>
  <c r="V83" i="6"/>
  <c r="X41" i="6"/>
  <c r="Y41" i="6" s="1"/>
  <c r="X8" i="6"/>
  <c r="Y8" i="6" s="1"/>
  <c r="V146" i="33"/>
  <c r="X88" i="6"/>
  <c r="Y88" i="6" s="1"/>
  <c r="V79" i="6"/>
  <c r="V42" i="4"/>
  <c r="X151" i="33"/>
  <c r="Y151" i="33" s="1"/>
  <c r="X13" i="33"/>
  <c r="Y13" i="33" s="1"/>
  <c r="X114" i="33"/>
  <c r="Y114" i="33" s="1"/>
  <c r="X25" i="6"/>
  <c r="Y25" i="6" s="1"/>
  <c r="X89" i="6"/>
  <c r="Y89" i="6" s="1"/>
  <c r="X155" i="6"/>
  <c r="Y155" i="6" s="1"/>
  <c r="V34" i="33"/>
  <c r="V164" i="6"/>
  <c r="X13" i="6"/>
  <c r="Y13" i="6" s="1"/>
  <c r="X134" i="33"/>
  <c r="Y134" i="33" s="1"/>
  <c r="X157" i="6"/>
  <c r="Y157" i="6" s="1"/>
  <c r="X29" i="6"/>
  <c r="Y29" i="6" s="1"/>
  <c r="V147" i="33"/>
  <c r="V75" i="33"/>
  <c r="X73" i="33"/>
  <c r="Y73" i="33" s="1"/>
  <c r="V64" i="33"/>
  <c r="X171" i="6"/>
  <c r="Y171" i="6" s="1"/>
  <c r="X101" i="33"/>
  <c r="Y101" i="33" s="1"/>
  <c r="V57" i="4"/>
  <c r="V84" i="6"/>
  <c r="X123" i="6"/>
  <c r="Y123" i="6" s="1"/>
  <c r="V15" i="6"/>
  <c r="V154" i="33"/>
  <c r="X184" i="6"/>
  <c r="Y184" i="6" s="1"/>
  <c r="X106" i="6"/>
  <c r="Y106" i="6" s="1"/>
  <c r="V192" i="6"/>
  <c r="X167" i="6"/>
  <c r="Y167" i="6" s="1"/>
  <c r="V167" i="6"/>
  <c r="V180" i="6"/>
  <c r="X180" i="6"/>
  <c r="Y180" i="6" s="1"/>
  <c r="X68" i="6"/>
  <c r="Y68" i="6" s="1"/>
  <c r="V68" i="6"/>
  <c r="V124" i="6"/>
  <c r="X124" i="6"/>
  <c r="Y124" i="6" s="1"/>
  <c r="V96" i="6"/>
  <c r="X96" i="6"/>
  <c r="Y96" i="6" s="1"/>
  <c r="X135" i="6"/>
  <c r="Y135" i="6" s="1"/>
  <c r="V135" i="6"/>
  <c r="V64" i="6"/>
  <c r="X64" i="6"/>
  <c r="Y64" i="6" s="1"/>
  <c r="V131" i="6"/>
  <c r="X131" i="6"/>
  <c r="Y131" i="6" s="1"/>
  <c r="X125" i="33"/>
  <c r="Y125" i="33" s="1"/>
  <c r="X23" i="33"/>
  <c r="Y23" i="33" s="1"/>
  <c r="X131" i="33"/>
  <c r="Y131" i="33" s="1"/>
  <c r="X112" i="33"/>
  <c r="Y112" i="33" s="1"/>
  <c r="V133" i="6"/>
  <c r="X123" i="33"/>
  <c r="Y123" i="33" s="1"/>
  <c r="X68" i="33"/>
  <c r="Y68" i="33" s="1"/>
  <c r="X105" i="6"/>
  <c r="Y105" i="6" s="1"/>
  <c r="V112" i="6"/>
  <c r="X13" i="4"/>
  <c r="Y13" i="4" s="1"/>
  <c r="V56" i="6"/>
  <c r="X88" i="33"/>
  <c r="Y88" i="33" s="1"/>
  <c r="V132" i="33"/>
  <c r="V44" i="6"/>
  <c r="V87" i="6"/>
  <c r="X46" i="4"/>
  <c r="Y46" i="4" s="1"/>
  <c r="V127" i="6"/>
  <c r="X151" i="6"/>
  <c r="Y151" i="6" s="1"/>
  <c r="V151" i="6"/>
  <c r="V12" i="6"/>
  <c r="X12" i="6"/>
  <c r="Y12" i="6" s="1"/>
  <c r="X31" i="6"/>
  <c r="Y31" i="6" s="1"/>
  <c r="V31" i="6"/>
  <c r="V66" i="6"/>
  <c r="X66" i="6"/>
  <c r="Y66" i="6" s="1"/>
  <c r="X108" i="6"/>
  <c r="Y108" i="6" s="1"/>
  <c r="V108" i="6"/>
  <c r="X60" i="6"/>
  <c r="Y60" i="6" s="1"/>
  <c r="V60" i="6"/>
  <c r="V18" i="6"/>
  <c r="X18" i="6"/>
  <c r="Y18" i="6" s="1"/>
  <c r="V82" i="6"/>
  <c r="X82" i="6"/>
  <c r="Y82" i="6" s="1"/>
  <c r="V23" i="6"/>
  <c r="X23" i="6"/>
  <c r="Y23" i="6" s="1"/>
  <c r="X47" i="6"/>
  <c r="Y47" i="6" s="1"/>
  <c r="V47" i="6"/>
  <c r="V111" i="6"/>
  <c r="X111" i="6"/>
  <c r="Y111" i="6" s="1"/>
  <c r="X28" i="6"/>
  <c r="Y28" i="6" s="1"/>
  <c r="V28" i="6"/>
  <c r="V141" i="6"/>
  <c r="V182" i="6"/>
  <c r="V54" i="6"/>
  <c r="V73" i="6"/>
  <c r="X116" i="33"/>
  <c r="Y116" i="33" s="1"/>
  <c r="V30" i="33"/>
  <c r="X169" i="6"/>
  <c r="Y169" i="6" s="1"/>
  <c r="X42" i="33"/>
  <c r="Y42" i="33" s="1"/>
  <c r="X97" i="33"/>
  <c r="Y97" i="33" s="1"/>
  <c r="X138" i="33"/>
  <c r="Y138" i="33" s="1"/>
  <c r="V95" i="6"/>
  <c r="V202" i="6"/>
  <c r="X71" i="6"/>
  <c r="Y71" i="6" s="1"/>
  <c r="V194" i="6"/>
  <c r="X39" i="6"/>
  <c r="Y39" i="6" s="1"/>
  <c r="V39" i="6"/>
  <c r="X52" i="6"/>
  <c r="Y52" i="6" s="1"/>
  <c r="V52" i="6"/>
  <c r="X140" i="6"/>
  <c r="Y140" i="6" s="1"/>
  <c r="V140" i="6"/>
  <c r="X188" i="6"/>
  <c r="Y188" i="6" s="1"/>
  <c r="V188" i="6"/>
  <c r="V128" i="6"/>
  <c r="X128" i="6"/>
  <c r="Y128" i="6" s="1"/>
  <c r="X58" i="6"/>
  <c r="Y58" i="6" s="1"/>
  <c r="V58" i="6"/>
  <c r="X100" i="33"/>
  <c r="Y100" i="33" s="1"/>
  <c r="V45" i="4"/>
  <c r="V17" i="4"/>
  <c r="X66" i="33"/>
  <c r="Y66" i="33" s="1"/>
  <c r="X44" i="33"/>
  <c r="Y44" i="33" s="1"/>
  <c r="V152" i="33"/>
  <c r="V55" i="4"/>
  <c r="X15" i="4"/>
  <c r="Y15" i="4" s="1"/>
  <c r="V15" i="4"/>
  <c r="X9" i="4"/>
  <c r="Y9" i="4" s="1"/>
  <c r="V9" i="4"/>
  <c r="X53" i="4"/>
  <c r="Y53" i="4" s="1"/>
  <c r="V53" i="4"/>
  <c r="V10" i="4"/>
  <c r="X10" i="4"/>
  <c r="Y10" i="4" s="1"/>
  <c r="V58" i="4"/>
  <c r="X58" i="4"/>
  <c r="Y58" i="4" s="1"/>
  <c r="V35" i="4"/>
  <c r="X35" i="4"/>
  <c r="Y35" i="4" s="1"/>
  <c r="X20" i="4"/>
  <c r="Y20" i="4" s="1"/>
  <c r="V20" i="4"/>
  <c r="V50" i="4"/>
  <c r="X50" i="4"/>
  <c r="Y50" i="4" s="1"/>
  <c r="X56" i="4"/>
  <c r="Y56" i="4" s="1"/>
  <c r="V56" i="4"/>
  <c r="X107" i="33"/>
  <c r="Y107" i="33" s="1"/>
  <c r="X31" i="33"/>
  <c r="Y31" i="33" s="1"/>
  <c r="X141" i="33"/>
  <c r="Y141" i="33" s="1"/>
  <c r="X69" i="33"/>
  <c r="Y69" i="33" s="1"/>
  <c r="X65" i="33"/>
  <c r="Y65" i="33" s="1"/>
  <c r="V21" i="33"/>
  <c r="X28" i="4"/>
  <c r="Y28" i="4" s="1"/>
  <c r="V28" i="4"/>
  <c r="X24" i="4"/>
  <c r="Y24" i="4" s="1"/>
  <c r="V24" i="4"/>
  <c r="V36" i="4"/>
  <c r="X36" i="4"/>
  <c r="Y36" i="4" s="1"/>
  <c r="X12" i="4"/>
  <c r="Y12" i="4" s="1"/>
  <c r="V12" i="4"/>
  <c r="V54" i="4"/>
  <c r="X54" i="4"/>
  <c r="Y54" i="4" s="1"/>
  <c r="V14" i="4"/>
  <c r="X14" i="4"/>
  <c r="Y14" i="4" s="1"/>
  <c r="X22" i="4"/>
  <c r="Y22" i="4" s="1"/>
  <c r="V22" i="4"/>
  <c r="X35" i="33"/>
  <c r="Y35" i="33" s="1"/>
  <c r="X49" i="33"/>
  <c r="Y49" i="33" s="1"/>
  <c r="V20" i="33"/>
  <c r="X29" i="33"/>
  <c r="Y29" i="33" s="1"/>
  <c r="V43" i="4"/>
  <c r="V59" i="4"/>
  <c r="X59" i="4"/>
  <c r="Y59" i="4" s="1"/>
  <c r="X40" i="4"/>
  <c r="Y40" i="4" s="1"/>
  <c r="V40" i="4"/>
  <c r="X62" i="4"/>
  <c r="Y62" i="4" s="1"/>
  <c r="V62" i="4"/>
  <c r="V11" i="4"/>
  <c r="X11" i="4"/>
  <c r="Y11" i="4" s="1"/>
  <c r="X122" i="33"/>
  <c r="Y122" i="33" s="1"/>
  <c r="V122" i="33"/>
  <c r="V84" i="33"/>
  <c r="X84" i="33"/>
  <c r="Y84" i="33" s="1"/>
  <c r="X56" i="33"/>
  <c r="Y56" i="33" s="1"/>
  <c r="V56" i="33"/>
  <c r="V105" i="33"/>
  <c r="X105" i="33"/>
  <c r="Y105" i="33" s="1"/>
  <c r="V104" i="33"/>
  <c r="X104" i="33"/>
  <c r="Y104" i="33" s="1"/>
  <c r="X27" i="33"/>
  <c r="Y27" i="33" s="1"/>
  <c r="V127" i="33"/>
  <c r="V18" i="33"/>
  <c r="V83" i="33"/>
  <c r="V148" i="33"/>
  <c r="V156" i="33"/>
  <c r="X52" i="33"/>
  <c r="Y52" i="33" s="1"/>
  <c r="X118" i="33"/>
  <c r="Y118" i="33" s="1"/>
  <c r="V118" i="33"/>
  <c r="X58" i="33"/>
  <c r="Y58" i="33" s="1"/>
  <c r="V58" i="33"/>
  <c r="X54" i="33"/>
  <c r="Y54" i="33" s="1"/>
  <c r="V54" i="33"/>
  <c r="V33" i="33"/>
  <c r="X33" i="33"/>
  <c r="Y33" i="33" s="1"/>
  <c r="V46" i="33"/>
  <c r="X46" i="33"/>
  <c r="Y46" i="33" s="1"/>
  <c r="V90" i="33"/>
  <c r="X90" i="33"/>
  <c r="Y90" i="33" s="1"/>
  <c r="V57" i="33"/>
  <c r="X57" i="33"/>
  <c r="Y57" i="33" s="1"/>
  <c r="X111" i="33"/>
  <c r="Y111" i="33" s="1"/>
  <c r="X95" i="33"/>
  <c r="Y95" i="33" s="1"/>
  <c r="X115" i="33"/>
  <c r="Y115" i="33" s="1"/>
  <c r="X133" i="33"/>
  <c r="Y133" i="33" s="1"/>
  <c r="X48" i="33"/>
  <c r="Y48" i="33" s="1"/>
  <c r="X82" i="33"/>
  <c r="Y82" i="33" s="1"/>
  <c r="X98" i="33"/>
  <c r="Y98" i="33" s="1"/>
  <c r="X25" i="33"/>
  <c r="Y25" i="33" s="1"/>
  <c r="X12" i="33"/>
  <c r="Y12" i="33" s="1"/>
  <c r="V9" i="33"/>
  <c r="X24" i="33"/>
  <c r="Y24" i="33" s="1"/>
  <c r="X52" i="4"/>
  <c r="Y52" i="4" s="1"/>
  <c r="V52" i="4"/>
  <c r="V76" i="33"/>
  <c r="X76" i="33"/>
  <c r="Y76" i="33" s="1"/>
  <c r="X36" i="33"/>
  <c r="Y36" i="33" s="1"/>
  <c r="V36" i="33"/>
  <c r="X38" i="33"/>
  <c r="Y38" i="33" s="1"/>
  <c r="V38" i="33"/>
  <c r="V26" i="33"/>
  <c r="X26" i="33"/>
  <c r="Y26" i="33" s="1"/>
  <c r="V150" i="33"/>
  <c r="X150" i="33"/>
  <c r="Y150" i="33" s="1"/>
  <c r="V45" i="33"/>
  <c r="X45" i="33"/>
  <c r="Y45" i="33" s="1"/>
  <c r="X7" i="4"/>
  <c r="Y7" i="4" s="1"/>
  <c r="V7" i="4"/>
  <c r="X108" i="33"/>
  <c r="Y108" i="33" s="1"/>
  <c r="V108" i="33"/>
  <c r="X10" i="33"/>
  <c r="Y10" i="33" s="1"/>
  <c r="X34" i="4"/>
  <c r="Y34" i="4" s="1"/>
  <c r="V34" i="4"/>
  <c r="V81" i="33"/>
  <c r="X81" i="33"/>
  <c r="Y81" i="33" s="1"/>
  <c r="V40" i="33"/>
  <c r="X40" i="33"/>
  <c r="Y40" i="33" s="1"/>
  <c r="X109" i="33"/>
  <c r="Y109" i="33" s="1"/>
  <c r="V109" i="33"/>
  <c r="V72" i="33"/>
  <c r="X72" i="33"/>
  <c r="Y72" i="33" s="1"/>
  <c r="V96" i="33"/>
  <c r="X96" i="33"/>
  <c r="Y96" i="33" s="1"/>
  <c r="J135" i="34"/>
  <c r="AB7" i="35"/>
  <c r="AB8" i="35" s="1"/>
  <c r="AR7" i="35"/>
  <c r="AS6" i="35"/>
  <c r="J3" i="34"/>
  <c r="AI51" i="34"/>
  <c r="AD456" i="34"/>
  <c r="AI40" i="34"/>
  <c r="E5" i="34"/>
  <c r="AN69" i="34"/>
  <c r="AI41" i="34"/>
  <c r="Y4" i="34"/>
  <c r="AI46" i="34"/>
  <c r="Y7" i="34"/>
  <c r="Y5" i="34"/>
  <c r="T154" i="34"/>
  <c r="O39" i="34"/>
  <c r="AI36" i="34"/>
  <c r="E50" i="34"/>
  <c r="O35" i="34"/>
  <c r="AI18" i="34"/>
  <c r="AI14" i="34"/>
  <c r="O14" i="34"/>
  <c r="AN102" i="34"/>
  <c r="O25" i="34"/>
  <c r="Y47" i="34"/>
  <c r="AI38" i="34"/>
  <c r="T305" i="34"/>
  <c r="O13" i="34"/>
  <c r="T456" i="34"/>
  <c r="Y9" i="34"/>
  <c r="J102" i="34"/>
  <c r="E49" i="34"/>
  <c r="BA6" i="35"/>
  <c r="AZ7" i="35"/>
  <c r="W8" i="7"/>
  <c r="AN135" i="34"/>
  <c r="AI39" i="34"/>
  <c r="O24" i="34"/>
  <c r="AI48" i="34"/>
  <c r="AN7" i="35"/>
  <c r="AO6" i="35"/>
  <c r="O61" i="34"/>
  <c r="B24" i="34" s="1"/>
  <c r="E61" i="34"/>
  <c r="B12" i="34" s="1"/>
  <c r="O23" i="34"/>
  <c r="AI21" i="34"/>
  <c r="S622" i="34"/>
  <c r="U622" i="34"/>
  <c r="V622" i="34" s="1"/>
  <c r="U699" i="34"/>
  <c r="V699" i="34" s="1"/>
  <c r="S699" i="34"/>
  <c r="S670" i="34"/>
  <c r="U670" i="34"/>
  <c r="V670" i="34" s="1"/>
  <c r="U697" i="34"/>
  <c r="V697" i="34" s="1"/>
  <c r="S697" i="34"/>
  <c r="S623" i="34"/>
  <c r="U623" i="34"/>
  <c r="V623" i="34" s="1"/>
  <c r="S710" i="34"/>
  <c r="U710" i="34"/>
  <c r="V710" i="34" s="1"/>
  <c r="S649" i="34"/>
  <c r="U649" i="34"/>
  <c r="V649" i="34" s="1"/>
  <c r="U724" i="34"/>
  <c r="V724" i="34" s="1"/>
  <c r="S724" i="34"/>
  <c r="S696" i="34"/>
  <c r="U696" i="34"/>
  <c r="V696" i="34" s="1"/>
  <c r="S643" i="34"/>
  <c r="U643" i="34"/>
  <c r="V643" i="34" s="1"/>
  <c r="U721" i="34"/>
  <c r="V721" i="34" s="1"/>
  <c r="S721" i="34"/>
  <c r="S671" i="34"/>
  <c r="U671" i="34"/>
  <c r="V671" i="34" s="1"/>
  <c r="S666" i="34"/>
  <c r="U666" i="34"/>
  <c r="V666" i="34" s="1"/>
  <c r="S754" i="34"/>
  <c r="U754" i="34"/>
  <c r="V754" i="34" s="1"/>
  <c r="S662" i="34"/>
  <c r="U662" i="34"/>
  <c r="V662" i="34" s="1"/>
  <c r="S675" i="34"/>
  <c r="U675" i="34"/>
  <c r="V675" i="34" s="1"/>
  <c r="S664" i="34"/>
  <c r="U664" i="34"/>
  <c r="V664" i="34" s="1"/>
  <c r="U610" i="34"/>
  <c r="V610" i="34" s="1"/>
  <c r="S610" i="34"/>
  <c r="S668" i="34"/>
  <c r="U668" i="34"/>
  <c r="V668" i="34" s="1"/>
  <c r="S706" i="34"/>
  <c r="U706" i="34"/>
  <c r="V706" i="34" s="1"/>
  <c r="S641" i="34"/>
  <c r="U641" i="34"/>
  <c r="V641" i="34" s="1"/>
  <c r="S654" i="34"/>
  <c r="U654" i="34"/>
  <c r="V654" i="34" s="1"/>
  <c r="S719" i="34"/>
  <c r="U719" i="34"/>
  <c r="V719" i="34" s="1"/>
  <c r="S653" i="34"/>
  <c r="U653" i="34"/>
  <c r="V653" i="34" s="1"/>
  <c r="U743" i="34"/>
  <c r="V743" i="34" s="1"/>
  <c r="S743" i="34"/>
  <c r="S636" i="34"/>
  <c r="U636" i="34"/>
  <c r="V636" i="34" s="1"/>
  <c r="S667" i="34"/>
  <c r="U667" i="34"/>
  <c r="V667" i="34" s="1"/>
  <c r="S640" i="34"/>
  <c r="U640" i="34"/>
  <c r="V640" i="34" s="1"/>
  <c r="U701" i="34"/>
  <c r="V701" i="34" s="1"/>
  <c r="S701" i="34"/>
  <c r="S631" i="34"/>
  <c r="U631" i="34"/>
  <c r="V631" i="34" s="1"/>
  <c r="S714" i="34"/>
  <c r="U714" i="34"/>
  <c r="V714" i="34" s="1"/>
  <c r="S657" i="34"/>
  <c r="U657" i="34"/>
  <c r="V657" i="34" s="1"/>
  <c r="S680" i="34"/>
  <c r="U680" i="34"/>
  <c r="V680" i="34" s="1"/>
  <c r="S613" i="34"/>
  <c r="U613" i="34"/>
  <c r="V613" i="34" s="1"/>
  <c r="U730" i="34"/>
  <c r="V730" i="34" s="1"/>
  <c r="S730" i="34"/>
  <c r="U723" i="34"/>
  <c r="V723" i="34" s="1"/>
  <c r="S723" i="34"/>
  <c r="S629" i="34"/>
  <c r="U629" i="34"/>
  <c r="V629" i="34" s="1"/>
  <c r="O19" i="34"/>
  <c r="O33" i="34"/>
  <c r="AD154" i="34"/>
  <c r="J69" i="34"/>
  <c r="BC6" i="35"/>
  <c r="BB7" i="35"/>
  <c r="Y46" i="34"/>
  <c r="Y49" i="34"/>
  <c r="E3" i="34"/>
  <c r="E9" i="34"/>
  <c r="E47" i="34"/>
  <c r="AI37" i="34"/>
  <c r="BE7" i="35"/>
  <c r="BD8" i="35"/>
  <c r="Y39" i="34"/>
  <c r="Y36" i="34"/>
  <c r="Y34" i="34"/>
  <c r="Y33" i="34"/>
  <c r="Y38" i="34"/>
  <c r="Y35" i="34"/>
  <c r="Y40" i="34"/>
  <c r="Y37" i="34"/>
  <c r="AI10" i="34"/>
  <c r="AI6" i="34"/>
  <c r="AI8" i="34"/>
  <c r="AI3" i="34"/>
  <c r="AI7" i="34"/>
  <c r="AI11" i="34"/>
  <c r="AI5" i="34"/>
  <c r="AI4" i="34"/>
  <c r="AI9" i="34"/>
  <c r="O28" i="34"/>
  <c r="O26" i="34"/>
  <c r="AA6" i="35"/>
  <c r="Z7" i="35"/>
  <c r="Y6" i="34"/>
  <c r="AI17" i="34"/>
  <c r="AI16" i="34"/>
  <c r="AI31" i="34"/>
  <c r="AI27" i="34"/>
  <c r="AI26" i="34"/>
  <c r="AI25" i="34"/>
  <c r="AI24" i="34"/>
  <c r="AI29" i="34"/>
  <c r="AI28" i="34"/>
  <c r="AI30" i="34"/>
  <c r="AI23" i="34"/>
  <c r="O8" i="34"/>
  <c r="O3" i="34"/>
  <c r="O10" i="34"/>
  <c r="O6" i="34"/>
  <c r="O5" i="34"/>
  <c r="O9" i="34"/>
  <c r="O4" i="34"/>
  <c r="O7" i="34"/>
  <c r="S748" i="34"/>
  <c r="U748" i="34"/>
  <c r="V748" i="34" s="1"/>
  <c r="U716" i="34"/>
  <c r="V716" i="34" s="1"/>
  <c r="S716" i="34"/>
  <c r="S626" i="34"/>
  <c r="U626" i="34"/>
  <c r="V626" i="34" s="1"/>
  <c r="U618" i="34"/>
  <c r="V618" i="34" s="1"/>
  <c r="S618" i="34"/>
  <c r="S646" i="34"/>
  <c r="U646" i="34"/>
  <c r="V646" i="34" s="1"/>
  <c r="S694" i="34"/>
  <c r="U694" i="34"/>
  <c r="V694" i="34" s="1"/>
  <c r="S615" i="34"/>
  <c r="U615" i="34"/>
  <c r="V615" i="34" s="1"/>
  <c r="S685" i="34"/>
  <c r="U685" i="34"/>
  <c r="V685" i="34" s="1"/>
  <c r="S677" i="34"/>
  <c r="U677" i="34"/>
  <c r="V677" i="34" s="1"/>
  <c r="S688" i="34"/>
  <c r="U688" i="34"/>
  <c r="V688" i="34" s="1"/>
  <c r="U705" i="34"/>
  <c r="V705" i="34" s="1"/>
  <c r="S705" i="34"/>
  <c r="S639" i="34"/>
  <c r="U639" i="34"/>
  <c r="V639" i="34" s="1"/>
  <c r="S753" i="34"/>
  <c r="U753" i="34"/>
  <c r="V753" i="34" s="1"/>
  <c r="S750" i="34"/>
  <c r="U750" i="34"/>
  <c r="V750" i="34" s="1"/>
  <c r="S617" i="34"/>
  <c r="U617" i="34"/>
  <c r="V617" i="34" s="1"/>
  <c r="S669" i="34"/>
  <c r="U669" i="34"/>
  <c r="V669" i="34" s="1"/>
  <c r="U725" i="34"/>
  <c r="V725" i="34" s="1"/>
  <c r="S725" i="34"/>
  <c r="S679" i="34"/>
  <c r="U679" i="34"/>
  <c r="V679" i="34" s="1"/>
  <c r="S609" i="34"/>
  <c r="U609" i="34"/>
  <c r="V609" i="34" s="1"/>
  <c r="S690" i="34"/>
  <c r="U690" i="34"/>
  <c r="V690" i="34" s="1"/>
  <c r="S656" i="34"/>
  <c r="U656" i="34"/>
  <c r="V656" i="34" s="1"/>
  <c r="S632" i="34"/>
  <c r="U632" i="34"/>
  <c r="V632" i="34" s="1"/>
  <c r="S740" i="34"/>
  <c r="U740" i="34"/>
  <c r="V740" i="34" s="1"/>
  <c r="U707" i="34"/>
  <c r="V707" i="34" s="1"/>
  <c r="S707" i="34"/>
  <c r="S686" i="34"/>
  <c r="U686" i="34"/>
  <c r="V686" i="34" s="1"/>
  <c r="S672" i="34"/>
  <c r="U672" i="34"/>
  <c r="V672" i="34" s="1"/>
  <c r="S712" i="34"/>
  <c r="U712" i="34"/>
  <c r="V712" i="34" s="1"/>
  <c r="S658" i="34"/>
  <c r="U658" i="34"/>
  <c r="V658" i="34" s="1"/>
  <c r="S744" i="34"/>
  <c r="U744" i="34"/>
  <c r="V744" i="34" s="1"/>
  <c r="S678" i="34"/>
  <c r="U678" i="34"/>
  <c r="V678" i="34" s="1"/>
  <c r="S698" i="34"/>
  <c r="U698" i="34"/>
  <c r="V698" i="34" s="1"/>
  <c r="S625" i="34"/>
  <c r="U625" i="34"/>
  <c r="V625" i="34" s="1"/>
  <c r="S674" i="34"/>
  <c r="U674" i="34"/>
  <c r="V674" i="34" s="1"/>
  <c r="S734" i="34"/>
  <c r="U734" i="34"/>
  <c r="V734" i="34" s="1"/>
  <c r="S704" i="34"/>
  <c r="U704" i="34"/>
  <c r="V704" i="34" s="1"/>
  <c r="U691" i="34"/>
  <c r="V691" i="34" s="1"/>
  <c r="S691" i="34"/>
  <c r="S695" i="34"/>
  <c r="U695" i="34"/>
  <c r="V695" i="34" s="1"/>
  <c r="O17" i="34"/>
  <c r="O16" i="34"/>
  <c r="AI6" i="35"/>
  <c r="AH7" i="35"/>
  <c r="O34" i="34"/>
  <c r="O38" i="34"/>
  <c r="AG7" i="35"/>
  <c r="AF8" i="35"/>
  <c r="AU6" i="35"/>
  <c r="AT7" i="35"/>
  <c r="AD305" i="34"/>
  <c r="AD607" i="34"/>
  <c r="AI43" i="34"/>
  <c r="AI49" i="34"/>
  <c r="Y44" i="34"/>
  <c r="Y50" i="34"/>
  <c r="E4" i="34"/>
  <c r="E7" i="34"/>
  <c r="E44" i="34"/>
  <c r="E46" i="34"/>
  <c r="AE6" i="35"/>
  <c r="AD7" i="35"/>
  <c r="AI33" i="34"/>
  <c r="AI35" i="34"/>
  <c r="AW7" i="35"/>
  <c r="AV8" i="35"/>
  <c r="AQ6" i="35"/>
  <c r="AP7" i="35"/>
  <c r="AM6" i="35"/>
  <c r="AL7" i="35"/>
  <c r="Y61" i="34"/>
  <c r="B36" i="34" s="1"/>
  <c r="F143" i="6" s="1"/>
  <c r="O29" i="34"/>
  <c r="O27" i="34"/>
  <c r="Y3" i="34"/>
  <c r="Y10" i="34"/>
  <c r="AI19" i="34"/>
  <c r="AI13" i="34"/>
  <c r="AI20" i="34"/>
  <c r="T3" i="34"/>
  <c r="Y18" i="34"/>
  <c r="Y20" i="34"/>
  <c r="Y16" i="34"/>
  <c r="Y15" i="34"/>
  <c r="Y19" i="34"/>
  <c r="Y14" i="34"/>
  <c r="Y13" i="34"/>
  <c r="Y17" i="34"/>
  <c r="E33" i="34"/>
  <c r="E40" i="34"/>
  <c r="E35" i="34"/>
  <c r="E36" i="34"/>
  <c r="E39" i="34"/>
  <c r="E34" i="34"/>
  <c r="E37" i="34"/>
  <c r="E38" i="34"/>
  <c r="U692" i="34"/>
  <c r="V692" i="34" s="1"/>
  <c r="S692" i="34"/>
  <c r="S644" i="34"/>
  <c r="U644" i="34"/>
  <c r="V644" i="34" s="1"/>
  <c r="S733" i="34"/>
  <c r="U733" i="34"/>
  <c r="V733" i="34" s="1"/>
  <c r="S687" i="34"/>
  <c r="U687" i="34"/>
  <c r="V687" i="34" s="1"/>
  <c r="S648" i="34"/>
  <c r="U648" i="34"/>
  <c r="V648" i="34" s="1"/>
  <c r="U612" i="34"/>
  <c r="V612" i="34" s="1"/>
  <c r="S612" i="34"/>
  <c r="S682" i="34"/>
  <c r="U682" i="34"/>
  <c r="V682" i="34" s="1"/>
  <c r="S741" i="34"/>
  <c r="U741" i="34"/>
  <c r="V741" i="34" s="1"/>
  <c r="U715" i="34"/>
  <c r="V715" i="34" s="1"/>
  <c r="S715" i="34"/>
  <c r="U738" i="34"/>
  <c r="V738" i="34" s="1"/>
  <c r="S738" i="34"/>
  <c r="U689" i="34"/>
  <c r="V689" i="34" s="1"/>
  <c r="S689" i="34"/>
  <c r="S620" i="34"/>
  <c r="U620" i="34"/>
  <c r="V620" i="34" s="1"/>
  <c r="S718" i="34"/>
  <c r="U718" i="34"/>
  <c r="V718" i="34" s="1"/>
  <c r="S665" i="34"/>
  <c r="U665" i="34"/>
  <c r="V665" i="34" s="1"/>
  <c r="U616" i="34"/>
  <c r="V616" i="34" s="1"/>
  <c r="S616" i="34"/>
  <c r="S711" i="34"/>
  <c r="U711" i="34"/>
  <c r="V711" i="34" s="1"/>
  <c r="U709" i="34"/>
  <c r="V709" i="34" s="1"/>
  <c r="S709" i="34"/>
  <c r="S647" i="34"/>
  <c r="U647" i="34"/>
  <c r="V647" i="34" s="1"/>
  <c r="U735" i="34"/>
  <c r="V735" i="34" s="1"/>
  <c r="S735" i="34"/>
  <c r="U751" i="34"/>
  <c r="V751" i="34" s="1"/>
  <c r="S751" i="34"/>
  <c r="S650" i="34"/>
  <c r="U650" i="34"/>
  <c r="V650" i="34" s="1"/>
  <c r="U708" i="34"/>
  <c r="V708" i="34" s="1"/>
  <c r="S708" i="34"/>
  <c r="S720" i="34"/>
  <c r="U720" i="34"/>
  <c r="V720" i="34" s="1"/>
  <c r="S683" i="34"/>
  <c r="U683" i="34"/>
  <c r="V683" i="34" s="1"/>
  <c r="U747" i="34"/>
  <c r="V747" i="34" s="1"/>
  <c r="S747" i="34"/>
  <c r="S608" i="34"/>
  <c r="U608" i="34"/>
  <c r="V608" i="34" s="1"/>
  <c r="S727" i="34"/>
  <c r="U727" i="34"/>
  <c r="V727" i="34" s="1"/>
  <c r="S749" i="34"/>
  <c r="U749" i="34"/>
  <c r="V749" i="34" s="1"/>
  <c r="U746" i="34"/>
  <c r="V746" i="34" s="1"/>
  <c r="S746" i="34"/>
  <c r="S634" i="34"/>
  <c r="U634" i="34"/>
  <c r="V634" i="34" s="1"/>
  <c r="S728" i="34"/>
  <c r="U728" i="34"/>
  <c r="V728" i="34" s="1"/>
  <c r="S684" i="34"/>
  <c r="U684" i="34"/>
  <c r="V684" i="34" s="1"/>
  <c r="U729" i="34"/>
  <c r="V729" i="34" s="1"/>
  <c r="S729" i="34"/>
  <c r="U755" i="34"/>
  <c r="V755" i="34" s="1"/>
  <c r="S755" i="34"/>
  <c r="U742" i="34"/>
  <c r="V742" i="34" s="1"/>
  <c r="S742" i="34"/>
  <c r="S651" i="34"/>
  <c r="U651" i="34"/>
  <c r="V651" i="34" s="1"/>
  <c r="S635" i="34"/>
  <c r="U635" i="34"/>
  <c r="V635" i="34" s="1"/>
  <c r="O18" i="34"/>
  <c r="O20" i="34"/>
  <c r="O40" i="34"/>
  <c r="O36" i="34"/>
  <c r="AD3" i="34"/>
  <c r="AI47" i="34"/>
  <c r="AI50" i="34"/>
  <c r="Y45" i="34"/>
  <c r="Y43" i="34"/>
  <c r="E10" i="34"/>
  <c r="E8" i="34"/>
  <c r="E45" i="34"/>
  <c r="E48" i="34"/>
  <c r="AI34" i="34"/>
  <c r="O30" i="34"/>
  <c r="Y8" i="34"/>
  <c r="Y29" i="34"/>
  <c r="Y27" i="34"/>
  <c r="Y26" i="34"/>
  <c r="Y25" i="34"/>
  <c r="Y24" i="34"/>
  <c r="Y30" i="34"/>
  <c r="Y23" i="34"/>
  <c r="Y28" i="34"/>
  <c r="AI15" i="34"/>
  <c r="AK7" i="35"/>
  <c r="AJ8" i="35"/>
  <c r="S660" i="34"/>
  <c r="U660" i="34"/>
  <c r="V660" i="34" s="1"/>
  <c r="S703" i="34"/>
  <c r="U703" i="34"/>
  <c r="V703" i="34" s="1"/>
  <c r="S676" i="34"/>
  <c r="U676" i="34"/>
  <c r="V676" i="34" s="1"/>
  <c r="U713" i="34"/>
  <c r="V713" i="34" s="1"/>
  <c r="S713" i="34"/>
  <c r="S655" i="34"/>
  <c r="U655" i="34"/>
  <c r="V655" i="34" s="1"/>
  <c r="S726" i="34"/>
  <c r="U726" i="34"/>
  <c r="V726" i="34" s="1"/>
  <c r="S681" i="34"/>
  <c r="U681" i="34"/>
  <c r="V681" i="34" s="1"/>
  <c r="S642" i="34"/>
  <c r="U642" i="34"/>
  <c r="V642" i="34" s="1"/>
  <c r="U745" i="34"/>
  <c r="V745" i="34" s="1"/>
  <c r="S745" i="34"/>
  <c r="U614" i="34"/>
  <c r="V614" i="34" s="1"/>
  <c r="S614" i="34"/>
  <c r="S736" i="34"/>
  <c r="U736" i="34"/>
  <c r="V736" i="34" s="1"/>
  <c r="S732" i="34"/>
  <c r="U732" i="34"/>
  <c r="V732" i="34" s="1"/>
  <c r="S624" i="34"/>
  <c r="U624" i="34"/>
  <c r="V624" i="34" s="1"/>
  <c r="S702" i="34"/>
  <c r="U702" i="34"/>
  <c r="V702" i="34" s="1"/>
  <c r="S633" i="34"/>
  <c r="U633" i="34"/>
  <c r="V633" i="34" s="1"/>
  <c r="S637" i="34"/>
  <c r="U637" i="34"/>
  <c r="V637" i="34" s="1"/>
  <c r="S638" i="34"/>
  <c r="U638" i="34"/>
  <c r="V638" i="34" s="1"/>
  <c r="U693" i="34"/>
  <c r="V693" i="34" s="1"/>
  <c r="S693" i="34"/>
  <c r="S611" i="34"/>
  <c r="U611" i="34"/>
  <c r="V611" i="34" s="1"/>
  <c r="S722" i="34"/>
  <c r="U722" i="34"/>
  <c r="V722" i="34" s="1"/>
  <c r="S673" i="34"/>
  <c r="U673" i="34"/>
  <c r="V673" i="34" s="1"/>
  <c r="S652" i="34"/>
  <c r="U652" i="34"/>
  <c r="V652" i="34" s="1"/>
  <c r="S661" i="34"/>
  <c r="U661" i="34"/>
  <c r="V661" i="34" s="1"/>
  <c r="U739" i="34"/>
  <c r="V739" i="34" s="1"/>
  <c r="S739" i="34"/>
  <c r="S619" i="34"/>
  <c r="U619" i="34"/>
  <c r="V619" i="34" s="1"/>
  <c r="S752" i="34"/>
  <c r="U752" i="34"/>
  <c r="V752" i="34" s="1"/>
  <c r="S645" i="34"/>
  <c r="U645" i="34"/>
  <c r="V645" i="34" s="1"/>
  <c r="S659" i="34"/>
  <c r="U659" i="34"/>
  <c r="V659" i="34" s="1"/>
  <c r="U717" i="34"/>
  <c r="V717" i="34" s="1"/>
  <c r="S717" i="34"/>
  <c r="S663" i="34"/>
  <c r="U663" i="34"/>
  <c r="V663" i="34" s="1"/>
  <c r="U737" i="34"/>
  <c r="V737" i="34" s="1"/>
  <c r="S737" i="34"/>
  <c r="U731" i="34"/>
  <c r="V731" i="34" s="1"/>
  <c r="S731" i="34"/>
  <c r="S630" i="34"/>
  <c r="U630" i="34"/>
  <c r="V630" i="34" s="1"/>
  <c r="U607" i="34"/>
  <c r="V607" i="34" s="1"/>
  <c r="S607" i="34"/>
  <c r="S627" i="34"/>
  <c r="U627" i="34"/>
  <c r="V627" i="34" s="1"/>
  <c r="S621" i="34"/>
  <c r="U621" i="34"/>
  <c r="V621" i="34" s="1"/>
  <c r="U700" i="34"/>
  <c r="V700" i="34" s="1"/>
  <c r="S700" i="34"/>
  <c r="S628" i="34"/>
  <c r="U628" i="34"/>
  <c r="V628" i="34" s="1"/>
  <c r="O15" i="34"/>
  <c r="AY6" i="35"/>
  <c r="AX7" i="35"/>
  <c r="O37" i="34"/>
  <c r="E29" i="34"/>
  <c r="E27" i="34"/>
  <c r="E26" i="34"/>
  <c r="E25" i="34"/>
  <c r="E24" i="34"/>
  <c r="E23" i="34"/>
  <c r="E30" i="34"/>
  <c r="E28" i="34"/>
  <c r="AI44" i="34"/>
  <c r="AI45" i="34"/>
  <c r="Y48" i="34"/>
  <c r="E6" i="34"/>
  <c r="E43" i="34"/>
  <c r="C10" i="39"/>
  <c r="A11" i="39"/>
  <c r="D11" i="39" s="1"/>
  <c r="DC11" i="12"/>
  <c r="AH281" i="38" l="1"/>
  <c r="AG280" i="38"/>
  <c r="AG301" i="38"/>
  <c r="AG352" i="38"/>
  <c r="P9" i="9"/>
  <c r="F142" i="33"/>
  <c r="F152" i="33"/>
  <c r="F146" i="33"/>
  <c r="F143" i="33"/>
  <c r="F147" i="33"/>
  <c r="F193" i="6"/>
  <c r="F144" i="33"/>
  <c r="F156" i="33"/>
  <c r="F199" i="6"/>
  <c r="F194" i="6"/>
  <c r="F183" i="6"/>
  <c r="F196" i="6"/>
  <c r="F189" i="6"/>
  <c r="F140" i="33"/>
  <c r="F202" i="6"/>
  <c r="F206" i="6"/>
  <c r="F204" i="6"/>
  <c r="F192" i="6"/>
  <c r="F182" i="6"/>
  <c r="F154" i="33"/>
  <c r="F148" i="33"/>
  <c r="F149" i="33"/>
  <c r="F191" i="6"/>
  <c r="F205" i="6"/>
  <c r="F145" i="33"/>
  <c r="F197" i="6"/>
  <c r="AH40" i="12"/>
  <c r="AH6" i="12"/>
  <c r="W131" i="12"/>
  <c r="F135" i="33"/>
  <c r="V131" i="12" s="1"/>
  <c r="AS43" i="12"/>
  <c r="AS37" i="12"/>
  <c r="AS26" i="12"/>
  <c r="AS44" i="12"/>
  <c r="AH159" i="12"/>
  <c r="F163" i="6"/>
  <c r="AG159" i="12" s="1"/>
  <c r="W39" i="12"/>
  <c r="F43" i="33"/>
  <c r="V39" i="12" s="1"/>
  <c r="AS83" i="12"/>
  <c r="AS12" i="12"/>
  <c r="AS40" i="12"/>
  <c r="W126" i="12"/>
  <c r="F130" i="33"/>
  <c r="V126" i="12" s="1"/>
  <c r="AH99" i="12"/>
  <c r="F103" i="6"/>
  <c r="AG99" i="12" s="1"/>
  <c r="AH31" i="12"/>
  <c r="AH146" i="12"/>
  <c r="F150" i="6"/>
  <c r="AG146" i="12" s="1"/>
  <c r="W24" i="12"/>
  <c r="AS84" i="12"/>
  <c r="AS19" i="12"/>
  <c r="AH88" i="12"/>
  <c r="F92" i="6"/>
  <c r="AG88" i="12" s="1"/>
  <c r="AH162" i="12"/>
  <c r="F166" i="6"/>
  <c r="AG162" i="12" s="1"/>
  <c r="AH114" i="12"/>
  <c r="F118" i="6"/>
  <c r="AG114" i="12" s="1"/>
  <c r="AH96" i="12"/>
  <c r="F100" i="6"/>
  <c r="AG96" i="12" s="1"/>
  <c r="W79" i="12"/>
  <c r="F83" i="33"/>
  <c r="V79" i="12" s="1"/>
  <c r="AH51" i="12"/>
  <c r="F55" i="6"/>
  <c r="AG51" i="12" s="1"/>
  <c r="AH125" i="12"/>
  <c r="F129" i="6"/>
  <c r="AG125" i="12" s="1"/>
  <c r="AH112" i="12"/>
  <c r="F116" i="6"/>
  <c r="AG112" i="12" s="1"/>
  <c r="AH57" i="12"/>
  <c r="F61" i="6"/>
  <c r="AG57" i="12" s="1"/>
  <c r="AH76" i="12"/>
  <c r="F80" i="6"/>
  <c r="AG76" i="12" s="1"/>
  <c r="AH168" i="12"/>
  <c r="F172" i="6"/>
  <c r="AG168" i="12" s="1"/>
  <c r="W81" i="12"/>
  <c r="F85" i="33"/>
  <c r="V81" i="12" s="1"/>
  <c r="AS38" i="12"/>
  <c r="AS7" i="12"/>
  <c r="AS53" i="12"/>
  <c r="AS74" i="12"/>
  <c r="AS69" i="12"/>
  <c r="AS67" i="12"/>
  <c r="AS6" i="12"/>
  <c r="AS25" i="12"/>
  <c r="AH80" i="12"/>
  <c r="F84" i="6"/>
  <c r="AG80" i="12" s="1"/>
  <c r="AH158" i="12"/>
  <c r="F162" i="6"/>
  <c r="AG158" i="12" s="1"/>
  <c r="AH74" i="12"/>
  <c r="F78" i="6"/>
  <c r="AG74" i="12" s="1"/>
  <c r="AH83" i="12"/>
  <c r="F87" i="6"/>
  <c r="AG83" i="12" s="1"/>
  <c r="AH47" i="12"/>
  <c r="AH50" i="12"/>
  <c r="F54" i="6"/>
  <c r="AG50" i="12" s="1"/>
  <c r="AH154" i="12"/>
  <c r="F158" i="6"/>
  <c r="AG154" i="12" s="1"/>
  <c r="W113" i="12"/>
  <c r="F117" i="33"/>
  <c r="V113" i="12" s="1"/>
  <c r="W11" i="12"/>
  <c r="AS63" i="12"/>
  <c r="AS57" i="12"/>
  <c r="AS5" i="12"/>
  <c r="AH118" i="12"/>
  <c r="F122" i="6"/>
  <c r="AG118" i="12" s="1"/>
  <c r="AH66" i="12"/>
  <c r="F70" i="6"/>
  <c r="AG66" i="12" s="1"/>
  <c r="W7" i="12"/>
  <c r="AS39" i="12"/>
  <c r="AH61" i="12"/>
  <c r="F65" i="6"/>
  <c r="AG61" i="12" s="1"/>
  <c r="AH89" i="12"/>
  <c r="F93" i="6"/>
  <c r="AG89" i="12" s="1"/>
  <c r="AH164" i="12"/>
  <c r="F168" i="6"/>
  <c r="AG164" i="12" s="1"/>
  <c r="AH121" i="12"/>
  <c r="F125" i="6"/>
  <c r="AG121" i="12" s="1"/>
  <c r="AH109" i="12"/>
  <c r="F113" i="6"/>
  <c r="AG109" i="12" s="1"/>
  <c r="AS56" i="12"/>
  <c r="AH16" i="12"/>
  <c r="AH128" i="12"/>
  <c r="F132" i="6"/>
  <c r="AG128" i="12" s="1"/>
  <c r="AH34" i="12"/>
  <c r="AH73" i="12"/>
  <c r="F77" i="6"/>
  <c r="AG73" i="12" s="1"/>
  <c r="W17" i="12"/>
  <c r="AH145" i="12"/>
  <c r="F149" i="6"/>
  <c r="AG145" i="12" s="1"/>
  <c r="AH161" i="12"/>
  <c r="F165" i="6"/>
  <c r="AG161" i="12" s="1"/>
  <c r="AH95" i="12"/>
  <c r="F99" i="6"/>
  <c r="AG95" i="12" s="1"/>
  <c r="AH134" i="12"/>
  <c r="F138" i="6"/>
  <c r="AG134" i="12" s="1"/>
  <c r="AH149" i="12"/>
  <c r="F153" i="6"/>
  <c r="AG149" i="12" s="1"/>
  <c r="AH26" i="12"/>
  <c r="W123" i="12"/>
  <c r="F127" i="33"/>
  <c r="V123" i="12" s="1"/>
  <c r="AS58" i="12"/>
  <c r="AS22" i="12"/>
  <c r="AS51" i="12"/>
  <c r="AS65" i="12"/>
  <c r="AS11" i="12"/>
  <c r="AS28" i="12"/>
  <c r="AS8" i="12"/>
  <c r="AS34" i="12"/>
  <c r="W73" i="12"/>
  <c r="F77" i="33"/>
  <c r="V73" i="12" s="1"/>
  <c r="AH91" i="12"/>
  <c r="F95" i="6"/>
  <c r="AG91" i="12" s="1"/>
  <c r="AH52" i="12"/>
  <c r="F56" i="6"/>
  <c r="AG52" i="12" s="1"/>
  <c r="AH129" i="12"/>
  <c r="F133" i="6"/>
  <c r="AG129" i="12" s="1"/>
  <c r="AH86" i="12"/>
  <c r="F90" i="6"/>
  <c r="AG86" i="12" s="1"/>
  <c r="AH175" i="12"/>
  <c r="F179" i="6"/>
  <c r="AG175" i="12" s="1"/>
  <c r="AH137" i="12"/>
  <c r="F141" i="6"/>
  <c r="AG137" i="12" s="1"/>
  <c r="W71" i="12"/>
  <c r="F75" i="33"/>
  <c r="V71" i="12" s="1"/>
  <c r="AS78" i="12"/>
  <c r="AS21" i="12"/>
  <c r="AS54" i="12"/>
  <c r="W10" i="12"/>
  <c r="AH144" i="12"/>
  <c r="F148" i="6"/>
  <c r="AG144" i="12" s="1"/>
  <c r="AH12" i="12"/>
  <c r="W109" i="12"/>
  <c r="F113" i="33"/>
  <c r="V109" i="12" s="1"/>
  <c r="W12" i="12"/>
  <c r="AS60" i="12"/>
  <c r="AH166" i="12"/>
  <c r="F170" i="6"/>
  <c r="AG166" i="12" s="1"/>
  <c r="AH111" i="12"/>
  <c r="F115" i="6"/>
  <c r="AG111" i="12" s="1"/>
  <c r="AH174" i="12"/>
  <c r="F178" i="6"/>
  <c r="AG174" i="12" s="1"/>
  <c r="AH59" i="12"/>
  <c r="F63" i="6"/>
  <c r="AG59" i="12" s="1"/>
  <c r="AH79" i="12"/>
  <c r="F83" i="6"/>
  <c r="AG79" i="12" s="1"/>
  <c r="W74" i="12"/>
  <c r="F78" i="33"/>
  <c r="V74" i="12" s="1"/>
  <c r="AS49" i="12"/>
  <c r="AS9" i="12"/>
  <c r="AH116" i="12"/>
  <c r="F120" i="6"/>
  <c r="AG116" i="12" s="1"/>
  <c r="AH171" i="12"/>
  <c r="F175" i="6"/>
  <c r="AG171" i="12" s="1"/>
  <c r="AH126" i="12"/>
  <c r="F130" i="6"/>
  <c r="AG126" i="12" s="1"/>
  <c r="AH49" i="12"/>
  <c r="W16" i="12"/>
  <c r="AH115" i="12"/>
  <c r="F119" i="6"/>
  <c r="AG115" i="12" s="1"/>
  <c r="AH33" i="12"/>
  <c r="AH156" i="12"/>
  <c r="F160" i="6"/>
  <c r="AG156" i="12" s="1"/>
  <c r="AH15" i="12"/>
  <c r="AH169" i="12"/>
  <c r="F173" i="6"/>
  <c r="AG169" i="12" s="1"/>
  <c r="W14" i="12"/>
  <c r="AS73" i="12"/>
  <c r="AS85" i="12"/>
  <c r="W30" i="12"/>
  <c r="AS52" i="12"/>
  <c r="W60" i="12"/>
  <c r="F64" i="33"/>
  <c r="V60" i="12" s="1"/>
  <c r="AS77" i="12"/>
  <c r="AS61" i="12"/>
  <c r="AS76" i="12"/>
  <c r="AS62" i="12"/>
  <c r="W15" i="12"/>
  <c r="AH11" i="12"/>
  <c r="AH69" i="12"/>
  <c r="F73" i="6"/>
  <c r="AG69" i="12" s="1"/>
  <c r="AH123" i="12"/>
  <c r="F127" i="6"/>
  <c r="AG123" i="12" s="1"/>
  <c r="AH108" i="12"/>
  <c r="F112" i="6"/>
  <c r="AG108" i="12" s="1"/>
  <c r="AH10" i="12"/>
  <c r="W85" i="12"/>
  <c r="F89" i="33"/>
  <c r="V85" i="12" s="1"/>
  <c r="W26" i="12"/>
  <c r="AS16" i="12"/>
  <c r="W5" i="12"/>
  <c r="AS35" i="12"/>
  <c r="AS70" i="12"/>
  <c r="AS10" i="12"/>
  <c r="AS66" i="12"/>
  <c r="AH42" i="12"/>
  <c r="AH75" i="12"/>
  <c r="F79" i="6"/>
  <c r="AG75" i="12" s="1"/>
  <c r="W49" i="12"/>
  <c r="F53" i="33"/>
  <c r="V49" i="12" s="1"/>
  <c r="W83" i="12"/>
  <c r="F87" i="33"/>
  <c r="V83" i="12" s="1"/>
  <c r="AS71" i="12"/>
  <c r="AS55" i="12"/>
  <c r="AH68" i="12"/>
  <c r="F72" i="6"/>
  <c r="AG68" i="12" s="1"/>
  <c r="AH138" i="12"/>
  <c r="F142" i="6"/>
  <c r="AG138" i="12" s="1"/>
  <c r="AH172" i="12"/>
  <c r="F176" i="6"/>
  <c r="AG172" i="12" s="1"/>
  <c r="W51" i="12"/>
  <c r="F55" i="33"/>
  <c r="V51" i="12" s="1"/>
  <c r="AH160" i="12"/>
  <c r="F164" i="6"/>
  <c r="AG160" i="12" s="1"/>
  <c r="AH140" i="12"/>
  <c r="F144" i="6"/>
  <c r="AG140" i="12" s="1"/>
  <c r="W128" i="12"/>
  <c r="F132" i="33"/>
  <c r="V128" i="12" s="1"/>
  <c r="AS79" i="12"/>
  <c r="AS42" i="12"/>
  <c r="AH113" i="12"/>
  <c r="F117" i="6"/>
  <c r="AG113" i="12" s="1"/>
  <c r="AH45" i="12"/>
  <c r="AH117" i="12"/>
  <c r="F121" i="6"/>
  <c r="AG117" i="12" s="1"/>
  <c r="AH44" i="12"/>
  <c r="W67" i="12"/>
  <c r="F71" i="33"/>
  <c r="V67" i="12" s="1"/>
  <c r="W98" i="12"/>
  <c r="F102" i="33"/>
  <c r="V98" i="12" s="1"/>
  <c r="AH20" i="12"/>
  <c r="AH143" i="12"/>
  <c r="F147" i="6"/>
  <c r="AG143" i="12" s="1"/>
  <c r="AH41" i="12"/>
  <c r="AS80" i="12"/>
  <c r="AS14" i="12"/>
  <c r="AS23" i="12"/>
  <c r="AS59" i="12"/>
  <c r="AS72" i="12"/>
  <c r="AS32" i="12"/>
  <c r="AS24" i="12"/>
  <c r="AS41" i="12"/>
  <c r="AS4" i="12"/>
  <c r="L13" i="12"/>
  <c r="L43" i="12"/>
  <c r="F47" i="4"/>
  <c r="K43" i="12" s="1"/>
  <c r="L39" i="12"/>
  <c r="F43" i="4"/>
  <c r="K39" i="12" s="1"/>
  <c r="L38" i="12"/>
  <c r="F42" i="4"/>
  <c r="K38" i="12" s="1"/>
  <c r="L12" i="12"/>
  <c r="L26" i="12"/>
  <c r="F30" i="4"/>
  <c r="K26" i="12" s="1"/>
  <c r="L14" i="12"/>
  <c r="L33" i="12"/>
  <c r="F37" i="4"/>
  <c r="K33" i="12" s="1"/>
  <c r="L41" i="12"/>
  <c r="F45" i="4"/>
  <c r="K41" i="12" s="1"/>
  <c r="L19" i="12"/>
  <c r="L51" i="12"/>
  <c r="F55" i="4"/>
  <c r="K51" i="12" s="1"/>
  <c r="L34" i="12"/>
  <c r="F38" i="4"/>
  <c r="K34" i="12" s="1"/>
  <c r="L40" i="12"/>
  <c r="F44" i="4"/>
  <c r="K40" i="12" s="1"/>
  <c r="J198" i="11"/>
  <c r="L17" i="12"/>
  <c r="L53" i="12"/>
  <c r="F57" i="4"/>
  <c r="K53" i="12" s="1"/>
  <c r="L28" i="12"/>
  <c r="F32" i="4"/>
  <c r="K28" i="12" s="1"/>
  <c r="L56" i="12"/>
  <c r="F60" i="4"/>
  <c r="K56" i="12" s="1"/>
  <c r="L15" i="12"/>
  <c r="L45" i="12"/>
  <c r="F49" i="4"/>
  <c r="K45" i="12" s="1"/>
  <c r="L44" i="12"/>
  <c r="F48" i="4"/>
  <c r="K44" i="12" s="1"/>
  <c r="L47" i="12"/>
  <c r="F51" i="4"/>
  <c r="K47" i="12" s="1"/>
  <c r="L37" i="12"/>
  <c r="F41" i="4"/>
  <c r="K37" i="12" s="1"/>
  <c r="B6" i="35"/>
  <c r="G150" i="33"/>
  <c r="F150" i="33" s="1"/>
  <c r="G115" i="33"/>
  <c r="G59" i="4"/>
  <c r="F59" i="4" s="1"/>
  <c r="G66" i="33"/>
  <c r="G123" i="6"/>
  <c r="F123" i="6" s="1"/>
  <c r="G13" i="6"/>
  <c r="G106" i="33"/>
  <c r="F106" i="33" s="1"/>
  <c r="G27" i="6"/>
  <c r="G39" i="4"/>
  <c r="G25" i="4"/>
  <c r="G103" i="33"/>
  <c r="F103" i="33" s="1"/>
  <c r="G159" i="6"/>
  <c r="G26" i="4"/>
  <c r="G126" i="33"/>
  <c r="F126" i="33" s="1"/>
  <c r="G110" i="6"/>
  <c r="G70" i="33"/>
  <c r="F70" i="33" s="1"/>
  <c r="G121" i="33"/>
  <c r="G153" i="33"/>
  <c r="F153" i="33" s="1"/>
  <c r="G59" i="6"/>
  <c r="G85" i="6"/>
  <c r="G39" i="33"/>
  <c r="G93" i="33"/>
  <c r="G34" i="6"/>
  <c r="L4" i="12"/>
  <c r="G96" i="33"/>
  <c r="F96" i="33" s="1"/>
  <c r="G81" i="33"/>
  <c r="F81" i="33" s="1"/>
  <c r="G10" i="33"/>
  <c r="G7" i="4"/>
  <c r="G38" i="33"/>
  <c r="G82" i="33"/>
  <c r="F82" i="33" s="1"/>
  <c r="G95" i="33"/>
  <c r="F95" i="33" s="1"/>
  <c r="G90" i="33"/>
  <c r="F90" i="33" s="1"/>
  <c r="G33" i="33"/>
  <c r="G52" i="33"/>
  <c r="F52" i="33" s="1"/>
  <c r="G56" i="33"/>
  <c r="G122" i="33"/>
  <c r="F122" i="33" s="1"/>
  <c r="G62" i="4"/>
  <c r="F62" i="4" s="1"/>
  <c r="G49" i="33"/>
  <c r="F49" i="33" s="1"/>
  <c r="G14" i="4"/>
  <c r="G31" i="33"/>
  <c r="G50" i="4"/>
  <c r="F50" i="4" s="1"/>
  <c r="G35" i="4"/>
  <c r="G10" i="4"/>
  <c r="G58" i="6"/>
  <c r="F58" i="6" s="1"/>
  <c r="G188" i="6"/>
  <c r="F188" i="6" s="1"/>
  <c r="G52" i="6"/>
  <c r="G71" i="6"/>
  <c r="F71" i="6" s="1"/>
  <c r="G97" i="33"/>
  <c r="F97" i="33" s="1"/>
  <c r="G116" i="33"/>
  <c r="F116" i="33" s="1"/>
  <c r="G108" i="6"/>
  <c r="F108" i="6" s="1"/>
  <c r="G31" i="6"/>
  <c r="G151" i="6"/>
  <c r="F151" i="6" s="1"/>
  <c r="G13" i="4"/>
  <c r="G123" i="33"/>
  <c r="F123" i="33" s="1"/>
  <c r="G23" i="33"/>
  <c r="G64" i="6"/>
  <c r="F64" i="6" s="1"/>
  <c r="G96" i="6"/>
  <c r="F96" i="6" s="1"/>
  <c r="G184" i="6"/>
  <c r="F184" i="6" s="1"/>
  <c r="G29" i="6"/>
  <c r="G25" i="6"/>
  <c r="G8" i="6"/>
  <c r="G177" i="6"/>
  <c r="F177" i="6" s="1"/>
  <c r="G198" i="6"/>
  <c r="F198" i="6" s="1"/>
  <c r="G61" i="4"/>
  <c r="G27" i="4"/>
  <c r="G29" i="4"/>
  <c r="G156" i="6"/>
  <c r="G119" i="33"/>
  <c r="F119" i="33" s="1"/>
  <c r="G92" i="33"/>
  <c r="G186" i="6"/>
  <c r="F186" i="6" s="1"/>
  <c r="G7" i="6"/>
  <c r="G33" i="6"/>
  <c r="G86" i="6"/>
  <c r="G63" i="33"/>
  <c r="F63" i="33" s="1"/>
  <c r="G17" i="33"/>
  <c r="G195" i="6"/>
  <c r="F195" i="6" s="1"/>
  <c r="G74" i="33"/>
  <c r="G80" i="33"/>
  <c r="F80" i="33" s="1"/>
  <c r="G114" i="6"/>
  <c r="G37" i="33"/>
  <c r="G109" i="6"/>
  <c r="F109" i="6" s="1"/>
  <c r="G174" i="6"/>
  <c r="G50" i="6"/>
  <c r="G128" i="33"/>
  <c r="G139" i="33"/>
  <c r="G137" i="6"/>
  <c r="F137" i="6" s="1"/>
  <c r="G110" i="33"/>
  <c r="F110" i="33" s="1"/>
  <c r="G74" i="6"/>
  <c r="G11" i="6"/>
  <c r="G22" i="33"/>
  <c r="G34" i="4"/>
  <c r="G24" i="33"/>
  <c r="G118" i="33"/>
  <c r="G22" i="4"/>
  <c r="G141" i="33"/>
  <c r="F141" i="33" s="1"/>
  <c r="G20" i="4"/>
  <c r="G53" i="4"/>
  <c r="F53" i="4" s="1"/>
  <c r="G18" i="6"/>
  <c r="G131" i="33"/>
  <c r="G106" i="6"/>
  <c r="F106" i="6" s="1"/>
  <c r="G151" i="33"/>
  <c r="F151" i="33" s="1"/>
  <c r="G33" i="4"/>
  <c r="F33" i="4" s="1"/>
  <c r="G155" i="33"/>
  <c r="F155" i="33" s="1"/>
  <c r="G136" i="6"/>
  <c r="F136" i="6" s="1"/>
  <c r="G181" i="6"/>
  <c r="G51" i="33"/>
  <c r="G109" i="33"/>
  <c r="G45" i="33"/>
  <c r="G12" i="33"/>
  <c r="G111" i="33"/>
  <c r="G105" i="33"/>
  <c r="F105" i="33" s="1"/>
  <c r="G11" i="4"/>
  <c r="G24" i="4"/>
  <c r="G107" i="33"/>
  <c r="F107" i="33" s="1"/>
  <c r="G9" i="4"/>
  <c r="G12" i="6"/>
  <c r="G125" i="33"/>
  <c r="G167" i="6"/>
  <c r="F167" i="6" s="1"/>
  <c r="G157" i="6"/>
  <c r="F157" i="6" s="1"/>
  <c r="G114" i="33"/>
  <c r="G41" i="6"/>
  <c r="G120" i="33"/>
  <c r="F120" i="33" s="1"/>
  <c r="G42" i="6"/>
  <c r="G47" i="33"/>
  <c r="F47" i="33" s="1"/>
  <c r="G32" i="6"/>
  <c r="G57" i="6"/>
  <c r="F57" i="6" s="1"/>
  <c r="G32" i="33"/>
  <c r="G129" i="33"/>
  <c r="F129" i="33" s="1"/>
  <c r="G7" i="33"/>
  <c r="G36" i="6"/>
  <c r="G79" i="33"/>
  <c r="G75" i="6"/>
  <c r="G146" i="6"/>
  <c r="G200" i="6"/>
  <c r="F200" i="6" s="1"/>
  <c r="G94" i="6"/>
  <c r="G76" i="33"/>
  <c r="G98" i="33"/>
  <c r="G54" i="33"/>
  <c r="F54" i="33" s="1"/>
  <c r="G104" i="33"/>
  <c r="G28" i="4"/>
  <c r="G56" i="4"/>
  <c r="G15" i="4"/>
  <c r="G138" i="33"/>
  <c r="G111" i="6"/>
  <c r="F111" i="6" s="1"/>
  <c r="G23" i="6"/>
  <c r="G68" i="33"/>
  <c r="F68" i="33" s="1"/>
  <c r="G135" i="6"/>
  <c r="G171" i="6"/>
  <c r="G89" i="6"/>
  <c r="F89" i="6" s="1"/>
  <c r="G8" i="33"/>
  <c r="G40" i="6"/>
  <c r="G102" i="6"/>
  <c r="F102" i="6" s="1"/>
  <c r="G137" i="33"/>
  <c r="G203" i="6"/>
  <c r="F203" i="6" s="1"/>
  <c r="G187" i="6"/>
  <c r="F187" i="6" s="1"/>
  <c r="G139" i="6"/>
  <c r="F139" i="6" s="1"/>
  <c r="G134" i="6"/>
  <c r="G26" i="33"/>
  <c r="G48" i="33"/>
  <c r="F48" i="33" s="1"/>
  <c r="G58" i="33"/>
  <c r="F58" i="33" s="1"/>
  <c r="G84" i="33"/>
  <c r="G35" i="33"/>
  <c r="G12" i="4"/>
  <c r="G65" i="33"/>
  <c r="G128" i="6"/>
  <c r="F128" i="6" s="1"/>
  <c r="G42" i="33"/>
  <c r="F42" i="33" s="1"/>
  <c r="G82" i="6"/>
  <c r="G66" i="6"/>
  <c r="G68" i="6"/>
  <c r="F68" i="6" s="1"/>
  <c r="G73" i="33"/>
  <c r="F73" i="33" s="1"/>
  <c r="G76" i="6"/>
  <c r="G43" i="6"/>
  <c r="G101" i="6"/>
  <c r="G86" i="33"/>
  <c r="G26" i="6"/>
  <c r="G99" i="33"/>
  <c r="F99" i="33" s="1"/>
  <c r="G62" i="6"/>
  <c r="G94" i="33"/>
  <c r="F94" i="33" s="1"/>
  <c r="G22" i="6"/>
  <c r="G72" i="33"/>
  <c r="F72" i="33" s="1"/>
  <c r="G40" i="33"/>
  <c r="F40" i="33" s="1"/>
  <c r="G108" i="33"/>
  <c r="F108" i="33" s="1"/>
  <c r="G36" i="33"/>
  <c r="G52" i="4"/>
  <c r="G25" i="33"/>
  <c r="G133" i="33"/>
  <c r="F133" i="33" s="1"/>
  <c r="G57" i="33"/>
  <c r="G46" i="33"/>
  <c r="G27" i="33"/>
  <c r="G40" i="4"/>
  <c r="F40" i="4" s="1"/>
  <c r="G29" i="33"/>
  <c r="G54" i="4"/>
  <c r="F54" i="4" s="1"/>
  <c r="G36" i="4"/>
  <c r="F36" i="4" s="1"/>
  <c r="G69" i="33"/>
  <c r="G58" i="4"/>
  <c r="G44" i="33"/>
  <c r="F44" i="33" s="1"/>
  <c r="G100" i="33"/>
  <c r="F100" i="33" s="1"/>
  <c r="G140" i="6"/>
  <c r="F140" i="6" s="1"/>
  <c r="G39" i="6"/>
  <c r="G169" i="6"/>
  <c r="G28" i="6"/>
  <c r="G47" i="6"/>
  <c r="G60" i="6"/>
  <c r="F60" i="6" s="1"/>
  <c r="G46" i="4"/>
  <c r="F46" i="4" s="1"/>
  <c r="G88" i="33"/>
  <c r="G105" i="6"/>
  <c r="F105" i="6" s="1"/>
  <c r="G112" i="33"/>
  <c r="G131" i="6"/>
  <c r="G124" i="6"/>
  <c r="F124" i="6" s="1"/>
  <c r="G180" i="6"/>
  <c r="F180" i="6" s="1"/>
  <c r="G101" i="33"/>
  <c r="F101" i="33" s="1"/>
  <c r="G134" i="33"/>
  <c r="F134" i="33" s="1"/>
  <c r="G155" i="6"/>
  <c r="G13" i="33"/>
  <c r="G88" i="6"/>
  <c r="F88" i="6" s="1"/>
  <c r="G9" i="6"/>
  <c r="G136" i="33"/>
  <c r="G154" i="6"/>
  <c r="G50" i="33"/>
  <c r="G60" i="33"/>
  <c r="G62" i="33"/>
  <c r="F62" i="33" s="1"/>
  <c r="G31" i="4"/>
  <c r="G152" i="6"/>
  <c r="F152" i="6" s="1"/>
  <c r="G201" i="6"/>
  <c r="F201" i="6" s="1"/>
  <c r="G190" i="6"/>
  <c r="F190" i="6" s="1"/>
  <c r="G97" i="6"/>
  <c r="F97" i="6" s="1"/>
  <c r="G17" i="6"/>
  <c r="G126" i="6"/>
  <c r="G91" i="6"/>
  <c r="F91" i="6" s="1"/>
  <c r="G124" i="33"/>
  <c r="G104" i="6"/>
  <c r="F104" i="6" s="1"/>
  <c r="G41" i="33"/>
  <c r="F41" i="33" s="1"/>
  <c r="G98" i="6"/>
  <c r="G145" i="6"/>
  <c r="F145" i="6" s="1"/>
  <c r="G67" i="33"/>
  <c r="F67" i="33" s="1"/>
  <c r="G185" i="6"/>
  <c r="F185" i="6" s="1"/>
  <c r="G67" i="6"/>
  <c r="F67" i="6" s="1"/>
  <c r="G81" i="6"/>
  <c r="G107" i="6"/>
  <c r="F107" i="6" s="1"/>
  <c r="G161" i="6"/>
  <c r="F161" i="6" s="1"/>
  <c r="G69" i="6"/>
  <c r="F69" i="6" s="1"/>
  <c r="G91" i="33"/>
  <c r="F91" i="33" s="1"/>
  <c r="G21" i="6"/>
  <c r="G59" i="33"/>
  <c r="G61" i="33"/>
  <c r="F61" i="33" s="1"/>
  <c r="W8" i="4"/>
  <c r="W8" i="33"/>
  <c r="W8" i="6"/>
  <c r="AC7" i="35"/>
  <c r="AR8" i="35"/>
  <c r="AS7" i="35"/>
  <c r="Y54" i="34"/>
  <c r="B29" i="34" s="1"/>
  <c r="E55" i="34"/>
  <c r="B6" i="34" s="1"/>
  <c r="AO7" i="35"/>
  <c r="AN8" i="35"/>
  <c r="Y60" i="34"/>
  <c r="B35" i="34" s="1"/>
  <c r="F46" i="6" s="1"/>
  <c r="Y59" i="34"/>
  <c r="B34" i="34" s="1"/>
  <c r="Y53" i="34"/>
  <c r="B28" i="34" s="1"/>
  <c r="BA7" i="35"/>
  <c r="AZ8" i="35"/>
  <c r="Y57" i="34"/>
  <c r="B32" i="34" s="1"/>
  <c r="Y55" i="34"/>
  <c r="B30" i="34" s="1"/>
  <c r="E54" i="34"/>
  <c r="B5" i="34" s="1"/>
  <c r="E56" i="34"/>
  <c r="B7" i="34" s="1"/>
  <c r="AY7" i="35"/>
  <c r="AX8" i="35"/>
  <c r="O50" i="34"/>
  <c r="O60" i="34" s="1"/>
  <c r="B23" i="34" s="1"/>
  <c r="F34" i="33" s="1"/>
  <c r="O47" i="34"/>
  <c r="O57" i="34" s="1"/>
  <c r="B20" i="34" s="1"/>
  <c r="O49" i="34"/>
  <c r="O59" i="34" s="1"/>
  <c r="B22" i="34" s="1"/>
  <c r="O43" i="34"/>
  <c r="O53" i="34" s="1"/>
  <c r="B16" i="34" s="1"/>
  <c r="O48" i="34"/>
  <c r="O58" i="34" s="1"/>
  <c r="B21" i="34" s="1"/>
  <c r="O46" i="34"/>
  <c r="O56" i="34" s="1"/>
  <c r="B19" i="34" s="1"/>
  <c r="O45" i="34"/>
  <c r="O55" i="34" s="1"/>
  <c r="B18" i="34" s="1"/>
  <c r="O44" i="34"/>
  <c r="O54" i="34" s="1"/>
  <c r="B17" i="34" s="1"/>
  <c r="AG139" i="12"/>
  <c r="AE7" i="35"/>
  <c r="AD8" i="35"/>
  <c r="E57" i="34"/>
  <c r="B8" i="34" s="1"/>
  <c r="Y56" i="34"/>
  <c r="B31" i="34" s="1"/>
  <c r="AI61" i="34"/>
  <c r="B48" i="34" s="1"/>
  <c r="AI56" i="34"/>
  <c r="B43" i="34" s="1"/>
  <c r="E53" i="34"/>
  <c r="B4" i="34" s="1"/>
  <c r="AW8" i="35"/>
  <c r="AV9" i="35"/>
  <c r="AA7" i="35"/>
  <c r="Z8" i="35"/>
  <c r="BE8" i="35"/>
  <c r="BD9" i="35"/>
  <c r="AI7" i="35"/>
  <c r="AH8" i="35"/>
  <c r="AN3" i="34"/>
  <c r="AI54" i="34"/>
  <c r="B41" i="34" s="1"/>
  <c r="AI53" i="34"/>
  <c r="B40" i="34" s="1"/>
  <c r="E58" i="34"/>
  <c r="B9" i="34" s="1"/>
  <c r="AL8" i="35"/>
  <c r="AM7" i="35"/>
  <c r="AG8" i="35"/>
  <c r="AF9" i="35"/>
  <c r="AI59" i="34"/>
  <c r="B46" i="34" s="1"/>
  <c r="AI57" i="34"/>
  <c r="B44" i="34" s="1"/>
  <c r="AI60" i="34"/>
  <c r="B47" i="34" s="1"/>
  <c r="F23" i="7" s="1"/>
  <c r="AC8" i="35"/>
  <c r="AB9" i="35"/>
  <c r="E60" i="34"/>
  <c r="B11" i="34" s="1"/>
  <c r="T607" i="34"/>
  <c r="AK8" i="35"/>
  <c r="AJ9" i="35"/>
  <c r="Y58" i="34"/>
  <c r="B33" i="34" s="1"/>
  <c r="F19" i="6" s="1"/>
  <c r="AQ7" i="35"/>
  <c r="AP8" i="35"/>
  <c r="AT8" i="35"/>
  <c r="AU7" i="35"/>
  <c r="AI55" i="34"/>
  <c r="B42" i="34" s="1"/>
  <c r="AI58" i="34"/>
  <c r="B45" i="34" s="1"/>
  <c r="E59" i="34"/>
  <c r="B10" i="34" s="1"/>
  <c r="BC7" i="35"/>
  <c r="BB8" i="35"/>
  <c r="A12" i="39"/>
  <c r="C12" i="39" s="1"/>
  <c r="C11" i="39"/>
  <c r="DC12" i="12"/>
  <c r="DC13" i="12" s="1"/>
  <c r="DC14" i="12" s="1"/>
  <c r="AH282" i="38" l="1"/>
  <c r="AH283" i="38" s="1"/>
  <c r="AG281" i="38"/>
  <c r="P10" i="9"/>
  <c r="F17" i="7"/>
  <c r="F28" i="33"/>
  <c r="V24" i="12" s="1"/>
  <c r="F14" i="6"/>
  <c r="AG10" i="12" s="1"/>
  <c r="F8" i="7"/>
  <c r="AR4" i="12" s="1"/>
  <c r="F16" i="6"/>
  <c r="AG12" i="12" s="1"/>
  <c r="F11" i="7"/>
  <c r="AR7" i="12" s="1"/>
  <c r="F10" i="6"/>
  <c r="AG6" i="12" s="1"/>
  <c r="F16" i="33"/>
  <c r="V12" i="12" s="1"/>
  <c r="F36" i="33"/>
  <c r="V32" i="12" s="1"/>
  <c r="F45" i="6"/>
  <c r="AG41" i="12" s="1"/>
  <c r="F30" i="6"/>
  <c r="AG26" i="12" s="1"/>
  <c r="F52" i="6"/>
  <c r="AG48" i="12" s="1"/>
  <c r="F48" i="6"/>
  <c r="AG44" i="12" s="1"/>
  <c r="F14" i="33"/>
  <c r="V10" i="12" s="1"/>
  <c r="F35" i="6"/>
  <c r="AG31" i="12" s="1"/>
  <c r="F38" i="33"/>
  <c r="V34" i="12" s="1"/>
  <c r="F53" i="6"/>
  <c r="AG49" i="12" s="1"/>
  <c r="F51" i="6"/>
  <c r="AG47" i="12" s="1"/>
  <c r="F20" i="33"/>
  <c r="V16" i="12" s="1"/>
  <c r="F44" i="6"/>
  <c r="AG40" i="12" s="1"/>
  <c r="F29" i="4"/>
  <c r="K25" i="12" s="1"/>
  <c r="F49" i="6"/>
  <c r="AG45" i="12" s="1"/>
  <c r="F18" i="4"/>
  <c r="K14" i="12" s="1"/>
  <c r="F30" i="33"/>
  <c r="V26" i="12" s="1"/>
  <c r="F7" i="7"/>
  <c r="AR3" i="12" s="1"/>
  <c r="F23" i="4"/>
  <c r="K19" i="12" s="1"/>
  <c r="F9" i="33"/>
  <c r="V5" i="12" s="1"/>
  <c r="F18" i="7"/>
  <c r="AR14" i="12" s="1"/>
  <c r="F93" i="7"/>
  <c r="F52" i="7"/>
  <c r="AR48" i="12" s="1"/>
  <c r="F72" i="7"/>
  <c r="AR68" i="12" s="1"/>
  <c r="F86" i="7"/>
  <c r="AR82" i="12" s="1"/>
  <c r="F34" i="7"/>
  <c r="AR30" i="12" s="1"/>
  <c r="F50" i="7"/>
  <c r="AR46" i="12" s="1"/>
  <c r="F31" i="7"/>
  <c r="AR27" i="12" s="1"/>
  <c r="F35" i="7"/>
  <c r="AR31" i="12" s="1"/>
  <c r="F68" i="7"/>
  <c r="AR64" i="12" s="1"/>
  <c r="F85" i="7"/>
  <c r="AR81" i="12" s="1"/>
  <c r="F40" i="7"/>
  <c r="AR36" i="12" s="1"/>
  <c r="F37" i="7"/>
  <c r="AR33" i="12" s="1"/>
  <c r="F51" i="7"/>
  <c r="AR47" i="12" s="1"/>
  <c r="F33" i="7"/>
  <c r="AR29" i="12" s="1"/>
  <c r="F49" i="7"/>
  <c r="AR45" i="12" s="1"/>
  <c r="F54" i="7"/>
  <c r="AR50" i="12" s="1"/>
  <c r="F79" i="7"/>
  <c r="AR75" i="12" s="1"/>
  <c r="F45" i="7"/>
  <c r="AR41" i="12" s="1"/>
  <c r="F36" i="7"/>
  <c r="AR32" i="12" s="1"/>
  <c r="F63" i="7"/>
  <c r="AR59" i="12" s="1"/>
  <c r="F24" i="6"/>
  <c r="AG20" i="12" s="1"/>
  <c r="F83" i="7"/>
  <c r="AR79" i="12" s="1"/>
  <c r="F59" i="7"/>
  <c r="AR55" i="12" s="1"/>
  <c r="F70" i="7"/>
  <c r="AR66" i="12" s="1"/>
  <c r="F74" i="7"/>
  <c r="AR70" i="12" s="1"/>
  <c r="F15" i="6"/>
  <c r="AG11" i="12" s="1"/>
  <c r="F66" i="7"/>
  <c r="AR62" i="12" s="1"/>
  <c r="F65" i="7"/>
  <c r="AR61" i="12" s="1"/>
  <c r="F77" i="7"/>
  <c r="AR73" i="12" s="1"/>
  <c r="F13" i="7"/>
  <c r="AR9" i="12" s="1"/>
  <c r="F64" i="7"/>
  <c r="AR60" i="12" s="1"/>
  <c r="F58" i="7"/>
  <c r="AR54" i="12" s="1"/>
  <c r="F82" i="7"/>
  <c r="AR78" i="12" s="1"/>
  <c r="F12" i="7"/>
  <c r="AR8" i="12" s="1"/>
  <c r="F15" i="7"/>
  <c r="AR11" i="12" s="1"/>
  <c r="F55" i="7"/>
  <c r="AR51" i="12" s="1"/>
  <c r="F62" i="7"/>
  <c r="AR58" i="12" s="1"/>
  <c r="F21" i="33"/>
  <c r="V17" i="12" s="1"/>
  <c r="F38" i="6"/>
  <c r="AG34" i="12" s="1"/>
  <c r="F20" i="6"/>
  <c r="AG16" i="12" s="1"/>
  <c r="F11" i="33"/>
  <c r="V7" i="12" s="1"/>
  <c r="F61" i="7"/>
  <c r="AR57" i="12" s="1"/>
  <c r="F15" i="33"/>
  <c r="V11" i="12" s="1"/>
  <c r="F73" i="7"/>
  <c r="AR69" i="12" s="1"/>
  <c r="F57" i="7"/>
  <c r="AR53" i="12" s="1"/>
  <c r="F42" i="7"/>
  <c r="AR38" i="12" s="1"/>
  <c r="F88" i="7"/>
  <c r="AR84" i="12" s="1"/>
  <c r="F44" i="7"/>
  <c r="AR40" i="12" s="1"/>
  <c r="F87" i="7"/>
  <c r="AR83" i="12" s="1"/>
  <c r="F30" i="7"/>
  <c r="AR26" i="12" s="1"/>
  <c r="F47" i="7"/>
  <c r="AR43" i="12" s="1"/>
  <c r="F95" i="7"/>
  <c r="F98" i="7"/>
  <c r="F90" i="7"/>
  <c r="F96" i="7"/>
  <c r="F28" i="7"/>
  <c r="AR24" i="12" s="1"/>
  <c r="F84" i="7"/>
  <c r="AR80" i="12" s="1"/>
  <c r="F46" i="7"/>
  <c r="AR42" i="12" s="1"/>
  <c r="F75" i="7"/>
  <c r="AR71" i="12" s="1"/>
  <c r="F14" i="7"/>
  <c r="AR10" i="12" s="1"/>
  <c r="F39" i="7"/>
  <c r="AR35" i="12" s="1"/>
  <c r="F20" i="7"/>
  <c r="AR16" i="12" s="1"/>
  <c r="F19" i="33"/>
  <c r="V15" i="12" s="1"/>
  <c r="F80" i="7"/>
  <c r="AR76" i="12" s="1"/>
  <c r="F81" i="7"/>
  <c r="AR77" i="12" s="1"/>
  <c r="F56" i="7"/>
  <c r="AR52" i="12" s="1"/>
  <c r="F89" i="7"/>
  <c r="AR85" i="12" s="1"/>
  <c r="F18" i="33"/>
  <c r="V14" i="12" s="1"/>
  <c r="F37" i="6"/>
  <c r="AG33" i="12" s="1"/>
  <c r="F53" i="7"/>
  <c r="AR49" i="12" s="1"/>
  <c r="F25" i="7"/>
  <c r="AR21" i="12" s="1"/>
  <c r="F38" i="7"/>
  <c r="AR34" i="12" s="1"/>
  <c r="F32" i="7"/>
  <c r="AR28" i="12" s="1"/>
  <c r="F69" i="7"/>
  <c r="AR65" i="12" s="1"/>
  <c r="F26" i="7"/>
  <c r="AR22" i="12" s="1"/>
  <c r="F60" i="7"/>
  <c r="AR56" i="12" s="1"/>
  <c r="F43" i="7"/>
  <c r="AR39" i="12" s="1"/>
  <c r="F9" i="7"/>
  <c r="AR5" i="12" s="1"/>
  <c r="F67" i="7"/>
  <c r="AR63" i="12" s="1"/>
  <c r="F29" i="7"/>
  <c r="AR25" i="12" s="1"/>
  <c r="F71" i="7"/>
  <c r="AR67" i="12" s="1"/>
  <c r="F78" i="7"/>
  <c r="AR74" i="12" s="1"/>
  <c r="F16" i="7"/>
  <c r="AR12" i="12" s="1"/>
  <c r="F48" i="7"/>
  <c r="AR44" i="12" s="1"/>
  <c r="F41" i="7"/>
  <c r="AR37" i="12" s="1"/>
  <c r="F94" i="7"/>
  <c r="F91" i="7"/>
  <c r="F92" i="7"/>
  <c r="F99" i="7"/>
  <c r="F19" i="4"/>
  <c r="K15" i="12" s="1"/>
  <c r="F76" i="7"/>
  <c r="AR72" i="12" s="1"/>
  <c r="F27" i="7"/>
  <c r="AR23" i="12" s="1"/>
  <c r="F22" i="7"/>
  <c r="AR18" i="12" s="1"/>
  <c r="F24" i="7"/>
  <c r="AR20" i="12" s="1"/>
  <c r="F21" i="7"/>
  <c r="AR17" i="12" s="1"/>
  <c r="F19" i="7"/>
  <c r="AR15" i="12" s="1"/>
  <c r="F97" i="7"/>
  <c r="F100" i="7"/>
  <c r="F16" i="4"/>
  <c r="K12" i="12" s="1"/>
  <c r="F17" i="4"/>
  <c r="K13" i="12" s="1"/>
  <c r="F8" i="4"/>
  <c r="K4" i="12" s="1"/>
  <c r="F21" i="4"/>
  <c r="K17" i="12" s="1"/>
  <c r="F7" i="4"/>
  <c r="K3" i="12" s="1"/>
  <c r="AH17" i="12"/>
  <c r="F21" i="6"/>
  <c r="AG17" i="12" s="1"/>
  <c r="AH13" i="12"/>
  <c r="F17" i="6"/>
  <c r="AG13" i="12" s="1"/>
  <c r="W25" i="12"/>
  <c r="F29" i="33"/>
  <c r="V25" i="12" s="1"/>
  <c r="AH131" i="12"/>
  <c r="F135" i="6"/>
  <c r="AG131" i="12" s="1"/>
  <c r="AH90" i="12"/>
  <c r="F94" i="6"/>
  <c r="AG90" i="12" s="1"/>
  <c r="W28" i="12"/>
  <c r="F32" i="33"/>
  <c r="V28" i="12" s="1"/>
  <c r="W127" i="12"/>
  <c r="F131" i="33"/>
  <c r="V127" i="12" s="1"/>
  <c r="AH77" i="12"/>
  <c r="F81" i="6"/>
  <c r="AG77" i="12" s="1"/>
  <c r="W120" i="12"/>
  <c r="F124" i="33"/>
  <c r="V120" i="12" s="1"/>
  <c r="AH150" i="12"/>
  <c r="F154" i="6"/>
  <c r="AG150" i="12" s="1"/>
  <c r="W9" i="12"/>
  <c r="F13" i="33"/>
  <c r="V9" i="12" s="1"/>
  <c r="AH43" i="12"/>
  <c r="F47" i="6"/>
  <c r="AG43" i="12" s="1"/>
  <c r="W65" i="12"/>
  <c r="F69" i="33"/>
  <c r="V65" i="12" s="1"/>
  <c r="W82" i="12"/>
  <c r="F86" i="33"/>
  <c r="V82" i="12" s="1"/>
  <c r="W31" i="12"/>
  <c r="F35" i="33"/>
  <c r="V31" i="12" s="1"/>
  <c r="W22" i="12"/>
  <c r="F26" i="33"/>
  <c r="V22" i="12" s="1"/>
  <c r="W4" i="12"/>
  <c r="F8" i="33"/>
  <c r="V4" i="12" s="1"/>
  <c r="AH32" i="12"/>
  <c r="F36" i="6"/>
  <c r="AG32" i="12" s="1"/>
  <c r="W107" i="12"/>
  <c r="F111" i="33"/>
  <c r="V107" i="12" s="1"/>
  <c r="W47" i="12"/>
  <c r="F51" i="33"/>
  <c r="V47" i="12" s="1"/>
  <c r="AH14" i="12"/>
  <c r="F18" i="6"/>
  <c r="AG14" i="12" s="1"/>
  <c r="W18" i="12"/>
  <c r="F22" i="33"/>
  <c r="V18" i="12" s="1"/>
  <c r="AH170" i="12"/>
  <c r="F174" i="6"/>
  <c r="AG170" i="12" s="1"/>
  <c r="W89" i="12"/>
  <c r="F93" i="33"/>
  <c r="V89" i="12" s="1"/>
  <c r="AH9" i="12"/>
  <c r="F13" i="6"/>
  <c r="AG9" i="12" s="1"/>
  <c r="W111" i="12"/>
  <c r="F115" i="33"/>
  <c r="V111" i="12" s="1"/>
  <c r="AH22" i="12"/>
  <c r="F26" i="6"/>
  <c r="AG22" i="12" s="1"/>
  <c r="AH72" i="12"/>
  <c r="F76" i="6"/>
  <c r="AG72" i="12" s="1"/>
  <c r="AH78" i="12"/>
  <c r="F82" i="6"/>
  <c r="AG78" i="12" s="1"/>
  <c r="AH36" i="12"/>
  <c r="F40" i="6"/>
  <c r="AG36" i="12" s="1"/>
  <c r="W100" i="12"/>
  <c r="F104" i="33"/>
  <c r="V100" i="12" s="1"/>
  <c r="W75" i="12"/>
  <c r="F79" i="33"/>
  <c r="V75" i="12" s="1"/>
  <c r="AH38" i="12"/>
  <c r="F42" i="6"/>
  <c r="AG38" i="12" s="1"/>
  <c r="W19" i="12"/>
  <c r="F23" i="33"/>
  <c r="V19" i="12" s="1"/>
  <c r="W52" i="12"/>
  <c r="F56" i="33"/>
  <c r="V52" i="12" s="1"/>
  <c r="AH30" i="12"/>
  <c r="F34" i="6"/>
  <c r="AG30" i="12" s="1"/>
  <c r="AH94" i="12"/>
  <c r="F98" i="6"/>
  <c r="AG94" i="12" s="1"/>
  <c r="AH151" i="12"/>
  <c r="F155" i="6"/>
  <c r="AG151" i="12" s="1"/>
  <c r="W21" i="12"/>
  <c r="F25" i="33"/>
  <c r="V21" i="12" s="1"/>
  <c r="W80" i="12"/>
  <c r="F84" i="33"/>
  <c r="V80" i="12" s="1"/>
  <c r="AH130" i="12"/>
  <c r="F134" i="6"/>
  <c r="AG130" i="12" s="1"/>
  <c r="W133" i="12"/>
  <c r="F137" i="33"/>
  <c r="V133" i="12" s="1"/>
  <c r="AH19" i="12"/>
  <c r="F23" i="6"/>
  <c r="AG19" i="12" s="1"/>
  <c r="AH142" i="12"/>
  <c r="F146" i="6"/>
  <c r="AG142" i="12" s="1"/>
  <c r="AH28" i="12"/>
  <c r="F32" i="6"/>
  <c r="AG28" i="12" s="1"/>
  <c r="W121" i="12"/>
  <c r="F125" i="33"/>
  <c r="V121" i="12" s="1"/>
  <c r="W8" i="12"/>
  <c r="F12" i="33"/>
  <c r="V8" i="12" s="1"/>
  <c r="AH177" i="12"/>
  <c r="F181" i="6"/>
  <c r="AG177" i="12" s="1"/>
  <c r="W35" i="12"/>
  <c r="F39" i="33"/>
  <c r="V35" i="12" s="1"/>
  <c r="W46" i="12"/>
  <c r="F50" i="33"/>
  <c r="V46" i="12" s="1"/>
  <c r="W108" i="12"/>
  <c r="F112" i="33"/>
  <c r="V108" i="12" s="1"/>
  <c r="AH35" i="12"/>
  <c r="F39" i="6"/>
  <c r="AG35" i="12" s="1"/>
  <c r="W53" i="12"/>
  <c r="F57" i="33"/>
  <c r="V53" i="12" s="1"/>
  <c r="AH18" i="12"/>
  <c r="F22" i="6"/>
  <c r="AG18" i="12" s="1"/>
  <c r="W134" i="12"/>
  <c r="F138" i="33"/>
  <c r="V134" i="12" s="1"/>
  <c r="W105" i="12"/>
  <c r="F109" i="33"/>
  <c r="V105" i="12" s="1"/>
  <c r="AH46" i="12"/>
  <c r="F50" i="6"/>
  <c r="AG46" i="12" s="1"/>
  <c r="AH110" i="12"/>
  <c r="F114" i="6"/>
  <c r="AG110" i="12" s="1"/>
  <c r="W13" i="12"/>
  <c r="F17" i="33"/>
  <c r="V13" i="12" s="1"/>
  <c r="AH3" i="12"/>
  <c r="F7" i="6"/>
  <c r="AG3" i="12" s="1"/>
  <c r="AH152" i="12"/>
  <c r="F156" i="6"/>
  <c r="AG152" i="12" s="1"/>
  <c r="AH25" i="12"/>
  <c r="F29" i="6"/>
  <c r="AG25" i="12" s="1"/>
  <c r="AH27" i="12"/>
  <c r="F31" i="6"/>
  <c r="AG27" i="12" s="1"/>
  <c r="W6" i="12"/>
  <c r="F10" i="33"/>
  <c r="V6" i="12" s="1"/>
  <c r="AH55" i="12"/>
  <c r="F59" i="6"/>
  <c r="AG55" i="12" s="1"/>
  <c r="AH106" i="12"/>
  <c r="F110" i="6"/>
  <c r="AG106" i="12" s="1"/>
  <c r="W132" i="12"/>
  <c r="F136" i="33"/>
  <c r="V132" i="12" s="1"/>
  <c r="W84" i="12"/>
  <c r="F88" i="33"/>
  <c r="V84" i="12" s="1"/>
  <c r="AH24" i="12"/>
  <c r="F28" i="6"/>
  <c r="AG24" i="12" s="1"/>
  <c r="W23" i="12"/>
  <c r="F27" i="33"/>
  <c r="V23" i="12" s="1"/>
  <c r="AH58" i="12"/>
  <c r="F62" i="6"/>
  <c r="AG58" i="12" s="1"/>
  <c r="AH97" i="12"/>
  <c r="F101" i="6"/>
  <c r="AG97" i="12" s="1"/>
  <c r="W94" i="12"/>
  <c r="F98" i="33"/>
  <c r="V94" i="12" s="1"/>
  <c r="W3" i="12"/>
  <c r="F7" i="33"/>
  <c r="V3" i="12" s="1"/>
  <c r="AH37" i="12"/>
  <c r="F41" i="6"/>
  <c r="AG37" i="12" s="1"/>
  <c r="W114" i="12"/>
  <c r="F118" i="33"/>
  <c r="V114" i="12" s="1"/>
  <c r="AH7" i="12"/>
  <c r="F11" i="6"/>
  <c r="AG7" i="12" s="1"/>
  <c r="W135" i="12"/>
  <c r="F139" i="33"/>
  <c r="V135" i="12" s="1"/>
  <c r="W70" i="12"/>
  <c r="F74" i="33"/>
  <c r="V70" i="12" s="1"/>
  <c r="AH82" i="12"/>
  <c r="F86" i="6"/>
  <c r="AG82" i="12" s="1"/>
  <c r="W88" i="12"/>
  <c r="F92" i="33"/>
  <c r="V88" i="12" s="1"/>
  <c r="AH4" i="12"/>
  <c r="F8" i="6"/>
  <c r="AG4" i="12" s="1"/>
  <c r="W29" i="12"/>
  <c r="F33" i="33"/>
  <c r="V29" i="12" s="1"/>
  <c r="W117" i="12"/>
  <c r="F121" i="33"/>
  <c r="V117" i="12" s="1"/>
  <c r="W55" i="12"/>
  <c r="F59" i="33"/>
  <c r="V55" i="12" s="1"/>
  <c r="AH122" i="12"/>
  <c r="F126" i="6"/>
  <c r="AG122" i="12" s="1"/>
  <c r="W56" i="12"/>
  <c r="F60" i="33"/>
  <c r="V56" i="12" s="1"/>
  <c r="AH5" i="12"/>
  <c r="F9" i="6"/>
  <c r="AG5" i="12" s="1"/>
  <c r="AH127" i="12"/>
  <c r="F131" i="6"/>
  <c r="AG127" i="12" s="1"/>
  <c r="AH165" i="12"/>
  <c r="F169" i="6"/>
  <c r="AG165" i="12" s="1"/>
  <c r="W42" i="12"/>
  <c r="F46" i="33"/>
  <c r="V42" i="12" s="1"/>
  <c r="AH39" i="12"/>
  <c r="F43" i="6"/>
  <c r="AG39" i="12" s="1"/>
  <c r="AH62" i="12"/>
  <c r="F66" i="6"/>
  <c r="AG62" i="12" s="1"/>
  <c r="W61" i="12"/>
  <c r="F65" i="33"/>
  <c r="V61" i="12" s="1"/>
  <c r="AH167" i="12"/>
  <c r="F171" i="6"/>
  <c r="AG167" i="12" s="1"/>
  <c r="W72" i="12"/>
  <c r="F76" i="33"/>
  <c r="V72" i="12" s="1"/>
  <c r="AH71" i="12"/>
  <c r="F75" i="6"/>
  <c r="AG71" i="12" s="1"/>
  <c r="W110" i="12"/>
  <c r="F114" i="33"/>
  <c r="V110" i="12" s="1"/>
  <c r="AH8" i="12"/>
  <c r="F12" i="6"/>
  <c r="AG8" i="12" s="1"/>
  <c r="W41" i="12"/>
  <c r="F45" i="33"/>
  <c r="V41" i="12" s="1"/>
  <c r="W20" i="12"/>
  <c r="F24" i="33"/>
  <c r="V20" i="12" s="1"/>
  <c r="AH70" i="12"/>
  <c r="F74" i="6"/>
  <c r="AG70" i="12" s="1"/>
  <c r="W124" i="12"/>
  <c r="F128" i="33"/>
  <c r="V124" i="12" s="1"/>
  <c r="W33" i="12"/>
  <c r="F37" i="33"/>
  <c r="V33" i="12" s="1"/>
  <c r="AH29" i="12"/>
  <c r="F33" i="6"/>
  <c r="AG29" i="12" s="1"/>
  <c r="AH21" i="12"/>
  <c r="F25" i="6"/>
  <c r="AG21" i="12" s="1"/>
  <c r="W27" i="12"/>
  <c r="F31" i="33"/>
  <c r="V27" i="12" s="1"/>
  <c r="AH81" i="12"/>
  <c r="F85" i="6"/>
  <c r="AG81" i="12" s="1"/>
  <c r="AH155" i="12"/>
  <c r="F159" i="6"/>
  <c r="AG155" i="12" s="1"/>
  <c r="AH23" i="12"/>
  <c r="F27" i="6"/>
  <c r="AG23" i="12" s="1"/>
  <c r="W62" i="12"/>
  <c r="F66" i="33"/>
  <c r="V62" i="12" s="1"/>
  <c r="L9" i="12"/>
  <c r="F13" i="4"/>
  <c r="K9" i="12" s="1"/>
  <c r="L22" i="12"/>
  <c r="F26" i="4"/>
  <c r="K22" i="12" s="1"/>
  <c r="L54" i="12"/>
  <c r="F58" i="4"/>
  <c r="K54" i="12" s="1"/>
  <c r="L8" i="12"/>
  <c r="F12" i="4"/>
  <c r="K8" i="12" s="1"/>
  <c r="L5" i="12"/>
  <c r="F9" i="4"/>
  <c r="K5" i="12" s="1"/>
  <c r="L30" i="12"/>
  <c r="F34" i="4"/>
  <c r="K30" i="12" s="1"/>
  <c r="L6" i="12"/>
  <c r="F10" i="4"/>
  <c r="K6" i="12" s="1"/>
  <c r="L10" i="12"/>
  <c r="F14" i="4"/>
  <c r="K10" i="12" s="1"/>
  <c r="L52" i="12"/>
  <c r="F56" i="4"/>
  <c r="K52" i="12" s="1"/>
  <c r="L20" i="12"/>
  <c r="F24" i="4"/>
  <c r="K20" i="12" s="1"/>
  <c r="L23" i="12"/>
  <c r="F27" i="4"/>
  <c r="K23" i="12" s="1"/>
  <c r="L35" i="12"/>
  <c r="F39" i="4"/>
  <c r="K35" i="12" s="1"/>
  <c r="L48" i="12"/>
  <c r="F52" i="4"/>
  <c r="K48" i="12" s="1"/>
  <c r="L24" i="12"/>
  <c r="F28" i="4"/>
  <c r="K24" i="12" s="1"/>
  <c r="L7" i="12"/>
  <c r="F11" i="4"/>
  <c r="K7" i="12" s="1"/>
  <c r="L16" i="12"/>
  <c r="F20" i="4"/>
  <c r="K16" i="12" s="1"/>
  <c r="L57" i="12"/>
  <c r="F61" i="4"/>
  <c r="K57" i="12" s="1"/>
  <c r="L27" i="12"/>
  <c r="F31" i="4"/>
  <c r="K27" i="12" s="1"/>
  <c r="L11" i="12"/>
  <c r="F15" i="4"/>
  <c r="K11" i="12" s="1"/>
  <c r="L18" i="12"/>
  <c r="F22" i="4"/>
  <c r="K18" i="12" s="1"/>
  <c r="L31" i="12"/>
  <c r="F35" i="4"/>
  <c r="K31" i="12" s="1"/>
  <c r="L21" i="12"/>
  <c r="F25" i="4"/>
  <c r="K21" i="12" s="1"/>
  <c r="B7" i="35"/>
  <c r="P11" i="9" s="1"/>
  <c r="V30" i="12"/>
  <c r="W106" i="12"/>
  <c r="V106" i="12"/>
  <c r="AH124" i="12"/>
  <c r="AG124" i="12"/>
  <c r="W101" i="12"/>
  <c r="V101" i="12"/>
  <c r="W93" i="12"/>
  <c r="V93" i="12"/>
  <c r="AH67" i="12"/>
  <c r="AG67" i="12"/>
  <c r="W91" i="12"/>
  <c r="V91" i="12"/>
  <c r="L49" i="12"/>
  <c r="K49" i="12"/>
  <c r="AH60" i="12"/>
  <c r="AG60" i="12"/>
  <c r="AH147" i="12"/>
  <c r="AG147" i="12"/>
  <c r="AH54" i="12"/>
  <c r="AG54" i="12"/>
  <c r="W118" i="12"/>
  <c r="V118" i="12"/>
  <c r="L3" i="12"/>
  <c r="J197" i="11"/>
  <c r="AH85" i="12"/>
  <c r="AG85" i="12"/>
  <c r="AH105" i="12"/>
  <c r="AG105" i="12"/>
  <c r="W59" i="12"/>
  <c r="V59" i="12"/>
  <c r="L25" i="12"/>
  <c r="AH173" i="12"/>
  <c r="AG173" i="12"/>
  <c r="W119" i="12"/>
  <c r="V119" i="12"/>
  <c r="AH104" i="12"/>
  <c r="AG104" i="12"/>
  <c r="AH48" i="12"/>
  <c r="W45" i="12"/>
  <c r="V45" i="12"/>
  <c r="W48" i="12"/>
  <c r="V48" i="12"/>
  <c r="W78" i="12"/>
  <c r="V78" i="12"/>
  <c r="W77" i="12"/>
  <c r="V77" i="12"/>
  <c r="AH153" i="12"/>
  <c r="AG153" i="12"/>
  <c r="W115" i="12"/>
  <c r="V115" i="12"/>
  <c r="W86" i="12"/>
  <c r="V86" i="12"/>
  <c r="AH64" i="12"/>
  <c r="AG64" i="12"/>
  <c r="W44" i="12"/>
  <c r="V44" i="12"/>
  <c r="AH92" i="12"/>
  <c r="AG92" i="12"/>
  <c r="W112" i="12"/>
  <c r="V112" i="12"/>
  <c r="L46" i="12"/>
  <c r="K46" i="12"/>
  <c r="W34" i="12"/>
  <c r="W92" i="12"/>
  <c r="V92" i="12"/>
  <c r="AH63" i="12"/>
  <c r="AG63" i="12"/>
  <c r="AH100" i="12"/>
  <c r="AG100" i="12"/>
  <c r="W57" i="12"/>
  <c r="V57" i="12"/>
  <c r="AH103" i="12"/>
  <c r="AG103" i="12"/>
  <c r="AH87" i="12"/>
  <c r="AG87" i="12"/>
  <c r="AH148" i="12"/>
  <c r="AG148" i="12"/>
  <c r="W58" i="12"/>
  <c r="V58" i="12"/>
  <c r="AH157" i="12"/>
  <c r="AG157" i="12"/>
  <c r="AH176" i="12"/>
  <c r="AG176" i="12"/>
  <c r="AH136" i="12"/>
  <c r="AG136" i="12"/>
  <c r="L36" i="12"/>
  <c r="K36" i="12"/>
  <c r="W104" i="12"/>
  <c r="V104" i="12"/>
  <c r="W38" i="12"/>
  <c r="V38" i="12"/>
  <c r="AH53" i="12"/>
  <c r="AG53" i="12"/>
  <c r="AH163" i="12"/>
  <c r="AG163" i="12"/>
  <c r="W76" i="12"/>
  <c r="V76" i="12"/>
  <c r="W99" i="12"/>
  <c r="V99" i="12"/>
  <c r="W102" i="12"/>
  <c r="V102" i="12"/>
  <c r="W87" i="12"/>
  <c r="V87" i="12"/>
  <c r="AH93" i="12"/>
  <c r="AG93" i="12"/>
  <c r="W96" i="12"/>
  <c r="V96" i="12"/>
  <c r="L32" i="12"/>
  <c r="K32" i="12"/>
  <c r="W54" i="12"/>
  <c r="V54" i="12"/>
  <c r="AH98" i="12"/>
  <c r="AG98" i="12"/>
  <c r="W125" i="12"/>
  <c r="V125" i="12"/>
  <c r="AH132" i="12"/>
  <c r="AG132" i="12"/>
  <c r="W122" i="12"/>
  <c r="V122" i="12"/>
  <c r="AH65" i="12"/>
  <c r="AG65" i="12"/>
  <c r="AH84" i="12"/>
  <c r="AG84" i="12"/>
  <c r="W97" i="12"/>
  <c r="V97" i="12"/>
  <c r="AH56" i="12"/>
  <c r="AG56" i="12"/>
  <c r="W32" i="12"/>
  <c r="AH135" i="12"/>
  <c r="AG135" i="12"/>
  <c r="W43" i="12"/>
  <c r="V43" i="12"/>
  <c r="AH102" i="12"/>
  <c r="AG102" i="12"/>
  <c r="W66" i="12"/>
  <c r="V66" i="12"/>
  <c r="W63" i="12"/>
  <c r="V63" i="12"/>
  <c r="W37" i="12"/>
  <c r="V37" i="12"/>
  <c r="AH101" i="12"/>
  <c r="AG101" i="12"/>
  <c r="W129" i="12"/>
  <c r="V129" i="12"/>
  <c r="W90" i="12"/>
  <c r="V90" i="12"/>
  <c r="L29" i="12"/>
  <c r="K29" i="12"/>
  <c r="AH133" i="12"/>
  <c r="AG133" i="12"/>
  <c r="L55" i="12"/>
  <c r="K55" i="12"/>
  <c r="AH141" i="12"/>
  <c r="AG141" i="12"/>
  <c r="AH120" i="12"/>
  <c r="AG120" i="12"/>
  <c r="W36" i="12"/>
  <c r="V36" i="12"/>
  <c r="AH107" i="12"/>
  <c r="AG107" i="12"/>
  <c r="W130" i="12"/>
  <c r="V130" i="12"/>
  <c r="L42" i="12"/>
  <c r="K42" i="12"/>
  <c r="W40" i="12"/>
  <c r="V40" i="12"/>
  <c r="L50" i="12"/>
  <c r="K50" i="12"/>
  <c r="W68" i="12"/>
  <c r="V68" i="12"/>
  <c r="W95" i="12"/>
  <c r="V95" i="12"/>
  <c r="W69" i="12"/>
  <c r="V69" i="12"/>
  <c r="W64" i="12"/>
  <c r="V64" i="12"/>
  <c r="W50" i="12"/>
  <c r="V50" i="12"/>
  <c r="W116" i="12"/>
  <c r="V116" i="12"/>
  <c r="W103" i="12"/>
  <c r="V103" i="12"/>
  <c r="AH119" i="12"/>
  <c r="AG119" i="12"/>
  <c r="AR6" i="12"/>
  <c r="AG42" i="12"/>
  <c r="A13" i="39"/>
  <c r="D13" i="39" s="1"/>
  <c r="AS8" i="35"/>
  <c r="AR9" i="35"/>
  <c r="AN36" i="34"/>
  <c r="AG15" i="12"/>
  <c r="AZ9" i="35"/>
  <c r="BA8" i="35"/>
  <c r="AO8" i="35"/>
  <c r="AN9" i="35"/>
  <c r="AM8" i="35"/>
  <c r="AL9" i="35"/>
  <c r="AU8" i="35"/>
  <c r="AT9" i="35"/>
  <c r="AR19" i="12"/>
  <c r="AG9" i="35"/>
  <c r="AF10" i="35"/>
  <c r="BE9" i="35"/>
  <c r="BD10" i="35"/>
  <c r="AY8" i="35"/>
  <c r="AX9" i="35"/>
  <c r="BC8" i="35"/>
  <c r="BB9" i="35"/>
  <c r="AI8" i="35"/>
  <c r="AH9" i="35"/>
  <c r="AW9" i="35"/>
  <c r="AV10" i="35"/>
  <c r="AQ8" i="35"/>
  <c r="AP9" i="35"/>
  <c r="AJ10" i="35"/>
  <c r="AK9" i="35"/>
  <c r="AB10" i="35"/>
  <c r="AC9" i="35"/>
  <c r="AR13" i="12"/>
  <c r="AA8" i="35"/>
  <c r="Z9" i="35"/>
  <c r="AE8" i="35"/>
  <c r="AD9" i="35"/>
  <c r="D12" i="39"/>
  <c r="DC15" i="12"/>
  <c r="DC16" i="12" s="1"/>
  <c r="DC17" i="12" s="1"/>
  <c r="DC18" i="12" s="1"/>
  <c r="AH284" i="38" l="1"/>
  <c r="AH285" i="38" s="1"/>
  <c r="AH286" i="38" s="1"/>
  <c r="AH287" i="38" s="1"/>
  <c r="AG283" i="38"/>
  <c r="AG308" i="38"/>
  <c r="AG359" i="38"/>
  <c r="B8" i="35"/>
  <c r="P12" i="9" s="1"/>
  <c r="H198" i="11"/>
  <c r="H197" i="11"/>
  <c r="C13" i="39"/>
  <c r="A14" i="39"/>
  <c r="C14" i="39" s="1"/>
  <c r="AR10" i="35"/>
  <c r="AS9" i="35"/>
  <c r="AO9" i="35"/>
  <c r="AN10" i="35"/>
  <c r="AZ10" i="35"/>
  <c r="BA9" i="35"/>
  <c r="AA9" i="35"/>
  <c r="Z10" i="35"/>
  <c r="AQ9" i="35"/>
  <c r="AP10" i="35"/>
  <c r="AI9" i="35"/>
  <c r="AH10" i="35"/>
  <c r="AC10" i="35"/>
  <c r="AB11" i="35"/>
  <c r="AU9" i="35"/>
  <c r="AT10" i="35"/>
  <c r="AW10" i="35"/>
  <c r="AV11" i="35"/>
  <c r="BE10" i="35"/>
  <c r="BD11" i="35"/>
  <c r="AG10" i="35"/>
  <c r="AF11" i="35"/>
  <c r="AD10" i="35"/>
  <c r="AE9" i="35"/>
  <c r="AM9" i="35"/>
  <c r="AL10" i="35"/>
  <c r="AK10" i="35"/>
  <c r="AJ11" i="35"/>
  <c r="BC9" i="35"/>
  <c r="BB10" i="35"/>
  <c r="AY9" i="35"/>
  <c r="AX10" i="35"/>
  <c r="DC19" i="12"/>
  <c r="DC20" i="12" s="1"/>
  <c r="DC21" i="12" s="1"/>
  <c r="DC22" i="12" s="1"/>
  <c r="DC23" i="12" s="1"/>
  <c r="DC24" i="12" s="1"/>
  <c r="C18" i="12" s="1"/>
  <c r="E18" i="12" s="1"/>
  <c r="G18" i="12" s="1"/>
  <c r="AH288" i="38" l="1"/>
  <c r="AH289" i="38" s="1"/>
  <c r="AH290" i="38" s="1"/>
  <c r="AG287" i="38"/>
  <c r="AG309" i="38"/>
  <c r="B9" i="35"/>
  <c r="P13" i="9" s="1"/>
  <c r="D14" i="39"/>
  <c r="A15" i="39"/>
  <c r="A16" i="39" s="1"/>
  <c r="AS10" i="35"/>
  <c r="AR11" i="35"/>
  <c r="AO10" i="35"/>
  <c r="AN11" i="35"/>
  <c r="AZ11" i="35"/>
  <c r="BA10" i="35"/>
  <c r="BC10" i="35"/>
  <c r="BB11" i="35"/>
  <c r="AM10" i="35"/>
  <c r="AL11" i="35"/>
  <c r="AW11" i="35"/>
  <c r="AV12" i="35"/>
  <c r="AC11" i="35"/>
  <c r="AB12" i="35"/>
  <c r="AE10" i="35"/>
  <c r="AD11" i="35"/>
  <c r="BE11" i="35"/>
  <c r="BD12" i="35"/>
  <c r="AI10" i="35"/>
  <c r="AH11" i="35"/>
  <c r="AA10" i="35"/>
  <c r="Z11" i="35"/>
  <c r="AY10" i="35"/>
  <c r="AX11" i="35"/>
  <c r="AG11" i="35"/>
  <c r="AF12" i="35"/>
  <c r="AU10" i="35"/>
  <c r="AT11" i="35"/>
  <c r="AK11" i="35"/>
  <c r="AJ12" i="35"/>
  <c r="AQ10" i="35"/>
  <c r="AP11" i="35"/>
  <c r="F18" i="12"/>
  <c r="D18" i="12"/>
  <c r="AH291" i="38" l="1"/>
  <c r="AG290" i="38"/>
  <c r="AG295" i="38"/>
  <c r="AG310" i="38"/>
  <c r="AG364" i="38"/>
  <c r="B10" i="35"/>
  <c r="P14" i="9" s="1"/>
  <c r="D15" i="39"/>
  <c r="C15" i="39"/>
  <c r="AR12" i="35"/>
  <c r="AS11" i="35"/>
  <c r="AZ12" i="35"/>
  <c r="BA11" i="35"/>
  <c r="AO11" i="35"/>
  <c r="AN12" i="35"/>
  <c r="AA11" i="35"/>
  <c r="Z12" i="35"/>
  <c r="BE12" i="35"/>
  <c r="BD13" i="35"/>
  <c r="AC12" i="35"/>
  <c r="AB13" i="35"/>
  <c r="AL12" i="35"/>
  <c r="AM11" i="35"/>
  <c r="AT12" i="35"/>
  <c r="AU11" i="35"/>
  <c r="AY11" i="35"/>
  <c r="AX12" i="35"/>
  <c r="AQ11" i="35"/>
  <c r="AP12" i="35"/>
  <c r="AK12" i="35"/>
  <c r="AJ13" i="35"/>
  <c r="AI11" i="35"/>
  <c r="AH12" i="35"/>
  <c r="AE11" i="35"/>
  <c r="AD12" i="35"/>
  <c r="AW12" i="35"/>
  <c r="AV13" i="35"/>
  <c r="BC11" i="35"/>
  <c r="BB12" i="35"/>
  <c r="AG12" i="35"/>
  <c r="AF13" i="35"/>
  <c r="A17" i="39"/>
  <c r="D16" i="39"/>
  <c r="C16" i="39"/>
  <c r="AH292" i="38" l="1"/>
  <c r="AH293" i="38" s="1"/>
  <c r="AH294" i="38" s="1"/>
  <c r="AG291" i="38"/>
  <c r="AG303" i="38"/>
  <c r="AG321" i="38"/>
  <c r="AG372" i="38"/>
  <c r="B11" i="35"/>
  <c r="P15" i="9" s="1"/>
  <c r="AS12" i="35"/>
  <c r="AR13" i="35"/>
  <c r="AN13" i="35"/>
  <c r="AO12" i="35"/>
  <c r="BA12" i="35"/>
  <c r="AZ13" i="35"/>
  <c r="AG13" i="35"/>
  <c r="AF14" i="35"/>
  <c r="BE13" i="35"/>
  <c r="BD14" i="35"/>
  <c r="AI12" i="35"/>
  <c r="AH13" i="35"/>
  <c r="AM12" i="35"/>
  <c r="AL13" i="35"/>
  <c r="AY12" i="35"/>
  <c r="AX13" i="35"/>
  <c r="AB14" i="35"/>
  <c r="AC13" i="35"/>
  <c r="AA12" i="35"/>
  <c r="Z13" i="35"/>
  <c r="AW13" i="35"/>
  <c r="AV14" i="35"/>
  <c r="AQ12" i="35"/>
  <c r="AP13" i="35"/>
  <c r="BC12" i="35"/>
  <c r="BB13" i="35"/>
  <c r="AE12" i="35"/>
  <c r="AD13" i="35"/>
  <c r="AJ14" i="35"/>
  <c r="AK13" i="35"/>
  <c r="AU12" i="35"/>
  <c r="AT13" i="35"/>
  <c r="A18" i="39"/>
  <c r="C17" i="39"/>
  <c r="D17" i="39"/>
  <c r="AH295" i="38" l="1"/>
  <c r="AH296" i="38" s="1"/>
  <c r="AH297" i="38" s="1"/>
  <c r="AG294" i="38"/>
  <c r="AG304" i="38"/>
  <c r="AG324" i="38"/>
  <c r="B12" i="35"/>
  <c r="P16" i="9" s="1"/>
  <c r="AR14" i="35"/>
  <c r="AS13" i="35"/>
  <c r="AZ14" i="35"/>
  <c r="BA13" i="35"/>
  <c r="AO13" i="35"/>
  <c r="AN14" i="35"/>
  <c r="AK14" i="35"/>
  <c r="AJ15" i="35"/>
  <c r="AU13" i="35"/>
  <c r="AT14" i="35"/>
  <c r="AE13" i="35"/>
  <c r="AD14" i="35"/>
  <c r="AQ13" i="35"/>
  <c r="AP14" i="35"/>
  <c r="AM13" i="35"/>
  <c r="AL14" i="35"/>
  <c r="AC14" i="35"/>
  <c r="AB15" i="35"/>
  <c r="BC13" i="35"/>
  <c r="BB14" i="35"/>
  <c r="AW14" i="35"/>
  <c r="AV15" i="35"/>
  <c r="AA13" i="35"/>
  <c r="B13" i="35" s="1"/>
  <c r="P17" i="9" s="1"/>
  <c r="Z14" i="35"/>
  <c r="AY13" i="35"/>
  <c r="AX14" i="35"/>
  <c r="AI13" i="35"/>
  <c r="AH14" i="35"/>
  <c r="BE14" i="35"/>
  <c r="BD15" i="35"/>
  <c r="AG14" i="35"/>
  <c r="AF15" i="35"/>
  <c r="A19" i="39"/>
  <c r="D18" i="39"/>
  <c r="C18" i="39"/>
  <c r="AH298" i="38" l="1"/>
  <c r="AH299" i="38" s="1"/>
  <c r="AH300" i="38" s="1"/>
  <c r="AH301" i="38" s="1"/>
  <c r="AH302" i="38" s="1"/>
  <c r="AH303" i="38" s="1"/>
  <c r="AH304" i="38" s="1"/>
  <c r="AH305" i="38" s="1"/>
  <c r="AG297" i="38"/>
  <c r="AH306" i="38"/>
  <c r="AH307" i="38" s="1"/>
  <c r="AG305" i="38"/>
  <c r="AG325" i="38"/>
  <c r="AG379" i="38"/>
  <c r="AS14" i="35"/>
  <c r="AR15" i="35"/>
  <c r="AO14" i="35"/>
  <c r="AN15" i="35"/>
  <c r="BA14" i="35"/>
  <c r="AZ15" i="35"/>
  <c r="AG15" i="35"/>
  <c r="AF16" i="35"/>
  <c r="AI14" i="35"/>
  <c r="AH15" i="35"/>
  <c r="AU14" i="35"/>
  <c r="AT15" i="35"/>
  <c r="AA14" i="35"/>
  <c r="Z15" i="35"/>
  <c r="AM14" i="35"/>
  <c r="AL15" i="35"/>
  <c r="AY14" i="35"/>
  <c r="AX15" i="35"/>
  <c r="AW15" i="35"/>
  <c r="AV16" i="35"/>
  <c r="AC15" i="35"/>
  <c r="AB16" i="35"/>
  <c r="AE14" i="35"/>
  <c r="AD15" i="35"/>
  <c r="AK15" i="35"/>
  <c r="AJ16" i="35"/>
  <c r="BC14" i="35"/>
  <c r="BB15" i="35"/>
  <c r="AQ14" i="35"/>
  <c r="AP15" i="35"/>
  <c r="BE15" i="35"/>
  <c r="BD16" i="35"/>
  <c r="A20" i="39"/>
  <c r="A21" i="39" s="1"/>
  <c r="C19" i="39"/>
  <c r="D19" i="39"/>
  <c r="AH308" i="38" l="1"/>
  <c r="AH309" i="38" s="1"/>
  <c r="AH310" i="38" s="1"/>
  <c r="AH311" i="38" s="1"/>
  <c r="AH312" i="38" s="1"/>
  <c r="AH313" i="38" s="1"/>
  <c r="AH314" i="38" s="1"/>
  <c r="AH315" i="38" s="1"/>
  <c r="AG307" i="38"/>
  <c r="C21" i="39"/>
  <c r="A22" i="39"/>
  <c r="E21" i="39"/>
  <c r="D21" i="39"/>
  <c r="AH316" i="38"/>
  <c r="AG315" i="38"/>
  <c r="AG328" i="38"/>
  <c r="B14" i="35"/>
  <c r="AR16" i="35"/>
  <c r="AS15" i="35"/>
  <c r="AO15" i="35"/>
  <c r="AN16" i="35"/>
  <c r="BA15" i="35"/>
  <c r="AZ16" i="35"/>
  <c r="BE16" i="35"/>
  <c r="BD17" i="35"/>
  <c r="AW16" i="35"/>
  <c r="AV17" i="35"/>
  <c r="AL16" i="35"/>
  <c r="AM15" i="35"/>
  <c r="AT16" i="35"/>
  <c r="AU15" i="35"/>
  <c r="AI15" i="35"/>
  <c r="AH16" i="35"/>
  <c r="AE15" i="35"/>
  <c r="AD16" i="35"/>
  <c r="AQ15" i="35"/>
  <c r="AP16" i="35"/>
  <c r="AK16" i="35"/>
  <c r="AJ17" i="35"/>
  <c r="AC16" i="35"/>
  <c r="AB17" i="35"/>
  <c r="AY15" i="35"/>
  <c r="AX16" i="35"/>
  <c r="AA15" i="35"/>
  <c r="B15" i="35" s="1"/>
  <c r="P19" i="9" s="1"/>
  <c r="Z16" i="35"/>
  <c r="AG16" i="35"/>
  <c r="AF17" i="35"/>
  <c r="BC15" i="35"/>
  <c r="BB16" i="35"/>
  <c r="D20" i="39"/>
  <c r="C20" i="39"/>
  <c r="C48" i="6"/>
  <c r="C121" i="33"/>
  <c r="B37" i="14"/>
  <c r="C184" i="9"/>
  <c r="C171" i="6"/>
  <c r="C65" i="6"/>
  <c r="C43" i="6"/>
  <c r="C46" i="9"/>
  <c r="C73" i="7"/>
  <c r="C144" i="6"/>
  <c r="C136" i="6"/>
  <c r="C76" i="7"/>
  <c r="C43" i="7"/>
  <c r="C30" i="6"/>
  <c r="C176" i="6"/>
  <c r="C75" i="7"/>
  <c r="C154" i="33"/>
  <c r="C248" i="9"/>
  <c r="C134" i="33"/>
  <c r="C78" i="33"/>
  <c r="C102" i="33"/>
  <c r="C136" i="9"/>
  <c r="C64" i="33"/>
  <c r="B25" i="13"/>
  <c r="C93" i="7"/>
  <c r="C81" i="33"/>
  <c r="C127" i="6"/>
  <c r="C147" i="6"/>
  <c r="C156" i="6"/>
  <c r="C83" i="33"/>
  <c r="C59" i="4"/>
  <c r="C62" i="4"/>
  <c r="C87" i="6"/>
  <c r="C55" i="9"/>
  <c r="C92" i="33"/>
  <c r="C143" i="6"/>
  <c r="C184" i="6"/>
  <c r="C17" i="6"/>
  <c r="C88" i="9"/>
  <c r="B39" i="14"/>
  <c r="B24" i="14"/>
  <c r="C66" i="7"/>
  <c r="C97" i="7"/>
  <c r="C98" i="33"/>
  <c r="C186" i="6"/>
  <c r="C156" i="33"/>
  <c r="C42" i="33"/>
  <c r="B29" i="14"/>
  <c r="C30" i="33"/>
  <c r="B32" i="13"/>
  <c r="C121" i="6"/>
  <c r="B22" i="13"/>
  <c r="C15" i="4"/>
  <c r="B37" i="13"/>
  <c r="C192" i="6"/>
  <c r="C168" i="6"/>
  <c r="C51" i="6"/>
  <c r="C70" i="33"/>
  <c r="C155" i="6"/>
  <c r="C136" i="33"/>
  <c r="C99" i="33"/>
  <c r="C70" i="9"/>
  <c r="C148" i="6"/>
  <c r="B23" i="13"/>
  <c r="C62" i="33"/>
  <c r="C188" i="6"/>
  <c r="C18" i="6"/>
  <c r="AC96" i="12"/>
  <c r="AB96" i="12" s="1"/>
  <c r="C34" i="6"/>
  <c r="C12" i="4"/>
  <c r="C67" i="6"/>
  <c r="C181" i="6"/>
  <c r="B9" i="14"/>
  <c r="C86" i="7"/>
  <c r="C58" i="33"/>
  <c r="C160" i="9"/>
  <c r="C91" i="7"/>
  <c r="C152" i="33"/>
  <c r="C256" i="9"/>
  <c r="C96" i="33"/>
  <c r="C52" i="7"/>
  <c r="C148" i="9"/>
  <c r="C129" i="9"/>
  <c r="C155" i="33"/>
  <c r="C118" i="6"/>
  <c r="C48" i="4"/>
  <c r="C122" i="33"/>
  <c r="B20" i="13"/>
  <c r="B38" i="13"/>
  <c r="C58" i="7"/>
  <c r="C44" i="6"/>
  <c r="C13" i="4"/>
  <c r="C36" i="4"/>
  <c r="C19" i="6"/>
  <c r="B12" i="14"/>
  <c r="C110" i="6"/>
  <c r="C33" i="7"/>
  <c r="C50" i="7"/>
  <c r="C38" i="7"/>
  <c r="B15" i="14"/>
  <c r="C23" i="33"/>
  <c r="C81" i="7"/>
  <c r="C82" i="33"/>
  <c r="C94" i="6"/>
  <c r="C102" i="6"/>
  <c r="C226" i="9"/>
  <c r="C38" i="6"/>
  <c r="C104" i="9"/>
  <c r="C61" i="6"/>
  <c r="C54" i="6"/>
  <c r="C39" i="33"/>
  <c r="C182" i="9"/>
  <c r="C16" i="33"/>
  <c r="C104" i="33"/>
  <c r="C77" i="33"/>
  <c r="C10" i="6"/>
  <c r="C96" i="6"/>
  <c r="C63" i="33"/>
  <c r="C84" i="7"/>
  <c r="C78" i="7"/>
  <c r="C33" i="9"/>
  <c r="B29" i="13"/>
  <c r="C44" i="7"/>
  <c r="C78" i="6"/>
  <c r="C185" i="6"/>
  <c r="C144" i="9"/>
  <c r="AC91" i="12"/>
  <c r="AB91" i="12" s="1"/>
  <c r="C72" i="9"/>
  <c r="C53" i="4"/>
  <c r="AC77" i="12"/>
  <c r="AB77" i="12" s="1"/>
  <c r="C93" i="9"/>
  <c r="C64" i="7"/>
  <c r="C90" i="9"/>
  <c r="C123" i="33"/>
  <c r="C120" i="6"/>
  <c r="C54" i="9"/>
  <c r="B11" i="13"/>
  <c r="C140" i="6"/>
  <c r="C79" i="6"/>
  <c r="C240" i="9"/>
  <c r="C146" i="6"/>
  <c r="C45" i="7"/>
  <c r="C120" i="9"/>
  <c r="C32" i="4"/>
  <c r="AC80" i="12"/>
  <c r="AB80" i="12" s="1"/>
  <c r="C100" i="7"/>
  <c r="C179" i="6"/>
  <c r="C203" i="6"/>
  <c r="C106" i="6"/>
  <c r="C97" i="6"/>
  <c r="B11" i="14"/>
  <c r="C28" i="7"/>
  <c r="C22" i="33"/>
  <c r="C69" i="7"/>
  <c r="C14" i="33"/>
  <c r="C107" i="33"/>
  <c r="C114" i="6"/>
  <c r="C194" i="6"/>
  <c r="B17" i="13"/>
  <c r="AC128" i="12"/>
  <c r="AB128" i="12" s="1"/>
  <c r="C57" i="6"/>
  <c r="C40" i="33"/>
  <c r="C153" i="6"/>
  <c r="C115" i="9"/>
  <c r="C62" i="6"/>
  <c r="C158" i="6"/>
  <c r="C9" i="33"/>
  <c r="C47" i="33"/>
  <c r="C52" i="9"/>
  <c r="C17" i="4"/>
  <c r="C46" i="33"/>
  <c r="C88" i="6"/>
  <c r="C24" i="4"/>
  <c r="C80" i="9"/>
  <c r="C14" i="7"/>
  <c r="C75" i="6"/>
  <c r="B8" i="14"/>
  <c r="AC79" i="12"/>
  <c r="AB79" i="12" s="1"/>
  <c r="C228" i="9"/>
  <c r="C103" i="33"/>
  <c r="C131" i="33"/>
  <c r="C149" i="33"/>
  <c r="C56" i="7"/>
  <c r="C229" i="9"/>
  <c r="C27" i="7"/>
  <c r="B33" i="14"/>
  <c r="C10" i="33"/>
  <c r="C72" i="7"/>
  <c r="C70" i="6"/>
  <c r="C225" i="9"/>
  <c r="C16" i="7"/>
  <c r="C98" i="9"/>
  <c r="C86" i="6"/>
  <c r="C88" i="7"/>
  <c r="C100" i="6"/>
  <c r="C91" i="6"/>
  <c r="C149" i="6"/>
  <c r="C9" i="6"/>
  <c r="C257" i="9"/>
  <c r="C75" i="33"/>
  <c r="C51" i="33"/>
  <c r="C205" i="9"/>
  <c r="C97" i="33"/>
  <c r="C83" i="6"/>
  <c r="C10" i="4"/>
  <c r="C23" i="9"/>
  <c r="C153" i="9"/>
  <c r="C60" i="9"/>
  <c r="B16" i="14"/>
  <c r="C15" i="6"/>
  <c r="C127" i="33"/>
  <c r="B30" i="14"/>
  <c r="B7" i="14"/>
  <c r="AC105" i="12"/>
  <c r="AB105" i="12" s="1"/>
  <c r="C202" i="6"/>
  <c r="C89" i="7"/>
  <c r="B31" i="14"/>
  <c r="B19" i="14"/>
  <c r="C58" i="6"/>
  <c r="B15" i="13"/>
  <c r="B18" i="14"/>
  <c r="C113" i="33"/>
  <c r="C107" i="6"/>
  <c r="C170" i="6"/>
  <c r="C94" i="7"/>
  <c r="C36" i="7"/>
  <c r="C18" i="7"/>
  <c r="C56" i="33"/>
  <c r="B26" i="14"/>
  <c r="C159" i="6"/>
  <c r="C124" i="6"/>
  <c r="C31" i="33"/>
  <c r="B21" i="14"/>
  <c r="C199" i="9"/>
  <c r="C58" i="9"/>
  <c r="C146" i="33"/>
  <c r="C68" i="6"/>
  <c r="C174" i="6"/>
  <c r="C61" i="7"/>
  <c r="C42" i="6"/>
  <c r="C150" i="6"/>
  <c r="C112" i="9"/>
  <c r="C101" i="6"/>
  <c r="C22" i="6"/>
  <c r="C64" i="6"/>
  <c r="C39" i="7"/>
  <c r="C197" i="9"/>
  <c r="B17" i="14"/>
  <c r="C93" i="6"/>
  <c r="C76" i="9"/>
  <c r="C69" i="6"/>
  <c r="C51" i="7"/>
  <c r="AC97" i="12"/>
  <c r="AB97" i="12" s="1"/>
  <c r="C45" i="9"/>
  <c r="C85" i="7"/>
  <c r="C189" i="6"/>
  <c r="C135" i="6"/>
  <c r="C35" i="6"/>
  <c r="C250" i="9"/>
  <c r="C54" i="4"/>
  <c r="C182" i="6"/>
  <c r="C172" i="6"/>
  <c r="C138" i="6"/>
  <c r="C133" i="6"/>
  <c r="C98" i="6"/>
  <c r="C12" i="7"/>
  <c r="C73" i="9"/>
  <c r="C187" i="6"/>
  <c r="B35" i="14"/>
  <c r="C245" i="9"/>
  <c r="C144" i="33"/>
  <c r="C137" i="33"/>
  <c r="B12" i="13"/>
  <c r="C77" i="9"/>
  <c r="C178" i="6"/>
  <c r="B14" i="14"/>
  <c r="C71" i="7"/>
  <c r="C8" i="9"/>
  <c r="C70" i="7"/>
  <c r="C66" i="33"/>
  <c r="C16" i="9"/>
  <c r="C129" i="33"/>
  <c r="C12" i="9"/>
  <c r="C7" i="9"/>
  <c r="AC114" i="12"/>
  <c r="AB114" i="12" s="1"/>
  <c r="C28" i="6"/>
  <c r="C32" i="33"/>
  <c r="C249" i="9"/>
  <c r="C130" i="33"/>
  <c r="C243" i="9"/>
  <c r="C53" i="9"/>
  <c r="C112" i="33"/>
  <c r="C217" i="9"/>
  <c r="C13" i="33"/>
  <c r="C176" i="9"/>
  <c r="C169" i="6"/>
  <c r="C119" i="33"/>
  <c r="C206" i="9"/>
  <c r="AC83" i="12"/>
  <c r="AB83" i="12" s="1"/>
  <c r="C87" i="33"/>
  <c r="C165" i="6"/>
  <c r="C47" i="7"/>
  <c r="C115" i="33"/>
  <c r="C174" i="9"/>
  <c r="C91" i="33"/>
  <c r="C117" i="9"/>
  <c r="C134" i="9"/>
  <c r="C24" i="33"/>
  <c r="AC123" i="12"/>
  <c r="AB123" i="12" s="1"/>
  <c r="C84" i="6"/>
  <c r="B19" i="13"/>
  <c r="C101" i="33"/>
  <c r="C23" i="7"/>
  <c r="C65" i="33"/>
  <c r="C14" i="9"/>
  <c r="C74" i="9"/>
  <c r="C36" i="6"/>
  <c r="C72" i="6"/>
  <c r="C41" i="33"/>
  <c r="C45" i="6"/>
  <c r="C196" i="6"/>
  <c r="C29" i="7"/>
  <c r="C25" i="6"/>
  <c r="C214" i="9"/>
  <c r="AC113" i="12"/>
  <c r="AB113" i="12" s="1"/>
  <c r="C167" i="6"/>
  <c r="C141" i="9"/>
  <c r="C165" i="9"/>
  <c r="C125" i="9"/>
  <c r="C38" i="33"/>
  <c r="C151" i="33"/>
  <c r="C173" i="9"/>
  <c r="AC86" i="12"/>
  <c r="AB86" i="12" s="1"/>
  <c r="AC84" i="12"/>
  <c r="AB84" i="12" s="1"/>
  <c r="C135" i="33"/>
  <c r="C69" i="9"/>
  <c r="C133" i="9"/>
  <c r="C27" i="4"/>
  <c r="C118" i="33"/>
  <c r="C41" i="6"/>
  <c r="AC112" i="12"/>
  <c r="AB112" i="12" s="1"/>
  <c r="C251" i="9"/>
  <c r="C86" i="33"/>
  <c r="C180" i="6"/>
  <c r="C68" i="9"/>
  <c r="C116" i="9"/>
  <c r="C247" i="9"/>
  <c r="C177" i="6"/>
  <c r="C33" i="33"/>
  <c r="C51" i="9"/>
  <c r="C121" i="9"/>
  <c r="C52" i="6"/>
  <c r="C131" i="9"/>
  <c r="C27" i="33"/>
  <c r="C57" i="33"/>
  <c r="C87" i="7"/>
  <c r="C145" i="9"/>
  <c r="C160" i="6"/>
  <c r="C129" i="6"/>
  <c r="C60" i="6"/>
  <c r="C239" i="9"/>
  <c r="C71" i="6"/>
  <c r="C48" i="33"/>
  <c r="B9" i="13"/>
  <c r="C20" i="7"/>
  <c r="B13" i="14"/>
  <c r="C56" i="6"/>
  <c r="C85" i="6"/>
  <c r="C17" i="7"/>
  <c r="B36" i="14"/>
  <c r="B40" i="14"/>
  <c r="C163" i="6"/>
  <c r="C119" i="6"/>
  <c r="C206" i="6"/>
  <c r="C21" i="7"/>
  <c r="C54" i="7"/>
  <c r="C40" i="6"/>
  <c r="C122" i="9"/>
  <c r="C175" i="6"/>
  <c r="C67" i="7"/>
  <c r="C65" i="9"/>
  <c r="AC90" i="12"/>
  <c r="AB90" i="12" s="1"/>
  <c r="C29" i="4"/>
  <c r="C29" i="6"/>
  <c r="C175" i="9"/>
  <c r="C37" i="6"/>
  <c r="B30" i="13"/>
  <c r="C108" i="9"/>
  <c r="C41" i="7"/>
  <c r="C178" i="9"/>
  <c r="C45" i="33"/>
  <c r="C86" i="9"/>
  <c r="C89" i="9"/>
  <c r="C55" i="4"/>
  <c r="C147" i="33"/>
  <c r="C193" i="9"/>
  <c r="C255" i="9"/>
  <c r="C32" i="7"/>
  <c r="C44" i="4"/>
  <c r="C50" i="4"/>
  <c r="C32" i="9"/>
  <c r="C111" i="6"/>
  <c r="C152" i="6"/>
  <c r="C88" i="33"/>
  <c r="C25" i="4"/>
  <c r="C103" i="6"/>
  <c r="C117" i="33"/>
  <c r="C90" i="6"/>
  <c r="C128" i="33"/>
  <c r="C36" i="9"/>
  <c r="B14" i="13"/>
  <c r="C43" i="9"/>
  <c r="C28" i="9"/>
  <c r="C26" i="6"/>
  <c r="C7" i="7"/>
  <c r="C162" i="6"/>
  <c r="AC116" i="12"/>
  <c r="AB116" i="12" s="1"/>
  <c r="C9" i="4"/>
  <c r="C48" i="7"/>
  <c r="C66" i="6"/>
  <c r="C55" i="6"/>
  <c r="C65" i="7"/>
  <c r="C105" i="9"/>
  <c r="C109" i="9"/>
  <c r="AC106" i="12"/>
  <c r="AB106" i="12" s="1"/>
  <c r="C49" i="6"/>
  <c r="C31" i="4"/>
  <c r="C117" i="6"/>
  <c r="C15" i="33"/>
  <c r="C60" i="4"/>
  <c r="C90" i="7"/>
  <c r="C171" i="9"/>
  <c r="AC117" i="12"/>
  <c r="AB117" i="12" s="1"/>
  <c r="C26" i="9"/>
  <c r="C89" i="33"/>
  <c r="C80" i="7"/>
  <c r="C254" i="9"/>
  <c r="C38" i="4"/>
  <c r="C166" i="9"/>
  <c r="C11" i="4"/>
  <c r="C71" i="33"/>
  <c r="C124" i="9"/>
  <c r="C130" i="9"/>
  <c r="C153" i="33"/>
  <c r="C221" i="9"/>
  <c r="AC92" i="12"/>
  <c r="AB92" i="12" s="1"/>
  <c r="C82" i="6"/>
  <c r="C34" i="7"/>
  <c r="B24" i="13"/>
  <c r="C111" i="33"/>
  <c r="C227" i="9"/>
  <c r="C19" i="7"/>
  <c r="C74" i="6"/>
  <c r="C85" i="33"/>
  <c r="C74" i="33"/>
  <c r="C42" i="4"/>
  <c r="C81" i="6"/>
  <c r="C61" i="9"/>
  <c r="C10" i="9"/>
  <c r="C77" i="6"/>
  <c r="AC118" i="12"/>
  <c r="AB118" i="12" s="1"/>
  <c r="AC115" i="12"/>
  <c r="AB115" i="12" s="1"/>
  <c r="C156" i="9"/>
  <c r="C107" i="9"/>
  <c r="C189" i="9"/>
  <c r="AC135" i="12"/>
  <c r="AB135" i="12" s="1"/>
  <c r="C56" i="9"/>
  <c r="C64" i="9"/>
  <c r="C242" i="9"/>
  <c r="AC126" i="12"/>
  <c r="AB126" i="12" s="1"/>
  <c r="C44" i="33"/>
  <c r="C113" i="9"/>
  <c r="C22" i="9"/>
  <c r="C9" i="7"/>
  <c r="C69" i="33"/>
  <c r="C52" i="4"/>
  <c r="C99" i="7"/>
  <c r="C63" i="7"/>
  <c r="C195" i="6"/>
  <c r="B33" i="13"/>
  <c r="C76" i="6"/>
  <c r="C109" i="33"/>
  <c r="C68" i="33"/>
  <c r="C164" i="9"/>
  <c r="C94" i="33"/>
  <c r="C216" i="9"/>
  <c r="C96" i="9"/>
  <c r="C35" i="4"/>
  <c r="C152" i="9"/>
  <c r="C12" i="33"/>
  <c r="C190" i="9"/>
  <c r="C90" i="33"/>
  <c r="C71" i="9"/>
  <c r="C67" i="9"/>
  <c r="C197" i="6"/>
  <c r="C30" i="9"/>
  <c r="C139" i="33"/>
  <c r="C39" i="4"/>
  <c r="AC88" i="12"/>
  <c r="AB88" i="12" s="1"/>
  <c r="C220" i="9"/>
  <c r="C232" i="9"/>
  <c r="C118" i="9"/>
  <c r="C150" i="9"/>
  <c r="B38" i="14"/>
  <c r="C11" i="9"/>
  <c r="C50" i="9"/>
  <c r="C147" i="9"/>
  <c r="C155" i="9"/>
  <c r="C23" i="6"/>
  <c r="C222" i="9"/>
  <c r="C102" i="9"/>
  <c r="C139" i="9"/>
  <c r="C207" i="9"/>
  <c r="C157" i="6"/>
  <c r="C150" i="33"/>
  <c r="C55" i="7"/>
  <c r="C27" i="6"/>
  <c r="C192" i="9"/>
  <c r="C45" i="4"/>
  <c r="C92" i="7"/>
  <c r="C99" i="9"/>
  <c r="C36" i="33"/>
  <c r="AC103" i="12"/>
  <c r="AB103" i="12" s="1"/>
  <c r="C260" i="9"/>
  <c r="C198" i="6"/>
  <c r="AC98" i="12"/>
  <c r="AB98" i="12" s="1"/>
  <c r="B28" i="13"/>
  <c r="C21" i="33"/>
  <c r="C252" i="9"/>
  <c r="AC104" i="12"/>
  <c r="AB104" i="12" s="1"/>
  <c r="C236" i="9"/>
  <c r="C40" i="4"/>
  <c r="C148" i="33"/>
  <c r="C73" i="33"/>
  <c r="C26" i="4"/>
  <c r="C190" i="6"/>
  <c r="C119" i="9"/>
  <c r="C63" i="9"/>
  <c r="B7" i="13"/>
  <c r="C81" i="9"/>
  <c r="C53" i="33"/>
  <c r="C126" i="33"/>
  <c r="C75" i="9"/>
  <c r="C113" i="6"/>
  <c r="C92" i="6"/>
  <c r="C37" i="4"/>
  <c r="C173" i="6"/>
  <c r="C34" i="33"/>
  <c r="C57" i="4"/>
  <c r="C241" i="9"/>
  <c r="C105" i="33"/>
  <c r="C132" i="9"/>
  <c r="C195" i="9"/>
  <c r="C29" i="9"/>
  <c r="C47" i="9"/>
  <c r="C49" i="33"/>
  <c r="C49" i="4"/>
  <c r="C13" i="9"/>
  <c r="C59" i="6"/>
  <c r="C10" i="7"/>
  <c r="C46" i="4"/>
  <c r="AC99" i="12"/>
  <c r="AB99" i="12" s="1"/>
  <c r="C212" i="9"/>
  <c r="C35" i="7"/>
  <c r="C7" i="6"/>
  <c r="AC125" i="12"/>
  <c r="AB125" i="12" s="1"/>
  <c r="C99" i="6"/>
  <c r="AC122" i="12"/>
  <c r="AB122" i="12" s="1"/>
  <c r="C80" i="6"/>
  <c r="C39" i="9"/>
  <c r="C141" i="6"/>
  <c r="AC107" i="12"/>
  <c r="AB107" i="12" s="1"/>
  <c r="C20" i="33"/>
  <c r="C25" i="9"/>
  <c r="C24" i="7"/>
  <c r="C28" i="4"/>
  <c r="C95" i="9"/>
  <c r="C233" i="9"/>
  <c r="C200" i="9"/>
  <c r="C161" i="9"/>
  <c r="C27" i="9"/>
  <c r="C179" i="9"/>
  <c r="C83" i="9"/>
  <c r="AC124" i="12"/>
  <c r="AB124" i="12" s="1"/>
  <c r="C191" i="9"/>
  <c r="C141" i="33"/>
  <c r="C149" i="9"/>
  <c r="C8" i="7"/>
  <c r="AC108" i="12"/>
  <c r="AB108" i="12" s="1"/>
  <c r="C82" i="9"/>
  <c r="C177" i="9"/>
  <c r="C183" i="9"/>
  <c r="AC82" i="12"/>
  <c r="AB82" i="12" s="1"/>
  <c r="C218" i="9"/>
  <c r="C54" i="33"/>
  <c r="C21" i="9"/>
  <c r="B34" i="14"/>
  <c r="C211" i="9"/>
  <c r="C22" i="4"/>
  <c r="C37" i="9"/>
  <c r="C201" i="6"/>
  <c r="C19" i="33"/>
  <c r="C11" i="7"/>
  <c r="C59" i="33"/>
  <c r="C23" i="4"/>
  <c r="B32" i="14"/>
  <c r="C8" i="4"/>
  <c r="C84" i="33"/>
  <c r="B10" i="14"/>
  <c r="C17" i="9"/>
  <c r="C22" i="7"/>
  <c r="C31" i="7"/>
  <c r="C116" i="6"/>
  <c r="C110" i="9"/>
  <c r="C77" i="7"/>
  <c r="C34" i="9"/>
  <c r="C40" i="7"/>
  <c r="AC93" i="12"/>
  <c r="AB93" i="12" s="1"/>
  <c r="C68" i="7"/>
  <c r="C208" i="9"/>
  <c r="AC81" i="12"/>
  <c r="AB81" i="12" s="1"/>
  <c r="C11" i="6"/>
  <c r="AC111" i="12"/>
  <c r="AB111" i="12" s="1"/>
  <c r="AC121" i="12"/>
  <c r="AB121" i="12" s="1"/>
  <c r="C139" i="6"/>
  <c r="C234" i="9"/>
  <c r="C67" i="33"/>
  <c r="C52" i="33"/>
  <c r="C219" i="9"/>
  <c r="C143" i="33"/>
  <c r="C125" i="33"/>
  <c r="C130" i="6"/>
  <c r="B27" i="14"/>
  <c r="C258" i="9"/>
  <c r="C20" i="6"/>
  <c r="C62" i="7"/>
  <c r="C215" i="9"/>
  <c r="C42" i="9"/>
  <c r="C154" i="6"/>
  <c r="AC127" i="12"/>
  <c r="AB127" i="12" s="1"/>
  <c r="C167" i="9"/>
  <c r="C59" i="9"/>
  <c r="C33" i="4"/>
  <c r="C163" i="9"/>
  <c r="C128" i="9"/>
  <c r="C154" i="9"/>
  <c r="C79" i="9"/>
  <c r="C58" i="4"/>
  <c r="C166" i="6"/>
  <c r="C142" i="33"/>
  <c r="C53" i="7"/>
  <c r="C145" i="33"/>
  <c r="B20" i="14"/>
  <c r="C20" i="4"/>
  <c r="AC134" i="12"/>
  <c r="AB134" i="12" s="1"/>
  <c r="C76" i="33"/>
  <c r="C210" i="9"/>
  <c r="AC78" i="12"/>
  <c r="AB78" i="12" s="1"/>
  <c r="C151" i="9"/>
  <c r="C18" i="9"/>
  <c r="B18" i="13"/>
  <c r="C38" i="9"/>
  <c r="C143" i="9"/>
  <c r="AC87" i="12"/>
  <c r="AB87" i="12" s="1"/>
  <c r="C104" i="6"/>
  <c r="C63" i="6"/>
  <c r="C30" i="4"/>
  <c r="C169" i="9"/>
  <c r="C161" i="6"/>
  <c r="C57" i="7"/>
  <c r="C18" i="33"/>
  <c r="C92" i="9"/>
  <c r="B36" i="13"/>
  <c r="C79" i="7"/>
  <c r="C122" i="6"/>
  <c r="C120" i="33"/>
  <c r="C140" i="33"/>
  <c r="C39" i="6"/>
  <c r="C43" i="33"/>
  <c r="C13" i="7"/>
  <c r="C37" i="33"/>
  <c r="C49" i="7"/>
  <c r="C209" i="9"/>
  <c r="C35" i="33"/>
  <c r="C32" i="6"/>
  <c r="C124" i="33"/>
  <c r="C158" i="9"/>
  <c r="B13" i="13"/>
  <c r="AC101" i="12"/>
  <c r="AB101" i="12" s="1"/>
  <c r="C16" i="4"/>
  <c r="C21" i="4"/>
  <c r="C40" i="9"/>
  <c r="C37" i="7"/>
  <c r="AC109" i="12"/>
  <c r="AB109" i="12" s="1"/>
  <c r="C200" i="6"/>
  <c r="C80" i="33"/>
  <c r="C237" i="9"/>
  <c r="C62" i="9"/>
  <c r="C35" i="9"/>
  <c r="C128" i="6"/>
  <c r="C131" i="6"/>
  <c r="C101" i="9"/>
  <c r="C137" i="9"/>
  <c r="C230" i="9"/>
  <c r="C235" i="9"/>
  <c r="C146" i="9"/>
  <c r="AC130" i="12"/>
  <c r="AB130" i="12" s="1"/>
  <c r="C26" i="7"/>
  <c r="C18" i="4"/>
  <c r="C100" i="9"/>
  <c r="C59" i="7"/>
  <c r="AC132" i="12"/>
  <c r="AB132" i="12" s="1"/>
  <c r="AC131" i="12"/>
  <c r="AB131" i="12" s="1"/>
  <c r="C11" i="33"/>
  <c r="C199" i="6"/>
  <c r="C110" i="33"/>
  <c r="C95" i="7"/>
  <c r="AC120" i="12"/>
  <c r="AB120" i="12" s="1"/>
  <c r="C170" i="9"/>
  <c r="B35" i="13"/>
  <c r="C198" i="9"/>
  <c r="C116" i="33"/>
  <c r="C47" i="4"/>
  <c r="C95" i="33"/>
  <c r="C203" i="9"/>
  <c r="C194" i="9"/>
  <c r="C205" i="6"/>
  <c r="C13" i="6"/>
  <c r="C78" i="9"/>
  <c r="C193" i="6"/>
  <c r="C91" i="9"/>
  <c r="C50" i="6"/>
  <c r="C12" i="6"/>
  <c r="C29" i="33"/>
  <c r="C185" i="9"/>
  <c r="B22" i="14"/>
  <c r="C137" i="6"/>
  <c r="C87" i="9"/>
  <c r="C48" i="9"/>
  <c r="C83" i="7"/>
  <c r="C259" i="9"/>
  <c r="B34" i="13"/>
  <c r="C224" i="9"/>
  <c r="C72" i="33"/>
  <c r="C19" i="4"/>
  <c r="B25" i="14"/>
  <c r="B26" i="13"/>
  <c r="C114" i="33"/>
  <c r="C108" i="6"/>
  <c r="C60" i="7"/>
  <c r="C61" i="4"/>
  <c r="C79" i="33"/>
  <c r="B23" i="14"/>
  <c r="C132" i="6"/>
  <c r="C159" i="9"/>
  <c r="C26" i="33"/>
  <c r="C44" i="9"/>
  <c r="C57" i="9"/>
  <c r="C238" i="9"/>
  <c r="C201" i="9"/>
  <c r="C95" i="6"/>
  <c r="C60" i="33"/>
  <c r="C100" i="33"/>
  <c r="C244" i="9"/>
  <c r="C31" i="6"/>
  <c r="C24" i="9"/>
  <c r="B31" i="13"/>
  <c r="B8" i="13"/>
  <c r="C164" i="6"/>
  <c r="C34" i="4"/>
  <c r="C103" i="9"/>
  <c r="AC95" i="12"/>
  <c r="AB95" i="12" s="1"/>
  <c r="AC100" i="12"/>
  <c r="AB100" i="12" s="1"/>
  <c r="C223" i="9"/>
  <c r="C46" i="7"/>
  <c r="C126" i="9"/>
  <c r="C231" i="9"/>
  <c r="C162" i="9"/>
  <c r="C145" i="6"/>
  <c r="C202" i="9"/>
  <c r="C82" i="7"/>
  <c r="C42" i="7"/>
  <c r="AC85" i="12"/>
  <c r="AB85" i="12" s="1"/>
  <c r="C21" i="6"/>
  <c r="C123" i="6"/>
  <c r="C126" i="6"/>
  <c r="C114" i="9"/>
  <c r="C127" i="9"/>
  <c r="C85" i="9"/>
  <c r="C31" i="9"/>
  <c r="C109" i="6"/>
  <c r="C7" i="4"/>
  <c r="C73" i="6"/>
  <c r="C106" i="33"/>
  <c r="C187" i="9"/>
  <c r="AC102" i="12"/>
  <c r="AB102" i="12" s="1"/>
  <c r="AC89" i="12"/>
  <c r="AB89" i="12" s="1"/>
  <c r="C25" i="33"/>
  <c r="C132" i="33"/>
  <c r="AC94" i="12"/>
  <c r="AB94" i="12" s="1"/>
  <c r="C17" i="33"/>
  <c r="C30" i="7"/>
  <c r="C46" i="6"/>
  <c r="C112" i="6"/>
  <c r="C180" i="9"/>
  <c r="C43" i="4"/>
  <c r="C89" i="6"/>
  <c r="C9" i="9"/>
  <c r="C94" i="9"/>
  <c r="C33" i="6"/>
  <c r="B27" i="13"/>
  <c r="C186" i="9"/>
  <c r="C108" i="33"/>
  <c r="AC133" i="12"/>
  <c r="AB133" i="12" s="1"/>
  <c r="C15" i="9"/>
  <c r="C123" i="9"/>
  <c r="AC129" i="12"/>
  <c r="AB129" i="12" s="1"/>
  <c r="C28" i="33"/>
  <c r="C25" i="7"/>
  <c r="C15" i="7"/>
  <c r="AC119" i="12"/>
  <c r="AB119" i="12" s="1"/>
  <c r="C20" i="9"/>
  <c r="C16" i="6"/>
  <c r="C93" i="33"/>
  <c r="C41" i="4"/>
  <c r="C138" i="9"/>
  <c r="C105" i="6"/>
  <c r="C55" i="33"/>
  <c r="C196" i="9"/>
  <c r="C134" i="6"/>
  <c r="C61" i="33"/>
  <c r="C133" i="33"/>
  <c r="C56" i="4"/>
  <c r="C14" i="4"/>
  <c r="C142" i="6"/>
  <c r="C8" i="6"/>
  <c r="C41" i="9"/>
  <c r="C253" i="9"/>
  <c r="AC110" i="12"/>
  <c r="AB110" i="12" s="1"/>
  <c r="C213" i="9"/>
  <c r="C8" i="33"/>
  <c r="C74" i="7"/>
  <c r="B16" i="13"/>
  <c r="C246" i="9"/>
  <c r="C96" i="7"/>
  <c r="C142" i="9"/>
  <c r="C24" i="6"/>
  <c r="C151" i="6"/>
  <c r="C47" i="6"/>
  <c r="C157" i="9"/>
  <c r="B10" i="13"/>
  <c r="C183" i="6"/>
  <c r="B28" i="14"/>
  <c r="C181" i="9"/>
  <c r="C84" i="9"/>
  <c r="C125" i="6"/>
  <c r="C14" i="6"/>
  <c r="C53" i="6"/>
  <c r="C19" i="9"/>
  <c r="C135" i="9"/>
  <c r="C50" i="33"/>
  <c r="C51" i="4"/>
  <c r="C106" i="9"/>
  <c r="C191" i="6"/>
  <c r="C188" i="9"/>
  <c r="C204" i="6"/>
  <c r="C140" i="9"/>
  <c r="B21" i="13"/>
  <c r="C7" i="33"/>
  <c r="C49" i="9"/>
  <c r="C97" i="9"/>
  <c r="C115" i="6"/>
  <c r="C66" i="9"/>
  <c r="C111" i="9"/>
  <c r="C98" i="7"/>
  <c r="C168" i="9"/>
  <c r="C172" i="9"/>
  <c r="C138" i="33"/>
  <c r="C204" i="9"/>
  <c r="AN119" i="12"/>
  <c r="AM119" i="12" s="1"/>
  <c r="AN40" i="12"/>
  <c r="AM40" i="12" s="1"/>
  <c r="DB16" i="12" s="1"/>
  <c r="AN123" i="12"/>
  <c r="AM123" i="12" s="1"/>
  <c r="AN29" i="12"/>
  <c r="AM29" i="12" s="1"/>
  <c r="AN61" i="12"/>
  <c r="AM61" i="12" s="1"/>
  <c r="AN53" i="12"/>
  <c r="AM53" i="12" s="1"/>
  <c r="AN143" i="12"/>
  <c r="AM143" i="12" s="1"/>
  <c r="AY25" i="12"/>
  <c r="AX25" i="12" s="1"/>
  <c r="AN18" i="12"/>
  <c r="AM18" i="12" s="1"/>
  <c r="AN21" i="12"/>
  <c r="AM21" i="12" s="1"/>
  <c r="AY39" i="12"/>
  <c r="AX39" i="12" s="1"/>
  <c r="AY30" i="12"/>
  <c r="AX30" i="12" s="1"/>
  <c r="AC76" i="12"/>
  <c r="AB76" i="12" s="1"/>
  <c r="AC37" i="12"/>
  <c r="AB37" i="12" s="1"/>
  <c r="R40" i="12"/>
  <c r="Q40" i="12" s="1"/>
  <c r="AN168" i="12"/>
  <c r="AM168" i="12" s="1"/>
  <c r="R25" i="12"/>
  <c r="Q25" i="12" s="1"/>
  <c r="AN54" i="12"/>
  <c r="AM54" i="12" s="1"/>
  <c r="AN102" i="12"/>
  <c r="AM102" i="12" s="1"/>
  <c r="AC75" i="12"/>
  <c r="AB75" i="12" s="1"/>
  <c r="AC40" i="12"/>
  <c r="AB40" i="12" s="1"/>
  <c r="R55" i="12"/>
  <c r="Q55" i="12" s="1"/>
  <c r="AN154" i="12"/>
  <c r="AM154" i="12" s="1"/>
  <c r="AN77" i="12"/>
  <c r="AM77" i="12" s="1"/>
  <c r="AY44" i="12"/>
  <c r="AX44" i="12" s="1"/>
  <c r="AY68" i="12"/>
  <c r="AX68" i="12" s="1"/>
  <c r="AN37" i="12"/>
  <c r="AM37" i="12" s="1"/>
  <c r="R15" i="12"/>
  <c r="Q15" i="12" s="1"/>
  <c r="AY66" i="12"/>
  <c r="AX66" i="12" s="1"/>
  <c r="AN67" i="12"/>
  <c r="AM67" i="12" s="1"/>
  <c r="AC39" i="12"/>
  <c r="AB39" i="12" s="1"/>
  <c r="AC56" i="12"/>
  <c r="AB56" i="12" s="1"/>
  <c r="R7" i="12"/>
  <c r="Q7" i="12" s="1"/>
  <c r="R38" i="12"/>
  <c r="Q38" i="12" s="1"/>
  <c r="R34" i="12"/>
  <c r="Q34" i="12" s="1"/>
  <c r="R41" i="12"/>
  <c r="Q41" i="12" s="1"/>
  <c r="AY56" i="12"/>
  <c r="AX56" i="12" s="1"/>
  <c r="R51" i="12"/>
  <c r="Q51" i="12" s="1"/>
  <c r="AY23" i="12"/>
  <c r="AX23" i="12" s="1"/>
  <c r="R17" i="12"/>
  <c r="Q17" i="12" s="1"/>
  <c r="AY40" i="12"/>
  <c r="AX40" i="12" s="1"/>
  <c r="AN132" i="12"/>
  <c r="AM132" i="12" s="1"/>
  <c r="AN141" i="12"/>
  <c r="AM141" i="12" s="1"/>
  <c r="E18" i="39"/>
  <c r="E9" i="39"/>
  <c r="G20" i="12"/>
  <c r="E13" i="39"/>
  <c r="E17" i="39"/>
  <c r="E12" i="39"/>
  <c r="E15" i="39"/>
  <c r="E7" i="39"/>
  <c r="E19" i="39"/>
  <c r="E16" i="39"/>
  <c r="E11" i="39"/>
  <c r="E6" i="39"/>
  <c r="E8" i="39"/>
  <c r="E10" i="39"/>
  <c r="E14" i="39"/>
  <c r="E20" i="39"/>
  <c r="AN55" i="12"/>
  <c r="AM55" i="12" s="1"/>
  <c r="DB21" i="12" s="1"/>
  <c r="AN107" i="12"/>
  <c r="AM107" i="12" s="1"/>
  <c r="R9" i="12"/>
  <c r="Q9" i="12" s="1"/>
  <c r="AN174" i="12"/>
  <c r="AM174" i="12" s="1"/>
  <c r="AY10" i="12"/>
  <c r="AX10" i="12" s="1"/>
  <c r="AN5" i="12"/>
  <c r="AM5" i="12" s="1"/>
  <c r="AN16" i="12"/>
  <c r="AM16" i="12" s="1"/>
  <c r="AY11" i="12"/>
  <c r="AX11" i="12" s="1"/>
  <c r="AY82" i="12"/>
  <c r="AX82" i="12" s="1"/>
  <c r="AC73" i="12"/>
  <c r="AB73" i="12" s="1"/>
  <c r="AN134" i="12"/>
  <c r="AM134" i="12" s="1"/>
  <c r="AN148" i="12"/>
  <c r="AM148" i="12" s="1"/>
  <c r="AC43" i="12"/>
  <c r="AB43" i="12" s="1"/>
  <c r="R24" i="12"/>
  <c r="Q24" i="12" s="1"/>
  <c r="CX9" i="12" s="1"/>
  <c r="AY33" i="12"/>
  <c r="AX33" i="12" s="1"/>
  <c r="AY47" i="12"/>
  <c r="AX47" i="12" s="1"/>
  <c r="AY26" i="12"/>
  <c r="AX26" i="12" s="1"/>
  <c r="AN128" i="12"/>
  <c r="AM128" i="12" s="1"/>
  <c r="AN78" i="12"/>
  <c r="AM78" i="12" s="1"/>
  <c r="AY55" i="12"/>
  <c r="AX55" i="12" s="1"/>
  <c r="R42" i="12"/>
  <c r="Q42" i="12" s="1"/>
  <c r="AC58" i="12"/>
  <c r="AB58" i="12" s="1"/>
  <c r="AY50" i="12"/>
  <c r="AX50" i="12" s="1"/>
  <c r="AN70" i="12"/>
  <c r="AM70" i="12" s="1"/>
  <c r="R44" i="12"/>
  <c r="Q44" i="12" s="1"/>
  <c r="AY65" i="12"/>
  <c r="AX65" i="12" s="1"/>
  <c r="R23" i="12"/>
  <c r="Q23" i="12" s="1"/>
  <c r="AC32" i="12"/>
  <c r="AB32" i="12" s="1"/>
  <c r="AY85" i="12"/>
  <c r="AX85" i="12" s="1"/>
  <c r="AN65" i="12"/>
  <c r="AM65" i="12" s="1"/>
  <c r="AN24" i="12"/>
  <c r="AM24" i="12" s="1"/>
  <c r="R30" i="12"/>
  <c r="Q30" i="12" s="1"/>
  <c r="AC53" i="12"/>
  <c r="AB53" i="12" s="1"/>
  <c r="AN14" i="12"/>
  <c r="AM14" i="12" s="1"/>
  <c r="AN121" i="12"/>
  <c r="AM121" i="12" s="1"/>
  <c r="AC55" i="12"/>
  <c r="AB55" i="12" s="1"/>
  <c r="AY42" i="12"/>
  <c r="AX42" i="12" s="1"/>
  <c r="AN169" i="12"/>
  <c r="AM169" i="12" s="1"/>
  <c r="AN81" i="12"/>
  <c r="AM81" i="12" s="1"/>
  <c r="AN173" i="12"/>
  <c r="AM173" i="12" s="1"/>
  <c r="AN122" i="12"/>
  <c r="AM122" i="12" s="1"/>
  <c r="AC33" i="12"/>
  <c r="AB33" i="12" s="1"/>
  <c r="CZ13" i="12" s="1"/>
  <c r="AY24" i="12"/>
  <c r="AX24" i="12" s="1"/>
  <c r="AN149" i="12"/>
  <c r="AM149" i="12" s="1"/>
  <c r="DB24" i="12" s="1"/>
  <c r="R49" i="12"/>
  <c r="Q49" i="12" s="1"/>
  <c r="AY61" i="12"/>
  <c r="AX61" i="12" s="1"/>
  <c r="AN7" i="12"/>
  <c r="AM7" i="12" s="1"/>
  <c r="AN11" i="12"/>
  <c r="AM11" i="12" s="1"/>
  <c r="DB5" i="12" s="1"/>
  <c r="R35" i="12"/>
  <c r="Q35" i="12" s="1"/>
  <c r="AN160" i="12"/>
  <c r="AM160" i="12" s="1"/>
  <c r="R54" i="12"/>
  <c r="Q54" i="12" s="1"/>
  <c r="AY63" i="12"/>
  <c r="AX63" i="12" s="1"/>
  <c r="AC15" i="12"/>
  <c r="AB15" i="12" s="1"/>
  <c r="AN117" i="12"/>
  <c r="AM117" i="12" s="1"/>
  <c r="AC22" i="12"/>
  <c r="AB22" i="12" s="1"/>
  <c r="AN83" i="12"/>
  <c r="AM83" i="12" s="1"/>
  <c r="R52" i="12"/>
  <c r="Q52" i="12" s="1"/>
  <c r="AC41" i="12"/>
  <c r="AB41" i="12" s="1"/>
  <c r="R14" i="12"/>
  <c r="Q14" i="12" s="1"/>
  <c r="AN139" i="12"/>
  <c r="AM139" i="12" s="1"/>
  <c r="AN92" i="12"/>
  <c r="AM92" i="12" s="1"/>
  <c r="R21" i="12"/>
  <c r="Q21" i="12" s="1"/>
  <c r="R43" i="12"/>
  <c r="Q43" i="12" s="1"/>
  <c r="R29" i="12"/>
  <c r="Q29" i="12" s="1"/>
  <c r="AN86" i="12"/>
  <c r="AM86" i="12" s="1"/>
  <c r="AY43" i="12"/>
  <c r="AX43" i="12" s="1"/>
  <c r="AN60" i="12"/>
  <c r="AM60" i="12" s="1"/>
  <c r="AN133" i="12"/>
  <c r="AM133" i="12" s="1"/>
  <c r="AC66" i="12"/>
  <c r="AB66" i="12" s="1"/>
  <c r="AC63" i="12"/>
  <c r="AB63" i="12" s="1"/>
  <c r="R20" i="12"/>
  <c r="Q20" i="12" s="1"/>
  <c r="AY14" i="12"/>
  <c r="AX14" i="12" s="1"/>
  <c r="AY54" i="12"/>
  <c r="AX54" i="12" s="1"/>
  <c r="AC57" i="12"/>
  <c r="AB57" i="12" s="1"/>
  <c r="AC30" i="12"/>
  <c r="AB30" i="12" s="1"/>
  <c r="R22" i="12"/>
  <c r="Q22" i="12" s="1"/>
  <c r="CX11" i="12" s="1"/>
  <c r="AN151" i="12"/>
  <c r="AM151" i="12" s="1"/>
  <c r="AN6" i="12"/>
  <c r="AM6" i="12" s="1"/>
  <c r="AN93" i="12"/>
  <c r="AM93" i="12" s="1"/>
  <c r="AN113" i="12"/>
  <c r="AM113" i="12" s="1"/>
  <c r="AN13" i="12"/>
  <c r="AM13" i="12" s="1"/>
  <c r="AN91" i="12"/>
  <c r="AM91" i="12" s="1"/>
  <c r="AY67" i="12"/>
  <c r="AX67" i="12" s="1"/>
  <c r="AY64" i="12"/>
  <c r="AX64" i="12" s="1"/>
  <c r="AN155" i="12"/>
  <c r="AM155" i="12" s="1"/>
  <c r="AN88" i="12"/>
  <c r="AM88" i="12" s="1"/>
  <c r="AC54" i="12"/>
  <c r="AB54" i="12" s="1"/>
  <c r="AC65" i="12"/>
  <c r="AB65" i="12" s="1"/>
  <c r="AC25" i="12"/>
  <c r="AB25" i="12" s="1"/>
  <c r="AN85" i="12"/>
  <c r="AM85" i="12" s="1"/>
  <c r="AN108" i="12"/>
  <c r="AM108" i="12" s="1"/>
  <c r="AY84" i="12"/>
  <c r="AX84" i="12" s="1"/>
  <c r="AN120" i="12"/>
  <c r="AM120" i="12" s="1"/>
  <c r="AY27" i="12"/>
  <c r="AX27" i="12" s="1"/>
  <c r="AN124" i="12"/>
  <c r="AM124" i="12" s="1"/>
  <c r="AC13" i="12"/>
  <c r="AB13" i="12" s="1"/>
  <c r="AN41" i="12"/>
  <c r="AM41" i="12" s="1"/>
  <c r="AN69" i="12"/>
  <c r="AM69" i="12" s="1"/>
  <c r="R4" i="12"/>
  <c r="Q4" i="12" s="1"/>
  <c r="AC69" i="12"/>
  <c r="AB69" i="12" s="1"/>
  <c r="R32" i="12"/>
  <c r="Q32" i="12" s="1"/>
  <c r="AC72" i="12"/>
  <c r="AB72" i="12" s="1"/>
  <c r="AY15" i="12"/>
  <c r="AX15" i="12" s="1"/>
  <c r="AN74" i="12"/>
  <c r="AM74" i="12" s="1"/>
  <c r="AN82" i="12"/>
  <c r="AM82" i="12" s="1"/>
  <c r="R39" i="12"/>
  <c r="Q39" i="12" s="1"/>
  <c r="AN111" i="12"/>
  <c r="AM111" i="12" s="1"/>
  <c r="AN68" i="12"/>
  <c r="AM68" i="12" s="1"/>
  <c r="AY36" i="12"/>
  <c r="AX36" i="12" s="1"/>
  <c r="AC29" i="12"/>
  <c r="AB29" i="12" s="1"/>
  <c r="AC71" i="12"/>
  <c r="AB71" i="12" s="1"/>
  <c r="AC48" i="12"/>
  <c r="AB48" i="12" s="1"/>
  <c r="AN177" i="12"/>
  <c r="AM177" i="12" s="1"/>
  <c r="AN43" i="12"/>
  <c r="AM43" i="12" s="1"/>
  <c r="DB20" i="12" s="1"/>
  <c r="AC46" i="12"/>
  <c r="AB46" i="12" s="1"/>
  <c r="AN4" i="12"/>
  <c r="AM4" i="12" s="1"/>
  <c r="AN46" i="12"/>
  <c r="AM46" i="12" s="1"/>
  <c r="AN8" i="12"/>
  <c r="AM8" i="12" s="1"/>
  <c r="AC20" i="12"/>
  <c r="AB20" i="12" s="1"/>
  <c r="AN47" i="12"/>
  <c r="AM47" i="12" s="1"/>
  <c r="DB17" i="12" s="1"/>
  <c r="AY9" i="12"/>
  <c r="AX9" i="12" s="1"/>
  <c r="AC11" i="12"/>
  <c r="AN103" i="12"/>
  <c r="AM103" i="12" s="1"/>
  <c r="AC42" i="12"/>
  <c r="AB42" i="12" s="1"/>
  <c r="AN19" i="12"/>
  <c r="AM19" i="12" s="1"/>
  <c r="AN25" i="12"/>
  <c r="AM25" i="12" s="1"/>
  <c r="DB10" i="12" s="1"/>
  <c r="AN35" i="12"/>
  <c r="AM35" i="12" s="1"/>
  <c r="AN118" i="12"/>
  <c r="AM118" i="12" s="1"/>
  <c r="AY46" i="12"/>
  <c r="AX46" i="12" s="1"/>
  <c r="AY32" i="12"/>
  <c r="AX32" i="12" s="1"/>
  <c r="AN87" i="12"/>
  <c r="AM87" i="12" s="1"/>
  <c r="AN130" i="12"/>
  <c r="AM130" i="12" s="1"/>
  <c r="AN17" i="12"/>
  <c r="AM17" i="12" s="1"/>
  <c r="DB6" i="12" s="1"/>
  <c r="AC44" i="12"/>
  <c r="AB44" i="12" s="1"/>
  <c r="AN125" i="12"/>
  <c r="AM125" i="12" s="1"/>
  <c r="R28" i="12"/>
  <c r="Q28" i="12" s="1"/>
  <c r="AN159" i="12"/>
  <c r="AM159" i="12" s="1"/>
  <c r="AC8" i="12"/>
  <c r="AB8" i="12" s="1"/>
  <c r="R18" i="12"/>
  <c r="Q18" i="12" s="1"/>
  <c r="CX10" i="12" s="1"/>
  <c r="R45" i="12"/>
  <c r="Q45" i="12" s="1"/>
  <c r="AC64" i="12"/>
  <c r="AB64" i="12" s="1"/>
  <c r="AN112" i="12"/>
  <c r="AM112" i="12" s="1"/>
  <c r="AN116" i="12"/>
  <c r="AM116" i="12" s="1"/>
  <c r="AN62" i="12"/>
  <c r="AM62" i="12" s="1"/>
  <c r="AN97" i="12"/>
  <c r="AM97" i="12" s="1"/>
  <c r="AC68" i="12"/>
  <c r="AB68" i="12" s="1"/>
  <c r="AY17" i="12"/>
  <c r="AX17" i="12" s="1"/>
  <c r="AY28" i="12"/>
  <c r="AX28" i="12" s="1"/>
  <c r="AY35" i="12"/>
  <c r="AX35" i="12" s="1"/>
  <c r="AN147" i="12"/>
  <c r="AM147" i="12" s="1"/>
  <c r="AN9" i="12"/>
  <c r="AM9" i="12" s="1"/>
  <c r="AY60" i="12"/>
  <c r="AX60" i="12" s="1"/>
  <c r="AC5" i="12"/>
  <c r="AB5" i="12" s="1"/>
  <c r="R36" i="12"/>
  <c r="Q36" i="12" s="1"/>
  <c r="AC60" i="12"/>
  <c r="AB60" i="12" s="1"/>
  <c r="AC35" i="12"/>
  <c r="AB35" i="12" s="1"/>
  <c r="AY77" i="12"/>
  <c r="AX77" i="12" s="1"/>
  <c r="AC23" i="12"/>
  <c r="AB23" i="12" s="1"/>
  <c r="R12" i="12"/>
  <c r="Q12" i="12" s="1"/>
  <c r="AN22" i="12"/>
  <c r="AM22" i="12" s="1"/>
  <c r="DB11" i="12" s="1"/>
  <c r="AY22" i="12"/>
  <c r="AX22" i="12" s="1"/>
  <c r="R26" i="12"/>
  <c r="Q26" i="12" s="1"/>
  <c r="AY51" i="12"/>
  <c r="AX51" i="12" s="1"/>
  <c r="AC52" i="12"/>
  <c r="AB52" i="12" s="1"/>
  <c r="AN152" i="12"/>
  <c r="AM152" i="12" s="1"/>
  <c r="R27" i="12"/>
  <c r="Q27" i="12" s="1"/>
  <c r="CX12" i="12" s="1"/>
  <c r="AN63" i="12"/>
  <c r="AM63" i="12" s="1"/>
  <c r="AC62" i="12"/>
  <c r="AB62" i="12" s="1"/>
  <c r="AN50" i="12"/>
  <c r="AM50" i="12" s="1"/>
  <c r="AN51" i="12"/>
  <c r="AM51" i="12" s="1"/>
  <c r="AN42" i="12"/>
  <c r="AM42" i="12" s="1"/>
  <c r="AN79" i="12"/>
  <c r="AM79" i="12" s="1"/>
  <c r="AY79" i="12"/>
  <c r="AX79" i="12" s="1"/>
  <c r="AN66" i="12"/>
  <c r="AM66" i="12" s="1"/>
  <c r="AY57" i="12"/>
  <c r="AX57" i="12" s="1"/>
  <c r="AN101" i="12"/>
  <c r="AM101" i="12" s="1"/>
  <c r="AN137" i="12"/>
  <c r="AM137" i="12" s="1"/>
  <c r="AC45" i="12"/>
  <c r="AB45" i="12" s="1"/>
  <c r="AY76" i="12"/>
  <c r="AX76" i="12" s="1"/>
  <c r="AC70" i="12"/>
  <c r="AB70" i="12" s="1"/>
  <c r="R56" i="12"/>
  <c r="Q56" i="12" s="1"/>
  <c r="AN34" i="12"/>
  <c r="AM34" i="12" s="1"/>
  <c r="DB13" i="12" s="1"/>
  <c r="AC74" i="12"/>
  <c r="AB74" i="12" s="1"/>
  <c r="AN145" i="12"/>
  <c r="AM145" i="12" s="1"/>
  <c r="AN127" i="12"/>
  <c r="AM127" i="12" s="1"/>
  <c r="AC47" i="12"/>
  <c r="AB47" i="12" s="1"/>
  <c r="CZ19" i="12" s="1"/>
  <c r="AN105" i="12"/>
  <c r="AM105" i="12" s="1"/>
  <c r="AN10" i="12"/>
  <c r="AM10" i="12" s="1"/>
  <c r="AC9" i="12"/>
  <c r="AB9" i="12" s="1"/>
  <c r="AN129" i="12"/>
  <c r="AM129" i="12" s="1"/>
  <c r="R50" i="12"/>
  <c r="Q50" i="12" s="1"/>
  <c r="AY37" i="12"/>
  <c r="AX37" i="12" s="1"/>
  <c r="R53" i="12"/>
  <c r="Q53" i="12" s="1"/>
  <c r="AN52" i="12"/>
  <c r="AM52" i="12" s="1"/>
  <c r="AN170" i="12"/>
  <c r="AM170" i="12" s="1"/>
  <c r="AN80" i="12"/>
  <c r="AM80" i="12" s="1"/>
  <c r="AC50" i="12"/>
  <c r="AB50" i="12" s="1"/>
  <c r="AN164" i="12"/>
  <c r="AM164" i="12" s="1"/>
  <c r="AN100" i="12"/>
  <c r="AM100" i="12" s="1"/>
  <c r="AC16" i="12"/>
  <c r="AB16" i="12" s="1"/>
  <c r="AN23" i="12"/>
  <c r="AM23" i="12" s="1"/>
  <c r="DB9" i="12" s="1"/>
  <c r="AC19" i="12"/>
  <c r="AB19" i="12" s="1"/>
  <c r="AN27" i="12"/>
  <c r="AM27" i="12" s="1"/>
  <c r="AN73" i="12"/>
  <c r="AM73" i="12" s="1"/>
  <c r="AN48" i="12"/>
  <c r="AM48" i="12" s="1"/>
  <c r="AY34" i="12"/>
  <c r="AX34" i="12" s="1"/>
  <c r="AN95" i="12"/>
  <c r="AM95" i="12" s="1"/>
  <c r="R57" i="12"/>
  <c r="Q57" i="12" s="1"/>
  <c r="AC28" i="12"/>
  <c r="AB28" i="12" s="1"/>
  <c r="AN136" i="12"/>
  <c r="AM136" i="12" s="1"/>
  <c r="AN115" i="12"/>
  <c r="AM115" i="12" s="1"/>
  <c r="AN59" i="12"/>
  <c r="AM59" i="12" s="1"/>
  <c r="AN166" i="12"/>
  <c r="AM166" i="12" s="1"/>
  <c r="AN144" i="12"/>
  <c r="AM144" i="12" s="1"/>
  <c r="AN64" i="12"/>
  <c r="AM64" i="12" s="1"/>
  <c r="R5" i="12"/>
  <c r="Q5" i="12" s="1"/>
  <c r="AN75" i="12"/>
  <c r="AM75" i="12" s="1"/>
  <c r="AY81" i="12"/>
  <c r="AX81" i="12" s="1"/>
  <c r="AN114" i="12"/>
  <c r="AM114" i="12" s="1"/>
  <c r="AY38" i="12"/>
  <c r="AX38" i="12" s="1"/>
  <c r="AN56" i="12"/>
  <c r="AM56" i="12" s="1"/>
  <c r="AN84" i="12"/>
  <c r="AM84" i="12" s="1"/>
  <c r="AN161" i="12"/>
  <c r="AM161" i="12" s="1"/>
  <c r="AC10" i="12"/>
  <c r="AB10" i="12" s="1"/>
  <c r="AN45" i="12"/>
  <c r="AM45" i="12" s="1"/>
  <c r="R31" i="12"/>
  <c r="Q31" i="12" s="1"/>
  <c r="AN171" i="12"/>
  <c r="AM171" i="12" s="1"/>
  <c r="AY31" i="12"/>
  <c r="AX31" i="12" s="1"/>
  <c r="AY69" i="12"/>
  <c r="AX69" i="12" s="1"/>
  <c r="AN153" i="12"/>
  <c r="AM153" i="12" s="1"/>
  <c r="AC61" i="12"/>
  <c r="AB61" i="12" s="1"/>
  <c r="CZ21" i="12" s="1"/>
  <c r="AN36" i="12"/>
  <c r="AM36" i="12" s="1"/>
  <c r="AY7" i="12"/>
  <c r="AX7" i="12" s="1"/>
  <c r="AC21" i="12"/>
  <c r="AB21" i="12" s="1"/>
  <c r="CZ7" i="12" s="1"/>
  <c r="AN156" i="12"/>
  <c r="AM156" i="12" s="1"/>
  <c r="AN126" i="12"/>
  <c r="AM126" i="12" s="1"/>
  <c r="AY48" i="12"/>
  <c r="AX48" i="12" s="1"/>
  <c r="AC49" i="12"/>
  <c r="AB49" i="12" s="1"/>
  <c r="AC24" i="12"/>
  <c r="AB24" i="12" s="1"/>
  <c r="CZ8" i="12" s="1"/>
  <c r="AN76" i="12"/>
  <c r="AM76" i="12" s="1"/>
  <c r="DB23" i="12" s="1"/>
  <c r="AN96" i="12"/>
  <c r="AM96" i="12" s="1"/>
  <c r="R47" i="12"/>
  <c r="Q47" i="12" s="1"/>
  <c r="R48" i="12"/>
  <c r="Q48" i="12" s="1"/>
  <c r="R16" i="12"/>
  <c r="Q16" i="12" s="1"/>
  <c r="CX8" i="12" s="1"/>
  <c r="R46" i="12"/>
  <c r="Q46" i="12" s="1"/>
  <c r="AY41" i="12"/>
  <c r="AX41" i="12" s="1"/>
  <c r="AN30" i="12"/>
  <c r="AM30" i="12" s="1"/>
  <c r="DB14" i="12" s="1"/>
  <c r="AY80" i="12"/>
  <c r="AX80" i="12" s="1"/>
  <c r="AN20" i="12"/>
  <c r="AM20" i="12" s="1"/>
  <c r="AN33" i="12"/>
  <c r="AM33" i="12" s="1"/>
  <c r="DB12" i="12" s="1"/>
  <c r="R6" i="12"/>
  <c r="Q6" i="12" s="1"/>
  <c r="AN172" i="12"/>
  <c r="AM172" i="12" s="1"/>
  <c r="R13" i="12"/>
  <c r="Q13" i="12" s="1"/>
  <c r="AC4" i="12"/>
  <c r="AB4" i="12" s="1"/>
  <c r="AY12" i="12"/>
  <c r="AX12" i="12" s="1"/>
  <c r="AN71" i="12"/>
  <c r="AM71" i="12" s="1"/>
  <c r="AY45" i="12"/>
  <c r="AX45" i="12" s="1"/>
  <c r="AY59" i="12"/>
  <c r="AX59" i="12" s="1"/>
  <c r="AY29" i="12"/>
  <c r="AX29" i="12" s="1"/>
  <c r="AN146" i="12"/>
  <c r="AM146" i="12" s="1"/>
  <c r="AN89" i="12"/>
  <c r="AM89" i="12" s="1"/>
  <c r="AY62" i="12"/>
  <c r="AX62" i="12" s="1"/>
  <c r="AC17" i="12"/>
  <c r="AB17" i="12" s="1"/>
  <c r="AN150" i="12"/>
  <c r="AM150" i="12" s="1"/>
  <c r="AC36" i="12"/>
  <c r="AB36" i="12" s="1"/>
  <c r="AC51" i="12"/>
  <c r="AB51" i="12" s="1"/>
  <c r="CZ18" i="12" s="1"/>
  <c r="AN109" i="12"/>
  <c r="AM109" i="12" s="1"/>
  <c r="R19" i="12"/>
  <c r="Q19" i="12" s="1"/>
  <c r="CX7" i="12" s="1"/>
  <c r="AY16" i="12"/>
  <c r="AX16" i="12" s="1"/>
  <c r="AC31" i="12"/>
  <c r="AB31" i="12" s="1"/>
  <c r="AN140" i="12"/>
  <c r="AM140" i="12" s="1"/>
  <c r="AC59" i="12"/>
  <c r="AB59" i="12" s="1"/>
  <c r="AC6" i="12"/>
  <c r="AB6" i="12" s="1"/>
  <c r="AN44" i="12"/>
  <c r="AM44" i="12" s="1"/>
  <c r="AC14" i="12"/>
  <c r="AB14" i="12" s="1"/>
  <c r="AY18" i="12"/>
  <c r="AX18" i="12" s="1"/>
  <c r="AY58" i="12"/>
  <c r="AX58" i="12" s="1"/>
  <c r="AN39" i="12"/>
  <c r="AM39" i="12" s="1"/>
  <c r="DB15" i="12" s="1"/>
  <c r="AN157" i="12"/>
  <c r="AM157" i="12" s="1"/>
  <c r="AY74" i="12"/>
  <c r="AX74" i="12" s="1"/>
  <c r="R10" i="12"/>
  <c r="Q10" i="12" s="1"/>
  <c r="CX6" i="12" s="1"/>
  <c r="AC34" i="12"/>
  <c r="AB34" i="12" s="1"/>
  <c r="AN57" i="12"/>
  <c r="AM57" i="12" s="1"/>
  <c r="DB22" i="12" s="1"/>
  <c r="AY5" i="12"/>
  <c r="AX5" i="12" s="1"/>
  <c r="AN142" i="12"/>
  <c r="AM142" i="12" s="1"/>
  <c r="AN72" i="12"/>
  <c r="AM72" i="12" s="1"/>
  <c r="AC67" i="12"/>
  <c r="AB67" i="12" s="1"/>
  <c r="AN28" i="12"/>
  <c r="AM28" i="12" s="1"/>
  <c r="AN104" i="12"/>
  <c r="AM104" i="12" s="1"/>
  <c r="AN131" i="12"/>
  <c r="AM131" i="12" s="1"/>
  <c r="AN135" i="12"/>
  <c r="AM135" i="12" s="1"/>
  <c r="AN175" i="12"/>
  <c r="AM175" i="12" s="1"/>
  <c r="AN15" i="12"/>
  <c r="AM15" i="12" s="1"/>
  <c r="DB7" i="12" s="1"/>
  <c r="AC18" i="12"/>
  <c r="AB18" i="12" s="1"/>
  <c r="AC27" i="12"/>
  <c r="AB27" i="12" s="1"/>
  <c r="CZ10" i="12" s="1"/>
  <c r="R8" i="12"/>
  <c r="Q8" i="12" s="1"/>
  <c r="CX5" i="12" s="1"/>
  <c r="AN32" i="12"/>
  <c r="AM32" i="12" s="1"/>
  <c r="AN110" i="12"/>
  <c r="AM110" i="12" s="1"/>
  <c r="R11" i="12"/>
  <c r="Q11" i="12" s="1"/>
  <c r="AN49" i="12"/>
  <c r="AM49" i="12" s="1"/>
  <c r="DB19" i="12" s="1"/>
  <c r="AY73" i="12"/>
  <c r="AX73" i="12" s="1"/>
  <c r="AN165" i="12"/>
  <c r="AM165" i="12" s="1"/>
  <c r="AY49" i="12"/>
  <c r="AX49" i="12" s="1"/>
  <c r="AY70" i="12"/>
  <c r="AX70" i="12" s="1"/>
  <c r="AC38" i="12"/>
  <c r="AB38" i="12" s="1"/>
  <c r="AY83" i="12"/>
  <c r="AX83" i="12" s="1"/>
  <c r="AN90" i="12"/>
  <c r="AM90" i="12" s="1"/>
  <c r="R37" i="12"/>
  <c r="Q37" i="12" s="1"/>
  <c r="AY72" i="12"/>
  <c r="AX72" i="12" s="1"/>
  <c r="AY19" i="12"/>
  <c r="AX19" i="12" s="1"/>
  <c r="AY20" i="12"/>
  <c r="AX20" i="12" s="1"/>
  <c r="AC7" i="12"/>
  <c r="AB7" i="12" s="1"/>
  <c r="AN163" i="12"/>
  <c r="AM163" i="12" s="1"/>
  <c r="AN176" i="12"/>
  <c r="AM176" i="12" s="1"/>
  <c r="AY4" i="12"/>
  <c r="AX4" i="12" s="1"/>
  <c r="AN94" i="12"/>
  <c r="AM94" i="12" s="1"/>
  <c r="AN26" i="12"/>
  <c r="AM26" i="12" s="1"/>
  <c r="AY13" i="12"/>
  <c r="AX13" i="12" s="1"/>
  <c r="AY75" i="12"/>
  <c r="AX75" i="12" s="1"/>
  <c r="AY6" i="12"/>
  <c r="AX6" i="12" s="1"/>
  <c r="AN167" i="12"/>
  <c r="AM167" i="12" s="1"/>
  <c r="R33" i="12"/>
  <c r="Q33" i="12" s="1"/>
  <c r="AY71" i="12"/>
  <c r="AX71" i="12" s="1"/>
  <c r="AC12" i="12"/>
  <c r="AB12" i="12" s="1"/>
  <c r="AY21" i="12"/>
  <c r="AX21" i="12" s="1"/>
  <c r="AN58" i="12"/>
  <c r="AM58" i="12" s="1"/>
  <c r="AC3" i="12"/>
  <c r="AB3" i="12" s="1"/>
  <c r="AN138" i="12"/>
  <c r="AM138" i="12" s="1"/>
  <c r="AN106" i="12"/>
  <c r="AM106" i="12" s="1"/>
  <c r="AN98" i="12"/>
  <c r="AM98" i="12" s="1"/>
  <c r="AC26" i="12"/>
  <c r="AB26" i="12" s="1"/>
  <c r="AN99" i="12"/>
  <c r="AM99" i="12" s="1"/>
  <c r="AN31" i="12"/>
  <c r="AM31" i="12" s="1"/>
  <c r="AN162" i="12"/>
  <c r="AM162" i="12" s="1"/>
  <c r="AN158" i="12"/>
  <c r="AM158" i="12" s="1"/>
  <c r="AY78" i="12"/>
  <c r="AX78" i="12" s="1"/>
  <c r="AY53" i="12"/>
  <c r="AX53" i="12" s="1"/>
  <c r="AY8" i="12"/>
  <c r="AX8" i="12" s="1"/>
  <c r="AY52" i="12"/>
  <c r="AX52" i="12" s="1"/>
  <c r="AY3" i="12"/>
  <c r="AX3" i="12" s="1"/>
  <c r="AN12" i="12"/>
  <c r="AM12" i="12" s="1"/>
  <c r="AN38" i="12"/>
  <c r="AM38" i="12" s="1"/>
  <c r="R3" i="12"/>
  <c r="Q3" i="12" s="1"/>
  <c r="BQ6" i="39"/>
  <c r="AH317" i="38" l="1"/>
  <c r="AH318" i="38" s="1"/>
  <c r="AG316" i="38"/>
  <c r="AR30" i="39"/>
  <c r="AR39" i="39"/>
  <c r="AR48" i="39"/>
  <c r="AR42" i="39"/>
  <c r="AR38" i="39"/>
  <c r="AR40" i="39"/>
  <c r="AR47" i="39"/>
  <c r="AR31" i="39"/>
  <c r="AR43" i="39"/>
  <c r="AR29" i="39"/>
  <c r="AR37" i="39"/>
  <c r="AR32" i="39"/>
  <c r="AR33" i="39"/>
  <c r="AR44" i="39"/>
  <c r="AR34" i="39"/>
  <c r="AR35" i="39"/>
  <c r="AR36" i="39"/>
  <c r="AR41" i="39"/>
  <c r="AR45" i="39"/>
  <c r="AR46" i="39"/>
  <c r="AF32" i="39"/>
  <c r="AF46" i="39"/>
  <c r="AF39" i="39"/>
  <c r="AF38" i="39"/>
  <c r="AF30" i="39"/>
  <c r="AF42" i="39"/>
  <c r="AF43" i="39"/>
  <c r="AF34" i="39"/>
  <c r="AF45" i="39"/>
  <c r="AF41" i="39"/>
  <c r="AF40" i="39"/>
  <c r="AF48" i="39"/>
  <c r="AF31" i="39"/>
  <c r="AF47" i="39"/>
  <c r="AF29" i="39"/>
  <c r="AF33" i="39"/>
  <c r="AF37" i="39"/>
  <c r="AF35" i="39"/>
  <c r="AF44" i="39"/>
  <c r="AF36" i="39"/>
  <c r="H29" i="39"/>
  <c r="H40" i="39"/>
  <c r="H30" i="39"/>
  <c r="H48" i="39"/>
  <c r="H33" i="39"/>
  <c r="H47" i="39"/>
  <c r="H35" i="39"/>
  <c r="H36" i="39"/>
  <c r="H42" i="39"/>
  <c r="H43" i="39"/>
  <c r="H45" i="39"/>
  <c r="H31" i="39"/>
  <c r="H37" i="39"/>
  <c r="H41" i="39"/>
  <c r="H46" i="39"/>
  <c r="H38" i="39"/>
  <c r="H32" i="39"/>
  <c r="H34" i="39"/>
  <c r="H44" i="39"/>
  <c r="H39" i="39"/>
  <c r="AR25" i="39"/>
  <c r="AR28" i="39"/>
  <c r="AR27" i="39"/>
  <c r="AR24" i="39"/>
  <c r="AR22" i="39"/>
  <c r="AR26" i="39"/>
  <c r="AR23" i="39"/>
  <c r="AR21" i="39"/>
  <c r="CX13" i="12"/>
  <c r="H23" i="39"/>
  <c r="H24" i="39"/>
  <c r="H28" i="39"/>
  <c r="H20" i="39"/>
  <c r="H22" i="39"/>
  <c r="H27" i="39"/>
  <c r="H26" i="39"/>
  <c r="H21" i="39"/>
  <c r="H25" i="39"/>
  <c r="AF28" i="39"/>
  <c r="AF22" i="39"/>
  <c r="AF23" i="39"/>
  <c r="AF24" i="39"/>
  <c r="AF27" i="39"/>
  <c r="AF26" i="39"/>
  <c r="AF20" i="39"/>
  <c r="AF21" i="39"/>
  <c r="AF25" i="39"/>
  <c r="C22" i="39"/>
  <c r="A23" i="39"/>
  <c r="D22" i="39"/>
  <c r="E22" i="39"/>
  <c r="CZ17" i="12"/>
  <c r="CZ12" i="12"/>
  <c r="CZ11" i="12"/>
  <c r="CZ16" i="12"/>
  <c r="CZ6" i="12"/>
  <c r="CZ9" i="12"/>
  <c r="CZ14" i="12"/>
  <c r="CZ20" i="12"/>
  <c r="CZ15" i="12"/>
  <c r="AH319" i="38"/>
  <c r="AG318" i="38"/>
  <c r="DB18" i="12"/>
  <c r="DB8" i="12"/>
  <c r="CZ23" i="12"/>
  <c r="CZ24" i="12"/>
  <c r="CZ22" i="12"/>
  <c r="AG335" i="38"/>
  <c r="AG387" i="38"/>
  <c r="CZ5" i="12"/>
  <c r="AB11" i="12"/>
  <c r="T18" i="39" s="1"/>
  <c r="H6" i="39"/>
  <c r="P18" i="9"/>
  <c r="G29" i="12"/>
  <c r="C29" i="12" s="1"/>
  <c r="E29" i="12" s="1"/>
  <c r="CZ4" i="12"/>
  <c r="CY4" i="12" s="1"/>
  <c r="DB4" i="12"/>
  <c r="DA4" i="12" s="1"/>
  <c r="DA5" i="12" s="1"/>
  <c r="DA6" i="12" s="1"/>
  <c r="DA7" i="12" s="1"/>
  <c r="CX4" i="12"/>
  <c r="CW4" i="12" s="1"/>
  <c r="CW5" i="12" s="1"/>
  <c r="CW6" i="12" s="1"/>
  <c r="CW7" i="12" s="1"/>
  <c r="CW8" i="12" s="1"/>
  <c r="H7" i="39"/>
  <c r="AR17" i="35"/>
  <c r="AS16" i="35"/>
  <c r="AO16" i="35"/>
  <c r="AN17" i="35"/>
  <c r="BA16" i="35"/>
  <c r="AZ17" i="35"/>
  <c r="AF17" i="39"/>
  <c r="C9" i="12"/>
  <c r="BC16" i="35"/>
  <c r="BB17" i="35"/>
  <c r="AY16" i="35"/>
  <c r="AX17" i="35"/>
  <c r="AQ16" i="35"/>
  <c r="AP17" i="35"/>
  <c r="AI16" i="35"/>
  <c r="AH17" i="35"/>
  <c r="AM16" i="35"/>
  <c r="AL17" i="35"/>
  <c r="AG17" i="35"/>
  <c r="AF18" i="35"/>
  <c r="AA16" i="35"/>
  <c r="B16" i="35" s="1"/>
  <c r="P20" i="9" s="1"/>
  <c r="Z17" i="35"/>
  <c r="AB18" i="35"/>
  <c r="AC17" i="35"/>
  <c r="AJ18" i="35"/>
  <c r="AK17" i="35"/>
  <c r="AE16" i="35"/>
  <c r="AD17" i="35"/>
  <c r="AW17" i="35"/>
  <c r="AV18" i="35"/>
  <c r="BE17" i="35"/>
  <c r="BD18" i="35"/>
  <c r="AU16" i="35"/>
  <c r="AT17" i="35"/>
  <c r="H12" i="39"/>
  <c r="H11" i="39"/>
  <c r="H19" i="39"/>
  <c r="H8" i="39"/>
  <c r="H9" i="39"/>
  <c r="H14" i="39"/>
  <c r="R14" i="39" s="1"/>
  <c r="H17" i="39"/>
  <c r="H15" i="39"/>
  <c r="R15" i="39" s="1"/>
  <c r="H16" i="39"/>
  <c r="R16" i="39" s="1"/>
  <c r="E56" i="12"/>
  <c r="C3" i="12"/>
  <c r="H13" i="39"/>
  <c r="H18" i="39"/>
  <c r="H10" i="39"/>
  <c r="AR8" i="39"/>
  <c r="BB8" i="39" s="1"/>
  <c r="AF13" i="39"/>
  <c r="AF18" i="39"/>
  <c r="AR9" i="39"/>
  <c r="BB9" i="39" s="1"/>
  <c r="AF15" i="39"/>
  <c r="AR7" i="39"/>
  <c r="BB7" i="39" s="1"/>
  <c r="AF7" i="39"/>
  <c r="AP7" i="39" s="1"/>
  <c r="AR10" i="39"/>
  <c r="BB10" i="39" s="1"/>
  <c r="E59" i="12"/>
  <c r="AR15" i="39"/>
  <c r="BB15" i="39" s="1"/>
  <c r="AR13" i="39"/>
  <c r="BB13" i="39" s="1"/>
  <c r="AR12" i="39"/>
  <c r="BB12" i="39" s="1"/>
  <c r="AR20" i="39"/>
  <c r="BB20" i="39" s="1"/>
  <c r="AR11" i="39"/>
  <c r="BB11" i="39" s="1"/>
  <c r="AR6" i="39"/>
  <c r="BB6" i="39" s="1"/>
  <c r="AR18" i="39"/>
  <c r="BB18" i="39" s="1"/>
  <c r="AR17" i="39"/>
  <c r="BB17" i="39" s="1"/>
  <c r="AR16" i="39"/>
  <c r="BB16" i="39" s="1"/>
  <c r="AF14" i="39"/>
  <c r="AF16" i="39"/>
  <c r="AF10" i="39"/>
  <c r="AP10" i="39" s="1"/>
  <c r="AF8" i="39"/>
  <c r="AP8" i="39" s="1"/>
  <c r="AF12" i="39"/>
  <c r="AR19" i="39"/>
  <c r="BB19" i="39" s="1"/>
  <c r="AF9" i="39"/>
  <c r="AP9" i="39" s="1"/>
  <c r="E58" i="12"/>
  <c r="AF6" i="39"/>
  <c r="AP6" i="39" s="1"/>
  <c r="AR14" i="39"/>
  <c r="BB14" i="39" s="1"/>
  <c r="AF11" i="39"/>
  <c r="AP11" i="39" s="1"/>
  <c r="AF19" i="39"/>
  <c r="C7" i="12"/>
  <c r="T8" i="39" l="1"/>
  <c r="AD8" i="39" s="1"/>
  <c r="AH320" i="38"/>
  <c r="AG319" i="38"/>
  <c r="T15" i="39"/>
  <c r="T14" i="39"/>
  <c r="T13" i="39"/>
  <c r="T16" i="39"/>
  <c r="T10" i="39"/>
  <c r="AD10" i="39" s="1"/>
  <c r="T12" i="39"/>
  <c r="AB12" i="39" s="1"/>
  <c r="T7" i="39"/>
  <c r="AD7" i="39" s="1"/>
  <c r="T17" i="39"/>
  <c r="AB17" i="39" s="1"/>
  <c r="T11" i="39"/>
  <c r="AC11" i="39" s="1"/>
  <c r="T9" i="39"/>
  <c r="AD9" i="39" s="1"/>
  <c r="T6" i="39"/>
  <c r="AD6" i="39" s="1"/>
  <c r="T19" i="39"/>
  <c r="U19" i="39" s="1"/>
  <c r="T44" i="39"/>
  <c r="T35" i="39"/>
  <c r="T29" i="39"/>
  <c r="I38" i="39"/>
  <c r="R38" i="39"/>
  <c r="M38" i="39"/>
  <c r="P38" i="39"/>
  <c r="Q38" i="39"/>
  <c r="P36" i="39"/>
  <c r="I36" i="39"/>
  <c r="Q36" i="39"/>
  <c r="R36" i="39"/>
  <c r="M36" i="39"/>
  <c r="AK36" i="39"/>
  <c r="AG36" i="39"/>
  <c r="AN36" i="39"/>
  <c r="AO36" i="39"/>
  <c r="AP36" i="39"/>
  <c r="AO48" i="39"/>
  <c r="AP48" i="39"/>
  <c r="AN48" i="39"/>
  <c r="AK48" i="39"/>
  <c r="AG48" i="39"/>
  <c r="AG38" i="39"/>
  <c r="AN38" i="39"/>
  <c r="AO38" i="39"/>
  <c r="AP38" i="39"/>
  <c r="AK38" i="39"/>
  <c r="AZ35" i="39"/>
  <c r="AW35" i="39"/>
  <c r="AS35" i="39"/>
  <c r="BA35" i="39"/>
  <c r="BB35" i="39"/>
  <c r="AZ31" i="39"/>
  <c r="AW31" i="39"/>
  <c r="AS31" i="39"/>
  <c r="BA31" i="39"/>
  <c r="BB31" i="39"/>
  <c r="T43" i="39"/>
  <c r="T33" i="39"/>
  <c r="T34" i="39"/>
  <c r="M46" i="39"/>
  <c r="Q46" i="39"/>
  <c r="I46" i="39"/>
  <c r="P46" i="39"/>
  <c r="R46" i="39"/>
  <c r="I35" i="39"/>
  <c r="P35" i="39"/>
  <c r="Q35" i="39"/>
  <c r="M35" i="39"/>
  <c r="R35" i="39"/>
  <c r="AP44" i="39"/>
  <c r="AN44" i="39"/>
  <c r="AK44" i="39"/>
  <c r="AG44" i="39"/>
  <c r="AO44" i="39"/>
  <c r="AG40" i="39"/>
  <c r="AP40" i="39"/>
  <c r="AN40" i="39"/>
  <c r="AK40" i="39"/>
  <c r="AO40" i="39"/>
  <c r="AP39" i="39"/>
  <c r="AN39" i="39"/>
  <c r="AG39" i="39"/>
  <c r="AK39" i="39"/>
  <c r="AO39" i="39"/>
  <c r="AS34" i="39"/>
  <c r="BB34" i="39"/>
  <c r="AZ34" i="39"/>
  <c r="BA34" i="39"/>
  <c r="AW34" i="39"/>
  <c r="BA47" i="39"/>
  <c r="AS47" i="39"/>
  <c r="AW47" i="39"/>
  <c r="BB47" i="39"/>
  <c r="AZ47" i="39"/>
  <c r="T47" i="39"/>
  <c r="T48" i="39"/>
  <c r="T32" i="39"/>
  <c r="R41" i="39"/>
  <c r="I41" i="39"/>
  <c r="Q41" i="39"/>
  <c r="M41" i="39"/>
  <c r="P41" i="39"/>
  <c r="M47" i="39"/>
  <c r="P47" i="39"/>
  <c r="R47" i="39"/>
  <c r="I47" i="39"/>
  <c r="Q47" i="39"/>
  <c r="AG35" i="39"/>
  <c r="AN35" i="39"/>
  <c r="AP35" i="39"/>
  <c r="AO35" i="39"/>
  <c r="AK35" i="39"/>
  <c r="AN41" i="39"/>
  <c r="AK41" i="39"/>
  <c r="AP41" i="39"/>
  <c r="AO41" i="39"/>
  <c r="AG41" i="39"/>
  <c r="AG46" i="39"/>
  <c r="AK46" i="39"/>
  <c r="AN46" i="39"/>
  <c r="AP46" i="39"/>
  <c r="AO46" i="39"/>
  <c r="AZ44" i="39"/>
  <c r="AS44" i="39"/>
  <c r="BA44" i="39"/>
  <c r="BB44" i="39"/>
  <c r="AW44" i="39"/>
  <c r="AW40" i="39"/>
  <c r="BA40" i="39"/>
  <c r="AZ40" i="39"/>
  <c r="AS40" i="39"/>
  <c r="BB40" i="39"/>
  <c r="T39" i="39"/>
  <c r="T30" i="39"/>
  <c r="T31" i="39"/>
  <c r="I37" i="39"/>
  <c r="P37" i="39"/>
  <c r="M37" i="39"/>
  <c r="R37" i="39"/>
  <c r="Q37" i="39"/>
  <c r="I33" i="39"/>
  <c r="R33" i="39"/>
  <c r="M33" i="39"/>
  <c r="P33" i="39"/>
  <c r="Q33" i="39"/>
  <c r="AG37" i="39"/>
  <c r="AP37" i="39"/>
  <c r="AK37" i="39"/>
  <c r="AN37" i="39"/>
  <c r="AO37" i="39"/>
  <c r="AG45" i="39"/>
  <c r="AN45" i="39"/>
  <c r="AO45" i="39"/>
  <c r="AK45" i="39"/>
  <c r="AP45" i="39"/>
  <c r="AG32" i="39"/>
  <c r="AK32" i="39"/>
  <c r="AP32" i="39"/>
  <c r="AN32" i="39"/>
  <c r="AO32" i="39"/>
  <c r="BB33" i="39"/>
  <c r="BA33" i="39"/>
  <c r="AS33" i="39"/>
  <c r="AZ33" i="39"/>
  <c r="AW33" i="39"/>
  <c r="AW38" i="39"/>
  <c r="AZ38" i="39"/>
  <c r="BB38" i="39"/>
  <c r="AS38" i="39"/>
  <c r="BA38" i="39"/>
  <c r="T38" i="39"/>
  <c r="T46" i="39"/>
  <c r="P39" i="39"/>
  <c r="I39" i="39"/>
  <c r="M39" i="39"/>
  <c r="Q39" i="39"/>
  <c r="R39" i="39"/>
  <c r="I31" i="39"/>
  <c r="Q31" i="39"/>
  <c r="R31" i="39"/>
  <c r="P31" i="39"/>
  <c r="M31" i="39"/>
  <c r="I48" i="39"/>
  <c r="R48" i="39"/>
  <c r="M48" i="39"/>
  <c r="Q48" i="39"/>
  <c r="P48" i="39"/>
  <c r="AK33" i="39"/>
  <c r="AN33" i="39"/>
  <c r="AO33" i="39"/>
  <c r="AP33" i="39"/>
  <c r="AG33" i="39"/>
  <c r="AN34" i="39"/>
  <c r="AO34" i="39"/>
  <c r="AK34" i="39"/>
  <c r="AP34" i="39"/>
  <c r="AG34" i="39"/>
  <c r="AW46" i="39"/>
  <c r="BB46" i="39"/>
  <c r="AS46" i="39"/>
  <c r="BA46" i="39"/>
  <c r="AZ46" i="39"/>
  <c r="AS32" i="39"/>
  <c r="BB32" i="39"/>
  <c r="AW32" i="39"/>
  <c r="BA32" i="39"/>
  <c r="AZ32" i="39"/>
  <c r="AS42" i="39"/>
  <c r="AW42" i="39"/>
  <c r="BA42" i="39"/>
  <c r="BB42" i="39"/>
  <c r="AZ42" i="39"/>
  <c r="T45" i="39"/>
  <c r="T41" i="39"/>
  <c r="I44" i="39"/>
  <c r="R44" i="39"/>
  <c r="Q44" i="39"/>
  <c r="M44" i="39"/>
  <c r="P44" i="39"/>
  <c r="I45" i="39"/>
  <c r="Q45" i="39"/>
  <c r="R45" i="39"/>
  <c r="P45" i="39"/>
  <c r="M45" i="39"/>
  <c r="P30" i="39"/>
  <c r="M30" i="39"/>
  <c r="Q30" i="39"/>
  <c r="R30" i="39"/>
  <c r="I30" i="39"/>
  <c r="AG29" i="39"/>
  <c r="AO29" i="39"/>
  <c r="AP29" i="39"/>
  <c r="AN29" i="39"/>
  <c r="AK29" i="39"/>
  <c r="AG43" i="39"/>
  <c r="AK43" i="39"/>
  <c r="AN43" i="39"/>
  <c r="AO43" i="39"/>
  <c r="AP43" i="39"/>
  <c r="AS45" i="39"/>
  <c r="BB45" i="39"/>
  <c r="AZ45" i="39"/>
  <c r="BA45" i="39"/>
  <c r="AW45" i="39"/>
  <c r="AS37" i="39"/>
  <c r="BB37" i="39"/>
  <c r="AZ37" i="39"/>
  <c r="AW37" i="39"/>
  <c r="BA37" i="39"/>
  <c r="BB48" i="39"/>
  <c r="AZ48" i="39"/>
  <c r="AW48" i="39"/>
  <c r="AS48" i="39"/>
  <c r="BA48" i="39"/>
  <c r="T42" i="39"/>
  <c r="T40" i="39"/>
  <c r="R34" i="39"/>
  <c r="M34" i="39"/>
  <c r="I34" i="39"/>
  <c r="P34" i="39"/>
  <c r="Q34" i="39"/>
  <c r="M43" i="39"/>
  <c r="P43" i="39"/>
  <c r="R43" i="39"/>
  <c r="I43" i="39"/>
  <c r="Q43" i="39"/>
  <c r="Q40" i="39"/>
  <c r="I40" i="39"/>
  <c r="R40" i="39"/>
  <c r="M40" i="39"/>
  <c r="P40" i="39"/>
  <c r="AN47" i="39"/>
  <c r="AP47" i="39"/>
  <c r="AG47" i="39"/>
  <c r="AO47" i="39"/>
  <c r="AK47" i="39"/>
  <c r="AG42" i="39"/>
  <c r="AO42" i="39"/>
  <c r="AP42" i="39"/>
  <c r="AN42" i="39"/>
  <c r="AK42" i="39"/>
  <c r="AW41" i="39"/>
  <c r="BA41" i="39"/>
  <c r="AZ41" i="39"/>
  <c r="BB41" i="39"/>
  <c r="AS41" i="39"/>
  <c r="BB29" i="39"/>
  <c r="AZ29" i="39"/>
  <c r="BA29" i="39"/>
  <c r="AS29" i="39"/>
  <c r="AW29" i="39"/>
  <c r="BA39" i="39"/>
  <c r="AS39" i="39"/>
  <c r="BB39" i="39"/>
  <c r="AZ39" i="39"/>
  <c r="AW39" i="39"/>
  <c r="T36" i="39"/>
  <c r="T37" i="39"/>
  <c r="R32" i="39"/>
  <c r="P32" i="39"/>
  <c r="M32" i="39"/>
  <c r="I32" i="39"/>
  <c r="Q32" i="39"/>
  <c r="M42" i="39"/>
  <c r="I42" i="39"/>
  <c r="R42" i="39"/>
  <c r="P42" i="39"/>
  <c r="Q42" i="39"/>
  <c r="M29" i="39"/>
  <c r="P29" i="39"/>
  <c r="Q29" i="39"/>
  <c r="R29" i="39"/>
  <c r="I29" i="39"/>
  <c r="AK31" i="39"/>
  <c r="AO31" i="39"/>
  <c r="AG31" i="39"/>
  <c r="AN31" i="39"/>
  <c r="AP31" i="39"/>
  <c r="AG30" i="39"/>
  <c r="AK30" i="39"/>
  <c r="AN30" i="39"/>
  <c r="AO30" i="39"/>
  <c r="AP30" i="39"/>
  <c r="AS36" i="39"/>
  <c r="AZ36" i="39"/>
  <c r="BB36" i="39"/>
  <c r="BA36" i="39"/>
  <c r="AW36" i="39"/>
  <c r="AS43" i="39"/>
  <c r="AZ43" i="39"/>
  <c r="BB43" i="39"/>
  <c r="AW43" i="39"/>
  <c r="BA43" i="39"/>
  <c r="AZ30" i="39"/>
  <c r="AW30" i="39"/>
  <c r="BB30" i="39"/>
  <c r="BA30" i="39"/>
  <c r="AS30" i="39"/>
  <c r="T26" i="39"/>
  <c r="AB26" i="39" s="1"/>
  <c r="T24" i="39"/>
  <c r="U24" i="39" s="1"/>
  <c r="AZ21" i="39"/>
  <c r="AS21" i="39"/>
  <c r="BB21" i="39"/>
  <c r="BA21" i="39"/>
  <c r="AW21" i="39"/>
  <c r="T23" i="39"/>
  <c r="AO27" i="39"/>
  <c r="AG27" i="39"/>
  <c r="AK27" i="39"/>
  <c r="AP27" i="39"/>
  <c r="AN27" i="39"/>
  <c r="I27" i="39"/>
  <c r="P27" i="39"/>
  <c r="R27" i="39"/>
  <c r="M27" i="39"/>
  <c r="Q27" i="39"/>
  <c r="AS23" i="39"/>
  <c r="BA23" i="39"/>
  <c r="AW23" i="39"/>
  <c r="AZ23" i="39"/>
  <c r="BB23" i="39"/>
  <c r="AG26" i="39"/>
  <c r="AO26" i="39"/>
  <c r="AN26" i="39"/>
  <c r="AK26" i="39"/>
  <c r="AP26" i="39"/>
  <c r="T25" i="39"/>
  <c r="AN24" i="39"/>
  <c r="AO24" i="39"/>
  <c r="AP24" i="39"/>
  <c r="AK24" i="39"/>
  <c r="AG24" i="39"/>
  <c r="M22" i="39"/>
  <c r="Q22" i="39"/>
  <c r="R22" i="39"/>
  <c r="I22" i="39"/>
  <c r="P22" i="39"/>
  <c r="AZ26" i="39"/>
  <c r="AW26" i="39"/>
  <c r="AS26" i="39"/>
  <c r="BB26" i="39"/>
  <c r="BA26" i="39"/>
  <c r="T22" i="39"/>
  <c r="C23" i="39"/>
  <c r="A24" i="39"/>
  <c r="D23" i="39"/>
  <c r="E23" i="39"/>
  <c r="AG23" i="39"/>
  <c r="AO23" i="39"/>
  <c r="AK23" i="39"/>
  <c r="AN23" i="39"/>
  <c r="AP23" i="39"/>
  <c r="I20" i="39"/>
  <c r="P20" i="39"/>
  <c r="Q20" i="39"/>
  <c r="M20" i="39"/>
  <c r="AZ22" i="39"/>
  <c r="BB22" i="39"/>
  <c r="AW22" i="39"/>
  <c r="BA22" i="39"/>
  <c r="AS22" i="39"/>
  <c r="T21" i="39"/>
  <c r="AG22" i="39"/>
  <c r="AN22" i="39"/>
  <c r="AO22" i="39"/>
  <c r="AP22" i="39"/>
  <c r="AK22" i="39"/>
  <c r="M28" i="39"/>
  <c r="I28" i="39"/>
  <c r="P28" i="39"/>
  <c r="R28" i="39"/>
  <c r="Q28" i="39"/>
  <c r="BA24" i="39"/>
  <c r="AW24" i="39"/>
  <c r="AS24" i="39"/>
  <c r="AZ24" i="39"/>
  <c r="BB24" i="39"/>
  <c r="C5" i="12"/>
  <c r="T28" i="39"/>
  <c r="AO25" i="39"/>
  <c r="AN25" i="39"/>
  <c r="AK25" i="39"/>
  <c r="AP25" i="39"/>
  <c r="AG25" i="39"/>
  <c r="AN28" i="39"/>
  <c r="AO28" i="39"/>
  <c r="AG28" i="39"/>
  <c r="AP28" i="39"/>
  <c r="AK28" i="39"/>
  <c r="I24" i="39"/>
  <c r="M24" i="39"/>
  <c r="R24" i="39"/>
  <c r="P24" i="39"/>
  <c r="Q24" i="39"/>
  <c r="AW27" i="39"/>
  <c r="AZ27" i="39"/>
  <c r="BB27" i="39"/>
  <c r="BA27" i="39"/>
  <c r="AS27" i="39"/>
  <c r="T27" i="39"/>
  <c r="AG21" i="39"/>
  <c r="AO21" i="39"/>
  <c r="AK21" i="39"/>
  <c r="AN21" i="39"/>
  <c r="AP21" i="39"/>
  <c r="P25" i="39"/>
  <c r="Q25" i="39"/>
  <c r="R25" i="39"/>
  <c r="I25" i="39"/>
  <c r="M25" i="39"/>
  <c r="R23" i="39"/>
  <c r="I23" i="39"/>
  <c r="Q23" i="39"/>
  <c r="M23" i="39"/>
  <c r="P23" i="39"/>
  <c r="BA28" i="39"/>
  <c r="BB28" i="39"/>
  <c r="AW28" i="39"/>
  <c r="AS28" i="39"/>
  <c r="AZ28" i="39"/>
  <c r="I26" i="39"/>
  <c r="P26" i="39"/>
  <c r="R26" i="39"/>
  <c r="Q26" i="39"/>
  <c r="M26" i="39"/>
  <c r="T20" i="39"/>
  <c r="AG20" i="39"/>
  <c r="AN20" i="39"/>
  <c r="AK20" i="39"/>
  <c r="AO20" i="39"/>
  <c r="R21" i="39"/>
  <c r="P21" i="39"/>
  <c r="Q21" i="39"/>
  <c r="M21" i="39"/>
  <c r="I21" i="39"/>
  <c r="BB25" i="39"/>
  <c r="AW25" i="39"/>
  <c r="AZ25" i="39"/>
  <c r="AS25" i="39"/>
  <c r="BA25" i="39"/>
  <c r="DA8" i="12"/>
  <c r="DA9" i="12" s="1"/>
  <c r="AH321" i="38"/>
  <c r="AH322" i="38" s="1"/>
  <c r="AH323" i="38" s="1"/>
  <c r="AH324" i="38" s="1"/>
  <c r="AH325" i="38" s="1"/>
  <c r="AH326" i="38" s="1"/>
  <c r="AH327" i="38" s="1"/>
  <c r="AH328" i="38" s="1"/>
  <c r="AH329" i="38" s="1"/>
  <c r="AG320" i="38"/>
  <c r="E57" i="12"/>
  <c r="R6" i="39"/>
  <c r="AG389" i="38"/>
  <c r="CY5" i="12"/>
  <c r="CY6" i="12" s="1"/>
  <c r="AB18" i="39"/>
  <c r="AB15" i="39"/>
  <c r="AN16" i="39"/>
  <c r="AZ20" i="39"/>
  <c r="AZ7" i="39"/>
  <c r="P18" i="39"/>
  <c r="P9" i="39"/>
  <c r="AZ11" i="39"/>
  <c r="AN19" i="39"/>
  <c r="AZ19" i="39"/>
  <c r="AB13" i="39"/>
  <c r="AN14" i="39"/>
  <c r="AZ12" i="39"/>
  <c r="AN15" i="39"/>
  <c r="P13" i="39"/>
  <c r="P8" i="39"/>
  <c r="AN10" i="39"/>
  <c r="AN12" i="39"/>
  <c r="AB16" i="39"/>
  <c r="AZ13" i="39"/>
  <c r="AZ9" i="39"/>
  <c r="P19" i="39"/>
  <c r="P7" i="39"/>
  <c r="P10" i="39"/>
  <c r="AN11" i="39"/>
  <c r="AZ14" i="39"/>
  <c r="AB10" i="39"/>
  <c r="AZ16" i="39"/>
  <c r="AZ15" i="39"/>
  <c r="AN9" i="39"/>
  <c r="P14" i="39"/>
  <c r="AB9" i="39"/>
  <c r="AZ17" i="39"/>
  <c r="AN18" i="39"/>
  <c r="P16" i="39"/>
  <c r="P11" i="39"/>
  <c r="AZ18" i="39"/>
  <c r="AZ10" i="39"/>
  <c r="AN13" i="39"/>
  <c r="P15" i="39"/>
  <c r="P12" i="39"/>
  <c r="P6" i="39"/>
  <c r="AN6" i="39"/>
  <c r="AB14" i="39"/>
  <c r="AN8" i="39"/>
  <c r="AN7" i="39"/>
  <c r="AZ8" i="39"/>
  <c r="P17" i="39"/>
  <c r="D29" i="12"/>
  <c r="B29" i="12"/>
  <c r="AC8" i="39"/>
  <c r="AB8" i="39"/>
  <c r="AB6" i="39"/>
  <c r="AZ6" i="39"/>
  <c r="AN17" i="39"/>
  <c r="K221" i="11"/>
  <c r="CW9" i="12"/>
  <c r="CW10" i="12" s="1"/>
  <c r="U18" i="39"/>
  <c r="AS17" i="35"/>
  <c r="AR18" i="35"/>
  <c r="AC18" i="39"/>
  <c r="AG17" i="39"/>
  <c r="Y18" i="39"/>
  <c r="AK17" i="39"/>
  <c r="AO17" i="35"/>
  <c r="AN18" i="35"/>
  <c r="AO17" i="39"/>
  <c r="BA17" i="35"/>
  <c r="AZ18" i="35"/>
  <c r="AK18" i="35"/>
  <c r="AJ19" i="35"/>
  <c r="Y8" i="39"/>
  <c r="U8" i="39"/>
  <c r="AC18" i="35"/>
  <c r="AB19" i="35"/>
  <c r="AW18" i="35"/>
  <c r="AV19" i="35"/>
  <c r="AA17" i="35"/>
  <c r="Z18" i="35"/>
  <c r="AM17" i="35"/>
  <c r="AL18" i="35"/>
  <c r="AI17" i="35"/>
  <c r="AH18" i="35"/>
  <c r="AT18" i="35"/>
  <c r="AU17" i="35"/>
  <c r="BE18" i="35"/>
  <c r="BD19" i="35"/>
  <c r="AD18" i="35"/>
  <c r="AE17" i="35"/>
  <c r="AG18" i="35"/>
  <c r="AF19" i="35"/>
  <c r="AQ17" i="35"/>
  <c r="AP18" i="35"/>
  <c r="AY17" i="35"/>
  <c r="AX18" i="35"/>
  <c r="BC17" i="35"/>
  <c r="BB18" i="35"/>
  <c r="AO6" i="39"/>
  <c r="AG6" i="39"/>
  <c r="L221" i="11" s="1"/>
  <c r="AK6" i="39"/>
  <c r="U13" i="39"/>
  <c r="AC13" i="39"/>
  <c r="Y13" i="39"/>
  <c r="AG14" i="39"/>
  <c r="AK14" i="39"/>
  <c r="AO14" i="39"/>
  <c r="AS18" i="39"/>
  <c r="AW18" i="39"/>
  <c r="BA18" i="39"/>
  <c r="AS12" i="39"/>
  <c r="BA12" i="39"/>
  <c r="AW12" i="39"/>
  <c r="BA15" i="39"/>
  <c r="AS15" i="39"/>
  <c r="AW15" i="39"/>
  <c r="AS7" i="39"/>
  <c r="AW7" i="39"/>
  <c r="BA7" i="39"/>
  <c r="AG18" i="39"/>
  <c r="AO18" i="39"/>
  <c r="AK18" i="39"/>
  <c r="Q7" i="39"/>
  <c r="I7" i="39"/>
  <c r="M7" i="39"/>
  <c r="M6" i="39"/>
  <c r="I6" i="39"/>
  <c r="Q6" i="39"/>
  <c r="I19" i="39"/>
  <c r="Q19" i="39"/>
  <c r="M19" i="39"/>
  <c r="AO12" i="39"/>
  <c r="AG12" i="39"/>
  <c r="AK12" i="39"/>
  <c r="AC14" i="39"/>
  <c r="U14" i="39"/>
  <c r="Y14" i="39"/>
  <c r="Y16" i="39"/>
  <c r="U16" i="39"/>
  <c r="AC16" i="39"/>
  <c r="AO8" i="39"/>
  <c r="AG8" i="39"/>
  <c r="AK8" i="39"/>
  <c r="BA6" i="39"/>
  <c r="AS6" i="39"/>
  <c r="AW6" i="39"/>
  <c r="AS13" i="39"/>
  <c r="AW13" i="39"/>
  <c r="BA13" i="39"/>
  <c r="AO15" i="39"/>
  <c r="AK15" i="39"/>
  <c r="AG15" i="39"/>
  <c r="AG13" i="39"/>
  <c r="AK13" i="39"/>
  <c r="AO13" i="39"/>
  <c r="Q18" i="39"/>
  <c r="I18" i="39"/>
  <c r="M18" i="39"/>
  <c r="Q16" i="39"/>
  <c r="I16" i="39"/>
  <c r="M16" i="39"/>
  <c r="I14" i="39"/>
  <c r="M14" i="39"/>
  <c r="Q14" i="39"/>
  <c r="BA19" i="39"/>
  <c r="AW19" i="39"/>
  <c r="AS19" i="39"/>
  <c r="AG19" i="39"/>
  <c r="AO19" i="39"/>
  <c r="AK19" i="39"/>
  <c r="AS14" i="39"/>
  <c r="BA14" i="39"/>
  <c r="AW14" i="39"/>
  <c r="AO9" i="39"/>
  <c r="AG9" i="39"/>
  <c r="AK9" i="39"/>
  <c r="U10" i="39"/>
  <c r="Y10" i="39"/>
  <c r="AC10" i="39"/>
  <c r="AO10" i="39"/>
  <c r="AK10" i="39"/>
  <c r="AG10" i="39"/>
  <c r="BA16" i="39"/>
  <c r="AS16" i="39"/>
  <c r="AW16" i="39"/>
  <c r="AS11" i="39"/>
  <c r="AW11" i="39"/>
  <c r="BA11" i="39"/>
  <c r="BA10" i="39"/>
  <c r="AS10" i="39"/>
  <c r="AW10" i="39"/>
  <c r="AW9" i="39"/>
  <c r="BA9" i="39"/>
  <c r="AS9" i="39"/>
  <c r="AS8" i="39"/>
  <c r="BA8" i="39"/>
  <c r="AW8" i="39"/>
  <c r="I13" i="39"/>
  <c r="M13" i="39"/>
  <c r="Q13" i="39"/>
  <c r="Q15" i="39"/>
  <c r="I15" i="39"/>
  <c r="M15" i="39"/>
  <c r="I9" i="39"/>
  <c r="M9" i="39"/>
  <c r="Q9" i="39"/>
  <c r="I11" i="39"/>
  <c r="Q11" i="39"/>
  <c r="M11" i="39"/>
  <c r="AG11" i="39"/>
  <c r="AO11" i="39"/>
  <c r="AK11" i="39"/>
  <c r="AC9" i="39"/>
  <c r="AC15" i="39"/>
  <c r="U15" i="39"/>
  <c r="Y15" i="39"/>
  <c r="AC6" i="39"/>
  <c r="U6" i="39"/>
  <c r="G221" i="11" s="1"/>
  <c r="Y12" i="39"/>
  <c r="AG16" i="39"/>
  <c r="AO16" i="39"/>
  <c r="AK16" i="39"/>
  <c r="AS17" i="39"/>
  <c r="BA17" i="39"/>
  <c r="AW17" i="39"/>
  <c r="BA20" i="39"/>
  <c r="AS20" i="39"/>
  <c r="AW20" i="39"/>
  <c r="AO7" i="39"/>
  <c r="AG7" i="39"/>
  <c r="AK7" i="39"/>
  <c r="Q10" i="39"/>
  <c r="I10" i="39"/>
  <c r="M10" i="39"/>
  <c r="I17" i="39"/>
  <c r="Q17" i="39"/>
  <c r="M17" i="39"/>
  <c r="Q8" i="39"/>
  <c r="I8" i="39"/>
  <c r="M8" i="39"/>
  <c r="I12" i="39"/>
  <c r="Q12" i="39"/>
  <c r="M12" i="39"/>
  <c r="Y7" i="39" l="1"/>
  <c r="U7" i="39"/>
  <c r="AB7" i="39"/>
  <c r="U17" i="39"/>
  <c r="AC7" i="39"/>
  <c r="Y11" i="39"/>
  <c r="U11" i="39"/>
  <c r="AB11" i="39"/>
  <c r="Y17" i="39"/>
  <c r="AC17" i="39"/>
  <c r="AC12" i="39"/>
  <c r="U12" i="39"/>
  <c r="Y9" i="39"/>
  <c r="U9" i="39"/>
  <c r="F221" i="11"/>
  <c r="K217" i="11" s="1"/>
  <c r="Y6" i="39"/>
  <c r="AB19" i="39"/>
  <c r="Y19" i="39"/>
  <c r="AC19" i="39"/>
  <c r="U26" i="39"/>
  <c r="AD24" i="39"/>
  <c r="Y26" i="39"/>
  <c r="AD26" i="39"/>
  <c r="AC26" i="39"/>
  <c r="AB24" i="39"/>
  <c r="U42" i="39"/>
  <c r="Y42" i="39"/>
  <c r="AD42" i="39"/>
  <c r="AB42" i="39"/>
  <c r="AC42" i="39"/>
  <c r="U38" i="39"/>
  <c r="AC38" i="39"/>
  <c r="AB38" i="39"/>
  <c r="Y38" i="39"/>
  <c r="AD38" i="39"/>
  <c r="U34" i="39"/>
  <c r="AB34" i="39"/>
  <c r="Y34" i="39"/>
  <c r="AC34" i="39"/>
  <c r="AD34" i="39"/>
  <c r="Y24" i="39"/>
  <c r="Y32" i="39"/>
  <c r="AC32" i="39"/>
  <c r="AB32" i="39"/>
  <c r="AD32" i="39"/>
  <c r="U32" i="39"/>
  <c r="Y33" i="39"/>
  <c r="AB33" i="39"/>
  <c r="AC33" i="39"/>
  <c r="U33" i="39"/>
  <c r="AD33" i="39"/>
  <c r="U37" i="39"/>
  <c r="Y37" i="39"/>
  <c r="AB37" i="39"/>
  <c r="AC37" i="39"/>
  <c r="AD37" i="39"/>
  <c r="U48" i="39"/>
  <c r="Y48" i="39"/>
  <c r="AC48" i="39"/>
  <c r="AB48" i="39"/>
  <c r="AD48" i="39"/>
  <c r="Y43" i="39"/>
  <c r="U43" i="39"/>
  <c r="AC43" i="39"/>
  <c r="AB43" i="39"/>
  <c r="AD43" i="39"/>
  <c r="AC24" i="39"/>
  <c r="U36" i="39"/>
  <c r="AB36" i="39"/>
  <c r="AC36" i="39"/>
  <c r="Y36" i="39"/>
  <c r="AD36" i="39"/>
  <c r="U41" i="39"/>
  <c r="Y41" i="39"/>
  <c r="AB41" i="39"/>
  <c r="AD41" i="39"/>
  <c r="AC41" i="39"/>
  <c r="U47" i="39"/>
  <c r="AD47" i="39"/>
  <c r="AC47" i="39"/>
  <c r="AB47" i="39"/>
  <c r="Y47" i="39"/>
  <c r="U45" i="39"/>
  <c r="AB45" i="39"/>
  <c r="Y45" i="39"/>
  <c r="AD45" i="39"/>
  <c r="AC45" i="39"/>
  <c r="U31" i="39"/>
  <c r="AB31" i="39"/>
  <c r="AC31" i="39"/>
  <c r="AD31" i="39"/>
  <c r="Y31" i="39"/>
  <c r="U30" i="39"/>
  <c r="AD30" i="39"/>
  <c r="AB30" i="39"/>
  <c r="AC30" i="39"/>
  <c r="Y30" i="39"/>
  <c r="AB29" i="39"/>
  <c r="U29" i="39"/>
  <c r="AC29" i="39"/>
  <c r="AD29" i="39"/>
  <c r="Y29" i="39"/>
  <c r="AB39" i="39"/>
  <c r="Y39" i="39"/>
  <c r="U39" i="39"/>
  <c r="AD39" i="39"/>
  <c r="AC39" i="39"/>
  <c r="U35" i="39"/>
  <c r="AB35" i="39"/>
  <c r="AD35" i="39"/>
  <c r="AC35" i="39"/>
  <c r="Y35" i="39"/>
  <c r="Y40" i="39"/>
  <c r="U40" i="39"/>
  <c r="AD40" i="39"/>
  <c r="AC40" i="39"/>
  <c r="AB40" i="39"/>
  <c r="AB46" i="39"/>
  <c r="AD46" i="39"/>
  <c r="Y46" i="39"/>
  <c r="U46" i="39"/>
  <c r="AC46" i="39"/>
  <c r="AB44" i="39"/>
  <c r="Y44" i="39"/>
  <c r="AC44" i="39"/>
  <c r="U44" i="39"/>
  <c r="AD44" i="39"/>
  <c r="AC28" i="39"/>
  <c r="Y28" i="39"/>
  <c r="AB28" i="39"/>
  <c r="U28" i="39"/>
  <c r="AD28" i="39"/>
  <c r="U23" i="39"/>
  <c r="AB23" i="39"/>
  <c r="Y23" i="39"/>
  <c r="AD23" i="39"/>
  <c r="AC23" i="39"/>
  <c r="AB21" i="39"/>
  <c r="U21" i="39"/>
  <c r="AD21" i="39"/>
  <c r="AC21" i="39"/>
  <c r="Y21" i="39"/>
  <c r="C24" i="39"/>
  <c r="A25" i="39"/>
  <c r="D24" i="39"/>
  <c r="E24" i="39"/>
  <c r="AD25" i="39"/>
  <c r="AB25" i="39"/>
  <c r="U25" i="39"/>
  <c r="Y25" i="39"/>
  <c r="AC25" i="39"/>
  <c r="U20" i="39"/>
  <c r="AB20" i="39"/>
  <c r="AC20" i="39"/>
  <c r="Y20" i="39"/>
  <c r="AD27" i="39"/>
  <c r="AC27" i="39"/>
  <c r="U27" i="39"/>
  <c r="Y27" i="39"/>
  <c r="AB27" i="39"/>
  <c r="AB22" i="39"/>
  <c r="Y22" i="39"/>
  <c r="U22" i="39"/>
  <c r="AD22" i="39"/>
  <c r="AC22" i="39"/>
  <c r="DA10" i="12"/>
  <c r="DA11" i="12" s="1"/>
  <c r="DA12" i="12" s="1"/>
  <c r="AH330" i="38"/>
  <c r="AG329" i="38"/>
  <c r="CY7" i="12"/>
  <c r="CY8" i="12" s="1"/>
  <c r="B17" i="35"/>
  <c r="P21" i="9" s="1"/>
  <c r="CW11" i="12"/>
  <c r="AR19" i="35"/>
  <c r="AS18" i="35"/>
  <c r="AO18" i="35"/>
  <c r="AN19" i="35"/>
  <c r="AZ19" i="35"/>
  <c r="BA18" i="35"/>
  <c r="AE18" i="35"/>
  <c r="AD19" i="35"/>
  <c r="AY18" i="35"/>
  <c r="AX19" i="35"/>
  <c r="AM18" i="35"/>
  <c r="AL19" i="35"/>
  <c r="AW19" i="35"/>
  <c r="AV20" i="35"/>
  <c r="AK19" i="35"/>
  <c r="AJ20" i="35"/>
  <c r="BC18" i="35"/>
  <c r="BB19" i="35"/>
  <c r="AQ18" i="35"/>
  <c r="AP19" i="35"/>
  <c r="AG19" i="35"/>
  <c r="AF20" i="35"/>
  <c r="BE19" i="35"/>
  <c r="BD20" i="35"/>
  <c r="AU18" i="35"/>
  <c r="AT19" i="35"/>
  <c r="AI18" i="35"/>
  <c r="AH19" i="35"/>
  <c r="AA18" i="35"/>
  <c r="Z19" i="35"/>
  <c r="AC19" i="35"/>
  <c r="AB20" i="35"/>
  <c r="DA13" i="12" l="1"/>
  <c r="DA14" i="12" s="1"/>
  <c r="DA15" i="12" s="1"/>
  <c r="DA16" i="12" s="1"/>
  <c r="DA17" i="12" s="1"/>
  <c r="E25" i="39"/>
  <c r="C25" i="39"/>
  <c r="A26" i="39"/>
  <c r="D25" i="39"/>
  <c r="AH331" i="38"/>
  <c r="AG330" i="38"/>
  <c r="AG341" i="38"/>
  <c r="AG411" i="38"/>
  <c r="CY9" i="12"/>
  <c r="CY10" i="12" s="1"/>
  <c r="B18" i="35"/>
  <c r="P22" i="9" s="1"/>
  <c r="CW12" i="12"/>
  <c r="CW13" i="12" s="1"/>
  <c r="CW14" i="12" s="1"/>
  <c r="CW15" i="12" s="1"/>
  <c r="CW16" i="12" s="1"/>
  <c r="CW17" i="12" s="1"/>
  <c r="CW18" i="12" s="1"/>
  <c r="CW19" i="12" s="1"/>
  <c r="CW20" i="12" s="1"/>
  <c r="CW21" i="12" s="1"/>
  <c r="CW22" i="12" s="1"/>
  <c r="CW23" i="12" s="1"/>
  <c r="AS19" i="35"/>
  <c r="AR20" i="35"/>
  <c r="AZ20" i="35"/>
  <c r="BA19" i="35"/>
  <c r="AN20" i="35"/>
  <c r="AO19" i="35"/>
  <c r="AI19" i="35"/>
  <c r="AH20" i="35"/>
  <c r="AA19" i="35"/>
  <c r="Z20" i="35"/>
  <c r="AT20" i="35"/>
  <c r="AU19" i="35"/>
  <c r="AG20" i="35"/>
  <c r="AF21" i="35"/>
  <c r="BC19" i="35"/>
  <c r="BB20" i="35"/>
  <c r="AK20" i="35"/>
  <c r="AJ21" i="35"/>
  <c r="AC20" i="35"/>
  <c r="AB21" i="35"/>
  <c r="AQ19" i="35"/>
  <c r="AP20" i="35"/>
  <c r="AL20" i="35"/>
  <c r="AM19" i="35"/>
  <c r="BE20" i="35"/>
  <c r="BD21" i="35"/>
  <c r="AW20" i="35"/>
  <c r="AV21" i="35"/>
  <c r="AY19" i="35"/>
  <c r="AX20" i="35"/>
  <c r="AE19" i="35"/>
  <c r="AD20" i="35"/>
  <c r="E26" i="39" l="1"/>
  <c r="D26" i="39"/>
  <c r="C26" i="39"/>
  <c r="A27" i="39"/>
  <c r="AH332" i="38"/>
  <c r="AG331" i="38"/>
  <c r="AG342" i="38"/>
  <c r="CY11" i="12"/>
  <c r="CY12" i="12" s="1"/>
  <c r="CY13" i="12" s="1"/>
  <c r="CY14" i="12" s="1"/>
  <c r="CY15" i="12" s="1"/>
  <c r="CY16" i="12" s="1"/>
  <c r="CY17" i="12" s="1"/>
  <c r="B19" i="35"/>
  <c r="P23" i="9" s="1"/>
  <c r="CW24" i="12"/>
  <c r="C13" i="12" s="1"/>
  <c r="DA18" i="12"/>
  <c r="DA19" i="12" s="1"/>
  <c r="DA20" i="12" s="1"/>
  <c r="DA21" i="12" s="1"/>
  <c r="DA22" i="12" s="1"/>
  <c r="DA23" i="12" s="1"/>
  <c r="DA24" i="12" s="1"/>
  <c r="C17" i="12" s="1"/>
  <c r="AS20" i="35"/>
  <c r="AR21" i="35"/>
  <c r="AN21" i="35"/>
  <c r="AO20" i="35"/>
  <c r="BA20" i="35"/>
  <c r="AZ21" i="35"/>
  <c r="AY20" i="35"/>
  <c r="AX21" i="35"/>
  <c r="AQ20" i="35"/>
  <c r="AP21" i="35"/>
  <c r="AI20" i="35"/>
  <c r="AH21" i="35"/>
  <c r="AB22" i="35"/>
  <c r="AC21" i="35"/>
  <c r="BC20" i="35"/>
  <c r="BB21" i="35"/>
  <c r="AW21" i="35"/>
  <c r="AV22" i="35"/>
  <c r="AJ22" i="35"/>
  <c r="AK21" i="35"/>
  <c r="AA20" i="35"/>
  <c r="B20" i="35" s="1"/>
  <c r="P24" i="9" s="1"/>
  <c r="Z21" i="35"/>
  <c r="AE20" i="35"/>
  <c r="AD21" i="35"/>
  <c r="BE21" i="35"/>
  <c r="BD22" i="35"/>
  <c r="AM20" i="35"/>
  <c r="AL21" i="35"/>
  <c r="AU20" i="35"/>
  <c r="AT21" i="35"/>
  <c r="AG21" i="35"/>
  <c r="AF22" i="35"/>
  <c r="D27" i="39" l="1"/>
  <c r="E27" i="39"/>
  <c r="A28" i="39"/>
  <c r="A29" i="39" s="1"/>
  <c r="C27" i="39"/>
  <c r="AH333" i="38"/>
  <c r="AH334" i="38" s="1"/>
  <c r="AG332" i="38"/>
  <c r="AG414" i="38"/>
  <c r="CY18" i="12"/>
  <c r="CY19" i="12" s="1"/>
  <c r="CY20" i="12" s="1"/>
  <c r="CY21" i="12" s="1"/>
  <c r="CY22" i="12" s="1"/>
  <c r="CY23" i="12" s="1"/>
  <c r="CY24" i="12" s="1"/>
  <c r="C16" i="12"/>
  <c r="E16" i="12" s="1"/>
  <c r="G16" i="12" s="1"/>
  <c r="D17" i="12"/>
  <c r="F17" i="12"/>
  <c r="E17" i="12"/>
  <c r="G17" i="12" s="1"/>
  <c r="E13" i="12"/>
  <c r="G13" i="12" s="1"/>
  <c r="D13" i="12"/>
  <c r="F13" i="12"/>
  <c r="AS21" i="35"/>
  <c r="AR22" i="35"/>
  <c r="BA21" i="35"/>
  <c r="AZ22" i="35"/>
  <c r="AO21" i="35"/>
  <c r="AN22" i="35"/>
  <c r="AY21" i="35"/>
  <c r="AX22" i="35"/>
  <c r="AU21" i="35"/>
  <c r="AT22" i="35"/>
  <c r="BE22" i="35"/>
  <c r="BD23" i="35"/>
  <c r="AA21" i="35"/>
  <c r="Z22" i="35"/>
  <c r="AW22" i="35"/>
  <c r="AV23" i="35"/>
  <c r="BC21" i="35"/>
  <c r="BB22" i="35"/>
  <c r="AQ21" i="35"/>
  <c r="AP22" i="35"/>
  <c r="AM21" i="35"/>
  <c r="AL22" i="35"/>
  <c r="AG22" i="35"/>
  <c r="AF23" i="35"/>
  <c r="AE21" i="35"/>
  <c r="AD22" i="35"/>
  <c r="AI21" i="35"/>
  <c r="AH22" i="35"/>
  <c r="AK22" i="35"/>
  <c r="AJ23" i="35"/>
  <c r="AC22" i="35"/>
  <c r="AB23" i="35"/>
  <c r="C29" i="39" l="1"/>
  <c r="E29" i="39"/>
  <c r="D29" i="39"/>
  <c r="A30" i="39"/>
  <c r="C28" i="39"/>
  <c r="D28" i="39"/>
  <c r="E28" i="39"/>
  <c r="AH335" i="38"/>
  <c r="AH336" i="38" s="1"/>
  <c r="AG334" i="38"/>
  <c r="AG353" i="38"/>
  <c r="C14" i="12"/>
  <c r="D14" i="12" s="1"/>
  <c r="C15" i="12"/>
  <c r="D15" i="12" s="1"/>
  <c r="B21" i="35"/>
  <c r="P25" i="9" s="1"/>
  <c r="F16" i="12"/>
  <c r="D16" i="12"/>
  <c r="AS22" i="35"/>
  <c r="AR23" i="35"/>
  <c r="BA22" i="35"/>
  <c r="AZ23" i="35"/>
  <c r="AO22" i="35"/>
  <c r="AN23" i="35"/>
  <c r="AE22" i="35"/>
  <c r="AD23" i="35"/>
  <c r="BC22" i="35"/>
  <c r="BB23" i="35"/>
  <c r="AC23" i="35"/>
  <c r="AB24" i="35"/>
  <c r="AM22" i="35"/>
  <c r="AL23" i="35"/>
  <c r="AW23" i="35"/>
  <c r="AV24" i="35"/>
  <c r="BE23" i="35"/>
  <c r="BD24" i="35"/>
  <c r="AY22" i="35"/>
  <c r="AX23" i="35"/>
  <c r="AK23" i="35"/>
  <c r="AJ24" i="35"/>
  <c r="AQ22" i="35"/>
  <c r="AP23" i="35"/>
  <c r="AU22" i="35"/>
  <c r="AT23" i="35"/>
  <c r="AI22" i="35"/>
  <c r="AH23" i="35"/>
  <c r="AG23" i="35"/>
  <c r="AF24" i="35"/>
  <c r="AA22" i="35"/>
  <c r="B22" i="35" s="1"/>
  <c r="P26" i="9" s="1"/>
  <c r="Z23" i="35"/>
  <c r="C30" i="39" l="1"/>
  <c r="A31" i="39"/>
  <c r="D30" i="39"/>
  <c r="E30" i="39"/>
  <c r="AG336" i="38"/>
  <c r="AH337" i="38"/>
  <c r="AG354" i="38"/>
  <c r="E14" i="12"/>
  <c r="G14" i="12" s="1"/>
  <c r="F14" i="12"/>
  <c r="E15" i="12"/>
  <c r="G15" i="12" s="1"/>
  <c r="F15" i="12"/>
  <c r="AS23" i="35"/>
  <c r="AR24" i="35"/>
  <c r="AO23" i="35"/>
  <c r="AN24" i="35"/>
  <c r="BA23" i="35"/>
  <c r="AZ24" i="35"/>
  <c r="AY23" i="35"/>
  <c r="AX24" i="35"/>
  <c r="AL24" i="35"/>
  <c r="AM23" i="35"/>
  <c r="AA23" i="35"/>
  <c r="Z24" i="35"/>
  <c r="AT24" i="35"/>
  <c r="AU23" i="35"/>
  <c r="AK24" i="35"/>
  <c r="AJ25" i="35"/>
  <c r="BE24" i="35"/>
  <c r="BD25" i="35"/>
  <c r="AC24" i="35"/>
  <c r="AB25" i="35"/>
  <c r="BC23" i="35"/>
  <c r="BB24" i="35"/>
  <c r="AG24" i="35"/>
  <c r="AF25" i="35"/>
  <c r="AI23" i="35"/>
  <c r="AH24" i="35"/>
  <c r="AW24" i="35"/>
  <c r="AV25" i="35"/>
  <c r="AE23" i="35"/>
  <c r="AD24" i="35"/>
  <c r="AQ23" i="35"/>
  <c r="AP24" i="35"/>
  <c r="A32" i="39" l="1"/>
  <c r="E31" i="39"/>
  <c r="C31" i="39"/>
  <c r="D31" i="39"/>
  <c r="AH338" i="38"/>
  <c r="AH339" i="38" s="1"/>
  <c r="AH340" i="38" s="1"/>
  <c r="AG337" i="38"/>
  <c r="B23" i="35"/>
  <c r="P27" i="9" s="1"/>
  <c r="AS24" i="35"/>
  <c r="AR25" i="35"/>
  <c r="BA24" i="35"/>
  <c r="AZ25" i="35"/>
  <c r="AO24" i="35"/>
  <c r="AN25" i="35"/>
  <c r="AY24" i="35"/>
  <c r="AX25" i="35"/>
  <c r="AG25" i="35"/>
  <c r="AF26" i="35"/>
  <c r="AB26" i="35"/>
  <c r="AC25" i="35"/>
  <c r="BE25" i="35"/>
  <c r="BD26" i="35"/>
  <c r="AE24" i="35"/>
  <c r="AD25" i="35"/>
  <c r="BC24" i="35"/>
  <c r="BB25" i="35"/>
  <c r="AJ26" i="35"/>
  <c r="AK25" i="35"/>
  <c r="AW25" i="35"/>
  <c r="AV26" i="35"/>
  <c r="AU24" i="35"/>
  <c r="AT25" i="35"/>
  <c r="AM24" i="35"/>
  <c r="AL25" i="35"/>
  <c r="AQ24" i="35"/>
  <c r="AP25" i="35"/>
  <c r="AI24" i="35"/>
  <c r="AH25" i="35"/>
  <c r="AA24" i="35"/>
  <c r="B24" i="35" s="1"/>
  <c r="P28" i="9" s="1"/>
  <c r="Z25" i="35"/>
  <c r="AH341" i="38" l="1"/>
  <c r="AH342" i="38" s="1"/>
  <c r="AH343" i="38" s="1"/>
  <c r="AH344" i="38" s="1"/>
  <c r="AH345" i="38" s="1"/>
  <c r="AG340" i="38"/>
  <c r="C32" i="39"/>
  <c r="A33" i="39"/>
  <c r="D32" i="39"/>
  <c r="E32" i="39"/>
  <c r="AG349" i="38"/>
  <c r="AG363" i="38"/>
  <c r="AG438" i="38"/>
  <c r="AS25" i="35"/>
  <c r="AR26" i="35"/>
  <c r="AO25" i="35"/>
  <c r="AN26" i="35"/>
  <c r="BA25" i="35"/>
  <c r="AZ26" i="35"/>
  <c r="AW26" i="35"/>
  <c r="AV27" i="35"/>
  <c r="AA25" i="35"/>
  <c r="Z26" i="35"/>
  <c r="BC25" i="35"/>
  <c r="BB26" i="35"/>
  <c r="BE26" i="35"/>
  <c r="BD27" i="35"/>
  <c r="AG26" i="35"/>
  <c r="AF27" i="35"/>
  <c r="AY25" i="35"/>
  <c r="AX26" i="35"/>
  <c r="AM25" i="35"/>
  <c r="AL26" i="35"/>
  <c r="AD26" i="35"/>
  <c r="AE25" i="35"/>
  <c r="AQ25" i="35"/>
  <c r="AP26" i="35"/>
  <c r="AT26" i="35"/>
  <c r="AU25" i="35"/>
  <c r="AI25" i="35"/>
  <c r="AH26" i="35"/>
  <c r="AK26" i="35"/>
  <c r="AJ27" i="35"/>
  <c r="AC26" i="35"/>
  <c r="AB27" i="35"/>
  <c r="AH346" i="38" l="1"/>
  <c r="AG345" i="38"/>
  <c r="C33" i="39"/>
  <c r="A34" i="39"/>
  <c r="D33" i="39"/>
  <c r="E33" i="39"/>
  <c r="AG365" i="38"/>
  <c r="B25" i="35"/>
  <c r="P29" i="9" s="1"/>
  <c r="AS26" i="35"/>
  <c r="AR27" i="35"/>
  <c r="BA26" i="35"/>
  <c r="AZ27" i="35"/>
  <c r="AO26" i="35"/>
  <c r="AN27" i="35"/>
  <c r="AG27" i="35"/>
  <c r="AF28" i="35"/>
  <c r="BC26" i="35"/>
  <c r="BB27" i="35"/>
  <c r="AA26" i="35"/>
  <c r="Z27" i="35"/>
  <c r="AU26" i="35"/>
  <c r="AT27" i="35"/>
  <c r="AK27" i="35"/>
  <c r="AJ28" i="35"/>
  <c r="AM26" i="35"/>
  <c r="AL27" i="35"/>
  <c r="AI26" i="35"/>
  <c r="AH27" i="35"/>
  <c r="AQ26" i="35"/>
  <c r="AP27" i="35"/>
  <c r="AY26" i="35"/>
  <c r="AX27" i="35"/>
  <c r="BD28" i="35"/>
  <c r="BE27" i="35"/>
  <c r="AW27" i="35"/>
  <c r="AV28" i="35"/>
  <c r="AC27" i="35"/>
  <c r="AB28" i="35"/>
  <c r="AE26" i="35"/>
  <c r="AD27" i="35"/>
  <c r="AH347" i="38" l="1"/>
  <c r="AG346" i="38"/>
  <c r="E34" i="39"/>
  <c r="C34" i="39"/>
  <c r="A35" i="39"/>
  <c r="D34" i="39"/>
  <c r="AG373" i="38"/>
  <c r="B26" i="35"/>
  <c r="P30" i="9" s="1"/>
  <c r="AS27" i="35"/>
  <c r="AR28" i="35"/>
  <c r="AN28" i="35"/>
  <c r="AO27" i="35"/>
  <c r="BA27" i="35"/>
  <c r="AZ28" i="35"/>
  <c r="AE27" i="35"/>
  <c r="AD28" i="35"/>
  <c r="AK28" i="35"/>
  <c r="AJ29" i="35"/>
  <c r="AA27" i="35"/>
  <c r="Z28" i="35"/>
  <c r="AG28" i="35"/>
  <c r="AF29" i="35"/>
  <c r="AY27" i="35"/>
  <c r="AX28" i="35"/>
  <c r="AC28" i="35"/>
  <c r="AB29" i="35"/>
  <c r="AQ27" i="35"/>
  <c r="AP28" i="35"/>
  <c r="AL28" i="35"/>
  <c r="AM27" i="35"/>
  <c r="AT28" i="35"/>
  <c r="AU27" i="35"/>
  <c r="BC27" i="35"/>
  <c r="BB28" i="35"/>
  <c r="AI27" i="35"/>
  <c r="AH28" i="35"/>
  <c r="AW28" i="35"/>
  <c r="AV29" i="35"/>
  <c r="BE28" i="35"/>
  <c r="BD29" i="35"/>
  <c r="AH348" i="38" l="1"/>
  <c r="AG347" i="38"/>
  <c r="A36" i="39"/>
  <c r="C35" i="39"/>
  <c r="D35" i="39"/>
  <c r="E35" i="39"/>
  <c r="AG378" i="38"/>
  <c r="AG462" i="38"/>
  <c r="B27" i="35"/>
  <c r="P31" i="9" s="1"/>
  <c r="AR29" i="35"/>
  <c r="AS28" i="35"/>
  <c r="BA28" i="35"/>
  <c r="AZ29" i="35"/>
  <c r="AO28" i="35"/>
  <c r="AN29" i="35"/>
  <c r="BE29" i="35"/>
  <c r="BD30" i="35"/>
  <c r="AI28" i="35"/>
  <c r="AH29" i="35"/>
  <c r="AQ28" i="35"/>
  <c r="AP29" i="35"/>
  <c r="AY28" i="35"/>
  <c r="AX29" i="35"/>
  <c r="AA28" i="35"/>
  <c r="B28" i="35" s="1"/>
  <c r="P32" i="9" s="1"/>
  <c r="Z29" i="35"/>
  <c r="AW29" i="35"/>
  <c r="AV30" i="35"/>
  <c r="BC28" i="35"/>
  <c r="BB29" i="35"/>
  <c r="AB30" i="35"/>
  <c r="AC29" i="35"/>
  <c r="AG29" i="35"/>
  <c r="AF30" i="35"/>
  <c r="AJ30" i="35"/>
  <c r="AK29" i="35"/>
  <c r="AE28" i="35"/>
  <c r="AD29" i="35"/>
  <c r="AU28" i="35"/>
  <c r="AT29" i="35"/>
  <c r="AM28" i="35"/>
  <c r="AL29" i="35"/>
  <c r="AH349" i="38" l="1"/>
  <c r="AH350" i="38" s="1"/>
  <c r="AG348" i="38"/>
  <c r="C36" i="39"/>
  <c r="A37" i="39"/>
  <c r="D36" i="39"/>
  <c r="E36" i="39"/>
  <c r="AG374" i="38"/>
  <c r="AG380" i="38"/>
  <c r="AS29" i="35"/>
  <c r="AR30" i="35"/>
  <c r="AO29" i="35"/>
  <c r="AN30" i="35"/>
  <c r="BA29" i="35"/>
  <c r="AZ30" i="35"/>
  <c r="AK30" i="35"/>
  <c r="AJ31" i="35"/>
  <c r="AC30" i="35"/>
  <c r="AB31" i="35"/>
  <c r="AM29" i="35"/>
  <c r="AL30" i="35"/>
  <c r="AE29" i="35"/>
  <c r="AD30" i="35"/>
  <c r="AG30" i="35"/>
  <c r="AF31" i="35"/>
  <c r="BC29" i="35"/>
  <c r="BB30" i="35"/>
  <c r="AW30" i="35"/>
  <c r="AV31" i="35"/>
  <c r="AA29" i="35"/>
  <c r="Z30" i="35"/>
  <c r="AQ29" i="35"/>
  <c r="AP30" i="35"/>
  <c r="AI29" i="35"/>
  <c r="AH30" i="35"/>
  <c r="AU29" i="35"/>
  <c r="AT30" i="35"/>
  <c r="AY29" i="35"/>
  <c r="AX30" i="35"/>
  <c r="BE30" i="35"/>
  <c r="BD31" i="35"/>
  <c r="AH351" i="38" l="1"/>
  <c r="AH352" i="38" s="1"/>
  <c r="AH353" i="38" s="1"/>
  <c r="AH354" i="38" s="1"/>
  <c r="AH355" i="38" s="1"/>
  <c r="AH356" i="38" s="1"/>
  <c r="AH357" i="38" s="1"/>
  <c r="AH358" i="38" s="1"/>
  <c r="AH359" i="38" s="1"/>
  <c r="AH360" i="38" s="1"/>
  <c r="AG350" i="38"/>
  <c r="C37" i="39"/>
  <c r="A38" i="39"/>
  <c r="D37" i="39"/>
  <c r="E37" i="39"/>
  <c r="AG376" i="38"/>
  <c r="AG381" i="38"/>
  <c r="B29" i="35"/>
  <c r="P33" i="9" s="1"/>
  <c r="AS30" i="35"/>
  <c r="AR31" i="35"/>
  <c r="AO30" i="35"/>
  <c r="AN31" i="35"/>
  <c r="BA30" i="35"/>
  <c r="AZ31" i="35"/>
  <c r="BE31" i="35"/>
  <c r="BD32" i="35"/>
  <c r="AY30" i="35"/>
  <c r="AX31" i="35"/>
  <c r="AI30" i="35"/>
  <c r="AH31" i="35"/>
  <c r="AA30" i="35"/>
  <c r="Z31" i="35"/>
  <c r="BC30" i="35"/>
  <c r="BB31" i="35"/>
  <c r="AE30" i="35"/>
  <c r="AD31" i="35"/>
  <c r="AC31" i="35"/>
  <c r="AB32" i="35"/>
  <c r="AU30" i="35"/>
  <c r="AT31" i="35"/>
  <c r="AQ30" i="35"/>
  <c r="AP31" i="35"/>
  <c r="AW31" i="35"/>
  <c r="AV32" i="35"/>
  <c r="AG31" i="35"/>
  <c r="AF32" i="35"/>
  <c r="AM30" i="35"/>
  <c r="AL31" i="35"/>
  <c r="AK31" i="35"/>
  <c r="AJ32" i="35"/>
  <c r="AH361" i="38" l="1"/>
  <c r="AH362" i="38" s="1"/>
  <c r="AG360" i="38"/>
  <c r="E38" i="39"/>
  <c r="A39" i="39"/>
  <c r="D38" i="39"/>
  <c r="C38" i="39"/>
  <c r="AG377" i="38"/>
  <c r="AG388" i="38"/>
  <c r="B30" i="35"/>
  <c r="P34" i="9" s="1"/>
  <c r="AR32" i="35"/>
  <c r="AS31" i="35"/>
  <c r="BA31" i="35"/>
  <c r="AZ32" i="35"/>
  <c r="AO31" i="35"/>
  <c r="AN32" i="35"/>
  <c r="AK32" i="35"/>
  <c r="AJ33" i="35"/>
  <c r="AG32" i="35"/>
  <c r="AF33" i="35"/>
  <c r="AQ31" i="35"/>
  <c r="AP32" i="35"/>
  <c r="AC32" i="35"/>
  <c r="AB33" i="35"/>
  <c r="BC31" i="35"/>
  <c r="BB32" i="35"/>
  <c r="AI31" i="35"/>
  <c r="AH32" i="35"/>
  <c r="AY31" i="35"/>
  <c r="AX32" i="35"/>
  <c r="AL32" i="35"/>
  <c r="AM31" i="35"/>
  <c r="AW32" i="35"/>
  <c r="AV33" i="35"/>
  <c r="AT32" i="35"/>
  <c r="AU31" i="35"/>
  <c r="AE31" i="35"/>
  <c r="AD32" i="35"/>
  <c r="AA31" i="35"/>
  <c r="Z32" i="35"/>
  <c r="BE32" i="35"/>
  <c r="BD33" i="35"/>
  <c r="AH363" i="38" l="1"/>
  <c r="AH364" i="38" s="1"/>
  <c r="AH365" i="38" s="1"/>
  <c r="AH366" i="38" s="1"/>
  <c r="AH367" i="38" s="1"/>
  <c r="AH368" i="38" s="1"/>
  <c r="AH369" i="38" s="1"/>
  <c r="AG362" i="38"/>
  <c r="D39" i="39"/>
  <c r="E39" i="39"/>
  <c r="C39" i="39"/>
  <c r="A40" i="39"/>
  <c r="AG390" i="38"/>
  <c r="B31" i="35"/>
  <c r="P35" i="9" s="1"/>
  <c r="AS32" i="35"/>
  <c r="AR33" i="35"/>
  <c r="BA32" i="35"/>
  <c r="AZ33" i="35"/>
  <c r="AN33" i="35"/>
  <c r="AO32" i="35"/>
  <c r="AU32" i="35"/>
  <c r="AT33" i="35"/>
  <c r="BE33" i="35"/>
  <c r="BD34" i="35"/>
  <c r="AA32" i="35"/>
  <c r="Z33" i="35"/>
  <c r="AW33" i="35"/>
  <c r="AV34" i="35"/>
  <c r="AY32" i="35"/>
  <c r="AX33" i="35"/>
  <c r="BC32" i="35"/>
  <c r="BB33" i="35"/>
  <c r="AG33" i="35"/>
  <c r="AF34" i="35"/>
  <c r="AE32" i="35"/>
  <c r="AD33" i="35"/>
  <c r="AI32" i="35"/>
  <c r="AH33" i="35"/>
  <c r="AB34" i="35"/>
  <c r="AC33" i="35"/>
  <c r="AQ32" i="35"/>
  <c r="AP33" i="35"/>
  <c r="AJ34" i="35"/>
  <c r="AK33" i="35"/>
  <c r="AM32" i="35"/>
  <c r="AL33" i="35"/>
  <c r="AH370" i="38" l="1"/>
  <c r="AH371" i="38" s="1"/>
  <c r="AH372" i="38" s="1"/>
  <c r="AH373" i="38" s="1"/>
  <c r="AH374" i="38" s="1"/>
  <c r="AH375" i="38" s="1"/>
  <c r="AH376" i="38" s="1"/>
  <c r="AH377" i="38" s="1"/>
  <c r="AH378" i="38" s="1"/>
  <c r="AH379" i="38" s="1"/>
  <c r="AH380" i="38" s="1"/>
  <c r="AH381" i="38" s="1"/>
  <c r="AH382" i="38" s="1"/>
  <c r="AG369" i="38"/>
  <c r="D40" i="39"/>
  <c r="E40" i="39"/>
  <c r="A41" i="39"/>
  <c r="C40" i="39"/>
  <c r="AG409" i="38"/>
  <c r="AG480" i="38"/>
  <c r="B32" i="35"/>
  <c r="P36" i="9" s="1"/>
  <c r="AS33" i="35"/>
  <c r="AR34" i="35"/>
  <c r="BA33" i="35"/>
  <c r="AZ34" i="35"/>
  <c r="AO33" i="35"/>
  <c r="AN34" i="35"/>
  <c r="BC33" i="35"/>
  <c r="BB34" i="35"/>
  <c r="AT34" i="35"/>
  <c r="AU33" i="35"/>
  <c r="AM33" i="35"/>
  <c r="AL34" i="35"/>
  <c r="AI33" i="35"/>
  <c r="AH34" i="35"/>
  <c r="AY33" i="35"/>
  <c r="AX34" i="35"/>
  <c r="BE34" i="35"/>
  <c r="BD35" i="35"/>
  <c r="AG34" i="35"/>
  <c r="AF35" i="35"/>
  <c r="AA33" i="35"/>
  <c r="Z34" i="35"/>
  <c r="AK34" i="35"/>
  <c r="AJ35" i="35"/>
  <c r="AQ33" i="35"/>
  <c r="AP34" i="35"/>
  <c r="AD34" i="35"/>
  <c r="AE33" i="35"/>
  <c r="AW34" i="35"/>
  <c r="AV35" i="35"/>
  <c r="AC34" i="35"/>
  <c r="AB35" i="35"/>
  <c r="AH383" i="38" l="1"/>
  <c r="AH384" i="38" s="1"/>
  <c r="AG382" i="38"/>
  <c r="C41" i="39"/>
  <c r="D41" i="39"/>
  <c r="E41" i="39"/>
  <c r="A42" i="39"/>
  <c r="AG393" i="38"/>
  <c r="AG488" i="38"/>
  <c r="B33" i="35"/>
  <c r="P37" i="9" s="1"/>
  <c r="AS34" i="35"/>
  <c r="AR35" i="35"/>
  <c r="AO34" i="35"/>
  <c r="AN35" i="35"/>
  <c r="BA34" i="35"/>
  <c r="AZ35" i="35"/>
  <c r="AC35" i="35"/>
  <c r="AB36" i="35"/>
  <c r="AQ34" i="35"/>
  <c r="AP35" i="35"/>
  <c r="AA34" i="35"/>
  <c r="Z35" i="35"/>
  <c r="BD36" i="35"/>
  <c r="BE35" i="35"/>
  <c r="AI34" i="35"/>
  <c r="AH35" i="35"/>
  <c r="AW35" i="35"/>
  <c r="AV36" i="35"/>
  <c r="AG35" i="35"/>
  <c r="AF36" i="35"/>
  <c r="AE34" i="35"/>
  <c r="AD35" i="35"/>
  <c r="AU34" i="35"/>
  <c r="AT35" i="35"/>
  <c r="AK35" i="35"/>
  <c r="AJ36" i="35"/>
  <c r="AY34" i="35"/>
  <c r="AX35" i="35"/>
  <c r="AM34" i="35"/>
  <c r="AL35" i="35"/>
  <c r="BC34" i="35"/>
  <c r="BB35" i="35"/>
  <c r="AG384" i="38" l="1"/>
  <c r="AH385" i="38"/>
  <c r="AH386" i="38" s="1"/>
  <c r="C42" i="39"/>
  <c r="A43" i="39"/>
  <c r="D42" i="39"/>
  <c r="E42" i="39"/>
  <c r="B34" i="35"/>
  <c r="P38" i="9" s="1"/>
  <c r="AR36" i="35"/>
  <c r="AS35" i="35"/>
  <c r="BA35" i="35"/>
  <c r="AZ36" i="35"/>
  <c r="AN36" i="35"/>
  <c r="AO35" i="35"/>
  <c r="AW36" i="35"/>
  <c r="AV37" i="35"/>
  <c r="AY35" i="35"/>
  <c r="AX36" i="35"/>
  <c r="AT36" i="35"/>
  <c r="AU35" i="35"/>
  <c r="AG36" i="35"/>
  <c r="AF37" i="35"/>
  <c r="AI35" i="35"/>
  <c r="AH36" i="35"/>
  <c r="AQ35" i="35"/>
  <c r="AP36" i="35"/>
  <c r="AK36" i="35"/>
  <c r="AJ37" i="35"/>
  <c r="AC36" i="35"/>
  <c r="AB37" i="35"/>
  <c r="BC35" i="35"/>
  <c r="BB36" i="35"/>
  <c r="BE36" i="35"/>
  <c r="BD37" i="35"/>
  <c r="AL36" i="35"/>
  <c r="AM35" i="35"/>
  <c r="AE35" i="35"/>
  <c r="AD36" i="35"/>
  <c r="AA35" i="35"/>
  <c r="Z36" i="35"/>
  <c r="AH387" i="38" l="1"/>
  <c r="AH388" i="38" s="1"/>
  <c r="AH389" i="38" s="1"/>
  <c r="AH390" i="38" s="1"/>
  <c r="AH391" i="38" s="1"/>
  <c r="AH392" i="38" s="1"/>
  <c r="AG386" i="38"/>
  <c r="E43" i="39"/>
  <c r="A44" i="39"/>
  <c r="C43" i="39"/>
  <c r="D43" i="39"/>
  <c r="AG398" i="38"/>
  <c r="AG497" i="38"/>
  <c r="B35" i="35"/>
  <c r="P39" i="9" s="1"/>
  <c r="AS36" i="35"/>
  <c r="AR37" i="35"/>
  <c r="BA36" i="35"/>
  <c r="AZ37" i="35"/>
  <c r="AO36" i="35"/>
  <c r="AN37" i="35"/>
  <c r="BC36" i="35"/>
  <c r="BB37" i="35"/>
  <c r="AI36" i="35"/>
  <c r="AH37" i="35"/>
  <c r="AM36" i="35"/>
  <c r="AL37" i="35"/>
  <c r="AU36" i="35"/>
  <c r="AT37" i="35"/>
  <c r="BE37" i="35"/>
  <c r="BD38" i="35"/>
  <c r="AB38" i="35"/>
  <c r="AC37" i="35"/>
  <c r="AJ38" i="35"/>
  <c r="AK37" i="35"/>
  <c r="AQ36" i="35"/>
  <c r="AP37" i="35"/>
  <c r="AG37" i="35"/>
  <c r="AF38" i="35"/>
  <c r="AY36" i="35"/>
  <c r="AX37" i="35"/>
  <c r="AW37" i="35"/>
  <c r="AV38" i="35"/>
  <c r="AA36" i="35"/>
  <c r="B36" i="35" s="1"/>
  <c r="P40" i="9" s="1"/>
  <c r="Z37" i="35"/>
  <c r="AE36" i="35"/>
  <c r="AD37" i="35"/>
  <c r="AG392" i="38" l="1"/>
  <c r="AH393" i="38"/>
  <c r="AH394" i="38" s="1"/>
  <c r="AH395" i="38" s="1"/>
  <c r="C44" i="39"/>
  <c r="A45" i="39"/>
  <c r="D44" i="39"/>
  <c r="E44" i="39"/>
  <c r="AG399" i="38"/>
  <c r="AS37" i="35"/>
  <c r="AR38" i="35"/>
  <c r="AO37" i="35"/>
  <c r="AN38" i="35"/>
  <c r="BA37" i="35"/>
  <c r="AZ38" i="35"/>
  <c r="AA37" i="35"/>
  <c r="Z38" i="35"/>
  <c r="AY37" i="35"/>
  <c r="AX38" i="35"/>
  <c r="AI37" i="35"/>
  <c r="AH38" i="35"/>
  <c r="AC38" i="35"/>
  <c r="AB39" i="35"/>
  <c r="AW38" i="35"/>
  <c r="AV39" i="35"/>
  <c r="AG38" i="35"/>
  <c r="AF39" i="35"/>
  <c r="BE38" i="35"/>
  <c r="BD39" i="35"/>
  <c r="AM37" i="35"/>
  <c r="AL38" i="35"/>
  <c r="BC37" i="35"/>
  <c r="BB38" i="35"/>
  <c r="AE37" i="35"/>
  <c r="AD38" i="35"/>
  <c r="AQ37" i="35"/>
  <c r="AP38" i="35"/>
  <c r="AU37" i="35"/>
  <c r="AT38" i="35"/>
  <c r="AK38" i="35"/>
  <c r="AJ39" i="35"/>
  <c r="AG395" i="38" l="1"/>
  <c r="AH396" i="38"/>
  <c r="AH397" i="38" s="1"/>
  <c r="AH398" i="38" s="1"/>
  <c r="AH399" i="38" s="1"/>
  <c r="AH400" i="38" s="1"/>
  <c r="AH401" i="38" s="1"/>
  <c r="AH402" i="38" s="1"/>
  <c r="AH403" i="38" s="1"/>
  <c r="C45" i="39"/>
  <c r="A46" i="39"/>
  <c r="D45" i="39"/>
  <c r="E45" i="39"/>
  <c r="B37" i="35"/>
  <c r="P41" i="9" s="1"/>
  <c r="AS38" i="35"/>
  <c r="AR39" i="35"/>
  <c r="BA38" i="35"/>
  <c r="AZ39" i="35"/>
  <c r="AO38" i="35"/>
  <c r="AN39" i="35"/>
  <c r="AK39" i="35"/>
  <c r="AJ40" i="35"/>
  <c r="AG39" i="35"/>
  <c r="AF40" i="35"/>
  <c r="AI38" i="35"/>
  <c r="AH39" i="35"/>
  <c r="AY38" i="35"/>
  <c r="AX39" i="35"/>
  <c r="BC38" i="35"/>
  <c r="BB39" i="35"/>
  <c r="AU38" i="35"/>
  <c r="AT39" i="35"/>
  <c r="AE38" i="35"/>
  <c r="AD39" i="35"/>
  <c r="AM38" i="35"/>
  <c r="AL39" i="35"/>
  <c r="BE39" i="35"/>
  <c r="BD40" i="35"/>
  <c r="AW39" i="35"/>
  <c r="AV40" i="35"/>
  <c r="AC39" i="35"/>
  <c r="AB40" i="35"/>
  <c r="AA38" i="35"/>
  <c r="Z39" i="35"/>
  <c r="AQ38" i="35"/>
  <c r="AP39" i="35"/>
  <c r="AH404" i="38" l="1"/>
  <c r="AG403" i="38"/>
  <c r="C46" i="39"/>
  <c r="D46" i="39"/>
  <c r="E46" i="39"/>
  <c r="A47" i="39"/>
  <c r="AG407" i="38"/>
  <c r="AG517" i="38"/>
  <c r="B38" i="35"/>
  <c r="P42" i="9" s="1"/>
  <c r="AS39" i="35"/>
  <c r="AR40" i="35"/>
  <c r="AO39" i="35"/>
  <c r="AN40" i="35"/>
  <c r="BA39" i="35"/>
  <c r="AZ40" i="35"/>
  <c r="AQ39" i="35"/>
  <c r="AP40" i="35"/>
  <c r="AL40" i="35"/>
  <c r="AM39" i="35"/>
  <c r="AT40" i="35"/>
  <c r="AU39" i="35"/>
  <c r="AW40" i="35"/>
  <c r="AV41" i="35"/>
  <c r="AY39" i="35"/>
  <c r="AX40" i="35"/>
  <c r="AA39" i="35"/>
  <c r="Z40" i="35"/>
  <c r="AC40" i="35"/>
  <c r="AB41" i="35"/>
  <c r="BE40" i="35"/>
  <c r="BD41" i="35"/>
  <c r="AE39" i="35"/>
  <c r="AD40" i="35"/>
  <c r="BC39" i="35"/>
  <c r="BB40" i="35"/>
  <c r="AI39" i="35"/>
  <c r="AH40" i="35"/>
  <c r="AG40" i="35"/>
  <c r="AF41" i="35"/>
  <c r="AK40" i="35"/>
  <c r="AJ41" i="35"/>
  <c r="AH405" i="38" l="1"/>
  <c r="AG404" i="38"/>
  <c r="E47" i="39"/>
  <c r="D47" i="39"/>
  <c r="C47" i="39"/>
  <c r="A48" i="39"/>
  <c r="AG410" i="38"/>
  <c r="AG439" i="38"/>
  <c r="B39" i="35"/>
  <c r="P43" i="9" s="1"/>
  <c r="AS40" i="35"/>
  <c r="AR41" i="35"/>
  <c r="BA40" i="35"/>
  <c r="AZ41" i="35"/>
  <c r="AO40" i="35"/>
  <c r="AN41" i="35"/>
  <c r="BC40" i="35"/>
  <c r="BB41" i="35"/>
  <c r="BE41" i="35"/>
  <c r="BD42" i="35"/>
  <c r="AW41" i="35"/>
  <c r="AV42" i="35"/>
  <c r="AM40" i="35"/>
  <c r="AL41" i="35"/>
  <c r="AG41" i="35"/>
  <c r="AF42" i="35"/>
  <c r="AA40" i="35"/>
  <c r="Z41" i="35"/>
  <c r="AJ42" i="35"/>
  <c r="AK41" i="35"/>
  <c r="AI40" i="35"/>
  <c r="AH41" i="35"/>
  <c r="AE40" i="35"/>
  <c r="AD41" i="35"/>
  <c r="AB42" i="35"/>
  <c r="AC41" i="35"/>
  <c r="AY40" i="35"/>
  <c r="AX41" i="35"/>
  <c r="AQ40" i="35"/>
  <c r="AP41" i="35"/>
  <c r="AU40" i="35"/>
  <c r="AT41" i="35"/>
  <c r="AH406" i="38" l="1"/>
  <c r="AH407" i="38" s="1"/>
  <c r="AH408" i="38" s="1"/>
  <c r="AG405" i="38"/>
  <c r="D48" i="39"/>
  <c r="C48" i="39"/>
  <c r="E48" i="39"/>
  <c r="AG412" i="38"/>
  <c r="AG447" i="38"/>
  <c r="B40" i="35"/>
  <c r="P44" i="9" s="1"/>
  <c r="AS41" i="35"/>
  <c r="AR42" i="35"/>
  <c r="BA41" i="35"/>
  <c r="AZ42" i="35"/>
  <c r="AO41" i="35"/>
  <c r="AN42" i="35"/>
  <c r="AT42" i="35"/>
  <c r="AU41" i="35"/>
  <c r="AG42" i="35"/>
  <c r="AF43" i="35"/>
  <c r="AW42" i="35"/>
  <c r="AV43" i="35"/>
  <c r="BC41" i="35"/>
  <c r="BB42" i="35"/>
  <c r="AC42" i="35"/>
  <c r="AB43" i="35"/>
  <c r="AI41" i="35"/>
  <c r="AH42" i="35"/>
  <c r="AQ41" i="35"/>
  <c r="AP42" i="35"/>
  <c r="AY41" i="35"/>
  <c r="AX42" i="35"/>
  <c r="AD42" i="35"/>
  <c r="AE41" i="35"/>
  <c r="AA41" i="35"/>
  <c r="Z42" i="35"/>
  <c r="AM41" i="35"/>
  <c r="AL42" i="35"/>
  <c r="BE42" i="35"/>
  <c r="BD43" i="35"/>
  <c r="AK42" i="35"/>
  <c r="AJ43" i="35"/>
  <c r="AH409" i="38" l="1"/>
  <c r="AH410" i="38" s="1"/>
  <c r="AH411" i="38" s="1"/>
  <c r="AH412" i="38" s="1"/>
  <c r="AH413" i="38" s="1"/>
  <c r="AG408" i="38"/>
  <c r="AG415" i="38"/>
  <c r="AG457" i="38"/>
  <c r="B41" i="35"/>
  <c r="P45" i="9" s="1"/>
  <c r="AS42" i="35"/>
  <c r="AR43" i="35"/>
  <c r="AO42" i="35"/>
  <c r="AN43" i="35"/>
  <c r="BA42" i="35"/>
  <c r="AZ43" i="35"/>
  <c r="AU42" i="35"/>
  <c r="AT43" i="35"/>
  <c r="BD44" i="35"/>
  <c r="BE43" i="35"/>
  <c r="AA42" i="35"/>
  <c r="Z43" i="35"/>
  <c r="AY42" i="35"/>
  <c r="AX43" i="35"/>
  <c r="AI42" i="35"/>
  <c r="AH43" i="35"/>
  <c r="AC43" i="35"/>
  <c r="AB44" i="35"/>
  <c r="AW43" i="35"/>
  <c r="AV44" i="35"/>
  <c r="AK43" i="35"/>
  <c r="AJ44" i="35"/>
  <c r="AM42" i="35"/>
  <c r="AL43" i="35"/>
  <c r="AQ42" i="35"/>
  <c r="AP43" i="35"/>
  <c r="BC42" i="35"/>
  <c r="BB43" i="35"/>
  <c r="AG43" i="35"/>
  <c r="AF44" i="35"/>
  <c r="AE42" i="35"/>
  <c r="AD43" i="35"/>
  <c r="AH414" i="38" l="1"/>
  <c r="AH415" i="38" s="1"/>
  <c r="AH416" i="38" s="1"/>
  <c r="AG413" i="38"/>
  <c r="AH417" i="38"/>
  <c r="AG416" i="38"/>
  <c r="B42" i="35"/>
  <c r="P46" i="9" s="1"/>
  <c r="AR44" i="35"/>
  <c r="AS43" i="35"/>
  <c r="BA43" i="35"/>
  <c r="AZ44" i="35"/>
  <c r="AN44" i="35"/>
  <c r="AO43" i="35"/>
  <c r="AE43" i="35"/>
  <c r="AD44" i="35"/>
  <c r="AQ43" i="35"/>
  <c r="AP44" i="35"/>
  <c r="AW44" i="35"/>
  <c r="AV45" i="35"/>
  <c r="AA43" i="35"/>
  <c r="B43" i="35" s="1"/>
  <c r="P47" i="9" s="1"/>
  <c r="Z44" i="35"/>
  <c r="AK44" i="35"/>
  <c r="AJ45" i="35"/>
  <c r="AG44" i="35"/>
  <c r="AF45" i="35"/>
  <c r="AL44" i="35"/>
  <c r="AM43" i="35"/>
  <c r="AC44" i="35"/>
  <c r="AB45" i="35"/>
  <c r="AY43" i="35"/>
  <c r="AX44" i="35"/>
  <c r="AT44" i="35"/>
  <c r="AU43" i="35"/>
  <c r="BC43" i="35"/>
  <c r="BB44" i="35"/>
  <c r="AI43" i="35"/>
  <c r="AH44" i="35"/>
  <c r="BE44" i="35"/>
  <c r="BD45" i="35"/>
  <c r="AH418" i="38" l="1"/>
  <c r="AH419" i="38" s="1"/>
  <c r="AG417" i="38"/>
  <c r="AG534" i="38"/>
  <c r="AR45" i="35"/>
  <c r="AS44" i="35"/>
  <c r="BA44" i="35"/>
  <c r="AZ45" i="35"/>
  <c r="AO44" i="35"/>
  <c r="AN45" i="35"/>
  <c r="AY44" i="35"/>
  <c r="AX45" i="35"/>
  <c r="AQ44" i="35"/>
  <c r="AP45" i="35"/>
  <c r="BE45" i="35"/>
  <c r="BD46" i="35"/>
  <c r="AA44" i="35"/>
  <c r="B44" i="35" s="1"/>
  <c r="P48" i="9" s="1"/>
  <c r="Z45" i="35"/>
  <c r="AI44" i="35"/>
  <c r="AH45" i="35"/>
  <c r="AB46" i="35"/>
  <c r="AC45" i="35"/>
  <c r="AG45" i="35"/>
  <c r="AF46" i="35"/>
  <c r="AJ46" i="35"/>
  <c r="AK45" i="35"/>
  <c r="AW45" i="35"/>
  <c r="AV46" i="35"/>
  <c r="AE44" i="35"/>
  <c r="AD45" i="35"/>
  <c r="BC44" i="35"/>
  <c r="BB45" i="35"/>
  <c r="AU44" i="35"/>
  <c r="AT45" i="35"/>
  <c r="AM44" i="35"/>
  <c r="AL45" i="35"/>
  <c r="AH420" i="38" l="1"/>
  <c r="AG419" i="38"/>
  <c r="AH421" i="38"/>
  <c r="AG420" i="38"/>
  <c r="AG467" i="38"/>
  <c r="AR46" i="35"/>
  <c r="AS45" i="35"/>
  <c r="AO45" i="35"/>
  <c r="AN46" i="35"/>
  <c r="BA45" i="35"/>
  <c r="AZ46" i="35"/>
  <c r="AM45" i="35"/>
  <c r="AL46" i="35"/>
  <c r="AE45" i="35"/>
  <c r="AD46" i="35"/>
  <c r="AA45" i="35"/>
  <c r="Z46" i="35"/>
  <c r="BE46" i="35"/>
  <c r="BD47" i="35"/>
  <c r="AK46" i="35"/>
  <c r="AJ47" i="35"/>
  <c r="AC46" i="35"/>
  <c r="AB47" i="35"/>
  <c r="AU45" i="35"/>
  <c r="AT46" i="35"/>
  <c r="BC45" i="35"/>
  <c r="BB46" i="35"/>
  <c r="AW46" i="35"/>
  <c r="AV47" i="35"/>
  <c r="AG46" i="35"/>
  <c r="AF47" i="35"/>
  <c r="AI45" i="35"/>
  <c r="AH46" i="35"/>
  <c r="AQ45" i="35"/>
  <c r="AP46" i="35"/>
  <c r="AY45" i="35"/>
  <c r="AX46" i="35"/>
  <c r="AH422" i="38" l="1"/>
  <c r="AH423" i="38" s="1"/>
  <c r="AG421" i="38"/>
  <c r="AH424" i="38"/>
  <c r="AH425" i="38" s="1"/>
  <c r="AH426" i="38" s="1"/>
  <c r="AH427" i="38" s="1"/>
  <c r="AG423" i="38"/>
  <c r="B45" i="35"/>
  <c r="P49" i="9" s="1"/>
  <c r="AS46" i="35"/>
  <c r="AR47" i="35"/>
  <c r="BA46" i="35"/>
  <c r="AZ47" i="35"/>
  <c r="AO46" i="35"/>
  <c r="AN47" i="35"/>
  <c r="BC46" i="35"/>
  <c r="BB47" i="35"/>
  <c r="AA46" i="35"/>
  <c r="Z47" i="35"/>
  <c r="AY46" i="35"/>
  <c r="AX47" i="35"/>
  <c r="AG47" i="35"/>
  <c r="AF48" i="35"/>
  <c r="AC47" i="35"/>
  <c r="AB48" i="35"/>
  <c r="AQ46" i="35"/>
  <c r="AP47" i="35"/>
  <c r="AI46" i="35"/>
  <c r="AH47" i="35"/>
  <c r="AW47" i="35"/>
  <c r="AV48" i="35"/>
  <c r="AU46" i="35"/>
  <c r="AT47" i="35"/>
  <c r="AK47" i="35"/>
  <c r="AJ48" i="35"/>
  <c r="BE47" i="35"/>
  <c r="BD48" i="35"/>
  <c r="AE46" i="35"/>
  <c r="AD47" i="35"/>
  <c r="AM46" i="35"/>
  <c r="AL47" i="35"/>
  <c r="AH428" i="38" l="1"/>
  <c r="AG427" i="38"/>
  <c r="AG451" i="38"/>
  <c r="B46" i="35"/>
  <c r="P50" i="9" s="1"/>
  <c r="AS47" i="35"/>
  <c r="AR48" i="35"/>
  <c r="AO47" i="35"/>
  <c r="AN48" i="35"/>
  <c r="BA47" i="35"/>
  <c r="AZ48" i="35"/>
  <c r="AL48" i="35"/>
  <c r="AM47" i="35"/>
  <c r="AT48" i="35"/>
  <c r="AU47" i="35"/>
  <c r="AA47" i="35"/>
  <c r="Z48" i="35"/>
  <c r="BE48" i="35"/>
  <c r="BD49" i="35"/>
  <c r="AI47" i="35"/>
  <c r="AH48" i="35"/>
  <c r="AG48" i="35"/>
  <c r="AF49" i="35"/>
  <c r="BC47" i="35"/>
  <c r="BB48" i="35"/>
  <c r="AE47" i="35"/>
  <c r="AD48" i="35"/>
  <c r="AK48" i="35"/>
  <c r="AJ49" i="35"/>
  <c r="AW48" i="35"/>
  <c r="AV49" i="35"/>
  <c r="AQ47" i="35"/>
  <c r="AP48" i="35"/>
  <c r="AC48" i="35"/>
  <c r="AB49" i="35"/>
  <c r="AY47" i="35"/>
  <c r="AX48" i="35"/>
  <c r="AH429" i="38" l="1"/>
  <c r="AG428" i="38"/>
  <c r="AG452" i="38"/>
  <c r="AG481" i="38"/>
  <c r="AG544" i="38"/>
  <c r="B47" i="35"/>
  <c r="P51" i="9" s="1"/>
  <c r="AS48" i="35"/>
  <c r="AR49" i="35"/>
  <c r="BA48" i="35"/>
  <c r="AZ49" i="35"/>
  <c r="AO48" i="35"/>
  <c r="AN49" i="35"/>
  <c r="AQ48" i="35"/>
  <c r="AP49" i="35"/>
  <c r="BC48" i="35"/>
  <c r="BB49" i="35"/>
  <c r="AI48" i="35"/>
  <c r="AH49" i="35"/>
  <c r="AU48" i="35"/>
  <c r="AT49" i="35"/>
  <c r="AY48" i="35"/>
  <c r="AX49" i="35"/>
  <c r="AJ50" i="35"/>
  <c r="AK49" i="35"/>
  <c r="AA48" i="35"/>
  <c r="B48" i="35" s="1"/>
  <c r="P52" i="9" s="1"/>
  <c r="Z49" i="35"/>
  <c r="AB50" i="35"/>
  <c r="AC49" i="35"/>
  <c r="AW49" i="35"/>
  <c r="AV50" i="35"/>
  <c r="AE48" i="35"/>
  <c r="AD49" i="35"/>
  <c r="AG49" i="35"/>
  <c r="AF50" i="35"/>
  <c r="BE49" i="35"/>
  <c r="BD50" i="35"/>
  <c r="AM48" i="35"/>
  <c r="AL49" i="35"/>
  <c r="AH430" i="38" l="1"/>
  <c r="AG429" i="38"/>
  <c r="AG458" i="38"/>
  <c r="AG552" i="38"/>
  <c r="AR50" i="35"/>
  <c r="AS49" i="35"/>
  <c r="AO49" i="35"/>
  <c r="AN50" i="35"/>
  <c r="BA49" i="35"/>
  <c r="AZ50" i="35"/>
  <c r="AM49" i="35"/>
  <c r="AL50" i="35"/>
  <c r="AI49" i="35"/>
  <c r="AH50" i="35"/>
  <c r="AC50" i="35"/>
  <c r="AB51" i="35"/>
  <c r="AD50" i="35"/>
  <c r="AE49" i="35"/>
  <c r="AY49" i="35"/>
  <c r="AX50" i="35"/>
  <c r="AW50" i="35"/>
  <c r="AV51" i="35"/>
  <c r="AT50" i="35"/>
  <c r="AU49" i="35"/>
  <c r="BC49" i="35"/>
  <c r="BB50" i="35"/>
  <c r="BE50" i="35"/>
  <c r="BD51" i="35"/>
  <c r="AA49" i="35"/>
  <c r="Z50" i="35"/>
  <c r="AQ49" i="35"/>
  <c r="AP50" i="35"/>
  <c r="AG50" i="35"/>
  <c r="AF51" i="35"/>
  <c r="AK50" i="35"/>
  <c r="AJ51" i="35"/>
  <c r="AH431" i="38" l="1"/>
  <c r="AH432" i="38" s="1"/>
  <c r="AH433" i="38" s="1"/>
  <c r="AG430" i="38"/>
  <c r="AG496" i="38"/>
  <c r="B49" i="35"/>
  <c r="P53" i="9" s="1"/>
  <c r="AR51" i="35"/>
  <c r="AS50" i="35"/>
  <c r="BA50" i="35"/>
  <c r="AZ51" i="35"/>
  <c r="AO50" i="35"/>
  <c r="AN51" i="35"/>
  <c r="AK51" i="35"/>
  <c r="AJ52" i="35"/>
  <c r="AG51" i="35"/>
  <c r="AF52" i="35"/>
  <c r="AA50" i="35"/>
  <c r="Z51" i="35"/>
  <c r="AW51" i="35"/>
  <c r="AV52" i="35"/>
  <c r="AI50" i="35"/>
  <c r="AH51" i="35"/>
  <c r="AU50" i="35"/>
  <c r="AT51" i="35"/>
  <c r="AE50" i="35"/>
  <c r="AD51" i="35"/>
  <c r="AQ50" i="35"/>
  <c r="AP51" i="35"/>
  <c r="BE51" i="35"/>
  <c r="BD52" i="35"/>
  <c r="BC50" i="35"/>
  <c r="BB51" i="35"/>
  <c r="AY50" i="35"/>
  <c r="AX51" i="35"/>
  <c r="AC51" i="35"/>
  <c r="AB52" i="35"/>
  <c r="AM50" i="35"/>
  <c r="AL51" i="35"/>
  <c r="AH434" i="38" l="1"/>
  <c r="AH435" i="38" s="1"/>
  <c r="AH436" i="38" s="1"/>
  <c r="AH437" i="38" s="1"/>
  <c r="AG433" i="38"/>
  <c r="AG463" i="38"/>
  <c r="B50" i="35"/>
  <c r="P54" i="9" s="1"/>
  <c r="AR52" i="35"/>
  <c r="AS51" i="35"/>
  <c r="AN52" i="35"/>
  <c r="AO51" i="35"/>
  <c r="BA51" i="35"/>
  <c r="AZ52" i="35"/>
  <c r="BC51" i="35"/>
  <c r="BB52" i="35"/>
  <c r="AQ51" i="35"/>
  <c r="AP52" i="35"/>
  <c r="AE51" i="35"/>
  <c r="AD52" i="35"/>
  <c r="AI51" i="35"/>
  <c r="AH52" i="35"/>
  <c r="AG52" i="35"/>
  <c r="AF53" i="35"/>
  <c r="AY51" i="35"/>
  <c r="AX52" i="35"/>
  <c r="AC52" i="35"/>
  <c r="AB53" i="35"/>
  <c r="BE52" i="35"/>
  <c r="BD53" i="35"/>
  <c r="AT52" i="35"/>
  <c r="AU51" i="35"/>
  <c r="AW52" i="35"/>
  <c r="AV53" i="35"/>
  <c r="AA51" i="35"/>
  <c r="Z52" i="35"/>
  <c r="AK52" i="35"/>
  <c r="AJ53" i="35"/>
  <c r="AL52" i="35"/>
  <c r="AM51" i="35"/>
  <c r="AH438" i="38" l="1"/>
  <c r="AH439" i="38" s="1"/>
  <c r="AH440" i="38" s="1"/>
  <c r="AH441" i="38" s="1"/>
  <c r="AH442" i="38" s="1"/>
  <c r="AH443" i="38" s="1"/>
  <c r="AH444" i="38" s="1"/>
  <c r="AH445" i="38" s="1"/>
  <c r="AH446" i="38" s="1"/>
  <c r="AG437" i="38"/>
  <c r="AG466" i="38"/>
  <c r="AG502" i="38"/>
  <c r="AG565" i="38"/>
  <c r="B51" i="35"/>
  <c r="P55" i="9" s="1"/>
  <c r="AS52" i="35"/>
  <c r="AR53" i="35"/>
  <c r="BA52" i="35"/>
  <c r="AZ53" i="35"/>
  <c r="AO52" i="35"/>
  <c r="AN53" i="35"/>
  <c r="AA52" i="35"/>
  <c r="Z53" i="35"/>
  <c r="BE53" i="35"/>
  <c r="BD54" i="35"/>
  <c r="AI52" i="35"/>
  <c r="AH53" i="35"/>
  <c r="AM52" i="35"/>
  <c r="AL53" i="35"/>
  <c r="AU52" i="35"/>
  <c r="AT53" i="35"/>
  <c r="AG53" i="35"/>
  <c r="AF54" i="35"/>
  <c r="AJ54" i="35"/>
  <c r="AK53" i="35"/>
  <c r="AW53" i="35"/>
  <c r="AV54" i="35"/>
  <c r="AY52" i="35"/>
  <c r="AX53" i="35"/>
  <c r="AE52" i="35"/>
  <c r="AD53" i="35"/>
  <c r="BC52" i="35"/>
  <c r="BB53" i="35"/>
  <c r="AB54" i="35"/>
  <c r="AC53" i="35"/>
  <c r="AQ52" i="35"/>
  <c r="AP53" i="35"/>
  <c r="AH447" i="38" l="1"/>
  <c r="AH448" i="38" s="1"/>
  <c r="AH449" i="38" s="1"/>
  <c r="AH450" i="38" s="1"/>
  <c r="AH451" i="38" s="1"/>
  <c r="AH452" i="38" s="1"/>
  <c r="AH453" i="38" s="1"/>
  <c r="AH454" i="38" s="1"/>
  <c r="AH455" i="38" s="1"/>
  <c r="AH456" i="38" s="1"/>
  <c r="AG446" i="38"/>
  <c r="AG505" i="38"/>
  <c r="B52" i="35"/>
  <c r="P56" i="9" s="1"/>
  <c r="AS53" i="35"/>
  <c r="AR54" i="35"/>
  <c r="AO53" i="35"/>
  <c r="AN54" i="35"/>
  <c r="BA53" i="35"/>
  <c r="AZ54" i="35"/>
  <c r="BC53" i="35"/>
  <c r="BB54" i="35"/>
  <c r="AW54" i="35"/>
  <c r="AV55" i="35"/>
  <c r="AG54" i="35"/>
  <c r="AF55" i="35"/>
  <c r="AM53" i="35"/>
  <c r="AL54" i="35"/>
  <c r="BE54" i="35"/>
  <c r="BD55" i="35"/>
  <c r="AE53" i="35"/>
  <c r="AD54" i="35"/>
  <c r="AY53" i="35"/>
  <c r="AX54" i="35"/>
  <c r="AU53" i="35"/>
  <c r="AT54" i="35"/>
  <c r="AI53" i="35"/>
  <c r="AH54" i="35"/>
  <c r="AA53" i="35"/>
  <c r="Z54" i="35"/>
  <c r="AQ53" i="35"/>
  <c r="AP54" i="35"/>
  <c r="AC54" i="35"/>
  <c r="AB55" i="35"/>
  <c r="AK54" i="35"/>
  <c r="AJ55" i="35"/>
  <c r="AH457" i="38" l="1"/>
  <c r="AH458" i="38" s="1"/>
  <c r="AH459" i="38" s="1"/>
  <c r="AH460" i="38" s="1"/>
  <c r="AG456" i="38"/>
  <c r="AG473" i="38"/>
  <c r="AG518" i="38"/>
  <c r="AG568" i="38"/>
  <c r="B53" i="35"/>
  <c r="P57" i="9" s="1"/>
  <c r="AS54" i="35"/>
  <c r="AR55" i="35"/>
  <c r="AO54" i="35"/>
  <c r="AN55" i="35"/>
  <c r="BA54" i="35"/>
  <c r="AZ55" i="35"/>
  <c r="AQ54" i="35"/>
  <c r="AP55" i="35"/>
  <c r="BE55" i="35"/>
  <c r="BD56" i="35"/>
  <c r="AG55" i="35"/>
  <c r="AF56" i="35"/>
  <c r="AA54" i="35"/>
  <c r="Z55" i="35"/>
  <c r="AU54" i="35"/>
  <c r="AT55" i="35"/>
  <c r="AY54" i="35"/>
  <c r="AX55" i="35"/>
  <c r="AM54" i="35"/>
  <c r="AL55" i="35"/>
  <c r="AW55" i="35"/>
  <c r="AV56" i="35"/>
  <c r="BC54" i="35"/>
  <c r="BB55" i="35"/>
  <c r="AK55" i="35"/>
  <c r="AJ56" i="35"/>
  <c r="AI54" i="35"/>
  <c r="AH55" i="35"/>
  <c r="AE54" i="35"/>
  <c r="AD55" i="35"/>
  <c r="AC55" i="35"/>
  <c r="AB56" i="35"/>
  <c r="AH461" i="38" l="1"/>
  <c r="AG460" i="38"/>
  <c r="AG476" i="38"/>
  <c r="B54" i="35"/>
  <c r="P58" i="9" s="1"/>
  <c r="AR56" i="35"/>
  <c r="AS55" i="35"/>
  <c r="BA55" i="35"/>
  <c r="AZ56" i="35"/>
  <c r="AO55" i="35"/>
  <c r="AN56" i="35"/>
  <c r="AE55" i="35"/>
  <c r="AD56" i="35"/>
  <c r="AW56" i="35"/>
  <c r="AV57" i="35"/>
  <c r="AT56" i="35"/>
  <c r="AU55" i="35"/>
  <c r="AG56" i="35"/>
  <c r="AF57" i="35"/>
  <c r="BE56" i="35"/>
  <c r="BD57" i="35"/>
  <c r="AC56" i="35"/>
  <c r="AB57" i="35"/>
  <c r="AI55" i="35"/>
  <c r="AH56" i="35"/>
  <c r="BC55" i="35"/>
  <c r="BB56" i="35"/>
  <c r="AL56" i="35"/>
  <c r="AM55" i="35"/>
  <c r="AY55" i="35"/>
  <c r="AX56" i="35"/>
  <c r="AA55" i="35"/>
  <c r="Z56" i="35"/>
  <c r="AQ55" i="35"/>
  <c r="AP56" i="35"/>
  <c r="AK56" i="35"/>
  <c r="AJ57" i="35"/>
  <c r="AH462" i="38" l="1"/>
  <c r="AH463" i="38" s="1"/>
  <c r="AH464" i="38" s="1"/>
  <c r="AH465" i="38" s="1"/>
  <c r="AG461" i="38"/>
  <c r="AG477" i="38"/>
  <c r="AG525" i="38"/>
  <c r="B55" i="35"/>
  <c r="P59" i="9" s="1"/>
  <c r="AS56" i="35"/>
  <c r="AR57" i="35"/>
  <c r="BA56" i="35"/>
  <c r="AZ57" i="35"/>
  <c r="AO56" i="35"/>
  <c r="AN57" i="35"/>
  <c r="AJ58" i="35"/>
  <c r="AK57" i="35"/>
  <c r="AY56" i="35"/>
  <c r="AX57" i="35"/>
  <c r="BC56" i="35"/>
  <c r="BB57" i="35"/>
  <c r="AB58" i="35"/>
  <c r="AC57" i="35"/>
  <c r="AG57" i="35"/>
  <c r="AF58" i="35"/>
  <c r="AW57" i="35"/>
  <c r="AV58" i="35"/>
  <c r="AQ56" i="35"/>
  <c r="AP57" i="35"/>
  <c r="AI56" i="35"/>
  <c r="AH57" i="35"/>
  <c r="BE57" i="35"/>
  <c r="BD58" i="35"/>
  <c r="AE56" i="35"/>
  <c r="AD57" i="35"/>
  <c r="AA56" i="35"/>
  <c r="B56" i="35" s="1"/>
  <c r="P60" i="9" s="1"/>
  <c r="Z57" i="35"/>
  <c r="AM56" i="35"/>
  <c r="AL57" i="35"/>
  <c r="AU56" i="35"/>
  <c r="AT57" i="35"/>
  <c r="AH466" i="38" l="1"/>
  <c r="AH467" i="38" s="1"/>
  <c r="AH468" i="38" s="1"/>
  <c r="AG465" i="38"/>
  <c r="AG486" i="38"/>
  <c r="AG577" i="38"/>
  <c r="AS57" i="35"/>
  <c r="AR58" i="35"/>
  <c r="AO57" i="35"/>
  <c r="AN58" i="35"/>
  <c r="BA57" i="35"/>
  <c r="AZ58" i="35"/>
  <c r="AT58" i="35"/>
  <c r="AU57" i="35"/>
  <c r="AA57" i="35"/>
  <c r="Z58" i="35"/>
  <c r="BE58" i="35"/>
  <c r="BD59" i="35"/>
  <c r="AI57" i="35"/>
  <c r="AH58" i="35"/>
  <c r="AW58" i="35"/>
  <c r="AV59" i="35"/>
  <c r="BC57" i="35"/>
  <c r="BB58" i="35"/>
  <c r="AD58" i="35"/>
  <c r="AE57" i="35"/>
  <c r="AQ57" i="35"/>
  <c r="AP58" i="35"/>
  <c r="AG58" i="35"/>
  <c r="AF59" i="35"/>
  <c r="AY57" i="35"/>
  <c r="AX58" i="35"/>
  <c r="AC58" i="35"/>
  <c r="AB59" i="35"/>
  <c r="AM57" i="35"/>
  <c r="AL58" i="35"/>
  <c r="AK58" i="35"/>
  <c r="AJ59" i="35"/>
  <c r="AH469" i="38" l="1"/>
  <c r="AH470" i="38" s="1"/>
  <c r="AH471" i="38" s="1"/>
  <c r="AH472" i="38" s="1"/>
  <c r="AG468" i="38"/>
  <c r="AG492" i="38"/>
  <c r="B57" i="35"/>
  <c r="P61" i="9" s="1"/>
  <c r="AS58" i="35"/>
  <c r="AR59" i="35"/>
  <c r="BA58" i="35"/>
  <c r="AZ59" i="35"/>
  <c r="AO58" i="35"/>
  <c r="AN59" i="35"/>
  <c r="AM58" i="35"/>
  <c r="AL59" i="35"/>
  <c r="BC58" i="35"/>
  <c r="BB59" i="35"/>
  <c r="AI58" i="35"/>
  <c r="AH59" i="35"/>
  <c r="AA58" i="35"/>
  <c r="Z59" i="35"/>
  <c r="AK59" i="35"/>
  <c r="AJ60" i="35"/>
  <c r="AQ58" i="35"/>
  <c r="AP59" i="35"/>
  <c r="AY58" i="35"/>
  <c r="AX59" i="35"/>
  <c r="AG59" i="35"/>
  <c r="AF60" i="35"/>
  <c r="AW59" i="35"/>
  <c r="AV60" i="35"/>
  <c r="BD60" i="35"/>
  <c r="BE59" i="35"/>
  <c r="AC59" i="35"/>
  <c r="AB60" i="35"/>
  <c r="AE58" i="35"/>
  <c r="AD59" i="35"/>
  <c r="AU58" i="35"/>
  <c r="AT59" i="35"/>
  <c r="AH473" i="38" l="1"/>
  <c r="AH474" i="38" s="1"/>
  <c r="AG472" i="38"/>
  <c r="AG494" i="38"/>
  <c r="AG535" i="38"/>
  <c r="B58" i="35"/>
  <c r="P62" i="9" s="1"/>
  <c r="AS59" i="35"/>
  <c r="AR60" i="35"/>
  <c r="AN60" i="35"/>
  <c r="AO59" i="35"/>
  <c r="BA59" i="35"/>
  <c r="AZ60" i="35"/>
  <c r="AT60" i="35"/>
  <c r="AU59" i="35"/>
  <c r="AG60" i="35"/>
  <c r="AF61" i="35"/>
  <c r="AK60" i="35"/>
  <c r="AJ61" i="35"/>
  <c r="AI59" i="35"/>
  <c r="AH60" i="35"/>
  <c r="AC60" i="35"/>
  <c r="AB61" i="35"/>
  <c r="AW60" i="35"/>
  <c r="AV61" i="35"/>
  <c r="AY59" i="35"/>
  <c r="AX60" i="35"/>
  <c r="AQ59" i="35"/>
  <c r="AP60" i="35"/>
  <c r="AA59" i="35"/>
  <c r="Z60" i="35"/>
  <c r="BC59" i="35"/>
  <c r="BB60" i="35"/>
  <c r="AL60" i="35"/>
  <c r="AM59" i="35"/>
  <c r="BE60" i="35"/>
  <c r="BD61" i="35"/>
  <c r="AE59" i="35"/>
  <c r="AD60" i="35"/>
  <c r="AH475" i="38" l="1"/>
  <c r="AH476" i="38" s="1"/>
  <c r="AH477" i="38" s="1"/>
  <c r="AH478" i="38" s="1"/>
  <c r="AH479" i="38" s="1"/>
  <c r="AH480" i="38" s="1"/>
  <c r="AH481" i="38" s="1"/>
  <c r="AH482" i="38" s="1"/>
  <c r="AH483" i="38" s="1"/>
  <c r="AH484" i="38" s="1"/>
  <c r="AH485" i="38" s="1"/>
  <c r="AH486" i="38" s="1"/>
  <c r="AH487" i="38" s="1"/>
  <c r="AH488" i="38" s="1"/>
  <c r="AH489" i="38" s="1"/>
  <c r="AG474" i="38"/>
  <c r="AG501" i="38"/>
  <c r="AG586" i="38"/>
  <c r="B59" i="35"/>
  <c r="P63" i="9" s="1"/>
  <c r="AS60" i="35"/>
  <c r="AR61" i="35"/>
  <c r="BA60" i="35"/>
  <c r="AZ61" i="35"/>
  <c r="AO60" i="35"/>
  <c r="AN61" i="35"/>
  <c r="AY60" i="35"/>
  <c r="AX61" i="35"/>
  <c r="AI60" i="35"/>
  <c r="AH61" i="35"/>
  <c r="AM60" i="35"/>
  <c r="AL61" i="35"/>
  <c r="AA60" i="35"/>
  <c r="Z61" i="35"/>
  <c r="BC60" i="35"/>
  <c r="BB61" i="35"/>
  <c r="AQ60" i="35"/>
  <c r="AP61" i="35"/>
  <c r="AW61" i="35"/>
  <c r="AV62" i="35"/>
  <c r="AJ62" i="35"/>
  <c r="AK61" i="35"/>
  <c r="AG61" i="35"/>
  <c r="AF62" i="35"/>
  <c r="AE60" i="35"/>
  <c r="AD61" i="35"/>
  <c r="AB62" i="35"/>
  <c r="AC61" i="35"/>
  <c r="BE61" i="35"/>
  <c r="BD62" i="35"/>
  <c r="AU60" i="35"/>
  <c r="AT61" i="35"/>
  <c r="AH490" i="38" l="1"/>
  <c r="AG489" i="38"/>
  <c r="AG503" i="38"/>
  <c r="AG542" i="38"/>
  <c r="AG592" i="38"/>
  <c r="B60" i="35"/>
  <c r="P64" i="9" s="1"/>
  <c r="AS61" i="35"/>
  <c r="AR62" i="35"/>
  <c r="BA61" i="35"/>
  <c r="AZ62" i="35"/>
  <c r="AO61" i="35"/>
  <c r="AN62" i="35"/>
  <c r="AU61" i="35"/>
  <c r="AT62" i="35"/>
  <c r="AG62" i="35"/>
  <c r="AF63" i="35"/>
  <c r="AQ61" i="35"/>
  <c r="AP62" i="35"/>
  <c r="AM61" i="35"/>
  <c r="AL62" i="35"/>
  <c r="AI61" i="35"/>
  <c r="AH62" i="35"/>
  <c r="AW62" i="35"/>
  <c r="AV63" i="35"/>
  <c r="BC61" i="35"/>
  <c r="BB62" i="35"/>
  <c r="AA61" i="35"/>
  <c r="Z62" i="35"/>
  <c r="AY61" i="35"/>
  <c r="AX62" i="35"/>
  <c r="AC62" i="35"/>
  <c r="AB63" i="35"/>
  <c r="BE62" i="35"/>
  <c r="BD63" i="35"/>
  <c r="AE61" i="35"/>
  <c r="AD62" i="35"/>
  <c r="AK62" i="35"/>
  <c r="AJ63" i="35"/>
  <c r="AH491" i="38" l="1"/>
  <c r="AH492" i="38" s="1"/>
  <c r="AH493" i="38" s="1"/>
  <c r="AG490" i="38"/>
  <c r="AG594" i="38"/>
  <c r="B61" i="35"/>
  <c r="P65" i="9" s="1"/>
  <c r="AS62" i="35"/>
  <c r="AR63" i="35"/>
  <c r="AO62" i="35"/>
  <c r="AN63" i="35"/>
  <c r="BA62" i="35"/>
  <c r="AZ63" i="35"/>
  <c r="AK63" i="35"/>
  <c r="AJ64" i="35"/>
  <c r="BE63" i="35"/>
  <c r="BD64" i="35"/>
  <c r="AY62" i="35"/>
  <c r="AX63" i="35"/>
  <c r="AA62" i="35"/>
  <c r="Z63" i="35"/>
  <c r="AW63" i="35"/>
  <c r="AV64" i="35"/>
  <c r="AM62" i="35"/>
  <c r="AL63" i="35"/>
  <c r="AQ62" i="35"/>
  <c r="AP63" i="35"/>
  <c r="AG63" i="35"/>
  <c r="AF64" i="35"/>
  <c r="AC63" i="35"/>
  <c r="AB64" i="35"/>
  <c r="BC62" i="35"/>
  <c r="BB63" i="35"/>
  <c r="AI62" i="35"/>
  <c r="AH63" i="35"/>
  <c r="AU62" i="35"/>
  <c r="AT63" i="35"/>
  <c r="AE62" i="35"/>
  <c r="AD63" i="35"/>
  <c r="AH494" i="38" l="1"/>
  <c r="AH495" i="38" s="1"/>
  <c r="AG493" i="38"/>
  <c r="AG520" i="38"/>
  <c r="B62" i="35"/>
  <c r="P66" i="9" s="1"/>
  <c r="AS63" i="35"/>
  <c r="AR64" i="35"/>
  <c r="BA63" i="35"/>
  <c r="AZ64" i="35"/>
  <c r="AO63" i="35"/>
  <c r="AN64" i="35"/>
  <c r="AT64" i="35"/>
  <c r="AU63" i="35"/>
  <c r="BC63" i="35"/>
  <c r="BB64" i="35"/>
  <c r="AL64" i="35"/>
  <c r="AM63" i="35"/>
  <c r="BE64" i="35"/>
  <c r="BD65" i="35"/>
  <c r="AG64" i="35"/>
  <c r="AF65" i="35"/>
  <c r="AE63" i="35"/>
  <c r="AD64" i="35"/>
  <c r="AI63" i="35"/>
  <c r="AH64" i="35"/>
  <c r="AC64" i="35"/>
  <c r="AB65" i="35"/>
  <c r="AQ63" i="35"/>
  <c r="AP64" i="35"/>
  <c r="AW64" i="35"/>
  <c r="AV65" i="35"/>
  <c r="AY63" i="35"/>
  <c r="AX64" i="35"/>
  <c r="AK64" i="35"/>
  <c r="AJ65" i="35"/>
  <c r="AA63" i="35"/>
  <c r="B63" i="35" s="1"/>
  <c r="P67" i="9" s="1"/>
  <c r="Z64" i="35"/>
  <c r="AH496" i="38" l="1"/>
  <c r="AH497" i="38" s="1"/>
  <c r="AH498" i="38" s="1"/>
  <c r="AG495" i="38"/>
  <c r="AG521" i="38"/>
  <c r="AG553" i="38"/>
  <c r="AS64" i="35"/>
  <c r="AR65" i="35"/>
  <c r="AO64" i="35"/>
  <c r="AN65" i="35"/>
  <c r="BA64" i="35"/>
  <c r="AZ65" i="35"/>
  <c r="AA64" i="35"/>
  <c r="Z65" i="35"/>
  <c r="AB66" i="35"/>
  <c r="AC65" i="35"/>
  <c r="BE65" i="35"/>
  <c r="BD66" i="35"/>
  <c r="BC64" i="35"/>
  <c r="BB65" i="35"/>
  <c r="AJ66" i="35"/>
  <c r="AK65" i="35"/>
  <c r="AG65" i="35"/>
  <c r="AF66" i="35"/>
  <c r="AY64" i="35"/>
  <c r="AX65" i="35"/>
  <c r="AQ64" i="35"/>
  <c r="AP65" i="35"/>
  <c r="AI64" i="35"/>
  <c r="AH65" i="35"/>
  <c r="AE64" i="35"/>
  <c r="AD65" i="35"/>
  <c r="AW65" i="35"/>
  <c r="AV66" i="35"/>
  <c r="AM64" i="35"/>
  <c r="AL65" i="35"/>
  <c r="AU64" i="35"/>
  <c r="AT65" i="35"/>
  <c r="AH499" i="38" l="1"/>
  <c r="AH500" i="38" s="1"/>
  <c r="AH501" i="38" s="1"/>
  <c r="AH502" i="38" s="1"/>
  <c r="AH503" i="38" s="1"/>
  <c r="AH504" i="38" s="1"/>
  <c r="AG498" i="38"/>
  <c r="AG523" i="38"/>
  <c r="AG558" i="38"/>
  <c r="B64" i="35"/>
  <c r="P68" i="9" s="1"/>
  <c r="AS65" i="35"/>
  <c r="AR66" i="35"/>
  <c r="BA65" i="35"/>
  <c r="AZ66" i="35"/>
  <c r="AO65" i="35"/>
  <c r="AN66" i="35"/>
  <c r="AY65" i="35"/>
  <c r="AX66" i="35"/>
  <c r="BE66" i="35"/>
  <c r="BD67" i="35"/>
  <c r="AK66" i="35"/>
  <c r="AJ67" i="35"/>
  <c r="AC66" i="35"/>
  <c r="AB67" i="35"/>
  <c r="AT66" i="35"/>
  <c r="AU65" i="35"/>
  <c r="AI65" i="35"/>
  <c r="AH66" i="35"/>
  <c r="AM65" i="35"/>
  <c r="AL66" i="35"/>
  <c r="AW66" i="35"/>
  <c r="AV67" i="35"/>
  <c r="AD66" i="35"/>
  <c r="AE65" i="35"/>
  <c r="AQ65" i="35"/>
  <c r="AP66" i="35"/>
  <c r="AG66" i="35"/>
  <c r="AF67" i="35"/>
  <c r="BC65" i="35"/>
  <c r="BB66" i="35"/>
  <c r="AA65" i="35"/>
  <c r="Z66" i="35"/>
  <c r="AH505" i="38" l="1"/>
  <c r="AH506" i="38" s="1"/>
  <c r="AH507" i="38" s="1"/>
  <c r="AH508" i="38" s="1"/>
  <c r="AH509" i="38" s="1"/>
  <c r="AH510" i="38" s="1"/>
  <c r="AH511" i="38" s="1"/>
  <c r="AH512" i="38" s="1"/>
  <c r="AG504" i="38"/>
  <c r="AG527" i="38"/>
  <c r="AG559" i="38"/>
  <c r="B65" i="35"/>
  <c r="P69" i="9" s="1"/>
  <c r="AS66" i="35"/>
  <c r="AR67" i="35"/>
  <c r="AO66" i="35"/>
  <c r="AN67" i="35"/>
  <c r="BA66" i="35"/>
  <c r="AZ67" i="35"/>
  <c r="AA66" i="35"/>
  <c r="Z67" i="35"/>
  <c r="BC66" i="35"/>
  <c r="BB67" i="35"/>
  <c r="AQ66" i="35"/>
  <c r="AP67" i="35"/>
  <c r="AW67" i="35"/>
  <c r="AV68" i="35"/>
  <c r="AI66" i="35"/>
  <c r="AH67" i="35"/>
  <c r="AC67" i="35"/>
  <c r="AB68" i="35"/>
  <c r="AY66" i="35"/>
  <c r="AX67" i="35"/>
  <c r="AG67" i="35"/>
  <c r="AF68" i="35"/>
  <c r="AM66" i="35"/>
  <c r="AL67" i="35"/>
  <c r="AK67" i="35"/>
  <c r="AJ68" i="35"/>
  <c r="BD68" i="35"/>
  <c r="BE67" i="35"/>
  <c r="AE66" i="35"/>
  <c r="AD67" i="35"/>
  <c r="AU66" i="35"/>
  <c r="AT67" i="35"/>
  <c r="AH513" i="38" l="1"/>
  <c r="AG512" i="38"/>
  <c r="AG528" i="38"/>
  <c r="B66" i="35"/>
  <c r="P70" i="9" s="1"/>
  <c r="AS67" i="35"/>
  <c r="AR68" i="35"/>
  <c r="BA67" i="35"/>
  <c r="AZ68" i="35"/>
  <c r="AN68" i="35"/>
  <c r="AO67" i="35"/>
  <c r="AT68" i="35"/>
  <c r="AU67" i="35"/>
  <c r="AL68" i="35"/>
  <c r="AM67" i="35"/>
  <c r="AY67" i="35"/>
  <c r="AX68" i="35"/>
  <c r="AC68" i="35"/>
  <c r="AB69" i="35"/>
  <c r="AW68" i="35"/>
  <c r="AV69" i="35"/>
  <c r="BC67" i="35"/>
  <c r="BB68" i="35"/>
  <c r="BE68" i="35"/>
  <c r="BD69" i="35"/>
  <c r="AE67" i="35"/>
  <c r="AD68" i="35"/>
  <c r="AK68" i="35"/>
  <c r="AJ69" i="35"/>
  <c r="AG68" i="35"/>
  <c r="AF69" i="35"/>
  <c r="AI67" i="35"/>
  <c r="AH68" i="35"/>
  <c r="AQ67" i="35"/>
  <c r="AP68" i="35"/>
  <c r="AA67" i="35"/>
  <c r="Z68" i="35"/>
  <c r="AH514" i="38" l="1"/>
  <c r="AH515" i="38" s="1"/>
  <c r="AH516" i="38" s="1"/>
  <c r="AH517" i="38" s="1"/>
  <c r="AH518" i="38" s="1"/>
  <c r="AH519" i="38" s="1"/>
  <c r="AG513" i="38"/>
  <c r="AG532" i="38"/>
  <c r="B67" i="35"/>
  <c r="P71" i="9" s="1"/>
  <c r="AS68" i="35"/>
  <c r="AR69" i="35"/>
  <c r="BA68" i="35"/>
  <c r="AZ69" i="35"/>
  <c r="AO68" i="35"/>
  <c r="AN69" i="35"/>
  <c r="AA68" i="35"/>
  <c r="Z69" i="35"/>
  <c r="AI68" i="35"/>
  <c r="AH69" i="35"/>
  <c r="AG69" i="35"/>
  <c r="AF70" i="35"/>
  <c r="BC68" i="35"/>
  <c r="BB69" i="35"/>
  <c r="AB70" i="35"/>
  <c r="AC69" i="35"/>
  <c r="AQ68" i="35"/>
  <c r="AP69" i="35"/>
  <c r="AJ70" i="35"/>
  <c r="AK69" i="35"/>
  <c r="AE68" i="35"/>
  <c r="AD69" i="35"/>
  <c r="BE69" i="35"/>
  <c r="BD70" i="35"/>
  <c r="AW69" i="35"/>
  <c r="AV70" i="35"/>
  <c r="AY68" i="35"/>
  <c r="AX69" i="35"/>
  <c r="AM68" i="35"/>
  <c r="AL69" i="35"/>
  <c r="AU68" i="35"/>
  <c r="AT69" i="35"/>
  <c r="AH520" i="38" l="1"/>
  <c r="AH521" i="38" s="1"/>
  <c r="AH522" i="38" s="1"/>
  <c r="AH523" i="38" s="1"/>
  <c r="AH524" i="38" s="1"/>
  <c r="AG519" i="38"/>
  <c r="AG536" i="38"/>
  <c r="B68" i="35"/>
  <c r="P72" i="9" s="1"/>
  <c r="AR70" i="35"/>
  <c r="AS69" i="35"/>
  <c r="AO69" i="35"/>
  <c r="AN70" i="35"/>
  <c r="BA69" i="35"/>
  <c r="AZ70" i="35"/>
  <c r="AU69" i="35"/>
  <c r="AT70" i="35"/>
  <c r="AW70" i="35"/>
  <c r="AV71" i="35"/>
  <c r="AE69" i="35"/>
  <c r="AD70" i="35"/>
  <c r="AQ69" i="35"/>
  <c r="AP70" i="35"/>
  <c r="BC69" i="35"/>
  <c r="BB70" i="35"/>
  <c r="AI69" i="35"/>
  <c r="AH70" i="35"/>
  <c r="AM69" i="35"/>
  <c r="AL70" i="35"/>
  <c r="AY69" i="35"/>
  <c r="AX70" i="35"/>
  <c r="BE70" i="35"/>
  <c r="BD71" i="35"/>
  <c r="AG70" i="35"/>
  <c r="AF71" i="35"/>
  <c r="AA69" i="35"/>
  <c r="Z70" i="35"/>
  <c r="AK70" i="35"/>
  <c r="AJ71" i="35"/>
  <c r="AC70" i="35"/>
  <c r="AB71" i="35"/>
  <c r="AH525" i="38" l="1"/>
  <c r="AH526" i="38" s="1"/>
  <c r="AG524" i="38"/>
  <c r="AG538" i="38"/>
  <c r="AG574" i="38"/>
  <c r="B69" i="35"/>
  <c r="P73" i="9" s="1"/>
  <c r="AS70" i="35"/>
  <c r="AR71" i="35"/>
  <c r="BA70" i="35"/>
  <c r="AZ71" i="35"/>
  <c r="AO70" i="35"/>
  <c r="AN71" i="35"/>
  <c r="AC71" i="35"/>
  <c r="AB72" i="35"/>
  <c r="AA70" i="35"/>
  <c r="Z71" i="35"/>
  <c r="AY70" i="35"/>
  <c r="AX71" i="35"/>
  <c r="AM70" i="35"/>
  <c r="AL71" i="35"/>
  <c r="AQ70" i="35"/>
  <c r="AP71" i="35"/>
  <c r="AW71" i="35"/>
  <c r="AV72" i="35"/>
  <c r="AK71" i="35"/>
  <c r="AJ72" i="35"/>
  <c r="BE71" i="35"/>
  <c r="BD72" i="35"/>
  <c r="AI70" i="35"/>
  <c r="AH71" i="35"/>
  <c r="BC70" i="35"/>
  <c r="BB71" i="35"/>
  <c r="AE70" i="35"/>
  <c r="AD71" i="35"/>
  <c r="AU70" i="35"/>
  <c r="AT71" i="35"/>
  <c r="AG71" i="35"/>
  <c r="AF72" i="35"/>
  <c r="AH527" i="38" l="1"/>
  <c r="AH528" i="38" s="1"/>
  <c r="AH529" i="38" s="1"/>
  <c r="AH530" i="38" s="1"/>
  <c r="AG526" i="38"/>
  <c r="B70" i="35"/>
  <c r="P74" i="9" s="1"/>
  <c r="AS71" i="35"/>
  <c r="AR72" i="35"/>
  <c r="AO71" i="35"/>
  <c r="AN72" i="35"/>
  <c r="BA71" i="35"/>
  <c r="AZ72" i="35"/>
  <c r="AG72" i="35"/>
  <c r="AF73" i="35"/>
  <c r="AE71" i="35"/>
  <c r="AD72" i="35"/>
  <c r="AI71" i="35"/>
  <c r="AH72" i="35"/>
  <c r="BE72" i="35"/>
  <c r="BD73" i="35"/>
  <c r="AW72" i="35"/>
  <c r="AV73" i="35"/>
  <c r="AY71" i="35"/>
  <c r="AX72" i="35"/>
  <c r="AA71" i="35"/>
  <c r="Z72" i="35"/>
  <c r="AT72" i="35"/>
  <c r="AU71" i="35"/>
  <c r="BC71" i="35"/>
  <c r="BB72" i="35"/>
  <c r="AK72" i="35"/>
  <c r="AJ73" i="35"/>
  <c r="AQ71" i="35"/>
  <c r="AP72" i="35"/>
  <c r="AL72" i="35"/>
  <c r="AM71" i="35"/>
  <c r="AC72" i="35"/>
  <c r="AB73" i="35"/>
  <c r="AH531" i="38" l="1"/>
  <c r="AG530" i="38"/>
  <c r="AG541" i="38"/>
  <c r="AG578" i="38"/>
  <c r="B71" i="35"/>
  <c r="P75" i="9" s="1"/>
  <c r="AS72" i="35"/>
  <c r="AR73" i="35"/>
  <c r="BA72" i="35"/>
  <c r="AZ73" i="35"/>
  <c r="AO72" i="35"/>
  <c r="AN73" i="35"/>
  <c r="AQ72" i="35"/>
  <c r="AP73" i="35"/>
  <c r="BC72" i="35"/>
  <c r="BB73" i="35"/>
  <c r="AA72" i="35"/>
  <c r="B72" i="35" s="1"/>
  <c r="P76" i="9" s="1"/>
  <c r="Z73" i="35"/>
  <c r="BE73" i="35"/>
  <c r="BD74" i="35"/>
  <c r="AE72" i="35"/>
  <c r="AD73" i="35"/>
  <c r="AY72" i="35"/>
  <c r="AX73" i="35"/>
  <c r="AW73" i="35"/>
  <c r="AV74" i="35"/>
  <c r="AI72" i="35"/>
  <c r="AH73" i="35"/>
  <c r="AG73" i="35"/>
  <c r="AF74" i="35"/>
  <c r="AB74" i="35"/>
  <c r="AC73" i="35"/>
  <c r="AJ74" i="35"/>
  <c r="AK73" i="35"/>
  <c r="AM72" i="35"/>
  <c r="AL73" i="35"/>
  <c r="AU72" i="35"/>
  <c r="AT73" i="35"/>
  <c r="AH532" i="38" l="1"/>
  <c r="AH533" i="38" s="1"/>
  <c r="AG531" i="38"/>
  <c r="AG545" i="38"/>
  <c r="AS73" i="35"/>
  <c r="AR74" i="35"/>
  <c r="AO73" i="35"/>
  <c r="AN74" i="35"/>
  <c r="BA73" i="35"/>
  <c r="AZ74" i="35"/>
  <c r="AT74" i="35"/>
  <c r="AU73" i="35"/>
  <c r="AG74" i="35"/>
  <c r="AF75" i="35"/>
  <c r="AW74" i="35"/>
  <c r="AV75" i="35"/>
  <c r="AD74" i="35"/>
  <c r="AE73" i="35"/>
  <c r="BC73" i="35"/>
  <c r="BB74" i="35"/>
  <c r="AM73" i="35"/>
  <c r="AL74" i="35"/>
  <c r="AI73" i="35"/>
  <c r="AH74" i="35"/>
  <c r="AY73" i="35"/>
  <c r="AX74" i="35"/>
  <c r="BE74" i="35"/>
  <c r="BD75" i="35"/>
  <c r="AA73" i="35"/>
  <c r="Z74" i="35"/>
  <c r="AQ73" i="35"/>
  <c r="AP74" i="35"/>
  <c r="AK74" i="35"/>
  <c r="AJ75" i="35"/>
  <c r="AC74" i="35"/>
  <c r="AB75" i="35"/>
  <c r="AH534" i="38" l="1"/>
  <c r="AH535" i="38" s="1"/>
  <c r="AH536" i="38" s="1"/>
  <c r="AH537" i="38" s="1"/>
  <c r="AG533" i="38"/>
  <c r="B73" i="35"/>
  <c r="P77" i="9" s="1"/>
  <c r="AS74" i="35"/>
  <c r="AR75" i="35"/>
  <c r="BA74" i="35"/>
  <c r="AZ75" i="35"/>
  <c r="AO74" i="35"/>
  <c r="AN75" i="35"/>
  <c r="AK75" i="35"/>
  <c r="AJ76" i="35"/>
  <c r="AA74" i="35"/>
  <c r="Z75" i="35"/>
  <c r="AY74" i="35"/>
  <c r="AX75" i="35"/>
  <c r="AM74" i="35"/>
  <c r="AL75" i="35"/>
  <c r="BC74" i="35"/>
  <c r="BB75" i="35"/>
  <c r="AG75" i="35"/>
  <c r="AF76" i="35"/>
  <c r="AQ74" i="35"/>
  <c r="AP75" i="35"/>
  <c r="AI74" i="35"/>
  <c r="AH75" i="35"/>
  <c r="AW75" i="35"/>
  <c r="AV76" i="35"/>
  <c r="AE74" i="35"/>
  <c r="AD75" i="35"/>
  <c r="AC75" i="35"/>
  <c r="AB76" i="35"/>
  <c r="BD76" i="35"/>
  <c r="BE75" i="35"/>
  <c r="AU74" i="35"/>
  <c r="AT75" i="35"/>
  <c r="AH538" i="38" l="1"/>
  <c r="AH539" i="38" s="1"/>
  <c r="AG537" i="38"/>
  <c r="AG554" i="38"/>
  <c r="AG587" i="38"/>
  <c r="B74" i="35"/>
  <c r="P78" i="9" s="1"/>
  <c r="AS75" i="35"/>
  <c r="AR76" i="35"/>
  <c r="AN76" i="35"/>
  <c r="AO75" i="35"/>
  <c r="BA75" i="35"/>
  <c r="AZ76" i="35"/>
  <c r="AC76" i="35"/>
  <c r="AB77" i="35"/>
  <c r="AY75" i="35"/>
  <c r="AX76" i="35"/>
  <c r="AW76" i="35"/>
  <c r="AV77" i="35"/>
  <c r="BC75" i="35"/>
  <c r="BB76" i="35"/>
  <c r="AI75" i="35"/>
  <c r="AH76" i="35"/>
  <c r="AG76" i="35"/>
  <c r="AF77" i="35"/>
  <c r="AL76" i="35"/>
  <c r="AM75" i="35"/>
  <c r="AA75" i="35"/>
  <c r="Z76" i="35"/>
  <c r="AT76" i="35"/>
  <c r="AU75" i="35"/>
  <c r="AQ75" i="35"/>
  <c r="AP76" i="35"/>
  <c r="AK76" i="35"/>
  <c r="AJ77" i="35"/>
  <c r="AE75" i="35"/>
  <c r="AD76" i="35"/>
  <c r="BE76" i="35"/>
  <c r="BD77" i="35"/>
  <c r="AH540" i="38" l="1"/>
  <c r="AH541" i="38" s="1"/>
  <c r="AH542" i="38" s="1"/>
  <c r="AH543" i="38" s="1"/>
  <c r="AG539" i="38"/>
  <c r="AG556" i="38"/>
  <c r="B75" i="35"/>
  <c r="P79" i="9" s="1"/>
  <c r="AS76" i="35"/>
  <c r="AR77" i="35"/>
  <c r="BA76" i="35"/>
  <c r="AZ77" i="35"/>
  <c r="AO76" i="35"/>
  <c r="AN77" i="35"/>
  <c r="AJ78" i="35"/>
  <c r="AK77" i="35"/>
  <c r="AI76" i="35"/>
  <c r="AH77" i="35"/>
  <c r="BC76" i="35"/>
  <c r="BB77" i="35"/>
  <c r="AY76" i="35"/>
  <c r="AX77" i="35"/>
  <c r="AM76" i="35"/>
  <c r="AL77" i="35"/>
  <c r="BE77" i="35"/>
  <c r="BD78" i="35"/>
  <c r="AE76" i="35"/>
  <c r="AD77" i="35"/>
  <c r="AQ76" i="35"/>
  <c r="AP77" i="35"/>
  <c r="AA76" i="35"/>
  <c r="Z77" i="35"/>
  <c r="AG77" i="35"/>
  <c r="AF78" i="35"/>
  <c r="AW77" i="35"/>
  <c r="AV78" i="35"/>
  <c r="AB78" i="35"/>
  <c r="AC77" i="35"/>
  <c r="AU76" i="35"/>
  <c r="AT77" i="35"/>
  <c r="AH544" i="38" l="1"/>
  <c r="AH545" i="38" s="1"/>
  <c r="AH546" i="38" s="1"/>
  <c r="AG543" i="38"/>
  <c r="B76" i="35"/>
  <c r="P80" i="9" s="1"/>
  <c r="AS77" i="35"/>
  <c r="AR78" i="35"/>
  <c r="AO77" i="35"/>
  <c r="AN78" i="35"/>
  <c r="BA77" i="35"/>
  <c r="AZ78" i="35"/>
  <c r="AU77" i="35"/>
  <c r="AT78" i="35"/>
  <c r="AQ77" i="35"/>
  <c r="AP78" i="35"/>
  <c r="AM77" i="35"/>
  <c r="AL78" i="35"/>
  <c r="BC77" i="35"/>
  <c r="BB78" i="35"/>
  <c r="AG78" i="35"/>
  <c r="AF79" i="35"/>
  <c r="AA77" i="35"/>
  <c r="B77" i="35" s="1"/>
  <c r="P81" i="9" s="1"/>
  <c r="Z78" i="35"/>
  <c r="AE77" i="35"/>
  <c r="AD78" i="35"/>
  <c r="BE78" i="35"/>
  <c r="BD79" i="35"/>
  <c r="AY77" i="35"/>
  <c r="AX78" i="35"/>
  <c r="AI77" i="35"/>
  <c r="AH78" i="35"/>
  <c r="AW78" i="35"/>
  <c r="AV79" i="35"/>
  <c r="AC78" i="35"/>
  <c r="AB79" i="35"/>
  <c r="AK78" i="35"/>
  <c r="AJ79" i="35"/>
  <c r="AH547" i="38" l="1"/>
  <c r="AG546" i="38"/>
  <c r="AG564" i="38"/>
  <c r="AS78" i="35"/>
  <c r="AR79" i="35"/>
  <c r="BA78" i="35"/>
  <c r="AZ79" i="35"/>
  <c r="AO78" i="35"/>
  <c r="AN79" i="35"/>
  <c r="AK79" i="35"/>
  <c r="AJ80" i="35"/>
  <c r="AW79" i="35"/>
  <c r="AV80" i="35"/>
  <c r="AY78" i="35"/>
  <c r="AX79" i="35"/>
  <c r="AE78" i="35"/>
  <c r="AD79" i="35"/>
  <c r="AM78" i="35"/>
  <c r="AL79" i="35"/>
  <c r="AQ78" i="35"/>
  <c r="AP79" i="35"/>
  <c r="AI78" i="35"/>
  <c r="AH79" i="35"/>
  <c r="BE79" i="35"/>
  <c r="BD80" i="35"/>
  <c r="AA78" i="35"/>
  <c r="Z79" i="35"/>
  <c r="AG79" i="35"/>
  <c r="AF80" i="35"/>
  <c r="BC78" i="35"/>
  <c r="BB79" i="35"/>
  <c r="AU78" i="35"/>
  <c r="AT79" i="35"/>
  <c r="AC79" i="35"/>
  <c r="AB80" i="35"/>
  <c r="AH548" i="38" l="1"/>
  <c r="AH549" i="38" s="1"/>
  <c r="AG547" i="38"/>
  <c r="AG566" i="38"/>
  <c r="B78" i="35"/>
  <c r="P82" i="9" s="1"/>
  <c r="AS79" i="35"/>
  <c r="AR80" i="35"/>
  <c r="AO79" i="35"/>
  <c r="AN80" i="35"/>
  <c r="BA79" i="35"/>
  <c r="AZ80" i="35"/>
  <c r="AC80" i="35"/>
  <c r="AB81" i="35"/>
  <c r="AG80" i="35"/>
  <c r="AF81" i="35"/>
  <c r="BE80" i="35"/>
  <c r="BD81" i="35"/>
  <c r="AQ79" i="35"/>
  <c r="AP80" i="35"/>
  <c r="AE79" i="35"/>
  <c r="AD80" i="35"/>
  <c r="AW80" i="35"/>
  <c r="AV81" i="35"/>
  <c r="AT80" i="35"/>
  <c r="AU79" i="35"/>
  <c r="AA79" i="35"/>
  <c r="B79" i="35" s="1"/>
  <c r="P83" i="9" s="1"/>
  <c r="Z80" i="35"/>
  <c r="AI79" i="35"/>
  <c r="AH80" i="35"/>
  <c r="AL80" i="35"/>
  <c r="AM79" i="35"/>
  <c r="AY79" i="35"/>
  <c r="AX80" i="35"/>
  <c r="AK80" i="35"/>
  <c r="AJ81" i="35"/>
  <c r="BC79" i="35"/>
  <c r="BB80" i="35"/>
  <c r="AH550" i="38" l="1"/>
  <c r="AH551" i="38" s="1"/>
  <c r="AG549" i="38"/>
  <c r="AG569" i="38"/>
  <c r="AS80" i="35"/>
  <c r="AR81" i="35"/>
  <c r="BA80" i="35"/>
  <c r="AZ81" i="35"/>
  <c r="AO80" i="35"/>
  <c r="AN81" i="35"/>
  <c r="BE81" i="35"/>
  <c r="BD82" i="35"/>
  <c r="AM80" i="35"/>
  <c r="AL81" i="35"/>
  <c r="AY80" i="35"/>
  <c r="AX81" i="35"/>
  <c r="AA80" i="35"/>
  <c r="Z81" i="35"/>
  <c r="AJ82" i="35"/>
  <c r="AK81" i="35"/>
  <c r="AI80" i="35"/>
  <c r="AH81" i="35"/>
  <c r="AE80" i="35"/>
  <c r="AD81" i="35"/>
  <c r="AQ80" i="35"/>
  <c r="AP81" i="35"/>
  <c r="AG81" i="35"/>
  <c r="AF82" i="35"/>
  <c r="AB82" i="35"/>
  <c r="AC81" i="35"/>
  <c r="BC80" i="35"/>
  <c r="BB81" i="35"/>
  <c r="AW81" i="35"/>
  <c r="AV82" i="35"/>
  <c r="AU80" i="35"/>
  <c r="AT81" i="35"/>
  <c r="AH552" i="38" l="1"/>
  <c r="AH553" i="38" s="1"/>
  <c r="AH554" i="38" s="1"/>
  <c r="AH555" i="38" s="1"/>
  <c r="AH556" i="38" s="1"/>
  <c r="AH557" i="38" s="1"/>
  <c r="AG551" i="38"/>
  <c r="AG604" i="38"/>
  <c r="B80" i="35"/>
  <c r="P84" i="9" s="1"/>
  <c r="AS81" i="35"/>
  <c r="AR82" i="35"/>
  <c r="AO81" i="35"/>
  <c r="AN82" i="35"/>
  <c r="BA81" i="35"/>
  <c r="AZ82" i="35"/>
  <c r="BC81" i="35"/>
  <c r="BB82" i="35"/>
  <c r="AA81" i="35"/>
  <c r="Z82" i="35"/>
  <c r="AT82" i="35"/>
  <c r="AU81" i="35"/>
  <c r="AG82" i="35"/>
  <c r="AF83" i="35"/>
  <c r="BE82" i="35"/>
  <c r="BD83" i="35"/>
  <c r="AW82" i="35"/>
  <c r="AV83" i="35"/>
  <c r="AQ81" i="35"/>
  <c r="AP82" i="35"/>
  <c r="AI81" i="35"/>
  <c r="AH82" i="35"/>
  <c r="AY81" i="35"/>
  <c r="AX82" i="35"/>
  <c r="AD82" i="35"/>
  <c r="AE81" i="35"/>
  <c r="AM81" i="35"/>
  <c r="AL82" i="35"/>
  <c r="AC82" i="35"/>
  <c r="AB83" i="35"/>
  <c r="AK82" i="35"/>
  <c r="AJ83" i="35"/>
  <c r="AH558" i="38" l="1"/>
  <c r="AH559" i="38" s="1"/>
  <c r="AH560" i="38" s="1"/>
  <c r="AH561" i="38" s="1"/>
  <c r="AG557" i="38"/>
  <c r="B81" i="35"/>
  <c r="P85" i="9" s="1"/>
  <c r="AS82" i="35"/>
  <c r="AR83" i="35"/>
  <c r="AZ83" i="35"/>
  <c r="BA82" i="35"/>
  <c r="AO82" i="35"/>
  <c r="AN83" i="35"/>
  <c r="AQ82" i="35"/>
  <c r="AP83" i="35"/>
  <c r="AG83" i="35"/>
  <c r="AF84" i="35"/>
  <c r="AE82" i="35"/>
  <c r="AD83" i="35"/>
  <c r="BD84" i="35"/>
  <c r="BE83" i="35"/>
  <c r="AK83" i="35"/>
  <c r="AJ84" i="35"/>
  <c r="AM82" i="35"/>
  <c r="AL83" i="35"/>
  <c r="AI82" i="35"/>
  <c r="AH83" i="35"/>
  <c r="AW83" i="35"/>
  <c r="AV84" i="35"/>
  <c r="BC82" i="35"/>
  <c r="BB83" i="35"/>
  <c r="AC83" i="35"/>
  <c r="AB84" i="35"/>
  <c r="AY82" i="35"/>
  <c r="AX83" i="35"/>
  <c r="AA82" i="35"/>
  <c r="Z83" i="35"/>
  <c r="AU82" i="35"/>
  <c r="AT83" i="35"/>
  <c r="AH562" i="38" l="1"/>
  <c r="AH563" i="38" s="1"/>
  <c r="AG561" i="38"/>
  <c r="AG575" i="38"/>
  <c r="AG621" i="38"/>
  <c r="B82" i="35"/>
  <c r="P86" i="9" s="1"/>
  <c r="AS83" i="35"/>
  <c r="AR84" i="35"/>
  <c r="AO83" i="35"/>
  <c r="AN84" i="35"/>
  <c r="BA83" i="35"/>
  <c r="AZ84" i="35"/>
  <c r="AT84" i="35"/>
  <c r="AU83" i="35"/>
  <c r="AY83" i="35"/>
  <c r="AX84" i="35"/>
  <c r="BC83" i="35"/>
  <c r="BB84" i="35"/>
  <c r="AW84" i="35"/>
  <c r="AV85" i="35"/>
  <c r="AK84" i="35"/>
  <c r="AJ85" i="35"/>
  <c r="AG84" i="35"/>
  <c r="AF85" i="35"/>
  <c r="AA83" i="35"/>
  <c r="Z84" i="35"/>
  <c r="AC84" i="35"/>
  <c r="AB85" i="35"/>
  <c r="AI83" i="35"/>
  <c r="AH84" i="35"/>
  <c r="AL84" i="35"/>
  <c r="AM83" i="35"/>
  <c r="AE83" i="35"/>
  <c r="AD84" i="35"/>
  <c r="AQ83" i="35"/>
  <c r="AP84" i="35"/>
  <c r="BE84" i="35"/>
  <c r="BD85" i="35"/>
  <c r="AH564" i="38" l="1"/>
  <c r="AH565" i="38" s="1"/>
  <c r="AH566" i="38" s="1"/>
  <c r="AH567" i="38" s="1"/>
  <c r="AG563" i="38"/>
  <c r="AG630" i="38"/>
  <c r="B83" i="35"/>
  <c r="P87" i="9" s="1"/>
  <c r="AR85" i="35"/>
  <c r="AS84" i="35"/>
  <c r="AO84" i="35"/>
  <c r="AN85" i="35"/>
  <c r="BA84" i="35"/>
  <c r="AZ85" i="35"/>
  <c r="BE85" i="35"/>
  <c r="BD86" i="35"/>
  <c r="AI84" i="35"/>
  <c r="AH85" i="35"/>
  <c r="AW85" i="35"/>
  <c r="AV86" i="35"/>
  <c r="AG85" i="35"/>
  <c r="AF86" i="35"/>
  <c r="AY84" i="35"/>
  <c r="AX85" i="35"/>
  <c r="AA84" i="35"/>
  <c r="Z85" i="35"/>
  <c r="BC84" i="35"/>
  <c r="BB85" i="35"/>
  <c r="AE84" i="35"/>
  <c r="AD85" i="35"/>
  <c r="AB86" i="35"/>
  <c r="AC85" i="35"/>
  <c r="AJ86" i="35"/>
  <c r="AK85" i="35"/>
  <c r="AQ84" i="35"/>
  <c r="AP85" i="35"/>
  <c r="AM84" i="35"/>
  <c r="AL85" i="35"/>
  <c r="AU84" i="35"/>
  <c r="AT85" i="35"/>
  <c r="AH568" i="38" l="1"/>
  <c r="AH569" i="38" s="1"/>
  <c r="AH570" i="38" s="1"/>
  <c r="AH571" i="38" s="1"/>
  <c r="AG567" i="38"/>
  <c r="B84" i="35"/>
  <c r="P88" i="9" s="1"/>
  <c r="AR86" i="35"/>
  <c r="AS85" i="35"/>
  <c r="BA85" i="35"/>
  <c r="AZ86" i="35"/>
  <c r="AO85" i="35"/>
  <c r="AN86" i="35"/>
  <c r="AA85" i="35"/>
  <c r="Z86" i="35"/>
  <c r="AI85" i="35"/>
  <c r="AH86" i="35"/>
  <c r="AK86" i="35"/>
  <c r="AJ87" i="35"/>
  <c r="AU85" i="35"/>
  <c r="AT86" i="35"/>
  <c r="AE85" i="35"/>
  <c r="AD86" i="35"/>
  <c r="AG86" i="35"/>
  <c r="AF87" i="35"/>
  <c r="AQ85" i="35"/>
  <c r="AP86" i="35"/>
  <c r="BC85" i="35"/>
  <c r="BB86" i="35"/>
  <c r="AY85" i="35"/>
  <c r="AX86" i="35"/>
  <c r="AW86" i="35"/>
  <c r="AV87" i="35"/>
  <c r="BE86" i="35"/>
  <c r="BD87" i="35"/>
  <c r="AM85" i="35"/>
  <c r="AL86" i="35"/>
  <c r="AC86" i="35"/>
  <c r="AB87" i="35"/>
  <c r="AH572" i="38" l="1"/>
  <c r="AH573" i="38" s="1"/>
  <c r="AG571" i="38"/>
  <c r="AG583" i="38"/>
  <c r="AG637" i="38"/>
  <c r="B85" i="35"/>
  <c r="P89" i="9" s="1"/>
  <c r="AS86" i="35"/>
  <c r="AR87" i="35"/>
  <c r="AO86" i="35"/>
  <c r="AN87" i="35"/>
  <c r="BA86" i="35"/>
  <c r="AZ87" i="35"/>
  <c r="AY86" i="35"/>
  <c r="AX87" i="35"/>
  <c r="AI86" i="35"/>
  <c r="AH87" i="35"/>
  <c r="AC87" i="35"/>
  <c r="AB88" i="35"/>
  <c r="BC86" i="35"/>
  <c r="BB87" i="35"/>
  <c r="AU86" i="35"/>
  <c r="AT87" i="35"/>
  <c r="AM86" i="35"/>
  <c r="AL87" i="35"/>
  <c r="AW87" i="35"/>
  <c r="AV88" i="35"/>
  <c r="AQ86" i="35"/>
  <c r="AP87" i="35"/>
  <c r="AE86" i="35"/>
  <c r="AD87" i="35"/>
  <c r="AK87" i="35"/>
  <c r="AJ88" i="35"/>
  <c r="AA86" i="35"/>
  <c r="Z87" i="35"/>
  <c r="BE87" i="35"/>
  <c r="BD88" i="35"/>
  <c r="AG87" i="35"/>
  <c r="AF88" i="35"/>
  <c r="AH574" i="38" l="1"/>
  <c r="AH575" i="38" s="1"/>
  <c r="AH576" i="38" s="1"/>
  <c r="AG573" i="38"/>
  <c r="AG588" i="38"/>
  <c r="AG638" i="38"/>
  <c r="B86" i="35"/>
  <c r="P90" i="9" s="1"/>
  <c r="AS87" i="35"/>
  <c r="AR88" i="35"/>
  <c r="BA87" i="35"/>
  <c r="AZ88" i="35"/>
  <c r="AO87" i="35"/>
  <c r="AN88" i="35"/>
  <c r="BE88" i="35"/>
  <c r="BD89" i="35"/>
  <c r="AA87" i="35"/>
  <c r="Z88" i="35"/>
  <c r="AE87" i="35"/>
  <c r="AD88" i="35"/>
  <c r="AL88" i="35"/>
  <c r="AM87" i="35"/>
  <c r="BC87" i="35"/>
  <c r="BB88" i="35"/>
  <c r="AI87" i="35"/>
  <c r="AH88" i="35"/>
  <c r="AQ87" i="35"/>
  <c r="AP88" i="35"/>
  <c r="AW88" i="35"/>
  <c r="AV89" i="35"/>
  <c r="AT88" i="35"/>
  <c r="AU87" i="35"/>
  <c r="AC88" i="35"/>
  <c r="AB89" i="35"/>
  <c r="AY87" i="35"/>
  <c r="AX88" i="35"/>
  <c r="AG88" i="35"/>
  <c r="AF89" i="35"/>
  <c r="AK88" i="35"/>
  <c r="AJ89" i="35"/>
  <c r="AH577" i="38" l="1"/>
  <c r="AH578" i="38" s="1"/>
  <c r="AH579" i="38" s="1"/>
  <c r="AG576" i="38"/>
  <c r="B87" i="35"/>
  <c r="P91" i="9" s="1"/>
  <c r="AS88" i="35"/>
  <c r="AR89" i="35"/>
  <c r="BA88" i="35"/>
  <c r="AZ89" i="35"/>
  <c r="AO88" i="35"/>
  <c r="AN89" i="35"/>
  <c r="AQ88" i="35"/>
  <c r="AP89" i="35"/>
  <c r="AI88" i="35"/>
  <c r="AH89" i="35"/>
  <c r="AE88" i="35"/>
  <c r="AD89" i="35"/>
  <c r="BE89" i="35"/>
  <c r="BD90" i="35"/>
  <c r="AU88" i="35"/>
  <c r="AT89" i="35"/>
  <c r="AM88" i="35"/>
  <c r="AL89" i="35"/>
  <c r="AY88" i="35"/>
  <c r="AX89" i="35"/>
  <c r="AG89" i="35"/>
  <c r="AF90" i="35"/>
  <c r="AB90" i="35"/>
  <c r="AC89" i="35"/>
  <c r="AW89" i="35"/>
  <c r="AV90" i="35"/>
  <c r="BC88" i="35"/>
  <c r="BB89" i="35"/>
  <c r="AA88" i="35"/>
  <c r="Z89" i="35"/>
  <c r="AJ90" i="35"/>
  <c r="AK89" i="35"/>
  <c r="AH580" i="38" l="1"/>
  <c r="AG579" i="38"/>
  <c r="B88" i="35"/>
  <c r="P92" i="9" s="1"/>
  <c r="AS89" i="35"/>
  <c r="AR90" i="35"/>
  <c r="AO89" i="35"/>
  <c r="AN90" i="35"/>
  <c r="BA89" i="35"/>
  <c r="AZ90" i="35"/>
  <c r="BC89" i="35"/>
  <c r="BB90" i="35"/>
  <c r="BE90" i="35"/>
  <c r="BD91" i="35"/>
  <c r="AK90" i="35"/>
  <c r="AJ91" i="35"/>
  <c r="AW90" i="35"/>
  <c r="AV91" i="35"/>
  <c r="AM89" i="35"/>
  <c r="AL90" i="35"/>
  <c r="AI89" i="35"/>
  <c r="AH90" i="35"/>
  <c r="AY89" i="35"/>
  <c r="AX90" i="35"/>
  <c r="AT90" i="35"/>
  <c r="AU89" i="35"/>
  <c r="AD90" i="35"/>
  <c r="AE89" i="35"/>
  <c r="AQ89" i="35"/>
  <c r="AP90" i="35"/>
  <c r="AA89" i="35"/>
  <c r="Z90" i="35"/>
  <c r="AG90" i="35"/>
  <c r="AF91" i="35"/>
  <c r="AC90" i="35"/>
  <c r="AB91" i="35"/>
  <c r="AH581" i="38" l="1"/>
  <c r="AG580" i="38"/>
  <c r="AG593" i="38"/>
  <c r="B89" i="35"/>
  <c r="P93" i="9" s="1"/>
  <c r="AS90" i="35"/>
  <c r="AR91" i="35"/>
  <c r="BA90" i="35"/>
  <c r="AZ91" i="35"/>
  <c r="AO90" i="35"/>
  <c r="AN91" i="35"/>
  <c r="AG91" i="35"/>
  <c r="AF92" i="35"/>
  <c r="AQ90" i="35"/>
  <c r="AP91" i="35"/>
  <c r="AI90" i="35"/>
  <c r="AH91" i="35"/>
  <c r="AW91" i="35"/>
  <c r="AV92" i="35"/>
  <c r="BD92" i="35"/>
  <c r="BE91" i="35"/>
  <c r="AU90" i="35"/>
  <c r="AT91" i="35"/>
  <c r="AC91" i="35"/>
  <c r="AB92" i="35"/>
  <c r="AA90" i="35"/>
  <c r="B90" i="35" s="1"/>
  <c r="P94" i="9" s="1"/>
  <c r="Z91" i="35"/>
  <c r="AY90" i="35"/>
  <c r="AX91" i="35"/>
  <c r="AM90" i="35"/>
  <c r="AL91" i="35"/>
  <c r="AK91" i="35"/>
  <c r="AJ92" i="35"/>
  <c r="BC90" i="35"/>
  <c r="BB91" i="35"/>
  <c r="AE90" i="35"/>
  <c r="AD91" i="35"/>
  <c r="AH582" i="38" l="1"/>
  <c r="AG581" i="38"/>
  <c r="AG648" i="38"/>
  <c r="AR92" i="35"/>
  <c r="AS91" i="35"/>
  <c r="AN92" i="35"/>
  <c r="AO91" i="35"/>
  <c r="BA91" i="35"/>
  <c r="AZ92" i="35"/>
  <c r="AE91" i="35"/>
  <c r="AD92" i="35"/>
  <c r="AQ91" i="35"/>
  <c r="AP92" i="35"/>
  <c r="BE92" i="35"/>
  <c r="BD93" i="35"/>
  <c r="AK92" i="35"/>
  <c r="AJ93" i="35"/>
  <c r="AA91" i="35"/>
  <c r="Z92" i="35"/>
  <c r="AI91" i="35"/>
  <c r="AH92" i="35"/>
  <c r="AL92" i="35"/>
  <c r="AM91" i="35"/>
  <c r="AY91" i="35"/>
  <c r="AX92" i="35"/>
  <c r="AT92" i="35"/>
  <c r="AU91" i="35"/>
  <c r="AW92" i="35"/>
  <c r="AV93" i="35"/>
  <c r="AG92" i="35"/>
  <c r="AF93" i="35"/>
  <c r="AC92" i="35"/>
  <c r="AB93" i="35"/>
  <c r="BC91" i="35"/>
  <c r="BB92" i="35"/>
  <c r="AH583" i="38" l="1"/>
  <c r="AH584" i="38" s="1"/>
  <c r="AH585" i="38" s="1"/>
  <c r="AH586" i="38" s="1"/>
  <c r="AH587" i="38" s="1"/>
  <c r="AH588" i="38" s="1"/>
  <c r="AH589" i="38" s="1"/>
  <c r="AG582" i="38"/>
  <c r="AG598" i="38"/>
  <c r="B91" i="35"/>
  <c r="P95" i="9" s="1"/>
  <c r="AS92" i="35"/>
  <c r="AR93" i="35"/>
  <c r="BA92" i="35"/>
  <c r="AZ93" i="35"/>
  <c r="AO92" i="35"/>
  <c r="AN93" i="35"/>
  <c r="BC92" i="35"/>
  <c r="BB93" i="35"/>
  <c r="AG93" i="35"/>
  <c r="AF94" i="35"/>
  <c r="BE93" i="35"/>
  <c r="BD94" i="35"/>
  <c r="AM92" i="35"/>
  <c r="AL93" i="35"/>
  <c r="AB94" i="35"/>
  <c r="AC93" i="35"/>
  <c r="AY92" i="35"/>
  <c r="AX93" i="35"/>
  <c r="AI92" i="35"/>
  <c r="AH93" i="35"/>
  <c r="AJ94" i="35"/>
  <c r="AK93" i="35"/>
  <c r="AQ92" i="35"/>
  <c r="AP93" i="35"/>
  <c r="AE92" i="35"/>
  <c r="AD93" i="35"/>
  <c r="AW93" i="35"/>
  <c r="AV94" i="35"/>
  <c r="AA92" i="35"/>
  <c r="Z93" i="35"/>
  <c r="AU92" i="35"/>
  <c r="AT93" i="35"/>
  <c r="AH590" i="38" l="1"/>
  <c r="AH591" i="38" s="1"/>
  <c r="AG589" i="38"/>
  <c r="B92" i="35"/>
  <c r="P96" i="9" s="1"/>
  <c r="AS93" i="35"/>
  <c r="AR94" i="35"/>
  <c r="AO93" i="35"/>
  <c r="AN94" i="35"/>
  <c r="BA93" i="35"/>
  <c r="AZ94" i="35"/>
  <c r="AU93" i="35"/>
  <c r="AT94" i="35"/>
  <c r="AQ93" i="35"/>
  <c r="AP94" i="35"/>
  <c r="AG94" i="35"/>
  <c r="AF95" i="35"/>
  <c r="AI93" i="35"/>
  <c r="AH94" i="35"/>
  <c r="AA93" i="35"/>
  <c r="Z94" i="35"/>
  <c r="AE93" i="35"/>
  <c r="AD94" i="35"/>
  <c r="AY93" i="35"/>
  <c r="AX94" i="35"/>
  <c r="AM93" i="35"/>
  <c r="AL94" i="35"/>
  <c r="BE94" i="35"/>
  <c r="BD95" i="35"/>
  <c r="BC93" i="35"/>
  <c r="BB94" i="35"/>
  <c r="AW94" i="35"/>
  <c r="AV95" i="35"/>
  <c r="AK94" i="35"/>
  <c r="AJ95" i="35"/>
  <c r="AC94" i="35"/>
  <c r="AB95" i="35"/>
  <c r="AH592" i="38" l="1"/>
  <c r="AH593" i="38" s="1"/>
  <c r="AH594" i="38" s="1"/>
  <c r="AH595" i="38" s="1"/>
  <c r="AG591" i="38"/>
  <c r="AG659" i="38"/>
  <c r="B93" i="35"/>
  <c r="P97" i="9" s="1"/>
  <c r="AS94" i="35"/>
  <c r="AR95" i="35"/>
  <c r="AZ95" i="35"/>
  <c r="BA94" i="35"/>
  <c r="AN95" i="35"/>
  <c r="AO94" i="35"/>
  <c r="AC95" i="35"/>
  <c r="AB96" i="35"/>
  <c r="BE95" i="35"/>
  <c r="BD96" i="35"/>
  <c r="AA94" i="35"/>
  <c r="Z95" i="35"/>
  <c r="AQ94" i="35"/>
  <c r="AP95" i="35"/>
  <c r="AY94" i="35"/>
  <c r="AX95" i="35"/>
  <c r="AG95" i="35"/>
  <c r="AF96" i="35"/>
  <c r="AK95" i="35"/>
  <c r="AJ96" i="35"/>
  <c r="BC94" i="35"/>
  <c r="BB95" i="35"/>
  <c r="AM94" i="35"/>
  <c r="AL95" i="35"/>
  <c r="AE94" i="35"/>
  <c r="AD95" i="35"/>
  <c r="AI94" i="35"/>
  <c r="AH95" i="35"/>
  <c r="AU94" i="35"/>
  <c r="AT95" i="35"/>
  <c r="AW95" i="35"/>
  <c r="AV96" i="35"/>
  <c r="AH596" i="38" l="1"/>
  <c r="AG595" i="38"/>
  <c r="AG606" i="38"/>
  <c r="AG664" i="38"/>
  <c r="B94" i="35"/>
  <c r="P98" i="9" s="1"/>
  <c r="AS95" i="35"/>
  <c r="AR96" i="35"/>
  <c r="AO95" i="35"/>
  <c r="AN96" i="35"/>
  <c r="BA95" i="35"/>
  <c r="AZ96" i="35"/>
  <c r="AT96" i="35"/>
  <c r="AU95" i="35"/>
  <c r="AE95" i="35"/>
  <c r="AD96" i="35"/>
  <c r="BC95" i="35"/>
  <c r="BB96" i="35"/>
  <c r="AG96" i="35"/>
  <c r="AF97" i="35"/>
  <c r="AQ95" i="35"/>
  <c r="AP96" i="35"/>
  <c r="BE96" i="35"/>
  <c r="BD97" i="35"/>
  <c r="AW96" i="35"/>
  <c r="AV97" i="35"/>
  <c r="AI95" i="35"/>
  <c r="AH96" i="35"/>
  <c r="AL96" i="35"/>
  <c r="AM95" i="35"/>
  <c r="AK96" i="35"/>
  <c r="AJ97" i="35"/>
  <c r="AY95" i="35"/>
  <c r="AX96" i="35"/>
  <c r="AA95" i="35"/>
  <c r="Z96" i="35"/>
  <c r="AC96" i="35"/>
  <c r="AB97" i="35"/>
  <c r="AH597" i="38" l="1"/>
  <c r="AG596" i="38"/>
  <c r="AG665" i="38"/>
  <c r="B95" i="35"/>
  <c r="P99" i="9" s="1"/>
  <c r="AS96" i="35"/>
  <c r="AR97" i="35"/>
  <c r="AZ97" i="35"/>
  <c r="BA96" i="35"/>
  <c r="AN97" i="35"/>
  <c r="AO96" i="35"/>
  <c r="AY96" i="35"/>
  <c r="AX97" i="35"/>
  <c r="AQ96" i="35"/>
  <c r="AP97" i="35"/>
  <c r="BC96" i="35"/>
  <c r="BB97" i="35"/>
  <c r="AM96" i="35"/>
  <c r="AL97" i="35"/>
  <c r="AU96" i="35"/>
  <c r="AT97" i="35"/>
  <c r="AA96" i="35"/>
  <c r="B96" i="35" s="1"/>
  <c r="P100" i="9" s="1"/>
  <c r="Z97" i="35"/>
  <c r="AJ98" i="35"/>
  <c r="AK97" i="35"/>
  <c r="AI96" i="35"/>
  <c r="AH97" i="35"/>
  <c r="AW97" i="35"/>
  <c r="AV98" i="35"/>
  <c r="BE97" i="35"/>
  <c r="BD98" i="35"/>
  <c r="AG97" i="35"/>
  <c r="AF98" i="35"/>
  <c r="AE96" i="35"/>
  <c r="AD97" i="35"/>
  <c r="AB98" i="35"/>
  <c r="AC97" i="35"/>
  <c r="AH598" i="38" l="1"/>
  <c r="AH599" i="38" s="1"/>
  <c r="AG597" i="38"/>
  <c r="AG617" i="38"/>
  <c r="AG666" i="38"/>
  <c r="AS97" i="35"/>
  <c r="AR98" i="35"/>
  <c r="AO97" i="35"/>
  <c r="AN98" i="35"/>
  <c r="BA97" i="35"/>
  <c r="AZ98" i="35"/>
  <c r="AI97" i="35"/>
  <c r="AH98" i="35"/>
  <c r="AT98" i="35"/>
  <c r="AU97" i="35"/>
  <c r="BC97" i="35"/>
  <c r="BB98" i="35"/>
  <c r="AC98" i="35"/>
  <c r="AB99" i="35"/>
  <c r="AD98" i="35"/>
  <c r="AE97" i="35"/>
  <c r="AA97" i="35"/>
  <c r="Z98" i="35"/>
  <c r="AG98" i="35"/>
  <c r="AF99" i="35"/>
  <c r="AW98" i="35"/>
  <c r="AV99" i="35"/>
  <c r="AM97" i="35"/>
  <c r="AL98" i="35"/>
  <c r="AQ97" i="35"/>
  <c r="AP98" i="35"/>
  <c r="AY97" i="35"/>
  <c r="AX98" i="35"/>
  <c r="BE98" i="35"/>
  <c r="BD99" i="35"/>
  <c r="AK98" i="35"/>
  <c r="AJ99" i="35"/>
  <c r="AH600" i="38" l="1"/>
  <c r="AG599" i="38"/>
  <c r="B97" i="35"/>
  <c r="P101" i="9" s="1"/>
  <c r="AS98" i="35"/>
  <c r="AR99" i="35"/>
  <c r="BA98" i="35"/>
  <c r="AZ99" i="35"/>
  <c r="AO98" i="35"/>
  <c r="AN99" i="35"/>
  <c r="AK99" i="35"/>
  <c r="AJ100" i="35"/>
  <c r="BD100" i="35"/>
  <c r="BE99" i="35"/>
  <c r="AQ98" i="35"/>
  <c r="AP99" i="35"/>
  <c r="AG99" i="35"/>
  <c r="AF100" i="35"/>
  <c r="AY98" i="35"/>
  <c r="AX99" i="35"/>
  <c r="AM98" i="35"/>
  <c r="AL99" i="35"/>
  <c r="AW99" i="35"/>
  <c r="AV100" i="35"/>
  <c r="AA98" i="35"/>
  <c r="Z99" i="35"/>
  <c r="AC99" i="35"/>
  <c r="AB100" i="35"/>
  <c r="BC98" i="35"/>
  <c r="BB99" i="35"/>
  <c r="AI98" i="35"/>
  <c r="AH99" i="35"/>
  <c r="AE98" i="35"/>
  <c r="AD99" i="35"/>
  <c r="AU98" i="35"/>
  <c r="AT99" i="35"/>
  <c r="AH601" i="38" l="1"/>
  <c r="AG600" i="38"/>
  <c r="B98" i="35"/>
  <c r="P102" i="9" s="1"/>
  <c r="AS99" i="35"/>
  <c r="AR100" i="35"/>
  <c r="AN100" i="35"/>
  <c r="AO99" i="35"/>
  <c r="BA99" i="35"/>
  <c r="AZ100" i="35"/>
  <c r="AA99" i="35"/>
  <c r="Z100" i="35"/>
  <c r="AL100" i="35"/>
  <c r="AM99" i="35"/>
  <c r="BE100" i="35"/>
  <c r="BD101" i="35"/>
  <c r="BC99" i="35"/>
  <c r="BB100" i="35"/>
  <c r="AT100" i="35"/>
  <c r="AU99" i="35"/>
  <c r="AI99" i="35"/>
  <c r="AH100" i="35"/>
  <c r="AC100" i="35"/>
  <c r="AB101" i="35"/>
  <c r="AW100" i="35"/>
  <c r="AV101" i="35"/>
  <c r="AY99" i="35"/>
  <c r="AX100" i="35"/>
  <c r="AG100" i="35"/>
  <c r="AF101" i="35"/>
  <c r="AQ99" i="35"/>
  <c r="AP100" i="35"/>
  <c r="AK100" i="35"/>
  <c r="AJ101" i="35"/>
  <c r="AE99" i="35"/>
  <c r="AD100" i="35"/>
  <c r="AH602" i="38" l="1"/>
  <c r="AG601" i="38"/>
  <c r="AG626" i="38"/>
  <c r="B99" i="35"/>
  <c r="P103" i="9" s="1"/>
  <c r="AS100" i="35"/>
  <c r="AR101" i="35"/>
  <c r="BA100" i="35"/>
  <c r="AZ101" i="35"/>
  <c r="AO100" i="35"/>
  <c r="AN101" i="35"/>
  <c r="AG101" i="35"/>
  <c r="AF102" i="35"/>
  <c r="AI100" i="35"/>
  <c r="AH101" i="35"/>
  <c r="AA100" i="35"/>
  <c r="Z101" i="35"/>
  <c r="AW101" i="35"/>
  <c r="AV102" i="35"/>
  <c r="AE100" i="35"/>
  <c r="AD101" i="35"/>
  <c r="AQ100" i="35"/>
  <c r="AP101" i="35"/>
  <c r="AY100" i="35"/>
  <c r="AX101" i="35"/>
  <c r="AB102" i="35"/>
  <c r="AC101" i="35"/>
  <c r="BE101" i="35"/>
  <c r="BD102" i="35"/>
  <c r="AJ102" i="35"/>
  <c r="AK101" i="35"/>
  <c r="BC100" i="35"/>
  <c r="BB101" i="35"/>
  <c r="AU100" i="35"/>
  <c r="AT101" i="35"/>
  <c r="AM100" i="35"/>
  <c r="AL101" i="35"/>
  <c r="AH603" i="38" l="1"/>
  <c r="AG602" i="38"/>
  <c r="B100" i="35"/>
  <c r="P104" i="9" s="1"/>
  <c r="AS101" i="35"/>
  <c r="AR102" i="35"/>
  <c r="AO101" i="35"/>
  <c r="AN102" i="35"/>
  <c r="BA101" i="35"/>
  <c r="AZ102" i="35"/>
  <c r="AM101" i="35"/>
  <c r="AL102" i="35"/>
  <c r="BC101" i="35"/>
  <c r="BB102" i="35"/>
  <c r="AQ101" i="35"/>
  <c r="AP102" i="35"/>
  <c r="AW102" i="35"/>
  <c r="AV103" i="35"/>
  <c r="AG102" i="35"/>
  <c r="AF103" i="35"/>
  <c r="AC102" i="35"/>
  <c r="AB103" i="35"/>
  <c r="AU101" i="35"/>
  <c r="AT102" i="35"/>
  <c r="BE102" i="35"/>
  <c r="BD103" i="35"/>
  <c r="AY101" i="35"/>
  <c r="AX102" i="35"/>
  <c r="AE101" i="35"/>
  <c r="AD102" i="35"/>
  <c r="AA101" i="35"/>
  <c r="B101" i="35" s="1"/>
  <c r="P105" i="9" s="1"/>
  <c r="Z102" i="35"/>
  <c r="AI101" i="35"/>
  <c r="AH102" i="35"/>
  <c r="AK102" i="35"/>
  <c r="AJ103" i="35"/>
  <c r="AH604" i="38" l="1"/>
  <c r="AH605" i="38" s="1"/>
  <c r="AH606" i="38" s="1"/>
  <c r="AH607" i="38" s="1"/>
  <c r="AG603" i="38"/>
  <c r="AG639" i="38"/>
  <c r="AS102" i="35"/>
  <c r="AR103" i="35"/>
  <c r="BA102" i="35"/>
  <c r="AZ103" i="35"/>
  <c r="AO102" i="35"/>
  <c r="AN103" i="35"/>
  <c r="AI102" i="35"/>
  <c r="AH103" i="35"/>
  <c r="BE103" i="35"/>
  <c r="BD104" i="35"/>
  <c r="AC103" i="35"/>
  <c r="AB104" i="35"/>
  <c r="AQ102" i="35"/>
  <c r="AP103" i="35"/>
  <c r="BC102" i="35"/>
  <c r="BB103" i="35"/>
  <c r="AK103" i="35"/>
  <c r="AJ104" i="35"/>
  <c r="AE102" i="35"/>
  <c r="AD103" i="35"/>
  <c r="AA102" i="35"/>
  <c r="B102" i="35" s="1"/>
  <c r="P106" i="9" s="1"/>
  <c r="Z103" i="35"/>
  <c r="AY102" i="35"/>
  <c r="AX103" i="35"/>
  <c r="AU102" i="35"/>
  <c r="AT103" i="35"/>
  <c r="AG103" i="35"/>
  <c r="AF104" i="35"/>
  <c r="AW103" i="35"/>
  <c r="AV104" i="35"/>
  <c r="AM102" i="35"/>
  <c r="AL103" i="35"/>
  <c r="AH608" i="38" l="1"/>
  <c r="AG607" i="38"/>
  <c r="AG641" i="38"/>
  <c r="AG688" i="38"/>
  <c r="AR104" i="35"/>
  <c r="AS103" i="35"/>
  <c r="AO103" i="35"/>
  <c r="AN104" i="35"/>
  <c r="BA103" i="35"/>
  <c r="AZ104" i="35"/>
  <c r="AT104" i="35"/>
  <c r="AU103" i="35"/>
  <c r="AL104" i="35"/>
  <c r="AM103" i="35"/>
  <c r="AE103" i="35"/>
  <c r="AD104" i="35"/>
  <c r="AY103" i="35"/>
  <c r="AX104" i="35"/>
  <c r="AK104" i="35"/>
  <c r="AJ105" i="35"/>
  <c r="AQ103" i="35"/>
  <c r="AP104" i="35"/>
  <c r="AC104" i="35"/>
  <c r="AB105" i="35"/>
  <c r="AI103" i="35"/>
  <c r="AH104" i="35"/>
  <c r="AW104" i="35"/>
  <c r="AV105" i="35"/>
  <c r="AA103" i="35"/>
  <c r="B103" i="35" s="1"/>
  <c r="P107" i="9" s="1"/>
  <c r="Z104" i="35"/>
  <c r="BC103" i="35"/>
  <c r="BB104" i="35"/>
  <c r="BE104" i="35"/>
  <c r="BD105" i="35"/>
  <c r="AG104" i="35"/>
  <c r="AF105" i="35"/>
  <c r="AH609" i="38" l="1"/>
  <c r="AH610" i="38" s="1"/>
  <c r="AG608" i="38"/>
  <c r="AG689" i="38"/>
  <c r="AS104" i="35"/>
  <c r="AR105" i="35"/>
  <c r="AZ105" i="35"/>
  <c r="BA104" i="35"/>
  <c r="AO104" i="35"/>
  <c r="AN105" i="35"/>
  <c r="AB106" i="35"/>
  <c r="AC105" i="35"/>
  <c r="AG105" i="35"/>
  <c r="AF106" i="35"/>
  <c r="AW105" i="35"/>
  <c r="AV106" i="35"/>
  <c r="AY104" i="35"/>
  <c r="AX105" i="35"/>
  <c r="BE105" i="35"/>
  <c r="BD106" i="35"/>
  <c r="AI104" i="35"/>
  <c r="AH105" i="35"/>
  <c r="AQ104" i="35"/>
  <c r="AP105" i="35"/>
  <c r="BC104" i="35"/>
  <c r="BB105" i="35"/>
  <c r="AJ106" i="35"/>
  <c r="AK105" i="35"/>
  <c r="AE104" i="35"/>
  <c r="AD105" i="35"/>
  <c r="AA104" i="35"/>
  <c r="B104" i="35" s="1"/>
  <c r="P108" i="9" s="1"/>
  <c r="Z105" i="35"/>
  <c r="AM104" i="35"/>
  <c r="AL105" i="35"/>
  <c r="AU104" i="35"/>
  <c r="AT105" i="35"/>
  <c r="AH611" i="38" l="1"/>
  <c r="AH612" i="38" s="1"/>
  <c r="AG610" i="38"/>
  <c r="AG646" i="38"/>
  <c r="AG692" i="38"/>
  <c r="AS105" i="35"/>
  <c r="AR106" i="35"/>
  <c r="AO105" i="35"/>
  <c r="AN106" i="35"/>
  <c r="BA105" i="35"/>
  <c r="AZ106" i="35"/>
  <c r="AT106" i="35"/>
  <c r="AU105" i="35"/>
  <c r="AQ105" i="35"/>
  <c r="AP106" i="35"/>
  <c r="AK106" i="35"/>
  <c r="AJ107" i="35"/>
  <c r="AA105" i="35"/>
  <c r="B105" i="35" s="1"/>
  <c r="P109" i="9" s="1"/>
  <c r="Z106" i="35"/>
  <c r="BE106" i="35"/>
  <c r="BD107" i="35"/>
  <c r="AM105" i="35"/>
  <c r="AL106" i="35"/>
  <c r="AD106" i="35"/>
  <c r="AE105" i="35"/>
  <c r="BC105" i="35"/>
  <c r="BB106" i="35"/>
  <c r="AI105" i="35"/>
  <c r="AH106" i="35"/>
  <c r="AY105" i="35"/>
  <c r="AX106" i="35"/>
  <c r="AG106" i="35"/>
  <c r="AF107" i="35"/>
  <c r="AW106" i="35"/>
  <c r="AV107" i="35"/>
  <c r="AC106" i="35"/>
  <c r="AB107" i="35"/>
  <c r="AH613" i="38" l="1"/>
  <c r="AH614" i="38" s="1"/>
  <c r="AH615" i="38" s="1"/>
  <c r="AH616" i="38" s="1"/>
  <c r="AH617" i="38" s="1"/>
  <c r="AH618" i="38" s="1"/>
  <c r="AG612" i="38"/>
  <c r="AG653" i="38"/>
  <c r="AG693" i="38"/>
  <c r="AS106" i="35"/>
  <c r="AR107" i="35"/>
  <c r="BA106" i="35"/>
  <c r="AZ107" i="35"/>
  <c r="AN107" i="35"/>
  <c r="AO106" i="35"/>
  <c r="AC107" i="35"/>
  <c r="AB108" i="35"/>
  <c r="AG107" i="35"/>
  <c r="AF108" i="35"/>
  <c r="AI106" i="35"/>
  <c r="AH107" i="35"/>
  <c r="BC106" i="35"/>
  <c r="BB107" i="35"/>
  <c r="AM106" i="35"/>
  <c r="AL107" i="35"/>
  <c r="AA106" i="35"/>
  <c r="Z107" i="35"/>
  <c r="AK107" i="35"/>
  <c r="AJ108" i="35"/>
  <c r="AQ106" i="35"/>
  <c r="AP107" i="35"/>
  <c r="AW107" i="35"/>
  <c r="AV108" i="35"/>
  <c r="BD108" i="35"/>
  <c r="BE107" i="35"/>
  <c r="AY106" i="35"/>
  <c r="AX107" i="35"/>
  <c r="AE106" i="35"/>
  <c r="AD107" i="35"/>
  <c r="AU106" i="35"/>
  <c r="AT107" i="35"/>
  <c r="AH619" i="38" l="1"/>
  <c r="AH620" i="38" s="1"/>
  <c r="AH621" i="38" s="1"/>
  <c r="AH622" i="38" s="1"/>
  <c r="AH623" i="38" s="1"/>
  <c r="AH624" i="38" s="1"/>
  <c r="AG618" i="38"/>
  <c r="AG656" i="38"/>
  <c r="AG697" i="38"/>
  <c r="B106" i="35"/>
  <c r="P110" i="9" s="1"/>
  <c r="AR108" i="35"/>
  <c r="AS107" i="35"/>
  <c r="AO107" i="35"/>
  <c r="AN108" i="35"/>
  <c r="AZ108" i="35"/>
  <c r="BA107" i="35"/>
  <c r="AA107" i="35"/>
  <c r="Z108" i="35"/>
  <c r="AT108" i="35"/>
  <c r="AU107" i="35"/>
  <c r="BC107" i="35"/>
  <c r="BB108" i="35"/>
  <c r="AY107" i="35"/>
  <c r="AX108" i="35"/>
  <c r="AW108" i="35"/>
  <c r="AV109" i="35"/>
  <c r="AK108" i="35"/>
  <c r="AJ109" i="35"/>
  <c r="AL108" i="35"/>
  <c r="AM107" i="35"/>
  <c r="AI107" i="35"/>
  <c r="AH108" i="35"/>
  <c r="AC108" i="35"/>
  <c r="AB109" i="35"/>
  <c r="AQ107" i="35"/>
  <c r="AP108" i="35"/>
  <c r="AG108" i="35"/>
  <c r="AF109" i="35"/>
  <c r="BE108" i="35"/>
  <c r="BD109" i="35"/>
  <c r="AE107" i="35"/>
  <c r="AD108" i="35"/>
  <c r="AH625" i="38" l="1"/>
  <c r="AG624" i="38"/>
  <c r="AG662" i="38"/>
  <c r="AG698" i="38"/>
  <c r="B107" i="35"/>
  <c r="P111" i="9" s="1"/>
  <c r="AS108" i="35"/>
  <c r="AR109" i="35"/>
  <c r="AN109" i="35"/>
  <c r="AO108" i="35"/>
  <c r="BA108" i="35"/>
  <c r="AZ109" i="35"/>
  <c r="AQ108" i="35"/>
  <c r="AP109" i="35"/>
  <c r="AW109" i="35"/>
  <c r="AV110" i="35"/>
  <c r="AM108" i="35"/>
  <c r="AL109" i="35"/>
  <c r="AB110" i="35"/>
  <c r="AC109" i="35"/>
  <c r="BC108" i="35"/>
  <c r="BB109" i="35"/>
  <c r="AG109" i="35"/>
  <c r="AF110" i="35"/>
  <c r="AI108" i="35"/>
  <c r="AH109" i="35"/>
  <c r="AJ110" i="35"/>
  <c r="AK109" i="35"/>
  <c r="AY108" i="35"/>
  <c r="AX109" i="35"/>
  <c r="BE109" i="35"/>
  <c r="BD110" i="35"/>
  <c r="AA108" i="35"/>
  <c r="B108" i="35" s="1"/>
  <c r="P112" i="9" s="1"/>
  <c r="Z109" i="35"/>
  <c r="AE108" i="35"/>
  <c r="AD109" i="35"/>
  <c r="AU108" i="35"/>
  <c r="AT109" i="35"/>
  <c r="AH626" i="38" l="1"/>
  <c r="AH627" i="38" s="1"/>
  <c r="AH628" i="38" s="1"/>
  <c r="AH629" i="38" s="1"/>
  <c r="AH630" i="38" s="1"/>
  <c r="AH631" i="38" s="1"/>
  <c r="AG625" i="38"/>
  <c r="AG702" i="38"/>
  <c r="AS109" i="35"/>
  <c r="AR110" i="35"/>
  <c r="BA109" i="35"/>
  <c r="AZ110" i="35"/>
  <c r="AO109" i="35"/>
  <c r="AN110" i="35"/>
  <c r="BE110" i="35"/>
  <c r="BD111" i="35"/>
  <c r="AY109" i="35"/>
  <c r="AX110" i="35"/>
  <c r="AI109" i="35"/>
  <c r="AH110" i="35"/>
  <c r="BC109" i="35"/>
  <c r="BB110" i="35"/>
  <c r="AW110" i="35"/>
  <c r="AV111" i="35"/>
  <c r="AE109" i="35"/>
  <c r="AD110" i="35"/>
  <c r="AA109" i="35"/>
  <c r="Z110" i="35"/>
  <c r="AG110" i="35"/>
  <c r="AF111" i="35"/>
  <c r="AM109" i="35"/>
  <c r="AL110" i="35"/>
  <c r="AQ109" i="35"/>
  <c r="AP110" i="35"/>
  <c r="AU109" i="35"/>
  <c r="AT110" i="35"/>
  <c r="AK110" i="35"/>
  <c r="AJ111" i="35"/>
  <c r="AC110" i="35"/>
  <c r="AB111" i="35"/>
  <c r="AH632" i="38" l="1"/>
  <c r="AG631" i="38"/>
  <c r="AG667" i="38"/>
  <c r="AG703" i="38"/>
  <c r="B109" i="35"/>
  <c r="P113" i="9" s="1"/>
  <c r="AS110" i="35"/>
  <c r="AR111" i="35"/>
  <c r="AN111" i="35"/>
  <c r="AO110" i="35"/>
  <c r="BA110" i="35"/>
  <c r="AZ111" i="35"/>
  <c r="AU110" i="35"/>
  <c r="AT111" i="35"/>
  <c r="AW111" i="35"/>
  <c r="AV112" i="35"/>
  <c r="BC110" i="35"/>
  <c r="BB111" i="35"/>
  <c r="AK111" i="35"/>
  <c r="AJ112" i="35"/>
  <c r="AG111" i="35"/>
  <c r="AF112" i="35"/>
  <c r="AA110" i="35"/>
  <c r="Z111" i="35"/>
  <c r="AE110" i="35"/>
  <c r="AD111" i="35"/>
  <c r="AI110" i="35"/>
  <c r="AH111" i="35"/>
  <c r="BE111" i="35"/>
  <c r="BD112" i="35"/>
  <c r="AC111" i="35"/>
  <c r="AB112" i="35"/>
  <c r="AM110" i="35"/>
  <c r="AL111" i="35"/>
  <c r="AY110" i="35"/>
  <c r="AX111" i="35"/>
  <c r="AQ110" i="35"/>
  <c r="AP111" i="35"/>
  <c r="AH633" i="38" l="1"/>
  <c r="AG632" i="38"/>
  <c r="AG670" i="38"/>
  <c r="AG711" i="38"/>
  <c r="B110" i="35"/>
  <c r="P114" i="9" s="1"/>
  <c r="AS111" i="35"/>
  <c r="AR112" i="35"/>
  <c r="BA111" i="35"/>
  <c r="AZ112" i="35"/>
  <c r="AO111" i="35"/>
  <c r="AN112" i="35"/>
  <c r="AC112" i="35"/>
  <c r="AB113" i="35"/>
  <c r="BC111" i="35"/>
  <c r="BB112" i="35"/>
  <c r="AQ111" i="35"/>
  <c r="AP112" i="35"/>
  <c r="AE111" i="35"/>
  <c r="AD112" i="35"/>
  <c r="AL112" i="35"/>
  <c r="AM111" i="35"/>
  <c r="AA111" i="35"/>
  <c r="Z112" i="35"/>
  <c r="AK112" i="35"/>
  <c r="AJ113" i="35"/>
  <c r="AT112" i="35"/>
  <c r="AU111" i="35"/>
  <c r="AI111" i="35"/>
  <c r="AH112" i="35"/>
  <c r="AG112" i="35"/>
  <c r="AF113" i="35"/>
  <c r="AW112" i="35"/>
  <c r="AV113" i="35"/>
  <c r="AY111" i="35"/>
  <c r="AX112" i="35"/>
  <c r="BE112" i="35"/>
  <c r="BD113" i="35"/>
  <c r="AH634" i="38" l="1"/>
  <c r="AG633" i="38"/>
  <c r="AG679" i="38"/>
  <c r="AG716" i="38"/>
  <c r="B111" i="35"/>
  <c r="P115" i="9" s="1"/>
  <c r="AR113" i="35"/>
  <c r="AS112" i="35"/>
  <c r="AO112" i="35"/>
  <c r="AN113" i="35"/>
  <c r="BA112" i="35"/>
  <c r="AZ113" i="35"/>
  <c r="BE113" i="35"/>
  <c r="BD114" i="35"/>
  <c r="AU112" i="35"/>
  <c r="AT113" i="35"/>
  <c r="AW113" i="35"/>
  <c r="AV114" i="35"/>
  <c r="AJ114" i="35"/>
  <c r="AK113" i="35"/>
  <c r="AA112" i="35"/>
  <c r="Z113" i="35"/>
  <c r="AQ112" i="35"/>
  <c r="AP113" i="35"/>
  <c r="AB114" i="35"/>
  <c r="AC113" i="35"/>
  <c r="AI112" i="35"/>
  <c r="AH113" i="35"/>
  <c r="AE112" i="35"/>
  <c r="AD113" i="35"/>
  <c r="BC112" i="35"/>
  <c r="BB113" i="35"/>
  <c r="AY112" i="35"/>
  <c r="AX113" i="35"/>
  <c r="AG113" i="35"/>
  <c r="AF114" i="35"/>
  <c r="AM112" i="35"/>
  <c r="AL113" i="35"/>
  <c r="AH635" i="38" l="1"/>
  <c r="AH636" i="38" s="1"/>
  <c r="AG634" i="38"/>
  <c r="AG683" i="38"/>
  <c r="AG717" i="38"/>
  <c r="B112" i="35"/>
  <c r="P116" i="9" s="1"/>
  <c r="AS113" i="35"/>
  <c r="AR114" i="35"/>
  <c r="BA113" i="35"/>
  <c r="AZ114" i="35"/>
  <c r="AO113" i="35"/>
  <c r="AN114" i="35"/>
  <c r="AM113" i="35"/>
  <c r="AL114" i="35"/>
  <c r="AY113" i="35"/>
  <c r="AX114" i="35"/>
  <c r="AD114" i="35"/>
  <c r="AE113" i="35"/>
  <c r="AA113" i="35"/>
  <c r="Z114" i="35"/>
  <c r="AW114" i="35"/>
  <c r="AV115" i="35"/>
  <c r="AC114" i="35"/>
  <c r="AB115" i="35"/>
  <c r="BC113" i="35"/>
  <c r="BB114" i="35"/>
  <c r="AQ113" i="35"/>
  <c r="AP114" i="35"/>
  <c r="AT114" i="35"/>
  <c r="AU113" i="35"/>
  <c r="BE114" i="35"/>
  <c r="BD115" i="35"/>
  <c r="AG114" i="35"/>
  <c r="AF115" i="35"/>
  <c r="AI113" i="35"/>
  <c r="AH114" i="35"/>
  <c r="AK114" i="35"/>
  <c r="AJ115" i="35"/>
  <c r="AH637" i="38" l="1"/>
  <c r="AH638" i="38" s="1"/>
  <c r="AH639" i="38" s="1"/>
  <c r="AH640" i="38" s="1"/>
  <c r="AG636" i="38"/>
  <c r="AG684" i="38"/>
  <c r="B113" i="35"/>
  <c r="P117" i="9" s="1"/>
  <c r="AS114" i="35"/>
  <c r="AR115" i="35"/>
  <c r="AO114" i="35"/>
  <c r="AN115" i="35"/>
  <c r="BA114" i="35"/>
  <c r="AZ115" i="35"/>
  <c r="AK115" i="35"/>
  <c r="AJ116" i="35"/>
  <c r="AW115" i="35"/>
  <c r="AV116" i="35"/>
  <c r="AA114" i="35"/>
  <c r="Z115" i="35"/>
  <c r="AY114" i="35"/>
  <c r="AX115" i="35"/>
  <c r="BD116" i="35"/>
  <c r="BE115" i="35"/>
  <c r="AI114" i="35"/>
  <c r="AH115" i="35"/>
  <c r="AQ114" i="35"/>
  <c r="AP115" i="35"/>
  <c r="AC115" i="35"/>
  <c r="AB116" i="35"/>
  <c r="AM114" i="35"/>
  <c r="AL115" i="35"/>
  <c r="AG115" i="35"/>
  <c r="AF116" i="35"/>
  <c r="BC114" i="35"/>
  <c r="BB115" i="35"/>
  <c r="AU114" i="35"/>
  <c r="AT115" i="35"/>
  <c r="AE114" i="35"/>
  <c r="AD115" i="35"/>
  <c r="AH641" i="38" l="1"/>
  <c r="AH642" i="38" s="1"/>
  <c r="AH643" i="38" s="1"/>
  <c r="AG640" i="38"/>
  <c r="B114" i="35"/>
  <c r="P118" i="9" s="1"/>
  <c r="AS115" i="35"/>
  <c r="AR116" i="35"/>
  <c r="BA115" i="35"/>
  <c r="AZ116" i="35"/>
  <c r="AN116" i="35"/>
  <c r="AO115" i="35"/>
  <c r="AE115" i="35"/>
  <c r="AD116" i="35"/>
  <c r="BC115" i="35"/>
  <c r="BB116" i="35"/>
  <c r="AL116" i="35"/>
  <c r="AM115" i="35"/>
  <c r="AC116" i="35"/>
  <c r="AB117" i="35"/>
  <c r="AA115" i="35"/>
  <c r="Z116" i="35"/>
  <c r="AT116" i="35"/>
  <c r="AU115" i="35"/>
  <c r="AQ115" i="35"/>
  <c r="AP116" i="35"/>
  <c r="AI115" i="35"/>
  <c r="AH116" i="35"/>
  <c r="AY115" i="35"/>
  <c r="AX116" i="35"/>
  <c r="AW116" i="35"/>
  <c r="AV117" i="35"/>
  <c r="AK116" i="35"/>
  <c r="AJ117" i="35"/>
  <c r="BE116" i="35"/>
  <c r="BD117" i="35"/>
  <c r="AG116" i="35"/>
  <c r="AF117" i="35"/>
  <c r="AH644" i="38" l="1"/>
  <c r="AG643" i="38"/>
  <c r="AG691" i="38"/>
  <c r="AG729" i="38"/>
  <c r="B115" i="35"/>
  <c r="P119" i="9" s="1"/>
  <c r="AS116" i="35"/>
  <c r="AR117" i="35"/>
  <c r="AO116" i="35"/>
  <c r="AN117" i="35"/>
  <c r="BA116" i="35"/>
  <c r="AZ117" i="35"/>
  <c r="AG117" i="35"/>
  <c r="AF118" i="35"/>
  <c r="AY116" i="35"/>
  <c r="AX117" i="35"/>
  <c r="AA116" i="35"/>
  <c r="Z117" i="35"/>
  <c r="AB118" i="35"/>
  <c r="AC117" i="35"/>
  <c r="BC116" i="35"/>
  <c r="BB117" i="35"/>
  <c r="AU116" i="35"/>
  <c r="AT117" i="35"/>
  <c r="AQ116" i="35"/>
  <c r="AP117" i="35"/>
  <c r="BE117" i="35"/>
  <c r="BD118" i="35"/>
  <c r="AI116" i="35"/>
  <c r="AH117" i="35"/>
  <c r="AE116" i="35"/>
  <c r="AD117" i="35"/>
  <c r="AJ118" i="35"/>
  <c r="AK117" i="35"/>
  <c r="AW117" i="35"/>
  <c r="AV118" i="35"/>
  <c r="AM116" i="35"/>
  <c r="AL117" i="35"/>
  <c r="AH645" i="38" l="1"/>
  <c r="AH646" i="38" s="1"/>
  <c r="AH647" i="38" s="1"/>
  <c r="AG644" i="38"/>
  <c r="AG730" i="38"/>
  <c r="B116" i="35"/>
  <c r="P120" i="9" s="1"/>
  <c r="AS117" i="35"/>
  <c r="AR118" i="35"/>
  <c r="BA117" i="35"/>
  <c r="AZ118" i="35"/>
  <c r="AO117" i="35"/>
  <c r="AN118" i="35"/>
  <c r="BE118" i="35"/>
  <c r="BD119" i="35"/>
  <c r="AU117" i="35"/>
  <c r="AT118" i="35"/>
  <c r="AY117" i="35"/>
  <c r="AX118" i="35"/>
  <c r="AK118" i="35"/>
  <c r="AJ119" i="35"/>
  <c r="AC118" i="35"/>
  <c r="AB119" i="35"/>
  <c r="AW118" i="35"/>
  <c r="AV119" i="35"/>
  <c r="AE117" i="35"/>
  <c r="AD118" i="35"/>
  <c r="AI117" i="35"/>
  <c r="AH118" i="35"/>
  <c r="AQ117" i="35"/>
  <c r="AP118" i="35"/>
  <c r="BC117" i="35"/>
  <c r="BB118" i="35"/>
  <c r="AA117" i="35"/>
  <c r="B117" i="35" s="1"/>
  <c r="P121" i="9" s="1"/>
  <c r="Z118" i="35"/>
  <c r="AG118" i="35"/>
  <c r="AF119" i="35"/>
  <c r="AM117" i="35"/>
  <c r="AL118" i="35"/>
  <c r="AH648" i="38" l="1"/>
  <c r="AH649" i="38" s="1"/>
  <c r="AG647" i="38"/>
  <c r="AG733" i="38"/>
  <c r="AS118" i="35"/>
  <c r="AR119" i="35"/>
  <c r="AO118" i="35"/>
  <c r="AN119" i="35"/>
  <c r="BA118" i="35"/>
  <c r="AZ119" i="35"/>
  <c r="AM118" i="35"/>
  <c r="AL119" i="35"/>
  <c r="AQ118" i="35"/>
  <c r="AP119" i="35"/>
  <c r="AW119" i="35"/>
  <c r="AV120" i="35"/>
  <c r="AY118" i="35"/>
  <c r="AX119" i="35"/>
  <c r="BE119" i="35"/>
  <c r="BD120" i="35"/>
  <c r="AA118" i="35"/>
  <c r="B118" i="35" s="1"/>
  <c r="P122" i="9" s="1"/>
  <c r="Z119" i="35"/>
  <c r="AC119" i="35"/>
  <c r="AB120" i="35"/>
  <c r="BC118" i="35"/>
  <c r="BB119" i="35"/>
  <c r="AI118" i="35"/>
  <c r="AH119" i="35"/>
  <c r="AE118" i="35"/>
  <c r="AD119" i="35"/>
  <c r="AK119" i="35"/>
  <c r="AJ120" i="35"/>
  <c r="AU118" i="35"/>
  <c r="AT119" i="35"/>
  <c r="AG119" i="35"/>
  <c r="AF120" i="35"/>
  <c r="AH650" i="38" l="1"/>
  <c r="AH651" i="38" s="1"/>
  <c r="AH652" i="38" s="1"/>
  <c r="AH653" i="38" s="1"/>
  <c r="AH654" i="38" s="1"/>
  <c r="AH655" i="38" s="1"/>
  <c r="AG649" i="38"/>
  <c r="AS119" i="35"/>
  <c r="AR120" i="35"/>
  <c r="BA119" i="35"/>
  <c r="AZ120" i="35"/>
  <c r="AN120" i="35"/>
  <c r="AO119" i="35"/>
  <c r="AK120" i="35"/>
  <c r="AJ121" i="35"/>
  <c r="BC119" i="35"/>
  <c r="BB120" i="35"/>
  <c r="AY119" i="35"/>
  <c r="AX120" i="35"/>
  <c r="AQ119" i="35"/>
  <c r="AP120" i="35"/>
  <c r="AA119" i="35"/>
  <c r="Z120" i="35"/>
  <c r="AT120" i="35"/>
  <c r="AU119" i="35"/>
  <c r="AI119" i="35"/>
  <c r="AH120" i="35"/>
  <c r="AC120" i="35"/>
  <c r="AB121" i="35"/>
  <c r="BE120" i="35"/>
  <c r="BD121" i="35"/>
  <c r="AW120" i="35"/>
  <c r="AV121" i="35"/>
  <c r="AL120" i="35"/>
  <c r="AM119" i="35"/>
  <c r="AG120" i="35"/>
  <c r="AF121" i="35"/>
  <c r="AE119" i="35"/>
  <c r="AD120" i="35"/>
  <c r="AH656" i="38" l="1"/>
  <c r="AH657" i="38" s="1"/>
  <c r="AH658" i="38" s="1"/>
  <c r="AG655" i="38"/>
  <c r="AG706" i="38"/>
  <c r="B119" i="35"/>
  <c r="P123" i="9" s="1"/>
  <c r="AS120" i="35"/>
  <c r="AR121" i="35"/>
  <c r="AO120" i="35"/>
  <c r="AN121" i="35"/>
  <c r="BA120" i="35"/>
  <c r="AZ121" i="35"/>
  <c r="AW121" i="35"/>
  <c r="AV122" i="35"/>
  <c r="BC120" i="35"/>
  <c r="BB121" i="35"/>
  <c r="AB122" i="35"/>
  <c r="AC121" i="35"/>
  <c r="AQ120" i="35"/>
  <c r="AP121" i="35"/>
  <c r="BE121" i="35"/>
  <c r="BD122" i="35"/>
  <c r="AY120" i="35"/>
  <c r="AX121" i="35"/>
  <c r="AJ122" i="35"/>
  <c r="AK121" i="35"/>
  <c r="AG121" i="35"/>
  <c r="AF122" i="35"/>
  <c r="AA120" i="35"/>
  <c r="Z121" i="35"/>
  <c r="AE120" i="35"/>
  <c r="AD121" i="35"/>
  <c r="AI120" i="35"/>
  <c r="AH121" i="35"/>
  <c r="AM120" i="35"/>
  <c r="AL121" i="35"/>
  <c r="AU120" i="35"/>
  <c r="AT121" i="35"/>
  <c r="AH659" i="38" l="1"/>
  <c r="AH660" i="38" s="1"/>
  <c r="AH661" i="38" s="1"/>
  <c r="AH662" i="38" s="1"/>
  <c r="AH663" i="38" s="1"/>
  <c r="AG658" i="38"/>
  <c r="AG709" i="38"/>
  <c r="B120" i="35"/>
  <c r="P124" i="9" s="1"/>
  <c r="AS121" i="35"/>
  <c r="AR122" i="35"/>
  <c r="BA121" i="35"/>
  <c r="AZ122" i="35"/>
  <c r="AO121" i="35"/>
  <c r="AN122" i="35"/>
  <c r="AT122" i="35"/>
  <c r="AU121" i="35"/>
  <c r="AA121" i="35"/>
  <c r="Z122" i="35"/>
  <c r="BE122" i="35"/>
  <c r="BD123" i="35"/>
  <c r="BC121" i="35"/>
  <c r="BB122" i="35"/>
  <c r="AC122" i="35"/>
  <c r="AB123" i="35"/>
  <c r="AI121" i="35"/>
  <c r="AH122" i="35"/>
  <c r="AY121" i="35"/>
  <c r="AX122" i="35"/>
  <c r="AD122" i="35"/>
  <c r="AE121" i="35"/>
  <c r="AQ121" i="35"/>
  <c r="AP122" i="35"/>
  <c r="AW122" i="35"/>
  <c r="AV123" i="35"/>
  <c r="AG122" i="35"/>
  <c r="AF123" i="35"/>
  <c r="AM121" i="35"/>
  <c r="AL122" i="35"/>
  <c r="AK122" i="35"/>
  <c r="AJ123" i="35"/>
  <c r="AH664" i="38" l="1"/>
  <c r="AH665" i="38" s="1"/>
  <c r="AH666" i="38" s="1"/>
  <c r="AH667" i="38" s="1"/>
  <c r="AH668" i="38" s="1"/>
  <c r="AH669" i="38" s="1"/>
  <c r="AG663" i="38"/>
  <c r="AG712" i="38"/>
  <c r="AG747" i="38"/>
  <c r="B121" i="35"/>
  <c r="P125" i="9" s="1"/>
  <c r="AR123" i="35"/>
  <c r="AS122" i="35"/>
  <c r="AN123" i="35"/>
  <c r="AO122" i="35"/>
  <c r="BA122" i="35"/>
  <c r="AZ123" i="35"/>
  <c r="AM122" i="35"/>
  <c r="AL123" i="35"/>
  <c r="AI122" i="35"/>
  <c r="AH123" i="35"/>
  <c r="BC122" i="35"/>
  <c r="BB123" i="35"/>
  <c r="AA122" i="35"/>
  <c r="Z123" i="35"/>
  <c r="AE122" i="35"/>
  <c r="AD123" i="35"/>
  <c r="AW123" i="35"/>
  <c r="AV124" i="35"/>
  <c r="AY122" i="35"/>
  <c r="AX123" i="35"/>
  <c r="AC123" i="35"/>
  <c r="AB124" i="35"/>
  <c r="BD124" i="35"/>
  <c r="BE123" i="35"/>
  <c r="AK123" i="35"/>
  <c r="AJ124" i="35"/>
  <c r="AQ122" i="35"/>
  <c r="AP123" i="35"/>
  <c r="AG123" i="35"/>
  <c r="AF124" i="35"/>
  <c r="AU122" i="35"/>
  <c r="AT123" i="35"/>
  <c r="AH670" i="38" l="1"/>
  <c r="AH671" i="38" s="1"/>
  <c r="AH672" i="38" s="1"/>
  <c r="AH673" i="38" s="1"/>
  <c r="AG669" i="38"/>
  <c r="B122" i="35"/>
  <c r="P126" i="9" s="1"/>
  <c r="AS123" i="35"/>
  <c r="AR124" i="35"/>
  <c r="BA123" i="35"/>
  <c r="AZ124" i="35"/>
  <c r="AN124" i="35"/>
  <c r="AO123" i="35"/>
  <c r="AQ123" i="35"/>
  <c r="AP124" i="35"/>
  <c r="AW124" i="35"/>
  <c r="AV125" i="35"/>
  <c r="AY123" i="35"/>
  <c r="AX124" i="35"/>
  <c r="AA123" i="35"/>
  <c r="Z124" i="35"/>
  <c r="BE124" i="35"/>
  <c r="BD125" i="35"/>
  <c r="AG124" i="35"/>
  <c r="AF125" i="35"/>
  <c r="AC124" i="35"/>
  <c r="AB125" i="35"/>
  <c r="AE123" i="35"/>
  <c r="AD124" i="35"/>
  <c r="BC123" i="35"/>
  <c r="BB124" i="35"/>
  <c r="AL124" i="35"/>
  <c r="AM123" i="35"/>
  <c r="AT124" i="35"/>
  <c r="AU123" i="35"/>
  <c r="AI123" i="35"/>
  <c r="AH124" i="35"/>
  <c r="AK124" i="35"/>
  <c r="AJ125" i="35"/>
  <c r="AH674" i="38" l="1"/>
  <c r="AH675" i="38" s="1"/>
  <c r="AH676" i="38" s="1"/>
  <c r="AH677" i="38" s="1"/>
  <c r="AH678" i="38" s="1"/>
  <c r="AG673" i="38"/>
  <c r="B123" i="35"/>
  <c r="P127" i="9" s="1"/>
  <c r="AS124" i="35"/>
  <c r="AR125" i="35"/>
  <c r="BA124" i="35"/>
  <c r="AZ125" i="35"/>
  <c r="AO124" i="35"/>
  <c r="AN125" i="35"/>
  <c r="AI124" i="35"/>
  <c r="AH125" i="35"/>
  <c r="BC124" i="35"/>
  <c r="BB125" i="35"/>
  <c r="AG125" i="35"/>
  <c r="AF126" i="35"/>
  <c r="AW125" i="35"/>
  <c r="AV126" i="35"/>
  <c r="AU124" i="35"/>
  <c r="AT125" i="35"/>
  <c r="AA124" i="35"/>
  <c r="Z125" i="35"/>
  <c r="AE124" i="35"/>
  <c r="AD125" i="35"/>
  <c r="AB126" i="35"/>
  <c r="AC125" i="35"/>
  <c r="BE125" i="35"/>
  <c r="BD126" i="35"/>
  <c r="AY124" i="35"/>
  <c r="AX125" i="35"/>
  <c r="AQ124" i="35"/>
  <c r="AP125" i="35"/>
  <c r="AJ126" i="35"/>
  <c r="AK125" i="35"/>
  <c r="AM124" i="35"/>
  <c r="AL125" i="35"/>
  <c r="AH679" i="38" l="1"/>
  <c r="AH680" i="38" s="1"/>
  <c r="AH681" i="38" s="1"/>
  <c r="AH682" i="38" s="1"/>
  <c r="AG678" i="38"/>
  <c r="AG727" i="38"/>
  <c r="B124" i="35"/>
  <c r="P128" i="9" s="1"/>
  <c r="AS125" i="35"/>
  <c r="AR126" i="35"/>
  <c r="AO125" i="35"/>
  <c r="AN126" i="35"/>
  <c r="BA125" i="35"/>
  <c r="AZ126" i="35"/>
  <c r="AM125" i="35"/>
  <c r="AL126" i="35"/>
  <c r="AY125" i="35"/>
  <c r="AX126" i="35"/>
  <c r="AU125" i="35"/>
  <c r="AT126" i="35"/>
  <c r="AG126" i="35"/>
  <c r="AF127" i="35"/>
  <c r="AI125" i="35"/>
  <c r="AH126" i="35"/>
  <c r="AC126" i="35"/>
  <c r="AB127" i="35"/>
  <c r="AQ125" i="35"/>
  <c r="AP126" i="35"/>
  <c r="BE126" i="35"/>
  <c r="BD127" i="35"/>
  <c r="AE125" i="35"/>
  <c r="AD126" i="35"/>
  <c r="AA125" i="35"/>
  <c r="Z126" i="35"/>
  <c r="AW126" i="35"/>
  <c r="AV127" i="35"/>
  <c r="BC125" i="35"/>
  <c r="BB126" i="35"/>
  <c r="AK126" i="35"/>
  <c r="AJ127" i="35"/>
  <c r="AH683" i="38" l="1"/>
  <c r="AH684" i="38" s="1"/>
  <c r="AH685" i="38" s="1"/>
  <c r="AG682" i="38"/>
  <c r="AG732" i="38"/>
  <c r="B125" i="35"/>
  <c r="P129" i="9" s="1"/>
  <c r="AR127" i="35"/>
  <c r="AS126" i="35"/>
  <c r="BA126" i="35"/>
  <c r="AZ127" i="35"/>
  <c r="AO126" i="35"/>
  <c r="AN127" i="35"/>
  <c r="AK127" i="35"/>
  <c r="AJ128" i="35"/>
  <c r="BC126" i="35"/>
  <c r="BB127" i="35"/>
  <c r="AA126" i="35"/>
  <c r="Z127" i="35"/>
  <c r="BE127" i="35"/>
  <c r="BD128" i="35"/>
  <c r="AI126" i="35"/>
  <c r="AH127" i="35"/>
  <c r="AU126" i="35"/>
  <c r="AT127" i="35"/>
  <c r="AY126" i="35"/>
  <c r="AX127" i="35"/>
  <c r="AW127" i="35"/>
  <c r="AV128" i="35"/>
  <c r="AQ126" i="35"/>
  <c r="AP127" i="35"/>
  <c r="AC127" i="35"/>
  <c r="AB128" i="35"/>
  <c r="AG127" i="35"/>
  <c r="AF128" i="35"/>
  <c r="AM126" i="35"/>
  <c r="AL127" i="35"/>
  <c r="AE126" i="35"/>
  <c r="AD127" i="35"/>
  <c r="AH686" i="38" l="1"/>
  <c r="AG685" i="38"/>
  <c r="AG741" i="38"/>
  <c r="B126" i="35"/>
  <c r="P130" i="9" s="1"/>
  <c r="AR128" i="35"/>
  <c r="AS127" i="35"/>
  <c r="AO127" i="35"/>
  <c r="AN128" i="35"/>
  <c r="BA127" i="35"/>
  <c r="AZ128" i="35"/>
  <c r="AL128" i="35"/>
  <c r="AM127" i="35"/>
  <c r="AG128" i="35"/>
  <c r="AF129" i="35"/>
  <c r="AQ127" i="35"/>
  <c r="AP128" i="35"/>
  <c r="AY127" i="35"/>
  <c r="AX128" i="35"/>
  <c r="AI127" i="35"/>
  <c r="AH128" i="35"/>
  <c r="BE128" i="35"/>
  <c r="BD129" i="35"/>
  <c r="BC127" i="35"/>
  <c r="BB128" i="35"/>
  <c r="AC128" i="35"/>
  <c r="AB129" i="35"/>
  <c r="AW128" i="35"/>
  <c r="AV129" i="35"/>
  <c r="AT128" i="35"/>
  <c r="AU127" i="35"/>
  <c r="AA127" i="35"/>
  <c r="B127" i="35" s="1"/>
  <c r="P131" i="9" s="1"/>
  <c r="Z128" i="35"/>
  <c r="AK128" i="35"/>
  <c r="AJ129" i="35"/>
  <c r="AE127" i="35"/>
  <c r="AD128" i="35"/>
  <c r="AH687" i="38" l="1"/>
  <c r="AG686" i="38"/>
  <c r="AG742" i="38"/>
  <c r="AS128" i="35"/>
  <c r="AR129" i="35"/>
  <c r="BA128" i="35"/>
  <c r="AZ129" i="35"/>
  <c r="AO128" i="35"/>
  <c r="AN129" i="35"/>
  <c r="AA128" i="35"/>
  <c r="Z129" i="35"/>
  <c r="AB130" i="35"/>
  <c r="AC129" i="35"/>
  <c r="BE129" i="35"/>
  <c r="BD130" i="35"/>
  <c r="AG129" i="35"/>
  <c r="AF130" i="35"/>
  <c r="BC128" i="35"/>
  <c r="BB129" i="35"/>
  <c r="AI128" i="35"/>
  <c r="AH129" i="35"/>
  <c r="AQ128" i="35"/>
  <c r="AP129" i="35"/>
  <c r="AE128" i="35"/>
  <c r="AD129" i="35"/>
  <c r="AY128" i="35"/>
  <c r="AX129" i="35"/>
  <c r="AU128" i="35"/>
  <c r="AT129" i="35"/>
  <c r="AJ130" i="35"/>
  <c r="AK129" i="35"/>
  <c r="AW129" i="35"/>
  <c r="AV130" i="35"/>
  <c r="AM128" i="35"/>
  <c r="AL129" i="35"/>
  <c r="AH688" i="38" l="1"/>
  <c r="AH689" i="38" s="1"/>
  <c r="AH690" i="38" s="1"/>
  <c r="AH691" i="38" s="1"/>
  <c r="AH692" i="38" s="1"/>
  <c r="AH693" i="38" s="1"/>
  <c r="AH694" i="38" s="1"/>
  <c r="AH695" i="38" s="1"/>
  <c r="AG687" i="38"/>
  <c r="AG743" i="38"/>
  <c r="B128" i="35"/>
  <c r="P132" i="9" s="1"/>
  <c r="AS129" i="35"/>
  <c r="AR130" i="35"/>
  <c r="AO129" i="35"/>
  <c r="AN130" i="35"/>
  <c r="BA129" i="35"/>
  <c r="AZ130" i="35"/>
  <c r="AM129" i="35"/>
  <c r="AL130" i="35"/>
  <c r="AY129" i="35"/>
  <c r="AX130" i="35"/>
  <c r="AD130" i="35"/>
  <c r="AE129" i="35"/>
  <c r="AI129" i="35"/>
  <c r="AH130" i="35"/>
  <c r="AG130" i="35"/>
  <c r="AF131" i="35"/>
  <c r="AK130" i="35"/>
  <c r="AJ131" i="35"/>
  <c r="AC130" i="35"/>
  <c r="AB131" i="35"/>
  <c r="AT130" i="35"/>
  <c r="AU129" i="35"/>
  <c r="AQ129" i="35"/>
  <c r="AP130" i="35"/>
  <c r="BC129" i="35"/>
  <c r="BB130" i="35"/>
  <c r="BE130" i="35"/>
  <c r="BD131" i="35"/>
  <c r="AA129" i="35"/>
  <c r="Z130" i="35"/>
  <c r="AW130" i="35"/>
  <c r="AV131" i="35"/>
  <c r="AH696" i="38" l="1"/>
  <c r="AG695" i="38"/>
  <c r="B129" i="35"/>
  <c r="P133" i="9" s="1"/>
  <c r="AS130" i="35"/>
  <c r="AR131" i="35"/>
  <c r="BA130" i="35"/>
  <c r="AZ131" i="35"/>
  <c r="AO130" i="35"/>
  <c r="AN131" i="35"/>
  <c r="AA130" i="35"/>
  <c r="Z131" i="35"/>
  <c r="BC130" i="35"/>
  <c r="BB131" i="35"/>
  <c r="AC131" i="35"/>
  <c r="AB132" i="35"/>
  <c r="AG131" i="35"/>
  <c r="AF132" i="35"/>
  <c r="AI130" i="35"/>
  <c r="AH131" i="35"/>
  <c r="AY130" i="35"/>
  <c r="AX131" i="35"/>
  <c r="AW131" i="35"/>
  <c r="AV132" i="35"/>
  <c r="AQ130" i="35"/>
  <c r="AP131" i="35"/>
  <c r="AK131" i="35"/>
  <c r="AJ132" i="35"/>
  <c r="AM130" i="35"/>
  <c r="AL131" i="35"/>
  <c r="BD132" i="35"/>
  <c r="BE131" i="35"/>
  <c r="AU130" i="35"/>
  <c r="AT131" i="35"/>
  <c r="AE130" i="35"/>
  <c r="AD131" i="35"/>
  <c r="AH697" i="38" l="1"/>
  <c r="AH698" i="38" s="1"/>
  <c r="AH699" i="38" s="1"/>
  <c r="AH700" i="38" s="1"/>
  <c r="AG696" i="38"/>
  <c r="AG746" i="38"/>
  <c r="B130" i="35"/>
  <c r="P134" i="9" s="1"/>
  <c r="AS131" i="35"/>
  <c r="AR132" i="35"/>
  <c r="AN132" i="35"/>
  <c r="AO131" i="35"/>
  <c r="BA131" i="35"/>
  <c r="AZ132" i="35"/>
  <c r="AE131" i="35"/>
  <c r="AD132" i="35"/>
  <c r="AQ131" i="35"/>
  <c r="AP132" i="35"/>
  <c r="AG132" i="35"/>
  <c r="AF133" i="35"/>
  <c r="AA131" i="35"/>
  <c r="B131" i="35" s="1"/>
  <c r="P135" i="9" s="1"/>
  <c r="Z132" i="35"/>
  <c r="BE132" i="35"/>
  <c r="BD133" i="35"/>
  <c r="AY131" i="35"/>
  <c r="AX132" i="35"/>
  <c r="AT132" i="35"/>
  <c r="AU131" i="35"/>
  <c r="AL132" i="35"/>
  <c r="AM131" i="35"/>
  <c r="AK132" i="35"/>
  <c r="AJ133" i="35"/>
  <c r="AW132" i="35"/>
  <c r="AV133" i="35"/>
  <c r="AI131" i="35"/>
  <c r="AH132" i="35"/>
  <c r="AC132" i="35"/>
  <c r="AB133" i="35"/>
  <c r="BC131" i="35"/>
  <c r="BB132" i="35"/>
  <c r="AH701" i="38" l="1"/>
  <c r="AG700" i="38"/>
  <c r="AG749" i="38"/>
  <c r="AS132" i="35"/>
  <c r="AR133" i="35"/>
  <c r="BA132" i="35"/>
  <c r="AZ133" i="35"/>
  <c r="AO132" i="35"/>
  <c r="AN133" i="35"/>
  <c r="BC132" i="35"/>
  <c r="BB133" i="35"/>
  <c r="AI132" i="35"/>
  <c r="AH133" i="35"/>
  <c r="AJ134" i="35"/>
  <c r="AK133" i="35"/>
  <c r="AA132" i="35"/>
  <c r="Z133" i="35"/>
  <c r="AQ132" i="35"/>
  <c r="AP133" i="35"/>
  <c r="AB134" i="35"/>
  <c r="AC133" i="35"/>
  <c r="AY132" i="35"/>
  <c r="AX133" i="35"/>
  <c r="BE133" i="35"/>
  <c r="BD134" i="35"/>
  <c r="AG133" i="35"/>
  <c r="AF134" i="35"/>
  <c r="AE132" i="35"/>
  <c r="AD133" i="35"/>
  <c r="AU132" i="35"/>
  <c r="AT133" i="35"/>
  <c r="AW133" i="35"/>
  <c r="AV134" i="35"/>
  <c r="AM132" i="35"/>
  <c r="AL133" i="35"/>
  <c r="AH702" i="38" l="1"/>
  <c r="AH703" i="38" s="1"/>
  <c r="AH704" i="38" s="1"/>
  <c r="AH705" i="38" s="1"/>
  <c r="AH706" i="38" s="1"/>
  <c r="AH707" i="38" s="1"/>
  <c r="AG701" i="38"/>
  <c r="AG750" i="38"/>
  <c r="B132" i="35"/>
  <c r="P136" i="9" s="1"/>
  <c r="AS133" i="35"/>
  <c r="AR134" i="35"/>
  <c r="AO133" i="35"/>
  <c r="AN134" i="35"/>
  <c r="BA133" i="35"/>
  <c r="AZ134" i="35"/>
  <c r="AM133" i="35"/>
  <c r="AL134" i="35"/>
  <c r="AE133" i="35"/>
  <c r="AD134" i="35"/>
  <c r="BE134" i="35"/>
  <c r="BD135" i="35"/>
  <c r="AA133" i="35"/>
  <c r="Z134" i="35"/>
  <c r="BC133" i="35"/>
  <c r="BB134" i="35"/>
  <c r="AC134" i="35"/>
  <c r="AB135" i="35"/>
  <c r="AK134" i="35"/>
  <c r="AJ135" i="35"/>
  <c r="AU133" i="35"/>
  <c r="AT134" i="35"/>
  <c r="AY133" i="35"/>
  <c r="AX134" i="35"/>
  <c r="AQ133" i="35"/>
  <c r="AP134" i="35"/>
  <c r="AI133" i="35"/>
  <c r="AH134" i="35"/>
  <c r="AW134" i="35"/>
  <c r="AV135" i="35"/>
  <c r="AG134" i="35"/>
  <c r="AF135" i="35"/>
  <c r="AH708" i="38" l="1"/>
  <c r="AH709" i="38" s="1"/>
  <c r="AH710" i="38" s="1"/>
  <c r="AH711" i="38" s="1"/>
  <c r="AH712" i="38" s="1"/>
  <c r="AH713" i="38" s="1"/>
  <c r="AH714" i="38" s="1"/>
  <c r="AH715" i="38" s="1"/>
  <c r="AH716" i="38" s="1"/>
  <c r="AH717" i="38" s="1"/>
  <c r="AH718" i="38" s="1"/>
  <c r="AH719" i="38" s="1"/>
  <c r="AH720" i="38" s="1"/>
  <c r="AG707" i="38"/>
  <c r="B133" i="35"/>
  <c r="P137" i="9" s="1"/>
  <c r="AS134" i="35"/>
  <c r="AR135" i="35"/>
  <c r="BA134" i="35"/>
  <c r="AZ135" i="35"/>
  <c r="AO134" i="35"/>
  <c r="AN135" i="35"/>
  <c r="AY134" i="35"/>
  <c r="AX135" i="35"/>
  <c r="AK135" i="35"/>
  <c r="AJ136" i="35"/>
  <c r="BC134" i="35"/>
  <c r="BB135" i="35"/>
  <c r="BE135" i="35"/>
  <c r="BD136" i="35"/>
  <c r="AW135" i="35"/>
  <c r="AV136" i="35"/>
  <c r="AI134" i="35"/>
  <c r="AH135" i="35"/>
  <c r="AQ134" i="35"/>
  <c r="AP135" i="35"/>
  <c r="AU134" i="35"/>
  <c r="AT135" i="35"/>
  <c r="AC135" i="35"/>
  <c r="AB136" i="35"/>
  <c r="AA134" i="35"/>
  <c r="Z135" i="35"/>
  <c r="AE134" i="35"/>
  <c r="AD135" i="35"/>
  <c r="AM134" i="35"/>
  <c r="AL135" i="35"/>
  <c r="AG135" i="35"/>
  <c r="AF136" i="35"/>
  <c r="AH721" i="38" l="1"/>
  <c r="AH722" i="38" s="1"/>
  <c r="AH723" i="38" s="1"/>
  <c r="AG720" i="38"/>
  <c r="B134" i="35"/>
  <c r="P138" i="9" s="1"/>
  <c r="AS135" i="35"/>
  <c r="AR136" i="35"/>
  <c r="AO135" i="35"/>
  <c r="AN136" i="35"/>
  <c r="BA135" i="35"/>
  <c r="AZ136" i="35"/>
  <c r="AG136" i="35"/>
  <c r="AF137" i="35"/>
  <c r="AE135" i="35"/>
  <c r="AD136" i="35"/>
  <c r="AC136" i="35"/>
  <c r="AB137" i="35"/>
  <c r="AQ135" i="35"/>
  <c r="AP136" i="35"/>
  <c r="AW136" i="35"/>
  <c r="AV137" i="35"/>
  <c r="BC135" i="35"/>
  <c r="BB136" i="35"/>
  <c r="AY135" i="35"/>
  <c r="AX136" i="35"/>
  <c r="AA135" i="35"/>
  <c r="B135" i="35" s="1"/>
  <c r="P139" i="9" s="1"/>
  <c r="Z136" i="35"/>
  <c r="AT136" i="35"/>
  <c r="AU135" i="35"/>
  <c r="AI135" i="35"/>
  <c r="AH136" i="35"/>
  <c r="BE136" i="35"/>
  <c r="BD137" i="35"/>
  <c r="AK136" i="35"/>
  <c r="AJ137" i="35"/>
  <c r="AL136" i="35"/>
  <c r="AM135" i="35"/>
  <c r="AH724" i="38" l="1"/>
  <c r="AG723" i="38"/>
  <c r="AS136" i="35"/>
  <c r="AR137" i="35"/>
  <c r="BA136" i="35"/>
  <c r="AZ137" i="35"/>
  <c r="AO136" i="35"/>
  <c r="AN137" i="35"/>
  <c r="AJ138" i="35"/>
  <c r="AK137" i="35"/>
  <c r="AY136" i="35"/>
  <c r="AX137" i="35"/>
  <c r="AQ136" i="35"/>
  <c r="AP137" i="35"/>
  <c r="AE136" i="35"/>
  <c r="AD137" i="35"/>
  <c r="BE137" i="35"/>
  <c r="BD138" i="35"/>
  <c r="AA136" i="35"/>
  <c r="Z137" i="35"/>
  <c r="BC136" i="35"/>
  <c r="BB137" i="35"/>
  <c r="AW137" i="35"/>
  <c r="AV138" i="35"/>
  <c r="AB138" i="35"/>
  <c r="AC137" i="35"/>
  <c r="AG137" i="35"/>
  <c r="AF138" i="35"/>
  <c r="AM136" i="35"/>
  <c r="AL137" i="35"/>
  <c r="AU136" i="35"/>
  <c r="AT137" i="35"/>
  <c r="AI136" i="35"/>
  <c r="AH137" i="35"/>
  <c r="AH725" i="38" l="1"/>
  <c r="AG724" i="38"/>
  <c r="B136" i="35"/>
  <c r="P140" i="9" s="1"/>
  <c r="AS137" i="35"/>
  <c r="AR138" i="35"/>
  <c r="AO137" i="35"/>
  <c r="AN138" i="35"/>
  <c r="BA137" i="35"/>
  <c r="AZ138" i="35"/>
  <c r="AI137" i="35"/>
  <c r="AH138" i="35"/>
  <c r="AT138" i="35"/>
  <c r="AU137" i="35"/>
  <c r="AG138" i="35"/>
  <c r="AF139" i="35"/>
  <c r="AW138" i="35"/>
  <c r="AV139" i="35"/>
  <c r="AA137" i="35"/>
  <c r="Z138" i="35"/>
  <c r="AD138" i="35"/>
  <c r="AE137" i="35"/>
  <c r="BC137" i="35"/>
  <c r="BB138" i="35"/>
  <c r="BE138" i="35"/>
  <c r="BD139" i="35"/>
  <c r="AQ137" i="35"/>
  <c r="AP138" i="35"/>
  <c r="AY137" i="35"/>
  <c r="AX138" i="35"/>
  <c r="AM137" i="35"/>
  <c r="AL138" i="35"/>
  <c r="AC138" i="35"/>
  <c r="AB139" i="35"/>
  <c r="AK138" i="35"/>
  <c r="AJ139" i="35"/>
  <c r="AH726" i="38" l="1"/>
  <c r="AG725" i="38"/>
  <c r="B137" i="35"/>
  <c r="P141" i="9" s="1"/>
  <c r="AS138" i="35"/>
  <c r="AR139" i="35"/>
  <c r="BA138" i="35"/>
  <c r="AZ139" i="35"/>
  <c r="AO138" i="35"/>
  <c r="AN139" i="35"/>
  <c r="AM138" i="35"/>
  <c r="AL139" i="35"/>
  <c r="BE139" i="35"/>
  <c r="BD140" i="35"/>
  <c r="AW139" i="35"/>
  <c r="AV140" i="35"/>
  <c r="AE138" i="35"/>
  <c r="AD139" i="35"/>
  <c r="AU138" i="35"/>
  <c r="AT139" i="35"/>
  <c r="AK139" i="35"/>
  <c r="AJ140" i="35"/>
  <c r="AC139" i="35"/>
  <c r="AB140" i="35"/>
  <c r="AQ138" i="35"/>
  <c r="AP139" i="35"/>
  <c r="BC138" i="35"/>
  <c r="BB139" i="35"/>
  <c r="AA138" i="35"/>
  <c r="B138" i="35" s="1"/>
  <c r="P142" i="9" s="1"/>
  <c r="Z139" i="35"/>
  <c r="AG139" i="35"/>
  <c r="AF140" i="35"/>
  <c r="AI138" i="35"/>
  <c r="AH139" i="35"/>
  <c r="AY138" i="35"/>
  <c r="AX139" i="35"/>
  <c r="AH727" i="38" l="1"/>
  <c r="AH728" i="38" s="1"/>
  <c r="AG726" i="38"/>
  <c r="AS139" i="35"/>
  <c r="AR140" i="35"/>
  <c r="BA139" i="35"/>
  <c r="AZ140" i="35"/>
  <c r="AN140" i="35"/>
  <c r="AO139" i="35"/>
  <c r="AQ139" i="35"/>
  <c r="AP140" i="35"/>
  <c r="AC140" i="35"/>
  <c r="AB141" i="35"/>
  <c r="AT140" i="35"/>
  <c r="AU139" i="35"/>
  <c r="AW140" i="35"/>
  <c r="AV141" i="35"/>
  <c r="BE140" i="35"/>
  <c r="BD141" i="35"/>
  <c r="AY139" i="35"/>
  <c r="AX140" i="35"/>
  <c r="AI139" i="35"/>
  <c r="AH140" i="35"/>
  <c r="AA139" i="35"/>
  <c r="Z140" i="35"/>
  <c r="BC139" i="35"/>
  <c r="BB140" i="35"/>
  <c r="AK140" i="35"/>
  <c r="AJ141" i="35"/>
  <c r="AE139" i="35"/>
  <c r="AD140" i="35"/>
  <c r="AL140" i="35"/>
  <c r="AM139" i="35"/>
  <c r="AG140" i="35"/>
  <c r="AF141" i="35"/>
  <c r="AH729" i="38" l="1"/>
  <c r="AH730" i="38" s="1"/>
  <c r="AH731" i="38" s="1"/>
  <c r="AH732" i="38" s="1"/>
  <c r="AH733" i="38" s="1"/>
  <c r="AH734" i="38" s="1"/>
  <c r="AH735" i="38" s="1"/>
  <c r="AG728" i="38"/>
  <c r="B139" i="35"/>
  <c r="P143" i="9" s="1"/>
  <c r="AR141" i="35"/>
  <c r="AS140" i="35"/>
  <c r="BA140" i="35"/>
  <c r="AZ141" i="35"/>
  <c r="AO140" i="35"/>
  <c r="AN141" i="35"/>
  <c r="BC140" i="35"/>
  <c r="BB141" i="35"/>
  <c r="AI140" i="35"/>
  <c r="AH141" i="35"/>
  <c r="BE141" i="35"/>
  <c r="BD142" i="35"/>
  <c r="AQ140" i="35"/>
  <c r="AP141" i="35"/>
  <c r="AU140" i="35"/>
  <c r="AT141" i="35"/>
  <c r="AG141" i="35"/>
  <c r="AF142" i="35"/>
  <c r="AE140" i="35"/>
  <c r="AD141" i="35"/>
  <c r="AA140" i="35"/>
  <c r="B140" i="35" s="1"/>
  <c r="P144" i="9" s="1"/>
  <c r="Z141" i="35"/>
  <c r="AY140" i="35"/>
  <c r="AX141" i="35"/>
  <c r="AW141" i="35"/>
  <c r="AV142" i="35"/>
  <c r="AB142" i="35"/>
  <c r="AC141" i="35"/>
  <c r="AJ142" i="35"/>
  <c r="AK141" i="35"/>
  <c r="AM140" i="35"/>
  <c r="AL141" i="35"/>
  <c r="AH736" i="38" l="1"/>
  <c r="AH737" i="38" s="1"/>
  <c r="AG735" i="38"/>
  <c r="AS141" i="35"/>
  <c r="AR142" i="35"/>
  <c r="AO141" i="35"/>
  <c r="AN142" i="35"/>
  <c r="BA141" i="35"/>
  <c r="AZ142" i="35"/>
  <c r="AM141" i="35"/>
  <c r="AL142" i="35"/>
  <c r="AA141" i="35"/>
  <c r="Z142" i="35"/>
  <c r="AE141" i="35"/>
  <c r="AD142" i="35"/>
  <c r="BC141" i="35"/>
  <c r="BB142" i="35"/>
  <c r="AW142" i="35"/>
  <c r="AV143" i="35"/>
  <c r="AU141" i="35"/>
  <c r="AT142" i="35"/>
  <c r="AY141" i="35"/>
  <c r="AX142" i="35"/>
  <c r="AG142" i="35"/>
  <c r="AF143" i="35"/>
  <c r="AQ141" i="35"/>
  <c r="AP142" i="35"/>
  <c r="AI141" i="35"/>
  <c r="AH142" i="35"/>
  <c r="BE142" i="35"/>
  <c r="BD143" i="35"/>
  <c r="AK142" i="35"/>
  <c r="AJ143" i="35"/>
  <c r="AC142" i="35"/>
  <c r="AB143" i="35"/>
  <c r="AH738" i="38" l="1"/>
  <c r="AG737" i="38"/>
  <c r="B141" i="35"/>
  <c r="P145" i="9" s="1"/>
  <c r="AS142" i="35"/>
  <c r="AR143" i="35"/>
  <c r="BA142" i="35"/>
  <c r="AZ143" i="35"/>
  <c r="AO142" i="35"/>
  <c r="AN143" i="35"/>
  <c r="BE143" i="35"/>
  <c r="BD144" i="35"/>
  <c r="AU142" i="35"/>
  <c r="AT143" i="35"/>
  <c r="AA142" i="35"/>
  <c r="Z143" i="35"/>
  <c r="AC143" i="35"/>
  <c r="AB144" i="35"/>
  <c r="AQ142" i="35"/>
  <c r="AP143" i="35"/>
  <c r="BC142" i="35"/>
  <c r="BB143" i="35"/>
  <c r="AI142" i="35"/>
  <c r="AH143" i="35"/>
  <c r="AG143" i="35"/>
  <c r="AF144" i="35"/>
  <c r="AY142" i="35"/>
  <c r="AX143" i="35"/>
  <c r="AW143" i="35"/>
  <c r="AV144" i="35"/>
  <c r="AE142" i="35"/>
  <c r="AD143" i="35"/>
  <c r="AM142" i="35"/>
  <c r="AL143" i="35"/>
  <c r="AK143" i="35"/>
  <c r="AJ144" i="35"/>
  <c r="AH739" i="38" l="1"/>
  <c r="AH740" i="38" s="1"/>
  <c r="AG738" i="38"/>
  <c r="B142" i="35"/>
  <c r="P146" i="9" s="1"/>
  <c r="AR144" i="35"/>
  <c r="AS143" i="35"/>
  <c r="AO143" i="35"/>
  <c r="AN144" i="35"/>
  <c r="BA143" i="35"/>
  <c r="AZ144" i="35"/>
  <c r="AK144" i="35"/>
  <c r="AJ145" i="35"/>
  <c r="AM143" i="35"/>
  <c r="AL144" i="35"/>
  <c r="AW144" i="35"/>
  <c r="AV145" i="35"/>
  <c r="AG144" i="35"/>
  <c r="AF145" i="35"/>
  <c r="AQ143" i="35"/>
  <c r="AP144" i="35"/>
  <c r="AA143" i="35"/>
  <c r="Z144" i="35"/>
  <c r="AY143" i="35"/>
  <c r="AX144" i="35"/>
  <c r="BC143" i="35"/>
  <c r="BB144" i="35"/>
  <c r="AC144" i="35"/>
  <c r="AB145" i="35"/>
  <c r="AU143" i="35"/>
  <c r="AT144" i="35"/>
  <c r="BE144" i="35"/>
  <c r="BD145" i="35"/>
  <c r="AE143" i="35"/>
  <c r="AD144" i="35"/>
  <c r="AI143" i="35"/>
  <c r="AH144" i="35"/>
  <c r="AH741" i="38" l="1"/>
  <c r="AH742" i="38" s="1"/>
  <c r="AH743" i="38" s="1"/>
  <c r="AH744" i="38" s="1"/>
  <c r="AG740" i="38"/>
  <c r="B143" i="35"/>
  <c r="P147" i="9" s="1"/>
  <c r="AS144" i="35"/>
  <c r="AR145" i="35"/>
  <c r="BA144" i="35"/>
  <c r="AZ145" i="35"/>
  <c r="AN145" i="35"/>
  <c r="AO144" i="35"/>
  <c r="AI144" i="35"/>
  <c r="AH145" i="35"/>
  <c r="AU144" i="35"/>
  <c r="AT145" i="35"/>
  <c r="BC144" i="35"/>
  <c r="BB145" i="35"/>
  <c r="AQ144" i="35"/>
  <c r="AP145" i="35"/>
  <c r="AG145" i="35"/>
  <c r="AF146" i="35"/>
  <c r="AM144" i="35"/>
  <c r="AL145" i="35"/>
  <c r="BE145" i="35"/>
  <c r="BD146" i="35"/>
  <c r="AC145" i="35"/>
  <c r="AB146" i="35"/>
  <c r="AY144" i="35"/>
  <c r="AX145" i="35"/>
  <c r="AA144" i="35"/>
  <c r="B144" i="35" s="1"/>
  <c r="P148" i="9" s="1"/>
  <c r="Z145" i="35"/>
  <c r="AW145" i="35"/>
  <c r="AV146" i="35"/>
  <c r="AJ146" i="35"/>
  <c r="AK145" i="35"/>
  <c r="AE144" i="35"/>
  <c r="AD145" i="35"/>
  <c r="AH745" i="38" l="1"/>
  <c r="AG744" i="38"/>
  <c r="AR146" i="35"/>
  <c r="AS145" i="35"/>
  <c r="AO145" i="35"/>
  <c r="AN146" i="35"/>
  <c r="AZ146" i="35"/>
  <c r="BA145" i="35"/>
  <c r="Z146" i="35"/>
  <c r="AA145" i="35"/>
  <c r="AC146" i="35"/>
  <c r="AB147" i="35"/>
  <c r="AG146" i="35"/>
  <c r="AF147" i="35"/>
  <c r="BC145" i="35"/>
  <c r="BB146" i="35"/>
  <c r="AK146" i="35"/>
  <c r="AJ147" i="35"/>
  <c r="AD146" i="35"/>
  <c r="AE145" i="35"/>
  <c r="AY145" i="35"/>
  <c r="AX146" i="35"/>
  <c r="AM145" i="35"/>
  <c r="AL146" i="35"/>
  <c r="AQ145" i="35"/>
  <c r="AP146" i="35"/>
  <c r="AU145" i="35"/>
  <c r="AT146" i="35"/>
  <c r="AI145" i="35"/>
  <c r="AH146" i="35"/>
  <c r="AW146" i="35"/>
  <c r="AV147" i="35"/>
  <c r="BE146" i="35"/>
  <c r="BD147" i="35"/>
  <c r="AH746" i="38" l="1"/>
  <c r="AH747" i="38" s="1"/>
  <c r="AH748" i="38" s="1"/>
  <c r="AH749" i="38" s="1"/>
  <c r="AH750" i="38" s="1"/>
  <c r="AH751" i="38" s="1"/>
  <c r="AG745" i="38"/>
  <c r="B145" i="35"/>
  <c r="P149" i="9" s="1"/>
  <c r="AS146" i="35"/>
  <c r="AR147" i="35"/>
  <c r="BA146" i="35"/>
  <c r="AZ147" i="35"/>
  <c r="AO146" i="35"/>
  <c r="AN147" i="35"/>
  <c r="AW147" i="35"/>
  <c r="AV148" i="35"/>
  <c r="AJ148" i="35"/>
  <c r="AK147" i="35"/>
  <c r="AG147" i="35"/>
  <c r="AF148" i="35"/>
  <c r="AU146" i="35"/>
  <c r="AT147" i="35"/>
  <c r="BC146" i="35"/>
  <c r="BB147" i="35"/>
  <c r="AI146" i="35"/>
  <c r="AH147" i="35"/>
  <c r="AQ146" i="35"/>
  <c r="AP147" i="35"/>
  <c r="BE147" i="35"/>
  <c r="BD148" i="35"/>
  <c r="AM146" i="35"/>
  <c r="AL147" i="35"/>
  <c r="AE146" i="35"/>
  <c r="AD147" i="35"/>
  <c r="AA146" i="35"/>
  <c r="B146" i="35" s="1"/>
  <c r="P150" i="9" s="1"/>
  <c r="Z147" i="35"/>
  <c r="AY146" i="35"/>
  <c r="AX147" i="35"/>
  <c r="AC147" i="35"/>
  <c r="AB148" i="35"/>
  <c r="AG751" i="38" l="1"/>
  <c r="AH752" i="38"/>
  <c r="AH753" i="38" s="1"/>
  <c r="AH754" i="38" s="1"/>
  <c r="AH755" i="38" s="1"/>
  <c r="AH756" i="38" s="1"/>
  <c r="AH757" i="38" s="1"/>
  <c r="AH758" i="38" s="1"/>
  <c r="AH759" i="38" s="1"/>
  <c r="AH760" i="38" s="1"/>
  <c r="AH761" i="38" s="1"/>
  <c r="AH762" i="38" s="1"/>
  <c r="AH763" i="38" s="1"/>
  <c r="AH764" i="38" s="1"/>
  <c r="AH765" i="38" s="1"/>
  <c r="AH766" i="38" s="1"/>
  <c r="AH767" i="38" s="1"/>
  <c r="AH768" i="38" s="1"/>
  <c r="AH769" i="38" s="1"/>
  <c r="AH770" i="38" s="1"/>
  <c r="AH771" i="38" s="1"/>
  <c r="AH772" i="38" s="1"/>
  <c r="AH773" i="38" s="1"/>
  <c r="AH774" i="38" s="1"/>
  <c r="AH775" i="38" s="1"/>
  <c r="AH776" i="38" s="1"/>
  <c r="AH777" i="38" s="1"/>
  <c r="AH778" i="38" s="1"/>
  <c r="AH779" i="38" s="1"/>
  <c r="AH780" i="38" s="1"/>
  <c r="AH781" i="38" s="1"/>
  <c r="AH782" i="38" s="1"/>
  <c r="AH783" i="38" s="1"/>
  <c r="AH784" i="38" s="1"/>
  <c r="AH785" i="38" s="1"/>
  <c r="AH786" i="38" s="1"/>
  <c r="AH787" i="38" s="1"/>
  <c r="AH788" i="38" s="1"/>
  <c r="AH789" i="38" s="1"/>
  <c r="AH790" i="38" s="1"/>
  <c r="AH791" i="38" s="1"/>
  <c r="AH792" i="38" s="1"/>
  <c r="AH793" i="38" s="1"/>
  <c r="AH794" i="38" s="1"/>
  <c r="AH795" i="38" s="1"/>
  <c r="AH796" i="38" s="1"/>
  <c r="AH797" i="38" s="1"/>
  <c r="AH798" i="38" s="1"/>
  <c r="AH799" i="38" s="1"/>
  <c r="AH800" i="38" s="1"/>
  <c r="AH801" i="38" s="1"/>
  <c r="AH802" i="38" s="1"/>
  <c r="AH803" i="38" s="1"/>
  <c r="AH804" i="38" s="1"/>
  <c r="AH805" i="38" s="1"/>
  <c r="AH806" i="38" s="1"/>
  <c r="AH807" i="38" s="1"/>
  <c r="AH808" i="38" s="1"/>
  <c r="AH809" i="38" s="1"/>
  <c r="AH810" i="38" s="1"/>
  <c r="AH811" i="38" s="1"/>
  <c r="AH812" i="38" s="1"/>
  <c r="AH813" i="38" s="1"/>
  <c r="AH814" i="38" s="1"/>
  <c r="AH815" i="38" s="1"/>
  <c r="AH816" i="38" s="1"/>
  <c r="AH817" i="38" s="1"/>
  <c r="AH818" i="38" s="1"/>
  <c r="AH819" i="38" s="1"/>
  <c r="AH820" i="38" s="1"/>
  <c r="AH821" i="38" s="1"/>
  <c r="AH822" i="38" s="1"/>
  <c r="AH823" i="38" s="1"/>
  <c r="AH824" i="38" s="1"/>
  <c r="AH825" i="38" s="1"/>
  <c r="AH826" i="38" s="1"/>
  <c r="AH827" i="38" s="1"/>
  <c r="AH828" i="38" s="1"/>
  <c r="AH829" i="38" s="1"/>
  <c r="AH830" i="38" s="1"/>
  <c r="AH831" i="38" s="1"/>
  <c r="AH832" i="38" s="1"/>
  <c r="AH833" i="38" s="1"/>
  <c r="AH834" i="38" s="1"/>
  <c r="AH835" i="38" s="1"/>
  <c r="AH836" i="38" s="1"/>
  <c r="AH837" i="38" s="1"/>
  <c r="AH838" i="38" s="1"/>
  <c r="AH839" i="38" s="1"/>
  <c r="AH840" i="38" s="1"/>
  <c r="AH841" i="38" s="1"/>
  <c r="AH842" i="38" s="1"/>
  <c r="AH843" i="38" s="1"/>
  <c r="AH844" i="38" s="1"/>
  <c r="AH845" i="38" s="1"/>
  <c r="AH846" i="38" s="1"/>
  <c r="AH847" i="38" s="1"/>
  <c r="AH848" i="38" s="1"/>
  <c r="AH849" i="38" s="1"/>
  <c r="AH850" i="38" s="1"/>
  <c r="AH851" i="38" s="1"/>
  <c r="AH852" i="38" s="1"/>
  <c r="AH853" i="38" s="1"/>
  <c r="AH854" i="38" s="1"/>
  <c r="AH855" i="38" s="1"/>
  <c r="AH856" i="38" s="1"/>
  <c r="AH857" i="38" s="1"/>
  <c r="AH858" i="38" s="1"/>
  <c r="AH859" i="38" s="1"/>
  <c r="AH860" i="38" s="1"/>
  <c r="AH861" i="38" s="1"/>
  <c r="AH862" i="38" s="1"/>
  <c r="AH863" i="38" s="1"/>
  <c r="AH864" i="38" s="1"/>
  <c r="AH865" i="38" s="1"/>
  <c r="AH866" i="38" s="1"/>
  <c r="AH867" i="38" s="1"/>
  <c r="AH868" i="38" s="1"/>
  <c r="AH869" i="38" s="1"/>
  <c r="AH870" i="38" s="1"/>
  <c r="AH871" i="38" s="1"/>
  <c r="AH872" i="38" s="1"/>
  <c r="AH873" i="38" s="1"/>
  <c r="AH874" i="38" s="1"/>
  <c r="AH875" i="38" s="1"/>
  <c r="AH876" i="38" s="1"/>
  <c r="AH877" i="38" s="1"/>
  <c r="AH878" i="38" s="1"/>
  <c r="AH879" i="38" s="1"/>
  <c r="AH880" i="38" s="1"/>
  <c r="AH881" i="38" s="1"/>
  <c r="AH882" i="38" s="1"/>
  <c r="AH883" i="38" s="1"/>
  <c r="AH884" i="38" s="1"/>
  <c r="AH885" i="38" s="1"/>
  <c r="AH886" i="38" s="1"/>
  <c r="AH887" i="38" s="1"/>
  <c r="AH888" i="38" s="1"/>
  <c r="AH889" i="38" s="1"/>
  <c r="AH890" i="38" s="1"/>
  <c r="AH891" i="38" s="1"/>
  <c r="AH892" i="38" s="1"/>
  <c r="AH893" i="38" s="1"/>
  <c r="AH894" i="38" s="1"/>
  <c r="AH895" i="38" s="1"/>
  <c r="AH896" i="38" s="1"/>
  <c r="AH897" i="38" s="1"/>
  <c r="AH898" i="38" s="1"/>
  <c r="AH899" i="38" s="1"/>
  <c r="AH900" i="38" s="1"/>
  <c r="AH901" i="38" s="1"/>
  <c r="AH902" i="38" s="1"/>
  <c r="AH903" i="38" s="1"/>
  <c r="AH904" i="38" s="1"/>
  <c r="AH905" i="38" s="1"/>
  <c r="AH906" i="38" s="1"/>
  <c r="AH907" i="38" s="1"/>
  <c r="AH908" i="38" s="1"/>
  <c r="AH909" i="38" s="1"/>
  <c r="AH910" i="38" s="1"/>
  <c r="AH911" i="38" s="1"/>
  <c r="AH912" i="38" s="1"/>
  <c r="AH913" i="38" s="1"/>
  <c r="AH914" i="38" s="1"/>
  <c r="AH915" i="38" s="1"/>
  <c r="AH916" i="38" s="1"/>
  <c r="AH917" i="38" s="1"/>
  <c r="AH918" i="38" s="1"/>
  <c r="AH919" i="38" s="1"/>
  <c r="AH920" i="38" s="1"/>
  <c r="AH921" i="38" s="1"/>
  <c r="AH922" i="38" s="1"/>
  <c r="AH923" i="38" s="1"/>
  <c r="AH924" i="38" s="1"/>
  <c r="AH925" i="38" s="1"/>
  <c r="AH926" i="38" s="1"/>
  <c r="AH927" i="38" s="1"/>
  <c r="AH928" i="38" s="1"/>
  <c r="AH929" i="38" s="1"/>
  <c r="AH930" i="38" s="1"/>
  <c r="AH931" i="38" s="1"/>
  <c r="AH932" i="38" s="1"/>
  <c r="AH933" i="38" s="1"/>
  <c r="AH934" i="38" s="1"/>
  <c r="AH935" i="38" s="1"/>
  <c r="AH936" i="38" s="1"/>
  <c r="AH937" i="38" s="1"/>
  <c r="AH938" i="38" s="1"/>
  <c r="AH939" i="38" s="1"/>
  <c r="AH940" i="38" s="1"/>
  <c r="AS147" i="35"/>
  <c r="AR148" i="35"/>
  <c r="AN148" i="35"/>
  <c r="AO147" i="35"/>
  <c r="BA147" i="35"/>
  <c r="AZ148" i="35"/>
  <c r="AM147" i="35"/>
  <c r="AL148" i="35"/>
  <c r="BB148" i="35"/>
  <c r="BC147" i="35"/>
  <c r="AE147" i="35"/>
  <c r="AD148" i="35"/>
  <c r="AQ147" i="35"/>
  <c r="AP148" i="35"/>
  <c r="AT148" i="35"/>
  <c r="AU147" i="35"/>
  <c r="AC148" i="35"/>
  <c r="AB149" i="35"/>
  <c r="BE148" i="35"/>
  <c r="BD149" i="35"/>
  <c r="AI147" i="35"/>
  <c r="AH148" i="35"/>
  <c r="AW148" i="35"/>
  <c r="AV149" i="35"/>
  <c r="AY147" i="35"/>
  <c r="AX148" i="35"/>
  <c r="AK148" i="35"/>
  <c r="AJ149" i="35"/>
  <c r="AA147" i="35"/>
  <c r="B147" i="35" s="1"/>
  <c r="P151" i="9" s="1"/>
  <c r="Z148" i="35"/>
  <c r="AG148" i="35"/>
  <c r="AF149" i="35"/>
  <c r="AB48" i="9" l="1"/>
  <c r="AB187" i="9"/>
  <c r="AB71" i="9"/>
  <c r="AB114" i="9"/>
  <c r="AB243" i="9"/>
  <c r="AB165" i="9"/>
  <c r="AB140" i="9"/>
  <c r="AB98" i="9"/>
  <c r="AB191" i="9"/>
  <c r="AB218" i="9"/>
  <c r="AB116" i="9"/>
  <c r="AB28" i="9"/>
  <c r="AB196" i="9"/>
  <c r="AB239" i="9"/>
  <c r="AB244" i="9"/>
  <c r="AB43" i="9"/>
  <c r="AB246" i="9"/>
  <c r="AB129" i="9"/>
  <c r="AB47" i="9"/>
  <c r="AB203" i="9"/>
  <c r="AB24" i="9"/>
  <c r="AB221" i="9"/>
  <c r="AB90" i="9"/>
  <c r="AB89" i="9"/>
  <c r="AB208" i="9"/>
  <c r="AB39" i="9"/>
  <c r="AB185" i="9"/>
  <c r="AB16" i="9"/>
  <c r="AB195" i="9"/>
  <c r="AB62" i="9"/>
  <c r="AB88" i="9"/>
  <c r="AB91" i="9"/>
  <c r="AB122" i="9"/>
  <c r="AB15" i="9"/>
  <c r="AB223" i="9"/>
  <c r="AB38" i="9"/>
  <c r="AB46" i="9"/>
  <c r="AB199" i="9"/>
  <c r="AB219" i="9"/>
  <c r="AB236" i="9"/>
  <c r="AB260" i="9"/>
  <c r="AB97" i="9"/>
  <c r="AB123" i="9"/>
  <c r="AB173" i="9"/>
  <c r="AB52" i="9"/>
  <c r="AB93" i="9"/>
  <c r="AB11" i="9"/>
  <c r="AB176" i="9"/>
  <c r="AB158" i="9"/>
  <c r="AB189" i="9"/>
  <c r="AB75" i="9"/>
  <c r="AB81" i="9"/>
  <c r="AB56" i="9"/>
  <c r="AB126" i="9"/>
  <c r="AB138" i="9"/>
  <c r="AB8" i="9"/>
  <c r="AB240" i="9"/>
  <c r="AB154" i="9"/>
  <c r="AB231" i="9"/>
  <c r="AB207" i="9"/>
  <c r="AB192" i="9"/>
  <c r="AB146" i="9"/>
  <c r="AB60" i="9"/>
  <c r="AB153" i="9"/>
  <c r="AB210" i="9"/>
  <c r="AB251" i="9"/>
  <c r="AB74" i="9"/>
  <c r="AB103" i="9"/>
  <c r="AB255" i="9"/>
  <c r="AB12" i="9"/>
  <c r="AB147" i="9"/>
  <c r="AB235" i="9"/>
  <c r="AB181" i="9"/>
  <c r="AB51" i="9"/>
  <c r="AB227" i="9"/>
  <c r="AB14" i="9"/>
  <c r="AB112" i="9"/>
  <c r="AB101" i="9"/>
  <c r="AB190" i="9"/>
  <c r="AB156" i="9"/>
  <c r="AB168" i="9"/>
  <c r="AB224" i="9"/>
  <c r="AB86" i="9"/>
  <c r="AB121" i="9"/>
  <c r="AB79" i="9"/>
  <c r="AB84" i="9"/>
  <c r="AB54" i="9"/>
  <c r="AB68" i="9"/>
  <c r="AB145" i="9"/>
  <c r="AB33" i="9"/>
  <c r="AB107" i="9"/>
  <c r="AB225" i="9"/>
  <c r="AB144" i="9"/>
  <c r="AB193" i="9"/>
  <c r="AB252" i="9"/>
  <c r="AB78" i="9"/>
  <c r="AB134" i="9"/>
  <c r="AB25" i="9"/>
  <c r="AB237" i="9"/>
  <c r="AB113" i="9"/>
  <c r="AB96" i="9"/>
  <c r="AB148" i="9"/>
  <c r="AB205" i="9"/>
  <c r="AB172" i="9"/>
  <c r="AB249" i="9"/>
  <c r="AB242" i="9"/>
  <c r="AB9" i="9"/>
  <c r="AB245" i="9"/>
  <c r="AB250" i="9"/>
  <c r="AB49" i="9"/>
  <c r="AB182" i="9"/>
  <c r="AB206" i="9"/>
  <c r="AB256" i="9"/>
  <c r="AB150" i="9"/>
  <c r="AB23" i="9"/>
  <c r="AB22" i="9"/>
  <c r="AB166" i="9"/>
  <c r="AB53" i="9"/>
  <c r="AB238" i="9"/>
  <c r="AB234" i="9"/>
  <c r="AB29" i="9"/>
  <c r="AB37" i="9"/>
  <c r="AB117" i="9"/>
  <c r="AB174" i="9"/>
  <c r="AB50" i="9"/>
  <c r="AB211" i="9"/>
  <c r="AB161" i="9"/>
  <c r="AB31" i="9"/>
  <c r="AB72" i="9"/>
  <c r="AB184" i="9"/>
  <c r="AB65" i="9"/>
  <c r="AB127" i="9"/>
  <c r="AB171" i="9"/>
  <c r="AB95" i="9"/>
  <c r="AB34" i="9"/>
  <c r="AB108" i="9"/>
  <c r="AB26" i="9"/>
  <c r="AB186" i="9"/>
  <c r="AB85" i="9"/>
  <c r="AB105" i="9"/>
  <c r="AB202" i="9"/>
  <c r="AB42" i="9"/>
  <c r="AB35" i="9"/>
  <c r="AB233" i="9"/>
  <c r="AB197" i="9"/>
  <c r="AB254" i="9"/>
  <c r="AB66" i="9"/>
  <c r="AB57" i="9"/>
  <c r="AB94" i="9"/>
  <c r="AB109" i="9"/>
  <c r="AB99" i="9"/>
  <c r="AB110" i="9"/>
  <c r="AB169" i="9"/>
  <c r="AB215" i="9"/>
  <c r="AB20" i="9"/>
  <c r="AB164" i="9"/>
  <c r="AB213" i="9"/>
  <c r="AB175" i="9"/>
  <c r="AB118" i="9"/>
  <c r="AB132" i="9"/>
  <c r="AB92" i="9"/>
  <c r="AB212" i="9"/>
  <c r="AB226" i="9"/>
  <c r="AB69" i="9"/>
  <c r="AB259" i="9"/>
  <c r="AB152" i="9"/>
  <c r="AB67" i="9"/>
  <c r="AB130" i="9"/>
  <c r="AB30" i="9"/>
  <c r="AB40" i="9"/>
  <c r="AB36" i="9"/>
  <c r="AB13" i="9"/>
  <c r="AB87" i="9"/>
  <c r="AB163" i="9"/>
  <c r="AB201" i="9"/>
  <c r="AB143" i="9"/>
  <c r="AB177" i="9"/>
  <c r="AB222" i="9"/>
  <c r="AB128" i="9"/>
  <c r="AB253" i="9"/>
  <c r="AB149" i="9"/>
  <c r="AB220" i="9"/>
  <c r="AB216" i="9"/>
  <c r="AB257" i="9"/>
  <c r="AB136" i="9"/>
  <c r="AB76" i="9"/>
  <c r="AB32" i="9"/>
  <c r="AB10" i="9"/>
  <c r="AB111" i="9"/>
  <c r="AB209" i="9"/>
  <c r="AB258" i="9"/>
  <c r="AB228" i="9"/>
  <c r="AB159" i="9"/>
  <c r="AB106" i="9"/>
  <c r="AB155" i="9"/>
  <c r="AB104" i="9"/>
  <c r="AB157" i="9"/>
  <c r="AB179" i="9"/>
  <c r="AB82" i="9"/>
  <c r="AB59" i="9"/>
  <c r="AB135" i="9"/>
  <c r="AB120" i="9"/>
  <c r="AB115" i="9"/>
  <c r="AB229" i="9"/>
  <c r="AB188" i="9"/>
  <c r="AB137" i="9"/>
  <c r="AB230" i="9"/>
  <c r="AB160" i="9"/>
  <c r="AB141" i="9"/>
  <c r="AB183" i="9"/>
  <c r="AB247" i="9"/>
  <c r="AB131" i="9"/>
  <c r="AB44" i="9"/>
  <c r="AB61" i="9"/>
  <c r="AB194" i="9"/>
  <c r="AB70" i="9"/>
  <c r="AB151" i="9"/>
  <c r="AB55" i="9"/>
  <c r="AB100" i="9"/>
  <c r="AB142" i="9"/>
  <c r="AB77" i="9"/>
  <c r="AB170" i="9"/>
  <c r="AB58" i="9"/>
  <c r="AB63" i="9"/>
  <c r="AB80" i="9"/>
  <c r="AB64" i="9"/>
  <c r="AB19" i="9"/>
  <c r="AB180" i="9"/>
  <c r="AB125" i="9"/>
  <c r="AB83" i="9"/>
  <c r="AB133" i="9"/>
  <c r="AB248" i="9"/>
  <c r="AB178" i="9"/>
  <c r="AB17" i="9"/>
  <c r="AB21" i="9"/>
  <c r="AB162" i="9"/>
  <c r="AB217" i="9"/>
  <c r="AB200" i="9"/>
  <c r="AB27" i="9"/>
  <c r="AB124" i="9"/>
  <c r="AB18" i="9"/>
  <c r="AB41" i="9"/>
  <c r="AB102" i="9"/>
  <c r="AB204" i="9"/>
  <c r="AB45" i="9"/>
  <c r="AB73" i="9"/>
  <c r="AB167" i="9"/>
  <c r="AB232" i="9"/>
  <c r="AB214" i="9"/>
  <c r="AB119" i="9"/>
  <c r="AB241" i="9"/>
  <c r="AB139" i="9"/>
  <c r="AB7" i="9"/>
  <c r="AB198" i="9"/>
  <c r="AS148" i="35"/>
  <c r="AR149" i="35"/>
  <c r="AZ149" i="35"/>
  <c r="BA148" i="35"/>
  <c r="AO148" i="35"/>
  <c r="AN149" i="35"/>
  <c r="BE149" i="35"/>
  <c r="BD150" i="35"/>
  <c r="AQ148" i="35"/>
  <c r="AP149" i="35"/>
  <c r="AG149" i="35"/>
  <c r="AF150" i="35"/>
  <c r="AY148" i="35"/>
  <c r="AX149" i="35"/>
  <c r="AC149" i="35"/>
  <c r="AB150" i="35"/>
  <c r="AE148" i="35"/>
  <c r="AD149" i="35"/>
  <c r="AA148" i="35"/>
  <c r="B148" i="35" s="1"/>
  <c r="P152" i="9" s="1"/>
  <c r="Z149" i="35"/>
  <c r="AW149" i="35"/>
  <c r="AV150" i="35"/>
  <c r="AM148" i="35"/>
  <c r="AL149" i="35"/>
  <c r="AK149" i="35"/>
  <c r="AJ150" i="35"/>
  <c r="AI148" i="35"/>
  <c r="AH149" i="35"/>
  <c r="BC148" i="35"/>
  <c r="BB149" i="35"/>
  <c r="AU148" i="35"/>
  <c r="AT149" i="35"/>
  <c r="Z151" i="9" l="1"/>
  <c r="AC151" i="9"/>
  <c r="Y151" i="9"/>
  <c r="AA151" i="9"/>
  <c r="AA188" i="9"/>
  <c r="Y188" i="9"/>
  <c r="Z188" i="9"/>
  <c r="AC188" i="9"/>
  <c r="Z139" i="9"/>
  <c r="AC139" i="9"/>
  <c r="AA139" i="9"/>
  <c r="Y139" i="9"/>
  <c r="Y124" i="9"/>
  <c r="Z124" i="9"/>
  <c r="AC124" i="9"/>
  <c r="AA124" i="9"/>
  <c r="AC180" i="9"/>
  <c r="AA180" i="9"/>
  <c r="Z180" i="9"/>
  <c r="Y180" i="9"/>
  <c r="Z70" i="9"/>
  <c r="AC70" i="9"/>
  <c r="Y70" i="9"/>
  <c r="AA70" i="9"/>
  <c r="Y229" i="9"/>
  <c r="Z229" i="9"/>
  <c r="AC229" i="9"/>
  <c r="AA229" i="9"/>
  <c r="Z228" i="9"/>
  <c r="AA228" i="9"/>
  <c r="Y228" i="9"/>
  <c r="AC228" i="9"/>
  <c r="AA253" i="9"/>
  <c r="AC253" i="9"/>
  <c r="Z253" i="9"/>
  <c r="Y253" i="9"/>
  <c r="Y130" i="9"/>
  <c r="AC130" i="9"/>
  <c r="Z130" i="9"/>
  <c r="AA130" i="9"/>
  <c r="Y164" i="9"/>
  <c r="AC164" i="9"/>
  <c r="AA164" i="9"/>
  <c r="Z164" i="9"/>
  <c r="Y233" i="9"/>
  <c r="AA233" i="9"/>
  <c r="AC233" i="9"/>
  <c r="Z233" i="9"/>
  <c r="AA127" i="9"/>
  <c r="AC127" i="9"/>
  <c r="Y127" i="9"/>
  <c r="Z127" i="9"/>
  <c r="AA234" i="9"/>
  <c r="AC234" i="9"/>
  <c r="Z234" i="9"/>
  <c r="Y234" i="9"/>
  <c r="Y245" i="9"/>
  <c r="Z245" i="9"/>
  <c r="AA245" i="9"/>
  <c r="AC245" i="9"/>
  <c r="Y78" i="9"/>
  <c r="Z78" i="9"/>
  <c r="AA78" i="9"/>
  <c r="AC78" i="9"/>
  <c r="Z121" i="9"/>
  <c r="AC121" i="9"/>
  <c r="AA121" i="9"/>
  <c r="Y121" i="9"/>
  <c r="Y235" i="9"/>
  <c r="AC235" i="9"/>
  <c r="AA235" i="9"/>
  <c r="Z235" i="9"/>
  <c r="AC207" i="9"/>
  <c r="Y207" i="9"/>
  <c r="Z207" i="9"/>
  <c r="AA207" i="9"/>
  <c r="AA176" i="9"/>
  <c r="Z176" i="9"/>
  <c r="Y176" i="9"/>
  <c r="AC176" i="9"/>
  <c r="Y38" i="9"/>
  <c r="AA38" i="9"/>
  <c r="Z38" i="9"/>
  <c r="AC38" i="9"/>
  <c r="Z89" i="9"/>
  <c r="Y89" i="9"/>
  <c r="AC89" i="9"/>
  <c r="AA89" i="9"/>
  <c r="AC28" i="9"/>
  <c r="AA28" i="9"/>
  <c r="Y28" i="9"/>
  <c r="Z28" i="9"/>
  <c r="Y41" i="9"/>
  <c r="AC41" i="9"/>
  <c r="AA41" i="9"/>
  <c r="Z41" i="9"/>
  <c r="AC7" i="9"/>
  <c r="AA7" i="9"/>
  <c r="Y7" i="9"/>
  <c r="Z7" i="9"/>
  <c r="Z241" i="9"/>
  <c r="AC241" i="9"/>
  <c r="AA241" i="9"/>
  <c r="Y241" i="9"/>
  <c r="Y27" i="9"/>
  <c r="AC27" i="9"/>
  <c r="Z27" i="9"/>
  <c r="AA27" i="9"/>
  <c r="AC19" i="9"/>
  <c r="Z19" i="9"/>
  <c r="Y19" i="9"/>
  <c r="AA19" i="9"/>
  <c r="Y194" i="9"/>
  <c r="AC194" i="9"/>
  <c r="Z194" i="9"/>
  <c r="AA194" i="9"/>
  <c r="AA115" i="9"/>
  <c r="Y115" i="9"/>
  <c r="AC115" i="9"/>
  <c r="Z115" i="9"/>
  <c r="AC258" i="9"/>
  <c r="Z258" i="9"/>
  <c r="AA258" i="9"/>
  <c r="Y258" i="9"/>
  <c r="AA128" i="9"/>
  <c r="AC128" i="9"/>
  <c r="Y128" i="9"/>
  <c r="Z128" i="9"/>
  <c r="Y67" i="9"/>
  <c r="Z67" i="9"/>
  <c r="AC67" i="9"/>
  <c r="AA67" i="9"/>
  <c r="AA20" i="9"/>
  <c r="Y20" i="9"/>
  <c r="AC20" i="9"/>
  <c r="Z20" i="9"/>
  <c r="AC35" i="9"/>
  <c r="Y35" i="9"/>
  <c r="AA35" i="9"/>
  <c r="Z35" i="9"/>
  <c r="Z65" i="9"/>
  <c r="AC65" i="9"/>
  <c r="Y65" i="9"/>
  <c r="AA65" i="9"/>
  <c r="AA238" i="9"/>
  <c r="AC238" i="9"/>
  <c r="Y238" i="9"/>
  <c r="Z238" i="9"/>
  <c r="Z9" i="9"/>
  <c r="AA9" i="9"/>
  <c r="AC9" i="9"/>
  <c r="Y9" i="9"/>
  <c r="AC252" i="9"/>
  <c r="AA252" i="9"/>
  <c r="Y252" i="9"/>
  <c r="Z252" i="9"/>
  <c r="AA86" i="9"/>
  <c r="AC86" i="9"/>
  <c r="Y86" i="9"/>
  <c r="Z86" i="9"/>
  <c r="AA147" i="9"/>
  <c r="AC147" i="9"/>
  <c r="Z147" i="9"/>
  <c r="Y147" i="9"/>
  <c r="Z231" i="9"/>
  <c r="AC231" i="9"/>
  <c r="Y231" i="9"/>
  <c r="AA231" i="9"/>
  <c r="Y11" i="9"/>
  <c r="Z11" i="9"/>
  <c r="AC11" i="9"/>
  <c r="AA11" i="9"/>
  <c r="Z223" i="9"/>
  <c r="AA223" i="9"/>
  <c r="AC223" i="9"/>
  <c r="Y223" i="9"/>
  <c r="AC90" i="9"/>
  <c r="AA90" i="9"/>
  <c r="Y90" i="9"/>
  <c r="Z90" i="9"/>
  <c r="AC116" i="9"/>
  <c r="AA116" i="9"/>
  <c r="Z116" i="9"/>
  <c r="Y116" i="9"/>
  <c r="Z167" i="9"/>
  <c r="AC167" i="9"/>
  <c r="Y167" i="9"/>
  <c r="AA167" i="9"/>
  <c r="Z119" i="9"/>
  <c r="AC119" i="9"/>
  <c r="Y119" i="9"/>
  <c r="AA119" i="9"/>
  <c r="AC200" i="9"/>
  <c r="Z200" i="9"/>
  <c r="AA200" i="9"/>
  <c r="Y200" i="9"/>
  <c r="Y64" i="9"/>
  <c r="Z64" i="9"/>
  <c r="AA64" i="9"/>
  <c r="AC64" i="9"/>
  <c r="AC61" i="9"/>
  <c r="AA61" i="9"/>
  <c r="Z61" i="9"/>
  <c r="Y61" i="9"/>
  <c r="AC120" i="9"/>
  <c r="Y120" i="9"/>
  <c r="AA120" i="9"/>
  <c r="Z120" i="9"/>
  <c r="AA209" i="9"/>
  <c r="Y209" i="9"/>
  <c r="Z209" i="9"/>
  <c r="AC209" i="9"/>
  <c r="AC222" i="9"/>
  <c r="Y222" i="9"/>
  <c r="Z222" i="9"/>
  <c r="AA222" i="9"/>
  <c r="AC152" i="9"/>
  <c r="Z152" i="9"/>
  <c r="Y152" i="9"/>
  <c r="AA152" i="9"/>
  <c r="Z215" i="9"/>
  <c r="Y215" i="9"/>
  <c r="AA215" i="9"/>
  <c r="AC215" i="9"/>
  <c r="AC42" i="9"/>
  <c r="AA42" i="9"/>
  <c r="Z42" i="9"/>
  <c r="Y42" i="9"/>
  <c r="Z184" i="9"/>
  <c r="AC184" i="9"/>
  <c r="Y184" i="9"/>
  <c r="AA184" i="9"/>
  <c r="AA53" i="9"/>
  <c r="AC53" i="9"/>
  <c r="Y53" i="9"/>
  <c r="Z53" i="9"/>
  <c r="AC242" i="9"/>
  <c r="AA242" i="9"/>
  <c r="Z242" i="9"/>
  <c r="Y242" i="9"/>
  <c r="AC193" i="9"/>
  <c r="Y193" i="9"/>
  <c r="AA193" i="9"/>
  <c r="Z193" i="9"/>
  <c r="Y224" i="9"/>
  <c r="Z224" i="9"/>
  <c r="AA224" i="9"/>
  <c r="AC224" i="9"/>
  <c r="AC12" i="9"/>
  <c r="Y12" i="9"/>
  <c r="Z12" i="9"/>
  <c r="AA12" i="9"/>
  <c r="Z154" i="9"/>
  <c r="AA154" i="9"/>
  <c r="AC154" i="9"/>
  <c r="Y154" i="9"/>
  <c r="Z93" i="9"/>
  <c r="Y93" i="9"/>
  <c r="AC93" i="9"/>
  <c r="AA93" i="9"/>
  <c r="AC15" i="9"/>
  <c r="Y15" i="9"/>
  <c r="AA15" i="9"/>
  <c r="Z15" i="9"/>
  <c r="AA221" i="9"/>
  <c r="Z221" i="9"/>
  <c r="Y221" i="9"/>
  <c r="AC221" i="9"/>
  <c r="AA218" i="9"/>
  <c r="AC218" i="9"/>
  <c r="Y218" i="9"/>
  <c r="Z218" i="9"/>
  <c r="AC198" i="9"/>
  <c r="Y198" i="9"/>
  <c r="AA198" i="9"/>
  <c r="Z198" i="9"/>
  <c r="Z214" i="9"/>
  <c r="AC214" i="9"/>
  <c r="Y214" i="9"/>
  <c r="AA214" i="9"/>
  <c r="Z217" i="9"/>
  <c r="Y217" i="9"/>
  <c r="AC217" i="9"/>
  <c r="AA217" i="9"/>
  <c r="Z80" i="9"/>
  <c r="AA80" i="9"/>
  <c r="AC80" i="9"/>
  <c r="Y80" i="9"/>
  <c r="AA44" i="9"/>
  <c r="AC44" i="9"/>
  <c r="Y44" i="9"/>
  <c r="Z44" i="9"/>
  <c r="Y135" i="9"/>
  <c r="Z135" i="9"/>
  <c r="AA135" i="9"/>
  <c r="AC135" i="9"/>
  <c r="AC111" i="9"/>
  <c r="Y111" i="9"/>
  <c r="Z111" i="9"/>
  <c r="AA111" i="9"/>
  <c r="AC177" i="9"/>
  <c r="Z177" i="9"/>
  <c r="AA177" i="9"/>
  <c r="Y177" i="9"/>
  <c r="AA259" i="9"/>
  <c r="AC259" i="9"/>
  <c r="Z259" i="9"/>
  <c r="Y259" i="9"/>
  <c r="AC169" i="9"/>
  <c r="Z169" i="9"/>
  <c r="Y169" i="9"/>
  <c r="AA169" i="9"/>
  <c r="AC202" i="9"/>
  <c r="Z202" i="9"/>
  <c r="Y202" i="9"/>
  <c r="AA202" i="9"/>
  <c r="AA72" i="9"/>
  <c r="Y72" i="9"/>
  <c r="AC72" i="9"/>
  <c r="Z72" i="9"/>
  <c r="Z166" i="9"/>
  <c r="Y166" i="9"/>
  <c r="AA166" i="9"/>
  <c r="AC166" i="9"/>
  <c r="Z249" i="9"/>
  <c r="AC249" i="9"/>
  <c r="Y249" i="9"/>
  <c r="AA249" i="9"/>
  <c r="Z144" i="9"/>
  <c r="AA144" i="9"/>
  <c r="AC144" i="9"/>
  <c r="Y144" i="9"/>
  <c r="Z168" i="9"/>
  <c r="AA168" i="9"/>
  <c r="Y168" i="9"/>
  <c r="AC168" i="9"/>
  <c r="AA255" i="9"/>
  <c r="AC255" i="9"/>
  <c r="Y255" i="9"/>
  <c r="Z255" i="9"/>
  <c r="AC240" i="9"/>
  <c r="AA240" i="9"/>
  <c r="Z240" i="9"/>
  <c r="Y240" i="9"/>
  <c r="Z52" i="9"/>
  <c r="Y52" i="9"/>
  <c r="AC52" i="9"/>
  <c r="AA52" i="9"/>
  <c r="AA122" i="9"/>
  <c r="Z122" i="9"/>
  <c r="AC122" i="9"/>
  <c r="Y122" i="9"/>
  <c r="AC24" i="9"/>
  <c r="Z24" i="9"/>
  <c r="Y24" i="9"/>
  <c r="AA24" i="9"/>
  <c r="Z191" i="9"/>
  <c r="AA191" i="9"/>
  <c r="AC191" i="9"/>
  <c r="Y191" i="9"/>
  <c r="AA63" i="9"/>
  <c r="AC63" i="9"/>
  <c r="Y63" i="9"/>
  <c r="Z63" i="9"/>
  <c r="AA131" i="9"/>
  <c r="Z131" i="9"/>
  <c r="AC131" i="9"/>
  <c r="Y131" i="9"/>
  <c r="AA59" i="9"/>
  <c r="Y59" i="9"/>
  <c r="AC59" i="9"/>
  <c r="Z59" i="9"/>
  <c r="AC10" i="9"/>
  <c r="Z10" i="9"/>
  <c r="Y10" i="9"/>
  <c r="AA10" i="9"/>
  <c r="Y143" i="9"/>
  <c r="Z143" i="9"/>
  <c r="AA143" i="9"/>
  <c r="AC143" i="9"/>
  <c r="Z69" i="9"/>
  <c r="AC69" i="9"/>
  <c r="AA69" i="9"/>
  <c r="Y69" i="9"/>
  <c r="AC110" i="9"/>
  <c r="Y110" i="9"/>
  <c r="Z110" i="9"/>
  <c r="AA110" i="9"/>
  <c r="AC105" i="9"/>
  <c r="Z105" i="9"/>
  <c r="Y105" i="9"/>
  <c r="AA105" i="9"/>
  <c r="AC31" i="9"/>
  <c r="AA31" i="9"/>
  <c r="Y31" i="9"/>
  <c r="Z31" i="9"/>
  <c r="Y22" i="9"/>
  <c r="AA22" i="9"/>
  <c r="Z22" i="9"/>
  <c r="AC22" i="9"/>
  <c r="AA172" i="9"/>
  <c r="Y172" i="9"/>
  <c r="Z172" i="9"/>
  <c r="AC172" i="9"/>
  <c r="AA225" i="9"/>
  <c r="Z225" i="9"/>
  <c r="AC225" i="9"/>
  <c r="Y225" i="9"/>
  <c r="AA156" i="9"/>
  <c r="Y156" i="9"/>
  <c r="Z156" i="9"/>
  <c r="AC156" i="9"/>
  <c r="AA103" i="9"/>
  <c r="Z103" i="9"/>
  <c r="AC103" i="9"/>
  <c r="Y103" i="9"/>
  <c r="AA8" i="9"/>
  <c r="Y8" i="9"/>
  <c r="AC8" i="9"/>
  <c r="Z8" i="9"/>
  <c r="Z173" i="9"/>
  <c r="Y173" i="9"/>
  <c r="AA173" i="9"/>
  <c r="AC173" i="9"/>
  <c r="AA91" i="9"/>
  <c r="Y91" i="9"/>
  <c r="AC91" i="9"/>
  <c r="Z91" i="9"/>
  <c r="AC203" i="9"/>
  <c r="Z203" i="9"/>
  <c r="AA203" i="9"/>
  <c r="Y203" i="9"/>
  <c r="Z98" i="9"/>
  <c r="AC98" i="9"/>
  <c r="AA98" i="9"/>
  <c r="Y98" i="9"/>
  <c r="Z21" i="9"/>
  <c r="Y21" i="9"/>
  <c r="AA21" i="9"/>
  <c r="AC21" i="9"/>
  <c r="Z58" i="9"/>
  <c r="AC58" i="9"/>
  <c r="Y58" i="9"/>
  <c r="AA58" i="9"/>
  <c r="Y247" i="9"/>
  <c r="AA247" i="9"/>
  <c r="Z247" i="9"/>
  <c r="AC247" i="9"/>
  <c r="Z82" i="9"/>
  <c r="AA82" i="9"/>
  <c r="Y82" i="9"/>
  <c r="AC82" i="9"/>
  <c r="AA32" i="9"/>
  <c r="Z32" i="9"/>
  <c r="Y32" i="9"/>
  <c r="AC32" i="9"/>
  <c r="AC201" i="9"/>
  <c r="Z201" i="9"/>
  <c r="AA201" i="9"/>
  <c r="Y201" i="9"/>
  <c r="AA226" i="9"/>
  <c r="Y226" i="9"/>
  <c r="Z226" i="9"/>
  <c r="AC226" i="9"/>
  <c r="Y99" i="9"/>
  <c r="AA99" i="9"/>
  <c r="Z99" i="9"/>
  <c r="AC99" i="9"/>
  <c r="Z85" i="9"/>
  <c r="AA85" i="9"/>
  <c r="AC85" i="9"/>
  <c r="Y85" i="9"/>
  <c r="AC161" i="9"/>
  <c r="Z161" i="9"/>
  <c r="Y161" i="9"/>
  <c r="AA161" i="9"/>
  <c r="Y23" i="9"/>
  <c r="AC23" i="9"/>
  <c r="AA23" i="9"/>
  <c r="Z23" i="9"/>
  <c r="Z205" i="9"/>
  <c r="AA205" i="9"/>
  <c r="Y205" i="9"/>
  <c r="AC205" i="9"/>
  <c r="Z107" i="9"/>
  <c r="AA107" i="9"/>
  <c r="Y107" i="9"/>
  <c r="AC107" i="9"/>
  <c r="AC190" i="9"/>
  <c r="AA190" i="9"/>
  <c r="Y190" i="9"/>
  <c r="Z190" i="9"/>
  <c r="Z74" i="9"/>
  <c r="Y74" i="9"/>
  <c r="AA74" i="9"/>
  <c r="AC74" i="9"/>
  <c r="AC138" i="9"/>
  <c r="Z138" i="9"/>
  <c r="Y138" i="9"/>
  <c r="AA138" i="9"/>
  <c r="AC123" i="9"/>
  <c r="Z123" i="9"/>
  <c r="AA123" i="9"/>
  <c r="Y123" i="9"/>
  <c r="AA88" i="9"/>
  <c r="Y88" i="9"/>
  <c r="AC88" i="9"/>
  <c r="Z88" i="9"/>
  <c r="AA47" i="9"/>
  <c r="AC47" i="9"/>
  <c r="Y47" i="9"/>
  <c r="Z47" i="9"/>
  <c r="AA140" i="9"/>
  <c r="Z140" i="9"/>
  <c r="AC140" i="9"/>
  <c r="Y140" i="9"/>
  <c r="Y170" i="9"/>
  <c r="AA170" i="9"/>
  <c r="AC170" i="9"/>
  <c r="Z170" i="9"/>
  <c r="Y183" i="9"/>
  <c r="Z183" i="9"/>
  <c r="AC183" i="9"/>
  <c r="AA183" i="9"/>
  <c r="Z179" i="9"/>
  <c r="Y179" i="9"/>
  <c r="AA179" i="9"/>
  <c r="AC179" i="9"/>
  <c r="AA76" i="9"/>
  <c r="AC76" i="9"/>
  <c r="Y76" i="9"/>
  <c r="Z76" i="9"/>
  <c r="Y163" i="9"/>
  <c r="Z163" i="9"/>
  <c r="AC163" i="9"/>
  <c r="AA163" i="9"/>
  <c r="AA212" i="9"/>
  <c r="Z212" i="9"/>
  <c r="Y212" i="9"/>
  <c r="AC212" i="9"/>
  <c r="AA109" i="9"/>
  <c r="AC109" i="9"/>
  <c r="Z109" i="9"/>
  <c r="Y109" i="9"/>
  <c r="AC186" i="9"/>
  <c r="AA186" i="9"/>
  <c r="Y186" i="9"/>
  <c r="Z186" i="9"/>
  <c r="Y211" i="9"/>
  <c r="AA211" i="9"/>
  <c r="Z211" i="9"/>
  <c r="AC211" i="9"/>
  <c r="AA150" i="9"/>
  <c r="Z150" i="9"/>
  <c r="AC150" i="9"/>
  <c r="Y150" i="9"/>
  <c r="AC148" i="9"/>
  <c r="Z148" i="9"/>
  <c r="AA148" i="9"/>
  <c r="Y148" i="9"/>
  <c r="AA33" i="9"/>
  <c r="AC33" i="9"/>
  <c r="Z33" i="9"/>
  <c r="Y33" i="9"/>
  <c r="AA101" i="9"/>
  <c r="Z101" i="9"/>
  <c r="Y101" i="9"/>
  <c r="AC101" i="9"/>
  <c r="AA251" i="9"/>
  <c r="Z251" i="9"/>
  <c r="Y251" i="9"/>
  <c r="AC251" i="9"/>
  <c r="Z126" i="9"/>
  <c r="AC126" i="9"/>
  <c r="AA126" i="9"/>
  <c r="Y126" i="9"/>
  <c r="Y97" i="9"/>
  <c r="AA97" i="9"/>
  <c r="AC97" i="9"/>
  <c r="Z97" i="9"/>
  <c r="Z62" i="9"/>
  <c r="Y62" i="9"/>
  <c r="AC62" i="9"/>
  <c r="AA62" i="9"/>
  <c r="Z129" i="9"/>
  <c r="AC129" i="9"/>
  <c r="Y129" i="9"/>
  <c r="AA129" i="9"/>
  <c r="AA165" i="9"/>
  <c r="Y165" i="9"/>
  <c r="Z165" i="9"/>
  <c r="AC165" i="9"/>
  <c r="AC162" i="9"/>
  <c r="AA162" i="9"/>
  <c r="Y162" i="9"/>
  <c r="Z162" i="9"/>
  <c r="Z45" i="9"/>
  <c r="Y45" i="9"/>
  <c r="AA45" i="9"/>
  <c r="AC45" i="9"/>
  <c r="AC178" i="9"/>
  <c r="AA178" i="9"/>
  <c r="Z178" i="9"/>
  <c r="Y178" i="9"/>
  <c r="AA77" i="9"/>
  <c r="Y77" i="9"/>
  <c r="AC77" i="9"/>
  <c r="Z77" i="9"/>
  <c r="Y141" i="9"/>
  <c r="AA141" i="9"/>
  <c r="Z141" i="9"/>
  <c r="AC141" i="9"/>
  <c r="Y157" i="9"/>
  <c r="AC157" i="9"/>
  <c r="AA157" i="9"/>
  <c r="Z157" i="9"/>
  <c r="AA136" i="9"/>
  <c r="Y136" i="9"/>
  <c r="AC136" i="9"/>
  <c r="Z136" i="9"/>
  <c r="AC87" i="9"/>
  <c r="AA87" i="9"/>
  <c r="Z87" i="9"/>
  <c r="Y87" i="9"/>
  <c r="Y92" i="9"/>
  <c r="Z92" i="9"/>
  <c r="AC92" i="9"/>
  <c r="AA92" i="9"/>
  <c r="AC94" i="9"/>
  <c r="Y94" i="9"/>
  <c r="Z94" i="9"/>
  <c r="AA94" i="9"/>
  <c r="AA26" i="9"/>
  <c r="Z26" i="9"/>
  <c r="AC26" i="9"/>
  <c r="Y26" i="9"/>
  <c r="Z50" i="9"/>
  <c r="AA50" i="9"/>
  <c r="Y50" i="9"/>
  <c r="AC50" i="9"/>
  <c r="AC256" i="9"/>
  <c r="Y256" i="9"/>
  <c r="Z256" i="9"/>
  <c r="AA256" i="9"/>
  <c r="Z96" i="9"/>
  <c r="AA96" i="9"/>
  <c r="AC96" i="9"/>
  <c r="Y96" i="9"/>
  <c r="Z145" i="9"/>
  <c r="AC145" i="9"/>
  <c r="AA145" i="9"/>
  <c r="Y145" i="9"/>
  <c r="Y112" i="9"/>
  <c r="AC112" i="9"/>
  <c r="AA112" i="9"/>
  <c r="Z112" i="9"/>
  <c r="AA210" i="9"/>
  <c r="Y210" i="9"/>
  <c r="AC210" i="9"/>
  <c r="Z210" i="9"/>
  <c r="Y56" i="9"/>
  <c r="AA56" i="9"/>
  <c r="Z56" i="9"/>
  <c r="AC56" i="9"/>
  <c r="Z260" i="9"/>
  <c r="AA260" i="9"/>
  <c r="AC260" i="9"/>
  <c r="Y260" i="9"/>
  <c r="AC195" i="9"/>
  <c r="AA195" i="9"/>
  <c r="Y195" i="9"/>
  <c r="Z195" i="9"/>
  <c r="Y246" i="9"/>
  <c r="AC246" i="9"/>
  <c r="AA246" i="9"/>
  <c r="Z246" i="9"/>
  <c r="AA243" i="9"/>
  <c r="Y243" i="9"/>
  <c r="AC243" i="9"/>
  <c r="Z243" i="9"/>
  <c r="AA73" i="9"/>
  <c r="AC73" i="9"/>
  <c r="Y73" i="9"/>
  <c r="Z73" i="9"/>
  <c r="AC17" i="9"/>
  <c r="AA17" i="9"/>
  <c r="Y17" i="9"/>
  <c r="Z17" i="9"/>
  <c r="Y204" i="9"/>
  <c r="Z204" i="9"/>
  <c r="AA204" i="9"/>
  <c r="AC204" i="9"/>
  <c r="Y248" i="9"/>
  <c r="AA248" i="9"/>
  <c r="Z248" i="9"/>
  <c r="AC248" i="9"/>
  <c r="Y142" i="9"/>
  <c r="Z142" i="9"/>
  <c r="AA142" i="9"/>
  <c r="AC142" i="9"/>
  <c r="AC160" i="9"/>
  <c r="Y160" i="9"/>
  <c r="Z160" i="9"/>
  <c r="AA160" i="9"/>
  <c r="AC104" i="9"/>
  <c r="Z104" i="9"/>
  <c r="AA104" i="9"/>
  <c r="Y104" i="9"/>
  <c r="Z257" i="9"/>
  <c r="Y257" i="9"/>
  <c r="AA257" i="9"/>
  <c r="AC257" i="9"/>
  <c r="AC13" i="9"/>
  <c r="Z13" i="9"/>
  <c r="AA13" i="9"/>
  <c r="Y13" i="9"/>
  <c r="Y132" i="9"/>
  <c r="AA132" i="9"/>
  <c r="AC132" i="9"/>
  <c r="Z132" i="9"/>
  <c r="Y57" i="9"/>
  <c r="AA57" i="9"/>
  <c r="Z57" i="9"/>
  <c r="AC57" i="9"/>
  <c r="Z108" i="9"/>
  <c r="AA108" i="9"/>
  <c r="AC108" i="9"/>
  <c r="Y108" i="9"/>
  <c r="Y174" i="9"/>
  <c r="Z174" i="9"/>
  <c r="AA174" i="9"/>
  <c r="AC174" i="9"/>
  <c r="AA206" i="9"/>
  <c r="AC206" i="9"/>
  <c r="Y206" i="9"/>
  <c r="Z206" i="9"/>
  <c r="Z113" i="9"/>
  <c r="AA113" i="9"/>
  <c r="Y113" i="9"/>
  <c r="AC113" i="9"/>
  <c r="Y68" i="9"/>
  <c r="AA68" i="9"/>
  <c r="AC68" i="9"/>
  <c r="Z68" i="9"/>
  <c r="AC14" i="9"/>
  <c r="Y14" i="9"/>
  <c r="Z14" i="9"/>
  <c r="AA14" i="9"/>
  <c r="AC153" i="9"/>
  <c r="AA153" i="9"/>
  <c r="Y153" i="9"/>
  <c r="Z153" i="9"/>
  <c r="AC81" i="9"/>
  <c r="Y81" i="9"/>
  <c r="AA81" i="9"/>
  <c r="Z81" i="9"/>
  <c r="Z236" i="9"/>
  <c r="AA236" i="9"/>
  <c r="AC236" i="9"/>
  <c r="Y236" i="9"/>
  <c r="Z16" i="9"/>
  <c r="AA16" i="9"/>
  <c r="AC16" i="9"/>
  <c r="Y16" i="9"/>
  <c r="Y43" i="9"/>
  <c r="AC43" i="9"/>
  <c r="Z43" i="9"/>
  <c r="AA43" i="9"/>
  <c r="AA114" i="9"/>
  <c r="Y114" i="9"/>
  <c r="AC114" i="9"/>
  <c r="Z114" i="9"/>
  <c r="AC102" i="9"/>
  <c r="Y102" i="9"/>
  <c r="AA102" i="9"/>
  <c r="Z102" i="9"/>
  <c r="AA133" i="9"/>
  <c r="Z133" i="9"/>
  <c r="Y133" i="9"/>
  <c r="AC133" i="9"/>
  <c r="Y100" i="9"/>
  <c r="AC100" i="9"/>
  <c r="AA100" i="9"/>
  <c r="Z100" i="9"/>
  <c r="Y230" i="9"/>
  <c r="AA230" i="9"/>
  <c r="AC230" i="9"/>
  <c r="Z230" i="9"/>
  <c r="AC155" i="9"/>
  <c r="AA155" i="9"/>
  <c r="Y155" i="9"/>
  <c r="Z155" i="9"/>
  <c r="Z216" i="9"/>
  <c r="Y216" i="9"/>
  <c r="AA216" i="9"/>
  <c r="AC216" i="9"/>
  <c r="AC36" i="9"/>
  <c r="AA36" i="9"/>
  <c r="Z36" i="9"/>
  <c r="Y36" i="9"/>
  <c r="AA118" i="9"/>
  <c r="Z118" i="9"/>
  <c r="Y118" i="9"/>
  <c r="AC118" i="9"/>
  <c r="Y66" i="9"/>
  <c r="AC66" i="9"/>
  <c r="Z66" i="9"/>
  <c r="AA66" i="9"/>
  <c r="Z34" i="9"/>
  <c r="AC34" i="9"/>
  <c r="AA34" i="9"/>
  <c r="Y34" i="9"/>
  <c r="Y117" i="9"/>
  <c r="Z117" i="9"/>
  <c r="AA117" i="9"/>
  <c r="AC117" i="9"/>
  <c r="AC182" i="9"/>
  <c r="Y182" i="9"/>
  <c r="AA182" i="9"/>
  <c r="Z182" i="9"/>
  <c r="AC237" i="9"/>
  <c r="Z237" i="9"/>
  <c r="Y237" i="9"/>
  <c r="AA237" i="9"/>
  <c r="Z54" i="9"/>
  <c r="AC54" i="9"/>
  <c r="Y54" i="9"/>
  <c r="AA54" i="9"/>
  <c r="Y227" i="9"/>
  <c r="AA227" i="9"/>
  <c r="Z227" i="9"/>
  <c r="AC227" i="9"/>
  <c r="AC60" i="9"/>
  <c r="AA60" i="9"/>
  <c r="Y60" i="9"/>
  <c r="Z60" i="9"/>
  <c r="AA75" i="9"/>
  <c r="Y75" i="9"/>
  <c r="Z75" i="9"/>
  <c r="AC75" i="9"/>
  <c r="AA219" i="9"/>
  <c r="Y219" i="9"/>
  <c r="Z219" i="9"/>
  <c r="AC219" i="9"/>
  <c r="AA185" i="9"/>
  <c r="AC185" i="9"/>
  <c r="Y185" i="9"/>
  <c r="Z185" i="9"/>
  <c r="AC244" i="9"/>
  <c r="AA244" i="9"/>
  <c r="Z244" i="9"/>
  <c r="Y244" i="9"/>
  <c r="AA71" i="9"/>
  <c r="Z71" i="9"/>
  <c r="AC71" i="9"/>
  <c r="Y71" i="9"/>
  <c r="Y83" i="9"/>
  <c r="AA83" i="9"/>
  <c r="AC83" i="9"/>
  <c r="Z83" i="9"/>
  <c r="Y55" i="9"/>
  <c r="AC55" i="9"/>
  <c r="AA55" i="9"/>
  <c r="Z55" i="9"/>
  <c r="Y137" i="9"/>
  <c r="Z137" i="9"/>
  <c r="AA137" i="9"/>
  <c r="AC137" i="9"/>
  <c r="AC106" i="9"/>
  <c r="Z106" i="9"/>
  <c r="Y106" i="9"/>
  <c r="AA106" i="9"/>
  <c r="AA220" i="9"/>
  <c r="Y220" i="9"/>
  <c r="AC220" i="9"/>
  <c r="Z220" i="9"/>
  <c r="AC40" i="9"/>
  <c r="Z40" i="9"/>
  <c r="AA40" i="9"/>
  <c r="Y40" i="9"/>
  <c r="Y175" i="9"/>
  <c r="Z175" i="9"/>
  <c r="AC175" i="9"/>
  <c r="AA175" i="9"/>
  <c r="Y254" i="9"/>
  <c r="Z254" i="9"/>
  <c r="AA254" i="9"/>
  <c r="AC254" i="9"/>
  <c r="AA95" i="9"/>
  <c r="Y95" i="9"/>
  <c r="Z95" i="9"/>
  <c r="AC95" i="9"/>
  <c r="Z37" i="9"/>
  <c r="AC37" i="9"/>
  <c r="AA37" i="9"/>
  <c r="Y37" i="9"/>
  <c r="Z49" i="9"/>
  <c r="AA49" i="9"/>
  <c r="Y49" i="9"/>
  <c r="AC49" i="9"/>
  <c r="Z25" i="9"/>
  <c r="AC25" i="9"/>
  <c r="AA25" i="9"/>
  <c r="Y25" i="9"/>
  <c r="Z84" i="9"/>
  <c r="AA84" i="9"/>
  <c r="Y84" i="9"/>
  <c r="AC84" i="9"/>
  <c r="Z51" i="9"/>
  <c r="Y51" i="9"/>
  <c r="AA51" i="9"/>
  <c r="AC51" i="9"/>
  <c r="AC146" i="9"/>
  <c r="Z146" i="9"/>
  <c r="AA146" i="9"/>
  <c r="Y146" i="9"/>
  <c r="Z189" i="9"/>
  <c r="Y189" i="9"/>
  <c r="AC189" i="9"/>
  <c r="AA189" i="9"/>
  <c r="Z199" i="9"/>
  <c r="AC199" i="9"/>
  <c r="Y199" i="9"/>
  <c r="AA199" i="9"/>
  <c r="AA39" i="9"/>
  <c r="Z39" i="9"/>
  <c r="Y39" i="9"/>
  <c r="AC39" i="9"/>
  <c r="AA239" i="9"/>
  <c r="AC239" i="9"/>
  <c r="Y239" i="9"/>
  <c r="Z239" i="9"/>
  <c r="AA187" i="9"/>
  <c r="Y187" i="9"/>
  <c r="AC187" i="9"/>
  <c r="Z187" i="9"/>
  <c r="Y232" i="9"/>
  <c r="AC232" i="9"/>
  <c r="Z232" i="9"/>
  <c r="AA232" i="9"/>
  <c r="AA18" i="9"/>
  <c r="Y18" i="9"/>
  <c r="AC18" i="9"/>
  <c r="Z18" i="9"/>
  <c r="Z125" i="9"/>
  <c r="Y125" i="9"/>
  <c r="AC125" i="9"/>
  <c r="AA125" i="9"/>
  <c r="AA159" i="9"/>
  <c r="AC159" i="9"/>
  <c r="Y159" i="9"/>
  <c r="Z159" i="9"/>
  <c r="AC149" i="9"/>
  <c r="Y149" i="9"/>
  <c r="Z149" i="9"/>
  <c r="AA149" i="9"/>
  <c r="AC30" i="9"/>
  <c r="Y30" i="9"/>
  <c r="Z30" i="9"/>
  <c r="AA30" i="9"/>
  <c r="Z213" i="9"/>
  <c r="AA213" i="9"/>
  <c r="AC213" i="9"/>
  <c r="Y213" i="9"/>
  <c r="AA197" i="9"/>
  <c r="Y197" i="9"/>
  <c r="Z197" i="9"/>
  <c r="AC197" i="9"/>
  <c r="Z171" i="9"/>
  <c r="AA171" i="9"/>
  <c r="Y171" i="9"/>
  <c r="AC171" i="9"/>
  <c r="Z29" i="9"/>
  <c r="Y29" i="9"/>
  <c r="AC29" i="9"/>
  <c r="AA29" i="9"/>
  <c r="AC250" i="9"/>
  <c r="Y250" i="9"/>
  <c r="AA250" i="9"/>
  <c r="Z250" i="9"/>
  <c r="AA134" i="9"/>
  <c r="Y134" i="9"/>
  <c r="Z134" i="9"/>
  <c r="AC134" i="9"/>
  <c r="Z79" i="9"/>
  <c r="AA79" i="9"/>
  <c r="AC79" i="9"/>
  <c r="Y79" i="9"/>
  <c r="Y181" i="9"/>
  <c r="AC181" i="9"/>
  <c r="Z181" i="9"/>
  <c r="AA181" i="9"/>
  <c r="Z192" i="9"/>
  <c r="AA192" i="9"/>
  <c r="AC192" i="9"/>
  <c r="Y192" i="9"/>
  <c r="AC158" i="9"/>
  <c r="Y158" i="9"/>
  <c r="Z158" i="9"/>
  <c r="AA158" i="9"/>
  <c r="AA46" i="9"/>
  <c r="AC46" i="9"/>
  <c r="Y46" i="9"/>
  <c r="Z46" i="9"/>
  <c r="AA208" i="9"/>
  <c r="AC208" i="9"/>
  <c r="Y208" i="9"/>
  <c r="Z208" i="9"/>
  <c r="Z196" i="9"/>
  <c r="Y196" i="9"/>
  <c r="AA196" i="9"/>
  <c r="AC196" i="9"/>
  <c r="Y48" i="9"/>
  <c r="AC48" i="9"/>
  <c r="AA48" i="9"/>
  <c r="Z48" i="9"/>
  <c r="AR150" i="35"/>
  <c r="AS149" i="35"/>
  <c r="AO149" i="35"/>
  <c r="AN150" i="35"/>
  <c r="BA149" i="35"/>
  <c r="AZ150" i="35"/>
  <c r="AU149" i="35"/>
  <c r="AT150" i="35"/>
  <c r="AK150" i="35"/>
  <c r="AJ151" i="35"/>
  <c r="AA149" i="35"/>
  <c r="Z150" i="35"/>
  <c r="AY149" i="35"/>
  <c r="AX150" i="35"/>
  <c r="AQ149" i="35"/>
  <c r="AP150" i="35"/>
  <c r="AM149" i="35"/>
  <c r="AL150" i="35"/>
  <c r="AW150" i="35"/>
  <c r="AV151" i="35"/>
  <c r="AE149" i="35"/>
  <c r="AD150" i="35"/>
  <c r="AC150" i="35"/>
  <c r="AB151" i="35"/>
  <c r="AG150" i="35"/>
  <c r="AF151" i="35"/>
  <c r="BE150" i="35"/>
  <c r="BD151" i="35"/>
  <c r="BC149" i="35"/>
  <c r="BB150" i="35"/>
  <c r="AI149" i="35"/>
  <c r="AH150" i="35"/>
  <c r="N106" i="6" l="1"/>
  <c r="N21" i="7"/>
  <c r="N133" i="6"/>
  <c r="N68" i="33"/>
  <c r="N101" i="33"/>
  <c r="N27" i="4"/>
  <c r="N199" i="6"/>
  <c r="N115" i="6"/>
  <c r="N8" i="6"/>
  <c r="N102" i="6"/>
  <c r="N78" i="7"/>
  <c r="N192" i="6"/>
  <c r="N49" i="7"/>
  <c r="N84" i="6"/>
  <c r="N70" i="6"/>
  <c r="N158" i="6"/>
  <c r="N40" i="6"/>
  <c r="N184" i="6"/>
  <c r="N72" i="6"/>
  <c r="N132" i="6"/>
  <c r="N83" i="6"/>
  <c r="N84" i="7"/>
  <c r="N198" i="6"/>
  <c r="N165" i="6"/>
  <c r="N113" i="33"/>
  <c r="N72" i="7"/>
  <c r="N27" i="7"/>
  <c r="N77" i="6"/>
  <c r="N157" i="6"/>
  <c r="N80" i="6"/>
  <c r="N164" i="6"/>
  <c r="N17" i="4"/>
  <c r="N85" i="33"/>
  <c r="N113" i="6"/>
  <c r="N35" i="6"/>
  <c r="N43" i="33"/>
  <c r="N154" i="33"/>
  <c r="N87" i="7"/>
  <c r="N27" i="6"/>
  <c r="N171" i="6"/>
  <c r="N28" i="4"/>
  <c r="N105" i="6"/>
  <c r="N88" i="33"/>
  <c r="N41" i="6"/>
  <c r="N116" i="33"/>
  <c r="N75" i="6"/>
  <c r="N140" i="33"/>
  <c r="N54" i="6"/>
  <c r="N50" i="7"/>
  <c r="N22" i="33"/>
  <c r="N147" i="33"/>
  <c r="N176" i="6"/>
  <c r="N85" i="6"/>
  <c r="N132" i="33"/>
  <c r="N119" i="6"/>
  <c r="N9" i="6"/>
  <c r="N52" i="33"/>
  <c r="N53" i="6"/>
  <c r="N36" i="33"/>
  <c r="N87" i="6"/>
  <c r="N39" i="33"/>
  <c r="N129" i="6"/>
  <c r="N73" i="33"/>
  <c r="N33" i="6"/>
  <c r="N36" i="6"/>
  <c r="N45" i="33"/>
  <c r="N71" i="6"/>
  <c r="N79" i="33"/>
  <c r="N86" i="6"/>
  <c r="N55" i="7"/>
  <c r="N139" i="6"/>
  <c r="N46" i="6"/>
  <c r="N190" i="6"/>
  <c r="N206" i="6"/>
  <c r="N55" i="4"/>
  <c r="N32" i="6"/>
  <c r="N37" i="4"/>
  <c r="N64" i="33"/>
  <c r="N42" i="33"/>
  <c r="N197" i="6"/>
  <c r="N54" i="4"/>
  <c r="N60" i="4"/>
  <c r="N34" i="33"/>
  <c r="N189" i="6"/>
  <c r="N133" i="33"/>
  <c r="N62" i="4"/>
  <c r="N57" i="7"/>
  <c r="N33" i="7"/>
  <c r="N63" i="7"/>
  <c r="N45" i="6"/>
  <c r="N122" i="6"/>
  <c r="N37" i="7"/>
  <c r="N34" i="7"/>
  <c r="N111" i="6"/>
  <c r="N117" i="33"/>
  <c r="N73" i="6"/>
  <c r="N100" i="7"/>
  <c r="N52" i="6"/>
  <c r="N88" i="7"/>
  <c r="N138" i="6"/>
  <c r="N98" i="7"/>
  <c r="N166" i="6"/>
  <c r="N48" i="6"/>
  <c r="N56" i="33"/>
  <c r="N57" i="4"/>
  <c r="N58" i="33"/>
  <c r="N17" i="7"/>
  <c r="N98" i="6"/>
  <c r="N97" i="7"/>
  <c r="N7" i="4"/>
  <c r="N40" i="33"/>
  <c r="N18" i="7"/>
  <c r="N69" i="7"/>
  <c r="N187" i="6"/>
  <c r="N37" i="33"/>
  <c r="N63" i="6"/>
  <c r="N7" i="6"/>
  <c r="N159" i="6"/>
  <c r="N136" i="33"/>
  <c r="N84" i="33"/>
  <c r="N43" i="6"/>
  <c r="N93" i="33"/>
  <c r="N139" i="33"/>
  <c r="N46" i="33"/>
  <c r="N82" i="7"/>
  <c r="N7" i="33"/>
  <c r="N66" i="7"/>
  <c r="N102" i="33"/>
  <c r="N26" i="7"/>
  <c r="N47" i="4"/>
  <c r="N23" i="7"/>
  <c r="N99" i="7"/>
  <c r="N177" i="6"/>
  <c r="N60" i="7"/>
  <c r="N91" i="6"/>
  <c r="N14" i="7"/>
  <c r="N20" i="4"/>
  <c r="N88" i="6"/>
  <c r="N38" i="33"/>
  <c r="N10" i="6"/>
  <c r="N124" i="33"/>
  <c r="N68" i="6"/>
  <c r="N155" i="6"/>
  <c r="N99" i="33"/>
  <c r="N95" i="33"/>
  <c r="N47" i="33"/>
  <c r="N137" i="6"/>
  <c r="N145" i="33"/>
  <c r="N180" i="6"/>
  <c r="N155" i="33"/>
  <c r="N21" i="6"/>
  <c r="N131" i="6"/>
  <c r="N72" i="33"/>
  <c r="N32" i="4"/>
  <c r="N65" i="33"/>
  <c r="N56" i="7"/>
  <c r="N46" i="7"/>
  <c r="N70" i="33"/>
  <c r="N150" i="33"/>
  <c r="N32" i="33"/>
  <c r="N25" i="4"/>
  <c r="N200" i="6"/>
  <c r="N42" i="6"/>
  <c r="N91" i="7"/>
  <c r="N141" i="6"/>
  <c r="N24" i="33"/>
  <c r="N45" i="4"/>
  <c r="N127" i="33"/>
  <c r="N94" i="7"/>
  <c r="N78" i="33"/>
  <c r="N148" i="33"/>
  <c r="N119" i="33"/>
  <c r="N22" i="7"/>
  <c r="N151" i="33"/>
  <c r="N90" i="7"/>
  <c r="N50" i="6"/>
  <c r="N37" i="6"/>
  <c r="N115" i="33"/>
  <c r="N108" i="6"/>
  <c r="N61" i="6"/>
  <c r="N58" i="4"/>
  <c r="N141" i="33"/>
  <c r="N79" i="7"/>
  <c r="N127" i="6"/>
  <c r="N73" i="7"/>
  <c r="N60" i="6"/>
  <c r="N98" i="33"/>
  <c r="N53" i="33"/>
  <c r="N46" i="4"/>
  <c r="N34" i="6"/>
  <c r="N58" i="6"/>
  <c r="N202" i="6"/>
  <c r="N25" i="7"/>
  <c r="N19" i="6"/>
  <c r="N20" i="7"/>
  <c r="N134" i="6"/>
  <c r="N101" i="6"/>
  <c r="N8" i="4"/>
  <c r="N50" i="33"/>
  <c r="N51" i="4"/>
  <c r="N59" i="6"/>
  <c r="N44" i="6"/>
  <c r="N25" i="33"/>
  <c r="N60" i="33"/>
  <c r="N121" i="33"/>
  <c r="N48" i="7"/>
  <c r="N161" i="6"/>
  <c r="N203" i="6"/>
  <c r="N110" i="6"/>
  <c r="N54" i="33"/>
  <c r="N124" i="6"/>
  <c r="N85" i="7"/>
  <c r="N12" i="33"/>
  <c r="N89" i="6"/>
  <c r="N167" i="6"/>
  <c r="N77" i="7"/>
  <c r="N172" i="6"/>
  <c r="N17" i="6"/>
  <c r="N41" i="4"/>
  <c r="N67" i="7"/>
  <c r="N24" i="4"/>
  <c r="N99" i="6"/>
  <c r="N82" i="6"/>
  <c r="N74" i="6"/>
  <c r="N16" i="4"/>
  <c r="N76" i="7"/>
  <c r="N129" i="33"/>
  <c r="N62" i="33"/>
  <c r="N16" i="7"/>
  <c r="N104" i="6"/>
  <c r="N43" i="7"/>
  <c r="N33" i="4"/>
  <c r="N11" i="7"/>
  <c r="N15" i="4"/>
  <c r="N76" i="33"/>
  <c r="N152" i="33"/>
  <c r="N19" i="33"/>
  <c r="N12" i="4"/>
  <c r="N59" i="7"/>
  <c r="N181" i="6"/>
  <c r="N7" i="7"/>
  <c r="N15" i="33"/>
  <c r="N22" i="6"/>
  <c r="N8" i="7"/>
  <c r="N92" i="6"/>
  <c r="N13" i="6"/>
  <c r="N93" i="6"/>
  <c r="N10" i="4"/>
  <c r="N123" i="33"/>
  <c r="N15" i="7"/>
  <c r="N35" i="4"/>
  <c r="N51" i="6"/>
  <c r="N59" i="33"/>
  <c r="N14" i="4"/>
  <c r="N191" i="6"/>
  <c r="N135" i="33"/>
  <c r="N185" i="6"/>
  <c r="N96" i="6"/>
  <c r="N40" i="7"/>
  <c r="N18" i="33"/>
  <c r="N144" i="6"/>
  <c r="N152" i="6"/>
  <c r="N96" i="7"/>
  <c r="N10" i="33"/>
  <c r="N153" i="33"/>
  <c r="N44" i="33"/>
  <c r="N78" i="6"/>
  <c r="N39" i="6"/>
  <c r="N59" i="4"/>
  <c r="N107" i="33"/>
  <c r="N67" i="6"/>
  <c r="N8" i="33"/>
  <c r="N144" i="33"/>
  <c r="N204" i="6"/>
  <c r="N66" i="33"/>
  <c r="N151" i="6"/>
  <c r="N20" i="33"/>
  <c r="N95" i="7"/>
  <c r="N140" i="6"/>
  <c r="N81" i="33"/>
  <c r="N30" i="6"/>
  <c r="N61" i="4"/>
  <c r="N56" i="6"/>
  <c r="N148" i="6"/>
  <c r="N30" i="4"/>
  <c r="N28" i="7"/>
  <c r="N44" i="7"/>
  <c r="N30" i="33"/>
  <c r="N112" i="6"/>
  <c r="N120" i="33"/>
  <c r="N53" i="4"/>
  <c r="N11" i="6"/>
  <c r="N12" i="7"/>
  <c r="N62" i="6"/>
  <c r="N26" i="4"/>
  <c r="N103" i="6"/>
  <c r="N13" i="33"/>
  <c r="N96" i="33"/>
  <c r="N107" i="6"/>
  <c r="N41" i="33"/>
  <c r="N36" i="4"/>
  <c r="N35" i="33"/>
  <c r="N128" i="6"/>
  <c r="N20" i="6"/>
  <c r="N32" i="7"/>
  <c r="N31" i="4"/>
  <c r="N82" i="33"/>
  <c r="N47" i="6"/>
  <c r="N31" i="7"/>
  <c r="N81" i="6"/>
  <c r="N75" i="7"/>
  <c r="N56" i="4"/>
  <c r="N45" i="7"/>
  <c r="N13" i="4"/>
  <c r="N111" i="33"/>
  <c r="N201" i="6"/>
  <c r="N74" i="7"/>
  <c r="N188" i="6"/>
  <c r="N173" i="6"/>
  <c r="N93" i="7"/>
  <c r="N143" i="6"/>
  <c r="N95" i="6"/>
  <c r="N26" i="33"/>
  <c r="N71" i="7"/>
  <c r="N11" i="33"/>
  <c r="N118" i="6"/>
  <c r="N126" i="33"/>
  <c r="N116" i="6"/>
  <c r="N54" i="7"/>
  <c r="N50" i="4"/>
  <c r="N18" i="6"/>
  <c r="N170" i="6"/>
  <c r="N125" i="6"/>
  <c r="N69" i="33"/>
  <c r="N149" i="33"/>
  <c r="N121" i="6"/>
  <c r="N106" i="33"/>
  <c r="N61" i="33"/>
  <c r="N196" i="6"/>
  <c r="N10" i="7"/>
  <c r="N33" i="33"/>
  <c r="N23" i="4"/>
  <c r="N40" i="4"/>
  <c r="N21" i="4"/>
  <c r="N146" i="33"/>
  <c r="N178" i="6"/>
  <c r="N9" i="4"/>
  <c r="N205" i="6"/>
  <c r="N25" i="6"/>
  <c r="N22" i="4"/>
  <c r="N156" i="33"/>
  <c r="N71" i="33"/>
  <c r="N51" i="33"/>
  <c r="N16" i="33"/>
  <c r="N66" i="6"/>
  <c r="N74" i="33"/>
  <c r="N94" i="6"/>
  <c r="N70" i="7"/>
  <c r="N120" i="6"/>
  <c r="N38" i="7"/>
  <c r="N186" i="6"/>
  <c r="N130" i="33"/>
  <c r="N89" i="7"/>
  <c r="N49" i="4"/>
  <c r="N86" i="33"/>
  <c r="N168" i="6"/>
  <c r="N112" i="33"/>
  <c r="N136" i="6"/>
  <c r="N29" i="33"/>
  <c r="N29" i="4"/>
  <c r="N109" i="33"/>
  <c r="N135" i="6"/>
  <c r="N143" i="33"/>
  <c r="N30" i="7"/>
  <c r="N49" i="6"/>
  <c r="N65" i="7"/>
  <c r="N179" i="6"/>
  <c r="N67" i="33"/>
  <c r="N174" i="6"/>
  <c r="N118" i="33"/>
  <c r="N134" i="33"/>
  <c r="N34" i="4"/>
  <c r="N19" i="7"/>
  <c r="N53" i="7"/>
  <c r="N195" i="6"/>
  <c r="N14" i="33"/>
  <c r="N154" i="6"/>
  <c r="N147" i="6"/>
  <c r="N57" i="33"/>
  <c r="N126" i="6"/>
  <c r="N26" i="6"/>
  <c r="N94" i="33"/>
  <c r="N156" i="6"/>
  <c r="N48" i="33"/>
  <c r="N21" i="33"/>
  <c r="N105" i="33"/>
  <c r="N27" i="33"/>
  <c r="N108" i="33"/>
  <c r="N175" i="6"/>
  <c r="N65" i="6"/>
  <c r="N9" i="33"/>
  <c r="N52" i="7"/>
  <c r="N83" i="33"/>
  <c r="N28" i="33"/>
  <c r="N29" i="6"/>
  <c r="N97" i="33"/>
  <c r="N103" i="33"/>
  <c r="N193" i="6"/>
  <c r="N137" i="33"/>
  <c r="N97" i="6"/>
  <c r="N150" i="6"/>
  <c r="N64" i="7"/>
  <c r="N48" i="4"/>
  <c r="N104" i="33"/>
  <c r="N92" i="33"/>
  <c r="N23" i="33"/>
  <c r="N114" i="6"/>
  <c r="N69" i="6"/>
  <c r="N77" i="33"/>
  <c r="N43" i="4"/>
  <c r="N55" i="33"/>
  <c r="N12" i="6"/>
  <c r="N87" i="33"/>
  <c r="N17" i="33"/>
  <c r="N68" i="7"/>
  <c r="N58" i="7"/>
  <c r="N64" i="6"/>
  <c r="N142" i="33"/>
  <c r="N39" i="7"/>
  <c r="N42" i="7"/>
  <c r="N24" i="7"/>
  <c r="N117" i="6"/>
  <c r="N194" i="6"/>
  <c r="N15" i="6"/>
  <c r="N11" i="4"/>
  <c r="N183" i="6"/>
  <c r="N38" i="4"/>
  <c r="N145" i="6"/>
  <c r="N142" i="6"/>
  <c r="N19" i="4"/>
  <c r="N125" i="33"/>
  <c r="N36" i="7"/>
  <c r="N80" i="33"/>
  <c r="N130" i="6"/>
  <c r="N138" i="33"/>
  <c r="N41" i="7"/>
  <c r="N28" i="6"/>
  <c r="N92" i="7"/>
  <c r="N14" i="6"/>
  <c r="N49" i="33"/>
  <c r="N100" i="6"/>
  <c r="N122" i="33"/>
  <c r="N81" i="7"/>
  <c r="N162" i="6"/>
  <c r="N16" i="6"/>
  <c r="N169" i="6"/>
  <c r="N62" i="7"/>
  <c r="N44" i="4"/>
  <c r="N90" i="6"/>
  <c r="N90" i="33"/>
  <c r="N75" i="33"/>
  <c r="N182" i="6"/>
  <c r="N39" i="4"/>
  <c r="N13" i="7"/>
  <c r="N42" i="4"/>
  <c r="N47" i="7"/>
  <c r="N128" i="33"/>
  <c r="N100" i="33"/>
  <c r="N55" i="6"/>
  <c r="N153" i="6"/>
  <c r="N31" i="33"/>
  <c r="N9" i="7"/>
  <c r="N63" i="33"/>
  <c r="N24" i="6"/>
  <c r="N38" i="6"/>
  <c r="N163" i="6"/>
  <c r="N86" i="7"/>
  <c r="N131" i="33"/>
  <c r="N160" i="6"/>
  <c r="N110" i="33"/>
  <c r="N146" i="6"/>
  <c r="N31" i="6"/>
  <c r="N83" i="7"/>
  <c r="N52" i="4"/>
  <c r="N23" i="6"/>
  <c r="N18" i="4"/>
  <c r="N91" i="33"/>
  <c r="N51" i="7"/>
  <c r="N109" i="6"/>
  <c r="N29" i="7"/>
  <c r="N79" i="6"/>
  <c r="N61" i="7"/>
  <c r="N57" i="6"/>
  <c r="N80" i="7"/>
  <c r="N35" i="7"/>
  <c r="N149" i="6"/>
  <c r="N76" i="6"/>
  <c r="N114" i="33"/>
  <c r="N123" i="6"/>
  <c r="N89" i="33"/>
  <c r="B149" i="35"/>
  <c r="P153" i="9" s="1"/>
  <c r="AS150" i="35"/>
  <c r="AR151" i="35"/>
  <c r="BA150" i="35"/>
  <c r="AZ151" i="35"/>
  <c r="AO150" i="35"/>
  <c r="AN151" i="35"/>
  <c r="AI150" i="35"/>
  <c r="AH151" i="35"/>
  <c r="BC150" i="35"/>
  <c r="BB151" i="35"/>
  <c r="AG151" i="35"/>
  <c r="AF152" i="35"/>
  <c r="AE150" i="35"/>
  <c r="AD151" i="35"/>
  <c r="AM150" i="35"/>
  <c r="AL151" i="35"/>
  <c r="AY150" i="35"/>
  <c r="AX151" i="35"/>
  <c r="AK151" i="35"/>
  <c r="AJ152" i="35"/>
  <c r="AB152" i="35"/>
  <c r="AC151" i="35"/>
  <c r="AW151" i="35"/>
  <c r="AV152" i="35"/>
  <c r="AQ150" i="35"/>
  <c r="AP151" i="35"/>
  <c r="AA150" i="35"/>
  <c r="Z151" i="35"/>
  <c r="AU150" i="35"/>
  <c r="AT151" i="35"/>
  <c r="BE151" i="35"/>
  <c r="BD152" i="35"/>
  <c r="M69" i="6" l="1"/>
  <c r="M41" i="33"/>
  <c r="X40" i="39" s="1"/>
  <c r="M80" i="33"/>
  <c r="M110" i="33"/>
  <c r="M130" i="6"/>
  <c r="M117" i="6"/>
  <c r="M43" i="4"/>
  <c r="L42" i="39" s="1"/>
  <c r="M135" i="6"/>
  <c r="M16" i="4"/>
  <c r="L15" i="39" s="1"/>
  <c r="M48" i="33"/>
  <c r="X47" i="39" s="1"/>
  <c r="M53" i="33"/>
  <c r="M121" i="6"/>
  <c r="M151" i="6"/>
  <c r="M16" i="6"/>
  <c r="AJ15" i="39" s="1"/>
  <c r="M44" i="6"/>
  <c r="AJ43" i="39" s="1"/>
  <c r="M39" i="6"/>
  <c r="AJ38" i="39" s="1"/>
  <c r="M65" i="6"/>
  <c r="M53" i="7"/>
  <c r="M38" i="7"/>
  <c r="AV37" i="39" s="1"/>
  <c r="M71" i="7"/>
  <c r="M29" i="7"/>
  <c r="AV28" i="39" s="1"/>
  <c r="M61" i="7"/>
  <c r="M205" i="6"/>
  <c r="M10" i="33"/>
  <c r="X9" i="39" s="1"/>
  <c r="M51" i="6"/>
  <c r="M62" i="33"/>
  <c r="M79" i="6"/>
  <c r="M160" i="6"/>
  <c r="M128" i="33"/>
  <c r="M24" i="7"/>
  <c r="AV23" i="39" s="1"/>
  <c r="M77" i="33"/>
  <c r="M21" i="33"/>
  <c r="X20" i="39" s="1"/>
  <c r="M19" i="7"/>
  <c r="AV18" i="39" s="1"/>
  <c r="M9" i="4"/>
  <c r="L8" i="39" s="1"/>
  <c r="M149" i="33"/>
  <c r="M26" i="33"/>
  <c r="X25" i="39" s="1"/>
  <c r="M75" i="7"/>
  <c r="M107" i="6"/>
  <c r="M44" i="7"/>
  <c r="AV43" i="39" s="1"/>
  <c r="M66" i="33"/>
  <c r="M96" i="7"/>
  <c r="M35" i="4"/>
  <c r="L34" i="39" s="1"/>
  <c r="M58" i="6"/>
  <c r="M100" i="33"/>
  <c r="M193" i="6"/>
  <c r="M34" i="4"/>
  <c r="L33" i="39" s="1"/>
  <c r="M29" i="4"/>
  <c r="L28" i="39" s="1"/>
  <c r="M178" i="6"/>
  <c r="M95" i="6"/>
  <c r="M15" i="7"/>
  <c r="AV14" i="39" s="1"/>
  <c r="M89" i="6"/>
  <c r="M34" i="6"/>
  <c r="AJ33" i="39" s="1"/>
  <c r="M56" i="4"/>
  <c r="M86" i="7"/>
  <c r="M105" i="33"/>
  <c r="M81" i="7"/>
  <c r="M156" i="6"/>
  <c r="M143" i="6"/>
  <c r="M59" i="6"/>
  <c r="M89" i="33"/>
  <c r="M118" i="33"/>
  <c r="M174" i="6"/>
  <c r="M23" i="6"/>
  <c r="AJ22" i="39" s="1"/>
  <c r="M48" i="4"/>
  <c r="L47" i="39" s="1"/>
  <c r="M185" i="6"/>
  <c r="M24" i="4"/>
  <c r="L23" i="39" s="1"/>
  <c r="M101" i="6"/>
  <c r="M30" i="33"/>
  <c r="X29" i="39" s="1"/>
  <c r="M29" i="6"/>
  <c r="AJ28" i="39" s="1"/>
  <c r="M125" i="6"/>
  <c r="M52" i="4"/>
  <c r="M169" i="6"/>
  <c r="M156" i="33"/>
  <c r="M181" i="6"/>
  <c r="M77" i="7"/>
  <c r="M60" i="33"/>
  <c r="M202" i="6"/>
  <c r="M59" i="7"/>
  <c r="M129" i="33"/>
  <c r="M167" i="6"/>
  <c r="M25" i="33"/>
  <c r="X24" i="39" s="1"/>
  <c r="M28" i="7"/>
  <c r="AV27" i="39" s="1"/>
  <c r="M204" i="6"/>
  <c r="M152" i="6"/>
  <c r="M12" i="4"/>
  <c r="L11" i="39" s="1"/>
  <c r="M76" i="7"/>
  <c r="M131" i="33"/>
  <c r="M12" i="33"/>
  <c r="X11" i="39" s="1"/>
  <c r="M46" i="4"/>
  <c r="L45" i="39" s="1"/>
  <c r="M120" i="6"/>
  <c r="M31" i="7"/>
  <c r="AV30" i="39" s="1"/>
  <c r="M122" i="33"/>
  <c r="M36" i="7"/>
  <c r="AV35" i="39" s="1"/>
  <c r="M109" i="6"/>
  <c r="M13" i="33"/>
  <c r="X12" i="39" s="1"/>
  <c r="M163" i="6"/>
  <c r="M98" i="33"/>
  <c r="M97" i="33"/>
  <c r="M96" i="33"/>
  <c r="M114" i="6"/>
  <c r="M30" i="4"/>
  <c r="L29" i="39" s="1"/>
  <c r="M51" i="7"/>
  <c r="M13" i="7"/>
  <c r="AV12" i="39" s="1"/>
  <c r="M19" i="4"/>
  <c r="L18" i="39" s="1"/>
  <c r="M142" i="33"/>
  <c r="M162" i="6"/>
  <c r="M70" i="7"/>
  <c r="M39" i="7"/>
  <c r="AV38" i="39" s="1"/>
  <c r="M146" i="33"/>
  <c r="M123" i="33"/>
  <c r="M9" i="33"/>
  <c r="X8" i="39" s="1"/>
  <c r="M73" i="7"/>
  <c r="M47" i="7"/>
  <c r="AV46" i="39" s="1"/>
  <c r="M81" i="6"/>
  <c r="M42" i="4"/>
  <c r="L41" i="39" s="1"/>
  <c r="M29" i="33"/>
  <c r="X28" i="39" s="1"/>
  <c r="M144" i="6"/>
  <c r="M76" i="6"/>
  <c r="M14" i="6"/>
  <c r="AJ13" i="39" s="1"/>
  <c r="M127" i="6"/>
  <c r="M103" i="33"/>
  <c r="M38" i="4"/>
  <c r="L37" i="39" s="1"/>
  <c r="M79" i="7"/>
  <c r="M42" i="7"/>
  <c r="AV41" i="39" s="1"/>
  <c r="M69" i="33"/>
  <c r="M125" i="33"/>
  <c r="M134" i="33"/>
  <c r="M144" i="33"/>
  <c r="M75" i="33"/>
  <c r="M179" i="6"/>
  <c r="M51" i="33"/>
  <c r="M109" i="33"/>
  <c r="M94" i="6"/>
  <c r="M19" i="33"/>
  <c r="X18" i="39" s="1"/>
  <c r="M63" i="33"/>
  <c r="M68" i="7"/>
  <c r="M57" i="33"/>
  <c r="M86" i="33"/>
  <c r="M33" i="33"/>
  <c r="X32" i="39" s="1"/>
  <c r="M61" i="6"/>
  <c r="M127" i="33"/>
  <c r="M56" i="7"/>
  <c r="M99" i="33"/>
  <c r="M99" i="7"/>
  <c r="M84" i="33"/>
  <c r="M98" i="6"/>
  <c r="M73" i="6"/>
  <c r="M189" i="6"/>
  <c r="M46" i="6"/>
  <c r="AJ45" i="39" s="1"/>
  <c r="M87" i="6"/>
  <c r="M54" i="6"/>
  <c r="M43" i="33"/>
  <c r="X42" i="39" s="1"/>
  <c r="M165" i="6"/>
  <c r="M192" i="6"/>
  <c r="M108" i="6"/>
  <c r="M45" i="4"/>
  <c r="L44" i="39" s="1"/>
  <c r="M65" i="33"/>
  <c r="M155" i="6"/>
  <c r="M23" i="7"/>
  <c r="AV22" i="39" s="1"/>
  <c r="M136" i="33"/>
  <c r="M17" i="7"/>
  <c r="AV16" i="39" s="1"/>
  <c r="M117" i="33"/>
  <c r="M34" i="33"/>
  <c r="X33" i="39" s="1"/>
  <c r="M139" i="6"/>
  <c r="M36" i="33"/>
  <c r="X35" i="39" s="1"/>
  <c r="M140" i="33"/>
  <c r="M35" i="6"/>
  <c r="AJ34" i="39" s="1"/>
  <c r="M198" i="6"/>
  <c r="M78" i="7"/>
  <c r="M115" i="33"/>
  <c r="M24" i="33"/>
  <c r="X23" i="39" s="1"/>
  <c r="M32" i="4"/>
  <c r="L31" i="39" s="1"/>
  <c r="M68" i="6"/>
  <c r="M47" i="4"/>
  <c r="L46" i="39" s="1"/>
  <c r="M159" i="6"/>
  <c r="M58" i="33"/>
  <c r="M111" i="6"/>
  <c r="M60" i="4"/>
  <c r="M55" i="7"/>
  <c r="M53" i="6"/>
  <c r="M75" i="6"/>
  <c r="M113" i="6"/>
  <c r="M84" i="7"/>
  <c r="M102" i="6"/>
  <c r="M37" i="6"/>
  <c r="AJ36" i="39" s="1"/>
  <c r="M141" i="6"/>
  <c r="M72" i="33"/>
  <c r="M124" i="33"/>
  <c r="M26" i="7"/>
  <c r="AV25" i="39" s="1"/>
  <c r="M7" i="6"/>
  <c r="AJ6" i="39" s="1"/>
  <c r="N221" i="11" s="1"/>
  <c r="M57" i="4"/>
  <c r="M34" i="7"/>
  <c r="AV33" i="39" s="1"/>
  <c r="M54" i="4"/>
  <c r="M86" i="6"/>
  <c r="M52" i="33"/>
  <c r="M116" i="33"/>
  <c r="M85" i="33"/>
  <c r="M83" i="6"/>
  <c r="M8" i="6"/>
  <c r="AJ7" i="39" s="1"/>
  <c r="M50" i="6"/>
  <c r="M91" i="7"/>
  <c r="M131" i="6"/>
  <c r="M10" i="6"/>
  <c r="AJ9" i="39" s="1"/>
  <c r="M102" i="33"/>
  <c r="M63" i="6"/>
  <c r="M56" i="33"/>
  <c r="M37" i="7"/>
  <c r="AV36" i="39" s="1"/>
  <c r="M197" i="6"/>
  <c r="M79" i="33"/>
  <c r="M9" i="6"/>
  <c r="AJ8" i="39" s="1"/>
  <c r="M41" i="6"/>
  <c r="AJ40" i="39" s="1"/>
  <c r="M17" i="4"/>
  <c r="L16" i="39" s="1"/>
  <c r="M132" i="6"/>
  <c r="M115" i="6"/>
  <c r="M90" i="7"/>
  <c r="M42" i="6"/>
  <c r="AJ41" i="39" s="1"/>
  <c r="M21" i="6"/>
  <c r="AJ20" i="39" s="1"/>
  <c r="M38" i="33"/>
  <c r="X37" i="39" s="1"/>
  <c r="M66" i="7"/>
  <c r="M37" i="33"/>
  <c r="X36" i="39" s="1"/>
  <c r="M48" i="6"/>
  <c r="AJ47" i="39" s="1"/>
  <c r="M122" i="6"/>
  <c r="M42" i="33"/>
  <c r="X41" i="39" s="1"/>
  <c r="M71" i="6"/>
  <c r="M119" i="6"/>
  <c r="M88" i="33"/>
  <c r="M164" i="6"/>
  <c r="M72" i="6"/>
  <c r="M199" i="6"/>
  <c r="M23" i="33"/>
  <c r="X22" i="39" s="1"/>
  <c r="M28" i="33"/>
  <c r="X27" i="39" s="1"/>
  <c r="M94" i="33"/>
  <c r="M136" i="6"/>
  <c r="M74" i="33"/>
  <c r="M21" i="4"/>
  <c r="L20" i="39" s="1"/>
  <c r="M170" i="6"/>
  <c r="M93" i="7"/>
  <c r="M47" i="6"/>
  <c r="AJ46" i="39" s="1"/>
  <c r="M103" i="6"/>
  <c r="M148" i="6"/>
  <c r="M8" i="33"/>
  <c r="X7" i="39" s="1"/>
  <c r="M18" i="33"/>
  <c r="X17" i="39" s="1"/>
  <c r="M10" i="4"/>
  <c r="L9" i="39" s="1"/>
  <c r="M152" i="33"/>
  <c r="M74" i="6"/>
  <c r="M85" i="7"/>
  <c r="M51" i="4"/>
  <c r="M123" i="6"/>
  <c r="M91" i="33"/>
  <c r="M38" i="6"/>
  <c r="AJ37" i="39" s="1"/>
  <c r="M39" i="4"/>
  <c r="L38" i="39" s="1"/>
  <c r="M100" i="6"/>
  <c r="M142" i="6"/>
  <c r="M64" i="6"/>
  <c r="M92" i="33"/>
  <c r="M83" i="33"/>
  <c r="M26" i="6"/>
  <c r="AJ25" i="39" s="1"/>
  <c r="M112" i="33"/>
  <c r="M66" i="6"/>
  <c r="M40" i="4"/>
  <c r="L39" i="39" s="1"/>
  <c r="M18" i="6"/>
  <c r="AJ17" i="39" s="1"/>
  <c r="M173" i="6"/>
  <c r="M82" i="33"/>
  <c r="M26" i="4"/>
  <c r="L25" i="39" s="1"/>
  <c r="M56" i="6"/>
  <c r="M67" i="6"/>
  <c r="M40" i="7"/>
  <c r="AV39" i="39" s="1"/>
  <c r="M93" i="6"/>
  <c r="M76" i="33"/>
  <c r="M82" i="6"/>
  <c r="M124" i="6"/>
  <c r="M50" i="33"/>
  <c r="M114" i="33"/>
  <c r="M18" i="4"/>
  <c r="L17" i="39" s="1"/>
  <c r="M24" i="6"/>
  <c r="AJ23" i="39" s="1"/>
  <c r="M182" i="6"/>
  <c r="M49" i="33"/>
  <c r="X48" i="39" s="1"/>
  <c r="M145" i="6"/>
  <c r="M58" i="7"/>
  <c r="M104" i="33"/>
  <c r="M52" i="7"/>
  <c r="M126" i="6"/>
  <c r="M67" i="33"/>
  <c r="M168" i="6"/>
  <c r="M16" i="33"/>
  <c r="X15" i="39" s="1"/>
  <c r="M23" i="4"/>
  <c r="L22" i="39" s="1"/>
  <c r="M50" i="4"/>
  <c r="M188" i="6"/>
  <c r="M31" i="4"/>
  <c r="L30" i="39" s="1"/>
  <c r="M62" i="6"/>
  <c r="M61" i="4"/>
  <c r="M107" i="33"/>
  <c r="M96" i="6"/>
  <c r="M13" i="6"/>
  <c r="AJ12" i="39" s="1"/>
  <c r="M15" i="4"/>
  <c r="L14" i="39" s="1"/>
  <c r="M99" i="6"/>
  <c r="M54" i="33"/>
  <c r="M8" i="4"/>
  <c r="L7" i="39" s="1"/>
  <c r="M60" i="6"/>
  <c r="M151" i="33"/>
  <c r="M200" i="6"/>
  <c r="M155" i="33"/>
  <c r="M88" i="6"/>
  <c r="M7" i="33"/>
  <c r="X6" i="39" s="1"/>
  <c r="I221" i="11" s="1"/>
  <c r="M187" i="6"/>
  <c r="M166" i="6"/>
  <c r="M45" i="6"/>
  <c r="AJ44" i="39" s="1"/>
  <c r="M64" i="33"/>
  <c r="M45" i="33"/>
  <c r="X44" i="39" s="1"/>
  <c r="M132" i="33"/>
  <c r="M105" i="6"/>
  <c r="M80" i="6"/>
  <c r="M184" i="6"/>
  <c r="M27" i="4"/>
  <c r="L26" i="39" s="1"/>
  <c r="M22" i="7"/>
  <c r="AV21" i="39" s="1"/>
  <c r="M25" i="4"/>
  <c r="L24" i="39" s="1"/>
  <c r="M180" i="6"/>
  <c r="M20" i="4"/>
  <c r="L19" i="39" s="1"/>
  <c r="M82" i="7"/>
  <c r="M69" i="7"/>
  <c r="M98" i="7"/>
  <c r="M63" i="7"/>
  <c r="M37" i="4"/>
  <c r="L36" i="39" s="1"/>
  <c r="M36" i="6"/>
  <c r="AJ35" i="39" s="1"/>
  <c r="M85" i="6"/>
  <c r="M28" i="4"/>
  <c r="L27" i="39" s="1"/>
  <c r="M157" i="6"/>
  <c r="M40" i="6"/>
  <c r="AJ39" i="39" s="1"/>
  <c r="M101" i="33"/>
  <c r="M119" i="33"/>
  <c r="M32" i="33"/>
  <c r="X31" i="39" s="1"/>
  <c r="M145" i="33"/>
  <c r="M14" i="7"/>
  <c r="AV13" i="39" s="1"/>
  <c r="M46" i="33"/>
  <c r="X45" i="39" s="1"/>
  <c r="M18" i="7"/>
  <c r="AV17" i="39" s="1"/>
  <c r="M138" i="6"/>
  <c r="M33" i="7"/>
  <c r="AV32" i="39" s="1"/>
  <c r="M32" i="6"/>
  <c r="AJ31" i="39" s="1"/>
  <c r="M33" i="6"/>
  <c r="AJ32" i="39" s="1"/>
  <c r="M176" i="6"/>
  <c r="M171" i="6"/>
  <c r="M77" i="6"/>
  <c r="M158" i="6"/>
  <c r="M68" i="33"/>
  <c r="M148" i="33"/>
  <c r="M150" i="33"/>
  <c r="M137" i="6"/>
  <c r="M91" i="6"/>
  <c r="M139" i="33"/>
  <c r="M40" i="33"/>
  <c r="X39" i="39" s="1"/>
  <c r="M88" i="7"/>
  <c r="M57" i="7"/>
  <c r="M55" i="4"/>
  <c r="M73" i="33"/>
  <c r="M147" i="33"/>
  <c r="M27" i="6"/>
  <c r="AJ26" i="39" s="1"/>
  <c r="M27" i="7"/>
  <c r="AV26" i="39" s="1"/>
  <c r="M70" i="6"/>
  <c r="M133" i="6"/>
  <c r="M54" i="7"/>
  <c r="M32" i="7"/>
  <c r="AV31" i="39" s="1"/>
  <c r="M30" i="6"/>
  <c r="AJ29" i="39" s="1"/>
  <c r="M110" i="6"/>
  <c r="M90" i="33"/>
  <c r="M183" i="6"/>
  <c r="M64" i="7"/>
  <c r="M147" i="6"/>
  <c r="M49" i="4"/>
  <c r="L48" i="39" s="1"/>
  <c r="M10" i="7"/>
  <c r="AV9" i="39" s="1"/>
  <c r="M201" i="6"/>
  <c r="M20" i="6"/>
  <c r="AJ19" i="39" s="1"/>
  <c r="M11" i="6"/>
  <c r="AJ10" i="39" s="1"/>
  <c r="M81" i="33"/>
  <c r="M135" i="33"/>
  <c r="M33" i="4"/>
  <c r="L32" i="39" s="1"/>
  <c r="M203" i="6"/>
  <c r="M35" i="7"/>
  <c r="AV34" i="39" s="1"/>
  <c r="M31" i="33"/>
  <c r="X30" i="39" s="1"/>
  <c r="M28" i="6"/>
  <c r="AJ27" i="39" s="1"/>
  <c r="M11" i="4"/>
  <c r="L10" i="39" s="1"/>
  <c r="M87" i="33"/>
  <c r="M150" i="6"/>
  <c r="M175" i="6"/>
  <c r="M154" i="6"/>
  <c r="M49" i="6"/>
  <c r="AJ48" i="39" s="1"/>
  <c r="M89" i="7"/>
  <c r="M196" i="6"/>
  <c r="M126" i="33"/>
  <c r="M111" i="33"/>
  <c r="M128" i="6"/>
  <c r="M53" i="4"/>
  <c r="M140" i="6"/>
  <c r="M78" i="6"/>
  <c r="M191" i="6"/>
  <c r="M22" i="6"/>
  <c r="AJ21" i="39" s="1"/>
  <c r="M43" i="7"/>
  <c r="AV42" i="39" s="1"/>
  <c r="M41" i="4"/>
  <c r="L40" i="39" s="1"/>
  <c r="M161" i="6"/>
  <c r="M20" i="7"/>
  <c r="AV19" i="39" s="1"/>
  <c r="M80" i="7"/>
  <c r="M31" i="6"/>
  <c r="AJ30" i="39" s="1"/>
  <c r="M153" i="6"/>
  <c r="M44" i="4"/>
  <c r="L43" i="39" s="1"/>
  <c r="M41" i="7"/>
  <c r="AV40" i="39" s="1"/>
  <c r="M15" i="6"/>
  <c r="AJ14" i="39" s="1"/>
  <c r="M12" i="6"/>
  <c r="AJ11" i="39" s="1"/>
  <c r="M97" i="6"/>
  <c r="M108" i="33"/>
  <c r="M14" i="33"/>
  <c r="X13" i="39" s="1"/>
  <c r="M30" i="7"/>
  <c r="AV29" i="39" s="1"/>
  <c r="M130" i="33"/>
  <c r="M22" i="4"/>
  <c r="L21" i="39" s="1"/>
  <c r="M61" i="33"/>
  <c r="M118" i="6"/>
  <c r="M13" i="4"/>
  <c r="L12" i="39" s="1"/>
  <c r="M35" i="33"/>
  <c r="X34" i="39" s="1"/>
  <c r="M120" i="33"/>
  <c r="M95" i="7"/>
  <c r="M44" i="33"/>
  <c r="X43" i="39" s="1"/>
  <c r="M14" i="4"/>
  <c r="L13" i="39" s="1"/>
  <c r="M15" i="33"/>
  <c r="X14" i="39" s="1"/>
  <c r="M104" i="6"/>
  <c r="M17" i="6"/>
  <c r="AJ16" i="39" s="1"/>
  <c r="M48" i="7"/>
  <c r="AV47" i="39" s="1"/>
  <c r="M19" i="6"/>
  <c r="AJ18" i="39" s="1"/>
  <c r="M141" i="33"/>
  <c r="M78" i="33"/>
  <c r="M70" i="33"/>
  <c r="M47" i="33"/>
  <c r="X46" i="39" s="1"/>
  <c r="M60" i="7"/>
  <c r="M93" i="33"/>
  <c r="M7" i="4"/>
  <c r="L6" i="39" s="1"/>
  <c r="M52" i="6"/>
  <c r="M62" i="4"/>
  <c r="M206" i="6"/>
  <c r="M129" i="6"/>
  <c r="M22" i="33"/>
  <c r="X21" i="39" s="1"/>
  <c r="M87" i="7"/>
  <c r="M72" i="7"/>
  <c r="M84" i="6"/>
  <c r="M21" i="7"/>
  <c r="AV20" i="39" s="1"/>
  <c r="M74" i="7"/>
  <c r="M12" i="7"/>
  <c r="AV11" i="39" s="1"/>
  <c r="M59" i="4"/>
  <c r="M92" i="6"/>
  <c r="M11" i="7"/>
  <c r="AV10" i="39" s="1"/>
  <c r="M149" i="6"/>
  <c r="M9" i="7"/>
  <c r="AV8" i="39" s="1"/>
  <c r="M92" i="7"/>
  <c r="M17" i="33"/>
  <c r="X16" i="39" s="1"/>
  <c r="M65" i="7"/>
  <c r="M71" i="33"/>
  <c r="M116" i="6"/>
  <c r="M8" i="7"/>
  <c r="AV7" i="39" s="1"/>
  <c r="M67" i="7"/>
  <c r="M134" i="6"/>
  <c r="M83" i="7"/>
  <c r="M90" i="6"/>
  <c r="M57" i="6"/>
  <c r="M146" i="6"/>
  <c r="M55" i="6"/>
  <c r="M62" i="7"/>
  <c r="M138" i="33"/>
  <c r="M194" i="6"/>
  <c r="M55" i="33"/>
  <c r="M137" i="33"/>
  <c r="M27" i="33"/>
  <c r="X26" i="39" s="1"/>
  <c r="M195" i="6"/>
  <c r="M143" i="33"/>
  <c r="M186" i="6"/>
  <c r="M25" i="6"/>
  <c r="AJ24" i="39" s="1"/>
  <c r="M106" i="33"/>
  <c r="M11" i="33"/>
  <c r="X10" i="39" s="1"/>
  <c r="M45" i="7"/>
  <c r="AV44" i="39" s="1"/>
  <c r="M36" i="4"/>
  <c r="L35" i="39" s="1"/>
  <c r="M112" i="6"/>
  <c r="M20" i="33"/>
  <c r="X19" i="39" s="1"/>
  <c r="M153" i="33"/>
  <c r="M59" i="33"/>
  <c r="M7" i="7"/>
  <c r="AV6" i="39" s="1"/>
  <c r="M16" i="7"/>
  <c r="AV15" i="39" s="1"/>
  <c r="M172" i="6"/>
  <c r="M121" i="33"/>
  <c r="M25" i="7"/>
  <c r="AV24" i="39" s="1"/>
  <c r="M58" i="4"/>
  <c r="M94" i="7"/>
  <c r="M46" i="7"/>
  <c r="AV45" i="39" s="1"/>
  <c r="M95" i="33"/>
  <c r="M177" i="6"/>
  <c r="M43" i="6"/>
  <c r="AJ42" i="39" s="1"/>
  <c r="M97" i="7"/>
  <c r="M100" i="7"/>
  <c r="M133" i="33"/>
  <c r="M190" i="6"/>
  <c r="M39" i="33"/>
  <c r="X38" i="39" s="1"/>
  <c r="M50" i="7"/>
  <c r="M154" i="33"/>
  <c r="M113" i="33"/>
  <c r="M49" i="7"/>
  <c r="AV48" i="39" s="1"/>
  <c r="M106" i="6"/>
  <c r="B150" i="35"/>
  <c r="P154" i="9" s="1"/>
  <c r="AS151" i="35"/>
  <c r="AR152" i="35"/>
  <c r="AO151" i="35"/>
  <c r="AN152" i="35"/>
  <c r="BA151" i="35"/>
  <c r="AZ152" i="35"/>
  <c r="BC151" i="35"/>
  <c r="BB152" i="35"/>
  <c r="AC152" i="35"/>
  <c r="AB153" i="35"/>
  <c r="BE152" i="35"/>
  <c r="BD153" i="35"/>
  <c r="AK152" i="35"/>
  <c r="AJ153" i="35"/>
  <c r="AE151" i="35"/>
  <c r="AD152" i="35"/>
  <c r="AQ151" i="35"/>
  <c r="AP152" i="35"/>
  <c r="AW152" i="35"/>
  <c r="AV153" i="35"/>
  <c r="AY151" i="35"/>
  <c r="AX152" i="35"/>
  <c r="AM151" i="35"/>
  <c r="AL152" i="35"/>
  <c r="AG152" i="35"/>
  <c r="AF153" i="35"/>
  <c r="AI151" i="35"/>
  <c r="AH152" i="35"/>
  <c r="AA151" i="35"/>
  <c r="B151" i="35" s="1"/>
  <c r="P155" i="9" s="1"/>
  <c r="Z152" i="35"/>
  <c r="AU151" i="35"/>
  <c r="AT152" i="35"/>
  <c r="AS152" i="35" l="1"/>
  <c r="AR153" i="35"/>
  <c r="AZ153" i="35"/>
  <c r="BA152" i="35"/>
  <c r="AO152" i="35"/>
  <c r="AN153" i="35"/>
  <c r="AU152" i="35"/>
  <c r="AT153" i="35"/>
  <c r="AI152" i="35"/>
  <c r="AH153" i="35"/>
  <c r="AM152" i="35"/>
  <c r="AL153" i="35"/>
  <c r="AQ152" i="35"/>
  <c r="AP153" i="35"/>
  <c r="AJ154" i="35"/>
  <c r="AK153" i="35"/>
  <c r="AC153" i="35"/>
  <c r="AB154" i="35"/>
  <c r="AG153" i="35"/>
  <c r="AF154" i="35"/>
  <c r="AW153" i="35"/>
  <c r="AV154" i="35"/>
  <c r="AE152" i="35"/>
  <c r="AD153" i="35"/>
  <c r="BE153" i="35"/>
  <c r="BD154" i="35"/>
  <c r="BC152" i="35"/>
  <c r="BB153" i="35"/>
  <c r="AA152" i="35"/>
  <c r="B152" i="35" s="1"/>
  <c r="P156" i="9" s="1"/>
  <c r="Z153" i="35"/>
  <c r="AY152" i="35"/>
  <c r="AX153" i="35"/>
  <c r="AR154" i="35" l="1"/>
  <c r="AS153" i="35"/>
  <c r="AO153" i="35"/>
  <c r="AN154" i="35"/>
  <c r="AZ154" i="35"/>
  <c r="BA153" i="35"/>
  <c r="AY153" i="35"/>
  <c r="AX154" i="35"/>
  <c r="BE154" i="35"/>
  <c r="BD155" i="35"/>
  <c r="AW154" i="35"/>
  <c r="AV155" i="35"/>
  <c r="AC154" i="35"/>
  <c r="AB155" i="35"/>
  <c r="AQ153" i="35"/>
  <c r="AP154" i="35"/>
  <c r="AI153" i="35"/>
  <c r="AH154" i="35"/>
  <c r="AD154" i="35"/>
  <c r="AE153" i="35"/>
  <c r="AG154" i="35"/>
  <c r="AF155" i="35"/>
  <c r="AM153" i="35"/>
  <c r="AL154" i="35"/>
  <c r="AU153" i="35"/>
  <c r="AT154" i="35"/>
  <c r="Z154" i="35"/>
  <c r="AA153" i="35"/>
  <c r="BC153" i="35"/>
  <c r="BB154" i="35"/>
  <c r="AK154" i="35"/>
  <c r="AJ155" i="35"/>
  <c r="B153" i="35" l="1"/>
  <c r="P157" i="9" s="1"/>
  <c r="AS154" i="35"/>
  <c r="AR155" i="35"/>
  <c r="AO154" i="35"/>
  <c r="AN155" i="35"/>
  <c r="AZ155" i="35"/>
  <c r="BA154" i="35"/>
  <c r="AU154" i="35"/>
  <c r="AT155" i="35"/>
  <c r="AG155" i="35"/>
  <c r="AF156" i="35"/>
  <c r="AQ154" i="35"/>
  <c r="AP155" i="35"/>
  <c r="AW155" i="35"/>
  <c r="AV156" i="35"/>
  <c r="AA154" i="35"/>
  <c r="B154" i="35" s="1"/>
  <c r="P158" i="9" s="1"/>
  <c r="Z155" i="35"/>
  <c r="BC154" i="35"/>
  <c r="BB155" i="35"/>
  <c r="AM154" i="35"/>
  <c r="AL155" i="35"/>
  <c r="AI154" i="35"/>
  <c r="AH155" i="35"/>
  <c r="AC155" i="35"/>
  <c r="AB156" i="35"/>
  <c r="BE155" i="35"/>
  <c r="BD156" i="35"/>
  <c r="AY154" i="35"/>
  <c r="AX155" i="35"/>
  <c r="AJ156" i="35"/>
  <c r="AK155" i="35"/>
  <c r="AE154" i="35"/>
  <c r="AD155" i="35"/>
  <c r="AS155" i="35" l="1"/>
  <c r="AR156" i="35"/>
  <c r="AO155" i="35"/>
  <c r="AN156" i="35"/>
  <c r="BA155" i="35"/>
  <c r="AZ156" i="35"/>
  <c r="AY155" i="35"/>
  <c r="AX156" i="35"/>
  <c r="AW156" i="35"/>
  <c r="AV157" i="35"/>
  <c r="AI155" i="35"/>
  <c r="AH156" i="35"/>
  <c r="BB156" i="35"/>
  <c r="BC155" i="35"/>
  <c r="AQ155" i="35"/>
  <c r="AP156" i="35"/>
  <c r="AG156" i="35"/>
  <c r="AF157" i="35"/>
  <c r="AC156" i="35"/>
  <c r="AB157" i="35"/>
  <c r="AA155" i="35"/>
  <c r="Z156" i="35"/>
  <c r="AE155" i="35"/>
  <c r="AD156" i="35"/>
  <c r="BE156" i="35"/>
  <c r="BD157" i="35"/>
  <c r="AK156" i="35"/>
  <c r="AJ157" i="35"/>
  <c r="AM155" i="35"/>
  <c r="AL156" i="35"/>
  <c r="AT156" i="35"/>
  <c r="AU155" i="35"/>
  <c r="B155" i="35" l="1"/>
  <c r="P159" i="9" s="1"/>
  <c r="AS156" i="35"/>
  <c r="AR157" i="35"/>
  <c r="BA156" i="35"/>
  <c r="AZ157" i="35"/>
  <c r="AO156" i="35"/>
  <c r="AN157" i="35"/>
  <c r="AA156" i="35"/>
  <c r="Z157" i="35"/>
  <c r="AC157" i="35"/>
  <c r="AB158" i="35"/>
  <c r="AQ156" i="35"/>
  <c r="AP157" i="35"/>
  <c r="AW157" i="35"/>
  <c r="AV158" i="35"/>
  <c r="AM156" i="35"/>
  <c r="AL157" i="35"/>
  <c r="AK157" i="35"/>
  <c r="AJ158" i="35"/>
  <c r="AG157" i="35"/>
  <c r="AF158" i="35"/>
  <c r="AY156" i="35"/>
  <c r="AX157" i="35"/>
  <c r="BE157" i="35"/>
  <c r="BD158" i="35"/>
  <c r="AU156" i="35"/>
  <c r="AT157" i="35"/>
  <c r="BC156" i="35"/>
  <c r="BB157" i="35"/>
  <c r="AE156" i="35"/>
  <c r="AD157" i="35"/>
  <c r="AI156" i="35"/>
  <c r="AH157" i="35"/>
  <c r="B156" i="35" l="1"/>
  <c r="P160" i="9" s="1"/>
  <c r="AS157" i="35"/>
  <c r="AR158" i="35"/>
  <c r="AO157" i="35"/>
  <c r="AN158" i="35"/>
  <c r="BA157" i="35"/>
  <c r="AZ158" i="35"/>
  <c r="AK158" i="35"/>
  <c r="AJ159" i="35"/>
  <c r="AA157" i="35"/>
  <c r="Z158" i="35"/>
  <c r="AI157" i="35"/>
  <c r="AH158" i="35"/>
  <c r="AG158" i="35"/>
  <c r="AF159" i="35"/>
  <c r="AM157" i="35"/>
  <c r="AL158" i="35"/>
  <c r="AQ157" i="35"/>
  <c r="AP158" i="35"/>
  <c r="AE157" i="35"/>
  <c r="AD158" i="35"/>
  <c r="AU157" i="35"/>
  <c r="AT158" i="35"/>
  <c r="AW158" i="35"/>
  <c r="AV159" i="35"/>
  <c r="BC157" i="35"/>
  <c r="BB158" i="35"/>
  <c r="BE158" i="35"/>
  <c r="BD159" i="35"/>
  <c r="AY157" i="35"/>
  <c r="AX158" i="35"/>
  <c r="AC158" i="35"/>
  <c r="AB159" i="35"/>
  <c r="B157" i="35" l="1"/>
  <c r="P161" i="9" s="1"/>
  <c r="AS158" i="35"/>
  <c r="AR159" i="35"/>
  <c r="BA158" i="35"/>
  <c r="AZ159" i="35"/>
  <c r="AO158" i="35"/>
  <c r="AN159" i="35"/>
  <c r="AW159" i="35"/>
  <c r="AV160" i="35"/>
  <c r="AI158" i="35"/>
  <c r="AH159" i="35"/>
  <c r="BE159" i="35"/>
  <c r="BD160" i="35"/>
  <c r="AU158" i="35"/>
  <c r="AT159" i="35"/>
  <c r="AQ158" i="35"/>
  <c r="AP159" i="35"/>
  <c r="AG159" i="35"/>
  <c r="AF160" i="35"/>
  <c r="AA158" i="35"/>
  <c r="B158" i="35" s="1"/>
  <c r="P162" i="9" s="1"/>
  <c r="Z159" i="35"/>
  <c r="BC158" i="35"/>
  <c r="BB159" i="35"/>
  <c r="AC159" i="35"/>
  <c r="AB160" i="35"/>
  <c r="AY158" i="35"/>
  <c r="AX159" i="35"/>
  <c r="AE158" i="35"/>
  <c r="AD159" i="35"/>
  <c r="AM158" i="35"/>
  <c r="AL159" i="35"/>
  <c r="AK159" i="35"/>
  <c r="AJ160" i="35"/>
  <c r="AS159" i="35" l="1"/>
  <c r="AR160" i="35"/>
  <c r="AO159" i="35"/>
  <c r="AN160" i="35"/>
  <c r="BA159" i="35"/>
  <c r="AZ160" i="35"/>
  <c r="AK160" i="35"/>
  <c r="AJ161" i="35"/>
  <c r="AE159" i="35"/>
  <c r="AD160" i="35"/>
  <c r="AU159" i="35"/>
  <c r="AT160" i="35"/>
  <c r="AQ159" i="35"/>
  <c r="AP160" i="35"/>
  <c r="AM159" i="35"/>
  <c r="AL160" i="35"/>
  <c r="AY159" i="35"/>
  <c r="AX160" i="35"/>
  <c r="BC159" i="35"/>
  <c r="BB160" i="35"/>
  <c r="AG160" i="35"/>
  <c r="AF161" i="35"/>
  <c r="BE160" i="35"/>
  <c r="BD161" i="35"/>
  <c r="AW160" i="35"/>
  <c r="AV161" i="35"/>
  <c r="AA159" i="35"/>
  <c r="B159" i="35" s="1"/>
  <c r="P163" i="9" s="1"/>
  <c r="Z160" i="35"/>
  <c r="AI159" i="35"/>
  <c r="AH160" i="35"/>
  <c r="AC160" i="35"/>
  <c r="AB161" i="35"/>
  <c r="AS160" i="35" l="1"/>
  <c r="AR161" i="35"/>
  <c r="BA160" i="35"/>
  <c r="AZ161" i="35"/>
  <c r="AO160" i="35"/>
  <c r="AN161" i="35"/>
  <c r="AA160" i="35"/>
  <c r="Z161" i="35"/>
  <c r="AY160" i="35"/>
  <c r="AX161" i="35"/>
  <c r="AQ160" i="35"/>
  <c r="AP161" i="35"/>
  <c r="AU160" i="35"/>
  <c r="AT161" i="35"/>
  <c r="AE160" i="35"/>
  <c r="AD161" i="35"/>
  <c r="AC161" i="35"/>
  <c r="AB162" i="35"/>
  <c r="AG161" i="35"/>
  <c r="AF162" i="35"/>
  <c r="AW161" i="35"/>
  <c r="AV162" i="35"/>
  <c r="BC160" i="35"/>
  <c r="BB161" i="35"/>
  <c r="AM160" i="35"/>
  <c r="AL161" i="35"/>
  <c r="AJ162" i="35"/>
  <c r="AK161" i="35"/>
  <c r="BE161" i="35"/>
  <c r="BD162" i="35"/>
  <c r="AI160" i="35"/>
  <c r="AH161" i="35"/>
  <c r="B160" i="35" l="1"/>
  <c r="P164" i="9" s="1"/>
  <c r="AS161" i="35"/>
  <c r="AR162" i="35"/>
  <c r="AZ162" i="35"/>
  <c r="BA161" i="35"/>
  <c r="AN162" i="35"/>
  <c r="AO161" i="35"/>
  <c r="AI161" i="35"/>
  <c r="AH162" i="35"/>
  <c r="AM161" i="35"/>
  <c r="AL162" i="35"/>
  <c r="AW162" i="35"/>
  <c r="AV163" i="35"/>
  <c r="AC162" i="35"/>
  <c r="AB163" i="35"/>
  <c r="AU161" i="35"/>
  <c r="AT162" i="35"/>
  <c r="AY161" i="35"/>
  <c r="AX162" i="35"/>
  <c r="AK162" i="35"/>
  <c r="AJ163" i="35"/>
  <c r="BC161" i="35"/>
  <c r="BB162" i="35"/>
  <c r="AG162" i="35"/>
  <c r="AF163" i="35"/>
  <c r="AD162" i="35"/>
  <c r="AE161" i="35"/>
  <c r="AQ161" i="35"/>
  <c r="AP162" i="35"/>
  <c r="Z162" i="35"/>
  <c r="AA161" i="35"/>
  <c r="BE162" i="35"/>
  <c r="BD163" i="35"/>
  <c r="B161" i="35" l="1"/>
  <c r="P165" i="9" s="1"/>
  <c r="AS162" i="35"/>
  <c r="AR163" i="35"/>
  <c r="AO162" i="35"/>
  <c r="AN163" i="35"/>
  <c r="BA162" i="35"/>
  <c r="AZ163" i="35"/>
  <c r="BC162" i="35"/>
  <c r="BB163" i="35"/>
  <c r="AJ164" i="35"/>
  <c r="AK163" i="35"/>
  <c r="AU162" i="35"/>
  <c r="AT163" i="35"/>
  <c r="AW163" i="35"/>
  <c r="AV164" i="35"/>
  <c r="AI162" i="35"/>
  <c r="AH163" i="35"/>
  <c r="AE162" i="35"/>
  <c r="AD163" i="35"/>
  <c r="BE163" i="35"/>
  <c r="BD164" i="35"/>
  <c r="AG163" i="35"/>
  <c r="AF164" i="35"/>
  <c r="AY162" i="35"/>
  <c r="AX163" i="35"/>
  <c r="AC163" i="35"/>
  <c r="AB164" i="35"/>
  <c r="AM162" i="35"/>
  <c r="AL163" i="35"/>
  <c r="AA162" i="35"/>
  <c r="Z163" i="35"/>
  <c r="AQ162" i="35"/>
  <c r="AP163" i="35"/>
  <c r="B162" i="35" l="1"/>
  <c r="P166" i="9" s="1"/>
  <c r="AS163" i="35"/>
  <c r="AR164" i="35"/>
  <c r="BA163" i="35"/>
  <c r="AZ164" i="35"/>
  <c r="AN164" i="35"/>
  <c r="AO163" i="35"/>
  <c r="AM163" i="35"/>
  <c r="AL164" i="35"/>
  <c r="BE164" i="35"/>
  <c r="BD165" i="35"/>
  <c r="AI163" i="35"/>
  <c r="AH164" i="35"/>
  <c r="AT164" i="35"/>
  <c r="AU163" i="35"/>
  <c r="BB164" i="35"/>
  <c r="BC163" i="35"/>
  <c r="AA163" i="35"/>
  <c r="Z164" i="35"/>
  <c r="AQ163" i="35"/>
  <c r="AP164" i="35"/>
  <c r="AC164" i="35"/>
  <c r="AB165" i="35"/>
  <c r="AG164" i="35"/>
  <c r="AF165" i="35"/>
  <c r="AE163" i="35"/>
  <c r="AD164" i="35"/>
  <c r="AW164" i="35"/>
  <c r="AV165" i="35"/>
  <c r="AY163" i="35"/>
  <c r="AX164" i="35"/>
  <c r="AK164" i="35"/>
  <c r="AJ165" i="35"/>
  <c r="B163" i="35" l="1"/>
  <c r="P167" i="9" s="1"/>
  <c r="AS164" i="35"/>
  <c r="AR165" i="35"/>
  <c r="BA164" i="35"/>
  <c r="AZ165" i="35"/>
  <c r="AO164" i="35"/>
  <c r="AN165" i="35"/>
  <c r="AE164" i="35"/>
  <c r="AD165" i="35"/>
  <c r="AC165" i="35"/>
  <c r="AB166" i="35"/>
  <c r="AQ164" i="35"/>
  <c r="AP165" i="35"/>
  <c r="AI164" i="35"/>
  <c r="AH165" i="35"/>
  <c r="AM164" i="35"/>
  <c r="AL165" i="35"/>
  <c r="BC164" i="35"/>
  <c r="BB165" i="35"/>
  <c r="AJ166" i="35"/>
  <c r="AK165" i="35"/>
  <c r="AY164" i="35"/>
  <c r="AX165" i="35"/>
  <c r="AW165" i="35"/>
  <c r="AV166" i="35"/>
  <c r="AG165" i="35"/>
  <c r="AF166" i="35"/>
  <c r="AA164" i="35"/>
  <c r="B164" i="35" s="1"/>
  <c r="P168" i="9" s="1"/>
  <c r="Z165" i="35"/>
  <c r="BE165" i="35"/>
  <c r="BD166" i="35"/>
  <c r="AU164" i="35"/>
  <c r="AT165" i="35"/>
  <c r="AS165" i="35" l="1"/>
  <c r="AR166" i="35"/>
  <c r="AO165" i="35"/>
  <c r="AN166" i="35"/>
  <c r="BA165" i="35"/>
  <c r="AZ166" i="35"/>
  <c r="AU165" i="35"/>
  <c r="AT166" i="35"/>
  <c r="BE166" i="35"/>
  <c r="BD167" i="35"/>
  <c r="AW166" i="35"/>
  <c r="AV167" i="35"/>
  <c r="AM165" i="35"/>
  <c r="AL166" i="35"/>
  <c r="AQ165" i="35"/>
  <c r="AP166" i="35"/>
  <c r="AE165" i="35"/>
  <c r="AD166" i="35"/>
  <c r="AK166" i="35"/>
  <c r="AJ167" i="35"/>
  <c r="AA165" i="35"/>
  <c r="Z166" i="35"/>
  <c r="AG166" i="35"/>
  <c r="AF167" i="35"/>
  <c r="AX166" i="35"/>
  <c r="AY165" i="35"/>
  <c r="BB166" i="35"/>
  <c r="BC165" i="35"/>
  <c r="AI165" i="35"/>
  <c r="AH166" i="35"/>
  <c r="AC166" i="35"/>
  <c r="AB167" i="35"/>
  <c r="B165" i="35" l="1"/>
  <c r="P169" i="9" s="1"/>
  <c r="AR167" i="35"/>
  <c r="AS166" i="35"/>
  <c r="BA166" i="35"/>
  <c r="AZ167" i="35"/>
  <c r="AO166" i="35"/>
  <c r="AN167" i="35"/>
  <c r="AF168" i="35"/>
  <c r="AG167" i="35"/>
  <c r="AE166" i="35"/>
  <c r="AD167" i="35"/>
  <c r="AM166" i="35"/>
  <c r="AL167" i="35"/>
  <c r="BE167" i="35"/>
  <c r="BD168" i="35"/>
  <c r="BC166" i="35"/>
  <c r="BB167" i="35"/>
  <c r="AB168" i="35"/>
  <c r="AC167" i="35"/>
  <c r="AI166" i="35"/>
  <c r="AH167" i="35"/>
  <c r="AA166" i="35"/>
  <c r="Z167" i="35"/>
  <c r="AK167" i="35"/>
  <c r="AJ168" i="35"/>
  <c r="AQ166" i="35"/>
  <c r="AP167" i="35"/>
  <c r="AW167" i="35"/>
  <c r="AV168" i="35"/>
  <c r="AU166" i="35"/>
  <c r="AT167" i="35"/>
  <c r="AY166" i="35"/>
  <c r="AX167" i="35"/>
  <c r="B166" i="35" l="1"/>
  <c r="P170" i="9" s="1"/>
  <c r="AS167" i="35"/>
  <c r="AR168" i="35"/>
  <c r="AO167" i="35"/>
  <c r="AN168" i="35"/>
  <c r="BA167" i="35"/>
  <c r="AZ168" i="35"/>
  <c r="AT168" i="35"/>
  <c r="AU167" i="35"/>
  <c r="BC167" i="35"/>
  <c r="BB168" i="35"/>
  <c r="AM167" i="35"/>
  <c r="AL168" i="35"/>
  <c r="AY167" i="35"/>
  <c r="AX168" i="35"/>
  <c r="AA167" i="35"/>
  <c r="Z168" i="35"/>
  <c r="AW168" i="35"/>
  <c r="AV169" i="35"/>
  <c r="AK168" i="35"/>
  <c r="AJ169" i="35"/>
  <c r="AI167" i="35"/>
  <c r="AH168" i="35"/>
  <c r="BE168" i="35"/>
  <c r="BD169" i="35"/>
  <c r="AE167" i="35"/>
  <c r="AD168" i="35"/>
  <c r="AQ167" i="35"/>
  <c r="AP168" i="35"/>
  <c r="AC168" i="35"/>
  <c r="AB169" i="35"/>
  <c r="AG168" i="35"/>
  <c r="AF169" i="35"/>
  <c r="B167" i="35" l="1"/>
  <c r="P171" i="9" s="1"/>
  <c r="AR169" i="35"/>
  <c r="AS168" i="35"/>
  <c r="BA168" i="35"/>
  <c r="AZ169" i="35"/>
  <c r="AO168" i="35"/>
  <c r="AN169" i="35"/>
  <c r="AG169" i="35"/>
  <c r="AF170" i="35"/>
  <c r="AE168" i="35"/>
  <c r="AD169" i="35"/>
  <c r="AI168" i="35"/>
  <c r="AH169" i="35"/>
  <c r="AW169" i="35"/>
  <c r="AV170" i="35"/>
  <c r="AY168" i="35"/>
  <c r="AX169" i="35"/>
  <c r="AM168" i="35"/>
  <c r="AL169" i="35"/>
  <c r="AC169" i="35"/>
  <c r="AB170" i="35"/>
  <c r="BE169" i="35"/>
  <c r="BD170" i="35"/>
  <c r="AJ170" i="35"/>
  <c r="AK169" i="35"/>
  <c r="AA168" i="35"/>
  <c r="Z169" i="35"/>
  <c r="BC168" i="35"/>
  <c r="BB169" i="35"/>
  <c r="AQ168" i="35"/>
  <c r="AP169" i="35"/>
  <c r="AU168" i="35"/>
  <c r="AT169" i="35"/>
  <c r="B168" i="35" l="1"/>
  <c r="P172" i="9" s="1"/>
  <c r="AR170" i="35"/>
  <c r="AS169" i="35"/>
  <c r="AN170" i="35"/>
  <c r="AO169" i="35"/>
  <c r="AZ170" i="35"/>
  <c r="BA169" i="35"/>
  <c r="AU169" i="35"/>
  <c r="AT170" i="35"/>
  <c r="BE170" i="35"/>
  <c r="BD171" i="35"/>
  <c r="AY169" i="35"/>
  <c r="AX170" i="35"/>
  <c r="AI169" i="35"/>
  <c r="AH170" i="35"/>
  <c r="AG170" i="35"/>
  <c r="AF171" i="35"/>
  <c r="AQ169" i="35"/>
  <c r="AP170" i="35"/>
  <c r="AC170" i="35"/>
  <c r="AB171" i="35"/>
  <c r="AM169" i="35"/>
  <c r="AL170" i="35"/>
  <c r="AW170" i="35"/>
  <c r="AV171" i="35"/>
  <c r="AD170" i="35"/>
  <c r="AE169" i="35"/>
  <c r="Z170" i="35"/>
  <c r="AA169" i="35"/>
  <c r="BC169" i="35"/>
  <c r="BB170" i="35"/>
  <c r="AK170" i="35"/>
  <c r="AJ171" i="35"/>
  <c r="B169" i="35" l="1"/>
  <c r="P173" i="9" s="1"/>
  <c r="AS170" i="35"/>
  <c r="AR171" i="35"/>
  <c r="BA170" i="35"/>
  <c r="AZ171" i="35"/>
  <c r="AO170" i="35"/>
  <c r="AN171" i="35"/>
  <c r="AI170" i="35"/>
  <c r="AH171" i="35"/>
  <c r="BE171" i="35"/>
  <c r="BD172" i="35"/>
  <c r="AA170" i="35"/>
  <c r="Z171" i="35"/>
  <c r="AE170" i="35"/>
  <c r="AD171" i="35"/>
  <c r="BC170" i="35"/>
  <c r="BB171" i="35"/>
  <c r="AW171" i="35"/>
  <c r="AV172" i="35"/>
  <c r="AC171" i="35"/>
  <c r="AB172" i="35"/>
  <c r="AQ170" i="35"/>
  <c r="AP171" i="35"/>
  <c r="AG171" i="35"/>
  <c r="AF172" i="35"/>
  <c r="AY170" i="35"/>
  <c r="AX171" i="35"/>
  <c r="AU170" i="35"/>
  <c r="AT171" i="35"/>
  <c r="AJ172" i="35"/>
  <c r="AK171" i="35"/>
  <c r="AM170" i="35"/>
  <c r="AL171" i="35"/>
  <c r="B170" i="35" l="1"/>
  <c r="P174" i="9" s="1"/>
  <c r="AS171" i="35"/>
  <c r="AR172" i="35"/>
  <c r="AN172" i="35"/>
  <c r="AO171" i="35"/>
  <c r="BA171" i="35"/>
  <c r="AZ172" i="35"/>
  <c r="AQ171" i="35"/>
  <c r="AP172" i="35"/>
  <c r="AW172" i="35"/>
  <c r="AV173" i="35"/>
  <c r="AE171" i="35"/>
  <c r="AD172" i="35"/>
  <c r="BE172" i="35"/>
  <c r="BD173" i="35"/>
  <c r="AK172" i="35"/>
  <c r="AJ173" i="35"/>
  <c r="AM171" i="35"/>
  <c r="AL172" i="35"/>
  <c r="AT172" i="35"/>
  <c r="AU171" i="35"/>
  <c r="AG172" i="35"/>
  <c r="AF173" i="35"/>
  <c r="AC172" i="35"/>
  <c r="AB173" i="35"/>
  <c r="BB172" i="35"/>
  <c r="BC171" i="35"/>
  <c r="AA171" i="35"/>
  <c r="B171" i="35" s="1"/>
  <c r="P175" i="9" s="1"/>
  <c r="Z172" i="35"/>
  <c r="AI171" i="35"/>
  <c r="AH172" i="35"/>
  <c r="AY171" i="35"/>
  <c r="AX172" i="35"/>
  <c r="AS172" i="35" l="1"/>
  <c r="AR173" i="35"/>
  <c r="BA172" i="35"/>
  <c r="AZ173" i="35"/>
  <c r="AO172" i="35"/>
  <c r="AN173" i="35"/>
  <c r="BC172" i="35"/>
  <c r="BB173" i="35"/>
  <c r="AY172" i="35"/>
  <c r="AX173" i="35"/>
  <c r="AI172" i="35"/>
  <c r="AH173" i="35"/>
  <c r="AG173" i="35"/>
  <c r="AF174" i="35"/>
  <c r="AM172" i="35"/>
  <c r="AL173" i="35"/>
  <c r="AJ174" i="35"/>
  <c r="AK173" i="35"/>
  <c r="BE173" i="35"/>
  <c r="BD174" i="35"/>
  <c r="AW173" i="35"/>
  <c r="AV174" i="35"/>
  <c r="AC173" i="35"/>
  <c r="AB174" i="35"/>
  <c r="AE172" i="35"/>
  <c r="AD173" i="35"/>
  <c r="AQ172" i="35"/>
  <c r="AP173" i="35"/>
  <c r="AA172" i="35"/>
  <c r="Z173" i="35"/>
  <c r="AU172" i="35"/>
  <c r="AT173" i="35"/>
  <c r="B172" i="35" l="1"/>
  <c r="P176" i="9" s="1"/>
  <c r="AS173" i="35"/>
  <c r="AR174" i="35"/>
  <c r="AO173" i="35"/>
  <c r="AN174" i="35"/>
  <c r="BA173" i="35"/>
  <c r="AZ174" i="35"/>
  <c r="AW174" i="35"/>
  <c r="AV175" i="35"/>
  <c r="AG174" i="35"/>
  <c r="AF175" i="35"/>
  <c r="AX174" i="35"/>
  <c r="AY173" i="35"/>
  <c r="AE173" i="35"/>
  <c r="AD174" i="35"/>
  <c r="BE174" i="35"/>
  <c r="BD175" i="35"/>
  <c r="AM173" i="35"/>
  <c r="AL174" i="35"/>
  <c r="AI173" i="35"/>
  <c r="AH174" i="35"/>
  <c r="BB174" i="35"/>
  <c r="BC173" i="35"/>
  <c r="AU173" i="35"/>
  <c r="AT174" i="35"/>
  <c r="AQ173" i="35"/>
  <c r="AP174" i="35"/>
  <c r="AC174" i="35"/>
  <c r="AB175" i="35"/>
  <c r="AK174" i="35"/>
  <c r="AJ175" i="35"/>
  <c r="AA173" i="35"/>
  <c r="Z174" i="35"/>
  <c r="B173" i="35" l="1"/>
  <c r="P177" i="9" s="1"/>
  <c r="AS174" i="35"/>
  <c r="AR175" i="35"/>
  <c r="BA174" i="35"/>
  <c r="AZ175" i="35"/>
  <c r="AO174" i="35"/>
  <c r="AN175" i="35"/>
  <c r="AA174" i="35"/>
  <c r="Z175" i="35"/>
  <c r="AB176" i="35"/>
  <c r="AC175" i="35"/>
  <c r="AI174" i="35"/>
  <c r="AH175" i="35"/>
  <c r="AE174" i="35"/>
  <c r="AD175" i="35"/>
  <c r="AK175" i="35"/>
  <c r="AJ176" i="35"/>
  <c r="AQ174" i="35"/>
  <c r="AP175" i="35"/>
  <c r="AM174" i="35"/>
  <c r="AL175" i="35"/>
  <c r="AF176" i="35"/>
  <c r="AG175" i="35"/>
  <c r="BC174" i="35"/>
  <c r="BB175" i="35"/>
  <c r="AU174" i="35"/>
  <c r="AT175" i="35"/>
  <c r="BE175" i="35"/>
  <c r="BD176" i="35"/>
  <c r="AW175" i="35"/>
  <c r="AV176" i="35"/>
  <c r="AY174" i="35"/>
  <c r="AX175" i="35"/>
  <c r="B174" i="35" l="1"/>
  <c r="P178" i="9" s="1"/>
  <c r="AS175" i="35"/>
  <c r="AR176" i="35"/>
  <c r="AO175" i="35"/>
  <c r="AN176" i="35"/>
  <c r="BA175" i="35"/>
  <c r="AZ176" i="35"/>
  <c r="AW176" i="35"/>
  <c r="AV177" i="35"/>
  <c r="AI175" i="35"/>
  <c r="AH176" i="35"/>
  <c r="AY175" i="35"/>
  <c r="AX176" i="35"/>
  <c r="BE176" i="35"/>
  <c r="BD177" i="35"/>
  <c r="BC175" i="35"/>
  <c r="BB176" i="35"/>
  <c r="AM175" i="35"/>
  <c r="AL176" i="35"/>
  <c r="AK176" i="35"/>
  <c r="AJ177" i="35"/>
  <c r="AE175" i="35"/>
  <c r="AD176" i="35"/>
  <c r="AC176" i="35"/>
  <c r="AB177" i="35"/>
  <c r="AT176" i="35"/>
  <c r="AU175" i="35"/>
  <c r="AQ175" i="35"/>
  <c r="AP176" i="35"/>
  <c r="AA175" i="35"/>
  <c r="Z176" i="35"/>
  <c r="AG176" i="35"/>
  <c r="AF177" i="35"/>
  <c r="B175" i="35" l="1"/>
  <c r="P179" i="9" s="1"/>
  <c r="AR177" i="35"/>
  <c r="AS176" i="35"/>
  <c r="BA176" i="35"/>
  <c r="AZ177" i="35"/>
  <c r="AO176" i="35"/>
  <c r="AN177" i="35"/>
  <c r="AM176" i="35"/>
  <c r="AL177" i="35"/>
  <c r="AG177" i="35"/>
  <c r="AF178" i="35"/>
  <c r="AC177" i="35"/>
  <c r="AB178" i="35"/>
  <c r="BE177" i="35"/>
  <c r="BD178" i="35"/>
  <c r="AI176" i="35"/>
  <c r="AH177" i="35"/>
  <c r="AA176" i="35"/>
  <c r="Z177" i="35"/>
  <c r="AE176" i="35"/>
  <c r="AD177" i="35"/>
  <c r="BC176" i="35"/>
  <c r="BB177" i="35"/>
  <c r="AY176" i="35"/>
  <c r="AX177" i="35"/>
  <c r="AW177" i="35"/>
  <c r="AV178" i="35"/>
  <c r="AQ176" i="35"/>
  <c r="AP177" i="35"/>
  <c r="AJ178" i="35"/>
  <c r="AK177" i="35"/>
  <c r="AU176" i="35"/>
  <c r="AT177" i="35"/>
  <c r="B176" i="35" l="1"/>
  <c r="P180" i="9" s="1"/>
  <c r="AR178" i="35"/>
  <c r="AS177" i="35"/>
  <c r="AO177" i="35"/>
  <c r="AN178" i="35"/>
  <c r="AZ178" i="35"/>
  <c r="BA177" i="35"/>
  <c r="AD178" i="35"/>
  <c r="AE177" i="35"/>
  <c r="AI177" i="35"/>
  <c r="AH178" i="35"/>
  <c r="AG178" i="35"/>
  <c r="AF179" i="35"/>
  <c r="AQ177" i="35"/>
  <c r="AP178" i="35"/>
  <c r="AU177" i="35"/>
  <c r="AT178" i="35"/>
  <c r="AW178" i="35"/>
  <c r="AV179" i="35"/>
  <c r="BC177" i="35"/>
  <c r="BB178" i="35"/>
  <c r="Z178" i="35"/>
  <c r="AA177" i="35"/>
  <c r="BE178" i="35"/>
  <c r="BD179" i="35"/>
  <c r="AC178" i="35"/>
  <c r="AB179" i="35"/>
  <c r="AM177" i="35"/>
  <c r="AL178" i="35"/>
  <c r="AY177" i="35"/>
  <c r="AX178" i="35"/>
  <c r="AK178" i="35"/>
  <c r="AJ179" i="35"/>
  <c r="B177" i="35" l="1"/>
  <c r="P181" i="9" s="1"/>
  <c r="AS178" i="35"/>
  <c r="AR179" i="35"/>
  <c r="BA178" i="35"/>
  <c r="AZ179" i="35"/>
  <c r="AO178" i="35"/>
  <c r="AN179" i="35"/>
  <c r="AC179" i="35"/>
  <c r="AB180" i="35"/>
  <c r="AW179" i="35"/>
  <c r="AV180" i="35"/>
  <c r="AQ178" i="35"/>
  <c r="AP179" i="35"/>
  <c r="AG179" i="35"/>
  <c r="AF180" i="35"/>
  <c r="AJ180" i="35"/>
  <c r="AK179" i="35"/>
  <c r="AE178" i="35"/>
  <c r="AD179" i="35"/>
  <c r="AM178" i="35"/>
  <c r="AL179" i="35"/>
  <c r="BC178" i="35"/>
  <c r="BB179" i="35"/>
  <c r="AU178" i="35"/>
  <c r="AT179" i="35"/>
  <c r="AI178" i="35"/>
  <c r="AH179" i="35"/>
  <c r="AA178" i="35"/>
  <c r="B178" i="35" s="1"/>
  <c r="P182" i="9" s="1"/>
  <c r="Z179" i="35"/>
  <c r="AY178" i="35"/>
  <c r="AX179" i="35"/>
  <c r="BE179" i="35"/>
  <c r="BD180" i="35"/>
  <c r="AS179" i="35" l="1"/>
  <c r="AR180" i="35"/>
  <c r="AN180" i="35"/>
  <c r="AO179" i="35"/>
  <c r="BA179" i="35"/>
  <c r="AZ180" i="35"/>
  <c r="BE180" i="35"/>
  <c r="BD181" i="35"/>
  <c r="BB180" i="35"/>
  <c r="BC179" i="35"/>
  <c r="AW180" i="35"/>
  <c r="AV181" i="35"/>
  <c r="AG180" i="35"/>
  <c r="AF181" i="35"/>
  <c r="AI179" i="35"/>
  <c r="AH180" i="35"/>
  <c r="AT180" i="35"/>
  <c r="AU179" i="35"/>
  <c r="AM179" i="35"/>
  <c r="AL180" i="35"/>
  <c r="AQ179" i="35"/>
  <c r="AP180" i="35"/>
  <c r="AC180" i="35"/>
  <c r="AB181" i="35"/>
  <c r="AA179" i="35"/>
  <c r="B179" i="35" s="1"/>
  <c r="P183" i="9" s="1"/>
  <c r="Z180" i="35"/>
  <c r="AE179" i="35"/>
  <c r="AD180" i="35"/>
  <c r="AY179" i="35"/>
  <c r="AX180" i="35"/>
  <c r="AK180" i="35"/>
  <c r="AJ181" i="35"/>
  <c r="AS180" i="35" l="1"/>
  <c r="AR181" i="35"/>
  <c r="BA180" i="35"/>
  <c r="AZ181" i="35"/>
  <c r="AO180" i="35"/>
  <c r="AN181" i="35"/>
  <c r="AJ182" i="35"/>
  <c r="AK181" i="35"/>
  <c r="AE180" i="35"/>
  <c r="AD181" i="35"/>
  <c r="AC181" i="35"/>
  <c r="AB182" i="35"/>
  <c r="AM180" i="35"/>
  <c r="AL181" i="35"/>
  <c r="AI180" i="35"/>
  <c r="AH181" i="35"/>
  <c r="AG181" i="35"/>
  <c r="AF182" i="35"/>
  <c r="AW181" i="35"/>
  <c r="AV182" i="35"/>
  <c r="AY180" i="35"/>
  <c r="AX181" i="35"/>
  <c r="AA180" i="35"/>
  <c r="Z181" i="35"/>
  <c r="AQ180" i="35"/>
  <c r="AP181" i="35"/>
  <c r="BE181" i="35"/>
  <c r="BD182" i="35"/>
  <c r="AU180" i="35"/>
  <c r="AT181" i="35"/>
  <c r="BC180" i="35"/>
  <c r="BB181" i="35"/>
  <c r="B180" i="35" l="1"/>
  <c r="P184" i="9" s="1"/>
  <c r="AS181" i="35"/>
  <c r="AR182" i="35"/>
  <c r="AO181" i="35"/>
  <c r="AN182" i="35"/>
  <c r="BA181" i="35"/>
  <c r="AZ182" i="35"/>
  <c r="BE182" i="35"/>
  <c r="BD183" i="35"/>
  <c r="AG182" i="35"/>
  <c r="AF183" i="35"/>
  <c r="AM181" i="35"/>
  <c r="AL182" i="35"/>
  <c r="AE181" i="35"/>
  <c r="AD182" i="35"/>
  <c r="BB182" i="35"/>
  <c r="BC181" i="35"/>
  <c r="AQ181" i="35"/>
  <c r="AP182" i="35"/>
  <c r="AX182" i="35"/>
  <c r="AY181" i="35"/>
  <c r="AW182" i="35"/>
  <c r="AV183" i="35"/>
  <c r="AI181" i="35"/>
  <c r="AH182" i="35"/>
  <c r="AC182" i="35"/>
  <c r="AB183" i="35"/>
  <c r="AA181" i="35"/>
  <c r="Z182" i="35"/>
  <c r="AU181" i="35"/>
  <c r="AT182" i="35"/>
  <c r="AK182" i="35"/>
  <c r="AJ183" i="35"/>
  <c r="B181" i="35" l="1"/>
  <c r="P185" i="9" s="1"/>
  <c r="AR183" i="35"/>
  <c r="AS182" i="35"/>
  <c r="BA182" i="35"/>
  <c r="AZ183" i="35"/>
  <c r="AO182" i="35"/>
  <c r="AN183" i="35"/>
  <c r="AA182" i="35"/>
  <c r="Z183" i="35"/>
  <c r="AI182" i="35"/>
  <c r="AH183" i="35"/>
  <c r="AM182" i="35"/>
  <c r="AL183" i="35"/>
  <c r="AW183" i="35"/>
  <c r="AV184" i="35"/>
  <c r="AE182" i="35"/>
  <c r="AD183" i="35"/>
  <c r="AF184" i="35"/>
  <c r="AG183" i="35"/>
  <c r="BE183" i="35"/>
  <c r="BD184" i="35"/>
  <c r="AK183" i="35"/>
  <c r="AJ184" i="35"/>
  <c r="AY182" i="35"/>
  <c r="AX183" i="35"/>
  <c r="BC182" i="35"/>
  <c r="BB183" i="35"/>
  <c r="AU182" i="35"/>
  <c r="AT183" i="35"/>
  <c r="AB184" i="35"/>
  <c r="AC183" i="35"/>
  <c r="AQ182" i="35"/>
  <c r="AP183" i="35"/>
  <c r="B182" i="35" l="1"/>
  <c r="P186" i="9" s="1"/>
  <c r="AS183" i="35"/>
  <c r="AR184" i="35"/>
  <c r="AN184" i="35"/>
  <c r="AO183" i="35"/>
  <c r="BA183" i="35"/>
  <c r="AZ184" i="35"/>
  <c r="AK184" i="35"/>
  <c r="AJ185" i="35"/>
  <c r="AC184" i="35"/>
  <c r="AB185" i="35"/>
  <c r="AQ183" i="35"/>
  <c r="AP184" i="35"/>
  <c r="AY183" i="35"/>
  <c r="AX184" i="35"/>
  <c r="AE183" i="35"/>
  <c r="AD184" i="35"/>
  <c r="AW184" i="35"/>
  <c r="AV185" i="35"/>
  <c r="AM183" i="35"/>
  <c r="AL184" i="35"/>
  <c r="AI183" i="35"/>
  <c r="AH184" i="35"/>
  <c r="BC183" i="35"/>
  <c r="BB184" i="35"/>
  <c r="AA183" i="35"/>
  <c r="Z184" i="35"/>
  <c r="AT184" i="35"/>
  <c r="AU183" i="35"/>
  <c r="BE184" i="35"/>
  <c r="BD185" i="35"/>
  <c r="AG184" i="35"/>
  <c r="AF185" i="35"/>
  <c r="B183" i="35" l="1"/>
  <c r="P187" i="9" s="1"/>
  <c r="AR185" i="35"/>
  <c r="AS184" i="35"/>
  <c r="BA184" i="35"/>
  <c r="AZ185" i="35"/>
  <c r="AN185" i="35"/>
  <c r="AO184" i="35"/>
  <c r="AG185" i="35"/>
  <c r="AF186" i="35"/>
  <c r="AM184" i="35"/>
  <c r="AL185" i="35"/>
  <c r="BE185" i="35"/>
  <c r="BD186" i="35"/>
  <c r="BC184" i="35"/>
  <c r="BB185" i="35"/>
  <c r="AI184" i="35"/>
  <c r="AH185" i="35"/>
  <c r="AW185" i="35"/>
  <c r="AV186" i="35"/>
  <c r="AY184" i="35"/>
  <c r="AX185" i="35"/>
  <c r="AC185" i="35"/>
  <c r="AB186" i="35"/>
  <c r="AJ186" i="35"/>
  <c r="AK185" i="35"/>
  <c r="AA184" i="35"/>
  <c r="Z185" i="35"/>
  <c r="AE184" i="35"/>
  <c r="AD185" i="35"/>
  <c r="AQ184" i="35"/>
  <c r="AP185" i="35"/>
  <c r="AU184" i="35"/>
  <c r="AT185" i="35"/>
  <c r="B184" i="35" l="1"/>
  <c r="P188" i="9" s="1"/>
  <c r="AR186" i="35"/>
  <c r="AS185" i="35"/>
  <c r="AZ186" i="35"/>
  <c r="BA185" i="35"/>
  <c r="AO185" i="35"/>
  <c r="AN186" i="35"/>
  <c r="AD186" i="35"/>
  <c r="AE185" i="35"/>
  <c r="AI185" i="35"/>
  <c r="AH186" i="35"/>
  <c r="AK186" i="35"/>
  <c r="AJ187" i="35"/>
  <c r="BC185" i="35"/>
  <c r="BB186" i="35"/>
  <c r="Z186" i="35"/>
  <c r="AA185" i="35"/>
  <c r="AC186" i="35"/>
  <c r="AB187" i="35"/>
  <c r="AW186" i="35"/>
  <c r="AV187" i="35"/>
  <c r="BE186" i="35"/>
  <c r="BD187" i="35"/>
  <c r="AG186" i="35"/>
  <c r="AF187" i="35"/>
  <c r="AY185" i="35"/>
  <c r="AX186" i="35"/>
  <c r="AM185" i="35"/>
  <c r="AL186" i="35"/>
  <c r="AU185" i="35"/>
  <c r="AT186" i="35"/>
  <c r="AQ185" i="35"/>
  <c r="AP186" i="35"/>
  <c r="B185" i="35" l="1"/>
  <c r="P189" i="9" s="1"/>
  <c r="AS186" i="35"/>
  <c r="AR187" i="35"/>
  <c r="AO186" i="35"/>
  <c r="AN187" i="35"/>
  <c r="AZ187" i="35"/>
  <c r="BA186" i="35"/>
  <c r="AY186" i="35"/>
  <c r="AX187" i="35"/>
  <c r="AG187" i="35"/>
  <c r="AF188" i="35"/>
  <c r="AW187" i="35"/>
  <c r="AV188" i="35"/>
  <c r="AJ188" i="35"/>
  <c r="AK187" i="35"/>
  <c r="AU186" i="35"/>
  <c r="AT187" i="35"/>
  <c r="AM186" i="35"/>
  <c r="AL187" i="35"/>
  <c r="BE187" i="35"/>
  <c r="BD188" i="35"/>
  <c r="AC187" i="35"/>
  <c r="AB188" i="35"/>
  <c r="BC186" i="35"/>
  <c r="BB187" i="35"/>
  <c r="AI186" i="35"/>
  <c r="AH187" i="35"/>
  <c r="AA186" i="35"/>
  <c r="Z187" i="35"/>
  <c r="AE186" i="35"/>
  <c r="AD187" i="35"/>
  <c r="AQ186" i="35"/>
  <c r="AP187" i="35"/>
  <c r="B186" i="35" l="1"/>
  <c r="P190" i="9" s="1"/>
  <c r="AS187" i="35"/>
  <c r="AR188" i="35"/>
  <c r="AN188" i="35"/>
  <c r="AO187" i="35"/>
  <c r="BA187" i="35"/>
  <c r="AZ188" i="35"/>
  <c r="BB188" i="35"/>
  <c r="BC187" i="35"/>
  <c r="BE188" i="35"/>
  <c r="BD189" i="35"/>
  <c r="AT188" i="35"/>
  <c r="AU187" i="35"/>
  <c r="AW188" i="35"/>
  <c r="AV189" i="35"/>
  <c r="AY187" i="35"/>
  <c r="AX188" i="35"/>
  <c r="AE187" i="35"/>
  <c r="AD188" i="35"/>
  <c r="AQ187" i="35"/>
  <c r="AP188" i="35"/>
  <c r="AA187" i="35"/>
  <c r="Z188" i="35"/>
  <c r="AI187" i="35"/>
  <c r="AH188" i="35"/>
  <c r="AC188" i="35"/>
  <c r="AB189" i="35"/>
  <c r="AM187" i="35"/>
  <c r="AL188" i="35"/>
  <c r="AG188" i="35"/>
  <c r="AF189" i="35"/>
  <c r="AK188" i="35"/>
  <c r="AJ189" i="35"/>
  <c r="B187" i="35" l="1"/>
  <c r="P191" i="9" s="1"/>
  <c r="AS188" i="35"/>
  <c r="AR189" i="35"/>
  <c r="BA188" i="35"/>
  <c r="AZ189" i="35"/>
  <c r="AO188" i="35"/>
  <c r="AN189" i="35"/>
  <c r="AJ190" i="35"/>
  <c r="AK189" i="35"/>
  <c r="AA188" i="35"/>
  <c r="Z189" i="35"/>
  <c r="AE188" i="35"/>
  <c r="AD189" i="35"/>
  <c r="BE189" i="35"/>
  <c r="BD190" i="35"/>
  <c r="AG189" i="35"/>
  <c r="AF190" i="35"/>
  <c r="AW189" i="35"/>
  <c r="AV190" i="35"/>
  <c r="AM188" i="35"/>
  <c r="AL189" i="35"/>
  <c r="AI188" i="35"/>
  <c r="AH189" i="35"/>
  <c r="AQ188" i="35"/>
  <c r="AP189" i="35"/>
  <c r="AY188" i="35"/>
  <c r="AX189" i="35"/>
  <c r="AC189" i="35"/>
  <c r="AB190" i="35"/>
  <c r="AU188" i="35"/>
  <c r="AT189" i="35"/>
  <c r="BC188" i="35"/>
  <c r="BB189" i="35"/>
  <c r="B188" i="35" l="1"/>
  <c r="P192" i="9" s="1"/>
  <c r="AS189" i="35"/>
  <c r="AR190" i="35"/>
  <c r="AO189" i="35"/>
  <c r="AN190" i="35"/>
  <c r="BA189" i="35"/>
  <c r="AZ190" i="35"/>
  <c r="AM189" i="35"/>
  <c r="AL190" i="35"/>
  <c r="AG190" i="35"/>
  <c r="AF191" i="35"/>
  <c r="BE190" i="35"/>
  <c r="BD191" i="35"/>
  <c r="AA189" i="35"/>
  <c r="Z190" i="35"/>
  <c r="BB190" i="35"/>
  <c r="BC189" i="35"/>
  <c r="AQ189" i="35"/>
  <c r="AP190" i="35"/>
  <c r="AU189" i="35"/>
  <c r="AT190" i="35"/>
  <c r="AC190" i="35"/>
  <c r="AB191" i="35"/>
  <c r="AX190" i="35"/>
  <c r="AY189" i="35"/>
  <c r="AI189" i="35"/>
  <c r="AH190" i="35"/>
  <c r="AW190" i="35"/>
  <c r="AV191" i="35"/>
  <c r="AE189" i="35"/>
  <c r="AD190" i="35"/>
  <c r="AK190" i="35"/>
  <c r="AJ191" i="35"/>
  <c r="B189" i="35" l="1"/>
  <c r="P193" i="9" s="1"/>
  <c r="AS190" i="35"/>
  <c r="AR191" i="35"/>
  <c r="BA190" i="35"/>
  <c r="AZ191" i="35"/>
  <c r="AO190" i="35"/>
  <c r="AN191" i="35"/>
  <c r="AK191" i="35"/>
  <c r="AJ192" i="35"/>
  <c r="AE190" i="35"/>
  <c r="AD191" i="35"/>
  <c r="AW191" i="35"/>
  <c r="AV192" i="35"/>
  <c r="AU190" i="35"/>
  <c r="AT191" i="35"/>
  <c r="BE191" i="35"/>
  <c r="BD192" i="35"/>
  <c r="AM190" i="35"/>
  <c r="AL191" i="35"/>
  <c r="AI190" i="35"/>
  <c r="AH191" i="35"/>
  <c r="AB192" i="35"/>
  <c r="AC191" i="35"/>
  <c r="AQ190" i="35"/>
  <c r="AP191" i="35"/>
  <c r="AA190" i="35"/>
  <c r="Z191" i="35"/>
  <c r="AF192" i="35"/>
  <c r="AG191" i="35"/>
  <c r="AY190" i="35"/>
  <c r="AX191" i="35"/>
  <c r="BC190" i="35"/>
  <c r="BB191" i="35"/>
  <c r="B190" i="35" l="1"/>
  <c r="P194" i="9" s="1"/>
  <c r="AS191" i="35"/>
  <c r="AR192" i="35"/>
  <c r="AO191" i="35"/>
  <c r="AN192" i="35"/>
  <c r="BA191" i="35"/>
  <c r="AZ192" i="35"/>
  <c r="AQ191" i="35"/>
  <c r="AP192" i="35"/>
  <c r="AI191" i="35"/>
  <c r="AH192" i="35"/>
  <c r="AM191" i="35"/>
  <c r="AL192" i="35"/>
  <c r="AT192" i="35"/>
  <c r="AU191" i="35"/>
  <c r="AE191" i="35"/>
  <c r="AD192" i="35"/>
  <c r="AG192" i="35"/>
  <c r="AF193" i="35"/>
  <c r="AY191" i="35"/>
  <c r="AX192" i="35"/>
  <c r="BC191" i="35"/>
  <c r="BB192" i="35"/>
  <c r="AA191" i="35"/>
  <c r="B191" i="35" s="1"/>
  <c r="P195" i="9" s="1"/>
  <c r="Z192" i="35"/>
  <c r="BE192" i="35"/>
  <c r="BD193" i="35"/>
  <c r="AW192" i="35"/>
  <c r="AV193" i="35"/>
  <c r="AK192" i="35"/>
  <c r="AJ193" i="35"/>
  <c r="AC192" i="35"/>
  <c r="AB193" i="35"/>
  <c r="AR193" i="35" l="1"/>
  <c r="AS192" i="35"/>
  <c r="BA192" i="35"/>
  <c r="AZ193" i="35"/>
  <c r="AO192" i="35"/>
  <c r="AN193" i="35"/>
  <c r="AW193" i="35"/>
  <c r="AV194" i="35"/>
  <c r="AY192" i="35"/>
  <c r="AX193" i="35"/>
  <c r="AE192" i="35"/>
  <c r="AD193" i="35"/>
  <c r="AM192" i="35"/>
  <c r="AL193" i="35"/>
  <c r="AQ192" i="35"/>
  <c r="AP193" i="35"/>
  <c r="AJ194" i="35"/>
  <c r="AK193" i="35"/>
  <c r="BE193" i="35"/>
  <c r="BD194" i="35"/>
  <c r="AA192" i="35"/>
  <c r="Z193" i="35"/>
  <c r="BC192" i="35"/>
  <c r="BB193" i="35"/>
  <c r="AG193" i="35"/>
  <c r="AF194" i="35"/>
  <c r="AI192" i="35"/>
  <c r="AH193" i="35"/>
  <c r="AC193" i="35"/>
  <c r="AB194" i="35"/>
  <c r="AU192" i="35"/>
  <c r="AT193" i="35"/>
  <c r="B192" i="35" l="1"/>
  <c r="P196" i="9" s="1"/>
  <c r="AR194" i="35"/>
  <c r="AS193" i="35"/>
  <c r="AO193" i="35"/>
  <c r="AN194" i="35"/>
  <c r="AZ194" i="35"/>
  <c r="BA193" i="35"/>
  <c r="AC194" i="35"/>
  <c r="AB195" i="35"/>
  <c r="AQ193" i="35"/>
  <c r="AP194" i="35"/>
  <c r="AK194" i="35"/>
  <c r="AJ195" i="35"/>
  <c r="AG194" i="35"/>
  <c r="AF195" i="35"/>
  <c r="AD194" i="35"/>
  <c r="AE193" i="35"/>
  <c r="AI193" i="35"/>
  <c r="AH194" i="35"/>
  <c r="BE194" i="35"/>
  <c r="BD195" i="35"/>
  <c r="AM193" i="35"/>
  <c r="AL194" i="35"/>
  <c r="AY193" i="35"/>
  <c r="AX194" i="35"/>
  <c r="AW194" i="35"/>
  <c r="AV195" i="35"/>
  <c r="Z194" i="35"/>
  <c r="AA193" i="35"/>
  <c r="B193" i="35" s="1"/>
  <c r="P197" i="9" s="1"/>
  <c r="AU193" i="35"/>
  <c r="AT194" i="35"/>
  <c r="BC193" i="35"/>
  <c r="BB194" i="35"/>
  <c r="AS194" i="35" l="1"/>
  <c r="AR195" i="35"/>
  <c r="BA194" i="35"/>
  <c r="AZ195" i="35"/>
  <c r="AO194" i="35"/>
  <c r="AN195" i="35"/>
  <c r="BE195" i="35"/>
  <c r="BD196" i="35"/>
  <c r="AQ194" i="35"/>
  <c r="AP195" i="35"/>
  <c r="AA194" i="35"/>
  <c r="Z195" i="35"/>
  <c r="AE194" i="35"/>
  <c r="AD195" i="35"/>
  <c r="AW195" i="35"/>
  <c r="AV196" i="35"/>
  <c r="AU194" i="35"/>
  <c r="AT195" i="35"/>
  <c r="AY194" i="35"/>
  <c r="AX195" i="35"/>
  <c r="AI194" i="35"/>
  <c r="AH195" i="35"/>
  <c r="AG195" i="35"/>
  <c r="AF196" i="35"/>
  <c r="AJ196" i="35"/>
  <c r="AK195" i="35"/>
  <c r="AC195" i="35"/>
  <c r="AB196" i="35"/>
  <c r="BC194" i="35"/>
  <c r="BB195" i="35"/>
  <c r="AM194" i="35"/>
  <c r="AL195" i="35"/>
  <c r="B194" i="35" l="1"/>
  <c r="P198" i="9" s="1"/>
  <c r="AS195" i="35"/>
  <c r="AR196" i="35"/>
  <c r="AN196" i="35"/>
  <c r="AO195" i="35"/>
  <c r="BA195" i="35"/>
  <c r="AZ196" i="35"/>
  <c r="AI195" i="35"/>
  <c r="AH196" i="35"/>
  <c r="AA195" i="35"/>
  <c r="Z196" i="35"/>
  <c r="AK196" i="35"/>
  <c r="AJ197" i="35"/>
  <c r="BB196" i="35"/>
  <c r="BC195" i="35"/>
  <c r="AW196" i="35"/>
  <c r="AV197" i="35"/>
  <c r="AM195" i="35"/>
  <c r="AL196" i="35"/>
  <c r="AG196" i="35"/>
  <c r="AF197" i="35"/>
  <c r="AT196" i="35"/>
  <c r="AU195" i="35"/>
  <c r="AE195" i="35"/>
  <c r="AD196" i="35"/>
  <c r="AQ195" i="35"/>
  <c r="AP196" i="35"/>
  <c r="BE196" i="35"/>
  <c r="BD197" i="35"/>
  <c r="AY195" i="35"/>
  <c r="AX196" i="35"/>
  <c r="AC196" i="35"/>
  <c r="AB197" i="35"/>
  <c r="B195" i="35" l="1"/>
  <c r="P199" i="9" s="1"/>
  <c r="AS196" i="35"/>
  <c r="AR197" i="35"/>
  <c r="BA196" i="35"/>
  <c r="AZ197" i="35"/>
  <c r="AO196" i="35"/>
  <c r="AN197" i="35"/>
  <c r="AC197" i="35"/>
  <c r="AB198" i="35"/>
  <c r="AG197" i="35"/>
  <c r="AF198" i="35"/>
  <c r="AU196" i="35"/>
  <c r="AT197" i="35"/>
  <c r="AQ196" i="35"/>
  <c r="AP197" i="35"/>
  <c r="AJ198" i="35"/>
  <c r="AK197" i="35"/>
  <c r="AY196" i="35"/>
  <c r="AX197" i="35"/>
  <c r="AM196" i="35"/>
  <c r="AL197" i="35"/>
  <c r="AI196" i="35"/>
  <c r="AH197" i="35"/>
  <c r="AW197" i="35"/>
  <c r="AV198" i="35"/>
  <c r="AA196" i="35"/>
  <c r="B196" i="35" s="1"/>
  <c r="P200" i="9" s="1"/>
  <c r="Z197" i="35"/>
  <c r="BE197" i="35"/>
  <c r="BD198" i="35"/>
  <c r="AE196" i="35"/>
  <c r="AD197" i="35"/>
  <c r="BC196" i="35"/>
  <c r="BB197" i="35"/>
  <c r="AS197" i="35" l="1"/>
  <c r="AR198" i="35"/>
  <c r="AO197" i="35"/>
  <c r="AN198" i="35"/>
  <c r="BA197" i="35"/>
  <c r="AZ198" i="35"/>
  <c r="BB198" i="35"/>
  <c r="BC197" i="35"/>
  <c r="AW198" i="35"/>
  <c r="AV199" i="35"/>
  <c r="AI197" i="35"/>
  <c r="AH198" i="35"/>
  <c r="AM197" i="35"/>
  <c r="AL198" i="35"/>
  <c r="AX198" i="35"/>
  <c r="AY197" i="35"/>
  <c r="AQ197" i="35"/>
  <c r="AP198" i="35"/>
  <c r="AG198" i="35"/>
  <c r="AF199" i="35"/>
  <c r="BE198" i="35"/>
  <c r="BD199" i="35"/>
  <c r="AE197" i="35"/>
  <c r="AD198" i="35"/>
  <c r="AA197" i="35"/>
  <c r="B197" i="35" s="1"/>
  <c r="P201" i="9" s="1"/>
  <c r="Z198" i="35"/>
  <c r="AU197" i="35"/>
  <c r="AT198" i="35"/>
  <c r="AC198" i="35"/>
  <c r="AB199" i="35"/>
  <c r="AK198" i="35"/>
  <c r="AJ199" i="35"/>
  <c r="AS198" i="35" l="1"/>
  <c r="AR199" i="35"/>
  <c r="BA198" i="35"/>
  <c r="AZ199" i="35"/>
  <c r="AO198" i="35"/>
  <c r="AN199" i="35"/>
  <c r="AK199" i="35"/>
  <c r="AJ200" i="35"/>
  <c r="AU198" i="35"/>
  <c r="AT199" i="35"/>
  <c r="AA198" i="35"/>
  <c r="Z199" i="35"/>
  <c r="BE199" i="35"/>
  <c r="BD200" i="35"/>
  <c r="AQ198" i="35"/>
  <c r="AP199" i="35"/>
  <c r="AM198" i="35"/>
  <c r="AL199" i="35"/>
  <c r="AW199" i="35"/>
  <c r="AV200" i="35"/>
  <c r="AE198" i="35"/>
  <c r="AD199" i="35"/>
  <c r="AF200" i="35"/>
  <c r="AG199" i="35"/>
  <c r="AI198" i="35"/>
  <c r="AH199" i="35"/>
  <c r="AB200" i="35"/>
  <c r="AC199" i="35"/>
  <c r="AY198" i="35"/>
  <c r="AX199" i="35"/>
  <c r="BC198" i="35"/>
  <c r="BB199" i="35"/>
  <c r="B198" i="35" l="1"/>
  <c r="P202" i="9" s="1"/>
  <c r="AR200" i="35"/>
  <c r="AS199" i="35"/>
  <c r="AO199" i="35"/>
  <c r="AN200" i="35"/>
  <c r="BA199" i="35"/>
  <c r="AZ200" i="35"/>
  <c r="AY199" i="35"/>
  <c r="AX200" i="35"/>
  <c r="AI199" i="35"/>
  <c r="AH200" i="35"/>
  <c r="AE199" i="35"/>
  <c r="AD200" i="35"/>
  <c r="BC199" i="35"/>
  <c r="BB200" i="35"/>
  <c r="AW200" i="35"/>
  <c r="AV201" i="35"/>
  <c r="AQ199" i="35"/>
  <c r="AP200" i="35"/>
  <c r="AA199" i="35"/>
  <c r="Z200" i="35"/>
  <c r="AT200" i="35"/>
  <c r="AU199" i="35"/>
  <c r="AC200" i="35"/>
  <c r="AB201" i="35"/>
  <c r="AG200" i="35"/>
  <c r="AF201" i="35"/>
  <c r="AM199" i="35"/>
  <c r="AL200" i="35"/>
  <c r="BE200" i="35"/>
  <c r="BD201" i="35"/>
  <c r="AK200" i="35"/>
  <c r="AJ201" i="35"/>
  <c r="B199" i="35" l="1"/>
  <c r="P203" i="9" s="1"/>
  <c r="AS200" i="35"/>
  <c r="AR201" i="35"/>
  <c r="BA200" i="35"/>
  <c r="AZ201" i="35"/>
  <c r="AO200" i="35"/>
  <c r="AN201" i="35"/>
  <c r="AM200" i="35"/>
  <c r="AL201" i="35"/>
  <c r="AJ202" i="35"/>
  <c r="AK201" i="35"/>
  <c r="BE201" i="35"/>
  <c r="BD202" i="35"/>
  <c r="AC201" i="35"/>
  <c r="AB202" i="35"/>
  <c r="AA200" i="35"/>
  <c r="Z201" i="35"/>
  <c r="AW201" i="35"/>
  <c r="AV202" i="35"/>
  <c r="BC200" i="35"/>
  <c r="BB201" i="35"/>
  <c r="AI200" i="35"/>
  <c r="AH201" i="35"/>
  <c r="AG201" i="35"/>
  <c r="AF202" i="35"/>
  <c r="AQ200" i="35"/>
  <c r="AP201" i="35"/>
  <c r="AE200" i="35"/>
  <c r="AD201" i="35"/>
  <c r="AY200" i="35"/>
  <c r="AX201" i="35"/>
  <c r="AU200" i="35"/>
  <c r="AT201" i="35"/>
  <c r="B200" i="35" l="1"/>
  <c r="P204" i="9" s="1"/>
  <c r="AR202" i="35"/>
  <c r="AS201" i="35"/>
  <c r="AO201" i="35"/>
  <c r="AN202" i="35"/>
  <c r="BA201" i="35"/>
  <c r="AZ202" i="35"/>
  <c r="AG202" i="35"/>
  <c r="AF203" i="35"/>
  <c r="AY201" i="35"/>
  <c r="AX202" i="35"/>
  <c r="AQ201" i="35"/>
  <c r="AP202" i="35"/>
  <c r="BC201" i="35"/>
  <c r="BB202" i="35"/>
  <c r="Z202" i="35"/>
  <c r="AA201" i="35"/>
  <c r="BE202" i="35"/>
  <c r="BD203" i="35"/>
  <c r="AM201" i="35"/>
  <c r="AL202" i="35"/>
  <c r="AU201" i="35"/>
  <c r="AT202" i="35"/>
  <c r="AD202" i="35"/>
  <c r="AE201" i="35"/>
  <c r="AI201" i="35"/>
  <c r="AH202" i="35"/>
  <c r="AW202" i="35"/>
  <c r="AV203" i="35"/>
  <c r="AC202" i="35"/>
  <c r="AB203" i="35"/>
  <c r="AK202" i="35"/>
  <c r="AJ203" i="35"/>
  <c r="B201" i="35" l="1"/>
  <c r="P205" i="9" s="1"/>
  <c r="AS202" i="35"/>
  <c r="AR203" i="35"/>
  <c r="BA202" i="35"/>
  <c r="AZ203" i="35"/>
  <c r="AO202" i="35"/>
  <c r="AN203" i="35"/>
  <c r="AW203" i="35"/>
  <c r="AV204" i="35"/>
  <c r="AY202" i="35"/>
  <c r="AX203" i="35"/>
  <c r="AK203" i="35"/>
  <c r="AJ204" i="35"/>
  <c r="AC203" i="35"/>
  <c r="AB204" i="35"/>
  <c r="AI202" i="35"/>
  <c r="AH203" i="35"/>
  <c r="AU202" i="35"/>
  <c r="AT203" i="35"/>
  <c r="BE203" i="35"/>
  <c r="BD204" i="35"/>
  <c r="BC202" i="35"/>
  <c r="BB203" i="35"/>
  <c r="AQ202" i="35"/>
  <c r="AP203" i="35"/>
  <c r="AM202" i="35"/>
  <c r="AL203" i="35"/>
  <c r="AG203" i="35"/>
  <c r="AF204" i="35"/>
  <c r="AE202" i="35"/>
  <c r="AD203" i="35"/>
  <c r="AA202" i="35"/>
  <c r="B202" i="35" s="1"/>
  <c r="P206" i="9" s="1"/>
  <c r="Z203" i="35"/>
  <c r="AS203" i="35" l="1"/>
  <c r="AR204" i="35"/>
  <c r="AO203" i="35"/>
  <c r="AN204" i="35"/>
  <c r="BA203" i="35"/>
  <c r="AZ204" i="35"/>
  <c r="AA203" i="35"/>
  <c r="Z204" i="35"/>
  <c r="AG204" i="35"/>
  <c r="AF205" i="35"/>
  <c r="AM203" i="35"/>
  <c r="AL204" i="35"/>
  <c r="BC203" i="35"/>
  <c r="BB204" i="35"/>
  <c r="AU203" i="35"/>
  <c r="AT204" i="35"/>
  <c r="AC204" i="35"/>
  <c r="AB205" i="35"/>
  <c r="AY203" i="35"/>
  <c r="AX204" i="35"/>
  <c r="AE203" i="35"/>
  <c r="AD204" i="35"/>
  <c r="AQ203" i="35"/>
  <c r="AP204" i="35"/>
  <c r="BE204" i="35"/>
  <c r="BD205" i="35"/>
  <c r="AI203" i="35"/>
  <c r="AH204" i="35"/>
  <c r="AK204" i="35"/>
  <c r="AJ205" i="35"/>
  <c r="AW204" i="35"/>
  <c r="AV205" i="35"/>
  <c r="B203" i="35" l="1"/>
  <c r="P207" i="9" s="1"/>
  <c r="AS204" i="35"/>
  <c r="AR205" i="35"/>
  <c r="BA204" i="35"/>
  <c r="AZ205" i="35"/>
  <c r="AO204" i="35"/>
  <c r="AN205" i="35"/>
  <c r="AK205" i="35"/>
  <c r="AJ206" i="35"/>
  <c r="BE205" i="35"/>
  <c r="BD206" i="35"/>
  <c r="AY204" i="35"/>
  <c r="AX205" i="35"/>
  <c r="AW205" i="35"/>
  <c r="AV206" i="35"/>
  <c r="AH205" i="35"/>
  <c r="AI204" i="35"/>
  <c r="AQ204" i="35"/>
  <c r="AP205" i="35"/>
  <c r="AD205" i="35"/>
  <c r="AE204" i="35"/>
  <c r="AC205" i="35"/>
  <c r="AB206" i="35"/>
  <c r="BC204" i="35"/>
  <c r="BB205" i="35"/>
  <c r="AM204" i="35"/>
  <c r="AL205" i="35"/>
  <c r="AA204" i="35"/>
  <c r="Z205" i="35"/>
  <c r="AU204" i="35"/>
  <c r="AT205" i="35"/>
  <c r="AG205" i="35"/>
  <c r="AF206" i="35"/>
  <c r="B204" i="35" l="1"/>
  <c r="P208" i="9" s="1"/>
  <c r="AS205" i="35"/>
  <c r="AR206" i="35"/>
  <c r="AO205" i="35"/>
  <c r="AN206" i="35"/>
  <c r="BA205" i="35"/>
  <c r="AZ206" i="35"/>
  <c r="AG206" i="35"/>
  <c r="AF207" i="35"/>
  <c r="AA205" i="35"/>
  <c r="Z206" i="35"/>
  <c r="AY205" i="35"/>
  <c r="AX206" i="35"/>
  <c r="AM205" i="35"/>
  <c r="AL206" i="35"/>
  <c r="AC206" i="35"/>
  <c r="AB207" i="35"/>
  <c r="AQ205" i="35"/>
  <c r="AP206" i="35"/>
  <c r="AW206" i="35"/>
  <c r="AV207" i="35"/>
  <c r="BE206" i="35"/>
  <c r="BD207" i="35"/>
  <c r="AU205" i="35"/>
  <c r="AT206" i="35"/>
  <c r="BC205" i="35"/>
  <c r="BB206" i="35"/>
  <c r="AK206" i="35"/>
  <c r="AJ207" i="35"/>
  <c r="AE205" i="35"/>
  <c r="AD206" i="35"/>
  <c r="AI205" i="35"/>
  <c r="AH206" i="35"/>
  <c r="B205" i="35" l="1"/>
  <c r="P209" i="9" s="1"/>
  <c r="AS206" i="35"/>
  <c r="AR207" i="35"/>
  <c r="BA206" i="35"/>
  <c r="AZ207" i="35"/>
  <c r="AO206" i="35"/>
  <c r="AN207" i="35"/>
  <c r="AE206" i="35"/>
  <c r="AD207" i="35"/>
  <c r="AI206" i="35"/>
  <c r="AH207" i="35"/>
  <c r="AK207" i="35"/>
  <c r="AJ208" i="35"/>
  <c r="AU206" i="35"/>
  <c r="AT207" i="35"/>
  <c r="AW207" i="35"/>
  <c r="AV208" i="35"/>
  <c r="AC207" i="35"/>
  <c r="AB208" i="35"/>
  <c r="AA206" i="35"/>
  <c r="Z207" i="35"/>
  <c r="BC206" i="35"/>
  <c r="BB207" i="35"/>
  <c r="BE207" i="35"/>
  <c r="BD208" i="35"/>
  <c r="AQ206" i="35"/>
  <c r="AP207" i="35"/>
  <c r="AM206" i="35"/>
  <c r="AL207" i="35"/>
  <c r="AY206" i="35"/>
  <c r="AX207" i="35"/>
  <c r="AG207" i="35"/>
  <c r="AF208" i="35"/>
  <c r="B206" i="35" l="1"/>
  <c r="P210" i="9" s="1"/>
  <c r="AS207" i="35"/>
  <c r="AR208" i="35"/>
  <c r="AO207" i="35"/>
  <c r="AN208" i="35"/>
  <c r="BA207" i="35"/>
  <c r="AZ208" i="35"/>
  <c r="AM207" i="35"/>
  <c r="AL208" i="35"/>
  <c r="AA207" i="35"/>
  <c r="Z208" i="35"/>
  <c r="AK208" i="35"/>
  <c r="AJ209" i="35"/>
  <c r="AG208" i="35"/>
  <c r="AF209" i="35"/>
  <c r="AQ207" i="35"/>
  <c r="AP208" i="35"/>
  <c r="BC207" i="35"/>
  <c r="BB208" i="35"/>
  <c r="AC208" i="35"/>
  <c r="AB209" i="35"/>
  <c r="AU207" i="35"/>
  <c r="AT208" i="35"/>
  <c r="AI207" i="35"/>
  <c r="AH208" i="35"/>
  <c r="AY207" i="35"/>
  <c r="AX208" i="35"/>
  <c r="BE208" i="35"/>
  <c r="BD209" i="35"/>
  <c r="AW208" i="35"/>
  <c r="AV209" i="35"/>
  <c r="AE207" i="35"/>
  <c r="AD208" i="35"/>
  <c r="B207" i="35" l="1"/>
  <c r="P211" i="9" s="1"/>
  <c r="AS208" i="35"/>
  <c r="AR209" i="35"/>
  <c r="BA208" i="35"/>
  <c r="AZ209" i="35"/>
  <c r="AO208" i="35"/>
  <c r="AN209" i="35"/>
  <c r="AW209" i="35"/>
  <c r="AV210" i="35"/>
  <c r="AQ208" i="35"/>
  <c r="AP209" i="35"/>
  <c r="AM208" i="35"/>
  <c r="AL209" i="35"/>
  <c r="AI208" i="35"/>
  <c r="AH209" i="35"/>
  <c r="BC208" i="35"/>
  <c r="BB209" i="35"/>
  <c r="AK209" i="35"/>
  <c r="AJ210" i="35"/>
  <c r="AA208" i="35"/>
  <c r="Z209" i="35"/>
  <c r="AY208" i="35"/>
  <c r="AX209" i="35"/>
  <c r="AG209" i="35"/>
  <c r="AF210" i="35"/>
  <c r="AE208" i="35"/>
  <c r="AD209" i="35"/>
  <c r="BD210" i="35"/>
  <c r="BE209" i="35"/>
  <c r="AC209" i="35"/>
  <c r="AB210" i="35"/>
  <c r="AU208" i="35"/>
  <c r="AT209" i="35"/>
  <c r="B208" i="35" l="1"/>
  <c r="P212" i="9" s="1"/>
  <c r="AS209" i="35"/>
  <c r="AR210" i="35"/>
  <c r="AO209" i="35"/>
  <c r="AN210" i="35"/>
  <c r="AZ210" i="35"/>
  <c r="BA209" i="35"/>
  <c r="AU209" i="35"/>
  <c r="AT210" i="35"/>
  <c r="AG210" i="35"/>
  <c r="AF211" i="35"/>
  <c r="AA209" i="35"/>
  <c r="Z210" i="35"/>
  <c r="AI209" i="35"/>
  <c r="AH210" i="35"/>
  <c r="AQ209" i="35"/>
  <c r="AP210" i="35"/>
  <c r="AE209" i="35"/>
  <c r="AD210" i="35"/>
  <c r="AK210" i="35"/>
  <c r="AJ211" i="35"/>
  <c r="BC209" i="35"/>
  <c r="BB210" i="35"/>
  <c r="AM209" i="35"/>
  <c r="AL210" i="35"/>
  <c r="AW210" i="35"/>
  <c r="AV211" i="35"/>
  <c r="BE210" i="35"/>
  <c r="BD211" i="35"/>
  <c r="AC210" i="35"/>
  <c r="AB211" i="35"/>
  <c r="AY209" i="35"/>
  <c r="AX210" i="35"/>
  <c r="B209" i="35" l="1"/>
  <c r="P213" i="9" s="1"/>
  <c r="AS210" i="35"/>
  <c r="AR211" i="35"/>
  <c r="AO210" i="35"/>
  <c r="AN211" i="35"/>
  <c r="BA210" i="35"/>
  <c r="AZ211" i="35"/>
  <c r="BE211" i="35"/>
  <c r="BD212" i="35"/>
  <c r="AA210" i="35"/>
  <c r="Z211" i="35"/>
  <c r="AU210" i="35"/>
  <c r="AT211" i="35"/>
  <c r="AK211" i="35"/>
  <c r="AJ212" i="35"/>
  <c r="AI210" i="35"/>
  <c r="AH211" i="35"/>
  <c r="AW211" i="35"/>
  <c r="AV212" i="35"/>
  <c r="BC210" i="35"/>
  <c r="BB211" i="35"/>
  <c r="AE210" i="35"/>
  <c r="AD211" i="35"/>
  <c r="AQ210" i="35"/>
  <c r="AP211" i="35"/>
  <c r="AG211" i="35"/>
  <c r="AF212" i="35"/>
  <c r="AY210" i="35"/>
  <c r="AX211" i="35"/>
  <c r="AM210" i="35"/>
  <c r="AL211" i="35"/>
  <c r="AC211" i="35"/>
  <c r="AB212" i="35"/>
  <c r="B210" i="35" l="1"/>
  <c r="P214" i="9" s="1"/>
  <c r="AS211" i="35"/>
  <c r="AR212" i="35"/>
  <c r="BA211" i="35"/>
  <c r="AZ212" i="35"/>
  <c r="AO211" i="35"/>
  <c r="AN212" i="35"/>
  <c r="AY211" i="35"/>
  <c r="AX212" i="35"/>
  <c r="BC211" i="35"/>
  <c r="BB212" i="35"/>
  <c r="AI211" i="35"/>
  <c r="AH212" i="35"/>
  <c r="AU211" i="35"/>
  <c r="AT212" i="35"/>
  <c r="AC212" i="35"/>
  <c r="AB213" i="35"/>
  <c r="AQ211" i="35"/>
  <c r="AP212" i="35"/>
  <c r="AM211" i="35"/>
  <c r="AL212" i="35"/>
  <c r="AE211" i="35"/>
  <c r="AD212" i="35"/>
  <c r="AW212" i="35"/>
  <c r="AV213" i="35"/>
  <c r="AK212" i="35"/>
  <c r="AJ213" i="35"/>
  <c r="AA211" i="35"/>
  <c r="Z212" i="35"/>
  <c r="BE212" i="35"/>
  <c r="BD213" i="35"/>
  <c r="AG212" i="35"/>
  <c r="AF213" i="35"/>
  <c r="B211" i="35" l="1"/>
  <c r="P215" i="9" s="1"/>
  <c r="AS212" i="35"/>
  <c r="AR213" i="35"/>
  <c r="AO212" i="35"/>
  <c r="AN213" i="35"/>
  <c r="BA212" i="35"/>
  <c r="AZ213" i="35"/>
  <c r="AW213" i="35"/>
  <c r="AV214" i="35"/>
  <c r="AT213" i="35"/>
  <c r="AU212" i="35"/>
  <c r="BC212" i="35"/>
  <c r="BB213" i="35"/>
  <c r="AA212" i="35"/>
  <c r="Z213" i="35"/>
  <c r="AC213" i="35"/>
  <c r="AB214" i="35"/>
  <c r="AK213" i="35"/>
  <c r="AJ214" i="35"/>
  <c r="AE212" i="35"/>
  <c r="AD213" i="35"/>
  <c r="AQ212" i="35"/>
  <c r="AP213" i="35"/>
  <c r="AI212" i="35"/>
  <c r="AH213" i="35"/>
  <c r="AX213" i="35"/>
  <c r="AY212" i="35"/>
  <c r="AG213" i="35"/>
  <c r="AF214" i="35"/>
  <c r="AM212" i="35"/>
  <c r="AL213" i="35"/>
  <c r="BE213" i="35"/>
  <c r="BD214" i="35"/>
  <c r="B212" i="35" l="1"/>
  <c r="P216" i="9" s="1"/>
  <c r="AR214" i="35"/>
  <c r="AS213" i="35"/>
  <c r="BA213" i="35"/>
  <c r="AZ214" i="35"/>
  <c r="AO213" i="35"/>
  <c r="AN214" i="35"/>
  <c r="AG214" i="35"/>
  <c r="AF215" i="35"/>
  <c r="AE213" i="35"/>
  <c r="AD214" i="35"/>
  <c r="AU213" i="35"/>
  <c r="AT214" i="35"/>
  <c r="AI213" i="35"/>
  <c r="AH214" i="35"/>
  <c r="AM213" i="35"/>
  <c r="AL214" i="35"/>
  <c r="AK214" i="35"/>
  <c r="AJ215" i="35"/>
  <c r="AA213" i="35"/>
  <c r="Z214" i="35"/>
  <c r="BC213" i="35"/>
  <c r="BB214" i="35"/>
  <c r="AW214" i="35"/>
  <c r="AV215" i="35"/>
  <c r="BE214" i="35"/>
  <c r="BD215" i="35"/>
  <c r="AQ213" i="35"/>
  <c r="AP214" i="35"/>
  <c r="AC214" i="35"/>
  <c r="AB215" i="35"/>
  <c r="AY213" i="35"/>
  <c r="AX214" i="35"/>
  <c r="B213" i="35" l="1"/>
  <c r="P217" i="9" s="1"/>
  <c r="AS214" i="35"/>
  <c r="AR215" i="35"/>
  <c r="AO214" i="35"/>
  <c r="AN215" i="35"/>
  <c r="BA214" i="35"/>
  <c r="AZ215" i="35"/>
  <c r="AY214" i="35"/>
  <c r="AX215" i="35"/>
  <c r="AW215" i="35"/>
  <c r="AV216" i="35"/>
  <c r="AI214" i="35"/>
  <c r="AH215" i="35"/>
  <c r="AE214" i="35"/>
  <c r="AD215" i="35"/>
  <c r="AQ214" i="35"/>
  <c r="AP215" i="35"/>
  <c r="AM214" i="35"/>
  <c r="AL215" i="35"/>
  <c r="BE215" i="35"/>
  <c r="BD216" i="35"/>
  <c r="BC214" i="35"/>
  <c r="BB215" i="35"/>
  <c r="AK215" i="35"/>
  <c r="AJ216" i="35"/>
  <c r="AU214" i="35"/>
  <c r="AT215" i="35"/>
  <c r="AG215" i="35"/>
  <c r="AF216" i="35"/>
  <c r="AA214" i="35"/>
  <c r="Z215" i="35"/>
  <c r="AC215" i="35"/>
  <c r="AB216" i="35"/>
  <c r="B214" i="35" l="1"/>
  <c r="P218" i="9" s="1"/>
  <c r="AR216" i="35"/>
  <c r="AS215" i="35"/>
  <c r="BA215" i="35"/>
  <c r="AZ216" i="35"/>
  <c r="AO215" i="35"/>
  <c r="AN216" i="35"/>
  <c r="AK216" i="35"/>
  <c r="AJ217" i="35"/>
  <c r="BE216" i="35"/>
  <c r="BD217" i="35"/>
  <c r="AQ215" i="35"/>
  <c r="AP216" i="35"/>
  <c r="AI215" i="35"/>
  <c r="AH216" i="35"/>
  <c r="AW216" i="35"/>
  <c r="AV217" i="35"/>
  <c r="AC216" i="35"/>
  <c r="AB217" i="35"/>
  <c r="AA215" i="35"/>
  <c r="B215" i="35" s="1"/>
  <c r="P219" i="9" s="1"/>
  <c r="Z216" i="35"/>
  <c r="AU215" i="35"/>
  <c r="AT216" i="35"/>
  <c r="BC215" i="35"/>
  <c r="BB216" i="35"/>
  <c r="AM215" i="35"/>
  <c r="AL216" i="35"/>
  <c r="AE215" i="35"/>
  <c r="AD216" i="35"/>
  <c r="AY215" i="35"/>
  <c r="AX216" i="35"/>
  <c r="AG216" i="35"/>
  <c r="AF217" i="35"/>
  <c r="AS216" i="35" l="1"/>
  <c r="AR217" i="35"/>
  <c r="AO216" i="35"/>
  <c r="AN217" i="35"/>
  <c r="BA216" i="35"/>
  <c r="AZ217" i="35"/>
  <c r="AY216" i="35"/>
  <c r="AX217" i="35"/>
  <c r="AE216" i="35"/>
  <c r="AD217" i="35"/>
  <c r="BC216" i="35"/>
  <c r="BB217" i="35"/>
  <c r="AA216" i="35"/>
  <c r="Z217" i="35"/>
  <c r="AW217" i="35"/>
  <c r="AV218" i="35"/>
  <c r="AQ216" i="35"/>
  <c r="AP217" i="35"/>
  <c r="AJ218" i="35"/>
  <c r="AK217" i="35"/>
  <c r="AG217" i="35"/>
  <c r="AF218" i="35"/>
  <c r="AM216" i="35"/>
  <c r="AL217" i="35"/>
  <c r="AC217" i="35"/>
  <c r="AB218" i="35"/>
  <c r="AI216" i="35"/>
  <c r="AH217" i="35"/>
  <c r="BE217" i="35"/>
  <c r="BD218" i="35"/>
  <c r="AU216" i="35"/>
  <c r="AT217" i="35"/>
  <c r="B216" i="35" l="1"/>
  <c r="P220" i="9" s="1"/>
  <c r="AS217" i="35"/>
  <c r="AR218" i="35"/>
  <c r="BA217" i="35"/>
  <c r="AZ218" i="35"/>
  <c r="AN218" i="35"/>
  <c r="AO217" i="35"/>
  <c r="AI217" i="35"/>
  <c r="AH218" i="35"/>
  <c r="AW218" i="35"/>
  <c r="AV219" i="35"/>
  <c r="BC217" i="35"/>
  <c r="BB218" i="35"/>
  <c r="AY217" i="35"/>
  <c r="AX218" i="35"/>
  <c r="AK218" i="35"/>
  <c r="AJ219" i="35"/>
  <c r="AU217" i="35"/>
  <c r="AT218" i="35"/>
  <c r="BE218" i="35"/>
  <c r="BD219" i="35"/>
  <c r="AC218" i="35"/>
  <c r="AB219" i="35"/>
  <c r="AG218" i="35"/>
  <c r="AF219" i="35"/>
  <c r="AQ217" i="35"/>
  <c r="AP218" i="35"/>
  <c r="AA217" i="35"/>
  <c r="Z218" i="35"/>
  <c r="AE217" i="35"/>
  <c r="AD218" i="35"/>
  <c r="AM217" i="35"/>
  <c r="AL218" i="35"/>
  <c r="B217" i="35" l="1"/>
  <c r="P221" i="9" s="1"/>
  <c r="AS218" i="35"/>
  <c r="AR219" i="35"/>
  <c r="BA218" i="35"/>
  <c r="AZ219" i="35"/>
  <c r="AO218" i="35"/>
  <c r="AN219" i="35"/>
  <c r="AL219" i="35"/>
  <c r="AM218" i="35"/>
  <c r="AQ218" i="35"/>
  <c r="AP219" i="35"/>
  <c r="AC219" i="35"/>
  <c r="AB220" i="35"/>
  <c r="AK219" i="35"/>
  <c r="AJ220" i="35"/>
  <c r="BC218" i="35"/>
  <c r="BB219" i="35"/>
  <c r="AI218" i="35"/>
  <c r="AH219" i="35"/>
  <c r="AE218" i="35"/>
  <c r="AD219" i="35"/>
  <c r="AA218" i="35"/>
  <c r="B218" i="35" s="1"/>
  <c r="P222" i="9" s="1"/>
  <c r="Z219" i="35"/>
  <c r="AG219" i="35"/>
  <c r="AF220" i="35"/>
  <c r="BE219" i="35"/>
  <c r="BD220" i="35"/>
  <c r="AU218" i="35"/>
  <c r="AT219" i="35"/>
  <c r="AY218" i="35"/>
  <c r="AX219" i="35"/>
  <c r="AW219" i="35"/>
  <c r="AV220" i="35"/>
  <c r="AS219" i="35" l="1"/>
  <c r="AR220" i="35"/>
  <c r="BA219" i="35"/>
  <c r="AZ220" i="35"/>
  <c r="AO219" i="35"/>
  <c r="AN220" i="35"/>
  <c r="AW220" i="35"/>
  <c r="AV221" i="35"/>
  <c r="AU219" i="35"/>
  <c r="AT220" i="35"/>
  <c r="AG220" i="35"/>
  <c r="AF221" i="35"/>
  <c r="AE219" i="35"/>
  <c r="AD220" i="35"/>
  <c r="BC219" i="35"/>
  <c r="BB220" i="35"/>
  <c r="AQ219" i="35"/>
  <c r="AP220" i="35"/>
  <c r="AY219" i="35"/>
  <c r="AX220" i="35"/>
  <c r="BE220" i="35"/>
  <c r="BD221" i="35"/>
  <c r="AA219" i="35"/>
  <c r="Z220" i="35"/>
  <c r="AI219" i="35"/>
  <c r="AH220" i="35"/>
  <c r="AK220" i="35"/>
  <c r="AJ221" i="35"/>
  <c r="AC220" i="35"/>
  <c r="AB221" i="35"/>
  <c r="AM219" i="35"/>
  <c r="AL220" i="35"/>
  <c r="B219" i="35" l="1"/>
  <c r="P223" i="9" s="1"/>
  <c r="AS220" i="35"/>
  <c r="AR221" i="35"/>
  <c r="AO220" i="35"/>
  <c r="AN221" i="35"/>
  <c r="BA220" i="35"/>
  <c r="AZ221" i="35"/>
  <c r="AM220" i="35"/>
  <c r="AL221" i="35"/>
  <c r="AH221" i="35"/>
  <c r="AI220" i="35"/>
  <c r="BE221" i="35"/>
  <c r="BD222" i="35"/>
  <c r="AQ220" i="35"/>
  <c r="AP221" i="35"/>
  <c r="BC220" i="35"/>
  <c r="BB221" i="35"/>
  <c r="AG221" i="35"/>
  <c r="AF222" i="35"/>
  <c r="AW221" i="35"/>
  <c r="AV222" i="35"/>
  <c r="AC221" i="35"/>
  <c r="AB222" i="35"/>
  <c r="AK221" i="35"/>
  <c r="AJ222" i="35"/>
  <c r="AA220" i="35"/>
  <c r="B220" i="35" s="1"/>
  <c r="P224" i="9" s="1"/>
  <c r="Z221" i="35"/>
  <c r="AY220" i="35"/>
  <c r="AX221" i="35"/>
  <c r="AD221" i="35"/>
  <c r="AE220" i="35"/>
  <c r="AU220" i="35"/>
  <c r="AT221" i="35"/>
  <c r="AS221" i="35" l="1"/>
  <c r="AR222" i="35"/>
  <c r="BA221" i="35"/>
  <c r="AZ222" i="35"/>
  <c r="AO221" i="35"/>
  <c r="AN222" i="35"/>
  <c r="AK222" i="35"/>
  <c r="AJ223" i="35"/>
  <c r="AC222" i="35"/>
  <c r="AB223" i="35"/>
  <c r="AG222" i="35"/>
  <c r="AF223" i="35"/>
  <c r="AQ221" i="35"/>
  <c r="AP222" i="35"/>
  <c r="AE221" i="35"/>
  <c r="AD222" i="35"/>
  <c r="AI221" i="35"/>
  <c r="AH222" i="35"/>
  <c r="AY221" i="35"/>
  <c r="AX222" i="35"/>
  <c r="AU221" i="35"/>
  <c r="AT222" i="35"/>
  <c r="AA221" i="35"/>
  <c r="B221" i="35" s="1"/>
  <c r="P225" i="9" s="1"/>
  <c r="Z222" i="35"/>
  <c r="AW222" i="35"/>
  <c r="AV223" i="35"/>
  <c r="BC221" i="35"/>
  <c r="BB222" i="35"/>
  <c r="BE222" i="35"/>
  <c r="BD223" i="35"/>
  <c r="AM221" i="35"/>
  <c r="AL222" i="35"/>
  <c r="AS222" i="35" l="1"/>
  <c r="AR223" i="35"/>
  <c r="AO222" i="35"/>
  <c r="AN223" i="35"/>
  <c r="BA222" i="35"/>
  <c r="AZ223" i="35"/>
  <c r="AM222" i="35"/>
  <c r="AL223" i="35"/>
  <c r="BC222" i="35"/>
  <c r="BB223" i="35"/>
  <c r="AY222" i="35"/>
  <c r="AX223" i="35"/>
  <c r="AD223" i="35"/>
  <c r="AE222" i="35"/>
  <c r="AG223" i="35"/>
  <c r="AF224" i="35"/>
  <c r="AK223" i="35"/>
  <c r="AJ224" i="35"/>
  <c r="AW223" i="35"/>
  <c r="AV224" i="35"/>
  <c r="AA222" i="35"/>
  <c r="Z223" i="35"/>
  <c r="AU222" i="35"/>
  <c r="AT223" i="35"/>
  <c r="AI222" i="35"/>
  <c r="AH223" i="35"/>
  <c r="AQ222" i="35"/>
  <c r="AP223" i="35"/>
  <c r="AC223" i="35"/>
  <c r="AB224" i="35"/>
  <c r="BE223" i="35"/>
  <c r="BD224" i="35"/>
  <c r="B222" i="35" l="1"/>
  <c r="P226" i="9" s="1"/>
  <c r="AS223" i="35"/>
  <c r="AR224" i="35"/>
  <c r="BA223" i="35"/>
  <c r="AZ224" i="35"/>
  <c r="AO223" i="35"/>
  <c r="AN224" i="35"/>
  <c r="BE224" i="35"/>
  <c r="BD225" i="35"/>
  <c r="AC224" i="35"/>
  <c r="AB225" i="35"/>
  <c r="AI223" i="35"/>
  <c r="AH224" i="35"/>
  <c r="AA223" i="35"/>
  <c r="Z224" i="35"/>
  <c r="AK224" i="35"/>
  <c r="AJ225" i="35"/>
  <c r="BC223" i="35"/>
  <c r="BB224" i="35"/>
  <c r="AE223" i="35"/>
  <c r="AD224" i="35"/>
  <c r="AU223" i="35"/>
  <c r="AT224" i="35"/>
  <c r="AG224" i="35"/>
  <c r="AF225" i="35"/>
  <c r="AY223" i="35"/>
  <c r="AX224" i="35"/>
  <c r="AM223" i="35"/>
  <c r="AL224" i="35"/>
  <c r="AQ223" i="35"/>
  <c r="AP224" i="35"/>
  <c r="AW224" i="35"/>
  <c r="AV225" i="35"/>
  <c r="B223" i="35" l="1"/>
  <c r="P227" i="9" s="1"/>
  <c r="AS224" i="35"/>
  <c r="AR225" i="35"/>
  <c r="AO224" i="35"/>
  <c r="AN225" i="35"/>
  <c r="AZ225" i="35"/>
  <c r="BA224" i="35"/>
  <c r="AW225" i="35"/>
  <c r="AV226" i="35"/>
  <c r="AM224" i="35"/>
  <c r="AL225" i="35"/>
  <c r="AY224" i="35"/>
  <c r="AX225" i="35"/>
  <c r="AU224" i="35"/>
  <c r="AT225" i="35"/>
  <c r="AE224" i="35"/>
  <c r="AD225" i="35"/>
  <c r="AA224" i="35"/>
  <c r="Z225" i="35"/>
  <c r="AC225" i="35"/>
  <c r="AB226" i="35"/>
  <c r="BC224" i="35"/>
  <c r="BB225" i="35"/>
  <c r="AK225" i="35"/>
  <c r="AJ226" i="35"/>
  <c r="AI224" i="35"/>
  <c r="AH225" i="35"/>
  <c r="BD226" i="35"/>
  <c r="BE225" i="35"/>
  <c r="AQ224" i="35"/>
  <c r="AP225" i="35"/>
  <c r="AG225" i="35"/>
  <c r="AF226" i="35"/>
  <c r="B224" i="35" l="1"/>
  <c r="P228" i="9" s="1"/>
  <c r="AS225" i="35"/>
  <c r="AR226" i="35"/>
  <c r="BA225" i="35"/>
  <c r="AZ226" i="35"/>
  <c r="AO225" i="35"/>
  <c r="AN226" i="35"/>
  <c r="AG226" i="35"/>
  <c r="AF227" i="35"/>
  <c r="AK226" i="35"/>
  <c r="AJ227" i="35"/>
  <c r="AA225" i="35"/>
  <c r="Z226" i="35"/>
  <c r="AU225" i="35"/>
  <c r="AT226" i="35"/>
  <c r="AM225" i="35"/>
  <c r="AL226" i="35"/>
  <c r="BE226" i="35"/>
  <c r="BD227" i="35"/>
  <c r="AQ225" i="35"/>
  <c r="AP226" i="35"/>
  <c r="BC225" i="35"/>
  <c r="BB226" i="35"/>
  <c r="AC226" i="35"/>
  <c r="AB227" i="35"/>
  <c r="AE225" i="35"/>
  <c r="AD226" i="35"/>
  <c r="AY225" i="35"/>
  <c r="AX226" i="35"/>
  <c r="AW226" i="35"/>
  <c r="AV227" i="35"/>
  <c r="AI225" i="35"/>
  <c r="AH226" i="35"/>
  <c r="B225" i="35" l="1"/>
  <c r="P229" i="9" s="1"/>
  <c r="AS226" i="35"/>
  <c r="AR227" i="35"/>
  <c r="AO226" i="35"/>
  <c r="AN227" i="35"/>
  <c r="BA226" i="35"/>
  <c r="AZ227" i="35"/>
  <c r="BC226" i="35"/>
  <c r="BB227" i="35"/>
  <c r="BE227" i="35"/>
  <c r="BD228" i="35"/>
  <c r="AU226" i="35"/>
  <c r="AT227" i="35"/>
  <c r="AK227" i="35"/>
  <c r="AJ228" i="35"/>
  <c r="AE226" i="35"/>
  <c r="AD227" i="35"/>
  <c r="AI226" i="35"/>
  <c r="AH227" i="35"/>
  <c r="AY226" i="35"/>
  <c r="AX227" i="35"/>
  <c r="AC227" i="35"/>
  <c r="AB228" i="35"/>
  <c r="AQ226" i="35"/>
  <c r="AP227" i="35"/>
  <c r="AM226" i="35"/>
  <c r="AL227" i="35"/>
  <c r="AA226" i="35"/>
  <c r="B226" i="35" s="1"/>
  <c r="P230" i="9" s="1"/>
  <c r="Z227" i="35"/>
  <c r="AG227" i="35"/>
  <c r="AF228" i="35"/>
  <c r="AW227" i="35"/>
  <c r="AV228" i="35"/>
  <c r="AS227" i="35" l="1"/>
  <c r="AR228" i="35"/>
  <c r="AZ228" i="35"/>
  <c r="BA227" i="35"/>
  <c r="AN228" i="35"/>
  <c r="AO227" i="35"/>
  <c r="AW228" i="35"/>
  <c r="AV229" i="35"/>
  <c r="AM227" i="35"/>
  <c r="AL228" i="35"/>
  <c r="AC228" i="35"/>
  <c r="AB229" i="35"/>
  <c r="AI227" i="35"/>
  <c r="AH228" i="35"/>
  <c r="AU227" i="35"/>
  <c r="AT228" i="35"/>
  <c r="BC227" i="35"/>
  <c r="BB228" i="35"/>
  <c r="AA227" i="35"/>
  <c r="Z228" i="35"/>
  <c r="AQ227" i="35"/>
  <c r="AP228" i="35"/>
  <c r="AY227" i="35"/>
  <c r="AX228" i="35"/>
  <c r="AE227" i="35"/>
  <c r="AD228" i="35"/>
  <c r="AK228" i="35"/>
  <c r="AJ229" i="35"/>
  <c r="BE228" i="35"/>
  <c r="BD229" i="35"/>
  <c r="AG228" i="35"/>
  <c r="AF229" i="35"/>
  <c r="B227" i="35" l="1"/>
  <c r="P231" i="9" s="1"/>
  <c r="AS228" i="35"/>
  <c r="AR229" i="35"/>
  <c r="AO228" i="35"/>
  <c r="AN229" i="35"/>
  <c r="BA228" i="35"/>
  <c r="AZ229" i="35"/>
  <c r="AE228" i="35"/>
  <c r="AD229" i="35"/>
  <c r="AC229" i="35"/>
  <c r="AB230" i="35"/>
  <c r="BE229" i="35"/>
  <c r="BD230" i="35"/>
  <c r="BC228" i="35"/>
  <c r="BB229" i="35"/>
  <c r="AK229" i="35"/>
  <c r="AJ230" i="35"/>
  <c r="AA228" i="35"/>
  <c r="Z229" i="35"/>
  <c r="AT229" i="35"/>
  <c r="AU228" i="35"/>
  <c r="AI228" i="35"/>
  <c r="AH229" i="35"/>
  <c r="AM228" i="35"/>
  <c r="AL229" i="35"/>
  <c r="AW229" i="35"/>
  <c r="AV230" i="35"/>
  <c r="AG229" i="35"/>
  <c r="AF230" i="35"/>
  <c r="AQ228" i="35"/>
  <c r="AP229" i="35"/>
  <c r="AX229" i="35"/>
  <c r="AY228" i="35"/>
  <c r="B228" i="35" l="1"/>
  <c r="P232" i="9" s="1"/>
  <c r="AS229" i="35"/>
  <c r="AR230" i="35"/>
  <c r="BA229" i="35"/>
  <c r="AZ230" i="35"/>
  <c r="AO229" i="35"/>
  <c r="AN230" i="35"/>
  <c r="AQ229" i="35"/>
  <c r="AP230" i="35"/>
  <c r="AI229" i="35"/>
  <c r="AH230" i="35"/>
  <c r="AY229" i="35"/>
  <c r="AX230" i="35"/>
  <c r="AW230" i="35"/>
  <c r="AV231" i="35"/>
  <c r="BC229" i="35"/>
  <c r="BB230" i="35"/>
  <c r="AM229" i="35"/>
  <c r="AL230" i="35"/>
  <c r="AK230" i="35"/>
  <c r="AJ231" i="35"/>
  <c r="BE230" i="35"/>
  <c r="BD231" i="35"/>
  <c r="AE229" i="35"/>
  <c r="AD230" i="35"/>
  <c r="AA229" i="35"/>
  <c r="Z230" i="35"/>
  <c r="AC230" i="35"/>
  <c r="AB231" i="35"/>
  <c r="AG230" i="35"/>
  <c r="AF231" i="35"/>
  <c r="AU229" i="35"/>
  <c r="AT230" i="35"/>
  <c r="B229" i="35" l="1"/>
  <c r="P233" i="9" s="1"/>
  <c r="AS230" i="35"/>
  <c r="AR231" i="35"/>
  <c r="AO230" i="35"/>
  <c r="AN231" i="35"/>
  <c r="BA230" i="35"/>
  <c r="AZ231" i="35"/>
  <c r="AU230" i="35"/>
  <c r="AT231" i="35"/>
  <c r="AK231" i="35"/>
  <c r="AJ232" i="35"/>
  <c r="AA230" i="35"/>
  <c r="Z231" i="35"/>
  <c r="AC231" i="35"/>
  <c r="AB232" i="35"/>
  <c r="BE231" i="35"/>
  <c r="BD232" i="35"/>
  <c r="AM230" i="35"/>
  <c r="AL231" i="35"/>
  <c r="BC230" i="35"/>
  <c r="BB231" i="35"/>
  <c r="AY230" i="35"/>
  <c r="AX231" i="35"/>
  <c r="AQ230" i="35"/>
  <c r="AP231" i="35"/>
  <c r="AE230" i="35"/>
  <c r="AD231" i="35"/>
  <c r="AW231" i="35"/>
  <c r="AV232" i="35"/>
  <c r="AI230" i="35"/>
  <c r="AH231" i="35"/>
  <c r="AG231" i="35"/>
  <c r="AF232" i="35"/>
  <c r="B230" i="35" l="1"/>
  <c r="P234" i="9" s="1"/>
  <c r="AS231" i="35"/>
  <c r="AR232" i="35"/>
  <c r="AO231" i="35"/>
  <c r="AN232" i="35"/>
  <c r="BA231" i="35"/>
  <c r="AZ232" i="35"/>
  <c r="BC231" i="35"/>
  <c r="BB232" i="35"/>
  <c r="AE231" i="35"/>
  <c r="AD232" i="35"/>
  <c r="AG232" i="35"/>
  <c r="AF233" i="35"/>
  <c r="AY231" i="35"/>
  <c r="AX232" i="35"/>
  <c r="AM231" i="35"/>
  <c r="AL232" i="35"/>
  <c r="AC232" i="35"/>
  <c r="AB233" i="35"/>
  <c r="AA231" i="35"/>
  <c r="Z232" i="35"/>
  <c r="AU231" i="35"/>
  <c r="AT232" i="35"/>
  <c r="AI231" i="35"/>
  <c r="AH232" i="35"/>
  <c r="AQ231" i="35"/>
  <c r="AP232" i="35"/>
  <c r="BE232" i="35"/>
  <c r="BD233" i="35"/>
  <c r="AK232" i="35"/>
  <c r="AJ233" i="35"/>
  <c r="AW232" i="35"/>
  <c r="AV233" i="35"/>
  <c r="B231" i="35" l="1"/>
  <c r="P235" i="9" s="1"/>
  <c r="AS232" i="35"/>
  <c r="AR233" i="35"/>
  <c r="BA232" i="35"/>
  <c r="AZ233" i="35"/>
  <c r="AO232" i="35"/>
  <c r="AN233" i="35"/>
  <c r="BE233" i="35"/>
  <c r="BD234" i="35"/>
  <c r="AI232" i="35"/>
  <c r="AH233" i="35"/>
  <c r="AM232" i="35"/>
  <c r="AL233" i="35"/>
  <c r="AJ234" i="35"/>
  <c r="AK233" i="35"/>
  <c r="AU232" i="35"/>
  <c r="AT233" i="35"/>
  <c r="AY232" i="35"/>
  <c r="AX233" i="35"/>
  <c r="AG233" i="35"/>
  <c r="AF234" i="35"/>
  <c r="AE232" i="35"/>
  <c r="AD233" i="35"/>
  <c r="BC232" i="35"/>
  <c r="BB233" i="35"/>
  <c r="AW233" i="35"/>
  <c r="AV234" i="35"/>
  <c r="AA232" i="35"/>
  <c r="Z233" i="35"/>
  <c r="AQ232" i="35"/>
  <c r="AP233" i="35"/>
  <c r="AC233" i="35"/>
  <c r="AB234" i="35"/>
  <c r="B232" i="35" l="1"/>
  <c r="P236" i="9" s="1"/>
  <c r="AS233" i="35"/>
  <c r="AR234" i="35"/>
  <c r="AN234" i="35"/>
  <c r="AO233" i="35"/>
  <c r="BA233" i="35"/>
  <c r="AZ234" i="35"/>
  <c r="AG234" i="35"/>
  <c r="AF235" i="35"/>
  <c r="AM233" i="35"/>
  <c r="AL234" i="35"/>
  <c r="AC234" i="35"/>
  <c r="AB235" i="35"/>
  <c r="BC233" i="35"/>
  <c r="BB234" i="35"/>
  <c r="AU233" i="35"/>
  <c r="AT234" i="35"/>
  <c r="AW234" i="35"/>
  <c r="AV235" i="35"/>
  <c r="AE233" i="35"/>
  <c r="AD234" i="35"/>
  <c r="AY233" i="35"/>
  <c r="AX234" i="35"/>
  <c r="AI233" i="35"/>
  <c r="AH234" i="35"/>
  <c r="BE234" i="35"/>
  <c r="BD235" i="35"/>
  <c r="AA233" i="35"/>
  <c r="Z234" i="35"/>
  <c r="AQ233" i="35"/>
  <c r="AP234" i="35"/>
  <c r="AK234" i="35"/>
  <c r="AJ235" i="35"/>
  <c r="B233" i="35" l="1"/>
  <c r="P237" i="9" s="1"/>
  <c r="AS234" i="35"/>
  <c r="AR235" i="35"/>
  <c r="BA234" i="35"/>
  <c r="AZ235" i="35"/>
  <c r="AO234" i="35"/>
  <c r="AN235" i="35"/>
  <c r="AK235" i="35"/>
  <c r="AJ236" i="35"/>
  <c r="AA234" i="35"/>
  <c r="Z235" i="35"/>
  <c r="AI234" i="35"/>
  <c r="AH235" i="35"/>
  <c r="AE234" i="35"/>
  <c r="AD235" i="35"/>
  <c r="BC234" i="35"/>
  <c r="BB235" i="35"/>
  <c r="AG235" i="35"/>
  <c r="AF236" i="35"/>
  <c r="BE235" i="35"/>
  <c r="BD236" i="35"/>
  <c r="AW235" i="35"/>
  <c r="AV236" i="35"/>
  <c r="AU234" i="35"/>
  <c r="AT235" i="35"/>
  <c r="AC235" i="35"/>
  <c r="AB236" i="35"/>
  <c r="AM234" i="35"/>
  <c r="AL235" i="35"/>
  <c r="AQ234" i="35"/>
  <c r="AP235" i="35"/>
  <c r="AY234" i="35"/>
  <c r="AX235" i="35"/>
  <c r="B234" i="35" l="1"/>
  <c r="P238" i="9" s="1"/>
  <c r="AS235" i="35"/>
  <c r="AR236" i="35"/>
  <c r="AO235" i="35"/>
  <c r="AN236" i="35"/>
  <c r="BA235" i="35"/>
  <c r="AZ236" i="35"/>
  <c r="AW236" i="35"/>
  <c r="AV237" i="35"/>
  <c r="BC235" i="35"/>
  <c r="BB236" i="35"/>
  <c r="AA235" i="35"/>
  <c r="Z236" i="35"/>
  <c r="AY235" i="35"/>
  <c r="AX236" i="35"/>
  <c r="AG236" i="35"/>
  <c r="AF237" i="35"/>
  <c r="AQ235" i="35"/>
  <c r="AP236" i="35"/>
  <c r="AM235" i="35"/>
  <c r="AL236" i="35"/>
  <c r="AU235" i="35"/>
  <c r="AT236" i="35"/>
  <c r="BE236" i="35"/>
  <c r="BD237" i="35"/>
  <c r="AI235" i="35"/>
  <c r="AH236" i="35"/>
  <c r="AK236" i="35"/>
  <c r="AJ237" i="35"/>
  <c r="AC236" i="35"/>
  <c r="AB237" i="35"/>
  <c r="AE235" i="35"/>
  <c r="AD236" i="35"/>
  <c r="B235" i="35" l="1"/>
  <c r="P239" i="9" s="1"/>
  <c r="AS236" i="35"/>
  <c r="AR237" i="35"/>
  <c r="BA236" i="35"/>
  <c r="AZ237" i="35"/>
  <c r="AO236" i="35"/>
  <c r="AN237" i="35"/>
  <c r="AE236" i="35"/>
  <c r="AD237" i="35"/>
  <c r="AK237" i="35"/>
  <c r="AJ238" i="35"/>
  <c r="BE237" i="35"/>
  <c r="BD238" i="35"/>
  <c r="AM236" i="35"/>
  <c r="AL237" i="35"/>
  <c r="AG237" i="35"/>
  <c r="AF238" i="35"/>
  <c r="AA236" i="35"/>
  <c r="Z237" i="35"/>
  <c r="AW237" i="35"/>
  <c r="AV238" i="35"/>
  <c r="AH237" i="35"/>
  <c r="AI236" i="35"/>
  <c r="AU236" i="35"/>
  <c r="AT237" i="35"/>
  <c r="AQ236" i="35"/>
  <c r="AP237" i="35"/>
  <c r="AX237" i="35"/>
  <c r="AY236" i="35"/>
  <c r="BC236" i="35"/>
  <c r="BB237" i="35"/>
  <c r="AC237" i="35"/>
  <c r="AB238" i="35"/>
  <c r="B236" i="35" l="1"/>
  <c r="P240" i="9" s="1"/>
  <c r="AR238" i="35"/>
  <c r="AS237" i="35"/>
  <c r="BA237" i="35"/>
  <c r="AZ238" i="35"/>
  <c r="AN238" i="35"/>
  <c r="AO237" i="35"/>
  <c r="AU237" i="35"/>
  <c r="AT238" i="35"/>
  <c r="AW238" i="35"/>
  <c r="AV239" i="35"/>
  <c r="AG238" i="35"/>
  <c r="AF239" i="35"/>
  <c r="BE238" i="35"/>
  <c r="BD239" i="35"/>
  <c r="AK238" i="35"/>
  <c r="AJ239" i="35"/>
  <c r="AY237" i="35"/>
  <c r="AX238" i="35"/>
  <c r="AC238" i="35"/>
  <c r="AB239" i="35"/>
  <c r="BC237" i="35"/>
  <c r="BB238" i="35"/>
  <c r="AQ237" i="35"/>
  <c r="AP238" i="35"/>
  <c r="AA237" i="35"/>
  <c r="Z238" i="35"/>
  <c r="AM237" i="35"/>
  <c r="AL238" i="35"/>
  <c r="AE237" i="35"/>
  <c r="AD238" i="35"/>
  <c r="AI237" i="35"/>
  <c r="AH238" i="35"/>
  <c r="B237" i="35" l="1"/>
  <c r="P241" i="9" s="1"/>
  <c r="AS238" i="35"/>
  <c r="AR239" i="35"/>
  <c r="BA238" i="35"/>
  <c r="AZ239" i="35"/>
  <c r="AO238" i="35"/>
  <c r="AN239" i="35"/>
  <c r="AM238" i="35"/>
  <c r="AL239" i="35"/>
  <c r="AQ238" i="35"/>
  <c r="AP239" i="35"/>
  <c r="AC239" i="35"/>
  <c r="AB240" i="35"/>
  <c r="AK239" i="35"/>
  <c r="AJ240" i="35"/>
  <c r="AG239" i="35"/>
  <c r="AF240" i="35"/>
  <c r="AU238" i="35"/>
  <c r="AT239" i="35"/>
  <c r="AI238" i="35"/>
  <c r="AH239" i="35"/>
  <c r="AA238" i="35"/>
  <c r="B238" i="35" s="1"/>
  <c r="P242" i="9" s="1"/>
  <c r="Z239" i="35"/>
  <c r="BC238" i="35"/>
  <c r="BB239" i="35"/>
  <c r="AY238" i="35"/>
  <c r="AX239" i="35"/>
  <c r="BE239" i="35"/>
  <c r="BD240" i="35"/>
  <c r="AW239" i="35"/>
  <c r="AV240" i="35"/>
  <c r="AE238" i="35"/>
  <c r="AD239" i="35"/>
  <c r="AS239" i="35" l="1"/>
  <c r="AR240" i="35"/>
  <c r="AO239" i="35"/>
  <c r="AN240" i="35"/>
  <c r="BA239" i="35"/>
  <c r="AZ240" i="35"/>
  <c r="AE239" i="35"/>
  <c r="AD240" i="35"/>
  <c r="AW240" i="35"/>
  <c r="AV241" i="35"/>
  <c r="AK240" i="35"/>
  <c r="AJ241" i="35"/>
  <c r="BE240" i="35"/>
  <c r="BD241" i="35"/>
  <c r="AI239" i="35"/>
  <c r="AH240" i="35"/>
  <c r="AG240" i="35"/>
  <c r="AF241" i="35"/>
  <c r="AC240" i="35"/>
  <c r="AB241" i="35"/>
  <c r="AM239" i="35"/>
  <c r="AL240" i="35"/>
  <c r="AY239" i="35"/>
  <c r="AX240" i="35"/>
  <c r="AA239" i="35"/>
  <c r="Z240" i="35"/>
  <c r="AU239" i="35"/>
  <c r="AT240" i="35"/>
  <c r="AQ239" i="35"/>
  <c r="AP240" i="35"/>
  <c r="BC239" i="35"/>
  <c r="BB240" i="35"/>
  <c r="B239" i="35" l="1"/>
  <c r="P243" i="9" s="1"/>
  <c r="AS240" i="35"/>
  <c r="AR241" i="35"/>
  <c r="BA240" i="35"/>
  <c r="AZ241" i="35"/>
  <c r="AO240" i="35"/>
  <c r="AN241" i="35"/>
  <c r="AQ240" i="35"/>
  <c r="AP241" i="35"/>
  <c r="AG241" i="35"/>
  <c r="AF242" i="35"/>
  <c r="BC240" i="35"/>
  <c r="BB241" i="35"/>
  <c r="AM240" i="35"/>
  <c r="AL241" i="35"/>
  <c r="AK241" i="35"/>
  <c r="AJ242" i="35"/>
  <c r="AY240" i="35"/>
  <c r="AX241" i="35"/>
  <c r="AI240" i="35"/>
  <c r="AH241" i="35"/>
  <c r="BD242" i="35"/>
  <c r="BE241" i="35"/>
  <c r="AW241" i="35"/>
  <c r="AV242" i="35"/>
  <c r="AE240" i="35"/>
  <c r="AD241" i="35"/>
  <c r="AA240" i="35"/>
  <c r="B240" i="35" s="1"/>
  <c r="P244" i="9" s="1"/>
  <c r="Z241" i="35"/>
  <c r="AU240" i="35"/>
  <c r="AT241" i="35"/>
  <c r="AC241" i="35"/>
  <c r="AB242" i="35"/>
  <c r="AS241" i="35" l="1"/>
  <c r="AR242" i="35"/>
  <c r="AN242" i="35"/>
  <c r="AO241" i="35"/>
  <c r="BA241" i="35"/>
  <c r="AZ242" i="35"/>
  <c r="AC242" i="35"/>
  <c r="AB243" i="35"/>
  <c r="AW242" i="35"/>
  <c r="AV243" i="35"/>
  <c r="AG242" i="35"/>
  <c r="AF243" i="35"/>
  <c r="AY241" i="35"/>
  <c r="AX242" i="35"/>
  <c r="AK242" i="35"/>
  <c r="AJ243" i="35"/>
  <c r="BC241" i="35"/>
  <c r="BB242" i="35"/>
  <c r="AQ241" i="35"/>
  <c r="AP242" i="35"/>
  <c r="AA241" i="35"/>
  <c r="B241" i="35" s="1"/>
  <c r="P245" i="9" s="1"/>
  <c r="Z242" i="35"/>
  <c r="AI241" i="35"/>
  <c r="AH242" i="35"/>
  <c r="AM241" i="35"/>
  <c r="AL242" i="35"/>
  <c r="AU241" i="35"/>
  <c r="AT242" i="35"/>
  <c r="AE241" i="35"/>
  <c r="AD242" i="35"/>
  <c r="BE242" i="35"/>
  <c r="BD243" i="35"/>
  <c r="AS242" i="35" l="1"/>
  <c r="AR243" i="35"/>
  <c r="BA242" i="35"/>
  <c r="AZ243" i="35"/>
  <c r="AO242" i="35"/>
  <c r="AN243" i="35"/>
  <c r="AU242" i="35"/>
  <c r="AT243" i="35"/>
  <c r="BB243" i="35"/>
  <c r="BC242" i="35"/>
  <c r="AY242" i="35"/>
  <c r="AX243" i="35"/>
  <c r="AF244" i="35"/>
  <c r="AG243" i="35"/>
  <c r="AI242" i="35"/>
  <c r="AH243" i="35"/>
  <c r="AE242" i="35"/>
  <c r="AD243" i="35"/>
  <c r="AM242" i="35"/>
  <c r="AL243" i="35"/>
  <c r="AA242" i="35"/>
  <c r="Z243" i="35"/>
  <c r="AQ242" i="35"/>
  <c r="AP243" i="35"/>
  <c r="AJ244" i="35"/>
  <c r="AK243" i="35"/>
  <c r="AV244" i="35"/>
  <c r="AW243" i="35"/>
  <c r="AB244" i="35"/>
  <c r="AC243" i="35"/>
  <c r="BE243" i="35"/>
  <c r="BD244" i="35"/>
  <c r="B242" i="35" l="1"/>
  <c r="P246" i="9" s="1"/>
  <c r="AR244" i="35"/>
  <c r="AS243" i="35"/>
  <c r="AO243" i="35"/>
  <c r="AN244" i="35"/>
  <c r="AZ244" i="35"/>
  <c r="BA243" i="35"/>
  <c r="AD244" i="35"/>
  <c r="AE243" i="35"/>
  <c r="AY243" i="35"/>
  <c r="AX244" i="35"/>
  <c r="AC244" i="35"/>
  <c r="AB245" i="35"/>
  <c r="AK244" i="35"/>
  <c r="AJ245" i="35"/>
  <c r="Z244" i="35"/>
  <c r="AA243" i="35"/>
  <c r="BE244" i="35"/>
  <c r="BD245" i="35"/>
  <c r="AP244" i="35"/>
  <c r="AQ243" i="35"/>
  <c r="AL244" i="35"/>
  <c r="AM243" i="35"/>
  <c r="AI243" i="35"/>
  <c r="AH244" i="35"/>
  <c r="AT244" i="35"/>
  <c r="AU243" i="35"/>
  <c r="AW244" i="35"/>
  <c r="AV245" i="35"/>
  <c r="AG244" i="35"/>
  <c r="AF245" i="35"/>
  <c r="BB244" i="35"/>
  <c r="BC243" i="35"/>
  <c r="B243" i="35" l="1"/>
  <c r="P247" i="9" s="1"/>
  <c r="AR245" i="35"/>
  <c r="AS244" i="35"/>
  <c r="BA244" i="35"/>
  <c r="AZ245" i="35"/>
  <c r="AO244" i="35"/>
  <c r="AN245" i="35"/>
  <c r="AY244" i="35"/>
  <c r="AX245" i="35"/>
  <c r="AU244" i="35"/>
  <c r="AT245" i="35"/>
  <c r="AM244" i="35"/>
  <c r="AL245" i="35"/>
  <c r="AK245" i="35"/>
  <c r="AJ246" i="35"/>
  <c r="AG245" i="35"/>
  <c r="AF246" i="35"/>
  <c r="AC245" i="35"/>
  <c r="AB246" i="35"/>
  <c r="AW245" i="35"/>
  <c r="AV246" i="35"/>
  <c r="BE245" i="35"/>
  <c r="BD246" i="35"/>
  <c r="BC244" i="35"/>
  <c r="BB245" i="35"/>
  <c r="AI244" i="35"/>
  <c r="AH245" i="35"/>
  <c r="AQ244" i="35"/>
  <c r="AP245" i="35"/>
  <c r="AA244" i="35"/>
  <c r="Z245" i="35"/>
  <c r="AE244" i="35"/>
  <c r="AD245" i="35"/>
  <c r="B244" i="35" l="1"/>
  <c r="P248" i="9" s="1"/>
  <c r="AS245" i="35"/>
  <c r="AR246" i="35"/>
  <c r="BA245" i="35"/>
  <c r="AZ246" i="35"/>
  <c r="AO245" i="35"/>
  <c r="AN246" i="35"/>
  <c r="AK246" i="35"/>
  <c r="AJ247" i="35"/>
  <c r="AE245" i="35"/>
  <c r="AD246" i="35"/>
  <c r="AW246" i="35"/>
  <c r="AV247" i="35"/>
  <c r="AI245" i="35"/>
  <c r="AH246" i="35"/>
  <c r="BE246" i="35"/>
  <c r="BD247" i="35"/>
  <c r="AG246" i="35"/>
  <c r="AF247" i="35"/>
  <c r="AM245" i="35"/>
  <c r="AL246" i="35"/>
  <c r="AY245" i="35"/>
  <c r="AX246" i="35"/>
  <c r="AQ245" i="35"/>
  <c r="AP246" i="35"/>
  <c r="AC246" i="35"/>
  <c r="AB247" i="35"/>
  <c r="AU245" i="35"/>
  <c r="AT246" i="35"/>
  <c r="AA245" i="35"/>
  <c r="Z246" i="35"/>
  <c r="BC245" i="35"/>
  <c r="BB246" i="35"/>
  <c r="B245" i="35" l="1"/>
  <c r="P249" i="9" s="1"/>
  <c r="AR247" i="35"/>
  <c r="AS246" i="35"/>
  <c r="BA246" i="35"/>
  <c r="AZ247" i="35"/>
  <c r="AO246" i="35"/>
  <c r="AN247" i="35"/>
  <c r="AV248" i="35"/>
  <c r="AW247" i="35"/>
  <c r="AU246" i="35"/>
  <c r="AT247" i="35"/>
  <c r="BE247" i="35"/>
  <c r="BD248" i="35"/>
  <c r="AQ246" i="35"/>
  <c r="AP247" i="35"/>
  <c r="AM246" i="35"/>
  <c r="AL247" i="35"/>
  <c r="AI246" i="35"/>
  <c r="AH247" i="35"/>
  <c r="AE246" i="35"/>
  <c r="AD247" i="35"/>
  <c r="BB247" i="35"/>
  <c r="BC246" i="35"/>
  <c r="AY246" i="35"/>
  <c r="AX247" i="35"/>
  <c r="AF248" i="35"/>
  <c r="AG247" i="35"/>
  <c r="AJ248" i="35"/>
  <c r="AK247" i="35"/>
  <c r="AA246" i="35"/>
  <c r="B246" i="35" s="1"/>
  <c r="P250" i="9" s="1"/>
  <c r="Z247" i="35"/>
  <c r="AB248" i="35"/>
  <c r="AC247" i="35"/>
  <c r="AR248" i="35" l="1"/>
  <c r="AS247" i="35"/>
  <c r="AO247" i="35"/>
  <c r="AN248" i="35"/>
  <c r="AZ248" i="35"/>
  <c r="BA247" i="35"/>
  <c r="AL248" i="35"/>
  <c r="AM247" i="35"/>
  <c r="AG248" i="35"/>
  <c r="AF249" i="35"/>
  <c r="BB248" i="35"/>
  <c r="BC247" i="35"/>
  <c r="Z248" i="35"/>
  <c r="AA247" i="35"/>
  <c r="AI247" i="35"/>
  <c r="AH248" i="35"/>
  <c r="AY247" i="35"/>
  <c r="AX248" i="35"/>
  <c r="AD248" i="35"/>
  <c r="AE247" i="35"/>
  <c r="AP248" i="35"/>
  <c r="AQ247" i="35"/>
  <c r="AT248" i="35"/>
  <c r="AU247" i="35"/>
  <c r="BE248" i="35"/>
  <c r="BD249" i="35"/>
  <c r="AC248" i="35"/>
  <c r="AB249" i="35"/>
  <c r="AK248" i="35"/>
  <c r="AJ249" i="35"/>
  <c r="AW248" i="35"/>
  <c r="AV249" i="35"/>
  <c r="B247" i="35" l="1"/>
  <c r="P251" i="9" s="1"/>
  <c r="AR249" i="35"/>
  <c r="AS248" i="35"/>
  <c r="BA248" i="35"/>
  <c r="AZ249" i="35"/>
  <c r="AO248" i="35"/>
  <c r="AN249" i="35"/>
  <c r="AC249" i="35"/>
  <c r="AB250" i="35"/>
  <c r="AY248" i="35"/>
  <c r="AX249" i="35"/>
  <c r="BC248" i="35"/>
  <c r="BB249" i="35"/>
  <c r="BE249" i="35"/>
  <c r="BD250" i="35"/>
  <c r="AI248" i="35"/>
  <c r="AH249" i="35"/>
  <c r="AG249" i="35"/>
  <c r="AF250" i="35"/>
  <c r="AW249" i="35"/>
  <c r="AV250" i="35"/>
  <c r="AU248" i="35"/>
  <c r="AT249" i="35"/>
  <c r="AA248" i="35"/>
  <c r="Z249" i="35"/>
  <c r="AM248" i="35"/>
  <c r="AL249" i="35"/>
  <c r="AK249" i="35"/>
  <c r="AJ250" i="35"/>
  <c r="AQ248" i="35"/>
  <c r="AP249" i="35"/>
  <c r="AE248" i="35"/>
  <c r="AD249" i="35"/>
  <c r="B248" i="35" l="1"/>
  <c r="P252" i="9" s="1"/>
  <c r="AS249" i="35"/>
  <c r="AR250" i="35"/>
  <c r="AO249" i="35"/>
  <c r="AN250" i="35"/>
  <c r="BA249" i="35"/>
  <c r="AZ250" i="35"/>
  <c r="AK250" i="35"/>
  <c r="AJ251" i="35"/>
  <c r="AG250" i="35"/>
  <c r="AF251" i="35"/>
  <c r="BC249" i="35"/>
  <c r="BB250" i="35"/>
  <c r="AE249" i="35"/>
  <c r="AD250" i="35"/>
  <c r="AW250" i="35"/>
  <c r="AV251" i="35"/>
  <c r="AM249" i="35"/>
  <c r="AL250" i="35"/>
  <c r="AU249" i="35"/>
  <c r="AT250" i="35"/>
  <c r="BE250" i="35"/>
  <c r="BD251" i="35"/>
  <c r="AY249" i="35"/>
  <c r="AX250" i="35"/>
  <c r="AC250" i="35"/>
  <c r="AB251" i="35"/>
  <c r="AA249" i="35"/>
  <c r="Z250" i="35"/>
  <c r="AI249" i="35"/>
  <c r="AH250" i="35"/>
  <c r="AQ249" i="35"/>
  <c r="AP250" i="35"/>
  <c r="B249" i="35" l="1"/>
  <c r="P253" i="9" s="1"/>
  <c r="AS250" i="35"/>
  <c r="AR251" i="35"/>
  <c r="BA250" i="35"/>
  <c r="AZ251" i="35"/>
  <c r="AO250" i="35"/>
  <c r="AN251" i="35"/>
  <c r="AQ250" i="35"/>
  <c r="AP251" i="35"/>
  <c r="AA250" i="35"/>
  <c r="Z251" i="35"/>
  <c r="AY250" i="35"/>
  <c r="AX251" i="35"/>
  <c r="AU250" i="35"/>
  <c r="AT251" i="35"/>
  <c r="AE250" i="35"/>
  <c r="AD251" i="35"/>
  <c r="AF252" i="35"/>
  <c r="AG251" i="35"/>
  <c r="AB252" i="35"/>
  <c r="AC251" i="35"/>
  <c r="AM250" i="35"/>
  <c r="AL251" i="35"/>
  <c r="AV252" i="35"/>
  <c r="AW251" i="35"/>
  <c r="BB251" i="35"/>
  <c r="BC250" i="35"/>
  <c r="AJ252" i="35"/>
  <c r="AK251" i="35"/>
  <c r="AI250" i="35"/>
  <c r="AH251" i="35"/>
  <c r="BE251" i="35"/>
  <c r="BD252" i="35"/>
  <c r="B250" i="35" l="1"/>
  <c r="P254" i="9" s="1"/>
  <c r="AR252" i="35"/>
  <c r="AS251" i="35"/>
  <c r="AO251" i="35"/>
  <c r="AN252" i="35"/>
  <c r="AZ252" i="35"/>
  <c r="BA251" i="35"/>
  <c r="AL252" i="35"/>
  <c r="AM251" i="35"/>
  <c r="AD252" i="35"/>
  <c r="AE251" i="35"/>
  <c r="AT252" i="35"/>
  <c r="AU251" i="35"/>
  <c r="Z252" i="35"/>
  <c r="AA251" i="35"/>
  <c r="BB252" i="35"/>
  <c r="BC251" i="35"/>
  <c r="BE252" i="35"/>
  <c r="BD253" i="35"/>
  <c r="AY251" i="35"/>
  <c r="AX252" i="35"/>
  <c r="AP252" i="35"/>
  <c r="AQ251" i="35"/>
  <c r="AI251" i="35"/>
  <c r="AH252" i="35"/>
  <c r="AJ253" i="35"/>
  <c r="AK252" i="35"/>
  <c r="AW252" i="35"/>
  <c r="AV253" i="35"/>
  <c r="AB253" i="35"/>
  <c r="AC252" i="35"/>
  <c r="AG252" i="35"/>
  <c r="AF253" i="35"/>
  <c r="B251" i="35" l="1"/>
  <c r="P255" i="9" s="1"/>
  <c r="AR253" i="35"/>
  <c r="AS252" i="35"/>
  <c r="AZ253" i="35"/>
  <c r="BA252" i="35"/>
  <c r="AO252" i="35"/>
  <c r="AN253" i="35"/>
  <c r="AB254" i="35"/>
  <c r="AC254" i="35" s="1"/>
  <c r="AC253" i="35"/>
  <c r="BE253" i="35"/>
  <c r="BD254" i="35"/>
  <c r="BE254" i="35" s="1"/>
  <c r="AQ252" i="35"/>
  <c r="AP253" i="35"/>
  <c r="BC252" i="35"/>
  <c r="BB253" i="35"/>
  <c r="AE252" i="35"/>
  <c r="AD253" i="35"/>
  <c r="AW253" i="35"/>
  <c r="AV254" i="35"/>
  <c r="AW254" i="35" s="1"/>
  <c r="AI252" i="35"/>
  <c r="AH253" i="35"/>
  <c r="AY252" i="35"/>
  <c r="AX253" i="35"/>
  <c r="AJ254" i="35"/>
  <c r="AK254" i="35" s="1"/>
  <c r="AK253" i="35"/>
  <c r="AA252" i="35"/>
  <c r="Z253" i="35"/>
  <c r="AG253" i="35"/>
  <c r="AF254" i="35"/>
  <c r="AG254" i="35" s="1"/>
  <c r="AU252" i="35"/>
  <c r="AT253" i="35"/>
  <c r="AM252" i="35"/>
  <c r="AL253" i="35"/>
  <c r="B252" i="35" l="1"/>
  <c r="P256" i="9" s="1"/>
  <c r="AR254" i="35"/>
  <c r="AS254" i="35" s="1"/>
  <c r="AS253" i="35"/>
  <c r="AO253" i="35"/>
  <c r="AN254" i="35"/>
  <c r="AO254" i="35" s="1"/>
  <c r="AZ254" i="35"/>
  <c r="BA254" i="35" s="1"/>
  <c r="BA253" i="35"/>
  <c r="AA253" i="35"/>
  <c r="Z254" i="35"/>
  <c r="AA254" i="35" s="1"/>
  <c r="BC253" i="35"/>
  <c r="BB254" i="35"/>
  <c r="BC254" i="35" s="1"/>
  <c r="AU253" i="35"/>
  <c r="AT254" i="35"/>
  <c r="AU254" i="35" s="1"/>
  <c r="AY253" i="35"/>
  <c r="AX254" i="35"/>
  <c r="AY254" i="35" s="1"/>
  <c r="AM253" i="35"/>
  <c r="AL254" i="35"/>
  <c r="AM254" i="35" s="1"/>
  <c r="AI253" i="35"/>
  <c r="AH254" i="35"/>
  <c r="AI254" i="35" s="1"/>
  <c r="AE253" i="35"/>
  <c r="AD254" i="35"/>
  <c r="AE254" i="35" s="1"/>
  <c r="AQ253" i="35"/>
  <c r="AP254" i="35"/>
  <c r="AQ254" i="35" s="1"/>
  <c r="B254" i="35" l="1"/>
  <c r="V64" i="11" s="1"/>
  <c r="B253" i="35"/>
  <c r="P257" i="9" s="1"/>
  <c r="G30" i="12"/>
  <c r="C30" i="12" s="1"/>
  <c r="E30" i="12" s="1"/>
  <c r="G34" i="12"/>
  <c r="C34" i="12" s="1"/>
  <c r="E34" i="12" s="1"/>
  <c r="G42" i="12"/>
  <c r="G41" i="12"/>
  <c r="C41" i="12" s="1"/>
  <c r="E41" i="12" s="1"/>
  <c r="G40" i="12"/>
  <c r="C40" i="12" s="1"/>
  <c r="E40" i="12" s="1"/>
  <c r="G31" i="12"/>
  <c r="C31" i="12" s="1"/>
  <c r="E31" i="12" s="1"/>
  <c r="G36" i="12"/>
  <c r="C36" i="12" s="1"/>
  <c r="E36" i="12" s="1"/>
  <c r="G32" i="12"/>
  <c r="G39" i="12"/>
  <c r="C39" i="12" s="1"/>
  <c r="E39" i="12" s="1"/>
  <c r="G38" i="12"/>
  <c r="C38" i="12" s="1"/>
  <c r="E38" i="12" s="1"/>
  <c r="G35" i="12"/>
  <c r="C35" i="12" s="1"/>
  <c r="E35" i="12" s="1"/>
  <c r="G33" i="12"/>
  <c r="C33" i="12" s="1"/>
  <c r="E33" i="12" s="1"/>
  <c r="G43" i="12"/>
  <c r="C43" i="12" s="1"/>
  <c r="E43" i="12" s="1"/>
  <c r="G37" i="12"/>
  <c r="C37" i="12" s="1"/>
  <c r="E37" i="12" s="1"/>
  <c r="O40" i="12" l="1"/>
  <c r="O42" i="12"/>
  <c r="O44" i="12"/>
  <c r="O49" i="12"/>
  <c r="O43" i="12"/>
  <c r="O50" i="12"/>
  <c r="O48" i="12"/>
  <c r="O46" i="12"/>
  <c r="O47" i="12"/>
  <c r="O41" i="12"/>
  <c r="O45" i="12"/>
  <c r="O39" i="12"/>
  <c r="O38" i="12"/>
  <c r="O54" i="12"/>
  <c r="O57" i="12"/>
  <c r="O51" i="12"/>
  <c r="O56" i="12"/>
  <c r="O53" i="12"/>
  <c r="O55" i="12"/>
  <c r="O52" i="12"/>
  <c r="R8" i="39"/>
  <c r="R7" i="39"/>
  <c r="O6" i="12"/>
  <c r="P258" i="9"/>
  <c r="X70" i="11"/>
  <c r="Z27" i="12" s="1"/>
  <c r="V89" i="11"/>
  <c r="X64" i="11"/>
  <c r="V102" i="11"/>
  <c r="AK43" i="12" s="1"/>
  <c r="V87" i="11"/>
  <c r="V66" i="11"/>
  <c r="R12" i="39" s="1"/>
  <c r="V68" i="11"/>
  <c r="X68" i="11"/>
  <c r="Z24" i="12" s="1"/>
  <c r="X69" i="11"/>
  <c r="Z31" i="12" s="1"/>
  <c r="X67" i="11"/>
  <c r="Z21" i="12" s="1"/>
  <c r="X79" i="11"/>
  <c r="Z47" i="12" s="1"/>
  <c r="V103" i="11"/>
  <c r="AK55" i="12" s="1"/>
  <c r="X66" i="11"/>
  <c r="X90" i="11"/>
  <c r="AV47" i="12" s="1"/>
  <c r="V90" i="11"/>
  <c r="X82" i="11"/>
  <c r="V65" i="11"/>
  <c r="R10" i="39" s="1"/>
  <c r="V88" i="11"/>
  <c r="AP19" i="39" s="1"/>
  <c r="X71" i="11"/>
  <c r="Z29" i="12" s="1"/>
  <c r="X65" i="11"/>
  <c r="Z20" i="12" s="1"/>
  <c r="V67" i="11"/>
  <c r="V91" i="11"/>
  <c r="AK23" i="12" s="1"/>
  <c r="V86" i="11"/>
  <c r="X86" i="11"/>
  <c r="G44" i="12"/>
  <c r="C44" i="12" s="1"/>
  <c r="G45" i="12"/>
  <c r="C45" i="12" s="1"/>
  <c r="G46" i="12"/>
  <c r="C46" i="12" s="1"/>
  <c r="G50" i="12"/>
  <c r="C50" i="12" s="1"/>
  <c r="G47" i="12"/>
  <c r="C47" i="12" s="1"/>
  <c r="G51" i="12"/>
  <c r="C51" i="12" s="1"/>
  <c r="G52" i="12"/>
  <c r="C52" i="12" s="1"/>
  <c r="G48" i="12"/>
  <c r="C48" i="12" s="1"/>
  <c r="G53" i="12"/>
  <c r="C53" i="12" s="1"/>
  <c r="G49" i="12"/>
  <c r="C49" i="12" s="1"/>
  <c r="BQ22" i="39"/>
  <c r="B43" i="12"/>
  <c r="D43" i="12"/>
  <c r="C32" i="12"/>
  <c r="E32" i="12" s="1"/>
  <c r="B40" i="12"/>
  <c r="D40" i="12"/>
  <c r="C42" i="12"/>
  <c r="E42" i="12" s="1"/>
  <c r="B33" i="12"/>
  <c r="D33" i="12"/>
  <c r="D38" i="12"/>
  <c r="B38" i="12"/>
  <c r="D36" i="12"/>
  <c r="B36" i="12"/>
  <c r="B34" i="12"/>
  <c r="D34" i="12"/>
  <c r="D35" i="12"/>
  <c r="B35" i="12"/>
  <c r="D31" i="12"/>
  <c r="B31" i="12"/>
  <c r="D30" i="12"/>
  <c r="B30" i="12"/>
  <c r="B37" i="12"/>
  <c r="D37" i="12"/>
  <c r="B39" i="12"/>
  <c r="D39" i="12"/>
  <c r="D41" i="12"/>
  <c r="B41" i="12"/>
  <c r="AK173" i="12" l="1"/>
  <c r="AK167" i="12"/>
  <c r="AK163" i="12"/>
  <c r="AK159" i="12"/>
  <c r="AK166" i="12"/>
  <c r="AK161" i="12"/>
  <c r="AK170" i="12"/>
  <c r="AK154" i="12"/>
  <c r="AK153" i="12"/>
  <c r="AK171" i="12"/>
  <c r="AK158" i="12"/>
  <c r="AK150" i="12"/>
  <c r="AK168" i="12"/>
  <c r="AK160" i="12"/>
  <c r="AK164" i="12"/>
  <c r="AK151" i="12"/>
  <c r="AK152" i="12"/>
  <c r="AK162" i="12"/>
  <c r="AK169" i="12"/>
  <c r="AK157" i="12"/>
  <c r="AK155" i="12"/>
  <c r="AK149" i="12"/>
  <c r="AK172" i="12"/>
  <c r="AK165" i="12"/>
  <c r="AK156" i="12"/>
  <c r="Z114" i="12"/>
  <c r="Z104" i="12"/>
  <c r="Z113" i="12"/>
  <c r="Z101" i="12"/>
  <c r="Z103" i="12"/>
  <c r="Z112" i="12"/>
  <c r="Z107" i="12"/>
  <c r="Z106" i="12"/>
  <c r="Z110" i="12"/>
  <c r="Z108" i="12"/>
  <c r="Z121" i="12"/>
  <c r="Z105" i="12"/>
  <c r="Z120" i="12"/>
  <c r="Z117" i="12"/>
  <c r="Z115" i="12"/>
  <c r="Z118" i="12"/>
  <c r="Z111" i="12"/>
  <c r="Z102" i="12"/>
  <c r="Z116" i="12"/>
  <c r="Z119" i="12"/>
  <c r="Z109" i="12"/>
  <c r="AV74" i="12"/>
  <c r="AV79" i="12"/>
  <c r="AV78" i="12"/>
  <c r="AV76" i="12"/>
  <c r="AV72" i="12"/>
  <c r="AV75" i="12"/>
  <c r="AV71" i="12"/>
  <c r="AV77" i="12"/>
  <c r="AV73" i="12"/>
  <c r="AV80" i="12"/>
  <c r="AK20" i="12"/>
  <c r="AK174" i="12"/>
  <c r="AK176" i="12"/>
  <c r="AK175" i="12"/>
  <c r="AK177" i="12"/>
  <c r="AV19" i="12"/>
  <c r="AV84" i="12"/>
  <c r="AV83" i="12"/>
  <c r="AV85" i="12"/>
  <c r="AV82" i="12"/>
  <c r="AV81" i="12"/>
  <c r="AD12" i="39"/>
  <c r="AD11" i="39"/>
  <c r="AP16" i="39"/>
  <c r="AP15" i="39"/>
  <c r="AP13" i="39"/>
  <c r="AP12" i="39"/>
  <c r="AD14" i="39"/>
  <c r="AD13" i="39"/>
  <c r="AD16" i="39"/>
  <c r="AD15" i="39"/>
  <c r="R18" i="39"/>
  <c r="R17" i="39"/>
  <c r="R9" i="39"/>
  <c r="O19" i="12"/>
  <c r="R20" i="39"/>
  <c r="AD18" i="39"/>
  <c r="AD17" i="39"/>
  <c r="Z18" i="12"/>
  <c r="AD20" i="39"/>
  <c r="AK14" i="12"/>
  <c r="AP17" i="39"/>
  <c r="R19" i="39"/>
  <c r="O16" i="12"/>
  <c r="R13" i="39"/>
  <c r="O10" i="12"/>
  <c r="AK11" i="12"/>
  <c r="AP14" i="39"/>
  <c r="Z16" i="12"/>
  <c r="AD19" i="39"/>
  <c r="AK17" i="12"/>
  <c r="AP20" i="39"/>
  <c r="AK15" i="12"/>
  <c r="AP18" i="39"/>
  <c r="R11" i="39"/>
  <c r="O8" i="12"/>
  <c r="E44" i="12"/>
  <c r="D48" i="12"/>
  <c r="E48" i="12"/>
  <c r="BQ27" i="39" s="1"/>
  <c r="B53" i="12"/>
  <c r="E53" i="12"/>
  <c r="BQ32" i="39" s="1"/>
  <c r="B52" i="12"/>
  <c r="E52" i="12"/>
  <c r="BQ31" i="39" s="1"/>
  <c r="B49" i="12"/>
  <c r="E49" i="12"/>
  <c r="BQ28" i="39" s="1"/>
  <c r="D45" i="12"/>
  <c r="E45" i="12"/>
  <c r="BQ24" i="39" s="1"/>
  <c r="B51" i="12"/>
  <c r="E51" i="12"/>
  <c r="BQ30" i="39" s="1"/>
  <c r="E47" i="12"/>
  <c r="BQ26" i="39" s="1"/>
  <c r="D50" i="12"/>
  <c r="E50" i="12"/>
  <c r="BQ29" i="39" s="1"/>
  <c r="E46" i="12"/>
  <c r="D44" i="12"/>
  <c r="B44" i="12"/>
  <c r="D46" i="12"/>
  <c r="B45" i="12"/>
  <c r="B46" i="12"/>
  <c r="B50" i="12"/>
  <c r="D52" i="12"/>
  <c r="B47" i="12"/>
  <c r="D47" i="12"/>
  <c r="D53" i="12"/>
  <c r="B48" i="12"/>
  <c r="D51" i="12"/>
  <c r="D49" i="12"/>
  <c r="B42" i="12"/>
  <c r="D42" i="12"/>
  <c r="D32" i="12"/>
  <c r="B32" i="12"/>
  <c r="G3" i="12" s="1"/>
  <c r="BQ19" i="39" l="1"/>
  <c r="BQ21" i="39"/>
  <c r="BQ25" i="39"/>
  <c r="BQ15" i="39"/>
  <c r="BQ12" i="39"/>
  <c r="BQ13" i="39"/>
  <c r="BQ9" i="39"/>
  <c r="BQ14" i="39"/>
  <c r="BQ17" i="39"/>
  <c r="BQ20" i="39"/>
  <c r="BQ10" i="39"/>
  <c r="BQ8" i="39"/>
  <c r="BQ18" i="39"/>
  <c r="BQ23" i="39"/>
  <c r="BQ11" i="39"/>
  <c r="BQ16" i="39"/>
  <c r="R3" i="39"/>
  <c r="R4" i="39"/>
  <c r="G9" i="12"/>
  <c r="G7" i="12"/>
  <c r="G5" i="12"/>
  <c r="F26" i="12"/>
  <c r="W90" i="11" s="1"/>
  <c r="K35" i="39" l="1"/>
  <c r="J35" i="39" s="1"/>
  <c r="BM39" i="39"/>
  <c r="BL39" i="39" s="1"/>
  <c r="AU25" i="39"/>
  <c r="AT25" i="39" s="1"/>
  <c r="K37" i="39"/>
  <c r="J37" i="39" s="1"/>
  <c r="BM26" i="39"/>
  <c r="BL26" i="39" s="1"/>
  <c r="AU45" i="39"/>
  <c r="AT45" i="39" s="1"/>
  <c r="AU29" i="39"/>
  <c r="AT29" i="39" s="1"/>
  <c r="W44" i="39"/>
  <c r="V44" i="39" s="1"/>
  <c r="K31" i="39"/>
  <c r="J31" i="39" s="1"/>
  <c r="K43" i="39"/>
  <c r="J43" i="39" s="1"/>
  <c r="W40" i="39"/>
  <c r="V40" i="39" s="1"/>
  <c r="BM36" i="39"/>
  <c r="BL36" i="39" s="1"/>
  <c r="BM29" i="39"/>
  <c r="BL29" i="39" s="1"/>
  <c r="BM30" i="39"/>
  <c r="BL30" i="39" s="1"/>
  <c r="K33" i="39"/>
  <c r="J33" i="39" s="1"/>
  <c r="AU32" i="39"/>
  <c r="AT32" i="39" s="1"/>
  <c r="AI30" i="39"/>
  <c r="AH30" i="39" s="1"/>
  <c r="AU36" i="39"/>
  <c r="AT36" i="39" s="1"/>
  <c r="K41" i="39"/>
  <c r="J41" i="39" s="1"/>
  <c r="AI35" i="39"/>
  <c r="AH35" i="39" s="1"/>
  <c r="AI43" i="39"/>
  <c r="AH43" i="39" s="1"/>
  <c r="K47" i="39"/>
  <c r="J47" i="39" s="1"/>
  <c r="AI31" i="39"/>
  <c r="AH31" i="39" s="1"/>
  <c r="K38" i="39"/>
  <c r="J38" i="39" s="1"/>
  <c r="W37" i="39"/>
  <c r="V37" i="39" s="1"/>
  <c r="BM34" i="39"/>
  <c r="BL34" i="39" s="1"/>
  <c r="BM33" i="39"/>
  <c r="BL33" i="39" s="1"/>
  <c r="AU38" i="39"/>
  <c r="AT38" i="39" s="1"/>
  <c r="AU40" i="39"/>
  <c r="AT40" i="39" s="1"/>
  <c r="AU31" i="39"/>
  <c r="AT31" i="39" s="1"/>
  <c r="K29" i="39"/>
  <c r="J29" i="39" s="1"/>
  <c r="K46" i="39"/>
  <c r="J46" i="39" s="1"/>
  <c r="AI47" i="39"/>
  <c r="AH47" i="39" s="1"/>
  <c r="K45" i="39"/>
  <c r="J45" i="39" s="1"/>
  <c r="W38" i="39"/>
  <c r="V38" i="39" s="1"/>
  <c r="W34" i="39"/>
  <c r="V34" i="39" s="1"/>
  <c r="W45" i="39"/>
  <c r="V45" i="39" s="1"/>
  <c r="BM35" i="39"/>
  <c r="BL35" i="39" s="1"/>
  <c r="BM31" i="39"/>
  <c r="BL31" i="39" s="1"/>
  <c r="AU33" i="39"/>
  <c r="AT33" i="39" s="1"/>
  <c r="AI40" i="39"/>
  <c r="AH40" i="39" s="1"/>
  <c r="AI34" i="39"/>
  <c r="AH34" i="39" s="1"/>
  <c r="AI33" i="39"/>
  <c r="AH33" i="39" s="1"/>
  <c r="AI45" i="39"/>
  <c r="AH45" i="39" s="1"/>
  <c r="K48" i="39"/>
  <c r="J48" i="39" s="1"/>
  <c r="AU39" i="39"/>
  <c r="AT39" i="39" s="1"/>
  <c r="AI36" i="39"/>
  <c r="AH36" i="39" s="1"/>
  <c r="AI39" i="39"/>
  <c r="AH39" i="39" s="1"/>
  <c r="AU47" i="39"/>
  <c r="AT47" i="39" s="1"/>
  <c r="AU44" i="39"/>
  <c r="AT44" i="39" s="1"/>
  <c r="AI44" i="39"/>
  <c r="AH44" i="39" s="1"/>
  <c r="AU48" i="39"/>
  <c r="AT48" i="39" s="1"/>
  <c r="W33" i="39"/>
  <c r="V33" i="39" s="1"/>
  <c r="W29" i="39"/>
  <c r="V29" i="39" s="1"/>
  <c r="W47" i="39"/>
  <c r="V47" i="39" s="1"/>
  <c r="W48" i="39"/>
  <c r="V48" i="39" s="1"/>
  <c r="W35" i="39"/>
  <c r="V35" i="39" s="1"/>
  <c r="BM38" i="39"/>
  <c r="BL38" i="39" s="1"/>
  <c r="AU34" i="39"/>
  <c r="AT34" i="39" s="1"/>
  <c r="AU35" i="39"/>
  <c r="AT35" i="39" s="1"/>
  <c r="K42" i="39"/>
  <c r="J42" i="39" s="1"/>
  <c r="K30" i="39"/>
  <c r="J30" i="39" s="1"/>
  <c r="AI37" i="39"/>
  <c r="AH37" i="39" s="1"/>
  <c r="AI32" i="39"/>
  <c r="AH32" i="39" s="1"/>
  <c r="W41" i="39"/>
  <c r="V41" i="39" s="1"/>
  <c r="W31" i="39"/>
  <c r="V31" i="39" s="1"/>
  <c r="W39" i="39"/>
  <c r="V39" i="39" s="1"/>
  <c r="AI41" i="39"/>
  <c r="AH41" i="39" s="1"/>
  <c r="K36" i="39"/>
  <c r="J36" i="39" s="1"/>
  <c r="K39" i="39"/>
  <c r="J39" i="39" s="1"/>
  <c r="W32" i="39"/>
  <c r="V32" i="39" s="1"/>
  <c r="W36" i="39"/>
  <c r="V36" i="39" s="1"/>
  <c r="W20" i="39"/>
  <c r="V20" i="39" s="1"/>
  <c r="AI42" i="39"/>
  <c r="AH42" i="39" s="1"/>
  <c r="W43" i="39"/>
  <c r="V43" i="39" s="1"/>
  <c r="W42" i="39"/>
  <c r="V42" i="39" s="1"/>
  <c r="BM32" i="39"/>
  <c r="BL32" i="39" s="1"/>
  <c r="AU43" i="39"/>
  <c r="AT43" i="39" s="1"/>
  <c r="AU46" i="39"/>
  <c r="AT46" i="39" s="1"/>
  <c r="AI38" i="39"/>
  <c r="AH38" i="39" s="1"/>
  <c r="AU42" i="39"/>
  <c r="AT42" i="39" s="1"/>
  <c r="AI29" i="39"/>
  <c r="AH29" i="39" s="1"/>
  <c r="AI46" i="39"/>
  <c r="AH46" i="39" s="1"/>
  <c r="W46" i="39"/>
  <c r="V46" i="39" s="1"/>
  <c r="BM37" i="39"/>
  <c r="BL37" i="39" s="1"/>
  <c r="K44" i="39"/>
  <c r="J44" i="39" s="1"/>
  <c r="AI48" i="39"/>
  <c r="AH48" i="39" s="1"/>
  <c r="K34" i="39"/>
  <c r="J34" i="39" s="1"/>
  <c r="AU37" i="39"/>
  <c r="AT37" i="39" s="1"/>
  <c r="AU41" i="39"/>
  <c r="AT41" i="39" s="1"/>
  <c r="K40" i="39"/>
  <c r="J40" i="39" s="1"/>
  <c r="AU30" i="39"/>
  <c r="AT30" i="39" s="1"/>
  <c r="K32" i="39"/>
  <c r="J32" i="39" s="1"/>
  <c r="W30" i="39"/>
  <c r="V30" i="39" s="1"/>
  <c r="BM23" i="39"/>
  <c r="BL23" i="39" s="1"/>
  <c r="BM25" i="39"/>
  <c r="BL25" i="39" s="1"/>
  <c r="AU21" i="39"/>
  <c r="AT21" i="39" s="1"/>
  <c r="AI21" i="39"/>
  <c r="AH21" i="39" s="1"/>
  <c r="K26" i="39"/>
  <c r="J26" i="39" s="1"/>
  <c r="AI20" i="39"/>
  <c r="AH20" i="39" s="1"/>
  <c r="K20" i="39"/>
  <c r="J20" i="39" s="1"/>
  <c r="AU23" i="39"/>
  <c r="AT23" i="39" s="1"/>
  <c r="W28" i="39"/>
  <c r="V28" i="39" s="1"/>
  <c r="K24" i="39"/>
  <c r="J24" i="39" s="1"/>
  <c r="AI23" i="39"/>
  <c r="AH23" i="39" s="1"/>
  <c r="AI26" i="39"/>
  <c r="AH26" i="39" s="1"/>
  <c r="W21" i="39"/>
  <c r="V21" i="39" s="1"/>
  <c r="K28" i="39"/>
  <c r="J28" i="39" s="1"/>
  <c r="K21" i="39"/>
  <c r="J21" i="39" s="1"/>
  <c r="W25" i="39"/>
  <c r="V25" i="39" s="1"/>
  <c r="BM28" i="39"/>
  <c r="BL28" i="39" s="1"/>
  <c r="AI27" i="39"/>
  <c r="AH27" i="39" s="1"/>
  <c r="AI25" i="39"/>
  <c r="AH25" i="39" s="1"/>
  <c r="W23" i="39"/>
  <c r="V23" i="39" s="1"/>
  <c r="BM24" i="39"/>
  <c r="BL24" i="39" s="1"/>
  <c r="K27" i="39"/>
  <c r="J27" i="39" s="1"/>
  <c r="AI22" i="39"/>
  <c r="AH22" i="39" s="1"/>
  <c r="AU27" i="39"/>
  <c r="AT27" i="39" s="1"/>
  <c r="AU28" i="39"/>
  <c r="AT28" i="39" s="1"/>
  <c r="K22" i="39"/>
  <c r="J22" i="39" s="1"/>
  <c r="AI24" i="39"/>
  <c r="AH24" i="39" s="1"/>
  <c r="W27" i="39"/>
  <c r="V27" i="39" s="1"/>
  <c r="BM27" i="39"/>
  <c r="BL27" i="39" s="1"/>
  <c r="AU24" i="39"/>
  <c r="AT24" i="39" s="1"/>
  <c r="K23" i="39"/>
  <c r="J23" i="39" s="1"/>
  <c r="W24" i="39"/>
  <c r="V24" i="39" s="1"/>
  <c r="AU22" i="39"/>
  <c r="AT22" i="39" s="1"/>
  <c r="W22" i="39"/>
  <c r="V22" i="39" s="1"/>
  <c r="BM22" i="39"/>
  <c r="BL22" i="39" s="1"/>
  <c r="AU26" i="39"/>
  <c r="AT26" i="39" s="1"/>
  <c r="K25" i="39"/>
  <c r="J25" i="39" s="1"/>
  <c r="AI28" i="39"/>
  <c r="AH28" i="39" s="1"/>
  <c r="BM21" i="39"/>
  <c r="BL21" i="39" s="1"/>
  <c r="W26" i="39"/>
  <c r="V26" i="39" s="1"/>
  <c r="AU8" i="39"/>
  <c r="AT8" i="39" s="1"/>
  <c r="BM15" i="39"/>
  <c r="BL15" i="39" s="1"/>
  <c r="K11" i="39"/>
  <c r="J11" i="39" s="1"/>
  <c r="K6" i="39"/>
  <c r="J6" i="39" s="1"/>
  <c r="AU17" i="39"/>
  <c r="AT17" i="39" s="1"/>
  <c r="BM8" i="39"/>
  <c r="BL8" i="39" s="1"/>
  <c r="BM19" i="39"/>
  <c r="BL19" i="39" s="1"/>
  <c r="AI11" i="39"/>
  <c r="AH11" i="39" s="1"/>
  <c r="K9" i="39"/>
  <c r="J9" i="39" s="1"/>
  <c r="W18" i="39"/>
  <c r="V18" i="39" s="1"/>
  <c r="AI13" i="39"/>
  <c r="AH13" i="39" s="1"/>
  <c r="AU15" i="39"/>
  <c r="AT15" i="39" s="1"/>
  <c r="W6" i="39"/>
  <c r="V6" i="39" s="1"/>
  <c r="H221" i="11" s="1"/>
  <c r="AI10" i="39"/>
  <c r="AH10" i="39" s="1"/>
  <c r="AI14" i="39"/>
  <c r="AH14" i="39" s="1"/>
  <c r="K14" i="39"/>
  <c r="J14" i="39" s="1"/>
  <c r="BM16" i="39"/>
  <c r="BL16" i="39" s="1"/>
  <c r="BM6" i="39"/>
  <c r="BL6" i="39" s="1"/>
  <c r="BM10" i="39"/>
  <c r="BL10" i="39" s="1"/>
  <c r="AI15" i="39"/>
  <c r="AH15" i="39" s="1"/>
  <c r="AU16" i="39"/>
  <c r="AT16" i="39" s="1"/>
  <c r="K8" i="39"/>
  <c r="J8" i="39" s="1"/>
  <c r="AU6" i="39"/>
  <c r="AT6" i="39" s="1"/>
  <c r="AI9" i="39"/>
  <c r="AH9" i="39" s="1"/>
  <c r="AI8" i="39"/>
  <c r="AH8" i="39" s="1"/>
  <c r="AU13" i="39"/>
  <c r="AT13" i="39" s="1"/>
  <c r="W7" i="39"/>
  <c r="V7" i="39" s="1"/>
  <c r="K7" i="39"/>
  <c r="J7" i="39" s="1"/>
  <c r="K13" i="39"/>
  <c r="J13" i="39" s="1"/>
  <c r="W13" i="39"/>
  <c r="V13" i="39" s="1"/>
  <c r="BM11" i="39"/>
  <c r="BL11" i="39" s="1"/>
  <c r="BM17" i="39"/>
  <c r="BL17" i="39" s="1"/>
  <c r="AU18" i="39"/>
  <c r="AT18" i="39" s="1"/>
  <c r="K15" i="39"/>
  <c r="J15" i="39" s="1"/>
  <c r="W12" i="39"/>
  <c r="V12" i="39" s="1"/>
  <c r="W15" i="39"/>
  <c r="V15" i="39" s="1"/>
  <c r="AI18" i="39"/>
  <c r="AH18" i="39" s="1"/>
  <c r="AU9" i="39"/>
  <c r="AT9" i="39" s="1"/>
  <c r="W14" i="39"/>
  <c r="V14" i="39" s="1"/>
  <c r="AU14" i="39"/>
  <c r="AT14" i="39" s="1"/>
  <c r="BM18" i="39"/>
  <c r="BL18" i="39" s="1"/>
  <c r="BM14" i="39"/>
  <c r="BL14" i="39" s="1"/>
  <c r="W9" i="39"/>
  <c r="V9" i="39" s="1"/>
  <c r="AI17" i="39"/>
  <c r="AH17" i="39" s="1"/>
  <c r="W10" i="39"/>
  <c r="V10" i="39" s="1"/>
  <c r="AI16" i="39"/>
  <c r="AH16" i="39" s="1"/>
  <c r="BM12" i="39"/>
  <c r="BL12" i="39" s="1"/>
  <c r="BM7" i="39"/>
  <c r="BL7" i="39" s="1"/>
  <c r="AI6" i="39"/>
  <c r="AH6" i="39" s="1"/>
  <c r="M221" i="11" s="1"/>
  <c r="W11" i="39"/>
  <c r="V11" i="39" s="1"/>
  <c r="W19" i="39"/>
  <c r="V19" i="39" s="1"/>
  <c r="AU10" i="39"/>
  <c r="AT10" i="39" s="1"/>
  <c r="AI19" i="39"/>
  <c r="AH19" i="39" s="1"/>
  <c r="K10" i="39"/>
  <c r="J10" i="39" s="1"/>
  <c r="K16" i="39"/>
  <c r="J16" i="39" s="1"/>
  <c r="AU12" i="39"/>
  <c r="AT12" i="39" s="1"/>
  <c r="W17" i="39"/>
  <c r="V17" i="39" s="1"/>
  <c r="BM9" i="39"/>
  <c r="BL9" i="39" s="1"/>
  <c r="W8" i="39"/>
  <c r="V8" i="39" s="1"/>
  <c r="AU19" i="39"/>
  <c r="AT19" i="39" s="1"/>
  <c r="AU11" i="39"/>
  <c r="AT11" i="39" s="1"/>
  <c r="K12" i="39"/>
  <c r="J12" i="39" s="1"/>
  <c r="AU7" i="39"/>
  <c r="AT7" i="39" s="1"/>
  <c r="K18" i="39"/>
  <c r="J18" i="39" s="1"/>
  <c r="BM13" i="39"/>
  <c r="BL13" i="39" s="1"/>
  <c r="BM20" i="39"/>
  <c r="BL20" i="39" s="1"/>
  <c r="K17" i="39"/>
  <c r="J17" i="39" s="1"/>
  <c r="W16" i="39"/>
  <c r="V16" i="39" s="1"/>
  <c r="AI7" i="39"/>
  <c r="AH7" i="39" s="1"/>
  <c r="K19" i="39"/>
  <c r="J19" i="39" s="1"/>
  <c r="AU20" i="39"/>
  <c r="AT20" i="39" s="1"/>
  <c r="AI12" i="39"/>
  <c r="AH12" i="39" s="1"/>
  <c r="BE17" i="39"/>
  <c r="BE12" i="39"/>
  <c r="BE14" i="39"/>
  <c r="BE10" i="39"/>
  <c r="BE9" i="39"/>
  <c r="BE13" i="39"/>
  <c r="BE11" i="39"/>
  <c r="BE6" i="39"/>
  <c r="BE19" i="39"/>
  <c r="BE7" i="39"/>
  <c r="BE16" i="39"/>
  <c r="BE20" i="39"/>
  <c r="BE18" i="39"/>
  <c r="BE15" i="39"/>
  <c r="BE8" i="39"/>
  <c r="F27" i="12"/>
  <c r="G27" i="12" s="1"/>
  <c r="W74" i="11"/>
  <c r="U89" i="11"/>
  <c r="W87" i="11"/>
  <c r="U64" i="11"/>
  <c r="W100" i="11"/>
  <c r="U102" i="11"/>
  <c r="W91" i="11"/>
  <c r="U74" i="11"/>
  <c r="U83" i="11"/>
  <c r="W77" i="11"/>
  <c r="U78" i="11"/>
  <c r="U97" i="11"/>
  <c r="U90" i="11"/>
  <c r="W75" i="11"/>
  <c r="U95" i="11"/>
  <c r="U82" i="11"/>
  <c r="U96" i="11"/>
  <c r="U67" i="11"/>
  <c r="U77" i="11"/>
  <c r="U86" i="11"/>
  <c r="U103" i="11"/>
  <c r="W96" i="11"/>
  <c r="W99" i="11"/>
  <c r="U105" i="11"/>
  <c r="U75" i="11"/>
  <c r="U73" i="11"/>
  <c r="U99" i="11"/>
  <c r="W102" i="11"/>
  <c r="W67" i="11"/>
  <c r="U100" i="11"/>
  <c r="W101" i="11"/>
  <c r="G6" i="12"/>
  <c r="W95" i="11"/>
  <c r="U88" i="11"/>
  <c r="U80" i="11"/>
  <c r="W76" i="11"/>
  <c r="U69" i="11"/>
  <c r="W105" i="11"/>
  <c r="U65" i="11"/>
  <c r="W86" i="11"/>
  <c r="W89" i="11"/>
  <c r="W72" i="11"/>
  <c r="W73" i="11"/>
  <c r="U68" i="11"/>
  <c r="U101" i="11"/>
  <c r="W68" i="11"/>
  <c r="W69" i="11"/>
  <c r="U66" i="11"/>
  <c r="W92" i="11"/>
  <c r="U93" i="11"/>
  <c r="W70" i="11"/>
  <c r="W79" i="11"/>
  <c r="U71" i="11"/>
  <c r="W93" i="11"/>
  <c r="W83" i="11"/>
  <c r="W80" i="11"/>
  <c r="W81" i="11"/>
  <c r="U76" i="11"/>
  <c r="W98" i="11"/>
  <c r="W66" i="11"/>
  <c r="W94" i="11"/>
  <c r="W82" i="11"/>
  <c r="W65" i="11"/>
  <c r="W103" i="11"/>
  <c r="U94" i="11"/>
  <c r="U87" i="11"/>
  <c r="U70" i="11"/>
  <c r="W88" i="11"/>
  <c r="W104" i="11"/>
  <c r="U81" i="11"/>
  <c r="W78" i="11"/>
  <c r="W71" i="11"/>
  <c r="U104" i="11"/>
  <c r="U79" i="11"/>
  <c r="W97" i="11"/>
  <c r="U92" i="11"/>
  <c r="W64" i="11"/>
  <c r="U98" i="11"/>
  <c r="U91" i="11"/>
  <c r="U72" i="11"/>
  <c r="F28" i="12" l="1"/>
  <c r="G28" i="12" s="1"/>
  <c r="E26" i="12" s="1"/>
  <c r="R5" i="39" s="1"/>
  <c r="N6" i="39" l="1"/>
  <c r="Z6" i="39"/>
  <c r="AL6" i="39"/>
  <c r="AX6" i="39"/>
  <c r="C58" i="12"/>
  <c r="C56" i="12"/>
  <c r="C61" i="12"/>
  <c r="C60" i="12"/>
  <c r="C59" i="12"/>
  <c r="C57" i="12"/>
  <c r="AX7" i="39" l="1"/>
  <c r="AL7" i="39"/>
  <c r="Z7" i="39"/>
  <c r="N7" i="39"/>
  <c r="AL8" i="39" l="1"/>
  <c r="AL9" i="39" s="1"/>
  <c r="AL10" i="39" s="1"/>
  <c r="AL11" i="39" s="1"/>
  <c r="AL12" i="39" s="1"/>
  <c r="AL13" i="39" s="1"/>
  <c r="AX8" i="39"/>
  <c r="AX9" i="39" s="1"/>
  <c r="N8" i="39"/>
  <c r="Z8" i="39"/>
  <c r="Z9" i="39" l="1"/>
  <c r="Z10" i="39" s="1"/>
  <c r="AX10" i="39"/>
  <c r="N9" i="39"/>
  <c r="AL14" i="39"/>
  <c r="AL15" i="39" s="1"/>
  <c r="AX11" i="39" l="1"/>
  <c r="AX12" i="39" s="1"/>
  <c r="N10" i="39"/>
  <c r="AL16" i="39"/>
  <c r="Z11" i="39"/>
  <c r="AX13" i="39" l="1"/>
  <c r="AX14" i="39" s="1"/>
  <c r="AX15" i="39" s="1"/>
  <c r="AX16" i="39" s="1"/>
  <c r="AL17" i="39"/>
  <c r="N11" i="39"/>
  <c r="Z12" i="39"/>
  <c r="AL18" i="39" l="1"/>
  <c r="AL19" i="39" s="1"/>
  <c r="AL20" i="39" s="1"/>
  <c r="AX17" i="39"/>
  <c r="AX18" i="39" s="1"/>
  <c r="N12" i="39"/>
  <c r="Z13" i="39"/>
  <c r="AX19" i="39" l="1"/>
  <c r="AX20" i="39" s="1"/>
  <c r="AL21" i="39"/>
  <c r="AL22" i="39" s="1"/>
  <c r="AL23" i="39" s="1"/>
  <c r="AL24" i="39" s="1"/>
  <c r="AL25" i="39" s="1"/>
  <c r="AL26" i="39" s="1"/>
  <c r="AL27" i="39" s="1"/>
  <c r="AL28" i="39" s="1"/>
  <c r="AL29" i="39" s="1"/>
  <c r="AL30" i="39" s="1"/>
  <c r="AL31" i="39" s="1"/>
  <c r="AL32" i="39" s="1"/>
  <c r="AL33" i="39" s="1"/>
  <c r="AL34" i="39" s="1"/>
  <c r="AL35" i="39" s="1"/>
  <c r="AL36" i="39" s="1"/>
  <c r="AL37" i="39" s="1"/>
  <c r="AL38" i="39" s="1"/>
  <c r="AL39" i="39" s="1"/>
  <c r="AL40" i="39" s="1"/>
  <c r="AL41" i="39" s="1"/>
  <c r="AL42" i="39" s="1"/>
  <c r="AL43" i="39" s="1"/>
  <c r="AL44" i="39" s="1"/>
  <c r="AL45" i="39" s="1"/>
  <c r="AL46" i="39" s="1"/>
  <c r="AL47" i="39" s="1"/>
  <c r="AL48" i="39" s="1"/>
  <c r="N13" i="39"/>
  <c r="Z14" i="39"/>
  <c r="Z15" i="39" s="1"/>
  <c r="Z16" i="39" s="1"/>
  <c r="Z17" i="39" s="1"/>
  <c r="Z18" i="39" s="1"/>
  <c r="Z19" i="39" s="1"/>
  <c r="Z20" i="39" s="1"/>
  <c r="AX21" i="39" l="1"/>
  <c r="AX22" i="39" s="1"/>
  <c r="AX23" i="39" s="1"/>
  <c r="AX24" i="39" s="1"/>
  <c r="AX25" i="39" s="1"/>
  <c r="AX26" i="39" s="1"/>
  <c r="AX27" i="39" s="1"/>
  <c r="AX28" i="39" s="1"/>
  <c r="AX29" i="39" s="1"/>
  <c r="AX30" i="39" s="1"/>
  <c r="AX31" i="39" s="1"/>
  <c r="AX32" i="39" s="1"/>
  <c r="AX33" i="39" s="1"/>
  <c r="AX34" i="39" s="1"/>
  <c r="AX35" i="39" s="1"/>
  <c r="AX36" i="39" s="1"/>
  <c r="AX37" i="39" s="1"/>
  <c r="AX38" i="39" s="1"/>
  <c r="AX39" i="39" s="1"/>
  <c r="AX40" i="39" s="1"/>
  <c r="AX41" i="39" s="1"/>
  <c r="AX42" i="39" s="1"/>
  <c r="AX43" i="39" s="1"/>
  <c r="AX44" i="39" s="1"/>
  <c r="AX45" i="39" s="1"/>
  <c r="AX46" i="39" s="1"/>
  <c r="AX47" i="39" s="1"/>
  <c r="AX48" i="39" s="1"/>
  <c r="AM41" i="39"/>
  <c r="AM15" i="39"/>
  <c r="AM27" i="39"/>
  <c r="AM46" i="39"/>
  <c r="AM33" i="39"/>
  <c r="AM30" i="39"/>
  <c r="AM12" i="39"/>
  <c r="AM29" i="39"/>
  <c r="AM31" i="39"/>
  <c r="AM37" i="39"/>
  <c r="AM8" i="39"/>
  <c r="AM19" i="39"/>
  <c r="AM16" i="39"/>
  <c r="AM9" i="39"/>
  <c r="AM21" i="39"/>
  <c r="AM35" i="39"/>
  <c r="AM45" i="39"/>
  <c r="AM28" i="39"/>
  <c r="AM39" i="39"/>
  <c r="AM43" i="39"/>
  <c r="AM40" i="39"/>
  <c r="AM25" i="39"/>
  <c r="AM10" i="39"/>
  <c r="AM14" i="39"/>
  <c r="AM7" i="39"/>
  <c r="AM17" i="39"/>
  <c r="AM23" i="39"/>
  <c r="AM36" i="39"/>
  <c r="AM32" i="39"/>
  <c r="AM34" i="39"/>
  <c r="AM13" i="39"/>
  <c r="AM6" i="39"/>
  <c r="E7" i="12" s="1"/>
  <c r="AM22" i="39"/>
  <c r="AM42" i="39"/>
  <c r="AM38" i="39"/>
  <c r="AM48" i="39"/>
  <c r="AM26" i="39"/>
  <c r="AM11" i="39"/>
  <c r="AM18" i="39"/>
  <c r="AM24" i="39"/>
  <c r="AM44" i="39"/>
  <c r="AM47" i="39"/>
  <c r="AM20" i="39"/>
  <c r="Z21" i="39"/>
  <c r="Z22" i="39" s="1"/>
  <c r="Z23" i="39" s="1"/>
  <c r="Z24" i="39" s="1"/>
  <c r="Z25" i="39" s="1"/>
  <c r="Z26" i="39" s="1"/>
  <c r="N14" i="39"/>
  <c r="N15" i="39" s="1"/>
  <c r="AY6" i="39" l="1"/>
  <c r="E9" i="12" s="1"/>
  <c r="AY12" i="39"/>
  <c r="AY20" i="39"/>
  <c r="AY16" i="39"/>
  <c r="AY27" i="39"/>
  <c r="AY35" i="39"/>
  <c r="AY25" i="39"/>
  <c r="AY9" i="39"/>
  <c r="AY47" i="39"/>
  <c r="AY33" i="39"/>
  <c r="AY17" i="39"/>
  <c r="AY7" i="39"/>
  <c r="AY26" i="39"/>
  <c r="AY23" i="39"/>
  <c r="AY22" i="39"/>
  <c r="AY24" i="39"/>
  <c r="AY43" i="39"/>
  <c r="AY30" i="39"/>
  <c r="AY10" i="39"/>
  <c r="AY41" i="39"/>
  <c r="AY34" i="39"/>
  <c r="AY21" i="39"/>
  <c r="AY37" i="39"/>
  <c r="AY11" i="39"/>
  <c r="AY40" i="39"/>
  <c r="AY29" i="39"/>
  <c r="AY38" i="39"/>
  <c r="AY32" i="39"/>
  <c r="AY46" i="39"/>
  <c r="AY14" i="39"/>
  <c r="AY18" i="39"/>
  <c r="AY19" i="39"/>
  <c r="AY45" i="39"/>
  <c r="AY44" i="39"/>
  <c r="AY28" i="39"/>
  <c r="AY13" i="39"/>
  <c r="AY15" i="39"/>
  <c r="AY8" i="39"/>
  <c r="AY31" i="39"/>
  <c r="AY39" i="39"/>
  <c r="AY48" i="39"/>
  <c r="AY36" i="39"/>
  <c r="AY42" i="39"/>
  <c r="Z27" i="39"/>
  <c r="N16" i="39"/>
  <c r="Z28" i="39" l="1"/>
  <c r="N17" i="39"/>
  <c r="Z29" i="39" l="1"/>
  <c r="Z30" i="39" s="1"/>
  <c r="Z31" i="39" s="1"/>
  <c r="Z32" i="39" s="1"/>
  <c r="Z33" i="39" s="1"/>
  <c r="Z34" i="39" s="1"/>
  <c r="Z35" i="39" s="1"/>
  <c r="N18" i="39"/>
  <c r="Z36" i="39" l="1"/>
  <c r="Z37" i="39" s="1"/>
  <c r="Z38" i="39" s="1"/>
  <c r="N19" i="39"/>
  <c r="N20" i="39" l="1"/>
  <c r="N21" i="39" s="1"/>
  <c r="N22" i="39" s="1"/>
  <c r="N23" i="39" s="1"/>
  <c r="N24" i="39" s="1"/>
  <c r="N25" i="39" s="1"/>
  <c r="N26" i="39" s="1"/>
  <c r="N27" i="39" s="1"/>
  <c r="N28" i="39" s="1"/>
  <c r="N29" i="39" s="1"/>
  <c r="N30" i="39" s="1"/>
  <c r="N31" i="39" s="1"/>
  <c r="N32" i="39" s="1"/>
  <c r="N33" i="39" s="1"/>
  <c r="N34" i="39" s="1"/>
  <c r="N35" i="39" s="1"/>
  <c r="N36" i="39" s="1"/>
  <c r="N37" i="39" s="1"/>
  <c r="N38" i="39" s="1"/>
  <c r="N39" i="39" s="1"/>
  <c r="N40" i="39" s="1"/>
  <c r="N41" i="39" s="1"/>
  <c r="N42" i="39" s="1"/>
  <c r="N43" i="39" s="1"/>
  <c r="N44" i="39" s="1"/>
  <c r="N45" i="39" s="1"/>
  <c r="N46" i="39" s="1"/>
  <c r="N47" i="39" s="1"/>
  <c r="N48" i="39" s="1"/>
  <c r="Z39" i="39"/>
  <c r="O31" i="39" l="1"/>
  <c r="O8" i="39"/>
  <c r="O42" i="39"/>
  <c r="O7" i="39"/>
  <c r="O47" i="39"/>
  <c r="O43" i="39"/>
  <c r="O20" i="39"/>
  <c r="O9" i="39"/>
  <c r="O18" i="39"/>
  <c r="O21" i="39"/>
  <c r="O10" i="39"/>
  <c r="O15" i="39"/>
  <c r="O32" i="39"/>
  <c r="Z40" i="39"/>
  <c r="O22" i="39"/>
  <c r="O11" i="39"/>
  <c r="O33" i="39"/>
  <c r="O16" i="39"/>
  <c r="O37" i="39"/>
  <c r="O19" i="39"/>
  <c r="O12" i="39"/>
  <c r="O40" i="39"/>
  <c r="O6" i="39"/>
  <c r="O36" i="39"/>
  <c r="O30" i="39"/>
  <c r="O34" i="39"/>
  <c r="O45" i="39"/>
  <c r="O26" i="39"/>
  <c r="O44" i="39"/>
  <c r="O46" i="39"/>
  <c r="O25" i="39"/>
  <c r="O35" i="39"/>
  <c r="O39" i="39"/>
  <c r="O27" i="39"/>
  <c r="O29" i="39"/>
  <c r="O28" i="39"/>
  <c r="O23" i="39"/>
  <c r="O24" i="39"/>
  <c r="O48" i="39"/>
  <c r="O38" i="39"/>
  <c r="O14" i="39"/>
  <c r="O17" i="39"/>
  <c r="O13" i="39"/>
  <c r="O41" i="39"/>
  <c r="E3" i="12" l="1"/>
  <c r="Z41" i="39"/>
  <c r="Z42" i="39" l="1"/>
  <c r="Z43" i="39" l="1"/>
  <c r="Z44" i="39" s="1"/>
  <c r="Z45" i="39" s="1"/>
  <c r="Z46" i="39" s="1"/>
  <c r="Z47" i="39" s="1"/>
  <c r="Z48" i="39" s="1"/>
  <c r="AA47" i="39" s="1"/>
  <c r="AA39" i="39" l="1"/>
  <c r="AA8" i="39"/>
  <c r="AA42" i="39"/>
  <c r="AA40" i="39"/>
  <c r="AA20" i="39"/>
  <c r="AA36" i="39"/>
  <c r="AA34" i="39"/>
  <c r="AA37" i="39"/>
  <c r="AA6" i="39"/>
  <c r="AA32" i="39"/>
  <c r="AA29" i="39"/>
  <c r="AA31" i="39"/>
  <c r="AA33" i="39"/>
  <c r="AA25" i="39"/>
  <c r="AA41" i="39"/>
  <c r="AA35" i="39"/>
  <c r="AA23" i="39"/>
  <c r="AA43" i="39"/>
  <c r="AA16" i="39"/>
  <c r="AA10" i="39"/>
  <c r="AA38" i="39"/>
  <c r="AA30" i="39"/>
  <c r="AA22" i="39"/>
  <c r="AA27" i="39"/>
  <c r="AA11" i="39"/>
  <c r="AA24" i="39"/>
  <c r="AA13" i="39"/>
  <c r="AA12" i="39"/>
  <c r="AA21" i="39"/>
  <c r="AA18" i="39"/>
  <c r="AA14" i="39"/>
  <c r="AA7" i="39"/>
  <c r="AA46" i="39"/>
  <c r="AA48" i="39"/>
  <c r="AA26" i="39"/>
  <c r="AA45" i="39"/>
  <c r="AA17" i="39"/>
  <c r="AA28" i="39"/>
  <c r="AA9" i="39"/>
  <c r="AA15" i="39"/>
  <c r="AA44" i="39"/>
  <c r="AA19" i="39"/>
  <c r="E5" i="12" l="1"/>
  <c r="G4" i="12" s="1"/>
  <c r="F4" i="12" s="1"/>
  <c r="J221" i="11"/>
  <c r="G2"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Derek</author>
  </authors>
  <commentList>
    <comment ref="F3" authorId="0" shapeId="0" xr:uid="{00000000-0006-0000-0300-000001000000}">
      <text>
        <r>
          <rPr>
            <sz val="9"/>
            <color indexed="81"/>
            <rFont val="Tahoma"/>
            <family val="2"/>
          </rPr>
          <t xml:space="preserve">Is the starting lineup full?
</t>
        </r>
      </text>
    </comment>
    <comment ref="G3" authorId="0" shapeId="0" xr:uid="{00000000-0006-0000-0300-000002000000}">
      <text>
        <r>
          <rPr>
            <sz val="9"/>
            <color indexed="81"/>
            <rFont val="Tahoma"/>
            <family val="2"/>
          </rPr>
          <t xml:space="preserve"># of QBs Picked
</t>
        </r>
      </text>
    </comment>
    <comment ref="F5" authorId="0" shapeId="0" xr:uid="{00000000-0006-0000-0300-000003000000}">
      <text>
        <r>
          <rPr>
            <sz val="9"/>
            <color indexed="81"/>
            <rFont val="Tahoma"/>
            <family val="2"/>
          </rPr>
          <t xml:space="preserve"># of WR + Flex
</t>
        </r>
      </text>
    </comment>
    <comment ref="G5" authorId="0" shapeId="0" xr:uid="{00000000-0006-0000-0300-000004000000}">
      <text>
        <r>
          <rPr>
            <sz val="9"/>
            <color indexed="81"/>
            <rFont val="Tahoma"/>
            <family val="2"/>
          </rPr>
          <t xml:space="preserve"># of RBs Picked
</t>
        </r>
      </text>
    </comment>
    <comment ref="G6" authorId="0" shapeId="0" xr:uid="{00000000-0006-0000-0300-000005000000}">
      <text>
        <r>
          <rPr>
            <sz val="9"/>
            <color indexed="81"/>
            <rFont val="Tahoma"/>
            <family val="2"/>
          </rPr>
          <t xml:space="preserve"># of RBs and WRs Picked
</t>
        </r>
      </text>
    </comment>
    <comment ref="F7" authorId="0" shapeId="0" xr:uid="{00000000-0006-0000-0300-000006000000}">
      <text>
        <r>
          <rPr>
            <sz val="9"/>
            <color indexed="81"/>
            <rFont val="Tahoma"/>
            <family val="2"/>
          </rPr>
          <t xml:space="preserve"># of WR + Flex
</t>
        </r>
      </text>
    </comment>
    <comment ref="G7" authorId="0" shapeId="0" xr:uid="{00000000-0006-0000-0300-000007000000}">
      <text>
        <r>
          <rPr>
            <b/>
            <sz val="9"/>
            <color indexed="81"/>
            <rFont val="Tahoma"/>
            <family val="2"/>
          </rPr>
          <t xml:space="preserve"># of WRs picked
</t>
        </r>
      </text>
    </comment>
    <comment ref="G9" authorId="0" shapeId="0" xr:uid="{00000000-0006-0000-0300-000008000000}">
      <text>
        <r>
          <rPr>
            <b/>
            <sz val="9"/>
            <color indexed="81"/>
            <rFont val="Tahoma"/>
            <family val="2"/>
          </rPr>
          <t xml:space="preserve"># of Tes Picked
</t>
        </r>
        <r>
          <rPr>
            <sz val="9"/>
            <color indexed="81"/>
            <rFont val="Tahoma"/>
            <family val="2"/>
          </rPr>
          <t xml:space="preserve">
</t>
        </r>
      </text>
    </comment>
    <comment ref="F12" authorId="0" shapeId="0" xr:uid="{00000000-0006-0000-0300-000009000000}">
      <text>
        <r>
          <rPr>
            <b/>
            <sz val="9"/>
            <color indexed="81"/>
            <rFont val="Tahoma"/>
            <family val="2"/>
          </rPr>
          <t>Round Targeted</t>
        </r>
      </text>
    </comment>
    <comment ref="G12" authorId="0" shapeId="0" xr:uid="{00000000-0006-0000-0300-00000A000000}">
      <text>
        <r>
          <rPr>
            <b/>
            <sz val="9"/>
            <color indexed="81"/>
            <rFont val="Tahoma"/>
            <family val="2"/>
          </rPr>
          <t>Last Chance to take player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Pastor Derek</author>
  </authors>
  <commentList>
    <comment ref="F5" authorId="0" shapeId="0" xr:uid="{00000000-0006-0000-0700-000001000000}">
      <text>
        <r>
          <rPr>
            <sz val="9"/>
            <color indexed="81"/>
            <rFont val="Tahoma"/>
            <family val="2"/>
          </rPr>
          <t xml:space="preserve">Set this to 'Tiered Points' (default) if you want all players in the same tier to have the same projected point output. Set to 'Projected Points' if you want each individual player's projected point total.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Pastor Derek</author>
  </authors>
  <commentList>
    <comment ref="F5" authorId="0" shapeId="0" xr:uid="{00000000-0006-0000-0800-000001000000}">
      <text>
        <r>
          <rPr>
            <sz val="9"/>
            <color indexed="81"/>
            <rFont val="Tahoma"/>
            <family val="2"/>
          </rPr>
          <t xml:space="preserve">Set this to 'Tiered Points' (default) if you want all players in the same tier to have the same projected point output. Set to 'Projected Points' if you want each individual player's projected point total.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Pastor Derek</author>
  </authors>
  <commentList>
    <comment ref="F5" authorId="0" shapeId="0" xr:uid="{00000000-0006-0000-0900-000001000000}">
      <text>
        <r>
          <rPr>
            <sz val="9"/>
            <color indexed="81"/>
            <rFont val="Tahoma"/>
            <family val="2"/>
          </rPr>
          <t xml:space="preserve">Set this to 'Tiered Points' (default) if you want all players in the same tier to have the same projected point output. Set to 'Projected Points' if you want each individual player's projected point total.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Pastor Derek</author>
  </authors>
  <commentList>
    <comment ref="D5" authorId="0" shapeId="0" xr:uid="{00000000-0006-0000-0A00-000001000000}">
      <text>
        <r>
          <rPr>
            <b/>
            <sz val="9"/>
            <color indexed="81"/>
            <rFont val="Tahoma"/>
            <family val="2"/>
          </rPr>
          <t xml:space="preserve">If you're using Beersheets, you'll need to make sure these names match the spelling of these names matches the spellings on the 'ADP' tab. </t>
        </r>
        <r>
          <rPr>
            <sz val="9"/>
            <color indexed="81"/>
            <rFont val="Tahoma"/>
            <family val="2"/>
          </rPr>
          <t xml:space="preserve">
</t>
        </r>
      </text>
    </comment>
    <comment ref="F5" authorId="0" shapeId="0" xr:uid="{00000000-0006-0000-0A00-000002000000}">
      <text>
        <r>
          <rPr>
            <sz val="9"/>
            <color indexed="81"/>
            <rFont val="Tahoma"/>
            <family val="2"/>
          </rPr>
          <t xml:space="preserve">Set this to 'Tiered Points' (default) if you want all players in the same tier to have the same projected point output. Set to 'Projected Points' if you want each individual player's projected point total.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1" type="4" refreshedVersion="4" deleted="1" background="1" saveData="1">
    <webPr sourceData="1" parsePre="1" consecutive="1" xl2000="1" htmlTables="1"/>
  </connection>
</connections>
</file>

<file path=xl/sharedStrings.xml><?xml version="1.0" encoding="utf-8"?>
<sst xmlns="http://schemas.openxmlformats.org/spreadsheetml/2006/main" count="16363" uniqueCount="2585">
  <si>
    <t>PP</t>
  </si>
  <si>
    <t>QB</t>
  </si>
  <si>
    <t>LeSean McCoy</t>
  </si>
  <si>
    <t>RB</t>
  </si>
  <si>
    <t>Jamaal Charles</t>
  </si>
  <si>
    <t>Adrian Peterson</t>
  </si>
  <si>
    <t>WR</t>
  </si>
  <si>
    <t>TE</t>
  </si>
  <si>
    <t>Jimmy Graham</t>
  </si>
  <si>
    <t>Matt Forte</t>
  </si>
  <si>
    <t>Marshawn Lynch</t>
  </si>
  <si>
    <t>K</t>
  </si>
  <si>
    <t>Eddie Lacy</t>
  </si>
  <si>
    <t>Aaron Rodgers</t>
  </si>
  <si>
    <t>Demaryius Thomas</t>
  </si>
  <si>
    <t>Julius Thomas</t>
  </si>
  <si>
    <t>Drew Brees</t>
  </si>
  <si>
    <t>Dez Bryant</t>
  </si>
  <si>
    <t>Rob Gronkowski</t>
  </si>
  <si>
    <t>Justin Tucker</t>
  </si>
  <si>
    <t>Andrew Luck</t>
  </si>
  <si>
    <t>A.J. Green</t>
  </si>
  <si>
    <t>Vernon Davis</t>
  </si>
  <si>
    <t>Matt Prater</t>
  </si>
  <si>
    <t>Matthew Stafford</t>
  </si>
  <si>
    <t>Brandon Marshall</t>
  </si>
  <si>
    <t>Cam Newton</t>
  </si>
  <si>
    <t>Julio Jones</t>
  </si>
  <si>
    <t>Jason Witten</t>
  </si>
  <si>
    <t>Jordy Nelson</t>
  </si>
  <si>
    <t>Greg Olsen</t>
  </si>
  <si>
    <t>Nick Foles</t>
  </si>
  <si>
    <t>DeMarco Murray</t>
  </si>
  <si>
    <t>Alshon Jeffery</t>
  </si>
  <si>
    <t>Dennis Pitta</t>
  </si>
  <si>
    <t>Tom Brady</t>
  </si>
  <si>
    <t>Antonio Brown</t>
  </si>
  <si>
    <t>Jordan Reed</t>
  </si>
  <si>
    <t>Matt Ryan</t>
  </si>
  <si>
    <t>Montee Ball</t>
  </si>
  <si>
    <t>Randall Cobb</t>
  </si>
  <si>
    <t>Kyle Rudolph</t>
  </si>
  <si>
    <t>Doug Martin</t>
  </si>
  <si>
    <t>Vincent Jackson</t>
  </si>
  <si>
    <t>Martellus Bennett</t>
  </si>
  <si>
    <t>Russell Wilson</t>
  </si>
  <si>
    <t>Giovani Bernard</t>
  </si>
  <si>
    <t>Larry Fitzgerald</t>
  </si>
  <si>
    <t>Zach Ertz</t>
  </si>
  <si>
    <t>Tony Romo</t>
  </si>
  <si>
    <t>Antonio Gates</t>
  </si>
  <si>
    <t>Philip Rivers</t>
  </si>
  <si>
    <t>Alfred Morris</t>
  </si>
  <si>
    <t>Keenan Allen</t>
  </si>
  <si>
    <t>Charles Clay</t>
  </si>
  <si>
    <t>Jay Cutler</t>
  </si>
  <si>
    <t>Reggie Bush</t>
  </si>
  <si>
    <t>Pierre Garcon</t>
  </si>
  <si>
    <t>Eric Ebron</t>
  </si>
  <si>
    <t>Ben Roethlisberger</t>
  </si>
  <si>
    <t>Ryan Mathews</t>
  </si>
  <si>
    <t>Victor Cruz</t>
  </si>
  <si>
    <t>Ladarius Green</t>
  </si>
  <si>
    <t>Andy Dalton</t>
  </si>
  <si>
    <t>Andre Ellington</t>
  </si>
  <si>
    <t>C.J. Spiller</t>
  </si>
  <si>
    <t>Michael Crabtree</t>
  </si>
  <si>
    <t>Eli Manning</t>
  </si>
  <si>
    <t>Frank Gore</t>
  </si>
  <si>
    <t>DeSean Jackson</t>
  </si>
  <si>
    <t>Alex Smith</t>
  </si>
  <si>
    <t>Rashad Jennings</t>
  </si>
  <si>
    <t>Percy Harvin</t>
  </si>
  <si>
    <t>Teddy Bridgewater</t>
  </si>
  <si>
    <t>Bishop Sankey</t>
  </si>
  <si>
    <t>Josh McCown</t>
  </si>
  <si>
    <t>Cordarrelle Patterson</t>
  </si>
  <si>
    <t>Joe Flacco</t>
  </si>
  <si>
    <t>Chris Johnson</t>
  </si>
  <si>
    <t>Ryan Tannehill</t>
  </si>
  <si>
    <t>Michael Floyd</t>
  </si>
  <si>
    <t>Carson Palmer</t>
  </si>
  <si>
    <t>Shane Vereen</t>
  </si>
  <si>
    <t>Torrey Smith</t>
  </si>
  <si>
    <t>Julian Edelman</t>
  </si>
  <si>
    <t>Joique Bell</t>
  </si>
  <si>
    <t>Jeremy Maclin</t>
  </si>
  <si>
    <t>Steven Jackson</t>
  </si>
  <si>
    <t>Emmanuel Sanders</t>
  </si>
  <si>
    <t>Kendall Wright</t>
  </si>
  <si>
    <t>Mike Wallace</t>
  </si>
  <si>
    <t>Golden Tate</t>
  </si>
  <si>
    <t>Darren Sproles</t>
  </si>
  <si>
    <t>Eric Decker</t>
  </si>
  <si>
    <t>Sammy Watkins</t>
  </si>
  <si>
    <t>Danny Woodhead</t>
  </si>
  <si>
    <t>Terrance Williams</t>
  </si>
  <si>
    <t>Lamar Miller</t>
  </si>
  <si>
    <t>DeAngelo Williams</t>
  </si>
  <si>
    <t>Anquan Boldin</t>
  </si>
  <si>
    <t>Terrance West</t>
  </si>
  <si>
    <t>Khiry Robinson</t>
  </si>
  <si>
    <t>Cecil Shorts</t>
  </si>
  <si>
    <t>Bernard Pierce</t>
  </si>
  <si>
    <t>Mike Evans</t>
  </si>
  <si>
    <t>Darren McFadden</t>
  </si>
  <si>
    <t>Jeremy Hill</t>
  </si>
  <si>
    <t>Brandin Cooks</t>
  </si>
  <si>
    <t>DeAndre Hopkins</t>
  </si>
  <si>
    <t>LeGarrette Blount</t>
  </si>
  <si>
    <t>Josh Gordon</t>
  </si>
  <si>
    <t>Tavon Austin</t>
  </si>
  <si>
    <t>Danny Amendola</t>
  </si>
  <si>
    <t>Carlos Hyde</t>
  </si>
  <si>
    <t>Rueben Randle</t>
  </si>
  <si>
    <t>Christine Michael</t>
  </si>
  <si>
    <t>Kelvin Benjamin</t>
  </si>
  <si>
    <t>Devonta Freeman</t>
  </si>
  <si>
    <t>Marvin Jones</t>
  </si>
  <si>
    <t>Mark Ingram</t>
  </si>
  <si>
    <t>Jonathan Stewart</t>
  </si>
  <si>
    <t>Kenny Stills</t>
  </si>
  <si>
    <t>Knile Davis</t>
  </si>
  <si>
    <t>C.J. Anderson</t>
  </si>
  <si>
    <t>Jordan Matthews</t>
  </si>
  <si>
    <t>Doug Baldwin</t>
  </si>
  <si>
    <t>James Starks</t>
  </si>
  <si>
    <t>Justin Hunter</t>
  </si>
  <si>
    <t>Lance Dunbar</t>
  </si>
  <si>
    <t>Latavius Murray</t>
  </si>
  <si>
    <t>Robert Woods</t>
  </si>
  <si>
    <t>Markus Wheaton</t>
  </si>
  <si>
    <t>Brandon LaFell</t>
  </si>
  <si>
    <t>Harry Douglas</t>
  </si>
  <si>
    <t>Eddie Royal</t>
  </si>
  <si>
    <t>Marqise Lee</t>
  </si>
  <si>
    <t>KC</t>
  </si>
  <si>
    <t>PHI</t>
  </si>
  <si>
    <t>MIN</t>
  </si>
  <si>
    <t>GB</t>
  </si>
  <si>
    <t>SEA</t>
  </si>
  <si>
    <t>CHI</t>
  </si>
  <si>
    <t>DET</t>
  </si>
  <si>
    <t>NO</t>
  </si>
  <si>
    <t>DEN</t>
  </si>
  <si>
    <t>CIN</t>
  </si>
  <si>
    <t>DAL</t>
  </si>
  <si>
    <t>PIT</t>
  </si>
  <si>
    <t>ATL</t>
  </si>
  <si>
    <t>TB</t>
  </si>
  <si>
    <t>STL</t>
  </si>
  <si>
    <t>HOU</t>
  </si>
  <si>
    <t>WAS</t>
  </si>
  <si>
    <t>ARI</t>
  </si>
  <si>
    <t>NYG</t>
  </si>
  <si>
    <t>SF</t>
  </si>
  <si>
    <t>BUF</t>
  </si>
  <si>
    <t>NE</t>
  </si>
  <si>
    <t>IND</t>
  </si>
  <si>
    <t>CAR</t>
  </si>
  <si>
    <t>DST</t>
  </si>
  <si>
    <t>CLE</t>
  </si>
  <si>
    <t>BAL</t>
  </si>
  <si>
    <t>TEN</t>
  </si>
  <si>
    <t>NYJ</t>
  </si>
  <si>
    <t>JAC</t>
  </si>
  <si>
    <t>MIA</t>
  </si>
  <si>
    <t>OAK</t>
  </si>
  <si>
    <t>Zach Miller</t>
  </si>
  <si>
    <t>Brent Celek</t>
  </si>
  <si>
    <t>Jared Cook</t>
  </si>
  <si>
    <t xml:space="preserve"> </t>
  </si>
  <si>
    <t>Ryan Fitzpatrick</t>
  </si>
  <si>
    <t>Geno Smith</t>
  </si>
  <si>
    <t>Blake Bortles</t>
  </si>
  <si>
    <t>Brian Hoyer</t>
  </si>
  <si>
    <t>Derek Carr</t>
  </si>
  <si>
    <t>Kirk Cousins</t>
  </si>
  <si>
    <t>Mark Sanchez</t>
  </si>
  <si>
    <t>Blaine Gabbert</t>
  </si>
  <si>
    <t>Tyrod Taylor</t>
  </si>
  <si>
    <t>Brock Osweiler</t>
  </si>
  <si>
    <t>Dexter McCluster</t>
  </si>
  <si>
    <t>Andre Williams</t>
  </si>
  <si>
    <t>Charles Sims</t>
  </si>
  <si>
    <t>James White</t>
  </si>
  <si>
    <t>Rod Streater</t>
  </si>
  <si>
    <t>Andrew Hawkins</t>
  </si>
  <si>
    <t>Jeremy Kerley</t>
  </si>
  <si>
    <t>Andre Roberts</t>
  </si>
  <si>
    <t>Allen Robinson</t>
  </si>
  <si>
    <t>Kenny Britt</t>
  </si>
  <si>
    <t>Brandon Gibson</t>
  </si>
  <si>
    <t>Davante Adams</t>
  </si>
  <si>
    <t>Martavis Bryant</t>
  </si>
  <si>
    <t>Brian Quick</t>
  </si>
  <si>
    <t>Mohamed Sanu</t>
  </si>
  <si>
    <t>Cole Beasley</t>
  </si>
  <si>
    <t>Marquess Wilson</t>
  </si>
  <si>
    <t>Marlon Brown</t>
  </si>
  <si>
    <t>Darrius Heyward-Bey</t>
  </si>
  <si>
    <t>Jarvis Landry</t>
  </si>
  <si>
    <t>John Brown</t>
  </si>
  <si>
    <t>Andre Holmes</t>
  </si>
  <si>
    <t>Jermaine Kearse</t>
  </si>
  <si>
    <t>Keshawn Martin</t>
  </si>
  <si>
    <t>Donte Moncrief</t>
  </si>
  <si>
    <t>Josh Huff</t>
  </si>
  <si>
    <t>Jarius Wright</t>
  </si>
  <si>
    <t>Travis Benjamin</t>
  </si>
  <si>
    <t>Cody Latimer</t>
  </si>
  <si>
    <t>Jeremy Ross</t>
  </si>
  <si>
    <t>Jeff Janis</t>
  </si>
  <si>
    <t>Rishard Matthews</t>
  </si>
  <si>
    <t>Brice Butler</t>
  </si>
  <si>
    <t>Bruce Ellington</t>
  </si>
  <si>
    <t>Quinton Patton</t>
  </si>
  <si>
    <t>Charles Johnson</t>
  </si>
  <si>
    <t>Dwayne Harris</t>
  </si>
  <si>
    <t>Chris Hogan</t>
  </si>
  <si>
    <t>Delanie Walker</t>
  </si>
  <si>
    <t>Dwayne Allen</t>
  </si>
  <si>
    <t>Jace Amaro</t>
  </si>
  <si>
    <t>Tyler Eifert</t>
  </si>
  <si>
    <t>Marcedes Lewis</t>
  </si>
  <si>
    <t>Coby Fleener</t>
  </si>
  <si>
    <t>Mychal Rivera</t>
  </si>
  <si>
    <t>Jermaine Gresham</t>
  </si>
  <si>
    <t>Travis Kelce</t>
  </si>
  <si>
    <t>Austin Seferian-Jenkins</t>
  </si>
  <si>
    <t>Tim Wright</t>
  </si>
  <si>
    <t>Anthony Fasano</t>
  </si>
  <si>
    <t>Ryan Griffin</t>
  </si>
  <si>
    <t>Luke Willson</t>
  </si>
  <si>
    <t>Lance Kendricks</t>
  </si>
  <si>
    <t>Brandon Myers</t>
  </si>
  <si>
    <t>Benjamin Watson</t>
  </si>
  <si>
    <t>Ed Dickson</t>
  </si>
  <si>
    <t>Vance McDonald</t>
  </si>
  <si>
    <t>Dion Sims</t>
  </si>
  <si>
    <t>Jacob Tamme</t>
  </si>
  <si>
    <t>Gary Barnidge</t>
  </si>
  <si>
    <t>Larry Donnell</t>
  </si>
  <si>
    <t>Richard Rodgers</t>
  </si>
  <si>
    <t xml:space="preserve"> Player Name </t>
  </si>
  <si>
    <t>Greg Zuerlein</t>
  </si>
  <si>
    <t>ADP</t>
  </si>
  <si>
    <t>RB1</t>
  </si>
  <si>
    <t>WR1</t>
  </si>
  <si>
    <t>TE1</t>
  </si>
  <si>
    <t>QB1</t>
  </si>
  <si>
    <t>Position Rank</t>
  </si>
  <si>
    <t>RB2</t>
  </si>
  <si>
    <t>RB3</t>
  </si>
  <si>
    <t>RB4</t>
  </si>
  <si>
    <t>RB5</t>
  </si>
  <si>
    <t>RB6</t>
  </si>
  <si>
    <t>RB7</t>
  </si>
  <si>
    <t>RB8</t>
  </si>
  <si>
    <t>RB9</t>
  </si>
  <si>
    <t>RB10</t>
  </si>
  <si>
    <t>RB11</t>
  </si>
  <si>
    <t>RB12</t>
  </si>
  <si>
    <t>RB13</t>
  </si>
  <si>
    <t>RB14</t>
  </si>
  <si>
    <t>RB15</t>
  </si>
  <si>
    <t>RB16</t>
  </si>
  <si>
    <t>RB17</t>
  </si>
  <si>
    <t>RB18</t>
  </si>
  <si>
    <t>RB19</t>
  </si>
  <si>
    <t>RB20</t>
  </si>
  <si>
    <t>RB21</t>
  </si>
  <si>
    <t>RB22</t>
  </si>
  <si>
    <t>RB23</t>
  </si>
  <si>
    <t>RB24</t>
  </si>
  <si>
    <t>RB25</t>
  </si>
  <si>
    <t>RB26</t>
  </si>
  <si>
    <t>RB27</t>
  </si>
  <si>
    <t>RB28</t>
  </si>
  <si>
    <t>RB29</t>
  </si>
  <si>
    <t>RB30</t>
  </si>
  <si>
    <t>RB31</t>
  </si>
  <si>
    <t>RB32</t>
  </si>
  <si>
    <t>RB33</t>
  </si>
  <si>
    <t>RB34</t>
  </si>
  <si>
    <t>RB35</t>
  </si>
  <si>
    <t>RB36</t>
  </si>
  <si>
    <t>RB37</t>
  </si>
  <si>
    <t>RB38</t>
  </si>
  <si>
    <t>RB39</t>
  </si>
  <si>
    <t>RB40</t>
  </si>
  <si>
    <t>RB41</t>
  </si>
  <si>
    <t>RB42</t>
  </si>
  <si>
    <t>RB43</t>
  </si>
  <si>
    <t>RB44</t>
  </si>
  <si>
    <t>RB45</t>
  </si>
  <si>
    <t>RB46</t>
  </si>
  <si>
    <t>RB47</t>
  </si>
  <si>
    <t>RB48</t>
  </si>
  <si>
    <t>RB49</t>
  </si>
  <si>
    <t>RB50</t>
  </si>
  <si>
    <t>RB51</t>
  </si>
  <si>
    <t>RB52</t>
  </si>
  <si>
    <t>RB53</t>
  </si>
  <si>
    <t>RB54</t>
  </si>
  <si>
    <t>RB55</t>
  </si>
  <si>
    <t>RB56</t>
  </si>
  <si>
    <t>RB57</t>
  </si>
  <si>
    <t>RB58</t>
  </si>
  <si>
    <t>RB59</t>
  </si>
  <si>
    <t>RB60</t>
  </si>
  <si>
    <t>RB61</t>
  </si>
  <si>
    <t>RB62</t>
  </si>
  <si>
    <t>RB63</t>
  </si>
  <si>
    <t>RB64</t>
  </si>
  <si>
    <t>RB65</t>
  </si>
  <si>
    <t>RB66</t>
  </si>
  <si>
    <t>RB67</t>
  </si>
  <si>
    <t>RB68</t>
  </si>
  <si>
    <t>RB69</t>
  </si>
  <si>
    <t>RB70</t>
  </si>
  <si>
    <t>RB71</t>
  </si>
  <si>
    <t>RB72</t>
  </si>
  <si>
    <t>RB73</t>
  </si>
  <si>
    <t>RB74</t>
  </si>
  <si>
    <t>RB75</t>
  </si>
  <si>
    <t>RB76</t>
  </si>
  <si>
    <t>RB77</t>
  </si>
  <si>
    <t>RB78</t>
  </si>
  <si>
    <t>RB79</t>
  </si>
  <si>
    <t>RB80</t>
  </si>
  <si>
    <t>RB81</t>
  </si>
  <si>
    <t>RB82</t>
  </si>
  <si>
    <t>RB83</t>
  </si>
  <si>
    <t>RB84</t>
  </si>
  <si>
    <t>RB85</t>
  </si>
  <si>
    <t>RB86</t>
  </si>
  <si>
    <t>RB87</t>
  </si>
  <si>
    <t>RB88</t>
  </si>
  <si>
    <t>RB89</t>
  </si>
  <si>
    <t>RB90</t>
  </si>
  <si>
    <t>RB91</t>
  </si>
  <si>
    <t>RB92</t>
  </si>
  <si>
    <t>RB93</t>
  </si>
  <si>
    <t>RB94</t>
  </si>
  <si>
    <t>RB95</t>
  </si>
  <si>
    <t>RB96</t>
  </si>
  <si>
    <t>RB97</t>
  </si>
  <si>
    <t>RB98</t>
  </si>
  <si>
    <t>RB99</t>
  </si>
  <si>
    <t>RB100</t>
  </si>
  <si>
    <t>RB101</t>
  </si>
  <si>
    <t>RB102</t>
  </si>
  <si>
    <t>RB103</t>
  </si>
  <si>
    <t>RB104</t>
  </si>
  <si>
    <t>RB105</t>
  </si>
  <si>
    <t>RB106</t>
  </si>
  <si>
    <t>RB107</t>
  </si>
  <si>
    <t>RB108</t>
  </si>
  <si>
    <t>RB109</t>
  </si>
  <si>
    <t>RB110</t>
  </si>
  <si>
    <t>RB111</t>
  </si>
  <si>
    <t>RB112</t>
  </si>
  <si>
    <t>RB113</t>
  </si>
  <si>
    <t>RB114</t>
  </si>
  <si>
    <t>RB115</t>
  </si>
  <si>
    <t>RB116</t>
  </si>
  <si>
    <t>RB117</t>
  </si>
  <si>
    <t>RB118</t>
  </si>
  <si>
    <t>RB119</t>
  </si>
  <si>
    <t>RB120</t>
  </si>
  <si>
    <t>RB121</t>
  </si>
  <si>
    <t>RB122</t>
  </si>
  <si>
    <t>RB123</t>
  </si>
  <si>
    <t>RB124</t>
  </si>
  <si>
    <t>RB125</t>
  </si>
  <si>
    <t>RB126</t>
  </si>
  <si>
    <t>RB127</t>
  </si>
  <si>
    <t>RB128</t>
  </si>
  <si>
    <t>RB129</t>
  </si>
  <si>
    <t>RB130</t>
  </si>
  <si>
    <t>RB131</t>
  </si>
  <si>
    <t>RB132</t>
  </si>
  <si>
    <t>RB133</t>
  </si>
  <si>
    <t>QB2</t>
  </si>
  <si>
    <t>QB3</t>
  </si>
  <si>
    <t>QB4</t>
  </si>
  <si>
    <t>QB5</t>
  </si>
  <si>
    <t>QB6</t>
  </si>
  <si>
    <t>QB7</t>
  </si>
  <si>
    <t>QB8</t>
  </si>
  <si>
    <t>QB9</t>
  </si>
  <si>
    <t>QB10</t>
  </si>
  <si>
    <t>QB11</t>
  </si>
  <si>
    <t>QB12</t>
  </si>
  <si>
    <t>QB13</t>
  </si>
  <si>
    <t>QB14</t>
  </si>
  <si>
    <t>QB15</t>
  </si>
  <si>
    <t>QB16</t>
  </si>
  <si>
    <t>QB17</t>
  </si>
  <si>
    <t>QB18</t>
  </si>
  <si>
    <t>QB19</t>
  </si>
  <si>
    <t>QB20</t>
  </si>
  <si>
    <t>QB21</t>
  </si>
  <si>
    <t>QB22</t>
  </si>
  <si>
    <t>QB23</t>
  </si>
  <si>
    <t>QB24</t>
  </si>
  <si>
    <t>QB25</t>
  </si>
  <si>
    <t>QB26</t>
  </si>
  <si>
    <t>QB27</t>
  </si>
  <si>
    <t>QB28</t>
  </si>
  <si>
    <t>QB29</t>
  </si>
  <si>
    <t>QB30</t>
  </si>
  <si>
    <t>QB31</t>
  </si>
  <si>
    <t>QB32</t>
  </si>
  <si>
    <t>QB33</t>
  </si>
  <si>
    <t>QB34</t>
  </si>
  <si>
    <t>QB35</t>
  </si>
  <si>
    <t>QB36</t>
  </si>
  <si>
    <t>QB37</t>
  </si>
  <si>
    <t>QB38</t>
  </si>
  <si>
    <t>QB39</t>
  </si>
  <si>
    <t>QB40</t>
  </si>
  <si>
    <t>QB41</t>
  </si>
  <si>
    <t>QB42</t>
  </si>
  <si>
    <t>QB43</t>
  </si>
  <si>
    <t>QB44</t>
  </si>
  <si>
    <t>QB45</t>
  </si>
  <si>
    <t>QB46</t>
  </si>
  <si>
    <t>QB47</t>
  </si>
  <si>
    <t>QB48</t>
  </si>
  <si>
    <t>QB49</t>
  </si>
  <si>
    <t>QB50</t>
  </si>
  <si>
    <t>QB51</t>
  </si>
  <si>
    <t>QB52</t>
  </si>
  <si>
    <t>QB53</t>
  </si>
  <si>
    <t>QB54</t>
  </si>
  <si>
    <t>QB55</t>
  </si>
  <si>
    <t>QB56</t>
  </si>
  <si>
    <t>WR2</t>
  </si>
  <si>
    <t>WR3</t>
  </si>
  <si>
    <t>WR4</t>
  </si>
  <si>
    <t>WR5</t>
  </si>
  <si>
    <t>WR6</t>
  </si>
  <si>
    <t>WR7</t>
  </si>
  <si>
    <t>WR8</t>
  </si>
  <si>
    <t>WR9</t>
  </si>
  <si>
    <t>WR10</t>
  </si>
  <si>
    <t>WR11</t>
  </si>
  <si>
    <t>WR12</t>
  </si>
  <si>
    <t>WR13</t>
  </si>
  <si>
    <t>WR14</t>
  </si>
  <si>
    <t>WR15</t>
  </si>
  <si>
    <t>WR16</t>
  </si>
  <si>
    <t>WR17</t>
  </si>
  <si>
    <t>WR18</t>
  </si>
  <si>
    <t>WR19</t>
  </si>
  <si>
    <t>WR20</t>
  </si>
  <si>
    <t>WR21</t>
  </si>
  <si>
    <t>WR22</t>
  </si>
  <si>
    <t>WR23</t>
  </si>
  <si>
    <t>WR24</t>
  </si>
  <si>
    <t>WR25</t>
  </si>
  <si>
    <t>WR26</t>
  </si>
  <si>
    <t>WR27</t>
  </si>
  <si>
    <t>WR28</t>
  </si>
  <si>
    <t>WR29</t>
  </si>
  <si>
    <t>WR30</t>
  </si>
  <si>
    <t>WR31</t>
  </si>
  <si>
    <t>WR32</t>
  </si>
  <si>
    <t>WR33</t>
  </si>
  <si>
    <t>WR34</t>
  </si>
  <si>
    <t>WR35</t>
  </si>
  <si>
    <t>WR36</t>
  </si>
  <si>
    <t>WR37</t>
  </si>
  <si>
    <t>WR38</t>
  </si>
  <si>
    <t>WR39</t>
  </si>
  <si>
    <t>WR40</t>
  </si>
  <si>
    <t>WR41</t>
  </si>
  <si>
    <t>WR42</t>
  </si>
  <si>
    <t>WR43</t>
  </si>
  <si>
    <t>WR44</t>
  </si>
  <si>
    <t>WR45</t>
  </si>
  <si>
    <t>WR46</t>
  </si>
  <si>
    <t>WR47</t>
  </si>
  <si>
    <t>WR48</t>
  </si>
  <si>
    <t>WR49</t>
  </si>
  <si>
    <t>WR50</t>
  </si>
  <si>
    <t>WR51</t>
  </si>
  <si>
    <t>WR52</t>
  </si>
  <si>
    <t>WR53</t>
  </si>
  <si>
    <t>WR54</t>
  </si>
  <si>
    <t>WR55</t>
  </si>
  <si>
    <t>WR56</t>
  </si>
  <si>
    <t>WR57</t>
  </si>
  <si>
    <t>WR58</t>
  </si>
  <si>
    <t>WR59</t>
  </si>
  <si>
    <t>WR60</t>
  </si>
  <si>
    <t>WR61</t>
  </si>
  <si>
    <t>WR62</t>
  </si>
  <si>
    <t>WR63</t>
  </si>
  <si>
    <t>WR64</t>
  </si>
  <si>
    <t>WR65</t>
  </si>
  <si>
    <t>WR66</t>
  </si>
  <si>
    <t>WR67</t>
  </si>
  <si>
    <t>WR68</t>
  </si>
  <si>
    <t>WR69</t>
  </si>
  <si>
    <t>WR70</t>
  </si>
  <si>
    <t>WR71</t>
  </si>
  <si>
    <t>WR72</t>
  </si>
  <si>
    <t>WR73</t>
  </si>
  <si>
    <t>WR74</t>
  </si>
  <si>
    <t>WR75</t>
  </si>
  <si>
    <t>WR76</t>
  </si>
  <si>
    <t>WR77</t>
  </si>
  <si>
    <t>WR78</t>
  </si>
  <si>
    <t>WR79</t>
  </si>
  <si>
    <t>WR80</t>
  </si>
  <si>
    <t>WR81</t>
  </si>
  <si>
    <t>WR82</t>
  </si>
  <si>
    <t>WR83</t>
  </si>
  <si>
    <t>WR84</t>
  </si>
  <si>
    <t>WR85</t>
  </si>
  <si>
    <t>WR86</t>
  </si>
  <si>
    <t>WR87</t>
  </si>
  <si>
    <t>WR88</t>
  </si>
  <si>
    <t>WR89</t>
  </si>
  <si>
    <t>WR90</t>
  </si>
  <si>
    <t>WR91</t>
  </si>
  <si>
    <t>WR92</t>
  </si>
  <si>
    <t>WR93</t>
  </si>
  <si>
    <t>WR94</t>
  </si>
  <si>
    <t>WR95</t>
  </si>
  <si>
    <t>WR96</t>
  </si>
  <si>
    <t>WR97</t>
  </si>
  <si>
    <t>WR98</t>
  </si>
  <si>
    <t>WR99</t>
  </si>
  <si>
    <t>WR100</t>
  </si>
  <si>
    <t>WR101</t>
  </si>
  <si>
    <t>WR102</t>
  </si>
  <si>
    <t>WR103</t>
  </si>
  <si>
    <t>WR104</t>
  </si>
  <si>
    <t>WR105</t>
  </si>
  <si>
    <t>WR106</t>
  </si>
  <si>
    <t>WR107</t>
  </si>
  <si>
    <t>WR108</t>
  </si>
  <si>
    <t>WR109</t>
  </si>
  <si>
    <t>WR110</t>
  </si>
  <si>
    <t>WR111</t>
  </si>
  <si>
    <t>WR112</t>
  </si>
  <si>
    <t>WR113</t>
  </si>
  <si>
    <t>WR114</t>
  </si>
  <si>
    <t>WR115</t>
  </si>
  <si>
    <t>WR116</t>
  </si>
  <si>
    <t>WR117</t>
  </si>
  <si>
    <t>WR118</t>
  </si>
  <si>
    <t>WR119</t>
  </si>
  <si>
    <t>WR120</t>
  </si>
  <si>
    <t>WR121</t>
  </si>
  <si>
    <t>WR122</t>
  </si>
  <si>
    <t>WR123</t>
  </si>
  <si>
    <t>WR124</t>
  </si>
  <si>
    <t>WR125</t>
  </si>
  <si>
    <t>WR126</t>
  </si>
  <si>
    <t>WR127</t>
  </si>
  <si>
    <t>WR128</t>
  </si>
  <si>
    <t>WR129</t>
  </si>
  <si>
    <t>WR130</t>
  </si>
  <si>
    <t>WR131</t>
  </si>
  <si>
    <t>WR132</t>
  </si>
  <si>
    <t>WR133</t>
  </si>
  <si>
    <t>WR134</t>
  </si>
  <si>
    <t>WR135</t>
  </si>
  <si>
    <t>WR136</t>
  </si>
  <si>
    <t>WR137</t>
  </si>
  <si>
    <t>WR138</t>
  </si>
  <si>
    <t>WR139</t>
  </si>
  <si>
    <t>WR140</t>
  </si>
  <si>
    <t>WR141</t>
  </si>
  <si>
    <t>WR142</t>
  </si>
  <si>
    <t>WR143</t>
  </si>
  <si>
    <t>WR144</t>
  </si>
  <si>
    <t>WR145</t>
  </si>
  <si>
    <t>WR146</t>
  </si>
  <si>
    <t>WR147</t>
  </si>
  <si>
    <t>WR148</t>
  </si>
  <si>
    <t>WR149</t>
  </si>
  <si>
    <t>WR150</t>
  </si>
  <si>
    <t>WR151</t>
  </si>
  <si>
    <t>WR152</t>
  </si>
  <si>
    <t>WR153</t>
  </si>
  <si>
    <t>WR154</t>
  </si>
  <si>
    <t>WR155</t>
  </si>
  <si>
    <t>WR156</t>
  </si>
  <si>
    <t>WR157</t>
  </si>
  <si>
    <t>WR158</t>
  </si>
  <si>
    <t>WR159</t>
  </si>
  <si>
    <t>WR160</t>
  </si>
  <si>
    <t>WR161</t>
  </si>
  <si>
    <t>WR162</t>
  </si>
  <si>
    <t>WR163</t>
  </si>
  <si>
    <t>WR164</t>
  </si>
  <si>
    <t>WR165</t>
  </si>
  <si>
    <t>WR166</t>
  </si>
  <si>
    <t>WR167</t>
  </si>
  <si>
    <t>WR168</t>
  </si>
  <si>
    <t>WR169</t>
  </si>
  <si>
    <t>WR170</t>
  </si>
  <si>
    <t>WR171</t>
  </si>
  <si>
    <t>WR172</t>
  </si>
  <si>
    <t>WR173</t>
  </si>
  <si>
    <t>WR174</t>
  </si>
  <si>
    <t>WR175</t>
  </si>
  <si>
    <t>TE2</t>
  </si>
  <si>
    <t>TE3</t>
  </si>
  <si>
    <t>TE4</t>
  </si>
  <si>
    <t>TE5</t>
  </si>
  <si>
    <t>TE6</t>
  </si>
  <si>
    <t>TE7</t>
  </si>
  <si>
    <t>TE8</t>
  </si>
  <si>
    <t>TE9</t>
  </si>
  <si>
    <t>TE10</t>
  </si>
  <si>
    <t>TE11</t>
  </si>
  <si>
    <t>TE12</t>
  </si>
  <si>
    <t>TE13</t>
  </si>
  <si>
    <t>TE14</t>
  </si>
  <si>
    <t>TE15</t>
  </si>
  <si>
    <t>TE16</t>
  </si>
  <si>
    <t>TE17</t>
  </si>
  <si>
    <t>TE18</t>
  </si>
  <si>
    <t>TE19</t>
  </si>
  <si>
    <t>TE20</t>
  </si>
  <si>
    <t>TE21</t>
  </si>
  <si>
    <t>TE22</t>
  </si>
  <si>
    <t>TE23</t>
  </si>
  <si>
    <t>TE24</t>
  </si>
  <si>
    <t>TE25</t>
  </si>
  <si>
    <t>TE26</t>
  </si>
  <si>
    <t>TE27</t>
  </si>
  <si>
    <t>TE28</t>
  </si>
  <si>
    <t>TE29</t>
  </si>
  <si>
    <t>TE30</t>
  </si>
  <si>
    <t>TE31</t>
  </si>
  <si>
    <t>TE32</t>
  </si>
  <si>
    <t>TE33</t>
  </si>
  <si>
    <t>TE34</t>
  </si>
  <si>
    <t>TE35</t>
  </si>
  <si>
    <t>TE36</t>
  </si>
  <si>
    <t>TE37</t>
  </si>
  <si>
    <t>TE38</t>
  </si>
  <si>
    <t>TE39</t>
  </si>
  <si>
    <t>TE40</t>
  </si>
  <si>
    <t>TE41</t>
  </si>
  <si>
    <t>TE42</t>
  </si>
  <si>
    <t>TE43</t>
  </si>
  <si>
    <t>TE44</t>
  </si>
  <si>
    <t>TE45</t>
  </si>
  <si>
    <t>TE46</t>
  </si>
  <si>
    <t>TE47</t>
  </si>
  <si>
    <t>TE48</t>
  </si>
  <si>
    <t>TE49</t>
  </si>
  <si>
    <t>TE50</t>
  </si>
  <si>
    <t>TE51</t>
  </si>
  <si>
    <t>TE52</t>
  </si>
  <si>
    <t>TE53</t>
  </si>
  <si>
    <t>TE54</t>
  </si>
  <si>
    <t>TE55</t>
  </si>
  <si>
    <t>TE56</t>
  </si>
  <si>
    <t>TE57</t>
  </si>
  <si>
    <t>TE58</t>
  </si>
  <si>
    <t>TE59</t>
  </si>
  <si>
    <t>TE60</t>
  </si>
  <si>
    <t>TE61</t>
  </si>
  <si>
    <t>TE62</t>
  </si>
  <si>
    <t>TE63</t>
  </si>
  <si>
    <t>TE64</t>
  </si>
  <si>
    <t>TE65</t>
  </si>
  <si>
    <t>TE66</t>
  </si>
  <si>
    <t>TE67</t>
  </si>
  <si>
    <t>TE68</t>
  </si>
  <si>
    <t>TE69</t>
  </si>
  <si>
    <t>TE70</t>
  </si>
  <si>
    <t>TE71</t>
  </si>
  <si>
    <t>TE72</t>
  </si>
  <si>
    <t>TE73</t>
  </si>
  <si>
    <t>TE74</t>
  </si>
  <si>
    <t>TE75</t>
  </si>
  <si>
    <t>TE76</t>
  </si>
  <si>
    <t>TE77</t>
  </si>
  <si>
    <t>TE78</t>
  </si>
  <si>
    <t>TE79</t>
  </si>
  <si>
    <t>TE80</t>
  </si>
  <si>
    <t>TE81</t>
  </si>
  <si>
    <t>TE82</t>
  </si>
  <si>
    <t>TE83</t>
  </si>
  <si>
    <t>Proj</t>
  </si>
  <si>
    <t>Step 1</t>
  </si>
  <si>
    <t>Step 2</t>
  </si>
  <si>
    <t>Step 3</t>
  </si>
  <si>
    <t>Step 4</t>
  </si>
  <si>
    <t>Step 5</t>
  </si>
  <si>
    <t>Dustin Hopkins</t>
  </si>
  <si>
    <t>Current Pick</t>
  </si>
  <si>
    <t xml:space="preserve">My Next Pick In </t>
  </si>
  <si>
    <t>Pick?</t>
  </si>
  <si>
    <t>My Draft Position</t>
  </si>
  <si>
    <t>D/ST</t>
  </si>
  <si>
    <t>1-1</t>
  </si>
  <si>
    <t>1-2</t>
  </si>
  <si>
    <t>1-3</t>
  </si>
  <si>
    <t>1-4</t>
  </si>
  <si>
    <t>1-5</t>
  </si>
  <si>
    <t>1-6</t>
  </si>
  <si>
    <t>1-7</t>
  </si>
  <si>
    <t>1-8</t>
  </si>
  <si>
    <t>1-9</t>
  </si>
  <si>
    <t>1-10</t>
  </si>
  <si>
    <t>1-11</t>
  </si>
  <si>
    <t>1-12</t>
  </si>
  <si>
    <t>2-1</t>
  </si>
  <si>
    <t>2-2</t>
  </si>
  <si>
    <t>2-3</t>
  </si>
  <si>
    <t>2-4</t>
  </si>
  <si>
    <t>2-5</t>
  </si>
  <si>
    <t>2-6</t>
  </si>
  <si>
    <t>2-7</t>
  </si>
  <si>
    <t>2-8</t>
  </si>
  <si>
    <t>2-9</t>
  </si>
  <si>
    <t>2-10</t>
  </si>
  <si>
    <t>2-11</t>
  </si>
  <si>
    <t>2-12</t>
  </si>
  <si>
    <t>3-1</t>
  </si>
  <si>
    <t>3-2</t>
  </si>
  <si>
    <t>3-3</t>
  </si>
  <si>
    <t>3-4</t>
  </si>
  <si>
    <t>3-5</t>
  </si>
  <si>
    <t>3-6</t>
  </si>
  <si>
    <t>3-7</t>
  </si>
  <si>
    <t>3-8</t>
  </si>
  <si>
    <t>3-9</t>
  </si>
  <si>
    <t>3-10</t>
  </si>
  <si>
    <t>3-11</t>
  </si>
  <si>
    <t>3-12</t>
  </si>
  <si>
    <t>4-1</t>
  </si>
  <si>
    <t>4-2</t>
  </si>
  <si>
    <t>4-3</t>
  </si>
  <si>
    <t>4-4</t>
  </si>
  <si>
    <t>4-5</t>
  </si>
  <si>
    <t>4-6</t>
  </si>
  <si>
    <t>4-7</t>
  </si>
  <si>
    <t>4-8</t>
  </si>
  <si>
    <t>4-9</t>
  </si>
  <si>
    <t>4-10</t>
  </si>
  <si>
    <t>4-11</t>
  </si>
  <si>
    <t>4-12</t>
  </si>
  <si>
    <t>5-1</t>
  </si>
  <si>
    <t>5-2</t>
  </si>
  <si>
    <t>5-3</t>
  </si>
  <si>
    <t>5-4</t>
  </si>
  <si>
    <t>5-5</t>
  </si>
  <si>
    <t>5-6</t>
  </si>
  <si>
    <t>5-7</t>
  </si>
  <si>
    <t>5-8</t>
  </si>
  <si>
    <t>5-9</t>
  </si>
  <si>
    <t>5-10</t>
  </si>
  <si>
    <t>5-11</t>
  </si>
  <si>
    <t>5-12</t>
  </si>
  <si>
    <t>6-1</t>
  </si>
  <si>
    <t>6-2</t>
  </si>
  <si>
    <t>6-3</t>
  </si>
  <si>
    <t>6-4</t>
  </si>
  <si>
    <t>6-5</t>
  </si>
  <si>
    <t>6-6</t>
  </si>
  <si>
    <t>6-7</t>
  </si>
  <si>
    <t>6-8</t>
  </si>
  <si>
    <t>6-9</t>
  </si>
  <si>
    <t>6-10</t>
  </si>
  <si>
    <t>6-11</t>
  </si>
  <si>
    <t>6-12</t>
  </si>
  <si>
    <t>7-1</t>
  </si>
  <si>
    <t>7-2</t>
  </si>
  <si>
    <t>7-3</t>
  </si>
  <si>
    <t>7-4</t>
  </si>
  <si>
    <t>7-5</t>
  </si>
  <si>
    <t>7-6</t>
  </si>
  <si>
    <t>7-7</t>
  </si>
  <si>
    <t>7-8</t>
  </si>
  <si>
    <t>7-9</t>
  </si>
  <si>
    <t>7-10</t>
  </si>
  <si>
    <t>7-11</t>
  </si>
  <si>
    <t>7-12</t>
  </si>
  <si>
    <t>8-1</t>
  </si>
  <si>
    <t>8-2</t>
  </si>
  <si>
    <t>8-3</t>
  </si>
  <si>
    <t>8-4</t>
  </si>
  <si>
    <t>8-5</t>
  </si>
  <si>
    <t>8-6</t>
  </si>
  <si>
    <t>8-7</t>
  </si>
  <si>
    <t>8-8</t>
  </si>
  <si>
    <t>8-9</t>
  </si>
  <si>
    <t>8-10</t>
  </si>
  <si>
    <t>8-11</t>
  </si>
  <si>
    <t>8-12</t>
  </si>
  <si>
    <t>9-1</t>
  </si>
  <si>
    <t>9-2</t>
  </si>
  <si>
    <t>9-3</t>
  </si>
  <si>
    <t>9-4</t>
  </si>
  <si>
    <t>9-5</t>
  </si>
  <si>
    <t>9-6</t>
  </si>
  <si>
    <t>9-7</t>
  </si>
  <si>
    <t>9-8</t>
  </si>
  <si>
    <t>9-9</t>
  </si>
  <si>
    <t>9-10</t>
  </si>
  <si>
    <t>9-11</t>
  </si>
  <si>
    <t>9-12</t>
  </si>
  <si>
    <t>10-1</t>
  </si>
  <si>
    <t>10-2</t>
  </si>
  <si>
    <t>10-3</t>
  </si>
  <si>
    <t>10-4</t>
  </si>
  <si>
    <t>10-5</t>
  </si>
  <si>
    <t>10-6</t>
  </si>
  <si>
    <t>10-7</t>
  </si>
  <si>
    <t>10-8</t>
  </si>
  <si>
    <t>10-9</t>
  </si>
  <si>
    <t>10-10</t>
  </si>
  <si>
    <t>10-11</t>
  </si>
  <si>
    <t>10-12</t>
  </si>
  <si>
    <t>11-1</t>
  </si>
  <si>
    <t>11-2</t>
  </si>
  <si>
    <t>11-3</t>
  </si>
  <si>
    <t>11-4</t>
  </si>
  <si>
    <t>11-5</t>
  </si>
  <si>
    <t>11-6</t>
  </si>
  <si>
    <t>11-7</t>
  </si>
  <si>
    <t>11-8</t>
  </si>
  <si>
    <t>11-9</t>
  </si>
  <si>
    <t>11-10</t>
  </si>
  <si>
    <t>11-11</t>
  </si>
  <si>
    <t>11-12</t>
  </si>
  <si>
    <t>12-1</t>
  </si>
  <si>
    <t>12-2</t>
  </si>
  <si>
    <t>12-3</t>
  </si>
  <si>
    <t>12-4</t>
  </si>
  <si>
    <t>12-5</t>
  </si>
  <si>
    <t>12-6</t>
  </si>
  <si>
    <t>12-7</t>
  </si>
  <si>
    <t>12-8</t>
  </si>
  <si>
    <t>12-9</t>
  </si>
  <si>
    <t>12-10</t>
  </si>
  <si>
    <t>12-11</t>
  </si>
  <si>
    <t>12-12</t>
  </si>
  <si>
    <t>13-1</t>
  </si>
  <si>
    <t>13-2</t>
  </si>
  <si>
    <t>13-3</t>
  </si>
  <si>
    <t>13-4</t>
  </si>
  <si>
    <t>13-5</t>
  </si>
  <si>
    <t>13-6</t>
  </si>
  <si>
    <t>13-7</t>
  </si>
  <si>
    <t>13-8</t>
  </si>
  <si>
    <t>13-9</t>
  </si>
  <si>
    <t>13-10</t>
  </si>
  <si>
    <t>13-11</t>
  </si>
  <si>
    <t>13-12</t>
  </si>
  <si>
    <t>14-1</t>
  </si>
  <si>
    <t>14-2</t>
  </si>
  <si>
    <t>14-3</t>
  </si>
  <si>
    <t>14-4</t>
  </si>
  <si>
    <t>14-5</t>
  </si>
  <si>
    <t>14-6</t>
  </si>
  <si>
    <t>14-7</t>
  </si>
  <si>
    <t>14-8</t>
  </si>
  <si>
    <t>14-9</t>
  </si>
  <si>
    <t>14-10</t>
  </si>
  <si>
    <t>14-11</t>
  </si>
  <si>
    <t>14-12</t>
  </si>
  <si>
    <t>15-1</t>
  </si>
  <si>
    <t>15-2</t>
  </si>
  <si>
    <t>15-3</t>
  </si>
  <si>
    <t>15-4</t>
  </si>
  <si>
    <t>15-5</t>
  </si>
  <si>
    <t>15-6</t>
  </si>
  <si>
    <t>15-7</t>
  </si>
  <si>
    <t>15-8</t>
  </si>
  <si>
    <t>15-9</t>
  </si>
  <si>
    <t>15-10</t>
  </si>
  <si>
    <t>15-11</t>
  </si>
  <si>
    <t>15-12</t>
  </si>
  <si>
    <t>▼</t>
  </si>
  <si>
    <t>MY TEAM</t>
  </si>
  <si>
    <t>PLAYERS TO TARGET</t>
  </si>
  <si>
    <t xml:space="preserve">     MY DRAFT POSITION</t>
  </si>
  <si>
    <t xml:space="preserve">     QBs</t>
  </si>
  <si>
    <t xml:space="preserve">     RBs</t>
  </si>
  <si>
    <t xml:space="preserve">     WRs</t>
  </si>
  <si>
    <t>Current Round</t>
  </si>
  <si>
    <t>Current Team Pick</t>
  </si>
  <si>
    <t>Round 1</t>
  </si>
  <si>
    <t>Round 2</t>
  </si>
  <si>
    <t>Round 3</t>
  </si>
  <si>
    <t>Round 4</t>
  </si>
  <si>
    <t>Round 5</t>
  </si>
  <si>
    <t>Round 6</t>
  </si>
  <si>
    <t>Round 7</t>
  </si>
  <si>
    <t>Round 8</t>
  </si>
  <si>
    <t>Round 9</t>
  </si>
  <si>
    <t>Round 10</t>
  </si>
  <si>
    <t>Round 11</t>
  </si>
  <si>
    <t>Round 12</t>
  </si>
  <si>
    <t>Round 13</t>
  </si>
  <si>
    <t>Round 14</t>
  </si>
  <si>
    <t>Round 15</t>
  </si>
  <si>
    <t>T</t>
  </si>
  <si>
    <t xml:space="preserve"> Rank </t>
  </si>
  <si>
    <t xml:space="preserve">Team </t>
  </si>
  <si>
    <t>PICK INFO</t>
  </si>
  <si>
    <t>Projected Picks</t>
  </si>
  <si>
    <t>Past Picks</t>
  </si>
  <si>
    <t>Target RD</t>
  </si>
  <si>
    <t>Team</t>
  </si>
  <si>
    <t>Yes</t>
  </si>
  <si>
    <t>No</t>
  </si>
  <si>
    <t>Input Team Names (Optional)</t>
  </si>
  <si>
    <t>Step 6</t>
  </si>
  <si>
    <t>Step 7</t>
  </si>
  <si>
    <t xml:space="preserve">Choose players to target and the round you want to target them in (choosing the round is optional).  </t>
  </si>
  <si>
    <t xml:space="preserve"> The Team the player plays for</t>
  </si>
  <si>
    <t>Profit!</t>
  </si>
  <si>
    <t xml:space="preserve">  Remember, this is a powerful tool, but it's only as good as the projections and ADP data you put into it!</t>
  </si>
  <si>
    <t>1-13</t>
  </si>
  <si>
    <t>1-14</t>
  </si>
  <si>
    <t>2-14</t>
  </si>
  <si>
    <t>2-13</t>
  </si>
  <si>
    <t>3-13</t>
  </si>
  <si>
    <t>3-14</t>
  </si>
  <si>
    <t>4-14</t>
  </si>
  <si>
    <t>4-13</t>
  </si>
  <si>
    <t>5-13</t>
  </si>
  <si>
    <t>5-14</t>
  </si>
  <si>
    <t>6-14</t>
  </si>
  <si>
    <t>6-13</t>
  </si>
  <si>
    <t>7-13</t>
  </si>
  <si>
    <t>7-14</t>
  </si>
  <si>
    <t>8-14</t>
  </si>
  <si>
    <t>8-13</t>
  </si>
  <si>
    <t>9-13</t>
  </si>
  <si>
    <t>9-14</t>
  </si>
  <si>
    <t>10-14</t>
  </si>
  <si>
    <t>10-13</t>
  </si>
  <si>
    <t>11-13</t>
  </si>
  <si>
    <t>11-14</t>
  </si>
  <si>
    <t>12-14</t>
  </si>
  <si>
    <t>12-13</t>
  </si>
  <si>
    <t>13-13</t>
  </si>
  <si>
    <t>13-14</t>
  </si>
  <si>
    <t>14-14</t>
  </si>
  <si>
    <t>14-13</t>
  </si>
  <si>
    <t>15-13</t>
  </si>
  <si>
    <t>15-14</t>
  </si>
  <si>
    <t>Number of Teams</t>
  </si>
  <si>
    <t xml:space="preserve">     PASSING YDS = 1 PT</t>
  </si>
  <si>
    <t xml:space="preserve">     RUSHING YDS = 1 PT</t>
  </si>
  <si>
    <t xml:space="preserve">     RECEIVING YDS = 1 PT</t>
  </si>
  <si>
    <t xml:space="preserve">     PTS PER RECEIVING TD</t>
  </si>
  <si>
    <t xml:space="preserve">     PTS PER PASSING TD</t>
  </si>
  <si>
    <t xml:space="preserve">     PTS PER RUSHING TD</t>
  </si>
  <si>
    <t xml:space="preserve">     PTS PER RECEPTION (PPR)</t>
  </si>
  <si>
    <t>TM</t>
  </si>
  <si>
    <t>Player</t>
  </si>
  <si>
    <t>Pos</t>
  </si>
  <si>
    <t xml:space="preserve">     PTS PER INTERCEPTION</t>
  </si>
  <si>
    <t>Fantasy</t>
  </si>
  <si>
    <t>Points</t>
  </si>
  <si>
    <t>Ronnie Hillman</t>
  </si>
  <si>
    <t>Mike Tolbert</t>
  </si>
  <si>
    <t>Jonathan Grimes</t>
  </si>
  <si>
    <t>Robert Turbin</t>
  </si>
  <si>
    <t>Jacquizz Rodgers</t>
  </si>
  <si>
    <t>Jordan Todman</t>
  </si>
  <si>
    <t>Bilal Powell</t>
  </si>
  <si>
    <t>Marcel Reece</t>
  </si>
  <si>
    <t>Brandon Bolden</t>
  </si>
  <si>
    <t>Theo Riddick</t>
  </si>
  <si>
    <t>Travaris Cadet</t>
  </si>
  <si>
    <t>Isaiah Crowell</t>
  </si>
  <si>
    <t>Alfred Blue</t>
  </si>
  <si>
    <t>Benny Cunningham</t>
  </si>
  <si>
    <t>Jerick McKinnon</t>
  </si>
  <si>
    <t>Matt Asiata</t>
  </si>
  <si>
    <t>Justin Forsett</t>
  </si>
  <si>
    <t>Mike Gillislee</t>
  </si>
  <si>
    <t>Chris Thompson</t>
  </si>
  <si>
    <t>Kyle Juszczyk</t>
  </si>
  <si>
    <t>Shaun Draughn</t>
  </si>
  <si>
    <t/>
  </si>
  <si>
    <t>RB134</t>
  </si>
  <si>
    <t>RB135</t>
  </si>
  <si>
    <t>RB136</t>
  </si>
  <si>
    <t>RB137</t>
  </si>
  <si>
    <t>RB138</t>
  </si>
  <si>
    <t>RB139</t>
  </si>
  <si>
    <t>RB140</t>
  </si>
  <si>
    <t>RB141</t>
  </si>
  <si>
    <t>RB142</t>
  </si>
  <si>
    <t>RB143</t>
  </si>
  <si>
    <t>RB144</t>
  </si>
  <si>
    <t>RB145</t>
  </si>
  <si>
    <t>RB146</t>
  </si>
  <si>
    <t>RB147</t>
  </si>
  <si>
    <t>RB148</t>
  </si>
  <si>
    <t>RB149</t>
  </si>
  <si>
    <t>RB150</t>
  </si>
  <si>
    <t>WR176</t>
  </si>
  <si>
    <t>WR177</t>
  </si>
  <si>
    <t>WR178</t>
  </si>
  <si>
    <t>WR179</t>
  </si>
  <si>
    <t>WR180</t>
  </si>
  <si>
    <t>WR181</t>
  </si>
  <si>
    <t>WR182</t>
  </si>
  <si>
    <t>WR183</t>
  </si>
  <si>
    <t>WR184</t>
  </si>
  <si>
    <t>WR185</t>
  </si>
  <si>
    <t>WR186</t>
  </si>
  <si>
    <t>WR187</t>
  </si>
  <si>
    <t>WR188</t>
  </si>
  <si>
    <t>WR189</t>
  </si>
  <si>
    <t>WR190</t>
  </si>
  <si>
    <t>WR191</t>
  </si>
  <si>
    <t>WR192</t>
  </si>
  <si>
    <t>WR193</t>
  </si>
  <si>
    <t>WR194</t>
  </si>
  <si>
    <t>WR195</t>
  </si>
  <si>
    <t>WR196</t>
  </si>
  <si>
    <t>WR197</t>
  </si>
  <si>
    <t>WR198</t>
  </si>
  <si>
    <t>WR199</t>
  </si>
  <si>
    <t>WR200</t>
  </si>
  <si>
    <t>TE84</t>
  </si>
  <si>
    <t>TE85</t>
  </si>
  <si>
    <t>TE86</t>
  </si>
  <si>
    <t>TE87</t>
  </si>
  <si>
    <t>TE88</t>
  </si>
  <si>
    <t>TE89</t>
  </si>
  <si>
    <t>TE90</t>
  </si>
  <si>
    <t>TE91</t>
  </si>
  <si>
    <t>TE92</t>
  </si>
  <si>
    <t>TE93</t>
  </si>
  <si>
    <t>TE94</t>
  </si>
  <si>
    <t xml:space="preserve">Visit each *proj tab and adjust your rankings.  </t>
  </si>
  <si>
    <t>DST1</t>
  </si>
  <si>
    <t>DST2</t>
  </si>
  <si>
    <t>DST3</t>
  </si>
  <si>
    <t>DST4</t>
  </si>
  <si>
    <t>DST5</t>
  </si>
  <si>
    <t>DST6</t>
  </si>
  <si>
    <t>DST7</t>
  </si>
  <si>
    <t>DST8</t>
  </si>
  <si>
    <t>DST9</t>
  </si>
  <si>
    <t>DST10</t>
  </si>
  <si>
    <t>DST11</t>
  </si>
  <si>
    <t>DST12</t>
  </si>
  <si>
    <t>DST13</t>
  </si>
  <si>
    <t>DST14</t>
  </si>
  <si>
    <t>DST15</t>
  </si>
  <si>
    <t>DST16</t>
  </si>
  <si>
    <t>DST17</t>
  </si>
  <si>
    <t>DST18</t>
  </si>
  <si>
    <t>DST19</t>
  </si>
  <si>
    <t>DST20</t>
  </si>
  <si>
    <t>DST21</t>
  </si>
  <si>
    <t>DST22</t>
  </si>
  <si>
    <t>DST23</t>
  </si>
  <si>
    <t>DST24</t>
  </si>
  <si>
    <t>DST25</t>
  </si>
  <si>
    <t>DST26</t>
  </si>
  <si>
    <t>DST27</t>
  </si>
  <si>
    <t>DST28</t>
  </si>
  <si>
    <t>DST29</t>
  </si>
  <si>
    <t>DST30</t>
  </si>
  <si>
    <t>DST31</t>
  </si>
  <si>
    <t>DST32</t>
  </si>
  <si>
    <t>Rank</t>
  </si>
  <si>
    <t>Standard</t>
  </si>
  <si>
    <t>Allen Hurns</t>
  </si>
  <si>
    <t>Jaron Brown</t>
  </si>
  <si>
    <t xml:space="preserve">  To adjust The order, select the player name you'd like to reorder and click on the up or down arrow. </t>
  </si>
  <si>
    <t xml:space="preserve">  Clicking on 'Refresh' will reset the settings to the experts' projections.</t>
  </si>
  <si>
    <t>Round 16</t>
  </si>
  <si>
    <t>16-1</t>
  </si>
  <si>
    <t>16-2</t>
  </si>
  <si>
    <t>16-3</t>
  </si>
  <si>
    <t>16-4</t>
  </si>
  <si>
    <t>16-5</t>
  </si>
  <si>
    <t>16-6</t>
  </si>
  <si>
    <t>16-7</t>
  </si>
  <si>
    <t>16-8</t>
  </si>
  <si>
    <t>16-9</t>
  </si>
  <si>
    <t>16-10</t>
  </si>
  <si>
    <t>16-11</t>
  </si>
  <si>
    <t>16-12</t>
  </si>
  <si>
    <t>16-13</t>
  </si>
  <si>
    <t>16-14</t>
  </si>
  <si>
    <t>Amari Cooper</t>
  </si>
  <si>
    <t>Kevin White</t>
  </si>
  <si>
    <t>Nelson Agholor</t>
  </si>
  <si>
    <t>Breshad Perriman</t>
  </si>
  <si>
    <t>Devin Funchess</t>
  </si>
  <si>
    <t>Dorial Green-Beckham</t>
  </si>
  <si>
    <t>Jaelen Strong</t>
  </si>
  <si>
    <t>Phillip Dorsett</t>
  </si>
  <si>
    <t>Tyler Lockett</t>
  </si>
  <si>
    <t>Albert Wilson</t>
  </si>
  <si>
    <t>Chris Conley</t>
  </si>
  <si>
    <t>Dontrelle Inman</t>
  </si>
  <si>
    <t>Kamar Aiken</t>
  </si>
  <si>
    <t>Ty Montgomery</t>
  </si>
  <si>
    <t>Sammie Coates</t>
  </si>
  <si>
    <t>Justin Hardy</t>
  </si>
  <si>
    <t>Corey Fuller</t>
  </si>
  <si>
    <t>Taylor Gabriel</t>
  </si>
  <si>
    <t>Brandon Coleman</t>
  </si>
  <si>
    <t>Preston Parker</t>
  </si>
  <si>
    <t>Ted Ginn</t>
  </si>
  <si>
    <t>Jamison Crowder</t>
  </si>
  <si>
    <t>Ryan Grant</t>
  </si>
  <si>
    <t>Stefon Diggs</t>
  </si>
  <si>
    <t>J.J. Nelson</t>
  </si>
  <si>
    <t>Melvin Gordon</t>
  </si>
  <si>
    <t>Todd Gurley</t>
  </si>
  <si>
    <t>T.J. Yeldon</t>
  </si>
  <si>
    <t>Tevin Coleman</t>
  </si>
  <si>
    <t>Ameer Abdullah</t>
  </si>
  <si>
    <t>Jameis Winston</t>
  </si>
  <si>
    <t>Josh Hill</t>
  </si>
  <si>
    <t>Marcus Mariota</t>
  </si>
  <si>
    <t>Sam Bradford</t>
  </si>
  <si>
    <t>David Cobb</t>
  </si>
  <si>
    <t>Duke Johnson</t>
  </si>
  <si>
    <t>Jay Ajayi</t>
  </si>
  <si>
    <t>David Johnson</t>
  </si>
  <si>
    <t>Matt Jones</t>
  </si>
  <si>
    <t>Cameron Artis-Payne</t>
  </si>
  <si>
    <t>Javorius Allen</t>
  </si>
  <si>
    <t>Branden Oliver</t>
  </si>
  <si>
    <t>Jeremy Langford</t>
  </si>
  <si>
    <t>Clive Walford</t>
  </si>
  <si>
    <t>Brett Hundley</t>
  </si>
  <si>
    <t>Darren Fells</t>
  </si>
  <si>
    <t>Jack Doyle</t>
  </si>
  <si>
    <t>Tyler Kroft</t>
  </si>
  <si>
    <t>Damien Williams</t>
  </si>
  <si>
    <t>Fozzy Whittaker</t>
  </si>
  <si>
    <t>Thomas Rawls</t>
  </si>
  <si>
    <t>Rex Burkhead</t>
  </si>
  <si>
    <t>Antonio Andrews</t>
  </si>
  <si>
    <t>`</t>
  </si>
  <si>
    <t>POINTS</t>
  </si>
  <si>
    <t>VBD Baseline</t>
  </si>
  <si>
    <t>SQUAREFORSTD</t>
  </si>
  <si>
    <t>YR</t>
  </si>
  <si>
    <t>Year</t>
  </si>
  <si>
    <t>Rec</t>
  </si>
  <si>
    <t>Chris Ivory</t>
  </si>
  <si>
    <t>Tim Hightower</t>
  </si>
  <si>
    <t>T.Y. Hilton</t>
  </si>
  <si>
    <t>Mike Williams</t>
  </si>
  <si>
    <t>RecTD</t>
  </si>
  <si>
    <t>Smoothing</t>
  </si>
  <si>
    <t>Tier</t>
  </si>
  <si>
    <t>Override</t>
  </si>
  <si>
    <t>WARNING! Doing this will overwrite any changes you've made</t>
  </si>
  <si>
    <t xml:space="preserve">     W/R/T (FLEX)</t>
  </si>
  <si>
    <t>SpellCheck</t>
  </si>
  <si>
    <t>Pick</t>
  </si>
  <si>
    <t>Round Pick</t>
  </si>
  <si>
    <t>Kenjon Barner</t>
  </si>
  <si>
    <t>Charcandrick West</t>
  </si>
  <si>
    <t>Brandon McManus</t>
  </si>
  <si>
    <t>Zach Zenner</t>
  </si>
  <si>
    <t>Dion Lewis</t>
  </si>
  <si>
    <t>Ezekiel Elliott</t>
  </si>
  <si>
    <t>Derrick Henry</t>
  </si>
  <si>
    <t>Laquon Treadwell</t>
  </si>
  <si>
    <t>Jordan Howard</t>
  </si>
  <si>
    <t>Sterling Shepard</t>
  </si>
  <si>
    <t>Corey Coleman</t>
  </si>
  <si>
    <t>Willie Snead</t>
  </si>
  <si>
    <t>Josh Doctson</t>
  </si>
  <si>
    <t>Kenneth Dixon</t>
  </si>
  <si>
    <t>Chris Boswell</t>
  </si>
  <si>
    <t>Devontae Booker</t>
  </si>
  <si>
    <t>C.J. Prosise</t>
  </si>
  <si>
    <t>Paul Perkins</t>
  </si>
  <si>
    <t>Michael Thomas</t>
  </si>
  <si>
    <t>Kenyan Drake</t>
  </si>
  <si>
    <t>Robert Griffin</t>
  </si>
  <si>
    <t>DeAndre Washington</t>
  </si>
  <si>
    <t>Jared Goff</t>
  </si>
  <si>
    <t>Will Fuller</t>
  </si>
  <si>
    <t>Tyler Boyd</t>
  </si>
  <si>
    <t>Spencer Ware</t>
  </si>
  <si>
    <t>Pharoh Cooper</t>
  </si>
  <si>
    <t>Tyler Ervin</t>
  </si>
  <si>
    <t>Hunter Henry</t>
  </si>
  <si>
    <t>Will Tye</t>
  </si>
  <si>
    <t>Wendell Smallwood</t>
  </si>
  <si>
    <t>Austin Hooper</t>
  </si>
  <si>
    <t>Odell Beckham</t>
  </si>
  <si>
    <t>Seth Roberts</t>
  </si>
  <si>
    <t>DeVante Parker</t>
  </si>
  <si>
    <t>Josh Ferguson</t>
  </si>
  <si>
    <t>Alex Collins</t>
  </si>
  <si>
    <t>Tyler Higbee</t>
  </si>
  <si>
    <t>Braxton Miller</t>
  </si>
  <si>
    <t>Malcolm Mitchell</t>
  </si>
  <si>
    <t>Rashard Higgins</t>
  </si>
  <si>
    <t>Jason Myers</t>
  </si>
  <si>
    <t>Jonathan Williams</t>
  </si>
  <si>
    <t>Carson Wentz</t>
  </si>
  <si>
    <t>Tajae Sharpe</t>
  </si>
  <si>
    <t>Garrett Celek</t>
  </si>
  <si>
    <t>Niles Paul</t>
  </si>
  <si>
    <t>Case Keenum</t>
  </si>
  <si>
    <t>Daniel Lasco</t>
  </si>
  <si>
    <t>Greg Salas</t>
  </si>
  <si>
    <t>Matt Barkley</t>
  </si>
  <si>
    <t>Trevor Siemian</t>
  </si>
  <si>
    <t xml:space="preserve">     RETURN YARDS = 1 PT</t>
  </si>
  <si>
    <t>Jerome Felton</t>
  </si>
  <si>
    <t>Cedric Peerman</t>
  </si>
  <si>
    <t>Will Johnson</t>
  </si>
  <si>
    <t>Anthony Sherman</t>
  </si>
  <si>
    <t>Taiwan Jones</t>
  </si>
  <si>
    <t>Darrel Young</t>
  </si>
  <si>
    <t>James Develin</t>
  </si>
  <si>
    <t>Patrick DiMarco</t>
  </si>
  <si>
    <t>Austin Johnson</t>
  </si>
  <si>
    <t>Jamize Olawale</t>
  </si>
  <si>
    <t>Zach Line</t>
  </si>
  <si>
    <t>Stepfan Taylor</t>
  </si>
  <si>
    <t>Kerwynn Williams</t>
  </si>
  <si>
    <t>Mike James</t>
  </si>
  <si>
    <t>Projected Points</t>
  </si>
  <si>
    <t>ProjPoints</t>
  </si>
  <si>
    <t>Jordan Norwood</t>
  </si>
  <si>
    <t>Brandon Tate</t>
  </si>
  <si>
    <t>Marc Mariani</t>
  </si>
  <si>
    <t>Brenton Bersin</t>
  </si>
  <si>
    <t>Marquise Goodwin</t>
  </si>
  <si>
    <t>Nick Williams</t>
  </si>
  <si>
    <t>Adam Thielen</t>
  </si>
  <si>
    <t>Paul Richardson</t>
  </si>
  <si>
    <t>Proj Points</t>
  </si>
  <si>
    <t>Daniel Fells</t>
  </si>
  <si>
    <t>Tm</t>
  </si>
  <si>
    <t xml:space="preserve">  the 'Tier Override' column.</t>
  </si>
  <si>
    <t xml:space="preserve">  The tiers autopopulate based on composite expert projections. You are able to override them by typing in</t>
  </si>
  <si>
    <t xml:space="preserve">   WARNING!    Doing this will overwrite any Changes you've made</t>
  </si>
  <si>
    <t>Bryan Walters</t>
  </si>
  <si>
    <t>Josh Bellamy</t>
  </si>
  <si>
    <t>Deonte Thompson</t>
  </si>
  <si>
    <t>Chris Matthews</t>
  </si>
  <si>
    <t>Donteea Dye</t>
  </si>
  <si>
    <t>Adam Humphries</t>
  </si>
  <si>
    <t>Javontee Herndon</t>
  </si>
  <si>
    <t>Tyrell Williams</t>
  </si>
  <si>
    <t>Quincy Enunwa</t>
  </si>
  <si>
    <t>Demarcus Robinson</t>
  </si>
  <si>
    <t>Tyreek Hill</t>
  </si>
  <si>
    <t>Rashad Greene</t>
  </si>
  <si>
    <t>Keith Mumphery</t>
  </si>
  <si>
    <t>T.J. Jones</t>
  </si>
  <si>
    <t>Ricardo Louis</t>
  </si>
  <si>
    <t>Bennie Fowler</t>
  </si>
  <si>
    <t>Lucky Whitehead</t>
  </si>
  <si>
    <t>Chris Moore</t>
  </si>
  <si>
    <t>Kaelin Clay</t>
  </si>
  <si>
    <t>Jeremy Butler</t>
  </si>
  <si>
    <t>Michael Campanaro</t>
  </si>
  <si>
    <t>Cameron Meredith</t>
  </si>
  <si>
    <t>Lorenzo Taliaferro</t>
  </si>
  <si>
    <t>Raheem Mostert</t>
  </si>
  <si>
    <t>Fitzgerald Toussaint</t>
  </si>
  <si>
    <t>Terron Ward</t>
  </si>
  <si>
    <t>Orleans Darkwa</t>
  </si>
  <si>
    <t>Tyler Varga</t>
  </si>
  <si>
    <t>Jalston Fowler</t>
  </si>
  <si>
    <t>Mike Davis</t>
  </si>
  <si>
    <t>Michael Burton</t>
  </si>
  <si>
    <t>Juwan Thompson</t>
  </si>
  <si>
    <t>Aaron Ripkowski</t>
  </si>
  <si>
    <t>Silas Redd</t>
  </si>
  <si>
    <t>Akeem Hunt</t>
  </si>
  <si>
    <t>Jay Prosch</t>
  </si>
  <si>
    <t>Storm Johnson</t>
  </si>
  <si>
    <t>Jimmy Garoppolo</t>
  </si>
  <si>
    <t>Dak Prescott</t>
  </si>
  <si>
    <t>Crockett Gillmore</t>
  </si>
  <si>
    <t>Cameron Brate</t>
  </si>
  <si>
    <t>C.J. Fiedorowicz</t>
  </si>
  <si>
    <t>Jesse James</t>
  </si>
  <si>
    <t>Ryan Hewitt</t>
  </si>
  <si>
    <t>Nick Vannett</t>
  </si>
  <si>
    <t>Jacoby Brissett</t>
  </si>
  <si>
    <t>DuJuan Harris</t>
  </si>
  <si>
    <t>John Kuhn</t>
  </si>
  <si>
    <t>Marcus Murphy</t>
  </si>
  <si>
    <t>John Crockett</t>
  </si>
  <si>
    <t>Malcolm Brown</t>
  </si>
  <si>
    <t>Russell Shepard</t>
  </si>
  <si>
    <t>Andrew Quarless</t>
  </si>
  <si>
    <t>Peyton Barber</t>
  </si>
  <si>
    <t>Clay Harbor</t>
  </si>
  <si>
    <t>Terrell Watson</t>
  </si>
  <si>
    <t>Corey Grant</t>
  </si>
  <si>
    <t>rec</t>
  </si>
  <si>
    <t>Aldrick Robinson</t>
  </si>
  <si>
    <t>Will Tukuafu</t>
  </si>
  <si>
    <t>Cyrus Gray</t>
  </si>
  <si>
    <t>Chris Owusu</t>
  </si>
  <si>
    <t>Josh Robinson</t>
  </si>
  <si>
    <t>Joe Banyard</t>
  </si>
  <si>
    <t>Brittan Golden</t>
  </si>
  <si>
    <t>Cobi Hamilton</t>
  </si>
  <si>
    <t>Tavarres King</t>
  </si>
  <si>
    <t>Joseph Randle</t>
  </si>
  <si>
    <t>George Winn</t>
  </si>
  <si>
    <t>Freddie Martino</t>
  </si>
  <si>
    <t>Roosevelt Nix</t>
  </si>
  <si>
    <t>Trey Burton</t>
  </si>
  <si>
    <t>George Atkinson</t>
  </si>
  <si>
    <t>Kapri Bibbs</t>
  </si>
  <si>
    <t>Darrin Reaves</t>
  </si>
  <si>
    <t>Senorise Perry</t>
  </si>
  <si>
    <t>Terrence Magee</t>
  </si>
  <si>
    <t>Darren Waller</t>
  </si>
  <si>
    <t>Tre McBride</t>
  </si>
  <si>
    <t>DeAndre Carter</t>
  </si>
  <si>
    <t>Jake Kumerow</t>
  </si>
  <si>
    <t>Jordan Taylor</t>
  </si>
  <si>
    <t>Eli Rogers</t>
  </si>
  <si>
    <t>Rod Smith</t>
  </si>
  <si>
    <t>Mack Brown</t>
  </si>
  <si>
    <t>Daniel Brown</t>
  </si>
  <si>
    <t>Cody Core</t>
  </si>
  <si>
    <t>Charone Peake</t>
  </si>
  <si>
    <t>Dwayne Washington</t>
  </si>
  <si>
    <t>Jakeem Grant</t>
  </si>
  <si>
    <t>D.J. Foster</t>
  </si>
  <si>
    <t>Roger Lewis</t>
  </si>
  <si>
    <t>Jalin Marshall</t>
  </si>
  <si>
    <t>Terrelle Pryor</t>
  </si>
  <si>
    <t>K1</t>
  </si>
  <si>
    <t>K8</t>
  </si>
  <si>
    <t>K2</t>
  </si>
  <si>
    <t>K3</t>
  </si>
  <si>
    <t>K4</t>
  </si>
  <si>
    <t>K5</t>
  </si>
  <si>
    <t>K6</t>
  </si>
  <si>
    <t>K7</t>
  </si>
  <si>
    <t>K9</t>
  </si>
  <si>
    <t>K10</t>
  </si>
  <si>
    <t>K11</t>
  </si>
  <si>
    <t>K12</t>
  </si>
  <si>
    <t>K13</t>
  </si>
  <si>
    <t>K14</t>
  </si>
  <si>
    <t>K15</t>
  </si>
  <si>
    <t>K16</t>
  </si>
  <si>
    <t>K17</t>
  </si>
  <si>
    <t>K18</t>
  </si>
  <si>
    <t>K19</t>
  </si>
  <si>
    <t>K20</t>
  </si>
  <si>
    <t>K21</t>
  </si>
  <si>
    <t>K22</t>
  </si>
  <si>
    <t>K23</t>
  </si>
  <si>
    <t>K24</t>
  </si>
  <si>
    <t>K25</t>
  </si>
  <si>
    <t>K26</t>
  </si>
  <si>
    <t>K27</t>
  </si>
  <si>
    <t>K28</t>
  </si>
  <si>
    <t>K29</t>
  </si>
  <si>
    <t>K30</t>
  </si>
  <si>
    <t>K31</t>
  </si>
  <si>
    <t>K32</t>
  </si>
  <si>
    <t>K33</t>
  </si>
  <si>
    <t>K34</t>
  </si>
  <si>
    <t>Antone Smith</t>
  </si>
  <si>
    <t>highlighting in 'Draft Slayer!'</t>
  </si>
  <si>
    <t>Darius Jackson</t>
  </si>
  <si>
    <t>LAC</t>
  </si>
  <si>
    <t>LAR</t>
  </si>
  <si>
    <t>Keith Smith</t>
  </si>
  <si>
    <t>Malcolm Johnson</t>
  </si>
  <si>
    <t>Dan Vitale</t>
  </si>
  <si>
    <t>Derek Watt</t>
  </si>
  <si>
    <t>Andy Janovich</t>
  </si>
  <si>
    <t>Chester Rogers</t>
  </si>
  <si>
    <t>Maurice Harris</t>
  </si>
  <si>
    <t>Rob Kelley</t>
  </si>
  <si>
    <t>Brandon Wilds</t>
  </si>
  <si>
    <t>Geronimo Allison</t>
  </si>
  <si>
    <t>Robby Anderson</t>
  </si>
  <si>
    <t>Alex Erickson</t>
  </si>
  <si>
    <t>Don Jackson</t>
  </si>
  <si>
    <t>Wil Lutz</t>
  </si>
  <si>
    <t>Tanner McEvoy</t>
  </si>
  <si>
    <t>Tommylee Lewis</t>
  </si>
  <si>
    <t>Kenneth Farrow</t>
  </si>
  <si>
    <t>Johnny Holton</t>
  </si>
  <si>
    <t>Jalen Richard</t>
  </si>
  <si>
    <t>Troymaine Pope</t>
  </si>
  <si>
    <t>Corey Davis</t>
  </si>
  <si>
    <t>O.J. Howard</t>
  </si>
  <si>
    <t>Evan Engram</t>
  </si>
  <si>
    <t>Zay Jones</t>
  </si>
  <si>
    <t>Taywan Taylor</t>
  </si>
  <si>
    <t>Gerald Everett</t>
  </si>
  <si>
    <t>Cooper Kupp</t>
  </si>
  <si>
    <t>Kareem Hunt</t>
  </si>
  <si>
    <t>Elijah McGuire</t>
  </si>
  <si>
    <t>Wayne Gallman</t>
  </si>
  <si>
    <t>Ryan Switzer</t>
  </si>
  <si>
    <t>Joe Mixon</t>
  </si>
  <si>
    <t>James Conner</t>
  </si>
  <si>
    <t>DeShone Kizer</t>
  </si>
  <si>
    <t>David Njoku</t>
  </si>
  <si>
    <t>Dalvin Cook</t>
  </si>
  <si>
    <t>Christian McCaffrey</t>
  </si>
  <si>
    <t>Mitchell Trubisky</t>
  </si>
  <si>
    <t>John Ross</t>
  </si>
  <si>
    <t>Alvin Kamara</t>
  </si>
  <si>
    <t>Kenny Golladay</t>
  </si>
  <si>
    <t>Deshaun Watson</t>
  </si>
  <si>
    <t>Curtis Samuel</t>
  </si>
  <si>
    <t>Chad Hansen</t>
  </si>
  <si>
    <t>Chris Godwin</t>
  </si>
  <si>
    <t>Brian Hill</t>
  </si>
  <si>
    <t>Aaron Jones</t>
  </si>
  <si>
    <t>Marlon Mack</t>
  </si>
  <si>
    <t>Josh Malone</t>
  </si>
  <si>
    <t>Isaiah McKenzie</t>
  </si>
  <si>
    <t>Samaje Perine</t>
  </si>
  <si>
    <t>JuJu Smith-Schuster</t>
  </si>
  <si>
    <t>ArDarius Stewart</t>
  </si>
  <si>
    <t>Jake Elliott</t>
  </si>
  <si>
    <t>Josh Reynolds</t>
  </si>
  <si>
    <t>Trent Taylor</t>
  </si>
  <si>
    <t>Jamaal Williams</t>
  </si>
  <si>
    <t>Jonnu Smith</t>
  </si>
  <si>
    <t>Chad Williams</t>
  </si>
  <si>
    <t>Tarik Cohen</t>
  </si>
  <si>
    <t>Mack Hollins</t>
  </si>
  <si>
    <t>George Kittle</t>
  </si>
  <si>
    <t>David Moore</t>
  </si>
  <si>
    <t>Chris Carson</t>
  </si>
  <si>
    <t xml:space="preserve">     PTS PER RETURN TD</t>
  </si>
  <si>
    <t>Round 17</t>
  </si>
  <si>
    <t>Round 18</t>
  </si>
  <si>
    <t>Round 19</t>
  </si>
  <si>
    <t>Round 20</t>
  </si>
  <si>
    <t>Round 21</t>
  </si>
  <si>
    <t>Round 22</t>
  </si>
  <si>
    <t>Round 23</t>
  </si>
  <si>
    <t>Round 24</t>
  </si>
  <si>
    <t>Round 25</t>
  </si>
  <si>
    <t>17-1</t>
  </si>
  <si>
    <t>17-2</t>
  </si>
  <si>
    <t>17-3</t>
  </si>
  <si>
    <t>17-4</t>
  </si>
  <si>
    <t>17-5</t>
  </si>
  <si>
    <t>17-6</t>
  </si>
  <si>
    <t>17-7</t>
  </si>
  <si>
    <t>17-8</t>
  </si>
  <si>
    <t>18-1</t>
  </si>
  <si>
    <t>18-2</t>
  </si>
  <si>
    <t>18-3</t>
  </si>
  <si>
    <t>18-4</t>
  </si>
  <si>
    <t>18-5</t>
  </si>
  <si>
    <t>18-6</t>
  </si>
  <si>
    <t>18-7</t>
  </si>
  <si>
    <t>18-8</t>
  </si>
  <si>
    <t>19-1</t>
  </si>
  <si>
    <t>19-2</t>
  </si>
  <si>
    <t>19-3</t>
  </si>
  <si>
    <t>19-4</t>
  </si>
  <si>
    <t>19-5</t>
  </si>
  <si>
    <t>19-6</t>
  </si>
  <si>
    <t>19-7</t>
  </si>
  <si>
    <t>19-8</t>
  </si>
  <si>
    <t>20-1</t>
  </si>
  <si>
    <t>20-2</t>
  </si>
  <si>
    <t>20-3</t>
  </si>
  <si>
    <t>20-4</t>
  </si>
  <si>
    <t>20-5</t>
  </si>
  <si>
    <t>20-6</t>
  </si>
  <si>
    <t>20-7</t>
  </si>
  <si>
    <t>20-8</t>
  </si>
  <si>
    <t>21-1</t>
  </si>
  <si>
    <t>21-2</t>
  </si>
  <si>
    <t>21-3</t>
  </si>
  <si>
    <t>21-4</t>
  </si>
  <si>
    <t>21-5</t>
  </si>
  <si>
    <t>21-6</t>
  </si>
  <si>
    <t>21-7</t>
  </si>
  <si>
    <t>21-8</t>
  </si>
  <si>
    <t>22-1</t>
  </si>
  <si>
    <t>22-2</t>
  </si>
  <si>
    <t>22-3</t>
  </si>
  <si>
    <t>22-4</t>
  </si>
  <si>
    <t>22-5</t>
  </si>
  <si>
    <t>22-6</t>
  </si>
  <si>
    <t>22-7</t>
  </si>
  <si>
    <t>22-8</t>
  </si>
  <si>
    <t>23-1</t>
  </si>
  <si>
    <t>23-2</t>
  </si>
  <si>
    <t>23-3</t>
  </si>
  <si>
    <t>23-4</t>
  </si>
  <si>
    <t>23-5</t>
  </si>
  <si>
    <t>23-6</t>
  </si>
  <si>
    <t>23-7</t>
  </si>
  <si>
    <t>23-8</t>
  </si>
  <si>
    <t>24-1</t>
  </si>
  <si>
    <t>24-2</t>
  </si>
  <si>
    <t>24-3</t>
  </si>
  <si>
    <t>24-4</t>
  </si>
  <si>
    <t>24-5</t>
  </si>
  <si>
    <t>24-6</t>
  </si>
  <si>
    <t>24-7</t>
  </si>
  <si>
    <t>24-8</t>
  </si>
  <si>
    <t>25-1</t>
  </si>
  <si>
    <t>25-2</t>
  </si>
  <si>
    <t>25-3</t>
  </si>
  <si>
    <t>25-4</t>
  </si>
  <si>
    <t>25-5</t>
  </si>
  <si>
    <t>25-6</t>
  </si>
  <si>
    <t>25-7</t>
  </si>
  <si>
    <t>25-8</t>
  </si>
  <si>
    <t>17-9</t>
  </si>
  <si>
    <t>17-10</t>
  </si>
  <si>
    <t>18-9</t>
  </si>
  <si>
    <t>18-10</t>
  </si>
  <si>
    <t>19-9</t>
  </si>
  <si>
    <t>19-10</t>
  </si>
  <si>
    <t>20-9</t>
  </si>
  <si>
    <t>20-10</t>
  </si>
  <si>
    <t>21-9</t>
  </si>
  <si>
    <t>21-10</t>
  </si>
  <si>
    <t>22-9</t>
  </si>
  <si>
    <t>22-10</t>
  </si>
  <si>
    <t>23-9</t>
  </si>
  <si>
    <t>23-10</t>
  </si>
  <si>
    <t>24-9</t>
  </si>
  <si>
    <t>24-10</t>
  </si>
  <si>
    <t>25-9</t>
  </si>
  <si>
    <t>25-10</t>
  </si>
  <si>
    <t>17-11</t>
  </si>
  <si>
    <t>17-12</t>
  </si>
  <si>
    <t>18-11</t>
  </si>
  <si>
    <t>18-12</t>
  </si>
  <si>
    <t>19-11</t>
  </si>
  <si>
    <t>19-12</t>
  </si>
  <si>
    <t>20-11</t>
  </si>
  <si>
    <t>20-12</t>
  </si>
  <si>
    <t>21-11</t>
  </si>
  <si>
    <t>21-12</t>
  </si>
  <si>
    <t>1-15</t>
  </si>
  <si>
    <t>1-16</t>
  </si>
  <si>
    <t>2-15</t>
  </si>
  <si>
    <t>2-16</t>
  </si>
  <si>
    <t>3-15</t>
  </si>
  <si>
    <t>3-16</t>
  </si>
  <si>
    <t>4-15</t>
  </si>
  <si>
    <t>4-16</t>
  </si>
  <si>
    <t>5-15</t>
  </si>
  <si>
    <t>5-16</t>
  </si>
  <si>
    <t>6-15</t>
  </si>
  <si>
    <t>6-16</t>
  </si>
  <si>
    <t>7-15</t>
  </si>
  <si>
    <t>7-16</t>
  </si>
  <si>
    <t>8-15</t>
  </si>
  <si>
    <t>8-16</t>
  </si>
  <si>
    <t>9-15</t>
  </si>
  <si>
    <t>9-16</t>
  </si>
  <si>
    <t>10-15</t>
  </si>
  <si>
    <t>10-16</t>
  </si>
  <si>
    <t>11-15</t>
  </si>
  <si>
    <t>11-16</t>
  </si>
  <si>
    <t>12-15</t>
  </si>
  <si>
    <t>12-16</t>
  </si>
  <si>
    <t>13-15</t>
  </si>
  <si>
    <t>13-16</t>
  </si>
  <si>
    <t>14-15</t>
  </si>
  <si>
    <t>14-16</t>
  </si>
  <si>
    <t>15-15</t>
  </si>
  <si>
    <t>15-16</t>
  </si>
  <si>
    <t>PassTD</t>
  </si>
  <si>
    <t>RuTD</t>
  </si>
  <si>
    <t>Tier8</t>
  </si>
  <si>
    <t>STD8</t>
  </si>
  <si>
    <t>Steve Johnson</t>
  </si>
  <si>
    <t>Colin Kaepernick</t>
  </si>
  <si>
    <t>Eric Weems</t>
  </si>
  <si>
    <t>Jeff Cumberland</t>
  </si>
  <si>
    <t>Austin Davis</t>
  </si>
  <si>
    <t>Bobby Rainey</t>
  </si>
  <si>
    <t>Derrick Coleman</t>
  </si>
  <si>
    <t>Denard Robinson</t>
  </si>
  <si>
    <t>Tommy Bohanon</t>
  </si>
  <si>
    <t>Rashad Ross</t>
  </si>
  <si>
    <t>J.D. McKissic</t>
  </si>
  <si>
    <t>Tre Madden</t>
  </si>
  <si>
    <t>C.J. Ham</t>
  </si>
  <si>
    <t>Mo Alie-Cox</t>
  </si>
  <si>
    <t>Leonard Fournette</t>
  </si>
  <si>
    <t>JAX</t>
  </si>
  <si>
    <t>All</t>
  </si>
  <si>
    <t>PassYds</t>
  </si>
  <si>
    <t>PassInt</t>
  </si>
  <si>
    <t>RuYds</t>
  </si>
  <si>
    <t>RecYds</t>
  </si>
  <si>
    <t>PuRetYds</t>
  </si>
  <si>
    <t>PuRetTD</t>
  </si>
  <si>
    <t>KRetYds</t>
  </si>
  <si>
    <t>KRetTD</t>
  </si>
  <si>
    <t>FumL</t>
  </si>
  <si>
    <t>GNB</t>
  </si>
  <si>
    <t>NOR</t>
  </si>
  <si>
    <t>SDG</t>
  </si>
  <si>
    <t>TAM</t>
  </si>
  <si>
    <t>NWE</t>
  </si>
  <si>
    <t>KAN</t>
  </si>
  <si>
    <t>SFO</t>
  </si>
  <si>
    <t>Le'Veon Bell</t>
  </si>
  <si>
    <t>Robert Kelley</t>
  </si>
  <si>
    <t>2TM</t>
  </si>
  <si>
    <t>Ka'Deem Carey</t>
  </si>
  <si>
    <t>Byron Marshall</t>
  </si>
  <si>
    <t>Isaiah Pead</t>
  </si>
  <si>
    <t>Bralon Addison</t>
  </si>
  <si>
    <t>Bronson Hill</t>
  </si>
  <si>
    <t>Steve Smith</t>
  </si>
  <si>
    <t>JJ Nelson</t>
  </si>
  <si>
    <t>Corey Brown</t>
  </si>
  <si>
    <t>Andre Johnson</t>
  </si>
  <si>
    <t>De'Anthony Thomas</t>
  </si>
  <si>
    <t>Peyton Manning</t>
  </si>
  <si>
    <t>Karlos Williams</t>
  </si>
  <si>
    <t>Chris Polk</t>
  </si>
  <si>
    <t>Arian Foster</t>
  </si>
  <si>
    <t>Fred Jackson</t>
  </si>
  <si>
    <t>Donald Brown</t>
  </si>
  <si>
    <t>Tre Mason</t>
  </si>
  <si>
    <t>Ahmad Bradshaw</t>
  </si>
  <si>
    <t>3TM</t>
  </si>
  <si>
    <t>Zac Stacy</t>
  </si>
  <si>
    <t>Jonas Gray</t>
  </si>
  <si>
    <t>Bruce Miller</t>
  </si>
  <si>
    <t>Roy Helu</t>
  </si>
  <si>
    <t>Anthony Dixon</t>
  </si>
  <si>
    <t>Dan Herron</t>
  </si>
  <si>
    <t>Pierre Thomas</t>
  </si>
  <si>
    <t>Bryce Brown</t>
  </si>
  <si>
    <t>Jarryd Hayne</t>
  </si>
  <si>
    <t>Kendall Gaskins</t>
  </si>
  <si>
    <t>Stevan Ridley</t>
  </si>
  <si>
    <t>Zurlon Tipton</t>
  </si>
  <si>
    <t>Toby Gerhart</t>
  </si>
  <si>
    <t>Joey Iosefa</t>
  </si>
  <si>
    <t>Alonzo Harris</t>
  </si>
  <si>
    <t>Calvin Johnson</t>
  </si>
  <si>
    <t>James Jones</t>
  </si>
  <si>
    <t>Nate Washington</t>
  </si>
  <si>
    <t>Marques Colston</t>
  </si>
  <si>
    <t>Malcom Floyd</t>
  </si>
  <si>
    <t>Jerricho Cotchery</t>
  </si>
  <si>
    <t>Brian Hartline</t>
  </si>
  <si>
    <t>Roddy White</t>
  </si>
  <si>
    <t>Lance Moore</t>
  </si>
  <si>
    <t>Leonard Hankerson</t>
  </si>
  <si>
    <t>Riley Cooper</t>
  </si>
  <si>
    <t>Chris Givens</t>
  </si>
  <si>
    <t>Griff Whalen</t>
  </si>
  <si>
    <t>Miles Austin</t>
  </si>
  <si>
    <t>Greg Jennings</t>
  </si>
  <si>
    <t>Andre Caldwell</t>
  </si>
  <si>
    <t>Stedman Bailey</t>
  </si>
  <si>
    <t>Louis Murphy</t>
  </si>
  <si>
    <t>Ben Watson</t>
  </si>
  <si>
    <t>Owen Daniels</t>
  </si>
  <si>
    <t>Heath Miller</t>
  </si>
  <si>
    <t>Jordan Cameron</t>
  </si>
  <si>
    <t>Scott Chandler</t>
  </si>
  <si>
    <t>Kyle Orton</t>
  </si>
  <si>
    <t>Trent Richardson</t>
  </si>
  <si>
    <t>Ben Tate</t>
  </si>
  <si>
    <t>Leon Washington</t>
  </si>
  <si>
    <t>Shonn Greene</t>
  </si>
  <si>
    <t>Daniel Thomas</t>
  </si>
  <si>
    <t>Knowshon Moreno</t>
  </si>
  <si>
    <t>Joe McKnight</t>
  </si>
  <si>
    <t>Peyton Hillis</t>
  </si>
  <si>
    <t>Maurice Jones-Drew</t>
  </si>
  <si>
    <t>Robert Hughes</t>
  </si>
  <si>
    <t>Michael Cox</t>
  </si>
  <si>
    <t>Marion Grice</t>
  </si>
  <si>
    <t>John Conner</t>
  </si>
  <si>
    <t>Jonathan Dwyer</t>
  </si>
  <si>
    <t>Jed Collins</t>
  </si>
  <si>
    <t>Jackie Battle</t>
  </si>
  <si>
    <t>Chris Ogbonnaya</t>
  </si>
  <si>
    <t>Ronnie Brown</t>
  </si>
  <si>
    <t>Frank Summers</t>
  </si>
  <si>
    <t>Will Ta'ufo'ou</t>
  </si>
  <si>
    <t>Erik Lorig</t>
  </si>
  <si>
    <t>Jorvorskie Lane</t>
  </si>
  <si>
    <t>Trey Watts</t>
  </si>
  <si>
    <t>Alfonso Smith</t>
  </si>
  <si>
    <t>Jeremy Stewart</t>
  </si>
  <si>
    <t>Ray Agnew</t>
  </si>
  <si>
    <t>Josh Harris</t>
  </si>
  <si>
    <t>Brian Leonard</t>
  </si>
  <si>
    <t>Henry Hynoski</t>
  </si>
  <si>
    <t>John Carlson</t>
  </si>
  <si>
    <t>Devin Hester</t>
  </si>
  <si>
    <t>Reggie Wayne</t>
  </si>
  <si>
    <t>Dwayne Bowe</t>
  </si>
  <si>
    <t>Jacoby Jones</t>
  </si>
  <si>
    <t>Hakeem Nicks</t>
  </si>
  <si>
    <t>Wes Welker</t>
  </si>
  <si>
    <t>Damaris Johnson</t>
  </si>
  <si>
    <t>Jason Avant</t>
  </si>
  <si>
    <t>Brandon Lloyd</t>
  </si>
  <si>
    <t>Ricardo Lockette</t>
  </si>
  <si>
    <t>Derek Hagan</t>
  </si>
  <si>
    <t>Josh Cribbs</t>
  </si>
  <si>
    <t>Chris Williams</t>
  </si>
  <si>
    <t>Kenbrell Thompkins</t>
  </si>
  <si>
    <t>Nick Toon</t>
  </si>
  <si>
    <t>Solomon Patton</t>
  </si>
  <si>
    <t>T.J. Graham</t>
  </si>
  <si>
    <t>Austin Pettis</t>
  </si>
  <si>
    <t>Josh Morgan</t>
  </si>
  <si>
    <t>Joe Morgan</t>
  </si>
  <si>
    <t>Donnie Avery</t>
  </si>
  <si>
    <t xml:space="preserve">Position </t>
  </si>
  <si>
    <t>Vs</t>
  </si>
  <si>
    <t xml:space="preserve">  You can easily override the 'Fantasy Points' column with your own projected points.</t>
  </si>
  <si>
    <t xml:space="preserve"> Are good and negative numbers are bad.</t>
  </si>
  <si>
    <t xml:space="preserve"> The 'Vs ADP' column shows you if the projections like this player better or worse than ADP. High numbers</t>
  </si>
  <si>
    <t>Matt Breida</t>
  </si>
  <si>
    <t>Corey Clement</t>
  </si>
  <si>
    <t>Damiere Byrd</t>
  </si>
  <si>
    <t>Joe Kerridge</t>
  </si>
  <si>
    <t>Elijhaa Penny</t>
  </si>
  <si>
    <t>Dede Westbrook</t>
  </si>
  <si>
    <t>Harrison Butker</t>
  </si>
  <si>
    <t>Austin Carr</t>
  </si>
  <si>
    <t>Austin Ekeler</t>
  </si>
  <si>
    <t>Ricky Seals-Jones</t>
  </si>
  <si>
    <t>Tiered Points</t>
  </si>
  <si>
    <t>Tier Override</t>
  </si>
  <si>
    <t>David Fluellen</t>
  </si>
  <si>
    <t>Josh Allen</t>
  </si>
  <si>
    <t>Sam Darnold</t>
  </si>
  <si>
    <t>Baker Mayfield</t>
  </si>
  <si>
    <t>Lamar Jackson</t>
  </si>
  <si>
    <t>Taysom Hill</t>
  </si>
  <si>
    <t>Saquon Barkley</t>
  </si>
  <si>
    <t>Rashaad Penny</t>
  </si>
  <si>
    <t>Royce Freeman</t>
  </si>
  <si>
    <t>Sony Michel</t>
  </si>
  <si>
    <t>Kerryon Johnson</t>
  </si>
  <si>
    <t>D'Onta Foreman</t>
  </si>
  <si>
    <t>Nick Chubb</t>
  </si>
  <si>
    <t>Nyheim Hines</t>
  </si>
  <si>
    <t>Chase Edmonds</t>
  </si>
  <si>
    <t>Jordan Wilkins</t>
  </si>
  <si>
    <t>De'Angelo Henderson</t>
  </si>
  <si>
    <t>Kalen Ballage</t>
  </si>
  <si>
    <t>John Kelly</t>
  </si>
  <si>
    <t>Justin Jackson</t>
  </si>
  <si>
    <t>Boston Scott</t>
  </si>
  <si>
    <t>Mark Walton</t>
  </si>
  <si>
    <t>Jaylen Samuels</t>
  </si>
  <si>
    <t>Ito Smith</t>
  </si>
  <si>
    <t>Trey Edmunds</t>
  </si>
  <si>
    <t>Josh Adams</t>
  </si>
  <si>
    <t>Trenton Cannon</t>
  </si>
  <si>
    <t>Calvin Ridley</t>
  </si>
  <si>
    <t>Michael Gallup</t>
  </si>
  <si>
    <t>Anthony Miller</t>
  </si>
  <si>
    <t>Keelan Cole</t>
  </si>
  <si>
    <t>Christian Kirk</t>
  </si>
  <si>
    <t>Courtland Sutton</t>
  </si>
  <si>
    <t>James Washington</t>
  </si>
  <si>
    <t>Dante Pettis</t>
  </si>
  <si>
    <t>Keke Coutee</t>
  </si>
  <si>
    <t>DaeSean Hamilton</t>
  </si>
  <si>
    <t>Hunter Sharp</t>
  </si>
  <si>
    <t>Travis Rudolph</t>
  </si>
  <si>
    <t>Bobo Wilson</t>
  </si>
  <si>
    <t>Kendrick Bourne</t>
  </si>
  <si>
    <t>Marquez Valdes-Scantling</t>
  </si>
  <si>
    <t>Jaydon Mickens</t>
  </si>
  <si>
    <t>Richie James</t>
  </si>
  <si>
    <t>Justin Watson</t>
  </si>
  <si>
    <t>Trey Quinn</t>
  </si>
  <si>
    <t>Russell Gage</t>
  </si>
  <si>
    <t>Damion Ratley</t>
  </si>
  <si>
    <t>Marcell Ateman</t>
  </si>
  <si>
    <t>Marvin Hall</t>
  </si>
  <si>
    <t>Hayden Hurst</t>
  </si>
  <si>
    <t>Mark Andrews</t>
  </si>
  <si>
    <t>Blake Jarwin</t>
  </si>
  <si>
    <t>Dallas Goedert</t>
  </si>
  <si>
    <t>Nick O'Leary</t>
  </si>
  <si>
    <t>Jordan Akins</t>
  </si>
  <si>
    <t>Will Dissly</t>
  </si>
  <si>
    <t>Ian Thomas</t>
  </si>
  <si>
    <t>Jordan Thomas</t>
  </si>
  <si>
    <t>Daniel Carlson</t>
  </si>
  <si>
    <t>Jason Sanders</t>
  </si>
  <si>
    <t>Seth Devalve</t>
  </si>
  <si>
    <t>Tion Green</t>
  </si>
  <si>
    <t>Matt Dayes</t>
  </si>
  <si>
    <t>De'Veon Smith</t>
  </si>
  <si>
    <t>LeShun Daniels Jr</t>
  </si>
  <si>
    <t>Ted Ginn Jr</t>
  </si>
  <si>
    <t>Odell Beckham Jr</t>
  </si>
  <si>
    <t>Kaimi Fairbairn</t>
  </si>
  <si>
    <t>Gus Edwards</t>
  </si>
  <si>
    <t>Phillip Lindsay</t>
  </si>
  <si>
    <t>Darrel Williams</t>
  </si>
  <si>
    <t>Robert Foster</t>
  </si>
  <si>
    <t>Zach Pascal</t>
  </si>
  <si>
    <t>Deontay Burnett</t>
  </si>
  <si>
    <t>Mike Boone</t>
  </si>
  <si>
    <t>Shaun Wilson</t>
  </si>
  <si>
    <t>[TEAM 1]</t>
  </si>
  <si>
    <t>[TEAM 2]</t>
  </si>
  <si>
    <t>[TEAM 4]</t>
  </si>
  <si>
    <t>[TEAM 5]</t>
  </si>
  <si>
    <t>[TEAM 6]</t>
  </si>
  <si>
    <t>[TEAM 8]</t>
  </si>
  <si>
    <t>[TEAM 9]</t>
  </si>
  <si>
    <t>[TEAM 10]</t>
  </si>
  <si>
    <t>[TEAM 11]</t>
  </si>
  <si>
    <t>KPR</t>
  </si>
  <si>
    <t>KRP</t>
  </si>
  <si>
    <t xml:space="preserve">  If you are using keepers, it's important that you put in the exact pick spot you get to keep the player.</t>
  </si>
  <si>
    <t xml:space="preserve">  Pick 4 in round 2 in a 12 team league would be pick 16 for example.</t>
  </si>
  <si>
    <t>Bye</t>
  </si>
  <si>
    <t>Risk</t>
  </si>
  <si>
    <t>DJ Moore</t>
  </si>
  <si>
    <t>Josh Jacobs</t>
  </si>
  <si>
    <t>David Montgomery</t>
  </si>
  <si>
    <t>Kyler Murray</t>
  </si>
  <si>
    <t>Miles Sanders</t>
  </si>
  <si>
    <t>DK Metcalf</t>
  </si>
  <si>
    <t>Mecole Hardman</t>
  </si>
  <si>
    <t>TreQuan Smith</t>
  </si>
  <si>
    <t>Parris Campbell</t>
  </si>
  <si>
    <t>AJ Brown</t>
  </si>
  <si>
    <t>TJ Hockenson</t>
  </si>
  <si>
    <t>Noah Fant</t>
  </si>
  <si>
    <t>Marquise Brown</t>
  </si>
  <si>
    <t>Deebo Samuel</t>
  </si>
  <si>
    <t>Devin Singletary</t>
  </si>
  <si>
    <t>Damien Harris</t>
  </si>
  <si>
    <t>Andy Isabella</t>
  </si>
  <si>
    <t>Justice Hill</t>
  </si>
  <si>
    <t>DJ Chark</t>
  </si>
  <si>
    <t>Alexander Mattison</t>
  </si>
  <si>
    <t>Greg Joseph</t>
  </si>
  <si>
    <t>Irv Smith</t>
  </si>
  <si>
    <t>Keith Kirkwood</t>
  </si>
  <si>
    <t>Diontae Johnson</t>
  </si>
  <si>
    <t>Miles Boykin</t>
  </si>
  <si>
    <t>Jeff Wilson</t>
  </si>
  <si>
    <t>Terry McLaurin</t>
  </si>
  <si>
    <t>Myles Gaskin</t>
  </si>
  <si>
    <t>CJ Uzomah</t>
  </si>
  <si>
    <t>Tony Pollard</t>
  </si>
  <si>
    <t>Daniel Jones</t>
  </si>
  <si>
    <t>Trayveon Williams</t>
  </si>
  <si>
    <t>Hunter Renfrow</t>
  </si>
  <si>
    <t>Drew Lock</t>
  </si>
  <si>
    <t>KeeSean Johnson</t>
  </si>
  <si>
    <t>Dawson Knox</t>
  </si>
  <si>
    <t>Qadree Ollison</t>
  </si>
  <si>
    <t>Matt Gay</t>
  </si>
  <si>
    <t>Travis Homer</t>
  </si>
  <si>
    <t>Foster Moreau</t>
  </si>
  <si>
    <t>Drew Sample</t>
  </si>
  <si>
    <t>Brandon Powell</t>
  </si>
  <si>
    <t>Darius Slayton</t>
  </si>
  <si>
    <t>Dan Arnold</t>
  </si>
  <si>
    <t>Vyncint Smith</t>
  </si>
  <si>
    <t>8 - ADP</t>
  </si>
  <si>
    <t>8 - StD</t>
  </si>
  <si>
    <t>8 - .5</t>
  </si>
  <si>
    <t>8 - .5 StD</t>
  </si>
  <si>
    <t>8 - PPR</t>
  </si>
  <si>
    <t>8 - PPR StD</t>
  </si>
  <si>
    <t>10 - ADP</t>
  </si>
  <si>
    <t>10 - StD</t>
  </si>
  <si>
    <t>10 - .5</t>
  </si>
  <si>
    <t>10 - .5 StD</t>
  </si>
  <si>
    <t>10 - PPR</t>
  </si>
  <si>
    <t>10 - PPR StD</t>
  </si>
  <si>
    <t>10 - 2QB</t>
  </si>
  <si>
    <t>10 - 2QB StD</t>
  </si>
  <si>
    <t>12 - ADP</t>
  </si>
  <si>
    <t>12 - StD</t>
  </si>
  <si>
    <t>12 - .5</t>
  </si>
  <si>
    <t>12 - .5 StD</t>
  </si>
  <si>
    <t>12 - PPR</t>
  </si>
  <si>
    <t>12 - PPR StD</t>
  </si>
  <si>
    <t>12 - 2QB</t>
  </si>
  <si>
    <t>12 - 2QB StD</t>
  </si>
  <si>
    <t>14 - ADP</t>
  </si>
  <si>
    <t>14 - StD</t>
  </si>
  <si>
    <t>14 - .5</t>
  </si>
  <si>
    <t>14 - .5 StD</t>
  </si>
  <si>
    <t>14 - PPR</t>
  </si>
  <si>
    <t>14 - PPR StD</t>
  </si>
  <si>
    <t xml:space="preserve">     NUMBER OF TEAMS IN THE LEAGUE</t>
  </si>
  <si>
    <t>VARIANCE</t>
  </si>
  <si>
    <t>NA</t>
  </si>
  <si>
    <t>Patrick Mahomes</t>
  </si>
  <si>
    <t>Atl</t>
  </si>
  <si>
    <t>Pit</t>
  </si>
  <si>
    <t>Ind</t>
  </si>
  <si>
    <t>Hou</t>
  </si>
  <si>
    <t>Sea</t>
  </si>
  <si>
    <t>Min</t>
  </si>
  <si>
    <t>Car</t>
  </si>
  <si>
    <t>Dal</t>
  </si>
  <si>
    <t>Chi</t>
  </si>
  <si>
    <t>Cle</t>
  </si>
  <si>
    <t>Det</t>
  </si>
  <si>
    <t>Was</t>
  </si>
  <si>
    <t>Oak</t>
  </si>
  <si>
    <t>Buf</t>
  </si>
  <si>
    <t>Phi</t>
  </si>
  <si>
    <t>Cin</t>
  </si>
  <si>
    <t>Ten</t>
  </si>
  <si>
    <t>Mia</t>
  </si>
  <si>
    <t>Bal</t>
  </si>
  <si>
    <t>Den</t>
  </si>
  <si>
    <t>Ari</t>
  </si>
  <si>
    <t>Jax</t>
  </si>
  <si>
    <t>Dontrell Hilliard</t>
  </si>
  <si>
    <t>Taquan Mizzell</t>
  </si>
  <si>
    <t>T.J. Logan</t>
  </si>
  <si>
    <t>Alex Armah</t>
  </si>
  <si>
    <t>Ronald Jones</t>
  </si>
  <si>
    <t>Keith Ford</t>
  </si>
  <si>
    <t>Detrez Newsome</t>
  </si>
  <si>
    <t>Roc Thomas</t>
  </si>
  <si>
    <t>Dare Ogunbowale</t>
  </si>
  <si>
    <t>David Williams</t>
  </si>
  <si>
    <t>De'Lance Turner</t>
  </si>
  <si>
    <t>Justin Davis</t>
  </si>
  <si>
    <t>Nick Bellore</t>
  </si>
  <si>
    <t>Ricky Ortiz</t>
  </si>
  <si>
    <t>Tre'Quan Smith</t>
  </si>
  <si>
    <t>Darius Jennings</t>
  </si>
  <si>
    <t>TJ Jones</t>
  </si>
  <si>
    <t>Tim Patrick</t>
  </si>
  <si>
    <t>Equanimeous St. Brown</t>
  </si>
  <si>
    <t>Trent Sherfield</t>
  </si>
  <si>
    <t>D.J. Chark</t>
  </si>
  <si>
    <t>Marcus Johnson</t>
  </si>
  <si>
    <t>Leonte Carroo</t>
  </si>
  <si>
    <t>Jawill Davis</t>
  </si>
  <si>
    <t>Cameron Batson</t>
  </si>
  <si>
    <t>Shelton Gibson</t>
  </si>
  <si>
    <t>River Cracraft</t>
  </si>
  <si>
    <t>JoJo Natson</t>
  </si>
  <si>
    <t>Andy Jones</t>
  </si>
  <si>
    <t>Tim White</t>
  </si>
  <si>
    <t>Quadree Henderson</t>
  </si>
  <si>
    <t>Chris Herndon</t>
  </si>
  <si>
    <t>C.J. Uzomah</t>
  </si>
  <si>
    <t>Available?</t>
  </si>
  <si>
    <t>CALCBYE</t>
  </si>
  <si>
    <t>[TEAM 3]</t>
  </si>
  <si>
    <t>[TEAM 13]</t>
  </si>
  <si>
    <t>[TEAM 14]</t>
  </si>
  <si>
    <t>[TEAM 15]</t>
  </si>
  <si>
    <t>[TEAM 16]</t>
  </si>
  <si>
    <t xml:space="preserve">     TEs</t>
  </si>
  <si>
    <t>Anthony Firkser</t>
  </si>
  <si>
    <t>Dalton Schultz</t>
  </si>
  <si>
    <t>Input keepers (optional). Put the exact pick number the player will be kept. Again, spelling is important!</t>
  </si>
  <si>
    <t>History</t>
  </si>
  <si>
    <t>(Click cell to search)</t>
  </si>
  <si>
    <t>Make sure all names are spelled correctly (no periods or apostrophes)!</t>
  </si>
  <si>
    <t>Zscore</t>
  </si>
  <si>
    <t>StDev</t>
  </si>
  <si>
    <t>BYE</t>
  </si>
  <si>
    <t>RISK</t>
  </si>
  <si>
    <t>VAL</t>
  </si>
  <si>
    <t>TIER</t>
  </si>
  <si>
    <t>DRAFT TIME!</t>
  </si>
  <si>
    <t>Go to the 'Draft' Tab. To draft a player, click on their name, and then click the 'Click to Draft' button</t>
  </si>
  <si>
    <t xml:space="preserve"> The week that this player will have off. If you have selected more than one player with the same bye week, this area will turn </t>
  </si>
  <si>
    <t xml:space="preserve"> red to alert you.</t>
  </si>
  <si>
    <t xml:space="preserve"> If you have targeted any players in step 3, they will turn orange the last pick that they are likely to still be available.</t>
  </si>
  <si>
    <t xml:space="preserve"> in the later rounds.</t>
  </si>
  <si>
    <t xml:space="preserve"> This column tries to capture how much experts agree on this player's projections. Avoid risk in the early rounds and seek it out </t>
  </si>
  <si>
    <t xml:space="preserve"> This column indicates how many points this is likely to score per game over the next best player at this position that is likely to</t>
  </si>
  <si>
    <t xml:space="preserve"> be available on your next turn. The best value will be hilighted green.</t>
  </si>
  <si>
    <t xml:space="preserve"> This is a good column to compare players across different positions. Players at the same tier are worth about the same amount.</t>
  </si>
  <si>
    <t xml:space="preserve"> If you have Inserted any Keepers in step 4, they will automatically be input at the correct pick in the cell next to the</t>
  </si>
  <si>
    <t xml:space="preserve"> draft button. Blue means Keeper.</t>
  </si>
  <si>
    <t>Make sure these numbers match your league settings (grey options are less common)</t>
  </si>
  <si>
    <t xml:space="preserve">     PTS PER RUSH ATTEMPT</t>
  </si>
  <si>
    <t xml:space="preserve">     QB/W/R/T (SUPERFLEX)</t>
  </si>
  <si>
    <t>League Info</t>
  </si>
  <si>
    <t>Positions</t>
  </si>
  <si>
    <t>Scoring</t>
  </si>
  <si>
    <t>player</t>
  </si>
  <si>
    <t>position</t>
  </si>
  <si>
    <t>team</t>
  </si>
  <si>
    <t>bye</t>
  </si>
  <si>
    <t>age</t>
  </si>
  <si>
    <t>fumbles</t>
  </si>
  <si>
    <t>passAtt</t>
  </si>
  <si>
    <t>passComp</t>
  </si>
  <si>
    <t>passInt</t>
  </si>
  <si>
    <t>passTds</t>
  </si>
  <si>
    <t>passYds</t>
  </si>
  <si>
    <t>recTds</t>
  </si>
  <si>
    <t>recYds</t>
  </si>
  <si>
    <t>rushAtt</t>
  </si>
  <si>
    <t>rushTds</t>
  </si>
  <si>
    <t>rushYds</t>
  </si>
  <si>
    <t>sacks</t>
  </si>
  <si>
    <t>twoPts</t>
  </si>
  <si>
    <t>returnTds</t>
  </si>
  <si>
    <t>returnYds</t>
  </si>
  <si>
    <t>dstBlk</t>
  </si>
  <si>
    <t>dstFumlRec</t>
  </si>
  <si>
    <t>dstInt</t>
  </si>
  <si>
    <t>dstPtsAllow</t>
  </si>
  <si>
    <t>dstRetTd</t>
  </si>
  <si>
    <t>dstSack</t>
  </si>
  <si>
    <t>dstSafety</t>
  </si>
  <si>
    <t>dstTd</t>
  </si>
  <si>
    <t>xp</t>
  </si>
  <si>
    <t>fg</t>
  </si>
  <si>
    <t>fg0019</t>
  </si>
  <si>
    <t>fg2029</t>
  </si>
  <si>
    <t>fg3039</t>
  </si>
  <si>
    <t>fg4049</t>
  </si>
  <si>
    <t>fg50</t>
  </si>
  <si>
    <t>fgAtt</t>
  </si>
  <si>
    <t>fgMiss</t>
  </si>
  <si>
    <t>Greg Ward</t>
  </si>
  <si>
    <t>Kyle Allen</t>
  </si>
  <si>
    <t>Gardner Minshew</t>
  </si>
  <si>
    <t>Logan Thomas</t>
  </si>
  <si>
    <t>Kalif Raymond</t>
  </si>
  <si>
    <t>Allen Lazard</t>
  </si>
  <si>
    <t>Ross Dwelley</t>
  </si>
  <si>
    <t>Jakobi Meyers</t>
  </si>
  <si>
    <t xml:space="preserve">  When the time comes for a keeper selection to be made, your keeper will be highlighted in blue.</t>
  </si>
  <si>
    <t>[TEAM12]</t>
  </si>
  <si>
    <t>boohoooo</t>
  </si>
  <si>
    <t>Row Labels</t>
  </si>
  <si>
    <t>Grand Total</t>
  </si>
  <si>
    <t>Joey Slye</t>
  </si>
  <si>
    <t>LV</t>
  </si>
  <si>
    <t>Clyde Edwards-Helaire</t>
  </si>
  <si>
    <t>Jonathan Taylor</t>
  </si>
  <si>
    <t>DAndre Swift</t>
  </si>
  <si>
    <t>KeShawn Vaughn</t>
  </si>
  <si>
    <t>JK Dobbins</t>
  </si>
  <si>
    <t>CeeDee Lamb</t>
  </si>
  <si>
    <t>Jerry Jeudy</t>
  </si>
  <si>
    <t>Justin Jefferson</t>
  </si>
  <si>
    <t>Zack Moss</t>
  </si>
  <si>
    <t>Joe Burrow</t>
  </si>
  <si>
    <t>Jalen Reagor</t>
  </si>
  <si>
    <t>Michael Pittman</t>
  </si>
  <si>
    <t>AJ Dillon</t>
  </si>
  <si>
    <t>Brandon Aiyuk</t>
  </si>
  <si>
    <t>Denzel Mims</t>
  </si>
  <si>
    <t>Anthony McFarland</t>
  </si>
  <si>
    <t>Darrynton Evans</t>
  </si>
  <si>
    <t>Antonio Gibson</t>
  </si>
  <si>
    <t>Tee Higgins</t>
  </si>
  <si>
    <t>Joshua Kelley</t>
  </si>
  <si>
    <t>Laviska Shenault</t>
  </si>
  <si>
    <t>Chase Claypool</t>
  </si>
  <si>
    <t>Jarrett Stidham</t>
  </si>
  <si>
    <t>Steven Sims</t>
  </si>
  <si>
    <t>Younghoe Koo</t>
  </si>
  <si>
    <t>Tua Tagovailoa</t>
  </si>
  <si>
    <t>Devin Duvernay</t>
  </si>
  <si>
    <t>Van Jefferson</t>
  </si>
  <si>
    <t>Justin Herbert</t>
  </si>
  <si>
    <t>DeeJay Dallas</t>
  </si>
  <si>
    <t>Bryan Edwards</t>
  </si>
  <si>
    <t>Cole Kmet</t>
  </si>
  <si>
    <t>Devin Asiasi</t>
  </si>
  <si>
    <t>Adam Trautman</t>
  </si>
  <si>
    <t>Jalen Hurts</t>
  </si>
  <si>
    <t>Albert Okwuegbunam</t>
  </si>
  <si>
    <t>Donovan Peoples-Jones</t>
  </si>
  <si>
    <t>James Robinson</t>
  </si>
  <si>
    <t>Joe Reed</t>
  </si>
  <si>
    <t>Khari Blasingame</t>
  </si>
  <si>
    <t>JaMycal Hasty</t>
  </si>
  <si>
    <t>FPoints</t>
  </si>
  <si>
    <t>JJ Taylor</t>
  </si>
  <si>
    <t>SETUP</t>
  </si>
  <si>
    <t>CJ Ham</t>
  </si>
  <si>
    <t>DErnest Johnson</t>
  </si>
  <si>
    <t>Alec Ingold</t>
  </si>
  <si>
    <t>Tyler Bass</t>
  </si>
  <si>
    <t>Enable green for all picks</t>
  </si>
  <si>
    <t>Graham Gano</t>
  </si>
  <si>
    <t>Robert Tonyan</t>
  </si>
  <si>
    <t>Harrison Bryant</t>
  </si>
  <si>
    <t>Braxton Berrios</t>
  </si>
  <si>
    <t>Byron Pringle</t>
  </si>
  <si>
    <t>Darnell Mooney</t>
  </si>
  <si>
    <t>Projected</t>
  </si>
  <si>
    <t xml:space="preserve"> On the ADP sheet, make sure you move the keepers to the spots they will be taken (stat from the keeper in the latest round nd work backwards)!</t>
  </si>
  <si>
    <t>Beersheet Name</t>
  </si>
  <si>
    <t>Beersheet Average</t>
  </si>
  <si>
    <t>Beersheet Position</t>
  </si>
  <si>
    <t>Beersheet Stdev</t>
  </si>
  <si>
    <t>Beersheet Tier</t>
  </si>
  <si>
    <t>rushTDs</t>
  </si>
  <si>
    <t>dstsack</t>
  </si>
  <si>
    <t>dstsafety</t>
  </si>
  <si>
    <t>Nick Folk</t>
  </si>
  <si>
    <t>Rodrigo Blankenship</t>
  </si>
  <si>
    <t>Jason Huntley</t>
  </si>
  <si>
    <t>Jakob Johnson</t>
  </si>
  <si>
    <t>Jalen Guyton</t>
  </si>
  <si>
    <t>Dezmon Patmon</t>
  </si>
  <si>
    <t>Josiah Deguara</t>
  </si>
  <si>
    <t>Equanimeous St Brown</t>
  </si>
  <si>
    <t>Gunner Olszewski</t>
  </si>
  <si>
    <t>Jordan Love</t>
  </si>
  <si>
    <t>Will Grier</t>
  </si>
  <si>
    <t>Mason Rudolph</t>
  </si>
  <si>
    <t>Olamide Zaccheaus</t>
  </si>
  <si>
    <t>Cedrick Wilson</t>
  </si>
  <si>
    <t>Chris Manhertz</t>
  </si>
  <si>
    <t>Trevor Lawrence</t>
  </si>
  <si>
    <t>Zach Wilson</t>
  </si>
  <si>
    <t>Justin Fields</t>
  </si>
  <si>
    <t>Trey Lance</t>
  </si>
  <si>
    <t>Mac Jones</t>
  </si>
  <si>
    <t>Davis Mills</t>
  </si>
  <si>
    <t>Kyle Trask</t>
  </si>
  <si>
    <t>Taylor Heinicke</t>
  </si>
  <si>
    <t>David Blough</t>
  </si>
  <si>
    <t>Tyler Huntley</t>
  </si>
  <si>
    <t>Colt McCoy</t>
  </si>
  <si>
    <t>Nick Mullens</t>
  </si>
  <si>
    <t>Nate Sudfeld</t>
  </si>
  <si>
    <t>Brett Rypien</t>
  </si>
  <si>
    <t>Easton Stick</t>
  </si>
  <si>
    <t>Joshua Dobbs</t>
  </si>
  <si>
    <t>CJ Beathard</t>
  </si>
  <si>
    <t>Cooper Rush</t>
  </si>
  <si>
    <t>Najee Harris</t>
  </si>
  <si>
    <t>Travis Etienne</t>
  </si>
  <si>
    <t>Javonte Williams</t>
  </si>
  <si>
    <t>Trey Sermon</t>
  </si>
  <si>
    <t>Michael Carter</t>
  </si>
  <si>
    <t>Salvon Ahmed</t>
  </si>
  <si>
    <t>Kenneth Gainwell</t>
  </si>
  <si>
    <t>Chuba Hubbard</t>
  </si>
  <si>
    <t>Rhamondre Stevenson</t>
  </si>
  <si>
    <t>LaMical Perine</t>
  </si>
  <si>
    <t>Elijah Mitchell</t>
  </si>
  <si>
    <t>Jermar Jefferson</t>
  </si>
  <si>
    <t>Rico Dowdle</t>
  </si>
  <si>
    <t>Kene Nwangwu</t>
  </si>
  <si>
    <t>Gary Brightwell</t>
  </si>
  <si>
    <t>Patrick Ricard</t>
  </si>
  <si>
    <t>Chris Evans</t>
  </si>
  <si>
    <t>Demetric Felton</t>
  </si>
  <si>
    <t>Andrew Beck</t>
  </si>
  <si>
    <t>Khalil Herbert</t>
  </si>
  <si>
    <t>Damarea Crockett</t>
  </si>
  <si>
    <t>Jason Cabinda</t>
  </si>
  <si>
    <t>Tony Jones</t>
  </si>
  <si>
    <t>JaMarr Chase</t>
  </si>
  <si>
    <t>DeVonta Smith</t>
  </si>
  <si>
    <t>Jaylen Waddle</t>
  </si>
  <si>
    <t>Rashod Bateman</t>
  </si>
  <si>
    <t>Elijah Moore</t>
  </si>
  <si>
    <t>Terrace Marshall</t>
  </si>
  <si>
    <t>Rondale Moore</t>
  </si>
  <si>
    <t>Amon-Ra St Brown</t>
  </si>
  <si>
    <t>Kadarius Toney</t>
  </si>
  <si>
    <t>Marquez Callaway</t>
  </si>
  <si>
    <t>Nico Collins</t>
  </si>
  <si>
    <t>Dyami Brown</t>
  </si>
  <si>
    <t>Tutu Atwell</t>
  </si>
  <si>
    <t>Isaiah Coulter</t>
  </si>
  <si>
    <t>Dez Fitzpatrick</t>
  </si>
  <si>
    <t>Cam Sims</t>
  </si>
  <si>
    <t>Ray-Ray McCloud</t>
  </si>
  <si>
    <t>Jamal Agnew</t>
  </si>
  <si>
    <t>Noah Brown</t>
  </si>
  <si>
    <t>Anthony Schwartz</t>
  </si>
  <si>
    <t>Juwan Johnson</t>
  </si>
  <si>
    <t>Nick Westbrook-Ikhine</t>
  </si>
  <si>
    <t>Jaelon Darden</t>
  </si>
  <si>
    <t>Tylan Wallace</t>
  </si>
  <si>
    <t>Quez Watkins</t>
  </si>
  <si>
    <t>Nsimba Webster</t>
  </si>
  <si>
    <t>Simi Fehoko</t>
  </si>
  <si>
    <t>KJ Osborn</t>
  </si>
  <si>
    <t>Ashton Dulin</t>
  </si>
  <si>
    <t>Seth Williams</t>
  </si>
  <si>
    <t>Shi Smith</t>
  </si>
  <si>
    <t>Kendall Hinton</t>
  </si>
  <si>
    <t>Malik Turner</t>
  </si>
  <si>
    <t>Trenton Irwin</t>
  </si>
  <si>
    <t>Stanley Morgan</t>
  </si>
  <si>
    <t>Lawrence Cager</t>
  </si>
  <si>
    <t>KhaDarel Hodge</t>
  </si>
  <si>
    <t>Kyle Pitts</t>
  </si>
  <si>
    <t>Donald Parham</t>
  </si>
  <si>
    <t>Tyler Conklin</t>
  </si>
  <si>
    <t>Geoff Swaim</t>
  </si>
  <si>
    <t>Patrick Freiermuth</t>
  </si>
  <si>
    <t>Pharaoh Brown</t>
  </si>
  <si>
    <t>Hunter Long</t>
  </si>
  <si>
    <t>Jacob Harris</t>
  </si>
  <si>
    <t>Noah Gray</t>
  </si>
  <si>
    <t>Matt Sokol</t>
  </si>
  <si>
    <t>Reggie Gilliam</t>
  </si>
  <si>
    <t>Durham Smythe</t>
  </si>
  <si>
    <t>Brycen Hopkins</t>
  </si>
  <si>
    <t>Brevin Jordan</t>
  </si>
  <si>
    <t>Blake Bell</t>
  </si>
  <si>
    <t>Luke Farrell</t>
  </si>
  <si>
    <t>Johnny Mundt</t>
  </si>
  <si>
    <t>John Bates</t>
  </si>
  <si>
    <t>Dominique Dafney</t>
  </si>
  <si>
    <t>Tommy Sweeney</t>
  </si>
  <si>
    <t>Tommy Tremble</t>
  </si>
  <si>
    <t>Colby Parkinson</t>
  </si>
  <si>
    <t>Tre McKitty</t>
  </si>
  <si>
    <t>Charlie Woerner</t>
  </si>
  <si>
    <t>Josh Oliver</t>
  </si>
  <si>
    <t>Kylen Granson</t>
  </si>
  <si>
    <t>Noah Togiai</t>
  </si>
  <si>
    <t>Mason Schreck</t>
  </si>
  <si>
    <t>Zach Gentry</t>
  </si>
  <si>
    <t>Jesper Horsted</t>
  </si>
  <si>
    <t>Eric Saubert</t>
  </si>
  <si>
    <t>Tanner Hudson</t>
  </si>
  <si>
    <t>Trevon Wesco</t>
  </si>
  <si>
    <t>Eric Tomlinson</t>
  </si>
  <si>
    <t>Kevin Rader</t>
  </si>
  <si>
    <t>Sean McKeon</t>
  </si>
  <si>
    <t>Cairo Santos</t>
  </si>
  <si>
    <t>Evan McPherson</t>
  </si>
  <si>
    <t>Jake Funk</t>
  </si>
  <si>
    <t>Gerrid Doaks</t>
  </si>
  <si>
    <t>AZ</t>
  </si>
  <si>
    <t>Racey McMath</t>
  </si>
  <si>
    <t>Playe</t>
  </si>
  <si>
    <t>Mike Strachan</t>
  </si>
  <si>
    <t>Mike Gesicki</t>
  </si>
  <si>
    <t>Greg Dortch</t>
  </si>
  <si>
    <t>FPTS</t>
  </si>
  <si>
    <t>DOnta Foreman</t>
  </si>
  <si>
    <t>Jaret Patterson</t>
  </si>
  <si>
    <t>Kenny Pickett</t>
  </si>
  <si>
    <t>Desmond Ridder</t>
  </si>
  <si>
    <t>Malik Willis</t>
  </si>
  <si>
    <t>Matt Corral</t>
  </si>
  <si>
    <t>Mike White</t>
  </si>
  <si>
    <t>Sam Howell</t>
  </si>
  <si>
    <t>PJ Walker</t>
  </si>
  <si>
    <t>Feleipe Franks</t>
  </si>
  <si>
    <t>Cam Akers</t>
  </si>
  <si>
    <t>Breece Hall</t>
  </si>
  <si>
    <t>James Cook</t>
  </si>
  <si>
    <t>Dameon Pierce</t>
  </si>
  <si>
    <t>Tyler Allgeier</t>
  </si>
  <si>
    <t>Isaiah Spiller</t>
  </si>
  <si>
    <t>Rachaad White</t>
  </si>
  <si>
    <t>Brian Robinson</t>
  </si>
  <si>
    <t>Zamir White</t>
  </si>
  <si>
    <t>Hassan Haskins</t>
  </si>
  <si>
    <t>Craig Reynolds</t>
  </si>
  <si>
    <t>Tyrion Davis-Price</t>
  </si>
  <si>
    <t>Snoop Conner</t>
  </si>
  <si>
    <t>Tyler Badie</t>
  </si>
  <si>
    <t>TySon Williams</t>
  </si>
  <si>
    <t>Keaontay Ingram</t>
  </si>
  <si>
    <t>Kyren Williams</t>
  </si>
  <si>
    <t>Trestan Ebner</t>
  </si>
  <si>
    <t>Kevin Harris</t>
  </si>
  <si>
    <t>Jerome Ford</t>
  </si>
  <si>
    <t>Ty Chandler</t>
  </si>
  <si>
    <t>Pierre Strong</t>
  </si>
  <si>
    <t>Patrick Taylor</t>
  </si>
  <si>
    <t>Giovanni Ricci</t>
  </si>
  <si>
    <t>Deon Jackson</t>
  </si>
  <si>
    <t>Adam Prentice</t>
  </si>
  <si>
    <t>Spencer Brown</t>
  </si>
  <si>
    <t>Nate McCrary</t>
  </si>
  <si>
    <t>Treylon Burks</t>
  </si>
  <si>
    <t>Drake London</t>
  </si>
  <si>
    <t>Garrett Wilson</t>
  </si>
  <si>
    <t>Chris Olave</t>
  </si>
  <si>
    <t>Christian Watson</t>
  </si>
  <si>
    <t>Skyy Moore</t>
  </si>
  <si>
    <t>Jahan Dotson</t>
  </si>
  <si>
    <t>Jalen Tolbert</t>
  </si>
  <si>
    <t>Jameson Williams</t>
  </si>
  <si>
    <t>George Pickens</t>
  </si>
  <si>
    <t>Alec Pierce</t>
  </si>
  <si>
    <t>Velus Jones</t>
  </si>
  <si>
    <t>Joshua Palmer</t>
  </si>
  <si>
    <t>John Metchie</t>
  </si>
  <si>
    <t>Dee Eskridge</t>
  </si>
  <si>
    <t>David Bell</t>
  </si>
  <si>
    <t>Jauan Jennings</t>
  </si>
  <si>
    <t>WanDale Robinson</t>
  </si>
  <si>
    <t>Romeo Doubs</t>
  </si>
  <si>
    <t>Calvin Austin</t>
  </si>
  <si>
    <t>Tyquan Thornton</t>
  </si>
  <si>
    <t>James Proche</t>
  </si>
  <si>
    <t>Ben Skowronek</t>
  </si>
  <si>
    <t>Danny Gray</t>
  </si>
  <si>
    <t>Erik Ezukanma</t>
  </si>
  <si>
    <t>Khalil Shakir</t>
  </si>
  <si>
    <t>Samori Toure</t>
  </si>
  <si>
    <t>Kyle Philips</t>
  </si>
  <si>
    <t>Jalen Nailor</t>
  </si>
  <si>
    <t>Dax Milne</t>
  </si>
  <si>
    <t>Trinity Benson</t>
  </si>
  <si>
    <t>Daurice Fountain</t>
  </si>
  <si>
    <t>Cody Thompson</t>
  </si>
  <si>
    <t>Justyn Ross</t>
  </si>
  <si>
    <t>Tre Nixon</t>
  </si>
  <si>
    <t>Bo Melton</t>
  </si>
  <si>
    <t>Mason Kinsey</t>
  </si>
  <si>
    <t>Cade Otton</t>
  </si>
  <si>
    <t>Jelani Woods</t>
  </si>
  <si>
    <t>Trey McBride</t>
  </si>
  <si>
    <t>Kendall Blanton</t>
  </si>
  <si>
    <t>Daniel Bellinger</t>
  </si>
  <si>
    <t>Brock Wright</t>
  </si>
  <si>
    <t>Greg Dulcich</t>
  </si>
  <si>
    <t>Ko Kieft</t>
  </si>
  <si>
    <t>Connor Heyward</t>
  </si>
  <si>
    <t>Jake Ferguson</t>
  </si>
  <si>
    <t>Isaiah Likely</t>
  </si>
  <si>
    <t>Jody Fortson</t>
  </si>
  <si>
    <t>Cole Turner</t>
  </si>
  <si>
    <t>Charlie Kolar</t>
  </si>
  <si>
    <t>Teagan Quitoriano</t>
  </si>
  <si>
    <t>Grant Calcaterra</t>
  </si>
  <si>
    <t>James Mitchell</t>
  </si>
  <si>
    <t>Chigoziem Okonkwo</t>
  </si>
  <si>
    <t>Hunter Kampmoyer</t>
  </si>
  <si>
    <t>Parker Hesse</t>
  </si>
  <si>
    <t>Jeremy Ruckert</t>
  </si>
  <si>
    <t>Tyler Mabry</t>
  </si>
  <si>
    <t>Mitchell Wilcox</t>
  </si>
  <si>
    <t>Andrew Ogletree</t>
  </si>
  <si>
    <t>Jack Stoll</t>
  </si>
  <si>
    <t>Stephen Sullivan</t>
  </si>
  <si>
    <t>Chris Myarick</t>
  </si>
  <si>
    <t>Riley Patterson</t>
  </si>
  <si>
    <t>Cade York</t>
  </si>
  <si>
    <t>Zane Gonzalez</t>
  </si>
  <si>
    <t>Eddy Pineiro</t>
  </si>
  <si>
    <t>(blank)</t>
  </si>
  <si>
    <t>Zonovan Knight</t>
  </si>
  <si>
    <t>Zay Flowers</t>
  </si>
  <si>
    <t>Zander Horvath</t>
  </si>
  <si>
    <t>Zack Kuntz</t>
  </si>
  <si>
    <t>Zach Evans</t>
  </si>
  <si>
    <t>Zach Charbonnet</t>
  </si>
  <si>
    <t>Xavier Hutchinson</t>
  </si>
  <si>
    <t>Will Mallory</t>
  </si>
  <si>
    <t>Will Levis</t>
  </si>
  <si>
    <t>Tyler Scott</t>
  </si>
  <si>
    <t>Tyler Davis</t>
  </si>
  <si>
    <t>Tyjae Spears</t>
  </si>
  <si>
    <t>Tucker Kraft</t>
  </si>
  <si>
    <t>Trey Palmer</t>
  </si>
  <si>
    <t>Tre Tucker</t>
  </si>
  <si>
    <t>Tommy DeVito</t>
  </si>
  <si>
    <t>Tim Jones</t>
  </si>
  <si>
    <t>Tanner McKee</t>
  </si>
  <si>
    <t>Tanner Conner</t>
  </si>
  <si>
    <t>Tanner Brown</t>
  </si>
  <si>
    <t>Tank Dell</t>
  </si>
  <si>
    <t>Tank Bigsby</t>
  </si>
  <si>
    <t>Stone Smartt</t>
  </si>
  <si>
    <t>Stetson Bennett</t>
  </si>
  <si>
    <t>Skylar Thompson</t>
  </si>
  <si>
    <t>Sincere McCormick</t>
  </si>
  <si>
    <t>Shane Zylstra</t>
  </si>
  <si>
    <t>Shane Buechele</t>
  </si>
  <si>
    <t>Sean Tucker</t>
  </si>
  <si>
    <t>Sean Clifford</t>
  </si>
  <si>
    <t>Scott Miller</t>
  </si>
  <si>
    <t>Sam LaPorta</t>
  </si>
  <si>
    <t>Roschon Johnson</t>
  </si>
  <si>
    <t>Ronnie Rivers</t>
  </si>
  <si>
    <t>Robbie Chosen</t>
  </si>
  <si>
    <t>Rashid Shaheed</t>
  </si>
  <si>
    <t>Rashee Rice</t>
  </si>
  <si>
    <t>Raheem Blackshear</t>
  </si>
  <si>
    <t>Quintin Morris</t>
  </si>
  <si>
    <t>Quentin Johnston</t>
  </si>
  <si>
    <t>Puka Nacua</t>
  </si>
  <si>
    <t>Peyton Hendershot</t>
  </si>
  <si>
    <t>Payne Durham</t>
  </si>
  <si>
    <t>Patrick Laird</t>
  </si>
  <si>
    <t>Parker Washington</t>
  </si>
  <si>
    <t>MyCole Pruitt</t>
  </si>
  <si>
    <t>Montrell Washington</t>
  </si>
  <si>
    <t>Mohamed Ibrahim</t>
  </si>
  <si>
    <t>Mitch Trubisky</t>
  </si>
  <si>
    <t>Michael Woods</t>
  </si>
  <si>
    <t>Michael Wilson</t>
  </si>
  <si>
    <t>Michael Mayer</t>
  </si>
  <si>
    <t>Michael Badgley</t>
  </si>
  <si>
    <t>Max Duggan</t>
  </si>
  <si>
    <t>Maurice Alexander</t>
  </si>
  <si>
    <t>Matthew Slater</t>
  </si>
  <si>
    <t>Marvin Mims</t>
  </si>
  <si>
    <t>Malik Davis</t>
  </si>
  <si>
    <t>Luke Schoonmaker</t>
  </si>
  <si>
    <t>Luke Musgrave</t>
  </si>
  <si>
    <t>Lew Nichols</t>
  </si>
  <si>
    <t>Lance McCutcheon</t>
  </si>
  <si>
    <t>Kevin Austin</t>
  </si>
  <si>
    <t>Kenny McIntosh</t>
  </si>
  <si>
    <t>Kenneth Walker</t>
  </si>
  <si>
    <t>Kendre Miller</t>
  </si>
  <si>
    <t>Keaton Mitchell</t>
  </si>
  <si>
    <t>Kayshon Boutte</t>
  </si>
  <si>
    <t>Kaylon Geiger</t>
  </si>
  <si>
    <t>Kawaan Baker</t>
  </si>
  <si>
    <t>KaVontae Turpin</t>
  </si>
  <si>
    <t>Kaden Smith</t>
  </si>
  <si>
    <t>Justin Shorter</t>
  </si>
  <si>
    <t>Julius Chestnut</t>
  </si>
  <si>
    <t>Josh Whyle</t>
  </si>
  <si>
    <t>Josh Downs</t>
  </si>
  <si>
    <t>Josh Ali</t>
  </si>
  <si>
    <t>Jordan Mason</t>
  </si>
  <si>
    <t>Jordan Addison</t>
  </si>
  <si>
    <t>Jonathan Ward</t>
  </si>
  <si>
    <t>Jonathan Mingo</t>
  </si>
  <si>
    <t>Jaylen Warren</t>
  </si>
  <si>
    <t>Jayden Reed</t>
  </si>
  <si>
    <t>Jaxon Smith-Njigba</t>
  </si>
  <si>
    <t>Jason Brownlee</t>
  </si>
  <si>
    <t>Jaren Hall</t>
  </si>
  <si>
    <t>Jalin Hyatt</t>
  </si>
  <si>
    <t>Jalen Virgil</t>
  </si>
  <si>
    <t>Jalen Camp</t>
  </si>
  <si>
    <t>Jake Tonges</t>
  </si>
  <si>
    <t>Jake Moody</t>
  </si>
  <si>
    <t>Jake Haener</t>
  </si>
  <si>
    <t>Jahmyr Gibbs</t>
  </si>
  <si>
    <t>Jack Colletto</t>
  </si>
  <si>
    <t>Israel Abanikanda</t>
  </si>
  <si>
    <t>Isiah Pacheco</t>
  </si>
  <si>
    <t>Isaiah Hodgins</t>
  </si>
  <si>
    <t>Hunter Luepke</t>
  </si>
  <si>
    <t>Henry Pearson</t>
  </si>
  <si>
    <t>Hendon Hooker</t>
  </si>
  <si>
    <t>Gabe Davis</t>
  </si>
  <si>
    <t>Evan Hull</t>
  </si>
  <si>
    <t>Eric Gray</t>
  </si>
  <si>
    <t>Elijah Higgins</t>
  </si>
  <si>
    <t>Easop Winston</t>
  </si>
  <si>
    <t>Dorian Thompson-Robinson</t>
  </si>
  <si>
    <t>Dontayvion Wicks</t>
  </si>
  <si>
    <t>DeWayne McBride</t>
  </si>
  <si>
    <t>DeVon Achane</t>
  </si>
  <si>
    <t>Deven Thompkins</t>
  </si>
  <si>
    <t>Deuce Vaughn</t>
  </si>
  <si>
    <t>Deonte Harty</t>
  </si>
  <si>
    <t>Dennis Houston</t>
  </si>
  <si>
    <t>Deneric Prince</t>
  </si>
  <si>
    <t>Davis Allen</t>
  </si>
  <si>
    <t>David Wells</t>
  </si>
  <si>
    <t>Darnell Washington</t>
  </si>
  <si>
    <t>Dalton Kincaid</t>
  </si>
  <si>
    <t>Curtis Hodges</t>
  </si>
  <si>
    <t>Cody White</t>
  </si>
  <si>
    <t>Clayton Tune</t>
  </si>
  <si>
    <t>CJ Stroud</t>
  </si>
  <si>
    <t>CJ Saunders</t>
  </si>
  <si>
    <t>Chris Rodriguez</t>
  </si>
  <si>
    <t>Chase McLaughlin</t>
  </si>
  <si>
    <t>Chase Brown</t>
  </si>
  <si>
    <t>Charlie Jones</t>
  </si>
  <si>
    <t>Chad Ryland</t>
  </si>
  <si>
    <t>Cedric Tillman</t>
  </si>
  <si>
    <t>Cameron Latu</t>
  </si>
  <si>
    <t>Cameron Dicker</t>
  </si>
  <si>
    <t>Caleb Shudak</t>
  </si>
  <si>
    <t>Cade Johnson</t>
  </si>
  <si>
    <t>Bryce Young</t>
  </si>
  <si>
    <t>Bryce Ford-Wheaton</t>
  </si>
  <si>
    <t>Brock Purdy</t>
  </si>
  <si>
    <t>Brittain Brown</t>
  </si>
  <si>
    <t>Britain Covey</t>
  </si>
  <si>
    <t>Brett Maher</t>
  </si>
  <si>
    <t>Brenton Strange</t>
  </si>
  <si>
    <t>Brayden Willis</t>
  </si>
  <si>
    <t>Brandon Johnson</t>
  </si>
  <si>
    <t>Bijan Robinson</t>
  </si>
  <si>
    <t>Ben Mason</t>
  </si>
  <si>
    <t>Bailey Zappe</t>
  </si>
  <si>
    <t>Avery Williams</t>
  </si>
  <si>
    <t>Austin Trammell</t>
  </si>
  <si>
    <t>AT Perry</t>
  </si>
  <si>
    <t>Armani Rogers</t>
  </si>
  <si>
    <t>Anthony Richardson</t>
  </si>
  <si>
    <t>Andrei Iosivas</t>
  </si>
  <si>
    <t>Andre Baccellia</t>
  </si>
  <si>
    <t>Anders Carlson</t>
  </si>
  <si>
    <t>Aidan OConnell</t>
  </si>
  <si>
    <t>FA</t>
  </si>
  <si>
    <t>Godwin Igwebuike</t>
  </si>
  <si>
    <t>Jaleel McLaughlin</t>
  </si>
  <si>
    <t>Ellis Merriweather</t>
  </si>
  <si>
    <t>Cody Chrest</t>
  </si>
  <si>
    <t>Amari Rodgers</t>
  </si>
  <si>
    <t>Demario Douglas</t>
  </si>
  <si>
    <t>Darrius Shepherd</t>
  </si>
  <si>
    <t>Kendric Pryor</t>
  </si>
  <si>
    <t>NKeal Harry</t>
  </si>
  <si>
    <t>Ty Scott</t>
  </si>
  <si>
    <t>Taylor Grimes</t>
  </si>
  <si>
    <t>Miller Forristall</t>
  </si>
  <si>
    <t>Dalton Keene</t>
  </si>
  <si>
    <t>Josh Johnson</t>
  </si>
  <si>
    <t>Kirk Merritt</t>
  </si>
  <si>
    <t>Tyler Goodson</t>
  </si>
  <si>
    <t>Ronnie Bell</t>
  </si>
  <si>
    <t>Derius Davis</t>
  </si>
  <si>
    <t>Rakim Jarrett</t>
  </si>
  <si>
    <t>Jacob Hollister</t>
  </si>
  <si>
    <t>Tyree Jackson</t>
  </si>
  <si>
    <t>Brandon Aubrey</t>
  </si>
  <si>
    <t>Abram Smith</t>
  </si>
  <si>
    <t>Elijah Dotson</t>
  </si>
  <si>
    <t>Ty Johnson</t>
  </si>
  <si>
    <t>Larry Rountree</t>
  </si>
  <si>
    <t>Clint Ratkovich</t>
  </si>
  <si>
    <t>Penny Hart</t>
  </si>
  <si>
    <t>Joseph Ngata</t>
  </si>
  <si>
    <t>Dareke Young</t>
  </si>
  <si>
    <t>Jason Moore</t>
  </si>
  <si>
    <t>Keelan Doss</t>
  </si>
  <si>
    <t>Trumbo</t>
  </si>
  <si>
    <t>Camden</t>
  </si>
  <si>
    <t>Cam</t>
  </si>
  <si>
    <t>Miles</t>
  </si>
  <si>
    <t>Con</t>
  </si>
  <si>
    <t>Devin</t>
  </si>
  <si>
    <t>Bui</t>
  </si>
  <si>
    <t>Luke</t>
  </si>
  <si>
    <t>Dan</t>
  </si>
  <si>
    <t>Josh</t>
  </si>
  <si>
    <t>Big R</t>
  </si>
  <si>
    <t>Zack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</si>
</sst>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6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sz val="24"/>
      <color theme="4" tint="0.79998168889431442"/>
      <name val="Berlin Sans FB Demi"/>
      <family val="2"/>
    </font>
    <font>
      <b/>
      <sz val="11"/>
      <name val="Calibri"/>
      <family val="2"/>
      <scheme val="minor"/>
    </font>
    <font>
      <b/>
      <sz val="11"/>
      <color theme="4" tint="-0.249977111117893"/>
      <name val="Calibri"/>
      <family val="2"/>
      <scheme val="minor"/>
    </font>
    <font>
      <sz val="11"/>
      <color theme="4" tint="-0.249977111117893"/>
      <name val="Calibri"/>
      <family val="2"/>
      <scheme val="minor"/>
    </font>
    <font>
      <b/>
      <sz val="11"/>
      <color theme="4" tint="0.79998168889431442"/>
      <name val="Calibri"/>
      <family val="2"/>
      <scheme val="minor"/>
    </font>
    <font>
      <sz val="11"/>
      <color theme="4" tint="0.79998168889431442"/>
      <name val="Calibri"/>
      <family val="2"/>
      <scheme val="minor"/>
    </font>
    <font>
      <sz val="9"/>
      <color indexed="81"/>
      <name val="Tahoma"/>
      <family val="2"/>
    </font>
    <font>
      <b/>
      <sz val="9"/>
      <color indexed="81"/>
      <name val="Tahoma"/>
      <family val="2"/>
    </font>
    <font>
      <sz val="24"/>
      <name val="Berlin Sans FB Demi"/>
      <family val="2"/>
    </font>
    <font>
      <b/>
      <i/>
      <sz val="11"/>
      <color theme="1"/>
      <name val="Calibri"/>
      <family val="2"/>
      <scheme val="minor"/>
    </font>
    <font>
      <b/>
      <i/>
      <sz val="11"/>
      <color rgb="FFFF0000"/>
      <name val="Calibri"/>
      <family val="2"/>
      <scheme val="minor"/>
    </font>
    <font>
      <sz val="11"/>
      <color theme="4" tint="-0.499984740745262"/>
      <name val="Calibri"/>
      <family val="2"/>
      <scheme val="minor"/>
    </font>
    <font>
      <sz val="10"/>
      <name val="Arial"/>
      <family val="2"/>
    </font>
    <font>
      <b/>
      <sz val="10"/>
      <name val="Arial"/>
      <family val="2"/>
    </font>
    <font>
      <b/>
      <sz val="11"/>
      <color theme="1" tint="0.14999847407452621"/>
      <name val="Calibri"/>
      <family val="2"/>
      <scheme val="minor"/>
    </font>
    <font>
      <sz val="11"/>
      <color theme="1" tint="0.14999847407452621"/>
      <name val="Calibri"/>
      <family val="2"/>
      <scheme val="minor"/>
    </font>
    <font>
      <sz val="24"/>
      <color theme="4" tint="0.39997558519241921"/>
      <name val="Berlin Sans FB Demi"/>
      <family val="2"/>
    </font>
    <font>
      <sz val="11"/>
      <color theme="3" tint="0.59999389629810485"/>
      <name val="Calibri"/>
      <family val="2"/>
      <scheme val="minor"/>
    </font>
    <font>
      <sz val="20"/>
      <color theme="0"/>
      <name val="Arial Black"/>
      <family val="2"/>
    </font>
    <font>
      <sz val="18"/>
      <color rgb="FFEAEAEA"/>
      <name val="Arial Black"/>
      <family val="2"/>
    </font>
    <font>
      <sz val="10"/>
      <color theme="1"/>
      <name val="Calibri"/>
      <family val="2"/>
      <scheme val="minor"/>
    </font>
    <font>
      <sz val="14"/>
      <color theme="1"/>
      <name val="Calibri"/>
      <family val="2"/>
      <scheme val="minor"/>
    </font>
    <font>
      <sz val="14"/>
      <color theme="1"/>
      <name val="Arial Black"/>
      <family val="2"/>
    </font>
    <font>
      <b/>
      <sz val="63"/>
      <color theme="0"/>
      <name val="Arial"/>
      <family val="2"/>
    </font>
    <font>
      <sz val="14"/>
      <color rgb="FF000000"/>
      <name val="Arial"/>
      <family val="2"/>
    </font>
    <font>
      <sz val="18"/>
      <color theme="1"/>
      <name val="Calibri"/>
      <family val="2"/>
      <scheme val="minor"/>
    </font>
    <font>
      <sz val="13"/>
      <color theme="1" tint="4.9989318521683403E-2"/>
      <name val="Calibri"/>
      <family val="2"/>
      <scheme val="minor"/>
    </font>
    <font>
      <sz val="16"/>
      <color theme="0" tint="-0.14999847407452621"/>
      <name val="Verdana"/>
      <family val="2"/>
    </font>
    <font>
      <b/>
      <sz val="13"/>
      <color theme="0" tint="-0.499984740745262"/>
      <name val="Calibri"/>
      <family val="2"/>
      <scheme val="minor"/>
    </font>
    <font>
      <sz val="13"/>
      <color theme="0" tint="-0.499984740745262"/>
      <name val="Calibri"/>
      <family val="2"/>
      <scheme val="minor"/>
    </font>
    <font>
      <b/>
      <sz val="11"/>
      <color theme="0" tint="-0.249977111117893"/>
      <name val="Calibri"/>
      <family val="2"/>
      <scheme val="minor"/>
    </font>
    <font>
      <b/>
      <u/>
      <sz val="11"/>
      <name val="Calibri"/>
      <family val="2"/>
      <scheme val="minor"/>
    </font>
    <font>
      <sz val="10"/>
      <color theme="1" tint="0.14999847407452621"/>
      <name val="Calibri"/>
      <family val="2"/>
      <scheme val="minor"/>
    </font>
    <font>
      <sz val="10"/>
      <color theme="1" tint="0.249977111117893"/>
      <name val="Calibri"/>
      <family val="2"/>
      <scheme val="minor"/>
    </font>
    <font>
      <b/>
      <sz val="10"/>
      <color theme="1" tint="0.249977111117893"/>
      <name val="Arial Black"/>
      <family val="2"/>
    </font>
    <font>
      <sz val="11"/>
      <color rgb="FF000000"/>
      <name val="Calibri"/>
      <family val="2"/>
    </font>
    <font>
      <sz val="11"/>
      <color theme="0" tint="-0.34998626667073579"/>
      <name val="Calibri"/>
      <family val="2"/>
      <scheme val="minor"/>
    </font>
    <font>
      <sz val="14"/>
      <color theme="0" tint="-0.34998626667073579"/>
      <name val="Calibri"/>
      <family val="2"/>
      <scheme val="minor"/>
    </font>
    <font>
      <sz val="10"/>
      <color theme="1"/>
      <name val="Arial"/>
      <family val="2"/>
    </font>
    <font>
      <sz val="11"/>
      <color theme="0" tint="-0.14999847407452621"/>
      <name val="Calibri"/>
      <family val="2"/>
      <scheme val="minor"/>
    </font>
    <font>
      <sz val="11"/>
      <color theme="1" tint="0.249977111117893"/>
      <name val="Calibri"/>
      <family val="2"/>
      <scheme val="minor"/>
    </font>
    <font>
      <sz val="11"/>
      <color rgb="FF000000"/>
      <name val="Inconsolata"/>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CCFFCC"/>
        <bgColor indexed="64"/>
      </patternFill>
    </fill>
    <fill>
      <patternFill patternType="solid">
        <fgColor rgb="FFFFCCCC"/>
        <bgColor indexed="64"/>
      </patternFill>
    </fill>
    <fill>
      <gradientFill degree="270">
        <stop position="0">
          <color theme="4" tint="-0.25098422193060094"/>
        </stop>
        <stop position="1">
          <color theme="4"/>
        </stop>
      </gradientFill>
    </fill>
    <fill>
      <gradientFill degree="270">
        <stop position="0">
          <color theme="3"/>
        </stop>
        <stop position="1">
          <color theme="4"/>
        </stop>
      </gradientFill>
    </fill>
    <fill>
      <patternFill patternType="mediumGray">
        <fgColor theme="0"/>
        <bgColor theme="5" tint="0.59999389629810485"/>
      </patternFill>
    </fill>
    <fill>
      <patternFill patternType="solid">
        <fgColor theme="5" tint="0.59999389629810485"/>
        <bgColor indexed="64"/>
      </patternFill>
    </fill>
    <fill>
      <patternFill patternType="darkUp">
        <fgColor theme="3" tint="0.59996337778862885"/>
        <bgColor theme="3" tint="0.79995117038483843"/>
      </patternFill>
    </fill>
    <fill>
      <patternFill patternType="solid">
        <fgColor theme="5" tint="0.59999389629810485"/>
        <bgColor theme="0"/>
      </patternFill>
    </fill>
    <fill>
      <patternFill patternType="mediumGray">
        <fgColor theme="0" tint="-0.499984740745262"/>
        <bgColor theme="3" tint="-0.499984740745262"/>
      </patternFill>
    </fill>
    <fill>
      <patternFill patternType="mediumGray">
        <fgColor theme="3" tint="-0.499984740745262"/>
        <bgColor theme="0" tint="-0.499984740745262"/>
      </patternFill>
    </fill>
    <fill>
      <patternFill patternType="solid">
        <fgColor theme="0"/>
        <bgColor theme="3" tint="0.59996337778862885"/>
      </patternFill>
    </fill>
    <fill>
      <patternFill patternType="solid">
        <fgColor theme="4" tint="0.79998168889431442"/>
        <bgColor theme="3" tint="0.59996337778862885"/>
      </patternFill>
    </fill>
    <fill>
      <patternFill patternType="solid">
        <fgColor theme="4" tint="0.79995117038483843"/>
        <bgColor theme="3" tint="0.59996337778862885"/>
      </patternFill>
    </fill>
    <fill>
      <patternFill patternType="solid">
        <fgColor theme="4" tint="0.59999389629810485"/>
        <bgColor theme="3" tint="0.59996337778862885"/>
      </patternFill>
    </fill>
    <fill>
      <patternFill patternType="solid">
        <fgColor theme="1" tint="0.34998626667073579"/>
        <bgColor theme="3" tint="0.59996337778862885"/>
      </patternFill>
    </fill>
    <fill>
      <patternFill patternType="solid">
        <fgColor theme="0" tint="-4.9989318521683403E-2"/>
        <bgColor theme="3" tint="0.59996337778862885"/>
      </patternFill>
    </fill>
    <fill>
      <patternFill patternType="solid">
        <fgColor rgb="FFEAEAEA"/>
        <bgColor indexed="64"/>
      </patternFill>
    </fill>
    <fill>
      <patternFill patternType="solid">
        <fgColor theme="4" tint="-0.499984740745262"/>
        <bgColor indexed="64"/>
      </patternFill>
    </fill>
    <fill>
      <patternFill patternType="solid">
        <fgColor rgb="FFF5F5F5"/>
        <bgColor indexed="64"/>
      </patternFill>
    </fill>
    <fill>
      <patternFill patternType="solid">
        <fgColor rgb="FFE5FFE5"/>
        <bgColor indexed="64"/>
      </patternFill>
    </fill>
    <fill>
      <patternFill patternType="solid">
        <fgColor rgb="FFBDEEFF"/>
        <bgColor indexed="64"/>
      </patternFill>
    </fill>
    <fill>
      <patternFill patternType="solid">
        <fgColor rgb="FFA3E7FF"/>
        <bgColor indexed="64"/>
      </patternFill>
    </fill>
    <fill>
      <patternFill patternType="solid">
        <fgColor theme="1" tint="0.34998626667073579"/>
        <bgColor indexed="64"/>
      </patternFill>
    </fill>
    <fill>
      <patternFill patternType="solid">
        <fgColor theme="4" tint="0.79995117038483843"/>
        <bgColor auto="1"/>
      </patternFill>
    </fill>
    <fill>
      <patternFill patternType="mediumGray">
        <fgColor theme="4" tint="-0.499984740745262"/>
        <bgColor theme="4" tint="-0.499984740745262"/>
      </patternFill>
    </fill>
    <fill>
      <patternFill patternType="solid">
        <fgColor rgb="FFFF9933"/>
        <bgColor indexed="64"/>
      </patternFill>
    </fill>
    <fill>
      <patternFill patternType="solid">
        <fgColor rgb="FFCC66FF"/>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darkUp">
        <fgColor theme="0" tint="-4.9989318521683403E-2"/>
        <bgColor theme="0" tint="-0.14993743705557422"/>
      </patternFill>
    </fill>
    <fill>
      <patternFill patternType="mediumGray">
        <fgColor theme="3" tint="0.59996337778862885"/>
        <bgColor theme="0" tint="-0.499984740745262"/>
      </patternFill>
    </fill>
    <fill>
      <patternFill patternType="mediumGray">
        <fgColor theme="5" tint="0.59996337778862885"/>
        <bgColor theme="0" tint="-0.499984740745262"/>
      </patternFill>
    </fill>
    <fill>
      <patternFill patternType="mediumGray">
        <fgColor rgb="FFFFFF99"/>
        <bgColor theme="0" tint="-0.499984740745262"/>
      </patternFill>
    </fill>
    <fill>
      <patternFill patternType="mediumGray">
        <fgColor rgb="FF99FF99"/>
        <bgColor theme="0" tint="-0.499984740745262"/>
      </patternFill>
    </fill>
    <fill>
      <patternFill patternType="mediumGray">
        <fgColor theme="9" tint="0.39994506668294322"/>
        <bgColor theme="0" tint="-0.499984740745262"/>
      </patternFill>
    </fill>
    <fill>
      <patternFill patternType="mediumGray">
        <fgColor theme="7" tint="0.39994506668294322"/>
        <bgColor theme="0" tint="-0.499984740745262"/>
      </patternFill>
    </fill>
    <fill>
      <patternFill patternType="darkUp">
        <fgColor rgb="FFFFCC99"/>
        <bgColor rgb="FFFF9933"/>
      </patternFill>
    </fill>
    <fill>
      <patternFill patternType="darkUp">
        <fgColor theme="3" tint="0.39994506668294322"/>
        <bgColor rgb="FF00B0F0"/>
      </patternFill>
    </fill>
    <fill>
      <gradientFill degree="90">
        <stop position="0">
          <color theme="0"/>
        </stop>
        <stop position="1">
          <color theme="0" tint="-0.25098422193060094"/>
        </stop>
      </gradientFill>
    </fill>
    <fill>
      <patternFill patternType="solid">
        <fgColor rgb="FFFFFFFF"/>
        <bgColor indexed="64"/>
      </patternFill>
    </fill>
  </fills>
  <borders count="15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ck">
        <color indexed="64"/>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diagonal/>
    </border>
    <border>
      <left/>
      <right/>
      <top style="thin">
        <color theme="0" tint="-0.249977111117893"/>
      </top>
      <bottom style="thin">
        <color theme="0" tint="-0.24997711111789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top/>
      <bottom style="thin">
        <color theme="0" tint="-0.249977111117893"/>
      </bottom>
      <diagonal/>
    </border>
    <border>
      <left/>
      <right style="medium">
        <color indexed="64"/>
      </right>
      <top style="medium">
        <color indexed="64"/>
      </top>
      <bottom style="medium">
        <color indexed="64"/>
      </bottom>
      <diagonal/>
    </border>
    <border>
      <left style="medium">
        <color indexed="64"/>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top style="thin">
        <color theme="0" tint="-0.249977111117893"/>
      </top>
      <bottom style="medium">
        <color indexed="64"/>
      </bottom>
      <diagonal/>
    </border>
    <border>
      <left/>
      <right/>
      <top style="thin">
        <color theme="0" tint="-0.249977111117893"/>
      </top>
      <bottom style="medium">
        <color indexed="64"/>
      </bottom>
      <diagonal/>
    </border>
    <border>
      <left style="thin">
        <color theme="0" tint="-0.249977111117893"/>
      </left>
      <right style="medium">
        <color indexed="64"/>
      </right>
      <top style="thin">
        <color theme="0" tint="-0.249977111117893"/>
      </top>
      <bottom style="medium">
        <color indexed="64"/>
      </bottom>
      <diagonal/>
    </border>
    <border>
      <left style="medium">
        <color indexed="64"/>
      </left>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top style="thin">
        <color theme="4" tint="0.39997558519241921"/>
      </top>
      <bottom style="thin">
        <color theme="4" tint="0.39997558519241921"/>
      </bottom>
      <diagonal/>
    </border>
    <border>
      <left style="medium">
        <color indexed="64"/>
      </left>
      <right/>
      <top style="thin">
        <color theme="4" tint="0.39997558519241921"/>
      </top>
      <bottom style="thin">
        <color theme="4" tint="0.39997558519241921"/>
      </bottom>
      <diagonal/>
    </border>
    <border>
      <left/>
      <right style="medium">
        <color indexed="64"/>
      </right>
      <top style="thin">
        <color theme="4" tint="0.39997558519241921"/>
      </top>
      <bottom style="thin">
        <color theme="4" tint="0.39997558519241921"/>
      </bottom>
      <diagonal/>
    </border>
    <border>
      <left style="medium">
        <color indexed="64"/>
      </left>
      <right/>
      <top/>
      <bottom style="thin">
        <color theme="0" tint="-0.34998626667073579"/>
      </bottom>
      <diagonal/>
    </border>
    <border>
      <left style="medium">
        <color indexed="64"/>
      </left>
      <right/>
      <top style="thin">
        <color theme="0" tint="-0.34998626667073579"/>
      </top>
      <bottom style="thin">
        <color theme="0" tint="-0.34998626667073579"/>
      </bottom>
      <diagonal/>
    </border>
    <border>
      <left style="medium">
        <color indexed="64"/>
      </left>
      <right/>
      <top style="thin">
        <color theme="0" tint="-0.34998626667073579"/>
      </top>
      <bottom style="medium">
        <color indexed="64"/>
      </bottom>
      <diagonal/>
    </border>
    <border>
      <left style="medium">
        <color indexed="64"/>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medium">
        <color indexed="64"/>
      </left>
      <right style="thin">
        <color theme="0" tint="-0.249977111117893"/>
      </right>
      <top/>
      <bottom style="thin">
        <color theme="0" tint="-0.249977111117893"/>
      </bottom>
      <diagonal/>
    </border>
    <border>
      <left style="medium">
        <color theme="4" tint="0.39997558519241921"/>
      </left>
      <right/>
      <top style="medium">
        <color theme="4" tint="0.39997558519241921"/>
      </top>
      <bottom style="medium">
        <color theme="4" tint="0.39997558519241921"/>
      </bottom>
      <diagonal/>
    </border>
    <border>
      <left/>
      <right/>
      <top style="medium">
        <color theme="4" tint="0.39997558519241921"/>
      </top>
      <bottom style="medium">
        <color theme="4" tint="0.39997558519241921"/>
      </bottom>
      <diagonal/>
    </border>
    <border>
      <left/>
      <right style="medium">
        <color theme="4" tint="0.39997558519241921"/>
      </right>
      <top style="medium">
        <color theme="4" tint="0.39997558519241921"/>
      </top>
      <bottom style="medium">
        <color theme="4" tint="0.39997558519241921"/>
      </bottom>
      <diagonal/>
    </border>
    <border>
      <left style="medium">
        <color theme="4" tint="0.39997558519241921"/>
      </left>
      <right/>
      <top style="medium">
        <color theme="4" tint="0.39997558519241921"/>
      </top>
      <bottom/>
      <diagonal/>
    </border>
    <border>
      <left/>
      <right/>
      <top style="medium">
        <color theme="4" tint="0.39997558519241921"/>
      </top>
      <bottom/>
      <diagonal/>
    </border>
    <border>
      <left/>
      <right style="medium">
        <color theme="4" tint="0.39997558519241921"/>
      </right>
      <top style="medium">
        <color theme="4" tint="0.39997558519241921"/>
      </top>
      <bottom/>
      <diagonal/>
    </border>
    <border>
      <left style="medium">
        <color theme="4" tint="0.39997558519241921"/>
      </left>
      <right/>
      <top/>
      <bottom style="medium">
        <color theme="4" tint="0.39997558519241921"/>
      </bottom>
      <diagonal/>
    </border>
    <border>
      <left/>
      <right style="medium">
        <color theme="4" tint="0.39997558519241921"/>
      </right>
      <top/>
      <bottom style="medium">
        <color theme="4" tint="0.39997558519241921"/>
      </bottom>
      <diagonal/>
    </border>
    <border>
      <left style="medium">
        <color theme="4" tint="0.39997558519241921"/>
      </left>
      <right/>
      <top/>
      <bottom/>
      <diagonal/>
    </border>
    <border>
      <left/>
      <right style="medium">
        <color theme="4" tint="0.39997558519241921"/>
      </right>
      <top/>
      <bottom/>
      <diagonal/>
    </border>
    <border>
      <left style="medium">
        <color indexed="64"/>
      </left>
      <right/>
      <top style="medium">
        <color indexed="64"/>
      </top>
      <bottom style="thin">
        <color theme="0" tint="-0.249977111117893"/>
      </bottom>
      <diagonal/>
    </border>
    <border>
      <left/>
      <right/>
      <top style="medium">
        <color indexed="64"/>
      </top>
      <bottom style="thin">
        <color theme="0" tint="-0.249977111117893"/>
      </bottom>
      <diagonal/>
    </border>
    <border>
      <left style="medium">
        <color indexed="64"/>
      </left>
      <right/>
      <top style="thin">
        <color theme="4" tint="0.39997558519241921"/>
      </top>
      <bottom style="medium">
        <color indexed="64"/>
      </bottom>
      <diagonal/>
    </border>
    <border>
      <left/>
      <right/>
      <top style="thin">
        <color theme="4" tint="0.39997558519241921"/>
      </top>
      <bottom style="medium">
        <color indexed="64"/>
      </bottom>
      <diagonal/>
    </border>
    <border>
      <left/>
      <right style="medium">
        <color indexed="64"/>
      </right>
      <top style="thin">
        <color theme="4" tint="0.39997558519241921"/>
      </top>
      <bottom style="medium">
        <color indexed="64"/>
      </bottom>
      <diagonal/>
    </border>
    <border>
      <left/>
      <right style="medium">
        <color indexed="64"/>
      </right>
      <top style="thin">
        <color theme="0" tint="-0.249977111117893"/>
      </top>
      <bottom style="medium">
        <color indexed="64"/>
      </bottom>
      <diagonal/>
    </border>
    <border>
      <left/>
      <right style="medium">
        <color indexed="64"/>
      </right>
      <top style="medium">
        <color indexed="64"/>
      </top>
      <bottom style="thin">
        <color theme="0" tint="-0.249977111117893"/>
      </bottom>
      <diagonal/>
    </border>
    <border>
      <left/>
      <right style="medium">
        <color indexed="64"/>
      </right>
      <top style="thin">
        <color theme="0" tint="-0.249977111117893"/>
      </top>
      <bottom style="thin">
        <color theme="0" tint="-0.249977111117893"/>
      </bottom>
      <diagonal/>
    </border>
    <border>
      <left/>
      <right/>
      <top style="thin">
        <color theme="3" tint="0.59999389629810485"/>
      </top>
      <bottom style="thin">
        <color theme="3" tint="0.59999389629810485"/>
      </bottom>
      <diagonal/>
    </border>
    <border>
      <left style="medium">
        <color indexed="64"/>
      </left>
      <right/>
      <top style="thin">
        <color theme="3" tint="0.59999389629810485"/>
      </top>
      <bottom style="thin">
        <color theme="3" tint="0.59999389629810485"/>
      </bottom>
      <diagonal/>
    </border>
    <border>
      <left/>
      <right style="medium">
        <color indexed="64"/>
      </right>
      <top style="thin">
        <color theme="3" tint="0.59999389629810485"/>
      </top>
      <bottom style="thin">
        <color theme="3" tint="0.59999389629810485"/>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style="medium">
        <color indexed="64"/>
      </right>
      <top style="medium">
        <color theme="4" tint="0.39997558519241921"/>
      </top>
      <bottom/>
      <diagonal/>
    </border>
    <border>
      <left style="medium">
        <color theme="4" tint="0.39997558519241921"/>
      </left>
      <right style="medium">
        <color theme="4" tint="0.39997558519241921"/>
      </right>
      <top style="thin">
        <color theme="4" tint="0.39997558519241921"/>
      </top>
      <bottom style="medium">
        <color indexed="64"/>
      </bottom>
      <diagonal/>
    </border>
    <border>
      <left style="thin">
        <color theme="0" tint="-0.249977111117893"/>
      </left>
      <right/>
      <top style="thin">
        <color theme="0" tint="-0.249977111117893"/>
      </top>
      <bottom style="medium">
        <color indexed="64"/>
      </bottom>
      <diagonal/>
    </border>
    <border>
      <left style="medium">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medium">
        <color theme="0" tint="-0.249977111117893"/>
      </right>
      <top/>
      <bottom style="thin">
        <color theme="0" tint="-0.249977111117893"/>
      </bottom>
      <diagonal/>
    </border>
    <border>
      <left style="medium">
        <color indexed="64"/>
      </left>
      <right/>
      <top style="medium">
        <color indexed="64"/>
      </top>
      <bottom style="thin">
        <color indexed="64"/>
      </bottom>
      <diagonal/>
    </border>
    <border>
      <left style="medium">
        <color theme="4" tint="0.39997558519241921"/>
      </left>
      <right style="medium">
        <color theme="4" tint="0.39997558519241921"/>
      </right>
      <top style="medium">
        <color indexed="64"/>
      </top>
      <bottom style="thin">
        <color theme="4" tint="0.39997558519241921"/>
      </bottom>
      <diagonal/>
    </border>
    <border>
      <left style="thin">
        <color theme="4" tint="0.79998168889431442"/>
      </left>
      <right/>
      <top style="thin">
        <color theme="4" tint="0.79998168889431442"/>
      </top>
      <bottom style="thin">
        <color theme="4" tint="0.79998168889431442"/>
      </bottom>
      <diagonal/>
    </border>
    <border>
      <left/>
      <right/>
      <top style="thin">
        <color theme="4" tint="0.79998168889431442"/>
      </top>
      <bottom style="thin">
        <color theme="4" tint="0.79998168889431442"/>
      </bottom>
      <diagonal/>
    </border>
    <border>
      <left/>
      <right/>
      <top style="thin">
        <color theme="4" tint="0.79998168889431442"/>
      </top>
      <bottom/>
      <diagonal/>
    </border>
    <border>
      <left/>
      <right/>
      <top style="medium">
        <color theme="4" tint="-0.249977111117893"/>
      </top>
      <bottom style="thin">
        <color theme="4" tint="0.79998168889431442"/>
      </bottom>
      <diagonal/>
    </border>
    <border>
      <left/>
      <right/>
      <top style="thin">
        <color theme="4" tint="0.79998168889431442"/>
      </top>
      <bottom style="medium">
        <color theme="4" tint="-0.249977111117893"/>
      </bottom>
      <diagonal/>
    </border>
    <border>
      <left/>
      <right/>
      <top/>
      <bottom style="thin">
        <color theme="4" tint="0.79998168889431442"/>
      </bottom>
      <diagonal/>
    </border>
    <border>
      <left style="medium">
        <color theme="4" tint="-0.249977111117893"/>
      </left>
      <right/>
      <top style="medium">
        <color theme="4" tint="-0.249977111117893"/>
      </top>
      <bottom style="thin">
        <color theme="4" tint="0.79998168889431442"/>
      </bottom>
      <diagonal/>
    </border>
    <border>
      <left style="medium">
        <color theme="4" tint="-0.249977111117893"/>
      </left>
      <right/>
      <top style="thin">
        <color theme="4" tint="0.79998168889431442"/>
      </top>
      <bottom style="thin">
        <color theme="4" tint="0.79998168889431442"/>
      </bottom>
      <diagonal/>
    </border>
    <border>
      <left style="medium">
        <color theme="4" tint="-0.249977111117893"/>
      </left>
      <right/>
      <top style="thin">
        <color theme="4" tint="0.79998168889431442"/>
      </top>
      <bottom style="medium">
        <color theme="4" tint="-0.249977111117893"/>
      </bottom>
      <diagonal/>
    </border>
    <border>
      <left/>
      <right style="medium">
        <color theme="4" tint="-0.249977111117893"/>
      </right>
      <top style="medium">
        <color theme="4" tint="-0.249977111117893"/>
      </top>
      <bottom/>
      <diagonal/>
    </border>
    <border>
      <left/>
      <right style="medium">
        <color theme="4" tint="-0.249977111117893"/>
      </right>
      <top/>
      <bottom/>
      <diagonal/>
    </border>
    <border>
      <left/>
      <right style="medium">
        <color theme="4" tint="-0.249977111117893"/>
      </right>
      <top/>
      <bottom style="medium">
        <color theme="4" tint="-0.249977111117893"/>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style="medium">
        <color indexed="64"/>
      </left>
      <right style="medium">
        <color indexed="64"/>
      </right>
      <top/>
      <bottom style="thin">
        <color theme="0" tint="-0.34998626667073579"/>
      </bottom>
      <diagonal/>
    </border>
    <border>
      <left style="medium">
        <color indexed="64"/>
      </left>
      <right style="medium">
        <color indexed="64"/>
      </right>
      <top style="thin">
        <color theme="0" tint="-0.34998626667073579"/>
      </top>
      <bottom style="thin">
        <color theme="0" tint="-0.34998626667073579"/>
      </bottom>
      <diagonal/>
    </border>
    <border>
      <left style="medium">
        <color indexed="64"/>
      </left>
      <right style="medium">
        <color indexed="64"/>
      </right>
      <top style="thin">
        <color theme="0" tint="-0.34998626667073579"/>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medium">
        <color indexed="64"/>
      </left>
      <right/>
      <top style="medium">
        <color indexed="64"/>
      </top>
      <bottom style="thin">
        <color theme="0" tint="-0.34998626667073579"/>
      </bottom>
      <diagonal/>
    </border>
    <border>
      <left style="medium">
        <color indexed="64"/>
      </left>
      <right/>
      <top style="medium">
        <color indexed="64"/>
      </top>
      <bottom style="thin">
        <color theme="4" tint="0.79998168889431442"/>
      </bottom>
      <diagonal/>
    </border>
    <border>
      <left/>
      <right/>
      <top style="medium">
        <color indexed="64"/>
      </top>
      <bottom style="thin">
        <color theme="4" tint="0.79998168889431442"/>
      </bottom>
      <diagonal/>
    </border>
    <border>
      <left style="medium">
        <color indexed="64"/>
      </left>
      <right/>
      <top style="thin">
        <color theme="4" tint="0.79998168889431442"/>
      </top>
      <bottom style="thin">
        <color theme="4" tint="0.79998168889431442"/>
      </bottom>
      <diagonal/>
    </border>
    <border>
      <left style="medium">
        <color indexed="64"/>
      </left>
      <right/>
      <top style="thin">
        <color theme="4" tint="0.79998168889431442"/>
      </top>
      <bottom style="medium">
        <color indexed="64"/>
      </bottom>
      <diagonal/>
    </border>
    <border>
      <left/>
      <right/>
      <top style="thin">
        <color theme="4" tint="0.79998168889431442"/>
      </top>
      <bottom style="medium">
        <color indexed="64"/>
      </bottom>
      <diagonal/>
    </border>
    <border>
      <left style="medium">
        <color indexed="64"/>
      </left>
      <right style="thin">
        <color theme="0" tint="-0.249977111117893"/>
      </right>
      <top style="medium">
        <color indexed="64"/>
      </top>
      <bottom style="thin">
        <color theme="0" tint="-0.34998626667073579"/>
      </bottom>
      <diagonal/>
    </border>
    <border>
      <left style="thin">
        <color theme="0" tint="-0.249977111117893"/>
      </left>
      <right style="medium">
        <color indexed="64"/>
      </right>
      <top style="medium">
        <color indexed="64"/>
      </top>
      <bottom style="thin">
        <color theme="0" tint="-0.34998626667073579"/>
      </bottom>
      <diagonal/>
    </border>
    <border>
      <left style="medium">
        <color indexed="64"/>
      </left>
      <right style="thin">
        <color theme="0" tint="-0.249977111117893"/>
      </right>
      <top style="thin">
        <color theme="0" tint="-0.34998626667073579"/>
      </top>
      <bottom style="thin">
        <color theme="0" tint="-0.34998626667073579"/>
      </bottom>
      <diagonal/>
    </border>
    <border>
      <left style="thin">
        <color theme="0" tint="-0.249977111117893"/>
      </left>
      <right style="medium">
        <color indexed="64"/>
      </right>
      <top style="thin">
        <color theme="0" tint="-0.34998626667073579"/>
      </top>
      <bottom style="thin">
        <color theme="0" tint="-0.34998626667073579"/>
      </bottom>
      <diagonal/>
    </border>
    <border>
      <left style="medium">
        <color indexed="64"/>
      </left>
      <right style="thin">
        <color theme="0" tint="-0.249977111117893"/>
      </right>
      <top style="thin">
        <color theme="0" tint="-0.34998626667073579"/>
      </top>
      <bottom style="medium">
        <color indexed="64"/>
      </bottom>
      <diagonal/>
    </border>
    <border>
      <left style="thin">
        <color theme="0" tint="-0.249977111117893"/>
      </left>
      <right style="medium">
        <color indexed="64"/>
      </right>
      <top style="thin">
        <color theme="0" tint="-0.34998626667073579"/>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theme="0" tint="-0.249977111117893"/>
      </right>
      <top/>
      <bottom style="thin">
        <color theme="0" tint="-0.249977111117893"/>
      </bottom>
      <diagonal/>
    </border>
    <border>
      <left style="medium">
        <color theme="0" tint="-0.249977111117893"/>
      </left>
      <right style="medium">
        <color indexed="64"/>
      </right>
      <top/>
      <bottom/>
      <diagonal/>
    </border>
    <border>
      <left style="medium">
        <color theme="0" tint="-0.249977111117893"/>
      </left>
      <right style="medium">
        <color theme="0" tint="-0.249977111117893"/>
      </right>
      <top style="thin">
        <color theme="0" tint="-0.249977111117893"/>
      </top>
      <bottom style="medium">
        <color indexed="64"/>
      </bottom>
      <diagonal/>
    </border>
    <border>
      <left style="medium">
        <color theme="0" tint="-0.249977111117893"/>
      </left>
      <right style="medium">
        <color indexed="64"/>
      </right>
      <top/>
      <bottom style="medium">
        <color indexed="64"/>
      </bottom>
      <diagonal/>
    </border>
    <border>
      <left/>
      <right style="medium">
        <color theme="0" tint="-0.249977111117893"/>
      </right>
      <top style="thin">
        <color theme="0" tint="-0.249977111117893"/>
      </top>
      <bottom style="medium">
        <color indexed="64"/>
      </bottom>
      <diagonal/>
    </border>
    <border>
      <left style="medium">
        <color theme="0" tint="-0.249977111117893"/>
      </left>
      <right style="medium">
        <color theme="0" tint="-0.249977111117893"/>
      </right>
      <top style="medium">
        <color indexed="64"/>
      </top>
      <bottom style="thin">
        <color theme="0" tint="-0.249977111117893"/>
      </bottom>
      <diagonal/>
    </border>
    <border>
      <left style="medium">
        <color theme="0" tint="-0.249977111117893"/>
      </left>
      <right/>
      <top style="medium">
        <color indexed="64"/>
      </top>
      <bottom style="thin">
        <color theme="0" tint="-0.249977111117893"/>
      </bottom>
      <diagonal/>
    </border>
    <border>
      <left/>
      <right style="medium">
        <color theme="0" tint="-0.249977111117893"/>
      </right>
      <top style="medium">
        <color indexed="64"/>
      </top>
      <bottom style="thin">
        <color theme="0" tint="-0.249977111117893"/>
      </bottom>
      <diagonal/>
    </border>
    <border>
      <left style="medium">
        <color theme="0" tint="-0.249977111117893"/>
      </left>
      <right/>
      <top style="thin">
        <color theme="0" tint="-0.249977111117893"/>
      </top>
      <bottom style="medium">
        <color indexed="64"/>
      </bottom>
      <diagonal/>
    </border>
    <border>
      <left style="medium">
        <color indexed="64"/>
      </left>
      <right style="thin">
        <color theme="0" tint="-0.249977111117893"/>
      </right>
      <top/>
      <bottom style="thin">
        <color theme="0" tint="-0.34998626667073579"/>
      </bottom>
      <diagonal/>
    </border>
    <border>
      <left style="thin">
        <color theme="0" tint="-0.249977111117893"/>
      </left>
      <right style="medium">
        <color indexed="64"/>
      </right>
      <top/>
      <bottom style="thin">
        <color theme="0" tint="-0.34998626667073579"/>
      </bottom>
      <diagonal/>
    </border>
    <border>
      <left/>
      <right style="medium">
        <color indexed="64"/>
      </right>
      <top/>
      <bottom style="thin">
        <color theme="0" tint="-0.34998626667073579"/>
      </bottom>
      <diagonal/>
    </border>
    <border>
      <left/>
      <right style="medium">
        <color indexed="64"/>
      </right>
      <top style="thin">
        <color theme="0" tint="-0.34998626667073579"/>
      </top>
      <bottom style="thin">
        <color theme="0" tint="-0.34998626667073579"/>
      </bottom>
      <diagonal/>
    </border>
    <border>
      <left/>
      <right style="medium">
        <color indexed="64"/>
      </right>
      <top style="medium">
        <color indexed="64"/>
      </top>
      <bottom style="thin">
        <color theme="0" tint="-0.34998626667073579"/>
      </bottom>
      <diagonal/>
    </border>
    <border>
      <left style="medium">
        <color indexed="64"/>
      </left>
      <right style="medium">
        <color indexed="64"/>
      </right>
      <top style="medium">
        <color indexed="64"/>
      </top>
      <bottom style="thin">
        <color theme="0" tint="-0.34998626667073579"/>
      </bottom>
      <diagonal/>
    </border>
    <border>
      <left style="medium">
        <color indexed="64"/>
      </left>
      <right style="medium">
        <color theme="0" tint="-0.249977111117893"/>
      </right>
      <top style="thin">
        <color theme="0" tint="-0.249977111117893"/>
      </top>
      <bottom style="thin">
        <color theme="0" tint="-0.249977111117893"/>
      </bottom>
      <diagonal/>
    </border>
    <border>
      <left style="medium">
        <color indexed="64"/>
      </left>
      <right style="medium">
        <color theme="0" tint="-0.249977111117893"/>
      </right>
      <top style="thin">
        <color theme="0" tint="-0.249977111117893"/>
      </top>
      <bottom style="medium">
        <color indexed="64"/>
      </bottom>
      <diagonal/>
    </border>
    <border>
      <left style="medium">
        <color theme="1" tint="0.499984740745262"/>
      </left>
      <right/>
      <top/>
      <bottom/>
      <diagonal/>
    </border>
    <border>
      <left/>
      <right/>
      <top style="thin">
        <color theme="4" tint="0.39997558519241921"/>
      </top>
      <bottom/>
      <diagonal/>
    </border>
    <border>
      <left/>
      <right/>
      <top/>
      <bottom style="thin">
        <color theme="4" tint="0.39997558519241921"/>
      </bottom>
      <diagonal/>
    </border>
    <border>
      <left/>
      <right style="medium">
        <color indexed="64"/>
      </right>
      <top style="thin">
        <color theme="0" tint="-0.34998626667073579"/>
      </top>
      <bottom style="medium">
        <color indexed="64"/>
      </bottom>
      <diagonal/>
    </border>
    <border>
      <left/>
      <right style="medium">
        <color indexed="64"/>
      </right>
      <top/>
      <bottom style="thin">
        <color theme="0" tint="-0.249977111117893"/>
      </bottom>
      <diagonal/>
    </border>
    <border>
      <left style="medium">
        <color indexed="64"/>
      </left>
      <right style="medium">
        <color indexed="64"/>
      </right>
      <top style="medium">
        <color indexed="64"/>
      </top>
      <bottom style="thin">
        <color theme="0" tint="-0.249977111117893"/>
      </bottom>
      <diagonal/>
    </border>
    <border>
      <left style="medium">
        <color indexed="64"/>
      </left>
      <right style="medium">
        <color indexed="64"/>
      </right>
      <top style="thin">
        <color theme="0" tint="-0.249977111117893"/>
      </top>
      <bottom style="thin">
        <color theme="0" tint="-0.249977111117893"/>
      </bottom>
      <diagonal/>
    </border>
    <border>
      <left style="medium">
        <color indexed="64"/>
      </left>
      <right style="medium">
        <color indexed="64"/>
      </right>
      <top/>
      <bottom style="thin">
        <color theme="0" tint="-0.249977111117893"/>
      </bottom>
      <diagonal/>
    </border>
    <border>
      <left style="medium">
        <color indexed="64"/>
      </left>
      <right style="medium">
        <color indexed="64"/>
      </right>
      <top style="thin">
        <color theme="0" tint="-0.249977111117893"/>
      </top>
      <bottom style="medium">
        <color indexed="64"/>
      </bottom>
      <diagonal/>
    </border>
    <border>
      <left/>
      <right/>
      <top/>
      <bottom style="thin">
        <color theme="0" tint="-0.499984740745262"/>
      </bottom>
      <diagonal/>
    </border>
    <border>
      <left style="thick">
        <color theme="1" tint="0.14996795556505021"/>
      </left>
      <right style="thick">
        <color theme="1" tint="0.14996795556505021"/>
      </right>
      <top style="thick">
        <color theme="1" tint="0.14996795556505021"/>
      </top>
      <bottom style="thick">
        <color theme="1" tint="0.14996795556505021"/>
      </bottom>
      <diagonal/>
    </border>
    <border>
      <left style="medium">
        <color rgb="FFCCCCCC"/>
      </left>
      <right style="medium">
        <color rgb="FFCCCCCC"/>
      </right>
      <top style="medium">
        <color rgb="FFCCCCCC"/>
      </top>
      <bottom style="medium">
        <color rgb="FFCCCCCC"/>
      </bottom>
      <diagonal/>
    </border>
    <border>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31">
    <xf numFmtId="0" fontId="0" fillId="0" borderId="0" xfId="0"/>
    <xf numFmtId="0" fontId="0" fillId="0" borderId="0" xfId="0" applyAlignment="1">
      <alignment horizontal="right"/>
    </xf>
    <xf numFmtId="0" fontId="0" fillId="0" borderId="11" xfId="0" applyBorder="1"/>
    <xf numFmtId="0" fontId="0" fillId="0" borderId="0" xfId="0" applyAlignment="1">
      <alignment horizontal="center"/>
    </xf>
    <xf numFmtId="0" fontId="0" fillId="0" borderId="0" xfId="0" applyAlignment="1">
      <alignment horizontal="left"/>
    </xf>
    <xf numFmtId="0" fontId="16" fillId="38" borderId="20" xfId="0" applyFont="1" applyFill="1" applyBorder="1" applyAlignment="1">
      <alignment horizontal="center"/>
    </xf>
    <xf numFmtId="0" fontId="16" fillId="0" borderId="0" xfId="0" applyFont="1" applyAlignment="1">
      <alignment horizontal="right"/>
    </xf>
    <xf numFmtId="0" fontId="16" fillId="0" borderId="0" xfId="0" applyFont="1"/>
    <xf numFmtId="0" fontId="0" fillId="46" borderId="0" xfId="0" applyFill="1"/>
    <xf numFmtId="0" fontId="0" fillId="46" borderId="0" xfId="0" applyFill="1" applyAlignment="1">
      <alignment horizontal="right"/>
    </xf>
    <xf numFmtId="0" fontId="0" fillId="46" borderId="27" xfId="0" applyFill="1" applyBorder="1"/>
    <xf numFmtId="0" fontId="0" fillId="46" borderId="23" xfId="0" applyFill="1" applyBorder="1"/>
    <xf numFmtId="0" fontId="0" fillId="46" borderId="0" xfId="0" applyFill="1" applyAlignment="1">
      <alignment horizontal="center"/>
    </xf>
    <xf numFmtId="0" fontId="16" fillId="46" borderId="0" xfId="0" applyFont="1" applyFill="1" applyAlignment="1">
      <alignment horizontal="center"/>
    </xf>
    <xf numFmtId="0" fontId="17" fillId="46" borderId="0" xfId="0" applyFont="1" applyFill="1" applyAlignment="1">
      <alignment horizontal="center"/>
    </xf>
    <xf numFmtId="0" fontId="0" fillId="46" borderId="28" xfId="0" applyFill="1" applyBorder="1"/>
    <xf numFmtId="0" fontId="16" fillId="46" borderId="0" xfId="0" applyFont="1" applyFill="1"/>
    <xf numFmtId="0" fontId="19" fillId="46" borderId="0" xfId="0" applyFont="1" applyFill="1" applyAlignment="1">
      <alignment vertical="center" textRotation="90"/>
    </xf>
    <xf numFmtId="0" fontId="18" fillId="46" borderId="0" xfId="0" applyFont="1" applyFill="1" applyAlignment="1">
      <alignment horizontal="right"/>
    </xf>
    <xf numFmtId="0" fontId="18" fillId="46" borderId="0" xfId="0" applyFont="1" applyFill="1"/>
    <xf numFmtId="0" fontId="20" fillId="46" borderId="0" xfId="0" applyFont="1" applyFill="1"/>
    <xf numFmtId="0" fontId="0" fillId="46" borderId="29" xfId="0" applyFill="1" applyBorder="1"/>
    <xf numFmtId="0" fontId="19" fillId="46" borderId="29" xfId="0" applyFont="1" applyFill="1" applyBorder="1"/>
    <xf numFmtId="0" fontId="19" fillId="46" borderId="29" xfId="0" applyFont="1" applyFill="1" applyBorder="1" applyAlignment="1">
      <alignment vertical="center" textRotation="90"/>
    </xf>
    <xf numFmtId="0" fontId="0" fillId="46" borderId="29" xfId="0" applyFill="1" applyBorder="1" applyAlignment="1">
      <alignment horizontal="right"/>
    </xf>
    <xf numFmtId="0" fontId="0" fillId="46" borderId="30" xfId="0" applyFill="1" applyBorder="1"/>
    <xf numFmtId="0" fontId="13" fillId="43" borderId="21" xfId="0" applyFont="1" applyFill="1" applyBorder="1" applyAlignment="1">
      <alignment horizontal="center"/>
    </xf>
    <xf numFmtId="0" fontId="0" fillId="50" borderId="12" xfId="0" applyFill="1" applyBorder="1"/>
    <xf numFmtId="0" fontId="0" fillId="50" borderId="13" xfId="0" applyFill="1" applyBorder="1"/>
    <xf numFmtId="0" fontId="0" fillId="50" borderId="13" xfId="0" applyFill="1" applyBorder="1" applyAlignment="1">
      <alignment horizontal="right"/>
    </xf>
    <xf numFmtId="0" fontId="0" fillId="50" borderId="14" xfId="0" applyFill="1" applyBorder="1"/>
    <xf numFmtId="0" fontId="0" fillId="50" borderId="15" xfId="0" applyFill="1" applyBorder="1"/>
    <xf numFmtId="0" fontId="16" fillId="50" borderId="0" xfId="0" applyFont="1" applyFill="1"/>
    <xf numFmtId="0" fontId="0" fillId="50" borderId="0" xfId="0" applyFill="1"/>
    <xf numFmtId="0" fontId="0" fillId="50" borderId="16" xfId="0" applyFill="1" applyBorder="1"/>
    <xf numFmtId="0" fontId="0" fillId="50" borderId="0" xfId="0" applyFill="1" applyAlignment="1">
      <alignment horizontal="right"/>
    </xf>
    <xf numFmtId="0" fontId="0" fillId="50" borderId="17" xfId="0" applyFill="1" applyBorder="1"/>
    <xf numFmtId="0" fontId="0" fillId="50" borderId="18" xfId="0" applyFill="1" applyBorder="1"/>
    <xf numFmtId="0" fontId="0" fillId="50" borderId="18" xfId="0" applyFill="1" applyBorder="1" applyAlignment="1">
      <alignment horizontal="right"/>
    </xf>
    <xf numFmtId="0" fontId="0" fillId="50" borderId="19" xfId="0" applyFill="1" applyBorder="1"/>
    <xf numFmtId="0" fontId="16" fillId="38" borderId="21" xfId="0" applyFont="1" applyFill="1" applyBorder="1" applyAlignment="1">
      <alignment horizontal="center"/>
    </xf>
    <xf numFmtId="0" fontId="0" fillId="46" borderId="24" xfId="0" applyFill="1" applyBorder="1"/>
    <xf numFmtId="0" fontId="0" fillId="46" borderId="25" xfId="0" applyFill="1" applyBorder="1"/>
    <xf numFmtId="0" fontId="0" fillId="46" borderId="25" xfId="0" applyFill="1" applyBorder="1" applyAlignment="1">
      <alignment horizontal="right"/>
    </xf>
    <xf numFmtId="0" fontId="0" fillId="46" borderId="26" xfId="0" applyFill="1" applyBorder="1"/>
    <xf numFmtId="0" fontId="20" fillId="46" borderId="0" xfId="0" applyFont="1" applyFill="1" applyAlignment="1">
      <alignment horizontal="center"/>
    </xf>
    <xf numFmtId="0" fontId="20" fillId="53" borderId="20" xfId="0" applyFont="1" applyFill="1" applyBorder="1" applyAlignment="1">
      <alignment horizontal="center"/>
    </xf>
    <xf numFmtId="0" fontId="17" fillId="54" borderId="13" xfId="0" applyFont="1" applyFill="1" applyBorder="1"/>
    <xf numFmtId="0" fontId="17" fillId="54" borderId="13" xfId="0" applyFont="1" applyFill="1" applyBorder="1" applyAlignment="1">
      <alignment horizontal="right"/>
    </xf>
    <xf numFmtId="0" fontId="17" fillId="54" borderId="18" xfId="0" applyFont="1" applyFill="1" applyBorder="1"/>
    <xf numFmtId="0" fontId="17" fillId="54" borderId="18" xfId="0" applyFont="1" applyFill="1" applyBorder="1" applyAlignment="1">
      <alignment horizontal="right"/>
    </xf>
    <xf numFmtId="0" fontId="17" fillId="54" borderId="21" xfId="0" applyFont="1" applyFill="1" applyBorder="1"/>
    <xf numFmtId="0" fontId="17" fillId="54" borderId="22" xfId="0" applyFont="1" applyFill="1" applyBorder="1"/>
    <xf numFmtId="0" fontId="17" fillId="54" borderId="22" xfId="0" applyFont="1" applyFill="1" applyBorder="1" applyAlignment="1">
      <alignment horizontal="right"/>
    </xf>
    <xf numFmtId="0" fontId="17" fillId="54" borderId="43" xfId="0" applyFont="1" applyFill="1" applyBorder="1"/>
    <xf numFmtId="0" fontId="0" fillId="54" borderId="21" xfId="0" applyFill="1" applyBorder="1"/>
    <xf numFmtId="0" fontId="0" fillId="54" borderId="22" xfId="0" applyFill="1" applyBorder="1"/>
    <xf numFmtId="0" fontId="0" fillId="54" borderId="43" xfId="0" applyFill="1" applyBorder="1"/>
    <xf numFmtId="0" fontId="17" fillId="54" borderId="12" xfId="0" applyFont="1" applyFill="1" applyBorder="1"/>
    <xf numFmtId="0" fontId="17" fillId="54" borderId="17" xfId="0" applyFont="1" applyFill="1" applyBorder="1"/>
    <xf numFmtId="0" fontId="0" fillId="54" borderId="14" xfId="0" applyFill="1" applyBorder="1"/>
    <xf numFmtId="0" fontId="0" fillId="54" borderId="19" xfId="0" applyFill="1" applyBorder="1"/>
    <xf numFmtId="0" fontId="13" fillId="54" borderId="13" xfId="0" applyFont="1" applyFill="1" applyBorder="1"/>
    <xf numFmtId="0" fontId="13" fillId="54" borderId="18" xfId="0" applyFont="1" applyFill="1" applyBorder="1"/>
    <xf numFmtId="0" fontId="13" fillId="54" borderId="22" xfId="0" applyFont="1" applyFill="1" applyBorder="1"/>
    <xf numFmtId="0" fontId="18" fillId="51" borderId="60" xfId="0" applyFont="1" applyFill="1" applyBorder="1"/>
    <xf numFmtId="0" fontId="27" fillId="51" borderId="61" xfId="0" applyFont="1" applyFill="1" applyBorder="1" applyAlignment="1">
      <alignment vertical="center" textRotation="90"/>
    </xf>
    <xf numFmtId="0" fontId="18" fillId="51" borderId="62" xfId="0" applyFont="1" applyFill="1" applyBorder="1" applyAlignment="1">
      <alignment horizontal="right"/>
    </xf>
    <xf numFmtId="0" fontId="18" fillId="51" borderId="61" xfId="0" applyFont="1" applyFill="1" applyBorder="1" applyAlignment="1">
      <alignment horizontal="right"/>
    </xf>
    <xf numFmtId="0" fontId="18" fillId="51" borderId="61" xfId="0" applyFont="1" applyFill="1" applyBorder="1"/>
    <xf numFmtId="0" fontId="18" fillId="51" borderId="62" xfId="0" applyFont="1" applyFill="1" applyBorder="1"/>
    <xf numFmtId="0" fontId="18" fillId="54" borderId="22" xfId="0" applyFont="1" applyFill="1" applyBorder="1"/>
    <xf numFmtId="0" fontId="19" fillId="54" borderId="22" xfId="0" applyFont="1" applyFill="1" applyBorder="1" applyAlignment="1">
      <alignment vertical="center" textRotation="90"/>
    </xf>
    <xf numFmtId="0" fontId="18" fillId="54" borderId="22" xfId="0" applyFont="1" applyFill="1" applyBorder="1" applyAlignment="1">
      <alignment horizontal="right"/>
    </xf>
    <xf numFmtId="0" fontId="0" fillId="54" borderId="22" xfId="0" applyFill="1" applyBorder="1" applyAlignment="1">
      <alignment horizontal="right"/>
    </xf>
    <xf numFmtId="0" fontId="19" fillId="51" borderId="61" xfId="0" applyFont="1" applyFill="1" applyBorder="1" applyAlignment="1">
      <alignment vertical="center" textRotation="90"/>
    </xf>
    <xf numFmtId="0" fontId="0" fillId="51" borderId="61" xfId="0" applyFill="1" applyBorder="1" applyAlignment="1">
      <alignment horizontal="right"/>
    </xf>
    <xf numFmtId="0" fontId="0" fillId="51" borderId="61" xfId="0" applyFill="1" applyBorder="1"/>
    <xf numFmtId="0" fontId="0" fillId="51" borderId="62" xfId="0" applyFill="1" applyBorder="1"/>
    <xf numFmtId="0" fontId="0" fillId="34" borderId="20" xfId="0" applyFill="1" applyBorder="1" applyAlignment="1" applyProtection="1">
      <alignment horizontal="center"/>
      <protection locked="0"/>
    </xf>
    <xf numFmtId="0" fontId="0" fillId="36" borderId="54" xfId="0" applyFill="1" applyBorder="1" applyAlignment="1" applyProtection="1">
      <alignment horizontal="center"/>
      <protection locked="0"/>
    </xf>
    <xf numFmtId="0" fontId="0" fillId="34" borderId="55" xfId="0" applyFill="1" applyBorder="1" applyAlignment="1" applyProtection="1">
      <alignment horizontal="center"/>
      <protection locked="0"/>
    </xf>
    <xf numFmtId="0" fontId="0" fillId="36" borderId="55" xfId="0" applyFill="1" applyBorder="1" applyAlignment="1" applyProtection="1">
      <alignment horizontal="center"/>
      <protection locked="0"/>
    </xf>
    <xf numFmtId="0" fontId="0" fillId="34" borderId="56" xfId="0" applyFill="1" applyBorder="1" applyAlignment="1" applyProtection="1">
      <alignment horizontal="center"/>
      <protection locked="0"/>
    </xf>
    <xf numFmtId="0" fontId="0" fillId="49" borderId="12" xfId="0" applyFill="1" applyBorder="1"/>
    <xf numFmtId="0" fontId="0" fillId="49" borderId="13" xfId="0" applyFill="1" applyBorder="1"/>
    <xf numFmtId="0" fontId="0" fillId="49" borderId="15" xfId="0" applyFill="1" applyBorder="1"/>
    <xf numFmtId="0" fontId="0" fillId="49" borderId="14" xfId="0" applyFill="1" applyBorder="1"/>
    <xf numFmtId="0" fontId="0" fillId="49" borderId="16" xfId="0" applyFill="1" applyBorder="1"/>
    <xf numFmtId="0" fontId="0" fillId="0" borderId="0" xfId="0" applyProtection="1">
      <protection locked="0"/>
    </xf>
    <xf numFmtId="0" fontId="0" fillId="49" borderId="13" xfId="0" applyFill="1" applyBorder="1" applyAlignment="1">
      <alignment horizontal="right"/>
    </xf>
    <xf numFmtId="0" fontId="0" fillId="49" borderId="17" xfId="0" applyFill="1" applyBorder="1"/>
    <xf numFmtId="0" fontId="0" fillId="49" borderId="18" xfId="0" applyFill="1" applyBorder="1"/>
    <xf numFmtId="0" fontId="0" fillId="49" borderId="18" xfId="0" applyFill="1" applyBorder="1" applyAlignment="1">
      <alignment horizontal="right"/>
    </xf>
    <xf numFmtId="0" fontId="0" fillId="49" borderId="19" xfId="0" applyFill="1" applyBorder="1"/>
    <xf numFmtId="0" fontId="17" fillId="54" borderId="19" xfId="0" applyFont="1" applyFill="1" applyBorder="1"/>
    <xf numFmtId="0" fontId="17" fillId="54" borderId="14" xfId="0" applyFont="1" applyFill="1" applyBorder="1"/>
    <xf numFmtId="0" fontId="0" fillId="36" borderId="56" xfId="0" applyFill="1" applyBorder="1" applyAlignment="1" applyProtection="1">
      <alignment horizontal="center"/>
      <protection locked="0"/>
    </xf>
    <xf numFmtId="1" fontId="0" fillId="55" borderId="20" xfId="0" applyNumberFormat="1" applyFill="1" applyBorder="1" applyAlignment="1" applyProtection="1">
      <alignment horizontal="center"/>
      <protection locked="0"/>
    </xf>
    <xf numFmtId="2" fontId="0" fillId="56" borderId="32" xfId="0" applyNumberFormat="1" applyFill="1" applyBorder="1" applyAlignment="1" applyProtection="1">
      <alignment horizontal="center"/>
      <protection locked="0"/>
    </xf>
    <xf numFmtId="2" fontId="0" fillId="34" borderId="0" xfId="0" applyNumberFormat="1" applyFill="1" applyAlignment="1" applyProtection="1">
      <alignment horizontal="center"/>
      <protection locked="0"/>
    </xf>
    <xf numFmtId="2" fontId="0" fillId="0" borderId="0" xfId="0" applyNumberFormat="1" applyAlignment="1" applyProtection="1">
      <alignment horizontal="center"/>
      <protection locked="0"/>
    </xf>
    <xf numFmtId="0" fontId="0" fillId="0" borderId="0" xfId="0" applyAlignment="1" applyProtection="1">
      <alignment horizontal="center"/>
      <protection locked="0"/>
    </xf>
    <xf numFmtId="2" fontId="0" fillId="56" borderId="32" xfId="0" applyNumberFormat="1" applyFill="1" applyBorder="1" applyAlignment="1">
      <alignment horizontal="center"/>
    </xf>
    <xf numFmtId="2" fontId="0" fillId="34" borderId="0" xfId="0" applyNumberFormat="1" applyFill="1" applyAlignment="1">
      <alignment horizontal="center"/>
    </xf>
    <xf numFmtId="0" fontId="0" fillId="57" borderId="0" xfId="0" applyFill="1" applyAlignment="1">
      <alignment horizontal="center"/>
    </xf>
    <xf numFmtId="0" fontId="0" fillId="57" borderId="33" xfId="0" applyFill="1" applyBorder="1" applyAlignment="1">
      <alignment horizontal="center"/>
    </xf>
    <xf numFmtId="2" fontId="0" fillId="57" borderId="0" xfId="0" applyNumberFormat="1" applyFill="1" applyAlignment="1">
      <alignment horizontal="center"/>
    </xf>
    <xf numFmtId="0" fontId="0" fillId="57" borderId="35" xfId="0" applyFill="1" applyBorder="1" applyAlignment="1">
      <alignment horizontal="center"/>
    </xf>
    <xf numFmtId="0" fontId="0" fillId="57" borderId="34" xfId="0" applyFill="1" applyBorder="1" applyAlignment="1">
      <alignment horizontal="center"/>
    </xf>
    <xf numFmtId="0" fontId="18" fillId="52" borderId="64" xfId="0" applyFont="1" applyFill="1" applyBorder="1" applyAlignment="1">
      <alignment horizontal="left"/>
    </xf>
    <xf numFmtId="0" fontId="19" fillId="52" borderId="64" xfId="0" applyFont="1" applyFill="1" applyBorder="1" applyAlignment="1">
      <alignment horizontal="left" vertical="center" textRotation="90"/>
    </xf>
    <xf numFmtId="0" fontId="0" fillId="52" borderId="64" xfId="0" applyFill="1" applyBorder="1" applyAlignment="1">
      <alignment horizontal="left"/>
    </xf>
    <xf numFmtId="0" fontId="0" fillId="52" borderId="65" xfId="0" applyFill="1" applyBorder="1" applyAlignment="1">
      <alignment horizontal="left"/>
    </xf>
    <xf numFmtId="0" fontId="18" fillId="51" borderId="63" xfId="0" applyFont="1" applyFill="1" applyBorder="1" applyAlignment="1">
      <alignment horizontal="left"/>
    </xf>
    <xf numFmtId="0" fontId="18" fillId="52" borderId="0" xfId="0" applyFont="1" applyFill="1" applyAlignment="1">
      <alignment horizontal="left"/>
    </xf>
    <xf numFmtId="0" fontId="19" fillId="52" borderId="0" xfId="0" applyFont="1" applyFill="1" applyAlignment="1">
      <alignment horizontal="left" vertical="center" textRotation="90"/>
    </xf>
    <xf numFmtId="0" fontId="0" fillId="52" borderId="0" xfId="0" applyFill="1" applyAlignment="1">
      <alignment horizontal="left"/>
    </xf>
    <xf numFmtId="0" fontId="18" fillId="51" borderId="68" xfId="0" applyFont="1" applyFill="1" applyBorder="1" applyAlignment="1">
      <alignment horizontal="left"/>
    </xf>
    <xf numFmtId="0" fontId="0" fillId="52" borderId="69" xfId="0" applyFill="1" applyBorder="1" applyAlignment="1">
      <alignment horizontal="left"/>
    </xf>
    <xf numFmtId="0" fontId="18" fillId="51" borderId="66" xfId="0" applyFont="1" applyFill="1" applyBorder="1" applyAlignment="1">
      <alignment horizontal="left"/>
    </xf>
    <xf numFmtId="0" fontId="18" fillId="52" borderId="3" xfId="0" applyFont="1" applyFill="1" applyBorder="1" applyAlignment="1">
      <alignment horizontal="left"/>
    </xf>
    <xf numFmtId="0" fontId="19" fillId="52" borderId="3" xfId="0" applyFont="1" applyFill="1" applyBorder="1" applyAlignment="1">
      <alignment horizontal="left" vertical="center" textRotation="90"/>
    </xf>
    <xf numFmtId="0" fontId="0" fillId="52" borderId="3" xfId="0" applyFill="1" applyBorder="1" applyAlignment="1">
      <alignment horizontal="left"/>
    </xf>
    <xf numFmtId="0" fontId="28" fillId="52" borderId="3" xfId="0" applyFont="1" applyFill="1" applyBorder="1" applyAlignment="1">
      <alignment horizontal="left"/>
    </xf>
    <xf numFmtId="0" fontId="0" fillId="52" borderId="67" xfId="0" applyFill="1" applyBorder="1" applyAlignment="1">
      <alignment horizontal="left"/>
    </xf>
    <xf numFmtId="0" fontId="29" fillId="51" borderId="66" xfId="0" applyFont="1" applyFill="1" applyBorder="1" applyAlignment="1">
      <alignment horizontal="left"/>
    </xf>
    <xf numFmtId="0" fontId="0" fillId="57" borderId="0" xfId="0" applyFill="1"/>
    <xf numFmtId="0" fontId="0" fillId="57" borderId="12" xfId="0" applyFill="1" applyBorder="1" applyAlignment="1">
      <alignment horizontal="center"/>
    </xf>
    <xf numFmtId="0" fontId="0" fillId="57" borderId="13" xfId="0" applyFill="1" applyBorder="1" applyAlignment="1">
      <alignment horizontal="center"/>
    </xf>
    <xf numFmtId="2" fontId="0" fillId="57" borderId="13" xfId="0" applyNumberFormat="1" applyFill="1" applyBorder="1" applyAlignment="1">
      <alignment horizontal="center"/>
    </xf>
    <xf numFmtId="0" fontId="0" fillId="57" borderId="15" xfId="0" applyFill="1" applyBorder="1" applyAlignment="1">
      <alignment horizontal="center"/>
    </xf>
    <xf numFmtId="0" fontId="0" fillId="40" borderId="84" xfId="0" applyFill="1" applyBorder="1" applyAlignment="1">
      <alignment horizontal="center"/>
    </xf>
    <xf numFmtId="0" fontId="0" fillId="34" borderId="37" xfId="0" applyFill="1" applyBorder="1"/>
    <xf numFmtId="0" fontId="0" fillId="57" borderId="0" xfId="0" applyFill="1" applyProtection="1">
      <protection locked="0"/>
    </xf>
    <xf numFmtId="0" fontId="30" fillId="57" borderId="0" xfId="0" applyFont="1" applyFill="1" applyAlignment="1">
      <alignment horizontal="center"/>
    </xf>
    <xf numFmtId="0" fontId="30" fillId="57" borderId="0" xfId="0" applyFont="1" applyFill="1"/>
    <xf numFmtId="0" fontId="0" fillId="40" borderId="86" xfId="0" applyFill="1" applyBorder="1" applyAlignment="1" applyProtection="1">
      <alignment horizontal="center"/>
      <protection locked="0"/>
    </xf>
    <xf numFmtId="0" fontId="0" fillId="59" borderId="86" xfId="0" applyFill="1" applyBorder="1" applyAlignment="1" applyProtection="1">
      <alignment horizontal="center"/>
      <protection locked="0"/>
    </xf>
    <xf numFmtId="2" fontId="0" fillId="33" borderId="31" xfId="0" applyNumberFormat="1" applyFill="1" applyBorder="1" applyAlignment="1">
      <alignment horizontal="center"/>
    </xf>
    <xf numFmtId="0" fontId="0" fillId="35" borderId="0" xfId="0" applyFill="1"/>
    <xf numFmtId="0" fontId="0" fillId="59" borderId="87" xfId="0" applyFill="1" applyBorder="1" applyAlignment="1" applyProtection="1">
      <alignment horizontal="center"/>
      <protection locked="0"/>
    </xf>
    <xf numFmtId="0" fontId="0" fillId="34" borderId="15" xfId="0" applyFill="1" applyBorder="1" applyAlignment="1">
      <alignment horizontal="center"/>
    </xf>
    <xf numFmtId="2" fontId="0" fillId="56" borderId="44" xfId="0" applyNumberFormat="1" applyFill="1" applyBorder="1" applyAlignment="1">
      <alignment horizontal="center"/>
    </xf>
    <xf numFmtId="0" fontId="30" fillId="0" borderId="0" xfId="0" applyFont="1" applyAlignment="1">
      <alignment horizontal="center"/>
    </xf>
    <xf numFmtId="2" fontId="0" fillId="33" borderId="13" xfId="0" applyNumberFormat="1" applyFill="1" applyBorder="1" applyAlignment="1">
      <alignment horizontal="center"/>
    </xf>
    <xf numFmtId="0" fontId="16" fillId="38" borderId="12" xfId="0" applyFont="1" applyFill="1" applyBorder="1" applyAlignment="1" applyProtection="1">
      <alignment horizontal="center"/>
      <protection hidden="1"/>
    </xf>
    <xf numFmtId="0" fontId="0" fillId="38" borderId="13" xfId="0" applyFill="1" applyBorder="1" applyAlignment="1" applyProtection="1">
      <alignment horizontal="center"/>
      <protection hidden="1"/>
    </xf>
    <xf numFmtId="0" fontId="0" fillId="38" borderId="14" xfId="0" applyFill="1" applyBorder="1" applyAlignment="1" applyProtection="1">
      <alignment horizontal="center"/>
      <protection hidden="1"/>
    </xf>
    <xf numFmtId="0" fontId="16" fillId="33" borderId="52" xfId="0" applyFont="1" applyFill="1" applyBorder="1" applyAlignment="1" applyProtection="1">
      <alignment horizontal="center" vertical="center"/>
      <protection hidden="1"/>
    </xf>
    <xf numFmtId="0" fontId="0" fillId="33" borderId="51" xfId="0" applyFill="1" applyBorder="1" applyAlignment="1" applyProtection="1">
      <alignment horizontal="center"/>
      <protection hidden="1"/>
    </xf>
    <xf numFmtId="0" fontId="0" fillId="33" borderId="53" xfId="0" applyFill="1" applyBorder="1" applyAlignment="1" applyProtection="1">
      <alignment horizontal="center"/>
      <protection hidden="1"/>
    </xf>
    <xf numFmtId="0" fontId="16" fillId="38" borderId="15" xfId="0" applyFont="1" applyFill="1" applyBorder="1" applyAlignment="1" applyProtection="1">
      <alignment horizontal="center" vertical="center"/>
      <protection hidden="1"/>
    </xf>
    <xf numFmtId="0" fontId="0" fillId="38" borderId="0" xfId="0" applyFill="1" applyAlignment="1" applyProtection="1">
      <alignment horizontal="center"/>
      <protection hidden="1"/>
    </xf>
    <xf numFmtId="0" fontId="0" fillId="38" borderId="16" xfId="0" applyFill="1" applyBorder="1" applyAlignment="1" applyProtection="1">
      <alignment horizontal="center"/>
      <protection hidden="1"/>
    </xf>
    <xf numFmtId="0" fontId="16" fillId="38" borderId="52" xfId="0" applyFont="1" applyFill="1" applyBorder="1" applyAlignment="1" applyProtection="1">
      <alignment horizontal="center" vertical="center"/>
      <protection hidden="1"/>
    </xf>
    <xf numFmtId="0" fontId="0" fillId="38" borderId="51" xfId="0" applyFill="1" applyBorder="1" applyAlignment="1" applyProtection="1">
      <alignment horizontal="center"/>
      <protection hidden="1"/>
    </xf>
    <xf numFmtId="0" fontId="0" fillId="38" borderId="53" xfId="0" applyFill="1" applyBorder="1" applyAlignment="1" applyProtection="1">
      <alignment horizontal="center"/>
      <protection hidden="1"/>
    </xf>
    <xf numFmtId="0" fontId="16" fillId="33" borderId="17" xfId="0" applyFont="1" applyFill="1" applyBorder="1" applyAlignment="1" applyProtection="1">
      <alignment horizontal="center"/>
      <protection hidden="1"/>
    </xf>
    <xf numFmtId="0" fontId="0" fillId="33" borderId="18" xfId="0" applyFill="1" applyBorder="1" applyAlignment="1" applyProtection="1">
      <alignment horizontal="center"/>
      <protection hidden="1"/>
    </xf>
    <xf numFmtId="0" fontId="0" fillId="33" borderId="19" xfId="0" applyFill="1" applyBorder="1" applyAlignment="1" applyProtection="1">
      <alignment horizontal="center"/>
      <protection hidden="1"/>
    </xf>
    <xf numFmtId="1" fontId="0" fillId="38" borderId="14" xfId="0" applyNumberFormat="1" applyFill="1" applyBorder="1" applyAlignment="1" applyProtection="1">
      <alignment horizontal="center"/>
      <protection hidden="1"/>
    </xf>
    <xf numFmtId="0" fontId="0" fillId="33" borderId="80" xfId="0" applyFill="1" applyBorder="1" applyAlignment="1" applyProtection="1">
      <alignment horizontal="center"/>
      <protection hidden="1"/>
    </xf>
    <xf numFmtId="1" fontId="0" fillId="38" borderId="16" xfId="0" applyNumberFormat="1" applyFill="1" applyBorder="1" applyAlignment="1" applyProtection="1">
      <alignment horizontal="center"/>
      <protection hidden="1"/>
    </xf>
    <xf numFmtId="1" fontId="0" fillId="33" borderId="80" xfId="0" applyNumberFormat="1" applyFill="1" applyBorder="1" applyAlignment="1" applyProtection="1">
      <alignment horizontal="center"/>
      <protection hidden="1"/>
    </xf>
    <xf numFmtId="0" fontId="0" fillId="38" borderId="80" xfId="0" applyFill="1" applyBorder="1" applyAlignment="1" applyProtection="1">
      <alignment horizontal="center"/>
      <protection hidden="1"/>
    </xf>
    <xf numFmtId="0" fontId="16" fillId="33" borderId="19" xfId="0" applyFont="1" applyFill="1" applyBorder="1" applyAlignment="1" applyProtection="1">
      <alignment horizontal="center"/>
      <protection hidden="1"/>
    </xf>
    <xf numFmtId="0" fontId="0" fillId="38" borderId="52" xfId="0" applyFill="1" applyBorder="1" applyAlignment="1" applyProtection="1">
      <alignment horizontal="center"/>
      <protection hidden="1"/>
    </xf>
    <xf numFmtId="0" fontId="18" fillId="38" borderId="53" xfId="0" applyFont="1" applyFill="1" applyBorder="1" applyAlignment="1" applyProtection="1">
      <alignment vertical="top"/>
      <protection hidden="1"/>
    </xf>
    <xf numFmtId="0" fontId="0" fillId="33" borderId="15" xfId="0" applyFill="1" applyBorder="1" applyAlignment="1" applyProtection="1">
      <alignment horizontal="center"/>
      <protection hidden="1"/>
    </xf>
    <xf numFmtId="0" fontId="18" fillId="33" borderId="16" xfId="0" applyFont="1" applyFill="1" applyBorder="1" applyAlignment="1" applyProtection="1">
      <alignment vertical="top"/>
      <protection hidden="1"/>
    </xf>
    <xf numFmtId="0" fontId="20" fillId="38" borderId="15" xfId="0" applyFont="1" applyFill="1" applyBorder="1" applyAlignment="1" applyProtection="1">
      <alignment horizontal="left"/>
      <protection hidden="1"/>
    </xf>
    <xf numFmtId="0" fontId="20" fillId="38" borderId="0" xfId="0" applyFont="1" applyFill="1" applyAlignment="1" applyProtection="1">
      <alignment horizontal="left"/>
      <protection hidden="1"/>
    </xf>
    <xf numFmtId="0" fontId="20" fillId="38" borderId="16" xfId="0" applyFont="1" applyFill="1" applyBorder="1" applyAlignment="1" applyProtection="1">
      <alignment horizontal="center"/>
      <protection hidden="1"/>
    </xf>
    <xf numFmtId="0" fontId="20" fillId="33" borderId="52" xfId="0" applyFont="1" applyFill="1" applyBorder="1" applyAlignment="1" applyProtection="1">
      <alignment horizontal="left"/>
      <protection hidden="1"/>
    </xf>
    <xf numFmtId="0" fontId="20" fillId="33" borderId="51" xfId="0" applyFont="1" applyFill="1" applyBorder="1" applyAlignment="1" applyProtection="1">
      <alignment horizontal="left"/>
      <protection hidden="1"/>
    </xf>
    <xf numFmtId="0" fontId="20" fillId="33" borderId="53" xfId="0" applyFont="1" applyFill="1" applyBorder="1" applyAlignment="1" applyProtection="1">
      <alignment horizontal="center"/>
      <protection hidden="1"/>
    </xf>
    <xf numFmtId="0" fontId="20" fillId="33" borderId="72" xfId="0" applyFont="1" applyFill="1" applyBorder="1" applyAlignment="1" applyProtection="1">
      <alignment horizontal="left"/>
      <protection hidden="1"/>
    </xf>
    <xf numFmtId="0" fontId="20" fillId="33" borderId="73" xfId="0" applyFont="1" applyFill="1" applyBorder="1" applyAlignment="1" applyProtection="1">
      <alignment horizontal="left"/>
      <protection hidden="1"/>
    </xf>
    <xf numFmtId="0" fontId="20" fillId="33" borderId="74" xfId="0" applyFont="1" applyFill="1" applyBorder="1" applyAlignment="1" applyProtection="1">
      <alignment horizontal="center"/>
      <protection hidden="1"/>
    </xf>
    <xf numFmtId="0" fontId="16" fillId="36" borderId="49" xfId="0" applyFont="1" applyFill="1" applyBorder="1" applyAlignment="1" applyProtection="1">
      <alignment horizontal="center"/>
      <protection hidden="1"/>
    </xf>
    <xf numFmtId="1" fontId="0" fillId="36" borderId="71" xfId="0" applyNumberFormat="1" applyFill="1" applyBorder="1" applyAlignment="1" applyProtection="1">
      <alignment horizontal="center"/>
      <protection hidden="1"/>
    </xf>
    <xf numFmtId="0" fontId="16" fillId="34" borderId="44" xfId="0" applyFont="1" applyFill="1" applyBorder="1" applyAlignment="1" applyProtection="1">
      <alignment horizontal="center"/>
      <protection hidden="1"/>
    </xf>
    <xf numFmtId="1" fontId="0" fillId="34" borderId="32" xfId="0" applyNumberFormat="1" applyFill="1" applyBorder="1" applyAlignment="1" applyProtection="1">
      <alignment horizontal="center"/>
      <protection hidden="1"/>
    </xf>
    <xf numFmtId="1" fontId="0" fillId="36" borderId="32" xfId="0" applyNumberFormat="1" applyFill="1" applyBorder="1" applyAlignment="1" applyProtection="1">
      <alignment horizontal="center"/>
      <protection hidden="1"/>
    </xf>
    <xf numFmtId="0" fontId="16" fillId="34" borderId="46" xfId="0" applyFont="1" applyFill="1" applyBorder="1" applyAlignment="1" applyProtection="1">
      <alignment horizontal="center"/>
      <protection hidden="1"/>
    </xf>
    <xf numFmtId="0" fontId="16" fillId="36" borderId="70" xfId="0" applyFont="1" applyFill="1" applyBorder="1" applyAlignment="1" applyProtection="1">
      <alignment horizontal="center"/>
      <protection hidden="1"/>
    </xf>
    <xf numFmtId="0" fontId="16" fillId="36" borderId="44" xfId="0" applyFont="1" applyFill="1" applyBorder="1" applyAlignment="1" applyProtection="1">
      <alignment horizontal="center"/>
      <protection hidden="1"/>
    </xf>
    <xf numFmtId="0" fontId="16" fillId="36" borderId="46" xfId="0" applyFont="1" applyFill="1" applyBorder="1" applyAlignment="1" applyProtection="1">
      <alignment horizontal="center"/>
      <protection hidden="1"/>
    </xf>
    <xf numFmtId="1" fontId="0" fillId="36" borderId="47" xfId="0" applyNumberFormat="1" applyFill="1" applyBorder="1" applyAlignment="1" applyProtection="1">
      <alignment horizontal="center"/>
      <protection hidden="1"/>
    </xf>
    <xf numFmtId="0" fontId="0" fillId="0" borderId="0" xfId="0" applyProtection="1">
      <protection hidden="1"/>
    </xf>
    <xf numFmtId="0" fontId="0" fillId="48" borderId="12" xfId="0" applyFill="1" applyBorder="1" applyProtection="1">
      <protection hidden="1"/>
    </xf>
    <xf numFmtId="0" fontId="0" fillId="48" borderId="13" xfId="0" applyFill="1" applyBorder="1" applyProtection="1">
      <protection hidden="1"/>
    </xf>
    <xf numFmtId="0" fontId="0" fillId="48" borderId="12" xfId="0" applyFill="1" applyBorder="1" applyAlignment="1" applyProtection="1">
      <alignment horizontal="center"/>
      <protection hidden="1"/>
    </xf>
    <xf numFmtId="0" fontId="0" fillId="48" borderId="13" xfId="0" applyFill="1" applyBorder="1" applyAlignment="1" applyProtection="1">
      <alignment horizontal="center"/>
      <protection hidden="1"/>
    </xf>
    <xf numFmtId="0" fontId="0" fillId="48" borderId="14" xfId="0" applyFill="1" applyBorder="1" applyProtection="1">
      <protection hidden="1"/>
    </xf>
    <xf numFmtId="0" fontId="0" fillId="48" borderId="15" xfId="0" applyFill="1" applyBorder="1" applyProtection="1">
      <protection hidden="1"/>
    </xf>
    <xf numFmtId="0" fontId="0" fillId="48" borderId="0" xfId="0" applyFill="1" applyProtection="1">
      <protection hidden="1"/>
    </xf>
    <xf numFmtId="0" fontId="20" fillId="39" borderId="21" xfId="0" applyFont="1" applyFill="1" applyBorder="1" applyAlignment="1" applyProtection="1">
      <alignment horizontal="center" vertical="center"/>
      <protection hidden="1"/>
    </xf>
    <xf numFmtId="0" fontId="22" fillId="39" borderId="22" xfId="0" applyFont="1" applyFill="1" applyBorder="1" applyAlignment="1" applyProtection="1">
      <alignment horizontal="center" vertical="center"/>
      <protection hidden="1"/>
    </xf>
    <xf numFmtId="0" fontId="21" fillId="39" borderId="43" xfId="0" applyFont="1" applyFill="1" applyBorder="1" applyAlignment="1" applyProtection="1">
      <alignment horizontal="center" vertical="center"/>
      <protection hidden="1"/>
    </xf>
    <xf numFmtId="0" fontId="16" fillId="48" borderId="0" xfId="0" applyFont="1" applyFill="1" applyProtection="1">
      <protection hidden="1"/>
    </xf>
    <xf numFmtId="0" fontId="22" fillId="39" borderId="43" xfId="0" applyFont="1" applyFill="1" applyBorder="1" applyAlignment="1" applyProtection="1">
      <alignment horizontal="center" vertical="center"/>
      <protection hidden="1"/>
    </xf>
    <xf numFmtId="0" fontId="0" fillId="48" borderId="16" xfId="0" applyFill="1" applyBorder="1" applyProtection="1">
      <protection hidden="1"/>
    </xf>
    <xf numFmtId="0" fontId="0" fillId="41" borderId="43" xfId="0" applyFill="1" applyBorder="1" applyAlignment="1" applyProtection="1">
      <alignment horizontal="center"/>
      <protection hidden="1"/>
    </xf>
    <xf numFmtId="0" fontId="0" fillId="41" borderId="0" xfId="0" applyFill="1" applyAlignment="1" applyProtection="1">
      <alignment horizontal="center"/>
      <protection hidden="1"/>
    </xf>
    <xf numFmtId="0" fontId="0" fillId="41" borderId="0" xfId="0" applyFill="1" applyProtection="1">
      <protection hidden="1"/>
    </xf>
    <xf numFmtId="0" fontId="0" fillId="44" borderId="0" xfId="0" applyFill="1" applyProtection="1">
      <protection hidden="1"/>
    </xf>
    <xf numFmtId="0" fontId="0" fillId="48" borderId="15" xfId="0" applyFill="1" applyBorder="1" applyAlignment="1" applyProtection="1">
      <alignment horizontal="center" vertical="center"/>
      <protection hidden="1"/>
    </xf>
    <xf numFmtId="0" fontId="0" fillId="44" borderId="0" xfId="0" applyFill="1" applyAlignment="1" applyProtection="1">
      <alignment horizontal="center" vertical="center"/>
      <protection hidden="1"/>
    </xf>
    <xf numFmtId="0" fontId="0" fillId="44" borderId="0" xfId="0" applyFill="1" applyAlignment="1" applyProtection="1">
      <alignment horizontal="left" vertical="center"/>
      <protection hidden="1"/>
    </xf>
    <xf numFmtId="0" fontId="0" fillId="48" borderId="0" xfId="0" applyFill="1" applyAlignment="1" applyProtection="1">
      <alignment horizontal="center" vertical="center"/>
      <protection hidden="1"/>
    </xf>
    <xf numFmtId="0" fontId="20" fillId="48" borderId="0" xfId="0" applyFont="1" applyFill="1" applyAlignment="1" applyProtection="1">
      <alignment horizontal="center" vertical="center"/>
      <protection hidden="1"/>
    </xf>
    <xf numFmtId="0" fontId="0" fillId="48" borderId="16" xfId="0" applyFill="1" applyBorder="1" applyAlignment="1" applyProtection="1">
      <alignment horizontal="center" vertical="center"/>
      <protection hidden="1"/>
    </xf>
    <xf numFmtId="0" fontId="0" fillId="47" borderId="0" xfId="0" applyFill="1" applyProtection="1">
      <protection hidden="1"/>
    </xf>
    <xf numFmtId="0" fontId="0" fillId="45" borderId="0" xfId="0" applyFill="1" applyAlignment="1" applyProtection="1">
      <alignment horizontal="center"/>
      <protection hidden="1"/>
    </xf>
    <xf numFmtId="0" fontId="0" fillId="48" borderId="0" xfId="0" applyFill="1" applyAlignment="1" applyProtection="1">
      <alignment horizontal="center"/>
      <protection hidden="1"/>
    </xf>
    <xf numFmtId="0" fontId="23" fillId="39" borderId="21" xfId="0" applyFont="1" applyFill="1" applyBorder="1" applyProtection="1">
      <protection hidden="1"/>
    </xf>
    <xf numFmtId="0" fontId="23" fillId="39" borderId="22" xfId="0" applyFont="1" applyFill="1" applyBorder="1" applyAlignment="1" applyProtection="1">
      <alignment wrapText="1"/>
      <protection hidden="1"/>
    </xf>
    <xf numFmtId="0" fontId="23" fillId="39" borderId="22" xfId="0" applyFont="1" applyFill="1" applyBorder="1" applyProtection="1">
      <protection hidden="1"/>
    </xf>
    <xf numFmtId="0" fontId="13" fillId="39" borderId="43" xfId="0" applyFont="1" applyFill="1" applyBorder="1" applyProtection="1">
      <protection hidden="1"/>
    </xf>
    <xf numFmtId="1" fontId="0" fillId="48" borderId="0" xfId="0" applyNumberFormat="1" applyFill="1" applyAlignment="1" applyProtection="1">
      <alignment horizontal="center"/>
      <protection hidden="1"/>
    </xf>
    <xf numFmtId="0" fontId="0" fillId="48" borderId="15" xfId="0" applyFill="1" applyBorder="1" applyAlignment="1" applyProtection="1">
      <alignment horizontal="center"/>
      <protection hidden="1"/>
    </xf>
    <xf numFmtId="0" fontId="0" fillId="57" borderId="0" xfId="0" applyFill="1" applyProtection="1">
      <protection hidden="1"/>
    </xf>
    <xf numFmtId="0" fontId="0" fillId="57" borderId="0" xfId="0" applyFill="1" applyAlignment="1" applyProtection="1">
      <alignment horizontal="center"/>
      <protection hidden="1"/>
    </xf>
    <xf numFmtId="0" fontId="30" fillId="57" borderId="0" xfId="0" applyFont="1" applyFill="1" applyAlignment="1" applyProtection="1">
      <alignment horizontal="right" vertical="center"/>
      <protection hidden="1"/>
    </xf>
    <xf numFmtId="0" fontId="0" fillId="57" borderId="33" xfId="0" applyFill="1" applyBorder="1" applyAlignment="1" applyProtection="1">
      <alignment horizontal="center"/>
      <protection hidden="1"/>
    </xf>
    <xf numFmtId="2" fontId="0" fillId="57" borderId="0" xfId="0" applyNumberFormat="1" applyFill="1" applyAlignment="1" applyProtection="1">
      <alignment horizontal="center"/>
      <protection hidden="1"/>
    </xf>
    <xf numFmtId="0" fontId="0" fillId="57" borderId="34" xfId="0" applyFill="1" applyBorder="1" applyAlignment="1" applyProtection="1">
      <alignment horizontal="center"/>
      <protection hidden="1"/>
    </xf>
    <xf numFmtId="0" fontId="0" fillId="57" borderId="83" xfId="0" applyFill="1" applyBorder="1" applyAlignment="1" applyProtection="1">
      <alignment horizontal="center"/>
      <protection hidden="1"/>
    </xf>
    <xf numFmtId="0" fontId="17" fillId="57" borderId="0" xfId="0" applyFont="1" applyFill="1" applyAlignment="1" applyProtection="1">
      <alignment horizontal="center"/>
      <protection hidden="1"/>
    </xf>
    <xf numFmtId="0" fontId="0" fillId="0" borderId="0" xfId="0" applyProtection="1">
      <protection locked="0" hidden="1"/>
    </xf>
    <xf numFmtId="1" fontId="0" fillId="56" borderId="32" xfId="0" applyNumberFormat="1" applyFill="1" applyBorder="1" applyAlignment="1" applyProtection="1">
      <alignment horizontal="center"/>
      <protection locked="0" hidden="1"/>
    </xf>
    <xf numFmtId="0" fontId="30" fillId="57" borderId="0" xfId="0" applyFont="1" applyFill="1" applyAlignment="1" applyProtection="1">
      <alignment vertical="center"/>
      <protection hidden="1"/>
    </xf>
    <xf numFmtId="0" fontId="30" fillId="57" borderId="11" xfId="0" applyFont="1" applyFill="1" applyBorder="1" applyAlignment="1" applyProtection="1">
      <alignment vertical="center"/>
      <protection hidden="1"/>
    </xf>
    <xf numFmtId="0" fontId="0" fillId="57" borderId="0" xfId="0" applyFill="1" applyProtection="1">
      <protection locked="0" hidden="1"/>
    </xf>
    <xf numFmtId="0" fontId="30" fillId="57" borderId="0" xfId="0" applyFont="1" applyFill="1" applyProtection="1">
      <protection hidden="1"/>
    </xf>
    <xf numFmtId="0" fontId="0" fillId="55" borderId="20" xfId="0" applyFill="1" applyBorder="1" applyAlignment="1" applyProtection="1">
      <alignment horizontal="center"/>
      <protection locked="0"/>
    </xf>
    <xf numFmtId="0" fontId="18" fillId="0" borderId="0" xfId="0" applyFont="1" applyAlignment="1" applyProtection="1">
      <alignment horizontal="center"/>
      <protection hidden="1"/>
    </xf>
    <xf numFmtId="0" fontId="18" fillId="0" borderId="0" xfId="0" applyFont="1" applyAlignment="1" applyProtection="1">
      <alignment horizontal="center" vertical="center"/>
      <protection hidden="1"/>
    </xf>
    <xf numFmtId="0" fontId="20" fillId="50" borderId="0" xfId="0" applyFont="1" applyFill="1" applyAlignment="1">
      <alignment horizontal="left"/>
    </xf>
    <xf numFmtId="2" fontId="20" fillId="0" borderId="0" xfId="0" applyNumberFormat="1" applyFont="1" applyAlignment="1">
      <alignment horizontal="center" vertical="center"/>
    </xf>
    <xf numFmtId="0" fontId="20" fillId="0" borderId="0" xfId="0" applyFont="1" applyAlignment="1">
      <alignment horizontal="center" vertical="center"/>
    </xf>
    <xf numFmtId="2" fontId="18" fillId="0" borderId="0" xfId="0" applyNumberFormat="1" applyFont="1" applyAlignment="1">
      <alignment horizontal="center"/>
    </xf>
    <xf numFmtId="0" fontId="18" fillId="0" borderId="0" xfId="0" applyFont="1" applyAlignment="1">
      <alignment horizontal="center"/>
    </xf>
    <xf numFmtId="0" fontId="32" fillId="0" borderId="0" xfId="0" applyFont="1" applyAlignment="1">
      <alignment horizontal="center" vertical="center"/>
    </xf>
    <xf numFmtId="0" fontId="20" fillId="60" borderId="0" xfId="0" applyFont="1" applyFill="1" applyAlignment="1">
      <alignment horizontal="center" vertical="center"/>
    </xf>
    <xf numFmtId="2" fontId="18" fillId="61" borderId="0" xfId="0" applyNumberFormat="1" applyFont="1" applyFill="1" applyAlignment="1">
      <alignment horizontal="center" vertical="center"/>
    </xf>
    <xf numFmtId="2" fontId="18" fillId="60" borderId="0" xfId="0" applyNumberFormat="1" applyFont="1" applyFill="1" applyAlignment="1">
      <alignment horizontal="center"/>
    </xf>
    <xf numFmtId="2" fontId="18" fillId="61" borderId="0" xfId="0" applyNumberFormat="1" applyFont="1" applyFill="1" applyAlignment="1">
      <alignment horizontal="center"/>
    </xf>
    <xf numFmtId="1" fontId="0" fillId="34" borderId="0" xfId="0" applyNumberFormat="1" applyFill="1" applyAlignment="1">
      <alignment horizontal="center"/>
    </xf>
    <xf numFmtId="164" fontId="18" fillId="0" borderId="0" xfId="0" applyNumberFormat="1" applyFont="1" applyAlignment="1">
      <alignment horizontal="center"/>
    </xf>
    <xf numFmtId="1" fontId="0" fillId="34" borderId="0" xfId="0" applyNumberFormat="1" applyFill="1" applyAlignment="1" applyProtection="1">
      <alignment horizontal="center"/>
      <protection locked="0"/>
    </xf>
    <xf numFmtId="1" fontId="0" fillId="56" borderId="47" xfId="0" applyNumberFormat="1" applyFill="1" applyBorder="1" applyAlignment="1">
      <alignment horizontal="center"/>
    </xf>
    <xf numFmtId="2" fontId="0" fillId="33" borderId="0" xfId="0" applyNumberFormat="1" applyFill="1" applyAlignment="1" applyProtection="1">
      <alignment horizontal="center" vertical="center"/>
      <protection locked="0"/>
    </xf>
    <xf numFmtId="0" fontId="0" fillId="34" borderId="88" xfId="0" applyFill="1" applyBorder="1"/>
    <xf numFmtId="0" fontId="0" fillId="59" borderId="89" xfId="0" applyFill="1" applyBorder="1" applyAlignment="1">
      <alignment horizontal="center"/>
    </xf>
    <xf numFmtId="2" fontId="0" fillId="58" borderId="13" xfId="0" applyNumberFormat="1" applyFill="1" applyBorder="1" applyAlignment="1">
      <alignment horizontal="center"/>
    </xf>
    <xf numFmtId="1" fontId="0" fillId="34" borderId="13" xfId="0" applyNumberFormat="1" applyFill="1" applyBorder="1" applyAlignment="1">
      <alignment horizontal="center"/>
    </xf>
    <xf numFmtId="0" fontId="34" fillId="0" borderId="0" xfId="0" applyFont="1" applyProtection="1">
      <protection hidden="1"/>
    </xf>
    <xf numFmtId="0" fontId="34" fillId="0" borderId="0" xfId="0" applyFont="1" applyAlignment="1" applyProtection="1">
      <alignment horizontal="center"/>
      <protection hidden="1"/>
    </xf>
    <xf numFmtId="0" fontId="34" fillId="0" borderId="0" xfId="0" applyFont="1" applyAlignment="1" applyProtection="1">
      <alignment horizontal="center"/>
      <protection locked="0" hidden="1"/>
    </xf>
    <xf numFmtId="0" fontId="34" fillId="0" borderId="0" xfId="0" applyFont="1" applyAlignment="1" applyProtection="1">
      <alignment horizontal="right" vertical="center"/>
      <protection hidden="1"/>
    </xf>
    <xf numFmtId="0" fontId="34" fillId="0" borderId="0" xfId="0" applyFont="1" applyAlignment="1" applyProtection="1">
      <alignment horizontal="left" vertical="center"/>
      <protection hidden="1"/>
    </xf>
    <xf numFmtId="0" fontId="34" fillId="0" borderId="10" xfId="0" applyFont="1" applyBorder="1" applyAlignment="1" applyProtection="1">
      <alignment horizontal="right" vertical="center"/>
      <protection hidden="1"/>
    </xf>
    <xf numFmtId="0" fontId="34" fillId="0" borderId="0" xfId="0" quotePrefix="1" applyFont="1" applyAlignment="1" applyProtection="1">
      <alignment horizontal="center"/>
      <protection locked="0" hidden="1"/>
    </xf>
    <xf numFmtId="0" fontId="34" fillId="0" borderId="0" xfId="0" applyFont="1"/>
    <xf numFmtId="0" fontId="34" fillId="0" borderId="0" xfId="0" applyFont="1" applyAlignment="1">
      <alignment horizontal="center"/>
    </xf>
    <xf numFmtId="1" fontId="34" fillId="0" borderId="0" xfId="0" applyNumberFormat="1" applyFont="1" applyAlignment="1" applyProtection="1">
      <alignment horizontal="center"/>
      <protection hidden="1"/>
    </xf>
    <xf numFmtId="0" fontId="0" fillId="63" borderId="0" xfId="0" applyFill="1" applyAlignment="1">
      <alignment horizontal="center"/>
    </xf>
    <xf numFmtId="0" fontId="0" fillId="63" borderId="0" xfId="0" applyFill="1"/>
    <xf numFmtId="0" fontId="0" fillId="36" borderId="90" xfId="0" applyFill="1" applyBorder="1" applyAlignment="1">
      <alignment horizontal="center"/>
    </xf>
    <xf numFmtId="0" fontId="0" fillId="34" borderId="90" xfId="0" applyFill="1" applyBorder="1" applyAlignment="1">
      <alignment horizontal="center"/>
    </xf>
    <xf numFmtId="49" fontId="0" fillId="36" borderId="91" xfId="0" applyNumberFormat="1" applyFill="1" applyBorder="1" applyAlignment="1">
      <alignment horizontal="center"/>
    </xf>
    <xf numFmtId="49" fontId="0" fillId="34" borderId="91" xfId="0" applyNumberFormat="1" applyFill="1" applyBorder="1" applyAlignment="1">
      <alignment horizontal="center"/>
    </xf>
    <xf numFmtId="49" fontId="0" fillId="34" borderId="92" xfId="0" applyNumberFormat="1" applyFill="1" applyBorder="1" applyAlignment="1">
      <alignment horizontal="center"/>
    </xf>
    <xf numFmtId="49" fontId="0" fillId="36" borderId="93" xfId="0" applyNumberFormat="1" applyFill="1" applyBorder="1" applyAlignment="1">
      <alignment horizontal="center"/>
    </xf>
    <xf numFmtId="49" fontId="0" fillId="34" borderId="94" xfId="0" applyNumberFormat="1" applyFill="1" applyBorder="1" applyAlignment="1">
      <alignment horizontal="center"/>
    </xf>
    <xf numFmtId="49" fontId="0" fillId="36" borderId="95" xfId="0" applyNumberFormat="1" applyFill="1" applyBorder="1" applyAlignment="1">
      <alignment horizontal="center"/>
    </xf>
    <xf numFmtId="0" fontId="0" fillId="0" borderId="51" xfId="0" applyBorder="1"/>
    <xf numFmtId="0" fontId="0" fillId="64" borderId="0" xfId="0" applyFill="1"/>
    <xf numFmtId="0" fontId="0" fillId="64" borderId="0" xfId="0" applyFill="1" applyAlignment="1">
      <alignment horizontal="center"/>
    </xf>
    <xf numFmtId="49" fontId="0" fillId="64" borderId="0" xfId="0" applyNumberFormat="1" applyFill="1" applyAlignment="1">
      <alignment horizontal="center"/>
    </xf>
    <xf numFmtId="1" fontId="0" fillId="56" borderId="32" xfId="0" applyNumberFormat="1" applyFill="1" applyBorder="1" applyAlignment="1">
      <alignment horizontal="center"/>
    </xf>
    <xf numFmtId="1" fontId="0" fillId="56" borderId="32" xfId="0" applyNumberFormat="1" applyFill="1" applyBorder="1" applyAlignment="1" applyProtection="1">
      <alignment horizontal="center"/>
      <protection locked="0"/>
    </xf>
    <xf numFmtId="2" fontId="0" fillId="33" borderId="0" xfId="0" applyNumberFormat="1" applyFill="1" applyAlignment="1">
      <alignment horizontal="center"/>
    </xf>
    <xf numFmtId="0" fontId="0" fillId="56" borderId="102" xfId="0" applyFill="1" applyBorder="1" applyAlignment="1" applyProtection="1">
      <alignment horizontal="center"/>
      <protection locked="0"/>
    </xf>
    <xf numFmtId="0" fontId="0" fillId="56" borderId="32" xfId="0" applyFill="1" applyBorder="1" applyAlignment="1" applyProtection="1">
      <alignment horizontal="center"/>
      <protection hidden="1"/>
    </xf>
    <xf numFmtId="0" fontId="0" fillId="56" borderId="103" xfId="0" applyFill="1" applyBorder="1" applyAlignment="1" applyProtection="1">
      <alignment horizontal="center"/>
      <protection locked="0"/>
    </xf>
    <xf numFmtId="0" fontId="0" fillId="34" borderId="102" xfId="0" applyFill="1" applyBorder="1" applyAlignment="1" applyProtection="1">
      <alignment horizontal="center"/>
      <protection locked="0"/>
    </xf>
    <xf numFmtId="0" fontId="0" fillId="34" borderId="32" xfId="0" applyFill="1" applyBorder="1" applyAlignment="1" applyProtection="1">
      <alignment horizontal="center"/>
      <protection hidden="1"/>
    </xf>
    <xf numFmtId="0" fontId="0" fillId="34" borderId="103" xfId="0" applyFill="1" applyBorder="1" applyAlignment="1" applyProtection="1">
      <alignment horizontal="center"/>
      <protection locked="0"/>
    </xf>
    <xf numFmtId="0" fontId="0" fillId="59" borderId="96" xfId="0" applyFill="1" applyBorder="1" applyAlignment="1" applyProtection="1">
      <alignment horizontal="center"/>
      <protection locked="0" hidden="1"/>
    </xf>
    <xf numFmtId="0" fontId="0" fillId="59" borderId="97" xfId="0" applyFill="1" applyBorder="1" applyAlignment="1" applyProtection="1">
      <alignment horizontal="center"/>
      <protection locked="0" hidden="1"/>
    </xf>
    <xf numFmtId="0" fontId="0" fillId="40" borderId="97" xfId="0" applyFill="1" applyBorder="1" applyAlignment="1" applyProtection="1">
      <alignment horizontal="center"/>
      <protection locked="0" hidden="1"/>
    </xf>
    <xf numFmtId="0" fontId="0" fillId="40" borderId="98" xfId="0" applyFill="1" applyBorder="1" applyAlignment="1" applyProtection="1">
      <alignment horizontal="center"/>
      <protection locked="0" hidden="1"/>
    </xf>
    <xf numFmtId="0" fontId="13" fillId="43" borderId="20" xfId="0" applyFont="1" applyFill="1" applyBorder="1" applyAlignment="1">
      <alignment horizontal="center"/>
    </xf>
    <xf numFmtId="0" fontId="0" fillId="36" borderId="104" xfId="0" applyFill="1" applyBorder="1" applyAlignment="1">
      <alignment horizontal="center"/>
    </xf>
    <xf numFmtId="0" fontId="0" fillId="34" borderId="105" xfId="0" applyFill="1" applyBorder="1" applyAlignment="1">
      <alignment horizontal="center"/>
    </xf>
    <xf numFmtId="0" fontId="0" fillId="34" borderId="106" xfId="0" applyFill="1" applyBorder="1" applyAlignment="1">
      <alignment horizontal="center"/>
    </xf>
    <xf numFmtId="0" fontId="0" fillId="36" borderId="105" xfId="0" applyFill="1" applyBorder="1" applyAlignment="1">
      <alignment horizontal="center"/>
    </xf>
    <xf numFmtId="1" fontId="0" fillId="44" borderId="0" xfId="0" applyNumberFormat="1" applyFill="1" applyProtection="1">
      <protection hidden="1"/>
    </xf>
    <xf numFmtId="2" fontId="17" fillId="57" borderId="0" xfId="0" applyNumberFormat="1" applyFont="1" applyFill="1" applyAlignment="1">
      <alignment vertical="center" wrapText="1" shrinkToFit="1"/>
    </xf>
    <xf numFmtId="0" fontId="0" fillId="0" borderId="0" xfId="0" applyAlignment="1" applyProtection="1">
      <alignment horizontal="left"/>
      <protection locked="0"/>
    </xf>
    <xf numFmtId="2" fontId="32" fillId="0" borderId="0" xfId="0" applyNumberFormat="1" applyFont="1" applyAlignment="1" applyProtection="1">
      <alignment horizontal="center" vertical="center"/>
      <protection locked="0"/>
    </xf>
    <xf numFmtId="2" fontId="0" fillId="0" borderId="0" xfId="0" applyNumberFormat="1" applyProtection="1">
      <protection locked="0"/>
    </xf>
    <xf numFmtId="0" fontId="32" fillId="0" borderId="0" xfId="0" applyFont="1" applyAlignment="1" applyProtection="1">
      <alignment horizontal="center" vertical="center"/>
      <protection locked="0"/>
    </xf>
    <xf numFmtId="0" fontId="0" fillId="49" borderId="13" xfId="0" applyFill="1" applyBorder="1" applyAlignment="1" applyProtection="1">
      <alignment horizontal="center" shrinkToFit="1"/>
      <protection locked="0" hidden="1"/>
    </xf>
    <xf numFmtId="0" fontId="0" fillId="34" borderId="33" xfId="0" applyFill="1" applyBorder="1" applyAlignment="1" applyProtection="1">
      <alignment horizontal="center" shrinkToFit="1"/>
      <protection locked="0" hidden="1"/>
    </xf>
    <xf numFmtId="0" fontId="0" fillId="35" borderId="33" xfId="0" applyFill="1" applyBorder="1" applyAlignment="1" applyProtection="1">
      <alignment horizontal="center" shrinkToFit="1"/>
      <protection locked="0" hidden="1"/>
    </xf>
    <xf numFmtId="0" fontId="0" fillId="34" borderId="36" xfId="0" applyFill="1" applyBorder="1" applyAlignment="1" applyProtection="1">
      <alignment horizontal="center" vertical="center" shrinkToFit="1"/>
      <protection locked="0" hidden="1"/>
    </xf>
    <xf numFmtId="0" fontId="0" fillId="35" borderId="36" xfId="0" applyFill="1" applyBorder="1" applyAlignment="1" applyProtection="1">
      <alignment horizontal="center" vertical="center" shrinkToFit="1"/>
      <protection locked="0" hidden="1"/>
    </xf>
    <xf numFmtId="0" fontId="0" fillId="34" borderId="34" xfId="0" applyFill="1" applyBorder="1" applyAlignment="1" applyProtection="1">
      <alignment horizontal="center" shrinkToFit="1"/>
      <protection locked="0" hidden="1"/>
    </xf>
    <xf numFmtId="0" fontId="0" fillId="59" borderId="108" xfId="0" applyFill="1" applyBorder="1" applyAlignment="1" applyProtection="1">
      <alignment horizontal="center"/>
      <protection locked="0"/>
    </xf>
    <xf numFmtId="0" fontId="0" fillId="40" borderId="107" xfId="0" applyFill="1" applyBorder="1" applyAlignment="1" applyProtection="1">
      <alignment horizontal="center"/>
      <protection locked="0"/>
    </xf>
    <xf numFmtId="0" fontId="0" fillId="59" borderId="107" xfId="0" applyFill="1" applyBorder="1" applyAlignment="1" applyProtection="1">
      <alignment horizontal="center"/>
      <protection locked="0"/>
    </xf>
    <xf numFmtId="2" fontId="0" fillId="34" borderId="81" xfId="0" applyNumberFormat="1" applyFill="1" applyBorder="1" applyAlignment="1">
      <alignment horizontal="center"/>
    </xf>
    <xf numFmtId="2" fontId="0" fillId="34" borderId="31" xfId="0" applyNumberFormat="1" applyFill="1" applyBorder="1" applyAlignment="1" applyProtection="1">
      <alignment horizontal="center"/>
      <protection locked="0"/>
    </xf>
    <xf numFmtId="2" fontId="0" fillId="56" borderId="109" xfId="0" applyNumberFormat="1" applyFill="1" applyBorder="1" applyAlignment="1">
      <alignment horizontal="center"/>
    </xf>
    <xf numFmtId="2" fontId="0" fillId="34" borderId="11" xfId="0" applyNumberFormat="1" applyFill="1" applyBorder="1" applyAlignment="1">
      <alignment horizontal="center"/>
    </xf>
    <xf numFmtId="0" fontId="0" fillId="36" borderId="110" xfId="0" applyFill="1" applyBorder="1" applyAlignment="1" applyProtection="1">
      <alignment horizontal="center"/>
      <protection locked="0"/>
    </xf>
    <xf numFmtId="0" fontId="0" fillId="0" borderId="0" xfId="0" applyAlignment="1" applyProtection="1">
      <alignment horizontal="center"/>
      <protection hidden="1"/>
    </xf>
    <xf numFmtId="0" fontId="0" fillId="38" borderId="0" xfId="0" applyFill="1" applyProtection="1">
      <protection hidden="1"/>
    </xf>
    <xf numFmtId="1" fontId="16" fillId="0" borderId="0" xfId="0" applyNumberFormat="1" applyFont="1" applyProtection="1">
      <protection hidden="1"/>
    </xf>
    <xf numFmtId="1" fontId="0" fillId="57" borderId="0" xfId="0" applyNumberFormat="1" applyFill="1" applyAlignment="1" applyProtection="1">
      <alignment horizontal="center"/>
      <protection locked="0" hidden="1"/>
    </xf>
    <xf numFmtId="0" fontId="0" fillId="59" borderId="111" xfId="0" applyFill="1" applyBorder="1" applyAlignment="1" applyProtection="1">
      <alignment horizontal="center"/>
      <protection locked="0" hidden="1"/>
    </xf>
    <xf numFmtId="49" fontId="0" fillId="36" borderId="112" xfId="0" applyNumberFormat="1" applyFill="1" applyBorder="1" applyAlignment="1">
      <alignment horizontal="center"/>
    </xf>
    <xf numFmtId="0" fontId="0" fillId="40" borderId="113" xfId="0" applyFill="1" applyBorder="1" applyAlignment="1" applyProtection="1">
      <alignment horizontal="center"/>
      <protection locked="0" hidden="1"/>
    </xf>
    <xf numFmtId="0" fontId="0" fillId="59" borderId="113" xfId="0" applyFill="1" applyBorder="1" applyAlignment="1" applyProtection="1">
      <alignment horizontal="center"/>
      <protection locked="0" hidden="1"/>
    </xf>
    <xf numFmtId="0" fontId="0" fillId="40" borderId="114" xfId="0" applyFill="1" applyBorder="1" applyAlignment="1" applyProtection="1">
      <alignment horizontal="center"/>
      <protection locked="0" hidden="1"/>
    </xf>
    <xf numFmtId="49" fontId="0" fillId="34" borderId="115" xfId="0" applyNumberFormat="1" applyFill="1" applyBorder="1" applyAlignment="1">
      <alignment horizontal="center"/>
    </xf>
    <xf numFmtId="49" fontId="0" fillId="36" borderId="13" xfId="0" applyNumberFormat="1" applyFill="1" applyBorder="1" applyAlignment="1">
      <alignment horizontal="center"/>
    </xf>
    <xf numFmtId="49" fontId="0" fillId="34" borderId="0" xfId="0" applyNumberFormat="1" applyFill="1" applyAlignment="1">
      <alignment horizontal="center"/>
    </xf>
    <xf numFmtId="49" fontId="0" fillId="36" borderId="0" xfId="0" applyNumberFormat="1" applyFill="1" applyAlignment="1">
      <alignment horizontal="center"/>
    </xf>
    <xf numFmtId="49" fontId="0" fillId="34" borderId="18" xfId="0" applyNumberFormat="1" applyFill="1" applyBorder="1" applyAlignment="1">
      <alignment horizontal="center"/>
    </xf>
    <xf numFmtId="49" fontId="0" fillId="63" borderId="0" xfId="0" applyNumberFormat="1" applyFill="1" applyAlignment="1">
      <alignment horizontal="center"/>
    </xf>
    <xf numFmtId="0" fontId="0" fillId="33" borderId="17" xfId="0" applyFill="1" applyBorder="1" applyAlignment="1" applyProtection="1">
      <alignment horizontal="center"/>
      <protection hidden="1"/>
    </xf>
    <xf numFmtId="0" fontId="18" fillId="33" borderId="19" xfId="0" applyFont="1" applyFill="1" applyBorder="1" applyAlignment="1" applyProtection="1">
      <alignment vertical="top"/>
      <protection hidden="1"/>
    </xf>
    <xf numFmtId="0" fontId="0" fillId="62" borderId="0" xfId="0" applyFill="1" applyAlignment="1">
      <alignment shrinkToFit="1"/>
    </xf>
    <xf numFmtId="49" fontId="0" fillId="57" borderId="0" xfId="0" applyNumberFormat="1" applyFill="1"/>
    <xf numFmtId="0" fontId="37" fillId="49" borderId="13" xfId="0" applyFont="1" applyFill="1" applyBorder="1" applyAlignment="1">
      <alignment horizontal="center" vertical="center" textRotation="90" shrinkToFit="1"/>
    </xf>
    <xf numFmtId="0" fontId="37" fillId="62" borderId="0" xfId="0" applyFont="1" applyFill="1" applyAlignment="1">
      <alignment vertical="center" textRotation="90" shrinkToFit="1"/>
    </xf>
    <xf numFmtId="0" fontId="18" fillId="35" borderId="0" xfId="0" applyFont="1" applyFill="1" applyAlignment="1" applyProtection="1">
      <alignment horizontal="center" vertical="center"/>
      <protection hidden="1"/>
    </xf>
    <xf numFmtId="0" fontId="32" fillId="0" borderId="0" xfId="0" applyFont="1" applyAlignment="1" applyProtection="1">
      <alignment horizontal="center" vertical="center"/>
      <protection hidden="1"/>
    </xf>
    <xf numFmtId="2" fontId="32" fillId="40" borderId="0" xfId="0" applyNumberFormat="1" applyFont="1" applyFill="1" applyAlignment="1" applyProtection="1">
      <alignment horizontal="center" vertical="center"/>
      <protection hidden="1"/>
    </xf>
    <xf numFmtId="0" fontId="20" fillId="60" borderId="0" xfId="0" applyFont="1" applyFill="1" applyAlignment="1" applyProtection="1">
      <alignment horizontal="center" vertical="center"/>
      <protection hidden="1"/>
    </xf>
    <xf numFmtId="2" fontId="20" fillId="0" borderId="0" xfId="0" applyNumberFormat="1" applyFont="1" applyAlignment="1" applyProtection="1">
      <alignment horizontal="center" vertical="center"/>
      <protection hidden="1"/>
    </xf>
    <xf numFmtId="0" fontId="20" fillId="0" borderId="0" xfId="0" applyFont="1" applyAlignment="1" applyProtection="1">
      <alignment horizontal="center" vertical="center"/>
      <protection hidden="1"/>
    </xf>
    <xf numFmtId="0" fontId="20" fillId="35" borderId="0" xfId="0" applyFont="1" applyFill="1" applyAlignment="1" applyProtection="1">
      <alignment horizontal="center" vertical="center"/>
      <protection hidden="1"/>
    </xf>
    <xf numFmtId="0" fontId="0" fillId="0" borderId="0" xfId="0" applyAlignment="1" applyProtection="1">
      <alignment horizontal="left"/>
      <protection hidden="1"/>
    </xf>
    <xf numFmtId="2" fontId="18" fillId="40" borderId="0" xfId="0" applyNumberFormat="1" applyFont="1" applyFill="1" applyAlignment="1" applyProtection="1">
      <alignment horizontal="center" vertical="center"/>
      <protection hidden="1"/>
    </xf>
    <xf numFmtId="2" fontId="18" fillId="61" borderId="0" xfId="0" applyNumberFormat="1" applyFont="1" applyFill="1" applyAlignment="1" applyProtection="1">
      <alignment horizontal="center" vertical="center"/>
      <protection hidden="1"/>
    </xf>
    <xf numFmtId="0" fontId="18" fillId="40" borderId="0" xfId="0" applyFont="1" applyFill="1" applyAlignment="1" applyProtection="1">
      <alignment horizontal="center" vertical="center"/>
      <protection hidden="1"/>
    </xf>
    <xf numFmtId="0" fontId="20" fillId="0" borderId="0" xfId="0" applyFont="1" applyAlignment="1" applyProtection="1">
      <alignment horizontal="center"/>
      <protection hidden="1"/>
    </xf>
    <xf numFmtId="0" fontId="18" fillId="35" borderId="0" xfId="0" applyFont="1" applyFill="1" applyAlignment="1" applyProtection="1">
      <alignment horizontal="center"/>
      <protection hidden="1"/>
    </xf>
    <xf numFmtId="2" fontId="18" fillId="60" borderId="0" xfId="0" applyNumberFormat="1" applyFont="1" applyFill="1" applyAlignment="1" applyProtection="1">
      <alignment horizontal="center"/>
      <protection hidden="1"/>
    </xf>
    <xf numFmtId="2" fontId="18" fillId="0" borderId="0" xfId="0" applyNumberFormat="1" applyFont="1" applyAlignment="1" applyProtection="1">
      <alignment horizontal="center"/>
      <protection hidden="1"/>
    </xf>
    <xf numFmtId="2" fontId="18" fillId="61" borderId="0" xfId="0" applyNumberFormat="1" applyFont="1" applyFill="1" applyAlignment="1" applyProtection="1">
      <alignment horizontal="center"/>
      <protection hidden="1"/>
    </xf>
    <xf numFmtId="2" fontId="20" fillId="0" borderId="0" xfId="0" applyNumberFormat="1" applyFont="1" applyAlignment="1" applyProtection="1">
      <alignment horizontal="center"/>
      <protection hidden="1"/>
    </xf>
    <xf numFmtId="1" fontId="20" fillId="0" borderId="0" xfId="0" applyNumberFormat="1" applyFont="1" applyAlignment="1" applyProtection="1">
      <alignment horizontal="center"/>
      <protection hidden="1"/>
    </xf>
    <xf numFmtId="2" fontId="18" fillId="40" borderId="0" xfId="0" applyNumberFormat="1" applyFont="1" applyFill="1" applyAlignment="1" applyProtection="1">
      <alignment horizontal="center"/>
      <protection hidden="1"/>
    </xf>
    <xf numFmtId="0" fontId="18" fillId="41" borderId="122" xfId="0" applyFont="1" applyFill="1" applyBorder="1" applyAlignment="1" applyProtection="1">
      <alignment horizontal="left"/>
      <protection hidden="1"/>
    </xf>
    <xf numFmtId="0" fontId="18" fillId="41" borderId="123" xfId="0" applyFont="1" applyFill="1" applyBorder="1" applyAlignment="1" applyProtection="1">
      <alignment horizontal="center"/>
      <protection hidden="1"/>
    </xf>
    <xf numFmtId="0" fontId="18" fillId="41" borderId="0" xfId="0" applyFont="1" applyFill="1" applyAlignment="1" applyProtection="1">
      <alignment horizontal="left"/>
      <protection hidden="1"/>
    </xf>
    <xf numFmtId="2" fontId="18" fillId="41" borderId="0" xfId="0" applyNumberFormat="1" applyFont="1" applyFill="1" applyAlignment="1" applyProtection="1">
      <alignment horizontal="center"/>
      <protection hidden="1"/>
    </xf>
    <xf numFmtId="0" fontId="18" fillId="0" borderId="0" xfId="0" applyFont="1" applyAlignment="1" applyProtection="1">
      <alignment horizontal="left"/>
      <protection locked="0" hidden="1"/>
    </xf>
    <xf numFmtId="0" fontId="18" fillId="0" borderId="0" xfId="0" applyFont="1" applyAlignment="1" applyProtection="1">
      <alignment horizontal="center"/>
      <protection locked="0" hidden="1"/>
    </xf>
    <xf numFmtId="2" fontId="31" fillId="40" borderId="0" xfId="0" applyNumberFormat="1" applyFont="1" applyFill="1" applyAlignment="1" applyProtection="1">
      <alignment horizontal="center" vertical="center" wrapText="1"/>
      <protection locked="0" hidden="1"/>
    </xf>
    <xf numFmtId="0" fontId="31" fillId="0" borderId="0" xfId="0" applyFont="1" applyAlignment="1" applyProtection="1">
      <alignment horizontal="left" vertical="center" wrapText="1"/>
      <protection locked="0" hidden="1"/>
    </xf>
    <xf numFmtId="0" fontId="31" fillId="0" borderId="0" xfId="0" applyFont="1" applyAlignment="1" applyProtection="1">
      <alignment horizontal="center" vertical="center" wrapText="1"/>
      <protection locked="0" hidden="1"/>
    </xf>
    <xf numFmtId="0" fontId="0" fillId="0" borderId="0" xfId="0" applyAlignment="1" applyProtection="1">
      <alignment horizontal="left"/>
      <protection locked="0" hidden="1"/>
    </xf>
    <xf numFmtId="0" fontId="0" fillId="0" borderId="0" xfId="0" applyAlignment="1" applyProtection="1">
      <alignment horizontal="center"/>
      <protection locked="0" hidden="1"/>
    </xf>
    <xf numFmtId="0" fontId="0" fillId="0" borderId="0" xfId="0" applyAlignment="1" applyProtection="1">
      <alignment horizontal="center" vertical="center" wrapText="1"/>
      <protection locked="0" hidden="1"/>
    </xf>
    <xf numFmtId="2" fontId="18" fillId="60" borderId="0" xfId="0" applyNumberFormat="1" applyFont="1" applyFill="1" applyAlignment="1" applyProtection="1">
      <alignment horizontal="center"/>
      <protection locked="0" hidden="1"/>
    </xf>
    <xf numFmtId="2" fontId="18" fillId="0" borderId="0" xfId="0" applyNumberFormat="1" applyFont="1" applyAlignment="1" applyProtection="1">
      <alignment horizontal="center"/>
      <protection locked="0" hidden="1"/>
    </xf>
    <xf numFmtId="0" fontId="18" fillId="35" borderId="0" xfId="0" applyFont="1" applyFill="1" applyAlignment="1" applyProtection="1">
      <alignment horizontal="left"/>
      <protection hidden="1"/>
    </xf>
    <xf numFmtId="2" fontId="31" fillId="35" borderId="0" xfId="0" applyNumberFormat="1" applyFont="1" applyFill="1" applyAlignment="1" applyProtection="1">
      <alignment horizontal="center" vertical="center" wrapText="1"/>
      <protection hidden="1"/>
    </xf>
    <xf numFmtId="0" fontId="31" fillId="35" borderId="0" xfId="0" applyFont="1" applyFill="1" applyAlignment="1" applyProtection="1">
      <alignment horizontal="left" vertical="center" wrapText="1"/>
      <protection hidden="1"/>
    </xf>
    <xf numFmtId="0" fontId="31" fillId="35" borderId="0" xfId="0" applyFont="1" applyFill="1" applyAlignment="1" applyProtection="1">
      <alignment horizontal="center" vertical="center" wrapText="1"/>
      <protection hidden="1"/>
    </xf>
    <xf numFmtId="2" fontId="18" fillId="35" borderId="0" xfId="0" applyNumberFormat="1" applyFont="1" applyFill="1" applyAlignment="1" applyProtection="1">
      <alignment horizontal="center"/>
      <protection hidden="1"/>
    </xf>
    <xf numFmtId="0" fontId="18" fillId="35" borderId="0" xfId="0" applyFont="1" applyFill="1" applyAlignment="1" applyProtection="1">
      <alignment horizontal="center"/>
      <protection locked="0" hidden="1"/>
    </xf>
    <xf numFmtId="0" fontId="0" fillId="35" borderId="0" xfId="0" applyFill="1" applyAlignment="1" applyProtection="1">
      <alignment horizontal="center"/>
      <protection locked="0" hidden="1"/>
    </xf>
    <xf numFmtId="2" fontId="31" fillId="35" borderId="0" xfId="0" applyNumberFormat="1" applyFont="1" applyFill="1" applyAlignment="1" applyProtection="1">
      <alignment horizontal="center" vertical="center" wrapText="1"/>
      <protection locked="0" hidden="1"/>
    </xf>
    <xf numFmtId="165" fontId="0" fillId="56" borderId="32" xfId="0" applyNumberFormat="1" applyFill="1" applyBorder="1" applyAlignment="1" applyProtection="1">
      <alignment horizontal="center"/>
      <protection locked="0" hidden="1"/>
    </xf>
    <xf numFmtId="165" fontId="0" fillId="56" borderId="0" xfId="0" applyNumberFormat="1" applyFill="1" applyAlignment="1" applyProtection="1">
      <alignment horizontal="center"/>
      <protection locked="0" hidden="1"/>
    </xf>
    <xf numFmtId="1" fontId="34" fillId="0" borderId="0" xfId="0" applyNumberFormat="1" applyFont="1" applyAlignment="1" applyProtection="1">
      <alignment horizontal="right" vertical="center"/>
      <protection hidden="1"/>
    </xf>
    <xf numFmtId="0" fontId="16" fillId="0" borderId="0" xfId="0" applyFont="1" applyAlignment="1" applyProtection="1">
      <alignment horizontal="center"/>
      <protection hidden="1"/>
    </xf>
    <xf numFmtId="2" fontId="0" fillId="56" borderId="85" xfId="0" applyNumberFormat="1" applyFill="1" applyBorder="1" applyAlignment="1">
      <alignment horizontal="center"/>
    </xf>
    <xf numFmtId="2" fontId="17" fillId="57" borderId="0" xfId="0" applyNumberFormat="1" applyFont="1" applyFill="1" applyAlignment="1">
      <alignment horizontal="center" vertical="center" wrapText="1"/>
    </xf>
    <xf numFmtId="2" fontId="17" fillId="57" borderId="0" xfId="0" applyNumberFormat="1" applyFont="1" applyFill="1" applyAlignment="1">
      <alignment horizontal="center" vertical="center" wrapText="1" shrinkToFit="1"/>
    </xf>
    <xf numFmtId="2" fontId="0" fillId="33" borderId="14" xfId="0" applyNumberFormat="1" applyFill="1" applyBorder="1" applyAlignment="1">
      <alignment horizontal="center"/>
    </xf>
    <xf numFmtId="2" fontId="0" fillId="33" borderId="19" xfId="0" applyNumberFormat="1" applyFill="1" applyBorder="1" applyAlignment="1">
      <alignment horizontal="center"/>
    </xf>
    <xf numFmtId="0" fontId="0" fillId="34" borderId="16" xfId="0" applyFill="1" applyBorder="1" applyAlignment="1" applyProtection="1">
      <alignment horizontal="center"/>
      <protection hidden="1"/>
    </xf>
    <xf numFmtId="0" fontId="0" fillId="34" borderId="19" xfId="0" applyFill="1" applyBorder="1" applyAlignment="1" applyProtection="1">
      <alignment horizontal="center"/>
      <protection hidden="1"/>
    </xf>
    <xf numFmtId="0" fontId="0" fillId="34" borderId="125" xfId="0" applyFill="1" applyBorder="1" applyAlignment="1" applyProtection="1">
      <alignment horizontal="center"/>
      <protection locked="0"/>
    </xf>
    <xf numFmtId="2" fontId="0" fillId="33" borderId="18" xfId="0" applyNumberFormat="1" applyFill="1" applyBorder="1" applyAlignment="1">
      <alignment horizontal="center"/>
    </xf>
    <xf numFmtId="0" fontId="0" fillId="34" borderId="126" xfId="0" applyFill="1" applyBorder="1" applyAlignment="1" applyProtection="1">
      <alignment horizontal="center"/>
      <protection hidden="1"/>
    </xf>
    <xf numFmtId="2" fontId="0" fillId="56" borderId="46" xfId="0" applyNumberFormat="1" applyFill="1" applyBorder="1" applyAlignment="1">
      <alignment horizontal="center"/>
    </xf>
    <xf numFmtId="0" fontId="0" fillId="40" borderId="127" xfId="0" applyFill="1" applyBorder="1" applyAlignment="1" applyProtection="1">
      <alignment horizontal="center"/>
      <protection locked="0"/>
    </xf>
    <xf numFmtId="2" fontId="0" fillId="56" borderId="47" xfId="0" applyNumberFormat="1" applyFill="1" applyBorder="1" applyAlignment="1" applyProtection="1">
      <alignment horizontal="center"/>
      <protection locked="0"/>
    </xf>
    <xf numFmtId="1" fontId="0" fillId="56" borderId="47" xfId="0" applyNumberFormat="1" applyFill="1" applyBorder="1" applyAlignment="1" applyProtection="1">
      <alignment horizontal="center"/>
      <protection locked="0"/>
    </xf>
    <xf numFmtId="0" fontId="0" fillId="34" borderId="128" xfId="0" applyFill="1" applyBorder="1" applyAlignment="1" applyProtection="1">
      <alignment horizontal="center"/>
      <protection hidden="1"/>
    </xf>
    <xf numFmtId="0" fontId="0" fillId="56" borderId="129" xfId="0" applyFill="1" applyBorder="1" applyAlignment="1" applyProtection="1">
      <alignment horizontal="center"/>
      <protection locked="0"/>
    </xf>
    <xf numFmtId="2" fontId="17" fillId="57" borderId="14" xfId="0" applyNumberFormat="1" applyFont="1" applyFill="1" applyBorder="1" applyAlignment="1">
      <alignment horizontal="center" vertical="center" wrapText="1"/>
    </xf>
    <xf numFmtId="2" fontId="17" fillId="57" borderId="16" xfId="0" applyNumberFormat="1" applyFont="1" applyFill="1" applyBorder="1" applyAlignment="1">
      <alignment horizontal="center" vertical="center" wrapText="1"/>
    </xf>
    <xf numFmtId="0" fontId="0" fillId="34" borderId="12" xfId="0" applyFill="1" applyBorder="1" applyAlignment="1">
      <alignment horizontal="center"/>
    </xf>
    <xf numFmtId="0" fontId="0" fillId="59" borderId="130" xfId="0" applyFill="1" applyBorder="1" applyAlignment="1" applyProtection="1">
      <alignment horizontal="center"/>
      <protection locked="0"/>
    </xf>
    <xf numFmtId="0" fontId="0" fillId="34" borderId="131" xfId="0" applyFill="1" applyBorder="1" applyAlignment="1" applyProtection="1">
      <alignment horizontal="center"/>
      <protection locked="0"/>
    </xf>
    <xf numFmtId="0" fontId="0" fillId="34" borderId="71" xfId="0" applyFill="1" applyBorder="1" applyAlignment="1" applyProtection="1">
      <alignment horizontal="center"/>
      <protection hidden="1"/>
    </xf>
    <xf numFmtId="0" fontId="0" fillId="34" borderId="132" xfId="0" applyFill="1" applyBorder="1" applyAlignment="1" applyProtection="1">
      <alignment horizontal="center"/>
      <protection locked="0"/>
    </xf>
    <xf numFmtId="0" fontId="0" fillId="34" borderId="14" xfId="0" applyFill="1" applyBorder="1" applyAlignment="1" applyProtection="1">
      <alignment horizontal="center"/>
      <protection hidden="1"/>
    </xf>
    <xf numFmtId="0" fontId="0" fillId="56" borderId="133" xfId="0" applyFill="1" applyBorder="1" applyAlignment="1" applyProtection="1">
      <alignment horizontal="center"/>
      <protection locked="0"/>
    </xf>
    <xf numFmtId="0" fontId="0" fillId="56" borderId="47" xfId="0" applyFill="1" applyBorder="1" applyAlignment="1" applyProtection="1">
      <alignment horizontal="center"/>
      <protection hidden="1"/>
    </xf>
    <xf numFmtId="0" fontId="37" fillId="49" borderId="0" xfId="0" applyFont="1" applyFill="1" applyAlignment="1">
      <alignment horizontal="center" vertical="center" textRotation="90" wrapText="1" shrinkToFit="1"/>
    </xf>
    <xf numFmtId="0" fontId="33" fillId="35" borderId="12" xfId="0" applyFont="1" applyFill="1" applyBorder="1" applyAlignment="1" applyProtection="1">
      <alignment horizontal="center" vertical="center" wrapText="1" shrinkToFit="1"/>
      <protection hidden="1"/>
    </xf>
    <xf numFmtId="0" fontId="33" fillId="34" borderId="12" xfId="0" applyFont="1" applyFill="1" applyBorder="1" applyAlignment="1" applyProtection="1">
      <alignment horizontal="center" vertical="center" wrapText="1" shrinkToFit="1"/>
      <protection hidden="1"/>
    </xf>
    <xf numFmtId="0" fontId="33" fillId="34" borderId="33" xfId="0" applyFont="1" applyFill="1" applyBorder="1" applyAlignment="1" applyProtection="1">
      <alignment horizontal="center" vertical="center" wrapText="1" shrinkToFit="1"/>
      <protection hidden="1"/>
    </xf>
    <xf numFmtId="0" fontId="0" fillId="62" borderId="0" xfId="0" applyFill="1" applyAlignment="1">
      <alignment wrapText="1" shrinkToFit="1"/>
    </xf>
    <xf numFmtId="3" fontId="0" fillId="0" borderId="0" xfId="0" applyNumberFormat="1"/>
    <xf numFmtId="3" fontId="0" fillId="0" borderId="0" xfId="0" applyNumberFormat="1" applyAlignment="1" applyProtection="1">
      <alignment horizontal="center"/>
      <protection locked="0" hidden="1"/>
    </xf>
    <xf numFmtId="0" fontId="18" fillId="35" borderId="0" xfId="0" applyFont="1" applyFill="1" applyAlignment="1" applyProtection="1">
      <alignment horizontal="left"/>
      <protection locked="0" hidden="1"/>
    </xf>
    <xf numFmtId="0" fontId="31" fillId="35" borderId="0" xfId="0" applyFont="1" applyFill="1" applyAlignment="1" applyProtection="1">
      <alignment horizontal="left" vertical="center" wrapText="1"/>
      <protection locked="0" hidden="1"/>
    </xf>
    <xf numFmtId="0" fontId="31" fillId="35" borderId="0" xfId="0" applyFont="1" applyFill="1" applyAlignment="1" applyProtection="1">
      <alignment horizontal="center" vertical="center" wrapText="1"/>
      <protection locked="0" hidden="1"/>
    </xf>
    <xf numFmtId="3" fontId="0" fillId="0" borderId="0" xfId="0" applyNumberFormat="1" applyAlignment="1" applyProtection="1">
      <alignment horizontal="center" vertical="center" wrapText="1"/>
      <protection locked="0" hidden="1"/>
    </xf>
    <xf numFmtId="0" fontId="0" fillId="35" borderId="0" xfId="0" applyFill="1" applyAlignment="1" applyProtection="1">
      <alignment horizontal="left"/>
      <protection locked="0" hidden="1"/>
    </xf>
    <xf numFmtId="0" fontId="0" fillId="35" borderId="0" xfId="0" applyFill="1" applyAlignment="1" applyProtection="1">
      <alignment horizontal="center"/>
      <protection hidden="1"/>
    </xf>
    <xf numFmtId="1" fontId="18" fillId="0" borderId="0" xfId="0" applyNumberFormat="1" applyFont="1" applyAlignment="1" applyProtection="1">
      <alignment horizontal="center" vertical="center"/>
      <protection hidden="1"/>
    </xf>
    <xf numFmtId="1" fontId="0" fillId="57" borderId="0" xfId="0" applyNumberFormat="1" applyFill="1" applyAlignment="1">
      <alignment horizontal="center"/>
    </xf>
    <xf numFmtId="1" fontId="0" fillId="0" borderId="0" xfId="0" applyNumberFormat="1"/>
    <xf numFmtId="1" fontId="0" fillId="34" borderId="31" xfId="0" applyNumberFormat="1" applyFill="1" applyBorder="1" applyAlignment="1" applyProtection="1">
      <alignment horizontal="center"/>
      <protection locked="0"/>
    </xf>
    <xf numFmtId="2" fontId="0" fillId="0" borderId="0" xfId="0" applyNumberFormat="1"/>
    <xf numFmtId="1" fontId="0" fillId="34" borderId="0" xfId="0" applyNumberFormat="1" applyFill="1" applyAlignment="1" applyProtection="1">
      <alignment horizontal="center"/>
      <protection locked="0" hidden="1"/>
    </xf>
    <xf numFmtId="1" fontId="0" fillId="56" borderId="47" xfId="0" applyNumberFormat="1" applyFill="1" applyBorder="1" applyAlignment="1" applyProtection="1">
      <alignment horizontal="center"/>
      <protection locked="0" hidden="1"/>
    </xf>
    <xf numFmtId="1" fontId="0" fillId="34" borderId="71" xfId="0" applyNumberFormat="1" applyFill="1" applyBorder="1" applyAlignment="1" applyProtection="1">
      <alignment horizontal="center"/>
      <protection locked="0" hidden="1"/>
    </xf>
    <xf numFmtId="1" fontId="0" fillId="34" borderId="32" xfId="0" applyNumberFormat="1" applyFill="1" applyBorder="1" applyAlignment="1" applyProtection="1">
      <alignment horizontal="center"/>
      <protection locked="0" hidden="1"/>
    </xf>
    <xf numFmtId="0" fontId="29" fillId="51" borderId="68" xfId="0" applyFont="1" applyFill="1" applyBorder="1" applyAlignment="1">
      <alignment horizontal="left"/>
    </xf>
    <xf numFmtId="0" fontId="0" fillId="36" borderId="0" xfId="0" applyFill="1" applyAlignment="1">
      <alignment horizontal="right"/>
    </xf>
    <xf numFmtId="0" fontId="0" fillId="36" borderId="0" xfId="0" applyFill="1"/>
    <xf numFmtId="165" fontId="0" fillId="0" borderId="0" xfId="0" applyNumberFormat="1"/>
    <xf numFmtId="165" fontId="34" fillId="0" borderId="0" xfId="0" quotePrefix="1" applyNumberFormat="1" applyFont="1" applyAlignment="1" applyProtection="1">
      <alignment horizontal="center"/>
      <protection locked="0" hidden="1"/>
    </xf>
    <xf numFmtId="1" fontId="0" fillId="0" borderId="0" xfId="0" applyNumberFormat="1" applyAlignment="1">
      <alignment horizontal="center" vertical="center"/>
    </xf>
    <xf numFmtId="0" fontId="0" fillId="0" borderId="13" xfId="0" applyBorder="1"/>
    <xf numFmtId="0" fontId="34" fillId="65" borderId="22" xfId="0" applyFont="1" applyFill="1" applyBorder="1" applyAlignment="1" applyProtection="1">
      <alignment horizontal="center" vertical="center"/>
      <protection hidden="1"/>
    </xf>
    <xf numFmtId="0" fontId="34" fillId="66" borderId="22" xfId="0" applyFont="1" applyFill="1" applyBorder="1" applyAlignment="1" applyProtection="1">
      <alignment horizontal="center" vertical="center"/>
      <protection hidden="1"/>
    </xf>
    <xf numFmtId="0" fontId="0" fillId="0" borderId="18" xfId="0" applyBorder="1"/>
    <xf numFmtId="0" fontId="13" fillId="43" borderId="43" xfId="0" applyFont="1" applyFill="1" applyBorder="1" applyAlignment="1">
      <alignment horizontal="center"/>
    </xf>
    <xf numFmtId="0" fontId="0" fillId="36" borderId="136" xfId="0" applyFill="1" applyBorder="1" applyAlignment="1">
      <alignment horizontal="center"/>
    </xf>
    <xf numFmtId="0" fontId="0" fillId="34" borderId="137" xfId="0" applyFill="1" applyBorder="1" applyAlignment="1">
      <alignment horizontal="center"/>
    </xf>
    <xf numFmtId="0" fontId="0" fillId="36" borderId="137" xfId="0" applyFill="1" applyBorder="1" applyAlignment="1">
      <alignment horizontal="center"/>
    </xf>
    <xf numFmtId="0" fontId="13" fillId="43" borderId="139" xfId="0" applyFont="1" applyFill="1" applyBorder="1" applyAlignment="1">
      <alignment horizontal="center"/>
    </xf>
    <xf numFmtId="0" fontId="0" fillId="36" borderId="105" xfId="0" applyFill="1" applyBorder="1" applyAlignment="1" applyProtection="1">
      <alignment horizontal="center"/>
      <protection locked="0"/>
    </xf>
    <xf numFmtId="0" fontId="0" fillId="34" borderId="105" xfId="0" applyFill="1" applyBorder="1" applyAlignment="1" applyProtection="1">
      <alignment horizontal="center"/>
      <protection locked="0"/>
    </xf>
    <xf numFmtId="0" fontId="0" fillId="34" borderId="106" xfId="0" applyFill="1" applyBorder="1" applyAlignment="1" applyProtection="1">
      <alignment horizontal="center"/>
      <protection locked="0"/>
    </xf>
    <xf numFmtId="0" fontId="0" fillId="38" borderId="12" xfId="0" applyFill="1" applyBorder="1" applyAlignment="1" applyProtection="1">
      <alignment horizontal="center"/>
      <protection hidden="1"/>
    </xf>
    <xf numFmtId="0" fontId="0" fillId="40" borderId="140" xfId="0" applyFill="1" applyBorder="1" applyAlignment="1" applyProtection="1">
      <alignment horizontal="center"/>
      <protection locked="0" hidden="1"/>
    </xf>
    <xf numFmtId="165" fontId="0" fillId="56" borderId="77" xfId="0" applyNumberFormat="1" applyFill="1" applyBorder="1" applyAlignment="1" applyProtection="1">
      <alignment horizontal="center"/>
      <protection locked="0" hidden="1"/>
    </xf>
    <xf numFmtId="165" fontId="0" fillId="56" borderId="16" xfId="0" applyNumberFormat="1" applyFill="1" applyBorder="1" applyAlignment="1" applyProtection="1">
      <alignment horizontal="center"/>
      <protection locked="0" hidden="1"/>
    </xf>
    <xf numFmtId="0" fontId="0" fillId="40" borderId="141" xfId="0" applyFill="1" applyBorder="1" applyAlignment="1" applyProtection="1">
      <alignment horizontal="center"/>
      <protection locked="0" hidden="1"/>
    </xf>
    <xf numFmtId="165" fontId="0" fillId="56" borderId="18" xfId="0" applyNumberFormat="1" applyFill="1" applyBorder="1" applyAlignment="1" applyProtection="1">
      <alignment horizontal="center"/>
      <protection locked="0" hidden="1"/>
    </xf>
    <xf numFmtId="165" fontId="0" fillId="56" borderId="19" xfId="0" applyNumberFormat="1" applyFill="1" applyBorder="1" applyAlignment="1" applyProtection="1">
      <alignment horizontal="center"/>
      <protection locked="0" hidden="1"/>
    </xf>
    <xf numFmtId="0" fontId="0" fillId="36" borderId="71" xfId="0" applyFill="1" applyBorder="1" applyAlignment="1" applyProtection="1">
      <alignment horizontal="center"/>
      <protection hidden="1"/>
    </xf>
    <xf numFmtId="0" fontId="0" fillId="36" borderId="42" xfId="0" applyFill="1" applyBorder="1" applyAlignment="1" applyProtection="1">
      <alignment horizontal="center"/>
      <protection hidden="1"/>
    </xf>
    <xf numFmtId="0" fontId="0" fillId="36" borderId="18" xfId="0" applyFill="1" applyBorder="1" applyAlignment="1" applyProtection="1">
      <alignment horizontal="center"/>
      <protection hidden="1"/>
    </xf>
    <xf numFmtId="0" fontId="34" fillId="0" borderId="0" xfId="0" applyFont="1" applyAlignment="1" applyProtection="1">
      <alignment vertical="center"/>
      <protection hidden="1"/>
    </xf>
    <xf numFmtId="165" fontId="0" fillId="36" borderId="0" xfId="0" applyNumberFormat="1" applyFill="1" applyAlignment="1" applyProtection="1">
      <alignment horizontal="center" vertical="center" shrinkToFit="1"/>
      <protection hidden="1"/>
    </xf>
    <xf numFmtId="0" fontId="0" fillId="0" borderId="0" xfId="0" applyAlignment="1" applyProtection="1">
      <alignment shrinkToFit="1"/>
      <protection hidden="1"/>
    </xf>
    <xf numFmtId="165" fontId="0" fillId="34" borderId="0" xfId="0" applyNumberFormat="1" applyFill="1" applyAlignment="1" applyProtection="1">
      <alignment horizontal="center" vertical="center" shrinkToFit="1"/>
      <protection hidden="1"/>
    </xf>
    <xf numFmtId="0" fontId="41" fillId="0" borderId="0" xfId="0" applyFont="1" applyAlignment="1" applyProtection="1">
      <alignment horizontal="center" vertical="center"/>
      <protection hidden="1"/>
    </xf>
    <xf numFmtId="0" fontId="0" fillId="48" borderId="0" xfId="0" applyFill="1" applyProtection="1">
      <protection locked="0" hidden="1"/>
    </xf>
    <xf numFmtId="0" fontId="47" fillId="69" borderId="15" xfId="0" applyFont="1" applyFill="1" applyBorder="1" applyAlignment="1" applyProtection="1">
      <alignment horizontal="center" vertical="center" shrinkToFit="1"/>
      <protection hidden="1"/>
    </xf>
    <xf numFmtId="0" fontId="47" fillId="68" borderId="12" xfId="0" applyFont="1" applyFill="1" applyBorder="1" applyAlignment="1" applyProtection="1">
      <alignment horizontal="center" vertical="center" wrapText="1" shrinkToFit="1"/>
      <protection hidden="1"/>
    </xf>
    <xf numFmtId="0" fontId="48" fillId="68" borderId="13" xfId="0" applyFont="1" applyFill="1" applyBorder="1" applyAlignment="1" applyProtection="1">
      <alignment horizontal="center" vertical="center" wrapText="1" shrinkToFit="1"/>
      <protection hidden="1"/>
    </xf>
    <xf numFmtId="0" fontId="48" fillId="69" borderId="0" xfId="0" applyFont="1" applyFill="1" applyAlignment="1" applyProtection="1">
      <alignment horizontal="center" vertical="center" shrinkToFit="1"/>
      <protection hidden="1"/>
    </xf>
    <xf numFmtId="0" fontId="47" fillId="68" borderId="15" xfId="0" applyFont="1" applyFill="1" applyBorder="1" applyAlignment="1" applyProtection="1">
      <alignment horizontal="center" vertical="center" wrapText="1" shrinkToFit="1"/>
      <protection hidden="1"/>
    </xf>
    <xf numFmtId="0" fontId="48" fillId="68" borderId="0" xfId="0" applyFont="1" applyFill="1" applyAlignment="1" applyProtection="1">
      <alignment horizontal="center" vertical="center" wrapText="1" shrinkToFit="1"/>
      <protection hidden="1"/>
    </xf>
    <xf numFmtId="0" fontId="47" fillId="68" borderId="17" xfId="0" applyFont="1" applyFill="1" applyBorder="1" applyAlignment="1" applyProtection="1">
      <alignment horizontal="center" vertical="center" wrapText="1" shrinkToFit="1"/>
      <protection hidden="1"/>
    </xf>
    <xf numFmtId="0" fontId="48" fillId="68" borderId="18" xfId="0" applyFont="1" applyFill="1" applyBorder="1" applyAlignment="1" applyProtection="1">
      <alignment horizontal="center" vertical="center" wrapText="1" shrinkToFit="1"/>
      <protection hidden="1"/>
    </xf>
    <xf numFmtId="0" fontId="45" fillId="68" borderId="14" xfId="0" applyFont="1" applyFill="1" applyBorder="1" applyAlignment="1" applyProtection="1">
      <alignment horizontal="left" vertical="center" wrapText="1" shrinkToFit="1"/>
      <protection hidden="1"/>
    </xf>
    <xf numFmtId="0" fontId="45" fillId="69" borderId="16" xfId="0" applyFont="1" applyFill="1" applyBorder="1" applyAlignment="1" applyProtection="1">
      <alignment horizontal="left" vertical="center" shrinkToFit="1"/>
      <protection hidden="1"/>
    </xf>
    <xf numFmtId="0" fontId="45" fillId="68" borderId="16" xfId="0" applyFont="1" applyFill="1" applyBorder="1" applyAlignment="1" applyProtection="1">
      <alignment horizontal="left" vertical="center" wrapText="1" shrinkToFit="1"/>
      <protection hidden="1"/>
    </xf>
    <xf numFmtId="0" fontId="45" fillId="68" borderId="19" xfId="0" applyFont="1" applyFill="1" applyBorder="1" applyAlignment="1" applyProtection="1">
      <alignment horizontal="left" vertical="center" wrapText="1" shrinkToFit="1"/>
      <protection hidden="1"/>
    </xf>
    <xf numFmtId="2" fontId="50" fillId="0" borderId="0" xfId="0" applyNumberFormat="1" applyFont="1" applyAlignment="1" applyProtection="1">
      <alignment horizontal="center"/>
      <protection hidden="1"/>
    </xf>
    <xf numFmtId="0" fontId="0" fillId="0" borderId="0" xfId="0" applyAlignment="1" applyProtection="1">
      <alignment vertical="center"/>
      <protection hidden="1"/>
    </xf>
    <xf numFmtId="0" fontId="0" fillId="48" borderId="0" xfId="0" applyFill="1" applyAlignment="1" applyProtection="1">
      <alignment vertical="center"/>
      <protection hidden="1"/>
    </xf>
    <xf numFmtId="0" fontId="40" fillId="35" borderId="15" xfId="0" applyFont="1" applyFill="1" applyBorder="1" applyAlignment="1" applyProtection="1">
      <alignment horizontal="center" vertical="center" shrinkToFit="1"/>
      <protection locked="0" hidden="1"/>
    </xf>
    <xf numFmtId="0" fontId="39" fillId="35" borderId="0" xfId="0" applyFont="1" applyFill="1" applyAlignment="1" applyProtection="1">
      <alignment horizontal="center" vertical="center" shrinkToFit="1"/>
      <protection locked="0" hidden="1"/>
    </xf>
    <xf numFmtId="0" fontId="0" fillId="35" borderId="0" xfId="0" applyFill="1" applyAlignment="1" applyProtection="1">
      <alignment horizontal="center" vertical="center" shrinkToFit="1"/>
      <protection locked="0" hidden="1"/>
    </xf>
    <xf numFmtId="165" fontId="0" fillId="35" borderId="0" xfId="0" applyNumberFormat="1" applyFill="1" applyAlignment="1" applyProtection="1">
      <alignment horizontal="center" vertical="center" shrinkToFit="1"/>
      <protection locked="0" hidden="1"/>
    </xf>
    <xf numFmtId="0" fontId="52" fillId="67" borderId="22" xfId="0" applyFont="1" applyFill="1" applyBorder="1" applyAlignment="1" applyProtection="1">
      <alignment horizontal="center" vertical="center"/>
      <protection hidden="1"/>
    </xf>
    <xf numFmtId="0" fontId="52" fillId="67" borderId="43" xfId="0" applyFont="1" applyFill="1" applyBorder="1" applyAlignment="1" applyProtection="1">
      <alignment horizontal="center" vertical="center"/>
      <protection hidden="1"/>
    </xf>
    <xf numFmtId="1" fontId="0" fillId="0" borderId="0" xfId="0" applyNumberFormat="1" applyProtection="1">
      <protection locked="0" hidden="1"/>
    </xf>
    <xf numFmtId="0" fontId="0" fillId="59" borderId="91" xfId="0" applyFill="1" applyBorder="1" applyAlignment="1" applyProtection="1">
      <alignment horizontal="center"/>
      <protection locked="0" hidden="1"/>
    </xf>
    <xf numFmtId="0" fontId="0" fillId="40" borderId="91" xfId="0" applyFill="1" applyBorder="1" applyAlignment="1" applyProtection="1">
      <alignment horizontal="center"/>
      <protection locked="0" hidden="1"/>
    </xf>
    <xf numFmtId="0" fontId="0" fillId="40" borderId="94" xfId="0" applyFill="1" applyBorder="1" applyAlignment="1" applyProtection="1">
      <alignment horizontal="center"/>
      <protection locked="0" hidden="1"/>
    </xf>
    <xf numFmtId="0" fontId="0" fillId="59" borderId="93" xfId="0" applyFill="1" applyBorder="1" applyAlignment="1" applyProtection="1">
      <alignment horizontal="center"/>
      <protection locked="0" hidden="1"/>
    </xf>
    <xf numFmtId="0" fontId="0" fillId="0" borderId="143" xfId="0" applyBorder="1"/>
    <xf numFmtId="0" fontId="0" fillId="0" borderId="144" xfId="0" applyBorder="1"/>
    <xf numFmtId="0" fontId="0" fillId="0" borderId="138" xfId="0" applyBorder="1"/>
    <xf numFmtId="0" fontId="0" fillId="0" borderId="137" xfId="0" applyBorder="1"/>
    <xf numFmtId="0" fontId="0" fillId="0" borderId="145" xfId="0" applyBorder="1"/>
    <xf numFmtId="0" fontId="44" fillId="70" borderId="142" xfId="0" applyFont="1" applyFill="1" applyBorder="1" applyAlignment="1" applyProtection="1">
      <alignment vertical="center"/>
      <protection locked="0"/>
    </xf>
    <xf numFmtId="0" fontId="0" fillId="70" borderId="0" xfId="0" applyFill="1" applyAlignment="1" applyProtection="1">
      <alignment vertical="center"/>
      <protection locked="0"/>
    </xf>
    <xf numFmtId="0" fontId="0" fillId="37" borderId="76" xfId="0" applyFill="1" applyBorder="1" applyAlignment="1" applyProtection="1">
      <alignment horizontal="center"/>
      <protection locked="0" hidden="1"/>
    </xf>
    <xf numFmtId="0" fontId="0" fillId="38" borderId="77" xfId="0" applyFill="1" applyBorder="1" applyAlignment="1" applyProtection="1">
      <alignment horizontal="center"/>
      <protection locked="0" hidden="1"/>
    </xf>
    <xf numFmtId="0" fontId="0" fillId="37" borderId="77" xfId="0" applyFill="1" applyBorder="1" applyAlignment="1" applyProtection="1">
      <alignment horizontal="center"/>
      <protection locked="0" hidden="1"/>
    </xf>
    <xf numFmtId="0" fontId="0" fillId="38" borderId="75" xfId="0" applyFill="1" applyBorder="1" applyAlignment="1" applyProtection="1">
      <alignment horizontal="center"/>
      <protection locked="0" hidden="1"/>
    </xf>
    <xf numFmtId="2" fontId="0" fillId="36" borderId="76" xfId="0" applyNumberFormat="1" applyFill="1" applyBorder="1" applyAlignment="1" applyProtection="1">
      <alignment horizontal="center"/>
      <protection hidden="1"/>
    </xf>
    <xf numFmtId="0" fontId="0" fillId="34" borderId="77" xfId="0" applyFill="1" applyBorder="1" applyAlignment="1" applyProtection="1">
      <alignment horizontal="center"/>
      <protection hidden="1"/>
    </xf>
    <xf numFmtId="0" fontId="0" fillId="36" borderId="146" xfId="0" applyFill="1" applyBorder="1" applyAlignment="1" applyProtection="1">
      <alignment horizontal="center"/>
      <protection hidden="1"/>
    </xf>
    <xf numFmtId="0" fontId="0" fillId="34" borderId="75" xfId="0" applyFill="1" applyBorder="1" applyAlignment="1" applyProtection="1">
      <alignment horizontal="center"/>
      <protection hidden="1"/>
    </xf>
    <xf numFmtId="0" fontId="0" fillId="37" borderId="146" xfId="0" applyFill="1" applyBorder="1" applyAlignment="1" applyProtection="1">
      <alignment horizontal="center"/>
      <protection locked="0" hidden="1"/>
    </xf>
    <xf numFmtId="0" fontId="16" fillId="36" borderId="147" xfId="0" applyFont="1" applyFill="1" applyBorder="1" applyAlignment="1" applyProtection="1">
      <alignment horizontal="center"/>
      <protection hidden="1"/>
    </xf>
    <xf numFmtId="0" fontId="16" fillId="34" borderId="148" xfId="0" applyFont="1" applyFill="1" applyBorder="1" applyAlignment="1" applyProtection="1">
      <alignment horizontal="center"/>
      <protection hidden="1"/>
    </xf>
    <xf numFmtId="0" fontId="16" fillId="36" borderId="149" xfId="0" applyFont="1" applyFill="1" applyBorder="1" applyAlignment="1" applyProtection="1">
      <alignment horizontal="center"/>
      <protection hidden="1"/>
    </xf>
    <xf numFmtId="0" fontId="16" fillId="34" borderId="150" xfId="0" applyFont="1" applyFill="1" applyBorder="1" applyAlignment="1" applyProtection="1">
      <alignment horizontal="center"/>
      <protection hidden="1"/>
    </xf>
    <xf numFmtId="0" fontId="0" fillId="38" borderId="76" xfId="0" applyFill="1" applyBorder="1" applyAlignment="1" applyProtection="1">
      <alignment horizontal="center"/>
      <protection locked="0" hidden="1"/>
    </xf>
    <xf numFmtId="1" fontId="0" fillId="36" borderId="76" xfId="0" applyNumberFormat="1" applyFill="1" applyBorder="1" applyAlignment="1" applyProtection="1">
      <alignment horizontal="center"/>
      <protection hidden="1"/>
    </xf>
    <xf numFmtId="1" fontId="0" fillId="34" borderId="77" xfId="0" applyNumberFormat="1" applyFill="1" applyBorder="1" applyAlignment="1" applyProtection="1">
      <alignment horizontal="center"/>
      <protection hidden="1"/>
    </xf>
    <xf numFmtId="1" fontId="0" fillId="34" borderId="75" xfId="0" applyNumberFormat="1" applyFill="1" applyBorder="1" applyAlignment="1" applyProtection="1">
      <alignment horizontal="center"/>
      <protection hidden="1"/>
    </xf>
    <xf numFmtId="0" fontId="0" fillId="37" borderId="75" xfId="0" applyFill="1" applyBorder="1" applyAlignment="1" applyProtection="1">
      <alignment horizontal="center"/>
      <protection locked="0" hidden="1"/>
    </xf>
    <xf numFmtId="0" fontId="16" fillId="36" borderId="17" xfId="0" applyFont="1" applyFill="1" applyBorder="1" applyAlignment="1" applyProtection="1">
      <alignment horizontal="center"/>
      <protection hidden="1"/>
    </xf>
    <xf numFmtId="0" fontId="34" fillId="0" borderId="0" xfId="0" applyFont="1" applyAlignment="1" applyProtection="1">
      <alignment vertical="center"/>
      <protection locked="0"/>
    </xf>
    <xf numFmtId="0" fontId="0" fillId="0" borderId="20" xfId="0" applyBorder="1" applyAlignment="1" applyProtection="1">
      <alignment shrinkToFit="1"/>
      <protection locked="0"/>
    </xf>
    <xf numFmtId="0" fontId="53" fillId="71" borderId="21" xfId="0" applyFont="1" applyFill="1" applyBorder="1" applyAlignment="1" applyProtection="1">
      <alignment horizontal="center" vertical="center"/>
      <protection hidden="1"/>
    </xf>
    <xf numFmtId="0" fontId="18" fillId="37" borderId="77" xfId="0" applyFont="1" applyFill="1" applyBorder="1" applyAlignment="1" applyProtection="1">
      <alignment horizontal="center"/>
      <protection locked="0" hidden="1"/>
    </xf>
    <xf numFmtId="0" fontId="53" fillId="72" borderId="21" xfId="0" applyFont="1" applyFill="1" applyBorder="1" applyAlignment="1" applyProtection="1">
      <alignment horizontal="center" vertical="center"/>
      <protection locked="0" hidden="1"/>
    </xf>
    <xf numFmtId="0" fontId="52" fillId="67" borderId="22" xfId="0" applyFont="1" applyFill="1" applyBorder="1" applyAlignment="1" applyProtection="1">
      <alignment horizontal="center" vertical="center"/>
      <protection locked="0" hidden="1"/>
    </xf>
    <xf numFmtId="0" fontId="52" fillId="67" borderId="43" xfId="0" applyFont="1" applyFill="1" applyBorder="1" applyAlignment="1" applyProtection="1">
      <alignment horizontal="center" vertical="center"/>
      <protection locked="0" hidden="1"/>
    </xf>
    <xf numFmtId="0" fontId="53" fillId="73" borderId="21" xfId="0" applyFont="1" applyFill="1" applyBorder="1" applyAlignment="1" applyProtection="1">
      <alignment horizontal="center" vertical="center"/>
      <protection locked="0" hidden="1"/>
    </xf>
    <xf numFmtId="0" fontId="53" fillId="74" borderId="21" xfId="0" applyFont="1" applyFill="1" applyBorder="1" applyAlignment="1" applyProtection="1">
      <alignment horizontal="center" vertical="center"/>
      <protection locked="0" hidden="1"/>
    </xf>
    <xf numFmtId="0" fontId="53" fillId="75" borderId="21" xfId="0" applyFont="1" applyFill="1" applyBorder="1" applyAlignment="1" applyProtection="1">
      <alignment horizontal="center" vertical="center"/>
      <protection locked="0" hidden="1"/>
    </xf>
    <xf numFmtId="0" fontId="53" fillId="76" borderId="21" xfId="0" applyFont="1" applyFill="1" applyBorder="1" applyAlignment="1" applyProtection="1">
      <alignment horizontal="center" vertical="center"/>
      <protection locked="0" hidden="1"/>
    </xf>
    <xf numFmtId="0" fontId="51" fillId="67" borderId="22" xfId="0" applyFont="1" applyFill="1" applyBorder="1" applyAlignment="1" applyProtection="1">
      <alignment horizontal="center" vertical="center"/>
      <protection locked="0" hidden="1"/>
    </xf>
    <xf numFmtId="0" fontId="51" fillId="67" borderId="43" xfId="0" applyFont="1" applyFill="1" applyBorder="1" applyAlignment="1" applyProtection="1">
      <alignment horizontal="center" vertical="center"/>
      <protection locked="0" hidden="1"/>
    </xf>
    <xf numFmtId="0" fontId="17" fillId="48" borderId="0" xfId="0" applyFont="1" applyFill="1" applyProtection="1">
      <protection hidden="1"/>
    </xf>
    <xf numFmtId="0" fontId="20" fillId="77" borderId="20" xfId="0" applyFont="1" applyFill="1" applyBorder="1" applyAlignment="1">
      <alignment horizontal="center"/>
    </xf>
    <xf numFmtId="0" fontId="20" fillId="78" borderId="20" xfId="0" applyFont="1" applyFill="1" applyBorder="1" applyAlignment="1">
      <alignment horizontal="center"/>
    </xf>
    <xf numFmtId="0" fontId="36" fillId="38" borderId="51" xfId="0" applyFont="1" applyFill="1" applyBorder="1" applyAlignment="1" applyProtection="1">
      <alignment horizontal="center"/>
      <protection hidden="1"/>
    </xf>
    <xf numFmtId="0" fontId="0" fillId="33" borderId="73" xfId="0" applyFill="1" applyBorder="1" applyAlignment="1" applyProtection="1">
      <alignment horizontal="center"/>
      <protection hidden="1"/>
    </xf>
    <xf numFmtId="0" fontId="24" fillId="33" borderId="51" xfId="0" applyFont="1" applyFill="1" applyBorder="1" applyAlignment="1" applyProtection="1">
      <alignment horizontal="center"/>
      <protection hidden="1"/>
    </xf>
    <xf numFmtId="0" fontId="0" fillId="33" borderId="13" xfId="0" applyFill="1" applyBorder="1" applyAlignment="1" applyProtection="1">
      <alignment horizontal="center"/>
      <protection hidden="1"/>
    </xf>
    <xf numFmtId="0" fontId="18" fillId="33" borderId="14" xfId="0" applyFont="1" applyFill="1" applyBorder="1" applyAlignment="1" applyProtection="1">
      <alignment horizontal="center" vertical="top"/>
      <protection hidden="1"/>
    </xf>
    <xf numFmtId="0" fontId="55" fillId="36" borderId="0" xfId="0" applyFont="1" applyFill="1"/>
    <xf numFmtId="0" fontId="55" fillId="50" borderId="0" xfId="0" applyFont="1" applyFill="1"/>
    <xf numFmtId="0" fontId="56" fillId="36" borderId="151" xfId="0" applyFont="1" applyFill="1" applyBorder="1"/>
    <xf numFmtId="0" fontId="0" fillId="36" borderId="151" xfId="0" applyFill="1" applyBorder="1"/>
    <xf numFmtId="0" fontId="56" fillId="50" borderId="151" xfId="0" applyFont="1" applyFill="1" applyBorder="1"/>
    <xf numFmtId="0" fontId="0" fillId="50" borderId="151" xfId="0" applyFill="1" applyBorder="1"/>
    <xf numFmtId="0" fontId="0" fillId="36" borderId="151" xfId="0" applyFill="1" applyBorder="1" applyAlignment="1">
      <alignment horizontal="right"/>
    </xf>
    <xf numFmtId="0" fontId="40" fillId="35" borderId="15" xfId="0" applyFont="1" applyFill="1" applyBorder="1" applyAlignment="1" applyProtection="1">
      <alignment horizontal="center" vertical="center" shrinkToFit="1"/>
      <protection hidden="1"/>
    </xf>
    <xf numFmtId="0" fontId="39" fillId="35" borderId="0" xfId="0" applyFont="1" applyFill="1" applyAlignment="1" applyProtection="1">
      <alignment horizontal="center" vertical="center" shrinkToFit="1"/>
      <protection hidden="1"/>
    </xf>
    <xf numFmtId="0" fontId="0" fillId="35" borderId="0" xfId="0" applyFill="1" applyAlignment="1" applyProtection="1">
      <alignment horizontal="center" vertical="center" shrinkToFit="1"/>
      <protection hidden="1"/>
    </xf>
    <xf numFmtId="165" fontId="0" fillId="35" borderId="0" xfId="0" applyNumberFormat="1" applyFill="1" applyAlignment="1" applyProtection="1">
      <alignment horizontal="center" vertical="center" shrinkToFit="1"/>
      <protection hidden="1"/>
    </xf>
    <xf numFmtId="0" fontId="0" fillId="35" borderId="16" xfId="0" applyFill="1" applyBorder="1" applyAlignment="1" applyProtection="1">
      <alignment horizontal="center" vertical="center" shrinkToFit="1"/>
      <protection hidden="1"/>
    </xf>
    <xf numFmtId="0" fontId="40" fillId="34" borderId="15" xfId="0" applyFont="1" applyFill="1" applyBorder="1" applyAlignment="1" applyProtection="1">
      <alignment horizontal="center" vertical="center" shrinkToFit="1"/>
      <protection hidden="1"/>
    </xf>
    <xf numFmtId="0" fontId="39" fillId="34" borderId="0" xfId="0" applyFont="1" applyFill="1" applyAlignment="1" applyProtection="1">
      <alignment horizontal="center" vertical="center" shrinkToFit="1"/>
      <protection hidden="1"/>
    </xf>
    <xf numFmtId="0" fontId="0" fillId="34" borderId="0" xfId="0" applyFill="1" applyAlignment="1" applyProtection="1">
      <alignment horizontal="center" vertical="center" shrinkToFit="1"/>
      <protection hidden="1"/>
    </xf>
    <xf numFmtId="0" fontId="0" fillId="34" borderId="16" xfId="0" applyFill="1" applyBorder="1" applyAlignment="1" applyProtection="1">
      <alignment horizontal="center" vertical="center" shrinkToFit="1"/>
      <protection hidden="1"/>
    </xf>
    <xf numFmtId="0" fontId="40" fillId="35" borderId="17" xfId="0" applyFont="1" applyFill="1" applyBorder="1" applyAlignment="1" applyProtection="1">
      <alignment horizontal="center" vertical="center" shrinkToFit="1"/>
      <protection hidden="1"/>
    </xf>
    <xf numFmtId="0" fontId="39" fillId="35" borderId="18" xfId="0" applyFont="1" applyFill="1" applyBorder="1" applyAlignment="1" applyProtection="1">
      <alignment horizontal="center" vertical="center" shrinkToFit="1"/>
      <protection hidden="1"/>
    </xf>
    <xf numFmtId="0" fontId="0" fillId="35" borderId="18" xfId="0" applyFill="1" applyBorder="1" applyAlignment="1" applyProtection="1">
      <alignment horizontal="center" vertical="center" shrinkToFit="1"/>
      <protection hidden="1"/>
    </xf>
    <xf numFmtId="165" fontId="0" fillId="35" borderId="18" xfId="0" applyNumberFormat="1" applyFill="1" applyBorder="1" applyAlignment="1" applyProtection="1">
      <alignment horizontal="center" vertical="center" shrinkToFit="1"/>
      <protection hidden="1"/>
    </xf>
    <xf numFmtId="0" fontId="0" fillId="35" borderId="19" xfId="0" applyFill="1" applyBorder="1" applyAlignment="1" applyProtection="1">
      <alignment horizontal="center" vertical="center" shrinkToFit="1"/>
      <protection hidden="1"/>
    </xf>
    <xf numFmtId="0" fontId="40" fillId="36" borderId="15" xfId="0" applyFont="1" applyFill="1" applyBorder="1" applyAlignment="1" applyProtection="1">
      <alignment horizontal="center" vertical="center" shrinkToFit="1"/>
      <protection hidden="1"/>
    </xf>
    <xf numFmtId="0" fontId="0" fillId="0" borderId="0" xfId="0" pivotButton="1"/>
    <xf numFmtId="0" fontId="0" fillId="48" borderId="0" xfId="0" applyFill="1"/>
    <xf numFmtId="0" fontId="0" fillId="48" borderId="0" xfId="0" applyFill="1" applyProtection="1">
      <protection locked="0"/>
    </xf>
    <xf numFmtId="0" fontId="0" fillId="79" borderId="152" xfId="0" applyFill="1" applyBorder="1" applyAlignment="1">
      <alignment horizontal="center" vertical="center"/>
    </xf>
    <xf numFmtId="0" fontId="54" fillId="0" borderId="153" xfId="0" applyFont="1" applyBorder="1" applyAlignment="1">
      <alignment wrapText="1"/>
    </xf>
    <xf numFmtId="0" fontId="57" fillId="0" borderId="153" xfId="0" applyFont="1" applyBorder="1" applyAlignment="1">
      <alignment wrapText="1"/>
    </xf>
    <xf numFmtId="2" fontId="0" fillId="33" borderId="13" xfId="0" applyNumberFormat="1" applyFill="1" applyBorder="1" applyAlignment="1">
      <alignment horizontal="left" vertical="center"/>
    </xf>
    <xf numFmtId="0" fontId="59" fillId="0" borderId="0" xfId="0" applyFont="1"/>
    <xf numFmtId="0" fontId="59" fillId="0" borderId="0" xfId="0" applyFont="1" applyProtection="1">
      <protection locked="0"/>
    </xf>
    <xf numFmtId="0" fontId="60" fillId="80" borderId="153" xfId="0" applyFont="1" applyFill="1" applyBorder="1" applyAlignment="1">
      <alignment wrapText="1"/>
    </xf>
    <xf numFmtId="0" fontId="57" fillId="0" borderId="153" xfId="0" applyFont="1" applyBorder="1" applyAlignment="1">
      <alignment horizontal="right" wrapText="1"/>
    </xf>
    <xf numFmtId="0" fontId="47" fillId="68" borderId="0" xfId="0" applyFont="1" applyFill="1" applyAlignment="1" applyProtection="1">
      <alignment horizontal="center" vertical="center" wrapText="1" shrinkToFit="1"/>
      <protection hidden="1"/>
    </xf>
    <xf numFmtId="0" fontId="45" fillId="68" borderId="0" xfId="0" applyFont="1" applyFill="1" applyAlignment="1" applyProtection="1">
      <alignment horizontal="left" vertical="center" wrapText="1" shrinkToFit="1"/>
      <protection hidden="1"/>
    </xf>
    <xf numFmtId="0" fontId="40" fillId="35" borderId="0" xfId="0" applyFont="1" applyFill="1" applyAlignment="1" applyProtection="1">
      <alignment horizontal="center" vertical="center" shrinkToFit="1"/>
      <protection hidden="1"/>
    </xf>
    <xf numFmtId="0" fontId="45" fillId="68" borderId="154" xfId="0" applyFont="1" applyFill="1" applyBorder="1" applyAlignment="1" applyProtection="1">
      <alignment horizontal="left" vertical="center" wrapText="1" shrinkToFit="1"/>
      <protection hidden="1"/>
    </xf>
    <xf numFmtId="0" fontId="0" fillId="48" borderId="11" xfId="0" applyFill="1" applyBorder="1" applyProtection="1">
      <protection hidden="1"/>
    </xf>
    <xf numFmtId="0" fontId="40" fillId="35" borderId="11" xfId="0" applyFont="1" applyFill="1" applyBorder="1" applyAlignment="1" applyProtection="1">
      <alignment horizontal="center" vertical="center" shrinkToFit="1"/>
      <protection hidden="1"/>
    </xf>
    <xf numFmtId="0" fontId="0" fillId="48" borderId="34" xfId="0" applyFill="1" applyBorder="1" applyProtection="1">
      <protection hidden="1"/>
    </xf>
    <xf numFmtId="0" fontId="0" fillId="34" borderId="44" xfId="0" applyFill="1" applyBorder="1" applyAlignment="1" applyProtection="1">
      <alignment horizontal="center"/>
      <protection locked="0"/>
    </xf>
    <xf numFmtId="0" fontId="0" fillId="34" borderId="77" xfId="0" applyFill="1" applyBorder="1" applyAlignment="1" applyProtection="1">
      <alignment horizontal="center"/>
      <protection locked="0"/>
    </xf>
    <xf numFmtId="0" fontId="0" fillId="36" borderId="44" xfId="0" applyFill="1" applyBorder="1" applyAlignment="1" applyProtection="1">
      <alignment horizontal="center"/>
      <protection locked="0"/>
    </xf>
    <xf numFmtId="0" fontId="0" fillId="36" borderId="77" xfId="0" applyFill="1" applyBorder="1" applyAlignment="1" applyProtection="1">
      <alignment horizontal="center"/>
      <protection locked="0"/>
    </xf>
    <xf numFmtId="0" fontId="0" fillId="36" borderId="46" xfId="0" applyFill="1" applyBorder="1" applyAlignment="1" applyProtection="1">
      <alignment horizontal="center"/>
      <protection locked="0"/>
    </xf>
    <xf numFmtId="0" fontId="0" fillId="36" borderId="75" xfId="0" applyFill="1" applyBorder="1" applyAlignment="1" applyProtection="1">
      <alignment horizontal="center"/>
      <protection locked="0"/>
    </xf>
    <xf numFmtId="0" fontId="13" fillId="43" borderId="21" xfId="0" applyFont="1" applyFill="1" applyBorder="1" applyAlignment="1">
      <alignment horizontal="center"/>
    </xf>
    <xf numFmtId="0" fontId="13" fillId="43" borderId="43" xfId="0" applyFont="1" applyFill="1" applyBorder="1" applyAlignment="1">
      <alignment horizontal="center"/>
    </xf>
    <xf numFmtId="0" fontId="0" fillId="36" borderId="70" xfId="0" applyFill="1" applyBorder="1" applyAlignment="1" applyProtection="1">
      <alignment horizontal="center"/>
      <protection locked="0"/>
    </xf>
    <xf numFmtId="0" fontId="0" fillId="36" borderId="76" xfId="0" applyFill="1" applyBorder="1" applyAlignment="1" applyProtection="1">
      <alignment horizontal="center"/>
      <protection locked="0"/>
    </xf>
    <xf numFmtId="0" fontId="0" fillId="34" borderId="57" xfId="0" applyFill="1" applyBorder="1" applyAlignment="1" applyProtection="1">
      <alignment horizontal="center"/>
      <protection locked="0"/>
    </xf>
    <xf numFmtId="0" fontId="0" fillId="34" borderId="45" xfId="0" applyFill="1" applyBorder="1" applyAlignment="1" applyProtection="1">
      <alignment horizontal="center"/>
      <protection locked="0"/>
    </xf>
    <xf numFmtId="0" fontId="0" fillId="36" borderId="57" xfId="0" applyFill="1" applyBorder="1" applyAlignment="1" applyProtection="1">
      <alignment horizontal="center"/>
      <protection locked="0"/>
    </xf>
    <xf numFmtId="0" fontId="0" fillId="36" borderId="45" xfId="0" applyFill="1" applyBorder="1" applyAlignment="1" applyProtection="1">
      <alignment horizontal="center"/>
      <protection locked="0"/>
    </xf>
    <xf numFmtId="0" fontId="0" fillId="33" borderId="13" xfId="0" applyFill="1" applyBorder="1" applyAlignment="1">
      <alignment horizontal="center" vertical="center"/>
    </xf>
    <xf numFmtId="0" fontId="0" fillId="33" borderId="0" xfId="0" applyFill="1" applyAlignment="1">
      <alignment horizontal="center" vertical="center"/>
    </xf>
    <xf numFmtId="0" fontId="0" fillId="34" borderId="120" xfId="0" applyFill="1" applyBorder="1" applyAlignment="1" applyProtection="1">
      <alignment horizontal="center"/>
      <protection locked="0"/>
    </xf>
    <xf numFmtId="0" fontId="0" fillId="34" borderId="121" xfId="0" applyFill="1" applyBorder="1" applyAlignment="1" applyProtection="1">
      <alignment horizontal="center"/>
      <protection locked="0"/>
    </xf>
    <xf numFmtId="0" fontId="0" fillId="34" borderId="58" xfId="0" applyFill="1" applyBorder="1" applyAlignment="1" applyProtection="1">
      <alignment horizontal="center"/>
      <protection locked="0"/>
    </xf>
    <xf numFmtId="0" fontId="0" fillId="34" borderId="48" xfId="0" applyFill="1" applyBorder="1" applyAlignment="1" applyProtection="1">
      <alignment horizontal="center"/>
      <protection locked="0"/>
    </xf>
    <xf numFmtId="0" fontId="0" fillId="36" borderId="59" xfId="0" applyFill="1" applyBorder="1" applyAlignment="1" applyProtection="1">
      <alignment horizontal="center"/>
      <protection locked="0"/>
    </xf>
    <xf numFmtId="0" fontId="0" fillId="36" borderId="50" xfId="0" applyFill="1" applyBorder="1" applyAlignment="1" applyProtection="1">
      <alignment horizontal="center"/>
      <protection locked="0"/>
    </xf>
    <xf numFmtId="0" fontId="42" fillId="42" borderId="24" xfId="0" applyFont="1" applyFill="1" applyBorder="1" applyAlignment="1">
      <alignment horizontal="center" vertical="center"/>
    </xf>
    <xf numFmtId="0" fontId="42" fillId="42" borderId="25" xfId="0" applyFont="1" applyFill="1" applyBorder="1" applyAlignment="1">
      <alignment horizontal="center" vertical="center"/>
    </xf>
    <xf numFmtId="0" fontId="42" fillId="42" borderId="26" xfId="0" applyFont="1" applyFill="1" applyBorder="1" applyAlignment="1">
      <alignment horizontal="center" vertical="center"/>
    </xf>
    <xf numFmtId="0" fontId="42" fillId="42" borderId="23" xfId="0" applyFont="1" applyFill="1" applyBorder="1" applyAlignment="1">
      <alignment horizontal="center" vertical="center"/>
    </xf>
    <xf numFmtId="0" fontId="42" fillId="42" borderId="0" xfId="0" applyFont="1" applyFill="1" applyAlignment="1">
      <alignment horizontal="center" vertical="center"/>
    </xf>
    <xf numFmtId="0" fontId="42" fillId="42" borderId="27" xfId="0" applyFont="1" applyFill="1" applyBorder="1" applyAlignment="1">
      <alignment horizontal="center" vertical="center"/>
    </xf>
    <xf numFmtId="0" fontId="42" fillId="42" borderId="28" xfId="0" applyFont="1" applyFill="1" applyBorder="1" applyAlignment="1">
      <alignment horizontal="center" vertical="center"/>
    </xf>
    <xf numFmtId="0" fontId="42" fillId="42" borderId="29" xfId="0" applyFont="1" applyFill="1" applyBorder="1" applyAlignment="1">
      <alignment horizontal="center" vertical="center"/>
    </xf>
    <xf numFmtId="0" fontId="42" fillId="42" borderId="30" xfId="0" applyFont="1" applyFill="1" applyBorder="1" applyAlignment="1">
      <alignment horizontal="center" vertical="center"/>
    </xf>
    <xf numFmtId="0" fontId="13" fillId="43" borderId="110" xfId="0" applyFont="1" applyFill="1" applyBorder="1" applyAlignment="1">
      <alignment horizontal="center"/>
    </xf>
    <xf numFmtId="0" fontId="13" fillId="43" borderId="138" xfId="0" applyFont="1" applyFill="1" applyBorder="1" applyAlignment="1">
      <alignment horizontal="center"/>
    </xf>
    <xf numFmtId="0" fontId="0" fillId="36" borderId="118" xfId="0" applyFill="1" applyBorder="1" applyAlignment="1" applyProtection="1">
      <alignment horizontal="center"/>
      <protection locked="0"/>
    </xf>
    <xf numFmtId="0" fontId="0" fillId="36" borderId="119" xfId="0" applyFill="1" applyBorder="1" applyAlignment="1" applyProtection="1">
      <alignment horizontal="center"/>
      <protection locked="0"/>
    </xf>
    <xf numFmtId="0" fontId="0" fillId="34" borderId="118" xfId="0" applyFill="1" applyBorder="1" applyAlignment="1" applyProtection="1">
      <alignment horizontal="center"/>
      <protection locked="0"/>
    </xf>
    <xf numFmtId="0" fontId="0" fillId="34" borderId="119" xfId="0" applyFill="1" applyBorder="1" applyAlignment="1" applyProtection="1">
      <alignment horizontal="center"/>
      <protection locked="0"/>
    </xf>
    <xf numFmtId="0" fontId="0" fillId="0" borderId="118" xfId="0" applyBorder="1" applyAlignment="1" applyProtection="1">
      <alignment horizontal="center"/>
      <protection locked="0"/>
    </xf>
    <xf numFmtId="0" fontId="0" fillId="0" borderId="119" xfId="0" applyBorder="1" applyAlignment="1" applyProtection="1">
      <alignment horizontal="center"/>
      <protection locked="0"/>
    </xf>
    <xf numFmtId="0" fontId="0" fillId="0" borderId="134" xfId="0" applyBorder="1" applyAlignment="1" applyProtection="1">
      <alignment horizontal="center"/>
      <protection locked="0"/>
    </xf>
    <xf numFmtId="0" fontId="0" fillId="0" borderId="135" xfId="0" applyBorder="1" applyAlignment="1" applyProtection="1">
      <alignment horizontal="center"/>
      <protection locked="0"/>
    </xf>
    <xf numFmtId="0" fontId="0" fillId="0" borderId="116" xfId="0" applyBorder="1" applyAlignment="1" applyProtection="1">
      <alignment horizontal="center"/>
      <protection locked="0"/>
    </xf>
    <xf numFmtId="0" fontId="0" fillId="0" borderId="117" xfId="0" applyBorder="1" applyAlignment="1" applyProtection="1">
      <alignment horizontal="center"/>
      <protection locked="0"/>
    </xf>
    <xf numFmtId="2" fontId="0" fillId="58" borderId="71" xfId="0" applyNumberFormat="1" applyFill="1" applyBorder="1" applyAlignment="1">
      <alignment horizontal="center"/>
    </xf>
    <xf numFmtId="2" fontId="0" fillId="56" borderId="85" xfId="0" applyNumberFormat="1" applyFill="1" applyBorder="1" applyAlignment="1">
      <alignment horizontal="center"/>
    </xf>
    <xf numFmtId="2" fontId="0" fillId="56" borderId="47" xfId="0" applyNumberFormat="1" applyFill="1" applyBorder="1" applyAlignment="1">
      <alignment horizontal="center"/>
    </xf>
    <xf numFmtId="0" fontId="14" fillId="0" borderId="0" xfId="0" applyFont="1" applyAlignment="1">
      <alignment horizontal="center"/>
    </xf>
    <xf numFmtId="0" fontId="0" fillId="33" borderId="12" xfId="0" applyFill="1" applyBorder="1" applyAlignment="1">
      <alignment horizontal="center" vertical="center"/>
    </xf>
    <xf numFmtId="0" fontId="0" fillId="33" borderId="15" xfId="0" applyFill="1" applyBorder="1" applyAlignment="1">
      <alignment horizontal="center" vertical="center"/>
    </xf>
    <xf numFmtId="2" fontId="17" fillId="57" borderId="13" xfId="0" applyNumberFormat="1" applyFont="1" applyFill="1" applyBorder="1" applyAlignment="1" applyProtection="1">
      <alignment horizontal="center" vertical="center" wrapText="1"/>
      <protection locked="0"/>
    </xf>
    <xf numFmtId="2" fontId="17" fillId="57" borderId="14" xfId="0" applyNumberFormat="1" applyFont="1" applyFill="1" applyBorder="1" applyAlignment="1" applyProtection="1">
      <alignment horizontal="center" vertical="center" wrapText="1"/>
      <protection locked="0"/>
    </xf>
    <xf numFmtId="2" fontId="17" fillId="57" borderId="0" xfId="0" applyNumberFormat="1" applyFont="1" applyFill="1" applyAlignment="1" applyProtection="1">
      <alignment horizontal="center" vertical="center" wrapText="1"/>
      <protection locked="0"/>
    </xf>
    <xf numFmtId="2" fontId="17" fillId="57" borderId="16" xfId="0" applyNumberFormat="1" applyFont="1" applyFill="1" applyBorder="1" applyAlignment="1" applyProtection="1">
      <alignment horizontal="center" vertical="center" wrapText="1"/>
      <protection locked="0"/>
    </xf>
    <xf numFmtId="2" fontId="17" fillId="57" borderId="18" xfId="0" applyNumberFormat="1" applyFont="1" applyFill="1" applyBorder="1" applyAlignment="1" applyProtection="1">
      <alignment horizontal="center" vertical="center" wrapText="1"/>
      <protection locked="0"/>
    </xf>
    <xf numFmtId="2" fontId="17" fillId="57" borderId="19" xfId="0" applyNumberFormat="1" applyFont="1" applyFill="1" applyBorder="1" applyAlignment="1" applyProtection="1">
      <alignment horizontal="center" vertical="center" wrapText="1"/>
      <protection locked="0"/>
    </xf>
    <xf numFmtId="2" fontId="0" fillId="33" borderId="13" xfId="0" applyNumberFormat="1" applyFill="1" applyBorder="1" applyAlignment="1">
      <alignment horizontal="center" vertical="center"/>
    </xf>
    <xf numFmtId="2" fontId="0" fillId="33" borderId="18" xfId="0" applyNumberFormat="1" applyFill="1" applyBorder="1" applyAlignment="1">
      <alignment horizontal="center" vertical="center"/>
    </xf>
    <xf numFmtId="0" fontId="17" fillId="48" borderId="0" xfId="0" applyFont="1" applyFill="1" applyAlignment="1" applyProtection="1">
      <alignment horizontal="center"/>
      <protection hidden="1"/>
    </xf>
    <xf numFmtId="0" fontId="14" fillId="0" borderId="15" xfId="0" applyFont="1" applyBorder="1" applyAlignment="1">
      <alignment horizontal="center"/>
    </xf>
    <xf numFmtId="0" fontId="46" fillId="48" borderId="0" xfId="0" applyFont="1" applyFill="1" applyAlignment="1" applyProtection="1">
      <alignment horizontal="center" vertical="center"/>
      <protection hidden="1"/>
    </xf>
    <xf numFmtId="0" fontId="49" fillId="67" borderId="12" xfId="0" applyFont="1" applyFill="1" applyBorder="1" applyAlignment="1" applyProtection="1">
      <alignment horizontal="center" vertical="center"/>
      <protection hidden="1"/>
    </xf>
    <xf numFmtId="0" fontId="49" fillId="67" borderId="13" xfId="0" applyFont="1" applyFill="1" applyBorder="1" applyAlignment="1" applyProtection="1">
      <alignment horizontal="center" vertical="center"/>
      <protection hidden="1"/>
    </xf>
    <xf numFmtId="0" fontId="49" fillId="67" borderId="14" xfId="0" applyFont="1" applyFill="1" applyBorder="1" applyAlignment="1" applyProtection="1">
      <alignment horizontal="center" vertical="center"/>
      <protection hidden="1"/>
    </xf>
    <xf numFmtId="0" fontId="58" fillId="48" borderId="0" xfId="0" applyFont="1" applyFill="1" applyAlignment="1" applyProtection="1">
      <alignment horizontal="center"/>
      <protection hidden="1"/>
    </xf>
    <xf numFmtId="0" fontId="16" fillId="34" borderId="15" xfId="0" applyFont="1" applyFill="1" applyBorder="1" applyAlignment="1" applyProtection="1">
      <alignment horizontal="center" vertical="center"/>
      <protection hidden="1"/>
    </xf>
    <xf numFmtId="0" fontId="16" fillId="34" borderId="17" xfId="0" applyFont="1" applyFill="1" applyBorder="1" applyAlignment="1" applyProtection="1">
      <alignment horizontal="center" vertical="center"/>
      <protection hidden="1"/>
    </xf>
    <xf numFmtId="2" fontId="16" fillId="34" borderId="16" xfId="0" applyNumberFormat="1" applyFont="1" applyFill="1" applyBorder="1" applyAlignment="1" applyProtection="1">
      <alignment horizontal="center" vertical="center"/>
      <protection hidden="1"/>
    </xf>
    <xf numFmtId="2" fontId="16" fillId="34" borderId="19" xfId="0" applyNumberFormat="1" applyFont="1" applyFill="1" applyBorder="1" applyAlignment="1" applyProtection="1">
      <alignment horizontal="center" vertical="center"/>
      <protection hidden="1"/>
    </xf>
    <xf numFmtId="0" fontId="16" fillId="36" borderId="13" xfId="0" applyFont="1" applyFill="1" applyBorder="1" applyAlignment="1" applyProtection="1">
      <alignment horizontal="center" vertical="center"/>
      <protection hidden="1"/>
    </xf>
    <xf numFmtId="0" fontId="16" fillId="36" borderId="0" xfId="0" applyFont="1" applyFill="1" applyAlignment="1" applyProtection="1">
      <alignment horizontal="center" vertical="center"/>
      <protection hidden="1"/>
    </xf>
    <xf numFmtId="0" fontId="16" fillId="36" borderId="12" xfId="0" applyFont="1" applyFill="1" applyBorder="1" applyAlignment="1" applyProtection="1">
      <alignment horizontal="center" vertical="center"/>
      <protection hidden="1"/>
    </xf>
    <xf numFmtId="0" fontId="16" fillId="36" borderId="38" xfId="0" applyFont="1" applyFill="1" applyBorder="1" applyAlignment="1" applyProtection="1">
      <alignment horizontal="center" vertical="center"/>
      <protection hidden="1"/>
    </xf>
    <xf numFmtId="2" fontId="16" fillId="36" borderId="14" xfId="0" applyNumberFormat="1" applyFont="1" applyFill="1" applyBorder="1" applyAlignment="1" applyProtection="1">
      <alignment horizontal="center" vertical="center"/>
      <protection hidden="1"/>
    </xf>
    <xf numFmtId="2" fontId="16" fillId="36" borderId="39" xfId="0" applyNumberFormat="1" applyFont="1" applyFill="1" applyBorder="1" applyAlignment="1" applyProtection="1">
      <alignment horizontal="center" vertical="center"/>
      <protection hidden="1"/>
    </xf>
    <xf numFmtId="0" fontId="16" fillId="34" borderId="40" xfId="0" applyFont="1" applyFill="1" applyBorder="1" applyAlignment="1" applyProtection="1">
      <alignment horizontal="center" vertical="center"/>
      <protection hidden="1"/>
    </xf>
    <xf numFmtId="0" fontId="16" fillId="34" borderId="38" xfId="0" applyFont="1" applyFill="1" applyBorder="1" applyAlignment="1" applyProtection="1">
      <alignment horizontal="center" vertical="center"/>
      <protection hidden="1"/>
    </xf>
    <xf numFmtId="2" fontId="16" fillId="34" borderId="41" xfId="0" applyNumberFormat="1" applyFont="1" applyFill="1" applyBorder="1" applyAlignment="1" applyProtection="1">
      <alignment horizontal="center" vertical="center"/>
      <protection hidden="1"/>
    </xf>
    <xf numFmtId="2" fontId="16" fillId="34" borderId="39" xfId="0" applyNumberFormat="1" applyFont="1" applyFill="1" applyBorder="1" applyAlignment="1" applyProtection="1">
      <alignment horizontal="center" vertical="center"/>
      <protection hidden="1"/>
    </xf>
    <xf numFmtId="0" fontId="16" fillId="36" borderId="40" xfId="0" applyFont="1" applyFill="1" applyBorder="1" applyAlignment="1" applyProtection="1">
      <alignment horizontal="center" vertical="center"/>
      <protection hidden="1"/>
    </xf>
    <xf numFmtId="2" fontId="16" fillId="36" borderId="41" xfId="0" applyNumberFormat="1" applyFont="1" applyFill="1" applyBorder="1" applyAlignment="1" applyProtection="1">
      <alignment horizontal="center" vertical="center"/>
      <protection hidden="1"/>
    </xf>
    <xf numFmtId="0" fontId="16" fillId="34" borderId="31" xfId="0" applyFont="1" applyFill="1" applyBorder="1" applyAlignment="1" applyProtection="1">
      <alignment horizontal="center" vertical="center"/>
      <protection hidden="1"/>
    </xf>
    <xf numFmtId="0" fontId="16" fillId="34" borderId="10" xfId="0" applyFont="1" applyFill="1" applyBorder="1" applyAlignment="1" applyProtection="1">
      <alignment horizontal="center" vertical="center"/>
      <protection hidden="1"/>
    </xf>
    <xf numFmtId="2" fontId="16" fillId="36" borderId="31" xfId="0" applyNumberFormat="1" applyFont="1" applyFill="1" applyBorder="1" applyAlignment="1" applyProtection="1">
      <alignment horizontal="center" vertical="center"/>
      <protection hidden="1"/>
    </xf>
    <xf numFmtId="2" fontId="16" fillId="36" borderId="10" xfId="0" applyNumberFormat="1" applyFont="1" applyFill="1" applyBorder="1" applyAlignment="1" applyProtection="1">
      <alignment horizontal="center" vertical="center"/>
      <protection hidden="1"/>
    </xf>
    <xf numFmtId="2" fontId="16" fillId="34" borderId="0" xfId="0" applyNumberFormat="1" applyFont="1" applyFill="1" applyAlignment="1" applyProtection="1">
      <alignment horizontal="center" vertical="center"/>
      <protection hidden="1"/>
    </xf>
    <xf numFmtId="2" fontId="16" fillId="34" borderId="18" xfId="0" applyNumberFormat="1" applyFont="1" applyFill="1" applyBorder="1" applyAlignment="1" applyProtection="1">
      <alignment horizontal="center" vertical="center"/>
      <protection hidden="1"/>
    </xf>
    <xf numFmtId="0" fontId="23" fillId="39" borderId="21" xfId="0" applyFont="1" applyFill="1" applyBorder="1" applyAlignment="1" applyProtection="1">
      <alignment horizontal="center" vertical="center"/>
      <protection hidden="1"/>
    </xf>
    <xf numFmtId="0" fontId="23" fillId="39" borderId="22" xfId="0" applyFont="1" applyFill="1" applyBorder="1" applyAlignment="1" applyProtection="1">
      <alignment horizontal="center" vertical="center"/>
      <protection hidden="1"/>
    </xf>
    <xf numFmtId="0" fontId="23" fillId="39" borderId="43" xfId="0" applyFont="1" applyFill="1" applyBorder="1" applyAlignment="1" applyProtection="1">
      <alignment horizontal="center" vertical="center"/>
      <protection hidden="1"/>
    </xf>
    <xf numFmtId="0" fontId="16" fillId="33" borderId="17" xfId="0" applyFont="1" applyFill="1" applyBorder="1" applyAlignment="1" applyProtection="1">
      <alignment horizontal="center"/>
      <protection hidden="1"/>
    </xf>
    <xf numFmtId="0" fontId="16" fillId="33" borderId="18" xfId="0" applyFont="1" applyFill="1" applyBorder="1" applyAlignment="1" applyProtection="1">
      <alignment horizontal="center"/>
      <protection hidden="1"/>
    </xf>
    <xf numFmtId="0" fontId="23" fillId="39" borderId="21" xfId="0" applyFont="1" applyFill="1" applyBorder="1" applyAlignment="1" applyProtection="1">
      <alignment horizontal="center"/>
      <protection hidden="1"/>
    </xf>
    <xf numFmtId="0" fontId="23" fillId="39" borderId="22" xfId="0" applyFont="1" applyFill="1" applyBorder="1" applyAlignment="1" applyProtection="1">
      <alignment horizontal="center"/>
      <protection hidden="1"/>
    </xf>
    <xf numFmtId="0" fontId="23" fillId="39" borderId="43" xfId="0" applyFont="1" applyFill="1" applyBorder="1" applyAlignment="1" applyProtection="1">
      <alignment horizontal="center"/>
      <protection hidden="1"/>
    </xf>
    <xf numFmtId="0" fontId="24" fillId="39" borderId="22" xfId="0" applyFont="1" applyFill="1" applyBorder="1" applyAlignment="1" applyProtection="1">
      <alignment horizontal="center"/>
      <protection hidden="1"/>
    </xf>
    <xf numFmtId="0" fontId="24" fillId="39" borderId="43" xfId="0" applyFont="1" applyFill="1" applyBorder="1" applyAlignment="1" applyProtection="1">
      <alignment horizontal="center"/>
      <protection hidden="1"/>
    </xf>
    <xf numFmtId="0" fontId="0" fillId="33" borderId="79" xfId="0" applyFill="1" applyBorder="1" applyAlignment="1" applyProtection="1">
      <alignment horizontal="center"/>
      <protection hidden="1"/>
    </xf>
    <xf numFmtId="0" fontId="0" fillId="33" borderId="78" xfId="0" applyFill="1" applyBorder="1" applyAlignment="1" applyProtection="1">
      <alignment horizontal="center"/>
      <protection hidden="1"/>
    </xf>
    <xf numFmtId="0" fontId="0" fillId="38" borderId="15" xfId="0" applyFill="1" applyBorder="1" applyAlignment="1" applyProtection="1">
      <alignment horizontal="center"/>
      <protection hidden="1"/>
    </xf>
    <xf numFmtId="0" fontId="0" fillId="38" borderId="0" xfId="0" applyFill="1" applyAlignment="1" applyProtection="1">
      <alignment horizontal="center"/>
      <protection hidden="1"/>
    </xf>
    <xf numFmtId="0" fontId="0" fillId="38" borderId="79" xfId="0" applyFill="1" applyBorder="1" applyAlignment="1" applyProtection="1">
      <alignment horizontal="center"/>
      <protection hidden="1"/>
    </xf>
    <xf numFmtId="0" fontId="0" fillId="38" borderId="78" xfId="0" applyFill="1" applyBorder="1" applyAlignment="1" applyProtection="1">
      <alignment horizontal="center"/>
      <protection hidden="1"/>
    </xf>
    <xf numFmtId="0" fontId="0" fillId="38" borderId="12" xfId="0" applyFill="1" applyBorder="1" applyAlignment="1" applyProtection="1">
      <alignment horizontal="center"/>
      <protection hidden="1"/>
    </xf>
    <xf numFmtId="0" fontId="0" fillId="38" borderId="13" xfId="0" applyFill="1" applyBorder="1" applyAlignment="1" applyProtection="1">
      <alignment horizontal="center"/>
      <protection hidden="1"/>
    </xf>
    <xf numFmtId="0" fontId="38" fillId="49" borderId="124" xfId="0" applyFont="1" applyFill="1" applyBorder="1" applyAlignment="1">
      <alignment horizontal="center" vertical="center" textRotation="90" shrinkToFit="1"/>
    </xf>
    <xf numFmtId="0" fontId="35" fillId="34" borderId="33" xfId="0" applyFont="1" applyFill="1" applyBorder="1" applyAlignment="1" applyProtection="1">
      <alignment horizontal="center" vertical="center" textRotation="90"/>
      <protection locked="0" hidden="1"/>
    </xf>
    <xf numFmtId="0" fontId="35" fillId="34" borderId="34" xfId="0" applyFont="1" applyFill="1" applyBorder="1" applyAlignment="1" applyProtection="1">
      <alignment horizontal="center" vertical="center" textRotation="90"/>
      <protection locked="0" hidden="1"/>
    </xf>
    <xf numFmtId="0" fontId="35" fillId="34" borderId="35" xfId="0" applyFont="1" applyFill="1" applyBorder="1" applyAlignment="1" applyProtection="1">
      <alignment horizontal="center" vertical="center" textRotation="90"/>
      <protection locked="0" hidden="1"/>
    </xf>
    <xf numFmtId="0" fontId="35" fillId="36" borderId="33" xfId="0" applyFont="1" applyFill="1" applyBorder="1" applyAlignment="1" applyProtection="1">
      <alignment horizontal="center" vertical="center" textRotation="90"/>
      <protection locked="0" hidden="1"/>
    </xf>
    <xf numFmtId="0" fontId="35" fillId="36" borderId="34" xfId="0" applyFont="1" applyFill="1" applyBorder="1" applyAlignment="1" applyProtection="1">
      <alignment horizontal="center" vertical="center" textRotation="90"/>
      <protection locked="0" hidden="1"/>
    </xf>
    <xf numFmtId="0" fontId="35" fillId="36" borderId="35" xfId="0" applyFont="1" applyFill="1" applyBorder="1" applyAlignment="1" applyProtection="1">
      <alignment horizontal="center" vertical="center" textRotation="90"/>
      <protection locked="0" hidden="1"/>
    </xf>
    <xf numFmtId="0" fontId="35" fillId="36" borderId="13" xfId="0" applyFont="1" applyFill="1" applyBorder="1" applyAlignment="1" applyProtection="1">
      <alignment horizontal="center" vertical="center" textRotation="90"/>
      <protection locked="0" hidden="1"/>
    </xf>
    <xf numFmtId="0" fontId="35" fillId="36" borderId="0" xfId="0" applyFont="1" applyFill="1" applyAlignment="1" applyProtection="1">
      <alignment horizontal="center" vertical="center" textRotation="90"/>
      <protection locked="0" hidden="1"/>
    </xf>
    <xf numFmtId="0" fontId="35" fillId="36" borderId="18" xfId="0" applyFont="1" applyFill="1" applyBorder="1" applyAlignment="1" applyProtection="1">
      <alignment horizontal="center" vertical="center" textRotation="90"/>
      <protection locked="0" hidden="1"/>
    </xf>
    <xf numFmtId="0" fontId="35" fillId="34" borderId="13" xfId="0" applyFont="1" applyFill="1" applyBorder="1" applyAlignment="1" applyProtection="1">
      <alignment horizontal="center" vertical="center" textRotation="90"/>
      <protection locked="0" hidden="1"/>
    </xf>
    <xf numFmtId="0" fontId="35" fillId="34" borderId="0" xfId="0" applyFont="1" applyFill="1" applyAlignment="1" applyProtection="1">
      <alignment horizontal="center" vertical="center" textRotation="90"/>
      <protection locked="0" hidden="1"/>
    </xf>
    <xf numFmtId="0" fontId="35" fillId="34" borderId="18" xfId="0" applyFont="1" applyFill="1" applyBorder="1" applyAlignment="1" applyProtection="1">
      <alignment horizontal="center" vertical="center" textRotation="90"/>
      <protection locked="0" hidden="1"/>
    </xf>
    <xf numFmtId="0" fontId="35" fillId="34" borderId="14" xfId="0" applyFont="1" applyFill="1" applyBorder="1" applyAlignment="1" applyProtection="1">
      <alignment horizontal="center" vertical="center" textRotation="90"/>
      <protection locked="0" hidden="1"/>
    </xf>
    <xf numFmtId="0" fontId="35" fillId="34" borderId="16" xfId="0" applyFont="1" applyFill="1" applyBorder="1" applyAlignment="1" applyProtection="1">
      <alignment horizontal="center" vertical="center" textRotation="90"/>
      <protection locked="0" hidden="1"/>
    </xf>
    <xf numFmtId="0" fontId="35" fillId="34" borderId="19" xfId="0" applyFont="1" applyFill="1" applyBorder="1" applyAlignment="1" applyProtection="1">
      <alignment horizontal="center" vertical="center" textRotation="90"/>
      <protection locked="0" hidden="1"/>
    </xf>
    <xf numFmtId="0" fontId="35" fillId="36" borderId="14" xfId="0" applyFont="1" applyFill="1" applyBorder="1" applyAlignment="1" applyProtection="1">
      <alignment horizontal="center" vertical="center" textRotation="90"/>
      <protection locked="0" hidden="1"/>
    </xf>
    <xf numFmtId="0" fontId="35" fillId="36" borderId="16" xfId="0" applyFont="1" applyFill="1" applyBorder="1" applyAlignment="1" applyProtection="1">
      <alignment horizontal="center" vertical="center" textRotation="90"/>
      <protection locked="0" hidden="1"/>
    </xf>
    <xf numFmtId="0" fontId="35" fillId="36" borderId="19" xfId="0" applyFont="1" applyFill="1" applyBorder="1" applyAlignment="1" applyProtection="1">
      <alignment horizontal="center" vertical="center" textRotation="90"/>
      <protection locked="0" hidden="1"/>
    </xf>
    <xf numFmtId="0" fontId="19" fillId="33" borderId="14" xfId="0" applyFont="1" applyFill="1" applyBorder="1" applyAlignment="1" applyProtection="1">
      <alignment horizontal="center" vertical="center" textRotation="90"/>
      <protection hidden="1"/>
    </xf>
    <xf numFmtId="0" fontId="19" fillId="33" borderId="16" xfId="0" applyFont="1" applyFill="1" applyBorder="1" applyAlignment="1" applyProtection="1">
      <alignment horizontal="center" vertical="center" textRotation="90"/>
      <protection hidden="1"/>
    </xf>
    <xf numFmtId="0" fontId="19" fillId="33" borderId="19" xfId="0" applyFont="1" applyFill="1" applyBorder="1" applyAlignment="1" applyProtection="1">
      <alignment horizontal="center" vertical="center" textRotation="90"/>
      <protection hidden="1"/>
    </xf>
    <xf numFmtId="0" fontId="19" fillId="33" borderId="99" xfId="0" applyFont="1" applyFill="1" applyBorder="1" applyAlignment="1" applyProtection="1">
      <alignment horizontal="center" vertical="center" textRotation="90"/>
      <protection hidden="1"/>
    </xf>
    <xf numFmtId="0" fontId="19" fillId="33" borderId="100" xfId="0" applyFont="1" applyFill="1" applyBorder="1" applyAlignment="1" applyProtection="1">
      <alignment horizontal="center" vertical="center" textRotation="90"/>
      <protection hidden="1"/>
    </xf>
    <xf numFmtId="0" fontId="19" fillId="33" borderId="101" xfId="0" applyFont="1" applyFill="1" applyBorder="1" applyAlignment="1" applyProtection="1">
      <alignment horizontal="center" vertical="center" textRotation="90"/>
      <protection hidden="1"/>
    </xf>
    <xf numFmtId="0" fontId="19" fillId="33" borderId="139" xfId="0" applyFont="1" applyFill="1" applyBorder="1" applyAlignment="1" applyProtection="1">
      <alignment horizontal="center" vertical="center" textRotation="90"/>
      <protection hidden="1"/>
    </xf>
    <xf numFmtId="0" fontId="19" fillId="33" borderId="105" xfId="0" applyFont="1" applyFill="1" applyBorder="1" applyAlignment="1" applyProtection="1">
      <alignment horizontal="center" vertical="center" textRotation="90"/>
      <protection hidden="1"/>
    </xf>
    <xf numFmtId="0" fontId="19" fillId="33" borderId="106" xfId="0" applyFont="1" applyFill="1" applyBorder="1" applyAlignment="1" applyProtection="1">
      <alignment horizontal="center" vertical="center" textRotation="90"/>
      <protection hidden="1"/>
    </xf>
    <xf numFmtId="0" fontId="0" fillId="33" borderId="17" xfId="0" applyFill="1" applyBorder="1" applyAlignment="1">
      <alignment horizontal="center" vertical="center"/>
    </xf>
    <xf numFmtId="0" fontId="0" fillId="33" borderId="18" xfId="0" applyFill="1" applyBorder="1" applyAlignment="1">
      <alignment horizontal="center" vertical="center"/>
    </xf>
    <xf numFmtId="2" fontId="17" fillId="57" borderId="0" xfId="0" applyNumberFormat="1" applyFont="1" applyFill="1" applyAlignment="1">
      <alignment horizontal="center" vertical="center" wrapText="1"/>
    </xf>
    <xf numFmtId="2" fontId="0" fillId="33" borderId="13" xfId="0" applyNumberFormat="1" applyFill="1" applyBorder="1" applyAlignment="1" applyProtection="1">
      <alignment horizontal="center" wrapText="1"/>
      <protection locked="0"/>
    </xf>
    <xf numFmtId="2" fontId="0" fillId="33" borderId="18" xfId="0" applyNumberFormat="1" applyFill="1" applyBorder="1" applyAlignment="1" applyProtection="1">
      <alignment horizontal="center" wrapText="1"/>
      <protection locked="0"/>
    </xf>
    <xf numFmtId="2" fontId="0" fillId="33" borderId="13" xfId="0" applyNumberFormat="1" applyFill="1" applyBorder="1" applyAlignment="1">
      <alignment horizontal="center" vertical="top" wrapText="1"/>
    </xf>
    <xf numFmtId="2" fontId="0" fillId="33" borderId="18" xfId="0" applyNumberFormat="1" applyFill="1" applyBorder="1" applyAlignment="1">
      <alignment horizontal="center" vertical="top" wrapText="1"/>
    </xf>
    <xf numFmtId="2" fontId="17" fillId="57" borderId="0" xfId="0" applyNumberFormat="1" applyFont="1" applyFill="1" applyAlignment="1">
      <alignment horizontal="center" vertical="center" wrapText="1" shrinkToFit="1"/>
    </xf>
    <xf numFmtId="1" fontId="0" fillId="33" borderId="13" xfId="0" applyNumberFormat="1" applyFill="1" applyBorder="1" applyAlignment="1" applyProtection="1">
      <alignment horizontal="center" wrapText="1"/>
      <protection locked="0"/>
    </xf>
    <xf numFmtId="1" fontId="0" fillId="33" borderId="18" xfId="0" applyNumberFormat="1" applyFill="1" applyBorder="1" applyAlignment="1" applyProtection="1">
      <alignment horizontal="center" wrapText="1"/>
      <protection locked="0"/>
    </xf>
    <xf numFmtId="0" fontId="0" fillId="33" borderId="81" xfId="0" applyFill="1" applyBorder="1" applyAlignment="1">
      <alignment horizontal="center" vertical="center"/>
    </xf>
    <xf numFmtId="0" fontId="0" fillId="33" borderId="82" xfId="0" applyFill="1" applyBorder="1" applyAlignment="1">
      <alignment horizontal="center" vertical="center"/>
    </xf>
    <xf numFmtId="0" fontId="0" fillId="33" borderId="31" xfId="0" applyFill="1" applyBorder="1" applyAlignment="1">
      <alignment horizontal="center" vertical="center"/>
    </xf>
    <xf numFmtId="0" fontId="0" fillId="33" borderId="10" xfId="0" applyFill="1" applyBorder="1" applyAlignment="1">
      <alignment horizontal="center" vertical="center"/>
    </xf>
    <xf numFmtId="0" fontId="0" fillId="0" borderId="10" xfId="0" applyBorder="1" applyAlignment="1">
      <alignment horizontal="center" vertical="center"/>
    </xf>
    <xf numFmtId="0" fontId="0" fillId="33" borderId="11" xfId="0" applyFill="1" applyBorder="1" applyAlignment="1">
      <alignment horizontal="center" vertical="center"/>
    </xf>
    <xf numFmtId="0" fontId="0" fillId="0" borderId="0" xfId="0"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42">
    <dxf>
      <fill>
        <patternFill patternType="darkUp">
          <fgColor rgb="FF3FCDFF"/>
          <bgColor rgb="FF00B0F0"/>
        </patternFill>
      </fill>
    </dxf>
    <dxf>
      <fill>
        <patternFill patternType="darkUp">
          <fgColor rgb="FF3FCDFF"/>
          <bgColor rgb="FF00B0F0"/>
        </patternFill>
      </fill>
    </dxf>
    <dxf>
      <fill>
        <patternFill patternType="darkUp">
          <fgColor rgb="FF3FCDFF"/>
          <bgColor rgb="FF00B0F0"/>
        </patternFill>
      </fill>
    </dxf>
    <dxf>
      <fill>
        <patternFill patternType="darkUp">
          <fgColor rgb="FF3FCDFF"/>
          <bgColor rgb="FF00B0F0"/>
        </patternFill>
      </fill>
    </dxf>
    <dxf>
      <fill>
        <patternFill patternType="darkUp">
          <fgColor rgb="FF3FCDFF"/>
          <bgColor rgb="FF00B0F0"/>
        </patternFill>
      </fill>
    </dxf>
    <dxf>
      <fill>
        <patternFill patternType="darkUp">
          <fgColor rgb="FF3FCDFF"/>
          <bgColor rgb="FF00B0F0"/>
        </patternFill>
      </fill>
    </dxf>
    <dxf>
      <fill>
        <patternFill patternType="solid">
          <bgColor rgb="FF6699FF"/>
        </patternFill>
      </fill>
    </dxf>
    <dxf>
      <fill>
        <patternFill>
          <bgColor rgb="FFFF9999"/>
        </patternFill>
      </fill>
    </dxf>
    <dxf>
      <fill>
        <patternFill>
          <bgColor rgb="FFFFFF99"/>
        </patternFill>
      </fill>
    </dxf>
    <dxf>
      <fill>
        <patternFill>
          <bgColor rgb="FF99FF99"/>
        </patternFill>
      </fill>
    </dxf>
    <dxf>
      <fill>
        <patternFill>
          <bgColor rgb="FF9999FF"/>
        </patternFill>
      </fill>
    </dxf>
    <dxf>
      <fill>
        <patternFill>
          <bgColor rgb="FFFFCC66"/>
        </patternFill>
      </fill>
    </dxf>
    <dxf>
      <fill>
        <patternFill>
          <bgColor rgb="FFCCECFF"/>
        </patternFill>
      </fill>
    </dxf>
    <dxf>
      <fill>
        <patternFill>
          <bgColor rgb="FFFFCCCC"/>
        </patternFill>
      </fill>
    </dxf>
    <dxf>
      <fill>
        <patternFill>
          <bgColor rgb="FFFFFFCC"/>
        </patternFill>
      </fill>
    </dxf>
    <dxf>
      <fill>
        <patternFill>
          <bgColor rgb="FFCCFFCC"/>
        </patternFill>
      </fill>
    </dxf>
    <dxf>
      <fill>
        <patternFill>
          <bgColor rgb="FFCCCCFF"/>
        </patternFill>
      </fill>
    </dxf>
    <dxf>
      <fill>
        <patternFill>
          <bgColor theme="9" tint="0.59996337778862885"/>
        </patternFill>
      </fill>
    </dxf>
    <dxf>
      <fill>
        <patternFill patternType="darkUp">
          <fgColor theme="9"/>
          <bgColor theme="9" tint="0.79998168889431442"/>
        </patternFill>
      </fill>
    </dxf>
    <dxf>
      <fill>
        <patternFill patternType="darkUp">
          <fgColor rgb="FF66CCFF"/>
          <bgColor rgb="FF00B0F0"/>
        </patternFill>
      </fill>
    </dxf>
    <dxf>
      <fill>
        <patternFill patternType="darkUp">
          <fgColor theme="9"/>
          <bgColor theme="9" tint="0.79998168889431442"/>
        </patternFill>
      </fill>
    </dxf>
    <dxf>
      <fill>
        <patternFill>
          <bgColor rgb="FFCCFFCC"/>
        </patternFill>
      </fill>
    </dxf>
    <dxf>
      <fill>
        <patternFill patternType="darkUp">
          <fgColor theme="0" tint="-0.14996795556505021"/>
          <bgColor theme="0" tint="-0.499984740745262"/>
        </patternFill>
      </fill>
    </dxf>
    <dxf>
      <fill>
        <patternFill>
          <bgColor rgb="FFCCFFCC"/>
        </patternFill>
      </fill>
    </dxf>
    <dxf>
      <fill>
        <patternFill patternType="darkUp">
          <fgColor theme="0" tint="-0.14996795556505021"/>
          <bgColor theme="0" tint="-0.499984740745262"/>
        </patternFill>
      </fill>
    </dxf>
    <dxf>
      <fill>
        <patternFill>
          <bgColor rgb="FFCCFFCC"/>
        </patternFill>
      </fill>
    </dxf>
    <dxf>
      <fill>
        <patternFill patternType="darkUp">
          <fgColor theme="0" tint="-0.14996795556505021"/>
          <bgColor theme="0" tint="-0.499984740745262"/>
        </patternFill>
      </fill>
    </dxf>
    <dxf>
      <fill>
        <patternFill>
          <bgColor rgb="FFCCFFCC"/>
        </patternFill>
      </fill>
    </dxf>
    <dxf>
      <fill>
        <patternFill patternType="darkUp">
          <fgColor theme="0" tint="-0.499984740745262"/>
          <bgColor theme="0" tint="-0.14996795556505021"/>
        </patternFill>
      </fill>
    </dxf>
    <dxf>
      <font>
        <color theme="0" tint="-0.14996795556505021"/>
      </font>
      <fill>
        <patternFill patternType="mediumGray">
          <fgColor theme="0" tint="-0.499984740745262"/>
          <bgColor theme="3" tint="-0.499984740745262"/>
        </patternFill>
      </fill>
      <border>
        <left/>
        <right/>
        <top/>
        <bottom/>
        <vertical/>
        <horizontal/>
      </border>
    </dxf>
    <dxf>
      <font>
        <color theme="0" tint="-0.14996795556505021"/>
      </font>
      <fill>
        <patternFill patternType="mediumGray">
          <fgColor theme="0" tint="-0.499984740745262"/>
          <bgColor theme="3" tint="-0.499984740745262"/>
        </patternFill>
      </fill>
      <border>
        <left/>
        <right/>
        <top/>
        <bottom/>
        <vertical/>
        <horizontal/>
      </border>
    </dxf>
    <dxf>
      <fill>
        <patternFill patternType="darkUp">
          <fgColor rgb="FF66CCFF"/>
          <bgColor rgb="FF00B0F0"/>
        </patternFill>
      </fill>
    </dxf>
    <dxf>
      <fill>
        <patternFill patternType="darkUp">
          <fgColor theme="9"/>
          <bgColor theme="9" tint="0.79998168889431442"/>
        </patternFill>
      </fill>
    </dxf>
    <dxf>
      <font>
        <color theme="0" tint="-0.14996795556505021"/>
      </font>
      <fill>
        <patternFill patternType="mediumGray">
          <fgColor theme="0" tint="-0.499984740745262"/>
          <bgColor theme="3" tint="-0.499984740745262"/>
        </patternFill>
      </fill>
      <border>
        <left/>
        <right/>
        <top/>
        <bottom/>
        <vertical/>
        <horizontal/>
      </border>
    </dxf>
    <dxf>
      <fill>
        <patternFill patternType="darkUp">
          <fgColor rgb="FF66CCFF"/>
          <bgColor rgb="FF00B0F0"/>
        </patternFill>
      </fill>
    </dxf>
    <dxf>
      <fill>
        <patternFill patternType="darkUp">
          <fgColor theme="9"/>
          <bgColor theme="9" tint="0.79998168889431442"/>
        </patternFill>
      </fill>
    </dxf>
    <dxf>
      <font>
        <color theme="0" tint="-0.14996795556505021"/>
      </font>
      <fill>
        <patternFill patternType="mediumGray">
          <fgColor theme="0" tint="-0.499984740745262"/>
          <bgColor theme="3" tint="-0.499984740745262"/>
        </patternFill>
      </fill>
      <border>
        <left/>
        <right/>
        <top/>
        <bottom/>
      </border>
    </dxf>
    <dxf>
      <fill>
        <patternFill patternType="darkUp">
          <fgColor rgb="FF66CCFF"/>
          <bgColor rgb="FF00B0F0"/>
        </patternFill>
      </fill>
    </dxf>
    <dxf>
      <font>
        <b val="0"/>
        <i val="0"/>
        <color theme="0" tint="-0.14993743705557422"/>
      </font>
      <fill>
        <patternFill patternType="mediumGray">
          <fgColor theme="0" tint="-0.499984740745262"/>
          <bgColor theme="3" tint="-0.499984740745262"/>
        </patternFill>
      </fill>
      <border>
        <left/>
        <right/>
        <top/>
        <bottom/>
      </border>
    </dxf>
    <dxf>
      <font>
        <color theme="4" tint="0.79998168889431442"/>
      </font>
    </dxf>
    <dxf>
      <font>
        <color theme="4" tint="0.39994506668294322"/>
      </font>
    </dxf>
    <dxf>
      <font>
        <b val="0"/>
        <i val="0"/>
        <color theme="0" tint="-0.14993743705557422"/>
      </font>
      <fill>
        <patternFill patternType="mediumGray">
          <fgColor theme="0" tint="-0.499984740745262"/>
          <bgColor theme="3" tint="-0.499984740745262"/>
        </patternFill>
      </fill>
      <border>
        <left/>
        <right/>
        <top/>
        <bottom/>
      </border>
    </dxf>
    <dxf>
      <fill>
        <patternFill patternType="darkUp">
          <fgColor rgb="FFCCFFCC"/>
        </patternFill>
      </fill>
    </dxf>
    <dxf>
      <fill>
        <patternFill patternType="darkUp">
          <fgColor rgb="FFFFC34B"/>
        </patternFill>
      </fill>
    </dxf>
    <dxf>
      <fill>
        <patternFill patternType="darkUp">
          <fgColor rgb="FFFFC34B"/>
        </patternFill>
      </fill>
    </dxf>
    <dxf>
      <fill>
        <patternFill patternType="darkUp">
          <fgColor rgb="FFFFC34B"/>
        </patternFill>
      </fill>
    </dxf>
    <dxf>
      <fill>
        <patternFill patternType="darkUp">
          <fgColor rgb="FFFFC34B"/>
          <bgColor auto="1"/>
        </patternFill>
      </fill>
    </dxf>
    <dxf>
      <fill>
        <patternFill patternType="darkUp">
          <fgColor rgb="FFCCFFCC"/>
          <bgColor rgb="FF99FF99"/>
        </patternFill>
      </fill>
    </dxf>
    <dxf>
      <fill>
        <patternFill>
          <bgColor rgb="FF0070C0"/>
        </patternFill>
      </fill>
    </dxf>
    <dxf>
      <fill>
        <patternFill>
          <bgColor rgb="FFFF5050"/>
        </patternFill>
      </fill>
    </dxf>
    <dxf>
      <fill>
        <patternFill>
          <bgColor rgb="FFFFFF66"/>
        </patternFill>
      </fill>
    </dxf>
    <dxf>
      <fill>
        <patternFill>
          <bgColor rgb="FF66FF66"/>
        </patternFill>
      </fill>
    </dxf>
    <dxf>
      <fill>
        <patternFill>
          <bgColor rgb="FFFF9933"/>
        </patternFill>
      </fill>
    </dxf>
    <dxf>
      <fill>
        <patternFill>
          <bgColor rgb="FF7030A0"/>
        </patternFill>
      </fill>
    </dxf>
    <dxf>
      <fill>
        <patternFill>
          <bgColor theme="3" tint="0.39994506668294322"/>
        </patternFill>
      </fill>
    </dxf>
    <dxf>
      <font>
        <color theme="1" tint="0.14996795556505021"/>
      </font>
      <fill>
        <patternFill patternType="darkUp">
          <fgColor rgb="FF3FCDFF"/>
          <bgColor rgb="FF00B0F0"/>
        </patternFill>
      </fill>
    </dxf>
    <dxf>
      <font>
        <strike val="0"/>
        <color rgb="FFFF0000"/>
      </font>
    </dxf>
    <dxf>
      <font>
        <strike val="0"/>
        <color rgb="FFFF0000"/>
      </font>
    </dxf>
    <dxf>
      <font>
        <strike val="0"/>
        <color rgb="FFFF0000"/>
      </font>
    </dxf>
    <dxf>
      <fill>
        <patternFill patternType="darkUp">
          <fgColor rgb="FFFFC34B"/>
        </patternFill>
      </fill>
    </dxf>
    <dxf>
      <fill>
        <patternFill patternType="darkUp">
          <fgColor rgb="FFFFC34B"/>
        </patternFill>
      </fill>
    </dxf>
    <dxf>
      <fill>
        <patternFill patternType="darkUp">
          <fgColor rgb="FFFFC34B"/>
        </patternFill>
      </fill>
    </dxf>
    <dxf>
      <fill>
        <patternFill patternType="darkUp">
          <fgColor rgb="FFFFC34B"/>
          <bgColor auto="1"/>
        </patternFill>
      </fill>
    </dxf>
    <dxf>
      <fill>
        <patternFill patternType="darkUp">
          <fgColor rgb="FFCCFFCC"/>
          <bgColor rgb="FF99FF99"/>
        </patternFill>
      </fill>
    </dxf>
    <dxf>
      <fill>
        <patternFill>
          <bgColor rgb="FF0070C0"/>
        </patternFill>
      </fill>
    </dxf>
    <dxf>
      <fill>
        <patternFill>
          <bgColor rgb="FFFF5050"/>
        </patternFill>
      </fill>
    </dxf>
    <dxf>
      <fill>
        <patternFill>
          <bgColor rgb="FFFFFF66"/>
        </patternFill>
      </fill>
    </dxf>
    <dxf>
      <fill>
        <patternFill>
          <bgColor rgb="FF66FF66"/>
        </patternFill>
      </fill>
    </dxf>
    <dxf>
      <fill>
        <patternFill>
          <bgColor rgb="FFFF9933"/>
        </patternFill>
      </fill>
    </dxf>
    <dxf>
      <fill>
        <patternFill>
          <bgColor rgb="FF7030A0"/>
        </patternFill>
      </fill>
    </dxf>
    <dxf>
      <fill>
        <patternFill>
          <bgColor theme="3" tint="0.39994506668294322"/>
        </patternFill>
      </fill>
    </dxf>
    <dxf>
      <font>
        <color theme="1" tint="0.14996795556505021"/>
      </font>
      <fill>
        <patternFill patternType="darkUp">
          <fgColor rgb="FF3FCDFF"/>
          <bgColor rgb="FF00B0F0"/>
        </patternFill>
      </fill>
    </dxf>
    <dxf>
      <font>
        <strike val="0"/>
        <color rgb="FFFF0000"/>
      </font>
    </dxf>
    <dxf>
      <font>
        <strike val="0"/>
        <color rgb="FFFF0000"/>
      </font>
    </dxf>
    <dxf>
      <font>
        <strike val="0"/>
        <color rgb="FFFF0000"/>
      </font>
    </dxf>
    <dxf>
      <fill>
        <patternFill patternType="darkUp">
          <fgColor rgb="FFFFC34B"/>
        </patternFill>
      </fill>
    </dxf>
    <dxf>
      <fill>
        <patternFill patternType="darkUp">
          <fgColor rgb="FFFFC34B"/>
        </patternFill>
      </fill>
    </dxf>
    <dxf>
      <fill>
        <patternFill patternType="darkUp">
          <fgColor rgb="FFFFC34B"/>
        </patternFill>
      </fill>
    </dxf>
    <dxf>
      <fill>
        <patternFill patternType="darkUp">
          <fgColor rgb="FFFFC34B"/>
          <bgColor auto="1"/>
        </patternFill>
      </fill>
    </dxf>
    <dxf>
      <fill>
        <patternFill patternType="darkUp">
          <fgColor rgb="FFCCFFCC"/>
          <bgColor rgb="FF99FF99"/>
        </patternFill>
      </fill>
    </dxf>
    <dxf>
      <fill>
        <patternFill>
          <bgColor rgb="FF0070C0"/>
        </patternFill>
      </fill>
    </dxf>
    <dxf>
      <fill>
        <patternFill>
          <bgColor rgb="FFFF5050"/>
        </patternFill>
      </fill>
    </dxf>
    <dxf>
      <fill>
        <patternFill>
          <bgColor rgb="FFFFFF66"/>
        </patternFill>
      </fill>
    </dxf>
    <dxf>
      <fill>
        <patternFill>
          <bgColor rgb="FF66FF66"/>
        </patternFill>
      </fill>
    </dxf>
    <dxf>
      <fill>
        <patternFill>
          <bgColor rgb="FFFF9933"/>
        </patternFill>
      </fill>
    </dxf>
    <dxf>
      <fill>
        <patternFill>
          <bgColor rgb="FF7030A0"/>
        </patternFill>
      </fill>
    </dxf>
    <dxf>
      <fill>
        <patternFill>
          <bgColor theme="3" tint="0.39994506668294322"/>
        </patternFill>
      </fill>
    </dxf>
    <dxf>
      <font>
        <color theme="1" tint="0.14996795556505021"/>
      </font>
      <fill>
        <patternFill patternType="darkUp">
          <fgColor rgb="FF3FCDFF"/>
          <bgColor rgb="FF00B0F0"/>
        </patternFill>
      </fill>
    </dxf>
    <dxf>
      <font>
        <strike val="0"/>
        <color rgb="FFFF0000"/>
      </font>
    </dxf>
    <dxf>
      <font>
        <strike val="0"/>
        <color rgb="FFFF0000"/>
      </font>
    </dxf>
    <dxf>
      <font>
        <strike val="0"/>
        <color rgb="FFFF0000"/>
      </font>
    </dxf>
    <dxf>
      <fill>
        <patternFill patternType="darkUp">
          <fgColor rgb="FFFFC34B"/>
        </patternFill>
      </fill>
    </dxf>
    <dxf>
      <fill>
        <patternFill patternType="darkUp">
          <fgColor rgb="FFFFC34B"/>
        </patternFill>
      </fill>
    </dxf>
    <dxf>
      <fill>
        <patternFill patternType="darkUp">
          <fgColor rgb="FFFFC34B"/>
        </patternFill>
      </fill>
    </dxf>
    <dxf>
      <fill>
        <patternFill patternType="darkUp">
          <fgColor rgb="FFFFC34B"/>
          <bgColor auto="1"/>
        </patternFill>
      </fill>
    </dxf>
    <dxf>
      <fill>
        <patternFill patternType="darkUp">
          <fgColor rgb="FFCCFFCC"/>
          <bgColor rgb="FF99FF99"/>
        </patternFill>
      </fill>
    </dxf>
    <dxf>
      <fill>
        <patternFill>
          <bgColor rgb="FF0070C0"/>
        </patternFill>
      </fill>
    </dxf>
    <dxf>
      <fill>
        <patternFill>
          <bgColor rgb="FFFF5050"/>
        </patternFill>
      </fill>
    </dxf>
    <dxf>
      <fill>
        <patternFill>
          <bgColor rgb="FFFFFF66"/>
        </patternFill>
      </fill>
    </dxf>
    <dxf>
      <fill>
        <patternFill>
          <bgColor rgb="FF66FF66"/>
        </patternFill>
      </fill>
    </dxf>
    <dxf>
      <fill>
        <patternFill>
          <bgColor rgb="FFFF9933"/>
        </patternFill>
      </fill>
    </dxf>
    <dxf>
      <fill>
        <patternFill>
          <bgColor rgb="FF7030A0"/>
        </patternFill>
      </fill>
    </dxf>
    <dxf>
      <fill>
        <patternFill>
          <bgColor theme="3" tint="0.39994506668294322"/>
        </patternFill>
      </fill>
    </dxf>
    <dxf>
      <fill>
        <patternFill patternType="darkUp">
          <fgColor rgb="FF66CCFF"/>
          <bgColor rgb="FF00B0F0"/>
        </patternFill>
      </fill>
    </dxf>
    <dxf>
      <font>
        <color theme="1" tint="0.14996795556505021"/>
      </font>
      <fill>
        <patternFill patternType="darkUp">
          <fgColor rgb="FF3FCDFF"/>
          <bgColor rgb="FF00B0F0"/>
        </patternFill>
      </fill>
    </dxf>
    <dxf>
      <font>
        <strike val="0"/>
        <color rgb="FFFF0000"/>
      </font>
    </dxf>
    <dxf>
      <font>
        <strike val="0"/>
        <color rgb="FFFF0000"/>
      </font>
    </dxf>
    <dxf>
      <font>
        <strike val="0"/>
        <color rgb="FFFF0000"/>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ill>
        <patternFill patternType="darkUp">
          <fgColor rgb="FFCCFFCC"/>
          <bgColor rgb="FF99FF99"/>
        </patternFill>
      </fill>
    </dxf>
    <dxf>
      <font>
        <strike val="0"/>
        <color rgb="FFFF0000"/>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
      <font>
        <strike val="0"/>
        <color theme="5" tint="0.39991454817346722"/>
      </font>
    </dxf>
  </dxfs>
  <tableStyles count="0" defaultTableStyle="TableStyleMedium2" defaultPivotStyle="PivotStyleLight16"/>
  <colors>
    <mruColors>
      <color rgb="FF3498DB"/>
      <color rgb="FFE2E2E2"/>
      <color rgb="FF5F81A3"/>
      <color rgb="FF34495E"/>
      <color rgb="FF345D4A"/>
      <color rgb="FF6A6060"/>
      <color rgb="FF9C978B"/>
      <color rgb="FF66CCFF"/>
      <color rgb="FF47CF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E$2"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8210550</xdr:colOff>
      <xdr:row>0</xdr:row>
      <xdr:rowOff>4705350</xdr:rowOff>
    </xdr:from>
    <xdr:to>
      <xdr:col>1</xdr:col>
      <xdr:colOff>0</xdr:colOff>
      <xdr:row>1</xdr:row>
      <xdr:rowOff>0</xdr:rowOff>
    </xdr:to>
    <xdr:sp macro="[0]!Go_to_draft" textlink="">
      <xdr:nvSpPr>
        <xdr:cNvPr id="3" name="Rectangle 2">
          <a:extLst>
            <a:ext uri="{FF2B5EF4-FFF2-40B4-BE49-F238E27FC236}">
              <a16:creationId xmlns:a16="http://schemas.microsoft.com/office/drawing/2014/main" id="{00000000-0008-0000-0000-000003000000}"/>
            </a:ext>
          </a:extLst>
        </xdr:cNvPr>
        <xdr:cNvSpPr/>
      </xdr:nvSpPr>
      <xdr:spPr>
        <a:xfrm>
          <a:off x="8210550" y="4705350"/>
          <a:ext cx="1943100" cy="304800"/>
        </a:xfrm>
        <a:prstGeom prst="rect">
          <a:avLst/>
        </a:prstGeom>
        <a:solidFill>
          <a:srgbClr val="5F81A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latin typeface="Arial" panose="020B0604020202020204" pitchFamily="34" charset="0"/>
              <a:cs typeface="Arial" panose="020B0604020202020204" pitchFamily="34" charset="0"/>
            </a:rPr>
            <a:t>Click to Draft</a:t>
          </a:r>
        </a:p>
      </xdr:txBody>
    </xdr:sp>
    <xdr:clientData/>
  </xdr:twoCellAnchor>
  <xdr:twoCellAnchor>
    <xdr:from>
      <xdr:col>0</xdr:col>
      <xdr:colOff>0</xdr:colOff>
      <xdr:row>0</xdr:row>
      <xdr:rowOff>4705350</xdr:rowOff>
    </xdr:from>
    <xdr:to>
      <xdr:col>0</xdr:col>
      <xdr:colOff>1943100</xdr:colOff>
      <xdr:row>1</xdr:row>
      <xdr:rowOff>0</xdr:rowOff>
    </xdr:to>
    <xdr:sp macro="[0]!Go_to_setup" textlink="">
      <xdr:nvSpPr>
        <xdr:cNvPr id="4" name="Rectangle 3">
          <a:extLst>
            <a:ext uri="{FF2B5EF4-FFF2-40B4-BE49-F238E27FC236}">
              <a16:creationId xmlns:a16="http://schemas.microsoft.com/office/drawing/2014/main" id="{00000000-0008-0000-0000-000004000000}"/>
            </a:ext>
          </a:extLst>
        </xdr:cNvPr>
        <xdr:cNvSpPr/>
      </xdr:nvSpPr>
      <xdr:spPr>
        <a:xfrm>
          <a:off x="0" y="4705350"/>
          <a:ext cx="1943100" cy="304800"/>
        </a:xfrm>
        <a:prstGeom prst="rect">
          <a:avLst/>
        </a:prstGeom>
        <a:solidFill>
          <a:srgbClr val="5F81A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latin typeface="Arial" panose="020B0604020202020204" pitchFamily="34" charset="0"/>
              <a:cs typeface="Arial" panose="020B0604020202020204" pitchFamily="34" charset="0"/>
            </a:rPr>
            <a:t>Click to Setup</a:t>
          </a:r>
        </a:p>
      </xdr:txBody>
    </xdr:sp>
    <xdr:clientData/>
  </xdr:twoCellAnchor>
  <xdr:twoCellAnchor editAs="oneCell">
    <xdr:from>
      <xdr:col>0</xdr:col>
      <xdr:colOff>4029075</xdr:colOff>
      <xdr:row>0</xdr:row>
      <xdr:rowOff>676275</xdr:rowOff>
    </xdr:from>
    <xdr:to>
      <xdr:col>0</xdr:col>
      <xdr:colOff>6181456</xdr:colOff>
      <xdr:row>0</xdr:row>
      <xdr:rowOff>3666751</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29075" y="676275"/>
          <a:ext cx="2152381" cy="29904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38100</xdr:colOff>
      <xdr:row>194</xdr:row>
      <xdr:rowOff>66675</xdr:rowOff>
    </xdr:from>
    <xdr:to>
      <xdr:col>5</xdr:col>
      <xdr:colOff>142875</xdr:colOff>
      <xdr:row>196</xdr:row>
      <xdr:rowOff>104775</xdr:rowOff>
    </xdr:to>
    <xdr:cxnSp macro="">
      <xdr:nvCxnSpPr>
        <xdr:cNvPr id="12" name="Straight Arrow Connector 11">
          <a:extLst>
            <a:ext uri="{FF2B5EF4-FFF2-40B4-BE49-F238E27FC236}">
              <a16:creationId xmlns:a16="http://schemas.microsoft.com/office/drawing/2014/main" id="{00000000-0008-0000-0100-00000C000000}"/>
            </a:ext>
          </a:extLst>
        </xdr:cNvPr>
        <xdr:cNvCxnSpPr/>
      </xdr:nvCxnSpPr>
      <xdr:spPr>
        <a:xfrm>
          <a:off x="1447800" y="30480000"/>
          <a:ext cx="609600" cy="419100"/>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5</xdr:col>
          <xdr:colOff>9525</xdr:colOff>
          <xdr:row>190</xdr:row>
          <xdr:rowOff>19050</xdr:rowOff>
        </xdr:from>
        <xdr:to>
          <xdr:col>5</xdr:col>
          <xdr:colOff>1209675</xdr:colOff>
          <xdr:row>191</xdr:row>
          <xdr:rowOff>190500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192</xdr:row>
          <xdr:rowOff>9525</xdr:rowOff>
        </xdr:from>
        <xdr:to>
          <xdr:col>5</xdr:col>
          <xdr:colOff>1209675</xdr:colOff>
          <xdr:row>193</xdr:row>
          <xdr:rowOff>190500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190</xdr:row>
          <xdr:rowOff>114300</xdr:rowOff>
        </xdr:from>
        <xdr:to>
          <xdr:col>8</xdr:col>
          <xdr:colOff>409575</xdr:colOff>
          <xdr:row>193</xdr:row>
          <xdr:rowOff>66675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5</xdr:col>
      <xdr:colOff>1362075</xdr:colOff>
      <xdr:row>215</xdr:row>
      <xdr:rowOff>180975</xdr:rowOff>
    </xdr:from>
    <xdr:to>
      <xdr:col>9</xdr:col>
      <xdr:colOff>228600</xdr:colOff>
      <xdr:row>217</xdr:row>
      <xdr:rowOff>0</xdr:rowOff>
    </xdr:to>
    <xdr:sp macro="" textlink="">
      <xdr:nvSpPr>
        <xdr:cNvPr id="8" name="Rectangle 7">
          <a:extLst>
            <a:ext uri="{FF2B5EF4-FFF2-40B4-BE49-F238E27FC236}">
              <a16:creationId xmlns:a16="http://schemas.microsoft.com/office/drawing/2014/main" id="{00000000-0008-0000-0100-000008000000}"/>
            </a:ext>
          </a:extLst>
        </xdr:cNvPr>
        <xdr:cNvSpPr/>
      </xdr:nvSpPr>
      <xdr:spPr>
        <a:xfrm>
          <a:off x="3276600" y="35918775"/>
          <a:ext cx="2457450" cy="304800"/>
        </a:xfrm>
        <a:prstGeom prst="rect">
          <a:avLst/>
        </a:prstGeom>
        <a:gradFill>
          <a:gsLst>
            <a:gs pos="0">
              <a:schemeClr val="bg1">
                <a:lumMod val="95000"/>
              </a:schemeClr>
            </a:gs>
            <a:gs pos="83000">
              <a:schemeClr val="bg1">
                <a:lumMod val="85000"/>
              </a:schemeClr>
            </a:gs>
            <a:gs pos="100000">
              <a:schemeClr val="bg1">
                <a:lumMod val="95000"/>
              </a:schemeClr>
            </a:gs>
          </a:gsLst>
          <a:lin ang="5400000" scaled="1"/>
        </a:gradFill>
        <a:ln w="127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800">
              <a:solidFill>
                <a:schemeClr val="tx1">
                  <a:lumMod val="50000"/>
                  <a:lumOff val="50000"/>
                </a:schemeClr>
              </a:solidFill>
              <a:effectLst/>
              <a:latin typeface="+mn-lt"/>
              <a:cs typeface="Arial" panose="020B0604020202020204" pitchFamily="34" charset="0"/>
            </a:rPr>
            <a:t>Click to Draft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1</xdr:row>
          <xdr:rowOff>0</xdr:rowOff>
        </xdr:from>
        <xdr:to>
          <xdr:col>38</xdr:col>
          <xdr:colOff>57150</xdr:colOff>
          <xdr:row>2</xdr:row>
          <xdr:rowOff>0</xdr:rowOff>
        </xdr:to>
        <xdr:sp macro="" textlink="">
          <xdr:nvSpPr>
            <xdr:cNvPr id="61449" name="TempCombo" hidden="1">
              <a:extLst>
                <a:ext uri="{63B3BB69-23CF-44E3-9099-C40C66FF867C}">
                  <a14:compatExt spid="_x0000_s61449"/>
                </a:ext>
                <a:ext uri="{FF2B5EF4-FFF2-40B4-BE49-F238E27FC236}">
                  <a16:creationId xmlns:a16="http://schemas.microsoft.com/office/drawing/2014/main" id="{00000000-0008-0000-02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552450</xdr:colOff>
      <xdr:row>1</xdr:row>
      <xdr:rowOff>0</xdr:rowOff>
    </xdr:from>
    <xdr:to>
      <xdr:col>28</xdr:col>
      <xdr:colOff>276225</xdr:colOff>
      <xdr:row>2</xdr:row>
      <xdr:rowOff>0</xdr:rowOff>
    </xdr:to>
    <xdr:sp macro="[0]!Draft" textlink="">
      <xdr:nvSpPr>
        <xdr:cNvPr id="2" name="Rectangle 1">
          <a:extLst>
            <a:ext uri="{FF2B5EF4-FFF2-40B4-BE49-F238E27FC236}">
              <a16:creationId xmlns:a16="http://schemas.microsoft.com/office/drawing/2014/main" id="{00000000-0008-0000-0200-000002000000}"/>
            </a:ext>
          </a:extLst>
        </xdr:cNvPr>
        <xdr:cNvSpPr/>
      </xdr:nvSpPr>
      <xdr:spPr>
        <a:xfrm>
          <a:off x="5857875" y="190500"/>
          <a:ext cx="2457450" cy="419100"/>
        </a:xfrm>
        <a:prstGeom prst="rect">
          <a:avLst/>
        </a:prstGeom>
        <a:gradFill>
          <a:gsLst>
            <a:gs pos="0">
              <a:schemeClr val="bg1">
                <a:lumMod val="95000"/>
              </a:schemeClr>
            </a:gs>
            <a:gs pos="83000">
              <a:schemeClr val="bg1">
                <a:lumMod val="85000"/>
              </a:schemeClr>
            </a:gs>
            <a:gs pos="100000">
              <a:schemeClr val="bg1">
                <a:lumMod val="95000"/>
              </a:schemeClr>
            </a:gs>
          </a:gsLst>
          <a:lin ang="5400000" scaled="1"/>
        </a:gradFill>
        <a:ln w="127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800">
              <a:solidFill>
                <a:schemeClr val="tx1">
                  <a:lumMod val="50000"/>
                  <a:lumOff val="50000"/>
                </a:schemeClr>
              </a:solidFill>
              <a:effectLst/>
              <a:latin typeface="+mn-lt"/>
              <a:cs typeface="Arial" panose="020B0604020202020204" pitchFamily="34" charset="0"/>
            </a:rPr>
            <a:t>Click to Draft</a:t>
          </a:r>
        </a:p>
      </xdr:txBody>
    </xdr:sp>
    <xdr:clientData/>
  </xdr:twoCellAnchor>
  <xdr:twoCellAnchor>
    <xdr:from>
      <xdr:col>0</xdr:col>
      <xdr:colOff>285751</xdr:colOff>
      <xdr:row>0</xdr:row>
      <xdr:rowOff>190499</xdr:rowOff>
    </xdr:from>
    <xdr:to>
      <xdr:col>2</xdr:col>
      <xdr:colOff>1466850</xdr:colOff>
      <xdr:row>2</xdr:row>
      <xdr:rowOff>47624</xdr:rowOff>
    </xdr:to>
    <xdr:sp macro="[0]!_xludf.Undo" textlink="">
      <xdr:nvSpPr>
        <xdr:cNvPr id="4" name="Rectangle 3">
          <a:extLst>
            <a:ext uri="{FF2B5EF4-FFF2-40B4-BE49-F238E27FC236}">
              <a16:creationId xmlns:a16="http://schemas.microsoft.com/office/drawing/2014/main" id="{00000000-0008-0000-0200-000004000000}"/>
            </a:ext>
          </a:extLst>
        </xdr:cNvPr>
        <xdr:cNvSpPr/>
      </xdr:nvSpPr>
      <xdr:spPr>
        <a:xfrm>
          <a:off x="285751" y="190499"/>
          <a:ext cx="1571624" cy="466725"/>
        </a:xfrm>
        <a:prstGeom prst="rect">
          <a:avLst/>
        </a:prstGeom>
        <a:gradFill>
          <a:gsLst>
            <a:gs pos="0">
              <a:schemeClr val="bg1">
                <a:lumMod val="85000"/>
              </a:schemeClr>
            </a:gs>
            <a:gs pos="85000">
              <a:schemeClr val="bg1">
                <a:lumMod val="75000"/>
              </a:schemeClr>
            </a:gs>
            <a:gs pos="100000">
              <a:schemeClr val="bg1">
                <a:lumMod val="75000"/>
              </a:schemeClr>
            </a:gs>
          </a:gsLst>
          <a:lin ang="5400000" scaled="1"/>
        </a:gra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chemeClr val="tx1">
                  <a:lumMod val="75000"/>
                  <a:lumOff val="25000"/>
                </a:schemeClr>
              </a:solidFill>
              <a:latin typeface="+mn-lt"/>
              <a:cs typeface="Arial" panose="020B0604020202020204" pitchFamily="34" charset="0"/>
            </a:rPr>
            <a:t>Undo</a:t>
          </a:r>
        </a:p>
      </xdr:txBody>
    </xdr:sp>
    <xdr:clientData/>
  </xdr:twoCellAnchor>
  <xdr:twoCellAnchor>
    <xdr:from>
      <xdr:col>61</xdr:col>
      <xdr:colOff>9525</xdr:colOff>
      <xdr:row>1</xdr:row>
      <xdr:rowOff>0</xdr:rowOff>
    </xdr:from>
    <xdr:to>
      <xdr:col>62</xdr:col>
      <xdr:colOff>57149</xdr:colOff>
      <xdr:row>2</xdr:row>
      <xdr:rowOff>47625</xdr:rowOff>
    </xdr:to>
    <xdr:sp macro="[0]!Draft_Reset" textlink="">
      <xdr:nvSpPr>
        <xdr:cNvPr id="5" name="Rectangle 4">
          <a:extLst>
            <a:ext uri="{FF2B5EF4-FFF2-40B4-BE49-F238E27FC236}">
              <a16:creationId xmlns:a16="http://schemas.microsoft.com/office/drawing/2014/main" id="{00000000-0008-0000-0200-000005000000}"/>
            </a:ext>
          </a:extLst>
        </xdr:cNvPr>
        <xdr:cNvSpPr/>
      </xdr:nvSpPr>
      <xdr:spPr>
        <a:xfrm>
          <a:off x="15659100" y="190500"/>
          <a:ext cx="1571624" cy="466725"/>
        </a:xfrm>
        <a:prstGeom prst="rect">
          <a:avLst/>
        </a:prstGeom>
        <a:gradFill>
          <a:gsLst>
            <a:gs pos="0">
              <a:schemeClr val="bg1">
                <a:lumMod val="85000"/>
              </a:schemeClr>
            </a:gs>
            <a:gs pos="85000">
              <a:schemeClr val="bg1">
                <a:lumMod val="75000"/>
              </a:schemeClr>
            </a:gs>
            <a:gs pos="100000">
              <a:schemeClr val="bg1">
                <a:lumMod val="75000"/>
              </a:schemeClr>
            </a:gs>
          </a:gsLst>
          <a:lin ang="5400000" scaled="1"/>
        </a:gra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chemeClr val="tx1">
                  <a:lumMod val="75000"/>
                  <a:lumOff val="25000"/>
                </a:schemeClr>
              </a:solidFill>
              <a:latin typeface="+mn-lt"/>
              <a:cs typeface="Arial" panose="020B0604020202020204" pitchFamily="34" charset="0"/>
            </a:rPr>
            <a:t>Reset Draft</a:t>
          </a:r>
        </a:p>
      </xdr:txBody>
    </xdr:sp>
    <xdr:clientData/>
  </xdr:twoCellAnchor>
  <mc:AlternateContent xmlns:mc="http://schemas.openxmlformats.org/markup-compatibility/2006">
    <mc:Choice xmlns:a14="http://schemas.microsoft.com/office/drawing/2010/main" Requires="a14">
      <xdr:twoCellAnchor editAs="oneCell">
        <xdr:from>
          <xdr:col>9</xdr:col>
          <xdr:colOff>152400</xdr:colOff>
          <xdr:row>1</xdr:row>
          <xdr:rowOff>409575</xdr:rowOff>
        </xdr:from>
        <xdr:to>
          <xdr:col>11</xdr:col>
          <xdr:colOff>133350</xdr:colOff>
          <xdr:row>3</xdr:row>
          <xdr:rowOff>19050</xdr:rowOff>
        </xdr:to>
        <xdr:sp macro="" textlink="">
          <xdr:nvSpPr>
            <xdr:cNvPr id="61453" name="Check Box 13" hidden="1">
              <a:extLst>
                <a:ext uri="{63B3BB69-23CF-44E3-9099-C40C66FF867C}">
                  <a14:compatExt spid="_x0000_s61453"/>
                </a:ext>
                <a:ext uri="{FF2B5EF4-FFF2-40B4-BE49-F238E27FC236}">
                  <a16:creationId xmlns:a16="http://schemas.microsoft.com/office/drawing/2014/main" id="{00000000-0008-0000-0200-00000DF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62</xdr:row>
          <xdr:rowOff>28575</xdr:rowOff>
        </xdr:from>
        <xdr:to>
          <xdr:col>2</xdr:col>
          <xdr:colOff>1152525</xdr:colOff>
          <xdr:row>63</xdr:row>
          <xdr:rowOff>104775</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300-00000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0</xdr:row>
          <xdr:rowOff>0</xdr:rowOff>
        </xdr:from>
        <xdr:to>
          <xdr:col>3</xdr:col>
          <xdr:colOff>323850</xdr:colOff>
          <xdr:row>1</xdr:row>
          <xdr:rowOff>180975</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57150</xdr:rowOff>
        </xdr:from>
        <xdr:to>
          <xdr:col>3</xdr:col>
          <xdr:colOff>1390650</xdr:colOff>
          <xdr:row>2</xdr:row>
          <xdr:rowOff>133350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500-000004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142875</xdr:rowOff>
        </xdr:from>
        <xdr:to>
          <xdr:col>3</xdr:col>
          <xdr:colOff>1390650</xdr:colOff>
          <xdr:row>4</xdr:row>
          <xdr:rowOff>142875</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500-000005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304800</xdr:colOff>
          <xdr:row>1</xdr:row>
          <xdr:rowOff>123825</xdr:rowOff>
        </xdr:from>
        <xdr:to>
          <xdr:col>7</xdr:col>
          <xdr:colOff>466725</xdr:colOff>
          <xdr:row>4</xdr:row>
          <xdr:rowOff>57150</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500-000006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19050</xdr:rowOff>
        </xdr:from>
        <xdr:to>
          <xdr:col>4</xdr:col>
          <xdr:colOff>0</xdr:colOff>
          <xdr:row>1</xdr:row>
          <xdr:rowOff>190500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7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4</xdr:col>
          <xdr:colOff>0</xdr:colOff>
          <xdr:row>4</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7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0</xdr:row>
          <xdr:rowOff>114300</xdr:rowOff>
        </xdr:from>
        <xdr:to>
          <xdr:col>6</xdr:col>
          <xdr:colOff>9525</xdr:colOff>
          <xdr:row>3</xdr:row>
          <xdr:rowOff>57150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7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19050</xdr:rowOff>
        </xdr:from>
        <xdr:to>
          <xdr:col>4</xdr:col>
          <xdr:colOff>0</xdr:colOff>
          <xdr:row>1</xdr:row>
          <xdr:rowOff>190500</xdr:rowOff>
        </xdr:to>
        <xdr:sp macro="" textlink="">
          <xdr:nvSpPr>
            <xdr:cNvPr id="50180" name="Button 4" hidden="1">
              <a:extLst>
                <a:ext uri="{63B3BB69-23CF-44E3-9099-C40C66FF867C}">
                  <a14:compatExt spid="_x0000_s50180"/>
                </a:ext>
                <a:ext uri="{FF2B5EF4-FFF2-40B4-BE49-F238E27FC236}">
                  <a16:creationId xmlns:a16="http://schemas.microsoft.com/office/drawing/2014/main" id="{00000000-0008-0000-0800-000004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4</xdr:col>
          <xdr:colOff>0</xdr:colOff>
          <xdr:row>4</xdr:row>
          <xdr:rowOff>0</xdr:rowOff>
        </xdr:to>
        <xdr:sp macro="" textlink="">
          <xdr:nvSpPr>
            <xdr:cNvPr id="50181" name="Button 5" hidden="1">
              <a:extLst>
                <a:ext uri="{63B3BB69-23CF-44E3-9099-C40C66FF867C}">
                  <a14:compatExt spid="_x0000_s50181"/>
                </a:ext>
                <a:ext uri="{FF2B5EF4-FFF2-40B4-BE49-F238E27FC236}">
                  <a16:creationId xmlns:a16="http://schemas.microsoft.com/office/drawing/2014/main" id="{00000000-0008-0000-0800-000005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0</xdr:row>
          <xdr:rowOff>114300</xdr:rowOff>
        </xdr:from>
        <xdr:to>
          <xdr:col>5</xdr:col>
          <xdr:colOff>676275</xdr:colOff>
          <xdr:row>3</xdr:row>
          <xdr:rowOff>47625</xdr:rowOff>
        </xdr:to>
        <xdr:sp macro="" textlink="">
          <xdr:nvSpPr>
            <xdr:cNvPr id="50182" name="Button 6" hidden="1">
              <a:extLst>
                <a:ext uri="{63B3BB69-23CF-44E3-9099-C40C66FF867C}">
                  <a14:compatExt spid="_x0000_s50182"/>
                </a:ext>
                <a:ext uri="{FF2B5EF4-FFF2-40B4-BE49-F238E27FC236}">
                  <a16:creationId xmlns:a16="http://schemas.microsoft.com/office/drawing/2014/main" id="{00000000-0008-0000-0800-000006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19050</xdr:rowOff>
        </xdr:from>
        <xdr:to>
          <xdr:col>4</xdr:col>
          <xdr:colOff>0</xdr:colOff>
          <xdr:row>1</xdr:row>
          <xdr:rowOff>190500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900-000004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4</xdr:col>
          <xdr:colOff>0</xdr:colOff>
          <xdr:row>4</xdr:row>
          <xdr:rowOff>0</xdr:rowOff>
        </xdr:to>
        <xdr:sp macro="" textlink="">
          <xdr:nvSpPr>
            <xdr:cNvPr id="24581" name="Button 5" hidden="1">
              <a:extLst>
                <a:ext uri="{63B3BB69-23CF-44E3-9099-C40C66FF867C}">
                  <a14:compatExt spid="_x0000_s24581"/>
                </a:ext>
                <a:ext uri="{FF2B5EF4-FFF2-40B4-BE49-F238E27FC236}">
                  <a16:creationId xmlns:a16="http://schemas.microsoft.com/office/drawing/2014/main" id="{00000000-0008-0000-0900-000005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0</xdr:row>
          <xdr:rowOff>114300</xdr:rowOff>
        </xdr:from>
        <xdr:to>
          <xdr:col>5</xdr:col>
          <xdr:colOff>676275</xdr:colOff>
          <xdr:row>3</xdr:row>
          <xdr:rowOff>38100</xdr:rowOff>
        </xdr:to>
        <xdr:sp macro="" textlink="">
          <xdr:nvSpPr>
            <xdr:cNvPr id="24582" name="Button 6" hidden="1">
              <a:extLst>
                <a:ext uri="{63B3BB69-23CF-44E3-9099-C40C66FF867C}">
                  <a14:compatExt spid="_x0000_s24582"/>
                </a:ext>
                <a:ext uri="{FF2B5EF4-FFF2-40B4-BE49-F238E27FC236}">
                  <a16:creationId xmlns:a16="http://schemas.microsoft.com/office/drawing/2014/main" id="{00000000-0008-0000-0900-000006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19050</xdr:rowOff>
        </xdr:from>
        <xdr:to>
          <xdr:col>4</xdr:col>
          <xdr:colOff>0</xdr:colOff>
          <xdr:row>1</xdr:row>
          <xdr:rowOff>190500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A00-000004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4</xdr:col>
          <xdr:colOff>0</xdr:colOff>
          <xdr:row>4</xdr:row>
          <xdr:rowOff>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A00-000005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0</xdr:row>
          <xdr:rowOff>104775</xdr:rowOff>
        </xdr:from>
        <xdr:to>
          <xdr:col>5</xdr:col>
          <xdr:colOff>666750</xdr:colOff>
          <xdr:row>3</xdr:row>
          <xdr:rowOff>38100</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0A00-000006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19050</xdr:rowOff>
        </xdr:from>
        <xdr:to>
          <xdr:col>4</xdr:col>
          <xdr:colOff>0</xdr:colOff>
          <xdr:row>2</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B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4</xdr:col>
          <xdr:colOff>0</xdr:colOff>
          <xdr:row>4</xdr:row>
          <xdr:rowOff>0</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B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200025</xdr:colOff>
          <xdr:row>0</xdr:row>
          <xdr:rowOff>123825</xdr:rowOff>
        </xdr:from>
        <xdr:to>
          <xdr:col>4</xdr:col>
          <xdr:colOff>1200150</xdr:colOff>
          <xdr:row>3</xdr:row>
          <xdr:rowOff>57150</xdr:rowOff>
        </xdr:to>
        <xdr:sp macro="" textlink="">
          <xdr:nvSpPr>
            <xdr:cNvPr id="59398" name="Button 6" hidden="1">
              <a:extLst>
                <a:ext uri="{63B3BB69-23CF-44E3-9099-C40C66FF867C}">
                  <a14:compatExt spid="_x0000_s59398"/>
                </a:ext>
                <a:ext uri="{FF2B5EF4-FFF2-40B4-BE49-F238E27FC236}">
                  <a16:creationId xmlns:a16="http://schemas.microsoft.com/office/drawing/2014/main" id="{00000000-0008-0000-0B00-000006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19050</xdr:rowOff>
        </xdr:from>
        <xdr:to>
          <xdr:col>4</xdr:col>
          <xdr:colOff>0</xdr:colOff>
          <xdr:row>2</xdr:row>
          <xdr:rowOff>0</xdr:rowOff>
        </xdr:to>
        <xdr:sp macro="" textlink="">
          <xdr:nvSpPr>
            <xdr:cNvPr id="60420" name="Button 4" hidden="1">
              <a:extLst>
                <a:ext uri="{63B3BB69-23CF-44E3-9099-C40C66FF867C}">
                  <a14:compatExt spid="_x0000_s60420"/>
                </a:ext>
                <a:ext uri="{FF2B5EF4-FFF2-40B4-BE49-F238E27FC236}">
                  <a16:creationId xmlns:a16="http://schemas.microsoft.com/office/drawing/2014/main" id="{00000000-0008-0000-0C00-000004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4</xdr:col>
          <xdr:colOff>0</xdr:colOff>
          <xdr:row>4</xdr:row>
          <xdr:rowOff>0</xdr:rowOff>
        </xdr:to>
        <xdr:sp macro="" textlink="">
          <xdr:nvSpPr>
            <xdr:cNvPr id="60421" name="Button 5" hidden="1">
              <a:extLst>
                <a:ext uri="{63B3BB69-23CF-44E3-9099-C40C66FF867C}">
                  <a14:compatExt spid="_x0000_s60421"/>
                </a:ext>
                <a:ext uri="{FF2B5EF4-FFF2-40B4-BE49-F238E27FC236}">
                  <a16:creationId xmlns:a16="http://schemas.microsoft.com/office/drawing/2014/main" id="{00000000-0008-0000-0C00-000005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285750</xdr:colOff>
          <xdr:row>0</xdr:row>
          <xdr:rowOff>123825</xdr:rowOff>
        </xdr:from>
        <xdr:to>
          <xdr:col>6</xdr:col>
          <xdr:colOff>0</xdr:colOff>
          <xdr:row>3</xdr:row>
          <xdr:rowOff>57150</xdr:rowOff>
        </xdr:to>
        <xdr:sp macro="" textlink="">
          <xdr:nvSpPr>
            <xdr:cNvPr id="60422" name="Button 6" hidden="1">
              <a:extLst>
                <a:ext uri="{63B3BB69-23CF-44E3-9099-C40C66FF867C}">
                  <a14:compatExt spid="_x0000_s60422"/>
                </a:ext>
                <a:ext uri="{FF2B5EF4-FFF2-40B4-BE49-F238E27FC236}">
                  <a16:creationId xmlns:a16="http://schemas.microsoft.com/office/drawing/2014/main" id="{00000000-0008-0000-0C00-000006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ruuk Daruuk" refreshedDate="45152.986481712964" createdVersion="6" refreshedVersion="8" minRefreshableVersion="3" recordCount="970" xr:uid="{00000000-000A-0000-FFFF-FFFF03000000}">
  <cacheSource type="worksheet">
    <worksheetSource ref="A1:A1000" sheet="FFARawStatProjections"/>
  </cacheSource>
  <cacheFields count="1">
    <cacheField name="player" numFmtId="0">
      <sharedItems containsBlank="1" count="1164">
        <s v="Patrick Mahomes"/>
        <s v="Josh Allen"/>
        <s v="Jalen Hurts"/>
        <s v="Lamar Jackson"/>
        <s v="Joe Burrow"/>
        <s v="Justin Fields"/>
        <s v="Justin Herbert"/>
        <s v="Deshaun Watson"/>
        <s v="Dak Prescott"/>
        <s v="Trevor Lawrence"/>
        <s v="Kirk Cousins"/>
        <s v="Daniel Jones"/>
        <s v="Geno Smith"/>
        <s v="Aaron Rodgers"/>
        <s v="Russell Wilson"/>
        <s v="Jared Goff"/>
        <s v="Tua Tagovailoa"/>
        <s v="Anthony Richardson"/>
        <s v="Derek Carr"/>
        <s v="Kenny Pickett"/>
        <s v="Jordan Love"/>
        <s v="Matthew Stafford"/>
        <s v="Bryce Young"/>
        <s v="Brock Purdy"/>
        <s v="Jimmy Garoppolo"/>
        <s v="CJ Stroud"/>
        <s v="Ryan Tannehill"/>
        <s v="Mac Jones"/>
        <s v="Kyler Murray"/>
        <s v="Sam Howell"/>
        <s v="Desmond Ridder"/>
        <s v="Baker Mayfield"/>
        <s v="Jacoby Brissett"/>
        <s v="Kyle Trask"/>
        <s v="Colt McCoy"/>
        <s v="Will Levis"/>
        <s v="Trey Lance"/>
        <s v="Brian Hoyer"/>
        <s v="Taylor Heinicke"/>
        <s v="Gardner Minshew"/>
        <s v="Sam Darnold"/>
        <s v="Mike White"/>
        <s v="Bailey Zappe"/>
        <s v="Clayton Tune"/>
        <s v="Davis Mills"/>
        <s v="Tyrod Taylor"/>
        <s v="Marcus Mariota"/>
        <s v="Brett Rypien"/>
        <s v="Tyler Huntley"/>
        <s v="Mitch Trubisky"/>
        <s v="Andy Dalton"/>
        <s v="Jarrett Stidham"/>
        <s v="Sean Clifford"/>
        <s v="Teddy Bridgewater"/>
        <s v="Easton Stick"/>
        <s v="Nick Mullens"/>
        <s v="Jameis Winston"/>
        <s v="Trevor Siemian"/>
        <s v="PJ Walker"/>
        <s v="Joshua Dobbs"/>
        <s v="Blaine Gabbert"/>
        <s v="Zach Wilson"/>
        <s v="Stetson Bennett"/>
        <s v="Drew Lock"/>
        <s v="Hendon Hooker"/>
        <s v="CJ Beathard"/>
        <s v="Cooper Rush"/>
        <s v="Kyle Allen"/>
        <s v="David Blough"/>
        <s v="Malik Willis"/>
        <s v="Aidan OConnell"/>
        <s v="Matt Barkley"/>
        <s v="Dorian Thompson-Robinson"/>
        <s v="Max Duggan"/>
        <s v="Jaren Hall"/>
        <s v="Tanner McKee"/>
        <s v="Skylar Thompson"/>
        <s v="Jake Haener"/>
        <s v="Case Keenum"/>
        <s v="Matt Corral"/>
        <s v="Mason Rudolph"/>
        <s v="Nate Sudfeld"/>
        <s v="Tommy DeVito"/>
        <s v="Shane Buechele"/>
        <s v="Will Grier"/>
        <s v="Josh Johnson"/>
        <m/>
        <s v="Christian McCaffrey"/>
        <s v="Austin Ekeler"/>
        <s v="Nick Chubb"/>
        <s v="Derrick Henry"/>
        <s v="Bijan Robinson"/>
        <s v="Josh Jacobs"/>
        <s v="Tony Pollard"/>
        <s v="Saquon Barkley"/>
        <s v="Jonathan Taylor"/>
        <s v="Joe Mixon"/>
        <s v="Rhamondre Stevenson"/>
        <s v="Breece Hall"/>
        <s v="Aaron Jones"/>
        <s v="Najee Harris"/>
        <s v="Travis Etienne"/>
        <s v="Kenneth Walker"/>
        <s v="Alexander Mattison"/>
        <s v="James Conner"/>
        <s v="Dameon Pierce"/>
        <s v="Jahmyr Gibbs"/>
        <s v="Miles Sanders"/>
        <s v="Cam Akers"/>
        <s v="Isiah Pacheco"/>
        <s v="JK Dobbins"/>
        <s v="Rachaad White"/>
        <s v="David Montgomery"/>
        <s v="Javonte Williams"/>
        <s v="James Cook"/>
        <s v="Alvin Kamara"/>
        <s v="AJ Dillon"/>
        <s v="Brian Robinson"/>
        <s v="DAndre Swift"/>
        <s v="Dalvin Cook"/>
        <s v="Khalil Herbert"/>
        <s v="Samaje Perine"/>
        <s v="Antonio Gibson"/>
        <s v="Jeff Wilson"/>
        <s v="Rashaad Penny"/>
        <s v="Jamaal Williams"/>
        <s v="Elijah Mitchell"/>
        <s v="Raheem Mostert"/>
        <s v="Tyler Allgeier"/>
        <s v="DOnta Foreman"/>
        <s v="Damien Harris"/>
        <s v="Zach Charbonnet"/>
        <s v="Devin Singletary"/>
        <s v="Chuba Hubbard"/>
        <s v="Jaylen Warren"/>
        <s v="DeVon Achane"/>
        <s v="Ezekiel Elliott"/>
        <s v="Kenneth Gainwell"/>
        <s v="Jerick McKinnon"/>
        <s v="Gus Edwards"/>
        <s v="Tank Bigsby"/>
        <s v="Chase Edmonds"/>
        <s v="Roschon Johnson"/>
        <s v="Cordarrelle Patterson"/>
        <s v="Joshua Kelley"/>
        <s v="Clyde Edwards-Helaire"/>
        <s v="Tyjae Spears"/>
        <s v="Zonovan Knight"/>
        <s v="Michael Carter"/>
        <s v="Kendre Miller"/>
        <s v="Chase Brown"/>
        <s v="Ronald Jones"/>
        <s v="Kyren Williams"/>
        <s v="Jerome Ford"/>
        <s v="Ty Chandler"/>
        <s v="Pierre Strong"/>
        <s v="Keaontay Ingram"/>
        <s v="Israel Abanikanda"/>
        <s v="Latavius Murray"/>
        <s v="Matt Breida"/>
        <s v="Isaiah Spiller"/>
        <s v="Zack Moss"/>
        <s v="Zamir White"/>
        <s v="Zach Evans"/>
        <s v="Kenyan Drake"/>
        <s v="Corey Clement"/>
        <s v="Malik Davis"/>
        <s v="Eric Gray"/>
        <s v="JaMycal Hasty"/>
        <s v="Melvin Gordon"/>
        <s v="Jordan Mason"/>
        <s v="Ty Montgomery"/>
        <s v="Kevin Harris"/>
        <s v="KeShawn Vaughn"/>
        <s v="DeeJay Dallas"/>
        <s v="Ameer Abdullah"/>
        <s v="Hassan Haskins"/>
        <s v="Trayveon Williams"/>
        <s v="Raheem Blackshear"/>
        <s v="Evan Hull"/>
        <s v="Chris Rodriguez"/>
        <s v="Kene Nwangwu"/>
        <s v="DeWayne McBride"/>
        <s v="Deon Jackson"/>
        <s v="Craig Reynolds"/>
        <s v="Deuce Vaughn"/>
        <s v="Sean Tucker"/>
        <s v="Boston Scott"/>
        <s v="Sincere McCormick"/>
        <s v="Anthony McFarland"/>
        <s v="Chris Evans"/>
        <s v="Kenny McIntosh"/>
        <s v="Patrick Taylor"/>
        <s v="Rico Dowdle"/>
        <s v="Travis Homer"/>
        <s v="James Robinson"/>
        <s v="DErnest Johnson"/>
        <s v="Kyle Juszczyk"/>
        <s v="Darrel Williams"/>
        <s v="Gary Brightwell"/>
        <s v="Jonathan Williams"/>
        <s v="Damien Williams"/>
        <s v="Deneric Prince"/>
        <s v="Hunter Luepke"/>
        <s v="Dare Ogunbowale"/>
        <s v="JJ Taylor"/>
        <s v="Demetric Felton"/>
        <s v="Tyler Badie"/>
        <s v="John Kelly"/>
        <s v="Tyrion Davis-Price"/>
        <s v="Tony Jones"/>
        <s v="Salvon Ahmed"/>
        <s v="Lew Nichols"/>
        <s v="Myles Gaskin"/>
        <s v="Brandon Bolden"/>
        <s v="Darrynton Evans"/>
        <s v="Mohamed Ibrahim"/>
        <s v="Justice Hill"/>
        <s v="TySon Williams"/>
        <s v="Kirk Merritt"/>
        <s v="Reggie Gilliam"/>
        <s v="Keaton Mitchell"/>
        <s v="Brittain Brown"/>
        <s v="CJ Ham"/>
        <s v="Snoop Conner"/>
        <s v="Royce Freeman"/>
        <s v="Alec Ingold"/>
        <s v="Zander Horvath"/>
        <s v="Mike Boone"/>
        <s v="Julius Chestnut"/>
        <s v="Trey Sermon"/>
        <s v="Trestan Ebner"/>
        <s v="Damarea Crockett"/>
        <s v="LaMical Perine"/>
        <s v="Jermar Jefferson"/>
        <s v="Jake Funk"/>
        <s v="Patrick Ricard"/>
        <s v="Godwin Igwebuike"/>
        <s v="Jonathan Ward"/>
        <s v="Qadree Ollison"/>
        <s v="Giovanni Ricci"/>
        <s v="Jason Cabinda"/>
        <s v="Spencer Brown"/>
        <s v="Patrick Laird"/>
        <s v="Jaret Patterson"/>
        <s v="Nate McCrary"/>
        <s v="Ronnie Rivers"/>
        <s v="Avery Williams"/>
        <s v="Gerrid Doaks"/>
        <s v="Adam Prentice"/>
        <s v="Michael Burton"/>
        <s v="Henry Pearson"/>
        <s v="Jaleel McLaughlin"/>
        <s v="Jason Huntley"/>
        <s v="Khari Blasingame"/>
        <s v="Jack Colletto"/>
        <s v="Keith Smith"/>
        <s v="Jakob Johnson"/>
        <s v="Ellis Merriweather"/>
        <s v="Tyler Goodson"/>
        <s v="Nick Bellore"/>
        <s v="Playe"/>
        <s v="Justin Jefferson"/>
        <s v="JaMarr Chase"/>
        <s v="Cooper Kupp"/>
        <s v="Tyreek Hill"/>
        <s v="CeeDee Lamb"/>
        <s v="Stefon Diggs"/>
        <s v="Davante Adams"/>
        <s v="AJ Brown"/>
        <s v="Jaylen Waddle"/>
        <s v="Amon-Ra St Brown"/>
        <s v="Deebo Samuel"/>
        <s v="Garrett Wilson"/>
        <s v="Amari Cooper"/>
        <s v="Tee Higgins"/>
        <s v="Chris Olave"/>
        <s v="Christian Watson"/>
        <s v="DeVonta Smith"/>
        <s v="DK Metcalf"/>
        <s v="Calvin Ridley"/>
        <s v="Jerry Jeudy"/>
        <s v="Terry McLaurin"/>
        <s v="Mike Williams"/>
        <s v="Keenan Allen"/>
        <s v="Mike Evans"/>
        <s v="Christian Kirk"/>
        <s v="DeAndre Hopkins"/>
        <s v="DJ Moore"/>
        <s v="Chris Godwin"/>
        <s v="Brandon Aiyuk"/>
        <s v="Tyler Lockett"/>
        <s v="Drake London"/>
        <s v="Marquise Brown"/>
        <s v="Jahan Dotson"/>
        <s v="Gabe Davis"/>
        <s v="George Pickens"/>
        <s v="Diontae Johnson"/>
        <s v="Michael Pittman"/>
        <s v="Jordan Addison"/>
        <s v="Brandin Cooks"/>
        <s v="Treylon Burks"/>
        <s v="Michael Thomas"/>
        <s v="Jaxon Smith-Njigba"/>
        <s v="JuJu Smith-Schuster"/>
        <s v="Kadarius Toney"/>
        <s v="Courtland Sutton"/>
        <s v="Zay Flowers"/>
        <s v="Nico Collins"/>
        <s v="Marquez Valdes-Scantling"/>
        <s v="Jakobi Meyers"/>
        <s v="Tyler Boyd"/>
        <s v="Allen Lazard"/>
        <s v="DJ Chark"/>
        <s v="Rashod Bateman"/>
        <s v="Adam Thielen"/>
        <s v="DeVante Parker"/>
        <s v="Quentin Johnston"/>
        <s v="Michael Gallup"/>
        <s v="Rondale Moore"/>
        <s v="Zay Jones"/>
        <s v="Darnell Mooney"/>
        <s v="Romeo Doubs"/>
        <s v="Jameson Williams"/>
        <s v="Curtis Samuel"/>
        <s v="Donovan Peoples-Jones"/>
        <s v="Jonathan Mingo"/>
        <s v="Van Jefferson"/>
        <s v="Skyy Moore"/>
        <s v="Rashid Shaheed"/>
        <s v="Isaiah Hodgins"/>
        <s v="Odell Beckham"/>
        <s v="Hunter Renfrow"/>
        <s v="KJ Osborn"/>
        <s v="Elijah Moore"/>
        <s v="Jayden Reed"/>
        <s v="John Metchie"/>
        <s v="Robert Woods"/>
        <s v="Alec Pierce"/>
        <s v="Darius Slayton"/>
        <s v="Russell Gage"/>
        <s v="Mecole Hardman"/>
        <s v="Chase Claypool"/>
        <s v="Corey Davis"/>
        <s v="Khalil Shakir"/>
        <s v="Rashee Rice"/>
        <s v="Mack Hollins"/>
        <s v="Marvin Jones"/>
        <s v="Allen Robinson"/>
        <s v="Parris Campbell"/>
        <s v="Tyquan Thornton"/>
        <s v="Greg Dortch"/>
        <s v="Jalin Hyatt"/>
        <s v="Joshua Palmer"/>
        <s v="WanDale Robinson"/>
        <s v="Josh Reynolds"/>
        <s v="Kendrick Bourne"/>
        <s v="Nick Westbrook-Ikhine"/>
        <s v="Ben Skowronek"/>
        <s v="Terrace Marshall"/>
        <s v="Marvin Mims"/>
        <s v="Sterling Shepard"/>
        <s v="Richie James"/>
        <s v="Josh Downs"/>
        <s v="Laviska Shenault"/>
        <s v="Isaiah McKenzie"/>
        <s v="Tutu Atwell"/>
        <s v="Kayshon Boutte"/>
        <s v="Cedric Tillman"/>
        <s v="Puka Nacua"/>
        <s v="Justyn Ross"/>
        <s v="Tank Dell"/>
        <s v="Braxton Berrios"/>
        <s v="Quez Watkins"/>
        <s v="Michael Wilson"/>
        <s v="Chris Moore"/>
        <s v="Jauan Jennings"/>
        <s v="Olamide Zaccheaus"/>
        <s v="Marquez Callaway"/>
        <s v="Tim Patrick"/>
        <s v="Kalif Raymond"/>
        <s v="Marquise Goodwin"/>
        <s v="Robbie Chosen"/>
        <s v="Amari Rodgers"/>
        <s v="Xavier Hutchinson"/>
        <s v="Charlie Jones"/>
        <s v="Noah Brown"/>
        <s v="Demarcus Robinson"/>
        <s v="Samori Toure"/>
        <s v="Randall Cobb"/>
        <s v="Devin Duvernay"/>
        <s v="Jalen Guyton"/>
        <s v="Cedrick Wilson"/>
        <s v="Kyle Philips"/>
        <s v="David Bell"/>
        <s v="Justin Watson"/>
        <s v="Cade Johnson"/>
        <s v="AT Perry"/>
        <s v="Zach Pascal"/>
        <s v="Tyler Scott"/>
        <s v="Dyami Brown"/>
        <s v="Trent Sherfield"/>
        <s v="Tre Nixon"/>
        <s v="Bryan Edwards"/>
        <s v="Jamal Agnew"/>
        <s v="Calvin Austin"/>
        <s v="KhaDarel Hodge"/>
        <s v="Dontayvion Wicks"/>
        <s v="Steven Sims"/>
        <s v="Dee Eskridge"/>
        <s v="Trenton Irwin"/>
        <s v="David Moore"/>
        <s v="Shi Smith"/>
        <s v="Trey Palmer"/>
        <s v="Nelson Agholor"/>
        <s v="Jalen Nailor"/>
        <s v="Cole Beasley"/>
        <s v="Britain Covey"/>
        <s v="Andre Baccellia"/>
        <s v="Brandon Powell"/>
        <s v="Deven Thompkins"/>
        <s v="Equanimeous St Brown"/>
        <s v="Velus Jones"/>
        <s v="Tre Tucker"/>
        <s v="DeAndre Carter"/>
        <s v="Jalen Tolbert"/>
        <s v="Kendall Hinton"/>
        <s v="Denzel Mims"/>
        <s v="Damiere Byrd"/>
        <s v="Deonte Harty"/>
        <s v="TreQuan Smith"/>
        <s v="Scott Miller"/>
        <s v="Phillip Dorsett"/>
        <s v="Jamison Crowder"/>
        <s v="Demario Douglas"/>
        <s v="Parker Washington"/>
        <s v="Kaylon Geiger"/>
        <s v="Ashton Dulin"/>
        <s v="Montrell Washington"/>
        <s v="Jakeem Grant"/>
        <s v="Andrei Iosivas"/>
        <s v="Cody Thompson"/>
        <s v="Ray-Ray McCloud"/>
        <s v="Dante Pettis"/>
        <s v="Ronnie Bell"/>
        <s v="Justin Shorter"/>
        <s v="Lance McCutcheon"/>
        <s v="Darrius Shepherd"/>
        <s v="Jalen Reagor"/>
        <s v="Byron Pringle"/>
        <s v="Kevin Austin"/>
        <s v="Gunner Olszewski"/>
        <s v="Jalen Virgil"/>
        <s v="Maurice Alexander"/>
        <s v="Matthew Slater"/>
        <s v="Trinity Benson"/>
        <s v="Joe Reed"/>
        <s v="River Cracraft"/>
        <s v="KaVontae Turpin"/>
        <s v="Dezmon Patmon"/>
        <s v="Isaiah Coulter"/>
        <s v="Simi Fehoko"/>
        <s v="Andy Isabella"/>
        <s v="Dennis Houston"/>
        <s v="Cody Chrest"/>
        <s v="Stanley Morgan"/>
        <s v="Seth Williams"/>
        <s v="Easop Winston"/>
        <s v="Jacob Harris"/>
        <s v="Erik Ezukanma"/>
        <s v="Bryce Ford-Wheaton"/>
        <s v="KeeSean Johnson"/>
        <s v="Jaelon Darden"/>
        <s v="Brandon Johnson"/>
        <s v="Danny Gray"/>
        <s v="James Proche"/>
        <s v="Bo Melton"/>
        <s v="Austin Trammell"/>
        <s v="Trent Taylor"/>
        <s v="CJ Saunders"/>
        <s v="Cam Sims"/>
        <s v="Dez Fitzpatrick"/>
        <s v="Cody White"/>
        <s v="Keke Coutee"/>
        <s v="Keelan Cole"/>
        <s v="Mason Kinsey"/>
        <s v="Michael Woods"/>
        <s v="Racey McMath"/>
        <s v="Derius Davis"/>
        <s v="Malik Turner"/>
        <s v="Tim Jones"/>
        <s v="Tylan Wallace"/>
        <s v="Mike Strachan"/>
        <s v="Vyncint Smith"/>
        <s v="Chris Conley"/>
        <s v="Jalen Camp"/>
        <s v="Josh Ali"/>
        <s v="Greg Ward"/>
        <s v="Keith Kirkwood"/>
        <s v="Daurice Fountain"/>
        <s v="Nsimba Webster"/>
        <s v="James Washington"/>
        <s v="Anthony Schwartz"/>
        <s v="NKeal Harry"/>
        <s v="Kendric Pryor"/>
        <s v="Dax Milne"/>
        <s v="Miles Boykin"/>
        <s v="Ty Scott"/>
        <s v="Alex Erickson"/>
        <s v="Kawaan Baker"/>
        <s v="Breshad Perriman"/>
        <s v="Jason Brownlee"/>
        <s v="Rakim Jarrett"/>
        <s v="Taylor Grimes"/>
        <s v="Travis Kelce"/>
        <s v="Mark Andrews"/>
        <s v="TJ Hockenson"/>
        <s v="George Kittle"/>
        <s v="Darren Waller"/>
        <s v="Kyle Pitts"/>
        <s v="Dallas Goedert"/>
        <s v="Patrick Freiermuth"/>
        <s v="Evan Engram"/>
        <s v="Chigoziem Okonkwo"/>
        <s v="Greg Dulcich"/>
        <s v="David Njoku"/>
        <s v="Dalton Schultz"/>
        <s v="Tyler Higbee"/>
        <s v="Gerald Everett"/>
        <s v="Juwan Johnson"/>
        <s v="Dalton Kincaid"/>
        <s v="Cole Kmet"/>
        <s v="Hunter Henry"/>
        <s v="Irv Smith"/>
        <s v="Sam LaPorta"/>
        <s v="Noah Fant"/>
        <s v="Taysom Hill"/>
        <s v="Hayden Hurst"/>
        <s v="Dawson Knox"/>
        <s v="Jelani Woods"/>
        <s v="Tyler Conklin"/>
        <s v="Cade Otton"/>
        <s v="Zach Ertz"/>
        <s v="Michael Mayer"/>
        <s v="Mike Gesicki"/>
        <s v="Logan Thomas"/>
        <s v="Trey McBride"/>
        <s v="Isaiah Likely"/>
        <s v="Luke Musgrave"/>
        <s v="Jake Ferguson"/>
        <s v="Austin Hooper"/>
        <s v="Luke Schoonmaker"/>
        <s v="Robert Tonyan"/>
        <s v="Donald Parham"/>
        <s v="Brock Wright"/>
        <s v="Jonnu Smith"/>
        <s v="Noah Gray"/>
        <s v="CJ Uzomah"/>
        <s v="Will Dissly"/>
        <s v="Jordan Akins"/>
        <s v="Foster Moreau"/>
        <s v="Josiah Deguara"/>
        <s v="Durham Smythe"/>
        <s v="Kylen Granson"/>
        <s v="Jimmy Graham"/>
        <s v="Brenton Strange"/>
        <s v="Tommy Tremble"/>
        <s v="Darnell Washington"/>
        <s v="Harrison Bryant"/>
        <s v="Albert Okwuegbunam"/>
        <s v="Colby Parkinson"/>
        <s v="Brevin Jordan"/>
        <s v="Tucker Kraft"/>
        <s v="Josh Oliver"/>
        <s v="Mo Alie-Cox"/>
        <s v="Dan Arnold"/>
        <s v="Charlie Kolar"/>
        <s v="Peyton Hendershot"/>
        <s v="Elijah Higgins"/>
        <s v="Brycen Hopkins"/>
        <s v="Lawrence Cager"/>
        <s v="Ian Thomas"/>
        <s v="Adam Trautman"/>
        <s v="Daniel Bellinger"/>
        <s v="John Bates"/>
        <s v="Teagan Quitoriano"/>
        <s v="Blake Bell"/>
        <s v="Miller Forristall"/>
        <s v="Eric Saubert"/>
        <s v="Geoff Swaim"/>
        <s v="Stephen Sullivan"/>
        <s v="Cameron Latu"/>
        <s v="Payne Durham"/>
        <s v="Tre McKitty"/>
        <s v="Josh Whyle"/>
        <s v="Jody Fortson"/>
        <s v="James Mitchell"/>
        <s v="Andrew Ogletree"/>
        <s v="Connor Heyward"/>
        <s v="Zack Kuntz"/>
        <s v="Brayden Willis"/>
        <s v="Jack Stoll"/>
        <s v="Davis Allen"/>
        <s v="Zach Gentry"/>
        <s v="Jeremy Ruckert"/>
        <s v="Cole Turner"/>
        <s v="Hunter Long"/>
        <s v="Ko Kieft"/>
        <s v="Tyler Kroft"/>
        <s v="Marcedes Lewis"/>
        <s v="Tanner Hudson"/>
        <s v="Ross Dwelley"/>
        <s v="Will Mallory"/>
        <s v="Drew Sample"/>
        <s v="Andrew Beck"/>
        <s v="Armani Rogers"/>
        <s v="Jesper Horsted"/>
        <s v="Curtis Hodges"/>
        <s v="Johnny Mundt"/>
        <s v="Quintin Morris"/>
        <s v="Chris Manhertz"/>
        <s v="Shane Zylstra"/>
        <s v="Stone Smartt"/>
        <s v="Grant Calcaterra"/>
        <s v="Kendall Blanton"/>
        <s v="Luke Farrell"/>
        <s v="Devin Asiasi"/>
        <s v="Trevon Wesco"/>
        <s v="Anthony Firkser"/>
        <s v="Eric Tomlinson"/>
        <s v="Tommy Sweeney"/>
        <s v="Kevin Rader"/>
        <s v="Parker Hesse"/>
        <s v="David Wells"/>
        <s v="Tanner Conner"/>
        <s v="Dominique Dafney"/>
        <s v="Jacob Hollister"/>
        <s v="Charlie Woerner"/>
        <s v="Chris Myarick"/>
        <s v="Mason Schreck"/>
        <s v="Dalton Keene"/>
        <s v="Sean McKeon"/>
        <s v="Noah Togiai"/>
        <s v="Pharaoh Brown"/>
        <s v="Mitchell Wilcox"/>
        <s v="Tyler Mabry"/>
        <s v="Feleipe Franks"/>
        <s v="Tyree Jackson"/>
        <s v="Kaden Smith"/>
        <s v="Jake Tonges"/>
        <s v="Tyler Davis"/>
        <s v="Matt Sokol"/>
        <s v="MyCole Pruitt"/>
        <s v="Nick Vannett"/>
        <s v="Hunter Kampmoyer"/>
        <s v="Ben Mason"/>
        <s v="Zane Gonzalez"/>
        <s v="Greg Joseph"/>
        <s v="Justin Tucker"/>
        <s v="Jason Myers"/>
        <s v="Harrison Butker"/>
        <s v="Evan McPherson"/>
        <s v="Tyler Bass"/>
        <s v="Daniel Carlson"/>
        <s v="Cameron Dicker"/>
        <s v="Jake Elliott"/>
        <s v="Younghoe Koo"/>
        <s v="Graham Gano"/>
        <s v="Riley Patterson"/>
        <s v="Brandon McManus"/>
        <s v="Jason Sanders"/>
        <s v="Jake Moody"/>
        <s v="Cairo Santos"/>
        <s v="Chase McLaughlin"/>
        <s v="Nick Folk"/>
        <s v="Dustin Hopkins"/>
        <s v="Eddy Pineiro"/>
        <s v="Wil Lutz"/>
        <s v="Chris Boswell"/>
        <s v="Greg Zuerlein"/>
        <s v="Brett Maher"/>
        <s v="Matt Gay"/>
        <s v="Cade York"/>
        <s v="Matt Prater"/>
        <s v="Anders Carlson"/>
        <s v="Kaimi Fairbairn"/>
        <s v="Chad Ryland"/>
        <s v="Rodrigo Blankenship"/>
        <s v="Joey Slye"/>
        <s v="Michael Badgley"/>
        <s v="Tanner Brown"/>
        <s v="Brandon Aubrey"/>
        <s v="Caleb Shudak"/>
        <s v="DAL"/>
        <s v="PHI"/>
        <s v="NE"/>
        <s v="IND"/>
        <s v="PIT"/>
        <s v="CLE"/>
        <s v="WAS"/>
        <s v="SF"/>
        <s v="KC"/>
        <s v="NO"/>
        <s v="MIA"/>
        <s v="GB"/>
        <s v="BUF"/>
        <s v="LAC"/>
        <s v="HOU"/>
        <s v="NYJ"/>
        <s v="SEA"/>
        <s v="MIN"/>
        <s v="DET"/>
        <s v="TB"/>
        <s v="BAL"/>
        <s v="LAR"/>
        <s v="JAC"/>
        <s v="CAR"/>
        <s v="TEN"/>
        <s v="NYG"/>
        <s v="DEN"/>
        <s v="CIN"/>
        <s v="AZ"/>
        <s v="ATL"/>
        <s v="CHI"/>
        <s v="LV"/>
        <s v="Will Fuller"/>
        <s v="Kareem Hunt"/>
        <s v="CJ Board" u="1"/>
        <s v="Blake Jarwin" u="1"/>
        <s v="Allen Hurns" u="1"/>
        <s v="Randy Bullock" u="1"/>
        <s v="Antonio Callaway" u="1"/>
        <s v="Jonathan Garibay" u="1"/>
        <s v="DeAndre Washington" u="1"/>
        <s v="Anthony Miller" u="1"/>
        <s v="Matt Ammendola" u="1"/>
        <s v="Caleb Wilson" u="1"/>
        <s v="Marcell Ateman" u="1"/>
        <s v="Clint Ratkovich" u="1"/>
        <s v="JP Holtz" u="1"/>
        <s v="Cullen Gillaspia" u="1"/>
        <s v="Tajae Sharpe" u="1"/>
        <s v="Cody Parkey" u="1"/>
        <s v="Eno Benjamin" u="1"/>
        <s v="Kenny Stills" u="1"/>
        <s v="Devin Smith" u="1"/>
        <s v="Tyler Johnson" u="1"/>
        <s v="OJ Howard" u="1"/>
        <s v="Tavon Austin" u="1"/>
        <s v="Alex Smith" u="1"/>
        <s v="Jordan Scarlett" u="1"/>
        <s v="Phillip Walker" u="1"/>
        <s v="Carlos Hyde" u="1"/>
        <s v="Marvin Hall" u="1"/>
        <s v="Austin Fort" u="1"/>
        <s v="Jake Lampman" u="1"/>
        <s v="Kenjon Barner" u="1"/>
        <s v="Jarvis Landry" u="1"/>
        <s v="Daniel Brown" u="1"/>
        <s v="John Brown" u="1"/>
        <s v="Adam Shaheen" u="1"/>
        <s v="Jeremy Sprinkle" u="1"/>
        <s v="Cornell Powell" u="1"/>
        <s v="Chris Rowland" u="1"/>
        <s v="Darrell Henderson" u="1"/>
        <s v="Jordan Howard" u="1"/>
        <s v="Marquez Stevenson" u="1"/>
        <s v="Kerrith Whyte" u="1"/>
        <s v="Ihmir Smith-Marsette" u="1"/>
        <s v="Josh Adams" u="1"/>
        <s v="Ryan Santoso" u="1"/>
        <s v="Antonio Gandy-Golden" u="1"/>
        <s v="Devin Funchess" u="1"/>
        <s v="Danny Etling" u="1"/>
        <s v="Logan Woodside" u="1"/>
        <s v="Josh Malone" u="1"/>
        <s v="John Lovett" u="1"/>
        <s v="Jared Pinkney" u="1"/>
        <s v="Nathan Peterman" u="1"/>
        <s v="Mataeo Durant" u="1"/>
        <s v="Ty Johnson" u="1"/>
        <s v="CJ Prosise" u="1"/>
        <s v="Kalen Ballage" u="1"/>
        <s v="Derrius Guice" u="1"/>
        <s v="Isaiah Ford" u="1"/>
        <s v="Jordan Reed" u="1"/>
        <s v="Nakia Griffin-Stewart" u="1"/>
        <s v="Ricky Seals-Jones" u="1"/>
        <s v="Ken Walker" u="1"/>
        <s v="Tristan Vizcaino" u="1"/>
        <s v="Greg Olsen" u="1"/>
        <s v="Isaac Nauta" u="1"/>
        <s v="Stephen Gostkowski" u="1"/>
        <s v="Taywan Taylor" u="1"/>
        <s v="Julian Edelman" u="1"/>
        <s v="Nyheim Hines" u="1"/>
        <s v="Victor Bolden" u="1"/>
        <s v="Josh Bellamy" u="1"/>
        <s v="Ben Roethlisberger" u="1"/>
        <s v="Travis Benjamin" u="1"/>
        <s v="Willie Snead" u="1"/>
        <s v="Richard Rodgers" u="1"/>
        <s v="Derek Watt" u="1"/>
        <s v="Kylin Hill" u="1"/>
        <s v="Philip Rivers" u="1"/>
        <s v="OAK" u="1"/>
        <s v="Riley Ridley" u="1"/>
        <s v="Javian Hawkins" u="1"/>
        <s v="Bilal Powell" u="1"/>
        <s v="Xavier Jones" u="1"/>
        <s v="Kyle Rudolph" u="1"/>
        <s v="Garrett Gilbert" u="1"/>
        <s v="Derek Carrier" u="1"/>
        <s v="Pharoh Cooper" u="1"/>
        <s v="Tommy Hudson" u="1"/>
        <s v="Chris Streveler" u="1"/>
        <s v="Frank Darby" u="1"/>
        <s v="Adrian Peterson" u="1"/>
        <s v="Devine Ozigbo" u="1"/>
        <s v="Chris Thompson" u="1"/>
        <s v="Trenton Cannon" u="1"/>
        <s v="Ryan Nall" u="1"/>
        <s v="Tanner Gentry" u="1"/>
        <s v="Chad Henne" u="1"/>
        <s v="Karan Higdon" u="1"/>
        <s v="Raymond Calais" u="1"/>
        <s v="Kenneth Dixon" u="1"/>
        <s v="Duke Williams" u="1"/>
        <s v="Henry Ruggs" u="1"/>
        <s v="Dan Bailey" u="1"/>
        <s v="Mike D Thomas" u="1"/>
        <s v="Wayne Gallman" u="1"/>
        <s v="Hunter Bryant" u="1"/>
        <s v="Elijah Holyfield" u="1"/>
        <s v="ARI" u="1"/>
        <s v="Matt LaCosse" u="1"/>
        <s v="KJ Hill" u="1"/>
        <s v="Josh Gordon" u="1"/>
        <s v="Cyril Grayson" u="1"/>
        <s v="Michael Davis" u="1"/>
        <s v="Tucker McCann" u="1"/>
        <s v="Deonte Harris" u="1"/>
        <s v="Albert Wilson" u="1"/>
        <s v="Cody Core" u="1"/>
        <s v="David Sills V" u="1"/>
        <s v="Lamar Miller" u="1"/>
        <s v="Jason Witten" u="1"/>
        <s v="Mekhi Sargent" u="1"/>
        <s v="Dillon Stoner" u="1"/>
        <s v="Kevin White" u="1"/>
        <s v="Maurice Ffrench" u="1"/>
        <s v="Antonio Williams" u="1"/>
        <s v="JaMarcus Bradley" u="1"/>
        <s v="Antoine Wesley" u="1"/>
        <s v="Jalen Richard" u="1"/>
        <s v="Andy Janovich" u="1"/>
        <s v="Reggie Bonnafon" u="1"/>
        <s v="Austin Mack" u="1"/>
        <s v="Dazz Newsome" u="1"/>
        <s v="Mitchell Trubisky" u="1"/>
        <s v="Seth Roberts" u="1"/>
        <s v="Kristian Wilkerson" u="1"/>
        <s v="Trey Edmunds" u="1"/>
        <s v="Marlon Mack" u="1"/>
        <s v="Tyrie Cleveland" u="1"/>
        <s v="Tyron Johnson" u="1"/>
        <s v="Eric Ebron" u="1"/>
        <s v="Chad Beebe" u="1"/>
        <s v="Reggie Begelton" u="1"/>
        <s v="DaeSean Hamilton" u="1"/>
        <s v="Stephen Hauschka" u="1"/>
        <s v="Ben DiNucci" u="1"/>
        <s v="Travis Fulgham" u="1"/>
        <s v="Giovani Bernard" u="1"/>
        <s v="Terrell Bynum" u="1"/>
        <s v="Hakeem Butler" u="1"/>
        <s v="Matt Bushman" u="1"/>
        <s v="Kellen Mond" u="1"/>
        <s v="Sammis Reyes" u="1"/>
        <s v="Jeff Smith" u="1"/>
        <s v="Cody Latimer" u="1"/>
        <s v="Ventell Bryant" u="1"/>
        <s v="Nick Eubanks" u="1"/>
        <s v="John Ross" u="1"/>
        <s v="Jake Luton" u="1"/>
        <s v="Kai Forbath" u="1"/>
        <s v="Dalyn Dawkins" u="1"/>
        <s v="Darius Jennings" u="1"/>
        <s v="Matt Ryan" u="1"/>
        <s v="Devontae Booker" u="1"/>
        <s v="Andre Patton" u="1"/>
        <s v="Mark Ingram" u="1"/>
        <s v="Gehrig Dieter" u="1"/>
        <s v="Emmanuel Sanders" u="1"/>
        <s v="Kyle Markway" u="1"/>
        <s v="Zach Ojile" u="1"/>
        <s v="Bryce Love" u="1"/>
        <s v="Matt Cole" u="1"/>
        <s v="Justin Rohrwasser" u="1"/>
        <s v="Olabisi Johnson" u="1"/>
        <s v="Darvin Kidsy" u="1"/>
        <s v="Rashard Higgins" u="1"/>
        <s v="Diontae Spencer" u="1"/>
        <s v="Jake Kumerow" u="1"/>
        <s v="Sam Ehlinger" u="1"/>
        <s v="Elijhaa Penny" u="1"/>
        <s v="Buddy Howell" u="1"/>
        <s v="Kenny Yeboah" u="1"/>
        <s v="Jeff Heuerman" u="1"/>
        <s v="Derrick Gore" u="1"/>
        <s v="Juwann Winfree" u="1"/>
        <s v="Michael Gesicki" u="1"/>
        <s v="LeVante Bellamy" u="1"/>
        <s v="Dontrell Hilliard" u="1"/>
        <s v="Marcus Kemp" u="1"/>
        <s v="Darius Bradwell" u="1"/>
        <s v="Terry Godwin" u="1"/>
        <s v="Cameron Brate" u="1"/>
        <s v="Rex Burkhead" u="1"/>
        <s v="Golden Tate" u="1"/>
        <s v="Jeff Thomas" u="1"/>
        <s v="Davis Webb" u="1"/>
        <s v="Benny Snell" u="1"/>
        <s v="Cole Hikutini" u="1"/>
        <s v="Chester Rogers" u="1"/>
        <s v="Wendell Smallwood" u="1"/>
        <s v="Adam Vinatieri" u="1"/>
        <s v="Brandon Zylstra" u="1"/>
        <s v="Kerryon Johnson" u="1"/>
        <s v="Dion Lewis" u="1"/>
        <s v="Brandon Dillon" u="1"/>
        <s v="Demaryius Thomas" u="1"/>
        <s v="Josh Rosen" u="1"/>
        <s v="Fred Brown" u="1"/>
        <s v="JoJo Natson" u="1"/>
        <s v="Owen Wright" u="1"/>
        <s v="Tarik Cohen" u="1"/>
        <s v="Ryan Griffin" u="1"/>
        <s v="TJ Vasher" u="1"/>
        <s v="Patrick DiMarco" u="1"/>
        <s v="Chad Williams" u="1"/>
        <s v="Lee Smith" u="1"/>
        <s v="Scotty Miller" u="1"/>
        <s v="John FitzPatrick" u="1"/>
        <s v="Carson Wentz" u="1"/>
        <s v="Maxx Williams" u="1"/>
        <s v="Michael Evans" u="1"/>
        <s v="Jordan Franks" u="1"/>
        <s v="Freddie Swain" u="1"/>
        <s v="Isaih Pacheco" u="1"/>
        <s v="Jaeden Graham" u="1"/>
        <s v="Abram Smith" u="1"/>
        <s v="Justin Jackson" u="1"/>
        <s v="Sean Mannion" u="1"/>
        <s v="Ryquell Armstead" u="1"/>
        <s v="Taylor Gabriel" u="1"/>
        <s v="KJ Hamler" u="1"/>
        <s v="Equanimeous St" u="1"/>
        <s v="James Morgan" u="1"/>
        <s v="Isaac Whitney" u="1"/>
        <s v="Aldrick Rosas" u="1"/>
        <s v="Mohamed Sanu" u="1"/>
        <s v="AJ McCarron" u="1"/>
        <s v="Corey Coleman" u="1"/>
        <s v="Alize Mack" u="1"/>
        <s v="Robby Anderson" u="1"/>
        <s v="Tory Carter" u="1"/>
        <s v="Alshon Jeffery" u="1"/>
        <s v="Jace Sternberger" u="1"/>
        <s v="Gary Jennings" u="1"/>
        <s v="Artavis Pierce" u="1"/>
        <s v="LilJordan Humphrey" u="1"/>
        <s v="Ben Ellefson" u="1"/>
        <s v="Taiwan Jones" u="1"/>
        <s v="Michael Warren" u="1"/>
        <s v="Deon Yelder" u="1"/>
        <s v="Duke Johnson" u="1"/>
        <s v="Dan Chisena" u="1"/>
        <s v="Paul Richardson" u="1"/>
        <s v="Justin Hardy" u="1"/>
        <s v="Devlin Hodges" u="1"/>
        <s v="Gabe Nabers" u="1"/>
        <s v="Mason Crosby" u="1"/>
        <s v="Robbie Anderson" u="1"/>
        <s v="Josh Hill" u="1"/>
        <s v="Jordan Thomas" u="1"/>
        <s v="Marcus Johnson" u="1"/>
        <s v="Collin Johnson" u="1"/>
        <s v="Julio Jones" u="1"/>
        <s v="Tyler Eifert" u="1"/>
        <s v="Virgil Green" u="1"/>
        <s v="Mike Glennon" u="1"/>
        <s v="Adam Humphries" u="1"/>
        <s v="Malcolm Perry" u="1"/>
        <s v="Eli Wolf" u="1"/>
        <s v="Robert Foster" u="1"/>
        <s v="Scottie Phillips" u="1"/>
        <s v="Alfred Morris" u="1"/>
        <s v="Jaylen Samuels" u="1"/>
        <s v="Larry Rountree" u="1"/>
        <s v="Chase Daniel" u="1"/>
        <s v="Kahale Warring" u="1"/>
        <s v="Jason Moore" u="1"/>
        <s v="Austin Walter" u="1"/>
        <s v="Sony Michel" u="1"/>
        <s v="Brian Hill" u="1"/>
        <s v="John Wolford" u="1"/>
        <s v="DeMichael Harris" u="1"/>
        <s v="Trey Burton" u="1"/>
        <s v="Alexander Hollins" u="1"/>
        <s v="Sam Sloman" u="1"/>
        <s v="Tyrell Williams" u="1"/>
        <s v="Johnny Stanton" u="1"/>
        <s v="Todd Gurley" u="1"/>
        <s v="Matt Bryant" u="1"/>
        <s v="Ito Smith" u="1"/>
        <s v="Deon Cain" u="1"/>
        <s v="Lucas Krull" u="1"/>
        <s v="Penny Hart" u="1"/>
        <s v="Chad Hansen" u="1"/>
        <s v="Tevin Coleman" u="1"/>
        <s v="Nick Foles" u="1"/>
        <s v="Cam Batson" u="1"/>
        <s v="Keelan Doss" u="1"/>
        <s v="Thaddeus Moss" u="1"/>
        <s v="Lirim Hajrullahu" u="1"/>
        <s v="Gabriel Davis" u="1"/>
        <s v="Paul Quessenberry" u="1"/>
        <s v="Tim Boyle" u="1"/>
        <s v="Frank Gore" u="1"/>
        <s v="Joe Flacco" u="1"/>
        <s v="TJ Yeldon" u="1"/>
        <s v="Geronimo Allison" u="1"/>
        <s v="Daylen Baldwin" u="1"/>
        <s v="Tom Brady" u="1"/>
        <s v="Joel Honigford" u="1"/>
        <s v="Dede Westbrook" u="1"/>
        <s v="Sammy Watkins" u="1"/>
        <s v="Jordan Matthews" u="1"/>
        <s v="Jalen Hurd" u="1"/>
        <s v="Michael Boone" u="1"/>
        <s v="Cameron Batson" u="1"/>
        <s v="DWayne Eskridge" u="1"/>
        <s v="Austin Seibert" u="1"/>
        <s v="LeSean McCoy" u="1"/>
        <s v="Jacob Eason" u="1"/>
        <s v="Troy Fumagalli" u="1"/>
        <s v="Mike Davis" u="1"/>
        <s v="Josh Palmer" u="1"/>
        <s v="Chris Hogan" u="1"/>
        <s v="JD McKissic" u="1"/>
        <s v="James White" u="1"/>
        <s v="Tom Kennedy" u="1"/>
        <s v="Demetrius Harris" u="1"/>
        <s v="Leonard Fournette" u="1"/>
        <s v="Bisi Johnson" u="1"/>
        <s v="Rodney Anderson" u="1"/>
        <s v="Tim Tebow" u="1"/>
        <s v="Stephen Carlson" u="1"/>
        <s v="Nick Bowers" u="1"/>
        <s v="Darwin Thompson" u="1"/>
        <s v="Derrick Willies" u="1"/>
        <s v="Kelvin Harmon" u="1"/>
        <s v="Luke Stocker" u="1"/>
        <s v="Isaiah Wright" u="1"/>
        <s v="AJ Green" u="1"/>
        <s v="Trace McSorley" u="1"/>
        <s v="Chris Carson" u="1"/>
        <s v="Ryan Izzo" u="1"/>
        <s v="Drew Brees" u="1"/>
        <s v="David Fluellen" u="1"/>
        <s v="Rob Gronkowski" u="1"/>
        <s v="Dwayne Washington" u="1"/>
        <s v="Nathan Cottrell" u="1"/>
        <s v="Elijah McGuire" u="1"/>
        <s v="Jeremy McNichols" u="1"/>
        <s v="Brett Hundley" u="1"/>
        <s v="Taquan Mizzell" u="1"/>
        <s v="Ted Ginn" u="1"/>
        <s v="Jeff Driskel" u="1"/>
        <s v="Antony Auclair" u="1"/>
        <s v="JJ Arcega-Whiteside" u="1"/>
        <s v="Robbie Gould" u="1"/>
        <s v="Larry Fitzgerald" u="1"/>
        <s v="Andre Roberts" u="1"/>
        <s v="Cethan Carter" u="1"/>
        <s v="John Ursua" u="1"/>
        <s v="Kyle Lauletta" u="1"/>
        <s v="Rysen John" u="1"/>
        <s v="Devonta Freeman" u="1"/>
        <s v="Jordan Wilkins" u="1"/>
        <s v="Darrell Daniels" u="1"/>
        <s v="Phillip Lindsay" u="1"/>
        <s v="Darren Fells" u="1"/>
        <s v="Zach Davidson" u="1"/>
        <s v="Colin Thompson" u="1"/>
        <s v="LeVeon Bell" u="1"/>
        <s v="Garrett Griffin" u="1"/>
        <s v="Alex Ellis" u="1"/>
        <s v="Auden Tate" u="1"/>
        <s v="James OShaughnessy" u="1"/>
        <s v="Christian Blake" u="1"/>
        <s v="John Hightower" u="1"/>
        <s v="Dwayne Haskins" u="1"/>
        <s v="Jason Croom" u="1"/>
        <s v="Vance McDonald" u="1"/>
        <s v="CJ Anderson" u="1"/>
        <s v="Jordan Mims" u="1"/>
        <s v="Malik Taylor" u="1"/>
        <s v="Chandler Catanzaro" u="1"/>
        <s v="Danny Amendola" u="1"/>
        <s v="Nick Bawden" u="1"/>
        <s v="Ryan Succop" u="1"/>
        <s v="Dontrelle Inman" u="1"/>
        <s v="Alex Armah" u="1"/>
        <s v="Robert Griffin" u="1"/>
        <s v="Cam Newton" u="1"/>
        <s v="Peyton Barber" u="1"/>
        <s v="Delanie Walker" u="1"/>
        <s v="Jesse James" u="1"/>
        <s v="Malcolm Brown" u="1"/>
        <s v="Tyler Ervin" u="1"/>
        <s v="Javon Wims" u="1"/>
        <s v="Michael Williams" u="1"/>
        <s v="Damion Ratley" u="1"/>
        <s v="Antonio Brown" u="1"/>
        <s v="Mike Thomas" u="1"/>
        <s v="Brandon Allen" u="1"/>
        <s v="Quintez Cephus" u="1"/>
        <s v="Brian Lewerke" u="1"/>
        <s v="Cody Hollister" u="1"/>
        <s v="Codey McElroy" u="1"/>
        <s v="Nick Muse" u="1"/>
        <s v="Evan Baylis" u="1"/>
        <s v="Ian Book" u="1"/>
        <s v="Dexter Williams" u="1"/>
        <s v="DeSean Jackson" u="1"/>
        <s v="Lynn Bowden" u="1"/>
        <s v="Kenny Golladay" u="1"/>
        <s v="TY Hilton" u="1"/>
        <s v="Temarrick Hemingway" u="1"/>
        <s v="Sam Ficken" u="1"/>
        <s v="Stephen Anderson" u="1"/>
        <s v="Dareke Young" u="1"/>
        <s v="David Johnson" u="1"/>
        <s v="Laquon Treadwell" u="1"/>
        <s v="Jack Doyle" u="1"/>
        <s v="Adrian Killins" u="1"/>
        <s v="Rico Gafford" u="1"/>
        <s v="Bo Scarbrough" u="1"/>
        <s v="Jared Cook" u="1"/>
        <s v="Trey Quinn" u="1"/>
        <s v="Alex Collins" u="1"/>
        <s v="Nick Boyle" u="1"/>
        <s v="Tyrone Swoopes" u="1"/>
        <s v="Ryan Switzer" u="1"/>
        <s v="Jeff Badet" u="1"/>
        <s v="Tony Brooks-James" u="1"/>
        <s v="Jeremiah Hall" u="1"/>
        <s v="Preston Williams" u="1"/>
        <s v="Josh Lambo" u="1"/>
        <s v="Ryan Fitzpatrick" u="1"/>
        <s v="Chris Herndon" u="1"/>
        <s v="JJ Koski"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0">
  <r>
    <x v="0"/>
  </r>
  <r>
    <x v="1"/>
  </r>
  <r>
    <x v="2"/>
  </r>
  <r>
    <x v="3"/>
  </r>
  <r>
    <x v="4"/>
  </r>
  <r>
    <x v="5"/>
  </r>
  <r>
    <x v="6"/>
  </r>
  <r>
    <x v="7"/>
  </r>
  <r>
    <x v="8"/>
  </r>
  <r>
    <x v="9"/>
  </r>
  <r>
    <x v="10"/>
  </r>
  <r>
    <x v="11"/>
  </r>
  <r>
    <x v="12"/>
  </r>
  <r>
    <x v="13"/>
  </r>
  <r>
    <x v="14"/>
  </r>
  <r>
    <x v="15"/>
  </r>
  <r>
    <x v="16"/>
  </r>
  <r>
    <x v="17"/>
  </r>
  <r>
    <x v="18"/>
  </r>
  <r>
    <x v="19"/>
  </r>
  <r>
    <x v="20"/>
  </r>
  <r>
    <x v="21"/>
  </r>
  <r>
    <x v="22"/>
  </r>
  <r>
    <x v="23"/>
  </r>
  <r>
    <x v="24"/>
  </r>
  <r>
    <x v="25"/>
  </r>
  <r>
    <x v="26"/>
  </r>
  <r>
    <x v="27"/>
  </r>
  <r>
    <x v="28"/>
  </r>
  <r>
    <x v="29"/>
  </r>
  <r>
    <x v="30"/>
  </r>
  <r>
    <x v="31"/>
  </r>
  <r>
    <x v="32"/>
  </r>
  <r>
    <x v="33"/>
  </r>
  <r>
    <x v="34"/>
  </r>
  <r>
    <x v="35"/>
  </r>
  <r>
    <x v="36"/>
  </r>
  <r>
    <x v="37"/>
  </r>
  <r>
    <x v="38"/>
  </r>
  <r>
    <x v="39"/>
  </r>
  <r>
    <x v="40"/>
  </r>
  <r>
    <x v="41"/>
  </r>
  <r>
    <x v="42"/>
  </r>
  <r>
    <x v="43"/>
  </r>
  <r>
    <x v="44"/>
  </r>
  <r>
    <x v="45"/>
  </r>
  <r>
    <x v="46"/>
  </r>
  <r>
    <x v="47"/>
  </r>
  <r>
    <x v="48"/>
  </r>
  <r>
    <x v="49"/>
  </r>
  <r>
    <x v="50"/>
  </r>
  <r>
    <x v="51"/>
  </r>
  <r>
    <x v="52"/>
  </r>
  <r>
    <x v="53"/>
  </r>
  <r>
    <x v="54"/>
  </r>
  <r>
    <x v="55"/>
  </r>
  <r>
    <x v="56"/>
  </r>
  <r>
    <x v="57"/>
  </r>
  <r>
    <x v="58"/>
  </r>
  <r>
    <x v="59"/>
  </r>
  <r>
    <x v="60"/>
  </r>
  <r>
    <x v="61"/>
  </r>
  <r>
    <x v="62"/>
  </r>
  <r>
    <x v="63"/>
  </r>
  <r>
    <x v="64"/>
  </r>
  <r>
    <x v="65"/>
  </r>
  <r>
    <x v="66"/>
  </r>
  <r>
    <x v="67"/>
  </r>
  <r>
    <x v="68"/>
  </r>
  <r>
    <x v="69"/>
  </r>
  <r>
    <x v="70"/>
  </r>
  <r>
    <x v="71"/>
  </r>
  <r>
    <x v="72"/>
  </r>
  <r>
    <x v="73"/>
  </r>
  <r>
    <x v="74"/>
  </r>
  <r>
    <x v="75"/>
  </r>
  <r>
    <x v="76"/>
  </r>
  <r>
    <x v="77"/>
  </r>
  <r>
    <x v="78"/>
  </r>
  <r>
    <x v="79"/>
  </r>
  <r>
    <x v="80"/>
  </r>
  <r>
    <x v="81"/>
  </r>
  <r>
    <x v="82"/>
  </r>
  <r>
    <x v="83"/>
  </r>
  <r>
    <x v="84"/>
  </r>
  <r>
    <x v="85"/>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7"/>
  </r>
  <r>
    <x v="88"/>
  </r>
  <r>
    <x v="89"/>
  </r>
  <r>
    <x v="90"/>
  </r>
  <r>
    <x v="91"/>
  </r>
  <r>
    <x v="92"/>
  </r>
  <r>
    <x v="93"/>
  </r>
  <r>
    <x v="94"/>
  </r>
  <r>
    <x v="95"/>
  </r>
  <r>
    <x v="96"/>
  </r>
  <r>
    <x v="97"/>
  </r>
  <r>
    <x v="98"/>
  </r>
  <r>
    <x v="99"/>
  </r>
  <r>
    <x v="100"/>
  </r>
  <r>
    <x v="101"/>
  </r>
  <r>
    <x v="102"/>
  </r>
  <r>
    <x v="103"/>
  </r>
  <r>
    <x v="104"/>
  </r>
  <r>
    <x v="105"/>
  </r>
  <r>
    <x v="106"/>
  </r>
  <r>
    <x v="107"/>
  </r>
  <r>
    <x v="108"/>
  </r>
  <r>
    <x v="109"/>
  </r>
  <r>
    <x v="110"/>
  </r>
  <r>
    <x v="111"/>
  </r>
  <r>
    <x v="112"/>
  </r>
  <r>
    <x v="113"/>
  </r>
  <r>
    <x v="114"/>
  </r>
  <r>
    <x v="115"/>
  </r>
  <r>
    <x v="116"/>
  </r>
  <r>
    <x v="117"/>
  </r>
  <r>
    <x v="118"/>
  </r>
  <r>
    <x v="119"/>
  </r>
  <r>
    <x v="120"/>
  </r>
  <r>
    <x v="121"/>
  </r>
  <r>
    <x v="122"/>
  </r>
  <r>
    <x v="123"/>
  </r>
  <r>
    <x v="124"/>
  </r>
  <r>
    <x v="125"/>
  </r>
  <r>
    <x v="126"/>
  </r>
  <r>
    <x v="127"/>
  </r>
  <r>
    <x v="128"/>
  </r>
  <r>
    <x v="129"/>
  </r>
  <r>
    <x v="130"/>
  </r>
  <r>
    <x v="131"/>
  </r>
  <r>
    <x v="132"/>
  </r>
  <r>
    <x v="133"/>
  </r>
  <r>
    <x v="134"/>
  </r>
  <r>
    <x v="135"/>
  </r>
  <r>
    <x v="136"/>
  </r>
  <r>
    <x v="137"/>
  </r>
  <r>
    <x v="138"/>
  </r>
  <r>
    <x v="139"/>
  </r>
  <r>
    <x v="140"/>
  </r>
  <r>
    <x v="141"/>
  </r>
  <r>
    <x v="142"/>
  </r>
  <r>
    <x v="143"/>
  </r>
  <r>
    <x v="144"/>
  </r>
  <r>
    <x v="145"/>
  </r>
  <r>
    <x v="146"/>
  </r>
  <r>
    <x v="147"/>
  </r>
  <r>
    <x v="148"/>
  </r>
  <r>
    <x v="149"/>
  </r>
  <r>
    <x v="150"/>
  </r>
  <r>
    <x v="151"/>
  </r>
  <r>
    <x v="152"/>
  </r>
  <r>
    <x v="153"/>
  </r>
  <r>
    <x v="154"/>
  </r>
  <r>
    <x v="155"/>
  </r>
  <r>
    <x v="156"/>
  </r>
  <r>
    <x v="157"/>
  </r>
  <r>
    <x v="158"/>
  </r>
  <r>
    <x v="159"/>
  </r>
  <r>
    <x v="160"/>
  </r>
  <r>
    <x v="161"/>
  </r>
  <r>
    <x v="162"/>
  </r>
  <r>
    <x v="163"/>
  </r>
  <r>
    <x v="164"/>
  </r>
  <r>
    <x v="165"/>
  </r>
  <r>
    <x v="166"/>
  </r>
  <r>
    <x v="167"/>
  </r>
  <r>
    <x v="168"/>
  </r>
  <r>
    <x v="169"/>
  </r>
  <r>
    <x v="170"/>
  </r>
  <r>
    <x v="171"/>
  </r>
  <r>
    <x v="172"/>
  </r>
  <r>
    <x v="173"/>
  </r>
  <r>
    <x v="174"/>
  </r>
  <r>
    <x v="175"/>
  </r>
  <r>
    <x v="176"/>
  </r>
  <r>
    <x v="177"/>
  </r>
  <r>
    <x v="178"/>
  </r>
  <r>
    <x v="179"/>
  </r>
  <r>
    <x v="180"/>
  </r>
  <r>
    <x v="181"/>
  </r>
  <r>
    <x v="182"/>
  </r>
  <r>
    <x v="183"/>
  </r>
  <r>
    <x v="184"/>
  </r>
  <r>
    <x v="185"/>
  </r>
  <r>
    <x v="186"/>
  </r>
  <r>
    <x v="187"/>
  </r>
  <r>
    <x v="188"/>
  </r>
  <r>
    <x v="189"/>
  </r>
  <r>
    <x v="190"/>
  </r>
  <r>
    <x v="191"/>
  </r>
  <r>
    <x v="192"/>
  </r>
  <r>
    <x v="193"/>
  </r>
  <r>
    <x v="194"/>
  </r>
  <r>
    <x v="195"/>
  </r>
  <r>
    <x v="196"/>
  </r>
  <r>
    <x v="197"/>
  </r>
  <r>
    <x v="198"/>
  </r>
  <r>
    <x v="199"/>
  </r>
  <r>
    <x v="200"/>
  </r>
  <r>
    <x v="201"/>
  </r>
  <r>
    <x v="202"/>
  </r>
  <r>
    <x v="203"/>
  </r>
  <r>
    <x v="204"/>
  </r>
  <r>
    <x v="205"/>
  </r>
  <r>
    <x v="206"/>
  </r>
  <r>
    <x v="207"/>
  </r>
  <r>
    <x v="208"/>
  </r>
  <r>
    <x v="209"/>
  </r>
  <r>
    <x v="210"/>
  </r>
  <r>
    <x v="211"/>
  </r>
  <r>
    <x v="212"/>
  </r>
  <r>
    <x v="213"/>
  </r>
  <r>
    <x v="214"/>
  </r>
  <r>
    <x v="215"/>
  </r>
  <r>
    <x v="216"/>
  </r>
  <r>
    <x v="217"/>
  </r>
  <r>
    <x v="218"/>
  </r>
  <r>
    <x v="219"/>
  </r>
  <r>
    <x v="220"/>
  </r>
  <r>
    <x v="221"/>
  </r>
  <r>
    <x v="222"/>
  </r>
  <r>
    <x v="223"/>
  </r>
  <r>
    <x v="224"/>
  </r>
  <r>
    <x v="225"/>
  </r>
  <r>
    <x v="226"/>
  </r>
  <r>
    <x v="227"/>
  </r>
  <r>
    <x v="228"/>
  </r>
  <r>
    <x v="229"/>
  </r>
  <r>
    <x v="230"/>
  </r>
  <r>
    <x v="231"/>
  </r>
  <r>
    <x v="232"/>
  </r>
  <r>
    <x v="233"/>
  </r>
  <r>
    <x v="234"/>
  </r>
  <r>
    <x v="235"/>
  </r>
  <r>
    <x v="236"/>
  </r>
  <r>
    <x v="237"/>
  </r>
  <r>
    <x v="238"/>
  </r>
  <r>
    <x v="239"/>
  </r>
  <r>
    <x v="240"/>
  </r>
  <r>
    <x v="241"/>
  </r>
  <r>
    <x v="242"/>
  </r>
  <r>
    <x v="243"/>
  </r>
  <r>
    <x v="244"/>
  </r>
  <r>
    <x v="245"/>
  </r>
  <r>
    <x v="246"/>
  </r>
  <r>
    <x v="247"/>
  </r>
  <r>
    <x v="248"/>
  </r>
  <r>
    <x v="249"/>
  </r>
  <r>
    <x v="250"/>
  </r>
  <r>
    <x v="251"/>
  </r>
  <r>
    <x v="252"/>
  </r>
  <r>
    <x v="253"/>
  </r>
  <r>
    <x v="254"/>
  </r>
  <r>
    <x v="255"/>
  </r>
  <r>
    <x v="256"/>
  </r>
  <r>
    <x v="257"/>
  </r>
  <r>
    <x v="258"/>
  </r>
  <r>
    <x v="259"/>
  </r>
  <r>
    <x v="260"/>
  </r>
  <r>
    <x v="86"/>
  </r>
  <r>
    <x v="86"/>
  </r>
  <r>
    <x v="86"/>
  </r>
  <r>
    <x v="86"/>
  </r>
  <r>
    <x v="86"/>
  </r>
  <r>
    <x v="86"/>
  </r>
  <r>
    <x v="86"/>
  </r>
  <r>
    <x v="86"/>
  </r>
  <r>
    <x v="86"/>
  </r>
  <r>
    <x v="86"/>
  </r>
  <r>
    <x v="86"/>
  </r>
  <r>
    <x v="86"/>
  </r>
  <r>
    <x v="86"/>
  </r>
  <r>
    <x v="86"/>
  </r>
  <r>
    <x v="86"/>
  </r>
  <r>
    <x v="86"/>
  </r>
  <r>
    <x v="86"/>
  </r>
  <r>
    <x v="86"/>
  </r>
  <r>
    <x v="86"/>
  </r>
  <r>
    <x v="86"/>
  </r>
  <r>
    <x v="86"/>
  </r>
  <r>
    <x v="86"/>
  </r>
  <r>
    <x v="86"/>
  </r>
  <r>
    <x v="86"/>
  </r>
  <r>
    <x v="261"/>
  </r>
  <r>
    <x v="262"/>
  </r>
  <r>
    <x v="263"/>
  </r>
  <r>
    <x v="264"/>
  </r>
  <r>
    <x v="265"/>
  </r>
  <r>
    <x v="266"/>
  </r>
  <r>
    <x v="267"/>
  </r>
  <r>
    <x v="268"/>
  </r>
  <r>
    <x v="269"/>
  </r>
  <r>
    <x v="270"/>
  </r>
  <r>
    <x v="271"/>
  </r>
  <r>
    <x v="272"/>
  </r>
  <r>
    <x v="273"/>
  </r>
  <r>
    <x v="274"/>
  </r>
  <r>
    <x v="275"/>
  </r>
  <r>
    <x v="276"/>
  </r>
  <r>
    <x v="277"/>
  </r>
  <r>
    <x v="278"/>
  </r>
  <r>
    <x v="279"/>
  </r>
  <r>
    <x v="280"/>
  </r>
  <r>
    <x v="281"/>
  </r>
  <r>
    <x v="282"/>
  </r>
  <r>
    <x v="283"/>
  </r>
  <r>
    <x v="284"/>
  </r>
  <r>
    <x v="285"/>
  </r>
  <r>
    <x v="286"/>
  </r>
  <r>
    <x v="287"/>
  </r>
  <r>
    <x v="288"/>
  </r>
  <r>
    <x v="289"/>
  </r>
  <r>
    <x v="290"/>
  </r>
  <r>
    <x v="291"/>
  </r>
  <r>
    <x v="292"/>
  </r>
  <r>
    <x v="293"/>
  </r>
  <r>
    <x v="294"/>
  </r>
  <r>
    <x v="295"/>
  </r>
  <r>
    <x v="296"/>
  </r>
  <r>
    <x v="297"/>
  </r>
  <r>
    <x v="298"/>
  </r>
  <r>
    <x v="299"/>
  </r>
  <r>
    <x v="300"/>
  </r>
  <r>
    <x v="301"/>
  </r>
  <r>
    <x v="302"/>
  </r>
  <r>
    <x v="303"/>
  </r>
  <r>
    <x v="304"/>
  </r>
  <r>
    <x v="305"/>
  </r>
  <r>
    <x v="306"/>
  </r>
  <r>
    <x v="307"/>
  </r>
  <r>
    <x v="308"/>
  </r>
  <r>
    <x v="309"/>
  </r>
  <r>
    <x v="310"/>
  </r>
  <r>
    <x v="311"/>
  </r>
  <r>
    <x v="312"/>
  </r>
  <r>
    <x v="313"/>
  </r>
  <r>
    <x v="314"/>
  </r>
  <r>
    <x v="315"/>
  </r>
  <r>
    <x v="316"/>
  </r>
  <r>
    <x v="317"/>
  </r>
  <r>
    <x v="318"/>
  </r>
  <r>
    <x v="319"/>
  </r>
  <r>
    <x v="320"/>
  </r>
  <r>
    <x v="321"/>
  </r>
  <r>
    <x v="322"/>
  </r>
  <r>
    <x v="323"/>
  </r>
  <r>
    <x v="324"/>
  </r>
  <r>
    <x v="325"/>
  </r>
  <r>
    <x v="326"/>
  </r>
  <r>
    <x v="327"/>
  </r>
  <r>
    <x v="328"/>
  </r>
  <r>
    <x v="329"/>
  </r>
  <r>
    <x v="330"/>
  </r>
  <r>
    <x v="331"/>
  </r>
  <r>
    <x v="332"/>
  </r>
  <r>
    <x v="333"/>
  </r>
  <r>
    <x v="334"/>
  </r>
  <r>
    <x v="335"/>
  </r>
  <r>
    <x v="336"/>
  </r>
  <r>
    <x v="337"/>
  </r>
  <r>
    <x v="338"/>
  </r>
  <r>
    <x v="339"/>
  </r>
  <r>
    <x v="340"/>
  </r>
  <r>
    <x v="341"/>
  </r>
  <r>
    <x v="342"/>
  </r>
  <r>
    <x v="343"/>
  </r>
  <r>
    <x v="344"/>
  </r>
  <r>
    <x v="345"/>
  </r>
  <r>
    <x v="346"/>
  </r>
  <r>
    <x v="347"/>
  </r>
  <r>
    <x v="348"/>
  </r>
  <r>
    <x v="349"/>
  </r>
  <r>
    <x v="350"/>
  </r>
  <r>
    <x v="351"/>
  </r>
  <r>
    <x v="352"/>
  </r>
  <r>
    <x v="353"/>
  </r>
  <r>
    <x v="354"/>
  </r>
  <r>
    <x v="355"/>
  </r>
  <r>
    <x v="356"/>
  </r>
  <r>
    <x v="357"/>
  </r>
  <r>
    <x v="358"/>
  </r>
  <r>
    <x v="359"/>
  </r>
  <r>
    <x v="360"/>
  </r>
  <r>
    <x v="361"/>
  </r>
  <r>
    <x v="362"/>
  </r>
  <r>
    <x v="363"/>
  </r>
  <r>
    <x v="364"/>
  </r>
  <r>
    <x v="365"/>
  </r>
  <r>
    <x v="366"/>
  </r>
  <r>
    <x v="367"/>
  </r>
  <r>
    <x v="368"/>
  </r>
  <r>
    <x v="369"/>
  </r>
  <r>
    <x v="370"/>
  </r>
  <r>
    <x v="371"/>
  </r>
  <r>
    <x v="372"/>
  </r>
  <r>
    <x v="373"/>
  </r>
  <r>
    <x v="374"/>
  </r>
  <r>
    <x v="375"/>
  </r>
  <r>
    <x v="376"/>
  </r>
  <r>
    <x v="377"/>
  </r>
  <r>
    <x v="378"/>
  </r>
  <r>
    <x v="379"/>
  </r>
  <r>
    <x v="380"/>
  </r>
  <r>
    <x v="381"/>
  </r>
  <r>
    <x v="382"/>
  </r>
  <r>
    <x v="383"/>
  </r>
  <r>
    <x v="384"/>
  </r>
  <r>
    <x v="385"/>
  </r>
  <r>
    <x v="386"/>
  </r>
  <r>
    <x v="387"/>
  </r>
  <r>
    <x v="388"/>
  </r>
  <r>
    <x v="389"/>
  </r>
  <r>
    <x v="390"/>
  </r>
  <r>
    <x v="391"/>
  </r>
  <r>
    <x v="392"/>
  </r>
  <r>
    <x v="393"/>
  </r>
  <r>
    <x v="394"/>
  </r>
  <r>
    <x v="395"/>
  </r>
  <r>
    <x v="396"/>
  </r>
  <r>
    <x v="397"/>
  </r>
  <r>
    <x v="398"/>
  </r>
  <r>
    <x v="399"/>
  </r>
  <r>
    <x v="400"/>
  </r>
  <r>
    <x v="401"/>
  </r>
  <r>
    <x v="402"/>
  </r>
  <r>
    <x v="403"/>
  </r>
  <r>
    <x v="404"/>
  </r>
  <r>
    <x v="405"/>
  </r>
  <r>
    <x v="406"/>
  </r>
  <r>
    <x v="407"/>
  </r>
  <r>
    <x v="408"/>
  </r>
  <r>
    <x v="409"/>
  </r>
  <r>
    <x v="410"/>
  </r>
  <r>
    <x v="411"/>
  </r>
  <r>
    <x v="412"/>
  </r>
  <r>
    <x v="413"/>
  </r>
  <r>
    <x v="414"/>
  </r>
  <r>
    <x v="415"/>
  </r>
  <r>
    <x v="416"/>
  </r>
  <r>
    <x v="417"/>
  </r>
  <r>
    <x v="418"/>
  </r>
  <r>
    <x v="419"/>
  </r>
  <r>
    <x v="420"/>
  </r>
  <r>
    <x v="421"/>
  </r>
  <r>
    <x v="422"/>
  </r>
  <r>
    <x v="423"/>
  </r>
  <r>
    <x v="424"/>
  </r>
  <r>
    <x v="425"/>
  </r>
  <r>
    <x v="426"/>
  </r>
  <r>
    <x v="427"/>
  </r>
  <r>
    <x v="428"/>
  </r>
  <r>
    <x v="429"/>
  </r>
  <r>
    <x v="430"/>
  </r>
  <r>
    <x v="431"/>
  </r>
  <r>
    <x v="432"/>
  </r>
  <r>
    <x v="433"/>
  </r>
  <r>
    <x v="434"/>
  </r>
  <r>
    <x v="435"/>
  </r>
  <r>
    <x v="436"/>
  </r>
  <r>
    <x v="437"/>
  </r>
  <r>
    <x v="438"/>
  </r>
  <r>
    <x v="439"/>
  </r>
  <r>
    <x v="440"/>
  </r>
  <r>
    <x v="441"/>
  </r>
  <r>
    <x v="442"/>
  </r>
  <r>
    <x v="443"/>
  </r>
  <r>
    <x v="444"/>
  </r>
  <r>
    <x v="206"/>
  </r>
  <r>
    <x v="445"/>
  </r>
  <r>
    <x v="446"/>
  </r>
  <r>
    <x v="447"/>
  </r>
  <r>
    <x v="448"/>
  </r>
  <r>
    <x v="449"/>
  </r>
  <r>
    <x v="450"/>
  </r>
  <r>
    <x v="451"/>
  </r>
  <r>
    <x v="452"/>
  </r>
  <r>
    <x v="453"/>
  </r>
  <r>
    <x v="454"/>
  </r>
  <r>
    <x v="455"/>
  </r>
  <r>
    <x v="456"/>
  </r>
  <r>
    <x v="457"/>
  </r>
  <r>
    <x v="458"/>
  </r>
  <r>
    <x v="459"/>
  </r>
  <r>
    <x v="460"/>
  </r>
  <r>
    <x v="461"/>
  </r>
  <r>
    <x v="462"/>
  </r>
  <r>
    <x v="463"/>
  </r>
  <r>
    <x v="464"/>
  </r>
  <r>
    <x v="465"/>
  </r>
  <r>
    <x v="466"/>
  </r>
  <r>
    <x v="467"/>
  </r>
  <r>
    <x v="468"/>
  </r>
  <r>
    <x v="469"/>
  </r>
  <r>
    <x v="470"/>
  </r>
  <r>
    <x v="471"/>
  </r>
  <r>
    <x v="472"/>
  </r>
  <r>
    <x v="473"/>
  </r>
  <r>
    <x v="474"/>
  </r>
  <r>
    <x v="475"/>
  </r>
  <r>
    <x v="476"/>
  </r>
  <r>
    <x v="477"/>
  </r>
  <r>
    <x v="478"/>
  </r>
  <r>
    <x v="479"/>
  </r>
  <r>
    <x v="480"/>
  </r>
  <r>
    <x v="481"/>
  </r>
  <r>
    <x v="482"/>
  </r>
  <r>
    <x v="483"/>
  </r>
  <r>
    <x v="484"/>
  </r>
  <r>
    <x v="485"/>
  </r>
  <r>
    <x v="486"/>
  </r>
  <r>
    <x v="487"/>
  </r>
  <r>
    <x v="488"/>
  </r>
  <r>
    <x v="489"/>
  </r>
  <r>
    <x v="490"/>
  </r>
  <r>
    <x v="491"/>
  </r>
  <r>
    <x v="492"/>
  </r>
  <r>
    <x v="493"/>
  </r>
  <r>
    <x v="494"/>
  </r>
  <r>
    <x v="495"/>
  </r>
  <r>
    <x v="496"/>
  </r>
  <r>
    <x v="497"/>
  </r>
  <r>
    <x v="498"/>
  </r>
  <r>
    <x v="499"/>
  </r>
  <r>
    <x v="500"/>
  </r>
  <r>
    <x v="501"/>
  </r>
  <r>
    <x v="502"/>
  </r>
  <r>
    <x v="503"/>
  </r>
  <r>
    <x v="504"/>
  </r>
  <r>
    <x v="505"/>
  </r>
  <r>
    <x v="506"/>
  </r>
  <r>
    <x v="507"/>
  </r>
  <r>
    <x v="508"/>
  </r>
  <r>
    <x v="509"/>
  </r>
  <r>
    <x v="510"/>
  </r>
  <r>
    <x v="511"/>
  </r>
  <r>
    <x v="219"/>
  </r>
  <r>
    <x v="512"/>
  </r>
  <r>
    <x v="513"/>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514"/>
  </r>
  <r>
    <x v="515"/>
  </r>
  <r>
    <x v="516"/>
  </r>
  <r>
    <x v="517"/>
  </r>
  <r>
    <x v="518"/>
  </r>
  <r>
    <x v="519"/>
  </r>
  <r>
    <x v="520"/>
  </r>
  <r>
    <x v="521"/>
  </r>
  <r>
    <x v="522"/>
  </r>
  <r>
    <x v="523"/>
  </r>
  <r>
    <x v="524"/>
  </r>
  <r>
    <x v="525"/>
  </r>
  <r>
    <x v="526"/>
  </r>
  <r>
    <x v="527"/>
  </r>
  <r>
    <x v="528"/>
  </r>
  <r>
    <x v="529"/>
  </r>
  <r>
    <x v="530"/>
  </r>
  <r>
    <x v="531"/>
  </r>
  <r>
    <x v="532"/>
  </r>
  <r>
    <x v="533"/>
  </r>
  <r>
    <x v="534"/>
  </r>
  <r>
    <x v="535"/>
  </r>
  <r>
    <x v="536"/>
  </r>
  <r>
    <x v="537"/>
  </r>
  <r>
    <x v="538"/>
  </r>
  <r>
    <x v="539"/>
  </r>
  <r>
    <x v="540"/>
  </r>
  <r>
    <x v="541"/>
  </r>
  <r>
    <x v="542"/>
  </r>
  <r>
    <x v="543"/>
  </r>
  <r>
    <x v="544"/>
  </r>
  <r>
    <x v="545"/>
  </r>
  <r>
    <x v="546"/>
  </r>
  <r>
    <x v="547"/>
  </r>
  <r>
    <x v="548"/>
  </r>
  <r>
    <x v="549"/>
  </r>
  <r>
    <x v="550"/>
  </r>
  <r>
    <x v="551"/>
  </r>
  <r>
    <x v="552"/>
  </r>
  <r>
    <x v="553"/>
  </r>
  <r>
    <x v="554"/>
  </r>
  <r>
    <x v="555"/>
  </r>
  <r>
    <x v="556"/>
  </r>
  <r>
    <x v="557"/>
  </r>
  <r>
    <x v="558"/>
  </r>
  <r>
    <x v="559"/>
  </r>
  <r>
    <x v="560"/>
  </r>
  <r>
    <x v="561"/>
  </r>
  <r>
    <x v="562"/>
  </r>
  <r>
    <x v="563"/>
  </r>
  <r>
    <x v="564"/>
  </r>
  <r>
    <x v="565"/>
  </r>
  <r>
    <x v="566"/>
  </r>
  <r>
    <x v="567"/>
  </r>
  <r>
    <x v="568"/>
  </r>
  <r>
    <x v="569"/>
  </r>
  <r>
    <x v="570"/>
  </r>
  <r>
    <x v="571"/>
  </r>
  <r>
    <x v="572"/>
  </r>
  <r>
    <x v="573"/>
  </r>
  <r>
    <x v="574"/>
  </r>
  <r>
    <x v="575"/>
  </r>
  <r>
    <x v="576"/>
  </r>
  <r>
    <x v="577"/>
  </r>
  <r>
    <x v="578"/>
  </r>
  <r>
    <x v="579"/>
  </r>
  <r>
    <x v="580"/>
  </r>
  <r>
    <x v="581"/>
  </r>
  <r>
    <x v="582"/>
  </r>
  <r>
    <x v="583"/>
  </r>
  <r>
    <x v="584"/>
  </r>
  <r>
    <x v="585"/>
  </r>
  <r>
    <x v="586"/>
  </r>
  <r>
    <x v="587"/>
  </r>
  <r>
    <x v="588"/>
  </r>
  <r>
    <x v="589"/>
  </r>
  <r>
    <x v="590"/>
  </r>
  <r>
    <x v="591"/>
  </r>
  <r>
    <x v="592"/>
  </r>
  <r>
    <x v="593"/>
  </r>
  <r>
    <x v="594"/>
  </r>
  <r>
    <x v="595"/>
  </r>
  <r>
    <x v="596"/>
  </r>
  <r>
    <x v="597"/>
  </r>
  <r>
    <x v="598"/>
  </r>
  <r>
    <x v="599"/>
  </r>
  <r>
    <x v="600"/>
  </r>
  <r>
    <x v="601"/>
  </r>
  <r>
    <x v="602"/>
  </r>
  <r>
    <x v="603"/>
  </r>
  <r>
    <x v="604"/>
  </r>
  <r>
    <x v="605"/>
  </r>
  <r>
    <x v="606"/>
  </r>
  <r>
    <x v="607"/>
  </r>
  <r>
    <x v="608"/>
  </r>
  <r>
    <x v="609"/>
  </r>
  <r>
    <x v="610"/>
  </r>
  <r>
    <x v="611"/>
  </r>
  <r>
    <x v="612"/>
  </r>
  <r>
    <x v="220"/>
  </r>
  <r>
    <x v="613"/>
  </r>
  <r>
    <x v="614"/>
  </r>
  <r>
    <x v="240"/>
  </r>
  <r>
    <x v="615"/>
  </r>
  <r>
    <x v="616"/>
  </r>
  <r>
    <x v="617"/>
  </r>
  <r>
    <x v="618"/>
  </r>
  <r>
    <x v="619"/>
  </r>
  <r>
    <x v="620"/>
  </r>
  <r>
    <x v="621"/>
  </r>
  <r>
    <x v="622"/>
  </r>
  <r>
    <x v="623"/>
  </r>
  <r>
    <x v="624"/>
  </r>
  <r>
    <x v="625"/>
  </r>
  <r>
    <x v="626"/>
  </r>
  <r>
    <x v="627"/>
  </r>
  <r>
    <x v="628"/>
  </r>
  <r>
    <x v="629"/>
  </r>
  <r>
    <x v="630"/>
  </r>
  <r>
    <x v="631"/>
  </r>
  <r>
    <x v="632"/>
  </r>
  <r>
    <x v="633"/>
  </r>
  <r>
    <x v="634"/>
  </r>
  <r>
    <x v="635"/>
  </r>
  <r>
    <x v="636"/>
  </r>
  <r>
    <x v="637"/>
  </r>
  <r>
    <x v="638"/>
  </r>
  <r>
    <x v="639"/>
  </r>
  <r>
    <x v="640"/>
  </r>
  <r>
    <x v="641"/>
  </r>
  <r>
    <x v="642"/>
  </r>
  <r>
    <x v="643"/>
  </r>
  <r>
    <x v="644"/>
  </r>
  <r>
    <x v="645"/>
  </r>
  <r>
    <x v="646"/>
  </r>
  <r>
    <x v="647"/>
  </r>
  <r>
    <x v="648"/>
  </r>
  <r>
    <x v="649"/>
  </r>
  <r>
    <x v="650"/>
  </r>
  <r>
    <x v="651"/>
  </r>
  <r>
    <x v="652"/>
  </r>
  <r>
    <x v="653"/>
  </r>
  <r>
    <x v="654"/>
  </r>
  <r>
    <x v="655"/>
  </r>
  <r>
    <x v="86"/>
  </r>
  <r>
    <x v="86"/>
  </r>
  <r>
    <x v="86"/>
  </r>
  <r>
    <x v="86"/>
  </r>
  <r>
    <x v="86"/>
  </r>
  <r>
    <x v="86"/>
  </r>
  <r>
    <x v="86"/>
  </r>
  <r>
    <x v="86"/>
  </r>
  <r>
    <x v="86"/>
  </r>
  <r>
    <x v="86"/>
  </r>
  <r>
    <x v="86"/>
  </r>
  <r>
    <x v="86"/>
  </r>
  <r>
    <x v="86"/>
  </r>
  <r>
    <x v="656"/>
  </r>
  <r>
    <x v="657"/>
  </r>
  <r>
    <x v="658"/>
  </r>
  <r>
    <x v="659"/>
  </r>
  <r>
    <x v="660"/>
  </r>
  <r>
    <x v="661"/>
  </r>
  <r>
    <x v="662"/>
  </r>
  <r>
    <x v="663"/>
  </r>
  <r>
    <x v="664"/>
  </r>
  <r>
    <x v="665"/>
  </r>
  <r>
    <x v="666"/>
  </r>
  <r>
    <x v="667"/>
  </r>
  <r>
    <x v="668"/>
  </r>
  <r>
    <x v="669"/>
  </r>
  <r>
    <x v="670"/>
  </r>
  <r>
    <x v="671"/>
  </r>
  <r>
    <x v="672"/>
  </r>
  <r>
    <x v="673"/>
  </r>
  <r>
    <x v="674"/>
  </r>
  <r>
    <x v="675"/>
  </r>
  <r>
    <x v="676"/>
  </r>
  <r>
    <x v="677"/>
  </r>
  <r>
    <x v="678"/>
  </r>
  <r>
    <x v="679"/>
  </r>
  <r>
    <x v="680"/>
  </r>
  <r>
    <x v="681"/>
  </r>
  <r>
    <x v="682"/>
  </r>
  <r>
    <x v="683"/>
  </r>
  <r>
    <x v="684"/>
  </r>
  <r>
    <x v="685"/>
  </r>
  <r>
    <x v="686"/>
  </r>
  <r>
    <x v="687"/>
  </r>
  <r>
    <x v="688"/>
  </r>
  <r>
    <x v="689"/>
  </r>
  <r>
    <x v="690"/>
  </r>
  <r>
    <x v="691"/>
  </r>
  <r>
    <x v="692"/>
  </r>
  <r>
    <x v="86"/>
  </r>
  <r>
    <x v="693"/>
  </r>
  <r>
    <x v="694"/>
  </r>
  <r>
    <x v="695"/>
  </r>
  <r>
    <x v="696"/>
  </r>
  <r>
    <x v="697"/>
  </r>
  <r>
    <x v="698"/>
  </r>
  <r>
    <x v="699"/>
  </r>
  <r>
    <x v="700"/>
  </r>
  <r>
    <x v="701"/>
  </r>
  <r>
    <x v="702"/>
  </r>
  <r>
    <x v="703"/>
  </r>
  <r>
    <x v="704"/>
  </r>
  <r>
    <x v="705"/>
  </r>
  <r>
    <x v="706"/>
  </r>
  <r>
    <x v="707"/>
  </r>
  <r>
    <x v="708"/>
  </r>
  <r>
    <x v="709"/>
  </r>
  <r>
    <x v="710"/>
  </r>
  <r>
    <x v="711"/>
  </r>
  <r>
    <x v="712"/>
  </r>
  <r>
    <x v="713"/>
  </r>
  <r>
    <x v="714"/>
  </r>
  <r>
    <x v="715"/>
  </r>
  <r>
    <x v="716"/>
  </r>
  <r>
    <x v="717"/>
  </r>
  <r>
    <x v="718"/>
  </r>
  <r>
    <x v="719"/>
  </r>
  <r>
    <x v="720"/>
  </r>
  <r>
    <x v="721"/>
  </r>
  <r>
    <x v="722"/>
  </r>
  <r>
    <x v="723"/>
  </r>
  <r>
    <x v="724"/>
  </r>
  <r>
    <x v="86"/>
  </r>
  <r>
    <x v="86"/>
  </r>
  <r>
    <x v="86"/>
  </r>
  <r>
    <x v="119"/>
  </r>
  <r>
    <x v="725"/>
  </r>
  <r>
    <x v="72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fieldListSortAscending="1">
  <location ref="BS2:BS730" firstHeaderRow="1" firstDataRow="1" firstDataCol="1"/>
  <pivotFields count="1">
    <pivotField axis="axisRow" showAll="0" sortType="ascending">
      <items count="1165">
        <item x="99"/>
        <item x="13"/>
        <item m="1" x="951"/>
        <item m="1" x="992"/>
        <item x="249"/>
        <item m="1" x="760"/>
        <item x="315"/>
        <item x="582"/>
        <item m="1" x="926"/>
        <item m="1" x="1147"/>
        <item m="1" x="817"/>
        <item x="70"/>
        <item x="269"/>
        <item x="116"/>
        <item m="1" x="1065"/>
        <item m="1" x="962"/>
        <item x="569"/>
        <item m="1" x="842"/>
        <item m="1" x="960"/>
        <item x="226"/>
        <item x="338"/>
        <item m="1" x="1114"/>
        <item m="1" x="1152"/>
        <item m="1" x="1098"/>
        <item x="508"/>
        <item m="1" x="749"/>
        <item m="1" x="1009"/>
        <item x="103"/>
        <item m="1" x="997"/>
        <item m="1" x="964"/>
        <item m="1" x="729"/>
        <item x="312"/>
        <item x="348"/>
        <item m="1" x="967"/>
        <item x="115"/>
        <item x="274"/>
        <item x="383"/>
        <item x="175"/>
        <item x="271"/>
        <item x="684"/>
        <item x="418"/>
        <item m="1" x="890"/>
        <item m="1" x="1084"/>
        <item x="440"/>
        <item x="614"/>
        <item x="597"/>
        <item x="50"/>
        <item x="462"/>
        <item m="1" x="855"/>
        <item x="628"/>
        <item x="189"/>
        <item m="1" x="734"/>
        <item x="17"/>
        <item x="502"/>
        <item m="1" x="853"/>
        <item m="1" x="1125"/>
        <item m="1" x="731"/>
        <item m="1" x="771"/>
        <item x="122"/>
        <item m="1" x="851"/>
        <item m="1" x="1080"/>
        <item m="1" x="834"/>
        <item x="615"/>
        <item m="1" x="970"/>
        <item x="437"/>
        <item x="397"/>
        <item x="722"/>
        <item m="1" x="1099"/>
        <item x="88"/>
        <item m="1" x="754"/>
        <item x="550"/>
        <item m="1" x="857"/>
        <item m="1" x="1043"/>
        <item x="477"/>
        <item m="1" x="1003"/>
        <item x="247"/>
        <item x="721"/>
        <item x="42"/>
        <item x="31"/>
        <item x="713"/>
        <item m="1" x="871"/>
        <item m="1" x="972"/>
        <item x="655"/>
        <item m="1" x="798"/>
        <item x="358"/>
        <item m="1" x="922"/>
        <item x="91"/>
        <item m="1" x="808"/>
        <item m="1" x="1055"/>
        <item x="60"/>
        <item x="586"/>
        <item m="1" x="728"/>
        <item x="476"/>
        <item m="1" x="1149"/>
        <item x="187"/>
        <item x="300"/>
        <item x="290"/>
        <item m="1" x="1127"/>
        <item x="691"/>
        <item x="214"/>
        <item m="1" x="930"/>
        <item x="473"/>
        <item x="669"/>
        <item x="419"/>
        <item m="1" x="927"/>
        <item x="372"/>
        <item x="600"/>
        <item x="98"/>
        <item x="565"/>
        <item x="510"/>
        <item m="1" x="1076"/>
        <item x="680"/>
        <item x="47"/>
        <item x="571"/>
        <item m="1" x="1005"/>
        <item x="37"/>
        <item m="1" x="1129"/>
        <item x="117"/>
        <item x="417"/>
        <item x="222"/>
        <item x="23"/>
        <item x="554"/>
        <item x="403"/>
        <item x="470"/>
        <item m="1" x="896"/>
        <item x="22"/>
        <item x="579"/>
        <item m="1" x="906"/>
        <item x="705"/>
        <item x="449"/>
        <item x="396"/>
        <item x="541"/>
        <item x="682"/>
        <item x="672"/>
        <item x="692"/>
        <item m="1" x="736"/>
        <item x="405"/>
        <item x="280"/>
        <item x="108"/>
        <item m="1" x="1022"/>
        <item m="1" x="1116"/>
        <item x="480"/>
        <item m="1" x="1041"/>
        <item m="1" x="917"/>
        <item x="664"/>
        <item x="591"/>
        <item x="716"/>
        <item m="1" x="752"/>
        <item m="1" x="944"/>
        <item x="78"/>
        <item x="368"/>
        <item x="392"/>
        <item x="266"/>
        <item m="1" x="1085"/>
        <item m="1" x="867"/>
        <item m="1" x="1019"/>
        <item m="1" x="823"/>
        <item x="686"/>
        <item m="1" x="940"/>
        <item m="1" x="1109"/>
        <item x="385"/>
        <item x="576"/>
        <item x="637"/>
        <item x="150"/>
        <item x="342"/>
        <item m="1" x="1000"/>
        <item x="141"/>
        <item x="673"/>
        <item m="1" x="924"/>
        <item x="723"/>
        <item x="523"/>
        <item x="678"/>
        <item m="1" x="1067"/>
        <item x="494"/>
        <item x="190"/>
        <item x="289"/>
        <item m="1" x="1162"/>
        <item m="1" x="1049"/>
        <item x="620"/>
        <item x="375"/>
        <item x="638"/>
        <item x="276"/>
        <item x="180"/>
        <item m="1" x="763"/>
        <item m="1" x="815"/>
        <item m="1" x="819"/>
        <item m="1" x="1101"/>
        <item x="286"/>
        <item x="87"/>
        <item x="277"/>
        <item x="133"/>
        <item x="720"/>
        <item m="1" x="1106"/>
        <item x="65"/>
        <item m="1" x="727"/>
        <item x="223"/>
        <item m="1" x="781"/>
        <item x="479"/>
        <item x="25"/>
        <item x="557"/>
        <item x="43"/>
        <item x="698"/>
        <item m="1" x="738"/>
        <item x="145"/>
        <item m="1" x="1131"/>
        <item x="464"/>
        <item m="1" x="843"/>
        <item m="1" x="1130"/>
        <item m="1" x="880"/>
        <item m="1" x="742"/>
        <item x="441"/>
        <item x="482"/>
        <item x="570"/>
        <item x="416"/>
        <item m="1" x="923"/>
        <item x="531"/>
        <item x="605"/>
        <item m="1" x="1095"/>
        <item m="1" x="987"/>
        <item x="34"/>
        <item x="598"/>
        <item x="264"/>
        <item x="66"/>
        <item x="143"/>
        <item x="165"/>
        <item m="1" x="963"/>
        <item x="343"/>
        <item m="1" x="762"/>
        <item x="306"/>
        <item x="184"/>
        <item m="1" x="740"/>
        <item x="617"/>
        <item x="324"/>
        <item m="1" x="838"/>
        <item m="1" x="869"/>
        <item x="8"/>
        <item x="693"/>
        <item x="520"/>
        <item x="640"/>
        <item x="530"/>
        <item x="526"/>
        <item x="119"/>
        <item m="1" x="886"/>
        <item x="232"/>
        <item x="105"/>
        <item x="130"/>
        <item x="201"/>
        <item x="428"/>
        <item m="1" x="1124"/>
        <item x="575"/>
        <item m="1" x="829"/>
        <item m="1" x="977"/>
        <item x="118"/>
        <item x="583"/>
        <item m="1" x="758"/>
        <item x="663"/>
        <item x="11"/>
        <item m="1" x="1110"/>
        <item m="1" x="773"/>
        <item x="474"/>
        <item x="443"/>
        <item x="204"/>
        <item m="1" x="1143"/>
        <item m="1" x="915"/>
        <item m="1" x="887"/>
        <item x="339"/>
        <item x="321"/>
        <item x="567"/>
        <item x="198"/>
        <item m="1" x="1091"/>
        <item m="1" x="764"/>
        <item m="1" x="1093"/>
        <item x="518"/>
        <item x="447"/>
        <item x="215"/>
        <item m="1" x="900"/>
        <item m="1" x="1060"/>
        <item x="499"/>
        <item x="268"/>
        <item x="394"/>
        <item x="68"/>
        <item m="1" x="1070"/>
        <item m="1" x="1144"/>
        <item x="112"/>
        <item x="411"/>
        <item x="525"/>
        <item m="1" x="844"/>
        <item x="633"/>
        <item x="602"/>
        <item x="44"/>
        <item m="1" x="921"/>
        <item x="538"/>
        <item x="505"/>
        <item m="1" x="1033"/>
        <item m="1" x="858"/>
        <item x="424"/>
        <item x="287"/>
        <item m="1" x="733"/>
        <item m="1" x="1036"/>
        <item x="409"/>
        <item x="272"/>
        <item x="174"/>
        <item m="1" x="1118"/>
        <item x="387"/>
        <item x="434"/>
        <item m="1" x="931"/>
        <item x="206"/>
        <item m="1" x="1053"/>
        <item m="1" x="1007"/>
        <item x="719"/>
        <item x="202"/>
        <item x="463"/>
        <item x="427"/>
        <item m="1" x="1016"/>
        <item x="183"/>
        <item m="1" x="975"/>
        <item m="1" x="841"/>
        <item x="429"/>
        <item x="18"/>
        <item m="1" x="812"/>
        <item m="1" x="802"/>
        <item x="488"/>
        <item x="196"/>
        <item m="1" x="909"/>
        <item x="90"/>
        <item m="1" x="1061"/>
        <item m="1" x="783"/>
        <item m="1" x="1136"/>
        <item x="7"/>
        <item x="30"/>
        <item x="711"/>
        <item x="185"/>
        <item x="316"/>
        <item x="420"/>
        <item x="626"/>
        <item x="390"/>
        <item m="1" x="772"/>
        <item x="132"/>
        <item m="1" x="745"/>
        <item m="1" x="818"/>
        <item m="1" x="980"/>
        <item x="135"/>
        <item m="1" x="1089"/>
        <item x="278"/>
        <item m="1" x="889"/>
        <item x="182"/>
        <item m="1" x="1135"/>
        <item x="481"/>
        <item x="459"/>
        <item m="1" x="848"/>
        <item m="1" x="929"/>
        <item x="297"/>
        <item m="1" x="902"/>
        <item x="313"/>
        <item x="288"/>
        <item x="279"/>
        <item x="635"/>
        <item x="553"/>
        <item x="325"/>
        <item x="129"/>
        <item x="407"/>
        <item m="1" x="913"/>
        <item m="1" x="1113"/>
        <item x="72"/>
        <item x="292"/>
        <item m="1" x="1069"/>
        <item x="63"/>
        <item x="613"/>
        <item m="1" x="976"/>
        <item m="1" x="827"/>
        <item x="562"/>
        <item x="675"/>
        <item m="1" x="1042"/>
        <item m="1" x="1103"/>
        <item m="1" x="1072"/>
        <item x="400"/>
        <item x="467"/>
        <item x="54"/>
        <item x="676"/>
        <item m="1" x="994"/>
        <item x="578"/>
        <item m="1" x="833"/>
        <item m="1" x="1074"/>
        <item x="126"/>
        <item x="334"/>
        <item m="1" x="905"/>
        <item x="258"/>
        <item m="1" x="893"/>
        <item m="1" x="743"/>
        <item m="1" x="957"/>
        <item x="421"/>
        <item m="1" x="866"/>
        <item x="167"/>
        <item x="588"/>
        <item x="629"/>
        <item x="469"/>
        <item m="1" x="1133"/>
        <item x="522"/>
        <item x="179"/>
        <item x="661"/>
        <item x="136"/>
        <item x="646"/>
        <item x="560"/>
        <item m="1" x="816"/>
        <item m="1" x="1029"/>
        <item m="1" x="933"/>
        <item m="1" x="948"/>
        <item x="295"/>
        <item m="1" x="981"/>
        <item m="1" x="1026"/>
        <item x="39"/>
        <item m="1" x="811"/>
        <item m="1" x="1097"/>
        <item x="273"/>
        <item x="199"/>
        <item m="1" x="969"/>
        <item x="704"/>
        <item m="1" x="892"/>
        <item x="12"/>
        <item x="589"/>
        <item x="517"/>
        <item x="296"/>
        <item x="528"/>
        <item m="1" x="1032"/>
        <item x="248"/>
        <item m="1" x="873"/>
        <item x="240"/>
        <item x="237"/>
        <item m="1" x="919"/>
        <item x="667"/>
        <item x="623"/>
        <item x="351"/>
        <item x="524"/>
        <item x="657"/>
        <item m="1" x="790"/>
        <item x="497"/>
        <item x="679"/>
        <item x="451"/>
        <item x="139"/>
        <item m="1" x="875"/>
        <item x="568"/>
        <item x="660"/>
        <item x="176"/>
        <item x="537"/>
        <item x="64"/>
        <item x="251"/>
        <item m="1" x="828"/>
        <item x="707"/>
        <item m="1" x="832"/>
        <item x="532"/>
        <item x="654"/>
        <item x="606"/>
        <item x="203"/>
        <item x="332"/>
        <item m="1" x="1134"/>
        <item x="581"/>
        <item m="1" x="768"/>
        <item x="696"/>
        <item x="533"/>
        <item m="1" x="791"/>
        <item m="1" x="959"/>
        <item x="460"/>
        <item m="1" x="784"/>
        <item x="330"/>
        <item x="547"/>
        <item x="365"/>
        <item x="160"/>
        <item m="1" x="1064"/>
        <item m="1" x="949"/>
        <item x="109"/>
        <item x="157"/>
        <item m="1" x="1015"/>
        <item x="715"/>
        <item m="1" x="968"/>
        <item x="255"/>
        <item m="1" x="1146"/>
        <item x="601"/>
        <item m="1" x="1045"/>
        <item x="468"/>
        <item x="636"/>
        <item x="32"/>
        <item m="1" x="950"/>
        <item x="472"/>
        <item x="294"/>
        <item x="106"/>
        <item x="665"/>
        <item x="549"/>
        <item x="235"/>
        <item x="77"/>
        <item m="1" x="903"/>
        <item m="1" x="755"/>
        <item m="1" x="884"/>
        <item x="671"/>
        <item x="649"/>
        <item x="439"/>
        <item x="257"/>
        <item x="310"/>
        <item x="252"/>
        <item x="495"/>
        <item x="391"/>
        <item m="1" x="1039"/>
        <item x="2"/>
        <item x="415"/>
        <item x="448"/>
        <item m="1" x="854"/>
        <item x="425"/>
        <item x="452"/>
        <item x="352"/>
        <item x="125"/>
        <item x="404"/>
        <item m="1" x="852"/>
        <item x="263"/>
        <item x="56"/>
        <item x="104"/>
        <item x="114"/>
        <item x="596"/>
        <item m="1" x="958"/>
        <item m="1" x="1100"/>
        <item x="475"/>
        <item x="195"/>
        <item x="501"/>
        <item m="1" x="1051"/>
        <item x="323"/>
        <item x="433"/>
        <item x="168"/>
        <item m="1" x="1150"/>
        <item x="15"/>
        <item m="1" x="777"/>
        <item x="74"/>
        <item x="244"/>
        <item x="51"/>
        <item m="1" x="757"/>
        <item x="511"/>
        <item x="241"/>
        <item m="1" x="1104"/>
        <item x="253"/>
        <item m="1" x="1002"/>
        <item x="659"/>
        <item x="670"/>
        <item m="1" x="846"/>
        <item x="376"/>
        <item m="1" x="807"/>
        <item m="1" x="1122"/>
        <item x="113"/>
        <item x="303"/>
        <item x="335"/>
        <item m="1" x="998"/>
        <item x="270"/>
        <item x="134"/>
        <item m="1" x="1050"/>
        <item m="1" x="1156"/>
        <item m="1" x="1079"/>
        <item m="1" x="908"/>
        <item m="1" x="879"/>
        <item m="1" x="920"/>
        <item x="123"/>
        <item x="539"/>
        <item m="1" x="1158"/>
        <item m="1" x="1075"/>
        <item x="604"/>
        <item m="1" x="761"/>
        <item x="138"/>
        <item x="234"/>
        <item x="153"/>
        <item x="281"/>
        <item x="616"/>
        <item m="1" x="1119"/>
        <item x="24"/>
        <item x="564"/>
        <item m="1" x="1081"/>
        <item m="1" x="1163"/>
        <item x="205"/>
        <item x="110"/>
        <item x="595"/>
        <item x="4"/>
        <item m="1" x="1030"/>
        <item x="96"/>
        <item x="456"/>
        <item m="1" x="1035"/>
        <item x="688"/>
        <item x="584"/>
        <item m="1" x="759"/>
        <item m="1" x="943"/>
        <item m="1" x="1102"/>
        <item x="208"/>
        <item m="1" x="776"/>
        <item x="336"/>
        <item m="1" x="883"/>
        <item m="1" x="1086"/>
        <item m="1" x="1006"/>
        <item x="618"/>
        <item m="1" x="1012"/>
        <item m="1" x="934"/>
        <item m="1" x="732"/>
        <item x="326"/>
        <item x="95"/>
        <item x="238"/>
        <item x="200"/>
        <item x="555"/>
        <item x="299"/>
        <item x="559"/>
        <item m="1" x="947"/>
        <item m="1" x="765"/>
        <item x="20"/>
        <item x="170"/>
        <item m="1" x="1038"/>
        <item m="1" x="1107"/>
        <item m="1" x="785"/>
        <item m="1" x="750"/>
        <item m="1" x="985"/>
        <item m="1" x="1090"/>
        <item m="1" x="769"/>
        <item x="496"/>
        <item x="1"/>
        <item m="1" x="797"/>
        <item x="363"/>
        <item m="1" x="837"/>
        <item m="1" x="984"/>
        <item x="92"/>
        <item x="85"/>
        <item m="1" x="1160"/>
        <item m="1" x="775"/>
        <item x="573"/>
        <item m="1" x="1048"/>
        <item x="355"/>
        <item m="1" x="932"/>
        <item x="594"/>
        <item x="59"/>
        <item x="144"/>
        <item x="353"/>
        <item x="561"/>
        <item m="1" x="739"/>
        <item x="304"/>
        <item m="1" x="794"/>
        <item m="1" x="988"/>
        <item x="229"/>
        <item x="217"/>
        <item x="5"/>
        <item m="1" x="979"/>
        <item x="6"/>
        <item m="1" x="952"/>
        <item x="262"/>
        <item m="1" x="898"/>
        <item x="445"/>
        <item x="658"/>
        <item x="395"/>
        <item x="370"/>
        <item x="529"/>
        <item m="1" x="910"/>
        <item x="305"/>
        <item x="648"/>
        <item m="1" x="1001"/>
        <item m="1" x="885"/>
        <item x="685"/>
        <item m="1" x="782"/>
        <item x="380"/>
        <item m="1" x="824"/>
        <item x="726"/>
        <item x="458"/>
        <item x="509"/>
        <item x="436"/>
        <item x="367"/>
        <item x="701"/>
        <item x="156"/>
        <item x="221"/>
        <item x="484"/>
        <item m="1" x="1023"/>
        <item x="284"/>
        <item x="471"/>
        <item x="498"/>
        <item x="256"/>
        <item x="483"/>
        <item m="1" x="877"/>
        <item m="1" x="1062"/>
        <item m="1" x="788"/>
        <item x="624"/>
        <item x="426"/>
        <item x="149"/>
        <item x="504"/>
        <item x="356"/>
        <item x="181"/>
        <item m="1" x="756"/>
        <item m="1" x="826"/>
        <item x="137"/>
        <item x="102"/>
        <item m="1" x="1138"/>
        <item x="191"/>
        <item x="19"/>
        <item m="1" x="744"/>
        <item m="1" x="907"/>
        <item x="164"/>
        <item m="1" x="767"/>
        <item m="1" x="928"/>
        <item x="173"/>
        <item x="450"/>
        <item x="172"/>
        <item x="631"/>
        <item m="1" x="849"/>
        <item x="406"/>
        <item x="120"/>
        <item x="344"/>
        <item x="254"/>
        <item x="10"/>
        <item x="219"/>
        <item m="1" x="956"/>
        <item m="1" x="836"/>
        <item x="333"/>
        <item x="607"/>
        <item m="1" x="861"/>
        <item x="67"/>
        <item x="197"/>
        <item m="1" x="1087"/>
        <item m="1" x="894"/>
        <item x="393"/>
        <item x="519"/>
        <item m="1" x="810"/>
        <item x="33"/>
        <item x="563"/>
        <item x="28"/>
        <item m="1" x="803"/>
        <item x="152"/>
        <item x="706"/>
        <item x="3"/>
        <item m="1" x="845"/>
        <item x="233"/>
        <item x="446"/>
        <item m="1" x="1145"/>
        <item x="714"/>
        <item m="1" x="1083"/>
        <item m="1" x="999"/>
        <item x="158"/>
        <item x="364"/>
        <item x="580"/>
        <item m="1" x="941"/>
        <item m="1" x="1054"/>
        <item m="1" x="1044"/>
        <item m="1" x="912"/>
        <item m="1" x="1096"/>
        <item x="212"/>
        <item m="1" x="971"/>
        <item m="1" x="1025"/>
        <item x="545"/>
        <item m="1" x="774"/>
        <item m="1" x="1017"/>
        <item x="625"/>
        <item x="548"/>
        <item x="551"/>
        <item m="1" x="1063"/>
        <item x="724"/>
        <item m="1" x="1137"/>
        <item x="27"/>
        <item x="346"/>
        <item m="1" x="1120"/>
        <item m="1" x="993"/>
        <item x="166"/>
        <item m="1" x="1108"/>
        <item x="489"/>
        <item x="69"/>
        <item x="609"/>
        <item m="1" x="737"/>
        <item m="1" x="986"/>
        <item m="1" x="914"/>
        <item x="46"/>
        <item x="515"/>
        <item m="1" x="891"/>
        <item m="1" x="863"/>
        <item x="378"/>
        <item m="1" x="766"/>
        <item x="309"/>
        <item x="293"/>
        <item x="381"/>
        <item m="1" x="753"/>
        <item x="347"/>
        <item x="360"/>
        <item m="1" x="982"/>
        <item x="485"/>
        <item x="80"/>
        <item x="639"/>
        <item m="1" x="779"/>
        <item m="1" x="735"/>
        <item x="71"/>
        <item x="159"/>
        <item m="1" x="1014"/>
        <item m="1" x="876"/>
        <item m="1" x="897"/>
        <item x="79"/>
        <item x="681"/>
        <item m="1" x="835"/>
        <item x="683"/>
        <item m="1" x="888"/>
        <item x="651"/>
        <item x="454"/>
        <item x="21"/>
        <item x="453"/>
        <item m="1" x="850"/>
        <item x="73"/>
        <item m="1" x="945"/>
        <item x="341"/>
        <item m="1" x="847"/>
        <item x="169"/>
        <item x="703"/>
        <item x="689"/>
        <item m="1" x="1040"/>
        <item x="250"/>
        <item x="148"/>
        <item m="1" x="839"/>
        <item m="1" x="946"/>
        <item x="318"/>
        <item m="1" x="911"/>
        <item x="543"/>
        <item x="298"/>
        <item x="302"/>
        <item m="1" x="974"/>
        <item m="1" x="1123"/>
        <item x="374"/>
        <item x="486"/>
        <item x="228"/>
        <item m="1" x="830"/>
        <item m="1" x="1047"/>
        <item x="285"/>
        <item x="544"/>
        <item m="1" x="991"/>
        <item x="492"/>
        <item m="1" x="1126"/>
        <item x="41"/>
        <item x="283"/>
        <item x="506"/>
        <item x="107"/>
        <item x="587"/>
        <item x="710"/>
        <item x="49"/>
        <item m="1" x="859"/>
        <item x="644"/>
        <item x="574"/>
        <item x="216"/>
        <item m="1" x="961"/>
        <item x="438"/>
        <item x="652"/>
        <item x="213"/>
        <item x="100"/>
        <item m="1" x="786"/>
        <item x="245"/>
        <item x="81"/>
        <item m="1" x="1073"/>
        <item m="1" x="778"/>
        <item x="695"/>
        <item x="414"/>
        <item m="1" x="1111"/>
        <item x="260"/>
        <item m="1" x="1059"/>
        <item m="1" x="1153"/>
        <item x="89"/>
        <item m="1" x="882"/>
        <item m="1" x="1021"/>
        <item x="674"/>
        <item x="55"/>
        <item m="1" x="1132"/>
        <item x="653"/>
        <item x="357"/>
        <item x="308"/>
        <item x="503"/>
        <item x="702"/>
        <item x="386"/>
        <item x="535"/>
        <item x="556"/>
        <item x="642"/>
        <item x="500"/>
        <item x="718"/>
        <item m="1" x="795"/>
        <item x="708"/>
        <item m="1" x="805"/>
        <item x="331"/>
        <item m="1" x="747"/>
        <item m="1" x="899"/>
        <item x="377"/>
        <item m="1" x="935"/>
        <item x="632"/>
        <item x="435"/>
        <item x="349"/>
        <item m="1" x="939"/>
        <item x="521"/>
        <item x="243"/>
        <item x="0"/>
        <item x="236"/>
        <item x="192"/>
        <item m="1" x="1027"/>
        <item m="1" x="978"/>
        <item x="592"/>
        <item m="1" x="1018"/>
        <item m="1" x="1117"/>
        <item x="577"/>
        <item x="643"/>
        <item m="1" x="813"/>
        <item x="694"/>
        <item m="1" x="804"/>
        <item x="432"/>
        <item m="1" x="1092"/>
        <item m="1" x="751"/>
        <item x="155"/>
        <item x="697"/>
        <item x="58"/>
        <item x="261"/>
        <item m="1" x="1159"/>
        <item x="369"/>
        <item x="239"/>
        <item x="317"/>
        <item x="373"/>
        <item m="1" x="1128"/>
        <item x="619"/>
        <item x="487"/>
        <item x="111"/>
        <item x="178"/>
        <item x="127"/>
        <item x="512"/>
        <item x="389"/>
        <item m="1" x="730"/>
        <item x="124"/>
        <item m="1" x="901"/>
        <item x="345"/>
        <item x="329"/>
        <item x="314"/>
        <item m="1" x="825"/>
        <item x="442"/>
        <item m="1" x="868"/>
        <item m="1" x="856"/>
        <item x="220"/>
        <item m="1" x="918"/>
        <item x="97"/>
        <item m="1" x="801"/>
        <item x="362"/>
        <item m="1" x="787"/>
        <item x="193"/>
        <item m="1" x="1148"/>
        <item x="668"/>
        <item m="1" x="806"/>
        <item x="457"/>
        <item m="1" x="1071"/>
        <item m="1" x="983"/>
        <item x="382"/>
        <item m="1" x="1082"/>
        <item m="1" x="965"/>
        <item m="1" x="995"/>
        <item m="1" x="1115"/>
        <item x="552"/>
        <item x="337"/>
        <item m="1" x="1056"/>
        <item x="687"/>
        <item x="322"/>
        <item x="151"/>
        <item x="319"/>
        <item x="444"/>
        <item x="246"/>
        <item x="142"/>
        <item x="611"/>
        <item x="225"/>
        <item x="340"/>
        <item x="14"/>
        <item m="1" x="1161"/>
        <item m="1" x="937"/>
        <item m="1" x="1068"/>
        <item m="1" x="821"/>
        <item m="1" x="770"/>
        <item m="1" x="1112"/>
        <item m="1" x="1155"/>
        <item x="26"/>
        <item m="1" x="954"/>
        <item m="1" x="1088"/>
        <item x="211"/>
        <item x="40"/>
        <item m="1" x="904"/>
        <item m="1" x="1141"/>
        <item x="29"/>
        <item x="534"/>
        <item m="1" x="1010"/>
        <item x="121"/>
        <item m="1" x="878"/>
        <item m="1" x="1037"/>
        <item x="388"/>
        <item x="94"/>
        <item x="431"/>
        <item m="1" x="996"/>
        <item m="1" x="942"/>
        <item x="709"/>
        <item x="52"/>
        <item m="1" x="953"/>
        <item x="641"/>
        <item x="186"/>
        <item m="1" x="860"/>
        <item x="466"/>
        <item x="700"/>
        <item x="83"/>
        <item x="621"/>
        <item x="412"/>
        <item x="461"/>
        <item x="188"/>
        <item x="76"/>
        <item x="328"/>
        <item x="224"/>
        <item m="1" x="1004"/>
        <item x="242"/>
        <item x="465"/>
        <item x="267"/>
        <item m="1" x="1142"/>
        <item m="1" x="1058"/>
        <item m="1" x="792"/>
        <item m="1" x="870"/>
        <item x="590"/>
        <item x="361"/>
        <item x="62"/>
        <item x="408"/>
        <item x="622"/>
        <item m="1" x="973"/>
        <item m="1" x="741"/>
        <item x="140"/>
        <item x="371"/>
        <item x="690"/>
        <item x="634"/>
        <item m="1" x="822"/>
        <item x="610"/>
        <item x="75"/>
        <item m="1" x="1077"/>
        <item m="1" x="936"/>
        <item m="1" x="748"/>
        <item m="1" x="955"/>
        <item x="513"/>
        <item x="38"/>
        <item x="536"/>
        <item m="1" x="793"/>
        <item x="712"/>
        <item x="585"/>
        <item m="1" x="1078"/>
        <item x="53"/>
        <item x="275"/>
        <item m="1" x="1140"/>
        <item x="717"/>
        <item x="359"/>
        <item m="1" x="874"/>
        <item m="1" x="916"/>
        <item x="282"/>
        <item m="1" x="1020"/>
        <item m="1" x="1024"/>
        <item m="1" x="1028"/>
        <item x="490"/>
        <item x="379"/>
        <item m="1" x="1057"/>
        <item x="516"/>
        <item m="1" x="938"/>
        <item m="1" x="1031"/>
        <item m="1" x="1013"/>
        <item m="1" x="1034"/>
        <item m="1" x="1052"/>
        <item x="82"/>
        <item m="1" x="814"/>
        <item x="630"/>
        <item x="566"/>
        <item m="1" x="1157"/>
        <item x="210"/>
        <item x="93"/>
        <item m="1" x="966"/>
        <item m="1" x="1066"/>
        <item m="1" x="799"/>
        <item x="101"/>
        <item m="1" x="872"/>
        <item x="194"/>
        <item x="514"/>
        <item x="177"/>
        <item x="593"/>
        <item x="402"/>
        <item x="423"/>
        <item x="401"/>
        <item x="478"/>
        <item m="1" x="820"/>
        <item x="410"/>
        <item x="430"/>
        <item x="231"/>
        <item x="627"/>
        <item x="9"/>
        <item x="57"/>
        <item m="1" x="1008"/>
        <item m="1" x="862"/>
        <item x="36"/>
        <item x="546"/>
        <item x="413"/>
        <item m="1" x="1151"/>
        <item x="230"/>
        <item x="301"/>
        <item x="455"/>
        <item m="1" x="789"/>
        <item m="1" x="1046"/>
        <item x="16"/>
        <item x="572"/>
        <item m="1" x="840"/>
        <item x="366"/>
        <item x="154"/>
        <item m="1" x="1139"/>
        <item m="1" x="780"/>
        <item x="171"/>
        <item x="507"/>
        <item x="146"/>
        <item x="491"/>
        <item x="128"/>
        <item x="207"/>
        <item x="662"/>
        <item x="311"/>
        <item x="540"/>
        <item x="650"/>
        <item m="1" x="989"/>
        <item m="1" x="1121"/>
        <item x="259"/>
        <item x="527"/>
        <item x="48"/>
        <item m="1" x="746"/>
        <item x="608"/>
        <item x="291"/>
        <item x="645"/>
        <item x="399"/>
        <item x="350"/>
        <item x="647"/>
        <item x="265"/>
        <item m="1" x="1011"/>
        <item m="1" x="864"/>
        <item x="209"/>
        <item x="45"/>
        <item m="1" x="865"/>
        <item m="1" x="1154"/>
        <item x="218"/>
        <item x="327"/>
        <item m="1" x="1105"/>
        <item x="422"/>
        <item m="1" x="881"/>
        <item m="1" x="796"/>
        <item m="1" x="990"/>
        <item x="493"/>
        <item x="354"/>
        <item x="699"/>
        <item m="1" x="831"/>
        <item m="1" x="925"/>
        <item x="677"/>
        <item x="558"/>
        <item x="725"/>
        <item x="84"/>
        <item x="35"/>
        <item x="612"/>
        <item m="1" x="800"/>
        <item x="384"/>
        <item m="1" x="809"/>
        <item x="666"/>
        <item x="131"/>
        <item m="1" x="1094"/>
        <item x="542"/>
        <item x="163"/>
        <item x="603"/>
        <item m="1" x="895"/>
        <item x="398"/>
        <item x="61"/>
        <item x="599"/>
        <item x="161"/>
        <item x="162"/>
        <item x="227"/>
        <item x="656"/>
        <item x="307"/>
        <item x="320"/>
        <item x="147"/>
        <item x="86"/>
        <item t="default"/>
      </items>
    </pivotField>
  </pivotFields>
  <rowFields count="1">
    <field x="0"/>
  </rowFields>
  <rowItems count="728">
    <i>
      <x/>
    </i>
    <i>
      <x v="1"/>
    </i>
    <i>
      <x v="4"/>
    </i>
    <i>
      <x v="6"/>
    </i>
    <i>
      <x v="7"/>
    </i>
    <i>
      <x v="11"/>
    </i>
    <i>
      <x v="12"/>
    </i>
    <i>
      <x v="13"/>
    </i>
    <i>
      <x v="16"/>
    </i>
    <i>
      <x v="19"/>
    </i>
    <i>
      <x v="20"/>
    </i>
    <i>
      <x v="24"/>
    </i>
    <i>
      <x v="27"/>
    </i>
    <i>
      <x v="31"/>
    </i>
    <i>
      <x v="32"/>
    </i>
    <i>
      <x v="34"/>
    </i>
    <i>
      <x v="35"/>
    </i>
    <i>
      <x v="36"/>
    </i>
    <i>
      <x v="37"/>
    </i>
    <i>
      <x v="38"/>
    </i>
    <i>
      <x v="39"/>
    </i>
    <i>
      <x v="40"/>
    </i>
    <i>
      <x v="43"/>
    </i>
    <i>
      <x v="44"/>
    </i>
    <i>
      <x v="45"/>
    </i>
    <i>
      <x v="46"/>
    </i>
    <i>
      <x v="47"/>
    </i>
    <i>
      <x v="49"/>
    </i>
    <i>
      <x v="50"/>
    </i>
    <i>
      <x v="52"/>
    </i>
    <i>
      <x v="53"/>
    </i>
    <i>
      <x v="58"/>
    </i>
    <i>
      <x v="62"/>
    </i>
    <i>
      <x v="64"/>
    </i>
    <i>
      <x v="65"/>
    </i>
    <i>
      <x v="66"/>
    </i>
    <i>
      <x v="68"/>
    </i>
    <i>
      <x v="70"/>
    </i>
    <i>
      <x v="73"/>
    </i>
    <i>
      <x v="75"/>
    </i>
    <i>
      <x v="76"/>
    </i>
    <i>
      <x v="77"/>
    </i>
    <i>
      <x v="78"/>
    </i>
    <i>
      <x v="79"/>
    </i>
    <i>
      <x v="82"/>
    </i>
    <i>
      <x v="84"/>
    </i>
    <i>
      <x v="86"/>
    </i>
    <i>
      <x v="89"/>
    </i>
    <i>
      <x v="90"/>
    </i>
    <i>
      <x v="92"/>
    </i>
    <i>
      <x v="94"/>
    </i>
    <i>
      <x v="95"/>
    </i>
    <i>
      <x v="96"/>
    </i>
    <i>
      <x v="98"/>
    </i>
    <i>
      <x v="99"/>
    </i>
    <i>
      <x v="101"/>
    </i>
    <i>
      <x v="102"/>
    </i>
    <i>
      <x v="103"/>
    </i>
    <i>
      <x v="105"/>
    </i>
    <i>
      <x v="106"/>
    </i>
    <i>
      <x v="107"/>
    </i>
    <i>
      <x v="108"/>
    </i>
    <i>
      <x v="109"/>
    </i>
    <i>
      <x v="111"/>
    </i>
    <i>
      <x v="112"/>
    </i>
    <i>
      <x v="113"/>
    </i>
    <i>
      <x v="115"/>
    </i>
    <i>
      <x v="117"/>
    </i>
    <i>
      <x v="118"/>
    </i>
    <i>
      <x v="119"/>
    </i>
    <i>
      <x v="120"/>
    </i>
    <i>
      <x v="121"/>
    </i>
    <i>
      <x v="122"/>
    </i>
    <i>
      <x v="123"/>
    </i>
    <i>
      <x v="125"/>
    </i>
    <i>
      <x v="126"/>
    </i>
    <i>
      <x v="128"/>
    </i>
    <i>
      <x v="129"/>
    </i>
    <i>
      <x v="130"/>
    </i>
    <i>
      <x v="131"/>
    </i>
    <i>
      <x v="132"/>
    </i>
    <i>
      <x v="133"/>
    </i>
    <i>
      <x v="134"/>
    </i>
    <i>
      <x v="136"/>
    </i>
    <i>
      <x v="137"/>
    </i>
    <i>
      <x v="138"/>
    </i>
    <i>
      <x v="141"/>
    </i>
    <i>
      <x v="144"/>
    </i>
    <i>
      <x v="145"/>
    </i>
    <i>
      <x v="146"/>
    </i>
    <i>
      <x v="149"/>
    </i>
    <i>
      <x v="150"/>
    </i>
    <i>
      <x v="151"/>
    </i>
    <i>
      <x v="152"/>
    </i>
    <i>
      <x v="157"/>
    </i>
    <i>
      <x v="160"/>
    </i>
    <i>
      <x v="161"/>
    </i>
    <i>
      <x v="162"/>
    </i>
    <i>
      <x v="163"/>
    </i>
    <i>
      <x v="164"/>
    </i>
    <i>
      <x v="166"/>
    </i>
    <i>
      <x v="167"/>
    </i>
    <i>
      <x v="169"/>
    </i>
    <i>
      <x v="170"/>
    </i>
    <i>
      <x v="171"/>
    </i>
    <i>
      <x v="173"/>
    </i>
    <i>
      <x v="174"/>
    </i>
    <i>
      <x v="175"/>
    </i>
    <i>
      <x v="178"/>
    </i>
    <i>
      <x v="179"/>
    </i>
    <i>
      <x v="180"/>
    </i>
    <i>
      <x v="181"/>
    </i>
    <i>
      <x v="182"/>
    </i>
    <i>
      <x v="187"/>
    </i>
    <i>
      <x v="188"/>
    </i>
    <i>
      <x v="189"/>
    </i>
    <i>
      <x v="190"/>
    </i>
    <i>
      <x v="191"/>
    </i>
    <i>
      <x v="193"/>
    </i>
    <i>
      <x v="195"/>
    </i>
    <i>
      <x v="197"/>
    </i>
    <i>
      <x v="198"/>
    </i>
    <i>
      <x v="199"/>
    </i>
    <i>
      <x v="200"/>
    </i>
    <i>
      <x v="201"/>
    </i>
    <i>
      <x v="203"/>
    </i>
    <i>
      <x v="205"/>
    </i>
    <i>
      <x v="210"/>
    </i>
    <i>
      <x v="211"/>
    </i>
    <i>
      <x v="212"/>
    </i>
    <i>
      <x v="213"/>
    </i>
    <i>
      <x v="215"/>
    </i>
    <i>
      <x v="216"/>
    </i>
    <i>
      <x v="219"/>
    </i>
    <i>
      <x v="220"/>
    </i>
    <i>
      <x v="221"/>
    </i>
    <i>
      <x v="222"/>
    </i>
    <i>
      <x v="223"/>
    </i>
    <i>
      <x v="224"/>
    </i>
    <i>
      <x v="226"/>
    </i>
    <i>
      <x v="228"/>
    </i>
    <i>
      <x v="229"/>
    </i>
    <i>
      <x v="231"/>
    </i>
    <i>
      <x v="232"/>
    </i>
    <i>
      <x v="235"/>
    </i>
    <i>
      <x v="236"/>
    </i>
    <i>
      <x v="237"/>
    </i>
    <i>
      <x v="238"/>
    </i>
    <i>
      <x v="239"/>
    </i>
    <i>
      <x v="240"/>
    </i>
    <i>
      <x v="241"/>
    </i>
    <i>
      <x v="243"/>
    </i>
    <i>
      <x v="244"/>
    </i>
    <i>
      <x v="245"/>
    </i>
    <i>
      <x v="246"/>
    </i>
    <i>
      <x v="247"/>
    </i>
    <i>
      <x v="249"/>
    </i>
    <i>
      <x v="252"/>
    </i>
    <i>
      <x v="253"/>
    </i>
    <i>
      <x v="255"/>
    </i>
    <i>
      <x v="256"/>
    </i>
    <i>
      <x v="259"/>
    </i>
    <i>
      <x v="260"/>
    </i>
    <i>
      <x v="261"/>
    </i>
    <i>
      <x v="265"/>
    </i>
    <i>
      <x v="266"/>
    </i>
    <i>
      <x v="267"/>
    </i>
    <i>
      <x v="268"/>
    </i>
    <i>
      <x v="272"/>
    </i>
    <i>
      <x v="273"/>
    </i>
    <i>
      <x v="274"/>
    </i>
    <i>
      <x v="277"/>
    </i>
    <i>
      <x v="278"/>
    </i>
    <i>
      <x v="279"/>
    </i>
    <i>
      <x v="280"/>
    </i>
    <i>
      <x v="283"/>
    </i>
    <i>
      <x v="284"/>
    </i>
    <i>
      <x v="285"/>
    </i>
    <i>
      <x v="287"/>
    </i>
    <i>
      <x v="288"/>
    </i>
    <i>
      <x v="289"/>
    </i>
    <i>
      <x v="291"/>
    </i>
    <i>
      <x v="292"/>
    </i>
    <i>
      <x v="295"/>
    </i>
    <i>
      <x v="296"/>
    </i>
    <i>
      <x v="299"/>
    </i>
    <i>
      <x v="300"/>
    </i>
    <i>
      <x v="301"/>
    </i>
    <i>
      <x v="303"/>
    </i>
    <i>
      <x v="304"/>
    </i>
    <i>
      <x v="306"/>
    </i>
    <i>
      <x v="309"/>
    </i>
    <i>
      <x v="310"/>
    </i>
    <i>
      <x v="311"/>
    </i>
    <i>
      <x v="312"/>
    </i>
    <i>
      <x v="314"/>
    </i>
    <i>
      <x v="317"/>
    </i>
    <i>
      <x v="318"/>
    </i>
    <i>
      <x v="321"/>
    </i>
    <i>
      <x v="322"/>
    </i>
    <i>
      <x v="324"/>
    </i>
    <i>
      <x v="328"/>
    </i>
    <i>
      <x v="329"/>
    </i>
    <i>
      <x v="330"/>
    </i>
    <i>
      <x v="331"/>
    </i>
    <i>
      <x v="332"/>
    </i>
    <i>
      <x v="333"/>
    </i>
    <i>
      <x v="334"/>
    </i>
    <i>
      <x v="335"/>
    </i>
    <i>
      <x v="337"/>
    </i>
    <i>
      <x v="341"/>
    </i>
    <i>
      <x v="343"/>
    </i>
    <i>
      <x v="345"/>
    </i>
    <i>
      <x v="347"/>
    </i>
    <i>
      <x v="348"/>
    </i>
    <i>
      <x v="351"/>
    </i>
    <i>
      <x v="353"/>
    </i>
    <i>
      <x v="354"/>
    </i>
    <i>
      <x v="355"/>
    </i>
    <i>
      <x v="356"/>
    </i>
    <i>
      <x v="357"/>
    </i>
    <i>
      <x v="358"/>
    </i>
    <i>
      <x v="359"/>
    </i>
    <i>
      <x v="360"/>
    </i>
    <i>
      <x v="363"/>
    </i>
    <i>
      <x v="364"/>
    </i>
    <i>
      <x v="366"/>
    </i>
    <i>
      <x v="367"/>
    </i>
    <i>
      <x v="370"/>
    </i>
    <i>
      <x v="371"/>
    </i>
    <i>
      <x v="375"/>
    </i>
    <i>
      <x v="376"/>
    </i>
    <i>
      <x v="377"/>
    </i>
    <i>
      <x v="378"/>
    </i>
    <i>
      <x v="380"/>
    </i>
    <i>
      <x v="383"/>
    </i>
    <i>
      <x v="384"/>
    </i>
    <i>
      <x v="386"/>
    </i>
    <i>
      <x v="390"/>
    </i>
    <i>
      <x v="392"/>
    </i>
    <i>
      <x v="393"/>
    </i>
    <i>
      <x v="394"/>
    </i>
    <i>
      <x v="395"/>
    </i>
    <i>
      <x v="397"/>
    </i>
    <i>
      <x v="398"/>
    </i>
    <i>
      <x v="399"/>
    </i>
    <i>
      <x v="400"/>
    </i>
    <i>
      <x v="401"/>
    </i>
    <i>
      <x v="402"/>
    </i>
    <i>
      <x v="407"/>
    </i>
    <i>
      <x v="410"/>
    </i>
    <i>
      <x v="413"/>
    </i>
    <i>
      <x v="414"/>
    </i>
    <i>
      <x v="416"/>
    </i>
    <i>
      <x v="418"/>
    </i>
    <i>
      <x v="419"/>
    </i>
    <i>
      <x v="420"/>
    </i>
    <i>
      <x v="421"/>
    </i>
    <i>
      <x v="422"/>
    </i>
    <i>
      <x v="424"/>
    </i>
    <i>
      <x v="426"/>
    </i>
    <i>
      <x v="427"/>
    </i>
    <i>
      <x v="429"/>
    </i>
    <i>
      <x v="430"/>
    </i>
    <i>
      <x v="431"/>
    </i>
    <i>
      <x v="432"/>
    </i>
    <i>
      <x v="433"/>
    </i>
    <i>
      <x v="435"/>
    </i>
    <i>
      <x v="436"/>
    </i>
    <i>
      <x v="437"/>
    </i>
    <i>
      <x v="438"/>
    </i>
    <i>
      <x v="440"/>
    </i>
    <i>
      <x v="441"/>
    </i>
    <i>
      <x v="442"/>
    </i>
    <i>
      <x v="443"/>
    </i>
    <i>
      <x v="444"/>
    </i>
    <i>
      <x v="445"/>
    </i>
    <i>
      <x v="447"/>
    </i>
    <i>
      <x v="449"/>
    </i>
    <i>
      <x v="450"/>
    </i>
    <i>
      <x v="451"/>
    </i>
    <i>
      <x v="452"/>
    </i>
    <i>
      <x v="453"/>
    </i>
    <i>
      <x v="455"/>
    </i>
    <i>
      <x v="457"/>
    </i>
    <i>
      <x v="458"/>
    </i>
    <i>
      <x v="461"/>
    </i>
    <i>
      <x v="463"/>
    </i>
    <i>
      <x v="464"/>
    </i>
    <i>
      <x v="465"/>
    </i>
    <i>
      <x v="466"/>
    </i>
    <i>
      <x v="469"/>
    </i>
    <i>
      <x v="470"/>
    </i>
    <i>
      <x v="472"/>
    </i>
    <i>
      <x v="474"/>
    </i>
    <i>
      <x v="476"/>
    </i>
    <i>
      <x v="478"/>
    </i>
    <i>
      <x v="479"/>
    </i>
    <i>
      <x v="480"/>
    </i>
    <i>
      <x v="482"/>
    </i>
    <i>
      <x v="483"/>
    </i>
    <i>
      <x v="484"/>
    </i>
    <i>
      <x v="485"/>
    </i>
    <i>
      <x v="486"/>
    </i>
    <i>
      <x v="487"/>
    </i>
    <i>
      <x v="488"/>
    </i>
    <i>
      <x v="492"/>
    </i>
    <i>
      <x v="493"/>
    </i>
    <i>
      <x v="494"/>
    </i>
    <i>
      <x v="495"/>
    </i>
    <i>
      <x v="496"/>
    </i>
    <i>
      <x v="497"/>
    </i>
    <i>
      <x v="498"/>
    </i>
    <i>
      <x v="499"/>
    </i>
    <i>
      <x v="501"/>
    </i>
    <i>
      <x v="502"/>
    </i>
    <i>
      <x v="503"/>
    </i>
    <i>
      <x v="505"/>
    </i>
    <i>
      <x v="506"/>
    </i>
    <i>
      <x v="507"/>
    </i>
    <i>
      <x v="508"/>
    </i>
    <i>
      <x v="509"/>
    </i>
    <i>
      <x v="511"/>
    </i>
    <i>
      <x v="512"/>
    </i>
    <i>
      <x v="513"/>
    </i>
    <i>
      <x v="514"/>
    </i>
    <i>
      <x v="515"/>
    </i>
    <i>
      <x v="518"/>
    </i>
    <i>
      <x v="519"/>
    </i>
    <i>
      <x v="520"/>
    </i>
    <i>
      <x v="522"/>
    </i>
    <i>
      <x v="523"/>
    </i>
    <i>
      <x v="524"/>
    </i>
    <i>
      <x v="526"/>
    </i>
    <i>
      <x v="528"/>
    </i>
    <i>
      <x v="529"/>
    </i>
    <i>
      <x v="530"/>
    </i>
    <i>
      <x v="532"/>
    </i>
    <i>
      <x v="533"/>
    </i>
    <i>
      <x v="535"/>
    </i>
    <i>
      <x v="537"/>
    </i>
    <i>
      <x v="538"/>
    </i>
    <i>
      <x v="540"/>
    </i>
    <i>
      <x v="543"/>
    </i>
    <i>
      <x v="544"/>
    </i>
    <i>
      <x v="545"/>
    </i>
    <i>
      <x v="547"/>
    </i>
    <i>
      <x v="548"/>
    </i>
    <i>
      <x v="555"/>
    </i>
    <i>
      <x v="556"/>
    </i>
    <i>
      <x v="559"/>
    </i>
    <i>
      <x v="561"/>
    </i>
    <i>
      <x v="562"/>
    </i>
    <i>
      <x v="563"/>
    </i>
    <i>
      <x v="564"/>
    </i>
    <i>
      <x v="565"/>
    </i>
    <i>
      <x v="567"/>
    </i>
    <i>
      <x v="568"/>
    </i>
    <i>
      <x v="571"/>
    </i>
    <i>
      <x v="572"/>
    </i>
    <i>
      <x v="573"/>
    </i>
    <i>
      <x v="574"/>
    </i>
    <i>
      <x v="576"/>
    </i>
    <i>
      <x v="577"/>
    </i>
    <i>
      <x v="579"/>
    </i>
    <i>
      <x v="580"/>
    </i>
    <i>
      <x v="584"/>
    </i>
    <i>
      <x v="586"/>
    </i>
    <i>
      <x v="590"/>
    </i>
    <i>
      <x v="594"/>
    </i>
    <i>
      <x v="595"/>
    </i>
    <i>
      <x v="596"/>
    </i>
    <i>
      <x v="597"/>
    </i>
    <i>
      <x v="598"/>
    </i>
    <i>
      <x v="599"/>
    </i>
    <i>
      <x v="600"/>
    </i>
    <i>
      <x v="603"/>
    </i>
    <i>
      <x v="604"/>
    </i>
    <i>
      <x v="612"/>
    </i>
    <i>
      <x v="613"/>
    </i>
    <i>
      <x v="615"/>
    </i>
    <i>
      <x v="618"/>
    </i>
    <i>
      <x v="619"/>
    </i>
    <i>
      <x v="622"/>
    </i>
    <i>
      <x v="624"/>
    </i>
    <i>
      <x v="626"/>
    </i>
    <i>
      <x v="627"/>
    </i>
    <i>
      <x v="628"/>
    </i>
    <i>
      <x v="629"/>
    </i>
    <i>
      <x v="630"/>
    </i>
    <i>
      <x v="632"/>
    </i>
    <i>
      <x v="635"/>
    </i>
    <i>
      <x v="636"/>
    </i>
    <i>
      <x v="637"/>
    </i>
    <i>
      <x v="639"/>
    </i>
    <i>
      <x v="641"/>
    </i>
    <i>
      <x v="643"/>
    </i>
    <i>
      <x v="644"/>
    </i>
    <i>
      <x v="645"/>
    </i>
    <i>
      <x v="646"/>
    </i>
    <i>
      <x v="647"/>
    </i>
    <i>
      <x v="649"/>
    </i>
    <i>
      <x v="650"/>
    </i>
    <i>
      <x v="653"/>
    </i>
    <i>
      <x v="655"/>
    </i>
    <i>
      <x v="657"/>
    </i>
    <i>
      <x v="658"/>
    </i>
    <i>
      <x v="659"/>
    </i>
    <i>
      <x v="660"/>
    </i>
    <i>
      <x v="661"/>
    </i>
    <i>
      <x v="662"/>
    </i>
    <i>
      <x v="663"/>
    </i>
    <i>
      <x v="664"/>
    </i>
    <i>
      <x v="665"/>
    </i>
    <i>
      <x v="667"/>
    </i>
    <i>
      <x v="668"/>
    </i>
    <i>
      <x v="669"/>
    </i>
    <i>
      <x v="670"/>
    </i>
    <i>
      <x v="671"/>
    </i>
    <i>
      <x v="675"/>
    </i>
    <i>
      <x v="676"/>
    </i>
    <i>
      <x v="677"/>
    </i>
    <i>
      <x v="678"/>
    </i>
    <i>
      <x v="679"/>
    </i>
    <i>
      <x v="680"/>
    </i>
    <i>
      <x v="683"/>
    </i>
    <i>
      <x v="684"/>
    </i>
    <i>
      <x v="686"/>
    </i>
    <i>
      <x v="687"/>
    </i>
    <i>
      <x v="690"/>
    </i>
    <i>
      <x v="693"/>
    </i>
    <i>
      <x v="694"/>
    </i>
    <i>
      <x v="695"/>
    </i>
    <i>
      <x v="696"/>
    </i>
    <i>
      <x v="698"/>
    </i>
    <i>
      <x v="699"/>
    </i>
    <i>
      <x v="700"/>
    </i>
    <i>
      <x v="701"/>
    </i>
    <i>
      <x v="702"/>
    </i>
    <i>
      <x v="703"/>
    </i>
    <i>
      <x v="706"/>
    </i>
    <i>
      <x v="707"/>
    </i>
    <i>
      <x v="709"/>
    </i>
    <i>
      <x v="710"/>
    </i>
    <i>
      <x v="713"/>
    </i>
    <i>
      <x v="714"/>
    </i>
    <i>
      <x v="716"/>
    </i>
    <i>
      <x v="717"/>
    </i>
    <i>
      <x v="718"/>
    </i>
    <i>
      <x v="720"/>
    </i>
    <i>
      <x v="721"/>
    </i>
    <i>
      <x v="722"/>
    </i>
    <i>
      <x v="724"/>
    </i>
    <i>
      <x v="725"/>
    </i>
    <i>
      <x v="727"/>
    </i>
    <i>
      <x v="730"/>
    </i>
    <i>
      <x v="731"/>
    </i>
    <i>
      <x v="732"/>
    </i>
    <i>
      <x v="738"/>
    </i>
    <i>
      <x v="741"/>
    </i>
    <i>
      <x v="744"/>
    </i>
    <i>
      <x v="745"/>
    </i>
    <i>
      <x v="746"/>
    </i>
    <i>
      <x v="748"/>
    </i>
    <i>
      <x v="750"/>
    </i>
    <i>
      <x v="751"/>
    </i>
    <i>
      <x v="754"/>
    </i>
    <i>
      <x v="756"/>
    </i>
    <i>
      <x v="757"/>
    </i>
    <i>
      <x v="758"/>
    </i>
    <i>
      <x v="762"/>
    </i>
    <i>
      <x v="763"/>
    </i>
    <i>
      <x v="766"/>
    </i>
    <i>
      <x v="768"/>
    </i>
    <i>
      <x v="769"/>
    </i>
    <i>
      <x v="770"/>
    </i>
    <i>
      <x v="772"/>
    </i>
    <i>
      <x v="773"/>
    </i>
    <i>
      <x v="775"/>
    </i>
    <i>
      <x v="776"/>
    </i>
    <i>
      <x v="777"/>
    </i>
    <i>
      <x v="780"/>
    </i>
    <i>
      <x v="781"/>
    </i>
    <i>
      <x v="785"/>
    </i>
    <i>
      <x v="786"/>
    </i>
    <i>
      <x v="788"/>
    </i>
    <i>
      <x v="790"/>
    </i>
    <i>
      <x v="791"/>
    </i>
    <i>
      <x v="792"/>
    </i>
    <i>
      <x v="793"/>
    </i>
    <i>
      <x v="795"/>
    </i>
    <i>
      <x v="797"/>
    </i>
    <i>
      <x v="799"/>
    </i>
    <i>
      <x v="800"/>
    </i>
    <i>
      <x v="801"/>
    </i>
    <i>
      <x v="803"/>
    </i>
    <i>
      <x v="804"/>
    </i>
    <i>
      <x v="807"/>
    </i>
    <i>
      <x v="809"/>
    </i>
    <i>
      <x v="810"/>
    </i>
    <i>
      <x v="811"/>
    </i>
    <i>
      <x v="814"/>
    </i>
    <i>
      <x v="815"/>
    </i>
    <i>
      <x v="816"/>
    </i>
    <i>
      <x v="819"/>
    </i>
    <i>
      <x v="820"/>
    </i>
    <i>
      <x v="822"/>
    </i>
    <i>
      <x v="824"/>
    </i>
    <i>
      <x v="825"/>
    </i>
    <i>
      <x v="826"/>
    </i>
    <i>
      <x v="827"/>
    </i>
    <i>
      <x v="828"/>
    </i>
    <i>
      <x v="829"/>
    </i>
    <i>
      <x v="830"/>
    </i>
    <i>
      <x v="832"/>
    </i>
    <i>
      <x v="833"/>
    </i>
    <i>
      <x v="834"/>
    </i>
    <i>
      <x v="836"/>
    </i>
    <i>
      <x v="837"/>
    </i>
    <i>
      <x v="838"/>
    </i>
    <i>
      <x v="839"/>
    </i>
    <i>
      <x v="841"/>
    </i>
    <i>
      <x v="842"/>
    </i>
    <i>
      <x v="845"/>
    </i>
    <i>
      <x v="846"/>
    </i>
    <i>
      <x v="848"/>
    </i>
    <i>
      <x v="851"/>
    </i>
    <i>
      <x v="854"/>
    </i>
    <i>
      <x v="855"/>
    </i>
    <i>
      <x v="857"/>
    </i>
    <i>
      <x v="858"/>
    </i>
    <i>
      <x v="859"/>
    </i>
    <i>
      <x v="860"/>
    </i>
    <i>
      <x v="861"/>
    </i>
    <i>
      <x v="862"/>
    </i>
    <i>
      <x v="863"/>
    </i>
    <i>
      <x v="864"/>
    </i>
    <i>
      <x v="865"/>
    </i>
    <i>
      <x v="866"/>
    </i>
    <i>
      <x v="867"/>
    </i>
    <i>
      <x v="869"/>
    </i>
    <i>
      <x v="871"/>
    </i>
    <i>
      <x v="874"/>
    </i>
    <i>
      <x v="876"/>
    </i>
    <i>
      <x v="877"/>
    </i>
    <i>
      <x v="878"/>
    </i>
    <i>
      <x v="880"/>
    </i>
    <i>
      <x v="881"/>
    </i>
    <i>
      <x v="882"/>
    </i>
    <i>
      <x v="883"/>
    </i>
    <i>
      <x v="884"/>
    </i>
    <i>
      <x v="887"/>
    </i>
    <i>
      <x v="890"/>
    </i>
    <i>
      <x v="891"/>
    </i>
    <i>
      <x v="893"/>
    </i>
    <i>
      <x v="895"/>
    </i>
    <i>
      <x v="898"/>
    </i>
    <i>
      <x v="899"/>
    </i>
    <i>
      <x v="900"/>
    </i>
    <i>
      <x v="901"/>
    </i>
    <i>
      <x v="903"/>
    </i>
    <i>
      <x v="904"/>
    </i>
    <i>
      <x v="905"/>
    </i>
    <i>
      <x v="906"/>
    </i>
    <i>
      <x v="908"/>
    </i>
    <i>
      <x v="909"/>
    </i>
    <i>
      <x v="910"/>
    </i>
    <i>
      <x v="911"/>
    </i>
    <i>
      <x v="912"/>
    </i>
    <i>
      <x v="913"/>
    </i>
    <i>
      <x v="914"/>
    </i>
    <i>
      <x v="916"/>
    </i>
    <i>
      <x v="918"/>
    </i>
    <i>
      <x v="919"/>
    </i>
    <i>
      <x v="920"/>
    </i>
    <i>
      <x v="922"/>
    </i>
    <i>
      <x v="925"/>
    </i>
    <i>
      <x v="927"/>
    </i>
    <i>
      <x v="929"/>
    </i>
    <i>
      <x v="931"/>
    </i>
    <i>
      <x v="933"/>
    </i>
    <i>
      <x v="935"/>
    </i>
    <i>
      <x v="938"/>
    </i>
    <i>
      <x v="943"/>
    </i>
    <i>
      <x v="944"/>
    </i>
    <i>
      <x v="946"/>
    </i>
    <i>
      <x v="947"/>
    </i>
    <i>
      <x v="948"/>
    </i>
    <i>
      <x v="949"/>
    </i>
    <i>
      <x v="950"/>
    </i>
    <i>
      <x v="951"/>
    </i>
    <i>
      <x v="952"/>
    </i>
    <i>
      <x v="953"/>
    </i>
    <i>
      <x v="954"/>
    </i>
    <i>
      <x v="955"/>
    </i>
    <i>
      <x v="956"/>
    </i>
    <i>
      <x v="964"/>
    </i>
    <i>
      <x v="967"/>
    </i>
    <i>
      <x v="968"/>
    </i>
    <i>
      <x v="971"/>
    </i>
    <i>
      <x v="972"/>
    </i>
    <i>
      <x v="974"/>
    </i>
    <i>
      <x v="977"/>
    </i>
    <i>
      <x v="978"/>
    </i>
    <i>
      <x v="979"/>
    </i>
    <i>
      <x v="982"/>
    </i>
    <i>
      <x v="983"/>
    </i>
    <i>
      <x v="985"/>
    </i>
    <i>
      <x v="986"/>
    </i>
    <i>
      <x v="988"/>
    </i>
    <i>
      <x v="989"/>
    </i>
    <i>
      <x v="990"/>
    </i>
    <i>
      <x v="991"/>
    </i>
    <i>
      <x v="992"/>
    </i>
    <i>
      <x v="993"/>
    </i>
    <i>
      <x v="994"/>
    </i>
    <i>
      <x v="995"/>
    </i>
    <i>
      <x v="996"/>
    </i>
    <i>
      <x v="997"/>
    </i>
    <i>
      <x v="999"/>
    </i>
    <i>
      <x v="1000"/>
    </i>
    <i>
      <x v="1001"/>
    </i>
    <i>
      <x v="1006"/>
    </i>
    <i>
      <x v="1007"/>
    </i>
    <i>
      <x v="1008"/>
    </i>
    <i>
      <x v="1009"/>
    </i>
    <i>
      <x v="1010"/>
    </i>
    <i>
      <x v="1013"/>
    </i>
    <i>
      <x v="1014"/>
    </i>
    <i>
      <x v="1015"/>
    </i>
    <i>
      <x v="1016"/>
    </i>
    <i>
      <x v="1018"/>
    </i>
    <i>
      <x v="1019"/>
    </i>
    <i>
      <x v="1024"/>
    </i>
    <i>
      <x v="1025"/>
    </i>
    <i>
      <x v="1026"/>
    </i>
    <i>
      <x v="1028"/>
    </i>
    <i>
      <x v="1029"/>
    </i>
    <i>
      <x v="1031"/>
    </i>
    <i>
      <x v="1032"/>
    </i>
    <i>
      <x v="1034"/>
    </i>
    <i>
      <x v="1035"/>
    </i>
    <i>
      <x v="1038"/>
    </i>
    <i>
      <x v="1042"/>
    </i>
    <i>
      <x v="1043"/>
    </i>
    <i>
      <x v="1045"/>
    </i>
    <i>
      <x v="1051"/>
    </i>
    <i>
      <x v="1053"/>
    </i>
    <i>
      <x v="1054"/>
    </i>
    <i>
      <x v="1056"/>
    </i>
    <i>
      <x v="1057"/>
    </i>
    <i>
      <x v="1061"/>
    </i>
    <i>
      <x v="1063"/>
    </i>
    <i>
      <x v="1064"/>
    </i>
    <i>
      <x v="1065"/>
    </i>
    <i>
      <x v="1066"/>
    </i>
    <i>
      <x v="1067"/>
    </i>
    <i>
      <x v="1068"/>
    </i>
    <i>
      <x v="1069"/>
    </i>
    <i>
      <x v="1070"/>
    </i>
    <i>
      <x v="1072"/>
    </i>
    <i>
      <x v="1073"/>
    </i>
    <i>
      <x v="1074"/>
    </i>
    <i>
      <x v="1075"/>
    </i>
    <i>
      <x v="1076"/>
    </i>
    <i>
      <x v="1077"/>
    </i>
    <i>
      <x v="1080"/>
    </i>
    <i>
      <x v="1081"/>
    </i>
    <i>
      <x v="1082"/>
    </i>
    <i>
      <x v="1084"/>
    </i>
    <i>
      <x v="1085"/>
    </i>
    <i>
      <x v="1086"/>
    </i>
    <i>
      <x v="1089"/>
    </i>
    <i>
      <x v="1090"/>
    </i>
    <i>
      <x v="1092"/>
    </i>
    <i>
      <x v="1093"/>
    </i>
    <i>
      <x v="1096"/>
    </i>
    <i>
      <x v="1097"/>
    </i>
    <i>
      <x v="1098"/>
    </i>
    <i>
      <x v="1099"/>
    </i>
    <i>
      <x v="1100"/>
    </i>
    <i>
      <x v="1101"/>
    </i>
    <i>
      <x v="1102"/>
    </i>
    <i>
      <x v="1103"/>
    </i>
    <i>
      <x v="1104"/>
    </i>
    <i>
      <x v="1105"/>
    </i>
    <i>
      <x v="1108"/>
    </i>
    <i>
      <x v="1109"/>
    </i>
    <i>
      <x v="1110"/>
    </i>
    <i>
      <x v="1112"/>
    </i>
    <i>
      <x v="1113"/>
    </i>
    <i>
      <x v="1114"/>
    </i>
    <i>
      <x v="1115"/>
    </i>
    <i>
      <x v="1116"/>
    </i>
    <i>
      <x v="1117"/>
    </i>
    <i>
      <x v="1118"/>
    </i>
    <i>
      <x v="1121"/>
    </i>
    <i>
      <x v="1122"/>
    </i>
    <i>
      <x v="1125"/>
    </i>
    <i>
      <x v="1126"/>
    </i>
    <i>
      <x v="1128"/>
    </i>
    <i>
      <x v="1132"/>
    </i>
    <i>
      <x v="1133"/>
    </i>
    <i>
      <x v="1134"/>
    </i>
    <i>
      <x v="1137"/>
    </i>
    <i>
      <x v="1138"/>
    </i>
    <i>
      <x v="1139"/>
    </i>
    <i>
      <x v="1140"/>
    </i>
    <i>
      <x v="1141"/>
    </i>
    <i>
      <x v="1142"/>
    </i>
    <i>
      <x v="1144"/>
    </i>
    <i>
      <x v="1146"/>
    </i>
    <i>
      <x v="1147"/>
    </i>
    <i>
      <x v="1149"/>
    </i>
    <i>
      <x v="1150"/>
    </i>
    <i>
      <x v="1151"/>
    </i>
    <i>
      <x v="1153"/>
    </i>
    <i>
      <x v="1154"/>
    </i>
    <i>
      <x v="1155"/>
    </i>
    <i>
      <x v="1156"/>
    </i>
    <i>
      <x v="1157"/>
    </i>
    <i>
      <x v="1158"/>
    </i>
    <i>
      <x v="1159"/>
    </i>
    <i>
      <x v="1160"/>
    </i>
    <i>
      <x v="1161"/>
    </i>
    <i>
      <x v="1162"/>
    </i>
    <i>
      <x v="116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players?status=A&amp;pos=QB&amp;cut_type=9&amp;stat1=S_S_2013&amp;myteam=0&amp;sort=PTS&amp;sdir=1" connectionId="1" xr16:uid="{00000000-0016-0000-1000-000001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players?status=A&amp;pos=QB&amp;cut_type=9&amp;stat1=S_S_2013&amp;myteam=0&amp;sort=PTS&amp;sdir=1_1" connectionId="1" xr16:uid="{00000000-0016-0000-1000-000000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layers?status=A&amp;pos=QB&amp;cut_type=9&amp;stat1=S_S_2013&amp;myteam=0&amp;sort=PTS&amp;sdir=1_3" connectionId="1" xr16:uid="{00000000-0016-0000-1000-000003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players?status=A&amp;pos=QB&amp;cut_type=9&amp;stat1=S_S_2013&amp;myteam=0&amp;sort=PTS&amp;sdir=1_2" connectionId="1" xr16:uid="{00000000-0016-0000-1000-000002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4.bin"/><Relationship Id="rId7" Type="http://schemas.openxmlformats.org/officeDocument/2006/relationships/ctrlProp" Target="../ctrlProps/ctrlProp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ctrlProp" Target="../ctrlProps/ctrlProp4.xml"/><Relationship Id="rId4" Type="http://schemas.openxmlformats.org/officeDocument/2006/relationships/image" Target="../media/image2.emf"/></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7.bin"/><Relationship Id="rId7" Type="http://schemas.openxmlformats.org/officeDocument/2006/relationships/ctrlProp" Target="../ctrlProps/ctrlProp6.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vmlDrawing" Target="../drawings/vmlDrawing3.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2.xml"/><Relationship Id="rId2" Type="http://schemas.openxmlformats.org/officeDocument/2006/relationships/drawing" Target="../drawings/drawing6.xml"/><Relationship Id="rId1" Type="http://schemas.openxmlformats.org/officeDocument/2006/relationships/printerSettings" Target="../printerSettings/printerSettings10.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3.xml"/><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4.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omments" Target="../comments5.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9.vml"/><Relationship Id="rId1" Type="http://schemas.openxmlformats.org/officeDocument/2006/relationships/drawing" Target="../drawings/drawing10.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1.xml"/></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6.bin"/><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A1:C3"/>
  <sheetViews>
    <sheetView workbookViewId="0"/>
  </sheetViews>
  <sheetFormatPr defaultColWidth="0" defaultRowHeight="15" zeroHeight="1" x14ac:dyDescent="0.25"/>
  <cols>
    <col min="1" max="1" width="152.28515625" customWidth="1"/>
    <col min="2" max="3" width="58.5703125" hidden="1" customWidth="1"/>
  </cols>
  <sheetData>
    <row r="1" spans="1:1" ht="394.5" customHeight="1" thickTop="1" thickBot="1" x14ac:dyDescent="0.3">
      <c r="A1" s="567"/>
    </row>
    <row r="2" spans="1:1" ht="85.5" hidden="1" customHeight="1" x14ac:dyDescent="0.25"/>
    <row r="3" spans="1:1" ht="85.5" hidden="1" customHeight="1" x14ac:dyDescent="0.25"/>
  </sheetData>
  <sheetProtection sheet="1" objects="1" scenario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CC"/>
  </sheetPr>
  <dimension ref="A1:AC256"/>
  <sheetViews>
    <sheetView topLeftCell="A199" zoomScaleNormal="100" workbookViewId="0">
      <selection activeCell="K130" sqref="K130"/>
    </sheetView>
  </sheetViews>
  <sheetFormatPr defaultColWidth="0" defaultRowHeight="15" zeroHeight="1" x14ac:dyDescent="0.25"/>
  <cols>
    <col min="1" max="1" width="2.85546875" customWidth="1"/>
    <col min="2" max="3" width="9.140625" customWidth="1"/>
    <col min="4" max="4" width="1.85546875" customWidth="1"/>
    <col min="5" max="5" width="5.7109375" customWidth="1"/>
    <col min="6" max="6" width="32.28515625" customWidth="1"/>
    <col min="7" max="7" width="5.7109375" customWidth="1"/>
    <col min="8" max="8" width="6.7109375" style="1" customWidth="1"/>
    <col min="9" max="9" width="9.140625" customWidth="1"/>
    <col min="10" max="10" width="5.7109375" customWidth="1"/>
    <col min="11" max="11" width="32.28515625" customWidth="1"/>
    <col min="12" max="12" width="5.7109375" customWidth="1"/>
    <col min="13" max="13" width="6.7109375" customWidth="1"/>
    <col min="14" max="14" width="9.140625" customWidth="1"/>
    <col min="15" max="15" width="1.85546875" customWidth="1"/>
    <col min="16" max="17" width="9.140625" customWidth="1"/>
    <col min="18" max="18" width="2.85546875" customWidth="1"/>
    <col min="19" max="19" width="16.85546875" style="3" hidden="1" customWidth="1"/>
    <col min="20" max="20" width="15.7109375" style="3" hidden="1" customWidth="1"/>
    <col min="21" max="23" width="18" style="3" hidden="1" customWidth="1"/>
    <col min="24" max="24" width="22" hidden="1" customWidth="1"/>
    <col min="25" max="25" width="19.5703125" hidden="1" customWidth="1"/>
    <col min="26" max="26" width="15.42578125" hidden="1" customWidth="1"/>
    <col min="27" max="28" width="11.42578125" hidden="1" customWidth="1"/>
    <col min="29" max="29" width="15.42578125" hidden="1" customWidth="1"/>
    <col min="30" max="16384" width="9.140625" hidden="1"/>
  </cols>
  <sheetData>
    <row r="1" spans="1:24" ht="15.75" thickBot="1" x14ac:dyDescent="0.3">
      <c r="A1" s="84"/>
      <c r="B1" s="85"/>
      <c r="C1" s="85"/>
      <c r="D1" s="85"/>
      <c r="E1" s="85"/>
      <c r="F1" s="85"/>
      <c r="G1" s="85"/>
      <c r="H1" s="90"/>
      <c r="I1" s="85"/>
      <c r="J1" s="85"/>
      <c r="K1" s="85"/>
      <c r="L1" s="85"/>
      <c r="M1" s="85"/>
      <c r="N1" s="85"/>
      <c r="O1" s="85"/>
      <c r="P1" s="85"/>
      <c r="Q1" s="85"/>
      <c r="R1" s="87"/>
    </row>
    <row r="2" spans="1:24" ht="15.75" thickTop="1" x14ac:dyDescent="0.25">
      <c r="A2" s="86"/>
      <c r="B2" s="604" t="s">
        <v>2117</v>
      </c>
      <c r="C2" s="605"/>
      <c r="D2" s="605"/>
      <c r="E2" s="605"/>
      <c r="F2" s="605"/>
      <c r="G2" s="605"/>
      <c r="H2" s="605"/>
      <c r="I2" s="605"/>
      <c r="J2" s="605"/>
      <c r="K2" s="605"/>
      <c r="L2" s="605"/>
      <c r="M2" s="605"/>
      <c r="N2" s="605"/>
      <c r="O2" s="605"/>
      <c r="P2" s="605"/>
      <c r="Q2" s="606"/>
      <c r="R2" s="88"/>
      <c r="S2" s="3" t="s">
        <v>919</v>
      </c>
      <c r="T2" s="3" t="s">
        <v>1758</v>
      </c>
    </row>
    <row r="3" spans="1:24" x14ac:dyDescent="0.25">
      <c r="A3" s="86"/>
      <c r="B3" s="607"/>
      <c r="C3" s="608"/>
      <c r="D3" s="608"/>
      <c r="E3" s="608"/>
      <c r="F3" s="608"/>
      <c r="G3" s="608"/>
      <c r="H3" s="608"/>
      <c r="I3" s="608"/>
      <c r="J3" s="608"/>
      <c r="K3" s="608"/>
      <c r="L3" s="608"/>
      <c r="M3" s="608"/>
      <c r="N3" s="608"/>
      <c r="O3" s="608"/>
      <c r="P3" s="608"/>
      <c r="Q3" s="609"/>
      <c r="R3" s="88"/>
      <c r="S3" s="3" t="s">
        <v>920</v>
      </c>
      <c r="T3" s="3" t="s">
        <v>1241</v>
      </c>
    </row>
    <row r="4" spans="1:24" ht="15.75" thickBot="1" x14ac:dyDescent="0.3">
      <c r="A4" s="86"/>
      <c r="B4" s="610"/>
      <c r="C4" s="611"/>
      <c r="D4" s="611"/>
      <c r="E4" s="611"/>
      <c r="F4" s="611"/>
      <c r="G4" s="611"/>
      <c r="H4" s="611"/>
      <c r="I4" s="611"/>
      <c r="J4" s="611"/>
      <c r="K4" s="611"/>
      <c r="L4" s="611"/>
      <c r="M4" s="611"/>
      <c r="N4" s="611"/>
      <c r="O4" s="611"/>
      <c r="P4" s="611"/>
      <c r="Q4" s="612"/>
      <c r="R4" s="88"/>
    </row>
    <row r="5" spans="1:24" ht="16.5" thickTop="1" thickBot="1" x14ac:dyDescent="0.3">
      <c r="A5" s="86"/>
      <c r="B5" s="41"/>
      <c r="C5" s="42"/>
      <c r="D5" s="42"/>
      <c r="E5" s="42"/>
      <c r="F5" s="42"/>
      <c r="G5" s="42"/>
      <c r="H5" s="43"/>
      <c r="I5" s="42"/>
      <c r="J5" s="42"/>
      <c r="K5" s="42"/>
      <c r="L5" s="42"/>
      <c r="M5" s="42"/>
      <c r="N5" s="42"/>
      <c r="O5" s="42"/>
      <c r="P5" s="42"/>
      <c r="Q5" s="44"/>
      <c r="R5" s="88"/>
    </row>
    <row r="6" spans="1:24" ht="15.75" thickBot="1" x14ac:dyDescent="0.3">
      <c r="A6" s="86"/>
      <c r="B6" s="11"/>
      <c r="C6" s="5" t="s">
        <v>696</v>
      </c>
      <c r="D6" s="51"/>
      <c r="E6" s="64" t="s">
        <v>2016</v>
      </c>
      <c r="F6" s="52"/>
      <c r="G6" s="52"/>
      <c r="H6" s="53"/>
      <c r="I6" s="52"/>
      <c r="J6" s="52"/>
      <c r="K6" s="52"/>
      <c r="L6" s="52"/>
      <c r="M6" s="52"/>
      <c r="N6" s="52"/>
      <c r="O6" s="54"/>
      <c r="P6" s="8"/>
      <c r="Q6" s="10"/>
      <c r="R6" s="88"/>
    </row>
    <row r="7" spans="1:24" ht="15.75" thickBot="1" x14ac:dyDescent="0.3">
      <c r="A7" s="86"/>
      <c r="B7" s="11"/>
      <c r="C7" s="8"/>
      <c r="D7" s="8"/>
      <c r="E7" s="16"/>
      <c r="F7" s="8"/>
      <c r="G7" s="8"/>
      <c r="H7" s="9"/>
      <c r="I7" s="8"/>
      <c r="J7" s="8"/>
      <c r="K7" s="8"/>
      <c r="L7" s="8"/>
      <c r="M7" s="8"/>
      <c r="N7" s="8"/>
      <c r="O7" s="8"/>
      <c r="P7" s="8"/>
      <c r="Q7" s="10"/>
      <c r="R7" s="88"/>
    </row>
    <row r="8" spans="1:24" ht="9.75" customHeight="1" x14ac:dyDescent="0.25">
      <c r="A8" s="86"/>
      <c r="B8" s="11"/>
      <c r="C8" s="8"/>
      <c r="D8" s="27"/>
      <c r="E8" s="28"/>
      <c r="F8" s="28"/>
      <c r="G8" s="28"/>
      <c r="H8" s="29"/>
      <c r="I8" s="28"/>
      <c r="J8" s="28"/>
      <c r="K8" s="28"/>
      <c r="L8" s="28"/>
      <c r="M8" s="28"/>
      <c r="N8" s="30"/>
      <c r="O8" s="8"/>
      <c r="P8" s="8"/>
      <c r="Q8" s="10"/>
      <c r="R8" s="88"/>
    </row>
    <row r="9" spans="1:24" ht="18.75" x14ac:dyDescent="0.3">
      <c r="A9" s="86"/>
      <c r="B9" s="11"/>
      <c r="C9" s="8"/>
      <c r="D9" s="31"/>
      <c r="E9" s="546" t="s">
        <v>2019</v>
      </c>
      <c r="F9" s="547"/>
      <c r="G9" s="547"/>
      <c r="H9" s="547"/>
      <c r="I9" s="547"/>
      <c r="J9" s="547"/>
      <c r="K9" s="547"/>
      <c r="L9" s="33"/>
      <c r="M9" s="33"/>
      <c r="N9" s="34"/>
      <c r="O9" s="8"/>
      <c r="P9" s="8"/>
      <c r="Q9" s="10"/>
      <c r="R9" s="88"/>
      <c r="S9" s="3">
        <v>8</v>
      </c>
      <c r="U9" s="3">
        <v>3</v>
      </c>
      <c r="X9" s="3">
        <v>2</v>
      </c>
    </row>
    <row r="10" spans="1:24" ht="12" customHeight="1" thickBot="1" x14ac:dyDescent="0.3">
      <c r="A10" s="86"/>
      <c r="B10" s="11"/>
      <c r="C10" s="8"/>
      <c r="D10" s="31"/>
      <c r="E10" s="33"/>
      <c r="F10" s="33"/>
      <c r="G10" s="33"/>
      <c r="H10" s="33"/>
      <c r="I10" s="33"/>
      <c r="J10" s="33"/>
      <c r="K10" s="33"/>
      <c r="L10" s="33"/>
      <c r="M10" s="33"/>
      <c r="N10" s="34"/>
      <c r="O10" s="8"/>
      <c r="P10" s="8"/>
      <c r="Q10" s="10"/>
      <c r="R10" s="88"/>
      <c r="S10" s="3">
        <v>10</v>
      </c>
      <c r="T10" s="3">
        <v>6</v>
      </c>
      <c r="U10" s="3">
        <v>7</v>
      </c>
      <c r="V10" s="3">
        <v>5</v>
      </c>
      <c r="W10" s="3">
        <v>62</v>
      </c>
      <c r="X10" s="3">
        <v>6</v>
      </c>
    </row>
    <row r="11" spans="1:24" ht="15.75" thickBot="1" x14ac:dyDescent="0.3">
      <c r="A11" s="86"/>
      <c r="B11" s="11"/>
      <c r="C11" s="8"/>
      <c r="D11" s="31"/>
      <c r="E11" s="98">
        <v>12</v>
      </c>
      <c r="F11" s="33" t="s">
        <v>1925</v>
      </c>
      <c r="G11" s="32"/>
      <c r="H11" s="436"/>
      <c r="I11" s="437"/>
      <c r="J11" s="79">
        <v>2</v>
      </c>
      <c r="K11" s="33" t="s">
        <v>890</v>
      </c>
      <c r="L11" s="33"/>
      <c r="M11" s="33"/>
      <c r="N11" s="34"/>
      <c r="O11" s="8"/>
      <c r="P11" s="8"/>
      <c r="Q11" s="10"/>
      <c r="R11" s="88"/>
      <c r="X11" s="3"/>
    </row>
    <row r="12" spans="1:24" x14ac:dyDescent="0.25">
      <c r="A12" s="86"/>
      <c r="B12" s="11"/>
      <c r="C12" s="8"/>
      <c r="D12" s="31"/>
      <c r="E12" s="437"/>
      <c r="F12" s="437"/>
      <c r="G12" s="33"/>
      <c r="H12" s="436"/>
      <c r="I12" s="437"/>
      <c r="J12" s="437"/>
      <c r="K12" s="437"/>
      <c r="L12" s="33"/>
      <c r="M12" s="33"/>
      <c r="N12" s="34"/>
      <c r="O12" s="8"/>
      <c r="P12" s="8"/>
      <c r="Q12" s="10"/>
      <c r="R12" s="88"/>
      <c r="S12" s="3">
        <v>12</v>
      </c>
      <c r="T12" s="3">
        <v>20</v>
      </c>
      <c r="U12" s="3">
        <v>11</v>
      </c>
      <c r="V12" s="3">
        <v>19</v>
      </c>
      <c r="W12" s="3">
        <v>69</v>
      </c>
      <c r="X12" s="3">
        <v>10</v>
      </c>
    </row>
    <row r="13" spans="1:24" ht="18.75" x14ac:dyDescent="0.3">
      <c r="A13" s="86"/>
      <c r="B13" s="11"/>
      <c r="C13" s="8"/>
      <c r="D13" s="31"/>
      <c r="E13" s="544" t="s">
        <v>2020</v>
      </c>
      <c r="F13" s="545"/>
      <c r="G13" s="547"/>
      <c r="H13" s="548"/>
      <c r="I13" s="545"/>
      <c r="J13" s="545"/>
      <c r="K13" s="545"/>
      <c r="L13" s="33"/>
      <c r="M13" s="33"/>
      <c r="N13" s="34"/>
      <c r="O13" s="8"/>
      <c r="P13" s="8"/>
      <c r="Q13" s="10"/>
      <c r="R13" s="88"/>
      <c r="S13" s="3">
        <v>14</v>
      </c>
      <c r="T13" s="3">
        <v>36</v>
      </c>
      <c r="U13" s="3">
        <v>15</v>
      </c>
      <c r="V13" s="3">
        <v>35</v>
      </c>
      <c r="W13" s="3">
        <v>76</v>
      </c>
      <c r="X13" s="3">
        <v>14</v>
      </c>
    </row>
    <row r="14" spans="1:24" ht="12" customHeight="1" thickBot="1" x14ac:dyDescent="0.3">
      <c r="A14" s="86"/>
      <c r="B14" s="11"/>
      <c r="C14" s="8"/>
      <c r="D14" s="31"/>
      <c r="E14" s="437"/>
      <c r="F14" s="437"/>
      <c r="G14" s="32"/>
      <c r="H14" s="436"/>
      <c r="I14" s="437"/>
      <c r="J14" s="437"/>
      <c r="K14" s="437"/>
      <c r="L14" s="33"/>
      <c r="M14" s="33"/>
      <c r="N14" s="34"/>
      <c r="O14" s="8"/>
      <c r="P14" s="8"/>
      <c r="Q14" s="10"/>
      <c r="R14" s="88"/>
      <c r="S14" s="3">
        <v>16</v>
      </c>
      <c r="U14" s="3">
        <v>19</v>
      </c>
      <c r="X14" s="3">
        <v>18</v>
      </c>
    </row>
    <row r="15" spans="1:24" ht="15.75" thickBot="1" x14ac:dyDescent="0.3">
      <c r="A15" s="86"/>
      <c r="B15" s="11"/>
      <c r="C15" s="8"/>
      <c r="D15" s="31"/>
      <c r="E15" s="79">
        <v>1</v>
      </c>
      <c r="F15" s="33" t="s">
        <v>891</v>
      </c>
      <c r="G15" s="33"/>
      <c r="H15" s="436"/>
      <c r="I15" s="437"/>
      <c r="J15" s="79">
        <v>1</v>
      </c>
      <c r="K15" s="33" t="s">
        <v>1170</v>
      </c>
      <c r="L15" s="33"/>
      <c r="M15" s="33"/>
      <c r="N15" s="34"/>
      <c r="O15" s="8"/>
      <c r="P15" s="8"/>
      <c r="Q15" s="10"/>
      <c r="R15" s="88"/>
    </row>
    <row r="16" spans="1:24" ht="15.75" thickBot="1" x14ac:dyDescent="0.3">
      <c r="A16" s="86"/>
      <c r="B16" s="11"/>
      <c r="C16" s="8"/>
      <c r="D16" s="31"/>
      <c r="E16" s="437"/>
      <c r="F16" s="437"/>
      <c r="G16" s="32"/>
      <c r="H16" s="436"/>
      <c r="I16" s="437"/>
      <c r="J16" s="437"/>
      <c r="K16" s="437"/>
      <c r="L16" s="33"/>
      <c r="M16" s="33"/>
      <c r="N16" s="34"/>
      <c r="O16" s="8"/>
      <c r="P16" s="8"/>
      <c r="Q16" s="10"/>
      <c r="R16" s="88"/>
      <c r="S16" s="3">
        <v>1</v>
      </c>
    </row>
    <row r="17" spans="1:19" ht="15.75" thickBot="1" x14ac:dyDescent="0.3">
      <c r="A17" s="86"/>
      <c r="B17" s="11"/>
      <c r="C17" s="8"/>
      <c r="D17" s="31"/>
      <c r="E17" s="79">
        <v>2</v>
      </c>
      <c r="F17" s="33" t="s">
        <v>893</v>
      </c>
      <c r="G17" s="33"/>
      <c r="H17" s="35"/>
      <c r="I17" s="33"/>
      <c r="J17" s="237">
        <v>0</v>
      </c>
      <c r="K17" s="542" t="s">
        <v>2018</v>
      </c>
      <c r="L17" s="33"/>
      <c r="M17" s="33"/>
      <c r="N17" s="34"/>
      <c r="O17" s="8"/>
      <c r="P17" s="8"/>
      <c r="Q17" s="10"/>
      <c r="R17" s="88"/>
      <c r="S17" s="3">
        <v>2</v>
      </c>
    </row>
    <row r="18" spans="1:19" ht="15.75" thickBot="1" x14ac:dyDescent="0.3">
      <c r="A18" s="86"/>
      <c r="B18" s="11"/>
      <c r="C18" s="8"/>
      <c r="D18" s="31"/>
      <c r="E18" s="437"/>
      <c r="F18" s="437"/>
      <c r="G18" s="32"/>
      <c r="H18" s="35"/>
      <c r="I18" s="33"/>
      <c r="J18" s="437"/>
      <c r="K18" s="437"/>
      <c r="L18" s="33"/>
      <c r="M18" s="33"/>
      <c r="N18" s="34"/>
      <c r="O18" s="8"/>
      <c r="P18" s="8"/>
      <c r="Q18" s="10"/>
      <c r="R18" s="88"/>
      <c r="S18" s="3">
        <v>3</v>
      </c>
    </row>
    <row r="19" spans="1:19" ht="15.75" thickBot="1" x14ac:dyDescent="0.3">
      <c r="A19" s="86"/>
      <c r="B19" s="11"/>
      <c r="C19" s="8"/>
      <c r="D19" s="31"/>
      <c r="E19" s="79">
        <v>2</v>
      </c>
      <c r="F19" s="33" t="s">
        <v>892</v>
      </c>
      <c r="G19" s="33"/>
      <c r="H19" s="35"/>
      <c r="I19" s="33"/>
      <c r="J19" s="437"/>
      <c r="K19" s="437"/>
      <c r="L19" s="33"/>
      <c r="M19" s="33"/>
      <c r="N19" s="34"/>
      <c r="O19" s="8"/>
      <c r="P19" s="8"/>
      <c r="Q19" s="10"/>
      <c r="R19" s="88"/>
      <c r="S19" s="3">
        <v>4</v>
      </c>
    </row>
    <row r="20" spans="1:19" ht="15.75" thickBot="1" x14ac:dyDescent="0.3">
      <c r="A20" s="86"/>
      <c r="B20" s="11"/>
      <c r="C20" s="8"/>
      <c r="D20" s="31"/>
      <c r="E20" s="437"/>
      <c r="F20" s="437"/>
      <c r="G20" s="32"/>
      <c r="H20" s="436"/>
      <c r="I20" s="437"/>
      <c r="J20" s="437"/>
      <c r="K20" s="437"/>
      <c r="L20" s="33"/>
      <c r="M20" s="33"/>
      <c r="N20" s="34"/>
      <c r="O20" s="8"/>
      <c r="P20" s="8"/>
      <c r="Q20" s="10"/>
      <c r="R20" s="88"/>
      <c r="S20" s="3">
        <v>5</v>
      </c>
    </row>
    <row r="21" spans="1:19" ht="15.75" thickBot="1" x14ac:dyDescent="0.3">
      <c r="A21" s="86"/>
      <c r="B21" s="11"/>
      <c r="C21" s="8"/>
      <c r="D21" s="31"/>
      <c r="E21" s="79">
        <v>1</v>
      </c>
      <c r="F21" s="33" t="s">
        <v>1991</v>
      </c>
      <c r="G21" s="33"/>
      <c r="H21" s="436"/>
      <c r="I21" s="437"/>
      <c r="J21" s="437"/>
      <c r="K21" s="437"/>
      <c r="L21" s="33"/>
      <c r="M21" s="33"/>
      <c r="N21" s="34"/>
      <c r="O21" s="8"/>
      <c r="P21" s="8"/>
      <c r="Q21" s="10"/>
      <c r="R21" s="88"/>
      <c r="S21" s="3">
        <v>6</v>
      </c>
    </row>
    <row r="22" spans="1:19" x14ac:dyDescent="0.25">
      <c r="A22" s="86"/>
      <c r="B22" s="11"/>
      <c r="C22" s="8"/>
      <c r="D22" s="31"/>
      <c r="E22" s="437"/>
      <c r="F22" s="437"/>
      <c r="G22" s="32"/>
      <c r="H22" s="436"/>
      <c r="I22" s="437"/>
      <c r="J22" s="437"/>
      <c r="K22" s="437"/>
      <c r="L22" s="437"/>
      <c r="M22" s="437"/>
      <c r="N22" s="34"/>
      <c r="O22" s="8"/>
      <c r="P22" s="8"/>
      <c r="Q22" s="10"/>
      <c r="R22" s="88"/>
      <c r="S22" s="3">
        <v>7</v>
      </c>
    </row>
    <row r="23" spans="1:19" ht="18.75" x14ac:dyDescent="0.3">
      <c r="A23" s="86"/>
      <c r="B23" s="11"/>
      <c r="C23" s="8"/>
      <c r="D23" s="31"/>
      <c r="E23" s="544" t="s">
        <v>2021</v>
      </c>
      <c r="F23" s="545"/>
      <c r="G23" s="545"/>
      <c r="H23" s="545"/>
      <c r="I23" s="545"/>
      <c r="J23" s="545"/>
      <c r="K23" s="545"/>
      <c r="L23" s="437"/>
      <c r="M23" s="437"/>
      <c r="N23" s="34"/>
      <c r="O23" s="8"/>
      <c r="P23" s="8"/>
      <c r="Q23" s="10"/>
      <c r="R23" s="88"/>
      <c r="S23" s="3">
        <v>8</v>
      </c>
    </row>
    <row r="24" spans="1:19" ht="12" customHeight="1" thickBot="1" x14ac:dyDescent="0.3">
      <c r="A24" s="86"/>
      <c r="B24" s="11"/>
      <c r="C24" s="8"/>
      <c r="D24" s="31"/>
      <c r="E24" s="437"/>
      <c r="F24" s="437"/>
      <c r="G24" s="437"/>
      <c r="H24" s="437"/>
      <c r="I24" s="437"/>
      <c r="J24" s="437"/>
      <c r="K24" s="437"/>
      <c r="L24" s="437"/>
      <c r="M24" s="437"/>
      <c r="N24" s="34"/>
      <c r="O24" s="8"/>
      <c r="P24" s="8"/>
      <c r="Q24" s="10"/>
      <c r="R24" s="88"/>
      <c r="S24" s="3">
        <f>IF($E$11&gt;=10,9,"")</f>
        <v>9</v>
      </c>
    </row>
    <row r="25" spans="1:19" ht="15.75" thickBot="1" x14ac:dyDescent="0.3">
      <c r="A25" s="86"/>
      <c r="B25" s="11"/>
      <c r="C25" s="8"/>
      <c r="D25" s="31"/>
      <c r="E25" s="237">
        <v>1</v>
      </c>
      <c r="F25" s="33" t="s">
        <v>965</v>
      </c>
      <c r="G25" s="437"/>
      <c r="H25" s="437"/>
      <c r="I25" s="437"/>
      <c r="J25" s="237">
        <v>25</v>
      </c>
      <c r="K25" s="33" t="s">
        <v>959</v>
      </c>
      <c r="L25" s="437"/>
      <c r="M25" s="437"/>
      <c r="N25" s="34"/>
      <c r="O25" s="8"/>
      <c r="P25" s="8"/>
      <c r="Q25" s="10"/>
      <c r="R25" s="88"/>
      <c r="S25" s="3">
        <f>IF($E$11&gt;=10,10,"")</f>
        <v>10</v>
      </c>
    </row>
    <row r="26" spans="1:19" ht="15.75" thickBot="1" x14ac:dyDescent="0.3">
      <c r="A26" s="86"/>
      <c r="B26" s="11"/>
      <c r="C26" s="8"/>
      <c r="D26" s="31"/>
      <c r="E26" s="437"/>
      <c r="F26" s="437"/>
      <c r="G26" s="32"/>
      <c r="H26" s="436"/>
      <c r="I26" s="437"/>
      <c r="J26" s="33"/>
      <c r="K26" s="33"/>
      <c r="L26" s="437"/>
      <c r="M26" s="437"/>
      <c r="N26" s="34"/>
      <c r="O26" s="8"/>
      <c r="P26" s="8"/>
      <c r="Q26" s="10"/>
      <c r="R26" s="88"/>
      <c r="S26" s="3">
        <f>IF($E$11&gt;=12,11,"")</f>
        <v>11</v>
      </c>
    </row>
    <row r="27" spans="1:19" ht="15.75" thickBot="1" x14ac:dyDescent="0.3">
      <c r="A27" s="86"/>
      <c r="B27" s="11"/>
      <c r="C27" s="8"/>
      <c r="D27" s="31"/>
      <c r="E27" s="237">
        <v>10</v>
      </c>
      <c r="F27" s="33" t="s">
        <v>961</v>
      </c>
      <c r="G27" s="32"/>
      <c r="H27" s="436"/>
      <c r="I27" s="437"/>
      <c r="J27" s="237">
        <v>4</v>
      </c>
      <c r="K27" s="33" t="s">
        <v>963</v>
      </c>
      <c r="L27" s="437"/>
      <c r="M27" s="437"/>
      <c r="N27" s="34"/>
      <c r="O27" s="8"/>
      <c r="P27" s="8"/>
      <c r="Q27" s="10"/>
      <c r="R27" s="88"/>
      <c r="S27" s="3">
        <f>IF($E$11&gt;=12,12,"")</f>
        <v>12</v>
      </c>
    </row>
    <row r="28" spans="1:19" ht="15.75" thickBot="1" x14ac:dyDescent="0.3">
      <c r="A28" s="86"/>
      <c r="B28" s="11"/>
      <c r="C28" s="8"/>
      <c r="D28" s="31"/>
      <c r="E28" s="33"/>
      <c r="F28" s="33"/>
      <c r="G28" s="32"/>
      <c r="H28" s="240"/>
      <c r="I28" s="33"/>
      <c r="J28" s="437"/>
      <c r="K28" s="437"/>
      <c r="L28" s="437"/>
      <c r="M28" s="437"/>
      <c r="N28" s="34"/>
      <c r="O28" s="8"/>
      <c r="P28" s="8"/>
      <c r="Q28" s="10"/>
      <c r="R28" s="88"/>
      <c r="S28" s="3" t="str">
        <f>IF($E$11&gt;=14,13,"")</f>
        <v/>
      </c>
    </row>
    <row r="29" spans="1:19" ht="15.75" thickBot="1" x14ac:dyDescent="0.3">
      <c r="A29" s="86"/>
      <c r="B29" s="11"/>
      <c r="C29" s="8"/>
      <c r="D29" s="31"/>
      <c r="E29" s="237">
        <v>6</v>
      </c>
      <c r="F29" s="33" t="s">
        <v>962</v>
      </c>
      <c r="G29" s="33"/>
      <c r="H29" s="35"/>
      <c r="I29" s="33"/>
      <c r="J29" s="237">
        <v>-2</v>
      </c>
      <c r="K29" s="33" t="s">
        <v>969</v>
      </c>
      <c r="L29" s="437"/>
      <c r="M29" s="437"/>
      <c r="N29" s="34"/>
      <c r="O29" s="8"/>
      <c r="P29" s="8"/>
      <c r="Q29" s="10"/>
      <c r="R29" s="88"/>
      <c r="S29" s="3" t="str">
        <f>IF($E$11&gt;=14,14,"")</f>
        <v/>
      </c>
    </row>
    <row r="30" spans="1:19" x14ac:dyDescent="0.25">
      <c r="A30" s="86"/>
      <c r="B30" s="11"/>
      <c r="C30" s="8"/>
      <c r="D30" s="31"/>
      <c r="E30" s="437"/>
      <c r="F30" s="437"/>
      <c r="G30" s="33"/>
      <c r="H30" s="35"/>
      <c r="I30" s="33"/>
      <c r="J30" s="437"/>
      <c r="K30" s="437"/>
      <c r="L30" s="437"/>
      <c r="M30" s="437"/>
      <c r="N30" s="34"/>
      <c r="O30" s="8"/>
      <c r="P30" s="8"/>
      <c r="Q30" s="10"/>
      <c r="R30" s="88"/>
      <c r="S30" s="3" t="str">
        <f>IF($E$11&gt;=16,15,"")</f>
        <v/>
      </c>
    </row>
    <row r="31" spans="1:19" ht="13.5" customHeight="1" thickBot="1" x14ac:dyDescent="0.3">
      <c r="A31" s="86"/>
      <c r="B31" s="11"/>
      <c r="C31" s="8"/>
      <c r="D31" s="31"/>
      <c r="E31" s="437"/>
      <c r="F31" s="437"/>
      <c r="G31" s="33"/>
      <c r="H31" s="35"/>
      <c r="I31" s="33"/>
      <c r="J31" s="437"/>
      <c r="K31" s="437"/>
      <c r="L31" s="437"/>
      <c r="M31" s="437"/>
      <c r="N31" s="34"/>
      <c r="O31" s="8"/>
      <c r="P31" s="8"/>
      <c r="Q31" s="10"/>
      <c r="R31" s="88"/>
      <c r="S31" s="3" t="str">
        <f>IF($E$11&gt;=16,16,"")</f>
        <v/>
      </c>
    </row>
    <row r="32" spans="1:19" ht="15.75" thickBot="1" x14ac:dyDescent="0.3">
      <c r="A32" s="86"/>
      <c r="B32" s="11"/>
      <c r="C32" s="8"/>
      <c r="D32" s="31"/>
      <c r="E32" s="237">
        <v>0</v>
      </c>
      <c r="F32" s="543" t="s">
        <v>2017</v>
      </c>
      <c r="G32" s="33"/>
      <c r="H32" s="35"/>
      <c r="I32" s="33"/>
      <c r="J32" s="237">
        <v>0</v>
      </c>
      <c r="K32" s="543" t="s">
        <v>1226</v>
      </c>
      <c r="L32" s="437"/>
      <c r="M32" s="437"/>
      <c r="N32" s="34"/>
      <c r="O32" s="8"/>
      <c r="P32" s="8"/>
      <c r="Q32" s="10"/>
      <c r="R32" s="88"/>
    </row>
    <row r="33" spans="1:20" ht="15.75" thickBot="1" x14ac:dyDescent="0.3">
      <c r="A33" s="86"/>
      <c r="B33" s="11"/>
      <c r="C33" s="8"/>
      <c r="D33" s="31"/>
      <c r="E33" s="437"/>
      <c r="F33" s="437"/>
      <c r="G33" s="437"/>
      <c r="H33" s="437"/>
      <c r="I33" s="437"/>
      <c r="J33" s="38"/>
      <c r="K33" s="33"/>
      <c r="L33" s="437"/>
      <c r="M33" s="437"/>
      <c r="N33" s="34"/>
      <c r="O33" s="8"/>
      <c r="P33" s="8"/>
      <c r="Q33" s="10"/>
      <c r="R33" s="88"/>
    </row>
    <row r="34" spans="1:20" ht="15.75" thickBot="1" x14ac:dyDescent="0.3">
      <c r="A34" s="86"/>
      <c r="B34" s="11"/>
      <c r="C34" s="8"/>
      <c r="D34" s="31"/>
      <c r="E34" s="237">
        <v>10</v>
      </c>
      <c r="F34" s="33" t="s">
        <v>960</v>
      </c>
      <c r="G34" s="437"/>
      <c r="H34" s="437"/>
      <c r="I34" s="437"/>
      <c r="J34" s="237">
        <v>6</v>
      </c>
      <c r="K34" s="33" t="s">
        <v>1454</v>
      </c>
      <c r="L34" s="437"/>
      <c r="M34" s="437"/>
      <c r="N34" s="34"/>
      <c r="O34" s="8"/>
      <c r="P34" s="8"/>
      <c r="Q34" s="10"/>
      <c r="R34" s="88"/>
    </row>
    <row r="35" spans="1:20" ht="15.75" thickBot="1" x14ac:dyDescent="0.3">
      <c r="A35" s="86"/>
      <c r="B35" s="11"/>
      <c r="C35" s="8"/>
      <c r="D35" s="31"/>
      <c r="E35" s="437"/>
      <c r="F35" s="437"/>
      <c r="G35" s="437"/>
      <c r="H35" s="437"/>
      <c r="I35" s="437"/>
      <c r="J35" s="437"/>
      <c r="K35" s="33"/>
      <c r="L35" s="437"/>
      <c r="M35" s="437"/>
      <c r="N35" s="34"/>
      <c r="O35" s="8"/>
      <c r="P35" s="8"/>
      <c r="Q35" s="10"/>
      <c r="R35" s="88"/>
    </row>
    <row r="36" spans="1:20" ht="15.75" thickBot="1" x14ac:dyDescent="0.3">
      <c r="A36" s="86"/>
      <c r="B36" s="11"/>
      <c r="C36" s="8"/>
      <c r="D36" s="31"/>
      <c r="E36" s="237">
        <v>6</v>
      </c>
      <c r="F36" s="33" t="s">
        <v>964</v>
      </c>
      <c r="G36" s="437"/>
      <c r="H36" s="437"/>
      <c r="I36" s="437"/>
      <c r="J36" s="437"/>
      <c r="K36" s="437"/>
      <c r="L36" s="437"/>
      <c r="M36" s="437"/>
      <c r="N36" s="34"/>
      <c r="O36" s="8"/>
      <c r="P36" s="8"/>
      <c r="Q36" s="10"/>
      <c r="R36" s="88"/>
    </row>
    <row r="37" spans="1:20" ht="15.75" thickBot="1" x14ac:dyDescent="0.3">
      <c r="A37" s="86"/>
      <c r="B37" s="11"/>
      <c r="C37" s="8"/>
      <c r="D37" s="36"/>
      <c r="E37" s="37"/>
      <c r="F37" s="37"/>
      <c r="G37" s="37"/>
      <c r="H37" s="38"/>
      <c r="I37" s="37"/>
      <c r="J37" s="37"/>
      <c r="K37" s="37"/>
      <c r="L37" s="37"/>
      <c r="M37" s="37"/>
      <c r="N37" s="39"/>
      <c r="O37" s="8"/>
      <c r="P37" s="8"/>
      <c r="Q37" s="10"/>
      <c r="R37" s="88"/>
    </row>
    <row r="38" spans="1:20" x14ac:dyDescent="0.25">
      <c r="A38" s="86"/>
      <c r="B38" s="11"/>
      <c r="C38" s="8"/>
      <c r="D38" s="8"/>
      <c r="E38" s="8"/>
      <c r="F38" s="8"/>
      <c r="G38" s="8"/>
      <c r="H38" s="9"/>
      <c r="I38" s="8"/>
      <c r="J38" s="8"/>
      <c r="K38" s="8"/>
      <c r="L38" s="8"/>
      <c r="M38" s="8"/>
      <c r="N38" s="8"/>
      <c r="O38" s="8"/>
      <c r="P38" s="8"/>
      <c r="Q38" s="10"/>
      <c r="R38" s="88"/>
    </row>
    <row r="39" spans="1:20" ht="15.75" thickBot="1" x14ac:dyDescent="0.3">
      <c r="A39" s="86"/>
      <c r="B39" s="11"/>
      <c r="C39" s="8"/>
      <c r="D39" s="8"/>
      <c r="E39" s="8"/>
      <c r="F39" s="8"/>
      <c r="G39" s="8"/>
      <c r="H39" s="9"/>
      <c r="I39" s="8"/>
      <c r="J39" s="8"/>
      <c r="K39" s="8"/>
      <c r="L39" s="8"/>
      <c r="M39" s="8"/>
      <c r="N39" s="8"/>
      <c r="O39" s="8"/>
      <c r="P39" s="8"/>
      <c r="Q39" s="10"/>
      <c r="R39" s="88"/>
    </row>
    <row r="40" spans="1:20" ht="15.75" thickBot="1" x14ac:dyDescent="0.3">
      <c r="A40" s="86"/>
      <c r="B40" s="11"/>
      <c r="C40" s="40" t="s">
        <v>697</v>
      </c>
      <c r="D40" s="51"/>
      <c r="E40" s="64" t="s">
        <v>921</v>
      </c>
      <c r="F40" s="52"/>
      <c r="G40" s="52"/>
      <c r="H40" s="53"/>
      <c r="I40" s="52"/>
      <c r="J40" s="52"/>
      <c r="K40" s="52"/>
      <c r="L40" s="52"/>
      <c r="M40" s="52"/>
      <c r="N40" s="52"/>
      <c r="O40" s="54"/>
      <c r="P40" s="8"/>
      <c r="Q40" s="10"/>
      <c r="R40" s="88"/>
    </row>
    <row r="41" spans="1:20" ht="15.75" thickBot="1" x14ac:dyDescent="0.3">
      <c r="A41" s="86"/>
      <c r="B41" s="11"/>
      <c r="C41" s="8"/>
      <c r="D41" s="8"/>
      <c r="E41" s="8"/>
      <c r="F41" s="8"/>
      <c r="G41" s="8"/>
      <c r="H41" s="8"/>
      <c r="I41" s="8"/>
      <c r="J41" s="8"/>
      <c r="K41" s="8"/>
      <c r="L41" s="8"/>
      <c r="M41" s="8"/>
      <c r="N41" s="8"/>
      <c r="O41" s="8"/>
      <c r="P41" s="8"/>
      <c r="Q41" s="10"/>
      <c r="R41" s="88"/>
    </row>
    <row r="42" spans="1:20" x14ac:dyDescent="0.25">
      <c r="A42" s="86"/>
      <c r="B42" s="11"/>
      <c r="C42" s="8"/>
      <c r="D42" s="8"/>
      <c r="E42" s="12">
        <v>1</v>
      </c>
      <c r="F42" s="623" t="s">
        <v>2573</v>
      </c>
      <c r="G42" s="624"/>
      <c r="H42" s="9"/>
      <c r="I42" s="8"/>
      <c r="J42" s="8"/>
      <c r="K42" s="8"/>
      <c r="L42" s="8"/>
      <c r="M42" s="8"/>
      <c r="N42" s="8"/>
      <c r="O42" s="8"/>
      <c r="P42" s="8"/>
      <c r="Q42" s="10"/>
      <c r="R42" s="88"/>
      <c r="T42" s="3">
        <v>1</v>
      </c>
    </row>
    <row r="43" spans="1:20" x14ac:dyDescent="0.25">
      <c r="A43" s="86"/>
      <c r="B43" s="11"/>
      <c r="C43" s="8"/>
      <c r="D43" s="8"/>
      <c r="E43" s="12">
        <v>2</v>
      </c>
      <c r="F43" s="617" t="s">
        <v>2574</v>
      </c>
      <c r="G43" s="618"/>
      <c r="H43" s="9"/>
      <c r="I43" s="8"/>
      <c r="J43" s="8"/>
      <c r="K43" s="8"/>
      <c r="L43" s="8"/>
      <c r="M43" s="8"/>
      <c r="N43" s="8"/>
      <c r="O43" s="8"/>
      <c r="P43" s="8"/>
      <c r="Q43" s="10"/>
      <c r="R43" s="88"/>
      <c r="T43" s="3">
        <v>2</v>
      </c>
    </row>
    <row r="44" spans="1:20" x14ac:dyDescent="0.25">
      <c r="A44" s="86"/>
      <c r="B44" s="11"/>
      <c r="C44" s="8"/>
      <c r="D44" s="8"/>
      <c r="E44" s="12">
        <v>3</v>
      </c>
      <c r="F44" s="619" t="s">
        <v>2575</v>
      </c>
      <c r="G44" s="620"/>
      <c r="H44" s="9"/>
      <c r="I44" s="8"/>
      <c r="J44" s="8"/>
      <c r="K44" s="8"/>
      <c r="L44" s="8"/>
      <c r="M44" s="8"/>
      <c r="N44" s="8"/>
      <c r="O44" s="8"/>
      <c r="P44" s="8"/>
      <c r="Q44" s="10"/>
      <c r="R44" s="88"/>
      <c r="T44" s="3">
        <v>3</v>
      </c>
    </row>
    <row r="45" spans="1:20" x14ac:dyDescent="0.25">
      <c r="A45" s="86"/>
      <c r="B45" s="11"/>
      <c r="C45" s="8"/>
      <c r="D45" s="8"/>
      <c r="E45" s="12">
        <v>4</v>
      </c>
      <c r="F45" s="617" t="s">
        <v>2576</v>
      </c>
      <c r="G45" s="618"/>
      <c r="H45" s="9"/>
      <c r="I45" s="8"/>
      <c r="J45" s="8"/>
      <c r="K45" s="8"/>
      <c r="L45" s="8"/>
      <c r="M45" s="8"/>
      <c r="N45" s="8"/>
      <c r="O45" s="8"/>
      <c r="P45" s="8"/>
      <c r="Q45" s="10"/>
      <c r="R45" s="88"/>
      <c r="T45" s="3">
        <v>4</v>
      </c>
    </row>
    <row r="46" spans="1:20" x14ac:dyDescent="0.25">
      <c r="A46" s="86"/>
      <c r="B46" s="11"/>
      <c r="C46" s="8"/>
      <c r="D46" s="8"/>
      <c r="E46" s="12">
        <v>5</v>
      </c>
      <c r="F46" s="619" t="s">
        <v>2577</v>
      </c>
      <c r="G46" s="620"/>
      <c r="H46" s="9"/>
      <c r="I46" s="8"/>
      <c r="J46" s="8"/>
      <c r="K46" s="8"/>
      <c r="L46" s="8"/>
      <c r="M46" s="8"/>
      <c r="N46" s="8"/>
      <c r="O46" s="8"/>
      <c r="P46" s="8"/>
      <c r="Q46" s="10"/>
      <c r="R46" s="88"/>
      <c r="T46" s="3">
        <v>5</v>
      </c>
    </row>
    <row r="47" spans="1:20" x14ac:dyDescent="0.25">
      <c r="A47" s="86"/>
      <c r="B47" s="11"/>
      <c r="C47" s="8"/>
      <c r="D47" s="8"/>
      <c r="E47" s="12">
        <v>6</v>
      </c>
      <c r="F47" s="617" t="s">
        <v>2578</v>
      </c>
      <c r="G47" s="618"/>
      <c r="H47" s="9"/>
      <c r="I47" s="8"/>
      <c r="J47" s="8"/>
      <c r="K47" s="8"/>
      <c r="L47" s="8"/>
      <c r="M47" s="8"/>
      <c r="N47" s="8"/>
      <c r="O47" s="8"/>
      <c r="P47" s="8"/>
      <c r="Q47" s="10"/>
      <c r="R47" s="88"/>
      <c r="T47" s="3">
        <v>6</v>
      </c>
    </row>
    <row r="48" spans="1:20" x14ac:dyDescent="0.25">
      <c r="A48" s="86"/>
      <c r="B48" s="11"/>
      <c r="C48" s="8"/>
      <c r="D48" s="8"/>
      <c r="E48" s="12">
        <v>7</v>
      </c>
      <c r="F48" s="619" t="s">
        <v>2579</v>
      </c>
      <c r="G48" s="620"/>
      <c r="H48" s="9"/>
      <c r="I48" s="8"/>
      <c r="J48" s="8"/>
      <c r="K48" s="8"/>
      <c r="L48" s="8"/>
      <c r="M48" s="8"/>
      <c r="N48" s="8"/>
      <c r="O48" s="8"/>
      <c r="P48" s="8"/>
      <c r="Q48" s="10"/>
      <c r="R48" s="88"/>
      <c r="T48" s="3">
        <v>7</v>
      </c>
    </row>
    <row r="49" spans="1:28" x14ac:dyDescent="0.25">
      <c r="A49" s="86"/>
      <c r="B49" s="11"/>
      <c r="C49" s="8"/>
      <c r="D49" s="8"/>
      <c r="E49" s="12">
        <v>8</v>
      </c>
      <c r="F49" s="617" t="s">
        <v>2580</v>
      </c>
      <c r="G49" s="618"/>
      <c r="H49" s="9"/>
      <c r="I49" s="8"/>
      <c r="J49" s="8"/>
      <c r="K49" s="8"/>
      <c r="L49" s="8"/>
      <c r="M49" s="8"/>
      <c r="N49" s="8"/>
      <c r="O49" s="8"/>
      <c r="P49" s="8"/>
      <c r="Q49" s="10"/>
      <c r="R49" s="88"/>
      <c r="T49" s="3">
        <v>8</v>
      </c>
    </row>
    <row r="50" spans="1:28" x14ac:dyDescent="0.25">
      <c r="A50" s="86"/>
      <c r="B50" s="11"/>
      <c r="C50" s="8"/>
      <c r="D50" s="8"/>
      <c r="E50" s="12">
        <v>9</v>
      </c>
      <c r="F50" s="619" t="s">
        <v>2581</v>
      </c>
      <c r="G50" s="620"/>
      <c r="H50" s="9"/>
      <c r="I50" s="8"/>
      <c r="J50" s="8"/>
      <c r="K50" s="8"/>
      <c r="L50" s="8"/>
      <c r="M50" s="8"/>
      <c r="N50" s="8"/>
      <c r="O50" s="8"/>
      <c r="P50" s="8"/>
      <c r="Q50" s="10"/>
      <c r="R50" s="88"/>
      <c r="T50" s="3">
        <v>9</v>
      </c>
    </row>
    <row r="51" spans="1:28" x14ac:dyDescent="0.25">
      <c r="A51" s="86"/>
      <c r="B51" s="11"/>
      <c r="C51" s="8"/>
      <c r="D51" s="8"/>
      <c r="E51" s="12">
        <v>10</v>
      </c>
      <c r="F51" s="617" t="s">
        <v>2582</v>
      </c>
      <c r="G51" s="618"/>
      <c r="H51" s="9"/>
      <c r="I51" s="8"/>
      <c r="J51" s="8"/>
      <c r="K51" s="8"/>
      <c r="L51" s="8"/>
      <c r="M51" s="8"/>
      <c r="N51" s="8"/>
      <c r="O51" s="8"/>
      <c r="P51" s="8"/>
      <c r="Q51" s="10"/>
      <c r="R51" s="88"/>
      <c r="T51" s="3">
        <v>10</v>
      </c>
    </row>
    <row r="52" spans="1:28" x14ac:dyDescent="0.25">
      <c r="A52" s="86"/>
      <c r="B52" s="11"/>
      <c r="C52" s="8"/>
      <c r="D52" s="8"/>
      <c r="E52" s="12">
        <v>11</v>
      </c>
      <c r="F52" s="619" t="s">
        <v>2583</v>
      </c>
      <c r="G52" s="620"/>
      <c r="H52" s="9"/>
      <c r="I52" s="8"/>
      <c r="J52" s="8"/>
      <c r="K52" s="8"/>
      <c r="L52" s="8"/>
      <c r="M52" s="8"/>
      <c r="N52" s="8"/>
      <c r="O52" s="8"/>
      <c r="P52" s="8"/>
      <c r="Q52" s="10"/>
      <c r="R52" s="88"/>
      <c r="T52" s="3">
        <v>11</v>
      </c>
    </row>
    <row r="53" spans="1:28" ht="15.75" thickBot="1" x14ac:dyDescent="0.3">
      <c r="A53" s="86"/>
      <c r="B53" s="11"/>
      <c r="C53" s="8"/>
      <c r="D53" s="8"/>
      <c r="E53" s="12">
        <v>12</v>
      </c>
      <c r="F53" s="598" t="s">
        <v>2584</v>
      </c>
      <c r="G53" s="599"/>
      <c r="H53" s="9"/>
      <c r="I53" s="8"/>
      <c r="J53" s="8"/>
      <c r="K53" s="8"/>
      <c r="L53" s="8"/>
      <c r="M53" s="8"/>
      <c r="N53" s="8"/>
      <c r="O53" s="8"/>
      <c r="P53" s="8"/>
      <c r="Q53" s="10"/>
      <c r="R53" s="88"/>
      <c r="T53" s="3">
        <v>12</v>
      </c>
    </row>
    <row r="54" spans="1:28" hidden="1" x14ac:dyDescent="0.25">
      <c r="A54" s="86"/>
      <c r="B54" s="11"/>
      <c r="C54" s="8"/>
      <c r="D54" s="8"/>
      <c r="E54" s="12">
        <v>13</v>
      </c>
      <c r="F54" s="621" t="s">
        <v>1987</v>
      </c>
      <c r="G54" s="622"/>
      <c r="H54" s="9"/>
      <c r="I54" s="8"/>
      <c r="J54" s="8"/>
      <c r="K54" s="8"/>
      <c r="L54" s="8"/>
      <c r="M54" s="8"/>
      <c r="N54" s="8"/>
      <c r="O54" s="8"/>
      <c r="P54" s="8"/>
      <c r="Q54" s="10"/>
      <c r="R54" s="88"/>
      <c r="T54" s="3">
        <v>13</v>
      </c>
    </row>
    <row r="55" spans="1:28" ht="15.75" hidden="1" thickBot="1" x14ac:dyDescent="0.3">
      <c r="A55" s="86"/>
      <c r="B55" s="11"/>
      <c r="C55" s="8"/>
      <c r="D55" s="8"/>
      <c r="E55" s="12">
        <v>14</v>
      </c>
      <c r="F55" s="598" t="s">
        <v>1988</v>
      </c>
      <c r="G55" s="599"/>
      <c r="H55" s="9"/>
      <c r="I55" s="8"/>
      <c r="J55" s="8"/>
      <c r="K55" s="8"/>
      <c r="L55" s="8"/>
      <c r="M55" s="8"/>
      <c r="N55" s="8"/>
      <c r="O55" s="8"/>
      <c r="P55" s="8"/>
      <c r="Q55" s="10"/>
      <c r="R55" s="88"/>
      <c r="T55" s="3">
        <v>14</v>
      </c>
    </row>
    <row r="56" spans="1:28" hidden="1" x14ac:dyDescent="0.25">
      <c r="A56" s="86"/>
      <c r="B56" s="11"/>
      <c r="C56" s="8"/>
      <c r="D56" s="8"/>
      <c r="E56" s="12">
        <v>15</v>
      </c>
      <c r="F56" s="621" t="s">
        <v>1989</v>
      </c>
      <c r="G56" s="622"/>
      <c r="H56" s="9"/>
      <c r="I56" s="8"/>
      <c r="J56" s="8"/>
      <c r="K56" s="8"/>
      <c r="L56" s="8"/>
      <c r="M56" s="8"/>
      <c r="N56" s="8"/>
      <c r="O56" s="8"/>
      <c r="P56" s="8"/>
      <c r="Q56" s="10"/>
      <c r="R56" s="88"/>
      <c r="T56" s="3">
        <v>15</v>
      </c>
    </row>
    <row r="57" spans="1:28" ht="15.75" hidden="1" thickBot="1" x14ac:dyDescent="0.3">
      <c r="A57" s="86"/>
      <c r="B57" s="11"/>
      <c r="C57" s="8"/>
      <c r="D57" s="8"/>
      <c r="E57" s="12">
        <v>16</v>
      </c>
      <c r="F57" s="598" t="s">
        <v>1990</v>
      </c>
      <c r="G57" s="599"/>
      <c r="H57" s="9"/>
      <c r="I57" s="8"/>
      <c r="J57" s="8"/>
      <c r="K57" s="8"/>
      <c r="L57" s="8"/>
      <c r="M57" s="8"/>
      <c r="N57" s="8"/>
      <c r="O57" s="8"/>
      <c r="P57" s="8"/>
      <c r="Q57" s="10"/>
      <c r="R57" s="88"/>
      <c r="T57" s="3">
        <v>16</v>
      </c>
    </row>
    <row r="58" spans="1:28" x14ac:dyDescent="0.25">
      <c r="A58" s="86"/>
      <c r="B58" s="11"/>
      <c r="C58" s="8"/>
      <c r="D58" s="8"/>
      <c r="E58" s="8"/>
      <c r="F58" s="8"/>
      <c r="G58" s="8"/>
      <c r="H58" s="8"/>
      <c r="I58" s="8"/>
      <c r="J58" s="8"/>
      <c r="K58" s="8"/>
      <c r="L58" s="8"/>
      <c r="M58" s="8"/>
      <c r="N58" s="8"/>
      <c r="O58" s="8"/>
      <c r="P58" s="8"/>
      <c r="Q58" s="10"/>
      <c r="R58" s="88"/>
    </row>
    <row r="59" spans="1:28" ht="15.75" thickBot="1" x14ac:dyDescent="0.3">
      <c r="A59" s="86"/>
      <c r="B59" s="11"/>
      <c r="C59" s="8"/>
      <c r="D59" s="8"/>
      <c r="E59" s="8"/>
      <c r="F59" s="8"/>
      <c r="G59" s="8"/>
      <c r="H59" s="8"/>
      <c r="I59" s="8"/>
      <c r="J59" s="8"/>
      <c r="K59" s="8"/>
      <c r="L59" s="8"/>
      <c r="M59" s="8"/>
      <c r="N59" s="8"/>
      <c r="O59" s="8"/>
      <c r="P59" s="8"/>
      <c r="Q59" s="10"/>
      <c r="R59" s="88"/>
    </row>
    <row r="60" spans="1:28" ht="15.75" thickBot="1" x14ac:dyDescent="0.3">
      <c r="A60" s="86"/>
      <c r="B60" s="11"/>
      <c r="C60" s="40" t="s">
        <v>698</v>
      </c>
      <c r="D60" s="58"/>
      <c r="E60" s="62" t="s">
        <v>924</v>
      </c>
      <c r="F60" s="47"/>
      <c r="G60" s="47"/>
      <c r="H60" s="47"/>
      <c r="I60" s="47"/>
      <c r="J60" s="47"/>
      <c r="K60" s="47"/>
      <c r="L60" s="47"/>
      <c r="M60" s="47"/>
      <c r="N60" s="47"/>
      <c r="O60" s="60"/>
      <c r="P60" s="8"/>
      <c r="Q60" s="10"/>
      <c r="R60" s="88"/>
    </row>
    <row r="61" spans="1:28" ht="15.75" thickBot="1" x14ac:dyDescent="0.3">
      <c r="A61" s="86"/>
      <c r="B61" s="11"/>
      <c r="C61" s="13"/>
      <c r="D61" s="59"/>
      <c r="E61" s="63" t="s">
        <v>1997</v>
      </c>
      <c r="F61" s="49"/>
      <c r="G61" s="49"/>
      <c r="H61" s="49"/>
      <c r="I61" s="49"/>
      <c r="J61" s="49"/>
      <c r="K61" s="49"/>
      <c r="L61" s="49"/>
      <c r="M61" s="49"/>
      <c r="N61" s="49"/>
      <c r="O61" s="61"/>
      <c r="P61" s="8"/>
      <c r="Q61" s="10"/>
      <c r="R61" s="88"/>
    </row>
    <row r="62" spans="1:28" ht="15.75" thickBot="1" x14ac:dyDescent="0.3">
      <c r="A62" s="86"/>
      <c r="B62" s="11"/>
      <c r="C62" s="13"/>
      <c r="D62" s="8"/>
      <c r="E62" s="8"/>
      <c r="F62" s="8"/>
      <c r="G62" s="8"/>
      <c r="H62" s="8"/>
      <c r="I62" s="8"/>
      <c r="J62" s="12"/>
      <c r="K62" s="8"/>
      <c r="L62" s="8"/>
      <c r="M62" s="8"/>
      <c r="N62" s="8"/>
      <c r="O62" s="8"/>
      <c r="P62" s="8"/>
      <c r="Q62" s="10"/>
      <c r="R62" s="88"/>
    </row>
    <row r="63" spans="1:28" ht="15.75" thickBot="1" x14ac:dyDescent="0.3">
      <c r="A63" s="86"/>
      <c r="B63" s="11"/>
      <c r="C63" s="13"/>
      <c r="D63" s="8"/>
      <c r="E63" s="12"/>
      <c r="F63" s="449" t="s">
        <v>1</v>
      </c>
      <c r="G63" s="613" t="s">
        <v>917</v>
      </c>
      <c r="H63" s="614"/>
      <c r="I63" s="445" t="s">
        <v>246</v>
      </c>
      <c r="J63" s="14"/>
      <c r="K63" s="26" t="s">
        <v>3</v>
      </c>
      <c r="L63" s="588" t="s">
        <v>917</v>
      </c>
      <c r="M63" s="589"/>
      <c r="N63" s="296" t="s">
        <v>246</v>
      </c>
      <c r="O63" s="13"/>
      <c r="P63" s="13"/>
      <c r="Q63" s="10"/>
      <c r="R63" s="88"/>
      <c r="S63" s="640" t="s">
        <v>1171</v>
      </c>
      <c r="T63" s="628"/>
      <c r="U63" s="628" t="s">
        <v>1386</v>
      </c>
      <c r="V63" s="628"/>
      <c r="W63" s="628"/>
      <c r="X63" s="628"/>
    </row>
    <row r="64" spans="1:28" x14ac:dyDescent="0.25">
      <c r="A64" s="86"/>
      <c r="B64" s="11"/>
      <c r="C64" s="13"/>
      <c r="D64" s="8"/>
      <c r="E64" s="12">
        <v>1</v>
      </c>
      <c r="F64" s="450"/>
      <c r="G64" s="615"/>
      <c r="H64" s="616"/>
      <c r="I64" s="446" t="str">
        <f>IFERROR(INDEX(ADP!$AI:$AI,MATCH(F64,ADP!$D:$D,0)),"")</f>
        <v/>
      </c>
      <c r="J64" s="12">
        <v>1</v>
      </c>
      <c r="K64" s="320"/>
      <c r="L64" s="590"/>
      <c r="M64" s="591"/>
      <c r="N64" s="297" t="str">
        <f>IFERROR(INDEX(ADP!$AI:$AI,MATCH(K64,ADP!$D:$D,0)),"")</f>
        <v/>
      </c>
      <c r="O64" s="13"/>
      <c r="P64" s="13"/>
      <c r="Q64" s="10"/>
      <c r="R64" s="88"/>
      <c r="S64" s="3" t="str">
        <f>IFERROR(INDEX('Draft Slayer Classic'!I:I,MATCH(F64, 'Draft Slayer Classic'!I:I,0)),"")</f>
        <v/>
      </c>
      <c r="T64" s="3" t="str">
        <f>IFERROR(INDEX('Draft Slayer Classic'!T:T,MATCH(K64,'Draft Slayer Classic'!T:T,0)),"")</f>
        <v/>
      </c>
      <c r="U64" s="3">
        <f>IFERROR(IF($G64&lt;&gt;"",IF($G64&lt;='Draft Slayer Classic'!$E$23, $F64,0),IF(VALUE(VLOOKUP($F64, ADP!$D:$P, 20,FALSE)) &lt;= VALUE('Draft Slayer Classic'!$F$26+1), $F64,0)),0)</f>
        <v>0</v>
      </c>
      <c r="V64" s="3" t="str">
        <f>IFERROR(IF($F64="", "",
IF(G64="",
(INDEX(ADP!$A$7:$A$260,MATCH(Instructions!$F64,ADP!$D$7:$D$260,0))-'Draft Slayer Classic'!$E$25),
INDEX('Draft Pick Order'!$C$3:$C$254,MATCH(TEXT(Instructions!$J$11*100+G64,"0"),'Draft Pick Order'!$B$3:$B$254,0)))), "")</f>
        <v/>
      </c>
      <c r="W64" s="3">
        <f>IFERROR(IF($L64&lt;&gt;"",IF($L64&lt;='Draft Slayer Classic'!$E$23, $K64,0),IF(VALUE(VLOOKUP($K64, ADP!$D:$P, 20,FALSE))&lt;=VALUE('Draft Slayer Classic'!$F$26+1), $K64,0)),0)</f>
        <v>0</v>
      </c>
      <c r="X64" s="3" t="str">
        <f>IFERROR(IF($K64="", "",
IF($L64="",
(INDEX(ADP!$A$7:$A$260,MATCH(Instructions!$K64,ADP!$D$7:$D$260,0))-'Draft Slayer Classic'!$E$25),
INDEX('Draft Pick Order'!$C$3:$C$254,MATCH(TEXT(Instructions!$J$11*100+$L64,"0"),'Draft Pick Order'!$B$3:$B$254,0)))), "")</f>
        <v/>
      </c>
      <c r="Y64" s="3"/>
      <c r="Z64" s="3"/>
      <c r="AA64" s="3"/>
      <c r="AB64" s="3"/>
    </row>
    <row r="65" spans="1:28" x14ac:dyDescent="0.25">
      <c r="A65" s="86"/>
      <c r="B65" s="11"/>
      <c r="C65" s="13"/>
      <c r="D65" s="8"/>
      <c r="E65" s="12">
        <v>2</v>
      </c>
      <c r="F65" s="451"/>
      <c r="G65" s="617"/>
      <c r="H65" s="618"/>
      <c r="I65" s="447" t="str">
        <f>IFERROR(INDEX(ADP!$AI:$AI,MATCH(F65,ADP!$D:$D,0)),"")</f>
        <v/>
      </c>
      <c r="J65" s="12">
        <v>2</v>
      </c>
      <c r="K65" s="81"/>
      <c r="L65" s="592"/>
      <c r="M65" s="593"/>
      <c r="N65" s="298" t="str">
        <f>IFERROR(INDEX(ADP!$AI:$AI,MATCH(K65,ADP!$D:$D,0)),"")</f>
        <v/>
      </c>
      <c r="O65" s="13"/>
      <c r="P65" s="13"/>
      <c r="Q65" s="10"/>
      <c r="R65" s="88"/>
      <c r="S65" s="3" t="str">
        <f>IFERROR(INDEX('Draft Slayer Classic'!I:I,MATCH(F65, 'Draft Slayer Classic'!I:I,0)),"")</f>
        <v/>
      </c>
      <c r="T65" s="3" t="str">
        <f>IFERROR(INDEX('Draft Slayer Classic'!T:T,MATCH(K65,'Draft Slayer Classic'!T:T,0)),"")</f>
        <v/>
      </c>
      <c r="U65" s="3">
        <f>IFERROR(IF($G65&lt;&gt;"",IF($G65&lt;='Draft Slayer Classic'!$E$23, $F65,0),IF(VALUE(VLOOKUP($F65, ADP!$D:$P, 20,FALSE)) &lt;= VALUE('Draft Slayer Classic'!$F$26+1), $F65,0)),0)</f>
        <v>0</v>
      </c>
      <c r="V65" s="3" t="str">
        <f>IFERROR(IF($F65="", "",
IF(G65="",
(INDEX(ADP!$A$7:$A$260,MATCH(Instructions!$F65,ADP!$D$7:$D$260,0))-'Draft Slayer Classic'!$E$25),
INDEX('Draft Pick Order'!$C$3:$C$254,MATCH(TEXT(Instructions!$J$11*100+G65,"0"),'Draft Pick Order'!$B$3:$B$254,0)))), "")</f>
        <v/>
      </c>
      <c r="W65" s="3">
        <f>IFERROR(IF($L65&lt;&gt;"",IF($L65&lt;='Draft Slayer Classic'!$E$23, $K65,0),IF(VALUE(VLOOKUP($K65, ADP!$D:$P, 20,FALSE))&lt;=VALUE('Draft Slayer Classic'!$F$26+1), $K65,0)),0)</f>
        <v>0</v>
      </c>
      <c r="X65" s="3" t="str">
        <f>IFERROR(IF($K65="", "",
IF($L65="",
(INDEX(ADP!$A$7:$A$260,MATCH(Instructions!$K65,ADP!$D$7:$D$260,0))-'Draft Slayer Classic'!$E$25),
INDEX('Draft Pick Order'!$C$3:$C$254,MATCH(TEXT(Instructions!$J$11*100+$L65,"0"),'Draft Pick Order'!$B$3:$B$254,0)))), "")</f>
        <v/>
      </c>
      <c r="Y65" s="3"/>
      <c r="Z65" s="3"/>
      <c r="AA65" s="3"/>
      <c r="AB65" s="3"/>
    </row>
    <row r="66" spans="1:28" x14ac:dyDescent="0.25">
      <c r="A66" s="86"/>
      <c r="B66" s="11"/>
      <c r="C66" s="13"/>
      <c r="D66" s="8"/>
      <c r="E66" s="12">
        <v>3</v>
      </c>
      <c r="F66" s="450"/>
      <c r="G66" s="615"/>
      <c r="H66" s="616"/>
      <c r="I66" s="448" t="str">
        <f>IFERROR(INDEX(ADP!$AI:$AI,MATCH(F66,ADP!$D:$D,0)),"")</f>
        <v/>
      </c>
      <c r="J66" s="12">
        <v>3</v>
      </c>
      <c r="K66" s="82"/>
      <c r="L66" s="594"/>
      <c r="M66" s="595"/>
      <c r="N66" s="300" t="str">
        <f>IFERROR(INDEX(ADP!$AI:$AI,MATCH(K66,ADP!$D:$D,0)),"")</f>
        <v/>
      </c>
      <c r="O66" s="13"/>
      <c r="P66" s="13"/>
      <c r="Q66" s="10"/>
      <c r="R66" s="88"/>
      <c r="S66" s="3" t="str">
        <f>IFERROR(INDEX('Draft Slayer Classic'!I:I,MATCH(F66, 'Draft Slayer Classic'!I:I,0)),"")</f>
        <v/>
      </c>
      <c r="T66" s="3" t="str">
        <f>IFERROR(INDEX('Draft Slayer Classic'!T:T,MATCH(K66,'Draft Slayer Classic'!T:T,0)),"")</f>
        <v/>
      </c>
      <c r="U66" s="3">
        <f>IFERROR(IF($G66&lt;&gt;"",IF($G66&lt;='Draft Slayer Classic'!$E$23, $F66,0),IF(VALUE(VLOOKUP($F66, ADP!$D:$P, 20,FALSE)) &lt;= VALUE('Draft Slayer Classic'!$F$26+1), $F66,0)),0)</f>
        <v>0</v>
      </c>
      <c r="V66" s="3" t="str">
        <f>IFERROR(IF($F66="", "",
IF(G66="",
(INDEX(ADP!$A$7:$A$260,MATCH(Instructions!$F66,ADP!$D$7:$D$260,0))-'Draft Slayer Classic'!$E$25),
INDEX('Draft Pick Order'!$C$3:$C$254,MATCH(TEXT(Instructions!$J$11*100+G66,"0"),'Draft Pick Order'!$B$3:$B$254,0)))), "")</f>
        <v/>
      </c>
      <c r="W66" s="3">
        <f>IFERROR(IF($L66&lt;&gt;"",IF($L66&lt;='Draft Slayer Classic'!$E$23, $K66,0),IF(VALUE(VLOOKUP($K66, ADP!$D:$P, 20,FALSE))&lt;=VALUE('Draft Slayer Classic'!$F$26+1), $K66,0)),0)</f>
        <v>0</v>
      </c>
      <c r="X66" s="3" t="str">
        <f>IFERROR(IF($K66="", "",
IF($L66="",
(INDEX(ADP!$A$7:$A$260,MATCH(Instructions!$K66,ADP!$D$7:$D$260,0))-'Draft Slayer Classic'!$E$25),
INDEX('Draft Pick Order'!$C$3:$C$254,MATCH(TEXT(Instructions!$J$11*100+$L66,"0"),'Draft Pick Order'!$B$3:$B$254,0)))), "")</f>
        <v/>
      </c>
      <c r="Y66" s="3"/>
      <c r="Z66" s="3"/>
      <c r="AA66" s="3"/>
      <c r="AB66" s="3"/>
    </row>
    <row r="67" spans="1:28" x14ac:dyDescent="0.25">
      <c r="A67" s="86"/>
      <c r="B67" s="11"/>
      <c r="C67" s="13"/>
      <c r="D67" s="8"/>
      <c r="E67" s="12">
        <v>4</v>
      </c>
      <c r="F67" s="451"/>
      <c r="G67" s="592"/>
      <c r="H67" s="593"/>
      <c r="I67" s="447" t="str">
        <f>IFERROR(INDEX(ADP!$AI:$AI,MATCH(F67,ADP!$D:$D,0)),"")</f>
        <v/>
      </c>
      <c r="J67" s="12">
        <v>4</v>
      </c>
      <c r="K67" s="81"/>
      <c r="L67" s="592"/>
      <c r="M67" s="593"/>
      <c r="N67" s="298" t="str">
        <f>IFERROR(INDEX(ADP!$AI:$AI,MATCH(K67,ADP!$D:$D,0)),"")</f>
        <v/>
      </c>
      <c r="O67" s="13"/>
      <c r="P67" s="13"/>
      <c r="Q67" s="10"/>
      <c r="R67" s="88"/>
      <c r="S67" s="3" t="str">
        <f>IFERROR(INDEX('Draft Slayer Classic'!I:I,MATCH(F67, 'Draft Slayer Classic'!I:I,0)),"")</f>
        <v/>
      </c>
      <c r="T67" s="3" t="str">
        <f>IFERROR(INDEX('Draft Slayer Classic'!T:T,MATCH(K67,'Draft Slayer Classic'!T:T,0)),"")</f>
        <v/>
      </c>
      <c r="U67" s="3">
        <f>IFERROR(IF($G67&lt;&gt;"",IF($G67&lt;='Draft Slayer Classic'!$E$23, $F67,0),IF(VALUE(VLOOKUP($F67, ADP!$D:$P, 20,FALSE)) &lt;= VALUE('Draft Slayer Classic'!$F$26+1), $F67,0)),0)</f>
        <v>0</v>
      </c>
      <c r="V67" s="3" t="str">
        <f>IFERROR(IF($F67="", "",
IF(G67="",
(INDEX(ADP!$A$7:$A$260,MATCH(Instructions!$F67,ADP!$D$7:$D$260,0))-'Draft Slayer Classic'!$E$25),
INDEX('Draft Pick Order'!$C$3:$C$254,MATCH(TEXT(Instructions!$J$11*100+G67,"0"),'Draft Pick Order'!$B$3:$B$254,0)))), "")</f>
        <v/>
      </c>
      <c r="W67" s="3">
        <f>IFERROR(IF($L67&lt;&gt;"",IF($L67&lt;='Draft Slayer Classic'!$E$23, $K67,0),IF(VALUE(VLOOKUP($K67, ADP!$D:$P, 20,FALSE))&lt;=VALUE('Draft Slayer Classic'!$F$26+1), $K67,0)),0)</f>
        <v>0</v>
      </c>
      <c r="X67" s="3" t="str">
        <f>IFERROR(IF($K67="", "",
IF($L67="",
(INDEX(ADP!$A$7:$A$260,MATCH(Instructions!$K67,ADP!$D$7:$D$260,0))-'Draft Slayer Classic'!$E$25),
INDEX('Draft Pick Order'!$C$3:$C$254,MATCH(TEXT(Instructions!$J$11*100+$L67,"0"),'Draft Pick Order'!$B$3:$B$254,0)))), "")</f>
        <v/>
      </c>
      <c r="Y67" s="3"/>
      <c r="Z67" s="3"/>
      <c r="AA67" s="3"/>
      <c r="AB67" s="3"/>
    </row>
    <row r="68" spans="1:28" ht="15" customHeight="1" x14ac:dyDescent="0.25">
      <c r="A68" s="86"/>
      <c r="B68" s="11"/>
      <c r="C68" s="13"/>
      <c r="D68" s="8"/>
      <c r="E68" s="12">
        <v>5</v>
      </c>
      <c r="F68" s="450"/>
      <c r="G68" s="594"/>
      <c r="H68" s="595"/>
      <c r="I68" s="448" t="str">
        <f>IFERROR(INDEX(ADP!$AI:$AI,MATCH(F68,ADP!$D:$D,0)),"")</f>
        <v/>
      </c>
      <c r="J68" s="12">
        <v>5</v>
      </c>
      <c r="K68" s="82"/>
      <c r="L68" s="594"/>
      <c r="M68" s="595"/>
      <c r="N68" s="300" t="str">
        <f>IFERROR(INDEX(ADP!$AI:$AI,MATCH(K68,ADP!$D:$D,0)),"")</f>
        <v/>
      </c>
      <c r="O68" s="13"/>
      <c r="P68" s="13"/>
      <c r="Q68" s="10"/>
      <c r="R68" s="88"/>
      <c r="S68" s="3" t="str">
        <f>IFERROR(INDEX('Draft Slayer Classic'!I:I,MATCH(F68, 'Draft Slayer Classic'!I:I,0)),"")</f>
        <v/>
      </c>
      <c r="T68" s="3" t="str">
        <f>IFERROR(INDEX('Draft Slayer Classic'!T:T,MATCH(K68,'Draft Slayer Classic'!T:T,0)),"")</f>
        <v/>
      </c>
      <c r="U68" s="3">
        <f>IFERROR(IF($G68&lt;&gt;"",IF($G68&lt;='Draft Slayer Classic'!$E$23, $F68,0),IF(VALUE(VLOOKUP($F68, ADP!$D:$P, 20,FALSE)) &lt;= VALUE('Draft Slayer Classic'!$F$26+1), $F68,0)),0)</f>
        <v>0</v>
      </c>
      <c r="V68" s="3" t="str">
        <f>IFERROR(IF($F68="", "",
IF(G68="",
(INDEX(ADP!$A$7:$A$260,MATCH(Instructions!$F68,ADP!$D$7:$D$260,0))-'Draft Slayer Classic'!$E$25),
INDEX('Draft Pick Order'!$C$3:$C$254,MATCH(TEXT(Instructions!$J$11*100+G68,"0"),'Draft Pick Order'!$B$3:$B$254,0)))), "")</f>
        <v/>
      </c>
      <c r="W68" s="3">
        <f>IFERROR(IF($L68&lt;&gt;"",IF($L68&lt;='Draft Slayer Classic'!$E$23, $K68,0),IF(VALUE(VLOOKUP($K68, ADP!$D:$P, 20,FALSE))&lt;=VALUE('Draft Slayer Classic'!$F$26+1), $K68,0)),0)</f>
        <v>0</v>
      </c>
      <c r="X68" s="3" t="str">
        <f>IFERROR(IF($K68="", "",
IF($L68="",
(INDEX(ADP!$A$7:$A$260,MATCH(Instructions!$K68,ADP!$D$7:$D$260,0))-'Draft Slayer Classic'!$E$25),
INDEX('Draft Pick Order'!$C$3:$C$254,MATCH(TEXT(Instructions!$J$11*100+$L68,"0"),'Draft Pick Order'!$B$3:$B$254,0)))), "")</f>
        <v/>
      </c>
      <c r="Y68" s="3"/>
      <c r="Z68" s="3"/>
      <c r="AA68" s="3"/>
      <c r="AB68" s="3"/>
    </row>
    <row r="69" spans="1:28" x14ac:dyDescent="0.25">
      <c r="A69" s="86"/>
      <c r="B69" s="11"/>
      <c r="C69" s="13"/>
      <c r="D69" s="8"/>
      <c r="E69" s="12">
        <v>6</v>
      </c>
      <c r="F69" s="451"/>
      <c r="G69" s="592"/>
      <c r="H69" s="593"/>
      <c r="I69" s="447" t="str">
        <f>IFERROR(INDEX(ADP!$AI:$AI,MATCH(F69,ADP!$D:$D,0)),"")</f>
        <v/>
      </c>
      <c r="J69" s="12">
        <v>6</v>
      </c>
      <c r="K69" s="81"/>
      <c r="L69" s="592"/>
      <c r="M69" s="593"/>
      <c r="N69" s="298" t="str">
        <f>IFERROR(INDEX(ADP!$AI:$AI,MATCH(K69,ADP!$D:$D,0)),"")</f>
        <v/>
      </c>
      <c r="O69" s="13"/>
      <c r="P69" s="13"/>
      <c r="Q69" s="10"/>
      <c r="R69" s="88"/>
      <c r="S69" s="3" t="str">
        <f>IFERROR(INDEX('Draft Slayer Classic'!I:I,MATCH(F69, 'Draft Slayer Classic'!I:I,0)),"")</f>
        <v/>
      </c>
      <c r="T69" s="3" t="str">
        <f>IFERROR(INDEX('Draft Slayer Classic'!T:T,MATCH(K69,'Draft Slayer Classic'!T:T,0)),"")</f>
        <v/>
      </c>
      <c r="U69" s="3">
        <f>IFERROR(IF($G69&lt;&gt;"",IF($G69&lt;='Draft Slayer Classic'!$E$23, $F69,0),IF(VALUE(VLOOKUP($F69, ADP!$D:$P, 20,FALSE)) &lt;= VALUE('Draft Slayer Classic'!$F$26+1), $F69,0)),0)</f>
        <v>0</v>
      </c>
      <c r="V69" s="3" t="str">
        <f>IFERROR(IF($F69="", "",
IF(G69="",
(INDEX(ADP!$A$7:$A$260,MATCH(Instructions!$F69,ADP!$D$7:$D$260,0))-'Draft Slayer Classic'!$E$25),
INDEX('Draft Pick Order'!$C$3:$C$254,MATCH(TEXT(Instructions!$J$11*100+G69,"0"),'Draft Pick Order'!$B$3:$B$254,0)))), "")</f>
        <v/>
      </c>
      <c r="W69" s="3">
        <f>IFERROR(IF($L69&lt;&gt;"",IF($L69&lt;='Draft Slayer Classic'!$E$23, $K69,0),IF(VALUE(VLOOKUP($K69, ADP!$D:$P, 20,FALSE))&lt;=VALUE('Draft Slayer Classic'!$F$26+1), $K69,0)),0)</f>
        <v>0</v>
      </c>
      <c r="X69" s="3" t="str">
        <f>IFERROR(IF($K69="", "",
IF($L69="",
(INDEX(ADP!$A$7:$A$260,MATCH(Instructions!$K69,ADP!$D$7:$D$260,0))-'Draft Slayer Classic'!$E$25),
INDEX('Draft Pick Order'!$C$3:$C$254,MATCH(TEXT(Instructions!$J$11*100+$L69,"0"),'Draft Pick Order'!$B$3:$B$254,0)))), "")</f>
        <v/>
      </c>
      <c r="Y69" s="3"/>
      <c r="Z69" s="3"/>
      <c r="AA69" s="3"/>
      <c r="AB69" s="3"/>
    </row>
    <row r="70" spans="1:28" x14ac:dyDescent="0.25">
      <c r="A70" s="86"/>
      <c r="B70" s="11"/>
      <c r="C70" s="13"/>
      <c r="D70" s="8"/>
      <c r="E70" s="12">
        <v>7</v>
      </c>
      <c r="F70" s="450"/>
      <c r="G70" s="594"/>
      <c r="H70" s="595"/>
      <c r="I70" s="448" t="str">
        <f>IFERROR(INDEX(ADP!$AI:$AI,MATCH(F70,ADP!$D:$D,0)),"")</f>
        <v/>
      </c>
      <c r="J70" s="12">
        <v>7</v>
      </c>
      <c r="K70" s="82"/>
      <c r="L70" s="594"/>
      <c r="M70" s="595"/>
      <c r="N70" s="300" t="str">
        <f>IFERROR(INDEX(ADP!$AI:$AI,MATCH(K70,ADP!$D:$D,0)),"")</f>
        <v/>
      </c>
      <c r="O70" s="13"/>
      <c r="P70" s="13"/>
      <c r="Q70" s="10"/>
      <c r="R70" s="88"/>
      <c r="S70" s="3" t="str">
        <f>IFERROR(INDEX('Draft Slayer Classic'!I:I,MATCH(F70, 'Draft Slayer Classic'!I:I,0)),"")</f>
        <v/>
      </c>
      <c r="T70" s="3" t="str">
        <f>IFERROR(INDEX('Draft Slayer Classic'!T:T,MATCH(K70,'Draft Slayer Classic'!T:T,0)),"")</f>
        <v/>
      </c>
      <c r="U70" s="3">
        <f>IFERROR(IF($G70&lt;&gt;"",IF($G70&lt;='Draft Slayer Classic'!$E$23, $F70,0),IF(VALUE(VLOOKUP($F70, ADP!$D:$P, 20,FALSE)) &lt;= VALUE('Draft Slayer Classic'!$F$26+1), $F70,0)),0)</f>
        <v>0</v>
      </c>
      <c r="V70" s="3" t="str">
        <f>IFERROR(IF($F70="", "",
IF(G70="",
(INDEX(ADP!$A$7:$A$260,MATCH(Instructions!$F70,ADP!$D$7:$D$260,0))-'Draft Slayer Classic'!$E$25),
INDEX('Draft Pick Order'!$C$3:$C$254,MATCH(TEXT(Instructions!$J$11*100+G70,"0"),'Draft Pick Order'!$B$3:$B$254,0)))), "")</f>
        <v/>
      </c>
      <c r="W70" s="3">
        <f>IFERROR(IF($L70&lt;&gt;"",IF($L70&lt;='Draft Slayer Classic'!$E$23, $K70,0),IF(VALUE(VLOOKUP($K70, ADP!$D:$P, 20,FALSE))&lt;=VALUE('Draft Slayer Classic'!$F$26+1), $K70,0)),0)</f>
        <v>0</v>
      </c>
      <c r="X70" s="3" t="str">
        <f>IFERROR(IF($K70="", "",
IF($L70="",
(INDEX(ADP!$A$7:$A$260,MATCH(Instructions!$K70,ADP!$D$7:$D$260,0))-'Draft Slayer Classic'!$E$25),
INDEX('Draft Pick Order'!$C$3:$C$254,MATCH(TEXT(Instructions!$J$11*100+$L70,"0"),'Draft Pick Order'!$B$3:$B$254,0)))), "")</f>
        <v/>
      </c>
      <c r="Y70" s="3"/>
      <c r="Z70" s="3"/>
      <c r="AA70" s="3"/>
      <c r="AB70" s="3"/>
    </row>
    <row r="71" spans="1:28" x14ac:dyDescent="0.25">
      <c r="A71" s="86"/>
      <c r="B71" s="11"/>
      <c r="C71" s="13"/>
      <c r="D71" s="8"/>
      <c r="E71" s="12">
        <v>8</v>
      </c>
      <c r="F71" s="451"/>
      <c r="G71" s="592"/>
      <c r="H71" s="593"/>
      <c r="I71" s="447" t="str">
        <f>IFERROR(INDEX(ADP!$AI:$AI,MATCH(F71,ADP!$D:$D,0)),"")</f>
        <v/>
      </c>
      <c r="J71" s="12">
        <v>8</v>
      </c>
      <c r="K71" s="81"/>
      <c r="L71" s="592"/>
      <c r="M71" s="593"/>
      <c r="N71" s="298" t="str">
        <f>IFERROR(INDEX(ADP!$AI:$AI,MATCH(K71,ADP!$D:$D,0)),"")</f>
        <v/>
      </c>
      <c r="O71" s="13"/>
      <c r="P71" s="13"/>
      <c r="Q71" s="10"/>
      <c r="R71" s="88"/>
      <c r="S71" s="3" t="str">
        <f>IFERROR(INDEX('Draft Slayer Classic'!I:I,MATCH(F71, 'Draft Slayer Classic'!I:I,0)),"")</f>
        <v/>
      </c>
      <c r="T71" s="3" t="str">
        <f>IFERROR(INDEX('Draft Slayer Classic'!T:T,MATCH(K71,'Draft Slayer Classic'!T:T,0)),"")</f>
        <v/>
      </c>
      <c r="U71" s="3">
        <f>IFERROR(IF($G71&lt;&gt;"",IF($G71&lt;='Draft Slayer Classic'!$E$23, $F71,0),IF(VALUE(VLOOKUP($F71, ADP!$D:$P, 20,FALSE)) &lt;= VALUE('Draft Slayer Classic'!$F$26+1), $F71,0)),0)</f>
        <v>0</v>
      </c>
      <c r="V71" s="3" t="str">
        <f>IFERROR(IF($F71="", "",
IF(G71="",
(INDEX(ADP!$A$7:$A$260,MATCH(Instructions!$F71,ADP!$D$7:$D$260,0))-'Draft Slayer Classic'!$E$25),
INDEX('Draft Pick Order'!$C$3:$C$254,MATCH(TEXT(Instructions!$J$11*100+G71,"0"),'Draft Pick Order'!$B$3:$B$254,0)))), "")</f>
        <v/>
      </c>
      <c r="W71" s="3">
        <f>IFERROR(IF($L71&lt;&gt;"",IF($L71&lt;='Draft Slayer Classic'!$E$23, $K71,0),IF(VALUE(VLOOKUP($K71, ADP!$D:$P, 20,FALSE))&lt;=VALUE('Draft Slayer Classic'!$F$26+1), $K71,0)),0)</f>
        <v>0</v>
      </c>
      <c r="X71" s="3" t="str">
        <f>IFERROR(IF($K71="", "",
IF($L71="",
(INDEX(ADP!$A$7:$A$260,MATCH(Instructions!$K71,ADP!$D$7:$D$260,0))-'Draft Slayer Classic'!$E$25),
INDEX('Draft Pick Order'!$C$3:$C$254,MATCH(TEXT(Instructions!$J$11*100+$L71,"0"),'Draft Pick Order'!$B$3:$B$254,0)))), "")</f>
        <v/>
      </c>
      <c r="Y71" s="3"/>
      <c r="Z71" s="3"/>
      <c r="AA71" s="3"/>
      <c r="AB71" s="3"/>
    </row>
    <row r="72" spans="1:28" x14ac:dyDescent="0.25">
      <c r="A72" s="86"/>
      <c r="B72" s="11"/>
      <c r="C72" s="13"/>
      <c r="D72" s="8"/>
      <c r="E72" s="12">
        <v>9</v>
      </c>
      <c r="F72" s="450"/>
      <c r="G72" s="594"/>
      <c r="H72" s="595"/>
      <c r="I72" s="448" t="str">
        <f>IFERROR(INDEX(ADP!$AI:$AI,MATCH(F72,ADP!$D:$D,0)),"")</f>
        <v/>
      </c>
      <c r="J72" s="12">
        <v>9</v>
      </c>
      <c r="K72" s="82"/>
      <c r="L72" s="594"/>
      <c r="M72" s="595"/>
      <c r="N72" s="300" t="str">
        <f>IFERROR(INDEX(ADP!$AI:$AI,MATCH(K72,ADP!$D:$D,0)),"")</f>
        <v/>
      </c>
      <c r="O72" s="13"/>
      <c r="P72" s="13"/>
      <c r="Q72" s="10"/>
      <c r="R72" s="88"/>
      <c r="S72" s="3" t="str">
        <f>IFERROR(INDEX('Draft Slayer Classic'!I:I,MATCH(F72, 'Draft Slayer Classic'!I:I,0)),"")</f>
        <v/>
      </c>
      <c r="T72" s="3" t="str">
        <f>IFERROR(INDEX('Draft Slayer Classic'!T:T,MATCH(K72,'Draft Slayer Classic'!T:T,0)),"")</f>
        <v/>
      </c>
      <c r="U72" s="3">
        <f>IFERROR(IF($G72&lt;&gt;"",IF($G72&lt;='Draft Slayer Classic'!$E$23, $F72,0),IF(VALUE(VLOOKUP($F72, ADP!$D:$P, 20,FALSE)) &lt;= VALUE('Draft Slayer Classic'!$F$26+1), $F72,0)),0)</f>
        <v>0</v>
      </c>
      <c r="V72" s="3" t="str">
        <f>IFERROR(IF($F72="", "",
IF(G72="",
(INDEX(ADP!$A$7:$A$260,MATCH(Instructions!$F72,ADP!$D$7:$D$260,0))-'Draft Slayer Classic'!$E$25),
INDEX('Draft Pick Order'!$C$3:$C$254,MATCH(TEXT(Instructions!$J$11*100+G72,"0"),'Draft Pick Order'!$B$3:$B$254,0)))), "")</f>
        <v/>
      </c>
      <c r="W72" s="3">
        <f>IFERROR(IF($L72&lt;&gt;"",IF($L72&lt;='Draft Slayer Classic'!$E$23, $K72,0),IF(VALUE(VLOOKUP($K72, ADP!$D:$P, 20,FALSE))&lt;=VALUE('Draft Slayer Classic'!$F$26+1), $K72,0)),0)</f>
        <v>0</v>
      </c>
      <c r="X72" s="3" t="str">
        <f>IFERROR(IF($K72="", "",
IF($L72="",
(INDEX(ADP!$A$7:$A$260,MATCH(Instructions!$K72,ADP!$D$7:$D$260,0))-'Draft Slayer Classic'!$E$25),
INDEX('Draft Pick Order'!$C$3:$C$254,MATCH(TEXT(Instructions!$J$11*100+$L72,"0"),'Draft Pick Order'!$B$3:$B$254,0)))), "")</f>
        <v/>
      </c>
      <c r="Y72" s="3"/>
      <c r="Z72" s="3"/>
      <c r="AA72" s="3"/>
      <c r="AB72" s="3"/>
    </row>
    <row r="73" spans="1:28" x14ac:dyDescent="0.25">
      <c r="A73" s="86"/>
      <c r="B73" s="11"/>
      <c r="C73" s="13"/>
      <c r="D73" s="8"/>
      <c r="E73" s="12">
        <v>10</v>
      </c>
      <c r="F73" s="451"/>
      <c r="G73" s="592"/>
      <c r="H73" s="593"/>
      <c r="I73" s="447" t="str">
        <f>IFERROR(INDEX(ADP!$AI:$AI,MATCH(F73,ADP!$D:$D,0)),"")</f>
        <v/>
      </c>
      <c r="J73" s="12">
        <v>10</v>
      </c>
      <c r="K73" s="81"/>
      <c r="L73" s="592"/>
      <c r="M73" s="593"/>
      <c r="N73" s="298" t="str">
        <f>IFERROR(INDEX(ADP!$AI:$AI,MATCH(K73,ADP!$D:$D,0)),"")</f>
        <v/>
      </c>
      <c r="O73" s="13"/>
      <c r="P73" s="13"/>
      <c r="Q73" s="10"/>
      <c r="R73" s="88"/>
      <c r="S73" s="3" t="str">
        <f>IFERROR(INDEX('Draft Slayer Classic'!I:I,MATCH(F73, 'Draft Slayer Classic'!I:I,0)),"")</f>
        <v/>
      </c>
      <c r="T73" s="3" t="str">
        <f>IFERROR(INDEX('Draft Slayer Classic'!T:T,MATCH(K73,'Draft Slayer Classic'!T:T,0)),"")</f>
        <v/>
      </c>
      <c r="U73" s="3">
        <f>IFERROR(IF($G73&lt;&gt;"",IF($G73&lt;='Draft Slayer Classic'!$E$23, $F73,0),IF(VALUE(VLOOKUP($F73, ADP!$D:$P, 20,FALSE)) &lt;= VALUE('Draft Slayer Classic'!$F$26+1), $F73,0)),0)</f>
        <v>0</v>
      </c>
      <c r="V73" s="3" t="str">
        <f>IFERROR(IF($F73="", "",
IF(G73="",
(INDEX(ADP!$A$7:$A$260,MATCH(Instructions!$F73,ADP!$D$7:$D$260,0))-'Draft Slayer Classic'!$E$25),
INDEX('Draft Pick Order'!$C$3:$C$254,MATCH(TEXT(Instructions!$J$11*100+G73,"0"),'Draft Pick Order'!$B$3:$B$254,0)))), "")</f>
        <v/>
      </c>
      <c r="W73" s="3">
        <f>IFERROR(IF($L73&lt;&gt;"",IF($L73&lt;='Draft Slayer Classic'!$E$23, $K73,0),IF(VALUE(VLOOKUP($K73, ADP!$D:$P, 20,FALSE))&lt;=VALUE('Draft Slayer Classic'!$F$26+1), $K73,0)),0)</f>
        <v>0</v>
      </c>
      <c r="X73" s="3" t="str">
        <f>IFERROR(IF($K73="", "",
IF($L73="",
(INDEX(ADP!$A$7:$A$260,MATCH(Instructions!$K73,ADP!$D$7:$D$260,0))-'Draft Slayer Classic'!$E$25),
INDEX('Draft Pick Order'!$C$3:$C$254,MATCH(TEXT(Instructions!$J$11*100+$L73,"0"),'Draft Pick Order'!$B$3:$B$254,0)))), "")</f>
        <v/>
      </c>
      <c r="Y73" s="3"/>
      <c r="Z73" s="3"/>
      <c r="AA73" s="3"/>
      <c r="AB73" s="3"/>
    </row>
    <row r="74" spans="1:28" x14ac:dyDescent="0.25">
      <c r="A74" s="86"/>
      <c r="B74" s="11"/>
      <c r="C74" s="13"/>
      <c r="D74" s="8"/>
      <c r="E74" s="12">
        <v>11</v>
      </c>
      <c r="F74" s="450"/>
      <c r="G74" s="594"/>
      <c r="H74" s="595"/>
      <c r="I74" s="448" t="str">
        <f>IFERROR(INDEX(ADP!$AI:$AI,MATCH(F74,ADP!$D:$D,0)),"")</f>
        <v/>
      </c>
      <c r="J74" s="12">
        <v>11</v>
      </c>
      <c r="K74" s="82"/>
      <c r="L74" s="594"/>
      <c r="M74" s="595"/>
      <c r="N74" s="300" t="str">
        <f>IFERROR(INDEX(ADP!$AI:$AI,MATCH(K74,ADP!$D:$D,0)),"")</f>
        <v/>
      </c>
      <c r="O74" s="13"/>
      <c r="P74" s="13"/>
      <c r="Q74" s="10"/>
      <c r="R74" s="88"/>
      <c r="S74" s="3" t="str">
        <f>IFERROR(INDEX('Draft Slayer Classic'!I:I,MATCH(F74, 'Draft Slayer Classic'!I:I,0)),"")</f>
        <v/>
      </c>
      <c r="T74" s="3" t="str">
        <f>IFERROR(INDEX('Draft Slayer Classic'!T:T,MATCH(K74,'Draft Slayer Classic'!T:T,0)),"")</f>
        <v/>
      </c>
      <c r="U74" s="3">
        <f>IFERROR(IF($G74&lt;&gt;"",IF($G74&lt;='Draft Slayer Classic'!$E$23, $F74,0),IF(VALUE(VLOOKUP($F74, ADP!$D:$P, 20,FALSE)) &lt;= VALUE('Draft Slayer Classic'!$F$26+1), $F74,0)),0)</f>
        <v>0</v>
      </c>
      <c r="V74" s="3" t="str">
        <f>IFERROR(IF($F74="", "",
IF(G74="",
(INDEX(ADP!$A$7:$A$260,MATCH(Instructions!$F74,ADP!$D$7:$D$260,0))-'Draft Slayer Classic'!$E$25),
INDEX('Draft Pick Order'!$C$3:$C$254,MATCH(TEXT(Instructions!$J$11*100+G74,"0"),'Draft Pick Order'!$B$3:$B$254,0)))), "")</f>
        <v/>
      </c>
      <c r="W74" s="3">
        <f>IFERROR(IF($L74&lt;&gt;"",IF($L74&lt;='Draft Slayer Classic'!$E$23, $K74,0),IF(VALUE(VLOOKUP($K74, ADP!$D:$P, 20,FALSE))&lt;=VALUE('Draft Slayer Classic'!$F$26+1), $K74,0)),0)</f>
        <v>0</v>
      </c>
      <c r="X74" s="3" t="str">
        <f>IFERROR(IF($K74="", "",
IF($L74="",
(INDEX(ADP!$A$7:$A$260,MATCH(Instructions!$K74,ADP!$D$7:$D$260,0))-'Draft Slayer Classic'!$E$25),
INDEX('Draft Pick Order'!$C$3:$C$254,MATCH(TEXT(Instructions!$J$11*100+$L74,"0"),'Draft Pick Order'!$B$3:$B$254,0)))), "")</f>
        <v/>
      </c>
      <c r="Y74" s="3"/>
      <c r="Z74" s="3"/>
      <c r="AA74" s="3"/>
      <c r="AB74" s="3"/>
    </row>
    <row r="75" spans="1:28" x14ac:dyDescent="0.25">
      <c r="A75" s="86"/>
      <c r="B75" s="11"/>
      <c r="C75" s="13"/>
      <c r="D75" s="8"/>
      <c r="E75" s="12">
        <v>12</v>
      </c>
      <c r="F75" s="451"/>
      <c r="G75" s="592"/>
      <c r="H75" s="593"/>
      <c r="I75" s="447" t="str">
        <f>IFERROR(INDEX(ADP!$AI:$AI,MATCH(F75,ADP!$D:$D,0)),"")</f>
        <v/>
      </c>
      <c r="J75" s="12">
        <v>12</v>
      </c>
      <c r="K75" s="81"/>
      <c r="L75" s="592"/>
      <c r="M75" s="593"/>
      <c r="N75" s="298" t="str">
        <f>IFERROR(INDEX(ADP!$AI:$AI,MATCH(K75,ADP!$D:$D,0)),"")</f>
        <v/>
      </c>
      <c r="O75" s="13"/>
      <c r="P75" s="13"/>
      <c r="Q75" s="10"/>
      <c r="R75" s="88"/>
      <c r="S75" s="3" t="str">
        <f>IFERROR(INDEX('Draft Slayer Classic'!I:I,MATCH(F75, 'Draft Slayer Classic'!I:I,0)),"")</f>
        <v/>
      </c>
      <c r="T75" s="3" t="str">
        <f>IFERROR(INDEX('Draft Slayer Classic'!T:T,MATCH(K75,'Draft Slayer Classic'!T:T,0)),"")</f>
        <v/>
      </c>
      <c r="U75" s="3">
        <f>IFERROR(IF($G75&lt;&gt;"",IF($G75&lt;='Draft Slayer Classic'!$E$23, $F75,0),IF(VALUE(VLOOKUP($F75, ADP!$D:$P, 20,FALSE)) &lt;= VALUE('Draft Slayer Classic'!$F$26+1), $F75,0)),0)</f>
        <v>0</v>
      </c>
      <c r="V75" s="3" t="str">
        <f>IFERROR(IF($F75="", "",
IF(G75="",
(INDEX(ADP!$A$7:$A$260,MATCH(Instructions!$F75,ADP!$D$7:$D$260,0))-'Draft Slayer Classic'!$E$25),
INDEX('Draft Pick Order'!$C$3:$C$254,MATCH(TEXT(Instructions!$J$11*100+G75,"0"),'Draft Pick Order'!$B$3:$B$254,0)))), "")</f>
        <v/>
      </c>
      <c r="W75" s="3">
        <f>IFERROR(IF($L75&lt;&gt;"",IF($L75&lt;='Draft Slayer Classic'!$E$23, $K75,0),IF(VALUE(VLOOKUP($K75, ADP!$D:$P, 20,FALSE))&lt;=VALUE('Draft Slayer Classic'!$F$26+1), $K75,0)),0)</f>
        <v>0</v>
      </c>
      <c r="X75" s="3" t="str">
        <f>IFERROR(IF($K75="", "",
IF($L75="",
(INDEX(ADP!$A$7:$A$260,MATCH(Instructions!$K75,ADP!$D$7:$D$260,0))-'Draft Slayer Classic'!$E$25),
INDEX('Draft Pick Order'!$C$3:$C$254,MATCH(TEXT(Instructions!$J$11*100+$L75,"0"),'Draft Pick Order'!$B$3:$B$254,0)))), "")</f>
        <v/>
      </c>
      <c r="Y75" s="3"/>
      <c r="Z75" s="3"/>
      <c r="AA75" s="3"/>
      <c r="AB75" s="3"/>
    </row>
    <row r="76" spans="1:28" x14ac:dyDescent="0.25">
      <c r="A76" s="86"/>
      <c r="B76" s="11"/>
      <c r="C76" s="13"/>
      <c r="D76" s="8"/>
      <c r="E76" s="12">
        <v>13</v>
      </c>
      <c r="F76" s="450"/>
      <c r="G76" s="594"/>
      <c r="H76" s="595"/>
      <c r="I76" s="448" t="str">
        <f>IFERROR(INDEX(ADP!$AI:$AI,MATCH(F76,ADP!$D:$D,0)),"")</f>
        <v/>
      </c>
      <c r="J76" s="12">
        <v>13</v>
      </c>
      <c r="K76" s="82"/>
      <c r="L76" s="594"/>
      <c r="M76" s="595"/>
      <c r="N76" s="300" t="str">
        <f>IFERROR(INDEX(ADP!$AI:$AI,MATCH(K76,ADP!$D:$D,0)),"")</f>
        <v/>
      </c>
      <c r="O76" s="13"/>
      <c r="P76" s="13"/>
      <c r="Q76" s="10"/>
      <c r="R76" s="88"/>
      <c r="S76" s="3" t="str">
        <f>IFERROR(INDEX('Draft Slayer Classic'!I:I,MATCH(F76, 'Draft Slayer Classic'!I:I,0)),"")</f>
        <v/>
      </c>
      <c r="T76" s="3" t="str">
        <f>IFERROR(INDEX('Draft Slayer Classic'!T:T,MATCH(K76,'Draft Slayer Classic'!T:T,0)),"")</f>
        <v/>
      </c>
      <c r="U76" s="3">
        <f>IFERROR(IF($G76&lt;&gt;"",IF($G76&lt;='Draft Slayer Classic'!$E$23, $F76,0),IF(VALUE(VLOOKUP($F76, ADP!$D:$P, 20,FALSE)) &lt;= VALUE('Draft Slayer Classic'!$F$26+1), $F76,0)),0)</f>
        <v>0</v>
      </c>
      <c r="V76" s="3" t="str">
        <f>IFERROR(IF($F76="", "",
IF(G76="",
(INDEX(ADP!$A$7:$A$260,MATCH(Instructions!$F76,ADP!$D$7:$D$260,0))-'Draft Slayer Classic'!$E$25),
INDEX('Draft Pick Order'!$C$3:$C$254,MATCH(TEXT(Instructions!$J$11*100+G76,"0"),'Draft Pick Order'!$B$3:$B$254,0)))), "")</f>
        <v/>
      </c>
      <c r="W76" s="3">
        <f>IFERROR(IF($L76&lt;&gt;"",IF($L76&lt;='Draft Slayer Classic'!$E$23, $K76,0),IF(VALUE(VLOOKUP($K76, ADP!$D:$P, 20,FALSE))&lt;=VALUE('Draft Slayer Classic'!$F$26+1), $K76,0)),0)</f>
        <v>0</v>
      </c>
      <c r="X76" s="3" t="str">
        <f>IFERROR(IF($K76="", "",
IF($L76="",
(INDEX(ADP!$A$7:$A$260,MATCH(Instructions!$K76,ADP!$D$7:$D$260,0))-'Draft Slayer Classic'!$E$25),
INDEX('Draft Pick Order'!$C$3:$C$254,MATCH(TEXT(Instructions!$J$11*100+$L76,"0"),'Draft Pick Order'!$B$3:$B$254,0)))), "")</f>
        <v/>
      </c>
      <c r="Y76" s="3"/>
      <c r="Z76" s="3"/>
      <c r="AA76" s="3"/>
      <c r="AB76" s="3"/>
    </row>
    <row r="77" spans="1:28" x14ac:dyDescent="0.25">
      <c r="A77" s="86"/>
      <c r="B77" s="11"/>
      <c r="C77" s="13"/>
      <c r="D77" s="8"/>
      <c r="E77" s="12">
        <v>14</v>
      </c>
      <c r="F77" s="451"/>
      <c r="G77" s="592"/>
      <c r="H77" s="593"/>
      <c r="I77" s="447" t="str">
        <f>IFERROR(INDEX(ADP!$AI:$AI,MATCH(F77,ADP!$D:$D,0)),"")</f>
        <v/>
      </c>
      <c r="J77" s="12">
        <v>14</v>
      </c>
      <c r="K77" s="81"/>
      <c r="L77" s="592"/>
      <c r="M77" s="593"/>
      <c r="N77" s="298" t="str">
        <f>IFERROR(INDEX(ADP!$AI:$AI,MATCH(K77,ADP!$D:$D,0)),"")</f>
        <v/>
      </c>
      <c r="O77" s="13"/>
      <c r="P77" s="13"/>
      <c r="Q77" s="10"/>
      <c r="R77" s="88"/>
      <c r="S77" s="3" t="str">
        <f>IFERROR(INDEX('Draft Slayer Classic'!I:I,MATCH(F77, 'Draft Slayer Classic'!I:I,0)),"")</f>
        <v/>
      </c>
      <c r="T77" s="3" t="str">
        <f>IFERROR(INDEX('Draft Slayer Classic'!T:T,MATCH(K77,'Draft Slayer Classic'!T:T,0)),"")</f>
        <v/>
      </c>
      <c r="U77" s="3">
        <f>IFERROR(IF($G77&lt;&gt;"",IF($G77&lt;='Draft Slayer Classic'!$E$23, $F77,0),IF(VALUE(VLOOKUP($F77, ADP!$D:$P, 20,FALSE)) &lt;= VALUE('Draft Slayer Classic'!$F$26+1), $F77,0)),0)</f>
        <v>0</v>
      </c>
      <c r="V77" s="3" t="str">
        <f>IFERROR(IF($F77="", "",
IF(G77="",
(INDEX(ADP!$A$7:$A$260,MATCH(Instructions!$F77,ADP!$D$7:$D$260,0))-'Draft Slayer Classic'!$E$25),
INDEX('Draft Pick Order'!$C$3:$C$254,MATCH(TEXT(Instructions!$J$11*100+G77,"0"),'Draft Pick Order'!$B$3:$B$254,0)))), "")</f>
        <v/>
      </c>
      <c r="W77" s="3">
        <f>IFERROR(IF($L77&lt;&gt;"",IF($L77&lt;='Draft Slayer Classic'!$E$23, $K77,0),IF(VALUE(VLOOKUP($K77, ADP!$D:$P, 20,FALSE))&lt;=VALUE('Draft Slayer Classic'!$F$26+1), $K77,0)),0)</f>
        <v>0</v>
      </c>
      <c r="X77" s="3" t="str">
        <f>IFERROR(IF($K77="", "",
IF($L77="",
(INDEX(ADP!$A$7:$A$260,MATCH(Instructions!$K77,ADP!$D$7:$D$260,0))-'Draft Slayer Classic'!$E$25),
INDEX('Draft Pick Order'!$C$3:$C$254,MATCH(TEXT(Instructions!$J$11*100+$L77,"0"),'Draft Pick Order'!$B$3:$B$254,0)))), "")</f>
        <v/>
      </c>
      <c r="Y77" s="3"/>
      <c r="Z77" s="3"/>
      <c r="AA77" s="3"/>
      <c r="AB77" s="3"/>
    </row>
    <row r="78" spans="1:28" x14ac:dyDescent="0.25">
      <c r="A78" s="86"/>
      <c r="B78" s="11"/>
      <c r="C78" s="13"/>
      <c r="D78" s="8"/>
      <c r="E78" s="12">
        <v>15</v>
      </c>
      <c r="F78" s="450"/>
      <c r="G78" s="594"/>
      <c r="H78" s="595"/>
      <c r="I78" s="448" t="str">
        <f>IFERROR(INDEX(ADP!$AI:$AI,MATCH(F78,ADP!$D:$D,0)),"")</f>
        <v/>
      </c>
      <c r="J78" s="12">
        <v>15</v>
      </c>
      <c r="K78" s="82"/>
      <c r="L78" s="594"/>
      <c r="M78" s="595"/>
      <c r="N78" s="300" t="str">
        <f>IFERROR(INDEX(ADP!$AI:$AI,MATCH(K78,ADP!$D:$D,0)),"")</f>
        <v/>
      </c>
      <c r="O78" s="13"/>
      <c r="P78" s="13"/>
      <c r="Q78" s="10"/>
      <c r="R78" s="88"/>
      <c r="S78" s="3" t="str">
        <f>IFERROR(INDEX('Draft Slayer Classic'!I:I,MATCH(F78, 'Draft Slayer Classic'!I:I,0)),"")</f>
        <v/>
      </c>
      <c r="T78" s="3" t="str">
        <f>IFERROR(INDEX('Draft Slayer Classic'!T:T,MATCH(K78,'Draft Slayer Classic'!T:T,0)),"")</f>
        <v/>
      </c>
      <c r="U78" s="3">
        <f>IFERROR(IF($G78&lt;&gt;"",IF($G78&lt;='Draft Slayer Classic'!$E$23, $F78,0),IF(VALUE(VLOOKUP($F78, ADP!$D:$P, 20,FALSE)) &lt;= VALUE('Draft Slayer Classic'!$F$26+1), $F78,0)),0)</f>
        <v>0</v>
      </c>
      <c r="V78" s="3" t="str">
        <f>IFERROR(IF($F78="", "",
IF(G78="",
(INDEX(ADP!$A$7:$A$260,MATCH(Instructions!$F78,ADP!$D$7:$D$260,0))-'Draft Slayer Classic'!$E$25),
INDEX('Draft Pick Order'!$C$3:$C$254,MATCH(TEXT(Instructions!$J$11*100+G78,"0"),'Draft Pick Order'!$B$3:$B$254,0)))), "")</f>
        <v/>
      </c>
      <c r="W78" s="3">
        <f>IFERROR(IF($L78&lt;&gt;"",IF($L78&lt;='Draft Slayer Classic'!$E$23, $K78,0),IF(VALUE(VLOOKUP($K78, ADP!$D:$P, 20,FALSE))&lt;=VALUE('Draft Slayer Classic'!$F$26+1), $K78,0)),0)</f>
        <v>0</v>
      </c>
      <c r="X78" s="3" t="str">
        <f>IFERROR(IF($K78="", "",
IF($L78="",
(INDEX(ADP!$A$7:$A$260,MATCH(Instructions!$K78,ADP!$D$7:$D$260,0))-'Draft Slayer Classic'!$E$25),
INDEX('Draft Pick Order'!$C$3:$C$254,MATCH(TEXT(Instructions!$J$11*100+$L78,"0"),'Draft Pick Order'!$B$3:$B$254,0)))), "")</f>
        <v/>
      </c>
      <c r="Y78" s="3"/>
      <c r="Z78" s="3"/>
      <c r="AA78" s="3"/>
      <c r="AB78" s="3"/>
    </row>
    <row r="79" spans="1:28" x14ac:dyDescent="0.25">
      <c r="A79" s="86"/>
      <c r="B79" s="11"/>
      <c r="C79" s="13"/>
      <c r="D79" s="8"/>
      <c r="E79" s="12">
        <v>16</v>
      </c>
      <c r="F79" s="451"/>
      <c r="G79" s="592"/>
      <c r="H79" s="593"/>
      <c r="I79" s="447" t="str">
        <f>IFERROR(INDEX(ADP!$AI:$AI,MATCH(F79,ADP!$D:$D,0)),"")</f>
        <v/>
      </c>
      <c r="J79" s="12">
        <v>16</v>
      </c>
      <c r="K79" s="81"/>
      <c r="L79" s="592"/>
      <c r="M79" s="593"/>
      <c r="N79" s="298" t="str">
        <f>IFERROR(INDEX(ADP!$AI:$AI,MATCH(K79,ADP!$D:$D,0)),"")</f>
        <v/>
      </c>
      <c r="O79" s="13"/>
      <c r="P79" s="13"/>
      <c r="Q79" s="10"/>
      <c r="R79" s="88"/>
      <c r="S79" s="3" t="str">
        <f>IFERROR(INDEX('Draft Slayer Classic'!I:I,MATCH(F79, 'Draft Slayer Classic'!I:I,0)),"")</f>
        <v/>
      </c>
      <c r="T79" s="3" t="str">
        <f>IFERROR(INDEX('Draft Slayer Classic'!T:T,MATCH(K79,'Draft Slayer Classic'!T:T,0)),"")</f>
        <v/>
      </c>
      <c r="U79" s="3">
        <f>IFERROR(IF($G79&lt;&gt;"",IF($G79&lt;='Draft Slayer Classic'!$E$23, $F79,0),IF(VALUE(VLOOKUP($F79, ADP!$D:$P, 20,FALSE)) &lt;= VALUE('Draft Slayer Classic'!$F$26+1), $F79,0)),0)</f>
        <v>0</v>
      </c>
      <c r="V79" s="3" t="str">
        <f>IFERROR(IF($F79="", "",
IF(G79="",
(INDEX(ADP!$A$7:$A$260,MATCH(Instructions!$F79,ADP!$D$7:$D$260,0))-'Draft Slayer Classic'!$E$25),
INDEX('Draft Pick Order'!$C$3:$C$254,MATCH(TEXT(Instructions!$J$11*100+G79,"0"),'Draft Pick Order'!$B$3:$B$254,0)))), "")</f>
        <v/>
      </c>
      <c r="W79" s="3">
        <f>IFERROR(IF($L79&lt;&gt;"",IF($L79&lt;='Draft Slayer Classic'!$E$23, $K79,0),IF(VALUE(VLOOKUP($K79, ADP!$D:$P, 20,FALSE))&lt;=VALUE('Draft Slayer Classic'!$F$26+1), $K79,0)),0)</f>
        <v>0</v>
      </c>
      <c r="X79" s="3" t="str">
        <f>IFERROR(IF($K79="", "",
IF($L79="",
(INDEX(ADP!$A$7:$A$260,MATCH(Instructions!$K79,ADP!$D$7:$D$260,0))-'Draft Slayer Classic'!$E$25),
INDEX('Draft Pick Order'!$C$3:$C$254,MATCH(TEXT(Instructions!$J$11*100+$L79,"0"),'Draft Pick Order'!$B$3:$B$254,0)))), "")</f>
        <v/>
      </c>
      <c r="Y79" s="3"/>
      <c r="Z79" s="3"/>
      <c r="AA79" s="3"/>
      <c r="AB79" s="3"/>
    </row>
    <row r="80" spans="1:28" x14ac:dyDescent="0.25">
      <c r="A80" s="86"/>
      <c r="B80" s="11"/>
      <c r="C80" s="13"/>
      <c r="D80" s="8"/>
      <c r="E80" s="12">
        <v>17</v>
      </c>
      <c r="F80" s="450"/>
      <c r="G80" s="594"/>
      <c r="H80" s="595"/>
      <c r="I80" s="448" t="str">
        <f>IFERROR(INDEX(ADP!$AI:$AI,MATCH(F80,ADP!$D:$D,0)),"")</f>
        <v/>
      </c>
      <c r="J80" s="12">
        <v>17</v>
      </c>
      <c r="K80" s="82"/>
      <c r="L80" s="594"/>
      <c r="M80" s="595"/>
      <c r="N80" s="300" t="str">
        <f>IFERROR(INDEX(ADP!$AI:$AI,MATCH(K80,ADP!$D:$D,0)),"")</f>
        <v/>
      </c>
      <c r="O80" s="13"/>
      <c r="P80" s="13"/>
      <c r="Q80" s="10"/>
      <c r="R80" s="88"/>
      <c r="S80" s="3" t="str">
        <f>IFERROR(INDEX('Draft Slayer Classic'!I:I,MATCH(F80, 'Draft Slayer Classic'!I:I,0)),"")</f>
        <v/>
      </c>
      <c r="T80" s="3" t="str">
        <f>IFERROR(INDEX('Draft Slayer Classic'!T:T,MATCH(K80,'Draft Slayer Classic'!T:T,0)),"")</f>
        <v/>
      </c>
      <c r="U80" s="3">
        <f>IFERROR(IF($G80&lt;&gt;"",IF($G80&lt;='Draft Slayer Classic'!$E$23, $F80,0),IF(VALUE(VLOOKUP($F80, ADP!$D:$P, 20,FALSE)) &lt;= VALUE('Draft Slayer Classic'!$F$26+1), $F80,0)),0)</f>
        <v>0</v>
      </c>
      <c r="V80" s="3" t="str">
        <f>IFERROR(IF($F80="", "",
IF(G80="",
(INDEX(ADP!$A$7:$A$260,MATCH(Instructions!$F80,ADP!$D$7:$D$260,0))-'Draft Slayer Classic'!$E$25),
INDEX('Draft Pick Order'!$C$3:$C$254,MATCH(TEXT(Instructions!$J$11*100+G80,"0"),'Draft Pick Order'!$B$3:$B$254,0)))), "")</f>
        <v/>
      </c>
      <c r="W80" s="3">
        <f>IFERROR(IF($L80&lt;&gt;"",IF($L80&lt;='Draft Slayer Classic'!$E$23, $K80,0),IF(VALUE(VLOOKUP($K80, ADP!$D:$P, 20,FALSE))&lt;=VALUE('Draft Slayer Classic'!$F$26+1), $K80,0)),0)</f>
        <v>0</v>
      </c>
      <c r="X80" s="3" t="str">
        <f>IFERROR(IF($K80="", "",
IF($L80="",
(INDEX(ADP!$A$7:$A$260,MATCH(Instructions!$K80,ADP!$D$7:$D$260,0))-'Draft Slayer Classic'!$E$25),
INDEX('Draft Pick Order'!$C$3:$C$254,MATCH(TEXT(Instructions!$J$11*100+$L80,"0"),'Draft Pick Order'!$B$3:$B$254,0)))), "")</f>
        <v/>
      </c>
      <c r="Y80" s="3"/>
      <c r="Z80" s="3"/>
      <c r="AA80" s="3"/>
      <c r="AB80" s="3"/>
    </row>
    <row r="81" spans="1:28" x14ac:dyDescent="0.25">
      <c r="A81" s="86"/>
      <c r="B81" s="11"/>
      <c r="C81" s="13"/>
      <c r="D81" s="8"/>
      <c r="E81" s="12">
        <v>18</v>
      </c>
      <c r="F81" s="451"/>
      <c r="G81" s="592"/>
      <c r="H81" s="593"/>
      <c r="I81" s="447" t="str">
        <f>IFERROR(INDEX(ADP!$AI:$AI,MATCH(F81,ADP!$D:$D,0)),"")</f>
        <v/>
      </c>
      <c r="J81" s="12">
        <v>18</v>
      </c>
      <c r="K81" s="81"/>
      <c r="L81" s="592"/>
      <c r="M81" s="593"/>
      <c r="N81" s="298" t="str">
        <f>IFERROR(INDEX(ADP!$AI:$AI,MATCH(K81,ADP!$D:$D,0)),"")</f>
        <v/>
      </c>
      <c r="O81" s="13"/>
      <c r="P81" s="13"/>
      <c r="Q81" s="10"/>
      <c r="R81" s="88"/>
      <c r="S81" s="3" t="str">
        <f>IFERROR(INDEX('Draft Slayer Classic'!I:I,MATCH(F81, 'Draft Slayer Classic'!I:I,0)),"")</f>
        <v/>
      </c>
      <c r="T81" s="3" t="str">
        <f>IFERROR(INDEX('Draft Slayer Classic'!T:T,MATCH(K81,'Draft Slayer Classic'!T:T,0)),"")</f>
        <v/>
      </c>
      <c r="U81" s="3">
        <f>IFERROR(IF($G81&lt;&gt;"",IF($G81&lt;='Draft Slayer Classic'!$E$23, $F81,0),IF(VALUE(VLOOKUP($F81, ADP!$D:$P, 20,FALSE)) &lt;= VALUE('Draft Slayer Classic'!$F$26+1), $F81,0)),0)</f>
        <v>0</v>
      </c>
      <c r="V81" s="3" t="str">
        <f>IFERROR(IF($F81="", "",
IF(G81="",
(INDEX(ADP!$A$7:$A$260,MATCH(Instructions!$F81,ADP!$D$7:$D$260,0))-'Draft Slayer Classic'!$E$25),
INDEX('Draft Pick Order'!$C$3:$C$254,MATCH(TEXT(Instructions!$J$11*100+G81,"0"),'Draft Pick Order'!$B$3:$B$254,0)))), "")</f>
        <v/>
      </c>
      <c r="W81" s="3">
        <f>IFERROR(IF($L81&lt;&gt;"",IF($L81&lt;='Draft Slayer Classic'!$E$23, $K81,0),IF(VALUE(VLOOKUP($K81, ADP!$D:$P, 20,FALSE))&lt;=VALUE('Draft Slayer Classic'!$F$26+1), $K81,0)),0)</f>
        <v>0</v>
      </c>
      <c r="X81" s="3" t="str">
        <f>IFERROR(IF($K81="", "",
IF($L81="",
(INDEX(ADP!$A$7:$A$260,MATCH(Instructions!$K81,ADP!$D$7:$D$260,0))-'Draft Slayer Classic'!$E$25),
INDEX('Draft Pick Order'!$C$3:$C$254,MATCH(TEXT(Instructions!$J$11*100+$L81,"0"),'Draft Pick Order'!$B$3:$B$254,0)))), "")</f>
        <v/>
      </c>
      <c r="Y81" s="3"/>
      <c r="Z81" s="3"/>
      <c r="AA81" s="3"/>
      <c r="AB81" s="3"/>
    </row>
    <row r="82" spans="1:28" x14ac:dyDescent="0.25">
      <c r="A82" s="86"/>
      <c r="B82" s="11"/>
      <c r="C82" s="13"/>
      <c r="D82" s="8"/>
      <c r="E82" s="12">
        <v>19</v>
      </c>
      <c r="F82" s="450"/>
      <c r="G82" s="594"/>
      <c r="H82" s="595"/>
      <c r="I82" s="448" t="str">
        <f>IFERROR(INDEX(ADP!$AI:$AI,MATCH(F82,ADP!$D:$D,0)),"")</f>
        <v/>
      </c>
      <c r="J82" s="12">
        <v>19</v>
      </c>
      <c r="K82" s="82"/>
      <c r="L82" s="594"/>
      <c r="M82" s="595"/>
      <c r="N82" s="300" t="str">
        <f>IFERROR(INDEX(ADP!$AI:$AI,MATCH(K82,ADP!$D:$D,0)),"")</f>
        <v/>
      </c>
      <c r="O82" s="13"/>
      <c r="P82" s="13"/>
      <c r="Q82" s="10"/>
      <c r="R82" s="88"/>
      <c r="S82" s="3" t="str">
        <f>IFERROR(INDEX('Draft Slayer Classic'!I:I,MATCH(F82, 'Draft Slayer Classic'!I:I,0)),"")</f>
        <v/>
      </c>
      <c r="T82" s="3" t="str">
        <f>IFERROR(INDEX('Draft Slayer Classic'!T:T,MATCH(K82,'Draft Slayer Classic'!T:T,0)),"")</f>
        <v/>
      </c>
      <c r="U82" s="3">
        <f>IFERROR(IF($G82&lt;&gt;"",IF($G82&lt;='Draft Slayer Classic'!$E$23, $F82,0),IF(VALUE(VLOOKUP($F82, ADP!$D:$P, 20,FALSE)) &lt;= VALUE('Draft Slayer Classic'!$F$26+1), $F82,0)),0)</f>
        <v>0</v>
      </c>
      <c r="V82" s="3" t="str">
        <f>IFERROR(IF($F82="", "",
IF(G82="",
(INDEX(ADP!$A$7:$A$260,MATCH(Instructions!$F82,ADP!$D$7:$D$260,0))-'Draft Slayer Classic'!$E$25),
INDEX('Draft Pick Order'!$C$3:$C$254,MATCH(TEXT(Instructions!$J$11*100+G82,"0"),'Draft Pick Order'!$B$3:$B$254,0)))), "")</f>
        <v/>
      </c>
      <c r="W82" s="3">
        <f>IFERROR(IF($L82&lt;&gt;"",IF($L82&lt;='Draft Slayer Classic'!$E$23, $K82,0),IF(VALUE(VLOOKUP($K82, ADP!$D:$P, 20,FALSE))&lt;=VALUE('Draft Slayer Classic'!$F$26+1), $K82,0)),0)</f>
        <v>0</v>
      </c>
      <c r="X82" s="3" t="str">
        <f>IFERROR(IF($K82="", "",
IF($L82="",
(INDEX(ADP!$A$7:$A$260,MATCH(Instructions!$K82,ADP!$D$7:$D$260,0))-'Draft Slayer Classic'!$E$25),
INDEX('Draft Pick Order'!$C$3:$C$254,MATCH(TEXT(Instructions!$J$11*100+$L82,"0"),'Draft Pick Order'!$B$3:$B$254,0)))), "")</f>
        <v/>
      </c>
      <c r="Y82" s="3"/>
      <c r="Z82" s="3"/>
      <c r="AA82" s="3"/>
      <c r="AB82" s="3"/>
    </row>
    <row r="83" spans="1:28" ht="15.75" thickBot="1" x14ac:dyDescent="0.3">
      <c r="A83" s="86"/>
      <c r="B83" s="11"/>
      <c r="C83" s="13"/>
      <c r="D83" s="8"/>
      <c r="E83" s="12">
        <v>20</v>
      </c>
      <c r="F83" s="452"/>
      <c r="G83" s="600"/>
      <c r="H83" s="601"/>
      <c r="I83" s="299" t="str">
        <f>IFERROR(INDEX(ADP!$AI:$AI,MATCH(F83,ADP!$D:$D,0)),"")</f>
        <v/>
      </c>
      <c r="J83" s="12">
        <v>20</v>
      </c>
      <c r="K83" s="83"/>
      <c r="L83" s="600"/>
      <c r="M83" s="601"/>
      <c r="N83" s="299" t="str">
        <f>IFERROR(INDEX(ADP!$AI:$AI,MATCH(K83,ADP!$D:$D,0)),"")</f>
        <v/>
      </c>
      <c r="O83" s="13"/>
      <c r="P83" s="13"/>
      <c r="Q83" s="10"/>
      <c r="R83" s="88"/>
      <c r="S83" s="3" t="str">
        <f>IFERROR(INDEX('Draft Slayer Classic'!I:I,MATCH(F83, 'Draft Slayer Classic'!I:I,0)),"")</f>
        <v/>
      </c>
      <c r="T83" s="3" t="str">
        <f>IFERROR(INDEX('Draft Slayer Classic'!T:T,MATCH(K83,'Draft Slayer Classic'!T:T,0)),"")</f>
        <v/>
      </c>
      <c r="U83" s="3">
        <f>IFERROR(IF($G83&lt;&gt;"",IF($G83&lt;='Draft Slayer Classic'!$E$23, $F83,0),IF(VALUE(VLOOKUP($F83, ADP!$D:$P, 20,FALSE)) &lt;= VALUE('Draft Slayer Classic'!$F$26+1), $F83,0)),0)</f>
        <v>0</v>
      </c>
      <c r="V83" s="3" t="str">
        <f>IFERROR(IF($F83="", "",
IF(G83="",
(INDEX(ADP!$A$7:$A$260,MATCH(Instructions!$F83,ADP!$D$7:$D$260,0))-'Draft Slayer Classic'!$E$25),
INDEX('Draft Pick Order'!$C$3:$C$254,MATCH(TEXT(Instructions!$J$11*100+G83,"0"),'Draft Pick Order'!$B$3:$B$254,0)))), "")</f>
        <v/>
      </c>
      <c r="W83" s="3">
        <f>IFERROR(IF($L83&lt;&gt;"",IF($L83&lt;='Draft Slayer Classic'!$E$23, $K83,0),IF(VALUE(VLOOKUP($K83, ADP!$D:$P, 20,FALSE))&lt;=VALUE('Draft Slayer Classic'!$F$26+1), $K83,0)),0)</f>
        <v>0</v>
      </c>
      <c r="X83" s="3" t="str">
        <f>IFERROR(IF($K83="", "",
IF($L83="",
(INDEX(ADP!$A$7:$A$260,MATCH(Instructions!$K83,ADP!$D$7:$D$260,0))-'Draft Slayer Classic'!$E$25),
INDEX('Draft Pick Order'!$C$3:$C$254,MATCH(TEXT(Instructions!$J$11*100+$L83,"0"),'Draft Pick Order'!$B$3:$B$254,0)))), "")</f>
        <v/>
      </c>
      <c r="Y83" s="3"/>
      <c r="Z83" s="3"/>
      <c r="AA83" s="3"/>
      <c r="AB83" s="3"/>
    </row>
    <row r="84" spans="1:28" ht="15.75" thickBot="1" x14ac:dyDescent="0.3">
      <c r="A84" s="86"/>
      <c r="B84" s="11"/>
      <c r="C84" s="13"/>
      <c r="D84" s="8"/>
      <c r="E84" s="8"/>
      <c r="F84" s="8"/>
      <c r="G84" s="8"/>
      <c r="H84" s="9"/>
      <c r="I84" s="8"/>
      <c r="J84" s="8"/>
      <c r="K84" s="8"/>
      <c r="L84" s="8"/>
      <c r="M84" s="8"/>
      <c r="N84" s="8"/>
      <c r="O84" s="8"/>
      <c r="P84" s="8"/>
      <c r="Q84" s="10"/>
      <c r="R84" s="88"/>
      <c r="X84" s="3"/>
    </row>
    <row r="85" spans="1:28" ht="15.75" thickBot="1" x14ac:dyDescent="0.3">
      <c r="A85" s="86"/>
      <c r="B85" s="11"/>
      <c r="C85" s="13"/>
      <c r="D85" s="8"/>
      <c r="E85" s="8"/>
      <c r="F85" s="26" t="s">
        <v>6</v>
      </c>
      <c r="G85" s="588" t="s">
        <v>917</v>
      </c>
      <c r="H85" s="589"/>
      <c r="I85" s="296" t="s">
        <v>246</v>
      </c>
      <c r="J85" s="8"/>
      <c r="K85" s="26" t="s">
        <v>7</v>
      </c>
      <c r="L85" s="588" t="s">
        <v>917</v>
      </c>
      <c r="M85" s="589"/>
      <c r="N85" s="296" t="s">
        <v>246</v>
      </c>
      <c r="O85" s="13"/>
      <c r="P85" s="13"/>
      <c r="Q85" s="10"/>
      <c r="R85" s="88"/>
      <c r="X85" s="3"/>
    </row>
    <row r="86" spans="1:28" x14ac:dyDescent="0.25">
      <c r="A86" s="86"/>
      <c r="B86" s="11"/>
      <c r="C86" s="13"/>
      <c r="D86" s="8"/>
      <c r="E86" s="12">
        <v>1</v>
      </c>
      <c r="F86" s="80"/>
      <c r="G86" s="602"/>
      <c r="H86" s="603"/>
      <c r="I86" s="297" t="str">
        <f>IFERROR(INDEX(ADP!$AI:$AI,MATCH(F86,ADP!$D:$D,0)),"")</f>
        <v/>
      </c>
      <c r="J86" s="12">
        <v>1</v>
      </c>
      <c r="K86" s="80"/>
      <c r="L86" s="590"/>
      <c r="M86" s="591"/>
      <c r="N86" s="297" t="str">
        <f>IFERROR(INDEX(ADP!$AI:$AI,MATCH(K86,ADP!$D:$D,0)),"")</f>
        <v/>
      </c>
      <c r="O86" s="13"/>
      <c r="P86" s="13"/>
      <c r="Q86" s="10"/>
      <c r="R86" s="88"/>
      <c r="S86" s="3" t="str">
        <f>IFERROR(VLOOKUP(F86, 'Draft Slayer Classic'!AE:AE, 1, FALSE),"")</f>
        <v/>
      </c>
      <c r="T86" s="3" t="str">
        <f>IFERROR(VLOOKUP(K86, 'Draft Slayer Classic'!AP:AP, 1, FALSE),"")</f>
        <v/>
      </c>
      <c r="U86" s="3">
        <f>IFERROR(IF($G86&lt;&gt;"",IF($G86&lt;='Draft Slayer Classic'!$E$23, $F86,0),IF(VALUE(VLOOKUP($F86, ADP!$D:$P, 20,FALSE)) &lt;= VALUE('Draft Slayer Classic'!$F$26+1), $F86,0)),0)</f>
        <v>0</v>
      </c>
      <c r="V86" s="3" t="str">
        <f>IFERROR(IF($F86="", "",
IF(G86="",
(INDEX(ADP!$A$7:$A$260,MATCH(Instructions!$F86,ADP!$D$7:$D$260,0))-'Draft Slayer Classic'!$E$25),
INDEX('Draft Pick Order'!$C$3:$C$254,MATCH(TEXT(Instructions!$J$11*100+G86,"0"),'Draft Pick Order'!$B$3:$B$254,0)))), "")</f>
        <v/>
      </c>
      <c r="W86" s="3">
        <f>IFERROR(IF($L86&lt;&gt;"",IF($L86&lt;='Draft Slayer Classic'!$E$23, $K86,0),IF(VALUE(VLOOKUP($K86, ADP!$D:$P, 20,FALSE))&lt;=VALUE('Draft Slayer Classic'!$F$26+1), $K86,0)),0)</f>
        <v>0</v>
      </c>
      <c r="X86" s="3" t="str">
        <f>IFERROR(IF($K86="", "",
IF($L86="",
(INDEX(ADP!$A$7:$A$260,MATCH(Instructions!$K86,ADP!$D$7:$D$260,0))-'Draft Slayer Classic'!$E$25),
INDEX('Draft Pick Order'!$C$3:$C$254,MATCH(TEXT(Instructions!$J$11*100+$L86,"0"),'Draft Pick Order'!$B$3:$B$254,0)))), "")</f>
        <v/>
      </c>
      <c r="Y86" s="3"/>
      <c r="Z86" s="3"/>
      <c r="AA86" s="3"/>
      <c r="AB86" s="3"/>
    </row>
    <row r="87" spans="1:28" x14ac:dyDescent="0.25">
      <c r="A87" s="86"/>
      <c r="B87" s="11"/>
      <c r="C87" s="13"/>
      <c r="D87" s="8"/>
      <c r="E87" s="12">
        <v>2</v>
      </c>
      <c r="F87" s="81"/>
      <c r="G87" s="592"/>
      <c r="H87" s="593"/>
      <c r="I87" s="298" t="str">
        <f>IFERROR(INDEX(ADP!$AI:$AI,MATCH(F87,ADP!$D:$D,0)),"")</f>
        <v/>
      </c>
      <c r="J87" s="12">
        <v>2</v>
      </c>
      <c r="K87" s="81"/>
      <c r="L87" s="592"/>
      <c r="M87" s="593"/>
      <c r="N87" s="298" t="str">
        <f>IFERROR(INDEX(ADP!$AI:$AI,MATCH(K87,ADP!$D:$D,0)),"")</f>
        <v/>
      </c>
      <c r="O87" s="13"/>
      <c r="P87" s="13"/>
      <c r="Q87" s="10"/>
      <c r="R87" s="88"/>
      <c r="S87" s="3" t="str">
        <f>IFERROR(VLOOKUP(F87, 'Draft Slayer Classic'!AE:AE, 1, FALSE),"")</f>
        <v/>
      </c>
      <c r="T87" s="3" t="str">
        <f>IFERROR(VLOOKUP(K87, 'Draft Slayer Classic'!AP:AP, 1, FALSE),"")</f>
        <v/>
      </c>
      <c r="U87" s="3">
        <f>IFERROR(IF($G87&lt;&gt;"",IF($G87&lt;='Draft Slayer Classic'!$E$23, $F87,0),IF(VALUE(VLOOKUP($F87, ADP!$D:$P, 20,FALSE)) &lt;= VALUE('Draft Slayer Classic'!$F$26+1), $F87,0)),0)</f>
        <v>0</v>
      </c>
      <c r="V87" s="3" t="str">
        <f>IFERROR(IF($F87="", "",
IF(G87="",
(INDEX(ADP!$A$7:$A$260,MATCH(Instructions!$F87,ADP!$D$7:$D$260,0))-'Draft Slayer Classic'!$E$25),
INDEX('Draft Pick Order'!$C$3:$C$254,MATCH(TEXT(Instructions!$J$11*100+G87,"0"),'Draft Pick Order'!$B$3:$B$254,0)))), "")</f>
        <v/>
      </c>
      <c r="W87" s="3">
        <f>IFERROR(IF($L87&lt;&gt;"",IF($L87&lt;='Draft Slayer Classic'!$E$23, $K87,0),IF(VALUE(VLOOKUP($K87, ADP!$D:$P, 20,FALSE))&lt;=VALUE('Draft Slayer Classic'!$F$26+1), $K87,0)),0)</f>
        <v>0</v>
      </c>
      <c r="X87" s="3" t="str">
        <f>IFERROR(IF($K87="", "",
IF($L87="",
(INDEX(ADP!$A$7:$A$260,MATCH(Instructions!$K87,ADP!$D$7:$D$260,0))-'Draft Slayer Classic'!$E$25),
INDEX('Draft Pick Order'!$C$3:$C$254,MATCH(TEXT(Instructions!$J$11*100+$L87,"0"),'Draft Pick Order'!$B$3:$B$254,0)))), "")</f>
        <v/>
      </c>
      <c r="Y87" s="3"/>
      <c r="Z87" s="3"/>
      <c r="AA87" s="3"/>
      <c r="AB87" s="3"/>
    </row>
    <row r="88" spans="1:28" x14ac:dyDescent="0.25">
      <c r="A88" s="86"/>
      <c r="B88" s="11"/>
      <c r="C88" s="13"/>
      <c r="D88" s="8"/>
      <c r="E88" s="12">
        <v>3</v>
      </c>
      <c r="F88" s="82"/>
      <c r="G88" s="594"/>
      <c r="H88" s="595"/>
      <c r="I88" s="300" t="str">
        <f>IFERROR(INDEX(ADP!$AI:$AI,MATCH(F88,ADP!$D:$D,0)),"")</f>
        <v/>
      </c>
      <c r="J88" s="12">
        <v>3</v>
      </c>
      <c r="K88" s="82"/>
      <c r="L88" s="594"/>
      <c r="M88" s="595"/>
      <c r="N88" s="300" t="str">
        <f>IFERROR(INDEX(ADP!$AI:$AI,MATCH(K88,ADP!$D:$D,0)),"")</f>
        <v/>
      </c>
      <c r="O88" s="13"/>
      <c r="P88" s="13"/>
      <c r="Q88" s="10"/>
      <c r="R88" s="88"/>
      <c r="S88" s="3" t="str">
        <f>IFERROR(VLOOKUP(F88, 'Draft Slayer Classic'!AE:AE, 1, FALSE),"")</f>
        <v/>
      </c>
      <c r="T88" s="3" t="str">
        <f>IFERROR(VLOOKUP(K88, 'Draft Slayer Classic'!AP:AP, 1, FALSE),"")</f>
        <v/>
      </c>
      <c r="U88" s="3">
        <f>IFERROR(IF($G88&lt;&gt;"",IF($G88&lt;='Draft Slayer Classic'!$E$23, $F88,0),IF(VALUE(VLOOKUP($F88, ADP!$D:$P, 20,FALSE)) &lt;= VALUE('Draft Slayer Classic'!$F$26+1), $F88,0)),0)</f>
        <v>0</v>
      </c>
      <c r="V88" s="3" t="str">
        <f>IFERROR(IF($F88="", "",
IF(G88="",
(INDEX(ADP!$A$7:$A$260,MATCH(Instructions!$F88,ADP!$D$7:$D$260,0))-'Draft Slayer Classic'!$E$25),
INDEX('Draft Pick Order'!$C$3:$C$254,MATCH(TEXT(Instructions!$J$11*100+G88,"0"),'Draft Pick Order'!$B$3:$B$254,0)))), "")</f>
        <v/>
      </c>
      <c r="W88" s="3">
        <f>IFERROR(IF($L88&lt;&gt;"",IF($L88&lt;='Draft Slayer Classic'!$E$23, $K88,0),IF(VALUE(VLOOKUP($K88, ADP!$D:$P, 20,FALSE))&lt;=VALUE('Draft Slayer Classic'!$F$26+1), $K88,0)),0)</f>
        <v>0</v>
      </c>
      <c r="X88" s="3" t="str">
        <f>IFERROR(IF($K88="", "",
IF($L88="",
(INDEX(ADP!$A$7:$A$260,MATCH(Instructions!$K88,ADP!$D$7:$D$260,0))-'Draft Slayer Classic'!$E$25),
INDEX('Draft Pick Order'!$C$3:$C$254,MATCH(TEXT(Instructions!$J$11*100+$L88,"0"),'Draft Pick Order'!$B$3:$B$254,0)))), "")</f>
        <v/>
      </c>
      <c r="Y88" s="3"/>
      <c r="Z88" s="3"/>
      <c r="AA88" s="3"/>
      <c r="AB88" s="3"/>
    </row>
    <row r="89" spans="1:28" x14ac:dyDescent="0.25">
      <c r="A89" s="86"/>
      <c r="B89" s="11"/>
      <c r="C89" s="13"/>
      <c r="D89" s="8"/>
      <c r="E89" s="12">
        <v>4</v>
      </c>
      <c r="F89" s="81"/>
      <c r="G89" s="592"/>
      <c r="H89" s="593"/>
      <c r="I89" s="298" t="str">
        <f>IFERROR(INDEX(ADP!$AI:$AI,MATCH(F89,ADP!$D:$D,0)),"")</f>
        <v/>
      </c>
      <c r="J89" s="12">
        <v>4</v>
      </c>
      <c r="K89" s="81"/>
      <c r="L89" s="592"/>
      <c r="M89" s="593"/>
      <c r="N89" s="298" t="str">
        <f>IFERROR(INDEX(ADP!$AI:$AI,MATCH(K89,ADP!$D:$D,0)),"")</f>
        <v/>
      </c>
      <c r="O89" s="13"/>
      <c r="P89" s="13"/>
      <c r="Q89" s="10"/>
      <c r="R89" s="88"/>
      <c r="S89" s="3" t="str">
        <f>IFERROR(VLOOKUP(F89, 'Draft Slayer Classic'!AE:AE, 1, FALSE),"")</f>
        <v/>
      </c>
      <c r="T89" s="3" t="str">
        <f>IFERROR(VLOOKUP(K89, 'Draft Slayer Classic'!AP:AP, 1, FALSE),"")</f>
        <v/>
      </c>
      <c r="U89" s="3">
        <f>IFERROR(IF($G89&lt;&gt;"",IF($G89&lt;='Draft Slayer Classic'!$E$23, $F89,0),IF(VALUE(VLOOKUP($F89, ADP!$D:$P, 20,FALSE)) &lt;= VALUE('Draft Slayer Classic'!$F$26+1), $F89,0)),0)</f>
        <v>0</v>
      </c>
      <c r="V89" s="3" t="str">
        <f>IFERROR(IF($F89="", "",
IF(G89="",
(INDEX(ADP!$A$7:$A$260,MATCH(Instructions!$F89,ADP!$D$7:$D$260,0))-'Draft Slayer Classic'!$E$25),
INDEX('Draft Pick Order'!$C$3:$C$254,MATCH(TEXT(Instructions!$J$11*100+G89,"0"),'Draft Pick Order'!$B$3:$B$254,0)))), "")</f>
        <v/>
      </c>
      <c r="W89" s="3">
        <f>IFERROR(IF($L89&lt;&gt;"",IF($L89&lt;='Draft Slayer Classic'!$E$23, $K89,0),IF(VALUE(VLOOKUP($K89, ADP!$D:$P, 20,FALSE))&lt;=VALUE('Draft Slayer Classic'!$F$26+1), $K89,0)),0)</f>
        <v>0</v>
      </c>
      <c r="X89" s="3" t="str">
        <f>IFERROR(IF($K89="", "",
IF($L89="",
(INDEX(ADP!$A$7:$A$260,MATCH(Instructions!$K89,ADP!$D$7:$D$260,0))-'Draft Slayer Classic'!$E$25),
INDEX('Draft Pick Order'!$C$3:$C$254,MATCH(TEXT(Instructions!$J$11*100+$L89,"0"),'Draft Pick Order'!$B$3:$B$254,0)))), "")</f>
        <v/>
      </c>
      <c r="Y89" s="3"/>
      <c r="Z89" s="3"/>
      <c r="AA89" s="3"/>
      <c r="AB89" s="3"/>
    </row>
    <row r="90" spans="1:28" x14ac:dyDescent="0.25">
      <c r="A90" s="86"/>
      <c r="B90" s="11"/>
      <c r="C90" s="13"/>
      <c r="D90" s="8"/>
      <c r="E90" s="12">
        <v>5</v>
      </c>
      <c r="F90" s="82"/>
      <c r="G90" s="584"/>
      <c r="H90" s="585"/>
      <c r="I90" s="300" t="str">
        <f>IFERROR(INDEX(ADP!$AI:$AI,MATCH(F90,ADP!$D:$D,0)),"")</f>
        <v/>
      </c>
      <c r="J90" s="12">
        <v>5</v>
      </c>
      <c r="K90" s="82"/>
      <c r="L90" s="594"/>
      <c r="M90" s="595"/>
      <c r="N90" s="300" t="str">
        <f>IFERROR(INDEX(ADP!$AI:$AI,MATCH(K90,ADP!$D:$D,0)),"")</f>
        <v/>
      </c>
      <c r="O90" s="13"/>
      <c r="P90" s="13"/>
      <c r="Q90" s="10"/>
      <c r="R90" s="88"/>
      <c r="S90" s="3" t="str">
        <f>IFERROR(VLOOKUP(F90, 'Draft Slayer Classic'!AE:AE, 1, FALSE),"")</f>
        <v/>
      </c>
      <c r="T90" s="3" t="str">
        <f>IFERROR(VLOOKUP(K90, 'Draft Slayer Classic'!AP:AP, 1, FALSE),"")</f>
        <v/>
      </c>
      <c r="U90" s="3">
        <f>IFERROR(IF($G90&lt;&gt;"",IF($G90&lt;='Draft Slayer Classic'!$E$23, $F90,0),IF(VALUE(VLOOKUP($F90, ADP!$D:$P, 20,FALSE)) &lt;= VALUE('Draft Slayer Classic'!$F$26+1), $F90,0)),0)</f>
        <v>0</v>
      </c>
      <c r="V90" s="3" t="str">
        <f>IFERROR(IF($F90="", "",
IF(G90="",
(INDEX(ADP!$A$7:$A$260,MATCH(Instructions!$F90,ADP!$D$7:$D$260,0))-'Draft Slayer Classic'!$E$25),
INDEX('Draft Pick Order'!$C$3:$C$254,MATCH(TEXT(Instructions!$J$11*100+G90,"0"),'Draft Pick Order'!$B$3:$B$254,0)))), "")</f>
        <v/>
      </c>
      <c r="W90" s="3">
        <f>IFERROR(IF($L90&lt;&gt;"",IF($L90&lt;='Draft Slayer Classic'!$E$23, $K90,0),IF(VALUE(VLOOKUP($K90, ADP!$D:$P, 20,FALSE))&lt;=VALUE('Draft Slayer Classic'!$F$26+1), $K90,0)),0)</f>
        <v>0</v>
      </c>
      <c r="X90" s="3" t="str">
        <f>IFERROR(IF($K90="", "",
IF($L90="",
(INDEX(ADP!$A$7:$A$260,MATCH(Instructions!$K90,ADP!$D$7:$D$260,0))-'Draft Slayer Classic'!$E$25),
INDEX('Draft Pick Order'!$C$3:$C$254,MATCH(TEXT(Instructions!$J$11*100+$L90,"0"),'Draft Pick Order'!$B$3:$B$254,0)))), "")</f>
        <v/>
      </c>
      <c r="Y90" s="3"/>
      <c r="Z90" s="3"/>
      <c r="AA90" s="3"/>
      <c r="AB90" s="3"/>
    </row>
    <row r="91" spans="1:28" x14ac:dyDescent="0.25">
      <c r="A91" s="86"/>
      <c r="B91" s="11"/>
      <c r="C91" s="13"/>
      <c r="D91" s="8"/>
      <c r="E91" s="12">
        <v>6</v>
      </c>
      <c r="F91" s="81"/>
      <c r="G91" s="592"/>
      <c r="H91" s="593"/>
      <c r="I91" s="298" t="str">
        <f>IFERROR(INDEX(ADP!$AI:$AI,MATCH(F91,ADP!$D:$D,0)),"")</f>
        <v/>
      </c>
      <c r="J91" s="12">
        <v>6</v>
      </c>
      <c r="K91" s="81"/>
      <c r="L91" s="592"/>
      <c r="M91" s="593"/>
      <c r="N91" s="298" t="str">
        <f>IFERROR(INDEX(ADP!$AI:$AI,MATCH(K91,ADP!$D:$D,0)),"")</f>
        <v/>
      </c>
      <c r="O91" s="13"/>
      <c r="P91" s="13"/>
      <c r="Q91" s="10"/>
      <c r="R91" s="88"/>
      <c r="S91" s="3" t="str">
        <f>IFERROR(VLOOKUP(F91, 'Draft Slayer Classic'!AE:AE, 1, FALSE),"")</f>
        <v/>
      </c>
      <c r="T91" s="3" t="str">
        <f>IFERROR(VLOOKUP(K91, 'Draft Slayer Classic'!AP:AP, 1, FALSE),"")</f>
        <v/>
      </c>
      <c r="U91" s="3">
        <f>IFERROR(IF($G91&lt;&gt;"",IF($G91&lt;='Draft Slayer Classic'!$E$23, $F91,0),IF(VALUE(VLOOKUP($F91, ADP!$D:$P, 20,FALSE)) &lt;= VALUE('Draft Slayer Classic'!$F$26+1), $F91,0)),0)</f>
        <v>0</v>
      </c>
      <c r="V91" s="3" t="str">
        <f>IFERROR(IF($F91="", "",
IF(G91="",
(INDEX(ADP!$A$7:$A$260,MATCH(Instructions!$F91,ADP!$D$7:$D$260,0))-'Draft Slayer Classic'!$E$25),
INDEX('Draft Pick Order'!$C$3:$C$254,MATCH(TEXT(Instructions!$J$11*100+G91,"0"),'Draft Pick Order'!$B$3:$B$254,0)))), "")</f>
        <v/>
      </c>
      <c r="W91" s="3">
        <f>IFERROR(IF($L91&lt;&gt;"",IF($L91&lt;='Draft Slayer Classic'!$E$23, $K91,0),IF(VALUE(VLOOKUP($K91, ADP!$D:$P, 20,FALSE))&lt;=VALUE('Draft Slayer Classic'!$F$26+1), $K91,0)),0)</f>
        <v>0</v>
      </c>
      <c r="X91" s="3" t="str">
        <f>IFERROR(IF($K91="", "",
IF($L91="",
(INDEX(ADP!$A$7:$A$260,MATCH(Instructions!$K91,ADP!$D$7:$D$260,0))-'Draft Slayer Classic'!$E$25),
INDEX('Draft Pick Order'!$C$3:$C$254,MATCH(TEXT(Instructions!$J$11*100+$L91,"0"),'Draft Pick Order'!$B$3:$B$254,0)))), "")</f>
        <v/>
      </c>
      <c r="Y91" s="3"/>
      <c r="Z91" s="3"/>
      <c r="AA91" s="3"/>
      <c r="AB91" s="3"/>
    </row>
    <row r="92" spans="1:28" x14ac:dyDescent="0.25">
      <c r="A92" s="86"/>
      <c r="B92" s="11"/>
      <c r="C92" s="13"/>
      <c r="D92" s="8"/>
      <c r="E92" s="12">
        <v>7</v>
      </c>
      <c r="F92" s="82"/>
      <c r="G92" s="594"/>
      <c r="H92" s="595"/>
      <c r="I92" s="300" t="str">
        <f>IFERROR(INDEX(ADP!$AI:$AI,MATCH(F92,ADP!$D:$D,0)),"")</f>
        <v/>
      </c>
      <c r="J92" s="12">
        <v>7</v>
      </c>
      <c r="K92" s="82"/>
      <c r="L92" s="594"/>
      <c r="M92" s="595"/>
      <c r="N92" s="300" t="str">
        <f>IFERROR(INDEX(ADP!$AI:$AI,MATCH(K92,ADP!$D:$D,0)),"")</f>
        <v/>
      </c>
      <c r="O92" s="13"/>
      <c r="P92" s="13"/>
      <c r="Q92" s="10"/>
      <c r="R92" s="88"/>
      <c r="S92" s="3" t="str">
        <f>IFERROR(VLOOKUP(F92, 'Draft Slayer Classic'!AE:AE, 1, FALSE),"")</f>
        <v/>
      </c>
      <c r="T92" s="3" t="str">
        <f>IFERROR(VLOOKUP(K92, 'Draft Slayer Classic'!AP:AP, 1, FALSE),"")</f>
        <v/>
      </c>
      <c r="U92" s="3">
        <f>IFERROR(IF($G92&lt;&gt;"",IF($G92&lt;='Draft Slayer Classic'!$E$23, $F92,0),IF(VALUE(VLOOKUP($F92, ADP!$D:$P, 20,FALSE)) &lt;= VALUE('Draft Slayer Classic'!$F$26+1), $F92,0)),0)</f>
        <v>0</v>
      </c>
      <c r="V92" s="3" t="str">
        <f>IFERROR(IF($F92="", "",
IF(G92="",
(INDEX(ADP!$A$7:$A$260,MATCH(Instructions!$F92,ADP!$D$7:$D$260,0))-'Draft Slayer Classic'!$E$25),
INDEX('Draft Pick Order'!$C$3:$C$254,MATCH(TEXT(Instructions!$J$11*100+G92,"0"),'Draft Pick Order'!$B$3:$B$254,0)))), "")</f>
        <v/>
      </c>
      <c r="W92" s="3">
        <f>IFERROR(IF($L92&lt;&gt;"",IF($L92&lt;='Draft Slayer Classic'!$E$23, $K92,0),IF(VALUE(VLOOKUP($K92, ADP!$D:$P, 20,FALSE))&lt;=VALUE('Draft Slayer Classic'!$F$26+1), $K92,0)),0)</f>
        <v>0</v>
      </c>
      <c r="X92" s="3" t="str">
        <f>IFERROR(IF($K92="", "",
IF($L92="",
(INDEX(ADP!$A$7:$A$260,MATCH(Instructions!$K92,ADP!$D$7:$D$260,0))-'Draft Slayer Classic'!$E$25),
INDEX('Draft Pick Order'!$C$3:$C$254,MATCH(TEXT(Instructions!$J$11*100+$L92,"0"),'Draft Pick Order'!$B$3:$B$254,0)))), "")</f>
        <v/>
      </c>
      <c r="Y92" s="3"/>
      <c r="Z92" s="3"/>
      <c r="AA92" s="3"/>
      <c r="AB92" s="3"/>
    </row>
    <row r="93" spans="1:28" x14ac:dyDescent="0.25">
      <c r="A93" s="86"/>
      <c r="B93" s="11"/>
      <c r="C93" s="13"/>
      <c r="D93" s="8"/>
      <c r="E93" s="12">
        <v>8</v>
      </c>
      <c r="F93" s="81"/>
      <c r="G93" s="592"/>
      <c r="H93" s="593"/>
      <c r="I93" s="298" t="str">
        <f>IFERROR(INDEX(ADP!$AI:$AI,MATCH(F93,ADP!$D:$D,0)),"")</f>
        <v/>
      </c>
      <c r="J93" s="12">
        <v>8</v>
      </c>
      <c r="K93" s="81"/>
      <c r="L93" s="592"/>
      <c r="M93" s="593"/>
      <c r="N93" s="298" t="str">
        <f>IFERROR(INDEX(ADP!$AI:$AI,MATCH(K93,ADP!$D:$D,0)),"")</f>
        <v/>
      </c>
      <c r="O93" s="13"/>
      <c r="P93" s="13"/>
      <c r="Q93" s="10"/>
      <c r="R93" s="88"/>
      <c r="S93" s="3" t="str">
        <f>IFERROR(VLOOKUP(F93, 'Draft Slayer Classic'!AE:AE, 1, FALSE),"")</f>
        <v/>
      </c>
      <c r="T93" s="3" t="str">
        <f>IFERROR(VLOOKUP(K93, 'Draft Slayer Classic'!AP:AP, 1, FALSE),"")</f>
        <v/>
      </c>
      <c r="U93" s="3">
        <f>IFERROR(IF($G93&lt;&gt;"",IF($G93&lt;='Draft Slayer Classic'!$E$23, $F93,0),IF(VALUE(VLOOKUP($F93, ADP!$D:$P, 20,FALSE)) &lt;= VALUE('Draft Slayer Classic'!$F$26+1), $F93,0)),0)</f>
        <v>0</v>
      </c>
      <c r="V93" s="3" t="str">
        <f>IFERROR(IF($F93="", "",
IF(G93="",
(INDEX(ADP!$A$7:$A$260,MATCH(Instructions!$F93,ADP!$D$7:$D$260,0))-'Draft Slayer Classic'!$E$25),
INDEX('Draft Pick Order'!$C$3:$C$254,MATCH(TEXT(Instructions!$J$11*100+G93,"0"),'Draft Pick Order'!$B$3:$B$254,0)))), "")</f>
        <v/>
      </c>
      <c r="W93" s="3">
        <f>IFERROR(IF($L93&lt;&gt;"",IF($L93&lt;='Draft Slayer Classic'!$E$23, $K93,0),IF(VALUE(VLOOKUP($K93, ADP!$D:$P, 20,FALSE))&lt;=VALUE('Draft Slayer Classic'!$F$26+1), $K93,0)),0)</f>
        <v>0</v>
      </c>
      <c r="X93" s="3" t="str">
        <f>IFERROR(IF($K93="", "",
IF($L93="",
(INDEX(ADP!$A$7:$A$260,MATCH(Instructions!$K93,ADP!$D$7:$D$260,0))-'Draft Slayer Classic'!$E$25),
INDEX('Draft Pick Order'!$C$3:$C$254,MATCH(TEXT(Instructions!$J$11*100+$L93,"0"),'Draft Pick Order'!$B$3:$B$254,0)))), "")</f>
        <v/>
      </c>
      <c r="Y93" s="3"/>
      <c r="Z93" s="3"/>
      <c r="AA93" s="3"/>
      <c r="AB93" s="3"/>
    </row>
    <row r="94" spans="1:28" x14ac:dyDescent="0.25">
      <c r="A94" s="86"/>
      <c r="B94" s="11"/>
      <c r="C94" s="13"/>
      <c r="D94" s="8"/>
      <c r="E94" s="12">
        <v>9</v>
      </c>
      <c r="F94" s="82"/>
      <c r="G94" s="594"/>
      <c r="H94" s="595"/>
      <c r="I94" s="300" t="str">
        <f>IFERROR(INDEX(ADP!$AI:$AI,MATCH(F94,ADP!$D:$D,0)),"")</f>
        <v/>
      </c>
      <c r="J94" s="12">
        <v>9</v>
      </c>
      <c r="K94" s="82"/>
      <c r="L94" s="594"/>
      <c r="M94" s="595"/>
      <c r="N94" s="300" t="str">
        <f>IFERROR(INDEX(ADP!$AI:$AI,MATCH(K94,ADP!$D:$D,0)),"")</f>
        <v/>
      </c>
      <c r="O94" s="13"/>
      <c r="P94" s="13"/>
      <c r="Q94" s="10"/>
      <c r="R94" s="88"/>
      <c r="S94" s="3" t="str">
        <f>IFERROR(VLOOKUP(F94, 'Draft Slayer Classic'!AE:AE, 1, FALSE),"")</f>
        <v/>
      </c>
      <c r="T94" s="3" t="str">
        <f>IFERROR(VLOOKUP(K94, 'Draft Slayer Classic'!AP:AP, 1, FALSE),"")</f>
        <v/>
      </c>
      <c r="U94" s="3">
        <f>IFERROR(IF($G94&lt;&gt;"",IF($G94&lt;='Draft Slayer Classic'!$E$23, $F94,0),IF(VALUE(VLOOKUP($F94, ADP!$D:$P, 20,FALSE)) &lt;= VALUE('Draft Slayer Classic'!$F$26+1), $F94,0)),0)</f>
        <v>0</v>
      </c>
      <c r="V94" s="3" t="str">
        <f>IFERROR(IF($F94="", "",
IF(G94="",
(INDEX(ADP!$A$7:$A$260,MATCH(Instructions!$F94,ADP!$D$7:$D$260,0))-'Draft Slayer Classic'!$E$25),
INDEX('Draft Pick Order'!$C$3:$C$254,MATCH(TEXT(Instructions!$J$11*100+G94,"0"),'Draft Pick Order'!$B$3:$B$254,0)))), "")</f>
        <v/>
      </c>
      <c r="W94" s="3">
        <f>IFERROR(IF($L94&lt;&gt;"",IF($L94&lt;='Draft Slayer Classic'!$E$23, $K94,0),IF(VALUE(VLOOKUP($K94, ADP!$D:$P, 20,FALSE))&lt;=VALUE('Draft Slayer Classic'!$F$26+1), $K94,0)),0)</f>
        <v>0</v>
      </c>
      <c r="X94" s="3" t="str">
        <f>IFERROR(IF($K94="", "",
IF($L94="",
(INDEX(ADP!$A$7:$A$260,MATCH(Instructions!$K94,ADP!$D$7:$D$260,0))-'Draft Slayer Classic'!$E$25),
INDEX('Draft Pick Order'!$C$3:$C$254,MATCH(TEXT(Instructions!$J$11*100+$L94,"0"),'Draft Pick Order'!$B$3:$B$254,0)))), "")</f>
        <v/>
      </c>
      <c r="Y94" s="3"/>
      <c r="Z94" s="3"/>
      <c r="AA94" s="3"/>
      <c r="AB94" s="3"/>
    </row>
    <row r="95" spans="1:28" x14ac:dyDescent="0.25">
      <c r="A95" s="86"/>
      <c r="B95" s="11"/>
      <c r="C95" s="13"/>
      <c r="D95" s="8"/>
      <c r="E95" s="12">
        <v>10</v>
      </c>
      <c r="F95" s="81"/>
      <c r="G95" s="592"/>
      <c r="H95" s="593"/>
      <c r="I95" s="298" t="str">
        <f>IFERROR(INDEX(ADP!$AI:$AI,MATCH(F95,ADP!$D:$D,0)),"")</f>
        <v/>
      </c>
      <c r="J95" s="12">
        <v>10</v>
      </c>
      <c r="K95" s="81"/>
      <c r="L95" s="592"/>
      <c r="M95" s="593"/>
      <c r="N95" s="298" t="str">
        <f>IFERROR(INDEX(ADP!$AI:$AI,MATCH(K95,ADP!$D:$D,0)),"")</f>
        <v/>
      </c>
      <c r="O95" s="13"/>
      <c r="P95" s="13"/>
      <c r="Q95" s="10"/>
      <c r="R95" s="88"/>
      <c r="S95" s="3" t="str">
        <f>IFERROR(VLOOKUP(F95, 'Draft Slayer Classic'!AE:AE, 1, FALSE),"")</f>
        <v/>
      </c>
      <c r="T95" s="3" t="str">
        <f>IFERROR(VLOOKUP(K95, 'Draft Slayer Classic'!AP:AP, 1, FALSE),"")</f>
        <v/>
      </c>
      <c r="U95" s="3">
        <f>IFERROR(IF($G95&lt;&gt;"",IF($G95&lt;='Draft Slayer Classic'!$E$23, $F95,0),IF(VALUE(VLOOKUP($F95, ADP!$D:$P, 20,FALSE)) &lt;= VALUE('Draft Slayer Classic'!$F$26+1), $F95,0)),0)</f>
        <v>0</v>
      </c>
      <c r="V95" s="3" t="str">
        <f>IFERROR(IF($F95="", "",
IF(G95="",
(INDEX(ADP!$A$7:$A$260,MATCH(Instructions!$F95,ADP!$D$7:$D$260,0))-'Draft Slayer Classic'!$E$25),
INDEX('Draft Pick Order'!$C$3:$C$254,MATCH(TEXT(Instructions!$J$11*100+G95,"0"),'Draft Pick Order'!$B$3:$B$254,0)))), "")</f>
        <v/>
      </c>
      <c r="W95" s="3">
        <f>IFERROR(IF($L95&lt;&gt;"",IF($L95&lt;='Draft Slayer Classic'!$E$23, $K95,0),IF(VALUE(VLOOKUP($K95, ADP!$D:$P, 20,FALSE))&lt;=VALUE('Draft Slayer Classic'!$F$26+1), $K95,0)),0)</f>
        <v>0</v>
      </c>
      <c r="X95" s="3" t="str">
        <f>IFERROR(IF($K95="", "",
IF($L95="",
(INDEX(ADP!$A$7:$A$260,MATCH(Instructions!$K95,ADP!$D$7:$D$260,0))-'Draft Slayer Classic'!$E$25),
INDEX('Draft Pick Order'!$C$3:$C$254,MATCH(TEXT(Instructions!$J$11*100+$L95,"0"),'Draft Pick Order'!$B$3:$B$254,0)))), "")</f>
        <v/>
      </c>
      <c r="Y95" s="3"/>
      <c r="Z95" s="3"/>
      <c r="AA95" s="3"/>
      <c r="AB95" s="3"/>
    </row>
    <row r="96" spans="1:28" x14ac:dyDescent="0.25">
      <c r="A96" s="86"/>
      <c r="B96" s="11"/>
      <c r="C96" s="13"/>
      <c r="D96" s="8"/>
      <c r="E96" s="12">
        <v>11</v>
      </c>
      <c r="F96" s="82"/>
      <c r="G96" s="594"/>
      <c r="H96" s="595"/>
      <c r="I96" s="300" t="str">
        <f>IFERROR(INDEX(ADP!$AI:$AI,MATCH(F96,ADP!$D:$D,0)),"")</f>
        <v/>
      </c>
      <c r="J96" s="12">
        <v>11</v>
      </c>
      <c r="K96" s="82"/>
      <c r="L96" s="594"/>
      <c r="M96" s="595"/>
      <c r="N96" s="300" t="str">
        <f>IFERROR(INDEX(ADP!$AI:$AI,MATCH(K96,ADP!$D:$D,0)),"")</f>
        <v/>
      </c>
      <c r="O96" s="13"/>
      <c r="P96" s="13"/>
      <c r="Q96" s="10"/>
      <c r="R96" s="88"/>
      <c r="S96" s="3" t="str">
        <f>IFERROR(VLOOKUP(F96, 'Draft Slayer Classic'!AE:AE, 1, FALSE),"")</f>
        <v/>
      </c>
      <c r="T96" s="3" t="str">
        <f>IFERROR(VLOOKUP(K96, 'Draft Slayer Classic'!AP:AP, 1, FALSE),"")</f>
        <v/>
      </c>
      <c r="U96" s="3">
        <f>IFERROR(IF($G96&lt;&gt;"",IF($G96&lt;='Draft Slayer Classic'!$E$23, $F96,0),IF(VALUE(VLOOKUP($F96, ADP!$D:$P, 20,FALSE)) &lt;= VALUE('Draft Slayer Classic'!$F$26+1), $F96,0)),0)</f>
        <v>0</v>
      </c>
      <c r="V96" s="3" t="str">
        <f>IFERROR(IF($F96="", "",
IF(G96="",
(INDEX(ADP!$A$7:$A$260,MATCH(Instructions!$F96,ADP!$D$7:$D$260,0))-'Draft Slayer Classic'!$E$25),
INDEX('Draft Pick Order'!$C$3:$C$254,MATCH(TEXT(Instructions!$J$11*100+G96,"0"),'Draft Pick Order'!$B$3:$B$254,0)))), "")</f>
        <v/>
      </c>
      <c r="W96" s="3">
        <f>IFERROR(IF($L96&lt;&gt;"",IF($L96&lt;='Draft Slayer Classic'!$E$23, $K96,0),IF(VALUE(VLOOKUP($K96, ADP!$D:$P, 20,FALSE))&lt;=VALUE('Draft Slayer Classic'!$F$26+1), $K96,0)),0)</f>
        <v>0</v>
      </c>
      <c r="X96" s="3" t="str">
        <f>IFERROR(IF($K96="", "",
IF($L96="",
(INDEX(ADP!$A$7:$A$260,MATCH(Instructions!$K96,ADP!$D$7:$D$260,0))-'Draft Slayer Classic'!$E$25),
INDEX('Draft Pick Order'!$C$3:$C$254,MATCH(TEXT(Instructions!$J$11*100+$L96,"0"),'Draft Pick Order'!$B$3:$B$254,0)))), "")</f>
        <v/>
      </c>
      <c r="Y96" s="3"/>
      <c r="Z96" s="3"/>
      <c r="AA96" s="3"/>
      <c r="AB96" s="3"/>
    </row>
    <row r="97" spans="1:28" x14ac:dyDescent="0.25">
      <c r="A97" s="86"/>
      <c r="B97" s="11"/>
      <c r="C97" s="13"/>
      <c r="D97" s="8"/>
      <c r="E97" s="12">
        <v>12</v>
      </c>
      <c r="F97" s="81"/>
      <c r="G97" s="592"/>
      <c r="H97" s="593"/>
      <c r="I97" s="298" t="str">
        <f>IFERROR(INDEX(ADP!$AI:$AI,MATCH(F97,ADP!$D:$D,0)),"")</f>
        <v/>
      </c>
      <c r="J97" s="12">
        <v>12</v>
      </c>
      <c r="K97" s="81"/>
      <c r="L97" s="592"/>
      <c r="M97" s="593"/>
      <c r="N97" s="298" t="str">
        <f>IFERROR(INDEX(ADP!$AI:$AI,MATCH(K97,ADP!$D:$D,0)),"")</f>
        <v/>
      </c>
      <c r="O97" s="13"/>
      <c r="P97" s="13"/>
      <c r="Q97" s="10"/>
      <c r="R97" s="88"/>
      <c r="S97" s="3" t="str">
        <f>IFERROR(VLOOKUP(F97, 'Draft Slayer Classic'!AE:AE, 1, FALSE),"")</f>
        <v/>
      </c>
      <c r="T97" s="3" t="str">
        <f>IFERROR(VLOOKUP(K97, 'Draft Slayer Classic'!AP:AP, 1, FALSE),"")</f>
        <v/>
      </c>
      <c r="U97" s="3">
        <f>IFERROR(IF($G97&lt;&gt;"",IF($G97&lt;='Draft Slayer Classic'!$E$23, $F97,0),IF(VALUE(VLOOKUP($F97, ADP!$D:$P, 20,FALSE)) &lt;= VALUE('Draft Slayer Classic'!$F$26+1), $F97,0)),0)</f>
        <v>0</v>
      </c>
      <c r="V97" s="3" t="str">
        <f>IFERROR(IF($F97="", "",
IF(G97="",
(INDEX(ADP!$A$7:$A$260,MATCH(Instructions!$F97,ADP!$D$7:$D$260,0))-'Draft Slayer Classic'!$E$25),
INDEX('Draft Pick Order'!$C$3:$C$254,MATCH(TEXT(Instructions!$J$11*100+G97,"0"),'Draft Pick Order'!$B$3:$B$254,0)))), "")</f>
        <v/>
      </c>
      <c r="W97" s="3">
        <f>IFERROR(IF($L97&lt;&gt;"",IF($L97&lt;='Draft Slayer Classic'!$E$23, $K97,0),IF(VALUE(VLOOKUP($K97, ADP!$D:$P, 20,FALSE))&lt;=VALUE('Draft Slayer Classic'!$F$26+1), $K97,0)),0)</f>
        <v>0</v>
      </c>
      <c r="X97" s="3" t="str">
        <f>IFERROR(IF($K97="", "",
IF($L97="",
(INDEX(ADP!$A$7:$A$260,MATCH(Instructions!$K97,ADP!$D$7:$D$260,0))-'Draft Slayer Classic'!$E$25),
INDEX('Draft Pick Order'!$C$3:$C$254,MATCH(TEXT(Instructions!$J$11*100+$L97,"0"),'Draft Pick Order'!$B$3:$B$254,0)))), "")</f>
        <v/>
      </c>
      <c r="Y97" s="3"/>
      <c r="Z97" s="3"/>
      <c r="AA97" s="3"/>
      <c r="AB97" s="3"/>
    </row>
    <row r="98" spans="1:28" x14ac:dyDescent="0.25">
      <c r="A98" s="86"/>
      <c r="B98" s="11"/>
      <c r="C98" s="13"/>
      <c r="D98" s="8"/>
      <c r="E98" s="12">
        <v>13</v>
      </c>
      <c r="F98" s="82"/>
      <c r="G98" s="594"/>
      <c r="H98" s="595"/>
      <c r="I98" s="300" t="str">
        <f>IFERROR(INDEX(ADP!$AI:$AI,MATCH(F98,ADP!$D:$D,0)),"")</f>
        <v/>
      </c>
      <c r="J98" s="12">
        <v>13</v>
      </c>
      <c r="K98" s="82"/>
      <c r="L98" s="594"/>
      <c r="M98" s="595"/>
      <c r="N98" s="300" t="str">
        <f>IFERROR(INDEX(ADP!$AI:$AI,MATCH(K98,ADP!$D:$D,0)),"")</f>
        <v/>
      </c>
      <c r="O98" s="13"/>
      <c r="P98" s="13"/>
      <c r="Q98" s="10"/>
      <c r="R98" s="88"/>
      <c r="S98" s="3" t="str">
        <f>IFERROR(VLOOKUP(F98, 'Draft Slayer Classic'!AE:AE, 1, FALSE),"")</f>
        <v/>
      </c>
      <c r="T98" s="3" t="str">
        <f>IFERROR(VLOOKUP(K98, 'Draft Slayer Classic'!AP:AP, 1, FALSE),"")</f>
        <v/>
      </c>
      <c r="U98" s="3">
        <f>IFERROR(IF($G98&lt;&gt;"",IF($G98&lt;='Draft Slayer Classic'!$E$23, $F98,0),IF(VALUE(VLOOKUP($F98, ADP!$D:$P, 20,FALSE)) &lt;= VALUE('Draft Slayer Classic'!$F$26+1), $F98,0)),0)</f>
        <v>0</v>
      </c>
      <c r="V98" s="3" t="str">
        <f>IFERROR(IF($F98="", "",
IF(G98="",
(INDEX(ADP!$A$7:$A$260,MATCH(Instructions!$F98,ADP!$D$7:$D$260,0))-'Draft Slayer Classic'!$E$25),
INDEX('Draft Pick Order'!$C$3:$C$254,MATCH(TEXT(Instructions!$J$11*100+G98,"0"),'Draft Pick Order'!$B$3:$B$254,0)))), "")</f>
        <v/>
      </c>
      <c r="W98" s="3">
        <f>IFERROR(IF($L98&lt;&gt;"",IF($L98&lt;='Draft Slayer Classic'!$E$23, $K98,0),IF(VALUE(VLOOKUP($K98, ADP!$D:$P, 20,FALSE))&lt;=VALUE('Draft Slayer Classic'!$F$26+1), $K98,0)),0)</f>
        <v>0</v>
      </c>
      <c r="X98" s="3" t="str">
        <f>IFERROR(IF($K98="", "",
IF($L98="",
(INDEX(ADP!$A$7:$A$260,MATCH(Instructions!$K98,ADP!$D$7:$D$260,0))-'Draft Slayer Classic'!$E$25),
INDEX('Draft Pick Order'!$C$3:$C$254,MATCH(TEXT(Instructions!$J$11*100+$L98,"0"),'Draft Pick Order'!$B$3:$B$254,0)))), "")</f>
        <v/>
      </c>
      <c r="Y98" s="3"/>
      <c r="Z98" s="3"/>
      <c r="AA98" s="3"/>
      <c r="AB98" s="3"/>
    </row>
    <row r="99" spans="1:28" x14ac:dyDescent="0.25">
      <c r="A99" s="86"/>
      <c r="B99" s="11"/>
      <c r="C99" s="13"/>
      <c r="D99" s="8"/>
      <c r="E99" s="12">
        <v>14</v>
      </c>
      <c r="F99" s="81"/>
      <c r="G99" s="592"/>
      <c r="H99" s="593"/>
      <c r="I99" s="298" t="str">
        <f>IFERROR(INDEX(ADP!$AI:$AI,MATCH(F99,ADP!$D:$D,0)),"")</f>
        <v/>
      </c>
      <c r="J99" s="12">
        <v>14</v>
      </c>
      <c r="K99" s="81"/>
      <c r="L99" s="592"/>
      <c r="M99" s="593"/>
      <c r="N99" s="298" t="str">
        <f>IFERROR(INDEX(ADP!$AI:$AI,MATCH(K99,ADP!$D:$D,0)),"")</f>
        <v/>
      </c>
      <c r="O99" s="13"/>
      <c r="P99" s="13"/>
      <c r="Q99" s="10"/>
      <c r="R99" s="88"/>
      <c r="S99" s="3" t="str">
        <f>IFERROR(VLOOKUP(F99, 'Draft Slayer Classic'!AE:AE, 1, FALSE),"")</f>
        <v/>
      </c>
      <c r="T99" s="3" t="str">
        <f>IFERROR(VLOOKUP(K99, 'Draft Slayer Classic'!AP:AP, 1, FALSE),"")</f>
        <v/>
      </c>
      <c r="U99" s="3">
        <f>IFERROR(IF($G99&lt;&gt;"",IF($G99&lt;='Draft Slayer Classic'!$E$23, $F99,0),IF(VALUE(VLOOKUP($F99, ADP!$D:$P, 20,FALSE)) &lt;= VALUE('Draft Slayer Classic'!$F$26+1), $F99,0)),0)</f>
        <v>0</v>
      </c>
      <c r="V99" s="3" t="str">
        <f>IFERROR(IF($F99="", "",
IF(G99="",
(INDEX(ADP!$A$7:$A$260,MATCH(Instructions!$F99,ADP!$D$7:$D$260,0))-'Draft Slayer Classic'!$E$25),
INDEX('Draft Pick Order'!$C$3:$C$254,MATCH(TEXT(Instructions!$J$11*100+G99,"0"),'Draft Pick Order'!$B$3:$B$254,0)))), "")</f>
        <v/>
      </c>
      <c r="W99" s="3">
        <f>IFERROR(IF($L99&lt;&gt;"",IF($L99&lt;='Draft Slayer Classic'!$E$23, $K99,0),IF(VALUE(VLOOKUP($K99, ADP!$D:$P, 20,FALSE))&lt;=VALUE('Draft Slayer Classic'!$F$26+1), $K99,0)),0)</f>
        <v>0</v>
      </c>
      <c r="X99" s="3" t="str">
        <f>IFERROR(IF($K99="", "",
IF($L99="",
(INDEX(ADP!$A$7:$A$260,MATCH(Instructions!$K99,ADP!$D$7:$D$260,0))-'Draft Slayer Classic'!$E$25),
INDEX('Draft Pick Order'!$C$3:$C$254,MATCH(TEXT(Instructions!$J$11*100+$L99,"0"),'Draft Pick Order'!$B$3:$B$254,0)))), "")</f>
        <v/>
      </c>
      <c r="Y99" s="3"/>
      <c r="Z99" s="3"/>
      <c r="AA99" s="3"/>
      <c r="AB99" s="3"/>
    </row>
    <row r="100" spans="1:28" x14ac:dyDescent="0.25">
      <c r="A100" s="86"/>
      <c r="B100" s="11"/>
      <c r="C100" s="13"/>
      <c r="D100" s="8"/>
      <c r="E100" s="12">
        <v>15</v>
      </c>
      <c r="F100" s="82"/>
      <c r="G100" s="594"/>
      <c r="H100" s="595"/>
      <c r="I100" s="300" t="str">
        <f>IFERROR(INDEX(ADP!$AI:$AI,MATCH(F100,ADP!$D:$D,0)),"")</f>
        <v/>
      </c>
      <c r="J100" s="12">
        <v>15</v>
      </c>
      <c r="K100" s="82"/>
      <c r="L100" s="594"/>
      <c r="M100" s="595"/>
      <c r="N100" s="300" t="str">
        <f>IFERROR(INDEX(ADP!$AI:$AI,MATCH(K100,ADP!$D:$D,0)),"")</f>
        <v/>
      </c>
      <c r="O100" s="13"/>
      <c r="P100" s="13"/>
      <c r="Q100" s="10"/>
      <c r="R100" s="88"/>
      <c r="S100" s="3" t="str">
        <f>IFERROR(VLOOKUP(F100, 'Draft Slayer Classic'!AE:AE, 1, FALSE),"")</f>
        <v/>
      </c>
      <c r="T100" s="3" t="str">
        <f>IFERROR(VLOOKUP(K100, 'Draft Slayer Classic'!AP:AP, 1, FALSE),"")</f>
        <v/>
      </c>
      <c r="U100" s="3">
        <f>IFERROR(IF($G100&lt;&gt;"",IF($G100&lt;='Draft Slayer Classic'!$E$23, $F100,0),IF(VALUE(VLOOKUP($F100, ADP!$D:$P, 20,FALSE)) &lt;= VALUE('Draft Slayer Classic'!$F$26+1), $F100,0)),0)</f>
        <v>0</v>
      </c>
      <c r="V100" s="3" t="str">
        <f>IFERROR(IF($F100="", "",
IF(G100="",
(INDEX(ADP!$A$7:$A$260,MATCH(Instructions!$F100,ADP!$D$7:$D$260,0))-'Draft Slayer Classic'!$E$25),
INDEX('Draft Pick Order'!$C$3:$C$254,MATCH(TEXT(Instructions!$J$11*100+G100,"0"),'Draft Pick Order'!$B$3:$B$254,0)))), "")</f>
        <v/>
      </c>
      <c r="W100" s="3">
        <f>IFERROR(IF($L100&lt;&gt;"",IF($L100&lt;='Draft Slayer Classic'!$E$23, $K100,0),IF(VALUE(VLOOKUP($K100, ADP!$D:$P, 20,FALSE))&lt;=VALUE('Draft Slayer Classic'!$F$26+1), $K100,0)),0)</f>
        <v>0</v>
      </c>
      <c r="X100" s="3" t="str">
        <f>IFERROR(IF($K100="", "",
IF($L100="",
(INDEX(ADP!$A$7:$A$260,MATCH(Instructions!$K100,ADP!$D$7:$D$260,0))-'Draft Slayer Classic'!$E$25),
INDEX('Draft Pick Order'!$C$3:$C$254,MATCH(TEXT(Instructions!$J$11*100+$L100,"0"),'Draft Pick Order'!$B$3:$B$254,0)))), "")</f>
        <v/>
      </c>
      <c r="Y100" s="3"/>
      <c r="Z100" s="3"/>
      <c r="AA100" s="3"/>
      <c r="AB100" s="3"/>
    </row>
    <row r="101" spans="1:28" x14ac:dyDescent="0.25">
      <c r="A101" s="86"/>
      <c r="B101" s="11"/>
      <c r="C101" s="13"/>
      <c r="D101" s="8"/>
      <c r="E101" s="12">
        <v>16</v>
      </c>
      <c r="F101" s="81"/>
      <c r="G101" s="592"/>
      <c r="H101" s="593"/>
      <c r="I101" s="298" t="str">
        <f>IFERROR(INDEX(ADP!$AI:$AI,MATCH(F101,ADP!$D:$D,0)),"")</f>
        <v/>
      </c>
      <c r="J101" s="12">
        <v>16</v>
      </c>
      <c r="K101" s="81"/>
      <c r="L101" s="592"/>
      <c r="M101" s="593"/>
      <c r="N101" s="298" t="str">
        <f>IFERROR(INDEX(ADP!$AI:$AI,MATCH(K101,ADP!$D:$D,0)),"")</f>
        <v/>
      </c>
      <c r="O101" s="13"/>
      <c r="P101" s="13"/>
      <c r="Q101" s="10"/>
      <c r="R101" s="88"/>
      <c r="S101" s="3" t="str">
        <f>IFERROR(VLOOKUP(F101, 'Draft Slayer Classic'!AE:AE, 1, FALSE),"")</f>
        <v/>
      </c>
      <c r="T101" s="3" t="str">
        <f>IFERROR(VLOOKUP(K101, 'Draft Slayer Classic'!AP:AP, 1, FALSE),"")</f>
        <v/>
      </c>
      <c r="U101" s="3">
        <f>IFERROR(IF($G101&lt;&gt;"",IF($G101&lt;='Draft Slayer Classic'!$E$23, $F101,0),IF(VALUE(VLOOKUP($F101, ADP!$D:$P, 20,FALSE)) &lt;= VALUE('Draft Slayer Classic'!$F$26+1), $F101,0)),0)</f>
        <v>0</v>
      </c>
      <c r="V101" s="3" t="str">
        <f>IFERROR(IF($F101="", "",
IF(G101="",
(INDEX(ADP!$A$7:$A$260,MATCH(Instructions!$F101,ADP!$D$7:$D$260,0))-'Draft Slayer Classic'!$E$25),
INDEX('Draft Pick Order'!$C$3:$C$254,MATCH(TEXT(Instructions!$J$11*100+G101,"0"),'Draft Pick Order'!$B$3:$B$254,0)))), "")</f>
        <v/>
      </c>
      <c r="W101" s="3">
        <f>IFERROR(IF($L101&lt;&gt;"",IF($L101&lt;='Draft Slayer Classic'!$E$23, $K101,0),IF(VALUE(VLOOKUP($K101, ADP!$D:$P, 20,FALSE))&lt;=VALUE('Draft Slayer Classic'!$F$26+1), $K101,0)),0)</f>
        <v>0</v>
      </c>
      <c r="X101" s="3" t="str">
        <f>IFERROR(IF($K101="", "",
IF($L101="",
(INDEX(ADP!$A$7:$A$260,MATCH(Instructions!$K101,ADP!$D$7:$D$260,0))-'Draft Slayer Classic'!$E$25),
INDEX('Draft Pick Order'!$C$3:$C$254,MATCH(TEXT(Instructions!$J$11*100+$L101,"0"),'Draft Pick Order'!$B$3:$B$254,0)))), "")</f>
        <v/>
      </c>
      <c r="Y101" s="3"/>
      <c r="Z101" s="3"/>
      <c r="AA101" s="3"/>
      <c r="AB101" s="3"/>
    </row>
    <row r="102" spans="1:28" x14ac:dyDescent="0.25">
      <c r="A102" s="86"/>
      <c r="B102" s="11"/>
      <c r="C102" s="13"/>
      <c r="D102" s="8"/>
      <c r="E102" s="12">
        <v>17</v>
      </c>
      <c r="F102" s="82"/>
      <c r="G102" s="594"/>
      <c r="H102" s="595"/>
      <c r="I102" s="300" t="str">
        <f>IFERROR(INDEX(ADP!$AI:$AI,MATCH(F102,ADP!$D:$D,0)),"")</f>
        <v/>
      </c>
      <c r="J102" s="12">
        <v>17</v>
      </c>
      <c r="K102" s="82"/>
      <c r="L102" s="594"/>
      <c r="M102" s="595"/>
      <c r="N102" s="300" t="str">
        <f>IFERROR(INDEX(ADP!$AI:$AI,MATCH(K102,ADP!$D:$D,0)),"")</f>
        <v/>
      </c>
      <c r="O102" s="13"/>
      <c r="P102" s="13"/>
      <c r="Q102" s="10"/>
      <c r="R102" s="88"/>
      <c r="S102" s="3" t="str">
        <f>IFERROR(VLOOKUP(F102, 'Draft Slayer Classic'!AE:AE, 1, FALSE),"")</f>
        <v/>
      </c>
      <c r="T102" s="3" t="str">
        <f>IFERROR(VLOOKUP(K102, 'Draft Slayer Classic'!AP:AP, 1, FALSE),"")</f>
        <v/>
      </c>
      <c r="U102" s="3">
        <f>IFERROR(IF($G102&lt;&gt;"",IF($G102&lt;='Draft Slayer Classic'!$E$23, $F102,0),IF(VALUE(VLOOKUP($F102, ADP!$D:$P, 20,FALSE)) &lt;= VALUE('Draft Slayer Classic'!$F$26+1), $F102,0)),0)</f>
        <v>0</v>
      </c>
      <c r="V102" s="3" t="str">
        <f>IFERROR(IF($F102="", "",
IF(G102="",
(INDEX(ADP!$A$7:$A$260,MATCH(Instructions!$F102,ADP!$D$7:$D$260,0))-'Draft Slayer Classic'!$E$25),
INDEX('Draft Pick Order'!$C$3:$C$254,MATCH(TEXT(Instructions!$J$11*100+G102,"0"),'Draft Pick Order'!$B$3:$B$254,0)))), "")</f>
        <v/>
      </c>
      <c r="W102" s="3">
        <f>IFERROR(IF($L102&lt;&gt;"",IF($L102&lt;='Draft Slayer Classic'!$E$23, $K102,0),IF(VALUE(VLOOKUP($K102, ADP!$D:$P, 20,FALSE))&lt;=VALUE('Draft Slayer Classic'!$F$26+1), $K102,0)),0)</f>
        <v>0</v>
      </c>
      <c r="X102" s="3" t="str">
        <f>IFERROR(IF($K102="", "",
IF($L102="",
(INDEX(ADP!$A$7:$A$260,MATCH(Instructions!$K102,ADP!$D$7:$D$260,0))-'Draft Slayer Classic'!$E$25),
INDEX('Draft Pick Order'!$C$3:$C$254,MATCH(TEXT(Instructions!$J$11*100+$L102,"0"),'Draft Pick Order'!$B$3:$B$254,0)))), "")</f>
        <v/>
      </c>
      <c r="Y102" s="3"/>
      <c r="Z102" s="3"/>
      <c r="AA102" s="3"/>
      <c r="AB102" s="3"/>
    </row>
    <row r="103" spans="1:28" x14ac:dyDescent="0.25">
      <c r="A103" s="86"/>
      <c r="B103" s="11"/>
      <c r="C103" s="13"/>
      <c r="D103" s="8"/>
      <c r="E103" s="12">
        <v>18</v>
      </c>
      <c r="F103" s="81"/>
      <c r="G103" s="592"/>
      <c r="H103" s="593"/>
      <c r="I103" s="298" t="str">
        <f>IFERROR(INDEX(ADP!$AI:$AI,MATCH(F103,ADP!$D:$D,0)),"")</f>
        <v/>
      </c>
      <c r="J103" s="12">
        <v>18</v>
      </c>
      <c r="K103" s="81"/>
      <c r="L103" s="592"/>
      <c r="M103" s="593"/>
      <c r="N103" s="298" t="str">
        <f>IFERROR(INDEX(ADP!$AI:$AI,MATCH(K103,ADP!$D:$D,0)),"")</f>
        <v/>
      </c>
      <c r="O103" s="13"/>
      <c r="P103" s="13"/>
      <c r="Q103" s="10"/>
      <c r="R103" s="88"/>
      <c r="S103" s="3" t="str">
        <f>IFERROR(VLOOKUP(F103, 'Draft Slayer Classic'!AE:AE, 1, FALSE),"")</f>
        <v/>
      </c>
      <c r="T103" s="3" t="str">
        <f>IFERROR(VLOOKUP(K103, 'Draft Slayer Classic'!AP:AP, 1, FALSE),"")</f>
        <v/>
      </c>
      <c r="U103" s="3">
        <f>IFERROR(IF($G103&lt;&gt;"",IF($G103&lt;='Draft Slayer Classic'!$E$23, $F103,0),IF(VALUE(VLOOKUP($F103, ADP!$D:$P, 20,FALSE)) &lt;= VALUE('Draft Slayer Classic'!$F$26+1), $F103,0)),0)</f>
        <v>0</v>
      </c>
      <c r="V103" s="3" t="str">
        <f>IFERROR(IF($F103="", "",
IF(G103="",
(INDEX(ADP!$A$7:$A$260,MATCH(Instructions!$F103,ADP!$D$7:$D$260,0))-'Draft Slayer Classic'!$E$25),
INDEX('Draft Pick Order'!$C$3:$C$254,MATCH(TEXT(Instructions!$J$11*100+G103,"0"),'Draft Pick Order'!$B$3:$B$254,0)))), "")</f>
        <v/>
      </c>
      <c r="W103" s="3">
        <f>IFERROR(IF($L103&lt;&gt;"",IF($L103&lt;='Draft Slayer Classic'!$E$23, $K103,0),IF(VALUE(VLOOKUP($K103, ADP!$D:$P, 20,FALSE))&lt;=VALUE('Draft Slayer Classic'!$F$26+1), $K103,0)),0)</f>
        <v>0</v>
      </c>
      <c r="X103" s="3" t="str">
        <f>IFERROR(IF($K103="", "",
IF($L103="",
(INDEX(ADP!$A$7:$A$260,MATCH(Instructions!$K103,ADP!$D$7:$D$260,0))-'Draft Slayer Classic'!$E$25),
INDEX('Draft Pick Order'!$C$3:$C$254,MATCH(TEXT(Instructions!$J$11*100+$L103,"0"),'Draft Pick Order'!$B$3:$B$254,0)))), "")</f>
        <v/>
      </c>
      <c r="Y103" s="3"/>
      <c r="Z103" s="3"/>
      <c r="AA103" s="3"/>
      <c r="AB103" s="3"/>
    </row>
    <row r="104" spans="1:28" x14ac:dyDescent="0.25">
      <c r="A104" s="86"/>
      <c r="B104" s="11"/>
      <c r="C104" s="13"/>
      <c r="D104" s="8"/>
      <c r="E104" s="12">
        <v>19</v>
      </c>
      <c r="F104" s="82"/>
      <c r="G104" s="594"/>
      <c r="H104" s="595"/>
      <c r="I104" s="300" t="str">
        <f>IFERROR(INDEX(ADP!$AI:$AI,MATCH(F104,ADP!$D:$D,0)),"")</f>
        <v/>
      </c>
      <c r="J104" s="12">
        <v>19</v>
      </c>
      <c r="K104" s="82"/>
      <c r="L104" s="594"/>
      <c r="M104" s="595"/>
      <c r="N104" s="300" t="str">
        <f>IFERROR(INDEX(ADP!$AI:$AI,MATCH(K104,ADP!$D:$D,0)),"")</f>
        <v/>
      </c>
      <c r="O104" s="13"/>
      <c r="P104" s="13"/>
      <c r="Q104" s="10"/>
      <c r="R104" s="88"/>
      <c r="S104" s="3" t="str">
        <f>IFERROR(VLOOKUP(F104, 'Draft Slayer Classic'!AE:AE, 1, FALSE),"")</f>
        <v/>
      </c>
      <c r="T104" s="3" t="str">
        <f>IFERROR(VLOOKUP(K104, 'Draft Slayer Classic'!AP:AP, 1, FALSE),"")</f>
        <v/>
      </c>
      <c r="U104" s="3">
        <f>IFERROR(IF($G104&lt;&gt;"",IF($G104&lt;='Draft Slayer Classic'!$E$23, $F104,0),IF(VALUE(VLOOKUP($F104, ADP!$D:$P, 20,FALSE)) &lt;= VALUE('Draft Slayer Classic'!$F$26+1), $F104,0)),0)</f>
        <v>0</v>
      </c>
      <c r="V104" s="3" t="str">
        <f>IFERROR(IF($F104="", "",
IF(G104="",
(INDEX(ADP!$A$7:$A$260,MATCH(Instructions!$F104,ADP!$D$7:$D$260,0))-'Draft Slayer Classic'!$E$25),
INDEX('Draft Pick Order'!$C$3:$C$254,MATCH(TEXT(Instructions!$J$11*100+G104,"0"),'Draft Pick Order'!$B$3:$B$254,0)))), "")</f>
        <v/>
      </c>
      <c r="W104" s="3">
        <f>IFERROR(IF($L104&lt;&gt;"",IF($L104&lt;='Draft Slayer Classic'!$E$23, $K104,0),IF(VALUE(VLOOKUP($K104, ADP!$D:$P, 20,FALSE))&lt;=VALUE('Draft Slayer Classic'!$F$26+1), $K104,0)),0)</f>
        <v>0</v>
      </c>
      <c r="X104" s="3" t="str">
        <f>IFERROR(IF($K104="", "",
IF($L104="",
(INDEX(ADP!$A$7:$A$260,MATCH(Instructions!$K104,ADP!$D$7:$D$260,0))-'Draft Slayer Classic'!$E$25),
INDEX('Draft Pick Order'!$C$3:$C$254,MATCH(TEXT(Instructions!$J$11*100+$L104,"0"),'Draft Pick Order'!$B$3:$B$254,0)))), "")</f>
        <v/>
      </c>
      <c r="Y104" s="3"/>
      <c r="Z104" s="3"/>
      <c r="AA104" s="3"/>
      <c r="AB104" s="3"/>
    </row>
    <row r="105" spans="1:28" ht="15.75" thickBot="1" x14ac:dyDescent="0.3">
      <c r="A105" s="86"/>
      <c r="B105" s="11"/>
      <c r="C105" s="13"/>
      <c r="D105" s="8"/>
      <c r="E105" s="12">
        <v>20</v>
      </c>
      <c r="F105" s="83"/>
      <c r="G105" s="600"/>
      <c r="H105" s="601"/>
      <c r="I105" s="299" t="str">
        <f>IFERROR(INDEX(ADP!$AI:$AI,MATCH(F105,ADP!$D:$D,0)),"")</f>
        <v/>
      </c>
      <c r="J105" s="12">
        <v>20</v>
      </c>
      <c r="K105" s="83"/>
      <c r="L105" s="600"/>
      <c r="M105" s="601"/>
      <c r="N105" s="299" t="str">
        <f>IFERROR(INDEX(ADP!$AI:$AI,MATCH(K105,ADP!$D:$D,0)),"")</f>
        <v/>
      </c>
      <c r="O105" s="13"/>
      <c r="P105" s="13"/>
      <c r="Q105" s="10"/>
      <c r="R105" s="88"/>
      <c r="S105" s="3" t="str">
        <f>IFERROR(VLOOKUP(F105, 'Draft Slayer Classic'!AE:AE, 1, FALSE),"")</f>
        <v/>
      </c>
      <c r="T105" s="3" t="str">
        <f>IFERROR(VLOOKUP(K105, 'Draft Slayer Classic'!AP:AP, 1, FALSE),"")</f>
        <v/>
      </c>
      <c r="U105" s="3">
        <f>IFERROR(IF($G105&lt;&gt;"",IF($G105&lt;='Draft Slayer Classic'!$E$23, $F105,0),IF(VALUE(VLOOKUP($F105, ADP!$D:$P, 20,FALSE)) &lt;= VALUE('Draft Slayer Classic'!$F$26+1), $F105,0)),0)</f>
        <v>0</v>
      </c>
      <c r="V105" s="3" t="str">
        <f>IFERROR(IF($F105="", "",
IF(G105="",
(INDEX(ADP!$A$7:$A$260,MATCH(Instructions!$F105,ADP!$D$7:$D$260,0))-'Draft Slayer Classic'!$E$25),
INDEX('Draft Pick Order'!$C$3:$C$254,MATCH(TEXT(Instructions!$J$11*100+G105,"0"),'Draft Pick Order'!$B$3:$B$254,0)))), "")</f>
        <v/>
      </c>
      <c r="W105" s="3">
        <f>IFERROR(IF($L105&lt;&gt;"",IF($L105&lt;='Draft Slayer Classic'!$E$23, $K105,0),IF(VALUE(VLOOKUP($K105, ADP!$D:$P, 20,FALSE))&lt;=VALUE('Draft Slayer Classic'!$F$26+1), $K105,0)),0)</f>
        <v>0</v>
      </c>
      <c r="X105" s="3" t="str">
        <f>IFERROR(IF($K105="", "",
IF($L105="",
(INDEX(ADP!$A$7:$A$260,MATCH(Instructions!$K105,ADP!$D$7:$D$260,0))-'Draft Slayer Classic'!$E$25),
INDEX('Draft Pick Order'!$C$3:$C$254,MATCH(TEXT(Instructions!$J$11*100+$L105,"0"),'Draft Pick Order'!$B$3:$B$254,0)))), "")</f>
        <v/>
      </c>
      <c r="Y105" s="3"/>
      <c r="Z105" s="3"/>
      <c r="AA105" s="3"/>
      <c r="AB105" s="3"/>
    </row>
    <row r="106" spans="1:28" x14ac:dyDescent="0.25">
      <c r="A106" s="86"/>
      <c r="B106" s="11"/>
      <c r="C106" s="13"/>
      <c r="D106" s="8"/>
      <c r="E106" s="8"/>
      <c r="F106" s="8"/>
      <c r="G106" s="8"/>
      <c r="H106" s="9"/>
      <c r="I106" s="8"/>
      <c r="J106" s="8"/>
      <c r="K106" s="8"/>
      <c r="L106" s="8"/>
      <c r="M106" s="8"/>
      <c r="N106" s="8"/>
      <c r="O106" s="8"/>
      <c r="P106" s="8"/>
      <c r="Q106" s="10"/>
      <c r="R106" s="88"/>
      <c r="S106" s="3">
        <v>1</v>
      </c>
    </row>
    <row r="107" spans="1:28" ht="15.75" thickBot="1" x14ac:dyDescent="0.3">
      <c r="A107" s="86"/>
      <c r="B107" s="11"/>
      <c r="C107" s="13"/>
      <c r="D107" s="8"/>
      <c r="E107" s="8"/>
      <c r="F107" s="8"/>
      <c r="G107" s="8"/>
      <c r="H107" s="9"/>
      <c r="I107" s="8"/>
      <c r="J107" s="8"/>
      <c r="K107" s="8"/>
      <c r="L107" s="8"/>
      <c r="M107" s="8"/>
      <c r="N107" s="8"/>
      <c r="O107" s="8"/>
      <c r="P107" s="8"/>
      <c r="Q107" s="10"/>
      <c r="R107" s="88"/>
      <c r="AA107" t="s">
        <v>171</v>
      </c>
    </row>
    <row r="108" spans="1:28" ht="15.75" thickBot="1" x14ac:dyDescent="0.3">
      <c r="A108" s="86"/>
      <c r="B108" s="11"/>
      <c r="C108" s="40" t="s">
        <v>699</v>
      </c>
      <c r="D108" s="51"/>
      <c r="E108" s="64" t="s">
        <v>1994</v>
      </c>
      <c r="F108" s="52"/>
      <c r="G108" s="52"/>
      <c r="H108" s="53"/>
      <c r="I108" s="52"/>
      <c r="J108" s="52"/>
      <c r="K108" s="52"/>
      <c r="L108" s="52"/>
      <c r="M108" s="52"/>
      <c r="N108" s="52"/>
      <c r="O108" s="54"/>
      <c r="P108" s="8"/>
      <c r="Q108" s="10"/>
      <c r="R108" s="88"/>
      <c r="S108"/>
      <c r="T108"/>
      <c r="U108"/>
      <c r="V108"/>
      <c r="W108"/>
    </row>
    <row r="109" spans="1:28" ht="15.75" thickBot="1" x14ac:dyDescent="0.3">
      <c r="A109" s="86"/>
      <c r="B109" s="11"/>
      <c r="C109" s="13"/>
      <c r="D109" s="8"/>
      <c r="E109" s="8"/>
      <c r="F109" s="8"/>
      <c r="G109" s="8"/>
      <c r="H109" s="9"/>
      <c r="I109" s="8"/>
      <c r="J109" s="8"/>
      <c r="K109" s="8"/>
      <c r="L109" s="8"/>
      <c r="M109" s="8"/>
      <c r="N109" s="8"/>
      <c r="O109" s="8"/>
      <c r="P109" s="8"/>
      <c r="Q109" s="10"/>
      <c r="R109" s="88"/>
      <c r="S109"/>
      <c r="T109"/>
      <c r="U109"/>
      <c r="V109"/>
      <c r="W109"/>
    </row>
    <row r="110" spans="1:28" ht="15.75" thickBot="1" x14ac:dyDescent="0.3">
      <c r="A110" s="86"/>
      <c r="B110" s="11"/>
      <c r="C110" s="13"/>
      <c r="D110" s="8"/>
      <c r="E110" s="8"/>
      <c r="F110" s="26" t="str">
        <f>F42</f>
        <v>Trumbo</v>
      </c>
      <c r="G110" s="588" t="s">
        <v>1172</v>
      </c>
      <c r="H110" s="589"/>
      <c r="I110" s="8"/>
      <c r="J110" s="8"/>
      <c r="K110" s="26" t="str">
        <f>F43</f>
        <v>Camden</v>
      </c>
      <c r="L110" s="588" t="s">
        <v>1172</v>
      </c>
      <c r="M110" s="589"/>
      <c r="N110" s="8"/>
      <c r="O110" s="8"/>
      <c r="P110" s="8"/>
      <c r="Q110" s="10"/>
      <c r="R110" s="88"/>
      <c r="S110"/>
      <c r="T110"/>
      <c r="U110"/>
      <c r="V110"/>
      <c r="W110"/>
    </row>
    <row r="111" spans="1:28" x14ac:dyDescent="0.25">
      <c r="A111" s="86"/>
      <c r="B111" s="11"/>
      <c r="C111" s="13"/>
      <c r="D111" s="8"/>
      <c r="E111" s="12">
        <v>1</v>
      </c>
      <c r="F111" s="80" t="s">
        <v>2195</v>
      </c>
      <c r="G111" s="590">
        <v>60</v>
      </c>
      <c r="H111" s="591"/>
      <c r="I111" s="8"/>
      <c r="J111" s="12">
        <v>1</v>
      </c>
      <c r="K111" s="80" t="s">
        <v>1416</v>
      </c>
      <c r="L111" s="590">
        <v>36</v>
      </c>
      <c r="M111" s="591"/>
      <c r="N111" s="8"/>
      <c r="O111" s="8"/>
      <c r="P111" s="8"/>
      <c r="Q111" s="10"/>
      <c r="R111" s="88"/>
      <c r="S111"/>
      <c r="T111" t="str">
        <f>F111</f>
        <v>JaMarr Chase</v>
      </c>
      <c r="U111">
        <f>G111</f>
        <v>60</v>
      </c>
      <c r="V111"/>
      <c r="W111"/>
    </row>
    <row r="112" spans="1:28" x14ac:dyDescent="0.25">
      <c r="A112" s="86"/>
      <c r="B112" s="11"/>
      <c r="C112" s="13"/>
      <c r="D112" s="8"/>
      <c r="E112" s="12">
        <v>2</v>
      </c>
      <c r="F112" s="81"/>
      <c r="G112" s="582"/>
      <c r="H112" s="583"/>
      <c r="I112" s="8"/>
      <c r="J112" s="12">
        <v>2</v>
      </c>
      <c r="K112" s="81"/>
      <c r="L112" s="582"/>
      <c r="M112" s="583"/>
      <c r="N112" s="8"/>
      <c r="O112" s="8"/>
      <c r="P112" s="8"/>
      <c r="Q112" s="10"/>
      <c r="R112" s="88"/>
      <c r="S112"/>
      <c r="T112">
        <f t="shared" ref="T112:T117" si="0">F112</f>
        <v>0</v>
      </c>
      <c r="U112">
        <f t="shared" ref="U112:U117" si="1">G112</f>
        <v>0</v>
      </c>
      <c r="V112"/>
      <c r="W112"/>
    </row>
    <row r="113" spans="1:23" x14ac:dyDescent="0.25">
      <c r="A113" s="86"/>
      <c r="B113" s="11"/>
      <c r="C113" s="13"/>
      <c r="D113" s="8"/>
      <c r="E113" s="12">
        <v>3</v>
      </c>
      <c r="F113" s="80"/>
      <c r="G113" s="584"/>
      <c r="H113" s="585"/>
      <c r="I113" s="8"/>
      <c r="J113" s="12">
        <v>3</v>
      </c>
      <c r="K113" s="80"/>
      <c r="L113" s="584"/>
      <c r="M113" s="585"/>
      <c r="N113" s="8"/>
      <c r="O113" s="8"/>
      <c r="P113" s="8"/>
      <c r="Q113" s="10"/>
      <c r="R113" s="88"/>
      <c r="S113"/>
      <c r="T113">
        <f t="shared" si="0"/>
        <v>0</v>
      </c>
      <c r="U113">
        <f t="shared" si="1"/>
        <v>0</v>
      </c>
      <c r="V113"/>
      <c r="W113"/>
    </row>
    <row r="114" spans="1:23" x14ac:dyDescent="0.25">
      <c r="A114" s="86"/>
      <c r="B114" s="11"/>
      <c r="C114" s="13"/>
      <c r="D114" s="8"/>
      <c r="E114" s="12">
        <v>4</v>
      </c>
      <c r="F114" s="81"/>
      <c r="G114" s="582"/>
      <c r="H114" s="583"/>
      <c r="I114" s="8"/>
      <c r="J114" s="12">
        <v>4</v>
      </c>
      <c r="K114" s="81"/>
      <c r="L114" s="582"/>
      <c r="M114" s="583"/>
      <c r="N114" s="8"/>
      <c r="O114" s="8"/>
      <c r="P114" s="8"/>
      <c r="Q114" s="10"/>
      <c r="R114" s="88"/>
      <c r="S114"/>
      <c r="T114">
        <f t="shared" si="0"/>
        <v>0</v>
      </c>
      <c r="U114">
        <f t="shared" si="1"/>
        <v>0</v>
      </c>
      <c r="V114"/>
      <c r="W114"/>
    </row>
    <row r="115" spans="1:23" x14ac:dyDescent="0.25">
      <c r="A115" s="86"/>
      <c r="B115" s="11"/>
      <c r="C115" s="13"/>
      <c r="D115" s="8"/>
      <c r="E115" s="12">
        <v>5</v>
      </c>
      <c r="F115" s="80"/>
      <c r="G115" s="584"/>
      <c r="H115" s="585"/>
      <c r="I115" s="8"/>
      <c r="J115" s="12">
        <v>5</v>
      </c>
      <c r="K115" s="80"/>
      <c r="L115" s="584"/>
      <c r="M115" s="585"/>
      <c r="N115" s="8"/>
      <c r="O115" s="8"/>
      <c r="P115" s="8"/>
      <c r="Q115" s="10"/>
      <c r="R115" s="88"/>
      <c r="S115"/>
      <c r="T115">
        <f t="shared" si="0"/>
        <v>0</v>
      </c>
      <c r="U115">
        <f t="shared" si="1"/>
        <v>0</v>
      </c>
      <c r="V115"/>
      <c r="W115"/>
    </row>
    <row r="116" spans="1:23" x14ac:dyDescent="0.25">
      <c r="A116" s="86"/>
      <c r="B116" s="11"/>
      <c r="C116" s="13"/>
      <c r="D116" s="8"/>
      <c r="E116" s="12">
        <v>6</v>
      </c>
      <c r="F116" s="81"/>
      <c r="G116" s="582"/>
      <c r="H116" s="583"/>
      <c r="I116" s="8"/>
      <c r="J116" s="12">
        <v>6</v>
      </c>
      <c r="K116" s="81"/>
      <c r="L116" s="582"/>
      <c r="M116" s="583"/>
      <c r="N116" s="8"/>
      <c r="O116" s="8"/>
      <c r="P116" s="8"/>
      <c r="Q116" s="10"/>
      <c r="R116" s="88"/>
      <c r="S116"/>
      <c r="T116">
        <f t="shared" si="0"/>
        <v>0</v>
      </c>
      <c r="U116">
        <f t="shared" si="1"/>
        <v>0</v>
      </c>
      <c r="V116"/>
      <c r="W116"/>
    </row>
    <row r="117" spans="1:23" ht="15.75" thickBot="1" x14ac:dyDescent="0.3">
      <c r="A117" s="86"/>
      <c r="B117" s="11"/>
      <c r="C117" s="13"/>
      <c r="D117" s="8"/>
      <c r="E117" s="12">
        <v>7</v>
      </c>
      <c r="F117" s="97"/>
      <c r="G117" s="586"/>
      <c r="H117" s="587"/>
      <c r="I117" s="8"/>
      <c r="J117" s="12">
        <v>7</v>
      </c>
      <c r="K117" s="97"/>
      <c r="L117" s="586"/>
      <c r="M117" s="587"/>
      <c r="N117" s="8"/>
      <c r="O117" s="8"/>
      <c r="P117" s="8"/>
      <c r="Q117" s="10"/>
      <c r="R117" s="88"/>
      <c r="S117"/>
      <c r="T117">
        <f t="shared" si="0"/>
        <v>0</v>
      </c>
      <c r="U117">
        <f t="shared" si="1"/>
        <v>0</v>
      </c>
      <c r="V117"/>
      <c r="W117"/>
    </row>
    <row r="118" spans="1:23" ht="15.75" thickBot="1" x14ac:dyDescent="0.3">
      <c r="A118" s="86"/>
      <c r="B118" s="11"/>
      <c r="C118" s="13"/>
      <c r="D118" s="8"/>
      <c r="E118" s="12"/>
      <c r="F118" s="8"/>
      <c r="G118" s="8"/>
      <c r="H118" s="9"/>
      <c r="I118" s="8"/>
      <c r="J118" s="12"/>
      <c r="K118" s="8"/>
      <c r="L118" s="8"/>
      <c r="M118" s="8"/>
      <c r="N118" s="8"/>
      <c r="O118" s="8"/>
      <c r="P118" s="8"/>
      <c r="Q118" s="10"/>
      <c r="R118" s="88"/>
      <c r="S118"/>
      <c r="T118" t="str">
        <f t="shared" ref="T118:U124" si="2">K111</f>
        <v>Cooper Kupp</v>
      </c>
      <c r="U118">
        <f t="shared" si="2"/>
        <v>36</v>
      </c>
      <c r="V118"/>
      <c r="W118"/>
    </row>
    <row r="119" spans="1:23" ht="15.75" thickBot="1" x14ac:dyDescent="0.3">
      <c r="A119" s="86"/>
      <c r="B119" s="11"/>
      <c r="C119" s="13"/>
      <c r="D119" s="8"/>
      <c r="E119" s="12"/>
      <c r="F119" s="26" t="str">
        <f>F44</f>
        <v>Cam</v>
      </c>
      <c r="G119" s="588" t="s">
        <v>1172</v>
      </c>
      <c r="H119" s="589"/>
      <c r="I119" s="8"/>
      <c r="J119" s="12"/>
      <c r="K119" s="26" t="str">
        <f>F45</f>
        <v>Miles</v>
      </c>
      <c r="L119" s="588" t="s">
        <v>1172</v>
      </c>
      <c r="M119" s="589"/>
      <c r="N119" s="8"/>
      <c r="O119" s="8"/>
      <c r="P119" s="8"/>
      <c r="Q119" s="10"/>
      <c r="R119" s="88"/>
      <c r="S119"/>
      <c r="T119">
        <f t="shared" si="2"/>
        <v>0</v>
      </c>
      <c r="U119">
        <f t="shared" si="2"/>
        <v>0</v>
      </c>
      <c r="V119"/>
      <c r="W119"/>
    </row>
    <row r="120" spans="1:23" x14ac:dyDescent="0.25">
      <c r="A120" s="86"/>
      <c r="B120" s="11"/>
      <c r="C120" s="13"/>
      <c r="D120" s="8"/>
      <c r="E120" s="12">
        <v>1</v>
      </c>
      <c r="F120" s="80" t="s">
        <v>2079</v>
      </c>
      <c r="G120" s="590">
        <v>51</v>
      </c>
      <c r="H120" s="591"/>
      <c r="I120" s="8"/>
      <c r="J120" s="12">
        <v>1</v>
      </c>
      <c r="K120" s="80" t="s">
        <v>1124</v>
      </c>
      <c r="L120" s="590">
        <v>52</v>
      </c>
      <c r="M120" s="591"/>
      <c r="N120" s="8"/>
      <c r="O120" s="8"/>
      <c r="P120" s="8"/>
      <c r="Q120" s="10"/>
      <c r="R120" s="88"/>
      <c r="S120"/>
      <c r="T120">
        <f t="shared" si="2"/>
        <v>0</v>
      </c>
      <c r="U120">
        <f t="shared" si="2"/>
        <v>0</v>
      </c>
      <c r="V120"/>
      <c r="W120"/>
    </row>
    <row r="121" spans="1:23" x14ac:dyDescent="0.25">
      <c r="A121" s="86"/>
      <c r="B121" s="11"/>
      <c r="C121" s="13"/>
      <c r="D121" s="8"/>
      <c r="E121" s="12">
        <v>2</v>
      </c>
      <c r="F121" s="81"/>
      <c r="G121" s="582"/>
      <c r="H121" s="583"/>
      <c r="I121" s="8"/>
      <c r="J121" s="12">
        <v>2</v>
      </c>
      <c r="K121" s="81"/>
      <c r="L121" s="582"/>
      <c r="M121" s="583"/>
      <c r="N121" s="8"/>
      <c r="O121" s="8"/>
      <c r="P121" s="8"/>
      <c r="Q121" s="10"/>
      <c r="R121" s="88"/>
      <c r="S121"/>
      <c r="T121">
        <f t="shared" si="2"/>
        <v>0</v>
      </c>
      <c r="U121">
        <f t="shared" si="2"/>
        <v>0</v>
      </c>
      <c r="V121"/>
      <c r="W121"/>
    </row>
    <row r="122" spans="1:23" x14ac:dyDescent="0.25">
      <c r="A122" s="86"/>
      <c r="B122" s="11"/>
      <c r="C122" s="13"/>
      <c r="D122" s="8"/>
      <c r="E122" s="12">
        <v>3</v>
      </c>
      <c r="F122" s="80"/>
      <c r="G122" s="584"/>
      <c r="H122" s="585"/>
      <c r="I122" s="8"/>
      <c r="J122" s="12">
        <v>3</v>
      </c>
      <c r="K122" s="80"/>
      <c r="L122" s="584"/>
      <c r="M122" s="585"/>
      <c r="N122" s="8"/>
      <c r="O122" s="8"/>
      <c r="P122" s="8"/>
      <c r="Q122" s="10"/>
      <c r="R122" s="88"/>
      <c r="S122"/>
      <c r="T122">
        <f t="shared" si="2"/>
        <v>0</v>
      </c>
      <c r="U122">
        <f t="shared" si="2"/>
        <v>0</v>
      </c>
      <c r="V122"/>
      <c r="W122"/>
    </row>
    <row r="123" spans="1:23" x14ac:dyDescent="0.25">
      <c r="A123" s="86"/>
      <c r="B123" s="11"/>
      <c r="C123" s="13"/>
      <c r="D123" s="8"/>
      <c r="E123" s="12">
        <v>4</v>
      </c>
      <c r="F123" s="81"/>
      <c r="G123" s="582"/>
      <c r="H123" s="583"/>
      <c r="I123" s="8"/>
      <c r="J123" s="12">
        <v>4</v>
      </c>
      <c r="K123" s="81"/>
      <c r="L123" s="582"/>
      <c r="M123" s="583"/>
      <c r="N123" s="8"/>
      <c r="O123" s="8"/>
      <c r="P123" s="8"/>
      <c r="Q123" s="10"/>
      <c r="R123" s="88"/>
      <c r="S123"/>
      <c r="T123">
        <f t="shared" si="2"/>
        <v>0</v>
      </c>
      <c r="U123">
        <f t="shared" si="2"/>
        <v>0</v>
      </c>
      <c r="V123"/>
      <c r="W123"/>
    </row>
    <row r="124" spans="1:23" x14ac:dyDescent="0.25">
      <c r="A124" s="86"/>
      <c r="B124" s="11"/>
      <c r="C124" s="13"/>
      <c r="D124" s="8"/>
      <c r="E124" s="12">
        <v>5</v>
      </c>
      <c r="F124" s="80"/>
      <c r="G124" s="584"/>
      <c r="H124" s="585"/>
      <c r="I124" s="8"/>
      <c r="J124" s="12">
        <v>5</v>
      </c>
      <c r="K124" s="80"/>
      <c r="L124" s="584"/>
      <c r="M124" s="585"/>
      <c r="N124" s="8"/>
      <c r="O124" s="8"/>
      <c r="P124" s="8"/>
      <c r="Q124" s="10"/>
      <c r="R124" s="88"/>
      <c r="S124"/>
      <c r="T124">
        <f t="shared" si="2"/>
        <v>0</v>
      </c>
      <c r="U124">
        <f t="shared" si="2"/>
        <v>0</v>
      </c>
      <c r="V124"/>
      <c r="W124"/>
    </row>
    <row r="125" spans="1:23" x14ac:dyDescent="0.25">
      <c r="A125" s="86"/>
      <c r="B125" s="11"/>
      <c r="C125" s="13"/>
      <c r="D125" s="8"/>
      <c r="E125" s="12">
        <v>6</v>
      </c>
      <c r="F125" s="81"/>
      <c r="G125" s="582"/>
      <c r="H125" s="583"/>
      <c r="I125" s="8"/>
      <c r="J125" s="12">
        <v>6</v>
      </c>
      <c r="K125" s="81"/>
      <c r="L125" s="582"/>
      <c r="M125" s="583"/>
      <c r="N125" s="8"/>
      <c r="O125" s="8"/>
      <c r="P125" s="8"/>
      <c r="Q125" s="10"/>
      <c r="R125" s="88"/>
      <c r="S125"/>
      <c r="T125" t="str">
        <f t="shared" ref="T125:U131" si="3">F120</f>
        <v>CeeDee Lamb</v>
      </c>
      <c r="U125">
        <f t="shared" si="3"/>
        <v>51</v>
      </c>
      <c r="V125"/>
      <c r="W125"/>
    </row>
    <row r="126" spans="1:23" ht="15.75" thickBot="1" x14ac:dyDescent="0.3">
      <c r="A126" s="86"/>
      <c r="B126" s="11"/>
      <c r="C126" s="13"/>
      <c r="D126" s="8"/>
      <c r="E126" s="12">
        <v>7</v>
      </c>
      <c r="F126" s="97"/>
      <c r="G126" s="586"/>
      <c r="H126" s="587"/>
      <c r="I126" s="8"/>
      <c r="J126" s="12">
        <v>7</v>
      </c>
      <c r="K126" s="97"/>
      <c r="L126" s="586"/>
      <c r="M126" s="587"/>
      <c r="N126" s="8"/>
      <c r="O126" s="8"/>
      <c r="P126" s="8"/>
      <c r="Q126" s="10"/>
      <c r="R126" s="88"/>
      <c r="S126"/>
      <c r="T126">
        <f t="shared" si="3"/>
        <v>0</v>
      </c>
      <c r="U126">
        <f t="shared" si="3"/>
        <v>0</v>
      </c>
      <c r="V126"/>
      <c r="W126"/>
    </row>
    <row r="127" spans="1:23" ht="15.75" thickBot="1" x14ac:dyDescent="0.3">
      <c r="A127" s="86"/>
      <c r="B127" s="11"/>
      <c r="C127" s="13"/>
      <c r="D127" s="8"/>
      <c r="E127" s="12"/>
      <c r="F127" s="8"/>
      <c r="G127" s="8"/>
      <c r="H127" s="9"/>
      <c r="I127" s="8"/>
      <c r="J127" s="12"/>
      <c r="K127" s="8"/>
      <c r="L127" s="8"/>
      <c r="M127" s="8"/>
      <c r="N127" s="8"/>
      <c r="O127" s="8"/>
      <c r="P127" s="8"/>
      <c r="Q127" s="10"/>
      <c r="R127" s="88"/>
      <c r="S127"/>
      <c r="T127">
        <f t="shared" si="3"/>
        <v>0</v>
      </c>
      <c r="U127">
        <f t="shared" si="3"/>
        <v>0</v>
      </c>
      <c r="V127"/>
      <c r="W127"/>
    </row>
    <row r="128" spans="1:23" ht="15.75" thickBot="1" x14ac:dyDescent="0.3">
      <c r="A128" s="86"/>
      <c r="B128" s="11"/>
      <c r="C128" s="13"/>
      <c r="D128" s="8"/>
      <c r="E128" s="12"/>
      <c r="F128" s="26" t="str">
        <f>F46</f>
        <v>Con</v>
      </c>
      <c r="G128" s="588" t="s">
        <v>1172</v>
      </c>
      <c r="H128" s="589"/>
      <c r="I128" s="8"/>
      <c r="J128" s="12"/>
      <c r="K128" s="26" t="str">
        <f>F47</f>
        <v>Devin</v>
      </c>
      <c r="L128" s="588" t="s">
        <v>1172</v>
      </c>
      <c r="M128" s="589"/>
      <c r="N128" s="8"/>
      <c r="O128" s="8"/>
      <c r="P128" s="8"/>
      <c r="Q128" s="10"/>
      <c r="R128" s="88"/>
      <c r="S128"/>
      <c r="T128">
        <f t="shared" si="3"/>
        <v>0</v>
      </c>
      <c r="U128">
        <f t="shared" si="3"/>
        <v>0</v>
      </c>
      <c r="V128"/>
      <c r="W128"/>
    </row>
    <row r="129" spans="1:23" x14ac:dyDescent="0.25">
      <c r="A129" s="86"/>
      <c r="B129" s="11"/>
      <c r="C129" s="13"/>
      <c r="D129" s="8"/>
      <c r="E129" s="12">
        <v>1</v>
      </c>
      <c r="F129" s="80" t="s">
        <v>2081</v>
      </c>
      <c r="G129" s="590">
        <v>116</v>
      </c>
      <c r="H129" s="591"/>
      <c r="I129" s="8"/>
      <c r="J129" s="12">
        <v>1</v>
      </c>
      <c r="K129" s="80" t="s">
        <v>2289</v>
      </c>
      <c r="L129" s="590">
        <v>139</v>
      </c>
      <c r="M129" s="591"/>
      <c r="N129" s="8"/>
      <c r="O129" s="8"/>
      <c r="P129" s="8"/>
      <c r="Q129" s="10"/>
      <c r="R129" s="88"/>
      <c r="S129"/>
      <c r="T129">
        <f t="shared" si="3"/>
        <v>0</v>
      </c>
      <c r="U129">
        <f t="shared" si="3"/>
        <v>0</v>
      </c>
      <c r="V129"/>
      <c r="W129"/>
    </row>
    <row r="130" spans="1:23" x14ac:dyDescent="0.25">
      <c r="A130" s="86"/>
      <c r="B130" s="11"/>
      <c r="C130" s="13"/>
      <c r="D130" s="8"/>
      <c r="E130" s="12">
        <v>2</v>
      </c>
      <c r="F130" s="81"/>
      <c r="G130" s="582"/>
      <c r="H130" s="583"/>
      <c r="I130" s="8"/>
      <c r="J130" s="12">
        <v>2</v>
      </c>
      <c r="K130" s="81"/>
      <c r="L130" s="582"/>
      <c r="M130" s="583"/>
      <c r="N130" s="8"/>
      <c r="O130" s="8"/>
      <c r="P130" s="8"/>
      <c r="Q130" s="10"/>
      <c r="R130" s="88"/>
      <c r="S130"/>
      <c r="T130">
        <f t="shared" si="3"/>
        <v>0</v>
      </c>
      <c r="U130">
        <f t="shared" si="3"/>
        <v>0</v>
      </c>
      <c r="V130"/>
      <c r="W130"/>
    </row>
    <row r="131" spans="1:23" x14ac:dyDescent="0.25">
      <c r="A131" s="86"/>
      <c r="B131" s="11"/>
      <c r="C131" s="13"/>
      <c r="D131" s="8"/>
      <c r="E131" s="12">
        <v>3</v>
      </c>
      <c r="F131" s="80"/>
      <c r="G131" s="584"/>
      <c r="H131" s="585"/>
      <c r="I131" s="8"/>
      <c r="J131" s="12">
        <v>3</v>
      </c>
      <c r="K131" s="80"/>
      <c r="L131" s="584"/>
      <c r="M131" s="585"/>
      <c r="N131" s="8"/>
      <c r="O131" s="8"/>
      <c r="P131" s="8"/>
      <c r="Q131" s="10"/>
      <c r="R131" s="88"/>
      <c r="S131"/>
      <c r="T131">
        <f t="shared" si="3"/>
        <v>0</v>
      </c>
      <c r="U131">
        <f t="shared" si="3"/>
        <v>0</v>
      </c>
      <c r="V131"/>
      <c r="W131"/>
    </row>
    <row r="132" spans="1:23" x14ac:dyDescent="0.25">
      <c r="A132" s="86"/>
      <c r="B132" s="11"/>
      <c r="C132" s="13"/>
      <c r="D132" s="8"/>
      <c r="E132" s="12">
        <v>4</v>
      </c>
      <c r="F132" s="81"/>
      <c r="G132" s="582"/>
      <c r="H132" s="583"/>
      <c r="I132" s="8"/>
      <c r="J132" s="12">
        <v>4</v>
      </c>
      <c r="K132" s="81"/>
      <c r="L132" s="582"/>
      <c r="M132" s="583"/>
      <c r="N132" s="8"/>
      <c r="O132" s="8"/>
      <c r="P132" s="8"/>
      <c r="Q132" s="10"/>
      <c r="R132" s="88"/>
      <c r="S132"/>
      <c r="T132" t="str">
        <f t="shared" ref="T132:U138" si="4">K120</f>
        <v>Stefon Diggs</v>
      </c>
      <c r="U132">
        <f t="shared" si="4"/>
        <v>52</v>
      </c>
      <c r="V132"/>
      <c r="W132"/>
    </row>
    <row r="133" spans="1:23" x14ac:dyDescent="0.25">
      <c r="A133" s="86"/>
      <c r="B133" s="11"/>
      <c r="C133" s="13"/>
      <c r="D133" s="8"/>
      <c r="E133" s="12">
        <v>5</v>
      </c>
      <c r="F133" s="80"/>
      <c r="G133" s="584"/>
      <c r="H133" s="585"/>
      <c r="I133" s="8"/>
      <c r="J133" s="12">
        <v>5</v>
      </c>
      <c r="K133" s="80"/>
      <c r="L133" s="584"/>
      <c r="M133" s="585"/>
      <c r="N133" s="8"/>
      <c r="O133" s="8"/>
      <c r="P133" s="8"/>
      <c r="Q133" s="10"/>
      <c r="R133" s="88"/>
      <c r="S133"/>
      <c r="T133">
        <f t="shared" si="4"/>
        <v>0</v>
      </c>
      <c r="U133">
        <f t="shared" si="4"/>
        <v>0</v>
      </c>
      <c r="V133"/>
      <c r="W133"/>
    </row>
    <row r="134" spans="1:23" x14ac:dyDescent="0.25">
      <c r="A134" s="86"/>
      <c r="B134" s="11"/>
      <c r="C134" s="13"/>
      <c r="D134" s="8"/>
      <c r="E134" s="12">
        <v>6</v>
      </c>
      <c r="F134" s="81"/>
      <c r="G134" s="582"/>
      <c r="H134" s="583"/>
      <c r="I134" s="8"/>
      <c r="J134" s="12">
        <v>6</v>
      </c>
      <c r="K134" s="81"/>
      <c r="L134" s="582"/>
      <c r="M134" s="583"/>
      <c r="N134" s="8"/>
      <c r="O134" s="8"/>
      <c r="P134" s="8"/>
      <c r="Q134" s="10"/>
      <c r="R134" s="88"/>
      <c r="S134"/>
      <c r="T134">
        <f t="shared" si="4"/>
        <v>0</v>
      </c>
      <c r="U134">
        <f t="shared" si="4"/>
        <v>0</v>
      </c>
      <c r="V134"/>
      <c r="W134"/>
    </row>
    <row r="135" spans="1:23" ht="15.75" thickBot="1" x14ac:dyDescent="0.3">
      <c r="A135" s="86"/>
      <c r="B135" s="11"/>
      <c r="C135" s="13"/>
      <c r="D135" s="8"/>
      <c r="E135" s="12">
        <v>7</v>
      </c>
      <c r="F135" s="97"/>
      <c r="G135" s="586"/>
      <c r="H135" s="587"/>
      <c r="I135" s="8"/>
      <c r="J135" s="12">
        <v>7</v>
      </c>
      <c r="K135" s="97"/>
      <c r="L135" s="586"/>
      <c r="M135" s="587"/>
      <c r="N135" s="8"/>
      <c r="O135" s="8"/>
      <c r="P135" s="8"/>
      <c r="Q135" s="10"/>
      <c r="R135" s="88"/>
      <c r="S135"/>
      <c r="T135">
        <f t="shared" si="4"/>
        <v>0</v>
      </c>
      <c r="U135">
        <f t="shared" si="4"/>
        <v>0</v>
      </c>
      <c r="V135"/>
      <c r="W135"/>
    </row>
    <row r="136" spans="1:23" ht="15.75" thickBot="1" x14ac:dyDescent="0.3">
      <c r="A136" s="86"/>
      <c r="B136" s="11"/>
      <c r="C136" s="13"/>
      <c r="D136" s="8"/>
      <c r="E136" s="12"/>
      <c r="F136" s="8"/>
      <c r="G136" s="8"/>
      <c r="H136" s="9"/>
      <c r="I136" s="8"/>
      <c r="J136" s="12"/>
      <c r="K136" s="8"/>
      <c r="L136" s="8"/>
      <c r="M136" s="8"/>
      <c r="N136" s="8"/>
      <c r="O136" s="8"/>
      <c r="P136" s="8"/>
      <c r="Q136" s="10"/>
      <c r="R136" s="88"/>
      <c r="S136"/>
      <c r="T136">
        <f t="shared" si="4"/>
        <v>0</v>
      </c>
      <c r="U136">
        <f t="shared" si="4"/>
        <v>0</v>
      </c>
      <c r="V136"/>
      <c r="W136"/>
    </row>
    <row r="137" spans="1:23" ht="15.75" thickBot="1" x14ac:dyDescent="0.3">
      <c r="A137" s="86"/>
      <c r="B137" s="11"/>
      <c r="C137" s="13"/>
      <c r="D137" s="8"/>
      <c r="E137" s="12"/>
      <c r="F137" s="26" t="str">
        <f>F48</f>
        <v>Bui</v>
      </c>
      <c r="G137" s="588" t="s">
        <v>1172</v>
      </c>
      <c r="H137" s="589"/>
      <c r="I137" s="8"/>
      <c r="J137" s="12"/>
      <c r="K137" s="26" t="str">
        <f>F49</f>
        <v>Luke</v>
      </c>
      <c r="L137" s="588" t="s">
        <v>1172</v>
      </c>
      <c r="M137" s="589"/>
      <c r="N137" s="8"/>
      <c r="O137" s="8"/>
      <c r="P137" s="8"/>
      <c r="Q137" s="10"/>
      <c r="R137" s="88"/>
      <c r="S137"/>
      <c r="T137">
        <f t="shared" si="4"/>
        <v>0</v>
      </c>
      <c r="U137">
        <f t="shared" si="4"/>
        <v>0</v>
      </c>
      <c r="V137"/>
      <c r="W137"/>
    </row>
    <row r="138" spans="1:23" x14ac:dyDescent="0.25">
      <c r="A138" s="86"/>
      <c r="B138" s="11"/>
      <c r="C138" s="13"/>
      <c r="D138" s="8"/>
      <c r="E138" s="12">
        <v>1</v>
      </c>
      <c r="F138" s="80" t="s">
        <v>2320</v>
      </c>
      <c r="G138" s="590">
        <v>79</v>
      </c>
      <c r="H138" s="591"/>
      <c r="I138" s="8"/>
      <c r="J138" s="12">
        <v>1</v>
      </c>
      <c r="K138" s="80" t="s">
        <v>2319</v>
      </c>
      <c r="L138" s="590">
        <v>113</v>
      </c>
      <c r="M138" s="591"/>
      <c r="N138" s="8"/>
      <c r="O138" s="8"/>
      <c r="P138" s="8"/>
      <c r="Q138" s="10"/>
      <c r="R138" s="88"/>
      <c r="S138"/>
      <c r="T138">
        <f t="shared" si="4"/>
        <v>0</v>
      </c>
      <c r="U138">
        <f t="shared" si="4"/>
        <v>0</v>
      </c>
      <c r="V138"/>
      <c r="W138"/>
    </row>
    <row r="139" spans="1:23" x14ac:dyDescent="0.25">
      <c r="A139" s="86"/>
      <c r="B139" s="11"/>
      <c r="C139" s="13"/>
      <c r="D139" s="8"/>
      <c r="E139" s="12">
        <v>2</v>
      </c>
      <c r="F139" s="81"/>
      <c r="G139" s="582"/>
      <c r="H139" s="583"/>
      <c r="I139" s="8"/>
      <c r="J139" s="12">
        <v>2</v>
      </c>
      <c r="K139" s="81"/>
      <c r="L139" s="582"/>
      <c r="M139" s="583"/>
      <c r="N139" s="8"/>
      <c r="O139" s="8"/>
      <c r="P139" s="8"/>
      <c r="Q139" s="10"/>
      <c r="R139" s="88"/>
      <c r="S139"/>
      <c r="T139" t="str">
        <f>F129</f>
        <v>Justin Jefferson</v>
      </c>
      <c r="U139">
        <f>G129</f>
        <v>116</v>
      </c>
      <c r="V139"/>
      <c r="W139"/>
    </row>
    <row r="140" spans="1:23" x14ac:dyDescent="0.25">
      <c r="A140" s="86"/>
      <c r="B140" s="11"/>
      <c r="C140" s="13"/>
      <c r="D140" s="8"/>
      <c r="E140" s="12">
        <v>3</v>
      </c>
      <c r="F140" s="80"/>
      <c r="G140" s="584"/>
      <c r="H140" s="585"/>
      <c r="I140" s="8"/>
      <c r="J140" s="12">
        <v>3</v>
      </c>
      <c r="K140" s="80"/>
      <c r="L140" s="584"/>
      <c r="M140" s="585"/>
      <c r="N140" s="8"/>
      <c r="O140" s="8"/>
      <c r="P140" s="8"/>
      <c r="Q140" s="10"/>
      <c r="R140" s="88"/>
      <c r="S140"/>
      <c r="T140">
        <f t="shared" ref="T140:T145" si="5">F130</f>
        <v>0</v>
      </c>
      <c r="U140">
        <f t="shared" ref="U140:U145" si="6">G130</f>
        <v>0</v>
      </c>
      <c r="V140"/>
      <c r="W140"/>
    </row>
    <row r="141" spans="1:23" x14ac:dyDescent="0.25">
      <c r="A141" s="86"/>
      <c r="B141" s="11"/>
      <c r="C141" s="13"/>
      <c r="D141" s="8"/>
      <c r="E141" s="12">
        <v>4</v>
      </c>
      <c r="F141" s="81"/>
      <c r="G141" s="582"/>
      <c r="H141" s="583"/>
      <c r="I141" s="8"/>
      <c r="J141" s="12">
        <v>4</v>
      </c>
      <c r="K141" s="81"/>
      <c r="L141" s="582"/>
      <c r="M141" s="583"/>
      <c r="N141" s="8"/>
      <c r="O141" s="8"/>
      <c r="P141" s="8"/>
      <c r="Q141" s="10"/>
      <c r="R141" s="88"/>
      <c r="S141"/>
      <c r="T141">
        <f t="shared" si="5"/>
        <v>0</v>
      </c>
      <c r="U141">
        <f t="shared" si="6"/>
        <v>0</v>
      </c>
      <c r="V141"/>
      <c r="W141"/>
    </row>
    <row r="142" spans="1:23" x14ac:dyDescent="0.25">
      <c r="A142" s="86"/>
      <c r="B142" s="11"/>
      <c r="C142" s="13"/>
      <c r="D142" s="8"/>
      <c r="E142" s="12">
        <v>5</v>
      </c>
      <c r="F142" s="80"/>
      <c r="G142" s="584"/>
      <c r="H142" s="585"/>
      <c r="I142" s="8"/>
      <c r="J142" s="12">
        <v>5</v>
      </c>
      <c r="K142" s="80"/>
      <c r="L142" s="584"/>
      <c r="M142" s="585"/>
      <c r="N142" s="8"/>
      <c r="O142" s="8"/>
      <c r="P142" s="8"/>
      <c r="Q142" s="10"/>
      <c r="R142" s="88"/>
      <c r="S142"/>
      <c r="T142">
        <f t="shared" si="5"/>
        <v>0</v>
      </c>
      <c r="U142">
        <f t="shared" si="6"/>
        <v>0</v>
      </c>
      <c r="V142"/>
      <c r="W142"/>
    </row>
    <row r="143" spans="1:23" x14ac:dyDescent="0.25">
      <c r="A143" s="86"/>
      <c r="B143" s="11"/>
      <c r="C143" s="13"/>
      <c r="D143" s="8"/>
      <c r="E143" s="12">
        <v>6</v>
      </c>
      <c r="F143" s="81"/>
      <c r="G143" s="582"/>
      <c r="H143" s="583"/>
      <c r="I143" s="8"/>
      <c r="J143" s="12">
        <v>6</v>
      </c>
      <c r="K143" s="81"/>
      <c r="L143" s="582"/>
      <c r="M143" s="583"/>
      <c r="N143" s="8"/>
      <c r="O143" s="8"/>
      <c r="P143" s="8"/>
      <c r="Q143" s="10"/>
      <c r="R143" s="88"/>
      <c r="S143"/>
      <c r="T143">
        <f t="shared" si="5"/>
        <v>0</v>
      </c>
      <c r="U143">
        <f t="shared" si="6"/>
        <v>0</v>
      </c>
      <c r="V143"/>
      <c r="W143"/>
    </row>
    <row r="144" spans="1:23" ht="15.75" thickBot="1" x14ac:dyDescent="0.3">
      <c r="A144" s="86"/>
      <c r="B144" s="11"/>
      <c r="C144" s="13"/>
      <c r="D144" s="8"/>
      <c r="E144" s="12">
        <v>7</v>
      </c>
      <c r="F144" s="97"/>
      <c r="G144" s="586"/>
      <c r="H144" s="587"/>
      <c r="I144" s="8"/>
      <c r="J144" s="12">
        <v>7</v>
      </c>
      <c r="K144" s="97"/>
      <c r="L144" s="586"/>
      <c r="M144" s="587"/>
      <c r="N144" s="8"/>
      <c r="O144" s="8"/>
      <c r="P144" s="8"/>
      <c r="Q144" s="10"/>
      <c r="R144" s="88"/>
      <c r="S144"/>
      <c r="T144">
        <f t="shared" si="5"/>
        <v>0</v>
      </c>
      <c r="U144">
        <f t="shared" si="6"/>
        <v>0</v>
      </c>
      <c r="V144"/>
      <c r="W144"/>
    </row>
    <row r="145" spans="1:23" ht="15.75" thickBot="1" x14ac:dyDescent="0.3">
      <c r="A145" s="86"/>
      <c r="B145" s="11"/>
      <c r="C145" s="13"/>
      <c r="D145" s="8"/>
      <c r="E145" s="12"/>
      <c r="F145" s="8"/>
      <c r="G145" s="8"/>
      <c r="H145" s="9"/>
      <c r="I145" s="8"/>
      <c r="J145" s="12"/>
      <c r="K145" s="8"/>
      <c r="L145" s="8"/>
      <c r="M145" s="8"/>
      <c r="N145" s="8"/>
      <c r="O145" s="8"/>
      <c r="P145" s="8"/>
      <c r="Q145" s="10"/>
      <c r="R145" s="88"/>
      <c r="S145"/>
      <c r="T145">
        <f t="shared" si="5"/>
        <v>0</v>
      </c>
      <c r="U145">
        <f t="shared" si="6"/>
        <v>0</v>
      </c>
      <c r="V145"/>
      <c r="W145"/>
    </row>
    <row r="146" spans="1:23" ht="15.75" thickBot="1" x14ac:dyDescent="0.3">
      <c r="A146" s="86"/>
      <c r="B146" s="11"/>
      <c r="C146" s="13"/>
      <c r="D146" s="8"/>
      <c r="E146" s="12"/>
      <c r="F146" s="26" t="str">
        <f>F50</f>
        <v>Dan</v>
      </c>
      <c r="G146" s="588" t="s">
        <v>1172</v>
      </c>
      <c r="H146" s="589"/>
      <c r="I146" s="8"/>
      <c r="J146" s="12"/>
      <c r="K146" s="26" t="str">
        <f>F51</f>
        <v>Josh</v>
      </c>
      <c r="L146" s="588" t="s">
        <v>1172</v>
      </c>
      <c r="M146" s="589"/>
      <c r="N146" s="8"/>
      <c r="O146" s="8"/>
      <c r="P146" s="8"/>
      <c r="Q146" s="10"/>
      <c r="R146" s="88"/>
      <c r="S146"/>
      <c r="T146" t="str">
        <f>K129</f>
        <v>Cam Akers</v>
      </c>
      <c r="U146">
        <f>L129</f>
        <v>139</v>
      </c>
      <c r="V146"/>
      <c r="W146"/>
    </row>
    <row r="147" spans="1:23" x14ac:dyDescent="0.25">
      <c r="A147" s="86"/>
      <c r="B147" s="11"/>
      <c r="C147" s="13"/>
      <c r="D147" s="8"/>
      <c r="E147" s="12">
        <v>1</v>
      </c>
      <c r="F147" s="80" t="s">
        <v>1881</v>
      </c>
      <c r="G147" s="590">
        <v>57</v>
      </c>
      <c r="H147" s="591"/>
      <c r="I147" s="8"/>
      <c r="J147" s="12">
        <v>1</v>
      </c>
      <c r="K147" s="80" t="s">
        <v>1756</v>
      </c>
      <c r="L147" s="590">
        <v>51</v>
      </c>
      <c r="M147" s="591"/>
      <c r="N147" s="8"/>
      <c r="O147" s="8"/>
      <c r="P147" s="8"/>
      <c r="Q147" s="10"/>
      <c r="R147" s="88"/>
      <c r="S147"/>
      <c r="T147">
        <f t="shared" ref="T147:T152" si="7">K130</f>
        <v>0</v>
      </c>
      <c r="U147">
        <f t="shared" ref="U147:U152" si="8">L130</f>
        <v>0</v>
      </c>
      <c r="V147"/>
      <c r="W147"/>
    </row>
    <row r="148" spans="1:23" x14ac:dyDescent="0.25">
      <c r="A148" s="86"/>
      <c r="B148" s="11"/>
      <c r="C148" s="13"/>
      <c r="D148" s="8"/>
      <c r="E148" s="12">
        <v>2</v>
      </c>
      <c r="F148" s="81"/>
      <c r="G148" s="582"/>
      <c r="H148" s="583"/>
      <c r="I148" s="8"/>
      <c r="J148" s="12">
        <v>2</v>
      </c>
      <c r="K148" s="81"/>
      <c r="L148" s="582"/>
      <c r="M148" s="583"/>
      <c r="N148" s="8"/>
      <c r="O148" s="8"/>
      <c r="P148" s="8"/>
      <c r="Q148" s="10"/>
      <c r="R148" s="88"/>
      <c r="S148"/>
      <c r="T148">
        <f t="shared" si="7"/>
        <v>0</v>
      </c>
      <c r="U148">
        <f t="shared" si="8"/>
        <v>0</v>
      </c>
      <c r="V148"/>
      <c r="W148"/>
    </row>
    <row r="149" spans="1:23" x14ac:dyDescent="0.25">
      <c r="A149" s="86"/>
      <c r="B149" s="11"/>
      <c r="C149" s="13"/>
      <c r="D149" s="8"/>
      <c r="E149" s="12">
        <v>3</v>
      </c>
      <c r="F149" s="80"/>
      <c r="G149" s="584"/>
      <c r="H149" s="585"/>
      <c r="I149" s="8"/>
      <c r="J149" s="12">
        <v>3</v>
      </c>
      <c r="K149" s="80"/>
      <c r="L149" s="584"/>
      <c r="M149" s="585"/>
      <c r="N149" s="8"/>
      <c r="O149" s="8"/>
      <c r="P149" s="8"/>
      <c r="Q149" s="10"/>
      <c r="R149" s="88"/>
      <c r="S149"/>
      <c r="T149">
        <f t="shared" si="7"/>
        <v>0</v>
      </c>
      <c r="U149">
        <f t="shared" si="8"/>
        <v>0</v>
      </c>
      <c r="V149"/>
      <c r="W149"/>
    </row>
    <row r="150" spans="1:23" x14ac:dyDescent="0.25">
      <c r="A150" s="86"/>
      <c r="B150" s="11"/>
      <c r="C150" s="13"/>
      <c r="D150" s="8"/>
      <c r="E150" s="12">
        <v>4</v>
      </c>
      <c r="F150" s="81"/>
      <c r="G150" s="582"/>
      <c r="H150" s="583"/>
      <c r="I150" s="8"/>
      <c r="J150" s="12">
        <v>4</v>
      </c>
      <c r="K150" s="81"/>
      <c r="L150" s="582"/>
      <c r="M150" s="583"/>
      <c r="N150" s="8"/>
      <c r="O150" s="8"/>
      <c r="P150" s="8"/>
      <c r="Q150" s="10"/>
      <c r="R150" s="88"/>
      <c r="S150"/>
      <c r="T150">
        <f t="shared" si="7"/>
        <v>0</v>
      </c>
      <c r="U150">
        <f t="shared" si="8"/>
        <v>0</v>
      </c>
      <c r="V150"/>
      <c r="W150"/>
    </row>
    <row r="151" spans="1:23" x14ac:dyDescent="0.25">
      <c r="A151" s="86"/>
      <c r="B151" s="11"/>
      <c r="C151" s="13"/>
      <c r="D151" s="8"/>
      <c r="E151" s="12">
        <v>5</v>
      </c>
      <c r="F151" s="80"/>
      <c r="G151" s="584"/>
      <c r="H151" s="585"/>
      <c r="I151" s="8"/>
      <c r="J151" s="12">
        <v>5</v>
      </c>
      <c r="K151" s="80"/>
      <c r="L151" s="584"/>
      <c r="M151" s="585"/>
      <c r="N151" s="8"/>
      <c r="O151" s="8"/>
      <c r="P151" s="8"/>
      <c r="Q151" s="10"/>
      <c r="R151" s="88"/>
      <c r="S151"/>
      <c r="T151">
        <f t="shared" si="7"/>
        <v>0</v>
      </c>
      <c r="U151">
        <f t="shared" si="8"/>
        <v>0</v>
      </c>
      <c r="V151"/>
      <c r="W151"/>
    </row>
    <row r="152" spans="1:23" x14ac:dyDescent="0.25">
      <c r="A152" s="86"/>
      <c r="B152" s="11"/>
      <c r="C152" s="13"/>
      <c r="D152" s="8"/>
      <c r="E152" s="12">
        <v>6</v>
      </c>
      <c r="F152" s="81"/>
      <c r="G152" s="582"/>
      <c r="H152" s="583"/>
      <c r="I152" s="8"/>
      <c r="J152" s="12">
        <v>6</v>
      </c>
      <c r="K152" s="81"/>
      <c r="L152" s="582"/>
      <c r="M152" s="583"/>
      <c r="N152" s="8"/>
      <c r="O152" s="8"/>
      <c r="P152" s="8"/>
      <c r="Q152" s="10"/>
      <c r="R152" s="88"/>
      <c r="S152"/>
      <c r="T152">
        <f t="shared" si="7"/>
        <v>0</v>
      </c>
      <c r="U152">
        <f t="shared" si="8"/>
        <v>0</v>
      </c>
      <c r="V152"/>
      <c r="W152"/>
    </row>
    <row r="153" spans="1:23" ht="15.75" thickBot="1" x14ac:dyDescent="0.3">
      <c r="A153" s="86"/>
      <c r="B153" s="11"/>
      <c r="C153" s="13"/>
      <c r="D153" s="8"/>
      <c r="E153" s="12">
        <v>7</v>
      </c>
      <c r="F153" s="97"/>
      <c r="G153" s="586"/>
      <c r="H153" s="587"/>
      <c r="I153" s="8"/>
      <c r="J153" s="12">
        <v>7</v>
      </c>
      <c r="K153" s="97"/>
      <c r="L153" s="586"/>
      <c r="M153" s="587"/>
      <c r="N153" s="8"/>
      <c r="O153" s="8"/>
      <c r="P153" s="8"/>
      <c r="Q153" s="10"/>
      <c r="R153" s="88"/>
      <c r="S153"/>
      <c r="T153" t="str">
        <f>F138</f>
        <v>Chris Olave</v>
      </c>
      <c r="U153">
        <f>G138</f>
        <v>79</v>
      </c>
      <c r="V153"/>
      <c r="W153"/>
    </row>
    <row r="154" spans="1:23" ht="15.75" thickBot="1" x14ac:dyDescent="0.3">
      <c r="A154" s="86"/>
      <c r="B154" s="11"/>
      <c r="C154" s="13"/>
      <c r="D154" s="8"/>
      <c r="E154" s="12"/>
      <c r="F154" s="8"/>
      <c r="G154" s="8"/>
      <c r="H154" s="9"/>
      <c r="I154" s="8"/>
      <c r="J154" s="12"/>
      <c r="K154" s="8"/>
      <c r="L154" s="8"/>
      <c r="M154" s="8"/>
      <c r="N154" s="8"/>
      <c r="O154" s="8"/>
      <c r="P154" s="8"/>
      <c r="Q154" s="10"/>
      <c r="R154" s="88"/>
      <c r="S154"/>
      <c r="T154">
        <f t="shared" ref="T154:T159" si="9">F139</f>
        <v>0</v>
      </c>
      <c r="U154">
        <f t="shared" ref="U154:U159" si="10">G139</f>
        <v>0</v>
      </c>
      <c r="V154"/>
      <c r="W154"/>
    </row>
    <row r="155" spans="1:23" ht="15.75" thickBot="1" x14ac:dyDescent="0.3">
      <c r="A155" s="86"/>
      <c r="B155" s="11"/>
      <c r="C155" s="13"/>
      <c r="D155" s="8"/>
      <c r="E155" s="12"/>
      <c r="F155" s="26" t="str">
        <f>F52</f>
        <v>Big R</v>
      </c>
      <c r="G155" s="588" t="s">
        <v>1172</v>
      </c>
      <c r="H155" s="589"/>
      <c r="I155" s="8"/>
      <c r="J155" s="12"/>
      <c r="K155" s="26" t="str">
        <f>F53</f>
        <v>Zack</v>
      </c>
      <c r="L155" s="588" t="s">
        <v>1172</v>
      </c>
      <c r="M155" s="589"/>
      <c r="N155" s="8"/>
      <c r="O155" s="8"/>
      <c r="P155" s="8"/>
      <c r="Q155" s="10"/>
      <c r="R155" s="88"/>
      <c r="S155"/>
      <c r="T155">
        <f t="shared" si="9"/>
        <v>0</v>
      </c>
      <c r="U155">
        <f t="shared" si="10"/>
        <v>0</v>
      </c>
      <c r="V155"/>
      <c r="W155"/>
    </row>
    <row r="156" spans="1:23" x14ac:dyDescent="0.25">
      <c r="A156" s="86"/>
      <c r="B156" s="11"/>
      <c r="C156" s="13"/>
      <c r="D156" s="8"/>
      <c r="E156" s="12">
        <v>1</v>
      </c>
      <c r="F156" s="80" t="s">
        <v>1811</v>
      </c>
      <c r="G156" s="584">
        <v>107</v>
      </c>
      <c r="H156" s="585"/>
      <c r="I156" s="8"/>
      <c r="J156" s="12">
        <v>1</v>
      </c>
      <c r="K156" s="80" t="s">
        <v>1761</v>
      </c>
      <c r="L156" s="590">
        <v>95</v>
      </c>
      <c r="M156" s="591"/>
      <c r="N156" s="8"/>
      <c r="O156" s="8"/>
      <c r="P156" s="8"/>
      <c r="Q156" s="10"/>
      <c r="R156" s="88"/>
      <c r="S156"/>
      <c r="T156">
        <f t="shared" si="9"/>
        <v>0</v>
      </c>
      <c r="U156">
        <f t="shared" si="10"/>
        <v>0</v>
      </c>
      <c r="V156"/>
      <c r="W156"/>
    </row>
    <row r="157" spans="1:23" x14ac:dyDescent="0.25">
      <c r="A157" s="86"/>
      <c r="B157" s="11"/>
      <c r="C157" s="13"/>
      <c r="D157" s="8"/>
      <c r="E157" s="12">
        <v>2</v>
      </c>
      <c r="F157" s="81"/>
      <c r="G157" s="582"/>
      <c r="H157" s="583"/>
      <c r="I157" s="8"/>
      <c r="J157" s="12">
        <v>2</v>
      </c>
      <c r="K157" s="81"/>
      <c r="L157" s="582"/>
      <c r="M157" s="583"/>
      <c r="N157" s="8"/>
      <c r="O157" s="8"/>
      <c r="P157" s="8"/>
      <c r="Q157" s="10"/>
      <c r="R157" s="88"/>
      <c r="S157"/>
      <c r="T157">
        <f t="shared" si="9"/>
        <v>0</v>
      </c>
      <c r="U157">
        <f t="shared" si="10"/>
        <v>0</v>
      </c>
      <c r="V157"/>
      <c r="W157"/>
    </row>
    <row r="158" spans="1:23" x14ac:dyDescent="0.25">
      <c r="A158" s="86"/>
      <c r="B158" s="11"/>
      <c r="C158" s="13"/>
      <c r="D158" s="8"/>
      <c r="E158" s="12">
        <v>3</v>
      </c>
      <c r="F158" s="80"/>
      <c r="G158" s="584"/>
      <c r="H158" s="585"/>
      <c r="I158" s="8"/>
      <c r="J158" s="12">
        <v>3</v>
      </c>
      <c r="K158" s="80"/>
      <c r="L158" s="584"/>
      <c r="M158" s="585"/>
      <c r="N158" s="8"/>
      <c r="O158" s="8"/>
      <c r="P158" s="8"/>
      <c r="Q158" s="10"/>
      <c r="R158" s="88"/>
      <c r="S158"/>
      <c r="T158">
        <f t="shared" si="9"/>
        <v>0</v>
      </c>
      <c r="U158">
        <f t="shared" si="10"/>
        <v>0</v>
      </c>
      <c r="V158"/>
      <c r="W158"/>
    </row>
    <row r="159" spans="1:23" x14ac:dyDescent="0.25">
      <c r="A159" s="86"/>
      <c r="B159" s="11"/>
      <c r="C159" s="13"/>
      <c r="D159" s="8"/>
      <c r="E159" s="12">
        <v>4</v>
      </c>
      <c r="F159" s="81"/>
      <c r="G159" s="582"/>
      <c r="H159" s="583"/>
      <c r="I159" s="8"/>
      <c r="J159" s="12">
        <v>4</v>
      </c>
      <c r="K159" s="81"/>
      <c r="L159" s="582"/>
      <c r="M159" s="583"/>
      <c r="N159" s="8"/>
      <c r="O159" s="8"/>
      <c r="P159" s="8"/>
      <c r="Q159" s="10"/>
      <c r="R159" s="88"/>
      <c r="S159"/>
      <c r="T159">
        <f t="shared" si="9"/>
        <v>0</v>
      </c>
      <c r="U159">
        <f t="shared" si="10"/>
        <v>0</v>
      </c>
      <c r="V159"/>
      <c r="W159"/>
    </row>
    <row r="160" spans="1:23" x14ac:dyDescent="0.25">
      <c r="A160" s="86"/>
      <c r="B160" s="11"/>
      <c r="C160" s="13"/>
      <c r="D160" s="8"/>
      <c r="E160" s="12">
        <v>5</v>
      </c>
      <c r="F160" s="80"/>
      <c r="G160" s="584"/>
      <c r="H160" s="585"/>
      <c r="I160" s="8"/>
      <c r="J160" s="12">
        <v>5</v>
      </c>
      <c r="K160" s="80"/>
      <c r="L160" s="584"/>
      <c r="M160" s="585"/>
      <c r="N160" s="8"/>
      <c r="O160" s="8"/>
      <c r="P160" s="8"/>
      <c r="Q160" s="10"/>
      <c r="R160" s="88"/>
      <c r="S160"/>
      <c r="T160" t="str">
        <f>K138</f>
        <v>Garrett Wilson</v>
      </c>
      <c r="U160">
        <f>L138</f>
        <v>113</v>
      </c>
      <c r="V160"/>
      <c r="W160"/>
    </row>
    <row r="161" spans="1:23" x14ac:dyDescent="0.25">
      <c r="A161" s="86"/>
      <c r="B161" s="11"/>
      <c r="C161" s="13"/>
      <c r="D161" s="8"/>
      <c r="E161" s="12">
        <v>6</v>
      </c>
      <c r="F161" s="81"/>
      <c r="G161" s="582"/>
      <c r="H161" s="583"/>
      <c r="I161" s="8"/>
      <c r="J161" s="12">
        <v>6</v>
      </c>
      <c r="K161" s="81"/>
      <c r="L161" s="582"/>
      <c r="M161" s="583"/>
      <c r="N161" s="8"/>
      <c r="O161" s="8"/>
      <c r="P161" s="8"/>
      <c r="Q161" s="10"/>
      <c r="R161" s="88"/>
      <c r="S161"/>
      <c r="T161">
        <f t="shared" ref="T161:T166" si="11">K139</f>
        <v>0</v>
      </c>
      <c r="U161">
        <f t="shared" ref="U161:U166" si="12">L139</f>
        <v>0</v>
      </c>
      <c r="V161"/>
      <c r="W161"/>
    </row>
    <row r="162" spans="1:23" ht="15.75" thickBot="1" x14ac:dyDescent="0.3">
      <c r="A162" s="86"/>
      <c r="B162" s="11"/>
      <c r="C162" s="13"/>
      <c r="D162" s="8"/>
      <c r="E162" s="12">
        <v>7</v>
      </c>
      <c r="F162" s="97"/>
      <c r="G162" s="586"/>
      <c r="H162" s="587"/>
      <c r="I162" s="8"/>
      <c r="J162" s="12">
        <v>7</v>
      </c>
      <c r="K162" s="97"/>
      <c r="L162" s="586"/>
      <c r="M162" s="587"/>
      <c r="N162" s="8"/>
      <c r="O162" s="8"/>
      <c r="P162" s="8"/>
      <c r="Q162" s="10"/>
      <c r="R162" s="88"/>
      <c r="S162"/>
      <c r="T162">
        <f t="shared" si="11"/>
        <v>0</v>
      </c>
      <c r="U162">
        <f t="shared" si="12"/>
        <v>0</v>
      </c>
      <c r="V162"/>
      <c r="W162"/>
    </row>
    <row r="163" spans="1:23" ht="15.75" hidden="1" thickBot="1" x14ac:dyDescent="0.3">
      <c r="A163" s="86"/>
      <c r="B163" s="11"/>
      <c r="C163" s="13"/>
      <c r="D163" s="8"/>
      <c r="E163" s="12"/>
      <c r="F163" s="8"/>
      <c r="G163" s="8"/>
      <c r="H163" s="9"/>
      <c r="I163" s="8"/>
      <c r="J163" s="12"/>
      <c r="K163" s="8"/>
      <c r="L163" s="8"/>
      <c r="M163" s="8"/>
      <c r="N163" s="8"/>
      <c r="O163" s="8"/>
      <c r="P163" s="8"/>
      <c r="Q163" s="10"/>
      <c r="R163" s="88"/>
      <c r="S163"/>
      <c r="T163">
        <f t="shared" si="11"/>
        <v>0</v>
      </c>
      <c r="U163">
        <f t="shared" si="12"/>
        <v>0</v>
      </c>
      <c r="V163"/>
      <c r="W163"/>
    </row>
    <row r="164" spans="1:23" ht="15.75" hidden="1" thickBot="1" x14ac:dyDescent="0.3">
      <c r="A164" s="86"/>
      <c r="B164" s="11"/>
      <c r="C164" s="13"/>
      <c r="D164" s="8"/>
      <c r="E164" s="12"/>
      <c r="F164" s="26" t="str">
        <f>F54</f>
        <v>[TEAM 13]</v>
      </c>
      <c r="G164" s="588" t="s">
        <v>1172</v>
      </c>
      <c r="H164" s="589"/>
      <c r="I164" s="8"/>
      <c r="J164" s="12"/>
      <c r="K164" s="26" t="str">
        <f>F55</f>
        <v>[TEAM 14]</v>
      </c>
      <c r="L164" s="588" t="s">
        <v>1172</v>
      </c>
      <c r="M164" s="589"/>
      <c r="N164" s="8"/>
      <c r="O164" s="8"/>
      <c r="P164" s="8"/>
      <c r="Q164" s="10"/>
      <c r="R164" s="88"/>
      <c r="S164"/>
      <c r="T164">
        <f t="shared" si="11"/>
        <v>0</v>
      </c>
      <c r="U164">
        <f t="shared" si="12"/>
        <v>0</v>
      </c>
      <c r="V164"/>
      <c r="W164"/>
    </row>
    <row r="165" spans="1:23" hidden="1" x14ac:dyDescent="0.25">
      <c r="A165" s="86"/>
      <c r="B165" s="11"/>
      <c r="C165" s="13"/>
      <c r="D165" s="8"/>
      <c r="E165" s="12">
        <v>1</v>
      </c>
      <c r="F165" s="80"/>
      <c r="G165" s="590"/>
      <c r="H165" s="591"/>
      <c r="I165" s="8"/>
      <c r="J165" s="12">
        <v>1</v>
      </c>
      <c r="K165" s="80"/>
      <c r="L165" s="590"/>
      <c r="M165" s="591"/>
      <c r="N165" s="8"/>
      <c r="O165" s="8"/>
      <c r="P165" s="8"/>
      <c r="Q165" s="10"/>
      <c r="R165" s="88"/>
      <c r="S165"/>
      <c r="T165">
        <f t="shared" si="11"/>
        <v>0</v>
      </c>
      <c r="U165">
        <f t="shared" si="12"/>
        <v>0</v>
      </c>
      <c r="V165"/>
      <c r="W165"/>
    </row>
    <row r="166" spans="1:23" hidden="1" x14ac:dyDescent="0.25">
      <c r="A166" s="86"/>
      <c r="B166" s="11"/>
      <c r="C166" s="13"/>
      <c r="D166" s="8"/>
      <c r="E166" s="12">
        <v>2</v>
      </c>
      <c r="F166" s="81"/>
      <c r="G166" s="582"/>
      <c r="H166" s="583"/>
      <c r="I166" s="8"/>
      <c r="J166" s="12">
        <v>2</v>
      </c>
      <c r="K166" s="81"/>
      <c r="L166" s="582"/>
      <c r="M166" s="583"/>
      <c r="N166" s="8"/>
      <c r="O166" s="8"/>
      <c r="P166" s="8"/>
      <c r="Q166" s="10"/>
      <c r="R166" s="88"/>
      <c r="S166"/>
      <c r="T166">
        <f t="shared" si="11"/>
        <v>0</v>
      </c>
      <c r="U166">
        <f t="shared" si="12"/>
        <v>0</v>
      </c>
      <c r="V166"/>
      <c r="W166"/>
    </row>
    <row r="167" spans="1:23" hidden="1" x14ac:dyDescent="0.25">
      <c r="A167" s="86"/>
      <c r="B167" s="11"/>
      <c r="C167" s="13"/>
      <c r="D167" s="8"/>
      <c r="E167" s="12">
        <v>3</v>
      </c>
      <c r="F167" s="80"/>
      <c r="G167" s="584"/>
      <c r="H167" s="585"/>
      <c r="I167" s="8"/>
      <c r="J167" s="12">
        <v>3</v>
      </c>
      <c r="K167" s="80"/>
      <c r="L167" s="584"/>
      <c r="M167" s="585"/>
      <c r="N167" s="8"/>
      <c r="O167" s="8"/>
      <c r="P167" s="8"/>
      <c r="Q167" s="10"/>
      <c r="R167" s="88"/>
      <c r="S167"/>
      <c r="T167" t="str">
        <f>F147</f>
        <v>Tony Pollard</v>
      </c>
      <c r="U167">
        <f>G147</f>
        <v>57</v>
      </c>
      <c r="V167"/>
      <c r="W167"/>
    </row>
    <row r="168" spans="1:23" hidden="1" x14ac:dyDescent="0.25">
      <c r="A168" s="86"/>
      <c r="B168" s="11"/>
      <c r="C168" s="13"/>
      <c r="D168" s="8"/>
      <c r="E168" s="12">
        <v>4</v>
      </c>
      <c r="F168" s="81"/>
      <c r="G168" s="582"/>
      <c r="H168" s="583"/>
      <c r="I168" s="8"/>
      <c r="J168" s="12">
        <v>4</v>
      </c>
      <c r="K168" s="81"/>
      <c r="L168" s="582"/>
      <c r="M168" s="583"/>
      <c r="N168" s="8"/>
      <c r="O168" s="8"/>
      <c r="P168" s="8"/>
      <c r="Q168" s="10"/>
      <c r="R168" s="88"/>
      <c r="S168"/>
      <c r="T168">
        <f t="shared" ref="T168:T173" si="13">F148</f>
        <v>0</v>
      </c>
      <c r="U168">
        <f t="shared" ref="U168:U173" si="14">G148</f>
        <v>0</v>
      </c>
      <c r="V168"/>
      <c r="W168"/>
    </row>
    <row r="169" spans="1:23" hidden="1" x14ac:dyDescent="0.25">
      <c r="A169" s="86"/>
      <c r="B169" s="11"/>
      <c r="C169" s="13"/>
      <c r="D169" s="8"/>
      <c r="E169" s="12">
        <v>5</v>
      </c>
      <c r="F169" s="80"/>
      <c r="G169" s="584"/>
      <c r="H169" s="585"/>
      <c r="I169" s="8"/>
      <c r="J169" s="12">
        <v>5</v>
      </c>
      <c r="K169" s="80"/>
      <c r="L169" s="584"/>
      <c r="M169" s="585"/>
      <c r="N169" s="8"/>
      <c r="O169" s="8"/>
      <c r="P169" s="8"/>
      <c r="Q169" s="10"/>
      <c r="R169" s="88"/>
      <c r="S169"/>
      <c r="T169">
        <f t="shared" si="13"/>
        <v>0</v>
      </c>
      <c r="U169">
        <f t="shared" si="14"/>
        <v>0</v>
      </c>
      <c r="V169"/>
      <c r="W169"/>
    </row>
    <row r="170" spans="1:23" hidden="1" x14ac:dyDescent="0.25">
      <c r="A170" s="86"/>
      <c r="B170" s="11"/>
      <c r="C170" s="13"/>
      <c r="D170" s="8"/>
      <c r="E170" s="12">
        <v>6</v>
      </c>
      <c r="F170" s="81"/>
      <c r="G170" s="582"/>
      <c r="H170" s="583"/>
      <c r="I170" s="8"/>
      <c r="J170" s="12">
        <v>6</v>
      </c>
      <c r="K170" s="81"/>
      <c r="L170" s="582"/>
      <c r="M170" s="583"/>
      <c r="N170" s="8"/>
      <c r="O170" s="8"/>
      <c r="P170" s="8"/>
      <c r="Q170" s="10"/>
      <c r="R170" s="88"/>
      <c r="S170"/>
      <c r="T170">
        <f t="shared" si="13"/>
        <v>0</v>
      </c>
      <c r="U170">
        <f t="shared" si="14"/>
        <v>0</v>
      </c>
      <c r="V170"/>
      <c r="W170"/>
    </row>
    <row r="171" spans="1:23" ht="15.75" hidden="1" thickBot="1" x14ac:dyDescent="0.3">
      <c r="A171" s="86"/>
      <c r="B171" s="11"/>
      <c r="C171" s="13"/>
      <c r="D171" s="8"/>
      <c r="E171" s="12">
        <v>7</v>
      </c>
      <c r="F171" s="97"/>
      <c r="G171" s="586"/>
      <c r="H171" s="587"/>
      <c r="I171" s="8"/>
      <c r="J171" s="12">
        <v>7</v>
      </c>
      <c r="K171" s="97"/>
      <c r="L171" s="586"/>
      <c r="M171" s="587"/>
      <c r="N171" s="8"/>
      <c r="O171" s="8"/>
      <c r="P171" s="8"/>
      <c r="Q171" s="10"/>
      <c r="R171" s="88"/>
      <c r="S171"/>
      <c r="T171">
        <f t="shared" si="13"/>
        <v>0</v>
      </c>
      <c r="U171">
        <f t="shared" si="14"/>
        <v>0</v>
      </c>
      <c r="V171"/>
      <c r="W171"/>
    </row>
    <row r="172" spans="1:23" ht="15.75" hidden="1" thickBot="1" x14ac:dyDescent="0.3">
      <c r="A172" s="86"/>
      <c r="B172" s="11"/>
      <c r="C172" s="13"/>
      <c r="D172" s="8"/>
      <c r="E172" s="12"/>
      <c r="F172" s="8"/>
      <c r="G172" s="8"/>
      <c r="H172" s="8"/>
      <c r="I172" s="8"/>
      <c r="J172" s="12"/>
      <c r="K172" s="8"/>
      <c r="L172" s="8"/>
      <c r="M172" s="8"/>
      <c r="N172" s="8"/>
      <c r="O172" s="8"/>
      <c r="P172" s="8"/>
      <c r="Q172" s="10"/>
      <c r="R172" s="88"/>
      <c r="S172"/>
      <c r="T172">
        <f t="shared" si="13"/>
        <v>0</v>
      </c>
      <c r="U172">
        <f t="shared" si="14"/>
        <v>0</v>
      </c>
      <c r="V172"/>
      <c r="W172"/>
    </row>
    <row r="173" spans="1:23" ht="15.75" hidden="1" thickBot="1" x14ac:dyDescent="0.3">
      <c r="A173" s="86"/>
      <c r="B173" s="11"/>
      <c r="C173" s="13"/>
      <c r="D173" s="8"/>
      <c r="E173" s="12"/>
      <c r="F173" s="26" t="str">
        <f>F56</f>
        <v>[TEAM 15]</v>
      </c>
      <c r="G173" s="588" t="s">
        <v>1172</v>
      </c>
      <c r="H173" s="589"/>
      <c r="I173" s="8"/>
      <c r="J173" s="12"/>
      <c r="K173" s="26" t="str">
        <f>F57</f>
        <v>[TEAM 16]</v>
      </c>
      <c r="L173" s="588" t="s">
        <v>1172</v>
      </c>
      <c r="M173" s="589"/>
      <c r="N173" s="8"/>
      <c r="O173" s="8"/>
      <c r="P173" s="8"/>
      <c r="Q173" s="10"/>
      <c r="R173" s="88"/>
      <c r="S173"/>
      <c r="T173">
        <f t="shared" si="13"/>
        <v>0</v>
      </c>
      <c r="U173">
        <f t="shared" si="14"/>
        <v>0</v>
      </c>
      <c r="V173"/>
      <c r="W173"/>
    </row>
    <row r="174" spans="1:23" hidden="1" x14ac:dyDescent="0.25">
      <c r="A174" s="86"/>
      <c r="B174" s="11"/>
      <c r="C174" s="13"/>
      <c r="D174" s="8"/>
      <c r="E174" s="12">
        <v>1</v>
      </c>
      <c r="F174" s="80"/>
      <c r="G174" s="590"/>
      <c r="H174" s="591"/>
      <c r="I174" s="8"/>
      <c r="J174" s="12">
        <v>1</v>
      </c>
      <c r="K174" s="80"/>
      <c r="L174" s="590"/>
      <c r="M174" s="591"/>
      <c r="N174" s="8"/>
      <c r="O174" s="8"/>
      <c r="P174" s="8"/>
      <c r="Q174" s="10"/>
      <c r="R174" s="88"/>
      <c r="S174"/>
      <c r="T174" t="str">
        <f>K147</f>
        <v>Austin Ekeler</v>
      </c>
      <c r="U174">
        <f>L147</f>
        <v>51</v>
      </c>
      <c r="V174"/>
      <c r="W174"/>
    </row>
    <row r="175" spans="1:23" hidden="1" x14ac:dyDescent="0.25">
      <c r="A175" s="86"/>
      <c r="B175" s="11"/>
      <c r="C175" s="13"/>
      <c r="D175" s="8"/>
      <c r="E175" s="12">
        <v>2</v>
      </c>
      <c r="F175" s="81"/>
      <c r="G175" s="582"/>
      <c r="H175" s="583"/>
      <c r="I175" s="8"/>
      <c r="J175" s="12">
        <v>2</v>
      </c>
      <c r="K175" s="81"/>
      <c r="L175" s="582"/>
      <c r="M175" s="583"/>
      <c r="N175" s="8"/>
      <c r="O175" s="8"/>
      <c r="P175" s="8"/>
      <c r="Q175" s="10"/>
      <c r="R175" s="88"/>
      <c r="S175"/>
      <c r="T175">
        <f t="shared" ref="T175:T180" si="15">K148</f>
        <v>0</v>
      </c>
      <c r="U175">
        <f t="shared" ref="U175:U180" si="16">L148</f>
        <v>0</v>
      </c>
      <c r="V175"/>
      <c r="W175"/>
    </row>
    <row r="176" spans="1:23" hidden="1" x14ac:dyDescent="0.25">
      <c r="A176" s="86"/>
      <c r="B176" s="11"/>
      <c r="C176" s="13"/>
      <c r="D176" s="8"/>
      <c r="E176" s="12">
        <v>3</v>
      </c>
      <c r="F176" s="80"/>
      <c r="G176" s="584"/>
      <c r="H176" s="585"/>
      <c r="I176" s="8"/>
      <c r="J176" s="12">
        <v>3</v>
      </c>
      <c r="K176" s="80"/>
      <c r="L176" s="584"/>
      <c r="M176" s="585"/>
      <c r="N176" s="8"/>
      <c r="O176" s="8"/>
      <c r="P176" s="8"/>
      <c r="Q176" s="10"/>
      <c r="R176" s="88"/>
      <c r="S176"/>
      <c r="T176">
        <f t="shared" si="15"/>
        <v>0</v>
      </c>
      <c r="U176">
        <f t="shared" si="16"/>
        <v>0</v>
      </c>
      <c r="V176"/>
      <c r="W176"/>
    </row>
    <row r="177" spans="1:23" hidden="1" x14ac:dyDescent="0.25">
      <c r="A177" s="86"/>
      <c r="B177" s="11"/>
      <c r="C177" s="13"/>
      <c r="D177" s="8"/>
      <c r="E177" s="12">
        <v>4</v>
      </c>
      <c r="F177" s="81"/>
      <c r="G177" s="582"/>
      <c r="H177" s="583"/>
      <c r="I177" s="8"/>
      <c r="J177" s="12">
        <v>4</v>
      </c>
      <c r="K177" s="81"/>
      <c r="L177" s="582"/>
      <c r="M177" s="583"/>
      <c r="N177" s="8"/>
      <c r="O177" s="8"/>
      <c r="P177" s="8"/>
      <c r="Q177" s="10"/>
      <c r="R177" s="88"/>
      <c r="S177"/>
      <c r="T177">
        <f t="shared" si="15"/>
        <v>0</v>
      </c>
      <c r="U177">
        <f t="shared" si="16"/>
        <v>0</v>
      </c>
      <c r="V177"/>
      <c r="W177"/>
    </row>
    <row r="178" spans="1:23" hidden="1" x14ac:dyDescent="0.25">
      <c r="A178" s="86"/>
      <c r="B178" s="11"/>
      <c r="C178" s="13"/>
      <c r="D178" s="8"/>
      <c r="E178" s="12">
        <v>5</v>
      </c>
      <c r="F178" s="80"/>
      <c r="G178" s="584"/>
      <c r="H178" s="585"/>
      <c r="I178" s="8"/>
      <c r="J178" s="12">
        <v>5</v>
      </c>
      <c r="K178" s="80"/>
      <c r="L178" s="584"/>
      <c r="M178" s="585"/>
      <c r="N178" s="8"/>
      <c r="O178" s="8"/>
      <c r="P178" s="8"/>
      <c r="Q178" s="10"/>
      <c r="R178" s="88"/>
      <c r="S178"/>
      <c r="T178">
        <f t="shared" si="15"/>
        <v>0</v>
      </c>
      <c r="U178">
        <f t="shared" si="16"/>
        <v>0</v>
      </c>
      <c r="V178"/>
      <c r="W178"/>
    </row>
    <row r="179" spans="1:23" hidden="1" x14ac:dyDescent="0.25">
      <c r="A179" s="86"/>
      <c r="B179" s="11"/>
      <c r="C179" s="13"/>
      <c r="D179" s="8"/>
      <c r="E179" s="12">
        <v>6</v>
      </c>
      <c r="F179" s="81"/>
      <c r="G179" s="582"/>
      <c r="H179" s="583"/>
      <c r="I179" s="8"/>
      <c r="J179" s="12">
        <v>6</v>
      </c>
      <c r="K179" s="81"/>
      <c r="L179" s="582"/>
      <c r="M179" s="583"/>
      <c r="N179" s="8"/>
      <c r="O179" s="8"/>
      <c r="P179" s="8"/>
      <c r="Q179" s="10"/>
      <c r="R179" s="88"/>
      <c r="S179"/>
      <c r="T179">
        <f t="shared" si="15"/>
        <v>0</v>
      </c>
      <c r="U179">
        <f t="shared" si="16"/>
        <v>0</v>
      </c>
      <c r="V179"/>
      <c r="W179"/>
    </row>
    <row r="180" spans="1:23" ht="15.75" hidden="1" thickBot="1" x14ac:dyDescent="0.3">
      <c r="A180" s="86"/>
      <c r="B180" s="11"/>
      <c r="C180" s="13"/>
      <c r="D180" s="8"/>
      <c r="E180" s="12">
        <v>7</v>
      </c>
      <c r="F180" s="97"/>
      <c r="G180" s="586"/>
      <c r="H180" s="587"/>
      <c r="I180" s="8"/>
      <c r="J180" s="12">
        <v>7</v>
      </c>
      <c r="K180" s="97"/>
      <c r="L180" s="586"/>
      <c r="M180" s="587"/>
      <c r="N180" s="8"/>
      <c r="O180" s="8"/>
      <c r="P180" s="8"/>
      <c r="Q180" s="10"/>
      <c r="R180" s="88"/>
      <c r="S180"/>
      <c r="T180">
        <f t="shared" si="15"/>
        <v>0</v>
      </c>
      <c r="U180">
        <f t="shared" si="16"/>
        <v>0</v>
      </c>
      <c r="V180"/>
      <c r="W180"/>
    </row>
    <row r="181" spans="1:23" ht="15.75" thickBot="1" x14ac:dyDescent="0.3">
      <c r="A181" s="86"/>
      <c r="B181" s="11"/>
      <c r="C181" s="13"/>
      <c r="D181" s="8"/>
      <c r="E181" s="8"/>
      <c r="F181" s="8"/>
      <c r="G181" s="8"/>
      <c r="H181" s="9"/>
      <c r="I181" s="8"/>
      <c r="J181" s="8"/>
      <c r="K181" s="8"/>
      <c r="L181" s="8"/>
      <c r="M181" s="8"/>
      <c r="N181" s="8"/>
      <c r="O181" s="8"/>
      <c r="P181" s="8"/>
      <c r="Q181" s="10"/>
      <c r="R181" s="88"/>
      <c r="S181"/>
      <c r="T181" t="str">
        <f>F156</f>
        <v>Mark Andrews</v>
      </c>
      <c r="U181">
        <f>G156</f>
        <v>107</v>
      </c>
      <c r="V181"/>
      <c r="W181"/>
    </row>
    <row r="182" spans="1:23" ht="15" customHeight="1" x14ac:dyDescent="0.25">
      <c r="A182" s="86"/>
      <c r="B182" s="11"/>
      <c r="C182" s="13"/>
      <c r="D182" s="8"/>
      <c r="E182" s="114" t="s">
        <v>1848</v>
      </c>
      <c r="F182" s="110"/>
      <c r="G182" s="111"/>
      <c r="H182" s="112"/>
      <c r="I182" s="112"/>
      <c r="J182" s="112"/>
      <c r="K182" s="112"/>
      <c r="L182" s="112"/>
      <c r="M182" s="112"/>
      <c r="N182" s="113"/>
      <c r="O182" s="8"/>
      <c r="P182" s="8"/>
      <c r="Q182" s="10"/>
      <c r="R182" s="88"/>
      <c r="S182"/>
      <c r="T182">
        <f t="shared" ref="T182:T187" si="17">F157</f>
        <v>0</v>
      </c>
      <c r="U182">
        <f t="shared" ref="U182:U187" si="18">G157</f>
        <v>0</v>
      </c>
      <c r="V182"/>
      <c r="W182"/>
    </row>
    <row r="183" spans="1:23" ht="15" customHeight="1" x14ac:dyDescent="0.25">
      <c r="A183" s="86"/>
      <c r="B183" s="11"/>
      <c r="C183" s="13"/>
      <c r="D183" s="8"/>
      <c r="E183" s="118" t="s">
        <v>1849</v>
      </c>
      <c r="F183" s="115"/>
      <c r="G183" s="116"/>
      <c r="H183" s="117"/>
      <c r="I183" s="117"/>
      <c r="J183" s="117"/>
      <c r="K183" s="117"/>
      <c r="L183" s="117"/>
      <c r="M183" s="117"/>
      <c r="N183" s="119"/>
      <c r="O183" s="8"/>
      <c r="P183" s="8"/>
      <c r="Q183" s="10"/>
      <c r="R183" s="88"/>
      <c r="S183"/>
      <c r="T183">
        <f t="shared" si="17"/>
        <v>0</v>
      </c>
      <c r="U183">
        <f t="shared" si="18"/>
        <v>0</v>
      </c>
      <c r="V183"/>
      <c r="W183"/>
    </row>
    <row r="184" spans="1:23" ht="15" customHeight="1" x14ac:dyDescent="0.25">
      <c r="A184" s="86"/>
      <c r="B184" s="11"/>
      <c r="C184" s="13"/>
      <c r="D184" s="8"/>
      <c r="E184" s="118" t="s">
        <v>2067</v>
      </c>
      <c r="F184" s="115"/>
      <c r="G184" s="116"/>
      <c r="H184" s="117"/>
      <c r="I184" s="117"/>
      <c r="J184" s="117"/>
      <c r="K184" s="117"/>
      <c r="L184" s="117"/>
      <c r="M184" s="117"/>
      <c r="N184" s="119"/>
      <c r="O184" s="8"/>
      <c r="P184" s="8"/>
      <c r="Q184" s="10"/>
      <c r="R184" s="88"/>
      <c r="S184"/>
      <c r="T184">
        <f t="shared" si="17"/>
        <v>0</v>
      </c>
      <c r="U184">
        <f t="shared" si="18"/>
        <v>0</v>
      </c>
      <c r="V184"/>
      <c r="W184"/>
    </row>
    <row r="185" spans="1:23" ht="15" customHeight="1" x14ac:dyDescent="0.25">
      <c r="A185" s="86"/>
      <c r="B185" s="11"/>
      <c r="C185" s="13"/>
      <c r="D185" s="8"/>
      <c r="E185" s="435" t="s">
        <v>2130</v>
      </c>
      <c r="F185" s="115"/>
      <c r="G185" s="116"/>
      <c r="H185" s="117"/>
      <c r="I185" s="117"/>
      <c r="J185" s="117"/>
      <c r="K185" s="117"/>
      <c r="L185" s="117"/>
      <c r="M185" s="117"/>
      <c r="N185" s="119"/>
      <c r="O185" s="8"/>
      <c r="P185" s="8"/>
      <c r="Q185" s="10"/>
      <c r="R185" s="88"/>
      <c r="S185"/>
      <c r="T185">
        <f t="shared" si="17"/>
        <v>0</v>
      </c>
      <c r="U185">
        <f t="shared" si="18"/>
        <v>0</v>
      </c>
      <c r="V185"/>
      <c r="W185"/>
    </row>
    <row r="186" spans="1:23" ht="15" customHeight="1" thickBot="1" x14ac:dyDescent="0.3">
      <c r="A186" s="86"/>
      <c r="B186" s="11"/>
      <c r="C186" s="13"/>
      <c r="D186" s="8"/>
      <c r="E186" s="126"/>
      <c r="F186" s="121"/>
      <c r="G186" s="122"/>
      <c r="H186" s="123"/>
      <c r="I186" s="123"/>
      <c r="J186" s="124"/>
      <c r="K186" s="123"/>
      <c r="L186" s="123"/>
      <c r="M186" s="123"/>
      <c r="N186" s="125"/>
      <c r="O186" s="8"/>
      <c r="P186" s="8"/>
      <c r="Q186" s="10"/>
      <c r="R186" s="88"/>
      <c r="S186"/>
      <c r="T186">
        <f t="shared" si="17"/>
        <v>0</v>
      </c>
      <c r="U186">
        <f t="shared" si="18"/>
        <v>0</v>
      </c>
      <c r="V186"/>
      <c r="W186"/>
    </row>
    <row r="187" spans="1:23" ht="15" customHeight="1" x14ac:dyDescent="0.25">
      <c r="A187" s="86"/>
      <c r="B187" s="11"/>
      <c r="C187" s="13"/>
      <c r="D187" s="8"/>
      <c r="E187" s="8"/>
      <c r="F187" s="8"/>
      <c r="G187" s="8"/>
      <c r="H187" s="9"/>
      <c r="I187" s="8"/>
      <c r="J187" s="8"/>
      <c r="K187" s="8"/>
      <c r="L187" s="8"/>
      <c r="M187" s="8"/>
      <c r="N187" s="8"/>
      <c r="O187" s="8"/>
      <c r="P187" s="8"/>
      <c r="Q187" s="10"/>
      <c r="R187" s="88"/>
      <c r="S187"/>
      <c r="T187">
        <f t="shared" si="17"/>
        <v>0</v>
      </c>
      <c r="U187">
        <f t="shared" si="18"/>
        <v>0</v>
      </c>
      <c r="V187"/>
      <c r="W187"/>
    </row>
    <row r="188" spans="1:23" ht="15.75" thickBot="1" x14ac:dyDescent="0.3">
      <c r="A188" s="86"/>
      <c r="B188" s="11"/>
      <c r="C188" s="8"/>
      <c r="D188" s="8"/>
      <c r="E188" s="8"/>
      <c r="F188" s="8"/>
      <c r="G188" s="8"/>
      <c r="H188" s="9"/>
      <c r="I188" s="8"/>
      <c r="J188" s="8"/>
      <c r="K188" s="8"/>
      <c r="L188" s="8"/>
      <c r="M188" s="8"/>
      <c r="N188" s="8"/>
      <c r="O188" s="8"/>
      <c r="P188" s="8"/>
      <c r="Q188" s="10"/>
      <c r="R188" s="88"/>
      <c r="S188"/>
      <c r="T188" t="str">
        <f>K156</f>
        <v>Josh Allen</v>
      </c>
      <c r="U188">
        <f>L156</f>
        <v>95</v>
      </c>
      <c r="V188"/>
      <c r="W188"/>
    </row>
    <row r="189" spans="1:23" ht="15.75" thickBot="1" x14ac:dyDescent="0.3">
      <c r="A189" s="86"/>
      <c r="B189" s="11"/>
      <c r="C189" s="40" t="s">
        <v>700</v>
      </c>
      <c r="D189" s="51"/>
      <c r="E189" s="64" t="s">
        <v>1047</v>
      </c>
      <c r="F189" s="52"/>
      <c r="G189" s="52"/>
      <c r="H189" s="53"/>
      <c r="I189" s="52"/>
      <c r="J189" s="52"/>
      <c r="K189" s="52"/>
      <c r="L189" s="52"/>
      <c r="M189" s="52"/>
      <c r="N189" s="52"/>
      <c r="O189" s="57"/>
      <c r="P189" s="8"/>
      <c r="Q189" s="10"/>
      <c r="R189" s="88"/>
      <c r="S189"/>
      <c r="T189">
        <f t="shared" ref="T189:T194" si="19">K157</f>
        <v>0</v>
      </c>
      <c r="U189">
        <f t="shared" ref="U189:U194" si="20">L157</f>
        <v>0</v>
      </c>
      <c r="V189"/>
      <c r="W189"/>
    </row>
    <row r="190" spans="1:23" ht="15.75" thickBot="1" x14ac:dyDescent="0.3">
      <c r="A190" s="86"/>
      <c r="B190" s="11"/>
      <c r="C190" s="8"/>
      <c r="D190" s="16"/>
      <c r="E190" s="16"/>
      <c r="F190" s="8"/>
      <c r="G190" s="8"/>
      <c r="H190" s="9"/>
      <c r="I190" s="8"/>
      <c r="J190" s="8"/>
      <c r="K190" s="8"/>
      <c r="L190" s="8"/>
      <c r="M190" s="8"/>
      <c r="N190" s="8"/>
      <c r="O190" s="8"/>
      <c r="P190" s="8"/>
      <c r="Q190" s="10"/>
      <c r="R190" s="88"/>
      <c r="S190"/>
      <c r="T190">
        <f t="shared" si="19"/>
        <v>0</v>
      </c>
      <c r="U190">
        <f t="shared" si="20"/>
        <v>0</v>
      </c>
      <c r="V190"/>
      <c r="W190"/>
    </row>
    <row r="191" spans="1:23" ht="15" customHeight="1" x14ac:dyDescent="0.25">
      <c r="A191" s="86"/>
      <c r="B191" s="11"/>
      <c r="C191" s="8"/>
      <c r="D191" s="8"/>
      <c r="E191" s="128"/>
      <c r="F191" s="106"/>
      <c r="G191" s="129"/>
      <c r="H191" s="130"/>
      <c r="I191" s="130"/>
      <c r="J191" s="631" t="s">
        <v>1256</v>
      </c>
      <c r="K191" s="632"/>
      <c r="L191" s="403"/>
      <c r="M191" s="8"/>
      <c r="N191" s="8"/>
      <c r="O191" s="8"/>
      <c r="P191" s="8"/>
      <c r="Q191" s="10"/>
      <c r="R191" s="88"/>
      <c r="S191"/>
      <c r="T191">
        <f t="shared" si="19"/>
        <v>0</v>
      </c>
      <c r="U191">
        <f t="shared" si="20"/>
        <v>0</v>
      </c>
      <c r="V191"/>
      <c r="W191"/>
    </row>
    <row r="192" spans="1:23" ht="15.75" thickBot="1" x14ac:dyDescent="0.3">
      <c r="A192" s="86"/>
      <c r="B192" s="11"/>
      <c r="C192" s="8"/>
      <c r="D192" s="8"/>
      <c r="E192" s="131"/>
      <c r="F192" s="108"/>
      <c r="G192" s="105"/>
      <c r="H192" s="107"/>
      <c r="I192" s="107"/>
      <c r="J192" s="633"/>
      <c r="K192" s="634"/>
      <c r="L192" s="404"/>
      <c r="M192" s="8"/>
      <c r="N192" s="8"/>
      <c r="O192" s="8"/>
      <c r="P192" s="8"/>
      <c r="Q192" s="10"/>
      <c r="R192" s="88"/>
      <c r="S192"/>
      <c r="T192">
        <f t="shared" si="19"/>
        <v>0</v>
      </c>
      <c r="U192">
        <f t="shared" si="20"/>
        <v>0</v>
      </c>
      <c r="V192"/>
      <c r="W192"/>
    </row>
    <row r="193" spans="1:23" x14ac:dyDescent="0.25">
      <c r="A193" s="86"/>
      <c r="B193" s="11"/>
      <c r="C193" s="8"/>
      <c r="D193" s="8"/>
      <c r="E193" s="131"/>
      <c r="F193" s="106"/>
      <c r="G193" s="105"/>
      <c r="H193" s="107"/>
      <c r="I193" s="107"/>
      <c r="J193" s="633"/>
      <c r="K193" s="634"/>
      <c r="L193" s="404"/>
      <c r="M193" s="8"/>
      <c r="N193" s="8"/>
      <c r="O193" s="8"/>
      <c r="P193" s="8"/>
      <c r="Q193" s="10"/>
      <c r="R193" s="88"/>
      <c r="S193"/>
      <c r="T193">
        <f t="shared" si="19"/>
        <v>0</v>
      </c>
      <c r="U193">
        <f t="shared" si="20"/>
        <v>0</v>
      </c>
      <c r="V193"/>
      <c r="W193"/>
    </row>
    <row r="194" spans="1:23" ht="15.75" thickBot="1" x14ac:dyDescent="0.3">
      <c r="A194" s="86"/>
      <c r="B194" s="11"/>
      <c r="C194" s="8"/>
      <c r="D194" s="8"/>
      <c r="E194" s="131"/>
      <c r="F194" s="109"/>
      <c r="G194" s="105"/>
      <c r="H194" s="107"/>
      <c r="I194" s="107"/>
      <c r="J194" s="635"/>
      <c r="K194" s="636"/>
      <c r="L194" s="404"/>
      <c r="M194" s="8"/>
      <c r="N194" s="8"/>
      <c r="O194" s="8"/>
      <c r="P194" s="8"/>
      <c r="Q194" s="10"/>
      <c r="R194" s="88"/>
      <c r="S194"/>
      <c r="T194">
        <f t="shared" si="19"/>
        <v>0</v>
      </c>
      <c r="U194">
        <f t="shared" si="20"/>
        <v>0</v>
      </c>
      <c r="V194"/>
      <c r="W194"/>
    </row>
    <row r="195" spans="1:23" x14ac:dyDescent="0.25">
      <c r="A195" s="86"/>
      <c r="B195" s="11"/>
      <c r="C195" s="8"/>
      <c r="D195" s="8"/>
      <c r="E195" s="629" t="s">
        <v>912</v>
      </c>
      <c r="F195" s="596" t="s">
        <v>244</v>
      </c>
      <c r="G195" s="596" t="s">
        <v>913</v>
      </c>
      <c r="H195" s="637" t="s">
        <v>970</v>
      </c>
      <c r="I195" s="637"/>
      <c r="J195" s="570" t="s">
        <v>2129</v>
      </c>
      <c r="K195" s="145" t="s">
        <v>1167</v>
      </c>
      <c r="L195" s="390" t="s">
        <v>1744</v>
      </c>
      <c r="M195" s="8"/>
      <c r="N195" s="8"/>
      <c r="O195" s="8"/>
      <c r="P195" s="8"/>
      <c r="Q195" s="10"/>
      <c r="R195" s="88"/>
      <c r="S195"/>
      <c r="T195">
        <f>F165</f>
        <v>0</v>
      </c>
      <c r="U195">
        <f>G165</f>
        <v>0</v>
      </c>
      <c r="V195"/>
      <c r="W195"/>
    </row>
    <row r="196" spans="1:23" ht="15.75" thickBot="1" x14ac:dyDescent="0.3">
      <c r="A196" s="86"/>
      <c r="B196" s="11"/>
      <c r="C196" s="8"/>
      <c r="D196" s="8"/>
      <c r="E196" s="630"/>
      <c r="F196" s="597"/>
      <c r="G196" s="597"/>
      <c r="H196" s="638" t="s">
        <v>971</v>
      </c>
      <c r="I196" s="638"/>
      <c r="J196" s="254" t="s">
        <v>971</v>
      </c>
      <c r="K196" s="395" t="s">
        <v>1168</v>
      </c>
      <c r="L196" s="391" t="s">
        <v>246</v>
      </c>
      <c r="M196" s="8"/>
      <c r="N196" s="8"/>
      <c r="O196" s="8"/>
      <c r="P196" s="8"/>
      <c r="Q196" s="10"/>
      <c r="R196" s="88"/>
      <c r="S196"/>
      <c r="T196">
        <f t="shared" ref="T196:T201" si="21">F166</f>
        <v>0</v>
      </c>
      <c r="U196">
        <f t="shared" ref="U196:U201" si="22">G166</f>
        <v>0</v>
      </c>
      <c r="V196"/>
      <c r="W196"/>
    </row>
    <row r="197" spans="1:23" x14ac:dyDescent="0.25">
      <c r="A197" s="86"/>
      <c r="B197" s="11"/>
      <c r="C197" s="8"/>
      <c r="D197" s="8"/>
      <c r="E197" s="255" t="s">
        <v>250</v>
      </c>
      <c r="F197" s="256" t="str">
        <f>QBproj!D7</f>
        <v>Josh Allen</v>
      </c>
      <c r="G197" s="257" t="str">
        <f>QBproj!E7</f>
        <v>BUF</v>
      </c>
      <c r="H197" s="625">
        <f>QBproj!F7</f>
        <v>388.81601999999998</v>
      </c>
      <c r="I197" s="625"/>
      <c r="J197" s="258">
        <f>QBproj!G7</f>
        <v>1</v>
      </c>
      <c r="K197" s="291">
        <v>1</v>
      </c>
      <c r="L197" s="392">
        <f>QBproj!I7</f>
        <v>1</v>
      </c>
      <c r="M197" s="8"/>
      <c r="N197" s="8"/>
      <c r="O197" s="8"/>
      <c r="P197" s="8"/>
      <c r="Q197" s="10"/>
      <c r="R197" s="88"/>
      <c r="S197"/>
      <c r="T197">
        <f t="shared" si="21"/>
        <v>0</v>
      </c>
      <c r="U197">
        <f t="shared" si="22"/>
        <v>0</v>
      </c>
      <c r="V197"/>
      <c r="W197"/>
    </row>
    <row r="198" spans="1:23" ht="15.75" thickBot="1" x14ac:dyDescent="0.3">
      <c r="A198" s="86"/>
      <c r="B198" s="11"/>
      <c r="C198" s="8"/>
      <c r="D198" s="8"/>
      <c r="E198" s="133" t="s">
        <v>384</v>
      </c>
      <c r="F198" s="132" t="str">
        <f>QBproj!D8</f>
        <v>Patrick Mahomes</v>
      </c>
      <c r="G198" s="387" t="str">
        <f>QBproj!E8</f>
        <v>KC</v>
      </c>
      <c r="H198" s="626">
        <f>QBproj!F8</f>
        <v>387.68401</v>
      </c>
      <c r="I198" s="627"/>
      <c r="J198" s="253">
        <f>QBproj!G8</f>
        <v>1</v>
      </c>
      <c r="K198" s="402"/>
      <c r="L198" s="393">
        <f>QBproj!I8</f>
        <v>-1</v>
      </c>
      <c r="M198" s="8"/>
      <c r="N198" s="8"/>
      <c r="O198" s="8"/>
      <c r="P198" s="8"/>
      <c r="Q198" s="10"/>
      <c r="R198" s="88"/>
      <c r="S198"/>
      <c r="T198">
        <f t="shared" si="21"/>
        <v>0</v>
      </c>
      <c r="U198">
        <f t="shared" si="22"/>
        <v>0</v>
      </c>
      <c r="V198"/>
      <c r="W198"/>
    </row>
    <row r="199" spans="1:23" ht="15.75" thickBot="1" x14ac:dyDescent="0.3">
      <c r="A199" s="86"/>
      <c r="B199" s="11"/>
      <c r="C199" s="8"/>
      <c r="D199" s="8"/>
      <c r="E199" s="8"/>
      <c r="F199" s="8"/>
      <c r="G199" s="8"/>
      <c r="H199" s="9"/>
      <c r="I199" s="8"/>
      <c r="J199" s="8"/>
      <c r="K199" s="8"/>
      <c r="L199" s="8"/>
      <c r="M199" s="8"/>
      <c r="N199" s="8"/>
      <c r="O199" s="8"/>
      <c r="P199" s="8"/>
      <c r="Q199" s="10"/>
      <c r="R199" s="88"/>
      <c r="S199"/>
      <c r="T199">
        <f t="shared" si="21"/>
        <v>0</v>
      </c>
      <c r="U199">
        <f t="shared" si="22"/>
        <v>0</v>
      </c>
      <c r="V199"/>
      <c r="W199"/>
    </row>
    <row r="200" spans="1:23" x14ac:dyDescent="0.25">
      <c r="A200" s="86"/>
      <c r="B200" s="11"/>
      <c r="C200" s="8"/>
      <c r="D200" s="8"/>
      <c r="E200" s="114" t="s">
        <v>1084</v>
      </c>
      <c r="F200" s="110"/>
      <c r="G200" s="111"/>
      <c r="H200" s="112"/>
      <c r="I200" s="112"/>
      <c r="J200" s="112"/>
      <c r="K200" s="112"/>
      <c r="L200" s="112"/>
      <c r="M200" s="112"/>
      <c r="N200" s="113"/>
      <c r="O200" s="8"/>
      <c r="P200" s="8"/>
      <c r="Q200" s="10"/>
      <c r="R200" s="88"/>
      <c r="S200"/>
      <c r="T200">
        <f t="shared" si="21"/>
        <v>0</v>
      </c>
      <c r="U200">
        <f t="shared" si="22"/>
        <v>0</v>
      </c>
      <c r="V200"/>
      <c r="W200"/>
    </row>
    <row r="201" spans="1:23" ht="15.75" thickBot="1" x14ac:dyDescent="0.3">
      <c r="A201" s="86"/>
      <c r="B201" s="11"/>
      <c r="C201" s="8"/>
      <c r="D201" s="8"/>
      <c r="E201" s="120" t="s">
        <v>1085</v>
      </c>
      <c r="F201" s="121"/>
      <c r="G201" s="122"/>
      <c r="H201" s="123"/>
      <c r="I201" s="123"/>
      <c r="J201" s="123"/>
      <c r="K201" s="123"/>
      <c r="L201" s="123"/>
      <c r="M201" s="123"/>
      <c r="N201" s="125"/>
      <c r="O201" s="8"/>
      <c r="P201" s="8"/>
      <c r="Q201" s="10"/>
      <c r="R201" s="88"/>
      <c r="S201"/>
      <c r="T201">
        <f t="shared" si="21"/>
        <v>0</v>
      </c>
      <c r="U201">
        <f t="shared" si="22"/>
        <v>0</v>
      </c>
      <c r="V201"/>
      <c r="W201"/>
    </row>
    <row r="202" spans="1:23" ht="15.75" thickBot="1" x14ac:dyDescent="0.3">
      <c r="A202" s="86"/>
      <c r="B202" s="11"/>
      <c r="C202" s="8"/>
      <c r="D202" s="8"/>
      <c r="E202" s="8"/>
      <c r="F202" s="8"/>
      <c r="G202" s="8"/>
      <c r="H202" s="9"/>
      <c r="I202" s="8"/>
      <c r="J202" s="8"/>
      <c r="K202" s="8"/>
      <c r="L202" s="8"/>
      <c r="M202" s="8"/>
      <c r="N202" s="8"/>
      <c r="O202" s="8"/>
      <c r="P202" s="8"/>
      <c r="Q202" s="10"/>
      <c r="R202" s="88"/>
      <c r="S202"/>
      <c r="T202">
        <f>K165</f>
        <v>0</v>
      </c>
      <c r="U202">
        <f>L165</f>
        <v>0</v>
      </c>
      <c r="V202"/>
      <c r="W202"/>
    </row>
    <row r="203" spans="1:23" x14ac:dyDescent="0.25">
      <c r="A203" s="86"/>
      <c r="B203" s="11"/>
      <c r="C203" s="8"/>
      <c r="D203" s="8"/>
      <c r="E203" s="114" t="s">
        <v>1745</v>
      </c>
      <c r="F203" s="110"/>
      <c r="G203" s="111"/>
      <c r="H203" s="112"/>
      <c r="I203" s="112"/>
      <c r="J203" s="112"/>
      <c r="K203" s="112"/>
      <c r="L203" s="112"/>
      <c r="M203" s="112"/>
      <c r="N203" s="113"/>
      <c r="O203" s="8"/>
      <c r="P203" s="8"/>
      <c r="Q203" s="10"/>
      <c r="R203" s="88"/>
      <c r="S203"/>
      <c r="T203">
        <f t="shared" ref="T203:T208" si="23">K166</f>
        <v>0</v>
      </c>
      <c r="U203">
        <f t="shared" ref="U203:U208" si="24">L166</f>
        <v>0</v>
      </c>
      <c r="V203"/>
      <c r="W203"/>
    </row>
    <row r="204" spans="1:23" ht="15.75" thickBot="1" x14ac:dyDescent="0.3">
      <c r="A204" s="86"/>
      <c r="B204" s="11"/>
      <c r="C204" s="8"/>
      <c r="D204" s="8"/>
      <c r="E204" s="120"/>
      <c r="F204" s="121"/>
      <c r="G204" s="122"/>
      <c r="H204" s="123"/>
      <c r="I204" s="123"/>
      <c r="J204" s="123"/>
      <c r="K204" s="123"/>
      <c r="L204" s="123"/>
      <c r="M204" s="123"/>
      <c r="N204" s="125"/>
      <c r="O204" s="8"/>
      <c r="P204" s="8"/>
      <c r="Q204" s="10"/>
      <c r="R204" s="88"/>
      <c r="S204"/>
      <c r="T204">
        <f t="shared" si="23"/>
        <v>0</v>
      </c>
      <c r="U204">
        <f t="shared" si="24"/>
        <v>0</v>
      </c>
      <c r="V204"/>
      <c r="W204"/>
    </row>
    <row r="205" spans="1:23" ht="15.75" thickBot="1" x14ac:dyDescent="0.3">
      <c r="A205" s="86"/>
      <c r="B205" s="11"/>
      <c r="C205" s="8"/>
      <c r="D205" s="8"/>
      <c r="E205" s="8"/>
      <c r="F205" s="8"/>
      <c r="G205" s="8"/>
      <c r="H205" s="9"/>
      <c r="I205" s="8"/>
      <c r="J205" s="8"/>
      <c r="K205" s="8"/>
      <c r="L205" s="8"/>
      <c r="M205" s="8"/>
      <c r="N205" s="8"/>
      <c r="O205" s="8"/>
      <c r="P205" s="8"/>
      <c r="Q205" s="10"/>
      <c r="R205" s="88"/>
      <c r="S205"/>
      <c r="T205">
        <f t="shared" si="23"/>
        <v>0</v>
      </c>
      <c r="U205">
        <f t="shared" si="24"/>
        <v>0</v>
      </c>
      <c r="V205"/>
      <c r="W205"/>
    </row>
    <row r="206" spans="1:23" x14ac:dyDescent="0.25">
      <c r="A206" s="86"/>
      <c r="B206" s="11"/>
      <c r="C206" s="8"/>
      <c r="D206" s="8"/>
      <c r="E206" s="114" t="s">
        <v>1255</v>
      </c>
      <c r="F206" s="110"/>
      <c r="G206" s="111"/>
      <c r="H206" s="112"/>
      <c r="I206" s="112"/>
      <c r="J206" s="112"/>
      <c r="K206" s="112"/>
      <c r="L206" s="112"/>
      <c r="M206" s="112"/>
      <c r="N206" s="113"/>
      <c r="O206" s="8"/>
      <c r="P206" s="8"/>
      <c r="Q206" s="10"/>
      <c r="R206" s="88"/>
      <c r="S206"/>
      <c r="T206">
        <f t="shared" si="23"/>
        <v>0</v>
      </c>
      <c r="U206">
        <f t="shared" si="24"/>
        <v>0</v>
      </c>
      <c r="V206"/>
      <c r="W206"/>
    </row>
    <row r="207" spans="1:23" ht="15.75" thickBot="1" x14ac:dyDescent="0.3">
      <c r="A207" s="86"/>
      <c r="B207" s="11"/>
      <c r="C207" s="8"/>
      <c r="D207" s="8"/>
      <c r="E207" s="120" t="s">
        <v>1254</v>
      </c>
      <c r="F207" s="121"/>
      <c r="G207" s="122"/>
      <c r="H207" s="123"/>
      <c r="I207" s="123"/>
      <c r="J207" s="123"/>
      <c r="K207" s="123"/>
      <c r="L207" s="123"/>
      <c r="M207" s="123"/>
      <c r="N207" s="125"/>
      <c r="O207" s="8"/>
      <c r="P207" s="8"/>
      <c r="Q207" s="10"/>
      <c r="R207" s="88"/>
      <c r="S207"/>
      <c r="T207">
        <f t="shared" si="23"/>
        <v>0</v>
      </c>
      <c r="U207">
        <f t="shared" si="24"/>
        <v>0</v>
      </c>
      <c r="V207"/>
      <c r="W207"/>
    </row>
    <row r="208" spans="1:23" ht="15.75" thickBot="1" x14ac:dyDescent="0.3">
      <c r="A208" s="86"/>
      <c r="B208" s="11"/>
      <c r="C208" s="8"/>
      <c r="D208" s="8"/>
      <c r="E208" s="8"/>
      <c r="F208" s="8"/>
      <c r="G208" s="8"/>
      <c r="H208" s="9"/>
      <c r="I208" s="8"/>
      <c r="J208" s="8"/>
      <c r="K208" s="8"/>
      <c r="L208" s="8"/>
      <c r="M208" s="8"/>
      <c r="N208" s="8"/>
      <c r="O208" s="8"/>
      <c r="P208" s="8"/>
      <c r="Q208" s="10"/>
      <c r="R208" s="88"/>
      <c r="S208"/>
      <c r="T208">
        <f t="shared" si="23"/>
        <v>0</v>
      </c>
      <c r="U208">
        <f t="shared" si="24"/>
        <v>0</v>
      </c>
      <c r="V208"/>
      <c r="W208"/>
    </row>
    <row r="209" spans="1:23" x14ac:dyDescent="0.25">
      <c r="A209" s="86"/>
      <c r="B209" s="11"/>
      <c r="C209" s="8"/>
      <c r="D209" s="8"/>
      <c r="E209" s="114" t="s">
        <v>1747</v>
      </c>
      <c r="F209" s="110"/>
      <c r="G209" s="111"/>
      <c r="H209" s="112"/>
      <c r="I209" s="112"/>
      <c r="J209" s="112"/>
      <c r="K209" s="112"/>
      <c r="L209" s="112"/>
      <c r="M209" s="112"/>
      <c r="N209" s="113"/>
      <c r="O209" s="8"/>
      <c r="P209" s="8"/>
      <c r="Q209" s="10"/>
      <c r="R209" s="88"/>
      <c r="S209"/>
      <c r="T209">
        <f>F174</f>
        <v>0</v>
      </c>
      <c r="U209">
        <f>G174</f>
        <v>0</v>
      </c>
      <c r="V209"/>
      <c r="W209"/>
    </row>
    <row r="210" spans="1:23" ht="15.75" thickBot="1" x14ac:dyDescent="0.3">
      <c r="A210" s="86"/>
      <c r="B210" s="11"/>
      <c r="C210" s="8"/>
      <c r="D210" s="8"/>
      <c r="E210" s="120" t="s">
        <v>1746</v>
      </c>
      <c r="F210" s="121"/>
      <c r="G210" s="122"/>
      <c r="H210" s="123"/>
      <c r="I210" s="123"/>
      <c r="J210" s="123"/>
      <c r="K210" s="123"/>
      <c r="L210" s="123"/>
      <c r="M210" s="123"/>
      <c r="N210" s="125"/>
      <c r="O210" s="8"/>
      <c r="P210" s="8"/>
      <c r="Q210" s="10"/>
      <c r="R210" s="88"/>
      <c r="S210"/>
      <c r="T210">
        <f t="shared" ref="T210:T215" si="25">F175</f>
        <v>0</v>
      </c>
      <c r="U210">
        <f t="shared" ref="U210:U215" si="26">G175</f>
        <v>0</v>
      </c>
      <c r="V210"/>
      <c r="W210"/>
    </row>
    <row r="211" spans="1:23" ht="15.75" thickBot="1" x14ac:dyDescent="0.3">
      <c r="A211" s="86"/>
      <c r="B211" s="11"/>
      <c r="C211" s="8"/>
      <c r="D211" s="8"/>
      <c r="E211" s="8"/>
      <c r="F211" s="8"/>
      <c r="G211" s="8"/>
      <c r="H211" s="9"/>
      <c r="I211" s="8"/>
      <c r="J211" s="8"/>
      <c r="K211" s="8"/>
      <c r="L211" s="8"/>
      <c r="M211" s="8"/>
      <c r="N211" s="8"/>
      <c r="O211" s="8"/>
      <c r="P211" s="8"/>
      <c r="Q211" s="10"/>
      <c r="R211" s="88"/>
      <c r="S211"/>
      <c r="T211">
        <f t="shared" si="25"/>
        <v>0</v>
      </c>
      <c r="U211">
        <f t="shared" si="26"/>
        <v>0</v>
      </c>
      <c r="V211"/>
      <c r="W211"/>
    </row>
    <row r="212" spans="1:23" ht="15.75" thickBot="1" x14ac:dyDescent="0.3">
      <c r="A212" s="86"/>
      <c r="B212" s="11"/>
      <c r="C212" s="40" t="s">
        <v>922</v>
      </c>
      <c r="D212" s="58"/>
      <c r="E212" s="62" t="s">
        <v>2004</v>
      </c>
      <c r="F212" s="47"/>
      <c r="G212" s="47"/>
      <c r="H212" s="48"/>
      <c r="I212" s="47"/>
      <c r="J212" s="47"/>
      <c r="K212" s="47"/>
      <c r="L212" s="47"/>
      <c r="M212" s="47"/>
      <c r="N212" s="47"/>
      <c r="O212" s="96"/>
      <c r="P212" s="8"/>
      <c r="Q212" s="10"/>
      <c r="R212" s="88"/>
      <c r="S212"/>
      <c r="T212">
        <f t="shared" si="25"/>
        <v>0</v>
      </c>
      <c r="U212">
        <f t="shared" si="26"/>
        <v>0</v>
      </c>
      <c r="V212"/>
      <c r="W212"/>
    </row>
    <row r="213" spans="1:23" ht="15.75" thickBot="1" x14ac:dyDescent="0.3">
      <c r="A213" s="86"/>
      <c r="B213" s="11"/>
      <c r="C213" s="8"/>
      <c r="D213" s="59"/>
      <c r="E213" s="63" t="s">
        <v>2005</v>
      </c>
      <c r="F213" s="49"/>
      <c r="G213" s="49"/>
      <c r="H213" s="50"/>
      <c r="I213" s="49"/>
      <c r="J213" s="49"/>
      <c r="K213" s="49"/>
      <c r="L213" s="49"/>
      <c r="M213" s="49"/>
      <c r="N213" s="49"/>
      <c r="O213" s="95"/>
      <c r="P213" s="8"/>
      <c r="Q213" s="10"/>
      <c r="R213" s="88"/>
      <c r="S213"/>
      <c r="T213">
        <f t="shared" si="25"/>
        <v>0</v>
      </c>
      <c r="U213">
        <f t="shared" si="26"/>
        <v>0</v>
      </c>
      <c r="V213"/>
      <c r="W213"/>
    </row>
    <row r="214" spans="1:23" x14ac:dyDescent="0.25">
      <c r="A214" s="86"/>
      <c r="B214" s="11"/>
      <c r="C214" s="8"/>
      <c r="D214" s="8"/>
      <c r="E214" s="20"/>
      <c r="F214" s="17"/>
      <c r="G214" s="17"/>
      <c r="H214" s="9"/>
      <c r="I214" s="8"/>
      <c r="J214" s="9"/>
      <c r="K214" s="9"/>
      <c r="L214" s="8"/>
      <c r="M214" s="8"/>
      <c r="N214" s="8"/>
      <c r="O214" s="8"/>
      <c r="P214" s="8"/>
      <c r="Q214" s="10"/>
      <c r="R214" s="88"/>
      <c r="S214"/>
      <c r="T214">
        <f t="shared" si="25"/>
        <v>0</v>
      </c>
      <c r="U214">
        <f t="shared" si="26"/>
        <v>0</v>
      </c>
      <c r="V214"/>
      <c r="W214"/>
    </row>
    <row r="215" spans="1:23" x14ac:dyDescent="0.25">
      <c r="A215" s="86"/>
      <c r="B215" s="11"/>
      <c r="C215" s="8"/>
      <c r="D215" s="8"/>
      <c r="E215" s="20"/>
      <c r="F215" s="8"/>
      <c r="G215" s="8"/>
      <c r="H215" s="8"/>
      <c r="I215" s="8"/>
      <c r="J215" s="8"/>
      <c r="K215" s="8"/>
      <c r="L215" s="8"/>
      <c r="M215" s="8"/>
      <c r="N215" s="8"/>
      <c r="O215" s="8"/>
      <c r="P215" s="8"/>
      <c r="Q215" s="10"/>
      <c r="R215" s="88"/>
      <c r="S215"/>
      <c r="T215">
        <f t="shared" si="25"/>
        <v>0</v>
      </c>
      <c r="U215">
        <f t="shared" si="26"/>
        <v>0</v>
      </c>
      <c r="V215"/>
      <c r="W215"/>
    </row>
    <row r="216" spans="1:23" x14ac:dyDescent="0.25">
      <c r="A216" s="86"/>
      <c r="B216" s="11"/>
      <c r="C216" s="8"/>
      <c r="D216" s="8"/>
      <c r="E216" s="8"/>
      <c r="F216" s="197"/>
      <c r="G216" s="197"/>
      <c r="H216" s="197"/>
      <c r="I216" s="197"/>
      <c r="J216" s="197"/>
      <c r="K216" s="197"/>
      <c r="L216" s="197"/>
      <c r="M216" s="197"/>
      <c r="N216" s="197"/>
      <c r="O216" s="8"/>
      <c r="P216" s="8"/>
      <c r="Q216" s="10"/>
      <c r="R216" s="88"/>
      <c r="S216"/>
      <c r="T216">
        <f>K174</f>
        <v>0</v>
      </c>
      <c r="U216">
        <f>L174</f>
        <v>0</v>
      </c>
      <c r="V216"/>
      <c r="W216"/>
    </row>
    <row r="217" spans="1:23" ht="23.25" x14ac:dyDescent="0.25">
      <c r="A217" s="86"/>
      <c r="B217" s="11"/>
      <c r="C217" s="8"/>
      <c r="D217" s="8"/>
      <c r="E217" s="8"/>
      <c r="F217" s="197"/>
      <c r="G217" s="468"/>
      <c r="H217" s="197"/>
      <c r="I217" s="197"/>
      <c r="J217" s="197"/>
      <c r="K217" s="500" t="str">
        <f>F221</f>
        <v>Christian McCaffrey</v>
      </c>
      <c r="L217" s="501"/>
      <c r="M217" s="501"/>
      <c r="N217" s="534"/>
      <c r="O217" s="8"/>
      <c r="P217" s="8"/>
      <c r="Q217" s="10"/>
      <c r="R217" s="88"/>
      <c r="S217"/>
      <c r="T217">
        <f t="shared" ref="T217:T222" si="27">K175</f>
        <v>0</v>
      </c>
      <c r="U217">
        <f t="shared" ref="U217:U222" si="28">L175</f>
        <v>0</v>
      </c>
      <c r="V217"/>
      <c r="W217"/>
    </row>
    <row r="218" spans="1:23" x14ac:dyDescent="0.25">
      <c r="A218" s="86"/>
      <c r="B218" s="11"/>
      <c r="C218" s="8"/>
      <c r="D218" s="8"/>
      <c r="E218" s="8"/>
      <c r="F218" s="197"/>
      <c r="G218" s="197"/>
      <c r="H218" s="197"/>
      <c r="I218" s="197"/>
      <c r="J218" s="197"/>
      <c r="K218" s="639" t="s">
        <v>1996</v>
      </c>
      <c r="L218" s="639"/>
      <c r="M218" s="639"/>
      <c r="N218" s="534"/>
      <c r="O218" s="8"/>
      <c r="P218" s="8"/>
      <c r="Q218" s="10"/>
      <c r="R218" s="88"/>
      <c r="S218"/>
      <c r="T218">
        <f t="shared" si="27"/>
        <v>0</v>
      </c>
      <c r="U218">
        <f t="shared" si="28"/>
        <v>0</v>
      </c>
      <c r="V218"/>
      <c r="W218"/>
    </row>
    <row r="219" spans="1:23" ht="15.75" thickBot="1" x14ac:dyDescent="0.3">
      <c r="A219" s="86"/>
      <c r="B219" s="11"/>
      <c r="C219" s="8"/>
      <c r="D219" s="8"/>
      <c r="E219" s="8"/>
      <c r="F219" s="197"/>
      <c r="G219" s="197"/>
      <c r="H219" s="197"/>
      <c r="I219" s="197"/>
      <c r="J219" s="197"/>
      <c r="K219" s="197"/>
      <c r="L219" s="197"/>
      <c r="M219" s="197"/>
      <c r="N219" s="197"/>
      <c r="O219" s="8"/>
      <c r="P219" s="8"/>
      <c r="Q219" s="10"/>
      <c r="R219" s="88"/>
      <c r="S219"/>
      <c r="T219">
        <f t="shared" si="27"/>
        <v>0</v>
      </c>
      <c r="U219">
        <f t="shared" si="28"/>
        <v>0</v>
      </c>
      <c r="V219"/>
      <c r="W219"/>
    </row>
    <row r="220" spans="1:23" ht="15.75" thickBot="1" x14ac:dyDescent="0.3">
      <c r="A220" s="86"/>
      <c r="B220" s="11"/>
      <c r="C220" s="8"/>
      <c r="D220" s="8"/>
      <c r="E220" s="8"/>
      <c r="F220" s="525" t="s">
        <v>3</v>
      </c>
      <c r="G220" s="526" t="s">
        <v>911</v>
      </c>
      <c r="H220" s="526" t="s">
        <v>2000</v>
      </c>
      <c r="I220" s="526" t="s">
        <v>2001</v>
      </c>
      <c r="J220" s="526" t="s">
        <v>2002</v>
      </c>
      <c r="K220" s="528" t="s">
        <v>6</v>
      </c>
      <c r="L220" s="526" t="s">
        <v>911</v>
      </c>
      <c r="M220" s="526" t="s">
        <v>2000</v>
      </c>
      <c r="N220" s="526" t="s">
        <v>2001</v>
      </c>
      <c r="O220" s="8"/>
      <c r="P220" s="8"/>
      <c r="Q220" s="10"/>
      <c r="R220" s="88"/>
      <c r="S220"/>
      <c r="T220">
        <f t="shared" si="27"/>
        <v>0</v>
      </c>
      <c r="U220">
        <f t="shared" si="28"/>
        <v>0</v>
      </c>
      <c r="V220"/>
      <c r="W220"/>
    </row>
    <row r="221" spans="1:23" ht="18.75" x14ac:dyDescent="0.25">
      <c r="A221" s="86"/>
      <c r="B221" s="11"/>
      <c r="C221" s="8"/>
      <c r="D221" s="8"/>
      <c r="E221" s="8"/>
      <c r="F221" s="484" t="str">
        <f>Draft!T6</f>
        <v>Christian McCaffrey</v>
      </c>
      <c r="G221" s="485" t="str">
        <f>Draft!U6</f>
        <v>SF</v>
      </c>
      <c r="H221" s="486" t="str">
        <f>Draft!V6</f>
        <v>9</v>
      </c>
      <c r="I221" s="487">
        <f>Draft!X6</f>
        <v>0</v>
      </c>
      <c r="J221" s="487">
        <f>Draft!AA6</f>
        <v>3.777807500000002</v>
      </c>
      <c r="K221" s="484" t="str">
        <f>Draft!AF6</f>
        <v>Tyreek Hill</v>
      </c>
      <c r="L221" s="485" t="str">
        <f>Draft!AG6</f>
        <v>MIA</v>
      </c>
      <c r="M221" s="486" t="str">
        <f>Draft!AH6</f>
        <v>10</v>
      </c>
      <c r="N221" s="487">
        <f>Draft!AJ6</f>
        <v>0</v>
      </c>
      <c r="O221" s="8"/>
      <c r="P221" s="8"/>
      <c r="Q221" s="10"/>
      <c r="R221" s="88"/>
      <c r="S221"/>
      <c r="T221">
        <f t="shared" si="27"/>
        <v>0</v>
      </c>
      <c r="U221">
        <f t="shared" si="28"/>
        <v>0</v>
      </c>
      <c r="V221"/>
      <c r="W221"/>
    </row>
    <row r="222" spans="1:23" x14ac:dyDescent="0.25">
      <c r="A222" s="86"/>
      <c r="B222" s="11"/>
      <c r="C222" s="8"/>
      <c r="D222" s="8"/>
      <c r="E222" s="8"/>
      <c r="F222" s="8"/>
      <c r="G222" s="8"/>
      <c r="H222" s="8"/>
      <c r="I222" s="8"/>
      <c r="J222" s="8"/>
      <c r="K222" s="8"/>
      <c r="L222" s="8"/>
      <c r="M222" s="8"/>
      <c r="N222" s="8"/>
      <c r="O222" s="8"/>
      <c r="P222" s="8"/>
      <c r="Q222" s="10"/>
      <c r="R222" s="88"/>
      <c r="S222"/>
      <c r="T222">
        <f t="shared" si="27"/>
        <v>0</v>
      </c>
      <c r="U222">
        <f t="shared" si="28"/>
        <v>0</v>
      </c>
      <c r="V222"/>
      <c r="W222"/>
    </row>
    <row r="223" spans="1:23" ht="15.75" thickBot="1" x14ac:dyDescent="0.3">
      <c r="A223" s="86"/>
      <c r="B223" s="11"/>
      <c r="C223" s="8"/>
      <c r="D223" s="8"/>
      <c r="E223" s="20"/>
      <c r="F223" s="17"/>
      <c r="G223" s="17"/>
      <c r="H223" s="18"/>
      <c r="I223" s="19"/>
      <c r="J223" s="8"/>
      <c r="K223" s="8"/>
      <c r="L223" s="8"/>
      <c r="M223" s="8"/>
      <c r="N223" s="8"/>
      <c r="O223" s="8"/>
      <c r="P223" s="8"/>
      <c r="Q223" s="10"/>
      <c r="R223" s="88"/>
      <c r="S223"/>
      <c r="T223"/>
      <c r="U223"/>
      <c r="V223"/>
      <c r="W223"/>
    </row>
    <row r="224" spans="1:23" ht="15.75" thickBot="1" x14ac:dyDescent="0.3">
      <c r="A224" s="86"/>
      <c r="B224" s="11"/>
      <c r="C224" s="8"/>
      <c r="D224" s="8"/>
      <c r="E224" s="46" t="s">
        <v>911</v>
      </c>
      <c r="F224" s="69" t="s">
        <v>925</v>
      </c>
      <c r="G224" s="66"/>
      <c r="H224" s="67"/>
      <c r="I224" s="19"/>
      <c r="J224" s="9"/>
      <c r="K224" s="9"/>
      <c r="L224" s="8"/>
      <c r="M224" s="8"/>
      <c r="N224" s="8"/>
      <c r="O224" s="8"/>
      <c r="P224" s="8"/>
      <c r="Q224" s="10"/>
      <c r="R224" s="88"/>
      <c r="S224"/>
      <c r="T224"/>
      <c r="U224"/>
      <c r="V224"/>
      <c r="W224"/>
    </row>
    <row r="225" spans="1:23" ht="15.75" thickBot="1" x14ac:dyDescent="0.3">
      <c r="A225" s="86"/>
      <c r="B225" s="11"/>
      <c r="C225" s="8"/>
      <c r="D225" s="8"/>
      <c r="E225" s="45"/>
      <c r="F225" s="17"/>
      <c r="G225" s="17"/>
      <c r="H225" s="18"/>
      <c r="I225" s="19"/>
      <c r="J225" s="9"/>
      <c r="K225" s="9"/>
      <c r="L225" s="8"/>
      <c r="M225" s="8"/>
      <c r="N225" s="8"/>
      <c r="O225" s="8"/>
      <c r="P225" s="8"/>
      <c r="Q225" s="10"/>
      <c r="R225" s="88"/>
      <c r="S225"/>
      <c r="T225"/>
      <c r="U225"/>
      <c r="V225"/>
      <c r="W225"/>
    </row>
    <row r="226" spans="1:23" ht="15.75" thickBot="1" x14ac:dyDescent="0.3">
      <c r="A226" s="86"/>
      <c r="B226" s="11"/>
      <c r="C226" s="8"/>
      <c r="D226" s="8"/>
      <c r="E226" s="46" t="s">
        <v>1850</v>
      </c>
      <c r="F226" s="114" t="s">
        <v>2006</v>
      </c>
      <c r="G226" s="110"/>
      <c r="H226" s="111"/>
      <c r="I226" s="112"/>
      <c r="J226" s="112"/>
      <c r="K226" s="112"/>
      <c r="L226" s="112"/>
      <c r="M226" s="112"/>
      <c r="N226" s="113"/>
      <c r="O226" s="8"/>
      <c r="P226" s="8"/>
      <c r="Q226" s="10"/>
      <c r="R226" s="88"/>
      <c r="S226"/>
      <c r="T226"/>
      <c r="U226"/>
      <c r="V226"/>
      <c r="W226"/>
    </row>
    <row r="227" spans="1:23" ht="15.75" thickBot="1" x14ac:dyDescent="0.3">
      <c r="A227" s="86"/>
      <c r="B227" s="11"/>
      <c r="C227" s="8"/>
      <c r="D227" s="8"/>
      <c r="E227" s="17"/>
      <c r="F227" s="120" t="s">
        <v>2007</v>
      </c>
      <c r="G227" s="121"/>
      <c r="H227" s="122"/>
      <c r="I227" s="123"/>
      <c r="J227" s="123"/>
      <c r="K227" s="123"/>
      <c r="L227" s="123"/>
      <c r="M227" s="123"/>
      <c r="N227" s="125"/>
      <c r="O227" s="8"/>
      <c r="P227" s="8"/>
      <c r="Q227" s="10"/>
      <c r="R227" s="88"/>
      <c r="S227"/>
      <c r="T227"/>
      <c r="U227"/>
      <c r="V227"/>
      <c r="W227"/>
    </row>
    <row r="228" spans="1:23" ht="15.75" thickBot="1" x14ac:dyDescent="0.3">
      <c r="A228" s="86"/>
      <c r="B228" s="11"/>
      <c r="C228" s="8"/>
      <c r="D228" s="8"/>
      <c r="E228" s="45"/>
      <c r="F228" s="17"/>
      <c r="G228" s="17"/>
      <c r="H228" s="18"/>
      <c r="I228" s="19"/>
      <c r="J228" s="9"/>
      <c r="K228" s="9"/>
      <c r="L228" s="8"/>
      <c r="M228" s="8"/>
      <c r="N228" s="8"/>
      <c r="O228" s="8"/>
      <c r="P228" s="8"/>
      <c r="Q228" s="10"/>
      <c r="R228" s="88"/>
      <c r="S228"/>
      <c r="T228"/>
      <c r="U228"/>
      <c r="V228"/>
      <c r="W228"/>
    </row>
    <row r="229" spans="1:23" ht="15.75" thickBot="1" x14ac:dyDescent="0.3">
      <c r="A229" s="86"/>
      <c r="B229" s="11"/>
      <c r="C229" s="8"/>
      <c r="D229" s="8"/>
      <c r="E229" s="46" t="s">
        <v>2001</v>
      </c>
      <c r="F229" s="114" t="s">
        <v>2010</v>
      </c>
      <c r="G229" s="110"/>
      <c r="H229" s="111"/>
      <c r="I229" s="112"/>
      <c r="J229" s="112"/>
      <c r="K229" s="112"/>
      <c r="L229" s="112"/>
      <c r="M229" s="112"/>
      <c r="N229" s="113"/>
      <c r="O229" s="8"/>
      <c r="P229" s="8"/>
      <c r="Q229" s="10"/>
      <c r="R229" s="88"/>
      <c r="S229"/>
      <c r="T229"/>
      <c r="U229"/>
      <c r="V229"/>
      <c r="W229"/>
    </row>
    <row r="230" spans="1:23" ht="15.75" thickBot="1" x14ac:dyDescent="0.3">
      <c r="A230" s="86"/>
      <c r="B230" s="11"/>
      <c r="C230" s="8"/>
      <c r="D230" s="8"/>
      <c r="E230" s="45"/>
      <c r="F230" s="120" t="s">
        <v>2009</v>
      </c>
      <c r="G230" s="121"/>
      <c r="H230" s="122"/>
      <c r="I230" s="123"/>
      <c r="J230" s="123"/>
      <c r="K230" s="123"/>
      <c r="L230" s="123"/>
      <c r="M230" s="123"/>
      <c r="N230" s="125"/>
      <c r="O230" s="8"/>
      <c r="P230" s="8"/>
      <c r="Q230" s="10"/>
      <c r="R230" s="88"/>
      <c r="S230"/>
      <c r="T230"/>
      <c r="U230"/>
      <c r="V230"/>
      <c r="W230"/>
    </row>
    <row r="231" spans="1:23" ht="15.75" thickBot="1" x14ac:dyDescent="0.3">
      <c r="A231" s="86"/>
      <c r="B231" s="11"/>
      <c r="C231" s="8"/>
      <c r="D231" s="8"/>
      <c r="E231" s="45"/>
      <c r="F231" s="17"/>
      <c r="G231" s="17"/>
      <c r="H231" s="18"/>
      <c r="I231" s="19"/>
      <c r="J231" s="9"/>
      <c r="K231" s="9"/>
      <c r="L231" s="8"/>
      <c r="M231" s="8"/>
      <c r="N231" s="8"/>
      <c r="O231" s="8"/>
      <c r="P231" s="8"/>
      <c r="Q231" s="10"/>
      <c r="R231" s="88"/>
      <c r="S231"/>
      <c r="T231"/>
      <c r="U231"/>
      <c r="V231"/>
      <c r="W231"/>
    </row>
    <row r="232" spans="1:23" ht="15.75" thickBot="1" x14ac:dyDescent="0.3">
      <c r="A232" s="86"/>
      <c r="B232" s="11"/>
      <c r="C232" s="8"/>
      <c r="D232" s="8"/>
      <c r="E232" s="46" t="s">
        <v>2002</v>
      </c>
      <c r="F232" s="114" t="s">
        <v>2011</v>
      </c>
      <c r="G232" s="110"/>
      <c r="H232" s="111"/>
      <c r="I232" s="112"/>
      <c r="J232" s="112"/>
      <c r="K232" s="112"/>
      <c r="L232" s="112"/>
      <c r="M232" s="112"/>
      <c r="N232" s="113"/>
      <c r="O232" s="8"/>
      <c r="P232" s="8"/>
      <c r="Q232" s="10"/>
      <c r="R232" s="88"/>
      <c r="S232"/>
      <c r="T232"/>
      <c r="U232"/>
      <c r="V232"/>
      <c r="W232"/>
    </row>
    <row r="233" spans="1:23" ht="15.75" thickBot="1" x14ac:dyDescent="0.3">
      <c r="A233" s="86"/>
      <c r="B233" s="11"/>
      <c r="C233" s="8"/>
      <c r="D233" s="8"/>
      <c r="E233" s="45"/>
      <c r="F233" s="120" t="s">
        <v>2012</v>
      </c>
      <c r="G233" s="121"/>
      <c r="H233" s="122"/>
      <c r="I233" s="123"/>
      <c r="J233" s="123"/>
      <c r="K233" s="123"/>
      <c r="L233" s="123"/>
      <c r="M233" s="123"/>
      <c r="N233" s="125"/>
      <c r="O233" s="8"/>
      <c r="P233" s="8"/>
      <c r="Q233" s="10"/>
      <c r="R233" s="88"/>
      <c r="S233"/>
      <c r="T233"/>
      <c r="U233"/>
      <c r="V233"/>
      <c r="W233"/>
    </row>
    <row r="234" spans="1:23" ht="15.75" thickBot="1" x14ac:dyDescent="0.3">
      <c r="A234" s="86"/>
      <c r="B234" s="11"/>
      <c r="C234" s="8"/>
      <c r="D234" s="8"/>
      <c r="E234" s="45"/>
      <c r="F234" s="17"/>
      <c r="G234" s="17"/>
      <c r="H234" s="18"/>
      <c r="I234" s="19"/>
      <c r="J234" s="9"/>
      <c r="K234" s="9"/>
      <c r="L234" s="8"/>
      <c r="M234" s="8"/>
      <c r="N234" s="8"/>
      <c r="O234" s="8"/>
      <c r="P234" s="8"/>
      <c r="Q234" s="10"/>
      <c r="R234" s="88"/>
      <c r="S234"/>
      <c r="T234"/>
      <c r="U234"/>
      <c r="V234"/>
      <c r="W234"/>
    </row>
    <row r="235" spans="1:23" ht="15.75" thickBot="1" x14ac:dyDescent="0.3">
      <c r="A235" s="86"/>
      <c r="B235" s="11"/>
      <c r="C235" s="8"/>
      <c r="D235" s="8"/>
      <c r="E235" s="46" t="s">
        <v>2003</v>
      </c>
      <c r="F235" s="69" t="s">
        <v>2013</v>
      </c>
      <c r="G235" s="66"/>
      <c r="H235" s="66"/>
      <c r="I235" s="66"/>
      <c r="J235" s="66"/>
      <c r="K235" s="66"/>
      <c r="L235" s="66"/>
      <c r="M235" s="66"/>
      <c r="N235" s="67"/>
      <c r="O235" s="8"/>
      <c r="P235" s="8"/>
      <c r="Q235" s="10"/>
      <c r="R235" s="88"/>
      <c r="S235"/>
      <c r="T235"/>
      <c r="U235"/>
      <c r="V235"/>
      <c r="W235"/>
    </row>
    <row r="236" spans="1:23" ht="15.75" thickBot="1" x14ac:dyDescent="0.3">
      <c r="A236" s="86"/>
      <c r="B236" s="11"/>
      <c r="C236" s="8"/>
      <c r="D236" s="8"/>
      <c r="E236" s="45"/>
      <c r="F236" s="17"/>
      <c r="G236" s="17"/>
      <c r="H236" s="18"/>
      <c r="I236" s="19"/>
      <c r="J236" s="9"/>
      <c r="K236" s="9"/>
      <c r="L236" s="8"/>
      <c r="M236" s="8"/>
      <c r="N236" s="8"/>
      <c r="O236" s="8"/>
      <c r="P236" s="8"/>
      <c r="Q236" s="10"/>
      <c r="R236" s="88"/>
      <c r="S236"/>
      <c r="T236"/>
      <c r="U236"/>
      <c r="V236"/>
      <c r="W236"/>
    </row>
    <row r="237" spans="1:23" ht="15.75" thickBot="1" x14ac:dyDescent="0.3">
      <c r="A237" s="86"/>
      <c r="B237" s="11"/>
      <c r="C237" s="8"/>
      <c r="D237" s="8"/>
      <c r="E237" s="535"/>
      <c r="F237" s="69" t="s">
        <v>2008</v>
      </c>
      <c r="G237" s="66"/>
      <c r="H237" s="68"/>
      <c r="I237" s="69"/>
      <c r="J237" s="68"/>
      <c r="K237" s="68"/>
      <c r="L237" s="69"/>
      <c r="M237" s="69"/>
      <c r="N237" s="70"/>
      <c r="O237" s="8"/>
      <c r="P237" s="8"/>
      <c r="Q237" s="10"/>
      <c r="R237" s="88"/>
    </row>
    <row r="238" spans="1:23" ht="15.75" thickBot="1" x14ac:dyDescent="0.3">
      <c r="A238" s="86"/>
      <c r="B238" s="11"/>
      <c r="C238" s="8"/>
      <c r="D238" s="8"/>
      <c r="E238" s="8"/>
      <c r="F238" s="8"/>
      <c r="G238" s="8"/>
      <c r="H238" s="9"/>
      <c r="I238" s="8"/>
      <c r="J238" s="8"/>
      <c r="K238" s="8"/>
      <c r="L238" s="8"/>
      <c r="M238" s="8"/>
      <c r="N238" s="8"/>
      <c r="O238" s="8"/>
      <c r="P238" s="8"/>
      <c r="Q238" s="10"/>
      <c r="R238" s="88"/>
    </row>
    <row r="239" spans="1:23" ht="15.75" thickBot="1" x14ac:dyDescent="0.3">
      <c r="A239" s="86"/>
      <c r="B239" s="11"/>
      <c r="C239" s="8"/>
      <c r="D239" s="8"/>
      <c r="E239" s="536"/>
      <c r="F239" s="114" t="s">
        <v>2014</v>
      </c>
      <c r="G239" s="110"/>
      <c r="H239" s="111"/>
      <c r="I239" s="112"/>
      <c r="J239" s="112"/>
      <c r="K239" s="112"/>
      <c r="L239" s="112"/>
      <c r="M239" s="112"/>
      <c r="N239" s="113"/>
      <c r="O239" s="8"/>
      <c r="P239" s="8"/>
      <c r="Q239" s="10"/>
      <c r="R239" s="88"/>
    </row>
    <row r="240" spans="1:23" ht="15.75" thickBot="1" x14ac:dyDescent="0.3">
      <c r="A240" s="86"/>
      <c r="B240" s="11"/>
      <c r="C240" s="8"/>
      <c r="D240" s="8"/>
      <c r="E240" s="8"/>
      <c r="F240" s="120" t="s">
        <v>2015</v>
      </c>
      <c r="G240" s="121"/>
      <c r="H240" s="122"/>
      <c r="I240" s="123"/>
      <c r="J240" s="123"/>
      <c r="K240" s="123"/>
      <c r="L240" s="123"/>
      <c r="M240" s="123"/>
      <c r="N240" s="125"/>
      <c r="O240" s="8"/>
      <c r="P240" s="8"/>
      <c r="Q240" s="10"/>
      <c r="R240" s="88"/>
    </row>
    <row r="241" spans="1:18" x14ac:dyDescent="0.25">
      <c r="A241" s="86"/>
      <c r="B241" s="11"/>
      <c r="C241" s="8"/>
      <c r="D241" s="8"/>
      <c r="E241" s="8"/>
      <c r="F241" s="8"/>
      <c r="G241" s="8"/>
      <c r="H241" s="9"/>
      <c r="I241" s="8"/>
      <c r="J241" s="8"/>
      <c r="K241" s="8"/>
      <c r="L241" s="8"/>
      <c r="M241" s="8"/>
      <c r="N241" s="8"/>
      <c r="O241" s="8"/>
      <c r="P241" s="8"/>
      <c r="Q241" s="10"/>
      <c r="R241" s="88"/>
    </row>
    <row r="242" spans="1:18" ht="15" customHeight="1" x14ac:dyDescent="0.25">
      <c r="A242" s="86"/>
      <c r="B242" s="11"/>
      <c r="C242" s="8"/>
      <c r="D242" s="8"/>
      <c r="E242" s="19"/>
      <c r="F242" s="19"/>
      <c r="G242" s="17"/>
      <c r="H242" s="18"/>
      <c r="I242" s="19"/>
      <c r="J242" s="9"/>
      <c r="K242" s="9"/>
      <c r="L242" s="8"/>
      <c r="M242" s="8"/>
      <c r="N242" s="8"/>
      <c r="O242" s="8"/>
      <c r="P242" s="8"/>
      <c r="Q242" s="10"/>
      <c r="R242" s="88"/>
    </row>
    <row r="243" spans="1:18" ht="15" customHeight="1" thickBot="1" x14ac:dyDescent="0.3">
      <c r="A243" s="86"/>
      <c r="B243" s="11"/>
      <c r="C243" s="8"/>
      <c r="D243" s="8"/>
      <c r="E243" s="19"/>
      <c r="F243" s="19"/>
      <c r="G243" s="17"/>
      <c r="H243" s="18"/>
      <c r="I243" s="19"/>
      <c r="J243" s="9"/>
      <c r="K243" s="9"/>
      <c r="L243" s="8"/>
      <c r="M243" s="8"/>
      <c r="N243" s="8"/>
      <c r="O243" s="8"/>
      <c r="P243" s="8"/>
      <c r="Q243" s="10"/>
      <c r="R243" s="88"/>
    </row>
    <row r="244" spans="1:18" ht="15" customHeight="1" thickBot="1" x14ac:dyDescent="0.3">
      <c r="A244" s="86"/>
      <c r="B244" s="11"/>
      <c r="C244" s="40" t="s">
        <v>923</v>
      </c>
      <c r="D244" s="55"/>
      <c r="E244" s="64" t="s">
        <v>926</v>
      </c>
      <c r="F244" s="71"/>
      <c r="G244" s="72"/>
      <c r="H244" s="73"/>
      <c r="I244" s="71"/>
      <c r="J244" s="74"/>
      <c r="K244" s="74"/>
      <c r="L244" s="56"/>
      <c r="M244" s="56"/>
      <c r="N244" s="56"/>
      <c r="O244" s="57"/>
      <c r="P244" s="8"/>
      <c r="Q244" s="10"/>
      <c r="R244" s="88"/>
    </row>
    <row r="245" spans="1:18" ht="15" customHeight="1" thickBot="1" x14ac:dyDescent="0.3">
      <c r="A245" s="86"/>
      <c r="B245" s="11"/>
      <c r="C245" s="8"/>
      <c r="D245" s="8"/>
      <c r="E245" s="19"/>
      <c r="F245" s="19"/>
      <c r="G245" s="17"/>
      <c r="H245" s="18"/>
      <c r="I245" s="19"/>
      <c r="J245" s="9"/>
      <c r="K245" s="9"/>
      <c r="L245" s="8"/>
      <c r="M245" s="8"/>
      <c r="N245" s="8"/>
      <c r="O245" s="8"/>
      <c r="P245" s="8"/>
      <c r="Q245" s="10"/>
      <c r="R245" s="88"/>
    </row>
    <row r="246" spans="1:18" ht="15" customHeight="1" thickBot="1" x14ac:dyDescent="0.3">
      <c r="A246" s="86"/>
      <c r="B246" s="11"/>
      <c r="C246" s="8"/>
      <c r="D246" s="8"/>
      <c r="E246" s="65" t="s">
        <v>927</v>
      </c>
      <c r="F246" s="69"/>
      <c r="G246" s="75"/>
      <c r="H246" s="68"/>
      <c r="I246" s="69"/>
      <c r="J246" s="76"/>
      <c r="K246" s="76"/>
      <c r="L246" s="77"/>
      <c r="M246" s="77"/>
      <c r="N246" s="78"/>
      <c r="O246" s="8"/>
      <c r="P246" s="8"/>
      <c r="Q246" s="10"/>
      <c r="R246" s="88"/>
    </row>
    <row r="247" spans="1:18" ht="15" customHeight="1" x14ac:dyDescent="0.25">
      <c r="A247" s="86"/>
      <c r="B247" s="11"/>
      <c r="C247" s="8"/>
      <c r="D247" s="8"/>
      <c r="E247" s="19"/>
      <c r="F247" s="19"/>
      <c r="G247" s="17"/>
      <c r="H247" s="18"/>
      <c r="I247" s="19"/>
      <c r="J247" s="9"/>
      <c r="K247" s="9"/>
      <c r="L247" s="8"/>
      <c r="M247" s="8"/>
      <c r="N247" s="8"/>
      <c r="O247" s="8"/>
      <c r="P247" s="8"/>
      <c r="Q247" s="10"/>
      <c r="R247" s="88"/>
    </row>
    <row r="248" spans="1:18" ht="15" customHeight="1" thickBot="1" x14ac:dyDescent="0.45">
      <c r="A248" s="86"/>
      <c r="B248" s="15"/>
      <c r="C248" s="21"/>
      <c r="D248" s="21"/>
      <c r="E248" s="22"/>
      <c r="F248" s="22"/>
      <c r="G248" s="23"/>
      <c r="H248" s="24"/>
      <c r="I248" s="21"/>
      <c r="J248" s="24"/>
      <c r="K248" s="24"/>
      <c r="L248" s="21"/>
      <c r="M248" s="21"/>
      <c r="N248" s="21"/>
      <c r="O248" s="21"/>
      <c r="P248" s="21"/>
      <c r="Q248" s="25"/>
      <c r="R248" s="88"/>
    </row>
    <row r="249" spans="1:18" ht="16.5" thickTop="1" thickBot="1" x14ac:dyDescent="0.3">
      <c r="A249" s="91"/>
      <c r="B249" s="92"/>
      <c r="C249" s="92"/>
      <c r="D249" s="92"/>
      <c r="E249" s="92"/>
      <c r="F249" s="92"/>
      <c r="G249" s="92"/>
      <c r="H249" s="93"/>
      <c r="I249" s="92"/>
      <c r="J249" s="92"/>
      <c r="K249" s="92"/>
      <c r="L249" s="92"/>
      <c r="M249" s="92"/>
      <c r="N249" s="92"/>
      <c r="O249" s="92"/>
      <c r="P249" s="92"/>
      <c r="Q249" s="92"/>
      <c r="R249" s="94"/>
    </row>
    <row r="251" spans="1:18" ht="15" hidden="1" customHeight="1" x14ac:dyDescent="0.25"/>
    <row r="254" spans="1:18" ht="15" hidden="1" customHeight="1" x14ac:dyDescent="0.25"/>
    <row r="255" spans="1:18" ht="15" hidden="1" customHeight="1" x14ac:dyDescent="0.25"/>
    <row r="256" spans="1:18" ht="15" hidden="1" customHeight="1" x14ac:dyDescent="0.25"/>
  </sheetData>
  <sheetProtection sheet="1" objects="1" scenarios="1" selectLockedCells="1"/>
  <customSheetViews>
    <customSheetView guid="{3F8A0846-2F87-40BF-8ED6-1DE413C2FC1A}" hiddenRows="1" hiddenColumns="1">
      <selection activeCell="F25" sqref="F25:G25"/>
      <pageMargins left="0.7" right="0.7" top="0.75" bottom="0.75" header="0.3" footer="0.3"/>
      <pageSetup orientation="portrait" horizontalDpi="300" verticalDpi="0" r:id="rId1"/>
    </customSheetView>
    <customSheetView guid="{11E3893E-1244-4BD8-8481-55AC844C97C9}" hiddenRows="1" hiddenColumns="1">
      <selection activeCell="F25" sqref="F25:G25"/>
      <pageMargins left="0.7" right="0.7" top="0.75" bottom="0.75" header="0.3" footer="0.3"/>
      <pageSetup orientation="portrait" horizontalDpi="300" verticalDpi="0" r:id="rId2"/>
    </customSheetView>
  </customSheetViews>
  <mergeCells count="240">
    <mergeCell ref="L155:M155"/>
    <mergeCell ref="L156:M156"/>
    <mergeCell ref="L161:M161"/>
    <mergeCell ref="L180:M180"/>
    <mergeCell ref="K218:M218"/>
    <mergeCell ref="S63:T63"/>
    <mergeCell ref="L81:M81"/>
    <mergeCell ref="G102:H102"/>
    <mergeCell ref="G114:H114"/>
    <mergeCell ref="G115:H115"/>
    <mergeCell ref="L134:M134"/>
    <mergeCell ref="L135:M135"/>
    <mergeCell ref="L125:M125"/>
    <mergeCell ref="L126:M126"/>
    <mergeCell ref="L128:M128"/>
    <mergeCell ref="L129:M129"/>
    <mergeCell ref="L112:M112"/>
    <mergeCell ref="G117:H117"/>
    <mergeCell ref="G91:H91"/>
    <mergeCell ref="G92:H92"/>
    <mergeCell ref="G93:H93"/>
    <mergeCell ref="G94:H94"/>
    <mergeCell ref="G122:H122"/>
    <mergeCell ref="G123:H123"/>
    <mergeCell ref="L132:M132"/>
    <mergeCell ref="L133:M133"/>
    <mergeCell ref="L110:M110"/>
    <mergeCell ref="L111:M111"/>
    <mergeCell ref="U63:X63"/>
    <mergeCell ref="E195:E196"/>
    <mergeCell ref="G170:H170"/>
    <mergeCell ref="G171:H171"/>
    <mergeCell ref="L164:M164"/>
    <mergeCell ref="L165:M165"/>
    <mergeCell ref="L170:M170"/>
    <mergeCell ref="L171:M171"/>
    <mergeCell ref="J191:K194"/>
    <mergeCell ref="H195:I195"/>
    <mergeCell ref="H196:I196"/>
    <mergeCell ref="L169:M169"/>
    <mergeCell ref="L175:M175"/>
    <mergeCell ref="L176:M176"/>
    <mergeCell ref="L177:M177"/>
    <mergeCell ref="L178:M178"/>
    <mergeCell ref="G169:H169"/>
    <mergeCell ref="L137:M137"/>
    <mergeCell ref="L143:M143"/>
    <mergeCell ref="L144:M144"/>
    <mergeCell ref="L95:M95"/>
    <mergeCell ref="L96:M96"/>
    <mergeCell ref="L97:M97"/>
    <mergeCell ref="L98:M98"/>
    <mergeCell ref="L99:M99"/>
    <mergeCell ref="L100:M100"/>
    <mergeCell ref="G95:H95"/>
    <mergeCell ref="G96:H96"/>
    <mergeCell ref="G97:H97"/>
    <mergeCell ref="G98:H98"/>
    <mergeCell ref="G99:H99"/>
    <mergeCell ref="G100:H100"/>
    <mergeCell ref="H197:I197"/>
    <mergeCell ref="H198:I198"/>
    <mergeCell ref="G165:H165"/>
    <mergeCell ref="L101:M101"/>
    <mergeCell ref="L102:M102"/>
    <mergeCell ref="L103:M103"/>
    <mergeCell ref="G110:H110"/>
    <mergeCell ref="G111:H111"/>
    <mergeCell ref="G116:H116"/>
    <mergeCell ref="G119:H119"/>
    <mergeCell ref="L119:M119"/>
    <mergeCell ref="G103:H103"/>
    <mergeCell ref="G129:H129"/>
    <mergeCell ref="G120:H120"/>
    <mergeCell ref="L116:M116"/>
    <mergeCell ref="G173:H173"/>
    <mergeCell ref="G174:H174"/>
    <mergeCell ref="G149:H149"/>
    <mergeCell ref="G148:H148"/>
    <mergeCell ref="L149:M149"/>
    <mergeCell ref="L138:M138"/>
    <mergeCell ref="L146:M146"/>
    <mergeCell ref="L147:M147"/>
    <mergeCell ref="G143:H143"/>
    <mergeCell ref="B2:Q4"/>
    <mergeCell ref="G63:H63"/>
    <mergeCell ref="G64:H64"/>
    <mergeCell ref="G65:H65"/>
    <mergeCell ref="G66:H66"/>
    <mergeCell ref="G67:H67"/>
    <mergeCell ref="G68:H68"/>
    <mergeCell ref="G69:H69"/>
    <mergeCell ref="G70:H70"/>
    <mergeCell ref="F51:G51"/>
    <mergeCell ref="F55:G55"/>
    <mergeCell ref="F52:G52"/>
    <mergeCell ref="F53:G53"/>
    <mergeCell ref="F54:G54"/>
    <mergeCell ref="F42:G42"/>
    <mergeCell ref="F43:G43"/>
    <mergeCell ref="F44:G44"/>
    <mergeCell ref="F45:G45"/>
    <mergeCell ref="F46:G46"/>
    <mergeCell ref="F47:G47"/>
    <mergeCell ref="F48:G48"/>
    <mergeCell ref="F49:G49"/>
    <mergeCell ref="F50:G50"/>
    <mergeCell ref="F56:G56"/>
    <mergeCell ref="G80:H80"/>
    <mergeCell ref="G133:H133"/>
    <mergeCell ref="G88:H88"/>
    <mergeCell ref="G89:H89"/>
    <mergeCell ref="G105:H105"/>
    <mergeCell ref="G71:H71"/>
    <mergeCell ref="G72:H72"/>
    <mergeCell ref="G73:H73"/>
    <mergeCell ref="G74:H74"/>
    <mergeCell ref="G75:H75"/>
    <mergeCell ref="G76:H76"/>
    <mergeCell ref="G77:H77"/>
    <mergeCell ref="G78:H78"/>
    <mergeCell ref="G79:H79"/>
    <mergeCell ref="G81:H81"/>
    <mergeCell ref="G82:H82"/>
    <mergeCell ref="G86:H86"/>
    <mergeCell ref="G83:H83"/>
    <mergeCell ref="G128:H128"/>
    <mergeCell ref="G144:H144"/>
    <mergeCell ref="G121:H121"/>
    <mergeCell ref="G134:H134"/>
    <mergeCell ref="G135:H135"/>
    <mergeCell ref="G137:H137"/>
    <mergeCell ref="G138:H138"/>
    <mergeCell ref="G101:H101"/>
    <mergeCell ref="G156:H156"/>
    <mergeCell ref="G112:H112"/>
    <mergeCell ref="G113:H113"/>
    <mergeCell ref="G104:H104"/>
    <mergeCell ref="G141:H141"/>
    <mergeCell ref="G142:H142"/>
    <mergeCell ref="G155:H155"/>
    <mergeCell ref="G125:H125"/>
    <mergeCell ref="G126:H126"/>
    <mergeCell ref="G139:H139"/>
    <mergeCell ref="G140:H140"/>
    <mergeCell ref="G124:H124"/>
    <mergeCell ref="G130:H130"/>
    <mergeCell ref="G131:H131"/>
    <mergeCell ref="G132:H132"/>
    <mergeCell ref="F195:F196"/>
    <mergeCell ref="G195:G196"/>
    <mergeCell ref="G162:H162"/>
    <mergeCell ref="G164:H164"/>
    <mergeCell ref="G179:H179"/>
    <mergeCell ref="F57:G57"/>
    <mergeCell ref="L83:M83"/>
    <mergeCell ref="L104:M104"/>
    <mergeCell ref="L105:M105"/>
    <mergeCell ref="L90:M90"/>
    <mergeCell ref="L91:M91"/>
    <mergeCell ref="L92:M92"/>
    <mergeCell ref="L93:M93"/>
    <mergeCell ref="L71:M71"/>
    <mergeCell ref="L72:M72"/>
    <mergeCell ref="L73:M73"/>
    <mergeCell ref="L74:M74"/>
    <mergeCell ref="L75:M75"/>
    <mergeCell ref="L76:M76"/>
    <mergeCell ref="L77:M77"/>
    <mergeCell ref="L78:M78"/>
    <mergeCell ref="G90:H90"/>
    <mergeCell ref="G87:H87"/>
    <mergeCell ref="G85:H85"/>
    <mergeCell ref="L64:M64"/>
    <mergeCell ref="L65:M65"/>
    <mergeCell ref="L63:M63"/>
    <mergeCell ref="L66:M66"/>
    <mergeCell ref="L67:M67"/>
    <mergeCell ref="L68:M68"/>
    <mergeCell ref="L69:M69"/>
    <mergeCell ref="L70:M70"/>
    <mergeCell ref="L131:M131"/>
    <mergeCell ref="L114:M114"/>
    <mergeCell ref="L115:M115"/>
    <mergeCell ref="L121:M121"/>
    <mergeCell ref="L122:M122"/>
    <mergeCell ref="L123:M123"/>
    <mergeCell ref="L124:M124"/>
    <mergeCell ref="L130:M130"/>
    <mergeCell ref="L117:M117"/>
    <mergeCell ref="L120:M120"/>
    <mergeCell ref="L79:M79"/>
    <mergeCell ref="L80:M80"/>
    <mergeCell ref="L82:M82"/>
    <mergeCell ref="L113:M113"/>
    <mergeCell ref="L86:M86"/>
    <mergeCell ref="L85:M85"/>
    <mergeCell ref="L87:M87"/>
    <mergeCell ref="L88:M88"/>
    <mergeCell ref="L89:M89"/>
    <mergeCell ref="L179:M179"/>
    <mergeCell ref="L160:M160"/>
    <mergeCell ref="L166:M166"/>
    <mergeCell ref="L167:M167"/>
    <mergeCell ref="L168:M168"/>
    <mergeCell ref="L150:M150"/>
    <mergeCell ref="L151:M151"/>
    <mergeCell ref="L157:M157"/>
    <mergeCell ref="L159:M159"/>
    <mergeCell ref="L158:M158"/>
    <mergeCell ref="L162:M162"/>
    <mergeCell ref="L152:M152"/>
    <mergeCell ref="L153:M153"/>
    <mergeCell ref="L173:M173"/>
    <mergeCell ref="L174:M174"/>
    <mergeCell ref="L139:M139"/>
    <mergeCell ref="L140:M140"/>
    <mergeCell ref="L141:M141"/>
    <mergeCell ref="L142:M142"/>
    <mergeCell ref="L148:M148"/>
    <mergeCell ref="L94:M94"/>
    <mergeCell ref="G166:H166"/>
    <mergeCell ref="G167:H167"/>
    <mergeCell ref="G168:H168"/>
    <mergeCell ref="G180:H180"/>
    <mergeCell ref="G159:H159"/>
    <mergeCell ref="G160:H160"/>
    <mergeCell ref="G151:H151"/>
    <mergeCell ref="G150:H150"/>
    <mergeCell ref="G146:H146"/>
    <mergeCell ref="G175:H175"/>
    <mergeCell ref="G176:H176"/>
    <mergeCell ref="G177:H177"/>
    <mergeCell ref="G178:H178"/>
    <mergeCell ref="G147:H147"/>
    <mergeCell ref="G152:H152"/>
    <mergeCell ref="G153:H153"/>
    <mergeCell ref="G157:H157"/>
    <mergeCell ref="G161:H161"/>
    <mergeCell ref="G158:H158"/>
  </mergeCells>
  <conditionalFormatting sqref="J214:P214 P212:P213 J248:P248 L222:M223 J224:O225 P222:P235 J236:P236 O237:P247 F215:M215 F222:K222 J228:N228 J231:N231 J234:N234">
    <cfRule type="expression" dxfId="141" priority="540">
      <formula>#REF!=1</formula>
    </cfRule>
  </conditionalFormatting>
  <conditionalFormatting sqref="J242:N247">
    <cfRule type="expression" dxfId="140" priority="170">
      <formula>#REF!=1</formula>
    </cfRule>
  </conditionalFormatting>
  <conditionalFormatting sqref="J182:N182">
    <cfRule type="expression" dxfId="139" priority="168">
      <formula>#REF!=1</formula>
    </cfRule>
  </conditionalFormatting>
  <conditionalFormatting sqref="L182:N182">
    <cfRule type="colorScale" priority="638">
      <colorScale>
        <cfvo type="min"/>
        <cfvo type="percentile" val="50"/>
        <cfvo type="max"/>
        <color rgb="FFF8696B"/>
        <color rgb="FFFCFCFF"/>
        <color rgb="FF63BE7B"/>
      </colorScale>
    </cfRule>
  </conditionalFormatting>
  <conditionalFormatting sqref="J183:N183">
    <cfRule type="expression" dxfId="138" priority="166">
      <formula>#REF!=1</formula>
    </cfRule>
  </conditionalFormatting>
  <conditionalFormatting sqref="L183:N183">
    <cfRule type="colorScale" priority="167">
      <colorScale>
        <cfvo type="min"/>
        <cfvo type="percentile" val="50"/>
        <cfvo type="max"/>
        <color rgb="FFF8696B"/>
        <color rgb="FFFCFCFF"/>
        <color rgb="FF63BE7B"/>
      </colorScale>
    </cfRule>
  </conditionalFormatting>
  <conditionalFormatting sqref="J184:N184">
    <cfRule type="expression" dxfId="137" priority="164">
      <formula>#REF!=1</formula>
    </cfRule>
  </conditionalFormatting>
  <conditionalFormatting sqref="L184:N184">
    <cfRule type="colorScale" priority="165">
      <colorScale>
        <cfvo type="min"/>
        <cfvo type="percentile" val="50"/>
        <cfvo type="max"/>
        <color rgb="FFF8696B"/>
        <color rgb="FFFCFCFF"/>
        <color rgb="FF63BE7B"/>
      </colorScale>
    </cfRule>
  </conditionalFormatting>
  <conditionalFormatting sqref="J186:N186">
    <cfRule type="expression" dxfId="136" priority="160">
      <formula>#REF!=1</formula>
    </cfRule>
  </conditionalFormatting>
  <conditionalFormatting sqref="I185:N185">
    <cfRule type="expression" dxfId="135" priority="162">
      <formula>#REF!=1</formula>
    </cfRule>
  </conditionalFormatting>
  <conditionalFormatting sqref="I185:N185">
    <cfRule type="colorScale" priority="163">
      <colorScale>
        <cfvo type="min"/>
        <cfvo type="percentile" val="50"/>
        <cfvo type="max"/>
        <color rgb="FFF8696B"/>
        <color rgb="FFFCFCFF"/>
        <color rgb="FF63BE7B"/>
      </colorScale>
    </cfRule>
  </conditionalFormatting>
  <conditionalFormatting sqref="L186:N186">
    <cfRule type="colorScale" priority="161">
      <colorScale>
        <cfvo type="min"/>
        <cfvo type="percentile" val="50"/>
        <cfvo type="max"/>
        <color rgb="FFF8696B"/>
        <color rgb="FFFCFCFF"/>
        <color rgb="FF63BE7B"/>
      </colorScale>
    </cfRule>
  </conditionalFormatting>
  <conditionalFormatting sqref="J200:N200">
    <cfRule type="expression" dxfId="134" priority="149">
      <formula>#REF!=1</formula>
    </cfRule>
  </conditionalFormatting>
  <conditionalFormatting sqref="L200:N200">
    <cfRule type="colorScale" priority="150">
      <colorScale>
        <cfvo type="min"/>
        <cfvo type="percentile" val="50"/>
        <cfvo type="max"/>
        <color rgb="FFF8696B"/>
        <color rgb="FFFCFCFF"/>
        <color rgb="FF63BE7B"/>
      </colorScale>
    </cfRule>
  </conditionalFormatting>
  <conditionalFormatting sqref="J201:N201">
    <cfRule type="expression" dxfId="133" priority="147">
      <formula>#REF!=1</formula>
    </cfRule>
  </conditionalFormatting>
  <conditionalFormatting sqref="L201:N201">
    <cfRule type="colorScale" priority="148">
      <colorScale>
        <cfvo type="min"/>
        <cfvo type="percentile" val="50"/>
        <cfvo type="max"/>
        <color rgb="FFF8696B"/>
        <color rgb="FFFCFCFF"/>
        <color rgb="FF63BE7B"/>
      </colorScale>
    </cfRule>
  </conditionalFormatting>
  <conditionalFormatting sqref="J206:N206">
    <cfRule type="expression" dxfId="132" priority="91">
      <formula>#REF!=1</formula>
    </cfRule>
  </conditionalFormatting>
  <conditionalFormatting sqref="L206:N206">
    <cfRule type="colorScale" priority="92">
      <colorScale>
        <cfvo type="min"/>
        <cfvo type="percentile" val="50"/>
        <cfvo type="max"/>
        <color rgb="FFF8696B"/>
        <color rgb="FFFCFCFF"/>
        <color rgb="FF63BE7B"/>
      </colorScale>
    </cfRule>
  </conditionalFormatting>
  <conditionalFormatting sqref="J207:N207">
    <cfRule type="expression" dxfId="131" priority="89">
      <formula>#REF!=1</formula>
    </cfRule>
  </conditionalFormatting>
  <conditionalFormatting sqref="L207:N207">
    <cfRule type="colorScale" priority="90">
      <colorScale>
        <cfvo type="min"/>
        <cfvo type="percentile" val="50"/>
        <cfvo type="max"/>
        <color rgb="FFF8696B"/>
        <color rgb="FFFCFCFF"/>
        <color rgb="FF63BE7B"/>
      </colorScale>
    </cfRule>
  </conditionalFormatting>
  <conditionalFormatting sqref="J203:N203">
    <cfRule type="expression" dxfId="130" priority="59">
      <formula>#REF!=1</formula>
    </cfRule>
  </conditionalFormatting>
  <conditionalFormatting sqref="L203:N203">
    <cfRule type="colorScale" priority="60">
      <colorScale>
        <cfvo type="min"/>
        <cfvo type="percentile" val="50"/>
        <cfvo type="max"/>
        <color rgb="FFF8696B"/>
        <color rgb="FFFCFCFF"/>
        <color rgb="FF63BE7B"/>
      </colorScale>
    </cfRule>
  </conditionalFormatting>
  <conditionalFormatting sqref="J204:N204">
    <cfRule type="expression" dxfId="129" priority="57">
      <formula>#REF!=1</formula>
    </cfRule>
  </conditionalFormatting>
  <conditionalFormatting sqref="L204:N204">
    <cfRule type="colorScale" priority="58">
      <colorScale>
        <cfvo type="min"/>
        <cfvo type="percentile" val="50"/>
        <cfvo type="max"/>
        <color rgb="FFF8696B"/>
        <color rgb="FFFCFCFF"/>
        <color rgb="FF63BE7B"/>
      </colorScale>
    </cfRule>
  </conditionalFormatting>
  <conditionalFormatting sqref="J210:N210">
    <cfRule type="expression" dxfId="128" priority="53">
      <formula>#REF!=1</formula>
    </cfRule>
  </conditionalFormatting>
  <conditionalFormatting sqref="J209:N209">
    <cfRule type="expression" dxfId="127" priority="55">
      <formula>#REF!=1</formula>
    </cfRule>
  </conditionalFormatting>
  <conditionalFormatting sqref="L209:N209">
    <cfRule type="colorScale" priority="56">
      <colorScale>
        <cfvo type="min"/>
        <cfvo type="percentile" val="50"/>
        <cfvo type="max"/>
        <color rgb="FFF8696B"/>
        <color rgb="FFFCFCFF"/>
        <color rgb="FF63BE7B"/>
      </colorScale>
    </cfRule>
  </conditionalFormatting>
  <conditionalFormatting sqref="L210:N210">
    <cfRule type="colorScale" priority="54">
      <colorScale>
        <cfvo type="min"/>
        <cfvo type="percentile" val="50"/>
        <cfvo type="max"/>
        <color rgb="FFF8696B"/>
        <color rgb="FFFCFCFF"/>
        <color rgb="FF63BE7B"/>
      </colorScale>
    </cfRule>
  </conditionalFormatting>
  <conditionalFormatting sqref="J237:N237">
    <cfRule type="expression" dxfId="126" priority="50">
      <formula>#REF!=1</formula>
    </cfRule>
  </conditionalFormatting>
  <conditionalFormatting sqref="K227:M227">
    <cfRule type="expression" dxfId="125" priority="46">
      <formula>#REF!=1</formula>
    </cfRule>
  </conditionalFormatting>
  <conditionalFormatting sqref="K226:M226">
    <cfRule type="expression" dxfId="124" priority="48">
      <formula>#REF!=1</formula>
    </cfRule>
  </conditionalFormatting>
  <conditionalFormatting sqref="M226">
    <cfRule type="colorScale" priority="49">
      <colorScale>
        <cfvo type="min"/>
        <cfvo type="percentile" val="50"/>
        <cfvo type="max"/>
        <color rgb="FFF8696B"/>
        <color rgb="FFFCFCFF"/>
        <color rgb="FF63BE7B"/>
      </colorScale>
    </cfRule>
  </conditionalFormatting>
  <conditionalFormatting sqref="M227">
    <cfRule type="colorScale" priority="47">
      <colorScale>
        <cfvo type="min"/>
        <cfvo type="percentile" val="50"/>
        <cfvo type="max"/>
        <color rgb="FFF8696B"/>
        <color rgb="FFFCFCFF"/>
        <color rgb="FF63BE7B"/>
      </colorScale>
    </cfRule>
  </conditionalFormatting>
  <conditionalFormatting sqref="N227">
    <cfRule type="expression" dxfId="123" priority="42">
      <formula>#REF!=1</formula>
    </cfRule>
  </conditionalFormatting>
  <conditionalFormatting sqref="N226">
    <cfRule type="expression" dxfId="122" priority="44">
      <formula>#REF!=1</formula>
    </cfRule>
  </conditionalFormatting>
  <conditionalFormatting sqref="N226">
    <cfRule type="colorScale" priority="45">
      <colorScale>
        <cfvo type="min"/>
        <cfvo type="percentile" val="50"/>
        <cfvo type="max"/>
        <color rgb="FFF8696B"/>
        <color rgb="FFFCFCFF"/>
        <color rgb="FF63BE7B"/>
      </colorScale>
    </cfRule>
  </conditionalFormatting>
  <conditionalFormatting sqref="N227">
    <cfRule type="colorScale" priority="43">
      <colorScale>
        <cfvo type="min"/>
        <cfvo type="percentile" val="50"/>
        <cfvo type="max"/>
        <color rgb="FFF8696B"/>
        <color rgb="FFFCFCFF"/>
        <color rgb="FF63BE7B"/>
      </colorScale>
    </cfRule>
  </conditionalFormatting>
  <conditionalFormatting sqref="L248:P248 L214:P214 L224:O225 L222:M223 P212:P213 O237:O241 L236:O236 P222:P241 O242:P247 F215:M215 F222:K222 L228:N228 L231:N231 L234:N234">
    <cfRule type="colorScale" priority="4571">
      <colorScale>
        <cfvo type="min"/>
        <cfvo type="percentile" val="50"/>
        <cfvo type="max"/>
        <color rgb="FFF8696B"/>
        <color rgb="FFFCFCFF"/>
        <color rgb="FF63BE7B"/>
      </colorScale>
    </cfRule>
  </conditionalFormatting>
  <conditionalFormatting sqref="L237:N237">
    <cfRule type="colorScale" priority="4781">
      <colorScale>
        <cfvo type="min"/>
        <cfvo type="percentile" val="50"/>
        <cfvo type="max"/>
        <color rgb="FFF8696B"/>
        <color rgb="FFFCFCFF"/>
        <color rgb="FF63BE7B"/>
      </colorScale>
    </cfRule>
  </conditionalFormatting>
  <conditionalFormatting sqref="L242:N247">
    <cfRule type="colorScale" priority="4817">
      <colorScale>
        <cfvo type="min"/>
        <cfvo type="percentile" val="50"/>
        <cfvo type="max"/>
        <color rgb="FFF8696B"/>
        <color rgb="FFFCFCFF"/>
        <color rgb="FF63BE7B"/>
      </colorScale>
    </cfRule>
  </conditionalFormatting>
  <conditionalFormatting sqref="H221 M221">
    <cfRule type="expression" dxfId="121" priority="32">
      <formula>(#REF!&gt;0)</formula>
    </cfRule>
  </conditionalFormatting>
  <conditionalFormatting sqref="I221">
    <cfRule type="colorScale" priority="31">
      <colorScale>
        <cfvo type="num" val="0"/>
        <cfvo type="num" val="3"/>
        <color theme="0" tint="-4.9989318521683403E-2"/>
        <color theme="5" tint="0.39997558519241921"/>
      </colorScale>
    </cfRule>
  </conditionalFormatting>
  <conditionalFormatting sqref="J221">
    <cfRule type="top10" dxfId="120" priority="30" rank="1"/>
  </conditionalFormatting>
  <conditionalFormatting sqref="N221">
    <cfRule type="colorScale" priority="29">
      <colorScale>
        <cfvo type="num" val="0"/>
        <cfvo type="num" val="3"/>
        <color theme="0" tint="-4.9989318521683403E-2"/>
        <color theme="5" tint="0.39997558519241921"/>
      </colorScale>
    </cfRule>
  </conditionalFormatting>
  <conditionalFormatting sqref="N230">
    <cfRule type="expression" dxfId="119" priority="19">
      <formula>#REF!=1</formula>
    </cfRule>
  </conditionalFormatting>
  <conditionalFormatting sqref="K230:M230">
    <cfRule type="expression" dxfId="118" priority="23">
      <formula>#REF!=1</formula>
    </cfRule>
  </conditionalFormatting>
  <conditionalFormatting sqref="K229:M229">
    <cfRule type="expression" dxfId="117" priority="25">
      <formula>#REF!=1</formula>
    </cfRule>
  </conditionalFormatting>
  <conditionalFormatting sqref="M229">
    <cfRule type="colorScale" priority="26">
      <colorScale>
        <cfvo type="min"/>
        <cfvo type="percentile" val="50"/>
        <cfvo type="max"/>
        <color rgb="FFF8696B"/>
        <color rgb="FFFCFCFF"/>
        <color rgb="FF63BE7B"/>
      </colorScale>
    </cfRule>
  </conditionalFormatting>
  <conditionalFormatting sqref="M230">
    <cfRule type="colorScale" priority="24">
      <colorScale>
        <cfvo type="min"/>
        <cfvo type="percentile" val="50"/>
        <cfvo type="max"/>
        <color rgb="FFF8696B"/>
        <color rgb="FFFCFCFF"/>
        <color rgb="FF63BE7B"/>
      </colorScale>
    </cfRule>
  </conditionalFormatting>
  <conditionalFormatting sqref="N229">
    <cfRule type="expression" dxfId="116" priority="21">
      <formula>#REF!=1</formula>
    </cfRule>
  </conditionalFormatting>
  <conditionalFormatting sqref="N229">
    <cfRule type="colorScale" priority="22">
      <colorScale>
        <cfvo type="min"/>
        <cfvo type="percentile" val="50"/>
        <cfvo type="max"/>
        <color rgb="FFF8696B"/>
        <color rgb="FFFCFCFF"/>
        <color rgb="FF63BE7B"/>
      </colorScale>
    </cfRule>
  </conditionalFormatting>
  <conditionalFormatting sqref="N230">
    <cfRule type="colorScale" priority="20">
      <colorScale>
        <cfvo type="min"/>
        <cfvo type="percentile" val="50"/>
        <cfvo type="max"/>
        <color rgb="FFF8696B"/>
        <color rgb="FFFCFCFF"/>
        <color rgb="FF63BE7B"/>
      </colorScale>
    </cfRule>
  </conditionalFormatting>
  <conditionalFormatting sqref="K233:M233">
    <cfRule type="expression" dxfId="115" priority="15">
      <formula>#REF!=1</formula>
    </cfRule>
  </conditionalFormatting>
  <conditionalFormatting sqref="K232:M232">
    <cfRule type="expression" dxfId="114" priority="17">
      <formula>#REF!=1</formula>
    </cfRule>
  </conditionalFormatting>
  <conditionalFormatting sqref="M232">
    <cfRule type="colorScale" priority="18">
      <colorScale>
        <cfvo type="min"/>
        <cfvo type="percentile" val="50"/>
        <cfvo type="max"/>
        <color rgb="FFF8696B"/>
        <color rgb="FFFCFCFF"/>
        <color rgb="FF63BE7B"/>
      </colorScale>
    </cfRule>
  </conditionalFormatting>
  <conditionalFormatting sqref="M233">
    <cfRule type="colorScale" priority="16">
      <colorScale>
        <cfvo type="min"/>
        <cfvo type="percentile" val="50"/>
        <cfvo type="max"/>
        <color rgb="FFF8696B"/>
        <color rgb="FFFCFCFF"/>
        <color rgb="FF63BE7B"/>
      </colorScale>
    </cfRule>
  </conditionalFormatting>
  <conditionalFormatting sqref="N233">
    <cfRule type="expression" dxfId="113" priority="11">
      <formula>#REF!=1</formula>
    </cfRule>
  </conditionalFormatting>
  <conditionalFormatting sqref="N232">
    <cfRule type="expression" dxfId="112" priority="13">
      <formula>#REF!=1</formula>
    </cfRule>
  </conditionalFormatting>
  <conditionalFormatting sqref="N232">
    <cfRule type="colorScale" priority="14">
      <colorScale>
        <cfvo type="min"/>
        <cfvo type="percentile" val="50"/>
        <cfvo type="max"/>
        <color rgb="FFF8696B"/>
        <color rgb="FFFCFCFF"/>
        <color rgb="FF63BE7B"/>
      </colorScale>
    </cfRule>
  </conditionalFormatting>
  <conditionalFormatting sqref="N233">
    <cfRule type="colorScale" priority="12">
      <colorScale>
        <cfvo type="min"/>
        <cfvo type="percentile" val="50"/>
        <cfvo type="max"/>
        <color rgb="FFF8696B"/>
        <color rgb="FFFCFCFF"/>
        <color rgb="FF63BE7B"/>
      </colorScale>
    </cfRule>
  </conditionalFormatting>
  <conditionalFormatting sqref="N240">
    <cfRule type="expression" dxfId="111" priority="1">
      <formula>#REF!=1</formula>
    </cfRule>
  </conditionalFormatting>
  <conditionalFormatting sqref="K240:M240">
    <cfRule type="expression" dxfId="110" priority="5">
      <formula>#REF!=1</formula>
    </cfRule>
  </conditionalFormatting>
  <conditionalFormatting sqref="K239:M239">
    <cfRule type="expression" dxfId="109" priority="7">
      <formula>#REF!=1</formula>
    </cfRule>
  </conditionalFormatting>
  <conditionalFormatting sqref="M239">
    <cfRule type="colorScale" priority="8">
      <colorScale>
        <cfvo type="min"/>
        <cfvo type="percentile" val="50"/>
        <cfvo type="max"/>
        <color rgb="FFF8696B"/>
        <color rgb="FFFCFCFF"/>
        <color rgb="FF63BE7B"/>
      </colorScale>
    </cfRule>
  </conditionalFormatting>
  <conditionalFormatting sqref="M240">
    <cfRule type="colorScale" priority="6">
      <colorScale>
        <cfvo type="min"/>
        <cfvo type="percentile" val="50"/>
        <cfvo type="max"/>
        <color rgb="FFF8696B"/>
        <color rgb="FFFCFCFF"/>
        <color rgb="FF63BE7B"/>
      </colorScale>
    </cfRule>
  </conditionalFormatting>
  <conditionalFormatting sqref="N239">
    <cfRule type="expression" dxfId="108" priority="3">
      <formula>#REF!=1</formula>
    </cfRule>
  </conditionalFormatting>
  <conditionalFormatting sqref="N239">
    <cfRule type="colorScale" priority="4">
      <colorScale>
        <cfvo type="min"/>
        <cfvo type="percentile" val="50"/>
        <cfvo type="max"/>
        <color rgb="FFF8696B"/>
        <color rgb="FFFCFCFF"/>
        <color rgb="FF63BE7B"/>
      </colorScale>
    </cfRule>
  </conditionalFormatting>
  <conditionalFormatting sqref="N240">
    <cfRule type="colorScale" priority="2">
      <colorScale>
        <cfvo type="min"/>
        <cfvo type="percentile" val="50"/>
        <cfvo type="max"/>
        <color rgb="FFF8696B"/>
        <color rgb="FFFCFCFF"/>
        <color rgb="FF63BE7B"/>
      </colorScale>
    </cfRule>
  </conditionalFormatting>
  <dataValidations count="8">
    <dataValidation type="list" errorStyle="warning" allowBlank="1" showInputMessage="1" showErrorMessage="1" errorTitle="OOPS!" error="You've entered a number which does not match your league settings!" sqref="E19 E15" xr:uid="{00000000-0002-0000-0100-000000000000}">
      <formula1>"1,2"</formula1>
    </dataValidation>
    <dataValidation type="list" errorStyle="warning" allowBlank="1" showInputMessage="1" showErrorMessage="1" errorTitle="OOPS!" error="You've entered a number which does not match your league settings!" sqref="E11" xr:uid="{00000000-0002-0000-0100-000001000000}">
      <formula1>"8, 10, 12, 14, 16"</formula1>
    </dataValidation>
    <dataValidation type="list" allowBlank="1" showInputMessage="1" showErrorMessage="1" sqref="E25 E32" xr:uid="{00000000-0002-0000-0100-000002000000}">
      <formula1>"0,.25,.5,1"</formula1>
    </dataValidation>
    <dataValidation type="list" allowBlank="1" showInputMessage="1" showErrorMessage="1" sqref="J27" xr:uid="{00000000-0002-0000-0100-000003000000}">
      <formula1>"4,6"</formula1>
    </dataValidation>
    <dataValidation type="list" errorStyle="warning" allowBlank="1" showInputMessage="1" showErrorMessage="1" errorTitle="OOPS!" error="You've entered a number which does not match your league settings!" sqref="J15 E21" xr:uid="{00000000-0002-0000-0100-000004000000}">
      <formula1>"0,1,2"</formula1>
    </dataValidation>
    <dataValidation type="list" errorStyle="warning" allowBlank="1" showInputMessage="1" showErrorMessage="1" errorTitle="OOPS!" error="You've entered a number which does not match your league settings!" sqref="E17" xr:uid="{00000000-0002-0000-0100-000005000000}">
      <formula1>"2,3"</formula1>
    </dataValidation>
    <dataValidation type="list" allowBlank="1" showInputMessage="1" showErrorMessage="1" sqref="J17" xr:uid="{00000000-0002-0000-0100-000006000000}">
      <formula1>"0,1"</formula1>
    </dataValidation>
    <dataValidation type="list" errorStyle="warning" allowBlank="1" showInputMessage="1" showErrorMessage="1" errorTitle="OOPS!" error="You've entered a number which does not match your league settings!" sqref="J11" xr:uid="{00000000-0002-0000-0100-000007000000}">
      <formula1>$S$16:$S$36</formula1>
    </dataValidation>
  </dataValidations>
  <pageMargins left="0.7" right="0.7" top="0.75" bottom="0.75" header="0.3" footer="0.3"/>
  <pageSetup orientation="portrait" horizontalDpi="300" r:id="rId3"/>
  <drawing r:id="rId4"/>
  <legacyDrawing r:id="rId5"/>
  <mc:AlternateContent xmlns:mc="http://schemas.openxmlformats.org/markup-compatibility/2006">
    <mc:Choice Requires="x14">
      <controls>
        <mc:AlternateContent xmlns:mc="http://schemas.openxmlformats.org/markup-compatibility/2006">
          <mc:Choice Requires="x14">
            <control shapeId="1039" r:id="rId6" name="Button 15">
              <controlPr defaultSize="0" print="0" autoFill="0" autoPict="0">
                <anchor moveWithCells="1" sizeWithCells="1">
                  <from>
                    <xdr:col>5</xdr:col>
                    <xdr:colOff>9525</xdr:colOff>
                    <xdr:row>190</xdr:row>
                    <xdr:rowOff>19050</xdr:rowOff>
                  </from>
                  <to>
                    <xdr:col>5</xdr:col>
                    <xdr:colOff>1209675</xdr:colOff>
                    <xdr:row>191</xdr:row>
                    <xdr:rowOff>190500</xdr:rowOff>
                  </to>
                </anchor>
              </controlPr>
            </control>
          </mc:Choice>
        </mc:AlternateContent>
        <mc:AlternateContent xmlns:mc="http://schemas.openxmlformats.org/markup-compatibility/2006">
          <mc:Choice Requires="x14">
            <control shapeId="1040" r:id="rId7" name="Button 16">
              <controlPr defaultSize="0" print="0" autoFill="0" autoPict="0">
                <anchor moveWithCells="1" sizeWithCells="1">
                  <from>
                    <xdr:col>5</xdr:col>
                    <xdr:colOff>9525</xdr:colOff>
                    <xdr:row>192</xdr:row>
                    <xdr:rowOff>9525</xdr:rowOff>
                  </from>
                  <to>
                    <xdr:col>5</xdr:col>
                    <xdr:colOff>1209675</xdr:colOff>
                    <xdr:row>193</xdr:row>
                    <xdr:rowOff>190500</xdr:rowOff>
                  </to>
                </anchor>
              </controlPr>
            </control>
          </mc:Choice>
        </mc:AlternateContent>
        <mc:AlternateContent xmlns:mc="http://schemas.openxmlformats.org/markup-compatibility/2006">
          <mc:Choice Requires="x14">
            <control shapeId="1041" r:id="rId8" name="Button 17">
              <controlPr defaultSize="0" print="0" autoFill="0" autoPict="0">
                <anchor moveWithCells="1">
                  <from>
                    <xdr:col>6</xdr:col>
                    <xdr:colOff>28575</xdr:colOff>
                    <xdr:row>190</xdr:row>
                    <xdr:rowOff>114300</xdr:rowOff>
                  </from>
                  <to>
                    <xdr:col>8</xdr:col>
                    <xdr:colOff>409575</xdr:colOff>
                    <xdr:row>193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100-000008000000}">
          <x14:formula1>
            <xm:f>FFARawStatProjections!$BS$3:$BS$858</xm:f>
          </x14:formula1>
          <xm:sqref>F174:F180 K174:K180 F111:F117 K111:K117 K120:K126 F120:F126 F129:F135 K129:K135 K138:K144 F138:F144 F147:F153 K147:K153 K156:K162 F156:F162 K165:K171 F165:F171</xm:sqref>
        </x14:dataValidation>
        <x14:dataValidation type="list" allowBlank="1" showInputMessage="1" showErrorMessage="1" xr:uid="{00000000-0002-0000-0100-000016000000}">
          <x14:formula1>
            <xm:f>RBproj!$D$7:$D$156</xm:f>
          </x14:formula1>
          <xm:sqref>K64:K83</xm:sqref>
        </x14:dataValidation>
        <x14:dataValidation type="list" allowBlank="1" showInputMessage="1" showErrorMessage="1" xr:uid="{00000000-0002-0000-0100-000017000000}">
          <x14:formula1>
            <xm:f>WRproj!$D$7:$D$206</xm:f>
          </x14:formula1>
          <xm:sqref>F86:F105</xm:sqref>
        </x14:dataValidation>
        <x14:dataValidation type="list" allowBlank="1" showInputMessage="1" showErrorMessage="1" xr:uid="{00000000-0002-0000-0100-000018000000}">
          <x14:formula1>
            <xm:f>TEproj!$D$7:$D$100</xm:f>
          </x14:formula1>
          <xm:sqref>K86:K105</xm:sqref>
        </x14:dataValidation>
        <x14:dataValidation type="list" allowBlank="1" showDropDown="1" showInputMessage="1" showErrorMessage="1" xr:uid="{00000000-0002-0000-0100-000019000000}">
          <x14:formula1>
            <xm:f>'Draft Slayer Classic'!$DF$3:$DF$617</xm:f>
          </x14:formula1>
          <xm:sqref>K217</xm:sqref>
        </x14:dataValidation>
        <x14:dataValidation type="list" allowBlank="1" showInputMessage="1" showErrorMessage="1" xr:uid="{00000000-0002-0000-0100-00001A000000}">
          <x14:formula1>
            <xm:f>QBproj!$D$7:$D$62</xm:f>
          </x14:formula1>
          <xm:sqref>F64:F83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rgb="FFCCFFCC"/>
  </sheetPr>
  <dimension ref="A1:CD1000"/>
  <sheetViews>
    <sheetView zoomScaleNormal="100" workbookViewId="0">
      <selection activeCell="B2" sqref="B2"/>
    </sheetView>
  </sheetViews>
  <sheetFormatPr defaultColWidth="0" defaultRowHeight="22.5" x14ac:dyDescent="0.25"/>
  <cols>
    <col min="1" max="1" width="4.42578125" style="190" customWidth="1"/>
    <col min="2" max="2" width="0.5703125" style="467" customWidth="1"/>
    <col min="3" max="3" width="25.7109375" style="190" customWidth="1"/>
    <col min="4" max="4" width="6" style="190" hidden="1" customWidth="1"/>
    <col min="5" max="5" width="6.140625" style="190" hidden="1" customWidth="1"/>
    <col min="6" max="6" width="1.140625" style="190" customWidth="1"/>
    <col min="7" max="7" width="9.140625" hidden="1" customWidth="1"/>
    <col min="8" max="8" width="22.85546875" style="190" customWidth="1"/>
    <col min="9" max="9" width="4.5703125" style="190" bestFit="1" customWidth="1"/>
    <col min="10" max="10" width="4.85546875" style="190" bestFit="1" customWidth="1"/>
    <col min="11" max="11" width="8.5703125" hidden="1" customWidth="1"/>
    <col min="12" max="12" width="4.5703125" style="190" bestFit="1" customWidth="1"/>
    <col min="13" max="13" width="5.5703125" hidden="1" customWidth="1"/>
    <col min="14" max="14" width="10.28515625" hidden="1" customWidth="1"/>
    <col min="15" max="15" width="4.42578125" style="190" bestFit="1" customWidth="1"/>
    <col min="16" max="16" width="13.7109375" hidden="1" customWidth="1"/>
    <col min="17" max="17" width="4.42578125" style="190" customWidth="1"/>
    <col min="18" max="18" width="9.140625" hidden="1" customWidth="1"/>
    <col min="19" max="19" width="1.140625" style="190" customWidth="1"/>
    <col min="20" max="20" width="22.85546875" style="190" customWidth="1"/>
    <col min="21" max="21" width="4.28515625" style="190" bestFit="1" customWidth="1"/>
    <col min="22" max="22" width="4.85546875" style="190" bestFit="1" customWidth="1"/>
    <col min="23" max="23" width="9.140625" hidden="1" customWidth="1"/>
    <col min="24" max="24" width="4.5703125" style="190" bestFit="1" customWidth="1"/>
    <col min="25" max="26" width="9.140625" hidden="1" customWidth="1"/>
    <col min="27" max="27" width="4.42578125" style="190" bestFit="1" customWidth="1"/>
    <col min="28" max="28" width="5.42578125" hidden="1" customWidth="1"/>
    <col min="29" max="29" width="4.42578125" style="190" customWidth="1"/>
    <col min="30" max="30" width="9.140625" hidden="1" customWidth="1"/>
    <col min="31" max="31" width="1.140625" style="190" customWidth="1"/>
    <col min="32" max="32" width="22.85546875" style="190" customWidth="1"/>
    <col min="33" max="33" width="4.5703125" style="190" bestFit="1" customWidth="1"/>
    <col min="34" max="34" width="4.85546875" style="190" bestFit="1" customWidth="1"/>
    <col min="35" max="35" width="8.5703125" hidden="1" customWidth="1"/>
    <col min="36" max="36" width="4.5703125" style="190" bestFit="1" customWidth="1"/>
    <col min="37" max="37" width="4.7109375" hidden="1" customWidth="1"/>
    <col min="38" max="38" width="10.28515625" hidden="1" customWidth="1"/>
    <col min="39" max="39" width="4.42578125" style="190" bestFit="1" customWidth="1"/>
    <col min="40" max="40" width="13.7109375" hidden="1" customWidth="1"/>
    <col min="41" max="41" width="4.42578125" style="190" customWidth="1"/>
    <col min="42" max="42" width="9.140625" hidden="1" customWidth="1"/>
    <col min="43" max="43" width="1.140625" style="190" customWidth="1"/>
    <col min="44" max="44" width="22.85546875" style="190" customWidth="1"/>
    <col min="45" max="46" width="5.85546875" style="190" bestFit="1" customWidth="1"/>
    <col min="47" max="47" width="9.140625" hidden="1" customWidth="1"/>
    <col min="48" max="48" width="4.5703125" style="190" bestFit="1" customWidth="1"/>
    <col min="49" max="50" width="9.140625" hidden="1" customWidth="1"/>
    <col min="51" max="51" width="4.42578125" style="190" bestFit="1" customWidth="1"/>
    <col min="52" max="52" width="5.42578125" hidden="1" customWidth="1"/>
    <col min="53" max="53" width="4.42578125" style="190" bestFit="1" customWidth="1"/>
    <col min="54" max="54" width="9.140625" hidden="1" customWidth="1"/>
    <col min="55" max="55" width="1.140625" style="190" customWidth="1"/>
    <col min="56" max="56" width="6.5703125" style="190" customWidth="1"/>
    <col min="57" max="57" width="4.85546875" style="190" bestFit="1" customWidth="1"/>
    <col min="58" max="58" width="9.140625" hidden="1" customWidth="1"/>
    <col min="59" max="59" width="4.5703125" style="190" hidden="1" customWidth="1"/>
    <col min="60" max="60" width="9.140625" hidden="1" customWidth="1"/>
    <col min="61" max="61" width="1.140625" style="190" customWidth="1"/>
    <col min="62" max="62" width="22.85546875" style="190" customWidth="1"/>
    <col min="63" max="63" width="4.5703125" style="190" bestFit="1" customWidth="1"/>
    <col min="64" max="64" width="4.28515625" style="190" customWidth="1"/>
    <col min="65" max="65" width="8.5703125" hidden="1" customWidth="1"/>
    <col min="66" max="66" width="4.5703125" style="190" hidden="1" customWidth="1"/>
    <col min="67" max="67" width="0.85546875" style="190" customWidth="1"/>
    <col min="68" max="68" width="9.140625" style="190" hidden="1" customWidth="1"/>
    <col min="69" max="69" width="14.7109375" style="190" hidden="1" customWidth="1"/>
    <col min="70" max="70" width="9.140625" style="190" hidden="1" customWidth="1"/>
    <col min="71" max="71" width="9.140625" hidden="1" customWidth="1"/>
    <col min="72" max="72" width="22.7109375" hidden="1" customWidth="1"/>
    <col min="73" max="73" width="6.140625" hidden="1" customWidth="1"/>
    <col min="74" max="74" width="8.7109375" hidden="1" customWidth="1"/>
    <col min="75" max="75" width="9.140625" style="89" hidden="1" customWidth="1"/>
    <col min="76" max="76" width="9.140625" hidden="1" customWidth="1"/>
    <col min="77" max="77" width="19.28515625" style="89" hidden="1" customWidth="1"/>
    <col min="78" max="79" width="9.140625" style="89" hidden="1" customWidth="1"/>
    <col min="80" max="16384" width="8.85546875" style="190" hidden="1"/>
  </cols>
  <sheetData>
    <row r="1" spans="1:82" s="197" customFormat="1" ht="15" x14ac:dyDescent="0.25">
      <c r="G1" s="565"/>
      <c r="K1" s="565"/>
      <c r="M1" s="565"/>
      <c r="N1" s="565"/>
      <c r="P1" s="565"/>
      <c r="R1" s="565"/>
      <c r="W1" s="565"/>
      <c r="Y1" s="565"/>
      <c r="Z1" s="565"/>
      <c r="AB1" s="565"/>
      <c r="AD1" s="565"/>
      <c r="AI1" s="565"/>
      <c r="AK1" s="565"/>
      <c r="AL1" s="565"/>
      <c r="AN1" s="565"/>
      <c r="AP1" s="565"/>
      <c r="AU1" s="565"/>
      <c r="AW1" s="565"/>
      <c r="AX1" s="565"/>
      <c r="AZ1" s="565"/>
      <c r="BB1" s="565"/>
      <c r="BF1" s="565"/>
      <c r="BH1" s="565"/>
      <c r="BM1" s="565"/>
      <c r="BS1" s="565"/>
      <c r="BT1" s="565"/>
      <c r="BU1" s="565"/>
      <c r="BV1" s="565"/>
      <c r="BW1" s="566"/>
      <c r="BX1" s="565"/>
      <c r="BY1" s="566"/>
      <c r="BZ1" s="566"/>
      <c r="CA1" s="566"/>
    </row>
    <row r="2" spans="1:82" ht="33" customHeight="1" x14ac:dyDescent="0.25">
      <c r="A2" s="197"/>
      <c r="B2" s="197"/>
      <c r="C2" s="197"/>
      <c r="D2">
        <f>IF($E$2=TRUE,1,IF('Draft Slayer Classic'!E24=Instructions!J11,1,0))</f>
        <v>0</v>
      </c>
      <c r="E2" s="231" t="b">
        <v>0</v>
      </c>
      <c r="F2" s="197"/>
      <c r="G2" s="438">
        <f>MAX(O6:O20,AA6:AA20,AM6:AM20,AY6:AY20)</f>
        <v>3.777807500000002</v>
      </c>
      <c r="H2" s="641" t="str">
        <f>"CURRENT ROUND"&amp;"   "&amp;INDEX('Draft Pick Order'!E:U,MATCH('Draft Slayer Classic'!E25,'Draft Pick Order'!C:C,0),(Instructions!E11*2-15))</f>
        <v>CURRENT ROUND   1-1</v>
      </c>
      <c r="I2" s="641"/>
      <c r="J2" s="641"/>
      <c r="K2" s="641"/>
      <c r="L2" s="641"/>
      <c r="M2" s="641"/>
      <c r="N2" s="641"/>
      <c r="O2" s="641"/>
      <c r="P2" s="641"/>
      <c r="Q2" s="641"/>
      <c r="R2" s="565"/>
      <c r="S2" s="197"/>
      <c r="T2" s="197"/>
      <c r="U2" s="468"/>
      <c r="V2" s="197"/>
      <c r="X2" s="197"/>
      <c r="AA2" s="197"/>
      <c r="AC2" s="197"/>
      <c r="AE2" s="197"/>
      <c r="AF2" s="500"/>
      <c r="AG2" s="501"/>
      <c r="AH2" s="501"/>
      <c r="AI2" s="501"/>
      <c r="AJ2" s="501"/>
      <c r="AM2" s="197"/>
      <c r="AO2" s="197"/>
      <c r="AQ2" s="197"/>
      <c r="AR2" s="641" t="str">
        <f>"CURRENT PICK"&amp;"   "&amp;INDEX('Draft Pick Order'!D:T,MATCH('Draft Slayer Classic'!E25,'Draft Pick Order'!C:C,0),Instructions!E11*2-15)</f>
        <v>CURRENT PICK   Trumbo</v>
      </c>
      <c r="AS2" s="641"/>
      <c r="AT2" s="641"/>
      <c r="AU2" s="641"/>
      <c r="AV2" s="641"/>
      <c r="AW2" s="641"/>
      <c r="AX2" s="641"/>
      <c r="AY2" s="641"/>
      <c r="AZ2" s="641"/>
      <c r="BA2" s="641"/>
      <c r="BC2" s="197"/>
      <c r="BD2" s="197"/>
      <c r="BE2" s="197"/>
      <c r="BG2" s="197"/>
      <c r="BI2" s="197"/>
      <c r="BJ2" s="197"/>
      <c r="BK2" s="197"/>
      <c r="BL2" s="197"/>
      <c r="BN2" s="197"/>
      <c r="BO2" s="197"/>
    </row>
    <row r="3" spans="1:82" s="197" customFormat="1" ht="15" customHeight="1" x14ac:dyDescent="0.25">
      <c r="G3" s="565"/>
      <c r="H3" s="645" t="s">
        <v>2122</v>
      </c>
      <c r="I3" s="645"/>
      <c r="J3" s="645"/>
      <c r="K3" s="645"/>
      <c r="L3" s="645"/>
      <c r="M3" s="645"/>
      <c r="P3" s="565"/>
      <c r="R3" s="565">
        <f>IF(SMALL('Draft Slayer Classic'!$C$29:$D$53,2)='Draft Slayer Classic'!E25+1,SMALL('Draft Slayer Classic'!$C$29:$D$53,5),SMALL('Draft Slayer Classic'!$C$29:$D$53,4))</f>
        <v>47</v>
      </c>
      <c r="W3" s="565"/>
      <c r="Y3" s="565"/>
      <c r="Z3" s="565"/>
      <c r="AB3" s="565"/>
      <c r="AD3" s="565"/>
      <c r="AF3" s="639" t="s">
        <v>1996</v>
      </c>
      <c r="AG3" s="639"/>
      <c r="AH3" s="639"/>
      <c r="AI3" s="639"/>
      <c r="AJ3" s="639"/>
      <c r="AK3" s="565"/>
      <c r="AL3" s="565"/>
      <c r="AN3" s="565"/>
      <c r="AP3" s="565"/>
      <c r="AU3" s="565"/>
      <c r="AW3" s="565"/>
      <c r="AX3" s="565"/>
      <c r="AZ3" s="565"/>
      <c r="BB3" s="565"/>
      <c r="BF3" s="565"/>
      <c r="BH3" s="565"/>
      <c r="BM3" s="565"/>
      <c r="BS3" s="565"/>
      <c r="BT3" s="565"/>
      <c r="BU3" s="565"/>
      <c r="BV3" s="565"/>
      <c r="BW3" s="566"/>
      <c r="BX3" s="565"/>
      <c r="BY3" s="566"/>
      <c r="BZ3" s="566"/>
      <c r="CA3" s="566"/>
    </row>
    <row r="4" spans="1:82" s="197" customFormat="1" ht="9" customHeight="1" thickBot="1" x14ac:dyDescent="0.3">
      <c r="G4" s="565"/>
      <c r="K4" s="565"/>
      <c r="M4" s="565"/>
      <c r="N4" s="565"/>
      <c r="P4" s="565"/>
      <c r="R4" s="565">
        <f>IF(SMALL('Draft Slayer Classic'!$C$29:$D$53,2)='Draft Slayer Classic'!E25+1,SMALL('Draft Slayer Classic'!$C$29:$D$53,4),SMALL('Draft Slayer Classic'!$C$29:$D$53,3))</f>
        <v>26</v>
      </c>
      <c r="W4" s="565"/>
      <c r="Y4" s="565"/>
      <c r="Z4" s="565"/>
      <c r="AB4" s="565"/>
      <c r="AD4" s="565"/>
      <c r="AI4" s="565"/>
      <c r="AK4" s="565"/>
      <c r="AL4" s="565"/>
      <c r="AN4" s="565"/>
      <c r="AP4" s="565"/>
      <c r="AU4" s="565"/>
      <c r="AW4" s="565"/>
      <c r="AX4" s="565"/>
      <c r="AZ4" s="565"/>
      <c r="BB4" s="565"/>
      <c r="BF4" s="565"/>
      <c r="BH4" s="565"/>
      <c r="BM4" s="565"/>
      <c r="BS4" s="565"/>
      <c r="BT4" s="565"/>
      <c r="BU4" s="565"/>
      <c r="BV4" s="565"/>
      <c r="BW4" s="566"/>
      <c r="BX4" s="565"/>
      <c r="BY4" s="566"/>
      <c r="BZ4" s="566"/>
      <c r="CA4" s="566"/>
    </row>
    <row r="5" spans="1:82" s="463" customFormat="1" ht="11.25" customHeight="1" thickBot="1" x14ac:dyDescent="0.3">
      <c r="A5" s="642" t="s">
        <v>1995</v>
      </c>
      <c r="B5" s="643"/>
      <c r="C5" s="644"/>
      <c r="D5" s="482"/>
      <c r="E5" s="482"/>
      <c r="F5" s="483"/>
      <c r="G5"/>
      <c r="H5" s="523" t="s">
        <v>1</v>
      </c>
      <c r="I5" s="488" t="s">
        <v>911</v>
      </c>
      <c r="J5" s="488" t="s">
        <v>2000</v>
      </c>
      <c r="K5" s="571" t="s">
        <v>1985</v>
      </c>
      <c r="L5" s="488" t="s">
        <v>2001</v>
      </c>
      <c r="M5" s="571" t="s">
        <v>246</v>
      </c>
      <c r="N5" s="571" t="s">
        <v>1984</v>
      </c>
      <c r="O5" s="488" t="s">
        <v>2002</v>
      </c>
      <c r="P5" s="571" t="s">
        <v>0</v>
      </c>
      <c r="Q5" s="489" t="s">
        <v>2003</v>
      </c>
      <c r="R5">
        <f>'Draft Slayer Classic'!E25+'Draft Slayer Classic'!E26</f>
        <v>2</v>
      </c>
      <c r="S5" s="483"/>
      <c r="T5" s="525" t="s">
        <v>3</v>
      </c>
      <c r="U5" s="526" t="s">
        <v>911</v>
      </c>
      <c r="V5" s="526" t="s">
        <v>2000</v>
      </c>
      <c r="W5" s="89" t="s">
        <v>1985</v>
      </c>
      <c r="X5" s="526" t="s">
        <v>2001</v>
      </c>
      <c r="Y5" s="89" t="s">
        <v>246</v>
      </c>
      <c r="Z5" s="89" t="s">
        <v>1984</v>
      </c>
      <c r="AA5" s="526" t="s">
        <v>2002</v>
      </c>
      <c r="AB5" s="89" t="s">
        <v>0</v>
      </c>
      <c r="AC5" s="527" t="s">
        <v>2003</v>
      </c>
      <c r="AD5"/>
      <c r="AE5" s="483"/>
      <c r="AF5" s="528" t="s">
        <v>6</v>
      </c>
      <c r="AG5" s="526" t="s">
        <v>911</v>
      </c>
      <c r="AH5" s="526" t="s">
        <v>2000</v>
      </c>
      <c r="AI5" s="89" t="s">
        <v>1985</v>
      </c>
      <c r="AJ5" s="526" t="s">
        <v>2001</v>
      </c>
      <c r="AK5" s="89" t="s">
        <v>246</v>
      </c>
      <c r="AL5" s="89" t="s">
        <v>1984</v>
      </c>
      <c r="AM5" s="526" t="s">
        <v>2002</v>
      </c>
      <c r="AN5" s="89" t="s">
        <v>0</v>
      </c>
      <c r="AO5" s="527" t="s">
        <v>2003</v>
      </c>
      <c r="AP5"/>
      <c r="AQ5" s="483"/>
      <c r="AR5" s="529" t="s">
        <v>7</v>
      </c>
      <c r="AS5" s="526" t="s">
        <v>911</v>
      </c>
      <c r="AT5" s="526" t="s">
        <v>2000</v>
      </c>
      <c r="AU5" s="572" t="s">
        <v>1985</v>
      </c>
      <c r="AV5" s="526" t="s">
        <v>2001</v>
      </c>
      <c r="AW5" s="572" t="s">
        <v>246</v>
      </c>
      <c r="AX5" s="572" t="s">
        <v>1984</v>
      </c>
      <c r="AY5" s="526" t="s">
        <v>2002</v>
      </c>
      <c r="AZ5" s="572" t="s">
        <v>0</v>
      </c>
      <c r="BA5" s="527" t="s">
        <v>2003</v>
      </c>
      <c r="BB5"/>
      <c r="BC5" s="483"/>
      <c r="BD5" s="530" t="s">
        <v>160</v>
      </c>
      <c r="BE5" s="527" t="s">
        <v>2000</v>
      </c>
      <c r="BF5" t="s">
        <v>1985</v>
      </c>
      <c r="BG5" s="442" t="s">
        <v>1851</v>
      </c>
      <c r="BH5"/>
      <c r="BI5" s="483"/>
      <c r="BJ5" s="531" t="s">
        <v>11</v>
      </c>
      <c r="BK5" s="532" t="s">
        <v>966</v>
      </c>
      <c r="BL5" s="533" t="s">
        <v>1850</v>
      </c>
      <c r="BM5" t="s">
        <v>1985</v>
      </c>
      <c r="BN5" s="443" t="s">
        <v>1851</v>
      </c>
      <c r="BO5" s="483"/>
      <c r="BW5" s="521"/>
      <c r="BY5" s="521"/>
      <c r="BZ5" s="521"/>
      <c r="CA5" s="521"/>
    </row>
    <row r="6" spans="1:82" s="465" customFormat="1" ht="33.75" customHeight="1" thickBot="1" x14ac:dyDescent="0.3">
      <c r="A6" s="470" t="str">
        <f>IF($BS$7&lt;1,"",$BS$7)</f>
        <v/>
      </c>
      <c r="B6" s="471"/>
      <c r="C6" s="477" t="str">
        <f t="shared" ref="C6:C20" si="0">IF(
IFERROR(INDEX(BY:BY,MATCH(A6,BX:BX,0)),"")=IFERROR(INDEX(CA:CA,MATCH(A6,BX:BX,0)),""),
IFERROR(INDEX(CA:CA,MATCH(A6,BX:BX,0)),""),
IFERROR(INDEX(BY:BY,MATCH(A6,BX:BX,0)),"")&amp;" - "&amp;IFERROR(INDEX(CA:CA,MATCH(A6,BX:BX,0)),""))</f>
        <v/>
      </c>
      <c r="D6" s="190" t="str">
        <f>IFERROR(INDEX(BZ:BZ,MATCH(A6,BX:BX,0)),"")</f>
        <v/>
      </c>
      <c r="E6" s="190">
        <f>IFERROR(INDEX(Instructions!$U$111:$U$222,MATCH(Draft!A6,Instructions!$U$111:$U$222,0)),0)</f>
        <v>0</v>
      </c>
      <c r="F6" s="197"/>
      <c r="G6">
        <v>1</v>
      </c>
      <c r="H6" s="549" t="str">
        <f>INDEX('Draft Slayer Classic'!$I:$I,MATCH(SMALL('Draft Slayer Classic'!$Q:$Q,$G6),'Draft Slayer Classic'!$Q:$Q,0))</f>
        <v>Patrick Mahomes</v>
      </c>
      <c r="I6" s="550" t="str">
        <f>INDEX(FFARawStatProjections!$B:$B,MATCH(H6,FFARawStatProjections!$A:$A,0))</f>
        <v>KC</v>
      </c>
      <c r="J6" s="551" t="str">
        <f>INDEX(FFARawStatProjections!$D:$D,MATCH(H6,FFARawStatProjections!$A:$A,0))&amp;IF(K6&gt;0," ("&amp;K6&amp;")","")</f>
        <v>10</v>
      </c>
      <c r="K6">
        <f>IFERROR(INDEX($BQ$8:$BQ$21,MATCH(INDEX(FFARawStatProjections!$D:$D,MATCH(H6,FFARawStatProjections!$A:$A,0)),$BP$8:$BP$21,0)),0)</f>
        <v>0</v>
      </c>
      <c r="L6" s="552">
        <f>INDEX(QBproj!M:M,MATCH(Draft!H6,QBproj!D:D,0))</f>
        <v>0.30000000000000071</v>
      </c>
      <c r="M6">
        <f>INDEX(ADP!$G:$G,MATCH(H6,ADP!$D:$D,0))</f>
        <v>17.400177999999997</v>
      </c>
      <c r="N6">
        <f>IF(AND(M6&gt;=$R$5,M6&lt;$R$4),1,
IF(AND(M6&gt;=$R$4,M6&lt;$R$3),2,
IF(M6&gt;=$R$3,3,
0)))</f>
        <v>1</v>
      </c>
      <c r="O6" s="552">
        <f>(IFERROR(P6-INDEX(P:P,MATCH(1,N:N,0)),0)+
IFERROR(P6-INDEX(P:P,MATCH(2,N:N,0)),0)*0.5+
IFERROR(P6-INDEX(P:P,MATCH(3,N:N,0)),0)*0.25
)/16*IF(ISBLANK(Beersheet!$A$1),1,16)</f>
        <v>1.7864045312499996</v>
      </c>
      <c r="P6">
        <f>IF(Beersheet!$A$2="QB",
INDEX(Beersheet!$A:$U,MATCH(Draft!H6,Beersheet!$C:$C,0),FFARawStatProjections!$BQ$1),
INDEX('Draft Slayer Classic'!$K:$K,MATCH(H6,'Draft Slayer Classic'!$I:$I,0)))</f>
        <v>387.68401</v>
      </c>
      <c r="Q6" s="553">
        <f>INDEX('Draft Slayer Classic'!$L:$L,MATCH(H6,'Draft Slayer Classic'!$I:$I,0))</f>
        <v>1</v>
      </c>
      <c r="R6">
        <f>IFERROR(IF(INDEX(Instructions!$V$64:$V$83,MATCH(Draft!H6,Instructions!$S$64:$S$83,0))&lt;='Draft Slayer Classic'!$E$25,1,0),0)</f>
        <v>0</v>
      </c>
      <c r="S6" s="197"/>
      <c r="T6" s="549" t="str">
        <f>INDEX('Draft Slayer Classic'!$T:$T,MATCH(SMALL('Draft Slayer Classic'!$AB:$AB,$G6),'Draft Slayer Classic'!$AB:$AB,0))</f>
        <v>Christian McCaffrey</v>
      </c>
      <c r="U6" s="550" t="str">
        <f>INDEX(FFARawStatProjections!$B:$B,MATCH(T6,FFARawStatProjections!$A:$A,0))</f>
        <v>SF</v>
      </c>
      <c r="V6" s="551" t="str">
        <f>INDEX(FFARawStatProjections!$D:$D,MATCH(T6,FFARawStatProjections!$A:$A,0))&amp;IF(W6&gt;0," ("&amp;W6&amp;")","")</f>
        <v>9</v>
      </c>
      <c r="W6">
        <f>IFERROR(INDEX($BQ$8:$BQ$21,MATCH(INDEX(FFARawStatProjections!$D:$D,MATCH(T6,FFARawStatProjections!$A:$A,0)),$BP$8:$BP$21,0)),0)</f>
        <v>0</v>
      </c>
      <c r="X6" s="552">
        <f>INDEX(RBproj!M:M,MATCH(Draft!T6,RBproj!D:D,0))</f>
        <v>0</v>
      </c>
      <c r="Y6">
        <f>INDEX(ADP!$G:$G,MATCH(T6,ADP!$D:$D,0))</f>
        <v>2.3006129999999998</v>
      </c>
      <c r="Z6">
        <f>IF(AND(Y6&gt;=$R$5,Y6&lt;$R$4),1,
IF(AND(Y6&gt;=$R$4,Y6&lt;$R$3),2,
IF(Y6&gt;=$R$3,3,
0)))</f>
        <v>1</v>
      </c>
      <c r="AA6" s="552">
        <f>(IFERROR(AB6-INDEX(AB:AB,MATCH(1,Z:Z,0)),0)+
IFERROR(AB6-INDEX(AB:AB,MATCH(2,Z:Z,0)),0)*0.5+
IFERROR(AB6-INDEX(AB:AB,MATCH(3,Z:Z,0)),0)*0.25
)/16*IF(ISBLANK(Beersheet!$A$1),1,16)</f>
        <v>3.777807500000002</v>
      </c>
      <c r="AB6">
        <f>IF(Beersheet!$A$2="QB",
INDEX(Beersheet!$A:$U,MATCH(Draft!T6,Beersheet!$C:$C,0),FFARawStatProjections!$BQ$1),
INDEX('Draft Slayer Classic'!$V:$V,MATCH(T6,'Draft Slayer Classic'!$T:$T,0)))</f>
        <v>309.36116000000004</v>
      </c>
      <c r="AC6" s="553">
        <f>INDEX('Draft Slayer Classic'!$W:$W,MATCH(T6,'Draft Slayer Classic'!$T:$T,0))</f>
        <v>0</v>
      </c>
      <c r="AD6">
        <f>IFERROR(IF(INDEX(Instructions!$X$64:$X$83,MATCH(Draft!T6,Instructions!$T$64:$T$83,0))&lt;='Draft Slayer Classic'!$E$25,1,0),0)</f>
        <v>0</v>
      </c>
      <c r="AE6" s="197"/>
      <c r="AF6" s="549" t="str">
        <f>INDEX('Draft Slayer Classic'!$AE:$AE,MATCH(SMALL('Draft Slayer Classic'!$AM:$AM,$G6),'Draft Slayer Classic'!$AM:$AM,0))</f>
        <v>Tyreek Hill</v>
      </c>
      <c r="AG6" s="550" t="str">
        <f>INDEX(FFARawStatProjections!$B:$B,MATCH(AF6,FFARawStatProjections!$A:$A,0))</f>
        <v>MIA</v>
      </c>
      <c r="AH6" s="551" t="str">
        <f>INDEX(FFARawStatProjections!$D:$D,MATCH(AF6,FFARawStatProjections!$A:$A,0))&amp;IF(AI6&gt;0," ("&amp;AI6&amp;")","")</f>
        <v>10</v>
      </c>
      <c r="AI6">
        <f>IFERROR(INDEX($BQ$8:$BQ$21,MATCH(INDEX(FFARawStatProjections!$D:$D,MATCH(AF6,FFARawStatProjections!$A:$A,0)),$BP$8:$BP$21,0)),0)</f>
        <v>0</v>
      </c>
      <c r="AJ6" s="552">
        <f>INDEX(WRproj!M:M,MATCH(Draft!AF6,WRproj!D:D,0))</f>
        <v>0</v>
      </c>
      <c r="AK6">
        <f>INDEX(ADP!$G:$G,MATCH(AF6,ADP!$D:$D,0))</f>
        <v>4.2000299999999999</v>
      </c>
      <c r="AL6">
        <f>IF(AND(AK6&gt;=$R$5,AK6&lt;$R$4),1,
IF(AND(AK6&gt;=$R$4,AK6&lt;$R$3),2,
IF(AK6&gt;=$R$3,3,
0)))</f>
        <v>1</v>
      </c>
      <c r="AM6" s="552">
        <f>(IFERROR(AN6-INDEX(AN:AN,MATCH(1,AL:AL,0)),0)+
IFERROR(AN6-INDEX(AN:AN,MATCH(2,AL:AL,0)),0)*0.5+
IFERROR(AN6-INDEX(AN:AN,MATCH(3,AL:AL,0)),0)*0.25
)/16*IF(ISBLANK(Beersheet!$A$1),1,16)</f>
        <v>3.5320267187500005</v>
      </c>
      <c r="AN6">
        <f>IF(Beersheet!$A$2="QB",
INDEX(Beersheet!$A:$U,MATCH(Draft!AF6,Beersheet!$C:$C,0),FFARawStatProjections!$BQ$1),
INDEX('Draft Slayer Classic'!$AG:$AG,MATCH(AF6,'Draft Slayer Classic'!$AE:$AE,0)))</f>
        <v>301.02318000000002</v>
      </c>
      <c r="AO6" s="553">
        <f>INDEX('Draft Slayer Classic'!$AH:$AH,MATCH(AF6,'Draft Slayer Classic'!$AE:$AE,0))</f>
        <v>1</v>
      </c>
      <c r="AP6">
        <f>IFERROR(IF(INDEX(Instructions!$V$86:$V$105,MATCH(Draft!AF6,Instructions!$S$86:$S$105,0))&lt;='Draft Slayer Classic'!$E$25,1,0),0)</f>
        <v>0</v>
      </c>
      <c r="AQ6" s="197"/>
      <c r="AR6" s="549" t="str">
        <f>INDEX('Draft Slayer Classic'!$AP:$AP,MATCH(SMALL('Draft Slayer Classic'!$AX:$AX,$G6),'Draft Slayer Classic'!$AX:$AX,0))</f>
        <v>Travis Kelce</v>
      </c>
      <c r="AS6" s="550" t="str">
        <f>INDEX(FFARawStatProjections!$B:$B,MATCH(AR6,FFARawStatProjections!$A:$A,0))</f>
        <v>KC</v>
      </c>
      <c r="AT6" s="551" t="str">
        <f>INDEX(FFARawStatProjections!$D:$D,MATCH(AR6,FFARawStatProjections!$A:$A,0))&amp;IF(AU6&gt;0," ("&amp;AU6&amp;")","")</f>
        <v>10</v>
      </c>
      <c r="AU6">
        <f>IFERROR(INDEX($BQ$8:$BQ$21,MATCH(INDEX(FFARawStatProjections!$D:$D,MATCH(AR6,FFARawStatProjections!$A:$A,0)),$BP$8:$BP$21,0)),0)</f>
        <v>0</v>
      </c>
      <c r="AV6" s="552">
        <f xml:space="preserve">
INDEX(TEproj!M:M,MATCH(Draft!AR6,TEproj!D:D,0))</f>
        <v>0</v>
      </c>
      <c r="AW6">
        <f>INDEX(ADP!$G:$G,MATCH(AR6,ADP!$D:$D,0))</f>
        <v>5.0000720000000003</v>
      </c>
      <c r="AX6">
        <f>IF(AND(AW6&gt;=$R$5,AW6&lt;$R$4),1,
IF(AND(AW6&gt;=$R$4,AW6&lt;$R$3),2,
IF(AW6&gt;=$R$3,3,
0)))</f>
        <v>1</v>
      </c>
      <c r="AY6" s="552">
        <f>(IFERROR(AZ6-INDEX(AZ:AZ,MATCH(1,AX:AX,0)),0)+
IFERROR(AZ6-INDEX(AZ:AZ,MATCH(2,AX:AX,0)),0)*0.5+
IFERROR(AZ6-INDEX(AZ:AZ,MATCH(3,AX:AX,0)),0)*0.25
)/16*IF(ISBLANK(Beersheet!$A$1),1,16)</f>
        <v>1.4078121874999994</v>
      </c>
      <c r="AZ6">
        <f>IF(Beersheet!$A$2="QB",
INDEX(Beersheet!$A:$U,MATCH(Draft!AR6,Beersheet!$C:$C,0),FFARawStatProjections!$BQ$1),
INDEX('Draft Slayer Classic'!$AR:$AR,MATCH(AR6,'Draft Slayer Classic'!$AP:$AP,0)))</f>
        <v>288.55608999999998</v>
      </c>
      <c r="BA6" s="553">
        <f>INDEX('Draft Slayer Classic'!$AS:$AS,MATCH(AR6,'Draft Slayer Classic'!$AP:$AP,0))</f>
        <v>0</v>
      </c>
      <c r="BB6">
        <f>IFERROR(IF(INDEX(Instructions!$X$86:$X$105,MATCH(Draft!AR6,Instructions!$T$86:$T$105,0))&lt;='Draft Slayer Classic'!$E$25,1,0),0)</f>
        <v>0</v>
      </c>
      <c r="BC6" s="197"/>
      <c r="BD6" s="549" t="str">
        <f>INDEX('Draft Slayer Classic'!$BA:$BA,MATCH(SMALL('Draft Slayer Classic'!$BD:$BD,$G6),'Draft Slayer Classic'!$BD:$BD,0))</f>
        <v>DAL</v>
      </c>
      <c r="BE6" s="553" t="str">
        <f>INDEX(FFARawStatProjections!$D:$D,MATCH(BD6,FFARawStatProjections!$A:$A,0))&amp;IF(BF6&gt;0," ("&amp;BF6&amp;")","")</f>
        <v>7</v>
      </c>
      <c r="BF6">
        <f>IFERROR(INDEX($BQ$8:$BQ$21,MATCH(INDEX(FFARawStatProjections!$D:$D,MATCH(BC6,FFARawStatProjections!$A:$A,0)),$BP$8:$BP$21,0)),0)</f>
        <v>0</v>
      </c>
      <c r="BG6" s="464">
        <f>INDEX(FFARawStatProjections!$E:$E,MATCH(BD6,FFARawStatProjections!$B:$B,0))*0.1</f>
        <v>0</v>
      </c>
      <c r="BH6"/>
      <c r="BI6" s="197"/>
      <c r="BJ6" s="549" t="str">
        <f>INDEX('Draft Slayer Classic'!$BF:$BF,MATCH(SMALL('Draft Slayer Classic'!$BJ:$BJ,$G6),'Draft Slayer Classic'!$BJ:$BJ,0))</f>
        <v>Zane Gonzalez</v>
      </c>
      <c r="BK6" s="550" t="str">
        <f>INDEX(FFARawStatProjections!$B:$B,MATCH(BJ6,FFARawStatProjections!$A:$A,0))</f>
        <v>SF</v>
      </c>
      <c r="BL6" s="553" t="str">
        <f>INDEX(FFARawStatProjections!$D:$D,MATCH(BJ6,FFARawStatProjections!$A:$A,0))&amp;IF(BM6&gt;0," ("&amp;BM6&amp;")","")</f>
        <v>9</v>
      </c>
      <c r="BM6">
        <f>IFERROR(INDEX($BQ$8:$BQ$21,MATCH(INDEX(FFARawStatProjections!$D:$D,MATCH(BJ6,FFARawStatProjections!$A:$A,0)),$BP$8:$BP$21,0)),0)</f>
        <v>0</v>
      </c>
      <c r="BN6" s="464">
        <f>INDEX(FFARawStatProjections!$E:$E,MATCH(Draft!BJ6,FFARawStatProjections!$A:$A,0))*0.1</f>
        <v>0</v>
      </c>
      <c r="BO6" s="197"/>
      <c r="BQ6" s="522">
        <f>IFERROR(INDEX(Instructions!T111:T222,MATCH(BS6,Instructions!U111:U222,0)),1)</f>
        <v>1</v>
      </c>
      <c r="BS6" s="89">
        <f>COUNTA(BW:BW)+1</f>
        <v>1</v>
      </c>
      <c r="BT6" t="s">
        <v>967</v>
      </c>
      <c r="BU6" t="s">
        <v>968</v>
      </c>
      <c r="BV6" t="s">
        <v>966</v>
      </c>
      <c r="BW6" s="89"/>
      <c r="BX6"/>
      <c r="BY6" s="89"/>
      <c r="BZ6" s="89"/>
      <c r="CA6" s="89"/>
      <c r="CB6" s="190"/>
      <c r="CC6" s="190"/>
      <c r="CD6" s="190"/>
    </row>
    <row r="7" spans="1:82" s="465" customFormat="1" ht="33.75" customHeight="1" x14ac:dyDescent="0.25">
      <c r="A7" s="469" t="str">
        <f t="shared" ref="A7:A20" si="1">IFERROR(IF(A6-1&lt;=0,"",A6-1),"")</f>
        <v/>
      </c>
      <c r="B7" s="472"/>
      <c r="C7" s="478" t="str">
        <f t="shared" si="0"/>
        <v/>
      </c>
      <c r="D7" s="190" t="str">
        <f t="shared" ref="D7:D20" si="2">IFERROR(INDEX(BZ:BZ,MATCH(A7,BX:BX,0)),"")</f>
        <v/>
      </c>
      <c r="E7" s="190">
        <f>IFERROR(INDEX(Instructions!$U$111:$U$222,MATCH(Draft!A7,Instructions!$U$111:$U$222,0)),0)</f>
        <v>0</v>
      </c>
      <c r="F7" s="197"/>
      <c r="G7">
        <v>2</v>
      </c>
      <c r="H7" s="554" t="str">
        <f>INDEX('Draft Slayer Classic'!$I:$I,MATCH(SMALL('Draft Slayer Classic'!$Q:$Q,$G7),'Draft Slayer Classic'!$Q:$Q,0))</f>
        <v>Jalen Hurts</v>
      </c>
      <c r="I7" s="555" t="str">
        <f>INDEX(FFARawStatProjections!$B:$B,MATCH(H7,FFARawStatProjections!$A:$A,0))</f>
        <v>PHI</v>
      </c>
      <c r="J7" s="556" t="str">
        <f>INDEX(FFARawStatProjections!$D:$D,MATCH(H7,FFARawStatProjections!$A:$A,0))&amp;IF(K7&gt;0," ("&amp;K7&amp;")","")</f>
        <v>10</v>
      </c>
      <c r="K7">
        <f>IFERROR(INDEX($BQ$8:$BQ$21,MATCH(INDEX(FFARawStatProjections!$D:$D,MATCH(H7,FFARawStatProjections!$A:$A,0)),$BP$8:$BP$21,0)),0)</f>
        <v>0</v>
      </c>
      <c r="L7" s="466">
        <f>INDEX(QBproj!M:M,MATCH(Draft!H7,QBproj!D:D,0))</f>
        <v>0</v>
      </c>
      <c r="M7">
        <f>INDEX(ADP!$G:$G,MATCH(H7,ADP!$D:$D,0))</f>
        <v>24.800411</v>
      </c>
      <c r="N7">
        <f>IF(AND(M7&gt;=$R$5,M7&lt;$R$4),1,
IF(AND(M7&gt;=$R$4,M7&lt;$R$3),2,
IF(M7&gt;=$R$3,3,
IF(AND(COUNTIF(N$6:N6,1)=0,COUNTIF(M$6:M6,"&lt;="&amp;$R$5)=(COUNTIF(M$6:M$20,"&lt;="&amp;$R$5)-1)),1,0))))</f>
        <v>1</v>
      </c>
      <c r="O7" s="466">
        <f>(IFERROR(P7-INDEX(P:P,MATCH(1,N:N,0)),0)+
IFERROR(P7-INDEX(P:P,MATCH(2,N:N,0)),0)*0.5+
IFERROR(P7-INDEX(P:P,MATCH(3,N:N,0)),0)*0.25
)/16*IF(ISBLANK(Beersheet!$A$1),1,16)</f>
        <v>1.1739067187499979</v>
      </c>
      <c r="P7">
        <f>IF(Beersheet!$A$2="QB",
INDEX(Beersheet!$A:$U,MATCH(Draft!H7,Beersheet!$C:$C,0),FFARawStatProjections!$BQ$1),
INDEX('Draft Slayer Classic'!$K:$K,MATCH(H7,'Draft Slayer Classic'!$I:$I,0)))</f>
        <v>382.08402999999998</v>
      </c>
      <c r="Q7" s="557">
        <f>INDEX('Draft Slayer Classic'!$L:$L,MATCH(H7,'Draft Slayer Classic'!$I:$I,0))</f>
        <v>2</v>
      </c>
      <c r="R7">
        <f>IFERROR(IF(INDEX(Instructions!$V$64:$V$83,MATCH(Draft!H7,Instructions!$S$64:$S$83,0))&lt;='Draft Slayer Classic'!$E$25,1,0),0)</f>
        <v>0</v>
      </c>
      <c r="S7" s="197"/>
      <c r="T7" s="554" t="str">
        <f>INDEX('Draft Slayer Classic'!$T:$T,MATCH(SMALL('Draft Slayer Classic'!$AB:$AB,$G7),'Draft Slayer Classic'!$AB:$AB,0))</f>
        <v>Derrick Henry</v>
      </c>
      <c r="U7" s="555" t="str">
        <f>INDEX(FFARawStatProjections!$B:$B,MATCH(T7,FFARawStatProjections!$A:$A,0))</f>
        <v>TEN</v>
      </c>
      <c r="V7" s="556" t="str">
        <f>INDEX(FFARawStatProjections!$D:$D,MATCH(T7,FFARawStatProjections!$A:$A,0))&amp;IF(W7&gt;0," ("&amp;W7&amp;")","")</f>
        <v>7</v>
      </c>
      <c r="W7">
        <f>IFERROR(INDEX($BQ$8:$BQ$21,MATCH(INDEX(FFARawStatProjections!$D:$D,MATCH(T7,FFARawStatProjections!$A:$A,0)),$BP$8:$BP$21,0)),0)</f>
        <v>0</v>
      </c>
      <c r="X7" s="464">
        <f>INDEX(RBproj!M:M,MATCH(Draft!T7,RBproj!D:D,0))</f>
        <v>0.20000000000000018</v>
      </c>
      <c r="Y7">
        <f>INDEX(ADP!$G:$G,MATCH(T7,ADP!$D:$D,0))</f>
        <v>11.900527</v>
      </c>
      <c r="Z7">
        <f>IF(AND(Y7&gt;=$R$5,Y7&lt;$R$4),1,
IF(AND(Y7&gt;=$R$4,Y7&lt;$R$3),2,
IF(Y7&gt;=$R$3,3,
IF(AND(COUNTIF(Z$6:Z6,1)=0,COUNTIF(Y$6:Y6,"&lt;="&amp;$R$5)=(COUNTIF(Y$6:Y$20,"&lt;="&amp;$R$5)-1)),1,0))))</f>
        <v>1</v>
      </c>
      <c r="AA7" s="466">
        <f>(IFERROR(AB7-INDEX(AB:AB,MATCH(1,Z:Z,0)),0)+
IFERROR(AB7-INDEX(AB:AB,MATCH(2,Z:Z,0)),0)*0.5+
IFERROR(AB7-INDEX(AB:AB,MATCH(3,Z:Z,0)),0)*0.25
)/16*IF(ISBLANK(Beersheet!$A$1),1,16)</f>
        <v>-1.5443723437499952</v>
      </c>
      <c r="AB7">
        <f>IF(Beersheet!$A$2="QB",
INDEX(Beersheet!$A:$U,MATCH(Draft!T7,Beersheet!$C:$C,0),FFARawStatProjections!$BQ$1),
INDEX('Draft Slayer Classic'!$V:$V,MATCH(T7,'Draft Slayer Classic'!$T:$T,0)))</f>
        <v>260.70123000000007</v>
      </c>
      <c r="AC7" s="557">
        <f>INDEX('Draft Slayer Classic'!$W:$W,MATCH(T7,'Draft Slayer Classic'!$T:$T,0))</f>
        <v>2</v>
      </c>
      <c r="AD7">
        <f>IFERROR(IF(INDEX(Instructions!$X$64:$X$83,MATCH(Draft!T7,Instructions!$T$64:$T$83,0))&lt;='Draft Slayer Classic'!$E$25,1,0),0)</f>
        <v>0</v>
      </c>
      <c r="AE7" s="197"/>
      <c r="AF7" s="554" t="str">
        <f>INDEX('Draft Slayer Classic'!$AE:$AE,MATCH(SMALL('Draft Slayer Classic'!$AM:$AM,$G7),'Draft Slayer Classic'!$AM:$AM,0))</f>
        <v>Davante Adams</v>
      </c>
      <c r="AG7" s="555" t="str">
        <f>INDEX(FFARawStatProjections!$B:$B,MATCH(AF7,FFARawStatProjections!$A:$A,0))</f>
        <v>LV</v>
      </c>
      <c r="AH7" s="556" t="str">
        <f>INDEX(FFARawStatProjections!$D:$D,MATCH(AF7,FFARawStatProjections!$A:$A,0))&amp;IF(AI7&gt;0," ("&amp;AI7&amp;")","")</f>
        <v>13</v>
      </c>
      <c r="AI7">
        <f>IFERROR(INDEX($BQ$8:$BQ$21,MATCH(INDEX(FFARawStatProjections!$D:$D,MATCH(AF7,FFARawStatProjections!$A:$A,0)),$BP$8:$BP$21,0)),0)</f>
        <v>0</v>
      </c>
      <c r="AJ7" s="464">
        <f>INDEX(WRproj!M:M,MATCH(Draft!AF7,WRproj!D:D,0))</f>
        <v>0.29999999999999982</v>
      </c>
      <c r="AK7">
        <f>INDEX(ADP!$G:$G,MATCH(AF7,ADP!$D:$D,0))</f>
        <v>15.900556</v>
      </c>
      <c r="AL7">
        <f>IF(AND(AK7&gt;=$R$5,AK7&lt;$R$4),1,
IF(AND(AK7&gt;=$R$4,AK7&lt;$R$3),2,
IF(AK7&gt;=$R$3,3,
IF(AND(COUNTIF(AL$6:AL6,1)=0,COUNTIF(AK$6:AK6,"&lt;="&amp;$R$5)=(COUNTIF(AK$6:AK$20,"&lt;="&amp;$R$5)-1)),1,0))))</f>
        <v>1</v>
      </c>
      <c r="AM7" s="466">
        <f>(IFERROR(AN7-INDEX(AN:AN,MATCH(1,AL:AL,0)),0)+
IFERROR(AN7-INDEX(AN:AN,MATCH(2,AL:AL,0)),0)*0.5+
IFERROR(AN7-INDEX(AN:AN,MATCH(3,AL:AL,0)),0)*0.25
)/16*IF(ISBLANK(Beersheet!$A$1),1,16)</f>
        <v>0.29234140625000071</v>
      </c>
      <c r="AN7">
        <f>IF(Beersheet!$A$2="QB",
INDEX(Beersheet!$A:$U,MATCH(Draft!AF7,Beersheet!$C:$C,0),FFARawStatProjections!$BQ$1),
INDEX('Draft Slayer Classic'!$AG:$AG,MATCH(AF7,'Draft Slayer Classic'!$AE:$AE,0)))</f>
        <v>271.40320000000003</v>
      </c>
      <c r="AO7" s="557">
        <f>INDEX('Draft Slayer Classic'!$AH:$AH,MATCH(AF7,'Draft Slayer Classic'!$AE:$AE,0))</f>
        <v>3</v>
      </c>
      <c r="AP7">
        <f>IFERROR(IF(INDEX(Instructions!$V$86:$V$105,MATCH(Draft!AF7,Instructions!$S$86:$S$105,0))&lt;='Draft Slayer Classic'!$E$25,1,0),0)</f>
        <v>0</v>
      </c>
      <c r="AQ7" s="197"/>
      <c r="AR7" s="554" t="str">
        <f>INDEX('Draft Slayer Classic'!$AP:$AP,MATCH(SMALL('Draft Slayer Classic'!$AX:$AX,$G7),'Draft Slayer Classic'!$AX:$AX,0))</f>
        <v>TJ Hockenson</v>
      </c>
      <c r="AS7" s="555" t="str">
        <f>INDEX(FFARawStatProjections!$B:$B,MATCH(AR7,FFARawStatProjections!$A:$A,0))</f>
        <v>MIN</v>
      </c>
      <c r="AT7" s="556" t="str">
        <f>INDEX(FFARawStatProjections!$D:$D,MATCH(AR7,FFARawStatProjections!$A:$A,0))&amp;IF(AU7&gt;0," ("&amp;AU7&amp;")","")</f>
        <v>13</v>
      </c>
      <c r="AU7">
        <f>IFERROR(INDEX($BQ$8:$BQ$21,MATCH(INDEX(FFARawStatProjections!$D:$D,MATCH(AR7,FFARawStatProjections!$A:$A,0)),$BP$8:$BP$21,0)),0)</f>
        <v>0</v>
      </c>
      <c r="AV7" s="464">
        <f>INDEX(TEproj!M:M,MATCH(Draft!AR7,TEproj!D:D,0))</f>
        <v>0</v>
      </c>
      <c r="AW7">
        <f>INDEX(ADP!$G:$G,MATCH(AR7,ADP!$D:$D,0))</f>
        <v>51.500079999999997</v>
      </c>
      <c r="AX7">
        <f>IF(AND(AW7&gt;=$R$5,AW7&lt;$R$4),1,
IF(AND(AW7&gt;=$R$4,AW7&lt;$R$3),2,
IF(AW7&gt;=$R$3,3,
IF(AND(COUNTIF(AX$6:AX6,1)=0,COUNTIF(AW$6:AW6,"&lt;="&amp;$R$5)=(COUNTIF(AW$6:AW$20,"&lt;="&amp;$R$5)-1)),1,0))))</f>
        <v>3</v>
      </c>
      <c r="AY7" s="466">
        <f>(IFERROR(AZ7-INDEX(AZ:AZ,MATCH(1,AX:AX,0)),0)+
IFERROR(AZ7-INDEX(AZ:AZ,MATCH(2,AX:AX,0)),0)*0.5+
IFERROR(AZ7-INDEX(AZ:AZ,MATCH(3,AX:AX,0)),0)*0.25
)/16*IF(ISBLANK(Beersheet!$A$1),1,16)</f>
        <v>-5.6312487499999975</v>
      </c>
      <c r="AZ7">
        <f>IF(Beersheet!$A$2="QB",
INDEX(Beersheet!$A:$U,MATCH(Draft!AR7,Beersheet!$C:$C,0),FFARawStatProjections!$BQ$1),
INDEX('Draft Slayer Classic'!$AR:$AR,MATCH(AR7,'Draft Slayer Classic'!$AP:$AP,0)))</f>
        <v>198.45611000000002</v>
      </c>
      <c r="BA7" s="557">
        <f>INDEX('Draft Slayer Classic'!$AS:$AS,MATCH(AR7,'Draft Slayer Classic'!$AP:$AP,0))</f>
        <v>3</v>
      </c>
      <c r="BB7">
        <f>IFERROR(IF(INDEX(Instructions!$X$86:$X$105,MATCH(Draft!AR7,Instructions!$T$86:$T$105,0))&lt;='Draft Slayer Classic'!$E$25,1,0),0)</f>
        <v>0</v>
      </c>
      <c r="BC7" s="197"/>
      <c r="BD7" s="554" t="str">
        <f>INDEX('Draft Slayer Classic'!$BA:$BA,MATCH(SMALL('Draft Slayer Classic'!$BD:$BD,$G7),'Draft Slayer Classic'!$BD:$BD,0))</f>
        <v>PHI</v>
      </c>
      <c r="BE7" s="557" t="str">
        <f>INDEX(FFARawStatProjections!$D:$D,MATCH(BD7,FFARawStatProjections!$B:$B,0))&amp;IF(BF7&gt;0," ("&amp;BF7&amp;")","")</f>
        <v>10</v>
      </c>
      <c r="BF7">
        <f>IFERROR(INDEX($BQ$8:$BQ$21,MATCH(INDEX(FFARawStatProjections!$D:$D,MATCH(BC7,FFARawStatProjections!$A:$A,0)),$BP$8:$BP$21,0)),0)</f>
        <v>0</v>
      </c>
      <c r="BG7" s="464">
        <f>INDEX(FFARawStatProjections!$E:$E,MATCH(BD7,FFARawStatProjections!$B:$B,0))*0.1</f>
        <v>0</v>
      </c>
      <c r="BH7"/>
      <c r="BI7" s="197"/>
      <c r="BJ7" s="554" t="str">
        <f>INDEX('Draft Slayer Classic'!$BF:$BF,MATCH(SMALL('Draft Slayer Classic'!$BJ:$BJ,$G7),'Draft Slayer Classic'!$BJ:$BJ,0))</f>
        <v>Greg Joseph</v>
      </c>
      <c r="BK7" s="555" t="str">
        <f>INDEX(FFARawStatProjections!$B:$B,MATCH(BJ7,FFARawStatProjections!$A:$A,0))</f>
        <v>MIN</v>
      </c>
      <c r="BL7" s="557" t="str">
        <f>INDEX(FFARawStatProjections!$D:$D,MATCH(BJ7,FFARawStatProjections!$A:$A,0))&amp;IF(BM7&gt;0," ("&amp;BM7&amp;")","")</f>
        <v>13</v>
      </c>
      <c r="BM7">
        <f>IFERROR(INDEX($BQ$8:$BQ$21,MATCH(INDEX(FFARawStatProjections!$D:$D,MATCH(BJ7,FFARawStatProjections!$A:$A,0)),$BP$8:$BP$21,0)),0)</f>
        <v>0</v>
      </c>
      <c r="BN7" s="466">
        <f>INDEX(FFARawStatProjections!$E:$E,MATCH(Draft!BJ7,FFARawStatProjections!$A:$A,0))*0.1</f>
        <v>0</v>
      </c>
      <c r="BO7" s="197"/>
      <c r="BS7" s="89">
        <f>COUNTA(BW:BW)</f>
        <v>0</v>
      </c>
      <c r="BT7" t="str">
        <f>IF(FFARawStatProjections!A2=0,"",FFARawStatProjections!A2)</f>
        <v>Patrick Mahomes</v>
      </c>
      <c r="BU7" t="str">
        <f>IF(FFARawStatProjections!C2=0,"",FFARawStatProjections!C2)</f>
        <v>QB</v>
      </c>
      <c r="BV7" t="str">
        <f>IF(FFARawStatProjections!B2=0,"",FFARawStatProjections!B2)</f>
        <v>KC</v>
      </c>
      <c r="BW7" s="89"/>
      <c r="BX7">
        <v>1</v>
      </c>
      <c r="BY7" s="89" t="str">
        <f>IFERROR(INDEX(BT:BT,MATCH(BX7,BW:BW,0),1),"")</f>
        <v/>
      </c>
      <c r="BZ7" s="89" t="str">
        <f>IFERROR(INDEX(BU:BU,MATCH(BX7,BW:BW,0)),"")</f>
        <v/>
      </c>
      <c r="CA7" s="89" t="str">
        <f>IFERROR(INDEX(BV:BV,MATCH(BX7,BW:BW,0)),"")</f>
        <v/>
      </c>
      <c r="CB7" s="463"/>
      <c r="CC7" s="463"/>
      <c r="CD7" s="463"/>
    </row>
    <row r="8" spans="1:82" s="465" customFormat="1" ht="33.75" customHeight="1" x14ac:dyDescent="0.25">
      <c r="A8" s="473" t="str">
        <f t="shared" si="1"/>
        <v/>
      </c>
      <c r="B8" s="474"/>
      <c r="C8" s="479" t="str">
        <f t="shared" si="0"/>
        <v/>
      </c>
      <c r="D8" s="190" t="str">
        <f t="shared" si="2"/>
        <v/>
      </c>
      <c r="E8" s="190">
        <f>IFERROR(INDEX(Instructions!$U$111:$U$222,MATCH(Draft!A8,Instructions!$U$111:$U$222,0)),0)</f>
        <v>0</v>
      </c>
      <c r="F8" s="197"/>
      <c r="G8">
        <v>3</v>
      </c>
      <c r="H8" s="549" t="str">
        <f>INDEX('Draft Slayer Classic'!$I:$I,MATCH(SMALL('Draft Slayer Classic'!$Q:$Q,$G8),'Draft Slayer Classic'!$Q:$Q,0))</f>
        <v>Lamar Jackson</v>
      </c>
      <c r="I8" s="550" t="str">
        <f>INDEX(FFARawStatProjections!$B:$B,MATCH(H8,FFARawStatProjections!$A:$A,0))</f>
        <v>BAL</v>
      </c>
      <c r="J8" s="551" t="str">
        <f>INDEX(FFARawStatProjections!$D:$D,MATCH(H8,FFARawStatProjections!$A:$A,0))&amp;IF(K8&gt;0," ("&amp;K8&amp;")","")</f>
        <v>13</v>
      </c>
      <c r="K8">
        <f>IFERROR(INDEX($BQ$8:$BQ$21,MATCH(INDEX(FFARawStatProjections!$D:$D,MATCH(H8,FFARawStatProjections!$A:$A,0)),$BP$8:$BP$21,0)),0)</f>
        <v>0</v>
      </c>
      <c r="L8" s="552">
        <f>INDEX(QBproj!M:M,MATCH(Draft!H8,QBproj!D:D,0))</f>
        <v>0</v>
      </c>
      <c r="M8">
        <f>INDEX(ADP!$G:$G,MATCH(H8,ADP!$D:$D,0))</f>
        <v>35.600273000000001</v>
      </c>
      <c r="N8">
        <f>IF(AND(M8&gt;=$R$5,M8&lt;$R$4),1,
IF(AND(M8&gt;=$R$4,M8&lt;$R$3),2,
IF(M8&gt;=$R$3,3,
IF(AND(COUNTIF(N$6:N7,1)=0,COUNTIF(M$6:M7,"&lt;="&amp;$R$5)=(COUNTIF(M$6:M$20,"&lt;="&amp;$R$5)-1)),1,0))))</f>
        <v>2</v>
      </c>
      <c r="O8" s="552">
        <f>(IFERROR(P8-INDEX(P:P,MATCH(1,N:N,0)),0)+
IFERROR(P8-INDEX(P:P,MATCH(2,N:N,0)),0)*0.5+
IFERROR(P8-INDEX(P:P,MATCH(3,N:N,0)),0)*0.25
)/16*IF(ISBLANK(Beersheet!$A$1),1,16)</f>
        <v>-1.5486546874999982</v>
      </c>
      <c r="P8">
        <f>IF(Beersheet!$A$2="QB",
INDEX(Beersheet!$A:$U,MATCH(Draft!H8,Beersheet!$C:$C,0),FFARawStatProjections!$BQ$1),
INDEX('Draft Slayer Classic'!$K:$K,MATCH(H8,'Draft Slayer Classic'!$I:$I,0)))</f>
        <v>357.19204000000002</v>
      </c>
      <c r="Q8" s="553">
        <f>INDEX('Draft Slayer Classic'!$L:$L,MATCH(H8,'Draft Slayer Classic'!$I:$I,0))</f>
        <v>3</v>
      </c>
      <c r="R8">
        <f>IFERROR(IF(INDEX(Instructions!$V$64:$V$83,MATCH(Draft!H8,Instructions!$S$64:$S$83,0))&lt;='Draft Slayer Classic'!$E$25,1,0),0)</f>
        <v>0</v>
      </c>
      <c r="S8" s="197"/>
      <c r="T8" s="549" t="str">
        <f>INDEX('Draft Slayer Classic'!$T:$T,MATCH(SMALL('Draft Slayer Classic'!$AB:$AB,$G8),'Draft Slayer Classic'!$AB:$AB,0))</f>
        <v>Bijan Robinson</v>
      </c>
      <c r="U8" s="550" t="str">
        <f>INDEX(FFARawStatProjections!$B:$B,MATCH(T8,FFARawStatProjections!$A:$A,0))</f>
        <v>ATL</v>
      </c>
      <c r="V8" s="551" t="str">
        <f>INDEX(FFARawStatProjections!$D:$D,MATCH(T8,FFARawStatProjections!$A:$A,0))&amp;IF(W8&gt;0," ("&amp;W8&amp;")","")</f>
        <v>11</v>
      </c>
      <c r="W8">
        <f>IFERROR(INDEX($BQ$8:$BQ$21,MATCH(INDEX(FFARawStatProjections!$D:$D,MATCH(T8,FFARawStatProjections!$A:$A,0)),$BP$8:$BP$21,0)),0)</f>
        <v>0</v>
      </c>
      <c r="X8" s="552">
        <f>INDEX(RBproj!M:M,MATCH(Draft!T8,RBproj!D:D,0))</f>
        <v>0</v>
      </c>
      <c r="Y8">
        <f>INDEX(ADP!$G:$G,MATCH(T8,ADP!$D:$D,0))</f>
        <v>7.1006799999999997</v>
      </c>
      <c r="Z8">
        <f>IF(AND(Y8&gt;=$R$5,Y8&lt;$R$4),1,
IF(AND(Y8&gt;=$R$4,Y8&lt;$R$3),2,
IF(Y8&gt;=$R$3,3,
IF(AND(COUNTIF(Z$6:Z7,1)=0,COUNTIF(Y$6:Y7,"&lt;="&amp;$R$5)=(COUNTIF(Y$6:Y$20,"&lt;="&amp;$R$5)-1)),1,0))))</f>
        <v>1</v>
      </c>
      <c r="AA8" s="552">
        <f>(IFERROR(AB8-INDEX(AB:AB,MATCH(1,Z:Z,0)),0)+
IFERROR(AB8-INDEX(AB:AB,MATCH(2,Z:Z,0)),0)*0.5+
IFERROR(AB8-INDEX(AB:AB,MATCH(3,Z:Z,0)),0)*0.25
)/16*IF(ISBLANK(Beersheet!$A$1),1,16)</f>
        <v>-1.9184370312500039</v>
      </c>
      <c r="AB8">
        <f>IF(Beersheet!$A$2="QB",
INDEX(Beersheet!$A:$U,MATCH(Draft!T8,Beersheet!$C:$C,0),FFARawStatProjections!$BQ$1),
INDEX('Draft Slayer Classic'!$V:$V,MATCH(T8,'Draft Slayer Classic'!$T:$T,0)))</f>
        <v>257.28120999999999</v>
      </c>
      <c r="AC8" s="553">
        <f>INDEX('Draft Slayer Classic'!$W:$W,MATCH(T8,'Draft Slayer Classic'!$T:$T,0))</f>
        <v>2</v>
      </c>
      <c r="AD8">
        <f>IFERROR(IF(INDEX(Instructions!$X$64:$X$83,MATCH(Draft!T8,Instructions!$T$64:$T$83,0))&lt;='Draft Slayer Classic'!$E$25,1,0),0)</f>
        <v>0</v>
      </c>
      <c r="AE8" s="197"/>
      <c r="AF8" s="549" t="str">
        <f>INDEX('Draft Slayer Classic'!$AE:$AE,MATCH(SMALL('Draft Slayer Classic'!$AM:$AM,$G8),'Draft Slayer Classic'!$AM:$AM,0))</f>
        <v>Amon-Ra St Brown</v>
      </c>
      <c r="AG8" s="550" t="str">
        <f>INDEX(FFARawStatProjections!$B:$B,MATCH(AF8,FFARawStatProjections!$A:$A,0))</f>
        <v>DET</v>
      </c>
      <c r="AH8" s="551" t="str">
        <f>INDEX(FFARawStatProjections!$D:$D,MATCH(AF8,FFARawStatProjections!$A:$A,0))&amp;IF(AI8&gt;0," ("&amp;AI8&amp;")","")</f>
        <v>9</v>
      </c>
      <c r="AI8">
        <f>IFERROR(INDEX($BQ$8:$BQ$21,MATCH(INDEX(FFARawStatProjections!$D:$D,MATCH(AF8,FFARawStatProjections!$A:$A,0)),$BP$8:$BP$21,0)),0)</f>
        <v>0</v>
      </c>
      <c r="AJ8" s="552">
        <f>INDEX(WRproj!M:M,MATCH(Draft!AF8,WRproj!D:D,0))</f>
        <v>0</v>
      </c>
      <c r="AK8">
        <f>INDEX(ADP!$G:$G,MATCH(AF8,ADP!$D:$D,0))</f>
        <v>16.500706999999998</v>
      </c>
      <c r="AL8">
        <f>IF(AND(AK8&gt;=$R$5,AK8&lt;$R$4),1,
IF(AND(AK8&gt;=$R$4,AK8&lt;$R$3),2,
IF(AK8&gt;=$R$3,3,
IF(AND(COUNTIF(AL$6:AL7,1)=0,COUNTIF(AK$6:AK7,"&lt;="&amp;$R$5)=(COUNTIF(AK$6:AK$20,"&lt;="&amp;$R$5)-1)),1,0))))</f>
        <v>1</v>
      </c>
      <c r="AM8" s="552">
        <f>(IFERROR(AN8-INDEX(AN:AN,MATCH(1,AL:AL,0)),0)+
IFERROR(AN8-INDEX(AN:AN,MATCH(2,AL:AL,0)),0)*0.5+
IFERROR(AN8-INDEX(AN:AN,MATCH(3,AL:AL,0)),0)*0.25
)/16*IF(ISBLANK(Beersheet!$A$1),1,16)</f>
        <v>-1.0081240625000061</v>
      </c>
      <c r="AN8">
        <f>IF(Beersheet!$A$2="QB",
INDEX(Beersheet!$A:$U,MATCH(Draft!AF8,Beersheet!$C:$C,0),FFARawStatProjections!$BQ$1),
INDEX('Draft Slayer Classic'!$AG:$AG,MATCH(AF8,'Draft Slayer Classic'!$AE:$AE,0)))</f>
        <v>259.51322999999996</v>
      </c>
      <c r="AO8" s="553">
        <f>INDEX('Draft Slayer Classic'!$AH:$AH,MATCH(AF8,'Draft Slayer Classic'!$AE:$AE,0))</f>
        <v>4</v>
      </c>
      <c r="AP8">
        <f>IFERROR(IF(INDEX(Instructions!$V$86:$V$105,MATCH(Draft!AF8,Instructions!$S$86:$S$105,0))&lt;='Draft Slayer Classic'!$E$25,1,0),0)</f>
        <v>0</v>
      </c>
      <c r="AQ8" s="197"/>
      <c r="AR8" s="549" t="str">
        <f>INDEX('Draft Slayer Classic'!$AP:$AP,MATCH(SMALL('Draft Slayer Classic'!$AX:$AX,$G8),'Draft Slayer Classic'!$AX:$AX,0))</f>
        <v>George Kittle</v>
      </c>
      <c r="AS8" s="550" t="str">
        <f>INDEX(FFARawStatProjections!$B:$B,MATCH(AR8,FFARawStatProjections!$A:$A,0))</f>
        <v>SF</v>
      </c>
      <c r="AT8" s="551" t="str">
        <f>INDEX(FFARawStatProjections!$D:$D,MATCH(AR8,FFARawStatProjections!$A:$A,0))&amp;IF(AU8&gt;0," ("&amp;AU8&amp;")","")</f>
        <v>9</v>
      </c>
      <c r="AU8">
        <f>IFERROR(INDEX($BQ$8:$BQ$21,MATCH(INDEX(FFARawStatProjections!$D:$D,MATCH(AR8,FFARawStatProjections!$A:$A,0)),$BP$8:$BP$21,0)),0)</f>
        <v>0</v>
      </c>
      <c r="AV8" s="552">
        <f>INDEX(TEproj!M:M,MATCH(Draft!AR8,TEproj!D:D,0))</f>
        <v>0</v>
      </c>
      <c r="AW8">
        <f>INDEX(ADP!$G:$G,MATCH(AR8,ADP!$D:$D,0))</f>
        <v>58.700469000000005</v>
      </c>
      <c r="AX8">
        <f>IF(AND(AW8&gt;=$R$5,AW8&lt;$R$4),1,
IF(AND(AW8&gt;=$R$4,AW8&lt;$R$3),2,
IF(AW8&gt;=$R$3,3,
IF(AND(COUNTIF(AX$6:AX7,1)=0,COUNTIF(AW$6:AW7,"&lt;="&amp;$R$5)=(COUNTIF(AW$6:AW$20,"&lt;="&amp;$R$5)-1)),1,0))))</f>
        <v>3</v>
      </c>
      <c r="AY8" s="552">
        <f>(IFERROR(AZ8-INDEX(AZ:AZ,MATCH(1,AX:AX,0)),0)+
IFERROR(AZ8-INDEX(AZ:AZ,MATCH(2,AX:AX,0)),0)*0.5+
IFERROR(AZ8-INDEX(AZ:AZ,MATCH(3,AX:AX,0)),0)*0.25
)/16*IF(ISBLANK(Beersheet!$A$1),1,16)</f>
        <v>-7.4429659374999968</v>
      </c>
      <c r="AZ8">
        <f>IF(Beersheet!$A$2="QB",
INDEX(Beersheet!$A:$U,MATCH(Draft!AR8,Beersheet!$C:$C,0),FFARawStatProjections!$BQ$1),
INDEX('Draft Slayer Classic'!$AR:$AR,MATCH(AR8,'Draft Slayer Classic'!$AP:$AP,0)))</f>
        <v>175.26613000000003</v>
      </c>
      <c r="BA8" s="553">
        <f>INDEX('Draft Slayer Classic'!$AS:$AS,MATCH(AR8,'Draft Slayer Classic'!$AP:$AP,0))</f>
        <v>4</v>
      </c>
      <c r="BB8">
        <f>IFERROR(IF(INDEX(Instructions!$X$86:$X$105,MATCH(Draft!AR8,Instructions!$T$86:$T$105,0))&lt;='Draft Slayer Classic'!$E$25,1,0),0)</f>
        <v>0</v>
      </c>
      <c r="BC8" s="197"/>
      <c r="BD8" s="549" t="str">
        <f>INDEX('Draft Slayer Classic'!$BA:$BA,MATCH(SMALL('Draft Slayer Classic'!$BD:$BD,$G8),'Draft Slayer Classic'!$BD:$BD,0))</f>
        <v>NE</v>
      </c>
      <c r="BE8" s="553" t="str">
        <f>INDEX(FFARawStatProjections!$D:$D,MATCH(BD8,FFARawStatProjections!$B:$B,0))&amp;IF(BF8&gt;0," ("&amp;BF8&amp;")","")</f>
        <v>11</v>
      </c>
      <c r="BF8">
        <f>IFERROR(INDEX($BQ$8:$BQ$21,MATCH(INDEX(FFARawStatProjections!$D:$D,MATCH(BC8,FFARawStatProjections!$A:$A,0)),$BP$8:$BP$21,0)),0)</f>
        <v>0</v>
      </c>
      <c r="BG8" s="464">
        <f>INDEX(FFARawStatProjections!$E:$E,MATCH(BD8,FFARawStatProjections!$B:$B,0))*0.1</f>
        <v>0</v>
      </c>
      <c r="BH8"/>
      <c r="BI8" s="197"/>
      <c r="BJ8" s="549" t="str">
        <f>INDEX('Draft Slayer Classic'!$BF:$BF,MATCH(SMALL('Draft Slayer Classic'!$BJ:$BJ,$G8),'Draft Slayer Classic'!$BJ:$BJ,0))</f>
        <v>Jason Myers</v>
      </c>
      <c r="BK8" s="550" t="str">
        <f>INDEX(FFARawStatProjections!$B:$B,MATCH(BJ8,FFARawStatProjections!$A:$A,0))</f>
        <v>SEA</v>
      </c>
      <c r="BL8" s="553" t="str">
        <f>INDEX(FFARawStatProjections!$D:$D,MATCH(BJ8,FFARawStatProjections!$A:$A,0))&amp;IF(BM8&gt;0," ("&amp;BM8&amp;")","")</f>
        <v>5</v>
      </c>
      <c r="BM8">
        <f>IFERROR(INDEX($BQ$8:$BQ$21,MATCH(INDEX(FFARawStatProjections!$D:$D,MATCH(BJ8,FFARawStatProjections!$A:$A,0)),$BP$8:$BP$21,0)),0)</f>
        <v>0</v>
      </c>
      <c r="BN8" s="466">
        <f>INDEX(FFARawStatProjections!$E:$E,MATCH(Draft!BJ8,FFARawStatProjections!$A:$A,0))*0.1</f>
        <v>0</v>
      </c>
      <c r="BO8" s="197"/>
      <c r="BP8" s="465">
        <v>1</v>
      </c>
      <c r="BQ8" s="465">
        <f>IFERROR(COUNTIF('Draft Slayer Classic'!$E$29:$E$53,Draft!BP8),0)</f>
        <v>0</v>
      </c>
      <c r="BS8" s="89">
        <f>MAX(BW:BW)</f>
        <v>0</v>
      </c>
      <c r="BT8" t="str">
        <f>IF(FFARawStatProjections!A3=0,"",FFARawStatProjections!A3)</f>
        <v>Josh Allen</v>
      </c>
      <c r="BU8" t="str">
        <f>IF(FFARawStatProjections!C3=0,"",FFARawStatProjections!C3)</f>
        <v>QB</v>
      </c>
      <c r="BV8" t="str">
        <f>IF(FFARawStatProjections!B3=0,"",FFARawStatProjections!B3)</f>
        <v>BUF</v>
      </c>
      <c r="BW8" s="89"/>
      <c r="BX8">
        <v>2</v>
      </c>
      <c r="BY8" s="89" t="str">
        <f t="shared" ref="BY8:BY71" si="3">IFERROR(INDEX(BT:BT,MATCH(BX8,BW:BW,0),1),"")</f>
        <v/>
      </c>
      <c r="BZ8" s="89" t="str">
        <f t="shared" ref="BZ8:BZ71" si="4">IFERROR(INDEX(BU:BU,MATCH(BX8,BW:BW,0)),"")</f>
        <v/>
      </c>
      <c r="CA8" s="89" t="str">
        <f t="shared" ref="CA8:CA71" si="5">IFERROR(INDEX(BV:BV,MATCH(BX8,BW:BW,0)),"")</f>
        <v/>
      </c>
    </row>
    <row r="9" spans="1:82" s="465" customFormat="1" ht="33.75" customHeight="1" x14ac:dyDescent="0.25">
      <c r="A9" s="469" t="str">
        <f t="shared" si="1"/>
        <v/>
      </c>
      <c r="B9" s="472"/>
      <c r="C9" s="478" t="str">
        <f t="shared" si="0"/>
        <v/>
      </c>
      <c r="D9" s="190" t="str">
        <f t="shared" si="2"/>
        <v/>
      </c>
      <c r="E9" s="190">
        <f>IFERROR(INDEX(Instructions!$U$111:$U$222,MATCH(Draft!A9,Instructions!$U$111:$U$222,0)),0)</f>
        <v>0</v>
      </c>
      <c r="F9" s="197"/>
      <c r="G9">
        <v>4</v>
      </c>
      <c r="H9" s="554" t="str">
        <f>INDEX('Draft Slayer Classic'!$I:$I,MATCH(SMALL('Draft Slayer Classic'!$Q:$Q,$G9),'Draft Slayer Classic'!$Q:$Q,0))</f>
        <v>Joe Burrow</v>
      </c>
      <c r="I9" s="555" t="str">
        <f>INDEX(FFARawStatProjections!$B:$B,MATCH(H9,FFARawStatProjections!$A:$A,0))</f>
        <v>CIN</v>
      </c>
      <c r="J9" s="556" t="str">
        <f>INDEX(FFARawStatProjections!$D:$D,MATCH(H9,FFARawStatProjections!$A:$A,0))&amp;IF(K9&gt;0," ("&amp;K9&amp;")","")</f>
        <v>7</v>
      </c>
      <c r="K9">
        <f>IFERROR(INDEX($BQ$8:$BQ$21,MATCH(INDEX(FFARawStatProjections!$D:$D,MATCH(H9,FFARawStatProjections!$A:$A,0)),$BP$8:$BP$21,0)),0)</f>
        <v>0</v>
      </c>
      <c r="L9" s="466">
        <f>INDEX(QBproj!M:M,MATCH(Draft!H9,QBproj!D:D,0))</f>
        <v>0</v>
      </c>
      <c r="M9">
        <f>INDEX(ADP!$G:$G,MATCH(H9,ADP!$D:$D,0))</f>
        <v>40.600363999999999</v>
      </c>
      <c r="N9">
        <f>IF(AND(M9&gt;=$R$5,M9&lt;$R$4),1,
IF(AND(M9&gt;=$R$4,M9&lt;$R$3),2,
IF(M9&gt;=$R$3,3,
IF(AND(COUNTIF(N$6:N8,1)=0,COUNTIF(M$6:M8,"&lt;="&amp;$R$5)=(COUNTIF(M$6:M$20,"&lt;="&amp;$R$5)-1)),1,0))))</f>
        <v>2</v>
      </c>
      <c r="O9" s="466">
        <f>(IFERROR(P9-INDEX(P:P,MATCH(1,N:N,0)),0)+
IFERROR(P9-INDEX(P:P,MATCH(2,N:N,0)),0)*0.5+
IFERROR(P9-INDEX(P:P,MATCH(3,N:N,0)),0)*0.25
)/16*IF(ISBLANK(Beersheet!$A$1),1,16)</f>
        <v>-2.2668098437500044</v>
      </c>
      <c r="P9">
        <f>IF(Beersheet!$A$2="QB",
INDEX(Beersheet!$A:$U,MATCH(Draft!H9,Beersheet!$C:$C,0),FFARawStatProjections!$BQ$1),
INDEX('Draft Slayer Classic'!$K:$K,MATCH(H9,'Draft Slayer Classic'!$I:$I,0)))</f>
        <v>350.62604999999996</v>
      </c>
      <c r="Q9" s="557">
        <f>INDEX('Draft Slayer Classic'!$L:$L,MATCH(H9,'Draft Slayer Classic'!$I:$I,0))</f>
        <v>4</v>
      </c>
      <c r="R9">
        <f>IFERROR(IF(INDEX(Instructions!$V$64:$V$83,MATCH(Draft!H9,Instructions!$S$64:$S$83,0))&lt;='Draft Slayer Classic'!$E$25,1,0),0)</f>
        <v>0</v>
      </c>
      <c r="S9" s="197"/>
      <c r="T9" s="554" t="str">
        <f>INDEX('Draft Slayer Classic'!$T:$T,MATCH(SMALL('Draft Slayer Classic'!$AB:$AB,$G9),'Draft Slayer Classic'!$AB:$AB,0))</f>
        <v>Nick Chubb</v>
      </c>
      <c r="U9" s="555" t="str">
        <f>INDEX(FFARawStatProjections!$B:$B,MATCH(T9,FFARawStatProjections!$A:$A,0))</f>
        <v>CLE</v>
      </c>
      <c r="V9" s="556" t="str">
        <f>INDEX(FFARawStatProjections!$D:$D,MATCH(T9,FFARawStatProjections!$A:$A,0))&amp;IF(W9&gt;0," ("&amp;W9&amp;")","")</f>
        <v>5</v>
      </c>
      <c r="W9">
        <f>IFERROR(INDEX($BQ$8:$BQ$21,MATCH(INDEX(FFARawStatProjections!$D:$D,MATCH(T9,FFARawStatProjections!$A:$A,0)),$BP$8:$BP$21,0)),0)</f>
        <v>0</v>
      </c>
      <c r="X9" s="464">
        <f>INDEX(RBproj!M:M,MATCH(Draft!T9,RBproj!D:D,0))</f>
        <v>0.19999999999999973</v>
      </c>
      <c r="Y9">
        <f>INDEX(ADP!$G:$G,MATCH(T9,ADP!$D:$D,0))</f>
        <v>5.7002000000000006</v>
      </c>
      <c r="Z9">
        <f>IF(AND(Y9&gt;=$R$5,Y9&lt;$R$4),1,
IF(AND(Y9&gt;=$R$4,Y9&lt;$R$3),2,
IF(Y9&gt;=$R$3,3,
IF(AND(COUNTIF(Z$6:Z8,1)=0,COUNTIF(Y$6:Y8,"&lt;="&amp;$R$5)=(COUNTIF(Y$6:Y$20,"&lt;="&amp;$R$5)-1)),1,0))))</f>
        <v>1</v>
      </c>
      <c r="AA9" s="466">
        <f>(IFERROR(AB9-INDEX(AB:AB,MATCH(1,Z:Z,0)),0)+
IFERROR(AB9-INDEX(AB:AB,MATCH(2,Z:Z,0)),0)*0.5+
IFERROR(AB9-INDEX(AB:AB,MATCH(3,Z:Z,0)),0)*0.25
)/16*IF(ISBLANK(Beersheet!$A$1),1,16)</f>
        <v>-1.9282796875000039</v>
      </c>
      <c r="AB9">
        <f>IF(Beersheet!$A$2="QB",
INDEX(Beersheet!$A:$U,MATCH(Draft!T9,Beersheet!$C:$C,0),FFARawStatProjections!$BQ$1),
INDEX('Draft Slayer Classic'!$V:$V,MATCH(T9,'Draft Slayer Classic'!$T:$T,0)))</f>
        <v>257.19121999999999</v>
      </c>
      <c r="AC9" s="557">
        <f>INDEX('Draft Slayer Classic'!$W:$W,MATCH(T9,'Draft Slayer Classic'!$T:$T,0))</f>
        <v>2</v>
      </c>
      <c r="AD9">
        <f>IFERROR(IF(INDEX(Instructions!$X$64:$X$83,MATCH(Draft!T9,Instructions!$T$64:$T$83,0))&lt;='Draft Slayer Classic'!$E$25,1,0),0)</f>
        <v>0</v>
      </c>
      <c r="AE9" s="197"/>
      <c r="AF9" s="554" t="str">
        <f>INDEX('Draft Slayer Classic'!$AE:$AE,MATCH(SMALL('Draft Slayer Classic'!$AM:$AM,$G9),'Draft Slayer Classic'!$AM:$AM,0))</f>
        <v>AJ Brown</v>
      </c>
      <c r="AG9" s="555" t="str">
        <f>INDEX(FFARawStatProjections!$B:$B,MATCH(AF9,FFARawStatProjections!$A:$A,0))</f>
        <v>PHI</v>
      </c>
      <c r="AH9" s="556" t="str">
        <f>INDEX(FFARawStatProjections!$D:$D,MATCH(AF9,FFARawStatProjections!$A:$A,0))&amp;IF(AI9&gt;0," ("&amp;AI9&amp;")","")</f>
        <v>10</v>
      </c>
      <c r="AI9">
        <f>IFERROR(INDEX($BQ$8:$BQ$21,MATCH(INDEX(FFARawStatProjections!$D:$D,MATCH(AF9,FFARawStatProjections!$A:$A,0)),$BP$8:$BP$21,0)),0)</f>
        <v>0</v>
      </c>
      <c r="AJ9" s="464">
        <f>INDEX(WRproj!M:M,MATCH(Draft!AF9,WRproj!D:D,0))</f>
        <v>0</v>
      </c>
      <c r="AK9">
        <f>INDEX(ADP!$G:$G,MATCH(AF9,ADP!$D:$D,0))</f>
        <v>13.200719999999999</v>
      </c>
      <c r="AL9">
        <f>IF(AND(AK9&gt;=$R$5,AK9&lt;$R$4),1,
IF(AND(AK9&gt;=$R$4,AK9&lt;$R$3),2,
IF(AK9&gt;=$R$3,3,
IF(AND(COUNTIF(AL$6:AL8,1)=0,COUNTIF(AK$6:AK8,"&lt;="&amp;$R$5)=(COUNTIF(AK$6:AK$20,"&lt;="&amp;$R$5)-1)),1,0))))</f>
        <v>1</v>
      </c>
      <c r="AM9" s="466">
        <f>(IFERROR(AN9-INDEX(AN:AN,MATCH(1,AL:AL,0)),0)+
IFERROR(AN9-INDEX(AN:AN,MATCH(2,AL:AL,0)),0)*0.5+
IFERROR(AN9-INDEX(AN:AN,MATCH(3,AL:AL,0)),0)*0.25
)/16*IF(ISBLANK(Beersheet!$A$1),1,16)</f>
        <v>-2.3239064062500034</v>
      </c>
      <c r="AN9">
        <f>IF(Beersheet!$A$2="QB",
INDEX(Beersheet!$A:$U,MATCH(Draft!AF9,Beersheet!$C:$C,0),FFARawStatProjections!$BQ$1),
INDEX('Draft Slayer Classic'!$AG:$AG,MATCH(AF9,'Draft Slayer Classic'!$AE:$AE,0)))</f>
        <v>247.48321999999999</v>
      </c>
      <c r="AO9" s="557">
        <f>INDEX('Draft Slayer Classic'!$AH:$AH,MATCH(AF9,'Draft Slayer Classic'!$AE:$AE,0))</f>
        <v>4</v>
      </c>
      <c r="AP9">
        <f>IFERROR(IF(INDEX(Instructions!$V$86:$V$105,MATCH(Draft!AF9,Instructions!$S$86:$S$105,0))&lt;='Draft Slayer Classic'!$E$25,1,0),0)</f>
        <v>0</v>
      </c>
      <c r="AQ9" s="197"/>
      <c r="AR9" s="554" t="str">
        <f>INDEX('Draft Slayer Classic'!$AP:$AP,MATCH(SMALL('Draft Slayer Classic'!$AX:$AX,$G9),'Draft Slayer Classic'!$AX:$AX,0))</f>
        <v>Darren Waller</v>
      </c>
      <c r="AS9" s="555" t="str">
        <f>INDEX(FFARawStatProjections!$B:$B,MATCH(AR9,FFARawStatProjections!$A:$A,0))</f>
        <v>NYG</v>
      </c>
      <c r="AT9" s="556" t="str">
        <f>INDEX(FFARawStatProjections!$D:$D,MATCH(AR9,FFARawStatProjections!$A:$A,0))&amp;IF(AU9&gt;0," ("&amp;AU9&amp;")","")</f>
        <v>13</v>
      </c>
      <c r="AU9">
        <f>IFERROR(INDEX($BQ$8:$BQ$21,MATCH(INDEX(FFARawStatProjections!$D:$D,MATCH(AR9,FFARawStatProjections!$A:$A,0)),$BP$8:$BP$21,0)),0)</f>
        <v>0</v>
      </c>
      <c r="AV9" s="464">
        <f>INDEX(TEproj!M:M,MATCH(Draft!AR9,TEproj!D:D,0))</f>
        <v>1.6999999999999993</v>
      </c>
      <c r="AW9">
        <f>INDEX(ADP!$G:$G,MATCH(AR9,ADP!$D:$D,0))</f>
        <v>72.000559999999993</v>
      </c>
      <c r="AX9">
        <f>IF(AND(AW9&gt;=$R$5,AW9&lt;$R$4),1,
IF(AND(AW9&gt;=$R$4,AW9&lt;$R$3),2,
IF(AW9&gt;=$R$3,3,
IF(AND(COUNTIF(AX$6:AX8,1)=0,COUNTIF(AW$6:AW8,"&lt;="&amp;$R$5)=(COUNTIF(AW$6:AW$20,"&lt;="&amp;$R$5)-1)),1,0))))</f>
        <v>3</v>
      </c>
      <c r="AY9" s="466">
        <f>(IFERROR(AZ9-INDEX(AZ:AZ,MATCH(1,AX:AX,0)),0)+
IFERROR(AZ9-INDEX(AZ:AZ,MATCH(2,AX:AX,0)),0)*0.5+
IFERROR(AZ9-INDEX(AZ:AZ,MATCH(3,AX:AX,0)),0)*0.25
)/16*IF(ISBLANK(Beersheet!$A$1),1,16)</f>
        <v>-7.5640604687499957</v>
      </c>
      <c r="AZ9">
        <f>IF(Beersheet!$A$2="QB",
INDEX(Beersheet!$A:$U,MATCH(Draft!AR9,Beersheet!$C:$C,0),FFARawStatProjections!$BQ$1),
INDEX('Draft Slayer Classic'!$AR:$AR,MATCH(AR9,'Draft Slayer Classic'!$AP:$AP,0)))</f>
        <v>173.71612000000005</v>
      </c>
      <c r="BA9" s="557">
        <f>INDEX('Draft Slayer Classic'!$AS:$AS,MATCH(AR9,'Draft Slayer Classic'!$AP:$AP,0))</f>
        <v>4</v>
      </c>
      <c r="BB9">
        <f>IFERROR(IF(INDEX(Instructions!$X$86:$X$105,MATCH(Draft!AR9,Instructions!$T$86:$T$105,0))&lt;='Draft Slayer Classic'!$E$25,1,0),0)</f>
        <v>0</v>
      </c>
      <c r="BC9" s="197"/>
      <c r="BD9" s="554" t="str">
        <f>INDEX('Draft Slayer Classic'!$BA:$BA,MATCH(SMALL('Draft Slayer Classic'!$BD:$BD,$G9),'Draft Slayer Classic'!$BD:$BD,0))</f>
        <v>PIT</v>
      </c>
      <c r="BE9" s="557" t="str">
        <f>INDEX(FFARawStatProjections!$D:$D,MATCH(BD9,FFARawStatProjections!$B:$B,0))&amp;IF(BF9&gt;0," ("&amp;BF9&amp;")","")</f>
        <v>6</v>
      </c>
      <c r="BF9">
        <f>IFERROR(INDEX($BQ$8:$BQ$21,MATCH(INDEX(FFARawStatProjections!$D:$D,MATCH(BC9,FFARawStatProjections!$A:$A,0)),$BP$8:$BP$21,0)),0)</f>
        <v>0</v>
      </c>
      <c r="BG9" s="464">
        <f>INDEX(FFARawStatProjections!$E:$E,MATCH(BD9,FFARawStatProjections!$B:$B,0))*0.1</f>
        <v>0</v>
      </c>
      <c r="BH9"/>
      <c r="BI9" s="197"/>
      <c r="BJ9" s="554" t="str">
        <f>INDEX('Draft Slayer Classic'!$BF:$BF,MATCH(SMALL('Draft Slayer Classic'!$BJ:$BJ,$G9),'Draft Slayer Classic'!$BJ:$BJ,0))</f>
        <v>Justin Tucker</v>
      </c>
      <c r="BK9" s="555" t="str">
        <f>INDEX(FFARawStatProjections!$B:$B,MATCH(BJ9,FFARawStatProjections!$A:$A,0))</f>
        <v>BAL</v>
      </c>
      <c r="BL9" s="557" t="str">
        <f>INDEX(FFARawStatProjections!$D:$D,MATCH(BJ9,FFARawStatProjections!$A:$A,0))&amp;IF(BM9&gt;0," ("&amp;BM9&amp;")","")</f>
        <v>13</v>
      </c>
      <c r="BM9">
        <f>IFERROR(INDEX($BQ$8:$BQ$21,MATCH(INDEX(FFARawStatProjections!$D:$D,MATCH(BJ9,FFARawStatProjections!$A:$A,0)),$BP$8:$BP$21,0)),0)</f>
        <v>0</v>
      </c>
      <c r="BN9" s="466">
        <f>INDEX(FFARawStatProjections!$E:$E,MATCH(Draft!BJ9,FFARawStatProjections!$A:$A,0))*0.1</f>
        <v>0</v>
      </c>
      <c r="BO9" s="197"/>
      <c r="BP9" s="465">
        <v>2</v>
      </c>
      <c r="BQ9" s="465">
        <f>IFERROR(COUNTIF('Draft Slayer Classic'!$E$29:$E$53,Draft!BP9),0)</f>
        <v>0</v>
      </c>
      <c r="BS9"/>
      <c r="BT9" t="str">
        <f>IF(FFARawStatProjections!A4=0,"",FFARawStatProjections!A4)</f>
        <v>Jalen Hurts</v>
      </c>
      <c r="BU9" t="str">
        <f>IF(FFARawStatProjections!C4=0,"",FFARawStatProjections!C4)</f>
        <v>QB</v>
      </c>
      <c r="BV9" t="str">
        <f>IF(FFARawStatProjections!B4=0,"",FFARawStatProjections!B4)</f>
        <v>PHI</v>
      </c>
      <c r="BW9" s="89"/>
      <c r="BX9">
        <v>3</v>
      </c>
      <c r="BY9" s="89" t="str">
        <f t="shared" si="3"/>
        <v/>
      </c>
      <c r="BZ9" s="89" t="str">
        <f t="shared" si="4"/>
        <v/>
      </c>
      <c r="CA9" s="89" t="str">
        <f t="shared" si="5"/>
        <v/>
      </c>
    </row>
    <row r="10" spans="1:82" s="465" customFormat="1" ht="33.75" customHeight="1" x14ac:dyDescent="0.25">
      <c r="A10" s="473" t="str">
        <f t="shared" si="1"/>
        <v/>
      </c>
      <c r="B10" s="474"/>
      <c r="C10" s="479" t="str">
        <f t="shared" si="0"/>
        <v/>
      </c>
      <c r="D10" s="190" t="str">
        <f t="shared" si="2"/>
        <v/>
      </c>
      <c r="E10" s="190">
        <f>IFERROR(INDEX(Instructions!$U$111:$U$222,MATCH(Draft!A10,Instructions!$U$111:$U$222,0)),0)</f>
        <v>0</v>
      </c>
      <c r="F10" s="197"/>
      <c r="G10">
        <v>5</v>
      </c>
      <c r="H10" s="549" t="str">
        <f>INDEX('Draft Slayer Classic'!$I:$I,MATCH(SMALL('Draft Slayer Classic'!$Q:$Q,$G10),'Draft Slayer Classic'!$Q:$Q,0))</f>
        <v>Justin Fields</v>
      </c>
      <c r="I10" s="550" t="str">
        <f>INDEX(FFARawStatProjections!$B:$B,MATCH(H10,FFARawStatProjections!$A:$A,0))</f>
        <v>CHI</v>
      </c>
      <c r="J10" s="551" t="str">
        <f>INDEX(FFARawStatProjections!$D:$D,MATCH(H10,FFARawStatProjections!$A:$A,0))&amp;IF(K10&gt;0," ("&amp;K10&amp;")","")</f>
        <v>13</v>
      </c>
      <c r="K10">
        <f>IFERROR(INDEX($BQ$8:$BQ$21,MATCH(INDEX(FFARawStatProjections!$D:$D,MATCH(H10,FFARawStatProjections!$A:$A,0)),$BP$8:$BP$21,0)),0)</f>
        <v>0</v>
      </c>
      <c r="L10" s="552">
        <f>INDEX(QBproj!M:M,MATCH(Draft!H10,QBproj!D:D,0))</f>
        <v>0.69999999999999929</v>
      </c>
      <c r="M10">
        <f>INDEX(ADP!$G:$G,MATCH(H10,ADP!$D:$D,0))</f>
        <v>47.200331000000006</v>
      </c>
      <c r="N10">
        <f>IF(AND(M10&gt;=$R$5,M10&lt;$R$4),1,
IF(AND(M10&gt;=$R$4,M10&lt;$R$3),2,
IF(M10&gt;=$R$3,3,
IF(AND(COUNTIF(N$6:N9,1)=0,COUNTIF(M$6:M9,"&lt;="&amp;$R$5)=(COUNTIF(M$6:M$20,"&lt;="&amp;$R$5)-1)),1,0))))</f>
        <v>3</v>
      </c>
      <c r="O10" s="552">
        <f>(IFERROR(P10-INDEX(P:P,MATCH(1,N:N,0)),0)+
IFERROR(P10-INDEX(P:P,MATCH(2,N:N,0)),0)*0.5+
IFERROR(P10-INDEX(P:P,MATCH(3,N:N,0)),0)*0.25
)/16*IF(ISBLANK(Beersheet!$A$1),1,16)</f>
        <v>-4.0483087500000021</v>
      </c>
      <c r="P10">
        <f>IF(Beersheet!$A$2="QB",
INDEX(Beersheet!$A:$U,MATCH(Draft!H10,Beersheet!$C:$C,0),FFARawStatProjections!$BQ$1),
INDEX('Draft Slayer Classic'!$K:$K,MATCH(H10,'Draft Slayer Classic'!$I:$I,0)))</f>
        <v>334.33805999999998</v>
      </c>
      <c r="Q10" s="553">
        <f>INDEX('Draft Slayer Classic'!$L:$L,MATCH(H10,'Draft Slayer Classic'!$I:$I,0))</f>
        <v>5</v>
      </c>
      <c r="R10">
        <f>IFERROR(IF(INDEX(Instructions!$V$64:$V$83,MATCH(Draft!H10,Instructions!$S$64:$S$83,0))&lt;='Draft Slayer Classic'!$E$25,1,0),0)</f>
        <v>0</v>
      </c>
      <c r="S10" s="197"/>
      <c r="T10" s="549" t="str">
        <f>INDEX('Draft Slayer Classic'!$T:$T,MATCH(SMALL('Draft Slayer Classic'!$AB:$AB,$G10),'Draft Slayer Classic'!$AB:$AB,0))</f>
        <v>Josh Jacobs</v>
      </c>
      <c r="U10" s="550" t="str">
        <f>INDEX(FFARawStatProjections!$B:$B,MATCH(T10,FFARawStatProjections!$A:$A,0))</f>
        <v>LV</v>
      </c>
      <c r="V10" s="551" t="str">
        <f>INDEX(FFARawStatProjections!$D:$D,MATCH(T10,FFARawStatProjections!$A:$A,0))&amp;IF(W10&gt;0," ("&amp;W10&amp;")","")</f>
        <v>13</v>
      </c>
      <c r="W10">
        <f>IFERROR(INDEX($BQ$8:$BQ$21,MATCH(INDEX(FFARawStatProjections!$D:$D,MATCH(T10,FFARawStatProjections!$A:$A,0)),$BP$8:$BP$21,0)),0)</f>
        <v>0</v>
      </c>
      <c r="X10" s="552">
        <f>INDEX(RBproj!M:M,MATCH(Draft!T10,RBproj!D:D,0))</f>
        <v>0.70000000000000018</v>
      </c>
      <c r="Y10">
        <f>INDEX(ADP!$G:$G,MATCH(T10,ADP!$D:$D,0))</f>
        <v>19.500343000000001</v>
      </c>
      <c r="Z10">
        <f>IF(AND(Y10&gt;=$R$5,Y10&lt;$R$4),1,
IF(AND(Y10&gt;=$R$4,Y10&lt;$R$3),2,
IF(Y10&gt;=$R$3,3,
IF(AND(COUNTIF(Z$6:Z9,1)=0,COUNTIF(Y$6:Y9,"&lt;="&amp;$R$5)=(COUNTIF(Y$6:Y$20,"&lt;="&amp;$R$5)-1)),1,0))))</f>
        <v>1</v>
      </c>
      <c r="AA10" s="552">
        <f>(IFERROR(AB10-INDEX(AB:AB,MATCH(1,Z:Z,0)),0)+
IFERROR(AB10-INDEX(AB:AB,MATCH(2,Z:Z,0)),0)*0.5+
IFERROR(AB10-INDEX(AB:AB,MATCH(3,Z:Z,0)),0)*0.25
)/16*IF(ISBLANK(Beersheet!$A$1),1,16)</f>
        <v>-2.106563125000001</v>
      </c>
      <c r="AB10">
        <f>IF(Beersheet!$A$2="QB",
INDEX(Beersheet!$A:$U,MATCH(Draft!T10,Beersheet!$C:$C,0),FFARawStatProjections!$BQ$1),
INDEX('Draft Slayer Classic'!$V:$V,MATCH(T10,'Draft Slayer Classic'!$T:$T,0)))</f>
        <v>255.56120000000001</v>
      </c>
      <c r="AC10" s="553">
        <f>INDEX('Draft Slayer Classic'!$W:$W,MATCH(T10,'Draft Slayer Classic'!$T:$T,0))</f>
        <v>3</v>
      </c>
      <c r="AD10">
        <f>IFERROR(IF(INDEX(Instructions!$X$64:$X$83,MATCH(Draft!T10,Instructions!$T$64:$T$83,0))&lt;='Draft Slayer Classic'!$E$25,1,0),0)</f>
        <v>0</v>
      </c>
      <c r="AE10" s="197"/>
      <c r="AF10" s="549" t="str">
        <f>INDEX('Draft Slayer Classic'!$AE:$AE,MATCH(SMALL('Draft Slayer Classic'!$AM:$AM,$G10),'Draft Slayer Classic'!$AM:$AM,0))</f>
        <v>Jaylen Waddle</v>
      </c>
      <c r="AG10" s="550" t="str">
        <f>INDEX(FFARawStatProjections!$B:$B,MATCH(AF10,FFARawStatProjections!$A:$A,0))</f>
        <v>MIA</v>
      </c>
      <c r="AH10" s="551" t="str">
        <f>INDEX(FFARawStatProjections!$D:$D,MATCH(AF10,FFARawStatProjections!$A:$A,0))&amp;IF(AI10&gt;0," ("&amp;AI10&amp;")","")</f>
        <v>10</v>
      </c>
      <c r="AI10">
        <f>IFERROR(INDEX($BQ$8:$BQ$21,MATCH(INDEX(FFARawStatProjections!$D:$D,MATCH(AF10,FFARawStatProjections!$A:$A,0)),$BP$8:$BP$21,0)),0)</f>
        <v>0</v>
      </c>
      <c r="AJ10" s="552">
        <f>INDEX(WRproj!M:M,MATCH(Draft!AF10,WRproj!D:D,0))</f>
        <v>0</v>
      </c>
      <c r="AK10">
        <f>INDEX(ADP!$G:$G,MATCH(AF10,ADP!$D:$D,0))</f>
        <v>21.000378999999999</v>
      </c>
      <c r="AL10">
        <f>IF(AND(AK10&gt;=$R$5,AK10&lt;$R$4),1,
IF(AND(AK10&gt;=$R$4,AK10&lt;$R$3),2,
IF(AK10&gt;=$R$3,3,
IF(AND(COUNTIF(AL$6:AL9,1)=0,COUNTIF(AK$6:AK9,"&lt;="&amp;$R$5)=(COUNTIF(AK$6:AK$20,"&lt;="&amp;$R$5)-1)),1,0))))</f>
        <v>1</v>
      </c>
      <c r="AM10" s="552">
        <f>(IFERROR(AN10-INDEX(AN:AN,MATCH(1,AL:AL,0)),0)+
IFERROR(AN10-INDEX(AN:AN,MATCH(2,AL:AL,0)),0)*0.5+
IFERROR(AN10-INDEX(AN:AN,MATCH(3,AL:AL,0)),0)*0.25
)/16*IF(ISBLANK(Beersheet!$A$1),1,16)</f>
        <v>-3.2787479687499985</v>
      </c>
      <c r="AN10">
        <f>IF(Beersheet!$A$2="QB",
INDEX(Beersheet!$A:$U,MATCH(Draft!AF10,Beersheet!$C:$C,0),FFARawStatProjections!$BQ$1),
INDEX('Draft Slayer Classic'!$AG:$AG,MATCH(AF10,'Draft Slayer Classic'!$AE:$AE,0)))</f>
        <v>238.75324000000003</v>
      </c>
      <c r="AO10" s="553">
        <f>INDEX('Draft Slayer Classic'!$AH:$AH,MATCH(AF10,'Draft Slayer Classic'!$AE:$AE,0))</f>
        <v>5</v>
      </c>
      <c r="AP10">
        <f>IFERROR(IF(INDEX(Instructions!$V$86:$V$105,MATCH(Draft!AF10,Instructions!$S$86:$S$105,0))&lt;='Draft Slayer Classic'!$E$25,1,0),0)</f>
        <v>0</v>
      </c>
      <c r="AQ10" s="197"/>
      <c r="AR10" s="549" t="str">
        <f>INDEX('Draft Slayer Classic'!$AP:$AP,MATCH(SMALL('Draft Slayer Classic'!$AX:$AX,$G10),'Draft Slayer Classic'!$AX:$AX,0))</f>
        <v>Kyle Pitts</v>
      </c>
      <c r="AS10" s="550" t="str">
        <f>INDEX(FFARawStatProjections!$B:$B,MATCH(AR10,FFARawStatProjections!$A:$A,0))</f>
        <v>ATL</v>
      </c>
      <c r="AT10" s="551" t="str">
        <f>INDEX(FFARawStatProjections!$D:$D,MATCH(AR10,FFARawStatProjections!$A:$A,0))&amp;IF(AU10&gt;0," ("&amp;AU10&amp;")","")</f>
        <v>11</v>
      </c>
      <c r="AU10">
        <f>IFERROR(INDEX($BQ$8:$BQ$21,MATCH(INDEX(FFARawStatProjections!$D:$D,MATCH(AR10,FFARawStatProjections!$A:$A,0)),$BP$8:$BP$21,0)),0)</f>
        <v>0</v>
      </c>
      <c r="AV10" s="552">
        <f>INDEX(TEproj!M:M,MATCH(Draft!AR10,TEproj!D:D,0))</f>
        <v>0</v>
      </c>
      <c r="AW10">
        <f>INDEX(ADP!$G:$G,MATCH(AR10,ADP!$D:$D,0))</f>
        <v>74.200279000000009</v>
      </c>
      <c r="AX10">
        <f>IF(AND(AW10&gt;=$R$5,AW10&lt;$R$4),1,
IF(AND(AW10&gt;=$R$4,AW10&lt;$R$3),2,
IF(AW10&gt;=$R$3,3,
IF(AND(COUNTIF(AX$6:AX9,1)=0,COUNTIF(AW$6:AW9,"&lt;="&amp;$R$5)=(COUNTIF(AW$6:AW$20,"&lt;="&amp;$R$5)-1)),1,0))))</f>
        <v>3</v>
      </c>
      <c r="AY10" s="552">
        <f>(IFERROR(AZ10-INDEX(AZ:AZ,MATCH(1,AX:AX,0)),0)+
IFERROR(AZ10-INDEX(AZ:AZ,MATCH(2,AX:AX,0)),0)*0.5+
IFERROR(AZ10-INDEX(AZ:AZ,MATCH(3,AX:AX,0)),0)*0.25
)/16*IF(ISBLANK(Beersheet!$A$1),1,16)</f>
        <v>-8.431245624999999</v>
      </c>
      <c r="AZ10">
        <f>IF(Beersheet!$A$2="QB",
INDEX(Beersheet!$A:$U,MATCH(Draft!AR10,Beersheet!$C:$C,0),FFARawStatProjections!$BQ$1),
INDEX('Draft Slayer Classic'!$AR:$AR,MATCH(AR10,'Draft Slayer Classic'!$AP:$AP,0)))</f>
        <v>162.61615</v>
      </c>
      <c r="BA10" s="553">
        <f>INDEX('Draft Slayer Classic'!$AS:$AS,MATCH(AR10,'Draft Slayer Classic'!$AP:$AP,0))</f>
        <v>5</v>
      </c>
      <c r="BB10">
        <f>IFERROR(IF(INDEX(Instructions!$X$86:$X$105,MATCH(Draft!AR10,Instructions!$T$86:$T$105,0))&lt;='Draft Slayer Classic'!$E$25,1,0),0)</f>
        <v>0</v>
      </c>
      <c r="BC10" s="197"/>
      <c r="BD10" s="549" t="str">
        <f>INDEX('Draft Slayer Classic'!$BA:$BA,MATCH(SMALL('Draft Slayer Classic'!$BD:$BD,$G10),'Draft Slayer Classic'!$BD:$BD,0))</f>
        <v>IND</v>
      </c>
      <c r="BE10" s="553" t="str">
        <f>INDEX(FFARawStatProjections!$D:$D,MATCH(BD10,FFARawStatProjections!$B:$B,0))&amp;IF(BF10&gt;0," ("&amp;BF10&amp;")","")</f>
        <v>11</v>
      </c>
      <c r="BF10">
        <f>IFERROR(INDEX($BQ$8:$BQ$21,MATCH(INDEX(FFARawStatProjections!$D:$D,MATCH(BC10,FFARawStatProjections!$A:$A,0)),$BP$8:$BP$21,0)),0)</f>
        <v>0</v>
      </c>
      <c r="BG10" s="464">
        <f>INDEX(FFARawStatProjections!$E:$E,MATCH(BD10,FFARawStatProjections!$B:$B,0))*0.1</f>
        <v>0</v>
      </c>
      <c r="BH10"/>
      <c r="BI10" s="197"/>
      <c r="BJ10" s="549" t="str">
        <f>INDEX('Draft Slayer Classic'!$BF:$BF,MATCH(SMALL('Draft Slayer Classic'!$BJ:$BJ,$G10),'Draft Slayer Classic'!$BJ:$BJ,0))</f>
        <v>Harrison Butker</v>
      </c>
      <c r="BK10" s="550" t="str">
        <f>INDEX(FFARawStatProjections!$B:$B,MATCH(BJ10,FFARawStatProjections!$A:$A,0))</f>
        <v>KC</v>
      </c>
      <c r="BL10" s="553" t="str">
        <f>INDEX(FFARawStatProjections!$D:$D,MATCH(BJ10,FFARawStatProjections!$A:$A,0))&amp;IF(BM10&gt;0," ("&amp;BM10&amp;")","")</f>
        <v>10</v>
      </c>
      <c r="BM10">
        <f>IFERROR(INDEX($BQ$8:$BQ$21,MATCH(INDEX(FFARawStatProjections!$D:$D,MATCH(BJ10,FFARawStatProjections!$A:$A,0)),$BP$8:$BP$21,0)),0)</f>
        <v>0</v>
      </c>
      <c r="BN10" s="466">
        <f>INDEX(FFARawStatProjections!$E:$E,MATCH(Draft!BJ10,FFARawStatProjections!$A:$A,0))*0.1</f>
        <v>0</v>
      </c>
      <c r="BO10" s="197"/>
      <c r="BP10" s="465">
        <v>3</v>
      </c>
      <c r="BQ10" s="465">
        <f>IFERROR(COUNTIF('Draft Slayer Classic'!$E$29:$E$53,Draft!BP10),0)</f>
        <v>0</v>
      </c>
      <c r="BS10"/>
      <c r="BT10" t="str">
        <f>IF(FFARawStatProjections!A5=0,"",FFARawStatProjections!A5)</f>
        <v>Lamar Jackson</v>
      </c>
      <c r="BU10" t="str">
        <f>IF(FFARawStatProjections!C5=0,"",FFARawStatProjections!C5)</f>
        <v>QB</v>
      </c>
      <c r="BV10" t="str">
        <f>IF(FFARawStatProjections!B5=0,"",FFARawStatProjections!B5)</f>
        <v>BAL</v>
      </c>
      <c r="BW10" s="89"/>
      <c r="BX10">
        <v>4</v>
      </c>
      <c r="BY10" s="89" t="str">
        <f t="shared" si="3"/>
        <v/>
      </c>
      <c r="BZ10" s="89" t="str">
        <f t="shared" si="4"/>
        <v/>
      </c>
      <c r="CA10" s="89" t="str">
        <f t="shared" si="5"/>
        <v/>
      </c>
    </row>
    <row r="11" spans="1:82" s="465" customFormat="1" ht="33.75" customHeight="1" x14ac:dyDescent="0.25">
      <c r="A11" s="469" t="str">
        <f t="shared" si="1"/>
        <v/>
      </c>
      <c r="B11" s="472"/>
      <c r="C11" s="478" t="str">
        <f t="shared" si="0"/>
        <v/>
      </c>
      <c r="D11" s="190" t="str">
        <f t="shared" si="2"/>
        <v/>
      </c>
      <c r="E11" s="190">
        <f>IFERROR(INDEX(Instructions!$U$111:$U$222,MATCH(Draft!A11,Instructions!$U$111:$U$222,0)),0)</f>
        <v>0</v>
      </c>
      <c r="F11" s="197"/>
      <c r="G11">
        <v>6</v>
      </c>
      <c r="H11" s="554" t="str">
        <f>INDEX('Draft Slayer Classic'!$I:$I,MATCH(SMALL('Draft Slayer Classic'!$Q:$Q,$G11),'Draft Slayer Classic'!$Q:$Q,0))</f>
        <v>Justin Herbert</v>
      </c>
      <c r="I11" s="555" t="str">
        <f>INDEX(FFARawStatProjections!$B:$B,MATCH(H11,FFARawStatProjections!$A:$A,0))</f>
        <v>LAC</v>
      </c>
      <c r="J11" s="556" t="str">
        <f>INDEX(FFARawStatProjections!$D:$D,MATCH(H11,FFARawStatProjections!$A:$A,0))&amp;IF(K11&gt;0," ("&amp;K11&amp;")","")</f>
        <v>5</v>
      </c>
      <c r="K11">
        <f>IFERROR(INDEX($BQ$8:$BQ$21,MATCH(INDEX(FFARawStatProjections!$D:$D,MATCH(H11,FFARawStatProjections!$A:$A,0)),$BP$8:$BP$21,0)),0)</f>
        <v>0</v>
      </c>
      <c r="L11" s="466">
        <f>INDEX(QBproj!M:M,MATCH(Draft!H11,QBproj!D:D,0))</f>
        <v>0</v>
      </c>
      <c r="M11">
        <f>INDEX(ADP!$G:$G,MATCH(H11,ADP!$D:$D,0))</f>
        <v>45.000329999999998</v>
      </c>
      <c r="N11">
        <f>IF(AND(M11&gt;=$R$5,M11&lt;$R$4),1,
IF(AND(M11&gt;=$R$4,M11&lt;$R$3),2,
IF(M11&gt;=$R$3,3,
IF(AND(COUNTIF(N$6:N10,1)=0,COUNTIF(M$6:M10,"&lt;="&amp;$R$5)=(COUNTIF(M$6:M$20,"&lt;="&amp;$R$5)-1)),1,0))))</f>
        <v>2</v>
      </c>
      <c r="O11" s="466">
        <f>(IFERROR(P11-INDEX(P:P,MATCH(1,N:N,0)),0)+
IFERROR(P11-INDEX(P:P,MATCH(2,N:N,0)),0)*0.5+
IFERROR(P11-INDEX(P:P,MATCH(3,N:N,0)),0)*0.25
)/16*IF(ISBLANK(Beersheet!$A$1),1,16)</f>
        <v>-5.0143076562500042</v>
      </c>
      <c r="P11">
        <f>IF(Beersheet!$A$2="QB",
INDEX(Beersheet!$A:$U,MATCH(Draft!H11,Beersheet!$C:$C,0),FFARawStatProjections!$BQ$1),
INDEX('Draft Slayer Classic'!$K:$K,MATCH(H11,'Draft Slayer Classic'!$I:$I,0)))</f>
        <v>325.50606999999997</v>
      </c>
      <c r="Q11" s="557">
        <f>INDEX('Draft Slayer Classic'!$L:$L,MATCH(H11,'Draft Slayer Classic'!$I:$I,0))</f>
        <v>5</v>
      </c>
      <c r="R11">
        <f>IFERROR(IF(INDEX(Instructions!$V$64:$V$83,MATCH(Draft!H11,Instructions!$S$64:$S$83,0))&lt;='Draft Slayer Classic'!$E$25,1,0),0)</f>
        <v>0</v>
      </c>
      <c r="S11" s="197"/>
      <c r="T11" s="554" t="str">
        <f>INDEX('Draft Slayer Classic'!$T:$T,MATCH(SMALL('Draft Slayer Classic'!$AB:$AB,$G11),'Draft Slayer Classic'!$AB:$AB,0))</f>
        <v>Saquon Barkley</v>
      </c>
      <c r="U11" s="555" t="str">
        <f>INDEX(FFARawStatProjections!$B:$B,MATCH(T11,FFARawStatProjections!$A:$A,0))</f>
        <v>NYG</v>
      </c>
      <c r="V11" s="556" t="str">
        <f>INDEX(FFARawStatProjections!$D:$D,MATCH(T11,FFARawStatProjections!$A:$A,0))&amp;IF(W11&gt;0," ("&amp;W11&amp;")","")</f>
        <v>13</v>
      </c>
      <c r="W11">
        <f>IFERROR(INDEX($BQ$8:$BQ$21,MATCH(INDEX(FFARawStatProjections!$D:$D,MATCH(T11,FFARawStatProjections!$A:$A,0)),$BP$8:$BP$21,0)),0)</f>
        <v>0</v>
      </c>
      <c r="X11" s="464">
        <f>INDEX(RBproj!M:M,MATCH(Draft!T11,RBproj!D:D,0))</f>
        <v>0</v>
      </c>
      <c r="Y11">
        <f>INDEX(ADP!$G:$G,MATCH(T11,ADP!$D:$D,0))</f>
        <v>9.6001209999999997</v>
      </c>
      <c r="Z11">
        <f>IF(AND(Y11&gt;=$R$5,Y11&lt;$R$4),1,
IF(AND(Y11&gt;=$R$4,Y11&lt;$R$3),2,
IF(Y11&gt;=$R$3,3,
IF(AND(COUNTIF(Z$6:Z10,1)=0,COUNTIF(Y$6:Y10,"&lt;="&amp;$R$5)=(COUNTIF(Y$6:Y$20,"&lt;="&amp;$R$5)-1)),1,0))))</f>
        <v>1</v>
      </c>
      <c r="AA11" s="466">
        <f>(IFERROR(AB11-INDEX(AB:AB,MATCH(1,Z:Z,0)),0)+
IFERROR(AB11-INDEX(AB:AB,MATCH(2,Z:Z,0)),0)*0.5+
IFERROR(AB11-INDEX(AB:AB,MATCH(3,Z:Z,0)),0)*0.25
)/16*IF(ISBLANK(Beersheet!$A$1),1,16)</f>
        <v>-2.6862528125000029</v>
      </c>
      <c r="AB11">
        <f>IF(Beersheet!$A$2="QB",
INDEX(Beersheet!$A:$U,MATCH(Draft!T11,Beersheet!$C:$C,0),FFARawStatProjections!$BQ$1),
INDEX('Draft Slayer Classic'!$V:$V,MATCH(T11,'Draft Slayer Classic'!$T:$T,0)))</f>
        <v>250.26118</v>
      </c>
      <c r="AC11" s="557">
        <f>INDEX('Draft Slayer Classic'!$W:$W,MATCH(T11,'Draft Slayer Classic'!$T:$T,0))</f>
        <v>3</v>
      </c>
      <c r="AD11">
        <f>IFERROR(IF(INDEX(Instructions!$X$64:$X$83,MATCH(Draft!T11,Instructions!$T$64:$T$83,0))&lt;='Draft Slayer Classic'!$E$25,1,0),0)</f>
        <v>0</v>
      </c>
      <c r="AE11" s="197"/>
      <c r="AF11" s="554" t="str">
        <f>INDEX('Draft Slayer Classic'!$AE:$AE,MATCH(SMALL('Draft Slayer Classic'!$AM:$AM,$G11),'Draft Slayer Classic'!$AM:$AM,0))</f>
        <v>Tee Higgins</v>
      </c>
      <c r="AG11" s="555" t="str">
        <f>INDEX(FFARawStatProjections!$B:$B,MATCH(AF11,FFARawStatProjections!$A:$A,0))</f>
        <v>CIN</v>
      </c>
      <c r="AH11" s="556" t="str">
        <f>INDEX(FFARawStatProjections!$D:$D,MATCH(AF11,FFARawStatProjections!$A:$A,0))&amp;IF(AI11&gt;0," ("&amp;AI11&amp;")","")</f>
        <v>7</v>
      </c>
      <c r="AI11">
        <f>IFERROR(INDEX($BQ$8:$BQ$21,MATCH(INDEX(FFARawStatProjections!$D:$D,MATCH(AF11,FFARawStatProjections!$A:$A,0)),$BP$8:$BP$21,0)),0)</f>
        <v>0</v>
      </c>
      <c r="AJ11" s="466">
        <f>INDEX(WRproj!M:M,MATCH(Draft!AF11,WRproj!D:D,0))</f>
        <v>0.60000000000000009</v>
      </c>
      <c r="AK11">
        <f>INDEX(ADP!$G:$G,MATCH(AF11,ADP!$D:$D,0))</f>
        <v>27.500084999999999</v>
      </c>
      <c r="AL11">
        <f>IF(AND(AK11&gt;=$R$5,AK11&lt;$R$4),1,
IF(AND(AK11&gt;=$R$4,AK11&lt;$R$3),2,
IF(AK11&gt;=$R$3,3,
IF(AND(COUNTIF(AL$6:AL10,1)=0,COUNTIF(AK$6:AK10,"&lt;="&amp;$R$5)=(COUNTIF(AK$6:AK$20,"&lt;="&amp;$R$5)-1)),1,0))))</f>
        <v>2</v>
      </c>
      <c r="AM11" s="466">
        <f>(IFERROR(AN11-INDEX(AN:AN,MATCH(1,AL:AL,0)),0)+
IFERROR(AN11-INDEX(AN:AN,MATCH(2,AL:AL,0)),0)*0.5+
IFERROR(AN11-INDEX(AN:AN,MATCH(3,AL:AL,0)),0)*0.25
)/16*IF(ISBLANK(Beersheet!$A$1),1,16)</f>
        <v>-4.3353071874999998</v>
      </c>
      <c r="AN11">
        <f>IF(Beersheet!$A$2="QB",
INDEX(Beersheet!$A:$U,MATCH(Draft!AF11,Beersheet!$C:$C,0),FFARawStatProjections!$BQ$1),
INDEX('Draft Slayer Classic'!$AG:$AG,MATCH(AF11,'Draft Slayer Classic'!$AE:$AE,0)))</f>
        <v>229.09327000000002</v>
      </c>
      <c r="AO11" s="557">
        <f>INDEX('Draft Slayer Classic'!$AH:$AH,MATCH(AF11,'Draft Slayer Classic'!$AE:$AE,0))</f>
        <v>6</v>
      </c>
      <c r="AP11">
        <f>IFERROR(IF(INDEX(Instructions!$V$86:$V$105,MATCH(Draft!AF11,Instructions!$S$86:$S$105,0))&lt;='Draft Slayer Classic'!$E$25,1,0),0)</f>
        <v>0</v>
      </c>
      <c r="AQ11" s="197"/>
      <c r="AR11" s="554" t="str">
        <f>INDEX('Draft Slayer Classic'!$AP:$AP,MATCH(SMALL('Draft Slayer Classic'!$AX:$AX,$G11),'Draft Slayer Classic'!$AX:$AX,0))</f>
        <v>Dallas Goedert</v>
      </c>
      <c r="AS11" s="555" t="str">
        <f>INDEX(FFARawStatProjections!$B:$B,MATCH(AR11,FFARawStatProjections!$A:$A,0))</f>
        <v>PHI</v>
      </c>
      <c r="AT11" s="556" t="str">
        <f>INDEX(FFARawStatProjections!$D:$D,MATCH(AR11,FFARawStatProjections!$A:$A,0))&amp;IF(AU11&gt;0," ("&amp;AU11&amp;")","")</f>
        <v>10</v>
      </c>
      <c r="AU11">
        <f>IFERROR(INDEX($BQ$8:$BQ$21,MATCH(INDEX(FFARawStatProjections!$D:$D,MATCH(AR11,FFARawStatProjections!$A:$A,0)),$BP$8:$BP$21,0)),0)</f>
        <v>0</v>
      </c>
      <c r="AV11" s="464">
        <f>INDEX(TEproj!M:M,MATCH(Draft!AR11,TEproj!D:D,0))</f>
        <v>0</v>
      </c>
      <c r="AW11">
        <f>INDEX(ADP!$G:$G,MATCH(AR11,ADP!$D:$D,0))</f>
        <v>82.800580999999994</v>
      </c>
      <c r="AX11">
        <f>IF(AND(AW11&gt;=$R$5,AW11&lt;$R$4),1,
IF(AND(AW11&gt;=$R$4,AW11&lt;$R$3),2,
IF(AW11&gt;=$R$3,3,
IF(AND(COUNTIF(AX$6:AX10,1)=0,COUNTIF(AW$6:AW10,"&lt;="&amp;$R$5)=(COUNTIF(AW$6:AW$20,"&lt;="&amp;$R$5)-1)),1,0))))</f>
        <v>3</v>
      </c>
      <c r="AY11" s="466">
        <f>(IFERROR(AZ11-INDEX(AZ:AZ,MATCH(1,AX:AX,0)),0)+
IFERROR(AZ11-INDEX(AZ:AZ,MATCH(2,AX:AX,0)),0)*0.5+
IFERROR(AZ11-INDEX(AZ:AZ,MATCH(3,AX:AX,0)),0)*0.25
)/16*IF(ISBLANK(Beersheet!$A$1),1,16)</f>
        <v>-8.4390589062500005</v>
      </c>
      <c r="AZ11">
        <f>IF(Beersheet!$A$2="QB",
INDEX(Beersheet!$A:$U,MATCH(Draft!AR11,Beersheet!$C:$C,0),FFARawStatProjections!$BQ$1),
INDEX('Draft Slayer Classic'!$AR:$AR,MATCH(AR11,'Draft Slayer Classic'!$AP:$AP,0)))</f>
        <v>162.51613999999998</v>
      </c>
      <c r="BA11" s="557">
        <f>INDEX('Draft Slayer Classic'!$AS:$AS,MATCH(AR11,'Draft Slayer Classic'!$AP:$AP,0))</f>
        <v>5</v>
      </c>
      <c r="BB11">
        <f>IFERROR(IF(INDEX(Instructions!$X$86:$X$105,MATCH(Draft!AR11,Instructions!$T$86:$T$105,0))&lt;='Draft Slayer Classic'!$E$25,1,0),0)</f>
        <v>0</v>
      </c>
      <c r="BC11" s="197"/>
      <c r="BD11" s="554" t="str">
        <f>INDEX('Draft Slayer Classic'!$BA:$BA,MATCH(SMALL('Draft Slayer Classic'!$BD:$BD,$G11),'Draft Slayer Classic'!$BD:$BD,0))</f>
        <v>CLE</v>
      </c>
      <c r="BE11" s="557" t="str">
        <f>INDEX(FFARawStatProjections!$D:$D,MATCH(BD11,FFARawStatProjections!$B:$B,0))&amp;IF(BF11&gt;0," ("&amp;BF11&amp;")","")</f>
        <v>5</v>
      </c>
      <c r="BF11">
        <f>IFERROR(INDEX($BQ$8:$BQ$21,MATCH(INDEX(FFARawStatProjections!$D:$D,MATCH(BC11,FFARawStatProjections!$A:$A,0)),$BP$8:$BP$21,0)),0)</f>
        <v>0</v>
      </c>
      <c r="BG11" s="464">
        <f>INDEX(FFARawStatProjections!$E:$E,MATCH(BD11,FFARawStatProjections!$B:$B,0))*0.1</f>
        <v>0</v>
      </c>
      <c r="BH11"/>
      <c r="BI11" s="197"/>
      <c r="BJ11" s="554" t="str">
        <f>INDEX('Draft Slayer Classic'!$BF:$BF,MATCH(SMALL('Draft Slayer Classic'!$BJ:$BJ,$G11),'Draft Slayer Classic'!$BJ:$BJ,0))</f>
        <v>Evan McPherson</v>
      </c>
      <c r="BK11" s="555" t="str">
        <f>INDEX(FFARawStatProjections!$B:$B,MATCH(BJ11,FFARawStatProjections!$A:$A,0))</f>
        <v>CIN</v>
      </c>
      <c r="BL11" s="557" t="str">
        <f>INDEX(FFARawStatProjections!$D:$D,MATCH(BJ11,FFARawStatProjections!$A:$A,0))&amp;IF(BM11&gt;0," ("&amp;BM11&amp;")","")</f>
        <v>7</v>
      </c>
      <c r="BM11">
        <f>IFERROR(INDEX($BQ$8:$BQ$21,MATCH(INDEX(FFARawStatProjections!$D:$D,MATCH(BJ11,FFARawStatProjections!$A:$A,0)),$BP$8:$BP$21,0)),0)</f>
        <v>0</v>
      </c>
      <c r="BN11" s="466">
        <f>INDEX(FFARawStatProjections!$E:$E,MATCH(Draft!BJ11,FFARawStatProjections!$A:$A,0))*0.1</f>
        <v>0</v>
      </c>
      <c r="BO11" s="197"/>
      <c r="BP11" s="465">
        <v>4</v>
      </c>
      <c r="BQ11" s="465">
        <f>IFERROR(COUNTIF('Draft Slayer Classic'!$E$29:$E$53,Draft!BP11),0)</f>
        <v>0</v>
      </c>
      <c r="BS11"/>
      <c r="BT11" t="str">
        <f>IF(FFARawStatProjections!A6=0,"",FFARawStatProjections!A6)</f>
        <v>Joe Burrow</v>
      </c>
      <c r="BU11" t="str">
        <f>IF(FFARawStatProjections!C6=0,"",FFARawStatProjections!C6)</f>
        <v>QB</v>
      </c>
      <c r="BV11" t="str">
        <f>IF(FFARawStatProjections!B6=0,"",FFARawStatProjections!B6)</f>
        <v>CIN</v>
      </c>
      <c r="BW11" s="89"/>
      <c r="BX11">
        <v>5</v>
      </c>
      <c r="BY11" s="89" t="str">
        <f t="shared" si="3"/>
        <v/>
      </c>
      <c r="BZ11" s="89" t="str">
        <f t="shared" si="4"/>
        <v/>
      </c>
      <c r="CA11" s="89" t="str">
        <f t="shared" si="5"/>
        <v/>
      </c>
    </row>
    <row r="12" spans="1:82" s="465" customFormat="1" ht="33.75" customHeight="1" x14ac:dyDescent="0.25">
      <c r="A12" s="473" t="str">
        <f t="shared" si="1"/>
        <v/>
      </c>
      <c r="B12" s="474"/>
      <c r="C12" s="479" t="str">
        <f t="shared" si="0"/>
        <v/>
      </c>
      <c r="D12" s="190" t="str">
        <f t="shared" si="2"/>
        <v/>
      </c>
      <c r="E12" s="190">
        <f>IFERROR(INDEX(Instructions!$U$111:$U$222,MATCH(Draft!A12,Instructions!$U$111:$U$222,0)),0)</f>
        <v>0</v>
      </c>
      <c r="F12" s="197"/>
      <c r="G12">
        <v>7</v>
      </c>
      <c r="H12" s="549" t="str">
        <f>INDEX('Draft Slayer Classic'!$I:$I,MATCH(SMALL('Draft Slayer Classic'!$Q:$Q,$G12),'Draft Slayer Classic'!$Q:$Q,0))</f>
        <v>Deshaun Watson</v>
      </c>
      <c r="I12" s="550" t="str">
        <f>INDEX(FFARawStatProjections!$B:$B,MATCH(H12,FFARawStatProjections!$A:$A,0))</f>
        <v>CLE</v>
      </c>
      <c r="J12" s="551" t="str">
        <f>INDEX(FFARawStatProjections!$D:$D,MATCH(H12,FFARawStatProjections!$A:$A,0))&amp;IF(K12&gt;0," ("&amp;K12&amp;")","")</f>
        <v>5</v>
      </c>
      <c r="K12">
        <f>IFERROR(INDEX($BQ$8:$BQ$21,MATCH(INDEX(FFARawStatProjections!$D:$D,MATCH(H12,FFARawStatProjections!$A:$A,0)),$BP$8:$BP$21,0)),0)</f>
        <v>0</v>
      </c>
      <c r="L12" s="552">
        <f>INDEX(QBproj!M:M,MATCH(Draft!H12,QBproj!D:D,0))</f>
        <v>2.2000000000000011</v>
      </c>
      <c r="M12">
        <f>INDEX(ADP!$G:$G,MATCH(H12,ADP!$D:$D,0))</f>
        <v>69.200525999999996</v>
      </c>
      <c r="N12">
        <f>IF(AND(M12&gt;=$R$5,M12&lt;$R$4),1,
IF(AND(M12&gt;=$R$4,M12&lt;$R$3),2,
IF(M12&gt;=$R$3,3,
IF(AND(COUNTIF(N$6:N11,1)=0,COUNTIF(M$6:M11,"&lt;="&amp;$R$5)=(COUNTIF(M$6:M$20,"&lt;="&amp;$R$5)-1)),1,0))))</f>
        <v>3</v>
      </c>
      <c r="O12" s="552">
        <f>(IFERROR(P12-INDEX(P:P,MATCH(1,N:N,0)),0)+
IFERROR(P12-INDEX(P:P,MATCH(2,N:N,0)),0)*0.5+
IFERROR(P12-INDEX(P:P,MATCH(3,N:N,0)),0)*0.25
)/16*IF(ISBLANK(Beersheet!$A$1),1,16)</f>
        <v>-6.1634003124999976</v>
      </c>
      <c r="P12">
        <f>IF(Beersheet!$A$2="QB",
INDEX(Beersheet!$A:$U,MATCH(Draft!H12,Beersheet!$C:$C,0),FFARawStatProjections!$BQ$1),
INDEX('Draft Slayer Classic'!$K:$K,MATCH(H12,'Draft Slayer Classic'!$I:$I,0)))</f>
        <v>315.00008000000003</v>
      </c>
      <c r="Q12" s="553">
        <f>INDEX('Draft Slayer Classic'!$L:$L,MATCH(H12,'Draft Slayer Classic'!$I:$I,0))</f>
        <v>6</v>
      </c>
      <c r="R12">
        <f>IFERROR(IF(INDEX(Instructions!$V$64:$V$83,MATCH(Draft!H12,Instructions!$S$64:$S$83,0))&lt;='Draft Slayer Classic'!$E$25,1,0),0)</f>
        <v>0</v>
      </c>
      <c r="S12" s="197"/>
      <c r="T12" s="549" t="str">
        <f>INDEX('Draft Slayer Classic'!$T:$T,MATCH(SMALL('Draft Slayer Classic'!$AB:$AB,$G12),'Draft Slayer Classic'!$AB:$AB,0))</f>
        <v>Jonathan Taylor</v>
      </c>
      <c r="U12" s="550" t="str">
        <f>INDEX(FFARawStatProjections!$B:$B,MATCH(T12,FFARawStatProjections!$A:$A,0))</f>
        <v>IND</v>
      </c>
      <c r="V12" s="551" t="str">
        <f>INDEX(FFARawStatProjections!$D:$D,MATCH(T12,FFARawStatProjections!$A:$A,0))&amp;IF(W12&gt;0," ("&amp;W12&amp;")","")</f>
        <v>11</v>
      </c>
      <c r="W12">
        <f>IFERROR(INDEX($BQ$8:$BQ$21,MATCH(INDEX(FFARawStatProjections!$D:$D,MATCH(T12,FFARawStatProjections!$A:$A,0)),$BP$8:$BP$21,0)),0)</f>
        <v>0</v>
      </c>
      <c r="X12" s="552">
        <f>INDEX(RBproj!M:M,MATCH(Draft!T12,RBproj!D:D,0))</f>
        <v>0</v>
      </c>
      <c r="Y12">
        <f>INDEX(ADP!$G:$G,MATCH(T12,ADP!$D:$D,0))</f>
        <v>21.300355</v>
      </c>
      <c r="Z12">
        <f>IF(AND(Y12&gt;=$R$5,Y12&lt;$R$4),1,
IF(AND(Y12&gt;=$R$4,Y12&lt;$R$3),2,
IF(Y12&gt;=$R$3,3,
IF(AND(COUNTIF(Z$6:Z11,1)=0,COUNTIF(Y$6:Y11,"&lt;="&amp;$R$5)=(COUNTIF(Y$6:Y$20,"&lt;="&amp;$R$5)-1)),1,0))))</f>
        <v>1</v>
      </c>
      <c r="AA12" s="552">
        <f>(IFERROR(AB12-INDEX(AB:AB,MATCH(1,Z:Z,0)),0)+
IFERROR(AB12-INDEX(AB:AB,MATCH(2,Z:Z,0)),0)*0.5+
IFERROR(AB12-INDEX(AB:AB,MATCH(3,Z:Z,0)),0)*0.25
)/16*IF(ISBLANK(Beersheet!$A$1),1,16)</f>
        <v>-3.6968701562500015</v>
      </c>
      <c r="AB12">
        <f>IF(Beersheet!$A$2="QB",
INDEX(Beersheet!$A:$U,MATCH(Draft!T12,Beersheet!$C:$C,0),FFARawStatProjections!$BQ$1),
INDEX('Draft Slayer Classic'!$V:$V,MATCH(T12,'Draft Slayer Classic'!$T:$T,0)))</f>
        <v>241.02125000000001</v>
      </c>
      <c r="AC12" s="553">
        <f>INDEX('Draft Slayer Classic'!$W:$W,MATCH(T12,'Draft Slayer Classic'!$T:$T,0))</f>
        <v>3</v>
      </c>
      <c r="AD12">
        <f>IFERROR(IF(INDEX(Instructions!$X$64:$X$83,MATCH(Draft!T12,Instructions!$T$64:$T$83,0))&lt;='Draft Slayer Classic'!$E$25,1,0),0)</f>
        <v>0</v>
      </c>
      <c r="AE12" s="197"/>
      <c r="AF12" s="549" t="str">
        <f>INDEX('Draft Slayer Classic'!$AE:$AE,MATCH(SMALL('Draft Slayer Classic'!$AM:$AM,$G12),'Draft Slayer Classic'!$AM:$AM,0))</f>
        <v>Deebo Samuel</v>
      </c>
      <c r="AG12" s="550" t="str">
        <f>INDEX(FFARawStatProjections!$B:$B,MATCH(AF12,FFARawStatProjections!$A:$A,0))</f>
        <v>SF</v>
      </c>
      <c r="AH12" s="551" t="str">
        <f>INDEX(FFARawStatProjections!$D:$D,MATCH(AF12,FFARawStatProjections!$A:$A,0))&amp;IF(AI12&gt;0," ("&amp;AI12&amp;")","")</f>
        <v>9</v>
      </c>
      <c r="AI12">
        <f>IFERROR(INDEX($BQ$8:$BQ$21,MATCH(INDEX(FFARawStatProjections!$D:$D,MATCH(AF12,FFARawStatProjections!$A:$A,0)),$BP$8:$BP$21,0)),0)</f>
        <v>0</v>
      </c>
      <c r="AJ12" s="552">
        <f>INDEX(WRproj!M:M,MATCH(Draft!AF12,WRproj!D:D,0))</f>
        <v>0.90000000000000036</v>
      </c>
      <c r="AK12">
        <f>INDEX(ADP!$G:$G,MATCH(AF12,ADP!$D:$D,0))</f>
        <v>33.200542000000006</v>
      </c>
      <c r="AL12">
        <f>IF(AND(AK12&gt;=$R$5,AK12&lt;$R$4),1,
IF(AND(AK12&gt;=$R$4,AK12&lt;$R$3),2,
IF(AK12&gt;=$R$3,3,
IF(AND(COUNTIF(AL$6:AL11,1)=0,COUNTIF(AK$6:AK11,"&lt;="&amp;$R$5)=(COUNTIF(AK$6:AK$20,"&lt;="&amp;$R$5)-1)),1,0))))</f>
        <v>2</v>
      </c>
      <c r="AM12" s="552">
        <f>(IFERROR(AN12-INDEX(AN:AN,MATCH(1,AL:AL,0)),0)+
IFERROR(AN12-INDEX(AN:AN,MATCH(2,AL:AL,0)),0)*0.5+
IFERROR(AN12-INDEX(AN:AN,MATCH(3,AL:AL,0)),0)*0.25
)/16*IF(ISBLANK(Beersheet!$A$1),1,16)</f>
        <v>-4.4796778124999985</v>
      </c>
      <c r="AN12">
        <f>IF(Beersheet!$A$2="QB",
INDEX(Beersheet!$A:$U,MATCH(Draft!AF12,Beersheet!$C:$C,0),FFARawStatProjections!$BQ$1),
INDEX('Draft Slayer Classic'!$AG:$AG,MATCH(AF12,'Draft Slayer Classic'!$AE:$AE,0)))</f>
        <v>227.77331000000004</v>
      </c>
      <c r="AO12" s="553">
        <f>INDEX('Draft Slayer Classic'!$AH:$AH,MATCH(AF12,'Draft Slayer Classic'!$AE:$AE,0))</f>
        <v>6</v>
      </c>
      <c r="AP12">
        <f>IFERROR(IF(INDEX(Instructions!$V$86:$V$105,MATCH(Draft!AF12,Instructions!$S$86:$S$105,0))&lt;='Draft Slayer Classic'!$E$25,1,0),0)</f>
        <v>0</v>
      </c>
      <c r="AQ12" s="197"/>
      <c r="AR12" s="549" t="str">
        <f>INDEX('Draft Slayer Classic'!$AP:$AP,MATCH(SMALL('Draft Slayer Classic'!$AX:$AX,$G12),'Draft Slayer Classic'!$AX:$AX,0))</f>
        <v>Evan Engram</v>
      </c>
      <c r="AS12" s="550" t="str">
        <f>INDEX(FFARawStatProjections!$B:$B,MATCH(AR12,FFARawStatProjections!$A:$A,0))</f>
        <v>JAC</v>
      </c>
      <c r="AT12" s="551" t="str">
        <f>INDEX(FFARawStatProjections!$D:$D,MATCH(AR12,FFARawStatProjections!$A:$A,0))&amp;IF(AU12&gt;0," ("&amp;AU12&amp;")","")</f>
        <v>9</v>
      </c>
      <c r="AU12">
        <f>IFERROR(INDEX($BQ$8:$BQ$21,MATCH(INDEX(FFARawStatProjections!$D:$D,MATCH(AR12,FFARawStatProjections!$A:$A,0)),$BP$8:$BP$21,0)),0)</f>
        <v>0</v>
      </c>
      <c r="AV12" s="552">
        <f>INDEX(TEproj!M:M,MATCH(Draft!AR12,TEproj!D:D,0))</f>
        <v>0</v>
      </c>
      <c r="AW12">
        <f>INDEX(ADP!$G:$G,MATCH(AR12,ADP!$D:$D,0))</f>
        <v>109.100482</v>
      </c>
      <c r="AX12">
        <f>IF(AND(AW12&gt;=$R$5,AW12&lt;$R$4),1,
IF(AND(AW12&gt;=$R$4,AW12&lt;$R$3),2,
IF(AW12&gt;=$R$3,3,
IF(AND(COUNTIF(AX$6:AX11,1)=0,COUNTIF(AW$6:AW11,"&lt;="&amp;$R$5)=(COUNTIF(AW$6:AW$20,"&lt;="&amp;$R$5)-1)),1,0))))</f>
        <v>3</v>
      </c>
      <c r="AY12" s="552">
        <f>(IFERROR(AZ12-INDEX(AZ:AZ,MATCH(1,AX:AX,0)),0)+
IFERROR(AZ12-INDEX(AZ:AZ,MATCH(2,AX:AX,0)),0)*0.5+
IFERROR(AZ12-INDEX(AZ:AZ,MATCH(3,AX:AX,0)),0)*0.25
)/16*IF(ISBLANK(Beersheet!$A$1),1,16)</f>
        <v>-9.453119062499999</v>
      </c>
      <c r="AZ12">
        <f>IF(Beersheet!$A$2="QB",
INDEX(Beersheet!$A:$U,MATCH(Draft!AR12,Beersheet!$C:$C,0),FFARawStatProjections!$BQ$1),
INDEX('Draft Slayer Classic'!$AR:$AR,MATCH(AR12,'Draft Slayer Classic'!$AP:$AP,0)))</f>
        <v>149.53617</v>
      </c>
      <c r="BA12" s="553">
        <f>INDEX('Draft Slayer Classic'!$AS:$AS,MATCH(AR12,'Draft Slayer Classic'!$AP:$AP,0))</f>
        <v>6</v>
      </c>
      <c r="BB12">
        <f>IFERROR(IF(INDEX(Instructions!$X$86:$X$105,MATCH(Draft!AR12,Instructions!$T$86:$T$105,0))&lt;='Draft Slayer Classic'!$E$25,1,0),0)</f>
        <v>0</v>
      </c>
      <c r="BC12" s="197"/>
      <c r="BD12" s="549" t="str">
        <f>INDEX('Draft Slayer Classic'!$BA:$BA,MATCH(SMALL('Draft Slayer Classic'!$BD:$BD,$G12),'Draft Slayer Classic'!$BD:$BD,0))</f>
        <v>KC</v>
      </c>
      <c r="BE12" s="553" t="str">
        <f>INDEX(FFARawStatProjections!$D:$D,MATCH(BD12,FFARawStatProjections!$B:$B,0))&amp;IF(BF12&gt;0," ("&amp;BF12&amp;")","")</f>
        <v>10</v>
      </c>
      <c r="BF12">
        <f>IFERROR(INDEX($BQ$8:$BQ$21,MATCH(INDEX(FFARawStatProjections!$D:$D,MATCH(BC12,FFARawStatProjections!$A:$A,0)),$BP$8:$BP$21,0)),0)</f>
        <v>0</v>
      </c>
      <c r="BG12" s="464">
        <f>INDEX(FFARawStatProjections!$E:$E,MATCH(BD12,FFARawStatProjections!$B:$B,0))*0.1</f>
        <v>0</v>
      </c>
      <c r="BH12"/>
      <c r="BI12" s="197"/>
      <c r="BJ12" s="549" t="str">
        <f>INDEX('Draft Slayer Classic'!$BF:$BF,MATCH(SMALL('Draft Slayer Classic'!$BJ:$BJ,$G12),'Draft Slayer Classic'!$BJ:$BJ,0))</f>
        <v>Tyler Bass</v>
      </c>
      <c r="BK12" s="550" t="str">
        <f>INDEX(FFARawStatProjections!$B:$B,MATCH(BJ12,FFARawStatProjections!$A:$A,0))</f>
        <v>BUF</v>
      </c>
      <c r="BL12" s="553" t="str">
        <f>INDEX(FFARawStatProjections!$D:$D,MATCH(BJ12,FFARawStatProjections!$A:$A,0))&amp;IF(BM12&gt;0," ("&amp;BM12&amp;")","")</f>
        <v>13</v>
      </c>
      <c r="BM12">
        <f>IFERROR(INDEX($BQ$8:$BQ$21,MATCH(INDEX(FFARawStatProjections!$D:$D,MATCH(BJ12,FFARawStatProjections!$A:$A,0)),$BP$8:$BP$21,0)),0)</f>
        <v>0</v>
      </c>
      <c r="BN12" s="466">
        <f>INDEX(FFARawStatProjections!$E:$E,MATCH(Draft!BJ12,FFARawStatProjections!$A:$A,0))*0.1</f>
        <v>0</v>
      </c>
      <c r="BO12" s="197"/>
      <c r="BP12" s="465">
        <v>5</v>
      </c>
      <c r="BQ12" s="465">
        <f>IFERROR(COUNTIF('Draft Slayer Classic'!$E$29:$E$53,Draft!BP12),0)</f>
        <v>0</v>
      </c>
      <c r="BS12"/>
      <c r="BT12" t="str">
        <f>IF(FFARawStatProjections!A7=0,"",FFARawStatProjections!A7)</f>
        <v>Justin Fields</v>
      </c>
      <c r="BU12" t="str">
        <f>IF(FFARawStatProjections!C7=0,"",FFARawStatProjections!C7)</f>
        <v>QB</v>
      </c>
      <c r="BV12" t="str">
        <f>IF(FFARawStatProjections!B7=0,"",FFARawStatProjections!B7)</f>
        <v>CHI</v>
      </c>
      <c r="BW12" s="89"/>
      <c r="BX12">
        <v>6</v>
      </c>
      <c r="BY12" s="89" t="str">
        <f t="shared" si="3"/>
        <v/>
      </c>
      <c r="BZ12" s="89" t="str">
        <f t="shared" si="4"/>
        <v/>
      </c>
      <c r="CA12" s="89" t="str">
        <f t="shared" si="5"/>
        <v/>
      </c>
    </row>
    <row r="13" spans="1:82" s="465" customFormat="1" ht="33.75" customHeight="1" x14ac:dyDescent="0.25">
      <c r="A13" s="469" t="str">
        <f t="shared" si="1"/>
        <v/>
      </c>
      <c r="B13" s="472"/>
      <c r="C13" s="478" t="str">
        <f t="shared" si="0"/>
        <v/>
      </c>
      <c r="D13" s="190" t="str">
        <f t="shared" si="2"/>
        <v/>
      </c>
      <c r="E13" s="190">
        <f>IFERROR(INDEX(Instructions!$U$111:$U$222,MATCH(Draft!A13,Instructions!$U$111:$U$222,0)),0)</f>
        <v>0</v>
      </c>
      <c r="F13" s="197"/>
      <c r="G13">
        <v>8</v>
      </c>
      <c r="H13" s="554" t="str">
        <f>INDEX('Draft Slayer Classic'!$I:$I,MATCH(SMALL('Draft Slayer Classic'!$Q:$Q,$G13),'Draft Slayer Classic'!$Q:$Q,0))</f>
        <v>Trevor Lawrence</v>
      </c>
      <c r="I13" s="555" t="str">
        <f>INDEX(FFARawStatProjections!$B:$B,MATCH(H13,FFARawStatProjections!$A:$A,0))</f>
        <v>JAC</v>
      </c>
      <c r="J13" s="556" t="str">
        <f>INDEX(FFARawStatProjections!$D:$D,MATCH(H13,FFARawStatProjections!$A:$A,0))&amp;IF(K13&gt;0," ("&amp;K13&amp;")","")</f>
        <v>9</v>
      </c>
      <c r="K13">
        <f>IFERROR(INDEX($BQ$8:$BQ$21,MATCH(INDEX(FFARawStatProjections!$D:$D,MATCH(H13,FFARawStatProjections!$A:$A,0)),$BP$8:$BP$21,0)),0)</f>
        <v>0</v>
      </c>
      <c r="L13" s="466">
        <f>INDEX(QBproj!M:M,MATCH(Draft!H13,QBproj!D:D,0))</f>
        <v>0</v>
      </c>
      <c r="M13">
        <f>INDEX(ADP!$G:$G,MATCH(H13,ADP!$D:$D,0))</f>
        <v>55.900061000000001</v>
      </c>
      <c r="N13">
        <f>IF(AND(M13&gt;=$R$5,M13&lt;$R$4),1,
IF(AND(M13&gt;=$R$4,M13&lt;$R$3),2,
IF(M13&gt;=$R$3,3,
IF(AND(COUNTIF(N$6:N12,1)=0,COUNTIF(M$6:M12,"&lt;="&amp;$R$5)=(COUNTIF(M$6:M$20,"&lt;="&amp;$R$5)-1)),1,0))))</f>
        <v>3</v>
      </c>
      <c r="O13" s="466">
        <f>(IFERROR(P13-INDEX(P:P,MATCH(1,N:N,0)),0)+
IFERROR(P13-INDEX(P:P,MATCH(2,N:N,0)),0)*0.5+
IFERROR(P13-INDEX(P:P,MATCH(3,N:N,0)),0)*0.25
)/16*IF(ISBLANK(Beersheet!$A$1),1,16)</f>
        <v>-6.6151168750000027</v>
      </c>
      <c r="P13">
        <f>IF(Beersheet!$A$2="QB",
INDEX(Beersheet!$A:$U,MATCH(Draft!H13,Beersheet!$C:$C,0),FFARawStatProjections!$BQ$1),
INDEX('Draft Slayer Classic'!$K:$K,MATCH(H13,'Draft Slayer Classic'!$I:$I,0)))</f>
        <v>310.87009999999998</v>
      </c>
      <c r="Q13" s="557">
        <f>INDEX('Draft Slayer Classic'!$L:$L,MATCH(H13,'Draft Slayer Classic'!$I:$I,0))</f>
        <v>6</v>
      </c>
      <c r="R13">
        <f>IFERROR(IF(INDEX(Instructions!$V$64:$V$83,MATCH(Draft!H13,Instructions!$S$64:$S$83,0))&lt;='Draft Slayer Classic'!$E$25,1,0),0)</f>
        <v>0</v>
      </c>
      <c r="S13" s="197"/>
      <c r="T13" s="554" t="str">
        <f>INDEX('Draft Slayer Classic'!$T:$T,MATCH(SMALL('Draft Slayer Classic'!$AB:$AB,$G13),'Draft Slayer Classic'!$AB:$AB,0))</f>
        <v>Joe Mixon</v>
      </c>
      <c r="U13" s="555" t="str">
        <f>INDEX(FFARawStatProjections!$B:$B,MATCH(T13,FFARawStatProjections!$A:$A,0))</f>
        <v>CIN</v>
      </c>
      <c r="V13" s="556" t="str">
        <f>INDEX(FFARawStatProjections!$D:$D,MATCH(T13,FFARawStatProjections!$A:$A,0))&amp;IF(W13&gt;0," ("&amp;W13&amp;")","")</f>
        <v>7</v>
      </c>
      <c r="W13">
        <f>IFERROR(INDEX($BQ$8:$BQ$21,MATCH(INDEX(FFARawStatProjections!$D:$D,MATCH(T13,FFARawStatProjections!$A:$A,0)),$BP$8:$BP$21,0)),0)</f>
        <v>0</v>
      </c>
      <c r="X13" s="464">
        <f>INDEX(RBproj!M:M,MATCH(Draft!T13,RBproj!D:D,0))</f>
        <v>0</v>
      </c>
      <c r="Y13">
        <f>INDEX(ADP!$G:$G,MATCH(T13,ADP!$D:$D,0))</f>
        <v>30.600363000000002</v>
      </c>
      <c r="Z13">
        <f>IF(AND(Y13&gt;=$R$5,Y13&lt;$R$4),1,
IF(AND(Y13&gt;=$R$4,Y13&lt;$R$3),2,
IF(Y13&gt;=$R$3,3,
IF(AND(COUNTIF(Z$6:Z12,1)=0,COUNTIF(Y$6:Y12,"&lt;="&amp;$R$5)=(COUNTIF(Y$6:Y$20,"&lt;="&amp;$R$5)-1)),1,0))))</f>
        <v>2</v>
      </c>
      <c r="AA13" s="466">
        <f>(IFERROR(AB13-INDEX(AB:AB,MATCH(1,Z:Z,0)),0)+
IFERROR(AB13-INDEX(AB:AB,MATCH(2,Z:Z,0)),0)*0.5+
IFERROR(AB13-INDEX(AB:AB,MATCH(3,Z:Z,0)),0)*0.25
)/16*IF(ISBLANK(Beersheet!$A$1),1,16)</f>
        <v>-4.0490587500000021</v>
      </c>
      <c r="AB13">
        <f>IF(Beersheet!$A$2="QB",
INDEX(Beersheet!$A:$U,MATCH(Draft!T13,Beersheet!$C:$C,0),FFARawStatProjections!$BQ$1),
INDEX('Draft Slayer Classic'!$V:$V,MATCH(T13,'Draft Slayer Classic'!$T:$T,0)))</f>
        <v>237.80124000000001</v>
      </c>
      <c r="AC13" s="557">
        <f>INDEX('Draft Slayer Classic'!$W:$W,MATCH(T13,'Draft Slayer Classic'!$T:$T,0))</f>
        <v>4</v>
      </c>
      <c r="AD13">
        <f>IFERROR(IF(INDEX(Instructions!$X$64:$X$83,MATCH(Draft!T13,Instructions!$T$64:$T$83,0))&lt;='Draft Slayer Classic'!$E$25,1,0),0)</f>
        <v>0</v>
      </c>
      <c r="AE13" s="197"/>
      <c r="AF13" s="554" t="str">
        <f>INDEX('Draft Slayer Classic'!$AE:$AE,MATCH(SMALL('Draft Slayer Classic'!$AM:$AM,$G13),'Draft Slayer Classic'!$AM:$AM,0))</f>
        <v>DK Metcalf</v>
      </c>
      <c r="AG13" s="555" t="str">
        <f>INDEX(FFARawStatProjections!$B:$B,MATCH(AF13,FFARawStatProjections!$A:$A,0))</f>
        <v>SEA</v>
      </c>
      <c r="AH13" s="556" t="str">
        <f>INDEX(FFARawStatProjections!$D:$D,MATCH(AF13,FFARawStatProjections!$A:$A,0))&amp;IF(AI13&gt;0," ("&amp;AI13&amp;")","")</f>
        <v>5</v>
      </c>
      <c r="AI13">
        <f>IFERROR(INDEX($BQ$8:$BQ$21,MATCH(INDEX(FFARawStatProjections!$D:$D,MATCH(AF13,FFARawStatProjections!$A:$A,0)),$BP$8:$BP$21,0)),0)</f>
        <v>0</v>
      </c>
      <c r="AJ13" s="464">
        <f>INDEX(WRproj!M:M,MATCH(Draft!AF13,WRproj!D:D,0))</f>
        <v>0.29999999999999982</v>
      </c>
      <c r="AK13">
        <f>INDEX(ADP!$G:$G,MATCH(AF13,ADP!$D:$D,0))</f>
        <v>34.900509</v>
      </c>
      <c r="AL13">
        <f>IF(AND(AK13&gt;=$R$5,AK13&lt;$R$4),1,
IF(AND(AK13&gt;=$R$4,AK13&lt;$R$3),2,
IF(AK13&gt;=$R$3,3,
IF(AND(COUNTIF(AL$6:AL12,1)=0,COUNTIF(AK$6:AK12,"&lt;="&amp;$R$5)=(COUNTIF(AK$6:AK$20,"&lt;="&amp;$R$5)-1)),1,0))))</f>
        <v>2</v>
      </c>
      <c r="AM13" s="466">
        <f>(IFERROR(AN13-INDEX(AN:AN,MATCH(1,AL:AL,0)),0)+
IFERROR(AN13-INDEX(AN:AN,MATCH(2,AL:AL,0)),0)*0.5+
IFERROR(AN13-INDEX(AN:AN,MATCH(3,AL:AL,0)),0)*0.25
)/16*IF(ISBLANK(Beersheet!$A$1),1,16)</f>
        <v>-4.6415517187499997</v>
      </c>
      <c r="AN13">
        <f>IF(Beersheet!$A$2="QB",
INDEX(Beersheet!$A:$U,MATCH(Draft!AF13,Beersheet!$C:$C,0),FFARawStatProjections!$BQ$1),
INDEX('Draft Slayer Classic'!$AG:$AG,MATCH(AF13,'Draft Slayer Classic'!$AE:$AE,0)))</f>
        <v>226.29332000000002</v>
      </c>
      <c r="AO13" s="557">
        <f>INDEX('Draft Slayer Classic'!$AH:$AH,MATCH(AF13,'Draft Slayer Classic'!$AE:$AE,0))</f>
        <v>6</v>
      </c>
      <c r="AP13">
        <f>IFERROR(IF(INDEX(Instructions!$V$86:$V$105,MATCH(Draft!AF13,Instructions!$S$86:$S$105,0))&lt;='Draft Slayer Classic'!$E$25,1,0),0)</f>
        <v>0</v>
      </c>
      <c r="AQ13" s="197"/>
      <c r="AR13" s="554" t="str">
        <f>INDEX('Draft Slayer Classic'!$AP:$AP,MATCH(SMALL('Draft Slayer Classic'!$AX:$AX,$G13),'Draft Slayer Classic'!$AX:$AX,0))</f>
        <v>Patrick Freiermuth</v>
      </c>
      <c r="AS13" s="555" t="str">
        <f>INDEX(FFARawStatProjections!$B:$B,MATCH(AR13,FFARawStatProjections!$A:$A,0))</f>
        <v>PIT</v>
      </c>
      <c r="AT13" s="556" t="str">
        <f>INDEX(FFARawStatProjections!$D:$D,MATCH(AR13,FFARawStatProjections!$A:$A,0))&amp;IF(AU13&gt;0," ("&amp;AU13&amp;")","")</f>
        <v>6</v>
      </c>
      <c r="AU13">
        <f>IFERROR(INDEX($BQ$8:$BQ$21,MATCH(INDEX(FFARawStatProjections!$D:$D,MATCH(AR13,FFARawStatProjections!$A:$A,0)),$BP$8:$BP$21,0)),0)</f>
        <v>0</v>
      </c>
      <c r="AV13" s="464">
        <f>INDEX(TEproj!M:M,MATCH(Draft!AR13,TEproj!D:D,0))</f>
        <v>0.5</v>
      </c>
      <c r="AW13">
        <f>INDEX(ADP!$G:$G,MATCH(AR13,ADP!$D:$D,0))</f>
        <v>99.100179999999995</v>
      </c>
      <c r="AX13">
        <f>IF(AND(AW13&gt;=$R$5,AW13&lt;$R$4),1,
IF(AND(AW13&gt;=$R$4,AW13&lt;$R$3),2,
IF(AW13&gt;=$R$3,3,
IF(AND(COUNTIF(AX$6:AX12,1)=0,COUNTIF(AW$6:AW12,"&lt;="&amp;$R$5)=(COUNTIF(AW$6:AW$20,"&lt;="&amp;$R$5)-1)),1,0))))</f>
        <v>3</v>
      </c>
      <c r="AY13" s="466">
        <f>(IFERROR(AZ13-INDEX(AZ:AZ,MATCH(1,AX:AX,0)),0)+
IFERROR(AZ13-INDEX(AZ:AZ,MATCH(2,AX:AX,0)),0)*0.5+
IFERROR(AZ13-INDEX(AZ:AZ,MATCH(3,AX:AX,0)),0)*0.25
)/16*IF(ISBLANK(Beersheet!$A$1),1,16)</f>
        <v>-9.5890573437499995</v>
      </c>
      <c r="AZ13">
        <f>IF(Beersheet!$A$2="QB",
INDEX(Beersheet!$A:$U,MATCH(Draft!AR13,Beersheet!$C:$C,0),FFARawStatProjections!$BQ$1),
INDEX('Draft Slayer Classic'!$AR:$AR,MATCH(AR13,'Draft Slayer Classic'!$AP:$AP,0)))</f>
        <v>147.79615999999999</v>
      </c>
      <c r="BA13" s="557">
        <f>INDEX('Draft Slayer Classic'!$AS:$AS,MATCH(AR13,'Draft Slayer Classic'!$AP:$AP,0))</f>
        <v>6</v>
      </c>
      <c r="BB13">
        <f>IFERROR(IF(INDEX(Instructions!$X$86:$X$105,MATCH(Draft!AR13,Instructions!$T$86:$T$105,0))&lt;='Draft Slayer Classic'!$E$25,1,0),0)</f>
        <v>0</v>
      </c>
      <c r="BC13" s="197"/>
      <c r="BD13" s="554" t="str">
        <f>INDEX('Draft Slayer Classic'!$BA:$BA,MATCH(SMALL('Draft Slayer Classic'!$BD:$BD,$G13),'Draft Slayer Classic'!$BD:$BD,0))</f>
        <v>SF</v>
      </c>
      <c r="BE13" s="557" t="str">
        <f>INDEX(FFARawStatProjections!$D:$D,MATCH(BD13,FFARawStatProjections!$B:$B,0))&amp;IF(BF13&gt;0," ("&amp;BF13&amp;")","")</f>
        <v>9</v>
      </c>
      <c r="BF13">
        <f>IFERROR(INDEX($BQ$8:$BQ$21,MATCH(INDEX(FFARawStatProjections!$D:$D,MATCH(BC13,FFARawStatProjections!$A:$A,0)),$BP$8:$BP$21,0)),0)</f>
        <v>0</v>
      </c>
      <c r="BG13" s="464">
        <f>INDEX(FFARawStatProjections!$E:$E,MATCH(BD13,FFARawStatProjections!$B:$B,0))*0.1</f>
        <v>0</v>
      </c>
      <c r="BH13"/>
      <c r="BI13" s="197"/>
      <c r="BJ13" s="554" t="str">
        <f>INDEX('Draft Slayer Classic'!$BF:$BF,MATCH(SMALL('Draft Slayer Classic'!$BJ:$BJ,$G13),'Draft Slayer Classic'!$BJ:$BJ,0))</f>
        <v>Daniel Carlson</v>
      </c>
      <c r="BK13" s="555" t="str">
        <f>INDEX(FFARawStatProjections!$B:$B,MATCH(BJ13,FFARawStatProjections!$A:$A,0))</f>
        <v>LV</v>
      </c>
      <c r="BL13" s="557" t="str">
        <f>INDEX(FFARawStatProjections!$D:$D,MATCH(BJ13,FFARawStatProjections!$A:$A,0))&amp;IF(BM13&gt;0," ("&amp;BM13&amp;")","")</f>
        <v>13</v>
      </c>
      <c r="BM13">
        <f>IFERROR(INDEX($BQ$8:$BQ$21,MATCH(INDEX(FFARawStatProjections!$D:$D,MATCH(BJ13,FFARawStatProjections!$A:$A,0)),$BP$8:$BP$21,0)),0)</f>
        <v>0</v>
      </c>
      <c r="BN13" s="466">
        <f>INDEX(FFARawStatProjections!$E:$E,MATCH(Draft!BJ13,FFARawStatProjections!$A:$A,0))*0.1</f>
        <v>0</v>
      </c>
      <c r="BO13" s="197"/>
      <c r="BP13" s="465">
        <v>6</v>
      </c>
      <c r="BQ13" s="465">
        <f>IFERROR(COUNTIF('Draft Slayer Classic'!$E$29:$E$53,Draft!BP13),0)</f>
        <v>0</v>
      </c>
      <c r="BS13"/>
      <c r="BT13" t="str">
        <f>IF(FFARawStatProjections!A8=0,"",FFARawStatProjections!A8)</f>
        <v>Justin Herbert</v>
      </c>
      <c r="BU13" t="str">
        <f>IF(FFARawStatProjections!C8=0,"",FFARawStatProjections!C8)</f>
        <v>QB</v>
      </c>
      <c r="BV13" t="str">
        <f>IF(FFARawStatProjections!B8=0,"",FFARawStatProjections!B8)</f>
        <v>LAC</v>
      </c>
      <c r="BW13" s="89"/>
      <c r="BX13">
        <v>7</v>
      </c>
      <c r="BY13" s="89" t="str">
        <f t="shared" si="3"/>
        <v/>
      </c>
      <c r="BZ13" s="89" t="str">
        <f t="shared" si="4"/>
        <v/>
      </c>
      <c r="CA13" s="89" t="str">
        <f t="shared" si="5"/>
        <v/>
      </c>
    </row>
    <row r="14" spans="1:82" s="465" customFormat="1" ht="33.75" customHeight="1" x14ac:dyDescent="0.25">
      <c r="A14" s="473" t="str">
        <f t="shared" si="1"/>
        <v/>
      </c>
      <c r="B14" s="474"/>
      <c r="C14" s="479" t="str">
        <f t="shared" si="0"/>
        <v/>
      </c>
      <c r="D14" s="190" t="str">
        <f t="shared" si="2"/>
        <v/>
      </c>
      <c r="E14" s="190">
        <f>IFERROR(INDEX(Instructions!$U$111:$U$222,MATCH(Draft!A14,Instructions!$U$111:$U$222,0)),0)</f>
        <v>0</v>
      </c>
      <c r="F14" s="197"/>
      <c r="G14">
        <v>9</v>
      </c>
      <c r="H14" s="549" t="str">
        <f>INDEX('Draft Slayer Classic'!$I:$I,MATCH(SMALL('Draft Slayer Classic'!$Q:$Q,$G14),'Draft Slayer Classic'!$Q:$Q,0))</f>
        <v>Dak Prescott</v>
      </c>
      <c r="I14" s="550" t="str">
        <f>INDEX(FFARawStatProjections!$B:$B,MATCH(H14,FFARawStatProjections!$A:$A,0))</f>
        <v>DAL</v>
      </c>
      <c r="J14" s="551" t="str">
        <f>INDEX(FFARawStatProjections!$D:$D,MATCH(H14,FFARawStatProjections!$A:$A,0))&amp;IF(K14&gt;0," ("&amp;K14&amp;")","")</f>
        <v>7</v>
      </c>
      <c r="K14">
        <f>IFERROR(INDEX($BQ$8:$BQ$21,MATCH(INDEX(FFARawStatProjections!$D:$D,MATCH(H14,FFARawStatProjections!$A:$A,0)),$BP$8:$BP$21,0)),0)</f>
        <v>0</v>
      </c>
      <c r="L14" s="552">
        <f>INDEX(QBproj!M:M,MATCH(Draft!H14,QBproj!D:D,0))</f>
        <v>0</v>
      </c>
      <c r="M14">
        <f>INDEX(ADP!$G:$G,MATCH(H14,ADP!$D:$D,0))</f>
        <v>77.500583000000006</v>
      </c>
      <c r="N14">
        <f>IF(AND(M14&gt;=$R$5,M14&lt;$R$4),1,
IF(AND(M14&gt;=$R$4,M14&lt;$R$3),2,
IF(M14&gt;=$R$3,3,
IF(AND(COUNTIF(N$6:N13,1)=0,COUNTIF(M$6:M13,"&lt;="&amp;$R$5)=(COUNTIF(M$6:M$20,"&lt;="&amp;$R$5)-1)),1,0))))</f>
        <v>3</v>
      </c>
      <c r="O14" s="552">
        <f>(IFERROR(P14-INDEX(P:P,MATCH(1,N:N,0)),0)+
IFERROR(P14-INDEX(P:P,MATCH(2,N:N,0)),0)*0.5+
IFERROR(P14-INDEX(P:P,MATCH(3,N:N,0)),0)*0.25
)/16*IF(ISBLANK(Beersheet!$A$1),1,16)</f>
        <v>-6.998586718750003</v>
      </c>
      <c r="P14">
        <f>IF(Beersheet!$A$2="QB",
INDEX(Beersheet!$A:$U,MATCH(Draft!H14,Beersheet!$C:$C,0),FFARawStatProjections!$BQ$1),
INDEX('Draft Slayer Classic'!$K:$K,MATCH(H14,'Draft Slayer Classic'!$I:$I,0)))</f>
        <v>307.36408999999998</v>
      </c>
      <c r="Q14" s="553">
        <f>INDEX('Draft Slayer Classic'!$L:$L,MATCH(H14,'Draft Slayer Classic'!$I:$I,0))</f>
        <v>6</v>
      </c>
      <c r="R14">
        <f>IFERROR(IF(INDEX(Instructions!$V$64:$V$83,MATCH(Draft!H14,Instructions!$S$64:$S$83,0))&lt;='Draft Slayer Classic'!$E$25,1,0),0)</f>
        <v>0</v>
      </c>
      <c r="S14" s="197"/>
      <c r="T14" s="549" t="str">
        <f>INDEX('Draft Slayer Classic'!$T:$T,MATCH(SMALL('Draft Slayer Classic'!$AB:$AB,$G14),'Draft Slayer Classic'!$AB:$AB,0))</f>
        <v>Aaron Jones</v>
      </c>
      <c r="U14" s="550" t="str">
        <f>INDEX(FFARawStatProjections!$B:$B,MATCH(T14,FFARawStatProjections!$A:$A,0))</f>
        <v>GB</v>
      </c>
      <c r="V14" s="551" t="str">
        <f>INDEX(FFARawStatProjections!$D:$D,MATCH(T14,FFARawStatProjections!$A:$A,0))&amp;IF(W14&gt;0," ("&amp;W14&amp;")","")</f>
        <v>6</v>
      </c>
      <c r="W14">
        <f>IFERROR(INDEX($BQ$8:$BQ$21,MATCH(INDEX(FFARawStatProjections!$D:$D,MATCH(T14,FFARawStatProjections!$A:$A,0)),$BP$8:$BP$21,0)),0)</f>
        <v>0</v>
      </c>
      <c r="X14" s="552">
        <f>INDEX(RBproj!M:M,MATCH(Draft!T14,RBproj!D:D,0))</f>
        <v>9.9999999999999645E-2</v>
      </c>
      <c r="Y14">
        <f>INDEX(ADP!$G:$G,MATCH(T14,ADP!$D:$D,0))</f>
        <v>35.600726999999999</v>
      </c>
      <c r="Z14">
        <f>IF(AND(Y14&gt;=$R$5,Y14&lt;$R$4),1,
IF(AND(Y14&gt;=$R$4,Y14&lt;$R$3),2,
IF(Y14&gt;=$R$3,3,
IF(AND(COUNTIF(Z$6:Z13,1)=0,COUNTIF(Y$6:Y13,"&lt;="&amp;$R$5)=(COUNTIF(Y$6:Y$20,"&lt;="&amp;$R$5)-1)),1,0))))</f>
        <v>2</v>
      </c>
      <c r="AA14" s="552">
        <f>(IFERROR(AB14-INDEX(AB:AB,MATCH(1,Z:Z,0)),0)+
IFERROR(AB14-INDEX(AB:AB,MATCH(2,Z:Z,0)),0)*0.5+
IFERROR(AB14-INDEX(AB:AB,MATCH(3,Z:Z,0)),0)*0.25
)/16*IF(ISBLANK(Beersheet!$A$1),1,16)</f>
        <v>-4.2667128125000016</v>
      </c>
      <c r="AB14">
        <f>IF(Beersheet!$A$2="QB",
INDEX(Beersheet!$A:$U,MATCH(Draft!T14,Beersheet!$C:$C,0),FFARawStatProjections!$BQ$1),
INDEX('Draft Slayer Classic'!$V:$V,MATCH(T14,'Draft Slayer Classic'!$T:$T,0)))</f>
        <v>235.81126</v>
      </c>
      <c r="AC14" s="553">
        <f>INDEX('Draft Slayer Classic'!$W:$W,MATCH(T14,'Draft Slayer Classic'!$T:$T,0))</f>
        <v>4</v>
      </c>
      <c r="AD14">
        <f>IFERROR(IF(INDEX(Instructions!$X$64:$X$83,MATCH(Draft!T14,Instructions!$T$64:$T$83,0))&lt;='Draft Slayer Classic'!$E$25,1,0),0)</f>
        <v>0</v>
      </c>
      <c r="AE14" s="197"/>
      <c r="AF14" s="549" t="str">
        <f>INDEX('Draft Slayer Classic'!$AE:$AE,MATCH(SMALL('Draft Slayer Classic'!$AM:$AM,$G14),'Draft Slayer Classic'!$AM:$AM,0))</f>
        <v>DeVonta Smith</v>
      </c>
      <c r="AG14" s="550" t="str">
        <f>INDEX(FFARawStatProjections!$B:$B,MATCH(AF14,FFARawStatProjections!$A:$A,0))</f>
        <v>PHI</v>
      </c>
      <c r="AH14" s="551" t="str">
        <f>INDEX(FFARawStatProjections!$D:$D,MATCH(AF14,FFARawStatProjections!$A:$A,0))&amp;IF(AI14&gt;0," ("&amp;AI14&amp;")","")</f>
        <v>10</v>
      </c>
      <c r="AI14">
        <f>IFERROR(INDEX($BQ$8:$BQ$21,MATCH(INDEX(FFARawStatProjections!$D:$D,MATCH(AF14,FFARawStatProjections!$A:$A,0)),$BP$8:$BP$21,0)),0)</f>
        <v>0</v>
      </c>
      <c r="AJ14" s="552">
        <f>INDEX(WRproj!M:M,MATCH(Draft!AF14,WRproj!D:D,0))</f>
        <v>0</v>
      </c>
      <c r="AK14">
        <f>INDEX(ADP!$G:$G,MATCH(AF14,ADP!$D:$D,0))</f>
        <v>30.000516000000001</v>
      </c>
      <c r="AL14">
        <f>IF(AND(AK14&gt;=$R$5,AK14&lt;$R$4),1,
IF(AND(AK14&gt;=$R$4,AK14&lt;$R$3),2,
IF(AK14&gt;=$R$3,3,
IF(AND(COUNTIF(AL$6:AL13,1)=0,COUNTIF(AK$6:AK13,"&lt;="&amp;$R$5)=(COUNTIF(AK$6:AK$20,"&lt;="&amp;$R$5)-1)),1,0))))</f>
        <v>2</v>
      </c>
      <c r="AM14" s="552">
        <f>(IFERROR(AN14-INDEX(AN:AN,MATCH(1,AL:AL,0)),0)+
IFERROR(AN14-INDEX(AN:AN,MATCH(2,AL:AL,0)),0)*0.5+
IFERROR(AN14-INDEX(AN:AN,MATCH(3,AL:AL,0)),0)*0.25
)/16*IF(ISBLANK(Beersheet!$A$1),1,16)</f>
        <v>-4.9751378125000016</v>
      </c>
      <c r="AN14">
        <f>IF(Beersheet!$A$2="QB",
INDEX(Beersheet!$A:$U,MATCH(Draft!AF14,Beersheet!$C:$C,0),FFARawStatProjections!$BQ$1),
INDEX('Draft Slayer Classic'!$AG:$AG,MATCH(AF14,'Draft Slayer Classic'!$AE:$AE,0)))</f>
        <v>223.24339000000001</v>
      </c>
      <c r="AO14" s="553">
        <f>INDEX('Draft Slayer Classic'!$AH:$AH,MATCH(AF14,'Draft Slayer Classic'!$AE:$AE,0))</f>
        <v>6</v>
      </c>
      <c r="AP14">
        <f>IFERROR(IF(INDEX(Instructions!$V$86:$V$105,MATCH(Draft!AF14,Instructions!$S$86:$S$105,0))&lt;='Draft Slayer Classic'!$E$25,1,0),0)</f>
        <v>0</v>
      </c>
      <c r="AQ14" s="197"/>
      <c r="AR14" s="549" t="str">
        <f>INDEX('Draft Slayer Classic'!$AP:$AP,MATCH(SMALL('Draft Slayer Classic'!$AX:$AX,$G14),'Draft Slayer Classic'!$AX:$AX,0))</f>
        <v>Dalton Schultz</v>
      </c>
      <c r="AS14" s="550" t="str">
        <f>INDEX(FFARawStatProjections!$B:$B,MATCH(AR14,FFARawStatProjections!$A:$A,0))</f>
        <v>HOU</v>
      </c>
      <c r="AT14" s="551" t="str">
        <f>INDEX(FFARawStatProjections!$D:$D,MATCH(AR14,FFARawStatProjections!$A:$A,0))&amp;IF(AU14&gt;0," ("&amp;AU14&amp;")","")</f>
        <v>7</v>
      </c>
      <c r="AU14">
        <f>IFERROR(INDEX($BQ$8:$BQ$21,MATCH(INDEX(FFARawStatProjections!$D:$D,MATCH(AR14,FFARawStatProjections!$A:$A,0)),$BP$8:$BP$21,0)),0)</f>
        <v>0</v>
      </c>
      <c r="AV14" s="552">
        <f>INDEX(TEproj!M:M,MATCH(Draft!AR14,TEproj!D:D,0))</f>
        <v>1.4000000000000004</v>
      </c>
      <c r="AW14">
        <f>INDEX(ADP!$G:$G,MATCH(AR14,ADP!$D:$D,0))</f>
        <v>109.800578</v>
      </c>
      <c r="AX14">
        <f>IF(AND(AW14&gt;=$R$5,AW14&lt;$R$4),1,
IF(AND(AW14&gt;=$R$4,AW14&lt;$R$3),2,
IF(AW14&gt;=$R$3,3,
IF(AND(COUNTIF(AX$6:AX13,1)=0,COUNTIF(AW$6:AW13,"&lt;="&amp;$R$5)=(COUNTIF(AW$6:AW$20,"&lt;="&amp;$R$5)-1)),1,0))))</f>
        <v>3</v>
      </c>
      <c r="AY14" s="552">
        <f>(IFERROR(AZ14-INDEX(AZ:AZ,MATCH(1,AX:AX,0)),0)+
IFERROR(AZ14-INDEX(AZ:AZ,MATCH(2,AX:AX,0)),0)*0.5+
IFERROR(AZ14-INDEX(AZ:AZ,MATCH(3,AX:AX,0)),0)*0.25
)/16*IF(ISBLANK(Beersheet!$A$1),1,16)</f>
        <v>-10.167959687499998</v>
      </c>
      <c r="AZ14">
        <f>IF(Beersheet!$A$2="QB",
INDEX(Beersheet!$A:$U,MATCH(Draft!AR14,Beersheet!$C:$C,0),FFARawStatProjections!$BQ$1),
INDEX('Draft Slayer Classic'!$AR:$AR,MATCH(AR14,'Draft Slayer Classic'!$AP:$AP,0)))</f>
        <v>140.38621000000001</v>
      </c>
      <c r="BA14" s="553">
        <f>INDEX('Draft Slayer Classic'!$AS:$AS,MATCH(AR14,'Draft Slayer Classic'!$AP:$AP,0))</f>
        <v>6</v>
      </c>
      <c r="BB14">
        <f>IFERROR(IF(INDEX(Instructions!$X$86:$X$105,MATCH(Draft!AR14,Instructions!$T$86:$T$105,0))&lt;='Draft Slayer Classic'!$E$25,1,0),0)</f>
        <v>0</v>
      </c>
      <c r="BC14" s="197"/>
      <c r="BD14" s="549" t="str">
        <f>INDEX('Draft Slayer Classic'!$BA:$BA,MATCH(SMALL('Draft Slayer Classic'!$BD:$BD,$G14),'Draft Slayer Classic'!$BD:$BD,0))</f>
        <v>WAS</v>
      </c>
      <c r="BE14" s="553" t="str">
        <f>INDEX(FFARawStatProjections!$D:$D,MATCH(BD14,FFARawStatProjections!$B:$B,0))&amp;IF(BF14&gt;0," ("&amp;BF14&amp;")","")</f>
        <v>14</v>
      </c>
      <c r="BF14">
        <f>IFERROR(INDEX($BQ$8:$BQ$21,MATCH(INDEX(FFARawStatProjections!$D:$D,MATCH(BC14,FFARawStatProjections!$A:$A,0)),$BP$8:$BP$21,0)),0)</f>
        <v>0</v>
      </c>
      <c r="BG14" s="464">
        <f>INDEX(FFARawStatProjections!$E:$E,MATCH(BD14,FFARawStatProjections!$B:$B,0))*0.1</f>
        <v>0</v>
      </c>
      <c r="BH14"/>
      <c r="BI14" s="197"/>
      <c r="BJ14" s="549" t="str">
        <f>INDEX('Draft Slayer Classic'!$BF:$BF,MATCH(SMALL('Draft Slayer Classic'!$BJ:$BJ,$G14),'Draft Slayer Classic'!$BJ:$BJ,0))</f>
        <v>Jake Elliott</v>
      </c>
      <c r="BK14" s="550" t="str">
        <f>INDEX(FFARawStatProjections!$B:$B,MATCH(BJ14,FFARawStatProjections!$A:$A,0))</f>
        <v>PHI</v>
      </c>
      <c r="BL14" s="553" t="str">
        <f>INDEX(FFARawStatProjections!$D:$D,MATCH(BJ14,FFARawStatProjections!$A:$A,0))&amp;IF(BM14&gt;0," ("&amp;BM14&amp;")","")</f>
        <v>10</v>
      </c>
      <c r="BM14">
        <f>IFERROR(INDEX($BQ$8:$BQ$21,MATCH(INDEX(FFARawStatProjections!$D:$D,MATCH(BJ14,FFARawStatProjections!$A:$A,0)),$BP$8:$BP$21,0)),0)</f>
        <v>0</v>
      </c>
      <c r="BN14" s="466">
        <f>INDEX(FFARawStatProjections!$E:$E,MATCH(Draft!BJ14,FFARawStatProjections!$A:$A,0))*0.1</f>
        <v>0</v>
      </c>
      <c r="BO14" s="197"/>
      <c r="BP14" s="465">
        <v>7</v>
      </c>
      <c r="BQ14" s="465">
        <f>IFERROR(COUNTIF('Draft Slayer Classic'!$E$29:$E$53,Draft!BP14),0)</f>
        <v>0</v>
      </c>
      <c r="BS14"/>
      <c r="BT14" t="str">
        <f>IF(FFARawStatProjections!A9=0,"",FFARawStatProjections!A9)</f>
        <v>Deshaun Watson</v>
      </c>
      <c r="BU14" t="str">
        <f>IF(FFARawStatProjections!C9=0,"",FFARawStatProjections!C9)</f>
        <v>QB</v>
      </c>
      <c r="BV14" t="str">
        <f>IF(FFARawStatProjections!B9=0,"",FFARawStatProjections!B9)</f>
        <v>CLE</v>
      </c>
      <c r="BW14" s="89"/>
      <c r="BX14">
        <v>8</v>
      </c>
      <c r="BY14" s="89" t="str">
        <f t="shared" si="3"/>
        <v/>
      </c>
      <c r="BZ14" s="89" t="str">
        <f t="shared" si="4"/>
        <v/>
      </c>
      <c r="CA14" s="89" t="str">
        <f t="shared" si="5"/>
        <v/>
      </c>
    </row>
    <row r="15" spans="1:82" s="465" customFormat="1" ht="33.75" customHeight="1" x14ac:dyDescent="0.25">
      <c r="A15" s="469" t="str">
        <f t="shared" si="1"/>
        <v/>
      </c>
      <c r="B15" s="472"/>
      <c r="C15" s="478" t="str">
        <f t="shared" si="0"/>
        <v/>
      </c>
      <c r="D15" s="190" t="str">
        <f t="shared" si="2"/>
        <v/>
      </c>
      <c r="E15" s="190">
        <f>IFERROR(INDEX(Instructions!$U$111:$U$222,MATCH(Draft!A15,Instructions!$U$111:$U$222,0)),0)</f>
        <v>0</v>
      </c>
      <c r="F15" s="197"/>
      <c r="G15">
        <v>10</v>
      </c>
      <c r="H15" s="554" t="str">
        <f>INDEX('Draft Slayer Classic'!$I:$I,MATCH(SMALL('Draft Slayer Classic'!$Q:$Q,$G15),'Draft Slayer Classic'!$Q:$Q,0))</f>
        <v>Kirk Cousins</v>
      </c>
      <c r="I15" s="555" t="str">
        <f>INDEX(FFARawStatProjections!$B:$B,MATCH(H15,FFARawStatProjections!$A:$A,0))</f>
        <v>MIN</v>
      </c>
      <c r="J15" s="556" t="str">
        <f>INDEX(FFARawStatProjections!$D:$D,MATCH(H15,FFARawStatProjections!$A:$A,0))&amp;IF(K15&gt;0," ("&amp;K15&amp;")","")</f>
        <v>13</v>
      </c>
      <c r="K15">
        <f>IFERROR(INDEX($BQ$8:$BQ$21,MATCH(INDEX(FFARawStatProjections!$D:$D,MATCH(H15,FFARawStatProjections!$A:$A,0)),$BP$8:$BP$21,0)),0)</f>
        <v>0</v>
      </c>
      <c r="L15" s="466">
        <f>INDEX(QBproj!M:M,MATCH(Draft!H15,QBproj!D:D,0))</f>
        <v>1.2999999999999989</v>
      </c>
      <c r="M15">
        <f>INDEX(ADP!$G:$G,MATCH(H15,ADP!$D:$D,0))</f>
        <v>90.800286999999997</v>
      </c>
      <c r="N15">
        <f>IF(AND(M15&gt;=$R$5,M15&lt;$R$4),1,
IF(AND(M15&gt;=$R$4,M15&lt;$R$3),2,
IF(M15&gt;=$R$3,3,
IF(AND(COUNTIF(N$6:N14,1)=0,COUNTIF(M$6:M14,"&lt;="&amp;$R$5)=(COUNTIF(M$6:M$20,"&lt;="&amp;$R$5)-1)),1,0))))</f>
        <v>3</v>
      </c>
      <c r="O15" s="466">
        <f>(IFERROR(P15-INDEX(P:P,MATCH(1,N:N,0)),0)+
IFERROR(P15-INDEX(P:P,MATCH(2,N:N,0)),0)*0.5+
IFERROR(P15-INDEX(P:P,MATCH(3,N:N,0)),0)*0.25
)/16*IF(ISBLANK(Beersheet!$A$1),1,16)</f>
        <v>-7.1891157812499982</v>
      </c>
      <c r="P15">
        <f>IF(Beersheet!$A$2="QB",
INDEX(Beersheet!$A:$U,MATCH(Draft!H15,Beersheet!$C:$C,0),FFARawStatProjections!$BQ$1),
INDEX('Draft Slayer Classic'!$K:$K,MATCH(H15,'Draft Slayer Classic'!$I:$I,0)))</f>
        <v>305.62211000000002</v>
      </c>
      <c r="Q15" s="557">
        <f>INDEX('Draft Slayer Classic'!$L:$L,MATCH(H15,'Draft Slayer Classic'!$I:$I,0))</f>
        <v>6</v>
      </c>
      <c r="R15">
        <f>IFERROR(IF(INDEX(Instructions!$V$64:$V$83,MATCH(Draft!H15,Instructions!$S$64:$S$83,0))&lt;='Draft Slayer Classic'!$E$25,1,0),0)</f>
        <v>0</v>
      </c>
      <c r="S15" s="197"/>
      <c r="T15" s="554" t="str">
        <f>INDEX('Draft Slayer Classic'!$T:$T,MATCH(SMALL('Draft Slayer Classic'!$AB:$AB,$G15),'Draft Slayer Classic'!$AB:$AB,0))</f>
        <v>Najee Harris</v>
      </c>
      <c r="U15" s="555" t="str">
        <f>INDEX(FFARawStatProjections!$B:$B,MATCH(T15,FFARawStatProjections!$A:$A,0))</f>
        <v>PIT</v>
      </c>
      <c r="V15" s="556" t="str">
        <f>INDEX(FFARawStatProjections!$D:$D,MATCH(T15,FFARawStatProjections!$A:$A,0))&amp;IF(W15&gt;0," ("&amp;W15&amp;")","")</f>
        <v>6</v>
      </c>
      <c r="W15">
        <f>IFERROR(INDEX($BQ$8:$BQ$21,MATCH(INDEX(FFARawStatProjections!$D:$D,MATCH(T15,FFARawStatProjections!$A:$A,0)),$BP$8:$BP$21,0)),0)</f>
        <v>0</v>
      </c>
      <c r="X15" s="464">
        <f>INDEX(RBproj!M:M,MATCH(Draft!T15,RBproj!D:D,0))</f>
        <v>0.20000000000000018</v>
      </c>
      <c r="Y15">
        <f>INDEX(ADP!$G:$G,MATCH(T15,ADP!$D:$D,0))</f>
        <v>26.000205999999999</v>
      </c>
      <c r="Z15">
        <f>IF(AND(Y15&gt;=$R$5,Y15&lt;$R$4),1,
IF(AND(Y15&gt;=$R$4,Y15&lt;$R$3),2,
IF(Y15&gt;=$R$3,3,
IF(AND(COUNTIF(Z$6:Z14,1)=0,COUNTIF(Y$6:Y14,"&lt;="&amp;$R$5)=(COUNTIF(Y$6:Y$20,"&lt;="&amp;$R$5)-1)),1,0))))</f>
        <v>2</v>
      </c>
      <c r="AA15" s="466">
        <f>(IFERROR(AB15-INDEX(AB:AB,MATCH(1,Z:Z,0)),0)+
IFERROR(AB15-INDEX(AB:AB,MATCH(2,Z:Z,0)),0)*0.5+
IFERROR(AB15-INDEX(AB:AB,MATCH(3,Z:Z,0)),0)*0.25
)/16*IF(ISBLANK(Beersheet!$A$1),1,16)</f>
        <v>-5.6492117187500002</v>
      </c>
      <c r="AB15">
        <f>IF(Beersheet!$A$2="QB",
INDEX(Beersheet!$A:$U,MATCH(Draft!T15,Beersheet!$C:$C,0),FFARawStatProjections!$BQ$1),
INDEX('Draft Slayer Classic'!$V:$V,MATCH(T15,'Draft Slayer Classic'!$T:$T,0)))</f>
        <v>223.17127000000002</v>
      </c>
      <c r="AC15" s="557">
        <f>INDEX('Draft Slayer Classic'!$W:$W,MATCH(T15,'Draft Slayer Classic'!$T:$T,0))</f>
        <v>5</v>
      </c>
      <c r="AD15">
        <f>IFERROR(IF(INDEX(Instructions!$X$64:$X$83,MATCH(Draft!T15,Instructions!$T$64:$T$83,0))&lt;='Draft Slayer Classic'!$E$25,1,0),0)</f>
        <v>0</v>
      </c>
      <c r="AE15" s="197"/>
      <c r="AF15" s="554" t="str">
        <f>INDEX('Draft Slayer Classic'!$AE:$AE,MATCH(SMALL('Draft Slayer Classic'!$AM:$AM,$G15),'Draft Slayer Classic'!$AM:$AM,0))</f>
        <v>Calvin Ridley</v>
      </c>
      <c r="AG15" s="555" t="str">
        <f>INDEX(FFARawStatProjections!$B:$B,MATCH(AF15,FFARawStatProjections!$A:$A,0))</f>
        <v>JAC</v>
      </c>
      <c r="AH15" s="556" t="str">
        <f>INDEX(FFARawStatProjections!$D:$D,MATCH(AF15,FFARawStatProjections!$A:$A,0))&amp;IF(AI15&gt;0," ("&amp;AI15&amp;")","")</f>
        <v>9</v>
      </c>
      <c r="AI15">
        <f>IFERROR(INDEX($BQ$8:$BQ$21,MATCH(INDEX(FFARawStatProjections!$D:$D,MATCH(AF15,FFARawStatProjections!$A:$A,0)),$BP$8:$BP$21,0)),0)</f>
        <v>0</v>
      </c>
      <c r="AJ15" s="464">
        <f>INDEX(WRproj!M:M,MATCH(Draft!AF15,WRproj!D:D,0))</f>
        <v>0.20000000000000018</v>
      </c>
      <c r="AK15">
        <f>INDEX(ADP!$G:$G,MATCH(AF15,ADP!$D:$D,0))</f>
        <v>35.700642999999999</v>
      </c>
      <c r="AL15">
        <f>IF(AND(AK15&gt;=$R$5,AK15&lt;$R$4),1,
IF(AND(AK15&gt;=$R$4,AK15&lt;$R$3),2,
IF(AK15&gt;=$R$3,3,
IF(AND(COUNTIF(AL$6:AL14,1)=0,COUNTIF(AK$6:AK14,"&lt;="&amp;$R$5)=(COUNTIF(AK$6:AK$20,"&lt;="&amp;$R$5)-1)),1,0))))</f>
        <v>2</v>
      </c>
      <c r="AM15" s="466">
        <f>(IFERROR(AN15-INDEX(AN:AN,MATCH(1,AL:AL,0)),0)+
IFERROR(AN15-INDEX(AN:AN,MATCH(2,AL:AL,0)),0)*0.5+
IFERROR(AN15-INDEX(AN:AN,MATCH(3,AL:AL,0)),0)*0.25
)/16*IF(ISBLANK(Beersheet!$A$1),1,16)</f>
        <v>-5.0681207812499993</v>
      </c>
      <c r="AN15">
        <f>IF(Beersheet!$A$2="QB",
INDEX(Beersheet!$A:$U,MATCH(Draft!AF15,Beersheet!$C:$C,0),FFARawStatProjections!$BQ$1),
INDEX('Draft Slayer Classic'!$AG:$AG,MATCH(AF15,'Draft Slayer Classic'!$AE:$AE,0)))</f>
        <v>222.39326000000003</v>
      </c>
      <c r="AO15" s="557">
        <f>INDEX('Draft Slayer Classic'!$AH:$AH,MATCH(AF15,'Draft Slayer Classic'!$AE:$AE,0))</f>
        <v>6</v>
      </c>
      <c r="AP15">
        <f>IFERROR(IF(INDEX(Instructions!$V$86:$V$105,MATCH(Draft!AF15,Instructions!$S$86:$S$105,0))&lt;='Draft Slayer Classic'!$E$25,1,0),0)</f>
        <v>0</v>
      </c>
      <c r="AQ15" s="197"/>
      <c r="AR15" s="554" t="str">
        <f>INDEX('Draft Slayer Classic'!$AP:$AP,MATCH(SMALL('Draft Slayer Classic'!$AX:$AX,$G15),'Draft Slayer Classic'!$AX:$AX,0))</f>
        <v>David Njoku</v>
      </c>
      <c r="AS15" s="555" t="str">
        <f>INDEX(FFARawStatProjections!$B:$B,MATCH(AR15,FFARawStatProjections!$A:$A,0))</f>
        <v>CLE</v>
      </c>
      <c r="AT15" s="556" t="str">
        <f>INDEX(FFARawStatProjections!$D:$D,MATCH(AR15,FFARawStatProjections!$A:$A,0))&amp;IF(AU15&gt;0," ("&amp;AU15&amp;")","")</f>
        <v>5</v>
      </c>
      <c r="AU15">
        <f>IFERROR(INDEX($BQ$8:$BQ$21,MATCH(INDEX(FFARawStatProjections!$D:$D,MATCH(AR15,FFARawStatProjections!$A:$A,0)),$BP$8:$BP$21,0)),0)</f>
        <v>0</v>
      </c>
      <c r="AV15" s="464">
        <f>INDEX(TEproj!M:M,MATCH(Draft!AR15,TEproj!D:D,0))</f>
        <v>0</v>
      </c>
      <c r="AW15">
        <f>INDEX(ADP!$G:$G,MATCH(AR15,ADP!$D:$D,0))</f>
        <v>115.600551</v>
      </c>
      <c r="AX15">
        <f>IF(AND(AW15&gt;=$R$5,AW15&lt;$R$4),1,
IF(AND(AW15&gt;=$R$4,AW15&lt;$R$3),2,
IF(AW15&gt;=$R$3,3,
IF(AND(COUNTIF(AX$6:AX14,1)=0,COUNTIF(AW$6:AW14,"&lt;="&amp;$R$5)=(COUNTIF(AW$6:AW$20,"&lt;="&amp;$R$5)-1)),1,0))))</f>
        <v>3</v>
      </c>
      <c r="AY15" s="466">
        <f>(IFERROR(AZ15-INDEX(AZ:AZ,MATCH(1,AX:AX,0)),0)+
IFERROR(AZ15-INDEX(AZ:AZ,MATCH(2,AX:AX,0)),0)*0.5+
IFERROR(AZ15-INDEX(AZ:AZ,MATCH(3,AX:AX,0)),0)*0.25
)/16*IF(ISBLANK(Beersheet!$A$1),1,16)</f>
        <v>-10.301554218749997</v>
      </c>
      <c r="AZ15">
        <f>IF(Beersheet!$A$2="QB",
INDEX(Beersheet!$A:$U,MATCH(Draft!AR15,Beersheet!$C:$C,0),FFARawStatProjections!$BQ$1),
INDEX('Draft Slayer Classic'!$AR:$AR,MATCH(AR15,'Draft Slayer Classic'!$AP:$AP,0)))</f>
        <v>138.67620000000002</v>
      </c>
      <c r="BA15" s="557">
        <f>INDEX('Draft Slayer Classic'!$AS:$AS,MATCH(AR15,'Draft Slayer Classic'!$AP:$AP,0))</f>
        <v>6</v>
      </c>
      <c r="BB15">
        <f>IFERROR(IF(INDEX(Instructions!$X$86:$X$105,MATCH(Draft!AR15,Instructions!$T$86:$T$105,0))&lt;='Draft Slayer Classic'!$E$25,1,0),0)</f>
        <v>0</v>
      </c>
      <c r="BC15" s="197"/>
      <c r="BD15" s="554" t="str">
        <f>INDEX('Draft Slayer Classic'!$BA:$BA,MATCH(SMALL('Draft Slayer Classic'!$BD:$BD,$G15),'Draft Slayer Classic'!$BD:$BD,0))</f>
        <v>MIA</v>
      </c>
      <c r="BE15" s="557" t="str">
        <f>INDEX(FFARawStatProjections!$D:$D,MATCH(BD15,FFARawStatProjections!$B:$B,0))&amp;IF(BF15&gt;0," ("&amp;BF15&amp;")","")</f>
        <v>10</v>
      </c>
      <c r="BF15">
        <f>IFERROR(INDEX($BQ$8:$BQ$21,MATCH(INDEX(FFARawStatProjections!$D:$D,MATCH(BC15,FFARawStatProjections!$A:$A,0)),$BP$8:$BP$21,0)),0)</f>
        <v>0</v>
      </c>
      <c r="BG15" s="464">
        <f>INDEX(FFARawStatProjections!$E:$E,MATCH(BD15,FFARawStatProjections!$B:$B,0))*0.1</f>
        <v>0</v>
      </c>
      <c r="BH15"/>
      <c r="BI15" s="197"/>
      <c r="BJ15" s="554" t="str">
        <f>INDEX('Draft Slayer Classic'!$BF:$BF,MATCH(SMALL('Draft Slayer Classic'!$BJ:$BJ,$G15),'Draft Slayer Classic'!$BJ:$BJ,0))</f>
        <v>Younghoe Koo</v>
      </c>
      <c r="BK15" s="555" t="str">
        <f>INDEX(FFARawStatProjections!$B:$B,MATCH(BJ15,FFARawStatProjections!$A:$A,0))</f>
        <v>ATL</v>
      </c>
      <c r="BL15" s="557" t="str">
        <f>INDEX(FFARawStatProjections!$D:$D,MATCH(BJ15,FFARawStatProjections!$A:$A,0))&amp;IF(BM15&gt;0," ("&amp;BM15&amp;")","")</f>
        <v>11</v>
      </c>
      <c r="BM15">
        <f>IFERROR(INDEX($BQ$8:$BQ$21,MATCH(INDEX(FFARawStatProjections!$D:$D,MATCH(BJ15,FFARawStatProjections!$A:$A,0)),$BP$8:$BP$21,0)),0)</f>
        <v>0</v>
      </c>
      <c r="BN15" s="466">
        <f>INDEX(FFARawStatProjections!$E:$E,MATCH(Draft!BJ15,FFARawStatProjections!$A:$A,0))*0.1</f>
        <v>0</v>
      </c>
      <c r="BO15" s="197"/>
      <c r="BP15" s="465">
        <v>8</v>
      </c>
      <c r="BQ15" s="465">
        <f>IFERROR(COUNTIF('Draft Slayer Classic'!$E$29:$E$53,Draft!BP15),0)</f>
        <v>0</v>
      </c>
      <c r="BS15"/>
      <c r="BT15" t="str">
        <f>IF(FFARawStatProjections!A10=0,"",FFARawStatProjections!A10)</f>
        <v>Dak Prescott</v>
      </c>
      <c r="BU15" t="str">
        <f>IF(FFARawStatProjections!C10=0,"",FFARawStatProjections!C10)</f>
        <v>QB</v>
      </c>
      <c r="BV15" t="str">
        <f>IF(FFARawStatProjections!B10=0,"",FFARawStatProjections!B10)</f>
        <v>DAL</v>
      </c>
      <c r="BW15" s="89"/>
      <c r="BX15">
        <v>9</v>
      </c>
      <c r="BY15" s="89" t="str">
        <f t="shared" si="3"/>
        <v/>
      </c>
      <c r="BZ15" s="89" t="str">
        <f t="shared" si="4"/>
        <v/>
      </c>
      <c r="CA15" s="89" t="str">
        <f t="shared" si="5"/>
        <v/>
      </c>
    </row>
    <row r="16" spans="1:82" s="465" customFormat="1" ht="33.75" customHeight="1" x14ac:dyDescent="0.25">
      <c r="A16" s="473" t="str">
        <f t="shared" si="1"/>
        <v/>
      </c>
      <c r="B16" s="474"/>
      <c r="C16" s="479" t="str">
        <f t="shared" si="0"/>
        <v/>
      </c>
      <c r="D16" s="190" t="str">
        <f t="shared" si="2"/>
        <v/>
      </c>
      <c r="E16" s="190">
        <f>IFERROR(INDEX(Instructions!$U$111:$U$222,MATCH(Draft!A16,Instructions!$U$111:$U$222,0)),0)</f>
        <v>0</v>
      </c>
      <c r="F16" s="197"/>
      <c r="G16">
        <v>11</v>
      </c>
      <c r="H16" s="549" t="str">
        <f>INDEX('Draft Slayer Classic'!$I:$I,MATCH(SMALL('Draft Slayer Classic'!$Q:$Q,$G16),'Draft Slayer Classic'!$Q:$Q,0))</f>
        <v>Daniel Jones</v>
      </c>
      <c r="I16" s="550" t="str">
        <f>INDEX(FFARawStatProjections!$B:$B,MATCH(H16,FFARawStatProjections!$A:$A,0))</f>
        <v>NYG</v>
      </c>
      <c r="J16" s="551" t="str">
        <f>INDEX(FFARawStatProjections!$D:$D,MATCH(H16,FFARawStatProjections!$A:$A,0))&amp;IF(K16&gt;0," ("&amp;K16&amp;")","")</f>
        <v>13</v>
      </c>
      <c r="K16">
        <f>IFERROR(INDEX($BQ$8:$BQ$21,MATCH(INDEX(FFARawStatProjections!$D:$D,MATCH(H16,FFARawStatProjections!$A:$A,0)),$BP$8:$BP$21,0)),0)</f>
        <v>0</v>
      </c>
      <c r="L16" s="552">
        <f>INDEX(QBproj!M:M,MATCH(Draft!H16,QBproj!D:D,0))</f>
        <v>0.5</v>
      </c>
      <c r="M16">
        <f>INDEX(ADP!$G:$G,MATCH(H16,ADP!$D:$D,0))</f>
        <v>95.000568999999999</v>
      </c>
      <c r="N16">
        <f>IF(AND(M16&gt;=$R$5,M16&lt;$R$4),1,
IF(AND(M16&gt;=$R$4,M16&lt;$R$3),2,
IF(M16&gt;=$R$3,3,
IF(AND(COUNTIF(N$6:N15,1)=0,COUNTIF(M$6:M15,"&lt;="&amp;$R$5)=(COUNTIF(M$6:M$20,"&lt;="&amp;$R$5)-1)),1,0))))</f>
        <v>3</v>
      </c>
      <c r="O16" s="552">
        <f>(IFERROR(P16-INDEX(P:P,MATCH(1,N:N,0)),0)+
IFERROR(P16-INDEX(P:P,MATCH(2,N:N,0)),0)*0.5+
IFERROR(P16-INDEX(P:P,MATCH(3,N:N,0)),0)*0.25
)/16*IF(ISBLANK(Beersheet!$A$1),1,16)</f>
        <v>-7.2455521875000031</v>
      </c>
      <c r="P16">
        <f>IF(Beersheet!$A$2="QB",
INDEX(Beersheet!$A:$U,MATCH(Draft!H16,Beersheet!$C:$C,0),FFARawStatProjections!$BQ$1),
INDEX('Draft Slayer Classic'!$K:$K,MATCH(H16,'Draft Slayer Classic'!$I:$I,0)))</f>
        <v>305.10611999999998</v>
      </c>
      <c r="Q16" s="553">
        <f>INDEX('Draft Slayer Classic'!$L:$L,MATCH(H16,'Draft Slayer Classic'!$I:$I,0))</f>
        <v>7</v>
      </c>
      <c r="R16">
        <f>IFERROR(IF(INDEX(Instructions!$V$64:$V$83,MATCH(Draft!H16,Instructions!$S$64:$S$83,0))&lt;='Draft Slayer Classic'!$E$25,1,0),0)</f>
        <v>0</v>
      </c>
      <c r="S16" s="197"/>
      <c r="T16" s="549" t="str">
        <f>INDEX('Draft Slayer Classic'!$T:$T,MATCH(SMALL('Draft Slayer Classic'!$AB:$AB,$G16),'Draft Slayer Classic'!$AB:$AB,0))</f>
        <v>Travis Etienne</v>
      </c>
      <c r="U16" s="550" t="str">
        <f>INDEX(FFARawStatProjections!$B:$B,MATCH(T16,FFARawStatProjections!$A:$A,0))</f>
        <v>JAC</v>
      </c>
      <c r="V16" s="551" t="str">
        <f>INDEX(FFARawStatProjections!$D:$D,MATCH(T16,FFARawStatProjections!$A:$A,0))&amp;IF(W16&gt;0," ("&amp;W16&amp;")","")</f>
        <v>9</v>
      </c>
      <c r="W16">
        <f>IFERROR(INDEX($BQ$8:$BQ$21,MATCH(INDEX(FFARawStatProjections!$D:$D,MATCH(T16,FFARawStatProjections!$A:$A,0)),$BP$8:$BP$21,0)),0)</f>
        <v>0</v>
      </c>
      <c r="X16" s="552">
        <f>INDEX(RBproj!M:M,MATCH(Draft!T16,RBproj!D:D,0))</f>
        <v>0.29999999999999982</v>
      </c>
      <c r="Y16">
        <f>INDEX(ADP!$G:$G,MATCH(T16,ADP!$D:$D,0))</f>
        <v>27.500074000000001</v>
      </c>
      <c r="Z16">
        <f>IF(AND(Y16&gt;=$R$5,Y16&lt;$R$4),1,
IF(AND(Y16&gt;=$R$4,Y16&lt;$R$3),2,
IF(Y16&gt;=$R$3,3,
IF(AND(COUNTIF(Z$6:Z15,1)=0,COUNTIF(Y$6:Y15,"&lt;="&amp;$R$5)=(COUNTIF(Y$6:Y$20,"&lt;="&amp;$R$5)-1)),1,0))))</f>
        <v>2</v>
      </c>
      <c r="AA16" s="552">
        <f>(IFERROR(AB16-INDEX(AB:AB,MATCH(1,Z:Z,0)),0)+
IFERROR(AB16-INDEX(AB:AB,MATCH(2,Z:Z,0)),0)*0.5+
IFERROR(AB16-INDEX(AB:AB,MATCH(3,Z:Z,0)),0)*0.25
)/16*IF(ISBLANK(Beersheet!$A$1),1,16)</f>
        <v>-5.7465510937500035</v>
      </c>
      <c r="AB16">
        <f>IF(Beersheet!$A$2="QB",
INDEX(Beersheet!$A:$U,MATCH(Draft!T16,Beersheet!$C:$C,0),FFARawStatProjections!$BQ$1),
INDEX('Draft Slayer Classic'!$V:$V,MATCH(T16,'Draft Slayer Classic'!$T:$T,0)))</f>
        <v>222.28130999999999</v>
      </c>
      <c r="AC16" s="553">
        <f>INDEX('Draft Slayer Classic'!$W:$W,MATCH(T16,'Draft Slayer Classic'!$T:$T,0))</f>
        <v>5</v>
      </c>
      <c r="AD16">
        <f>IFERROR(IF(INDEX(Instructions!$X$64:$X$83,MATCH(Draft!T16,Instructions!$T$64:$T$83,0))&lt;='Draft Slayer Classic'!$E$25,1,0),0)</f>
        <v>0</v>
      </c>
      <c r="AE16" s="197"/>
      <c r="AF16" s="549" t="str">
        <f>INDEX('Draft Slayer Classic'!$AE:$AE,MATCH(SMALL('Draft Slayer Classic'!$AM:$AM,$G16),'Draft Slayer Classic'!$AM:$AM,0))</f>
        <v>Amari Cooper</v>
      </c>
      <c r="AG16" s="550" t="str">
        <f>INDEX(FFARawStatProjections!$B:$B,MATCH(AF16,FFARawStatProjections!$A:$A,0))</f>
        <v>CLE</v>
      </c>
      <c r="AH16" s="551" t="str">
        <f>INDEX(FFARawStatProjections!$D:$D,MATCH(AF16,FFARawStatProjections!$A:$A,0))&amp;IF(AI16&gt;0," ("&amp;AI16&amp;")","")</f>
        <v>5</v>
      </c>
      <c r="AI16">
        <f>IFERROR(INDEX($BQ$8:$BQ$21,MATCH(INDEX(FFARawStatProjections!$D:$D,MATCH(AF16,FFARawStatProjections!$A:$A,0)),$BP$8:$BP$21,0)),0)</f>
        <v>0</v>
      </c>
      <c r="AJ16" s="552">
        <f>INDEX(WRproj!M:M,MATCH(Draft!AF16,WRproj!D:D,0))</f>
        <v>0</v>
      </c>
      <c r="AK16">
        <f>INDEX(ADP!$G:$G,MATCH(AF16,ADP!$D:$D,0))</f>
        <v>30.300710000000002</v>
      </c>
      <c r="AL16">
        <f>IF(AND(AK16&gt;=$R$5,AK16&lt;$R$4),1,
IF(AND(AK16&gt;=$R$4,AK16&lt;$R$3),2,
IF(AK16&gt;=$R$3,3,
IF(AND(COUNTIF(AL$6:AL15,1)=0,COUNTIF(AK$6:AK15,"&lt;="&amp;$R$5)=(COUNTIF(AK$6:AK$20,"&lt;="&amp;$R$5)-1)),1,0))))</f>
        <v>2</v>
      </c>
      <c r="AM16" s="552">
        <f>(IFERROR(AN16-INDEX(AN:AN,MATCH(1,AL:AL,0)),0)+
IFERROR(AN16-INDEX(AN:AN,MATCH(2,AL:AL,0)),0)*0.5+
IFERROR(AN16-INDEX(AN:AN,MATCH(3,AL:AL,0)),0)*0.25
)/16*IF(ISBLANK(Beersheet!$A$1),1,16)</f>
        <v>-5.0779568749999999</v>
      </c>
      <c r="AN16">
        <f>IF(Beersheet!$A$2="QB",
INDEX(Beersheet!$A:$U,MATCH(Draft!AF16,Beersheet!$C:$C,0),FFARawStatProjections!$BQ$1),
INDEX('Draft Slayer Classic'!$AG:$AG,MATCH(AF16,'Draft Slayer Classic'!$AE:$AE,0)))</f>
        <v>222.30333000000002</v>
      </c>
      <c r="AO16" s="553">
        <f>INDEX('Draft Slayer Classic'!$AH:$AH,MATCH(AF16,'Draft Slayer Classic'!$AE:$AE,0))</f>
        <v>6</v>
      </c>
      <c r="AP16">
        <f>IFERROR(IF(INDEX(Instructions!$V$86:$V$105,MATCH(Draft!AF16,Instructions!$S$86:$S$105,0))&lt;='Draft Slayer Classic'!$E$25,1,0),0)</f>
        <v>0</v>
      </c>
      <c r="AQ16" s="197"/>
      <c r="AR16" s="549" t="str">
        <f>INDEX('Draft Slayer Classic'!$AP:$AP,MATCH(SMALL('Draft Slayer Classic'!$AX:$AX,$G16),'Draft Slayer Classic'!$AX:$AX,0))</f>
        <v>Tyler Higbee</v>
      </c>
      <c r="AS16" s="550" t="str">
        <f>INDEX(FFARawStatProjections!$B:$B,MATCH(AR16,FFARawStatProjections!$A:$A,0))</f>
        <v>LAR</v>
      </c>
      <c r="AT16" s="551" t="str">
        <f>INDEX(FFARawStatProjections!$D:$D,MATCH(AR16,FFARawStatProjections!$A:$A,0))&amp;IF(AU16&gt;0," ("&amp;AU16&amp;")","")</f>
        <v>10</v>
      </c>
      <c r="AU16">
        <f>IFERROR(INDEX($BQ$8:$BQ$21,MATCH(INDEX(FFARawStatProjections!$D:$D,MATCH(AR16,FFARawStatProjections!$A:$A,0)),$BP$8:$BP$21,0)),0)</f>
        <v>0</v>
      </c>
      <c r="AV16" s="552">
        <f>INDEX(TEproj!M:M,MATCH(Draft!AR16,TEproj!D:D,0))</f>
        <v>0.29999999999999893</v>
      </c>
      <c r="AW16">
        <f>INDEX(ADP!$G:$G,MATCH(AR16,ADP!$D:$D,0))</f>
        <v>156.400038</v>
      </c>
      <c r="AX16">
        <f>IF(AND(AW16&gt;=$R$5,AW16&lt;$R$4),1,
IF(AND(AW16&gt;=$R$4,AW16&lt;$R$3),2,
IF(AW16&gt;=$R$3,3,
IF(AND(COUNTIF(AX$6:AX15,1)=0,COUNTIF(AW$6:AW15,"&lt;="&amp;$R$5)=(COUNTIF(AW$6:AW$20,"&lt;="&amp;$R$5)-1)),1,0))))</f>
        <v>3</v>
      </c>
      <c r="AY16" s="552">
        <f>(IFERROR(AZ16-INDEX(AZ:AZ,MATCH(1,AX:AX,0)),0)+
IFERROR(AZ16-INDEX(AZ:AZ,MATCH(2,AX:AX,0)),0)*0.5+
IFERROR(AZ16-INDEX(AZ:AZ,MATCH(3,AX:AX,0)),0)*0.25
)/16*IF(ISBLANK(Beersheet!$A$1),1,16)</f>
        <v>-10.480462031249999</v>
      </c>
      <c r="AZ16">
        <f>IF(Beersheet!$A$2="QB",
INDEX(Beersheet!$A:$U,MATCH(Draft!AR16,Beersheet!$C:$C,0),FFARawStatProjections!$BQ$1),
INDEX('Draft Slayer Classic'!$AR:$AR,MATCH(AR16,'Draft Slayer Classic'!$AP:$AP,0)))</f>
        <v>136.38618</v>
      </c>
      <c r="BA16" s="553">
        <f>INDEX('Draft Slayer Classic'!$AS:$AS,MATCH(AR16,'Draft Slayer Classic'!$AP:$AP,0))</f>
        <v>7</v>
      </c>
      <c r="BB16">
        <f>IFERROR(IF(INDEX(Instructions!$X$86:$X$105,MATCH(Draft!AR16,Instructions!$T$86:$T$105,0))&lt;='Draft Slayer Classic'!$E$25,1,0),0)</f>
        <v>0</v>
      </c>
      <c r="BC16" s="197"/>
      <c r="BD16" s="549" t="str">
        <f>INDEX('Draft Slayer Classic'!$BA:$BA,MATCH(SMALL('Draft Slayer Classic'!$BD:$BD,$G16),'Draft Slayer Classic'!$BD:$BD,0))</f>
        <v>NO</v>
      </c>
      <c r="BE16" s="553" t="str">
        <f>INDEX(FFARawStatProjections!$D:$D,MATCH(BD16,FFARawStatProjections!$B:$B,0))&amp;IF(BF16&gt;0," ("&amp;BF16&amp;")","")</f>
        <v>11</v>
      </c>
      <c r="BF16">
        <f>IFERROR(INDEX($BQ$8:$BQ$21,MATCH(INDEX(FFARawStatProjections!$D:$D,MATCH(BC16,FFARawStatProjections!$A:$A,0)),$BP$8:$BP$21,0)),0)</f>
        <v>0</v>
      </c>
      <c r="BG16" s="464">
        <f>INDEX(FFARawStatProjections!$E:$E,MATCH(BD16,FFARawStatProjections!$B:$B,0))*0.1</f>
        <v>0</v>
      </c>
      <c r="BH16"/>
      <c r="BI16" s="197"/>
      <c r="BJ16" s="549" t="str">
        <f>INDEX('Draft Slayer Classic'!$BF:$BF,MATCH(SMALL('Draft Slayer Classic'!$BJ:$BJ,$G16),'Draft Slayer Classic'!$BJ:$BJ,0))</f>
        <v>Graham Gano</v>
      </c>
      <c r="BK16" s="550" t="str">
        <f>INDEX(FFARawStatProjections!$B:$B,MATCH(BJ16,FFARawStatProjections!$A:$A,0))</f>
        <v>NYG</v>
      </c>
      <c r="BL16" s="553" t="str">
        <f>INDEX(FFARawStatProjections!$D:$D,MATCH(BJ16,FFARawStatProjections!$A:$A,0))&amp;IF(BM16&gt;0," ("&amp;BM16&amp;")","")</f>
        <v>13</v>
      </c>
      <c r="BM16">
        <f>IFERROR(INDEX($BQ$8:$BQ$21,MATCH(INDEX(FFARawStatProjections!$D:$D,MATCH(BJ16,FFARawStatProjections!$A:$A,0)),$BP$8:$BP$21,0)),0)</f>
        <v>0</v>
      </c>
      <c r="BN16" s="466">
        <f>INDEX(FFARawStatProjections!$E:$E,MATCH(Draft!BJ16,FFARawStatProjections!$A:$A,0))*0.1</f>
        <v>0</v>
      </c>
      <c r="BO16" s="197"/>
      <c r="BP16" s="465">
        <v>9</v>
      </c>
      <c r="BQ16" s="465">
        <f>IFERROR(COUNTIF('Draft Slayer Classic'!$E$29:$E$53,Draft!BP16),0)</f>
        <v>0</v>
      </c>
      <c r="BS16"/>
      <c r="BT16" t="str">
        <f>IF(FFARawStatProjections!A11=0,"",FFARawStatProjections!A11)</f>
        <v>Trevor Lawrence</v>
      </c>
      <c r="BU16" t="str">
        <f>IF(FFARawStatProjections!C11=0,"",FFARawStatProjections!C11)</f>
        <v>QB</v>
      </c>
      <c r="BV16" t="str">
        <f>IF(FFARawStatProjections!B11=0,"",FFARawStatProjections!B11)</f>
        <v>JAC</v>
      </c>
      <c r="BW16" s="89"/>
      <c r="BX16">
        <v>10</v>
      </c>
      <c r="BY16" s="89" t="str">
        <f t="shared" si="3"/>
        <v/>
      </c>
      <c r="BZ16" s="89" t="str">
        <f t="shared" si="4"/>
        <v/>
      </c>
      <c r="CA16" s="89" t="str">
        <f t="shared" si="5"/>
        <v/>
      </c>
    </row>
    <row r="17" spans="1:82" s="465" customFormat="1" ht="33.75" customHeight="1" x14ac:dyDescent="0.25">
      <c r="A17" s="469" t="str">
        <f t="shared" si="1"/>
        <v/>
      </c>
      <c r="B17" s="472"/>
      <c r="C17" s="478" t="str">
        <f t="shared" si="0"/>
        <v/>
      </c>
      <c r="D17" s="190" t="str">
        <f t="shared" si="2"/>
        <v/>
      </c>
      <c r="E17" s="190">
        <f>IFERROR(INDEX(Instructions!$U$111:$U$222,MATCH(Draft!A17,Instructions!$U$111:$U$222,0)),0)</f>
        <v>0</v>
      </c>
      <c r="F17" s="197"/>
      <c r="G17">
        <v>12</v>
      </c>
      <c r="H17" s="554" t="str">
        <f>INDEX('Draft Slayer Classic'!$I:$I,MATCH(SMALL('Draft Slayer Classic'!$Q:$Q,$G17),'Draft Slayer Classic'!$Q:$Q,0))</f>
        <v>Geno Smith</v>
      </c>
      <c r="I17" s="555" t="str">
        <f>INDEX(FFARawStatProjections!$B:$B,MATCH(H17,FFARawStatProjections!$A:$A,0))</f>
        <v>SEA</v>
      </c>
      <c r="J17" s="556" t="str">
        <f>INDEX(FFARawStatProjections!$D:$D,MATCH(H17,FFARawStatProjections!$A:$A,0))&amp;IF(K17&gt;0," ("&amp;K17&amp;")","")</f>
        <v>5</v>
      </c>
      <c r="K17">
        <f>IFERROR(INDEX($BQ$8:$BQ$21,MATCH(INDEX(FFARawStatProjections!$D:$D,MATCH(H17,FFARawStatProjections!$A:$A,0)),$BP$8:$BP$21,0)),0)</f>
        <v>0</v>
      </c>
      <c r="L17" s="466">
        <f>INDEX(QBproj!M:M,MATCH(Draft!H17,QBproj!D:D,0))</f>
        <v>0</v>
      </c>
      <c r="M17">
        <f>INDEX(ADP!$G:$G,MATCH(H17,ADP!$D:$D,0))</f>
        <v>103.100471</v>
      </c>
      <c r="N17">
        <f>IF(AND(M17&gt;=$R$5,M17&lt;$R$4),1,
IF(AND(M17&gt;=$R$4,M17&lt;$R$3),2,
IF(M17&gt;=$R$3,3,
IF(AND(COUNTIF(N$6:N16,1)=0,COUNTIF(M$6:M16,"&lt;="&amp;$R$5)=(COUNTIF(M$6:M$20,"&lt;="&amp;$R$5)-1)),1,0))))</f>
        <v>3</v>
      </c>
      <c r="O17" s="466">
        <f>(IFERROR(P17-INDEX(P:P,MATCH(1,N:N,0)),0)+
IFERROR(P17-INDEX(P:P,MATCH(2,N:N,0)),0)*0.5+
IFERROR(P17-INDEX(P:P,MATCH(3,N:N,0)),0)*0.25
)/16*IF(ISBLANK(Beersheet!$A$1),1,16)</f>
        <v>-7.4308323437499952</v>
      </c>
      <c r="P17">
        <f>IF(Beersheet!$A$2="QB",
INDEX(Beersheet!$A:$U,MATCH(Draft!H17,Beersheet!$C:$C,0),FFARawStatProjections!$BQ$1),
INDEX('Draft Slayer Classic'!$K:$K,MATCH(H17,'Draft Slayer Classic'!$I:$I,0)))</f>
        <v>303.41213000000005</v>
      </c>
      <c r="Q17" s="557">
        <f>INDEX('Draft Slayer Classic'!$L:$L,MATCH(H17,'Draft Slayer Classic'!$I:$I,0))</f>
        <v>7</v>
      </c>
      <c r="R17">
        <f>IFERROR(IF(INDEX(Instructions!$V$64:$V$83,MATCH(Draft!H17,Instructions!$S$64:$S$83,0))&lt;='Draft Slayer Classic'!$E$25,1,0),0)</f>
        <v>0</v>
      </c>
      <c r="S17" s="197"/>
      <c r="T17" s="554" t="str">
        <f>INDEX('Draft Slayer Classic'!$T:$T,MATCH(SMALL('Draft Slayer Classic'!$AB:$AB,$G17),'Draft Slayer Classic'!$AB:$AB,0))</f>
        <v>Rhamondre Stevenson</v>
      </c>
      <c r="U17" s="555" t="str">
        <f>INDEX(FFARawStatProjections!$B:$B,MATCH(T17,FFARawStatProjections!$A:$A,0))</f>
        <v>NE</v>
      </c>
      <c r="V17" s="556" t="str">
        <f>INDEX(FFARawStatProjections!$D:$D,MATCH(T17,FFARawStatProjections!$A:$A,0))&amp;IF(W17&gt;0," ("&amp;W17&amp;")","")</f>
        <v>11</v>
      </c>
      <c r="W17">
        <f>IFERROR(INDEX($BQ$8:$BQ$21,MATCH(INDEX(FFARawStatProjections!$D:$D,MATCH(T17,FFARawStatProjections!$A:$A,0)),$BP$8:$BP$21,0)),0)</f>
        <v>0</v>
      </c>
      <c r="X17" s="464">
        <f>INDEX(RBproj!M:M,MATCH(Draft!T17,RBproj!D:D,0))</f>
        <v>0</v>
      </c>
      <c r="Y17">
        <f>INDEX(ADP!$G:$G,MATCH(T17,ADP!$D:$D,0))</f>
        <v>23.900145999999999</v>
      </c>
      <c r="Z17">
        <f>IF(AND(Y17&gt;=$R$5,Y17&lt;$R$4),1,
IF(AND(Y17&gt;=$R$4,Y17&lt;$R$3),2,
IF(Y17&gt;=$R$3,3,
IF(AND(COUNTIF(Z$6:Z16,1)=0,COUNTIF(Y$6:Y16,"&lt;="&amp;$R$5)=(COUNTIF(Y$6:Y$20,"&lt;="&amp;$R$5)-1)),1,0))))</f>
        <v>1</v>
      </c>
      <c r="AA17" s="466">
        <f>(IFERROR(AB17-INDEX(AB:AB,MATCH(1,Z:Z,0)),0)+
IFERROR(AB17-INDEX(AB:AB,MATCH(2,Z:Z,0)),0)*0.5+
IFERROR(AB17-INDEX(AB:AB,MATCH(3,Z:Z,0)),0)*0.25
)/16*IF(ISBLANK(Beersheet!$A$1),1,16)</f>
        <v>-6.4028043750000041</v>
      </c>
      <c r="AB17">
        <f>IF(Beersheet!$A$2="QB",
INDEX(Beersheet!$A:$U,MATCH(Draft!T17,Beersheet!$C:$C,0),FFARawStatProjections!$BQ$1),
INDEX('Draft Slayer Classic'!$V:$V,MATCH(T17,'Draft Slayer Classic'!$T:$T,0)))</f>
        <v>216.28127999999998</v>
      </c>
      <c r="AC17" s="557">
        <f>INDEX('Draft Slayer Classic'!$W:$W,MATCH(T17,'Draft Slayer Classic'!$T:$T,0))</f>
        <v>5</v>
      </c>
      <c r="AD17">
        <f>IFERROR(IF(INDEX(Instructions!$X$64:$X$83,MATCH(Draft!T17,Instructions!$T$64:$T$83,0))&lt;='Draft Slayer Classic'!$E$25,1,0),0)</f>
        <v>0</v>
      </c>
      <c r="AE17" s="197"/>
      <c r="AF17" s="554" t="str">
        <f>INDEX('Draft Slayer Classic'!$AE:$AE,MATCH(SMALL('Draft Slayer Classic'!$AM:$AM,$G17),'Draft Slayer Classic'!$AM:$AM,0))</f>
        <v>Christian Watson</v>
      </c>
      <c r="AG17" s="555" t="str">
        <f>INDEX(FFARawStatProjections!$B:$B,MATCH(AF17,FFARawStatProjections!$A:$A,0))</f>
        <v>GB</v>
      </c>
      <c r="AH17" s="556" t="str">
        <f>INDEX(FFARawStatProjections!$D:$D,MATCH(AF17,FFARawStatProjections!$A:$A,0))&amp;IF(AI17&gt;0," ("&amp;AI17&amp;")","")</f>
        <v>6</v>
      </c>
      <c r="AI17">
        <f>IFERROR(INDEX($BQ$8:$BQ$21,MATCH(INDEX(FFARawStatProjections!$D:$D,MATCH(AF17,FFARawStatProjections!$A:$A,0)),$BP$8:$BP$21,0)),0)</f>
        <v>0</v>
      </c>
      <c r="AJ17" s="464">
        <f>INDEX(WRproj!M:M,MATCH(Draft!AF17,WRproj!D:D,0))</f>
        <v>1</v>
      </c>
      <c r="AK17">
        <f>INDEX(ADP!$G:$G,MATCH(AF17,ADP!$D:$D,0))</f>
        <v>49.400611999999995</v>
      </c>
      <c r="AL17">
        <f>IF(AND(AK17&gt;=$R$5,AK17&lt;$R$4),1,
IF(AND(AK17&gt;=$R$4,AK17&lt;$R$3),2,
IF(AK17&gt;=$R$3,3,
IF(AND(COUNTIF(AL$6:AL16,1)=0,COUNTIF(AK$6:AK16,"&lt;="&amp;$R$5)=(COUNTIF(AK$6:AK$20,"&lt;="&amp;$R$5)-1)),1,0))))</f>
        <v>3</v>
      </c>
      <c r="AM17" s="466">
        <f>(IFERROR(AN17-INDEX(AN:AN,MATCH(1,AL:AL,0)),0)+
IFERROR(AN17-INDEX(AN:AN,MATCH(2,AL:AL,0)),0)*0.5+
IFERROR(AN17-INDEX(AN:AN,MATCH(3,AL:AL,0)),0)*0.25
)/16*IF(ISBLANK(Beersheet!$A$1),1,16)</f>
        <v>-5.4574925000000016</v>
      </c>
      <c r="AN17">
        <f>IF(Beersheet!$A$2="QB",
INDEX(Beersheet!$A:$U,MATCH(Draft!AF17,Beersheet!$C:$C,0),FFARawStatProjections!$BQ$1),
INDEX('Draft Slayer Classic'!$AG:$AG,MATCH(AF17,'Draft Slayer Classic'!$AE:$AE,0)))</f>
        <v>218.83329000000001</v>
      </c>
      <c r="AO17" s="557">
        <f>INDEX('Draft Slayer Classic'!$AH:$AH,MATCH(AF17,'Draft Slayer Classic'!$AE:$AE,0))</f>
        <v>6</v>
      </c>
      <c r="AP17">
        <f>IFERROR(IF(INDEX(Instructions!$V$86:$V$105,MATCH(Draft!AF17,Instructions!$S$86:$S$105,0))&lt;='Draft Slayer Classic'!$E$25,1,0),0)</f>
        <v>0</v>
      </c>
      <c r="AQ17" s="197"/>
      <c r="AR17" s="563" t="str">
        <f>INDEX('Draft Slayer Classic'!$AP:$AP,MATCH(SMALL('Draft Slayer Classic'!$AX:$AX,$G17),'Draft Slayer Classic'!$AX:$AX,0))</f>
        <v>Chigoziem Okonkwo</v>
      </c>
      <c r="AS17" s="555" t="str">
        <f>INDEX(FFARawStatProjections!$B:$B,MATCH(AR17,FFARawStatProjections!$A:$A,0))</f>
        <v>TEN</v>
      </c>
      <c r="AT17" s="556" t="str">
        <f>INDEX(FFARawStatProjections!$D:$D,MATCH(AR17,FFARawStatProjections!$A:$A,0))&amp;IF(AU17&gt;0," ("&amp;AU17&amp;")","")</f>
        <v>7</v>
      </c>
      <c r="AU17">
        <f>IFERROR(INDEX($BQ$8:$BQ$21,MATCH(INDEX(FFARawStatProjections!$D:$D,MATCH(AR17,FFARawStatProjections!$A:$A,0)),$BP$8:$BP$21,0)),0)</f>
        <v>0</v>
      </c>
      <c r="AV17" s="464">
        <f>INDEX(TEproj!M:M,MATCH(Draft!AR17,TEproj!D:D,0))</f>
        <v>2.0000000000000018</v>
      </c>
      <c r="AW17">
        <f>INDEX(ADP!$G:$G,MATCH(AR17,ADP!$D:$D,0))</f>
        <v>134.40062399999999</v>
      </c>
      <c r="AX17">
        <f>IF(AND(AW17&gt;=$R$5,AW17&lt;$R$4),1,
IF(AND(AW17&gt;=$R$4,AW17&lt;$R$3),2,
IF(AW17&gt;=$R$3,3,
IF(AND(COUNTIF(AX$6:AX16,1)=0,COUNTIF(AW$6:AW16,"&lt;="&amp;$R$5)=(COUNTIF(AW$6:AW$20,"&lt;="&amp;$R$5)-1)),1,0))))</f>
        <v>3</v>
      </c>
      <c r="AY17" s="466">
        <f>(IFERROR(AZ17-INDEX(AZ:AZ,MATCH(1,AX:AX,0)),0)+
IFERROR(AZ17-INDEX(AZ:AZ,MATCH(2,AX:AX,0)),0)*0.5+
IFERROR(AZ17-INDEX(AZ:AZ,MATCH(3,AX:AX,0)),0)*0.25
)/16*IF(ISBLANK(Beersheet!$A$1),1,16)</f>
        <v>-11.270304999999999</v>
      </c>
      <c r="AZ17">
        <f>IF(Beersheet!$A$2="QB",
INDEX(Beersheet!$A:$U,MATCH(Draft!AR17,Beersheet!$C:$C,0),FFARawStatProjections!$BQ$1),
INDEX('Draft Slayer Classic'!$AR:$AR,MATCH(AR17,'Draft Slayer Classic'!$AP:$AP,0)))</f>
        <v>126.27619000000001</v>
      </c>
      <c r="BA17" s="557">
        <f>INDEX('Draft Slayer Classic'!$AS:$AS,MATCH(AR17,'Draft Slayer Classic'!$AP:$AP,0))</f>
        <v>7</v>
      </c>
      <c r="BB17">
        <f>IFERROR(IF(INDEX(Instructions!$X$86:$X$105,MATCH(Draft!AR17,Instructions!$T$86:$T$105,0))&lt;='Draft Slayer Classic'!$E$25,1,0),0)</f>
        <v>0</v>
      </c>
      <c r="BC17" s="197"/>
      <c r="BD17" s="554" t="str">
        <f>INDEX('Draft Slayer Classic'!$BA:$BA,MATCH(SMALL('Draft Slayer Classic'!$BD:$BD,$G17),'Draft Slayer Classic'!$BD:$BD,0))</f>
        <v>BUF</v>
      </c>
      <c r="BE17" s="557" t="str">
        <f>INDEX(FFARawStatProjections!$D:$D,MATCH(BD17,FFARawStatProjections!$B:$B,0))&amp;IF(BF17&gt;0," ("&amp;BF17&amp;")","")</f>
        <v>13</v>
      </c>
      <c r="BF17">
        <f>IFERROR(INDEX($BQ$8:$BQ$21,MATCH(INDEX(FFARawStatProjections!$D:$D,MATCH(BC17,FFARawStatProjections!$A:$A,0)),$BP$8:$BP$21,0)),0)</f>
        <v>0</v>
      </c>
      <c r="BG17" s="464">
        <f>INDEX(FFARawStatProjections!$E:$E,MATCH(BD17,FFARawStatProjections!$B:$B,0))*0.1</f>
        <v>0</v>
      </c>
      <c r="BH17"/>
      <c r="BI17" s="197"/>
      <c r="BJ17" s="554" t="str">
        <f>INDEX('Draft Slayer Classic'!$BF:$BF,MATCH(SMALL('Draft Slayer Classic'!$BJ:$BJ,$G17),'Draft Slayer Classic'!$BJ:$BJ,0))</f>
        <v>Riley Patterson</v>
      </c>
      <c r="BK17" s="555" t="str">
        <f>INDEX(FFARawStatProjections!$B:$B,MATCH(BJ17,FFARawStatProjections!$A:$A,0))</f>
        <v>DET</v>
      </c>
      <c r="BL17" s="557" t="str">
        <f>INDEX(FFARawStatProjections!$D:$D,MATCH(BJ17,FFARawStatProjections!$A:$A,0))&amp;IF(BM17&gt;0," ("&amp;BM17&amp;")","")</f>
        <v>9</v>
      </c>
      <c r="BM17">
        <f>IFERROR(INDEX($BQ$8:$BQ$21,MATCH(INDEX(FFARawStatProjections!$D:$D,MATCH(BJ17,FFARawStatProjections!$A:$A,0)),$BP$8:$BP$21,0)),0)</f>
        <v>0</v>
      </c>
      <c r="BN17" s="466">
        <f>INDEX(FFARawStatProjections!$E:$E,MATCH(Draft!BJ17,FFARawStatProjections!$A:$A,0))*0.1</f>
        <v>0</v>
      </c>
      <c r="BO17" s="197"/>
      <c r="BP17" s="465">
        <v>10</v>
      </c>
      <c r="BQ17" s="465">
        <f>IFERROR(COUNTIF('Draft Slayer Classic'!$E$29:$E$53,Draft!BP17),0)</f>
        <v>0</v>
      </c>
      <c r="BS17"/>
      <c r="BT17" t="str">
        <f>IF(FFARawStatProjections!A12=0,"",FFARawStatProjections!A12)</f>
        <v>Kirk Cousins</v>
      </c>
      <c r="BU17" t="str">
        <f>IF(FFARawStatProjections!C12=0,"",FFARawStatProjections!C12)</f>
        <v>QB</v>
      </c>
      <c r="BV17" t="str">
        <f>IF(FFARawStatProjections!B12=0,"",FFARawStatProjections!B12)</f>
        <v>MIN</v>
      </c>
      <c r="BW17" s="89"/>
      <c r="BX17">
        <v>11</v>
      </c>
      <c r="BY17" s="89" t="str">
        <f t="shared" si="3"/>
        <v/>
      </c>
      <c r="BZ17" s="89" t="str">
        <f t="shared" si="4"/>
        <v/>
      </c>
      <c r="CA17" s="89" t="str">
        <f t="shared" si="5"/>
        <v/>
      </c>
    </row>
    <row r="18" spans="1:82" s="465" customFormat="1" ht="33.75" customHeight="1" x14ac:dyDescent="0.25">
      <c r="A18" s="473" t="str">
        <f t="shared" si="1"/>
        <v/>
      </c>
      <c r="B18" s="474"/>
      <c r="C18" s="479" t="str">
        <f t="shared" si="0"/>
        <v/>
      </c>
      <c r="D18" s="190" t="str">
        <f t="shared" si="2"/>
        <v/>
      </c>
      <c r="E18" s="190">
        <f>IFERROR(INDEX(Instructions!$U$111:$U$222,MATCH(Draft!A18,Instructions!$U$111:$U$222,0)),0)</f>
        <v>0</v>
      </c>
      <c r="F18" s="197"/>
      <c r="G18">
        <v>13</v>
      </c>
      <c r="H18" s="549" t="str">
        <f>INDEX('Draft Slayer Classic'!$I:$I,MATCH(SMALL('Draft Slayer Classic'!$Q:$Q,$G18),'Draft Slayer Classic'!$Q:$Q,0))</f>
        <v>Aaron Rodgers</v>
      </c>
      <c r="I18" s="550" t="str">
        <f>INDEX(FFARawStatProjections!$B:$B,MATCH(H18,FFARawStatProjections!$A:$A,0))</f>
        <v>NYJ</v>
      </c>
      <c r="J18" s="551" t="str">
        <f>INDEX(FFARawStatProjections!$D:$D,MATCH(H18,FFARawStatProjections!$A:$A,0))&amp;IF(K18&gt;0," ("&amp;K18&amp;")","")</f>
        <v>7</v>
      </c>
      <c r="K18">
        <f>IFERROR(INDEX($BQ$8:$BQ$21,MATCH(INDEX(FFARawStatProjections!$D:$D,MATCH(H18,FFARawStatProjections!$A:$A,0)),$BP$8:$BP$21,0)),0)</f>
        <v>0</v>
      </c>
      <c r="L18" s="552">
        <f>INDEX(QBproj!M:M,MATCH(Draft!H18,QBproj!D:D,0))</f>
        <v>1.9000000000000004</v>
      </c>
      <c r="M18">
        <f>INDEX(ADP!$G:$G,MATCH(H18,ADP!$D:$D,0))</f>
        <v>101.800726</v>
      </c>
      <c r="N18">
        <f>IF(AND(M18&gt;=$R$5,M18&lt;$R$4),1,
IF(AND(M18&gt;=$R$4,M18&lt;$R$3),2,
IF(M18&gt;=$R$3,3,
IF(AND(COUNTIF(N$6:N17,1)=0,COUNTIF(M$6:M17,"&lt;="&amp;$R$5)=(COUNTIF(M$6:M$20,"&lt;="&amp;$R$5)-1)),1,0))))</f>
        <v>3</v>
      </c>
      <c r="O18" s="552">
        <f>(IFERROR(P18-INDEX(P:P,MATCH(1,N:N,0)),0)+
IFERROR(P18-INDEX(P:P,MATCH(2,N:N,0)),0)*0.5+
IFERROR(P18-INDEX(P:P,MATCH(3,N:N,0)),0)*0.25
)/16*IF(ISBLANK(Beersheet!$A$1),1,16)</f>
        <v>-9.1946125000000016</v>
      </c>
      <c r="P18">
        <f>IF(Beersheet!$A$2="QB",
INDEX(Beersheet!$A:$U,MATCH(Draft!H18,Beersheet!$C:$C,0),FFARawStatProjections!$BQ$1),
INDEX('Draft Slayer Classic'!$K:$K,MATCH(H18,'Draft Slayer Classic'!$I:$I,0)))</f>
        <v>287.28613999999999</v>
      </c>
      <c r="Q18" s="553">
        <f>INDEX('Draft Slayer Classic'!$L:$L,MATCH(H18,'Draft Slayer Classic'!$I:$I,0))</f>
        <v>8</v>
      </c>
      <c r="R18">
        <f>IFERROR(IF(INDEX(Instructions!$V$64:$V$83,MATCH(Draft!H18,Instructions!$S$64:$S$83,0))&lt;='Draft Slayer Classic'!$E$25,1,0),0)</f>
        <v>0</v>
      </c>
      <c r="S18" s="197"/>
      <c r="T18" s="549" t="str">
        <f>INDEX('Draft Slayer Classic'!$T:$T,MATCH(SMALL('Draft Slayer Classic'!$AB:$AB,$G18),'Draft Slayer Classic'!$AB:$AB,0))</f>
        <v>Alexander Mattison</v>
      </c>
      <c r="U18" s="550" t="str">
        <f>INDEX(FFARawStatProjections!$B:$B,MATCH(T18,FFARawStatProjections!$A:$A,0))</f>
        <v>MIN</v>
      </c>
      <c r="V18" s="551" t="str">
        <f>INDEX(FFARawStatProjections!$D:$D,MATCH(T18,FFARawStatProjections!$A:$A,0))&amp;IF(W18&gt;0," ("&amp;W18&amp;")","")</f>
        <v>13</v>
      </c>
      <c r="W18">
        <f>IFERROR(INDEX($BQ$8:$BQ$21,MATCH(INDEX(FFARawStatProjections!$D:$D,MATCH(T18,FFARawStatProjections!$A:$A,0)),$BP$8:$BP$21,0)),0)</f>
        <v>0</v>
      </c>
      <c r="X18" s="552">
        <f>INDEX(RBproj!M:M,MATCH(Draft!T18,RBproj!D:D,0))</f>
        <v>2.2000000000000002</v>
      </c>
      <c r="Y18">
        <f>INDEX(ADP!$G:$G,MATCH(T18,ADP!$D:$D,0))</f>
        <v>50.200714000000005</v>
      </c>
      <c r="Z18">
        <f>IF(AND(Y18&gt;=$R$5,Y18&lt;$R$4),1,
IF(AND(Y18&gt;=$R$4,Y18&lt;$R$3),2,
IF(Y18&gt;=$R$3,3,
IF(AND(COUNTIF(Z$6:Z17,1)=0,COUNTIF(Y$6:Y17,"&lt;="&amp;$R$5)=(COUNTIF(Y$6:Y$20,"&lt;="&amp;$R$5)-1)),1,0))))</f>
        <v>3</v>
      </c>
      <c r="AA18" s="552">
        <f>(IFERROR(AB18-INDEX(AB:AB,MATCH(1,Z:Z,0)),0)+
IFERROR(AB18-INDEX(AB:AB,MATCH(2,Z:Z,0)),0)*0.5+
IFERROR(AB18-INDEX(AB:AB,MATCH(3,Z:Z,0)),0)*0.25
)/16*IF(ISBLANK(Beersheet!$A$1),1,16)</f>
        <v>-7.0131125000000045</v>
      </c>
      <c r="AB18">
        <f>IF(Beersheet!$A$2="QB",
INDEX(Beersheet!$A:$U,MATCH(Draft!T18,Beersheet!$C:$C,0),FFARawStatProjections!$BQ$1),
INDEX('Draft Slayer Classic'!$V:$V,MATCH(T18,'Draft Slayer Classic'!$T:$T,0)))</f>
        <v>210.70131999999998</v>
      </c>
      <c r="AC18" s="553">
        <f>INDEX('Draft Slayer Classic'!$W:$W,MATCH(T18,'Draft Slayer Classic'!$T:$T,0))</f>
        <v>5</v>
      </c>
      <c r="AD18">
        <f>IFERROR(IF(INDEX(Instructions!$X$64:$X$83,MATCH(Draft!T18,Instructions!$T$64:$T$83,0))&lt;='Draft Slayer Classic'!$E$25,1,0),0)</f>
        <v>0</v>
      </c>
      <c r="AE18" s="197"/>
      <c r="AF18" s="549" t="str">
        <f>INDEX('Draft Slayer Classic'!$AE:$AE,MATCH(SMALL('Draft Slayer Classic'!$AM:$AM,$G18),'Draft Slayer Classic'!$AM:$AM,0))</f>
        <v>Keenan Allen</v>
      </c>
      <c r="AG18" s="550" t="str">
        <f>INDEX(FFARawStatProjections!$B:$B,MATCH(AF18,FFARawStatProjections!$A:$A,0))</f>
        <v>LAC</v>
      </c>
      <c r="AH18" s="551" t="str">
        <f>INDEX(FFARawStatProjections!$D:$D,MATCH(AF18,FFARawStatProjections!$A:$A,0))&amp;IF(AI18&gt;0," ("&amp;AI18&amp;")","")</f>
        <v>5</v>
      </c>
      <c r="AI18">
        <f>IFERROR(INDEX($BQ$8:$BQ$21,MATCH(INDEX(FFARawStatProjections!$D:$D,MATCH(AF18,FFARawStatProjections!$A:$A,0)),$BP$8:$BP$21,0)),0)</f>
        <v>0</v>
      </c>
      <c r="AJ18" s="552">
        <f>INDEX(WRproj!M:M,MATCH(Draft!AF18,WRproj!D:D,0))</f>
        <v>0</v>
      </c>
      <c r="AK18">
        <f>INDEX(ADP!$G:$G,MATCH(AF18,ADP!$D:$D,0))</f>
        <v>42.900309999999998</v>
      </c>
      <c r="AL18">
        <f>IF(AND(AK18&gt;=$R$5,AK18&lt;$R$4),1,
IF(AND(AK18&gt;=$R$4,AK18&lt;$R$3),2,
IF(AK18&gt;=$R$3,3,
IF(AND(COUNTIF(AL$6:AL17,1)=0,COUNTIF(AK$6:AK17,"&lt;="&amp;$R$5)=(COUNTIF(AK$6:AK$20,"&lt;="&amp;$R$5)-1)),1,0))))</f>
        <v>2</v>
      </c>
      <c r="AM18" s="552">
        <f>(IFERROR(AN18-INDEX(AN:AN,MATCH(1,AL:AL,0)),0)+
IFERROR(AN18-INDEX(AN:AN,MATCH(2,AL:AL,0)),0)*0.5+
IFERROR(AN18-INDEX(AN:AN,MATCH(3,AL:AL,0)),0)*0.25
)/16*IF(ISBLANK(Beersheet!$A$1),1,16)</f>
        <v>-5.9824914062500021</v>
      </c>
      <c r="AN18">
        <f>IF(Beersheet!$A$2="QB",
INDEX(Beersheet!$A:$U,MATCH(Draft!AF18,Beersheet!$C:$C,0),FFARawStatProjections!$BQ$1),
INDEX('Draft Slayer Classic'!$AG:$AG,MATCH(AF18,'Draft Slayer Classic'!$AE:$AE,0)))</f>
        <v>214.0333</v>
      </c>
      <c r="AO18" s="553">
        <f>INDEX('Draft Slayer Classic'!$AH:$AH,MATCH(AF18,'Draft Slayer Classic'!$AE:$AE,0))</f>
        <v>6</v>
      </c>
      <c r="AP18">
        <f>IFERROR(IF(INDEX(Instructions!$V$86:$V$105,MATCH(Draft!AF18,Instructions!$S$86:$S$105,0))&lt;='Draft Slayer Classic'!$E$25,1,0),0)</f>
        <v>0</v>
      </c>
      <c r="AQ18" s="197"/>
      <c r="AR18" s="549" t="str">
        <f>INDEX('Draft Slayer Classic'!$AP:$AP,MATCH(SMALL('Draft Slayer Classic'!$AX:$AX,$G18),'Draft Slayer Classic'!$AX:$AX,0))</f>
        <v>Greg Dulcich</v>
      </c>
      <c r="AS18" s="550" t="str">
        <f>INDEX(FFARawStatProjections!$B:$B,MATCH(AR18,FFARawStatProjections!$A:$A,0))</f>
        <v>DEN</v>
      </c>
      <c r="AT18" s="551" t="str">
        <f>INDEX(FFARawStatProjections!$D:$D,MATCH(AR18,FFARawStatProjections!$A:$A,0))&amp;IF(AU18&gt;0," ("&amp;AU18&amp;")","")</f>
        <v>9</v>
      </c>
      <c r="AU18">
        <f>IFERROR(INDEX($BQ$8:$BQ$21,MATCH(INDEX(FFARawStatProjections!$D:$D,MATCH(AR18,FFARawStatProjections!$A:$A,0)),$BP$8:$BP$21,0)),0)</f>
        <v>0</v>
      </c>
      <c r="AV18" s="552">
        <f>INDEX(TEproj!M:M,MATCH(Draft!AR18,TEproj!D:D,0))</f>
        <v>0</v>
      </c>
      <c r="AW18">
        <f>INDEX(ADP!$G:$G,MATCH(AR18,ADP!$D:$D,0))</f>
        <v>157.00045900000001</v>
      </c>
      <c r="AX18">
        <f>IF(AND(AW18&gt;=$R$5,AW18&lt;$R$4),1,
IF(AND(AW18&gt;=$R$4,AW18&lt;$R$3),2,
IF(AW18&gt;=$R$3,3,
IF(AND(COUNTIF(AX$6:AX17,1)=0,COUNTIF(AW$6:AW17,"&lt;="&amp;$R$5)=(COUNTIF(AW$6:AW$20,"&lt;="&amp;$R$5)-1)),1,0))))</f>
        <v>3</v>
      </c>
      <c r="AY18" s="552">
        <f>(IFERROR(AZ18-INDEX(AZ:AZ,MATCH(1,AX:AX,0)),0)+
IFERROR(AZ18-INDEX(AZ:AZ,MATCH(2,AX:AX,0)),0)*0.5+
IFERROR(AZ18-INDEX(AZ:AZ,MATCH(3,AX:AX,0)),0)*0.25
)/16*IF(ISBLANK(Beersheet!$A$1),1,16)</f>
        <v>-11.285144843749997</v>
      </c>
      <c r="AZ18">
        <f>IF(Beersheet!$A$2="QB",
INDEX(Beersheet!$A:$U,MATCH(Draft!AR18,Beersheet!$C:$C,0),FFARawStatProjections!$BQ$1),
INDEX('Draft Slayer Classic'!$AR:$AR,MATCH(AR18,'Draft Slayer Classic'!$AP:$AP,0)))</f>
        <v>126.08624000000002</v>
      </c>
      <c r="BA18" s="553">
        <f>INDEX('Draft Slayer Classic'!$AS:$AS,MATCH(AR18,'Draft Slayer Classic'!$AP:$AP,0))</f>
        <v>7</v>
      </c>
      <c r="BB18">
        <f>IFERROR(IF(INDEX(Instructions!$X$86:$X$105,MATCH(Draft!AR18,Instructions!$T$86:$T$105,0))&lt;='Draft Slayer Classic'!$E$25,1,0),0)</f>
        <v>0</v>
      </c>
      <c r="BC18" s="197"/>
      <c r="BD18" s="549" t="str">
        <f>INDEX('Draft Slayer Classic'!$BA:$BA,MATCH(SMALL('Draft Slayer Classic'!$BD:$BD,$G18),'Draft Slayer Classic'!$BD:$BD,0))</f>
        <v>GB</v>
      </c>
      <c r="BE18" s="553" t="str">
        <f>INDEX(FFARawStatProjections!$D:$D,MATCH(BD18,FFARawStatProjections!$B:$B,0))&amp;IF(BF18&gt;0," ("&amp;BF18&amp;")","")</f>
        <v>6</v>
      </c>
      <c r="BF18">
        <f>IFERROR(INDEX($BQ$8:$BQ$21,MATCH(INDEX(FFARawStatProjections!$D:$D,MATCH(BC18,FFARawStatProjections!$A:$A,0)),$BP$8:$BP$21,0)),0)</f>
        <v>0</v>
      </c>
      <c r="BG18" s="464">
        <f>INDEX(FFARawStatProjections!$E:$E,MATCH(BD18,FFARawStatProjections!$B:$B,0))*0.1</f>
        <v>0</v>
      </c>
      <c r="BH18"/>
      <c r="BI18" s="197"/>
      <c r="BJ18" s="549" t="str">
        <f>INDEX('Draft Slayer Classic'!$BF:$BF,MATCH(SMALL('Draft Slayer Classic'!$BJ:$BJ,$G18),'Draft Slayer Classic'!$BJ:$BJ,0))</f>
        <v>Brandon McManus</v>
      </c>
      <c r="BK18" s="550" t="str">
        <f>INDEX(FFARawStatProjections!$B:$B,MATCH(BJ18,FFARawStatProjections!$A:$A,0))</f>
        <v>JAC</v>
      </c>
      <c r="BL18" s="553" t="str">
        <f>INDEX(FFARawStatProjections!$D:$D,MATCH(BJ18,FFARawStatProjections!$A:$A,0))&amp;IF(BM18&gt;0," ("&amp;BM18&amp;")","")</f>
        <v>9</v>
      </c>
      <c r="BM18">
        <f>IFERROR(INDEX($BQ$8:$BQ$21,MATCH(INDEX(FFARawStatProjections!$D:$D,MATCH(BJ18,FFARawStatProjections!$A:$A,0)),$BP$8:$BP$21,0)),0)</f>
        <v>0</v>
      </c>
      <c r="BN18" s="466">
        <f>INDEX(FFARawStatProjections!$E:$E,MATCH(Draft!BJ18,FFARawStatProjections!$A:$A,0))*0.1</f>
        <v>0</v>
      </c>
      <c r="BO18" s="197"/>
      <c r="BP18" s="465">
        <v>11</v>
      </c>
      <c r="BQ18" s="465">
        <f>IFERROR(COUNTIF('Draft Slayer Classic'!$E$29:$E$53,Draft!BP18),0)</f>
        <v>0</v>
      </c>
      <c r="BS18"/>
      <c r="BT18" t="str">
        <f>IF(FFARawStatProjections!A13=0,"",FFARawStatProjections!A13)</f>
        <v>Daniel Jones</v>
      </c>
      <c r="BU18" t="str">
        <f>IF(FFARawStatProjections!C13=0,"",FFARawStatProjections!C13)</f>
        <v>QB</v>
      </c>
      <c r="BV18" t="str">
        <f>IF(FFARawStatProjections!B13=0,"",FFARawStatProjections!B13)</f>
        <v>NYG</v>
      </c>
      <c r="BW18" s="89"/>
      <c r="BX18">
        <v>12</v>
      </c>
      <c r="BY18" s="89" t="str">
        <f t="shared" si="3"/>
        <v/>
      </c>
      <c r="BZ18" s="89" t="str">
        <f t="shared" si="4"/>
        <v/>
      </c>
      <c r="CA18" s="89" t="str">
        <f t="shared" si="5"/>
        <v/>
      </c>
    </row>
    <row r="19" spans="1:82" s="465" customFormat="1" ht="33.75" customHeight="1" x14ac:dyDescent="0.25">
      <c r="A19" s="469" t="str">
        <f t="shared" si="1"/>
        <v/>
      </c>
      <c r="B19" s="472"/>
      <c r="C19" s="478" t="str">
        <f t="shared" si="0"/>
        <v/>
      </c>
      <c r="D19" s="190" t="str">
        <f t="shared" si="2"/>
        <v/>
      </c>
      <c r="E19" s="190">
        <f>IFERROR(INDEX(Instructions!$U$111:$U$222,MATCH(Draft!A19,Instructions!$U$111:$U$222,0)),0)</f>
        <v>0</v>
      </c>
      <c r="F19" s="197"/>
      <c r="G19">
        <v>14</v>
      </c>
      <c r="H19" s="554" t="str">
        <f>INDEX('Draft Slayer Classic'!$I:$I,MATCH(SMALL('Draft Slayer Classic'!$Q:$Q,$G19),'Draft Slayer Classic'!$Q:$Q,0))</f>
        <v>Tua Tagovailoa</v>
      </c>
      <c r="I19" s="555" t="str">
        <f>INDEX(FFARawStatProjections!$B:$B,MATCH(H19,FFARawStatProjections!$A:$A,0))</f>
        <v>MIA</v>
      </c>
      <c r="J19" s="556" t="str">
        <f>INDEX(FFARawStatProjections!$D:$D,MATCH(H19,FFARawStatProjections!$A:$A,0))&amp;IF(K19&gt;0," ("&amp;K19&amp;")","")</f>
        <v>10</v>
      </c>
      <c r="K19">
        <f>IFERROR(INDEX($BQ$8:$BQ$21,MATCH(INDEX(FFARawStatProjections!$D:$D,MATCH(H19,FFARawStatProjections!$A:$A,0)),$BP$8:$BP$21,0)),0)</f>
        <v>0</v>
      </c>
      <c r="L19" s="466">
        <f>INDEX(QBproj!M:M,MATCH(Draft!H19,QBproj!D:D,0))</f>
        <v>0</v>
      </c>
      <c r="M19">
        <f>INDEX(ADP!$G:$G,MATCH(H19,ADP!$D:$D,0))</f>
        <v>81.100052999999988</v>
      </c>
      <c r="N19">
        <f>IF(AND(M19&gt;=$R$5,M19&lt;$R$4),1,
IF(AND(M19&gt;=$R$4,M19&lt;$R$3),2,
IF(M19&gt;=$R$3,3,
IF(AND(COUNTIF(N$6:N18,1)=0,COUNTIF(M$6:M18,"&lt;="&amp;$R$5)=(COUNTIF(M$6:M$20,"&lt;="&amp;$R$5)-1)),1,0))))</f>
        <v>3</v>
      </c>
      <c r="O19" s="466">
        <f>(IFERROR(P19-INDEX(P:P,MATCH(1,N:N,0)),0)+
IFERROR(P19-INDEX(P:P,MATCH(2,N:N,0)),0)*0.5+
IFERROR(P19-INDEX(P:P,MATCH(3,N:N,0)),0)*0.25
)/16*IF(ISBLANK(Beersheet!$A$1),1,16)</f>
        <v>-9.4582051562500009</v>
      </c>
      <c r="P19">
        <f>IF(Beersheet!$A$2="QB",
INDEX(Beersheet!$A:$U,MATCH(Draft!H19,Beersheet!$C:$C,0),FFARawStatProjections!$BQ$1),
INDEX('Draft Slayer Classic'!$K:$K,MATCH(H19,'Draft Slayer Classic'!$I:$I,0)))</f>
        <v>284.87615</v>
      </c>
      <c r="Q19" s="557">
        <f>INDEX('Draft Slayer Classic'!$L:$L,MATCH(H19,'Draft Slayer Classic'!$I:$I,0))</f>
        <v>8</v>
      </c>
      <c r="R19">
        <f>IFERROR(IF(INDEX(Instructions!$V$64:$V$83,MATCH(Draft!H19,Instructions!$S$64:$S$83,0))&lt;='Draft Slayer Classic'!$E$25,1,0),0)</f>
        <v>0</v>
      </c>
      <c r="S19" s="197"/>
      <c r="T19" s="554" t="str">
        <f>INDEX('Draft Slayer Classic'!$T:$T,MATCH(SMALL('Draft Slayer Classic'!$AB:$AB,$G19),'Draft Slayer Classic'!$AB:$AB,0))</f>
        <v>James Conner</v>
      </c>
      <c r="U19" s="555" t="str">
        <f>INDEX(FFARawStatProjections!$B:$B,MATCH(T19,FFARawStatProjections!$A:$A,0))</f>
        <v>AZ</v>
      </c>
      <c r="V19" s="556" t="str">
        <f>INDEX(FFARawStatProjections!$D:$D,MATCH(T19,FFARawStatProjections!$A:$A,0))&amp;IF(W19&gt;0," ("&amp;W19&amp;")","")</f>
        <v>14</v>
      </c>
      <c r="W19">
        <f>IFERROR(INDEX($BQ$8:$BQ$21,MATCH(INDEX(FFARawStatProjections!$D:$D,MATCH(T19,FFARawStatProjections!$A:$A,0)),$BP$8:$BP$21,0)),0)</f>
        <v>0</v>
      </c>
      <c r="X19" s="464">
        <f>INDEX(RBproj!M:M,MATCH(Draft!T19,RBproj!D:D,0))</f>
        <v>0.90000000000000036</v>
      </c>
      <c r="Y19">
        <f>INDEX(ADP!$G:$G,MATCH(T19,ADP!$D:$D,0))</f>
        <v>56.400400999999995</v>
      </c>
      <c r="Z19">
        <f>IF(AND(Y19&gt;=$R$5,Y19&lt;$R$4),1,
IF(AND(Y19&gt;=$R$4,Y19&lt;$R$3),2,
IF(Y19&gt;=$R$3,3,
IF(AND(COUNTIF(Z$6:Z18,1)=0,COUNTIF(Y$6:Y18,"&lt;="&amp;$R$5)=(COUNTIF(Y$6:Y$20,"&lt;="&amp;$R$5)-1)),1,0))))</f>
        <v>3</v>
      </c>
      <c r="AA19" s="466">
        <f>(IFERROR(AB19-INDEX(AB:AB,MATCH(1,Z:Z,0)),0)+
IFERROR(AB19-INDEX(AB:AB,MATCH(2,Z:Z,0)),0)*0.5+
IFERROR(AB19-INDEX(AB:AB,MATCH(3,Z:Z,0)),0)*0.25
)/16*IF(ISBLANK(Beersheet!$A$1),1,16)</f>
        <v>-7.0437407812499995</v>
      </c>
      <c r="AB19">
        <f>IF(Beersheet!$A$2="QB",
INDEX(Beersheet!$A:$U,MATCH(Draft!T19,Beersheet!$C:$C,0),FFARawStatProjections!$BQ$1),
INDEX('Draft Slayer Classic'!$V:$V,MATCH(T19,'Draft Slayer Classic'!$T:$T,0)))</f>
        <v>210.42129000000003</v>
      </c>
      <c r="AC19" s="557">
        <f>INDEX('Draft Slayer Classic'!$W:$W,MATCH(T19,'Draft Slayer Classic'!$T:$T,0))</f>
        <v>5</v>
      </c>
      <c r="AD19">
        <f>IFERROR(IF(INDEX(Instructions!$X$64:$X$83,MATCH(Draft!T19,Instructions!$T$64:$T$83,0))&lt;='Draft Slayer Classic'!$E$25,1,0),0)</f>
        <v>0</v>
      </c>
      <c r="AE19" s="197"/>
      <c r="AF19" s="554" t="str">
        <f>INDEX('Draft Slayer Classic'!$AE:$AE,MATCH(SMALL('Draft Slayer Classic'!$AM:$AM,$G19),'Draft Slayer Classic'!$AM:$AM,0))</f>
        <v>Jerry Jeudy</v>
      </c>
      <c r="AG19" s="555" t="str">
        <f>INDEX(FFARawStatProjections!$B:$B,MATCH(AF19,FFARawStatProjections!$A:$A,0))</f>
        <v>DEN</v>
      </c>
      <c r="AH19" s="556" t="str">
        <f>INDEX(FFARawStatProjections!$D:$D,MATCH(AF19,FFARawStatProjections!$A:$A,0))&amp;IF(AI19&gt;0," ("&amp;AI19&amp;")","")</f>
        <v>9</v>
      </c>
      <c r="AI19">
        <f>IFERROR(INDEX($BQ$8:$BQ$21,MATCH(INDEX(FFARawStatProjections!$D:$D,MATCH(AF19,FFARawStatProjections!$A:$A,0)),$BP$8:$BP$21,0)),0)</f>
        <v>0</v>
      </c>
      <c r="AJ19" s="464">
        <f>INDEX(WRproj!M:M,MATCH(Draft!AF19,WRproj!D:D,0))</f>
        <v>0</v>
      </c>
      <c r="AK19">
        <f>INDEX(ADP!$G:$G,MATCH(AF19,ADP!$D:$D,0))</f>
        <v>44.600371000000003</v>
      </c>
      <c r="AL19">
        <f>IF(AND(AK19&gt;=$R$5,AK19&lt;$R$4),1,
IF(AND(AK19&gt;=$R$4,AK19&lt;$R$3),2,
IF(AK19&gt;=$R$3,3,
IF(AND(COUNTIF(AL$6:AL18,1)=0,COUNTIF(AK$6:AK18,"&lt;="&amp;$R$5)=(COUNTIF(AK$6:AK$20,"&lt;="&amp;$R$5)-1)),1,0))))</f>
        <v>2</v>
      </c>
      <c r="AM19" s="466">
        <f>(IFERROR(AN19-INDEX(AN:AN,MATCH(1,AL:AL,0)),0)+
IFERROR(AN19-INDEX(AN:AN,MATCH(2,AL:AL,0)),0)*0.5+
IFERROR(AN19-INDEX(AN:AN,MATCH(3,AL:AL,0)),0)*0.25
)/16*IF(ISBLANK(Beersheet!$A$1),1,16)</f>
        <v>-6.1017057812500015</v>
      </c>
      <c r="AN19">
        <f>IF(Beersheet!$A$2="QB",
INDEX(Beersheet!$A:$U,MATCH(Draft!AF19,Beersheet!$C:$C,0),FFARawStatProjections!$BQ$1),
INDEX('Draft Slayer Classic'!$AG:$AG,MATCH(AF19,'Draft Slayer Classic'!$AE:$AE,0)))</f>
        <v>212.94334000000001</v>
      </c>
      <c r="AO19" s="557">
        <f>INDEX('Draft Slayer Classic'!$AH:$AH,MATCH(AF19,'Draft Slayer Classic'!$AE:$AE,0))</f>
        <v>7</v>
      </c>
      <c r="AP19">
        <f>IFERROR(IF(INDEX(Instructions!$V$86:$V$105,MATCH(Draft!AF19,Instructions!$S$86:$S$105,0))&lt;='Draft Slayer Classic'!$E$25,1,0),0)</f>
        <v>0</v>
      </c>
      <c r="AQ19" s="197"/>
      <c r="AR19" s="554" t="str">
        <f>INDEX('Draft Slayer Classic'!$AP:$AP,MATCH(SMALL('Draft Slayer Classic'!$AX:$AX,$G19),'Draft Slayer Classic'!$AX:$AX,0))</f>
        <v>Gerald Everett</v>
      </c>
      <c r="AS19" s="555" t="str">
        <f>INDEX(FFARawStatProjections!$B:$B,MATCH(AR19,FFARawStatProjections!$A:$A,0))</f>
        <v>LAC</v>
      </c>
      <c r="AT19" s="556" t="str">
        <f>INDEX(FFARawStatProjections!$D:$D,MATCH(AR19,FFARawStatProjections!$A:$A,0))&amp;IF(AU19&gt;0," ("&amp;AU19&amp;")","")</f>
        <v>5</v>
      </c>
      <c r="AU19">
        <f>IFERROR(INDEX($BQ$8:$BQ$21,MATCH(INDEX(FFARawStatProjections!$D:$D,MATCH(AR19,FFARawStatProjections!$A:$A,0)),$BP$8:$BP$21,0)),0)</f>
        <v>0</v>
      </c>
      <c r="AV19" s="464">
        <f>INDEX(TEproj!M:M,MATCH(Draft!AR19,TEproj!D:D,0))</f>
        <v>0</v>
      </c>
      <c r="AW19">
        <f>INDEX(ADP!$G:$G,MATCH(AR19,ADP!$D:$D,0))</f>
        <v>152.800467</v>
      </c>
      <c r="AX19">
        <f>IF(AND(AW19&gt;=$R$5,AW19&lt;$R$4),1,
IF(AND(AW19&gt;=$R$4,AW19&lt;$R$3),2,
IF(AW19&gt;=$R$3,3,
IF(AND(COUNTIF(AX$6:AX18,1)=0,COUNTIF(AW$6:AW18,"&lt;="&amp;$R$5)=(COUNTIF(AW$6:AW$20,"&lt;="&amp;$R$5)-1)),1,0))))</f>
        <v>3</v>
      </c>
      <c r="AY19" s="466">
        <f>(IFERROR(AZ19-INDEX(AZ:AZ,MATCH(1,AX:AX,0)),0)+
IFERROR(AZ19-INDEX(AZ:AZ,MATCH(2,AX:AX,0)),0)*0.5+
IFERROR(AZ19-INDEX(AZ:AZ,MATCH(3,AX:AX,0)),0)*0.25
)/16*IF(ISBLANK(Beersheet!$A$1),1,16)</f>
        <v>-11.385927656249999</v>
      </c>
      <c r="AZ19">
        <f>IF(Beersheet!$A$2="QB",
INDEX(Beersheet!$A:$U,MATCH(Draft!AR19,Beersheet!$C:$C,0),FFARawStatProjections!$BQ$1),
INDEX('Draft Slayer Classic'!$AR:$AR,MATCH(AR19,'Draft Slayer Classic'!$AP:$AP,0)))</f>
        <v>124.79622000000002</v>
      </c>
      <c r="BA19" s="557">
        <f>INDEX('Draft Slayer Classic'!$AS:$AS,MATCH(AR19,'Draft Slayer Classic'!$AP:$AP,0))</f>
        <v>7</v>
      </c>
      <c r="BB19">
        <f>IFERROR(IF(INDEX(Instructions!$X$86:$X$105,MATCH(Draft!AR19,Instructions!$T$86:$T$105,0))&lt;='Draft Slayer Classic'!$E$25,1,0),0)</f>
        <v>0</v>
      </c>
      <c r="BC19" s="197"/>
      <c r="BD19" s="554" t="str">
        <f>INDEX('Draft Slayer Classic'!$BA:$BA,MATCH(SMALL('Draft Slayer Classic'!$BD:$BD,$G19),'Draft Slayer Classic'!$BD:$BD,0))</f>
        <v>NYJ</v>
      </c>
      <c r="BE19" s="557" t="str">
        <f>INDEX(FFARawStatProjections!$D:$D,MATCH(BD19,FFARawStatProjections!$B:$B,0))&amp;IF(BF19&gt;0," ("&amp;BF19&amp;")","")</f>
        <v>7</v>
      </c>
      <c r="BF19">
        <f>IFERROR(INDEX($BQ$8:$BQ$21,MATCH(INDEX(FFARawStatProjections!$D:$D,MATCH(BC19,FFARawStatProjections!$A:$A,0)),$BP$8:$BP$21,0)),0)</f>
        <v>0</v>
      </c>
      <c r="BG19" s="464">
        <f>INDEX(FFARawStatProjections!$E:$E,MATCH(BD19,FFARawStatProjections!$B:$B,0))*0.1</f>
        <v>0</v>
      </c>
      <c r="BH19"/>
      <c r="BI19" s="197"/>
      <c r="BJ19" s="554" t="str">
        <f>INDEX('Draft Slayer Classic'!$BF:$BF,MATCH(SMALL('Draft Slayer Classic'!$BJ:$BJ,$G19),'Draft Slayer Classic'!$BJ:$BJ,0))</f>
        <v>Cameron Dicker</v>
      </c>
      <c r="BK19" s="555" t="str">
        <f>INDEX(FFARawStatProjections!$B:$B,MATCH(BJ19,FFARawStatProjections!$A:$A,0))</f>
        <v>LAC</v>
      </c>
      <c r="BL19" s="557" t="str">
        <f>INDEX(FFARawStatProjections!$D:$D,MATCH(BJ19,FFARawStatProjections!$A:$A,0))&amp;IF(BM19&gt;0," ("&amp;BM19&amp;")","")</f>
        <v>5</v>
      </c>
      <c r="BM19">
        <f>IFERROR(INDEX($BQ$8:$BQ$21,MATCH(INDEX(FFARawStatProjections!$D:$D,MATCH(BJ19,FFARawStatProjections!$A:$A,0)),$BP$8:$BP$21,0)),0)</f>
        <v>0</v>
      </c>
      <c r="BN19" s="466">
        <f>INDEX(FFARawStatProjections!$E:$E,MATCH(Draft!BJ19,FFARawStatProjections!$A:$A,0))*0.1</f>
        <v>0</v>
      </c>
      <c r="BO19" s="197"/>
      <c r="BP19" s="465">
        <v>12</v>
      </c>
      <c r="BQ19" s="465">
        <f>IFERROR(COUNTIF('Draft Slayer Classic'!$E$29:$E$53,Draft!BP19),0)</f>
        <v>0</v>
      </c>
      <c r="BS19"/>
      <c r="BT19" t="str">
        <f>IF(FFARawStatProjections!A14=0,"",FFARawStatProjections!A14)</f>
        <v>Geno Smith</v>
      </c>
      <c r="BU19" t="str">
        <f>IF(FFARawStatProjections!C14=0,"",FFARawStatProjections!C14)</f>
        <v>QB</v>
      </c>
      <c r="BV19" t="str">
        <f>IF(FFARawStatProjections!B14=0,"",FFARawStatProjections!B14)</f>
        <v>SEA</v>
      </c>
      <c r="BW19" s="89"/>
      <c r="BX19">
        <v>13</v>
      </c>
      <c r="BY19" s="89" t="str">
        <f t="shared" si="3"/>
        <v/>
      </c>
      <c r="BZ19" s="89" t="str">
        <f t="shared" si="4"/>
        <v/>
      </c>
      <c r="CA19" s="89" t="str">
        <f t="shared" si="5"/>
        <v/>
      </c>
    </row>
    <row r="20" spans="1:82" s="465" customFormat="1" ht="33.75" customHeight="1" x14ac:dyDescent="0.25">
      <c r="A20" s="575" t="str">
        <f t="shared" si="1"/>
        <v/>
      </c>
      <c r="B20" s="474"/>
      <c r="C20" s="578" t="str">
        <f t="shared" si="0"/>
        <v/>
      </c>
      <c r="D20" s="190" t="str">
        <f t="shared" si="2"/>
        <v/>
      </c>
      <c r="E20" s="190">
        <f>IFERROR(INDEX(Instructions!$U$111:$U$222,MATCH(Draft!A20,Instructions!$U$111:$U$222,0)),0)</f>
        <v>0</v>
      </c>
      <c r="F20" s="581"/>
      <c r="G20">
        <v>15</v>
      </c>
      <c r="H20" s="580" t="str">
        <f>INDEX('Draft Slayer Classic'!$I:$I,MATCH(SMALL('Draft Slayer Classic'!$Q:$Q,$G20),'Draft Slayer Classic'!$Q:$Q,0))</f>
        <v>Russell Wilson</v>
      </c>
      <c r="I20" s="550" t="str">
        <f>INDEX(FFARawStatProjections!$B:$B,MATCH(H20,FFARawStatProjections!$A:$A,0))</f>
        <v>DEN</v>
      </c>
      <c r="J20" s="551" t="str">
        <f>INDEX(FFARawStatProjections!$D:$D,MATCH(H20,FFARawStatProjections!$A:$A,0))&amp;IF(K20&gt;0," ("&amp;K20&amp;")","")</f>
        <v>9</v>
      </c>
      <c r="K20">
        <f>IFERROR(INDEX($BQ$8:$BQ$21,MATCH(INDEX(FFARawStatProjections!$D:$D,MATCH(H20,FFARawStatProjections!$A:$A,0)),$BP$8:$BP$21,0)),0)</f>
        <v>0</v>
      </c>
      <c r="L20" s="552">
        <f>INDEX(QBproj!M:M,MATCH(Draft!H20,QBproj!D:D,0))</f>
        <v>1.7000000000000011</v>
      </c>
      <c r="M20">
        <f>INDEX(ADP!$G:$G,MATCH(H20,ADP!$D:$D,0))</f>
        <v>130.40012899999999</v>
      </c>
      <c r="N20">
        <f>IF(AND(M20&gt;=$R$5,M20&lt;$R$4),1,
IF(AND(M20&gt;=$R$4,M20&lt;$R$3),2,
IF(M20&gt;=$R$3,3,
IF(AND(COUNTIF(N$6:N19,1)=0,COUNTIF(M$6:M19,"&lt;="&amp;$R$5)=(COUNTIF(M$6:M$20,"&lt;="&amp;$R$5)-1)),1,0))))</f>
        <v>3</v>
      </c>
      <c r="O20" s="552">
        <f>(IFERROR(P20-INDEX(P:P,MATCH(1,N:N,0)),0)+
IFERROR(P20-INDEX(P:P,MATCH(2,N:N,0)),0)*0.5+
IFERROR(P20-INDEX(P:P,MATCH(3,N:N,0)),0)*0.25
)/16*IF(ISBLANK(Beersheet!$A$1),1,16)</f>
        <v>-9.5866103125000013</v>
      </c>
      <c r="P20">
        <f>IF(Beersheet!$A$2="QB",
INDEX(Beersheet!$A:$U,MATCH(Draft!H20,Beersheet!$C:$C,0),FFARawStatProjections!$BQ$1),
INDEX('Draft Slayer Classic'!$K:$K,MATCH(H20,'Draft Slayer Classic'!$I:$I,0)))</f>
        <v>283.70215999999999</v>
      </c>
      <c r="Q20" s="551">
        <f>INDEX('Draft Slayer Classic'!$L:$L,MATCH(H20,'Draft Slayer Classic'!$I:$I,0))</f>
        <v>8</v>
      </c>
      <c r="R20">
        <f>IFERROR(IF(INDEX(Instructions!$V$64:$V$83,MATCH(Draft!H20,Instructions!$S$64:$S$83,0))&lt;='Draft Slayer Classic'!$E$25,1,0),0)</f>
        <v>0</v>
      </c>
      <c r="S20" s="581"/>
      <c r="T20" s="577" t="str">
        <f>INDEX('Draft Slayer Classic'!$T:$T,MATCH(SMALL('Draft Slayer Classic'!$AB:$AB,$G20),'Draft Slayer Classic'!$AB:$AB,0))</f>
        <v>Jahmyr Gibbs</v>
      </c>
      <c r="U20" s="550" t="str">
        <f>INDEX(FFARawStatProjections!$B:$B,MATCH(T20,FFARawStatProjections!$A:$A,0))</f>
        <v>DET</v>
      </c>
      <c r="V20" s="551" t="str">
        <f>INDEX(FFARawStatProjections!$D:$D,MATCH(T20,FFARawStatProjections!$A:$A,0))&amp;IF(W20&gt;0," ("&amp;W20&amp;")","")</f>
        <v>9</v>
      </c>
      <c r="W20">
        <f>IFERROR(INDEX($BQ$8:$BQ$21,MATCH(INDEX(FFARawStatProjections!$D:$D,MATCH(T20,FFARawStatProjections!$A:$A,0)),$BP$8:$BP$21,0)),0)</f>
        <v>0</v>
      </c>
      <c r="X20" s="552">
        <f>INDEX(RBproj!M:M,MATCH(Draft!T20,RBproj!D:D,0))</f>
        <v>0</v>
      </c>
      <c r="Y20">
        <f>INDEX(ADP!$G:$G,MATCH(T20,ADP!$D:$D,0))</f>
        <v>36.100422999999999</v>
      </c>
      <c r="Z20">
        <f>IF(AND(Y20&gt;=$R$5,Y20&lt;$R$4),1,
IF(AND(Y20&gt;=$R$4,Y20&lt;$R$3),2,
IF(Y20&gt;=$R$3,3,
IF(AND(COUNTIF(Z$6:Z19,1)=0,COUNTIF(Y$6:Y19,"&lt;="&amp;$R$5)=(COUNTIF(Y$6:Y$20,"&lt;="&amp;$R$5)-1)),1,0))))</f>
        <v>2</v>
      </c>
      <c r="AA20" s="552">
        <f>(IFERROR(AB20-INDEX(AB:AB,MATCH(1,Z:Z,0)),0)+
IFERROR(AB20-INDEX(AB:AB,MATCH(2,Z:Z,0)),0)*0.5+
IFERROR(AB20-INDEX(AB:AB,MATCH(3,Z:Z,0)),0)*0.25
)/16*IF(ISBLANK(Beersheet!$A$1),1,16)</f>
        <v>-7.1301415625000031</v>
      </c>
      <c r="AB20">
        <f>IF(Beersheet!$A$2="QB",
INDEX(Beersheet!$A:$U,MATCH(Draft!T20,Beersheet!$C:$C,0),FFARawStatProjections!$BQ$1),
INDEX('Draft Slayer Classic'!$V:$V,MATCH(T20,'Draft Slayer Classic'!$T:$T,0)))</f>
        <v>209.63133999999999</v>
      </c>
      <c r="AC20" s="551">
        <f>INDEX('Draft Slayer Classic'!$W:$W,MATCH(T20,'Draft Slayer Classic'!$T:$T,0))</f>
        <v>5</v>
      </c>
      <c r="AD20">
        <f>IFERROR(IF(INDEX(Instructions!$X$64:$X$83,MATCH(Draft!T20,Instructions!$T$64:$T$83,0))&lt;='Draft Slayer Classic'!$E$25,1,0),0)</f>
        <v>0</v>
      </c>
      <c r="AE20" s="581"/>
      <c r="AF20" s="577" t="str">
        <f>INDEX('Draft Slayer Classic'!$AE:$AE,MATCH(SMALL('Draft Slayer Classic'!$AM:$AM,$G20),'Draft Slayer Classic'!$AM:$AM,0))</f>
        <v>Terry McLaurin</v>
      </c>
      <c r="AG20" s="550" t="str">
        <f>INDEX(FFARawStatProjections!$B:$B,MATCH(AF20,FFARawStatProjections!$A:$A,0))</f>
        <v>WAS</v>
      </c>
      <c r="AH20" s="551" t="str">
        <f>INDEX(FFARawStatProjections!$D:$D,MATCH(AF20,FFARawStatProjections!$A:$A,0))&amp;IF(AI20&gt;0," ("&amp;AI20&amp;")","")</f>
        <v>14</v>
      </c>
      <c r="AI20">
        <f>IFERROR(INDEX($BQ$8:$BQ$21,MATCH(INDEX(FFARawStatProjections!$D:$D,MATCH(AF20,FFARawStatProjections!$A:$A,0)),$BP$8:$BP$21,0)),0)</f>
        <v>0</v>
      </c>
      <c r="AJ20" s="552">
        <f>INDEX(WRproj!M:M,MATCH(Draft!AF20,WRproj!D:D,0))</f>
        <v>0</v>
      </c>
      <c r="AK20">
        <f>INDEX(ADP!$G:$G,MATCH(AF20,ADP!$D:$D,0))</f>
        <v>50.600082</v>
      </c>
      <c r="AL20">
        <f>IF(AND(AK20&gt;=$R$5,AK20&lt;$R$4),1,
IF(AND(AK20&gt;=$R$4,AK20&lt;$R$3),2,
IF(AK20&gt;=$R$3,3,
IF(AND(COUNTIF(AL$6:AL19,1)=0,COUNTIF(AK$6:AK19,"&lt;="&amp;$R$5)=(COUNTIF(AK$6:AK$20,"&lt;="&amp;$R$5)-1)),1,0))))</f>
        <v>3</v>
      </c>
      <c r="AM20" s="552">
        <f>(IFERROR(AN20-INDEX(AN:AN,MATCH(1,AL:AL,0)),0)+
IFERROR(AN20-INDEX(AN:AN,MATCH(2,AL:AL,0)),0)*0.5+
IFERROR(AN20-INDEX(AN:AN,MATCH(3,AL:AL,0)),0)*0.25
)/16*IF(ISBLANK(Beersheet!$A$1),1,16)</f>
        <v>-6.1191948437500008</v>
      </c>
      <c r="AN20">
        <f>IF(Beersheet!$A$2="QB",
INDEX(Beersheet!$A:$U,MATCH(Draft!AF20,Beersheet!$C:$C,0),FFARawStatProjections!$BQ$1),
INDEX('Draft Slayer Classic'!$AG:$AG,MATCH(AF20,'Draft Slayer Classic'!$AE:$AE,0)))</f>
        <v>212.78344000000001</v>
      </c>
      <c r="AO20" s="551">
        <f>INDEX('Draft Slayer Classic'!$AH:$AH,MATCH(AF20,'Draft Slayer Classic'!$AE:$AE,0))</f>
        <v>7</v>
      </c>
      <c r="AP20">
        <f>IFERROR(IF(INDEX(Instructions!$V$86:$V$105,MATCH(Draft!AF20,Instructions!$S$86:$S$105,0))&lt;='Draft Slayer Classic'!$E$25,1,0),0)</f>
        <v>0</v>
      </c>
      <c r="AQ20" s="581"/>
      <c r="AR20" s="577" t="str">
        <f>INDEX('Draft Slayer Classic'!$AP:$AP,MATCH(SMALL('Draft Slayer Classic'!$AX:$AX,$G20),'Draft Slayer Classic'!$AX:$AX,0))</f>
        <v>Cole Kmet</v>
      </c>
      <c r="AS20" s="550" t="str">
        <f>INDEX(FFARawStatProjections!$B:$B,MATCH(AR20,FFARawStatProjections!$A:$A,0))</f>
        <v>CHI</v>
      </c>
      <c r="AT20" s="551" t="str">
        <f>INDEX(FFARawStatProjections!$D:$D,MATCH(AR20,FFARawStatProjections!$A:$A,0))&amp;IF(AU20&gt;0," ("&amp;AU20&amp;")","")</f>
        <v>13</v>
      </c>
      <c r="AU20">
        <f>IFERROR(INDEX($BQ$8:$BQ$21,MATCH(INDEX(FFARawStatProjections!$D:$D,MATCH(AR20,FFARawStatProjections!$A:$A,0)),$BP$8:$BP$21,0)),0)</f>
        <v>0</v>
      </c>
      <c r="AV20" s="552">
        <f>INDEX(TEproj!M:M,MATCH(Draft!AR20,TEproj!D:D,0))</f>
        <v>1.7999999999999972</v>
      </c>
      <c r="AW20">
        <f>INDEX(ADP!$G:$G,MATCH(AR20,ADP!$D:$D,0))</f>
        <v>139.000596</v>
      </c>
      <c r="AX20">
        <f>IF(AND(AW20&gt;=$R$5,AW20&lt;$R$4),1,
IF(AND(AW20&gt;=$R$4,AW20&lt;$R$3),2,
IF(AW20&gt;=$R$3,3,
IF(AND(COUNTIF(AX$6:AX19,1)=0,COUNTIF(AW$6:AW19,"&lt;="&amp;$R$5)=(COUNTIF(AW$6:AW$20,"&lt;="&amp;$R$5)-1)),1,0))))</f>
        <v>3</v>
      </c>
      <c r="AY20" s="552">
        <f>(IFERROR(AZ20-INDEX(AZ:AZ,MATCH(1,AX:AX,0)),0)+
IFERROR(AZ20-INDEX(AZ:AZ,MATCH(2,AX:AX,0)),0)*0.5+
IFERROR(AZ20-INDEX(AZ:AZ,MATCH(3,AX:AX,0)),0)*0.25
)/16*IF(ISBLANK(Beersheet!$A$1),1,16)</f>
        <v>-11.464833125</v>
      </c>
      <c r="AZ20">
        <f>IF(Beersheet!$A$2="QB",
INDEX(Beersheet!$A:$U,MATCH(Draft!AR20,Beersheet!$C:$C,0),FFARawStatProjections!$BQ$1),
INDEX('Draft Slayer Classic'!$AR:$AR,MATCH(AR20,'Draft Slayer Classic'!$AP:$AP,0)))</f>
        <v>123.78623</v>
      </c>
      <c r="BA20" s="551">
        <f>INDEX('Draft Slayer Classic'!$AS:$AS,MATCH(AR20,'Draft Slayer Classic'!$AP:$AP,0))</f>
        <v>7</v>
      </c>
      <c r="BB20">
        <f>IFERROR(IF(INDEX(Instructions!$X$86:$X$105,MATCH(Draft!AR20,Instructions!$T$86:$T$105,0))&lt;='Draft Slayer Classic'!$E$25,1,0),0)</f>
        <v>0</v>
      </c>
      <c r="BC20" s="581"/>
      <c r="BD20" s="577" t="str">
        <f>INDEX('Draft Slayer Classic'!$BA:$BA,MATCH(SMALL('Draft Slayer Classic'!$BD:$BD,$G20),'Draft Slayer Classic'!$BD:$BD,0))</f>
        <v>SEA</v>
      </c>
      <c r="BE20" s="551" t="str">
        <f>INDEX(FFARawStatProjections!$D:$D,MATCH(BD20,FFARawStatProjections!$B:$B,0))&amp;IF(BF20&gt;0," ("&amp;BF20&amp;")","")</f>
        <v>5</v>
      </c>
      <c r="BF20">
        <f>IFERROR(INDEX($BQ$8:$BQ$21,MATCH(INDEX(FFARawStatProjections!$D:$D,MATCH(BC20,FFARawStatProjections!$A:$A,0)),$BP$8:$BP$21,0)),0)</f>
        <v>0</v>
      </c>
      <c r="BG20" s="464">
        <f>INDEX(FFARawStatProjections!$E:$E,MATCH(BD20,FFARawStatProjections!$B:$B,0))*0.1</f>
        <v>0</v>
      </c>
      <c r="BH20"/>
      <c r="BI20" s="581"/>
      <c r="BJ20" s="577" t="str">
        <f>INDEX('Draft Slayer Classic'!$BF:$BF,MATCH(SMALL('Draft Slayer Classic'!$BJ:$BJ,$G20),'Draft Slayer Classic'!$BJ:$BJ,0))</f>
        <v>Jason Sanders</v>
      </c>
      <c r="BK20" s="550" t="str">
        <f>INDEX(FFARawStatProjections!$B:$B,MATCH(BJ20,FFARawStatProjections!$A:$A,0))</f>
        <v>MIA</v>
      </c>
      <c r="BL20" s="551" t="str">
        <f>INDEX(FFARawStatProjections!$D:$D,MATCH(BJ20,FFARawStatProjections!$A:$A,0))&amp;IF(BM20&gt;0," ("&amp;BM20&amp;")","")</f>
        <v>10</v>
      </c>
      <c r="BM20">
        <f>IFERROR(INDEX($BQ$8:$BQ$21,MATCH(INDEX(FFARawStatProjections!$D:$D,MATCH(BJ20,FFARawStatProjections!$A:$A,0)),$BP$8:$BP$21,0)),0)</f>
        <v>0</v>
      </c>
      <c r="BN20" s="466">
        <f>INDEX(FFARawStatProjections!$E:$E,MATCH(Draft!BJ20,FFARawStatProjections!$A:$A,0))*0.1</f>
        <v>0</v>
      </c>
      <c r="BO20" s="581"/>
      <c r="BP20" s="465">
        <v>13</v>
      </c>
      <c r="BQ20" s="465">
        <f>IFERROR(COUNTIF('Draft Slayer Classic'!$E$29:$E$53,Draft!BP20),0)</f>
        <v>0</v>
      </c>
      <c r="BS20"/>
      <c r="BT20" t="str">
        <f>IF(FFARawStatProjections!A15=0,"",FFARawStatProjections!A15)</f>
        <v>Aaron Rodgers</v>
      </c>
      <c r="BU20" t="str">
        <f>IF(FFARawStatProjections!C15=0,"",FFARawStatProjections!C15)</f>
        <v>QB</v>
      </c>
      <c r="BV20" t="str">
        <f>IF(FFARawStatProjections!B15=0,"",FFARawStatProjections!B15)</f>
        <v>NYJ</v>
      </c>
      <c r="BW20" s="89"/>
      <c r="BX20">
        <v>14</v>
      </c>
      <c r="BY20" s="89" t="str">
        <f t="shared" si="3"/>
        <v/>
      </c>
      <c r="BZ20" s="89" t="str">
        <f t="shared" si="4"/>
        <v/>
      </c>
      <c r="CA20" s="89" t="str">
        <f t="shared" si="5"/>
        <v/>
      </c>
    </row>
    <row r="21" spans="1:82" ht="33.75" customHeight="1" x14ac:dyDescent="0.25">
      <c r="A21" s="469" t="str">
        <f t="shared" ref="A21:A48" si="6">IFERROR(IF(A20-1&lt;=0,"",A20-1),"")</f>
        <v/>
      </c>
      <c r="B21" s="472"/>
      <c r="C21" s="478" t="str">
        <f t="shared" ref="C21:C28" si="7">IF(
IFERROR(INDEX(BY:BY,MATCH(A21,BX:BX,0)),"")=IFERROR(INDEX(CA:CA,MATCH(A21,BX:BX,0)),""),
IFERROR(INDEX(CA:CA,MATCH(A21,BX:BX,0)),""),
IFERROR(INDEX(BY:BY,MATCH(A21,BX:BX,0)),"")&amp;" - "&amp;IFERROR(INDEX(CA:CA,MATCH(A21,BX:BX,0)),""))</f>
        <v/>
      </c>
      <c r="D21" s="190" t="str">
        <f t="shared" ref="D21:D28" si="8">IFERROR(INDEX(BZ:BZ,MATCH(A21,BX:BX,0)),"")</f>
        <v/>
      </c>
      <c r="E21" s="190">
        <f>IFERROR(INDEX(Instructions!$U$111:$U$222,MATCH(Draft!A21,Instructions!$U$111:$U$222,0)),0)</f>
        <v>0</v>
      </c>
      <c r="F21" s="579"/>
      <c r="G21">
        <v>16</v>
      </c>
      <c r="H21" s="554" t="str">
        <f>INDEX('Draft Slayer Classic'!$I:$I,MATCH(SMALL('Draft Slayer Classic'!$Q:$Q,$G21),'Draft Slayer Classic'!$Q:$Q,0))</f>
        <v>Jared Goff</v>
      </c>
      <c r="I21" s="555" t="str">
        <f>INDEX(FFARawStatProjections!$B:$B,MATCH(H21,FFARawStatProjections!$A:$A,0))</f>
        <v>DET</v>
      </c>
      <c r="J21" s="556" t="str">
        <f>INDEX(FFARawStatProjections!$D:$D,MATCH(H21,FFARawStatProjections!$A:$A,0))&amp;IF(K21&gt;0," ("&amp;K21&amp;")","")</f>
        <v>9</v>
      </c>
      <c r="K21">
        <f>IFERROR(INDEX($BQ$8:$BQ$21,MATCH(INDEX(FFARawStatProjections!$D:$D,MATCH(H21,FFARawStatProjections!$A:$A,0)),$BP$8:$BP$21,0)),0)</f>
        <v>0</v>
      </c>
      <c r="L21" s="466">
        <f>INDEX(QBproj!M:M,MATCH(Draft!H21,QBproj!D:D,0))</f>
        <v>0</v>
      </c>
      <c r="M21">
        <f>INDEX(ADP!$G:$G,MATCH(H21,ADP!$D:$D,0))</f>
        <v>121.000393</v>
      </c>
      <c r="N21">
        <f>IF(AND(M21&gt;=$R$5,M21&lt;$R$4),1,
IF(AND(M21&gt;=$R$4,M21&lt;$R$3),2,
IF(M21&gt;=$R$3,3,
IF(AND(COUNTIF(N$6:N20,1)=0,COUNTIF(M$6:M20,"&lt;="&amp;$R$5)=(COUNTIF(M$6:M$20,"&lt;="&amp;$R$5)-1)),1,0))))</f>
        <v>3</v>
      </c>
      <c r="O21" s="466">
        <f>(IFERROR(P21-INDEX(P:P,MATCH(1,N:N,0)),0)+
IFERROR(P21-INDEX(P:P,MATCH(2,N:N,0)),0)*0.5+
IFERROR(P21-INDEX(P:P,MATCH(3,N:N,0)),0)*0.25
)/16*IF(ISBLANK(Beersheet!$A$1),1,16)</f>
        <v>-9.6058592187500018</v>
      </c>
      <c r="P21">
        <f>IF(Beersheet!$A$2="QB",
INDEX(Beersheet!$A:$U,MATCH(Draft!H21,Beersheet!$C:$C,0),FFARawStatProjections!$BQ$1),
INDEX('Draft Slayer Classic'!$K:$K,MATCH(H21,'Draft Slayer Classic'!$I:$I,0)))</f>
        <v>283.52616999999998</v>
      </c>
      <c r="Q21" s="557">
        <f>INDEX('Draft Slayer Classic'!$L:$L,MATCH(H21,'Draft Slayer Classic'!$I:$I,0))</f>
        <v>8</v>
      </c>
      <c r="R21">
        <f>IFERROR(IF(INDEX(Instructions!$V$64:$V$83,MATCH(Draft!H21,Instructions!$S$64:$S$83,0))&lt;='Draft Slayer Classic'!$E$25,1,0),0)</f>
        <v>0</v>
      </c>
      <c r="S21" s="197"/>
      <c r="T21" s="554" t="str">
        <f>INDEX('Draft Slayer Classic'!$T:$T,MATCH(SMALL('Draft Slayer Classic'!$AB:$AB,$G21),'Draft Slayer Classic'!$AB:$AB,0))</f>
        <v>Kenneth Walker</v>
      </c>
      <c r="U21" s="555" t="str">
        <f>INDEX(FFARawStatProjections!$B:$B,MATCH(T21,FFARawStatProjections!$A:$A,0))</f>
        <v>SEA</v>
      </c>
      <c r="V21" s="556" t="str">
        <f>INDEX(FFARawStatProjections!$D:$D,MATCH(T21,FFARawStatProjections!$A:$A,0))&amp;IF(W21&gt;0," ("&amp;W21&amp;")","")</f>
        <v>5</v>
      </c>
      <c r="W21">
        <f>IFERROR(INDEX($BQ$8:$BQ$21,MATCH(INDEX(FFARawStatProjections!$D:$D,MATCH(T21,FFARawStatProjections!$A:$A,0)),$BP$8:$BP$21,0)),0)</f>
        <v>0</v>
      </c>
      <c r="X21" s="464">
        <f>INDEX(RBproj!M:M,MATCH(Draft!T21,RBproj!D:D,0))</f>
        <v>0</v>
      </c>
      <c r="Y21">
        <f>INDEX(ADP!$G:$G,MATCH(T21,ADP!$D:$D,0))</f>
        <v>39.500298999999998</v>
      </c>
      <c r="Z21">
        <f>IF(AND(Y21&gt;=$R$5,Y21&lt;$R$4),1,
IF(AND(Y21&gt;=$R$4,Y21&lt;$R$3),2,
IF(Y21&gt;=$R$3,3,
IF(AND(COUNTIF(Z$6:Z20,1)=0,COUNTIF(Y$6:Y20,"&lt;="&amp;$R$5)=(COUNTIF(Y$6:Y$20,"&lt;="&amp;$R$5)-1)),1,0))))</f>
        <v>2</v>
      </c>
      <c r="AA21" s="466">
        <f>(IFERROR(AB21-INDEX(AB:AB,MATCH(1,Z:Z,0)),0)+
IFERROR(AB21-INDEX(AB:AB,MATCH(2,Z:Z,0)),0)*0.5+
IFERROR(AB21-INDEX(AB:AB,MATCH(3,Z:Z,0)),0)*0.25
)/16*IF(ISBLANK(Beersheet!$A$1),1,16)</f>
        <v>-7.6704475000000034</v>
      </c>
      <c r="AB21">
        <f>IF(Beersheet!$A$2="QB",
INDEX(Beersheet!$A:$U,MATCH(Draft!T21,Beersheet!$C:$C,0),FFARawStatProjections!$BQ$1),
INDEX('Draft Slayer Classic'!$V:$V,MATCH(T21,'Draft Slayer Classic'!$T:$T,0)))</f>
        <v>204.69139999999999</v>
      </c>
      <c r="AC21" s="557">
        <f>INDEX('Draft Slayer Classic'!$W:$W,MATCH(T21,'Draft Slayer Classic'!$T:$T,0))</f>
        <v>6</v>
      </c>
      <c r="AD21">
        <f>IFERROR(IF(INDEX(Instructions!$X$64:$X$83,MATCH(Draft!T21,Instructions!$T$64:$T$83,0))&lt;='Draft Slayer Classic'!$E$25,1,0),0)</f>
        <v>0</v>
      </c>
      <c r="AE21" s="197"/>
      <c r="AF21" s="554" t="str">
        <f>INDEX('Draft Slayer Classic'!$AE:$AE,MATCH(SMALL('Draft Slayer Classic'!$AM:$AM,$G21),'Draft Slayer Classic'!$AM:$AM,0))</f>
        <v>DJ Moore</v>
      </c>
      <c r="AG21" s="555" t="str">
        <f>INDEX(FFARawStatProjections!$B:$B,MATCH(AF21,FFARawStatProjections!$A:$A,0))</f>
        <v>CHI</v>
      </c>
      <c r="AH21" s="556" t="str">
        <f>INDEX(FFARawStatProjections!$D:$D,MATCH(AF21,FFARawStatProjections!$A:$A,0))&amp;IF(AI21&gt;0," ("&amp;AI21&amp;")","")</f>
        <v>13</v>
      </c>
      <c r="AI21">
        <f>IFERROR(INDEX($BQ$8:$BQ$21,MATCH(INDEX(FFARawStatProjections!$D:$D,MATCH(AF21,FFARawStatProjections!$A:$A,0)),$BP$8:$BP$21,0)),0)</f>
        <v>0</v>
      </c>
      <c r="AJ21" s="464">
        <f>INDEX(WRproj!M:M,MATCH(Draft!AF21,WRproj!D:D,0))</f>
        <v>0</v>
      </c>
      <c r="AK21">
        <f>INDEX(ADP!$G:$G,MATCH(AF21,ADP!$D:$D,0))</f>
        <v>41.200510000000001</v>
      </c>
      <c r="AL21">
        <f>IF(AND(AK21&gt;=$R$5,AK21&lt;$R$4),1,
IF(AND(AK21&gt;=$R$4,AK21&lt;$R$3),2,
IF(AK21&gt;=$R$3,3,
IF(AND(COUNTIF(AL$6:AL20,1)=0,COUNTIF(AK$6:AK20,"&lt;="&amp;$R$5)=(COUNTIF(AK$6:AK$20,"&lt;="&amp;$R$5)-1)),1,0))))</f>
        <v>2</v>
      </c>
      <c r="AM21" s="466">
        <f>(IFERROR(AN21-INDEX(AN:AN,MATCH(1,AL:AL,0)),0)+
IFERROR(AN21-INDEX(AN:AN,MATCH(2,AL:AL,0)),0)*0.5+
IFERROR(AN21-INDEX(AN:AN,MATCH(3,AL:AL,0)),0)*0.25
)/16*IF(ISBLANK(Beersheet!$A$1),1,16)</f>
        <v>-6.4145160937500059</v>
      </c>
      <c r="AN21">
        <f>IF(Beersheet!$A$2="QB",
INDEX(Beersheet!$A:$U,MATCH(Draft!AF21,Beersheet!$C:$C,0),FFARawStatProjections!$BQ$1),
INDEX('Draft Slayer Classic'!$AG:$AG,MATCH(AF21,'Draft Slayer Classic'!$AE:$AE,0)))</f>
        <v>210.08335999999997</v>
      </c>
      <c r="AO21" s="557">
        <f>INDEX('Draft Slayer Classic'!$AH:$AH,MATCH(AF21,'Draft Slayer Classic'!$AE:$AE,0))</f>
        <v>7</v>
      </c>
      <c r="AP21">
        <f>IFERROR(IF(INDEX(Instructions!$V$86:$V$105,MATCH(Draft!AF21,Instructions!$S$86:$S$105,0))&lt;='Draft Slayer Classic'!$E$25,1,0),0)</f>
        <v>0</v>
      </c>
      <c r="AQ21" s="197"/>
      <c r="AR21" s="554" t="str">
        <f>INDEX('Draft Slayer Classic'!$AP:$AP,MATCH(SMALL('Draft Slayer Classic'!$AX:$AX,$G21),'Draft Slayer Classic'!$AX:$AX,0))</f>
        <v>Dalton Kincaid</v>
      </c>
      <c r="AS21" s="555" t="str">
        <f>INDEX(FFARawStatProjections!$B:$B,MATCH(AR21,FFARawStatProjections!$A:$A,0))</f>
        <v>BUF</v>
      </c>
      <c r="AT21" s="556" t="str">
        <f>INDEX(FFARawStatProjections!$D:$D,MATCH(AR21,FFARawStatProjections!$A:$A,0))&amp;IF(AU21&gt;0," ("&amp;AU21&amp;")","")</f>
        <v>13</v>
      </c>
      <c r="AU21">
        <f>IFERROR(INDEX($BQ$8:$BQ$21,MATCH(INDEX(FFARawStatProjections!$D:$D,MATCH(AR21,FFARawStatProjections!$A:$A,0)),$BP$8:$BP$21,0)),0)</f>
        <v>0</v>
      </c>
      <c r="AV21" s="464">
        <f>INDEX(TEproj!M:M,MATCH(Draft!AR21,TEproj!D:D,0))</f>
        <v>2.0999999999999979</v>
      </c>
      <c r="AW21">
        <f>INDEX(ADP!$G:$G,MATCH(AR21,ADP!$D:$D,0))</f>
        <v>147.70057899999998</v>
      </c>
      <c r="AX21">
        <f>IF(AND(AW21&gt;=$R$5,AW21&lt;$R$4),1,
IF(AND(AW21&gt;=$R$4,AW21&lt;$R$3),2,
IF(AW21&gt;=$R$3,3,
IF(AND(COUNTIF(AX$6:AX20,1)=0,COUNTIF(AW$6:AW20,"&lt;="&amp;$R$5)=(COUNTIF(AW$6:AW$20,"&lt;="&amp;$R$5)-1)),1,0))))</f>
        <v>3</v>
      </c>
      <c r="AY21" s="466">
        <f>(IFERROR(AZ21-INDEX(AZ:AZ,MATCH(1,AX:AX,0)),0)+
IFERROR(AZ21-INDEX(AZ:AZ,MATCH(2,AX:AX,0)),0)*0.5+
IFERROR(AZ21-INDEX(AZ:AZ,MATCH(3,AX:AX,0)),0)*0.25
)/16*IF(ISBLANK(Beersheet!$A$1),1,16)</f>
        <v>-12.10233078125</v>
      </c>
      <c r="AZ21">
        <f>IF(Beersheet!$A$2="QB",
INDEX(Beersheet!$A:$U,MATCH(Draft!AR21,Beersheet!$C:$C,0),FFARawStatProjections!$BQ$1),
INDEX('Draft Slayer Classic'!$AR:$AR,MATCH(AR21,'Draft Slayer Classic'!$AP:$AP,0)))</f>
        <v>115.62626</v>
      </c>
      <c r="BA21" s="557">
        <f>INDEX('Draft Slayer Classic'!$AS:$AS,MATCH(AR21,'Draft Slayer Classic'!$AP:$AP,0))</f>
        <v>8</v>
      </c>
      <c r="BB21">
        <f>IFERROR(IF(INDEX(Instructions!$X$86:$X$105,MATCH(Draft!AR21,Instructions!$T$86:$T$105,0))&lt;='Draft Slayer Classic'!$E$25,1,0),0)</f>
        <v>0</v>
      </c>
      <c r="BC21" s="197"/>
      <c r="BD21" s="554" t="str">
        <f>INDEX('Draft Slayer Classic'!$BA:$BA,MATCH(SMALL('Draft Slayer Classic'!$BD:$BD,$G21),'Draft Slayer Classic'!$BD:$BD,0))</f>
        <v>LAC</v>
      </c>
      <c r="BE21" s="557" t="str">
        <f>INDEX(FFARawStatProjections!$D:$D,MATCH(BD21,FFARawStatProjections!$B:$B,0))&amp;IF(BF21&gt;0," ("&amp;BF21&amp;")","")</f>
        <v>5</v>
      </c>
      <c r="BF21">
        <f>IFERROR(INDEX($BQ$8:$BQ$21,MATCH(INDEX(FFARawStatProjections!$D:$D,MATCH(BC21,FFARawStatProjections!$A:$A,0)),$BP$8:$BP$21,0)),0)</f>
        <v>0</v>
      </c>
      <c r="BG21" s="464">
        <f>INDEX(FFARawStatProjections!$E:$E,MATCH(BD21,FFARawStatProjections!$B:$B,0))*0.1</f>
        <v>0</v>
      </c>
      <c r="BI21" s="197"/>
      <c r="BJ21" s="554" t="str">
        <f>INDEX('Draft Slayer Classic'!$BF:$BF,MATCH(SMALL('Draft Slayer Classic'!$BJ:$BJ,$G21),'Draft Slayer Classic'!$BJ:$BJ,0))</f>
        <v>Jake Moody</v>
      </c>
      <c r="BK21" s="555" t="str">
        <f>INDEX(FFARawStatProjections!$B:$B,MATCH(BJ21,FFARawStatProjections!$A:$A,0))</f>
        <v>SF</v>
      </c>
      <c r="BL21" s="557" t="str">
        <f>INDEX(FFARawStatProjections!$D:$D,MATCH(BJ21,FFARawStatProjections!$A:$A,0))&amp;IF(BM21&gt;0," ("&amp;BM21&amp;")","")</f>
        <v>9</v>
      </c>
      <c r="BM21">
        <f>IFERROR(INDEX($BQ$8:$BQ$21,MATCH(INDEX(FFARawStatProjections!$D:$D,MATCH(BJ21,FFARawStatProjections!$A:$A,0)),$BP$8:$BP$21,0)),0)</f>
        <v>0</v>
      </c>
      <c r="BN21" s="466">
        <f>INDEX(FFARawStatProjections!$E:$E,MATCH(Draft!BJ21,FFARawStatProjections!$A:$A,0))*0.1</f>
        <v>0</v>
      </c>
      <c r="BO21" s="197"/>
      <c r="BP21" s="465">
        <v>14</v>
      </c>
      <c r="BQ21" s="465">
        <f>IFERROR(COUNTIF('Draft Slayer Classic'!$E$29:$E$53,Draft!BP21),0)</f>
        <v>0</v>
      </c>
      <c r="BT21" t="str">
        <f>IF(FFARawStatProjections!A16=0,"",FFARawStatProjections!A16)</f>
        <v>Tua Tagovailoa</v>
      </c>
      <c r="BU21" t="str">
        <f>IF(FFARawStatProjections!C16=0,"",FFARawStatProjections!C16)</f>
        <v>QB</v>
      </c>
      <c r="BV21" t="str">
        <f>IF(FFARawStatProjections!B16=0,"",FFARawStatProjections!B16)</f>
        <v>MIA</v>
      </c>
      <c r="BX21">
        <v>15</v>
      </c>
      <c r="BY21" s="89" t="str">
        <f t="shared" si="3"/>
        <v/>
      </c>
      <c r="BZ21" s="89" t="str">
        <f t="shared" si="4"/>
        <v/>
      </c>
      <c r="CA21" s="89" t="str">
        <f t="shared" si="5"/>
        <v/>
      </c>
      <c r="CB21" s="465"/>
      <c r="CC21" s="465"/>
      <c r="CD21" s="465"/>
    </row>
    <row r="22" spans="1:82" ht="33.75" hidden="1" customHeight="1" x14ac:dyDescent="0.25">
      <c r="A22" s="473" t="str">
        <f t="shared" si="6"/>
        <v/>
      </c>
      <c r="B22" s="474"/>
      <c r="C22" s="479" t="str">
        <f t="shared" si="7"/>
        <v/>
      </c>
      <c r="D22" s="190" t="str">
        <f t="shared" si="8"/>
        <v/>
      </c>
      <c r="E22" s="190">
        <f>IFERROR(INDEX(Instructions!$U$111:$U$222,MATCH(Draft!A22,Instructions!$U$111:$U$222,0)),0)</f>
        <v>0</v>
      </c>
      <c r="F22" s="197"/>
      <c r="G22">
        <v>17</v>
      </c>
      <c r="H22" s="549" t="str">
        <f>INDEX('Draft Slayer Classic'!$I:$I,MATCH(SMALL('Draft Slayer Classic'!$Q:$Q,$G22),'Draft Slayer Classic'!$Q:$Q,0))</f>
        <v>Anthony Richardson</v>
      </c>
      <c r="I22" s="550" t="str">
        <f>INDEX(FFARawStatProjections!$B:$B,MATCH(H22,FFARawStatProjections!$A:$A,0))</f>
        <v>IND</v>
      </c>
      <c r="J22" s="551" t="str">
        <f>INDEX(FFARawStatProjections!$D:$D,MATCH(H22,FFARawStatProjections!$A:$A,0))&amp;IF(K22&gt;0," ("&amp;K22&amp;")","")</f>
        <v>11</v>
      </c>
      <c r="K22">
        <f>IFERROR(INDEX($BQ$8:$BQ$21,MATCH(INDEX(FFARawStatProjections!$D:$D,MATCH(H22,FFARawStatProjections!$A:$A,0)),$BP$8:$BP$21,0)),0)</f>
        <v>0</v>
      </c>
      <c r="L22" s="552">
        <f>INDEX(QBproj!M:M,MATCH(Draft!H22,QBproj!D:D,0))</f>
        <v>0</v>
      </c>
      <c r="M22">
        <f>INDEX(ADP!$G:$G,MATCH(H22,ADP!$D:$D,0))</f>
        <v>133.100697</v>
      </c>
      <c r="N22">
        <f>IF(AND(M22&gt;=$R$5,M22&lt;$R$4),1,
IF(AND(M22&gt;=$R$4,M22&lt;$R$3),2,
IF(M22&gt;=$R$3,3,
IF(AND(COUNTIF(N$6:N21,1)=0,COUNTIF(M$6:M21,"&lt;="&amp;$R$5)=(COUNTIF(M$6:M$20,"&lt;="&amp;$R$5)-1)),1,0))))</f>
        <v>3</v>
      </c>
      <c r="O22" s="552">
        <f>(IFERROR(P22-INDEX(P:P,MATCH(1,N:N,0)),0)+
IFERROR(P22-INDEX(P:P,MATCH(2,N:N,0)),0)*0.5+
IFERROR(P22-INDEX(P:P,MATCH(3,N:N,0)),0)*0.25
)/16*IF(ISBLANK(Beersheet!$A$1),1,16)</f>
        <v>-10.664389374999999</v>
      </c>
      <c r="P22">
        <f>IF(Beersheet!$A$2="QB",
INDEX(Beersheet!$A:$U,MATCH(Draft!H22,Beersheet!$C:$C,0),FFARawStatProjections!$BQ$1),
INDEX('Draft Slayer Classic'!$K:$K,MATCH(H22,'Draft Slayer Classic'!$I:$I,0)))</f>
        <v>273.84818000000001</v>
      </c>
      <c r="Q22" s="553">
        <f>INDEX('Draft Slayer Classic'!$L:$L,MATCH(H22,'Draft Slayer Classic'!$I:$I,0))</f>
        <v>8</v>
      </c>
      <c r="R22">
        <f>IFERROR(IF(INDEX(Instructions!$V$64:$V$83,MATCH(Draft!H22,Instructions!$S$64:$S$83,0))&lt;='Draft Slayer Classic'!$E$25,1,0),0)</f>
        <v>0</v>
      </c>
      <c r="S22" s="197"/>
      <c r="T22" s="549" t="str">
        <f>INDEX('Draft Slayer Classic'!$T:$T,MATCH(SMALL('Draft Slayer Classic'!$AB:$AB,$G22),'Draft Slayer Classic'!$AB:$AB,0))</f>
        <v>Dameon Pierce</v>
      </c>
      <c r="U22" s="550" t="str">
        <f>INDEX(FFARawStatProjections!$B:$B,MATCH(T22,FFARawStatProjections!$A:$A,0))</f>
        <v>HOU</v>
      </c>
      <c r="V22" s="551" t="str">
        <f>INDEX(FFARawStatProjections!$D:$D,MATCH(T22,FFARawStatProjections!$A:$A,0))&amp;IF(W22&gt;0," ("&amp;W22&amp;")","")</f>
        <v>7</v>
      </c>
      <c r="W22">
        <f>IFERROR(INDEX($BQ$8:$BQ$21,MATCH(INDEX(FFARawStatProjections!$D:$D,MATCH(T22,FFARawStatProjections!$A:$A,0)),$BP$8:$BP$21,0)),0)</f>
        <v>0</v>
      </c>
      <c r="X22" s="552">
        <f>INDEX(RBproj!M:M,MATCH(Draft!T22,RBproj!D:D,0))</f>
        <v>1.8999999999999995</v>
      </c>
      <c r="Y22">
        <f>INDEX(ADP!$G:$G,MATCH(T22,ADP!$D:$D,0))</f>
        <v>51.900576000000001</v>
      </c>
      <c r="Z22">
        <f>IF(AND(Y22&gt;=$R$5,Y22&lt;$R$4),1,
IF(AND(Y22&gt;=$R$4,Y22&lt;$R$3),2,
IF(Y22&gt;=$R$3,3,
IF(AND(COUNTIF(Z$6:Z21,1)=0,COUNTIF(Y$6:Y21,"&lt;="&amp;$R$5)=(COUNTIF(Y$6:Y$20,"&lt;="&amp;$R$5)-1)),1,0))))</f>
        <v>3</v>
      </c>
      <c r="AA22" s="552">
        <f>(IFERROR(AB22-INDEX(AB:AB,MATCH(1,Z:Z,0)),0)+
IFERROR(AB22-INDEX(AB:AB,MATCH(2,Z:Z,0)),0)*0.5+
IFERROR(AB22-INDEX(AB:AB,MATCH(3,Z:Z,0)),0)*0.25
)/16*IF(ISBLANK(Beersheet!$A$1),1,16)</f>
        <v>-7.8881114062500046</v>
      </c>
      <c r="AB22">
        <f>IF(Beersheet!$A$2="QB",
INDEX(Beersheet!$A:$U,MATCH(Draft!T22,Beersheet!$C:$C,0),FFARawStatProjections!$BQ$1),
INDEX('Draft Slayer Classic'!$V:$V,MATCH(T22,'Draft Slayer Classic'!$T:$T,0)))</f>
        <v>202.70132999999998</v>
      </c>
      <c r="AC22" s="553">
        <f>INDEX('Draft Slayer Classic'!$W:$W,MATCH(T22,'Draft Slayer Classic'!$T:$T,0))</f>
        <v>6</v>
      </c>
      <c r="AD22">
        <f>IFERROR(IF(INDEX(Instructions!$X$64:$X$83,MATCH(Draft!T22,Instructions!$T$64:$T$83,0))&lt;='Draft Slayer Classic'!$E$25,1,0),0)</f>
        <v>0</v>
      </c>
      <c r="AE22" s="197"/>
      <c r="AF22" s="549" t="str">
        <f>INDEX('Draft Slayer Classic'!$AE:$AE,MATCH(SMALL('Draft Slayer Classic'!$AM:$AM,$G22),'Draft Slayer Classic'!$AM:$AM,0))</f>
        <v>Mike Williams</v>
      </c>
      <c r="AG22" s="550" t="str">
        <f>INDEX(FFARawStatProjections!$B:$B,MATCH(AF22,FFARawStatProjections!$A:$A,0))</f>
        <v>LAC</v>
      </c>
      <c r="AH22" s="551" t="str">
        <f>INDEX(FFARawStatProjections!$D:$D,MATCH(AF22,FFARawStatProjections!$A:$A,0))&amp;IF(AI22&gt;0," ("&amp;AI22&amp;")","")</f>
        <v>5</v>
      </c>
      <c r="AI22">
        <f>IFERROR(INDEX($BQ$8:$BQ$21,MATCH(INDEX(FFARawStatProjections!$D:$D,MATCH(AF22,FFARawStatProjections!$A:$A,0)),$BP$8:$BP$21,0)),0)</f>
        <v>0</v>
      </c>
      <c r="AJ22" s="552">
        <f>INDEX(WRproj!M:M,MATCH(Draft!AF22,WRproj!D:D,0))</f>
        <v>1.1999999999999993</v>
      </c>
      <c r="AK22">
        <f>INDEX(ADP!$G:$G,MATCH(AF22,ADP!$D:$D,0))</f>
        <v>59.500216999999999</v>
      </c>
      <c r="AL22">
        <f>IF(AND(AK22&gt;=$R$5,AK22&lt;$R$4),1,
IF(AND(AK22&gt;=$R$4,AK22&lt;$R$3),2,
IF(AK22&gt;=$R$3,3,
IF(AND(COUNTIF(AL$6:AL21,1)=0,COUNTIF(AK$6:AK21,"&lt;="&amp;$R$5)=(COUNTIF(AK$6:AK$20,"&lt;="&amp;$R$5)-1)),1,0))))</f>
        <v>3</v>
      </c>
      <c r="AM22" s="552">
        <f>(IFERROR(AN22-INDEX(AN:AN,MATCH(1,AL:AL,0)),0)+
IFERROR(AN22-INDEX(AN:AN,MATCH(2,AL:AL,0)),0)*0.5+
IFERROR(AN22-INDEX(AN:AN,MATCH(3,AL:AL,0)),0)*0.25
)/16*IF(ISBLANK(Beersheet!$A$1),1,16)</f>
        <v>-6.512949218750002</v>
      </c>
      <c r="AN22">
        <f>IF(Beersheet!$A$2="QB",
INDEX(Beersheet!$A:$U,MATCH(Draft!AF22,Beersheet!$C:$C,0),FFARawStatProjections!$BQ$1),
INDEX('Draft Slayer Classic'!$AG:$AG,MATCH(AF22,'Draft Slayer Classic'!$AE:$AE,0)))</f>
        <v>209.18340000000001</v>
      </c>
      <c r="AO22" s="553">
        <f>INDEX('Draft Slayer Classic'!$AH:$AH,MATCH(AF22,'Draft Slayer Classic'!$AE:$AE,0))</f>
        <v>7</v>
      </c>
      <c r="AP22">
        <f>IFERROR(IF(INDEX(Instructions!$V$86:$V$105,MATCH(Draft!AF22,Instructions!$S$86:$S$105,0))&lt;='Draft Slayer Classic'!$E$25,1,0),0)</f>
        <v>0</v>
      </c>
      <c r="AQ22" s="197"/>
      <c r="AR22" s="549" t="str">
        <f>INDEX('Draft Slayer Classic'!$AP:$AP,MATCH(SMALL('Draft Slayer Classic'!$AX:$AX,$G22),'Draft Slayer Classic'!$AX:$AX,0))</f>
        <v>Juwan Johnson</v>
      </c>
      <c r="AS22" s="550" t="str">
        <f>INDEX(FFARawStatProjections!$B:$B,MATCH(AR22,FFARawStatProjections!$A:$A,0))</f>
        <v>NO</v>
      </c>
      <c r="AT22" s="551" t="str">
        <f>INDEX(FFARawStatProjections!$D:$D,MATCH(AR22,FFARawStatProjections!$A:$A,0))&amp;IF(AU22&gt;0," ("&amp;AU22&amp;")","")</f>
        <v>11</v>
      </c>
      <c r="AU22">
        <f>IFERROR(INDEX($BQ$8:$BQ$21,MATCH(INDEX(FFARawStatProjections!$D:$D,MATCH(AR22,FFARawStatProjections!$A:$A,0)),$BP$8:$BP$21,0)),0)</f>
        <v>0</v>
      </c>
      <c r="AV22" s="552">
        <f>INDEX(TEproj!M:M,MATCH(Draft!AR22,TEproj!D:D,0))</f>
        <v>0</v>
      </c>
      <c r="AW22" t="e">
        <f>INDEX(ADP!$G:$G,MATCH(AR22,ADP!$D:$D,0))</f>
        <v>#N/A</v>
      </c>
      <c r="AX22" t="e">
        <f>IF(AND(AW22&gt;=$R$5,AW22&lt;$R$4),1,
IF(AND(AW22&gt;=$R$4,AW22&lt;$R$3),2,
IF(AW22&gt;=$R$3,3,
IF(AND(COUNTIF(AX$6:AX21,1)=0,COUNTIF(AW$6:AW21,"&lt;="&amp;$R$5)=(COUNTIF(AW$6:AW$20,"&lt;="&amp;$R$5)-1)),1,0))))</f>
        <v>#N/A</v>
      </c>
      <c r="AY22" s="552">
        <f>(IFERROR(AZ22-INDEX(AZ:AZ,MATCH(1,AX:AX,0)),0)+
IFERROR(AZ22-INDEX(AZ:AZ,MATCH(2,AX:AX,0)),0)*0.5+
IFERROR(AZ22-INDEX(AZ:AZ,MATCH(3,AX:AX,0)),0)*0.25
)/16*IF(ISBLANK(Beersheet!$A$1),1,16)</f>
        <v>-12.2921753125</v>
      </c>
      <c r="AZ22">
        <f>IF(Beersheet!$A$2="QB",
INDEX(Beersheet!$A:$U,MATCH(Draft!AR22,Beersheet!$C:$C,0),FFARawStatProjections!$BQ$1),
INDEX('Draft Slayer Classic'!$AR:$AR,MATCH(AR22,'Draft Slayer Classic'!$AP:$AP,0)))</f>
        <v>113.19624999999999</v>
      </c>
      <c r="BA22" s="553">
        <f>INDEX('Draft Slayer Classic'!$AS:$AS,MATCH(AR22,'Draft Slayer Classic'!$AP:$AP,0))</f>
        <v>8</v>
      </c>
      <c r="BB22">
        <f>IFERROR(IF(INDEX(Instructions!$X$86:$X$105,MATCH(Draft!AR22,Instructions!$T$86:$T$105,0))&lt;='Draft Slayer Classic'!$E$25,1,0),0)</f>
        <v>0</v>
      </c>
      <c r="BC22" s="197"/>
      <c r="BD22" s="549" t="str">
        <f>INDEX('Draft Slayer Classic'!$BA:$BA,MATCH(SMALL('Draft Slayer Classic'!$BD:$BD,$G22),'Draft Slayer Classic'!$BD:$BD,0))</f>
        <v>DET</v>
      </c>
      <c r="BE22" s="553" t="str">
        <f>INDEX(FFARawStatProjections!$D:$D,MATCH(BD22,FFARawStatProjections!$B:$B,0))&amp;IF(BF22&gt;0," ("&amp;BF22&amp;")","")</f>
        <v>9</v>
      </c>
      <c r="BF22">
        <f>IFERROR(INDEX($BQ$8:$BQ$21,MATCH(INDEX(FFARawStatProjections!$D:$D,MATCH(BC22,FFARawStatProjections!$A:$A,0)),$BP$8:$BP$21,0)),0)</f>
        <v>0</v>
      </c>
      <c r="BG22" s="464">
        <f>INDEX(FFARawStatProjections!$E:$E,MATCH(BD22,FFARawStatProjections!$B:$B,0))*0.1</f>
        <v>0</v>
      </c>
      <c r="BI22" s="197"/>
      <c r="BJ22" s="549" t="str">
        <f>INDEX('Draft Slayer Classic'!$BF:$BF,MATCH(SMALL('Draft Slayer Classic'!$BJ:$BJ,$G22),'Draft Slayer Classic'!$BJ:$BJ,0))</f>
        <v>Cairo Santos</v>
      </c>
      <c r="BK22" s="550" t="str">
        <f>INDEX(FFARawStatProjections!$B:$B,MATCH(BJ22,FFARawStatProjections!$A:$A,0))</f>
        <v>CHI</v>
      </c>
      <c r="BL22" s="553" t="str">
        <f>INDEX(FFARawStatProjections!$D:$D,MATCH(BJ22,FFARawStatProjections!$A:$A,0))&amp;IF(BM22&gt;0," ("&amp;BM22&amp;")","")</f>
        <v>13</v>
      </c>
      <c r="BM22">
        <f>IFERROR(INDEX($BQ$8:$BQ$21,MATCH(INDEX(FFARawStatProjections!$D:$D,MATCH(BJ22,FFARawStatProjections!$A:$A,0)),$BP$8:$BP$21,0)),0)</f>
        <v>0</v>
      </c>
      <c r="BN22" s="466">
        <f>INDEX(FFARawStatProjections!$E:$E,MATCH(Draft!BJ22,FFARawStatProjections!$A:$A,0))*0.1</f>
        <v>0</v>
      </c>
      <c r="BO22" s="197"/>
      <c r="BQ22" s="465" t="str">
        <f>IFERROR(INDEX(FFARawStatProjections!$D:$D,MATCH('Draft Slayer Classic'!E43,FFARawStatProjections!$B:$B,0)),"")</f>
        <v/>
      </c>
      <c r="BT22" t="str">
        <f>IF(FFARawStatProjections!A17=0,"",FFARawStatProjections!A17)</f>
        <v>Russell Wilson</v>
      </c>
      <c r="BU22" t="str">
        <f>IF(FFARawStatProjections!C17=0,"",FFARawStatProjections!C17)</f>
        <v>QB</v>
      </c>
      <c r="BV22" t="str">
        <f>IF(FFARawStatProjections!B17=0,"",FFARawStatProjections!B17)</f>
        <v>DEN</v>
      </c>
      <c r="BX22">
        <v>16</v>
      </c>
      <c r="BY22" s="89" t="str">
        <f t="shared" si="3"/>
        <v/>
      </c>
      <c r="BZ22" s="89" t="str">
        <f t="shared" si="4"/>
        <v/>
      </c>
      <c r="CA22" s="89" t="str">
        <f t="shared" si="5"/>
        <v/>
      </c>
      <c r="CB22" s="465"/>
      <c r="CC22" s="465"/>
      <c r="CD22" s="465"/>
    </row>
    <row r="23" spans="1:82" ht="33.75" hidden="1" customHeight="1" x14ac:dyDescent="0.25">
      <c r="A23" s="469" t="str">
        <f t="shared" si="6"/>
        <v/>
      </c>
      <c r="B23" s="472"/>
      <c r="C23" s="478" t="str">
        <f t="shared" si="7"/>
        <v/>
      </c>
      <c r="D23" s="190" t="str">
        <f t="shared" si="8"/>
        <v/>
      </c>
      <c r="E23" s="190">
        <f>IFERROR(INDEX(Instructions!$U$111:$U$222,MATCH(Draft!A23,Instructions!$U$111:$U$222,0)),0)</f>
        <v>0</v>
      </c>
      <c r="F23" s="197"/>
      <c r="G23">
        <v>18</v>
      </c>
      <c r="H23" s="554" t="str">
        <f>INDEX('Draft Slayer Classic'!$I:$I,MATCH(SMALL('Draft Slayer Classic'!$Q:$Q,$G23),'Draft Slayer Classic'!$Q:$Q,0))</f>
        <v>Derek Carr</v>
      </c>
      <c r="I23" s="555" t="str">
        <f>INDEX(FFARawStatProjections!$B:$B,MATCH(H23,FFARawStatProjections!$A:$A,0))</f>
        <v>NO</v>
      </c>
      <c r="J23" s="556" t="str">
        <f>INDEX(FFARawStatProjections!$D:$D,MATCH(H23,FFARawStatProjections!$A:$A,0))&amp;IF(K23&gt;0," ("&amp;K23&amp;")","")</f>
        <v>11</v>
      </c>
      <c r="K23">
        <f>IFERROR(INDEX($BQ$8:$BQ$21,MATCH(INDEX(FFARawStatProjections!$D:$D,MATCH(H23,FFARawStatProjections!$A:$A,0)),$BP$8:$BP$21,0)),0)</f>
        <v>0</v>
      </c>
      <c r="L23" s="466">
        <f>INDEX(QBproj!M:M,MATCH(Draft!H23,QBproj!D:D,0))</f>
        <v>2</v>
      </c>
      <c r="M23">
        <f>INDEX(ADP!$G:$G,MATCH(H23,ADP!$D:$D,0))</f>
        <v>148.10052999999999</v>
      </c>
      <c r="N23">
        <f>IF(AND(M23&gt;=$R$5,M23&lt;$R$4),1,
IF(AND(M23&gt;=$R$4,M23&lt;$R$3),2,
IF(M23&gt;=$R$3,3,
IF(AND(COUNTIF(N$6:N22,1)=0,COUNTIF(M$6:M22,"&lt;="&amp;$R$5)=(COUNTIF(M$6:M$20,"&lt;="&amp;$R$5)-1)),1,0))))</f>
        <v>3</v>
      </c>
      <c r="O23" s="466">
        <f>(IFERROR(P23-INDEX(P:P,MATCH(1,N:N,0)),0)+
IFERROR(P23-INDEX(P:P,MATCH(2,N:N,0)),0)*0.5+
IFERROR(P23-INDEX(P:P,MATCH(3,N:N,0)),0)*0.25
)/16*IF(ISBLANK(Beersheet!$A$1),1,16)</f>
        <v>-12.44391953125</v>
      </c>
      <c r="P23">
        <f>IF(Beersheet!$A$2="QB",
INDEX(Beersheet!$A:$U,MATCH(Draft!H23,Beersheet!$C:$C,0),FFARawStatProjections!$BQ$1),
INDEX('Draft Slayer Classic'!$K:$K,MATCH(H23,'Draft Slayer Classic'!$I:$I,0)))</f>
        <v>257.57819000000001</v>
      </c>
      <c r="Q23" s="557">
        <f>INDEX('Draft Slayer Classic'!$L:$L,MATCH(H23,'Draft Slayer Classic'!$I:$I,0))</f>
        <v>8</v>
      </c>
      <c r="R23">
        <f>IFERROR(IF(INDEX(Instructions!$V$64:$V$83,MATCH(Draft!H23,Instructions!$S$64:$S$83,0))&lt;='Draft Slayer Classic'!$E$25,1,0),0)</f>
        <v>0</v>
      </c>
      <c r="S23" s="197"/>
      <c r="T23" s="554" t="str">
        <f>INDEX('Draft Slayer Classic'!$T:$T,MATCH(SMALL('Draft Slayer Classic'!$AB:$AB,$G23),'Draft Slayer Classic'!$AB:$AB,0))</f>
        <v>Rachaad White</v>
      </c>
      <c r="U23" s="555" t="str">
        <f>INDEX(FFARawStatProjections!$B:$B,MATCH(T23,FFARawStatProjections!$A:$A,0))</f>
        <v>TB</v>
      </c>
      <c r="V23" s="556" t="str">
        <f>INDEX(FFARawStatProjections!$D:$D,MATCH(T23,FFARawStatProjections!$A:$A,0))&amp;IF(W23&gt;0," ("&amp;W23&amp;")","")</f>
        <v>5</v>
      </c>
      <c r="W23">
        <f>IFERROR(INDEX($BQ$8:$BQ$21,MATCH(INDEX(FFARawStatProjections!$D:$D,MATCH(T23,FFARawStatProjections!$A:$A,0)),$BP$8:$BP$21,0)),0)</f>
        <v>0</v>
      </c>
      <c r="X23" s="464">
        <f>INDEX(RBproj!M:M,MATCH(Draft!T23,RBproj!D:D,0))</f>
        <v>0.69999999999999929</v>
      </c>
      <c r="Y23">
        <f>INDEX(ADP!$G:$G,MATCH(T23,ADP!$D:$D,0))</f>
        <v>64.100157999999993</v>
      </c>
      <c r="Z23">
        <f>IF(AND(Y23&gt;=$R$5,Y23&lt;$R$4),1,
IF(AND(Y23&gt;=$R$4,Y23&lt;$R$3),2,
IF(Y23&gt;=$R$3,3,
IF(AND(COUNTIF(Z$6:Z22,1)=0,COUNTIF(Y$6:Y22,"&lt;="&amp;$R$5)=(COUNTIF(Y$6:Y$20,"&lt;="&amp;$R$5)-1)),1,0))))</f>
        <v>3</v>
      </c>
      <c r="AA23" s="466">
        <f>(IFERROR(AB23-INDEX(AB:AB,MATCH(1,Z:Z,0)),0)+
IFERROR(AB23-INDEX(AB:AB,MATCH(2,Z:Z,0)),0)*0.5+
IFERROR(AB23-INDEX(AB:AB,MATCH(3,Z:Z,0)),0)*0.25
)/16*IF(ISBLANK(Beersheet!$A$1),1,16)</f>
        <v>-8.1724896875000042</v>
      </c>
      <c r="AB23">
        <f>IF(Beersheet!$A$2="QB",
INDEX(Beersheet!$A:$U,MATCH(Draft!T23,Beersheet!$C:$C,0),FFARawStatProjections!$BQ$1),
INDEX('Draft Slayer Classic'!$V:$V,MATCH(T23,'Draft Slayer Classic'!$T:$T,0)))</f>
        <v>200.10129999999998</v>
      </c>
      <c r="AC23" s="557">
        <f>INDEX('Draft Slayer Classic'!$W:$W,MATCH(T23,'Draft Slayer Classic'!$T:$T,0))</f>
        <v>6</v>
      </c>
      <c r="AD23">
        <f>IFERROR(IF(INDEX(Instructions!$X$64:$X$83,MATCH(Draft!T23,Instructions!$T$64:$T$83,0))&lt;='Draft Slayer Classic'!$E$25,1,0),0)</f>
        <v>0</v>
      </c>
      <c r="AE23" s="197"/>
      <c r="AF23" s="554" t="str">
        <f>INDEX('Draft Slayer Classic'!$AE:$AE,MATCH(SMALL('Draft Slayer Classic'!$AM:$AM,$G23),'Draft Slayer Classic'!$AM:$AM,0))</f>
        <v>Mike Evans</v>
      </c>
      <c r="AG23" s="555" t="str">
        <f>INDEX(FFARawStatProjections!$B:$B,MATCH(AF23,FFARawStatProjections!$A:$A,0))</f>
        <v>TB</v>
      </c>
      <c r="AH23" s="556" t="str">
        <f>INDEX(FFARawStatProjections!$D:$D,MATCH(AF23,FFARawStatProjections!$A:$A,0))&amp;IF(AI23&gt;0," ("&amp;AI23&amp;")","")</f>
        <v>5</v>
      </c>
      <c r="AI23">
        <f>IFERROR(INDEX($BQ$8:$BQ$21,MATCH(INDEX(FFARawStatProjections!$D:$D,MATCH(AF23,FFARawStatProjections!$A:$A,0)),$BP$8:$BP$21,0)),0)</f>
        <v>0</v>
      </c>
      <c r="AJ23" s="464">
        <f>INDEX(WRproj!M:M,MATCH(Draft!AF23,WRproj!D:D,0))</f>
        <v>1.7999999999999998</v>
      </c>
      <c r="AK23">
        <f>INDEX(ADP!$G:$G,MATCH(AF23,ADP!$D:$D,0))</f>
        <v>67.000220999999996</v>
      </c>
      <c r="AL23">
        <f>IF(AND(AK23&gt;=$R$5,AK23&lt;$R$4),1,
IF(AND(AK23&gt;=$R$4,AK23&lt;$R$3),2,
IF(AK23&gt;=$R$3,3,
IF(AND(COUNTIF(AL$6:AL22,1)=0,COUNTIF(AK$6:AK22,"&lt;="&amp;$R$5)=(COUNTIF(AK$6:AK$20,"&lt;="&amp;$R$5)-1)),1,0))))</f>
        <v>3</v>
      </c>
      <c r="AM23" s="466">
        <f>(IFERROR(AN23-INDEX(AN:AN,MATCH(1,AL:AL,0)),0)+
IFERROR(AN23-INDEX(AN:AN,MATCH(2,AL:AL,0)),0)*0.5+
IFERROR(AN23-INDEX(AN:AN,MATCH(3,AL:AL,0)),0)*0.25
)/16*IF(ISBLANK(Beersheet!$A$1),1,16)</f>
        <v>-6.8421712500000016</v>
      </c>
      <c r="AN23">
        <f>IF(Beersheet!$A$2="QB",
INDEX(Beersheet!$A:$U,MATCH(Draft!AF23,Beersheet!$C:$C,0),FFARawStatProjections!$BQ$1),
INDEX('Draft Slayer Classic'!$AG:$AG,MATCH(AF23,'Draft Slayer Classic'!$AE:$AE,0)))</f>
        <v>206.17337000000001</v>
      </c>
      <c r="AO23" s="557">
        <f>INDEX('Draft Slayer Classic'!$AH:$AH,MATCH(AF23,'Draft Slayer Classic'!$AE:$AE,0))</f>
        <v>7</v>
      </c>
      <c r="AP23">
        <f>IFERROR(IF(INDEX(Instructions!$V$86:$V$105,MATCH(Draft!AF23,Instructions!$S$86:$S$105,0))&lt;='Draft Slayer Classic'!$E$25,1,0),0)</f>
        <v>0</v>
      </c>
      <c r="AQ23" s="197"/>
      <c r="AR23" s="554" t="str">
        <f>INDEX('Draft Slayer Classic'!$AP:$AP,MATCH(SMALL('Draft Slayer Classic'!$AX:$AX,$G23),'Draft Slayer Classic'!$AX:$AX,0))</f>
        <v>Sam LaPorta</v>
      </c>
      <c r="AS23" s="555" t="str">
        <f>INDEX(FFARawStatProjections!$B:$B,MATCH(AR23,FFARawStatProjections!$A:$A,0))</f>
        <v>DET</v>
      </c>
      <c r="AT23" s="556" t="str">
        <f>INDEX(FFARawStatProjections!$D:$D,MATCH(AR23,FFARawStatProjections!$A:$A,0))&amp;IF(AU23&gt;0," ("&amp;AU23&amp;")","")</f>
        <v>9</v>
      </c>
      <c r="AU23">
        <f>IFERROR(INDEX($BQ$8:$BQ$21,MATCH(INDEX(FFARawStatProjections!$D:$D,MATCH(AR23,FFARawStatProjections!$A:$A,0)),$BP$8:$BP$21,0)),0)</f>
        <v>0</v>
      </c>
      <c r="AV23" s="464">
        <f>INDEX(TEproj!M:M,MATCH(Draft!AR23,TEproj!D:D,0))</f>
        <v>19.3</v>
      </c>
      <c r="AW23">
        <f>INDEX(ADP!$G:$G,MATCH(AR23,ADP!$D:$D,0))</f>
        <v>163.70012399999999</v>
      </c>
      <c r="AX23">
        <f>IF(AND(AW23&gt;=$R$5,AW23&lt;$R$4),1,
IF(AND(AW23&gt;=$R$4,AW23&lt;$R$3),2,
IF(AW23&gt;=$R$3,3,
IF(AND(COUNTIF(AX$6:AX22,1)=0,COUNTIF(AW$6:AW22,"&lt;="&amp;$R$5)=(COUNTIF(AW$6:AW$20,"&lt;="&amp;$R$5)-1)),1,0))))</f>
        <v>3</v>
      </c>
      <c r="AY23" s="466">
        <f>(IFERROR(AZ23-INDEX(AZ:AZ,MATCH(1,AX:AX,0)),0)+
IFERROR(AZ23-INDEX(AZ:AZ,MATCH(2,AX:AX,0)),0)*0.5+
IFERROR(AZ23-INDEX(AZ:AZ,MATCH(3,AX:AX,0)),0)*0.25
)/16*IF(ISBLANK(Beersheet!$A$1),1,16)</f>
        <v>-12.524204999999998</v>
      </c>
      <c r="AZ23">
        <f>IF(Beersheet!$A$2="QB",
INDEX(Beersheet!$A:$U,MATCH(Draft!AR23,Beersheet!$C:$C,0),FFARawStatProjections!$BQ$1),
INDEX('Draft Slayer Classic'!$AR:$AR,MATCH(AR23,'Draft Slayer Classic'!$AP:$AP,0)))</f>
        <v>110.22627</v>
      </c>
      <c r="BA23" s="557">
        <f>INDEX('Draft Slayer Classic'!$AS:$AS,MATCH(AR23,'Draft Slayer Classic'!$AP:$AP,0))</f>
        <v>8</v>
      </c>
      <c r="BB23">
        <f>IFERROR(IF(INDEX(Instructions!$X$86:$X$105,MATCH(Draft!AR23,Instructions!$T$86:$T$105,0))&lt;='Draft Slayer Classic'!$E$25,1,0),0)</f>
        <v>0</v>
      </c>
      <c r="BC23" s="197"/>
      <c r="BD23" s="554" t="str">
        <f>INDEX('Draft Slayer Classic'!$BA:$BA,MATCH(SMALL('Draft Slayer Classic'!$BD:$BD,$G23),'Draft Slayer Classic'!$BD:$BD,0))</f>
        <v>HOU</v>
      </c>
      <c r="BE23" s="557" t="str">
        <f>INDEX(FFARawStatProjections!$D:$D,MATCH(BD23,FFARawStatProjections!$B:$B,0))&amp;IF(BF23&gt;0," ("&amp;BF23&amp;")","")</f>
        <v>7</v>
      </c>
      <c r="BF23">
        <f>IFERROR(INDEX($BQ$8:$BQ$21,MATCH(INDEX(FFARawStatProjections!$D:$D,MATCH(BC23,FFARawStatProjections!$A:$A,0)),$BP$8:$BP$21,0)),0)</f>
        <v>0</v>
      </c>
      <c r="BG23" s="464">
        <f>INDEX(FFARawStatProjections!$E:$E,MATCH(BD23,FFARawStatProjections!$B:$B,0))*0.1</f>
        <v>0</v>
      </c>
      <c r="BI23" s="197"/>
      <c r="BJ23" s="554" t="str">
        <f>INDEX('Draft Slayer Classic'!$BF:$BF,MATCH(SMALL('Draft Slayer Classic'!$BJ:$BJ,$G23),'Draft Slayer Classic'!$BJ:$BJ,0))</f>
        <v>Chase McLaughlin</v>
      </c>
      <c r="BK23" s="555" t="str">
        <f>INDEX(FFARawStatProjections!$B:$B,MATCH(BJ23,FFARawStatProjections!$A:$A,0))</f>
        <v>TB</v>
      </c>
      <c r="BL23" s="557" t="str">
        <f>INDEX(FFARawStatProjections!$D:$D,MATCH(BJ23,FFARawStatProjections!$A:$A,0))&amp;IF(BM23&gt;0," ("&amp;BM23&amp;")","")</f>
        <v>5</v>
      </c>
      <c r="BM23">
        <f>IFERROR(INDEX($BQ$8:$BQ$21,MATCH(INDEX(FFARawStatProjections!$D:$D,MATCH(BJ23,FFARawStatProjections!$A:$A,0)),$BP$8:$BP$21,0)),0)</f>
        <v>0</v>
      </c>
      <c r="BN23" s="466">
        <f>INDEX(FFARawStatProjections!$E:$E,MATCH(Draft!BJ23,FFARawStatProjections!$A:$A,0))*0.1</f>
        <v>0</v>
      </c>
      <c r="BO23" s="197"/>
      <c r="BQ23" s="465" t="str">
        <f>IFERROR(INDEX(FFARawStatProjections!$D:$D,MATCH('Draft Slayer Classic'!E44,FFARawStatProjections!$B:$B,0)),"")</f>
        <v/>
      </c>
      <c r="BT23" t="str">
        <f>IF(FFARawStatProjections!A18=0,"",FFARawStatProjections!A18)</f>
        <v>Jared Goff</v>
      </c>
      <c r="BU23" t="str">
        <f>IF(FFARawStatProjections!C18=0,"",FFARawStatProjections!C18)</f>
        <v>QB</v>
      </c>
      <c r="BV23" t="str">
        <f>IF(FFARawStatProjections!B18=0,"",FFARawStatProjections!B18)</f>
        <v>DET</v>
      </c>
      <c r="BX23">
        <v>17</v>
      </c>
      <c r="BY23" s="89" t="str">
        <f t="shared" si="3"/>
        <v/>
      </c>
      <c r="BZ23" s="89" t="str">
        <f t="shared" si="4"/>
        <v/>
      </c>
      <c r="CA23" s="89" t="str">
        <f t="shared" si="5"/>
        <v/>
      </c>
    </row>
    <row r="24" spans="1:82" ht="33.75" hidden="1" customHeight="1" x14ac:dyDescent="0.25">
      <c r="A24" s="473" t="str">
        <f t="shared" si="6"/>
        <v/>
      </c>
      <c r="B24" s="474"/>
      <c r="C24" s="479" t="str">
        <f t="shared" si="7"/>
        <v/>
      </c>
      <c r="D24" s="190" t="str">
        <f t="shared" si="8"/>
        <v/>
      </c>
      <c r="E24" s="190">
        <f>IFERROR(INDEX(Instructions!$U$111:$U$222,MATCH(Draft!A24,Instructions!$U$111:$U$222,0)),0)</f>
        <v>0</v>
      </c>
      <c r="F24" s="197"/>
      <c r="G24">
        <v>19</v>
      </c>
      <c r="H24" s="549" t="str">
        <f>INDEX('Draft Slayer Classic'!$I:$I,MATCH(SMALL('Draft Slayer Classic'!$Q:$Q,$G24),'Draft Slayer Classic'!$Q:$Q,0))</f>
        <v>Matthew Stafford</v>
      </c>
      <c r="I24" s="550" t="str">
        <f>INDEX(FFARawStatProjections!$B:$B,MATCH(H24,FFARawStatProjections!$A:$A,0))</f>
        <v>LAR</v>
      </c>
      <c r="J24" s="551" t="str">
        <f>INDEX(FFARawStatProjections!$D:$D,MATCH(H24,FFARawStatProjections!$A:$A,0))&amp;IF(K24&gt;0," ("&amp;K24&amp;")","")</f>
        <v>10</v>
      </c>
      <c r="K24">
        <f>IFERROR(INDEX($BQ$8:$BQ$21,MATCH(INDEX(FFARawStatProjections!$D:$D,MATCH(H24,FFARawStatProjections!$A:$A,0)),$BP$8:$BP$21,0)),0)</f>
        <v>0</v>
      </c>
      <c r="L24" s="552">
        <f>INDEX(QBproj!M:M,MATCH(Draft!H24,QBproj!D:D,0))</f>
        <v>0</v>
      </c>
      <c r="M24">
        <f>INDEX(ADP!$G:$G,MATCH(H24,ADP!$D:$D,0))</f>
        <v>153.40023600000001</v>
      </c>
      <c r="N24">
        <f>IF(AND(M24&gt;=$R$5,M24&lt;$R$4),1,
IF(AND(M24&gt;=$R$4,M24&lt;$R$3),2,
IF(M24&gt;=$R$3,3,
IF(AND(COUNTIF(N$6:N23,1)=0,COUNTIF(M$6:M23,"&lt;="&amp;$R$5)=(COUNTIF(M$6:M$20,"&lt;="&amp;$R$5)-1)),1,0))))</f>
        <v>3</v>
      </c>
      <c r="O24" s="552">
        <f>(IFERROR(P24-INDEX(P:P,MATCH(1,N:N,0)),0)+
IFERROR(P24-INDEX(P:P,MATCH(2,N:N,0)),0)*0.5+
IFERROR(P24-INDEX(P:P,MATCH(3,N:N,0)),0)*0.25
)/16*IF(ISBLANK(Beersheet!$A$1),1,16)</f>
        <v>-12.484387187500003</v>
      </c>
      <c r="P24">
        <f>IF(Beersheet!$A$2="QB",
INDEX(Beersheet!$A:$U,MATCH(Draft!H24,Beersheet!$C:$C,0),FFARawStatProjections!$BQ$1),
INDEX('Draft Slayer Classic'!$K:$K,MATCH(H24,'Draft Slayer Classic'!$I:$I,0)))</f>
        <v>257.20819999999998</v>
      </c>
      <c r="Q24" s="553">
        <f>INDEX('Draft Slayer Classic'!$L:$L,MATCH(H24,'Draft Slayer Classic'!$I:$I,0))</f>
        <v>8</v>
      </c>
      <c r="R24">
        <f>IFERROR(IF(INDEX(Instructions!$V$64:$V$83,MATCH(Draft!H24,Instructions!$S$64:$S$83,0))&lt;='Draft Slayer Classic'!$E$25,1,0),0)</f>
        <v>0</v>
      </c>
      <c r="S24" s="197"/>
      <c r="T24" s="549" t="str">
        <f>INDEX('Draft Slayer Classic'!$T:$T,MATCH(SMALL('Draft Slayer Classic'!$AB:$AB,$G24),'Draft Slayer Classic'!$AB:$AB,0))</f>
        <v>Breece Hall</v>
      </c>
      <c r="U24" s="550" t="str">
        <f>INDEX(FFARawStatProjections!$B:$B,MATCH(T24,FFARawStatProjections!$A:$A,0))</f>
        <v>NYJ</v>
      </c>
      <c r="V24" s="551" t="str">
        <f>INDEX(FFARawStatProjections!$D:$D,MATCH(T24,FFARawStatProjections!$A:$A,0))&amp;IF(W24&gt;0," ("&amp;W24&amp;")","")</f>
        <v>7</v>
      </c>
      <c r="W24">
        <f>IFERROR(INDEX($BQ$8:$BQ$21,MATCH(INDEX(FFARawStatProjections!$D:$D,MATCH(T24,FFARawStatProjections!$A:$A,0)),$BP$8:$BP$21,0)),0)</f>
        <v>0</v>
      </c>
      <c r="X24" s="552">
        <f>INDEX(RBproj!M:M,MATCH(Draft!T24,RBproj!D:D,0))</f>
        <v>0</v>
      </c>
      <c r="Y24">
        <f>INDEX(ADP!$G:$G,MATCH(T24,ADP!$D:$D,0))</f>
        <v>30.200666999999999</v>
      </c>
      <c r="Z24">
        <f>IF(AND(Y24&gt;=$R$5,Y24&lt;$R$4),1,
IF(AND(Y24&gt;=$R$4,Y24&lt;$R$3),2,
IF(Y24&gt;=$R$3,3,
IF(AND(COUNTIF(Z$6:Z23,1)=0,COUNTIF(Y$6:Y23,"&lt;="&amp;$R$5)=(COUNTIF(Y$6:Y$20,"&lt;="&amp;$R$5)-1)),1,0))))</f>
        <v>2</v>
      </c>
      <c r="AA24" s="552">
        <f>(IFERROR(AB24-INDEX(AB:AB,MATCH(1,Z:Z,0)),0)+
IFERROR(AB24-INDEX(AB:AB,MATCH(2,Z:Z,0)),0)*0.5+
IFERROR(AB24-INDEX(AB:AB,MATCH(3,Z:Z,0)),0)*0.25
)/16*IF(ISBLANK(Beersheet!$A$1),1,16)</f>
        <v>-8.6088893750000004</v>
      </c>
      <c r="AB24">
        <f>IF(Beersheet!$A$2="QB",
INDEX(Beersheet!$A:$U,MATCH(Draft!T24,Beersheet!$C:$C,0),FFARawStatProjections!$BQ$1),
INDEX('Draft Slayer Classic'!$V:$V,MATCH(T24,'Draft Slayer Classic'!$T:$T,0)))</f>
        <v>196.11136000000002</v>
      </c>
      <c r="AC24" s="553">
        <f>INDEX('Draft Slayer Classic'!$W:$W,MATCH(T24,'Draft Slayer Classic'!$T:$T,0))</f>
        <v>6</v>
      </c>
      <c r="AD24">
        <f>IFERROR(IF(INDEX(Instructions!$X$64:$X$83,MATCH(Draft!T24,Instructions!$T$64:$T$83,0))&lt;='Draft Slayer Classic'!$E$25,1,0),0)</f>
        <v>0</v>
      </c>
      <c r="AE24" s="197"/>
      <c r="AF24" s="549" t="str">
        <f>INDEX('Draft Slayer Classic'!$AE:$AE,MATCH(SMALL('Draft Slayer Classic'!$AM:$AM,$G24),'Draft Slayer Classic'!$AM:$AM,0))</f>
        <v>DeAndre Hopkins</v>
      </c>
      <c r="AG24" s="550" t="str">
        <f>INDEX(FFARawStatProjections!$B:$B,MATCH(AF24,FFARawStatProjections!$A:$A,0))</f>
        <v>TEN</v>
      </c>
      <c r="AH24" s="551" t="str">
        <f>INDEX(FFARawStatProjections!$D:$D,MATCH(AF24,FFARawStatProjections!$A:$A,0))&amp;IF(AI24&gt;0," ("&amp;AI24&amp;")","")</f>
        <v>7</v>
      </c>
      <c r="AI24">
        <f>IFERROR(INDEX($BQ$8:$BQ$21,MATCH(INDEX(FFARawStatProjections!$D:$D,MATCH(AF24,FFARawStatProjections!$A:$A,0)),$BP$8:$BP$21,0)),0)</f>
        <v>0</v>
      </c>
      <c r="AJ24" s="552">
        <f>INDEX(WRproj!M:M,MATCH(Draft!AF24,WRproj!D:D,0))</f>
        <v>0</v>
      </c>
      <c r="AK24">
        <f>INDEX(ADP!$G:$G,MATCH(AF24,ADP!$D:$D,0))</f>
        <v>53.100543999999999</v>
      </c>
      <c r="AL24">
        <f>IF(AND(AK24&gt;=$R$5,AK24&lt;$R$4),1,
IF(AND(AK24&gt;=$R$4,AK24&lt;$R$3),2,
IF(AK24&gt;=$R$3,3,
IF(AND(COUNTIF(AL$6:AL23,1)=0,COUNTIF(AK$6:AK23,"&lt;="&amp;$R$5)=(COUNTIF(AK$6:AK$20,"&lt;="&amp;$R$5)-1)),1,0))))</f>
        <v>3</v>
      </c>
      <c r="AM24" s="552">
        <f>(IFERROR(AN24-INDEX(AN:AN,MATCH(1,AL:AL,0)),0)+
IFERROR(AN24-INDEX(AN:AN,MATCH(2,AL:AL,0)),0)*0.5+
IFERROR(AN24-INDEX(AN:AN,MATCH(3,AL:AL,0)),0)*0.25
)/16*IF(ISBLANK(Beersheet!$A$1),1,16)</f>
        <v>-6.8684201562500018</v>
      </c>
      <c r="AN24">
        <f>IF(Beersheet!$A$2="QB",
INDEX(Beersheet!$A:$U,MATCH(Draft!AF24,Beersheet!$C:$C,0),FFARawStatProjections!$BQ$1),
INDEX('Draft Slayer Classic'!$AG:$AG,MATCH(AF24,'Draft Slayer Classic'!$AE:$AE,0)))</f>
        <v>205.93338</v>
      </c>
      <c r="AO24" s="553">
        <f>INDEX('Draft Slayer Classic'!$AH:$AH,MATCH(AF24,'Draft Slayer Classic'!$AE:$AE,0))</f>
        <v>7</v>
      </c>
      <c r="AP24">
        <f>IFERROR(IF(INDEX(Instructions!$V$86:$V$105,MATCH(Draft!AF24,Instructions!$S$86:$S$105,0))&lt;='Draft Slayer Classic'!$E$25,1,0),0)</f>
        <v>0</v>
      </c>
      <c r="AQ24" s="197"/>
      <c r="AR24" s="549" t="str">
        <f>INDEX('Draft Slayer Classic'!$AP:$AP,MATCH(SMALL('Draft Slayer Classic'!$AX:$AX,$G24),'Draft Slayer Classic'!$AX:$AX,0))</f>
        <v>Irv Smith</v>
      </c>
      <c r="AS24" s="550" t="str">
        <f>INDEX(FFARawStatProjections!$B:$B,MATCH(AR24,FFARawStatProjections!$A:$A,0))</f>
        <v>CIN</v>
      </c>
      <c r="AT24" s="551" t="str">
        <f>INDEX(FFARawStatProjections!$D:$D,MATCH(AR24,FFARawStatProjections!$A:$A,0))&amp;IF(AU24&gt;0," ("&amp;AU24&amp;")","")</f>
        <v>7</v>
      </c>
      <c r="AU24">
        <f>IFERROR(INDEX($BQ$8:$BQ$21,MATCH(INDEX(FFARawStatProjections!$D:$D,MATCH(AR24,FFARawStatProjections!$A:$A,0)),$BP$8:$BP$21,0)),0)</f>
        <v>0</v>
      </c>
      <c r="AV24" s="552">
        <f>INDEX(TEproj!M:M,MATCH(Draft!AR24,TEproj!D:D,0))</f>
        <v>0</v>
      </c>
      <c r="AW24" t="e">
        <f>INDEX(ADP!$G:$G,MATCH(AR24,ADP!$D:$D,0))</f>
        <v>#N/A</v>
      </c>
      <c r="AX24" t="e">
        <f>IF(AND(AW24&gt;=$R$5,AW24&lt;$R$4),1,
IF(AND(AW24&gt;=$R$4,AW24&lt;$R$3),2,
IF(AW24&gt;=$R$3,3,
IF(AND(COUNTIF(AX$6:AX23,1)=0,COUNTIF(AW$6:AW23,"&lt;="&amp;$R$5)=(COUNTIF(AW$6:AW$20,"&lt;="&amp;$R$5)-1)),1,0))))</f>
        <v>#N/A</v>
      </c>
      <c r="AY24" s="552">
        <f>(IFERROR(AZ24-INDEX(AZ:AZ,MATCH(1,AX:AX,0)),0)+
IFERROR(AZ24-INDEX(AZ:AZ,MATCH(2,AX:AX,0)),0)*0.5+
IFERROR(AZ24-INDEX(AZ:AZ,MATCH(3,AX:AX,0)),0)*0.25
)/16*IF(ISBLANK(Beersheet!$A$1),1,16)</f>
        <v>-12.6015471875</v>
      </c>
      <c r="AZ24">
        <f>IF(Beersheet!$A$2="QB",
INDEX(Beersheet!$A:$U,MATCH(Draft!AR24,Beersheet!$C:$C,0),FFARawStatProjections!$BQ$1),
INDEX('Draft Slayer Classic'!$AR:$AR,MATCH(AR24,'Draft Slayer Classic'!$AP:$AP,0)))</f>
        <v>109.23629000000001</v>
      </c>
      <c r="BA24" s="553">
        <f>INDEX('Draft Slayer Classic'!$AS:$AS,MATCH(AR24,'Draft Slayer Classic'!$AP:$AP,0))</f>
        <v>8</v>
      </c>
      <c r="BB24">
        <f>IFERROR(IF(INDEX(Instructions!$X$86:$X$105,MATCH(Draft!AR24,Instructions!$T$86:$T$105,0))&lt;='Draft Slayer Classic'!$E$25,1,0),0)</f>
        <v>0</v>
      </c>
      <c r="BC24" s="197"/>
      <c r="BD24" s="549" t="str">
        <f>INDEX('Draft Slayer Classic'!$BA:$BA,MATCH(SMALL('Draft Slayer Classic'!$BD:$BD,$G24),'Draft Slayer Classic'!$BD:$BD,0))</f>
        <v>MIN</v>
      </c>
      <c r="BE24" s="553" t="str">
        <f>INDEX(FFARawStatProjections!$D:$D,MATCH(BD24,FFARawStatProjections!$B:$B,0))&amp;IF(BF24&gt;0," ("&amp;BF24&amp;")","")</f>
        <v>13</v>
      </c>
      <c r="BF24">
        <f>IFERROR(INDEX($BQ$8:$BQ$21,MATCH(INDEX(FFARawStatProjections!$D:$D,MATCH(BC24,FFARawStatProjections!$A:$A,0)),$BP$8:$BP$21,0)),0)</f>
        <v>0</v>
      </c>
      <c r="BG24" s="464">
        <f>INDEX(FFARawStatProjections!$E:$E,MATCH(BD24,FFARawStatProjections!$B:$B,0))*0.1</f>
        <v>0</v>
      </c>
      <c r="BI24" s="197"/>
      <c r="BJ24" s="549" t="str">
        <f>INDEX('Draft Slayer Classic'!$BF:$BF,MATCH(SMALL('Draft Slayer Classic'!$BJ:$BJ,$G24),'Draft Slayer Classic'!$BJ:$BJ,0))</f>
        <v>Nick Folk</v>
      </c>
      <c r="BK24" s="550" t="str">
        <f>INDEX(FFARawStatProjections!$B:$B,MATCH(BJ24,FFARawStatProjections!$A:$A,0))</f>
        <v>NE</v>
      </c>
      <c r="BL24" s="553" t="str">
        <f>INDEX(FFARawStatProjections!$D:$D,MATCH(BJ24,FFARawStatProjections!$A:$A,0))&amp;IF(BM24&gt;0," ("&amp;BM24&amp;")","")</f>
        <v>11</v>
      </c>
      <c r="BM24">
        <f>IFERROR(INDEX($BQ$8:$BQ$21,MATCH(INDEX(FFARawStatProjections!$D:$D,MATCH(BJ24,FFARawStatProjections!$A:$A,0)),$BP$8:$BP$21,0)),0)</f>
        <v>0</v>
      </c>
      <c r="BN24" s="466">
        <f>INDEX(FFARawStatProjections!$E:$E,MATCH(Draft!BJ24,FFARawStatProjections!$A:$A,0))*0.1</f>
        <v>0</v>
      </c>
      <c r="BO24" s="197"/>
      <c r="BQ24" s="465" t="str">
        <f>IFERROR(INDEX(FFARawStatProjections!$D:$D,MATCH('Draft Slayer Classic'!E45,FFARawStatProjections!$B:$B,0)),"")</f>
        <v/>
      </c>
      <c r="BT24" t="str">
        <f>IF(FFARawStatProjections!A19=0,"",FFARawStatProjections!A19)</f>
        <v>Anthony Richardson</v>
      </c>
      <c r="BU24" t="str">
        <f>IF(FFARawStatProjections!C19=0,"",FFARawStatProjections!C19)</f>
        <v>QB</v>
      </c>
      <c r="BV24" t="str">
        <f>IF(FFARawStatProjections!B19=0,"",FFARawStatProjections!B19)</f>
        <v>IND</v>
      </c>
      <c r="BX24">
        <v>18</v>
      </c>
      <c r="BY24" s="89" t="str">
        <f t="shared" si="3"/>
        <v/>
      </c>
      <c r="BZ24" s="89" t="str">
        <f t="shared" si="4"/>
        <v/>
      </c>
      <c r="CA24" s="89" t="str">
        <f t="shared" si="5"/>
        <v/>
      </c>
    </row>
    <row r="25" spans="1:82" ht="33.75" hidden="1" customHeight="1" x14ac:dyDescent="0.25">
      <c r="A25" s="469" t="str">
        <f t="shared" si="6"/>
        <v/>
      </c>
      <c r="B25" s="472"/>
      <c r="C25" s="478" t="str">
        <f t="shared" si="7"/>
        <v/>
      </c>
      <c r="D25" s="190" t="str">
        <f t="shared" si="8"/>
        <v/>
      </c>
      <c r="E25" s="190">
        <f>IFERROR(INDEX(Instructions!$U$111:$U$222,MATCH(Draft!A25,Instructions!$U$111:$U$222,0)),0)</f>
        <v>0</v>
      </c>
      <c r="F25" s="197"/>
      <c r="G25">
        <v>20</v>
      </c>
      <c r="H25" s="554" t="str">
        <f>INDEX('Draft Slayer Classic'!$I:$I,MATCH(SMALL('Draft Slayer Classic'!$Q:$Q,$G25),'Draft Slayer Classic'!$Q:$Q,0))</f>
        <v>Jordan Love</v>
      </c>
      <c r="I25" s="555" t="str">
        <f>INDEX(FFARawStatProjections!$B:$B,MATCH(H25,FFARawStatProjections!$A:$A,0))</f>
        <v>GB</v>
      </c>
      <c r="J25" s="556" t="str">
        <f>INDEX(FFARawStatProjections!$D:$D,MATCH(H25,FFARawStatProjections!$A:$A,0))&amp;IF(K25&gt;0," ("&amp;K25&amp;")","")</f>
        <v>6</v>
      </c>
      <c r="K25">
        <f>IFERROR(INDEX($BQ$8:$BQ$21,MATCH(INDEX(FFARawStatProjections!$D:$D,MATCH(H25,FFARawStatProjections!$A:$A,0)),$BP$8:$BP$21,0)),0)</f>
        <v>0</v>
      </c>
      <c r="L25" s="466">
        <f>INDEX(QBproj!M:M,MATCH(Draft!H25,QBproj!D:D,0))</f>
        <v>0.80000000000000071</v>
      </c>
      <c r="M25">
        <f>INDEX(ADP!$G:$G,MATCH(H25,ADP!$D:$D,0))</f>
        <v>166.10034899999999</v>
      </c>
      <c r="N25">
        <f>IF(AND(M25&gt;=$R$5,M25&lt;$R$4),1,
IF(AND(M25&gt;=$R$4,M25&lt;$R$3),2,
IF(M25&gt;=$R$3,3,
IF(AND(COUNTIF(N$6:N24,1)=0,COUNTIF(M$6:M24,"&lt;="&amp;$R$5)=(COUNTIF(M$6:M$20,"&lt;="&amp;$R$5)-1)),1,0))))</f>
        <v>3</v>
      </c>
      <c r="O25" s="466">
        <f>(IFERROR(P25-INDEX(P:P,MATCH(1,N:N,0)),0)+
IFERROR(P25-INDEX(P:P,MATCH(2,N:N,0)),0)*0.5+
IFERROR(P25-INDEX(P:P,MATCH(3,N:N,0)),0)*0.25
)/16*IF(ISBLANK(Beersheet!$A$1),1,16)</f>
        <v>-12.577354843750001</v>
      </c>
      <c r="P25">
        <f>IF(Beersheet!$A$2="QB",
INDEX(Beersheet!$A:$U,MATCH(Draft!H25,Beersheet!$C:$C,0),FFARawStatProjections!$BQ$1),
INDEX('Draft Slayer Classic'!$K:$K,MATCH(H25,'Draft Slayer Classic'!$I:$I,0)))</f>
        <v>256.35820999999999</v>
      </c>
      <c r="Q25" s="557">
        <f>INDEX('Draft Slayer Classic'!$L:$L,MATCH(H25,'Draft Slayer Classic'!$I:$I,0))</f>
        <v>8</v>
      </c>
      <c r="R25">
        <f>IFERROR(IF(INDEX(Instructions!$V$64:$V$83,MATCH(Draft!H25,Instructions!$S$64:$S$83,0))&lt;='Draft Slayer Classic'!$E$25,1,0),0)</f>
        <v>0</v>
      </c>
      <c r="S25" s="197"/>
      <c r="T25" s="554" t="str">
        <f>INDEX('Draft Slayer Classic'!$T:$T,MATCH(SMALL('Draft Slayer Classic'!$AB:$AB,$G25),'Draft Slayer Classic'!$AB:$AB,0))</f>
        <v>Miles Sanders</v>
      </c>
      <c r="U25" s="555" t="str">
        <f>INDEX(FFARawStatProjections!$B:$B,MATCH(T25,FFARawStatProjections!$A:$A,0))</f>
        <v>CAR</v>
      </c>
      <c r="V25" s="556" t="str">
        <f>INDEX(FFARawStatProjections!$D:$D,MATCH(T25,FFARawStatProjections!$A:$A,0))&amp;IF(W25&gt;0," ("&amp;W25&amp;")","")</f>
        <v>7</v>
      </c>
      <c r="W25">
        <f>IFERROR(INDEX($BQ$8:$BQ$21,MATCH(INDEX(FFARawStatProjections!$D:$D,MATCH(T25,FFARawStatProjections!$A:$A,0)),$BP$8:$BP$21,0)),0)</f>
        <v>0</v>
      </c>
      <c r="X25" s="464">
        <f>INDEX(RBproj!M:M,MATCH(Draft!T25,RBproj!D:D,0))</f>
        <v>0</v>
      </c>
      <c r="Y25">
        <f>INDEX(ADP!$G:$G,MATCH(T25,ADP!$D:$D,0))</f>
        <v>45.800214999999994</v>
      </c>
      <c r="Z25">
        <f>IF(AND(Y25&gt;=$R$5,Y25&lt;$R$4),1,
IF(AND(Y25&gt;=$R$4,Y25&lt;$R$3),2,
IF(Y25&gt;=$R$3,3,
IF(AND(COUNTIF(Z$6:Z24,1)=0,COUNTIF(Y$6:Y24,"&lt;="&amp;$R$5)=(COUNTIF(Y$6:Y$20,"&lt;="&amp;$R$5)-1)),1,0))))</f>
        <v>2</v>
      </c>
      <c r="AA25" s="466">
        <f>(IFERROR(AB25-INDEX(AB:AB,MATCH(1,Z:Z,0)),0)+
IFERROR(AB25-INDEX(AB:AB,MATCH(2,Z:Z,0)),0)*0.5+
IFERROR(AB25-INDEX(AB:AB,MATCH(3,Z:Z,0)),0)*0.25
)/16*IF(ISBLANK(Beersheet!$A$1),1,16)</f>
        <v>-8.9271717187500013</v>
      </c>
      <c r="AB25">
        <f>IF(Beersheet!$A$2="QB",
INDEX(Beersheet!$A:$U,MATCH(Draft!T25,Beersheet!$C:$C,0),FFARawStatProjections!$BQ$1),
INDEX('Draft Slayer Classic'!$V:$V,MATCH(T25,'Draft Slayer Classic'!$T:$T,0)))</f>
        <v>193.20135000000002</v>
      </c>
      <c r="AC25" s="557">
        <f>INDEX('Draft Slayer Classic'!$W:$W,MATCH(T25,'Draft Slayer Classic'!$T:$T,0))</f>
        <v>6</v>
      </c>
      <c r="AD25">
        <f>IFERROR(IF(INDEX(Instructions!$X$64:$X$83,MATCH(Draft!T25,Instructions!$T$64:$T$83,0))&lt;='Draft Slayer Classic'!$E$25,1,0),0)</f>
        <v>0</v>
      </c>
      <c r="AE25" s="197"/>
      <c r="AF25" s="554" t="str">
        <f>INDEX('Draft Slayer Classic'!$AE:$AE,MATCH(SMALL('Draft Slayer Classic'!$AM:$AM,$G25),'Draft Slayer Classic'!$AM:$AM,0))</f>
        <v>Chris Godwin</v>
      </c>
      <c r="AG25" s="555" t="str">
        <f>INDEX(FFARawStatProjections!$B:$B,MATCH(AF25,FFARawStatProjections!$A:$A,0))</f>
        <v>TB</v>
      </c>
      <c r="AH25" s="556" t="str">
        <f>INDEX(FFARawStatProjections!$D:$D,MATCH(AF25,FFARawStatProjections!$A:$A,0))&amp;IF(AI25&gt;0," ("&amp;AI25&amp;")","")</f>
        <v>5</v>
      </c>
      <c r="AI25">
        <f>IFERROR(INDEX($BQ$8:$BQ$21,MATCH(INDEX(FFARawStatProjections!$D:$D,MATCH(AF25,FFARawStatProjections!$A:$A,0)),$BP$8:$BP$21,0)),0)</f>
        <v>0</v>
      </c>
      <c r="AJ25" s="464">
        <f>INDEX(WRproj!M:M,MATCH(Draft!AF25,WRproj!D:D,0))</f>
        <v>0</v>
      </c>
      <c r="AK25">
        <f>INDEX(ADP!$G:$G,MATCH(AF25,ADP!$D:$D,0))</f>
        <v>70.200620000000001</v>
      </c>
      <c r="AL25">
        <f>IF(AND(AK25&gt;=$R$5,AK25&lt;$R$4),1,
IF(AND(AK25&gt;=$R$4,AK25&lt;$R$3),2,
IF(AK25&gt;=$R$3,3,
IF(AND(COUNTIF(AL$6:AL24,1)=0,COUNTIF(AK$6:AK24,"&lt;="&amp;$R$5)=(COUNTIF(AK$6:AK$20,"&lt;="&amp;$R$5)-1)),1,0))))</f>
        <v>3</v>
      </c>
      <c r="AM25" s="466">
        <f>(IFERROR(AN25-INDEX(AN:AN,MATCH(1,AL:AL,0)),0)+
IFERROR(AN25-INDEX(AN:AN,MATCH(2,AL:AL,0)),0)*0.5+
IFERROR(AN25-INDEX(AN:AN,MATCH(3,AL:AL,0)),0)*0.25
)/16*IF(ISBLANK(Beersheet!$A$1),1,16)</f>
        <v>-6.9843609375</v>
      </c>
      <c r="AN25">
        <f>IF(Beersheet!$A$2="QB",
INDEX(Beersheet!$A:$U,MATCH(Draft!AF25,Beersheet!$C:$C,0),FFARawStatProjections!$BQ$1),
INDEX('Draft Slayer Classic'!$AG:$AG,MATCH(AF25,'Draft Slayer Classic'!$AE:$AE,0)))</f>
        <v>204.87335000000002</v>
      </c>
      <c r="AO25" s="557">
        <f>INDEX('Draft Slayer Classic'!$AH:$AH,MATCH(AF25,'Draft Slayer Classic'!$AE:$AE,0))</f>
        <v>7</v>
      </c>
      <c r="AP25">
        <f>IFERROR(IF(INDEX(Instructions!$V$86:$V$105,MATCH(Draft!AF25,Instructions!$S$86:$S$105,0))&lt;='Draft Slayer Classic'!$E$25,1,0),0)</f>
        <v>0</v>
      </c>
      <c r="AQ25" s="197"/>
      <c r="AR25" s="563" t="str">
        <f>INDEX('Draft Slayer Classic'!$AP:$AP,MATCH(SMALL('Draft Slayer Classic'!$AX:$AX,$G25),'Draft Slayer Classic'!$AX:$AX,0))</f>
        <v>Hunter Henry</v>
      </c>
      <c r="AS25" s="555" t="str">
        <f>INDEX(FFARawStatProjections!$B:$B,MATCH(AR25,FFARawStatProjections!$A:$A,0))</f>
        <v>NE</v>
      </c>
      <c r="AT25" s="556" t="str">
        <f>INDEX(FFARawStatProjections!$D:$D,MATCH(AR25,FFARawStatProjections!$A:$A,0))&amp;IF(AU25&gt;0," ("&amp;AU25&amp;")","")</f>
        <v>11</v>
      </c>
      <c r="AU25">
        <f>IFERROR(INDEX($BQ$8:$BQ$21,MATCH(INDEX(FFARawStatProjections!$D:$D,MATCH(AR25,FFARawStatProjections!$A:$A,0)),$BP$8:$BP$21,0)),0)</f>
        <v>0</v>
      </c>
      <c r="AV25" s="464">
        <f>INDEX(TEproj!M:M,MATCH(Draft!AR25,TEproj!D:D,0))</f>
        <v>0</v>
      </c>
      <c r="AW25" t="e">
        <f>INDEX(ADP!$G:$G,MATCH(AR25,ADP!$D:$D,0))</f>
        <v>#N/A</v>
      </c>
      <c r="AX25" t="e">
        <f>IF(AND(AW25&gt;=$R$5,AW25&lt;$R$4),1,
IF(AND(AW25&gt;=$R$4,AW25&lt;$R$3),2,
IF(AW25&gt;=$R$3,3,
IF(AND(COUNTIF(AX$6:AX24,1)=0,COUNTIF(AW$6:AW24,"&lt;="&amp;$R$5)=(COUNTIF(AW$6:AW$20,"&lt;="&amp;$R$5)-1)),1,0))))</f>
        <v>#N/A</v>
      </c>
      <c r="AY25" s="466">
        <f>(IFERROR(AZ25-INDEX(AZ:AZ,MATCH(1,AX:AX,0)),0)+
IFERROR(AZ25-INDEX(AZ:AZ,MATCH(2,AX:AX,0)),0)*0.5+
IFERROR(AZ25-INDEX(AZ:AZ,MATCH(3,AX:AX,0)),0)*0.25
)/16*IF(ISBLANK(Beersheet!$A$1),1,16)</f>
        <v>-12.72107609375</v>
      </c>
      <c r="AZ25">
        <f>IF(Beersheet!$A$2="QB",
INDEX(Beersheet!$A:$U,MATCH(Draft!AR25,Beersheet!$C:$C,0),FFARawStatProjections!$BQ$1),
INDEX('Draft Slayer Classic'!$AR:$AR,MATCH(AR25,'Draft Slayer Classic'!$AP:$AP,0)))</f>
        <v>107.70631999999999</v>
      </c>
      <c r="BA25" s="557">
        <f>INDEX('Draft Slayer Classic'!$AS:$AS,MATCH(AR25,'Draft Slayer Classic'!$AP:$AP,0))</f>
        <v>8</v>
      </c>
      <c r="BB25">
        <f>IFERROR(IF(INDEX(Instructions!$X$86:$X$105,MATCH(Draft!AR25,Instructions!$T$86:$T$105,0))&lt;='Draft Slayer Classic'!$E$25,1,0),0)</f>
        <v>0</v>
      </c>
      <c r="BC25" s="197"/>
      <c r="BD25" s="554" t="str">
        <f>INDEX('Draft Slayer Classic'!$BA:$BA,MATCH(SMALL('Draft Slayer Classic'!$BD:$BD,$G25),'Draft Slayer Classic'!$BD:$BD,0))</f>
        <v>BAL</v>
      </c>
      <c r="BE25" s="557" t="str">
        <f>INDEX(FFARawStatProjections!$D:$D,MATCH(BD25,FFARawStatProjections!$B:$B,0))&amp;IF(BF25&gt;0," ("&amp;BF25&amp;")","")</f>
        <v>13</v>
      </c>
      <c r="BF25">
        <f>IFERROR(INDEX($BQ$8:$BQ$21,MATCH(INDEX(FFARawStatProjections!$D:$D,MATCH(BC25,FFARawStatProjections!$A:$A,0)),$BP$8:$BP$21,0)),0)</f>
        <v>0</v>
      </c>
      <c r="BG25" s="464">
        <f>INDEX(FFARawStatProjections!$E:$E,MATCH(BD25,FFARawStatProjections!$B:$B,0))*0.1</f>
        <v>0</v>
      </c>
      <c r="BI25" s="197"/>
      <c r="BJ25" s="554" t="str">
        <f>INDEX('Draft Slayer Classic'!$BF:$BF,MATCH(SMALL('Draft Slayer Classic'!$BJ:$BJ,$G25),'Draft Slayer Classic'!$BJ:$BJ,0))</f>
        <v>Wil Lutz</v>
      </c>
      <c r="BK25" s="555" t="str">
        <f>INDEX(FFARawStatProjections!$B:$B,MATCH(BJ25,FFARawStatProjections!$A:$A,0))</f>
        <v>NO</v>
      </c>
      <c r="BL25" s="557" t="str">
        <f>INDEX(FFARawStatProjections!$D:$D,MATCH(BJ25,FFARawStatProjections!$A:$A,0))&amp;IF(BM25&gt;0," ("&amp;BM25&amp;")","")</f>
        <v>11</v>
      </c>
      <c r="BM25">
        <f>IFERROR(INDEX($BQ$8:$BQ$21,MATCH(INDEX(FFARawStatProjections!$D:$D,MATCH(BJ25,FFARawStatProjections!$A:$A,0)),$BP$8:$BP$21,0)),0)</f>
        <v>0</v>
      </c>
      <c r="BN25" s="466">
        <f>INDEX(FFARawStatProjections!$E:$E,MATCH(Draft!BJ25,FFARawStatProjections!$A:$A,0))*0.1</f>
        <v>0</v>
      </c>
      <c r="BO25" s="197"/>
      <c r="BQ25" s="465" t="str">
        <f>IFERROR(INDEX(FFARawStatProjections!$D:$D,MATCH('Draft Slayer Classic'!E46,FFARawStatProjections!$B:$B,0)),"")</f>
        <v/>
      </c>
      <c r="BT25" t="str">
        <f>IF(FFARawStatProjections!A20=0,"",FFARawStatProjections!A20)</f>
        <v>Derek Carr</v>
      </c>
      <c r="BU25" t="str">
        <f>IF(FFARawStatProjections!C20=0,"",FFARawStatProjections!C20)</f>
        <v>QB</v>
      </c>
      <c r="BV25" t="str">
        <f>IF(FFARawStatProjections!B20=0,"",FFARawStatProjections!B20)</f>
        <v>NO</v>
      </c>
      <c r="BX25">
        <v>19</v>
      </c>
      <c r="BY25" s="89" t="str">
        <f t="shared" si="3"/>
        <v/>
      </c>
      <c r="BZ25" s="89" t="str">
        <f t="shared" si="4"/>
        <v/>
      </c>
      <c r="CA25" s="89" t="str">
        <f t="shared" si="5"/>
        <v/>
      </c>
    </row>
    <row r="26" spans="1:82" ht="33.75" hidden="1" customHeight="1" x14ac:dyDescent="0.25">
      <c r="A26" s="473" t="str">
        <f t="shared" si="6"/>
        <v/>
      </c>
      <c r="B26" s="474"/>
      <c r="C26" s="479" t="str">
        <f t="shared" si="7"/>
        <v/>
      </c>
      <c r="D26" s="190" t="str">
        <f t="shared" si="8"/>
        <v/>
      </c>
      <c r="E26" s="190">
        <f>IFERROR(INDEX(Instructions!$U$111:$U$222,MATCH(Draft!A26,Instructions!$U$111:$U$222,0)),0)</f>
        <v>0</v>
      </c>
      <c r="F26" s="197"/>
      <c r="G26">
        <v>21</v>
      </c>
      <c r="H26" s="549" t="str">
        <f>INDEX('Draft Slayer Classic'!$I:$I,MATCH(SMALL('Draft Slayer Classic'!$Q:$Q,$G26),'Draft Slayer Classic'!$Q:$Q,0))</f>
        <v>Kenny Pickett</v>
      </c>
      <c r="I26" s="550" t="str">
        <f>INDEX(FFARawStatProjections!$B:$B,MATCH(H26,FFARawStatProjections!$A:$A,0))</f>
        <v>PIT</v>
      </c>
      <c r="J26" s="551" t="str">
        <f>INDEX(FFARawStatProjections!$D:$D,MATCH(H26,FFARawStatProjections!$A:$A,0))&amp;IF(K26&gt;0," ("&amp;K26&amp;")","")</f>
        <v>6</v>
      </c>
      <c r="K26">
        <f>IFERROR(INDEX($BQ$8:$BQ$21,MATCH(INDEX(FFARawStatProjections!$D:$D,MATCH(H26,FFARawStatProjections!$A:$A,0)),$BP$8:$BP$21,0)),0)</f>
        <v>0</v>
      </c>
      <c r="L26" s="552">
        <f>INDEX(QBproj!M:M,MATCH(Draft!H26,QBproj!D:D,0))</f>
        <v>2.8999999999999986</v>
      </c>
      <c r="M26">
        <f>INDEX(ADP!$G:$G,MATCH(H26,ADP!$D:$D,0))</f>
        <v>169.00029699999999</v>
      </c>
      <c r="N26">
        <f>IF(AND(M26&gt;=$R$5,M26&lt;$R$4),1,
IF(AND(M26&gt;=$R$4,M26&lt;$R$3),2,
IF(M26&gt;=$R$3,3,
IF(AND(COUNTIF(N$6:N25,1)=0,COUNTIF(M$6:M25,"&lt;="&amp;$R$5)=(COUNTIF(M$6:M$20,"&lt;="&amp;$R$5)-1)),1,0))))</f>
        <v>3</v>
      </c>
      <c r="O26" s="552">
        <f>(IFERROR(P26-INDEX(P:P,MATCH(1,N:N,0)),0)+
IFERROR(P26-INDEX(P:P,MATCH(2,N:N,0)),0)*0.5+
IFERROR(P26-INDEX(P:P,MATCH(3,N:N,0)),0)*0.25
)/16*IF(ISBLANK(Beersheet!$A$1),1,16)</f>
        <v>-12.868510000000001</v>
      </c>
      <c r="P26">
        <f>IF(Beersheet!$A$2="QB",
INDEX(Beersheet!$A:$U,MATCH(Draft!H26,Beersheet!$C:$C,0),FFARawStatProjections!$BQ$1),
INDEX('Draft Slayer Classic'!$K:$K,MATCH(H26,'Draft Slayer Classic'!$I:$I,0)))</f>
        <v>253.69622000000001</v>
      </c>
      <c r="Q26" s="553">
        <f>INDEX('Draft Slayer Classic'!$L:$L,MATCH(H26,'Draft Slayer Classic'!$I:$I,0))</f>
        <v>8</v>
      </c>
      <c r="R26">
        <f>IFERROR(IF(INDEX(Instructions!$V$64:$V$83,MATCH(Draft!H26,Instructions!$S$64:$S$83,0))&lt;='Draft Slayer Classic'!$E$25,1,0),0)</f>
        <v>0</v>
      </c>
      <c r="S26" s="197"/>
      <c r="T26" s="549" t="str">
        <f>INDEX('Draft Slayer Classic'!$T:$T,MATCH(SMALL('Draft Slayer Classic'!$AB:$AB,$G26),'Draft Slayer Classic'!$AB:$AB,0))</f>
        <v>Isiah Pacheco</v>
      </c>
      <c r="U26" s="550" t="str">
        <f>INDEX(FFARawStatProjections!$B:$B,MATCH(T26,FFARawStatProjections!$A:$A,0))</f>
        <v>KC</v>
      </c>
      <c r="V26" s="551" t="str">
        <f>INDEX(FFARawStatProjections!$D:$D,MATCH(T26,FFARawStatProjections!$A:$A,0))&amp;IF(W26&gt;0," ("&amp;W26&amp;")","")</f>
        <v>10</v>
      </c>
      <c r="W26">
        <f>IFERROR(INDEX($BQ$8:$BQ$21,MATCH(INDEX(FFARawStatProjections!$D:$D,MATCH(T26,FFARawStatProjections!$A:$A,0)),$BP$8:$BP$21,0)),0)</f>
        <v>0</v>
      </c>
      <c r="X26" s="552">
        <f>INDEX(RBproj!M:M,MATCH(Draft!T26,RBproj!D:D,0))</f>
        <v>0</v>
      </c>
      <c r="Y26">
        <f>INDEX(ADP!$G:$G,MATCH(T26,ADP!$D:$D,0))</f>
        <v>59.500433000000001</v>
      </c>
      <c r="Z26">
        <f>IF(AND(Y26&gt;=$R$5,Y26&lt;$R$4),1,
IF(AND(Y26&gt;=$R$4,Y26&lt;$R$3),2,
IF(Y26&gt;=$R$3,3,
IF(AND(COUNTIF(Z$6:Z25,1)=0,COUNTIF(Y$6:Y25,"&lt;="&amp;$R$5)=(COUNTIF(Y$6:Y$20,"&lt;="&amp;$R$5)-1)),1,0))))</f>
        <v>3</v>
      </c>
      <c r="AA26" s="552">
        <f>(IFERROR(AB26-INDEX(AB:AB,MATCH(1,Z:Z,0)),0)+
IFERROR(AB26-INDEX(AB:AB,MATCH(2,Z:Z,0)),0)*0.5+
IFERROR(AB26-INDEX(AB:AB,MATCH(3,Z:Z,0)),0)*0.25
)/16*IF(ISBLANK(Beersheet!$A$1),1,16)</f>
        <v>-9.7245056250000026</v>
      </c>
      <c r="AB26">
        <f>IF(Beersheet!$A$2="QB",
INDEX(Beersheet!$A:$U,MATCH(Draft!T26,Beersheet!$C:$C,0),FFARawStatProjections!$BQ$1),
INDEX('Draft Slayer Classic'!$V:$V,MATCH(T26,'Draft Slayer Classic'!$T:$T,0)))</f>
        <v>185.91144</v>
      </c>
      <c r="AC26" s="553">
        <f>INDEX('Draft Slayer Classic'!$W:$W,MATCH(T26,'Draft Slayer Classic'!$T:$T,0))</f>
        <v>7</v>
      </c>
      <c r="AD26">
        <f>IFERROR(IF(INDEX(Instructions!$X$64:$X$83,MATCH(Draft!T26,Instructions!$T$64:$T$83,0))&lt;='Draft Slayer Classic'!$E$25,1,0),0)</f>
        <v>0</v>
      </c>
      <c r="AE26" s="197"/>
      <c r="AF26" s="549" t="str">
        <f>INDEX('Draft Slayer Classic'!$AE:$AE,MATCH(SMALL('Draft Slayer Classic'!$AM:$AM,$G26),'Draft Slayer Classic'!$AM:$AM,0))</f>
        <v>Christian Kirk</v>
      </c>
      <c r="AG26" s="550" t="str">
        <f>INDEX(FFARawStatProjections!$B:$B,MATCH(AF26,FFARawStatProjections!$A:$A,0))</f>
        <v>JAC</v>
      </c>
      <c r="AH26" s="551" t="str">
        <f>INDEX(FFARawStatProjections!$D:$D,MATCH(AF26,FFARawStatProjections!$A:$A,0))&amp;IF(AI26&gt;0," ("&amp;AI26&amp;")","")</f>
        <v>9</v>
      </c>
      <c r="AI26">
        <f>IFERROR(INDEX($BQ$8:$BQ$21,MATCH(INDEX(FFARawStatProjections!$D:$D,MATCH(AF26,FFARawStatProjections!$A:$A,0)),$BP$8:$BP$21,0)),0)</f>
        <v>0</v>
      </c>
      <c r="AJ26" s="552">
        <f>INDEX(WRproj!M:M,MATCH(Draft!AF26,WRproj!D:D,0))</f>
        <v>0.29999999999999982</v>
      </c>
      <c r="AK26">
        <f>INDEX(ADP!$G:$G,MATCH(AF26,ADP!$D:$D,0))</f>
        <v>64.800613999999996</v>
      </c>
      <c r="AL26">
        <f>IF(AND(AK26&gt;=$R$5,AK26&lt;$R$4),1,
IF(AND(AK26&gt;=$R$4,AK26&lt;$R$3),2,
IF(AK26&gt;=$R$3,3,
IF(AND(COUNTIF(AL$6:AL25,1)=0,COUNTIF(AK$6:AK25,"&lt;="&amp;$R$5)=(COUNTIF(AK$6:AK$20,"&lt;="&amp;$R$5)-1)),1,0))))</f>
        <v>3</v>
      </c>
      <c r="AM26" s="552">
        <f>(IFERROR(AN26-INDEX(AN:AN,MATCH(1,AL:AL,0)),0)+
IFERROR(AN26-INDEX(AN:AN,MATCH(2,AL:AL,0)),0)*0.5+
IFERROR(AN26-INDEX(AN:AN,MATCH(3,AL:AL,0)),0)*0.25
)/16*IF(ISBLANK(Beersheet!$A$1),1,16)</f>
        <v>-7.0565418750000006</v>
      </c>
      <c r="AN26">
        <f>IF(Beersheet!$A$2="QB",
INDEX(Beersheet!$A:$U,MATCH(Draft!AF26,Beersheet!$C:$C,0),FFARawStatProjections!$BQ$1),
INDEX('Draft Slayer Classic'!$AG:$AG,MATCH(AF26,'Draft Slayer Classic'!$AE:$AE,0)))</f>
        <v>204.21341000000001</v>
      </c>
      <c r="AO26" s="553">
        <f>INDEX('Draft Slayer Classic'!$AH:$AH,MATCH(AF26,'Draft Slayer Classic'!$AE:$AE,0))</f>
        <v>7</v>
      </c>
      <c r="AP26">
        <f>IFERROR(IF(INDEX(Instructions!$V$86:$V$105,MATCH(Draft!AF26,Instructions!$S$86:$S$105,0))&lt;='Draft Slayer Classic'!$E$25,1,0),0)</f>
        <v>0</v>
      </c>
      <c r="AQ26" s="197"/>
      <c r="AR26" s="549" t="str">
        <f>INDEX('Draft Slayer Classic'!$AP:$AP,MATCH(SMALL('Draft Slayer Classic'!$AX:$AX,$G26),'Draft Slayer Classic'!$AX:$AX,0))</f>
        <v>Hayden Hurst</v>
      </c>
      <c r="AS26" s="550" t="str">
        <f>INDEX(FFARawStatProjections!$B:$B,MATCH(AR26,FFARawStatProjections!$A:$A,0))</f>
        <v>CAR</v>
      </c>
      <c r="AT26" s="551" t="str">
        <f>INDEX(FFARawStatProjections!$D:$D,MATCH(AR26,FFARawStatProjections!$A:$A,0))&amp;IF(AU26&gt;0," ("&amp;AU26&amp;")","")</f>
        <v>7</v>
      </c>
      <c r="AU26">
        <f>IFERROR(INDEX($BQ$8:$BQ$21,MATCH(INDEX(FFARawStatProjections!$D:$D,MATCH(AR26,FFARawStatProjections!$A:$A,0)),$BP$8:$BP$21,0)),0)</f>
        <v>0</v>
      </c>
      <c r="AV26" s="552">
        <f>INDEX(TEproj!M:M,MATCH(Draft!AR26,TEproj!D:D,0))</f>
        <v>0</v>
      </c>
      <c r="AW26" t="e">
        <f>INDEX(ADP!$G:$G,MATCH(AR26,ADP!$D:$D,0))</f>
        <v>#N/A</v>
      </c>
      <c r="AX26" t="e">
        <f>IF(AND(AW26&gt;=$R$5,AW26&lt;$R$4),1,
IF(AND(AW26&gt;=$R$4,AW26&lt;$R$3),2,
IF(AW26&gt;=$R$3,3,
IF(AND(COUNTIF(AX$6:AX25,1)=0,COUNTIF(AW$6:AW25,"&lt;="&amp;$R$5)=(COUNTIF(AW$6:AW$20,"&lt;="&amp;$R$5)-1)),1,0))))</f>
        <v>#N/A</v>
      </c>
      <c r="AY26" s="552">
        <f>(IFERROR(AZ26-INDEX(AZ:AZ,MATCH(1,AX:AX,0)),0)+
IFERROR(AZ26-INDEX(AZ:AZ,MATCH(2,AX:AX,0)),0)*0.5+
IFERROR(AZ26-INDEX(AZ:AZ,MATCH(3,AX:AX,0)),0)*0.25
)/16*IF(ISBLANK(Beersheet!$A$1),1,16)</f>
        <v>-12.76482921875</v>
      </c>
      <c r="AZ26">
        <f>IF(Beersheet!$A$2="QB",
INDEX(Beersheet!$A:$U,MATCH(Draft!AR26,Beersheet!$C:$C,0),FFARawStatProjections!$BQ$1),
INDEX('Draft Slayer Classic'!$AR:$AR,MATCH(AR26,'Draft Slayer Classic'!$AP:$AP,0)))</f>
        <v>107.14628</v>
      </c>
      <c r="BA26" s="553">
        <f>INDEX('Draft Slayer Classic'!$AS:$AS,MATCH(AR26,'Draft Slayer Classic'!$AP:$AP,0))</f>
        <v>8</v>
      </c>
      <c r="BB26">
        <f>IFERROR(IF(INDEX(Instructions!$X$86:$X$105,MATCH(Draft!AR26,Instructions!$T$86:$T$105,0))&lt;='Draft Slayer Classic'!$E$25,1,0),0)</f>
        <v>0</v>
      </c>
      <c r="BC26" s="197"/>
      <c r="BD26" s="549" t="str">
        <f>INDEX('Draft Slayer Classic'!$BA:$BA,MATCH(SMALL('Draft Slayer Classic'!$BD:$BD,$G26),'Draft Slayer Classic'!$BD:$BD,0))</f>
        <v>TB</v>
      </c>
      <c r="BE26" s="553" t="str">
        <f>INDEX(FFARawStatProjections!$D:$D,MATCH(BD26,FFARawStatProjections!$B:$B,0))&amp;IF(BF26&gt;0," ("&amp;BF26&amp;")","")</f>
        <v>5</v>
      </c>
      <c r="BF26">
        <f>IFERROR(INDEX($BQ$8:$BQ$21,MATCH(INDEX(FFARawStatProjections!$D:$D,MATCH(BC26,FFARawStatProjections!$A:$A,0)),$BP$8:$BP$21,0)),0)</f>
        <v>0</v>
      </c>
      <c r="BG26" s="464">
        <f>INDEX(FFARawStatProjections!$E:$E,MATCH(BD26,FFARawStatProjections!$B:$B,0))*0.1</f>
        <v>0</v>
      </c>
      <c r="BI26" s="197"/>
      <c r="BJ26" s="549" t="str">
        <f>INDEX('Draft Slayer Classic'!$BF:$BF,MATCH(SMALL('Draft Slayer Classic'!$BJ:$BJ,$G26),'Draft Slayer Classic'!$BJ:$BJ,0))</f>
        <v>Eddy Pineiro</v>
      </c>
      <c r="BK26" s="550" t="str">
        <f>INDEX(FFARawStatProjections!$B:$B,MATCH(BJ26,FFARawStatProjections!$A:$A,0))</f>
        <v>CAR</v>
      </c>
      <c r="BL26" s="553" t="str">
        <f>INDEX(FFARawStatProjections!$D:$D,MATCH(BJ26,FFARawStatProjections!$A:$A,0))&amp;IF(BM26&gt;0," ("&amp;BM26&amp;")","")</f>
        <v>7</v>
      </c>
      <c r="BM26">
        <f>IFERROR(INDEX($BQ$8:$BQ$21,MATCH(INDEX(FFARawStatProjections!$D:$D,MATCH(BJ26,FFARawStatProjections!$A:$A,0)),$BP$8:$BP$21,0)),0)</f>
        <v>0</v>
      </c>
      <c r="BN26" s="466">
        <f>INDEX(FFARawStatProjections!$E:$E,MATCH(Draft!BJ26,FFARawStatProjections!$A:$A,0))*0.1</f>
        <v>0</v>
      </c>
      <c r="BO26" s="197"/>
      <c r="BQ26" s="465" t="str">
        <f>IFERROR(INDEX(FFARawStatProjections!$D:$D,MATCH('Draft Slayer Classic'!E47,FFARawStatProjections!$B:$B,0)),"")</f>
        <v/>
      </c>
      <c r="BT26" t="str">
        <f>IF(FFARawStatProjections!A21=0,"",FFARawStatProjections!A21)</f>
        <v>Matthew Stafford</v>
      </c>
      <c r="BU26" t="str">
        <f>IF(FFARawStatProjections!C21=0,"",FFARawStatProjections!C21)</f>
        <v>QB</v>
      </c>
      <c r="BV26" t="str">
        <f>IF(FFARawStatProjections!B21=0,"",FFARawStatProjections!B21)</f>
        <v>LAR</v>
      </c>
      <c r="BX26">
        <v>20</v>
      </c>
      <c r="BY26" s="89" t="str">
        <f t="shared" si="3"/>
        <v/>
      </c>
      <c r="BZ26" s="89" t="str">
        <f t="shared" si="4"/>
        <v/>
      </c>
      <c r="CA26" s="89" t="str">
        <f t="shared" si="5"/>
        <v/>
      </c>
    </row>
    <row r="27" spans="1:82" ht="33.75" hidden="1" customHeight="1" x14ac:dyDescent="0.25">
      <c r="A27" s="469" t="str">
        <f t="shared" si="6"/>
        <v/>
      </c>
      <c r="B27" s="472"/>
      <c r="C27" s="478" t="str">
        <f t="shared" si="7"/>
        <v/>
      </c>
      <c r="D27" s="190" t="str">
        <f t="shared" si="8"/>
        <v/>
      </c>
      <c r="E27" s="190">
        <f>IFERROR(INDEX(Instructions!$U$111:$U$222,MATCH(Draft!A27,Instructions!$U$111:$U$222,0)),0)</f>
        <v>0</v>
      </c>
      <c r="F27" s="197"/>
      <c r="G27">
        <v>22</v>
      </c>
      <c r="H27" s="554" t="str">
        <f>INDEX('Draft Slayer Classic'!$I:$I,MATCH(SMALL('Draft Slayer Classic'!$Q:$Q,$G27),'Draft Slayer Classic'!$Q:$Q,0))</f>
        <v>Bryce Young</v>
      </c>
      <c r="I27" s="555" t="str">
        <f>INDEX(FFARawStatProjections!$B:$B,MATCH(H27,FFARawStatProjections!$A:$A,0))</f>
        <v>CAR</v>
      </c>
      <c r="J27" s="556" t="str">
        <f>INDEX(FFARawStatProjections!$D:$D,MATCH(H27,FFARawStatProjections!$A:$A,0))&amp;IF(K27&gt;0," ("&amp;K27&amp;")","")</f>
        <v>7</v>
      </c>
      <c r="K27">
        <f>IFERROR(INDEX($BQ$8:$BQ$21,MATCH(INDEX(FFARawStatProjections!$D:$D,MATCH(H27,FFARawStatProjections!$A:$A,0)),$BP$8:$BP$21,0)),0)</f>
        <v>0</v>
      </c>
      <c r="L27" s="466">
        <f>INDEX(QBproj!M:M,MATCH(Draft!H27,QBproj!D:D,0))</f>
        <v>0</v>
      </c>
      <c r="M27" t="e">
        <f>INDEX(ADP!$G:$G,MATCH(H27,ADP!$D:$D,0))</f>
        <v>#N/A</v>
      </c>
      <c r="N27" t="e">
        <f>IF(AND(M27&gt;=$R$5,M27&lt;$R$4),1,
IF(AND(M27&gt;=$R$4,M27&lt;$R$3),2,
IF(M27&gt;=$R$3,3,
IF(AND(COUNTIF(N$6:N26,1)=0,COUNTIF(M$6:M26,"&lt;="&amp;$R$5)=(COUNTIF(M$6:M$20,"&lt;="&amp;$R$5)-1)),1,0))))</f>
        <v>#N/A</v>
      </c>
      <c r="O27" s="466">
        <f>(IFERROR(P27-INDEX(P:P,MATCH(1,N:N,0)),0)+
IFERROR(P27-INDEX(P:P,MATCH(2,N:N,0)),0)*0.5+
IFERROR(P27-INDEX(P:P,MATCH(3,N:N,0)),0)*0.25
)/16*IF(ISBLANK(Beersheet!$A$1),1,16)</f>
        <v>-13.958757812500002</v>
      </c>
      <c r="P27">
        <f>IF(Beersheet!$A$2="QB",
INDEX(Beersheet!$A:$U,MATCH(Draft!H27,Beersheet!$C:$C,0),FFARawStatProjections!$BQ$1),
INDEX('Draft Slayer Classic'!$K:$K,MATCH(H27,'Draft Slayer Classic'!$I:$I,0)))</f>
        <v>243.72824</v>
      </c>
      <c r="Q27" s="557">
        <f>INDEX('Draft Slayer Classic'!$L:$L,MATCH(H27,'Draft Slayer Classic'!$I:$I,0))</f>
        <v>8</v>
      </c>
      <c r="R27">
        <f>IFERROR(IF(INDEX(Instructions!$V$64:$V$83,MATCH(Draft!H27,Instructions!$S$64:$S$83,0))&lt;='Draft Slayer Classic'!$E$25,1,0),0)</f>
        <v>0</v>
      </c>
      <c r="S27" s="197"/>
      <c r="T27" s="554" t="str">
        <f>INDEX('Draft Slayer Classic'!$T:$T,MATCH(SMALL('Draft Slayer Classic'!$AB:$AB,$G27),'Draft Slayer Classic'!$AB:$AB,0))</f>
        <v>JK Dobbins</v>
      </c>
      <c r="U27" s="555" t="str">
        <f>INDEX(FFARawStatProjections!$B:$B,MATCH(T27,FFARawStatProjections!$A:$A,0))</f>
        <v>BAL</v>
      </c>
      <c r="V27" s="556" t="str">
        <f>INDEX(FFARawStatProjections!$D:$D,MATCH(T27,FFARawStatProjections!$A:$A,0))&amp;IF(W27&gt;0," ("&amp;W27&amp;")","")</f>
        <v>13</v>
      </c>
      <c r="W27">
        <f>IFERROR(INDEX($BQ$8:$BQ$21,MATCH(INDEX(FFARawStatProjections!$D:$D,MATCH(T27,FFARawStatProjections!$A:$A,0)),$BP$8:$BP$21,0)),0)</f>
        <v>0</v>
      </c>
      <c r="X27" s="464">
        <f>INDEX(RBproj!M:M,MATCH(Draft!T27,RBproj!D:D,0))</f>
        <v>0</v>
      </c>
      <c r="Y27">
        <f>INDEX(ADP!$G:$G,MATCH(T27,ADP!$D:$D,0))</f>
        <v>46.300365999999997</v>
      </c>
      <c r="Z27">
        <f>IF(AND(Y27&gt;=$R$5,Y27&lt;$R$4),1,
IF(AND(Y27&gt;=$R$4,Y27&lt;$R$3),2,
IF(Y27&gt;=$R$3,3,
IF(AND(COUNTIF(Z$6:Z26,1)=0,COUNTIF(Y$6:Y26,"&lt;="&amp;$R$5)=(COUNTIF(Y$6:Y$20,"&lt;="&amp;$R$5)-1)),1,0))))</f>
        <v>2</v>
      </c>
      <c r="AA27" s="466">
        <f>(IFERROR(AB27-INDEX(AB:AB,MATCH(1,Z:Z,0)),0)+
IFERROR(AB27-INDEX(AB:AB,MATCH(2,Z:Z,0)),0)*0.5+
IFERROR(AB27-INDEX(AB:AB,MATCH(3,Z:Z,0)),0)*0.25
)/16*IF(ISBLANK(Beersheet!$A$1),1,16)</f>
        <v>-9.9804464062500013</v>
      </c>
      <c r="AB27">
        <f>IF(Beersheet!$A$2="QB",
INDEX(Beersheet!$A:$U,MATCH(Draft!T27,Beersheet!$C:$C,0),FFARawStatProjections!$BQ$1),
INDEX('Draft Slayer Classic'!$V:$V,MATCH(T27,'Draft Slayer Classic'!$T:$T,0)))</f>
        <v>183.57141000000001</v>
      </c>
      <c r="AC27" s="557">
        <f>INDEX('Draft Slayer Classic'!$W:$W,MATCH(T27,'Draft Slayer Classic'!$T:$T,0))</f>
        <v>7</v>
      </c>
      <c r="AD27">
        <f>IFERROR(IF(INDEX(Instructions!$X$64:$X$83,MATCH(Draft!T27,Instructions!$T$64:$T$83,0))&lt;='Draft Slayer Classic'!$E$25,1,0),0)</f>
        <v>0</v>
      </c>
      <c r="AE27" s="197"/>
      <c r="AF27" s="554" t="str">
        <f>INDEX('Draft Slayer Classic'!$AE:$AE,MATCH(SMALL('Draft Slayer Classic'!$AM:$AM,$G27),'Draft Slayer Classic'!$AM:$AM,0))</f>
        <v>Drake London</v>
      </c>
      <c r="AG27" s="555" t="str">
        <f>INDEX(FFARawStatProjections!$B:$B,MATCH(AF27,FFARawStatProjections!$A:$A,0))</f>
        <v>ATL</v>
      </c>
      <c r="AH27" s="556" t="str">
        <f>INDEX(FFARawStatProjections!$D:$D,MATCH(AF27,FFARawStatProjections!$A:$A,0))&amp;IF(AI27&gt;0," ("&amp;AI27&amp;")","")</f>
        <v>11</v>
      </c>
      <c r="AI27">
        <f>IFERROR(INDEX($BQ$8:$BQ$21,MATCH(INDEX(FFARawStatProjections!$D:$D,MATCH(AF27,FFARawStatProjections!$A:$A,0)),$BP$8:$BP$21,0)),0)</f>
        <v>0</v>
      </c>
      <c r="AJ27" s="464">
        <f>INDEX(WRproj!M:M,MATCH(Draft!AF27,WRproj!D:D,0))</f>
        <v>0</v>
      </c>
      <c r="AK27">
        <f>INDEX(ADP!$G:$G,MATCH(AF27,ADP!$D:$D,0))</f>
        <v>56.600501999999999</v>
      </c>
      <c r="AL27">
        <f>IF(AND(AK27&gt;=$R$5,AK27&lt;$R$4),1,
IF(AND(AK27&gt;=$R$4,AK27&lt;$R$3),2,
IF(AK27&gt;=$R$3,3,
IF(AND(COUNTIF(AL$6:AL26,1)=0,COUNTIF(AK$6:AK26,"&lt;="&amp;$R$5)=(COUNTIF(AK$6:AK$20,"&lt;="&amp;$R$5)-1)),1,0))))</f>
        <v>3</v>
      </c>
      <c r="AM27" s="466">
        <f>(IFERROR(AN27-INDEX(AN:AN,MATCH(1,AL:AL,0)),0)+
IFERROR(AN27-INDEX(AN:AN,MATCH(2,AL:AL,0)),0)*0.5+
IFERROR(AN27-INDEX(AN:AN,MATCH(3,AL:AL,0)),0)*0.25
)/16*IF(ISBLANK(Beersheet!$A$1),1,16)</f>
        <v>-7.2293521875000017</v>
      </c>
      <c r="AN27">
        <f>IF(Beersheet!$A$2="QB",
INDEX(Beersheet!$A:$U,MATCH(Draft!AF27,Beersheet!$C:$C,0),FFARawStatProjections!$BQ$1),
INDEX('Draft Slayer Classic'!$AG:$AG,MATCH(AF27,'Draft Slayer Classic'!$AE:$AE,0)))</f>
        <v>202.63343</v>
      </c>
      <c r="AO27" s="557">
        <f>INDEX('Draft Slayer Classic'!$AH:$AH,MATCH(AF27,'Draft Slayer Classic'!$AE:$AE,0))</f>
        <v>7</v>
      </c>
      <c r="AP27">
        <f>IFERROR(IF(INDEX(Instructions!$V$86:$V$105,MATCH(Draft!AF27,Instructions!$S$86:$S$105,0))&lt;='Draft Slayer Classic'!$E$25,1,0),0)</f>
        <v>0</v>
      </c>
      <c r="AQ27" s="197"/>
      <c r="AR27" s="554" t="str">
        <f>INDEX('Draft Slayer Classic'!$AP:$AP,MATCH(SMALL('Draft Slayer Classic'!$AX:$AX,$G27),'Draft Slayer Classic'!$AX:$AX,0))</f>
        <v>Noah Fant</v>
      </c>
      <c r="AS27" s="555" t="str">
        <f>INDEX(FFARawStatProjections!$B:$B,MATCH(AR27,FFARawStatProjections!$A:$A,0))</f>
        <v>SEA</v>
      </c>
      <c r="AT27" s="556" t="str">
        <f>INDEX(FFARawStatProjections!$D:$D,MATCH(AR27,FFARawStatProjections!$A:$A,0))&amp;IF(AU27&gt;0," ("&amp;AU27&amp;")","")</f>
        <v>5</v>
      </c>
      <c r="AU27">
        <f>IFERROR(INDEX($BQ$8:$BQ$21,MATCH(INDEX(FFARawStatProjections!$D:$D,MATCH(AR27,FFARawStatProjections!$A:$A,0)),$BP$8:$BP$21,0)),0)</f>
        <v>0</v>
      </c>
      <c r="AV27" s="464">
        <f>INDEX(TEproj!M:M,MATCH(Draft!AR27,TEproj!D:D,0))</f>
        <v>0</v>
      </c>
      <c r="AW27" t="e">
        <f>INDEX(ADP!$G:$G,MATCH(AR27,ADP!$D:$D,0))</f>
        <v>#N/A</v>
      </c>
      <c r="AX27" t="e">
        <f>IF(AND(AW27&gt;=$R$5,AW27&lt;$R$4),1,
IF(AND(AW27&gt;=$R$4,AW27&lt;$R$3),2,
IF(AW27&gt;=$R$3,3,
IF(AND(COUNTIF(AX$6:AX26,1)=0,COUNTIF(AW$6:AW26,"&lt;="&amp;$R$5)=(COUNTIF(AW$6:AW$20,"&lt;="&amp;$R$5)-1)),1,0))))</f>
        <v>#N/A</v>
      </c>
      <c r="AY27" s="466">
        <f>(IFERROR(AZ27-INDEX(AZ:AZ,MATCH(1,AX:AX,0)),0)+
IFERROR(AZ27-INDEX(AZ:AZ,MATCH(2,AX:AX,0)),0)*0.5+
IFERROR(AZ27-INDEX(AZ:AZ,MATCH(3,AX:AX,0)),0)*0.25
)/16*IF(ISBLANK(Beersheet!$A$1),1,16)</f>
        <v>-12.832796406249999</v>
      </c>
      <c r="AZ27">
        <f>IF(Beersheet!$A$2="QB",
INDEX(Beersheet!$A:$U,MATCH(Draft!AR27,Beersheet!$C:$C,0),FFARawStatProjections!$BQ$1),
INDEX('Draft Slayer Classic'!$AR:$AR,MATCH(AR27,'Draft Slayer Classic'!$AP:$AP,0)))</f>
        <v>106.27630000000001</v>
      </c>
      <c r="BA27" s="557">
        <f>INDEX('Draft Slayer Classic'!$AS:$AS,MATCH(AR27,'Draft Slayer Classic'!$AP:$AP,0))</f>
        <v>8</v>
      </c>
      <c r="BB27">
        <f>IFERROR(IF(INDEX(Instructions!$X$86:$X$105,MATCH(Draft!AR27,Instructions!$T$86:$T$105,0))&lt;='Draft Slayer Classic'!$E$25,1,0),0)</f>
        <v>0</v>
      </c>
      <c r="BC27" s="197"/>
      <c r="BD27" s="554" t="str">
        <f>INDEX('Draft Slayer Classic'!$BA:$BA,MATCH(SMALL('Draft Slayer Classic'!$BD:$BD,$G27),'Draft Slayer Classic'!$BD:$BD,0))</f>
        <v>JAC</v>
      </c>
      <c r="BE27" s="557" t="str">
        <f>INDEX(FFARawStatProjections!$D:$D,MATCH(BD27,FFARawStatProjections!$B:$B,0))&amp;IF(BF27&gt;0," ("&amp;BF27&amp;")","")</f>
        <v>9</v>
      </c>
      <c r="BF27">
        <f>IFERROR(INDEX($BQ$8:$BQ$21,MATCH(INDEX(FFARawStatProjections!$D:$D,MATCH(BC27,FFARawStatProjections!$A:$A,0)),$BP$8:$BP$21,0)),0)</f>
        <v>0</v>
      </c>
      <c r="BG27" s="464">
        <f>INDEX(FFARawStatProjections!$E:$E,MATCH(BD27,FFARawStatProjections!$B:$B,0))*0.1</f>
        <v>0</v>
      </c>
      <c r="BI27" s="197"/>
      <c r="BJ27" s="554" t="str">
        <f>INDEX('Draft Slayer Classic'!$BF:$BF,MATCH(SMALL('Draft Slayer Classic'!$BJ:$BJ,$G27),'Draft Slayer Classic'!$BJ:$BJ,0))</f>
        <v>Chris Boswell</v>
      </c>
      <c r="BK27" s="555" t="str">
        <f>INDEX(FFARawStatProjections!$B:$B,MATCH(BJ27,FFARawStatProjections!$A:$A,0))</f>
        <v>PIT</v>
      </c>
      <c r="BL27" s="557" t="str">
        <f>INDEX(FFARawStatProjections!$D:$D,MATCH(BJ27,FFARawStatProjections!$A:$A,0))&amp;IF(BM27&gt;0," ("&amp;BM27&amp;")","")</f>
        <v>6</v>
      </c>
      <c r="BM27">
        <f>IFERROR(INDEX($BQ$8:$BQ$21,MATCH(INDEX(FFARawStatProjections!$D:$D,MATCH(BJ27,FFARawStatProjections!$A:$A,0)),$BP$8:$BP$21,0)),0)</f>
        <v>0</v>
      </c>
      <c r="BN27" s="466">
        <f>INDEX(FFARawStatProjections!$E:$E,MATCH(Draft!BJ27,FFARawStatProjections!$A:$A,0))*0.1</f>
        <v>0</v>
      </c>
      <c r="BO27" s="197"/>
      <c r="BQ27" s="465" t="str">
        <f>IFERROR(INDEX(FFARawStatProjections!$D:$D,MATCH('Draft Slayer Classic'!E48,FFARawStatProjections!$B:$B,0)),"")</f>
        <v/>
      </c>
      <c r="BT27" t="str">
        <f>IF(FFARawStatProjections!A22=0,"",FFARawStatProjections!A22)</f>
        <v>Jordan Love</v>
      </c>
      <c r="BU27" t="str">
        <f>IF(FFARawStatProjections!C22=0,"",FFARawStatProjections!C22)</f>
        <v>QB</v>
      </c>
      <c r="BV27" t="str">
        <f>IF(FFARawStatProjections!B22=0,"",FFARawStatProjections!B22)</f>
        <v>GB</v>
      </c>
      <c r="BX27">
        <v>21</v>
      </c>
      <c r="BY27" s="89" t="str">
        <f t="shared" si="3"/>
        <v/>
      </c>
      <c r="BZ27" s="89" t="str">
        <f t="shared" si="4"/>
        <v/>
      </c>
      <c r="CA27" s="89" t="str">
        <f t="shared" si="5"/>
        <v/>
      </c>
    </row>
    <row r="28" spans="1:82" ht="33.75" hidden="1" customHeight="1" x14ac:dyDescent="0.25">
      <c r="A28" s="575" t="str">
        <f t="shared" si="6"/>
        <v/>
      </c>
      <c r="B28" s="474"/>
      <c r="C28" s="576" t="str">
        <f t="shared" si="7"/>
        <v/>
      </c>
      <c r="D28" s="190" t="str">
        <f t="shared" si="8"/>
        <v/>
      </c>
      <c r="E28" s="190">
        <f>IFERROR(INDEX(Instructions!$U$111:$U$222,MATCH(Draft!A28,Instructions!$U$111:$U$222,0)),0)</f>
        <v>0</v>
      </c>
      <c r="F28" s="581"/>
      <c r="G28">
        <v>23</v>
      </c>
      <c r="H28" s="577" t="str">
        <f>INDEX('Draft Slayer Classic'!$I:$I,MATCH(SMALL('Draft Slayer Classic'!$Q:$Q,$G28),'Draft Slayer Classic'!$Q:$Q,0))</f>
        <v>Brock Purdy</v>
      </c>
      <c r="I28" s="550" t="str">
        <f>INDEX(FFARawStatProjections!$B:$B,MATCH(H28,FFARawStatProjections!$A:$A,0))</f>
        <v>SF</v>
      </c>
      <c r="J28" s="551" t="str">
        <f>INDEX(FFARawStatProjections!$D:$D,MATCH(H28,FFARawStatProjections!$A:$A,0))&amp;IF(K28&gt;0," ("&amp;K28&amp;")","")</f>
        <v>9</v>
      </c>
      <c r="K28">
        <f>IFERROR(INDEX($BQ$8:$BQ$21,MATCH(INDEX(FFARawStatProjections!$D:$D,MATCH(H28,FFARawStatProjections!$A:$A,0)),$BP$8:$BP$21,0)),0)</f>
        <v>0</v>
      </c>
      <c r="L28" s="552">
        <f>INDEX(QBproj!M:M,MATCH(Draft!H28,QBproj!D:D,0))</f>
        <v>31.2</v>
      </c>
      <c r="M28">
        <f>INDEX(ADP!$G:$G,MATCH(H28,ADP!$D:$D,0))</f>
        <v>159.20065699999998</v>
      </c>
      <c r="N28">
        <f>IF(AND(M28&gt;=$R$5,M28&lt;$R$4),1,
IF(AND(M28&gt;=$R$4,M28&lt;$R$3),2,
IF(M28&gt;=$R$3,3,
IF(AND(COUNTIF(N$6:N27,1)=0,COUNTIF(M$6:M27,"&lt;="&amp;$R$5)=(COUNTIF(M$6:M$20,"&lt;="&amp;$R$5)-1)),1,0))))</f>
        <v>3</v>
      </c>
      <c r="O28" s="552">
        <f>(IFERROR(P28-INDEX(P:P,MATCH(1,N:N,0)),0)+
IFERROR(P28-INDEX(P:P,MATCH(2,N:N,0)),0)*0.5+
IFERROR(P28-INDEX(P:P,MATCH(3,N:N,0)),0)*0.25
)/16*IF(ISBLANK(Beersheet!$A$1),1,16)</f>
        <v>-14.129383906250006</v>
      </c>
      <c r="P28">
        <f>IF(Beersheet!$A$2="QB",
INDEX(Beersheet!$A:$U,MATCH(Draft!H28,Beersheet!$C:$C,0),FFARawStatProjections!$BQ$1),
INDEX('Draft Slayer Classic'!$K:$K,MATCH(H28,'Draft Slayer Classic'!$I:$I,0)))</f>
        <v>242.16822999999997</v>
      </c>
      <c r="Q28" s="551">
        <f>INDEX('Draft Slayer Classic'!$L:$L,MATCH(H28,'Draft Slayer Classic'!$I:$I,0))</f>
        <v>8</v>
      </c>
      <c r="R28">
        <f>IFERROR(IF(INDEX(Instructions!$V$64:$V$83,MATCH(Draft!H28,Instructions!$S$64:$S$83,0))&lt;='Draft Slayer Classic'!$E$25,1,0),0)</f>
        <v>0</v>
      </c>
      <c r="S28" s="581"/>
      <c r="T28" s="577" t="str">
        <f>INDEX('Draft Slayer Classic'!$T:$T,MATCH(SMALL('Draft Slayer Classic'!$AB:$AB,$G28),'Draft Slayer Classic'!$AB:$AB,0))</f>
        <v>David Montgomery</v>
      </c>
      <c r="U28" s="550" t="str">
        <f>INDEX(FFARawStatProjections!$B:$B,MATCH(T28,FFARawStatProjections!$A:$A,0))</f>
        <v>DET</v>
      </c>
      <c r="V28" s="551" t="str">
        <f>INDEX(FFARawStatProjections!$D:$D,MATCH(T28,FFARawStatProjections!$A:$A,0))&amp;IF(W28&gt;0," ("&amp;W28&amp;")","")</f>
        <v>9</v>
      </c>
      <c r="W28">
        <f>IFERROR(INDEX($BQ$8:$BQ$21,MATCH(INDEX(FFARawStatProjections!$D:$D,MATCH(T28,FFARawStatProjections!$A:$A,0)),$BP$8:$BP$21,0)),0)</f>
        <v>0</v>
      </c>
      <c r="X28" s="552">
        <f>INDEX(RBproj!M:M,MATCH(Draft!T28,RBproj!D:D,0))</f>
        <v>0</v>
      </c>
      <c r="Y28">
        <f>INDEX(ADP!$G:$G,MATCH(T28,ADP!$D:$D,0))</f>
        <v>63.600552999999998</v>
      </c>
      <c r="Z28">
        <f>IF(AND(Y28&gt;=$R$5,Y28&lt;$R$4),1,
IF(AND(Y28&gt;=$R$4,Y28&lt;$R$3),2,
IF(Y28&gt;=$R$3,3,
IF(AND(COUNTIF(Z$6:Z27,1)=0,COUNTIF(Y$6:Y27,"&lt;="&amp;$R$5)=(COUNTIF(Y$6:Y$20,"&lt;="&amp;$R$5)-1)),1,0))))</f>
        <v>3</v>
      </c>
      <c r="AA28" s="552">
        <f>(IFERROR(AB28-INDEX(AB:AB,MATCH(1,Z:Z,0)),0)+
IFERROR(AB28-INDEX(AB:AB,MATCH(2,Z:Z,0)),0)*0.5+
IFERROR(AB28-INDEX(AB:AB,MATCH(3,Z:Z,0)),0)*0.25
)/16*IF(ISBLANK(Beersheet!$A$1),1,16)</f>
        <v>-10.015445312500002</v>
      </c>
      <c r="AB28">
        <f>IF(Beersheet!$A$2="QB",
INDEX(Beersheet!$A:$U,MATCH(Draft!T28,Beersheet!$C:$C,0),FFARawStatProjections!$BQ$1),
INDEX('Draft Slayer Classic'!$V:$V,MATCH(T28,'Draft Slayer Classic'!$T:$T,0)))</f>
        <v>183.25142</v>
      </c>
      <c r="AC28" s="551">
        <f>INDEX('Draft Slayer Classic'!$W:$W,MATCH(T28,'Draft Slayer Classic'!$T:$T,0))</f>
        <v>7</v>
      </c>
      <c r="AD28">
        <f>IFERROR(IF(INDEX(Instructions!$X$64:$X$83,MATCH(Draft!T28,Instructions!$T$64:$T$83,0))&lt;='Draft Slayer Classic'!$E$25,1,0),0)</f>
        <v>0</v>
      </c>
      <c r="AE28" s="581"/>
      <c r="AF28" s="577" t="str">
        <f>INDEX('Draft Slayer Classic'!$AE:$AE,MATCH(SMALL('Draft Slayer Classic'!$AM:$AM,$G28),'Draft Slayer Classic'!$AM:$AM,0))</f>
        <v>Tyler Lockett</v>
      </c>
      <c r="AG28" s="550" t="str">
        <f>INDEX(FFARawStatProjections!$B:$B,MATCH(AF28,FFARawStatProjections!$A:$A,0))</f>
        <v>SEA</v>
      </c>
      <c r="AH28" s="551" t="str">
        <f>INDEX(FFARawStatProjections!$D:$D,MATCH(AF28,FFARawStatProjections!$A:$A,0))&amp;IF(AI28&gt;0," ("&amp;AI28&amp;")","")</f>
        <v>5</v>
      </c>
      <c r="AI28">
        <f>IFERROR(INDEX($BQ$8:$BQ$21,MATCH(INDEX(FFARawStatProjections!$D:$D,MATCH(AF28,FFARawStatProjections!$A:$A,0)),$BP$8:$BP$21,0)),0)</f>
        <v>0</v>
      </c>
      <c r="AJ28" s="552">
        <f>INDEX(WRproj!M:M,MATCH(Draft!AF28,WRproj!D:D,0))</f>
        <v>0</v>
      </c>
      <c r="AK28">
        <f>INDEX(ADP!$G:$G,MATCH(AF28,ADP!$D:$D,0))</f>
        <v>63.100034999999998</v>
      </c>
      <c r="AL28">
        <f>IF(AND(AK28&gt;=$R$5,AK28&lt;$R$4),1,
IF(AND(AK28&gt;=$R$4,AK28&lt;$R$3),2,
IF(AK28&gt;=$R$3,3,
IF(AND(COUNTIF(AL$6:AL27,1)=0,COUNTIF(AK$6:AK27,"&lt;="&amp;$R$5)=(COUNTIF(AK$6:AK$20,"&lt;="&amp;$R$5)-1)),1,0))))</f>
        <v>3</v>
      </c>
      <c r="AM28" s="552">
        <f>(IFERROR(AN28-INDEX(AN:AN,MATCH(1,AL:AL,0)),0)+
IFERROR(AN28-INDEX(AN:AN,MATCH(2,AL:AL,0)),0)*0.5+
IFERROR(AN28-INDEX(AN:AN,MATCH(3,AL:AL,0)),0)*0.25
)/16*IF(ISBLANK(Beersheet!$A$1),1,16)</f>
        <v>-7.5279393750000017</v>
      </c>
      <c r="AN28">
        <f>IF(Beersheet!$A$2="QB",
INDEX(Beersheet!$A:$U,MATCH(Draft!AF28,Beersheet!$C:$C,0),FFARawStatProjections!$BQ$1),
INDEX('Draft Slayer Classic'!$AG:$AG,MATCH(AF28,'Draft Slayer Classic'!$AE:$AE,0)))</f>
        <v>199.90349000000001</v>
      </c>
      <c r="AO28" s="551">
        <f>INDEX('Draft Slayer Classic'!$AH:$AH,MATCH(AF28,'Draft Slayer Classic'!$AE:$AE,0))</f>
        <v>7</v>
      </c>
      <c r="AP28">
        <f>IFERROR(IF(INDEX(Instructions!$V$86:$V$105,MATCH(Draft!AF28,Instructions!$S$86:$S$105,0))&lt;='Draft Slayer Classic'!$E$25,1,0),0)</f>
        <v>0</v>
      </c>
      <c r="AQ28" s="581"/>
      <c r="AR28" s="577" t="str">
        <f>INDEX('Draft Slayer Classic'!$AP:$AP,MATCH(SMALL('Draft Slayer Classic'!$AX:$AX,$G28),'Draft Slayer Classic'!$AX:$AX,0))</f>
        <v>Zach Ertz</v>
      </c>
      <c r="AS28" s="550" t="str">
        <f>INDEX(FFARawStatProjections!$B:$B,MATCH(AR28,FFARawStatProjections!$A:$A,0))</f>
        <v>AZ</v>
      </c>
      <c r="AT28" s="551" t="str">
        <f>INDEX(FFARawStatProjections!$D:$D,MATCH(AR28,FFARawStatProjections!$A:$A,0))&amp;IF(AU28&gt;0," ("&amp;AU28&amp;")","")</f>
        <v>14</v>
      </c>
      <c r="AU28">
        <f>IFERROR(INDEX($BQ$8:$BQ$21,MATCH(INDEX(FFARawStatProjections!$D:$D,MATCH(AR28,FFARawStatProjections!$A:$A,0)),$BP$8:$BP$21,0)),0)</f>
        <v>0</v>
      </c>
      <c r="AV28" s="552">
        <f>INDEX(TEproj!M:M,MATCH(Draft!AR28,TEproj!D:D,0))</f>
        <v>18</v>
      </c>
      <c r="AW28">
        <f>INDEX(ADP!$G:$G,MATCH(AR28,ADP!$D:$D,0))</f>
        <v>165.80001300000001</v>
      </c>
      <c r="AX28">
        <f>IF(AND(AW28&gt;=$R$5,AW28&lt;$R$4),1,
IF(AND(AW28&gt;=$R$4,AW28&lt;$R$3),2,
IF(AW28&gt;=$R$3,3,
IF(AND(COUNTIF(AX$6:AX27,1)=0,COUNTIF(AW$6:AW27,"&lt;="&amp;$R$5)=(COUNTIF(AW$6:AW$20,"&lt;="&amp;$R$5)-1)),1,0))))</f>
        <v>3</v>
      </c>
      <c r="AY28" s="552">
        <f>(IFERROR(AZ28-INDEX(AZ:AZ,MATCH(1,AX:AX,0)),0)+
IFERROR(AZ28-INDEX(AZ:AZ,MATCH(2,AX:AX,0)),0)*0.5+
IFERROR(AZ28-INDEX(AZ:AZ,MATCH(3,AX:AX,0)),0)*0.25
)/16*IF(ISBLANK(Beersheet!$A$1),1,16)</f>
        <v>-12.896856562499998</v>
      </c>
      <c r="AZ28">
        <f>IF(Beersheet!$A$2="QB",
INDEX(Beersheet!$A:$U,MATCH(Draft!AR28,Beersheet!$C:$C,0),FFARawStatProjections!$BQ$1),
INDEX('Draft Slayer Classic'!$AR:$AR,MATCH(AR28,'Draft Slayer Classic'!$AP:$AP,0)))</f>
        <v>105.45633000000001</v>
      </c>
      <c r="BA28" s="551">
        <f>INDEX('Draft Slayer Classic'!$AS:$AS,MATCH(AR28,'Draft Slayer Classic'!$AP:$AP,0))</f>
        <v>8</v>
      </c>
      <c r="BB28">
        <f>IFERROR(IF(INDEX(Instructions!$X$86:$X$105,MATCH(Draft!AR28,Instructions!$T$86:$T$105,0))&lt;='Draft Slayer Classic'!$E$25,1,0),0)</f>
        <v>0</v>
      </c>
      <c r="BC28" s="581"/>
      <c r="BD28" s="577" t="str">
        <f>INDEX('Draft Slayer Classic'!$BA:$BA,MATCH(SMALL('Draft Slayer Classic'!$BD:$BD,$G28),'Draft Slayer Classic'!$BD:$BD,0))</f>
        <v>NYG</v>
      </c>
      <c r="BE28" s="551" t="str">
        <f>INDEX(FFARawStatProjections!$D:$D,MATCH(BD28,FFARawStatProjections!$B:$B,0))&amp;IF(BF28&gt;0," ("&amp;BF28&amp;")","")</f>
        <v>13</v>
      </c>
      <c r="BF28">
        <f>IFERROR(INDEX($BQ$8:$BQ$21,MATCH(INDEX(FFARawStatProjections!$D:$D,MATCH(BC28,FFARawStatProjections!$A:$A,0)),$BP$8:$BP$21,0)),0)</f>
        <v>0</v>
      </c>
      <c r="BG28" s="464">
        <f>INDEX(FFARawStatProjections!$E:$E,MATCH(BD28,FFARawStatProjections!$B:$B,0))*0.1</f>
        <v>0</v>
      </c>
      <c r="BI28" s="581"/>
      <c r="BJ28" s="577" t="str">
        <f>INDEX('Draft Slayer Classic'!$BF:$BF,MATCH(SMALL('Draft Slayer Classic'!$BJ:$BJ,$G28),'Draft Slayer Classic'!$BJ:$BJ,0))</f>
        <v>Greg Zuerlein</v>
      </c>
      <c r="BK28" s="550" t="str">
        <f>INDEX(FFARawStatProjections!$B:$B,MATCH(BJ28,FFARawStatProjections!$A:$A,0))</f>
        <v>NYJ</v>
      </c>
      <c r="BL28" s="551" t="str">
        <f>INDEX(FFARawStatProjections!$D:$D,MATCH(BJ28,FFARawStatProjections!$A:$A,0))&amp;IF(BM28&gt;0," ("&amp;BM28&amp;")","")</f>
        <v>7</v>
      </c>
      <c r="BM28">
        <f>IFERROR(INDEX($BQ$8:$BQ$21,MATCH(INDEX(FFARawStatProjections!$D:$D,MATCH(BJ28,FFARawStatProjections!$A:$A,0)),$BP$8:$BP$21,0)),0)</f>
        <v>0</v>
      </c>
      <c r="BN28" s="466">
        <f>INDEX(FFARawStatProjections!$E:$E,MATCH(Draft!BJ28,FFARawStatProjections!$A:$A,0))*0.1</f>
        <v>0</v>
      </c>
      <c r="BO28" s="581"/>
      <c r="BQ28" s="465" t="str">
        <f>IFERROR(INDEX(FFARawStatProjections!$D:$D,MATCH('Draft Slayer Classic'!E49,FFARawStatProjections!$B:$B,0)),"")</f>
        <v/>
      </c>
      <c r="BT28" t="str">
        <f>IF(FFARawStatProjections!A23=0,"",FFARawStatProjections!A23)</f>
        <v>Kenny Pickett</v>
      </c>
      <c r="BU28" t="str">
        <f>IF(FFARawStatProjections!C23=0,"",FFARawStatProjections!C23)</f>
        <v>QB</v>
      </c>
      <c r="BV28" t="str">
        <f>IF(FFARawStatProjections!B23=0,"",FFARawStatProjections!B23)</f>
        <v>PIT</v>
      </c>
      <c r="BX28">
        <v>22</v>
      </c>
      <c r="BY28" s="89" t="str">
        <f t="shared" si="3"/>
        <v/>
      </c>
      <c r="BZ28" s="89" t="str">
        <f t="shared" si="4"/>
        <v/>
      </c>
      <c r="CA28" s="89" t="str">
        <f t="shared" si="5"/>
        <v/>
      </c>
    </row>
    <row r="29" spans="1:82" ht="33.75" hidden="1" customHeight="1" x14ac:dyDescent="0.25">
      <c r="A29" s="469" t="str">
        <f t="shared" si="6"/>
        <v/>
      </c>
      <c r="B29" s="472"/>
      <c r="C29" s="478" t="str">
        <f t="shared" ref="C29:C48" si="9">IF(
IFERROR(INDEX(BY:BY,MATCH(A29,BX:BX,0)),"")=IFERROR(INDEX(CA:CA,MATCH(A29,BX:BX,0)),""),
IFERROR(INDEX(CA:CA,MATCH(A29,BX:BX,0)),""),
IFERROR(INDEX(BY:BY,MATCH(A29,BX:BX,0)),"")&amp;" - "&amp;IFERROR(INDEX(CA:CA,MATCH(A29,BX:BX,0)),""))</f>
        <v/>
      </c>
      <c r="D29" s="190" t="str">
        <f t="shared" ref="D29:D48" si="10">IFERROR(INDEX(BZ:BZ,MATCH(A29,BX:BX,0)),"")</f>
        <v/>
      </c>
      <c r="E29" s="190">
        <f>IFERROR(INDEX(Instructions!$U$111:$U$222,MATCH(Draft!A29,Instructions!$U$111:$U$222,0)),0)</f>
        <v>0</v>
      </c>
      <c r="F29" s="197"/>
      <c r="G29">
        <v>24</v>
      </c>
      <c r="H29" s="554" t="str">
        <f>INDEX('Draft Slayer Classic'!$I:$I,MATCH(SMALL('Draft Slayer Classic'!$Q:$Q,$G29),'Draft Slayer Classic'!$Q:$Q,0))</f>
        <v>Jimmy Garoppolo</v>
      </c>
      <c r="I29" s="555" t="str">
        <f>INDEX(FFARawStatProjections!$B:$B,MATCH(H29,FFARawStatProjections!$A:$A,0))</f>
        <v>LV</v>
      </c>
      <c r="J29" s="556" t="str">
        <f>INDEX(FFARawStatProjections!$D:$D,MATCH(H29,FFARawStatProjections!$A:$A,0))&amp;IF(K29&gt;0," ("&amp;K29&amp;")","")</f>
        <v>13</v>
      </c>
      <c r="K29">
        <f>IFERROR(INDEX($BQ$8:$BQ$21,MATCH(INDEX(FFARawStatProjections!$D:$D,MATCH(H29,FFARawStatProjections!$A:$A,0)),$BP$8:$BP$21,0)),0)</f>
        <v>0</v>
      </c>
      <c r="L29" s="466">
        <f>INDEX(QBproj!M:M,MATCH(Draft!H29,QBproj!D:D,0))</f>
        <v>0</v>
      </c>
      <c r="M29" t="e">
        <f>INDEX(ADP!$G:$G,MATCH(H29,ADP!$D:$D,0))</f>
        <v>#N/A</v>
      </c>
      <c r="N29" t="e">
        <f>IF(AND(M29&gt;=$R$5,M29&lt;$R$4),1,
IF(AND(M29&gt;=$R$4,M29&lt;$R$3),2,
IF(M29&gt;=$R$3,3,
IF(AND(COUNTIF(N$6:N28,1)=0,COUNTIF(M$6:M28,"&lt;="&amp;$R$5)=(COUNTIF(M$6:M$20,"&lt;="&amp;$R$5)-1)),1,0))))</f>
        <v>#N/A</v>
      </c>
      <c r="O29" s="466">
        <f>(IFERROR(P29-INDEX(P:P,MATCH(1,N:N,0)),0)+
IFERROR(P29-INDEX(P:P,MATCH(2,N:N,0)),0)*0.5+
IFERROR(P29-INDEX(P:P,MATCH(3,N:N,0)),0)*0.25
)/16*IF(ISBLANK(Beersheet!$A$1),1,16)</f>
        <v>-15.371225468750003</v>
      </c>
      <c r="P29">
        <f>IF(Beersheet!$A$2="QB",
INDEX(Beersheet!$A:$U,MATCH(Draft!H29,Beersheet!$C:$C,0),FFARawStatProjections!$BQ$1),
INDEX('Draft Slayer Classic'!$K:$K,MATCH(H29,'Draft Slayer Classic'!$I:$I,0)))</f>
        <v>230.81424999999999</v>
      </c>
      <c r="Q29" s="557">
        <f>INDEX('Draft Slayer Classic'!$L:$L,MATCH(H29,'Draft Slayer Classic'!$I:$I,0))</f>
        <v>8</v>
      </c>
      <c r="R29">
        <f>IFERROR(IF(INDEX(Instructions!$V$64:$V$83,MATCH(Draft!H29,Instructions!$S$64:$S$83,0))&lt;='Draft Slayer Classic'!$E$25,1,0),0)</f>
        <v>0</v>
      </c>
      <c r="S29" s="197"/>
      <c r="T29" s="554" t="str">
        <f>INDEX('Draft Slayer Classic'!$T:$T,MATCH(SMALL('Draft Slayer Classic'!$AB:$AB,$G29),'Draft Slayer Classic'!$AB:$AB,0))</f>
        <v>Javonte Williams</v>
      </c>
      <c r="U29" s="555" t="str">
        <f>INDEX(FFARawStatProjections!$B:$B,MATCH(T29,FFARawStatProjections!$A:$A,0))</f>
        <v>DEN</v>
      </c>
      <c r="V29" s="556" t="str">
        <f>INDEX(FFARawStatProjections!$D:$D,MATCH(T29,FFARawStatProjections!$A:$A,0))&amp;IF(W29&gt;0," ("&amp;W29&amp;")","")</f>
        <v>9</v>
      </c>
      <c r="W29">
        <f>IFERROR(INDEX($BQ$8:$BQ$21,MATCH(INDEX(FFARawStatProjections!$D:$D,MATCH(T29,FFARawStatProjections!$A:$A,0)),$BP$8:$BP$21,0)),0)</f>
        <v>0</v>
      </c>
      <c r="X29" s="464">
        <f>INDEX(RBproj!M:M,MATCH(Draft!T29,RBproj!D:D,0))</f>
        <v>1</v>
      </c>
      <c r="Y29">
        <f>INDEX(ADP!$G:$G,MATCH(T29,ADP!$D:$D,0))</f>
        <v>65.100381999999996</v>
      </c>
      <c r="Z29">
        <f>IF(AND(Y29&gt;=$R$5,Y29&lt;$R$4),1,
IF(AND(Y29&gt;=$R$4,Y29&lt;$R$3),2,
IF(Y29&gt;=$R$3,3,
IF(AND(COUNTIF(Z$6:Z28,1)=0,COUNTIF(Y$6:Y28,"&lt;="&amp;$R$5)=(COUNTIF(Y$6:Y$20,"&lt;="&amp;$R$5)-1)),1,0))))</f>
        <v>3</v>
      </c>
      <c r="AA29" s="466">
        <f>(IFERROR(AB29-INDEX(AB:AB,MATCH(1,Z:Z,0)),0)+
IFERROR(AB29-INDEX(AB:AB,MATCH(2,Z:Z,0)),0)*0.5+
IFERROR(AB29-INDEX(AB:AB,MATCH(3,Z:Z,0)),0)*0.25
)/16*IF(ISBLANK(Beersheet!$A$1),1,16)</f>
        <v>-10.044979843750003</v>
      </c>
      <c r="AB29">
        <f>IF(Beersheet!$A$2="QB",
INDEX(Beersheet!$A:$U,MATCH(Draft!T29,Beersheet!$C:$C,0),FFARawStatProjections!$BQ$1),
INDEX('Draft Slayer Classic'!$V:$V,MATCH(T29,'Draft Slayer Classic'!$T:$T,0)))</f>
        <v>182.98139</v>
      </c>
      <c r="AC29" s="557">
        <f>INDEX('Draft Slayer Classic'!$W:$W,MATCH(T29,'Draft Slayer Classic'!$T:$T,0))</f>
        <v>7</v>
      </c>
      <c r="AD29">
        <f>IFERROR(IF(INDEX(Instructions!$X$64:$X$83,MATCH(Draft!T29,Instructions!$T$64:$T$83,0))&lt;='Draft Slayer Classic'!$E$25,1,0),0)</f>
        <v>0</v>
      </c>
      <c r="AE29" s="197"/>
      <c r="AF29" s="554" t="str">
        <f>INDEX('Draft Slayer Classic'!$AE:$AE,MATCH(SMALL('Draft Slayer Classic'!$AM:$AM,$G29),'Draft Slayer Classic'!$AM:$AM,0))</f>
        <v>Diontae Johnson</v>
      </c>
      <c r="AG29" s="555" t="str">
        <f>INDEX(FFARawStatProjections!$B:$B,MATCH(AF29,FFARawStatProjections!$A:$A,0))</f>
        <v>PIT</v>
      </c>
      <c r="AH29" s="556" t="str">
        <f>INDEX(FFARawStatProjections!$D:$D,MATCH(AF29,FFARawStatProjections!$A:$A,0))&amp;IF(AI29&gt;0," ("&amp;AI29&amp;")","")</f>
        <v>6</v>
      </c>
      <c r="AI29">
        <f>IFERROR(INDEX($BQ$8:$BQ$21,MATCH(INDEX(FFARawStatProjections!$D:$D,MATCH(AF29,FFARawStatProjections!$A:$A,0)),$BP$8:$BP$21,0)),0)</f>
        <v>0</v>
      </c>
      <c r="AJ29" s="464">
        <f>INDEX(WRproj!M:M,MATCH(Draft!AF29,WRproj!D:D,0))</f>
        <v>0</v>
      </c>
      <c r="AK29">
        <f>INDEX(ADP!$G:$G,MATCH(AF29,ADP!$D:$D,0))</f>
        <v>72.400512000000006</v>
      </c>
      <c r="AL29">
        <f>IF(AND(AK29&gt;=$R$5,AK29&lt;$R$4),1,
IF(AND(AK29&gt;=$R$4,AK29&lt;$R$3),2,
IF(AK29&gt;=$R$3,3,
IF(AND(COUNTIF(AL$6:AL28,1)=0,COUNTIF(AK$6:AK28,"&lt;="&amp;$R$5)=(COUNTIF(AK$6:AK$20,"&lt;="&amp;$R$5)-1)),1,0))))</f>
        <v>3</v>
      </c>
      <c r="AM29" s="466">
        <f>(IFERROR(AN29-INDEX(AN:AN,MATCH(1,AL:AL,0)),0)+
IFERROR(AN29-INDEX(AN:AN,MATCH(2,AL:AL,0)),0)*0.5+
IFERROR(AN29-INDEX(AN:AN,MATCH(3,AL:AL,0)),0)*0.25
)/16*IF(ISBLANK(Beersheet!$A$1),1,16)</f>
        <v>-7.6832551562500013</v>
      </c>
      <c r="AN29">
        <f>IF(Beersheet!$A$2="QB",
INDEX(Beersheet!$A:$U,MATCH(Draft!AF29,Beersheet!$C:$C,0),FFARawStatProjections!$BQ$1),
INDEX('Draft Slayer Classic'!$AG:$AG,MATCH(AF29,'Draft Slayer Classic'!$AE:$AE,0)))</f>
        <v>198.48346000000001</v>
      </c>
      <c r="AO29" s="557">
        <f>INDEX('Draft Slayer Classic'!$AH:$AH,MATCH(AF29,'Draft Slayer Classic'!$AE:$AE,0))</f>
        <v>7</v>
      </c>
      <c r="AP29">
        <f>IFERROR(IF(INDEX(Instructions!$V$86:$V$105,MATCH(Draft!AF29,Instructions!$S$86:$S$105,0))&lt;='Draft Slayer Classic'!$E$25,1,0),0)</f>
        <v>0</v>
      </c>
      <c r="AQ29" s="197"/>
      <c r="AR29" s="554" t="str">
        <f>INDEX('Draft Slayer Classic'!$AP:$AP,MATCH(SMALL('Draft Slayer Classic'!$AX:$AX,$G29),'Draft Slayer Classic'!$AX:$AX,0))</f>
        <v>Cade Otton</v>
      </c>
      <c r="AS29" s="555" t="str">
        <f>INDEX(FFARawStatProjections!$B:$B,MATCH(AR29,FFARawStatProjections!$A:$A,0))</f>
        <v>TB</v>
      </c>
      <c r="AT29" s="556" t="str">
        <f>INDEX(FFARawStatProjections!$D:$D,MATCH(AR29,FFARawStatProjections!$A:$A,0))&amp;IF(AU29&gt;0," ("&amp;AU29&amp;")","")</f>
        <v>5</v>
      </c>
      <c r="AU29">
        <f>IFERROR(INDEX($BQ$8:$BQ$21,MATCH(INDEX(FFARawStatProjections!$D:$D,MATCH(AR29,FFARawStatProjections!$A:$A,0)),$BP$8:$BP$21,0)),0)</f>
        <v>0</v>
      </c>
      <c r="AV29" s="464">
        <f>INDEX(TEproj!M:M,MATCH(Draft!AR29,TEproj!D:D,0))</f>
        <v>0</v>
      </c>
      <c r="AW29" t="e">
        <f>INDEX(ADP!$G:$G,MATCH(AR29,ADP!$D:$D,0))</f>
        <v>#N/A</v>
      </c>
      <c r="AX29" t="e">
        <f>IF(AND(AW29&gt;=$R$5,AW29&lt;$R$4),1,
IF(AND(AW29&gt;=$R$4,AW29&lt;$R$3),2,
IF(AW29&gt;=$R$3,3,
IF(AND(COUNTIF(AX$6:AX28,1)=0,COUNTIF(AW$6:AW28,"&lt;="&amp;$R$5)=(COUNTIF(AW$6:AW$20,"&lt;="&amp;$R$5)-1)),1,0))))</f>
        <v>#N/A</v>
      </c>
      <c r="AY29" s="466">
        <f>(IFERROR(AZ29-INDEX(AZ:AZ,MATCH(1,AX:AX,0)),0)+
IFERROR(AZ29-INDEX(AZ:AZ,MATCH(2,AX:AX,0)),0)*0.5+
IFERROR(AZ29-INDEX(AZ:AZ,MATCH(3,AX:AX,0)),0)*0.25
)/16*IF(ISBLANK(Beersheet!$A$1),1,16)</f>
        <v>-12.94841671875</v>
      </c>
      <c r="AZ29">
        <f>IF(Beersheet!$A$2="QB",
INDEX(Beersheet!$A:$U,MATCH(Draft!AR29,Beersheet!$C:$C,0),FFARawStatProjections!$BQ$1),
INDEX('Draft Slayer Classic'!$AR:$AR,MATCH(AR29,'Draft Slayer Classic'!$AP:$AP,0)))</f>
        <v>104.79635999999999</v>
      </c>
      <c r="BA29" s="557">
        <f>INDEX('Draft Slayer Classic'!$AS:$AS,MATCH(AR29,'Draft Slayer Classic'!$AP:$AP,0))</f>
        <v>8</v>
      </c>
      <c r="BB29">
        <f>IFERROR(IF(INDEX(Instructions!$X$86:$X$105,MATCH(Draft!AR29,Instructions!$T$86:$T$105,0))&lt;='Draft Slayer Classic'!$E$25,1,0),0)</f>
        <v>0</v>
      </c>
      <c r="BC29" s="197"/>
      <c r="BD29" s="554" t="str">
        <f>INDEX('Draft Slayer Classic'!$BA:$BA,MATCH(SMALL('Draft Slayer Classic'!$BD:$BD,$G29),'Draft Slayer Classic'!$BD:$BD,0))</f>
        <v>LAR</v>
      </c>
      <c r="BE29" s="557" t="str">
        <f>INDEX(FFARawStatProjections!$D:$D,MATCH(BD29,FFARawStatProjections!$B:$B,0))&amp;IF(BF29&gt;0," ("&amp;BF29&amp;")","")</f>
        <v>10</v>
      </c>
      <c r="BF29">
        <f>IFERROR(INDEX($BQ$8:$BQ$21,MATCH(INDEX(FFARawStatProjections!$D:$D,MATCH(BC29,FFARawStatProjections!$A:$A,0)),$BP$8:$BP$21,0)),0)</f>
        <v>0</v>
      </c>
      <c r="BG29" s="464">
        <f>INDEX(FFARawStatProjections!$E:$E,MATCH(BD29,FFARawStatProjections!$B:$B,0))*0.1</f>
        <v>0</v>
      </c>
      <c r="BI29" s="197"/>
      <c r="BJ29" s="554" t="str">
        <f>INDEX('Draft Slayer Classic'!$BF:$BF,MATCH(SMALL('Draft Slayer Classic'!$BJ:$BJ,$G29),'Draft Slayer Classic'!$BJ:$BJ,0))</f>
        <v>Cade York</v>
      </c>
      <c r="BK29" s="555" t="str">
        <f>INDEX(FFARawStatProjections!$B:$B,MATCH(BJ29,FFARawStatProjections!$A:$A,0))</f>
        <v>CLE</v>
      </c>
      <c r="BL29" s="557" t="str">
        <f>INDEX(FFARawStatProjections!$D:$D,MATCH(BJ29,FFARawStatProjections!$A:$A,0))&amp;IF(BM29&gt;0," ("&amp;BM29&amp;")","")</f>
        <v>5</v>
      </c>
      <c r="BM29">
        <f>IFERROR(INDEX($BQ$8:$BQ$21,MATCH(INDEX(FFARawStatProjections!$D:$D,MATCH(BJ29,FFARawStatProjections!$A:$A,0)),$BP$8:$BP$21,0)),0)</f>
        <v>0</v>
      </c>
      <c r="BN29" s="466">
        <f>INDEX(FFARawStatProjections!$E:$E,MATCH(Draft!BJ29,FFARawStatProjections!$A:$A,0))*0.1</f>
        <v>0</v>
      </c>
      <c r="BO29" s="197"/>
      <c r="BQ29" s="465" t="str">
        <f>IFERROR(INDEX(FFARawStatProjections!$D:$D,MATCH('Draft Slayer Classic'!E50,FFARawStatProjections!$B:$B,0)),"")</f>
        <v/>
      </c>
      <c r="BT29" t="str">
        <f>IF(FFARawStatProjections!A24=0,"",FFARawStatProjections!A24)</f>
        <v>Brock Purdy</v>
      </c>
      <c r="BU29" t="str">
        <f>IF(FFARawStatProjections!C24=0,"",FFARawStatProjections!C24)</f>
        <v>QB</v>
      </c>
      <c r="BV29" t="str">
        <f>IF(FFARawStatProjections!B24=0,"",FFARawStatProjections!B24)</f>
        <v>SF</v>
      </c>
      <c r="BX29">
        <v>23</v>
      </c>
      <c r="BY29" s="89" t="str">
        <f t="shared" si="3"/>
        <v/>
      </c>
      <c r="BZ29" s="89" t="str">
        <f t="shared" si="4"/>
        <v/>
      </c>
      <c r="CA29" s="89" t="str">
        <f t="shared" si="5"/>
        <v/>
      </c>
    </row>
    <row r="30" spans="1:82" ht="33.75" hidden="1" customHeight="1" x14ac:dyDescent="0.25">
      <c r="A30" s="473" t="str">
        <f t="shared" si="6"/>
        <v/>
      </c>
      <c r="B30" s="474"/>
      <c r="C30" s="479" t="str">
        <f t="shared" si="9"/>
        <v/>
      </c>
      <c r="D30" s="190" t="str">
        <f t="shared" si="10"/>
        <v/>
      </c>
      <c r="E30" s="190">
        <f>IFERROR(INDEX(Instructions!$U$111:$U$222,MATCH(Draft!A30,Instructions!$U$111:$U$222,0)),0)</f>
        <v>0</v>
      </c>
      <c r="F30" s="197"/>
      <c r="G30">
        <v>25</v>
      </c>
      <c r="H30" s="549" t="str">
        <f>INDEX('Draft Slayer Classic'!$I:$I,MATCH(SMALL('Draft Slayer Classic'!$Q:$Q,$G30),'Draft Slayer Classic'!$Q:$Q,0))</f>
        <v>Ryan Tannehill</v>
      </c>
      <c r="I30" s="550" t="str">
        <f>INDEX(FFARawStatProjections!$B:$B,MATCH(H30,FFARawStatProjections!$A:$A,0))</f>
        <v>TEN</v>
      </c>
      <c r="J30" s="551" t="str">
        <f>INDEX(FFARawStatProjections!$D:$D,MATCH(H30,FFARawStatProjections!$A:$A,0))&amp;IF(K30&gt;0," ("&amp;K30&amp;")","")</f>
        <v>7</v>
      </c>
      <c r="K30">
        <f>IFERROR(INDEX($BQ$8:$BQ$21,MATCH(INDEX(FFARawStatProjections!$D:$D,MATCH(H30,FFARawStatProjections!$A:$A,0)),$BP$8:$BP$21,0)),0)</f>
        <v>0</v>
      </c>
      <c r="L30" s="552">
        <f>INDEX(QBproj!M:M,MATCH(Draft!H30,QBproj!D:D,0))</f>
        <v>0</v>
      </c>
      <c r="M30" t="e">
        <f>INDEX(ADP!$G:$G,MATCH(H30,ADP!$D:$D,0))</f>
        <v>#N/A</v>
      </c>
      <c r="N30" t="e">
        <f>IF(AND(M30&gt;=$R$5,M30&lt;$R$4),1,
IF(AND(M30&gt;=$R$4,M30&lt;$R$3),2,
IF(M30&gt;=$R$3,3,
IF(AND(COUNTIF(N$6:N29,1)=0,COUNTIF(M$6:M29,"&lt;="&amp;$R$5)=(COUNTIF(M$6:M$20,"&lt;="&amp;$R$5)-1)),1,0))))</f>
        <v>#N/A</v>
      </c>
      <c r="O30" s="552">
        <f>(IFERROR(P30-INDEX(P:P,MATCH(1,N:N,0)),0)+
IFERROR(P30-INDEX(P:P,MATCH(2,N:N,0)),0)*0.5+
IFERROR(P30-INDEX(P:P,MATCH(3,N:N,0)),0)*0.25
)/16*IF(ISBLANK(Beersheet!$A$1),1,16)</f>
        <v>-15.907599374999997</v>
      </c>
      <c r="P30">
        <f>IF(Beersheet!$A$2="QB",
INDEX(Beersheet!$A:$U,MATCH(Draft!H30,Beersheet!$C:$C,0),FFARawStatProjections!$BQ$1),
INDEX('Draft Slayer Classic'!$K:$K,MATCH(H30,'Draft Slayer Classic'!$I:$I,0)))</f>
        <v>225.91026000000002</v>
      </c>
      <c r="Q30" s="553">
        <f>INDEX('Draft Slayer Classic'!$L:$L,MATCH(H30,'Draft Slayer Classic'!$I:$I,0))</f>
        <v>8</v>
      </c>
      <c r="R30">
        <f>IFERROR(IF(INDEX(Instructions!$V$64:$V$83,MATCH(Draft!H30,Instructions!$S$64:$S$83,0))&lt;='Draft Slayer Classic'!$E$25,1,0),0)</f>
        <v>0</v>
      </c>
      <c r="S30" s="197"/>
      <c r="T30" s="549" t="str">
        <f>INDEX('Draft Slayer Classic'!$T:$T,MATCH(SMALL('Draft Slayer Classic'!$AB:$AB,$G30),'Draft Slayer Classic'!$AB:$AB,0))</f>
        <v>Alvin Kamara</v>
      </c>
      <c r="U30" s="550" t="str">
        <f>INDEX(FFARawStatProjections!$B:$B,MATCH(T30,FFARawStatProjections!$A:$A,0))</f>
        <v>NO</v>
      </c>
      <c r="V30" s="551" t="str">
        <f>INDEX(FFARawStatProjections!$D:$D,MATCH(T30,FFARawStatProjections!$A:$A,0))&amp;IF(W30&gt;0," ("&amp;W30&amp;")","")</f>
        <v>11</v>
      </c>
      <c r="W30">
        <f>IFERROR(INDEX($BQ$8:$BQ$21,MATCH(INDEX(FFARawStatProjections!$D:$D,MATCH(T30,FFARawStatProjections!$A:$A,0)),$BP$8:$BP$21,0)),0)</f>
        <v>0</v>
      </c>
      <c r="X30" s="552">
        <f>INDEX(RBproj!M:M,MATCH(Draft!T30,RBproj!D:D,0))</f>
        <v>0.89999999999999947</v>
      </c>
      <c r="Y30">
        <f>INDEX(ADP!$G:$G,MATCH(T30,ADP!$D:$D,0))</f>
        <v>65.800710999999993</v>
      </c>
      <c r="Z30">
        <f>IF(AND(Y30&gt;=$R$5,Y30&lt;$R$4),1,
IF(AND(Y30&gt;=$R$4,Y30&lt;$R$3),2,
IF(Y30&gt;=$R$3,3,
IF(AND(COUNTIF(Z$6:Z29,1)=0,COUNTIF(Y$6:Y29,"&lt;="&amp;$R$5)=(COUNTIF(Y$6:Y$20,"&lt;="&amp;$R$5)-1)),1,0))))</f>
        <v>3</v>
      </c>
      <c r="AA30" s="552">
        <f>(IFERROR(AB30-INDEX(AB:AB,MATCH(1,Z:Z,0)),0)+
IFERROR(AB30-INDEX(AB:AB,MATCH(2,Z:Z,0)),0)*0.5+
IFERROR(AB30-INDEX(AB:AB,MATCH(3,Z:Z,0)),0)*0.25
)/16*IF(ISBLANK(Beersheet!$A$1),1,16)</f>
        <v>-10.270287968750001</v>
      </c>
      <c r="AB30">
        <f>IF(Beersheet!$A$2="QB",
INDEX(Beersheet!$A:$U,MATCH(Draft!T30,Beersheet!$C:$C,0),FFARawStatProjections!$BQ$1),
INDEX('Draft Slayer Classic'!$V:$V,MATCH(T30,'Draft Slayer Classic'!$T:$T,0)))</f>
        <v>180.92143000000002</v>
      </c>
      <c r="AC30" s="553">
        <f>INDEX('Draft Slayer Classic'!$W:$W,MATCH(T30,'Draft Slayer Classic'!$T:$T,0))</f>
        <v>7</v>
      </c>
      <c r="AD30">
        <f>IFERROR(IF(INDEX(Instructions!$X$64:$X$83,MATCH(Draft!T30,Instructions!$T$64:$T$83,0))&lt;='Draft Slayer Classic'!$E$25,1,0),0)</f>
        <v>0</v>
      </c>
      <c r="AE30" s="197"/>
      <c r="AF30" s="549" t="str">
        <f>INDEX('Draft Slayer Classic'!$AE:$AE,MATCH(SMALL('Draft Slayer Classic'!$AM:$AM,$G30),'Draft Slayer Classic'!$AM:$AM,0))</f>
        <v>Marquise Brown</v>
      </c>
      <c r="AG30" s="550" t="str">
        <f>INDEX(FFARawStatProjections!$B:$B,MATCH(AF30,FFARawStatProjections!$A:$A,0))</f>
        <v>AZ</v>
      </c>
      <c r="AH30" s="551" t="str">
        <f>INDEX(FFARawStatProjections!$D:$D,MATCH(AF30,FFARawStatProjections!$A:$A,0))&amp;IF(AI30&gt;0," ("&amp;AI30&amp;")","")</f>
        <v>14</v>
      </c>
      <c r="AI30">
        <f>IFERROR(INDEX($BQ$8:$BQ$21,MATCH(INDEX(FFARawStatProjections!$D:$D,MATCH(AF30,FFARawStatProjections!$A:$A,0)),$BP$8:$BP$21,0)),0)</f>
        <v>0</v>
      </c>
      <c r="AJ30" s="552">
        <f>INDEX(WRproj!M:M,MATCH(Draft!AF30,WRproj!D:D,0))</f>
        <v>1.0999999999999996</v>
      </c>
      <c r="AK30">
        <f>INDEX(ADP!$G:$G,MATCH(AF30,ADP!$D:$D,0))</f>
        <v>72.700249999999997</v>
      </c>
      <c r="AL30">
        <f>IF(AND(AK30&gt;=$R$5,AK30&lt;$R$4),1,
IF(AND(AK30&gt;=$R$4,AK30&lt;$R$3),2,
IF(AK30&gt;=$R$3,3,
IF(AND(COUNTIF(AL$6:AL29,1)=0,COUNTIF(AK$6:AK29,"&lt;="&amp;$R$5)=(COUNTIF(AK$6:AK$20,"&lt;="&amp;$R$5)-1)),1,0))))</f>
        <v>3</v>
      </c>
      <c r="AM30" s="552">
        <f>(IFERROR(AN30-INDEX(AN:AN,MATCH(1,AL:AL,0)),0)+
IFERROR(AN30-INDEX(AN:AN,MATCH(2,AL:AL,0)),0)*0.5+
IFERROR(AN30-INDEX(AN:AN,MATCH(3,AL:AL,0)),0)*0.25
)/16*IF(ISBLANK(Beersheet!$A$1),1,16)</f>
        <v>-7.8320062500000027</v>
      </c>
      <c r="AN30">
        <f>IF(Beersheet!$A$2="QB",
INDEX(Beersheet!$A:$U,MATCH(Draft!AF30,Beersheet!$C:$C,0),FFARawStatProjections!$BQ$1),
INDEX('Draft Slayer Classic'!$AG:$AG,MATCH(AF30,'Draft Slayer Classic'!$AE:$AE,0)))</f>
        <v>197.12344999999999</v>
      </c>
      <c r="AO30" s="553">
        <f>INDEX('Draft Slayer Classic'!$AH:$AH,MATCH(AF30,'Draft Slayer Classic'!$AE:$AE,0))</f>
        <v>7</v>
      </c>
      <c r="AP30">
        <f>IFERROR(IF(INDEX(Instructions!$V$86:$V$105,MATCH(Draft!AF30,Instructions!$S$86:$S$105,0))&lt;='Draft Slayer Classic'!$E$25,1,0),0)</f>
        <v>0</v>
      </c>
      <c r="AQ30" s="197"/>
      <c r="AR30" s="549" t="str">
        <f>INDEX('Draft Slayer Classic'!$AP:$AP,MATCH(SMALL('Draft Slayer Classic'!$AX:$AX,$G30),'Draft Slayer Classic'!$AX:$AX,0))</f>
        <v>Tyler Conklin</v>
      </c>
      <c r="AS30" s="550" t="str">
        <f>INDEX(FFARawStatProjections!$B:$B,MATCH(AR30,FFARawStatProjections!$A:$A,0))</f>
        <v>NYJ</v>
      </c>
      <c r="AT30" s="551" t="str">
        <f>INDEX(FFARawStatProjections!$D:$D,MATCH(AR30,FFARawStatProjections!$A:$A,0))&amp;IF(AU30&gt;0," ("&amp;AU30&amp;")","")</f>
        <v>7</v>
      </c>
      <c r="AU30">
        <f>IFERROR(INDEX($BQ$8:$BQ$21,MATCH(INDEX(FFARawStatProjections!$D:$D,MATCH(AR30,FFARawStatProjections!$A:$A,0)),$BP$8:$BP$21,0)),0)</f>
        <v>0</v>
      </c>
      <c r="AV30" s="552">
        <f>INDEX(TEproj!M:M,MATCH(Draft!AR30,TEproj!D:D,0))</f>
        <v>0</v>
      </c>
      <c r="AW30" t="e">
        <f>INDEX(ADP!$G:$G,MATCH(AR30,ADP!$D:$D,0))</f>
        <v>#N/A</v>
      </c>
      <c r="AX30" t="e">
        <f>IF(AND(AW30&gt;=$R$5,AW30&lt;$R$4),1,
IF(AND(AW30&gt;=$R$4,AW30&lt;$R$3),2,
IF(AW30&gt;=$R$3,3,
IF(AND(COUNTIF(AX$6:AX29,1)=0,COUNTIF(AW$6:AW29,"&lt;="&amp;$R$5)=(COUNTIF(AW$6:AW$20,"&lt;="&amp;$R$5)-1)),1,0))))</f>
        <v>#N/A</v>
      </c>
      <c r="AY30" s="552">
        <f>(IFERROR(AZ30-INDEX(AZ:AZ,MATCH(1,AX:AX,0)),0)+
IFERROR(AZ30-INDEX(AZ:AZ,MATCH(2,AX:AX,0)),0)*0.5+
IFERROR(AZ30-INDEX(AZ:AZ,MATCH(3,AX:AX,0)),0)*0.25
)/16*IF(ISBLANK(Beersheet!$A$1),1,16)</f>
        <v>-13.162478437499999</v>
      </c>
      <c r="AZ30">
        <f>IF(Beersheet!$A$2="QB",
INDEX(Beersheet!$A:$U,MATCH(Draft!AR30,Beersheet!$C:$C,0),FFARawStatProjections!$BQ$1),
INDEX('Draft Slayer Classic'!$AR:$AR,MATCH(AR30,'Draft Slayer Classic'!$AP:$AP,0)))</f>
        <v>102.05637000000002</v>
      </c>
      <c r="BA30" s="553">
        <f>INDEX('Draft Slayer Classic'!$AS:$AS,MATCH(AR30,'Draft Slayer Classic'!$AP:$AP,0))</f>
        <v>8</v>
      </c>
      <c r="BB30">
        <f>IFERROR(IF(INDEX(Instructions!$X$86:$X$105,MATCH(Draft!AR30,Instructions!$T$86:$T$105,0))&lt;='Draft Slayer Classic'!$E$25,1,0),0)</f>
        <v>0</v>
      </c>
      <c r="BC30" s="197"/>
      <c r="BD30" s="549" t="str">
        <f>INDEX('Draft Slayer Classic'!$BA:$BA,MATCH(SMALL('Draft Slayer Classic'!$BD:$BD,$G30),'Draft Slayer Classic'!$BD:$BD,0))</f>
        <v>CIN</v>
      </c>
      <c r="BE30" s="553" t="str">
        <f>INDEX(FFARawStatProjections!$D:$D,MATCH(BD30,FFARawStatProjections!$B:$B,0))&amp;IF(BF30&gt;0," ("&amp;BF30&amp;")","")</f>
        <v>7</v>
      </c>
      <c r="BF30">
        <f>IFERROR(INDEX($BQ$8:$BQ$21,MATCH(INDEX(FFARawStatProjections!$D:$D,MATCH(BC30,FFARawStatProjections!$A:$A,0)),$BP$8:$BP$21,0)),0)</f>
        <v>0</v>
      </c>
      <c r="BG30" s="464">
        <f>INDEX(FFARawStatProjections!$E:$E,MATCH(BD30,FFARawStatProjections!$B:$B,0))*0.1</f>
        <v>0</v>
      </c>
      <c r="BI30" s="197"/>
      <c r="BJ30" s="549" t="str">
        <f>INDEX('Draft Slayer Classic'!$BF:$BF,MATCH(SMALL('Draft Slayer Classic'!$BJ:$BJ,$G30),'Draft Slayer Classic'!$BJ:$BJ,0))</f>
        <v>Brett Maher</v>
      </c>
      <c r="BK30" s="550" t="str">
        <f>INDEX(FFARawStatProjections!$B:$B,MATCH(BJ30,FFARawStatProjections!$A:$A,0))</f>
        <v>DEN</v>
      </c>
      <c r="BL30" s="553" t="str">
        <f>INDEX(FFARawStatProjections!$D:$D,MATCH(BJ30,FFARawStatProjections!$A:$A,0))&amp;IF(BM30&gt;0," ("&amp;BM30&amp;")","")</f>
        <v>9</v>
      </c>
      <c r="BM30">
        <f>IFERROR(INDEX($BQ$8:$BQ$21,MATCH(INDEX(FFARawStatProjections!$D:$D,MATCH(BJ30,FFARawStatProjections!$A:$A,0)),$BP$8:$BP$21,0)),0)</f>
        <v>0</v>
      </c>
      <c r="BN30" s="466">
        <f>INDEX(FFARawStatProjections!$E:$E,MATCH(Draft!BJ30,FFARawStatProjections!$A:$A,0))*0.1</f>
        <v>0</v>
      </c>
      <c r="BO30" s="197"/>
      <c r="BQ30" s="465" t="str">
        <f>IFERROR(INDEX(FFARawStatProjections!$D:$D,MATCH('Draft Slayer Classic'!E51,FFARawStatProjections!$B:$B,0)),"")</f>
        <v/>
      </c>
      <c r="BT30" t="str">
        <f>IF(FFARawStatProjections!A25=0,"",FFARawStatProjections!A25)</f>
        <v>Bryce Young</v>
      </c>
      <c r="BU30" t="str">
        <f>IF(FFARawStatProjections!C25=0,"",FFARawStatProjections!C25)</f>
        <v>QB</v>
      </c>
      <c r="BV30" t="str">
        <f>IF(FFARawStatProjections!B25=0,"",FFARawStatProjections!B25)</f>
        <v>CAR</v>
      </c>
      <c r="BX30">
        <v>24</v>
      </c>
      <c r="BY30" s="89" t="str">
        <f t="shared" si="3"/>
        <v/>
      </c>
      <c r="BZ30" s="89" t="str">
        <f t="shared" si="4"/>
        <v/>
      </c>
      <c r="CA30" s="89" t="str">
        <f t="shared" si="5"/>
        <v/>
      </c>
    </row>
    <row r="31" spans="1:82" ht="33.75" hidden="1" customHeight="1" x14ac:dyDescent="0.25">
      <c r="A31" s="469" t="str">
        <f t="shared" si="6"/>
        <v/>
      </c>
      <c r="B31" s="472"/>
      <c r="C31" s="478" t="str">
        <f t="shared" si="9"/>
        <v/>
      </c>
      <c r="D31" s="190" t="str">
        <f t="shared" si="10"/>
        <v/>
      </c>
      <c r="E31" s="190">
        <f>IFERROR(INDEX(Instructions!$U$111:$U$222,MATCH(Draft!A31,Instructions!$U$111:$U$222,0)),0)</f>
        <v>0</v>
      </c>
      <c r="F31" s="197"/>
      <c r="G31">
        <v>26</v>
      </c>
      <c r="H31" s="554" t="str">
        <f>INDEX('Draft Slayer Classic'!$I:$I,MATCH(SMALL('Draft Slayer Classic'!$Q:$Q,$G31),'Draft Slayer Classic'!$Q:$Q,0))</f>
        <v>CJ Stroud</v>
      </c>
      <c r="I31" s="555" t="str">
        <f>INDEX(FFARawStatProjections!$B:$B,MATCH(H31,FFARawStatProjections!$A:$A,0))</f>
        <v>HOU</v>
      </c>
      <c r="J31" s="556" t="str">
        <f>INDEX(FFARawStatProjections!$D:$D,MATCH(H31,FFARawStatProjections!$A:$A,0))&amp;IF(K31&gt;0," ("&amp;K31&amp;")","")</f>
        <v>7</v>
      </c>
      <c r="K31">
        <f>IFERROR(INDEX($BQ$8:$BQ$21,MATCH(INDEX(FFARawStatProjections!$D:$D,MATCH(H31,FFARawStatProjections!$A:$A,0)),$BP$8:$BP$21,0)),0)</f>
        <v>0</v>
      </c>
      <c r="L31" s="466">
        <f>INDEX(QBproj!M:M,MATCH(Draft!H31,QBproj!D:D,0))</f>
        <v>0</v>
      </c>
      <c r="M31" t="e">
        <f>INDEX(ADP!$G:$G,MATCH(H31,ADP!$D:$D,0))</f>
        <v>#N/A</v>
      </c>
      <c r="N31" t="e">
        <f>IF(AND(M31&gt;=$R$5,M31&lt;$R$4),1,
IF(AND(M31&gt;=$R$4,M31&lt;$R$3),2,
IF(M31&gt;=$R$3,3,
IF(AND(COUNTIF(N$6:N30,1)=0,COUNTIF(M$6:M30,"&lt;="&amp;$R$5)=(COUNTIF(M$6:M$20,"&lt;="&amp;$R$5)-1)),1,0))))</f>
        <v>#N/A</v>
      </c>
      <c r="O31" s="466">
        <f>(IFERROR(P31-INDEX(P:P,MATCH(1,N:N,0)),0)+
IFERROR(P31-INDEX(P:P,MATCH(2,N:N,0)),0)*0.5+
IFERROR(P31-INDEX(P:P,MATCH(3,N:N,0)),0)*0.25
)/16*IF(ISBLANK(Beersheet!$A$1),1,16)</f>
        <v>-15.931879531250001</v>
      </c>
      <c r="P31">
        <f>IF(Beersheet!$A$2="QB",
INDEX(Beersheet!$A:$U,MATCH(Draft!H31,Beersheet!$C:$C,0),FFARawStatProjections!$BQ$1),
INDEX('Draft Slayer Classic'!$K:$K,MATCH(H31,'Draft Slayer Classic'!$I:$I,0)))</f>
        <v>225.68826999999999</v>
      </c>
      <c r="Q31" s="557">
        <f>INDEX('Draft Slayer Classic'!$L:$L,MATCH(H31,'Draft Slayer Classic'!$I:$I,0))</f>
        <v>8</v>
      </c>
      <c r="R31">
        <f>IFERROR(IF(INDEX(Instructions!$V$64:$V$83,MATCH(Draft!H31,Instructions!$S$64:$S$83,0))&lt;='Draft Slayer Classic'!$E$25,1,0),0)</f>
        <v>0</v>
      </c>
      <c r="S31" s="197"/>
      <c r="T31" s="554" t="str">
        <f>INDEX('Draft Slayer Classic'!$T:$T,MATCH(SMALL('Draft Slayer Classic'!$AB:$AB,$G31),'Draft Slayer Classic'!$AB:$AB,0))</f>
        <v>James Cook</v>
      </c>
      <c r="U31" s="555" t="str">
        <f>INDEX(FFARawStatProjections!$B:$B,MATCH(T31,FFARawStatProjections!$A:$A,0))</f>
        <v>BUF</v>
      </c>
      <c r="V31" s="556" t="str">
        <f>INDEX(FFARawStatProjections!$D:$D,MATCH(T31,FFARawStatProjections!$A:$A,0))&amp;IF(W31&gt;0," ("&amp;W31&amp;")","")</f>
        <v>13</v>
      </c>
      <c r="W31">
        <f>IFERROR(INDEX($BQ$8:$BQ$21,MATCH(INDEX(FFARawStatProjections!$D:$D,MATCH(T31,FFARawStatProjections!$A:$A,0)),$BP$8:$BP$21,0)),0)</f>
        <v>0</v>
      </c>
      <c r="X31" s="464">
        <f>INDEX(RBproj!M:M,MATCH(Draft!T31,RBproj!D:D,0))</f>
        <v>0</v>
      </c>
      <c r="Y31">
        <f>INDEX(ADP!$G:$G,MATCH(T31,ADP!$D:$D,0))</f>
        <v>71.500399999999999</v>
      </c>
      <c r="Z31">
        <f>IF(AND(Y31&gt;=$R$5,Y31&lt;$R$4),1,
IF(AND(Y31&gt;=$R$4,Y31&lt;$R$3),2,
IF(Y31&gt;=$R$3,3,
IF(AND(COUNTIF(Z$6:Z30,1)=0,COUNTIF(Y$6:Y30,"&lt;="&amp;$R$5)=(COUNTIF(Y$6:Y$20,"&lt;="&amp;$R$5)-1)),1,0))))</f>
        <v>3</v>
      </c>
      <c r="AA31" s="466">
        <f>(IFERROR(AB31-INDEX(AB:AB,MATCH(1,Z:Z,0)),0)+
IFERROR(AB31-INDEX(AB:AB,MATCH(2,Z:Z,0)),0)*0.5+
IFERROR(AB31-INDEX(AB:AB,MATCH(3,Z:Z,0)),0)*0.25
)/16*IF(ISBLANK(Beersheet!$A$1),1,16)</f>
        <v>-10.337012187500001</v>
      </c>
      <c r="AB31">
        <f>IF(Beersheet!$A$2="QB",
INDEX(Beersheet!$A:$U,MATCH(Draft!T31,Beersheet!$C:$C,0),FFARawStatProjections!$BQ$1),
INDEX('Draft Slayer Classic'!$V:$V,MATCH(T31,'Draft Slayer Classic'!$T:$T,0)))</f>
        <v>180.31138000000001</v>
      </c>
      <c r="AC31" s="557">
        <f>INDEX('Draft Slayer Classic'!$W:$W,MATCH(T31,'Draft Slayer Classic'!$T:$T,0))</f>
        <v>7</v>
      </c>
      <c r="AD31">
        <f>IFERROR(IF(INDEX(Instructions!$X$64:$X$83,MATCH(Draft!T31,Instructions!$T$64:$T$83,0))&lt;='Draft Slayer Classic'!$E$25,1,0),0)</f>
        <v>0</v>
      </c>
      <c r="AE31" s="197"/>
      <c r="AF31" s="554" t="str">
        <f>INDEX('Draft Slayer Classic'!$AE:$AE,MATCH(SMALL('Draft Slayer Classic'!$AM:$AM,$G31),'Draft Slayer Classic'!$AM:$AM,0))</f>
        <v>Brandon Aiyuk</v>
      </c>
      <c r="AG31" s="555" t="str">
        <f>INDEX(FFARawStatProjections!$B:$B,MATCH(AF31,FFARawStatProjections!$A:$A,0))</f>
        <v>SF</v>
      </c>
      <c r="AH31" s="556" t="str">
        <f>INDEX(FFARawStatProjections!$D:$D,MATCH(AF31,FFARawStatProjections!$A:$A,0))&amp;IF(AI31&gt;0," ("&amp;AI31&amp;")","")</f>
        <v>9</v>
      </c>
      <c r="AI31">
        <f>IFERROR(INDEX($BQ$8:$BQ$21,MATCH(INDEX(FFARawStatProjections!$D:$D,MATCH(AF31,FFARawStatProjections!$A:$A,0)),$BP$8:$BP$21,0)),0)</f>
        <v>0</v>
      </c>
      <c r="AJ31" s="466">
        <f>INDEX(WRproj!M:M,MATCH(Draft!AF31,WRproj!D:D,0))</f>
        <v>0</v>
      </c>
      <c r="AK31">
        <f>INDEX(ADP!$G:$G,MATCH(AF31,ADP!$D:$D,0))</f>
        <v>58.500673999999997</v>
      </c>
      <c r="AL31">
        <f>IF(AND(AK31&gt;=$R$5,AK31&lt;$R$4),1,
IF(AND(AK31&gt;=$R$4,AK31&lt;$R$3),2,
IF(AK31&gt;=$R$3,3,
IF(AND(COUNTIF(AL$6:AL30,1)=0,COUNTIF(AK$6:AK30,"&lt;="&amp;$R$5)=(COUNTIF(AK$6:AK$20,"&lt;="&amp;$R$5)-1)),1,0))))</f>
        <v>3</v>
      </c>
      <c r="AM31" s="466">
        <f>(IFERROR(AN31-INDEX(AN:AN,MATCH(1,AL:AL,0)),0)+
IFERROR(AN31-INDEX(AN:AN,MATCH(2,AL:AL,0)),0)*0.5+
IFERROR(AN31-INDEX(AN:AN,MATCH(3,AL:AL,0)),0)*0.25
)/16*IF(ISBLANK(Beersheet!$A$1),1,16)</f>
        <v>-8.6895095312500032</v>
      </c>
      <c r="AN31">
        <f>IF(Beersheet!$A$2="QB",
INDEX(Beersheet!$A:$U,MATCH(Draft!AF31,Beersheet!$C:$C,0),FFARawStatProjections!$BQ$1),
INDEX('Draft Slayer Classic'!$AG:$AG,MATCH(AF31,'Draft Slayer Classic'!$AE:$AE,0)))</f>
        <v>189.28342000000001</v>
      </c>
      <c r="AO31" s="557">
        <f>INDEX('Draft Slayer Classic'!$AH:$AH,MATCH(AF31,'Draft Slayer Classic'!$AE:$AE,0))</f>
        <v>8</v>
      </c>
      <c r="AP31">
        <f>IFERROR(IF(INDEX(Instructions!$V$86:$V$105,MATCH(Draft!AF31,Instructions!$S$86:$S$105,0))&lt;='Draft Slayer Classic'!$E$25,1,0),0)</f>
        <v>0</v>
      </c>
      <c r="AQ31" s="197"/>
      <c r="AR31" s="554" t="str">
        <f>INDEX('Draft Slayer Classic'!$AP:$AP,MATCH(SMALL('Draft Slayer Classic'!$AX:$AX,$G31),'Draft Slayer Classic'!$AX:$AX,0))</f>
        <v>Dawson Knox</v>
      </c>
      <c r="AS31" s="555" t="str">
        <f>INDEX(FFARawStatProjections!$B:$B,MATCH(AR31,FFARawStatProjections!$A:$A,0))</f>
        <v>BUF</v>
      </c>
      <c r="AT31" s="556" t="str">
        <f>INDEX(FFARawStatProjections!$D:$D,MATCH(AR31,FFARawStatProjections!$A:$A,0))&amp;IF(AU31&gt;0," ("&amp;AU31&amp;")","")</f>
        <v>13</v>
      </c>
      <c r="AU31">
        <f>IFERROR(INDEX($BQ$8:$BQ$21,MATCH(INDEX(FFARawStatProjections!$D:$D,MATCH(AR31,FFARawStatProjections!$A:$A,0)),$BP$8:$BP$21,0)),0)</f>
        <v>0</v>
      </c>
      <c r="AV31" s="464">
        <f>INDEX(TEproj!M:M,MATCH(Draft!AR31,TEproj!D:D,0))</f>
        <v>20.100000000000001</v>
      </c>
      <c r="AW31">
        <f>INDEX(ADP!$G:$G,MATCH(AR31,ADP!$D:$D,0))</f>
        <v>128.90054700000002</v>
      </c>
      <c r="AX31">
        <f>IF(AND(AW31&gt;=$R$5,AW31&lt;$R$4),1,
IF(AND(AW31&gt;=$R$4,AW31&lt;$R$3),2,
IF(AW31&gt;=$R$3,3,
IF(AND(COUNTIF(AX$6:AX30,1)=0,COUNTIF(AW$6:AW30,"&lt;="&amp;$R$5)=(COUNTIF(AW$6:AW$20,"&lt;="&amp;$R$5)-1)),1,0))))</f>
        <v>3</v>
      </c>
      <c r="AY31" s="466">
        <f>(IFERROR(AZ31-INDEX(AZ:AZ,MATCH(1,AX:AX,0)),0)+
IFERROR(AZ31-INDEX(AZ:AZ,MATCH(2,AX:AX,0)),0)*0.5+
IFERROR(AZ31-INDEX(AZ:AZ,MATCH(3,AX:AX,0)),0)*0.25
)/16*IF(ISBLANK(Beersheet!$A$1),1,16)</f>
        <v>-13.545295624999998</v>
      </c>
      <c r="AZ31">
        <f>IF(Beersheet!$A$2="QB",
INDEX(Beersheet!$A:$U,MATCH(Draft!AR31,Beersheet!$C:$C,0),FFARawStatProjections!$BQ$1),
INDEX('Draft Slayer Classic'!$AR:$AR,MATCH(AR31,'Draft Slayer Classic'!$AP:$AP,0)))</f>
        <v>97.156310000000005</v>
      </c>
      <c r="BA31" s="557">
        <f>INDEX('Draft Slayer Classic'!$AS:$AS,MATCH(AR31,'Draft Slayer Classic'!$AP:$AP,0))</f>
        <v>8</v>
      </c>
      <c r="BB31">
        <f>IFERROR(IF(INDEX(Instructions!$X$86:$X$105,MATCH(Draft!AR31,Instructions!$T$86:$T$105,0))&lt;='Draft Slayer Classic'!$E$25,1,0),0)</f>
        <v>0</v>
      </c>
      <c r="BC31" s="197"/>
      <c r="BD31" s="554" t="str">
        <f>INDEX('Draft Slayer Classic'!$BA:$BA,MATCH(SMALL('Draft Slayer Classic'!$BD:$BD,$G31),'Draft Slayer Classic'!$BD:$BD,0))</f>
        <v>TEN</v>
      </c>
      <c r="BE31" s="557" t="str">
        <f>INDEX(FFARawStatProjections!$D:$D,MATCH(BD31,FFARawStatProjections!$B:$B,0))&amp;IF(BF31&gt;0," ("&amp;BF31&amp;")","")</f>
        <v>7</v>
      </c>
      <c r="BF31">
        <f>IFERROR(INDEX($BQ$8:$BQ$21,MATCH(INDEX(FFARawStatProjections!$D:$D,MATCH(BC31,FFARawStatProjections!$A:$A,0)),$BP$8:$BP$21,0)),0)</f>
        <v>0</v>
      </c>
      <c r="BG31" s="464">
        <f>INDEX(FFARawStatProjections!$E:$E,MATCH(BD31,FFARawStatProjections!$B:$B,0))*0.1</f>
        <v>0</v>
      </c>
      <c r="BI31" s="197"/>
      <c r="BJ31" s="554" t="str">
        <f>INDEX('Draft Slayer Classic'!$BF:$BF,MATCH(SMALL('Draft Slayer Classic'!$BJ:$BJ,$G31),'Draft Slayer Classic'!$BJ:$BJ,0))</f>
        <v>Dustin Hopkins</v>
      </c>
      <c r="BK31" s="555" t="str">
        <f>INDEX(FFARawStatProjections!$B:$B,MATCH(BJ31,FFARawStatProjections!$A:$A,0))</f>
        <v>LAC</v>
      </c>
      <c r="BL31" s="557" t="str">
        <f>INDEX(FFARawStatProjections!$D:$D,MATCH(BJ31,FFARawStatProjections!$A:$A,0))&amp;IF(BM31&gt;0," ("&amp;BM31&amp;")","")</f>
        <v>5</v>
      </c>
      <c r="BM31">
        <f>IFERROR(INDEX($BQ$8:$BQ$21,MATCH(INDEX(FFARawStatProjections!$D:$D,MATCH(BJ31,FFARawStatProjections!$A:$A,0)),$BP$8:$BP$21,0)),0)</f>
        <v>0</v>
      </c>
      <c r="BN31" s="466">
        <f>INDEX(FFARawStatProjections!$E:$E,MATCH(Draft!BJ31,FFARawStatProjections!$A:$A,0))*0.1</f>
        <v>0</v>
      </c>
      <c r="BO31" s="197"/>
      <c r="BQ31" s="465" t="str">
        <f>IFERROR(INDEX(FFARawStatProjections!$D:$D,MATCH('Draft Slayer Classic'!E52,FFARawStatProjections!$B:$B,0)),"")</f>
        <v/>
      </c>
      <c r="BT31" t="str">
        <f>IF(FFARawStatProjections!A26=0,"",FFARawStatProjections!A26)</f>
        <v>Jimmy Garoppolo</v>
      </c>
      <c r="BU31" t="str">
        <f>IF(FFARawStatProjections!C26=0,"",FFARawStatProjections!C26)</f>
        <v>QB</v>
      </c>
      <c r="BV31" t="str">
        <f>IF(FFARawStatProjections!B26=0,"",FFARawStatProjections!B26)</f>
        <v>LV</v>
      </c>
      <c r="BX31">
        <v>25</v>
      </c>
      <c r="BY31" s="89" t="str">
        <f t="shared" si="3"/>
        <v/>
      </c>
      <c r="BZ31" s="89" t="str">
        <f t="shared" si="4"/>
        <v/>
      </c>
      <c r="CA31" s="89" t="str">
        <f t="shared" si="5"/>
        <v/>
      </c>
    </row>
    <row r="32" spans="1:82" ht="33.75" hidden="1" customHeight="1" x14ac:dyDescent="0.25">
      <c r="A32" s="473" t="str">
        <f t="shared" si="6"/>
        <v/>
      </c>
      <c r="B32" s="474"/>
      <c r="C32" s="479" t="str">
        <f t="shared" si="9"/>
        <v/>
      </c>
      <c r="D32" s="190" t="str">
        <f t="shared" si="10"/>
        <v/>
      </c>
      <c r="E32" s="190">
        <f>IFERROR(INDEX(Instructions!$U$111:$U$222,MATCH(Draft!A32,Instructions!$U$111:$U$222,0)),0)</f>
        <v>0</v>
      </c>
      <c r="F32" s="197"/>
      <c r="G32">
        <v>27</v>
      </c>
      <c r="H32" s="549" t="str">
        <f>INDEX('Draft Slayer Classic'!$I:$I,MATCH(SMALL('Draft Slayer Classic'!$Q:$Q,$G32),'Draft Slayer Classic'!$Q:$Q,0))</f>
        <v>Mac Jones</v>
      </c>
      <c r="I32" s="550" t="str">
        <f>INDEX(FFARawStatProjections!$B:$B,MATCH(H32,FFARawStatProjections!$A:$A,0))</f>
        <v>NE</v>
      </c>
      <c r="J32" s="551" t="str">
        <f>INDEX(FFARawStatProjections!$D:$D,MATCH(H32,FFARawStatProjections!$A:$A,0))&amp;IF(K32&gt;0," ("&amp;K32&amp;")","")</f>
        <v>11</v>
      </c>
      <c r="K32">
        <f>IFERROR(INDEX($BQ$8:$BQ$21,MATCH(INDEX(FFARawStatProjections!$D:$D,MATCH(H32,FFARawStatProjections!$A:$A,0)),$BP$8:$BP$21,0)),0)</f>
        <v>0</v>
      </c>
      <c r="L32" s="552">
        <f>INDEX(QBproj!M:M,MATCH(Draft!H32,QBproj!D:D,0))</f>
        <v>0</v>
      </c>
      <c r="M32" t="e">
        <f>INDEX(ADP!$G:$G,MATCH(H32,ADP!$D:$D,0))</f>
        <v>#N/A</v>
      </c>
      <c r="N32" t="e">
        <f>IF(AND(M32&gt;=$R$5,M32&lt;$R$4),1,
IF(AND(M32&gt;=$R$4,M32&lt;$R$3),2,
IF(M32&gt;=$R$3,3,
IF(AND(COUNTIF(N$6:N31,1)=0,COUNTIF(M$6:M31,"&lt;="&amp;$R$5)=(COUNTIF(M$6:M$20,"&lt;="&amp;$R$5)-1)),1,0))))</f>
        <v>#N/A</v>
      </c>
      <c r="O32" s="552">
        <f>(IFERROR(P32-INDEX(P:P,MATCH(1,N:N,0)),0)+
IFERROR(P32-INDEX(P:P,MATCH(2,N:N,0)),0)*0.5+
IFERROR(P32-INDEX(P:P,MATCH(3,N:N,0)),0)*0.25
)/16*IF(ISBLANK(Beersheet!$A$1),1,16)</f>
        <v>-16.324097187500001</v>
      </c>
      <c r="P32">
        <f>IF(Beersheet!$A$2="QB",
INDEX(Beersheet!$A:$U,MATCH(Draft!H32,Beersheet!$C:$C,0),FFARawStatProjections!$BQ$1),
INDEX('Draft Slayer Classic'!$K:$K,MATCH(H32,'Draft Slayer Classic'!$I:$I,0)))</f>
        <v>222.10227999999998</v>
      </c>
      <c r="Q32" s="553">
        <f>INDEX('Draft Slayer Classic'!$L:$L,MATCH(H32,'Draft Slayer Classic'!$I:$I,0))</f>
        <v>8</v>
      </c>
      <c r="R32">
        <f>IFERROR(IF(INDEX(Instructions!$V$64:$V$83,MATCH(Draft!H32,Instructions!$S$64:$S$83,0))&lt;='Draft Slayer Classic'!$E$25,1,0),0)</f>
        <v>0</v>
      </c>
      <c r="S32" s="197"/>
      <c r="T32" s="549" t="str">
        <f>INDEX('Draft Slayer Classic'!$T:$T,MATCH(SMALL('Draft Slayer Classic'!$AB:$AB,$G32),'Draft Slayer Classic'!$AB:$AB,0))</f>
        <v>DAndre Swift</v>
      </c>
      <c r="U32" s="550" t="str">
        <f>INDEX(FFARawStatProjections!$B:$B,MATCH(T32,FFARawStatProjections!$A:$A,0))</f>
        <v>PHI</v>
      </c>
      <c r="V32" s="551" t="str">
        <f>INDEX(FFARawStatProjections!$D:$D,MATCH(T32,FFARawStatProjections!$A:$A,0))&amp;IF(W32&gt;0," ("&amp;W32&amp;")","")</f>
        <v>10</v>
      </c>
      <c r="W32">
        <f>IFERROR(INDEX($BQ$8:$BQ$21,MATCH(INDEX(FFARawStatProjections!$D:$D,MATCH(T32,FFARawStatProjections!$A:$A,0)),$BP$8:$BP$21,0)),0)</f>
        <v>0</v>
      </c>
      <c r="X32" s="552">
        <f>INDEX(RBproj!M:M,MATCH(Draft!T32,RBproj!D:D,0))</f>
        <v>0</v>
      </c>
      <c r="Y32">
        <f>INDEX(ADP!$G:$G,MATCH(T32,ADP!$D:$D,0))</f>
        <v>69.000572000000005</v>
      </c>
      <c r="Z32">
        <f>IF(AND(Y32&gt;=$R$5,Y32&lt;$R$4),1,
IF(AND(Y32&gt;=$R$4,Y32&lt;$R$3),2,
IF(Y32&gt;=$R$3,3,
IF(AND(COUNTIF(Z$6:Z31,1)=0,COUNTIF(Y$6:Y31,"&lt;="&amp;$R$5)=(COUNTIF(Y$6:Y$20,"&lt;="&amp;$R$5)-1)),1,0))))</f>
        <v>3</v>
      </c>
      <c r="AA32" s="552">
        <f>(IFERROR(AB32-INDEX(AB:AB,MATCH(1,Z:Z,0)),0)+
IFERROR(AB32-INDEX(AB:AB,MATCH(2,Z:Z,0)),0)*0.5+
IFERROR(AB32-INDEX(AB:AB,MATCH(3,Z:Z,0)),0)*0.25
)/16*IF(ISBLANK(Beersheet!$A$1),1,16)</f>
        <v>-11.680126250000004</v>
      </c>
      <c r="AB32">
        <f>IF(Beersheet!$A$2="QB",
INDEX(Beersheet!$A:$U,MATCH(Draft!T32,Beersheet!$C:$C,0),FFARawStatProjections!$BQ$1),
INDEX('Draft Slayer Classic'!$V:$V,MATCH(T32,'Draft Slayer Classic'!$T:$T,0)))</f>
        <v>168.03147999999999</v>
      </c>
      <c r="AC32" s="553">
        <f>INDEX('Draft Slayer Classic'!$W:$W,MATCH(T32,'Draft Slayer Classic'!$T:$T,0))</f>
        <v>8</v>
      </c>
      <c r="AD32">
        <f>IFERROR(IF(INDEX(Instructions!$X$64:$X$83,MATCH(Draft!T32,Instructions!$T$64:$T$83,0))&lt;='Draft Slayer Classic'!$E$25,1,0),0)</f>
        <v>0</v>
      </c>
      <c r="AE32" s="197"/>
      <c r="AF32" s="549" t="str">
        <f>INDEX('Draft Slayer Classic'!$AE:$AE,MATCH(SMALL('Draft Slayer Classic'!$AM:$AM,$G32),'Draft Slayer Classic'!$AM:$AM,0))</f>
        <v>Michael Pittman</v>
      </c>
      <c r="AG32" s="550" t="str">
        <f>INDEX(FFARawStatProjections!$B:$B,MATCH(AF32,FFARawStatProjections!$A:$A,0))</f>
        <v>IND</v>
      </c>
      <c r="AH32" s="551" t="str">
        <f>INDEX(FFARawStatProjections!$D:$D,MATCH(AF32,FFARawStatProjections!$A:$A,0))&amp;IF(AI32&gt;0," ("&amp;AI32&amp;")","")</f>
        <v>11</v>
      </c>
      <c r="AI32">
        <f>IFERROR(INDEX($BQ$8:$BQ$21,MATCH(INDEX(FFARawStatProjections!$D:$D,MATCH(AF32,FFARawStatProjections!$A:$A,0)),$BP$8:$BP$21,0)),0)</f>
        <v>0</v>
      </c>
      <c r="AJ32" s="552">
        <f>INDEX(WRproj!M:M,MATCH(Draft!AF32,WRproj!D:D,0))</f>
        <v>0</v>
      </c>
      <c r="AK32">
        <f>INDEX(ADP!$G:$G,MATCH(AF32,ADP!$D:$D,0))</f>
        <v>76.600225999999992</v>
      </c>
      <c r="AL32">
        <f>IF(AND(AK32&gt;=$R$5,AK32&lt;$R$4),1,
IF(AND(AK32&gt;=$R$4,AK32&lt;$R$3),2,
IF(AK32&gt;=$R$3,3,
IF(AND(COUNTIF(AL$6:AL31,1)=0,COUNTIF(AK$6:AK31,"&lt;="&amp;$R$5)=(COUNTIF(AK$6:AK$20,"&lt;="&amp;$R$5)-1)),1,0))))</f>
        <v>3</v>
      </c>
      <c r="AM32" s="552">
        <f>(IFERROR(AN32-INDEX(AN:AN,MATCH(1,AL:AL,0)),0)+
IFERROR(AN32-INDEX(AN:AN,MATCH(2,AL:AL,0)),0)*0.5+
IFERROR(AN32-INDEX(AN:AN,MATCH(3,AL:AL,0)),0)*0.25
)/16*IF(ISBLANK(Beersheet!$A$1),1,16)</f>
        <v>-8.7999662499999989</v>
      </c>
      <c r="AN32">
        <f>IF(Beersheet!$A$2="QB",
INDEX(Beersheet!$A:$U,MATCH(Draft!AF32,Beersheet!$C:$C,0),FFARawStatProjections!$BQ$1),
INDEX('Draft Slayer Classic'!$AG:$AG,MATCH(AF32,'Draft Slayer Classic'!$AE:$AE,0)))</f>
        <v>188.27353000000002</v>
      </c>
      <c r="AO32" s="553">
        <f>INDEX('Draft Slayer Classic'!$AH:$AH,MATCH(AF32,'Draft Slayer Classic'!$AE:$AE,0))</f>
        <v>8</v>
      </c>
      <c r="AP32">
        <f>IFERROR(IF(INDEX(Instructions!$V$86:$V$105,MATCH(Draft!AF32,Instructions!$S$86:$S$105,0))&lt;='Draft Slayer Classic'!$E$25,1,0),0)</f>
        <v>0</v>
      </c>
      <c r="AQ32" s="197"/>
      <c r="AR32" s="549" t="str">
        <f>INDEX('Draft Slayer Classic'!$AP:$AP,MATCH(SMALL('Draft Slayer Classic'!$AX:$AX,$G32),'Draft Slayer Classic'!$AX:$AX,0))</f>
        <v>Jelani Woods</v>
      </c>
      <c r="AS32" s="550" t="str">
        <f>INDEX(FFARawStatProjections!$B:$B,MATCH(AR32,FFARawStatProjections!$A:$A,0))</f>
        <v>IND</v>
      </c>
      <c r="AT32" s="551" t="str">
        <f>INDEX(FFARawStatProjections!$D:$D,MATCH(AR32,FFARawStatProjections!$A:$A,0))&amp;IF(AU32&gt;0," ("&amp;AU32&amp;")","")</f>
        <v>11</v>
      </c>
      <c r="AU32">
        <f>IFERROR(INDEX($BQ$8:$BQ$21,MATCH(INDEX(FFARawStatProjections!$D:$D,MATCH(AR32,FFARawStatProjections!$A:$A,0)),$BP$8:$BP$21,0)),0)</f>
        <v>0</v>
      </c>
      <c r="AV32" s="552">
        <f>INDEX(TEproj!M:M,MATCH(Draft!AR32,TEproj!D:D,0))</f>
        <v>0</v>
      </c>
      <c r="AW32" t="e">
        <f>INDEX(ADP!$G:$G,MATCH(AR32,ADP!$D:$D,0))</f>
        <v>#N/A</v>
      </c>
      <c r="AX32" t="e">
        <f>IF(AND(AW32&gt;=$R$5,AW32&lt;$R$4),1,
IF(AND(AW32&gt;=$R$4,AW32&lt;$R$3),2,
IF(AW32&gt;=$R$3,3,
IF(AND(COUNTIF(AX$6:AX31,1)=0,COUNTIF(AW$6:AW31,"&lt;="&amp;$R$5)=(COUNTIF(AW$6:AW$20,"&lt;="&amp;$R$5)-1)),1,0))))</f>
        <v>#N/A</v>
      </c>
      <c r="AY32" s="552">
        <f>(IFERROR(AZ32-INDEX(AZ:AZ,MATCH(1,AX:AX,0)),0)+
IFERROR(AZ32-INDEX(AZ:AZ,MATCH(2,AX:AX,0)),0)*0.5+
IFERROR(AZ32-INDEX(AZ:AZ,MATCH(3,AX:AX,0)),0)*0.25
)/16*IF(ISBLANK(Beersheet!$A$1),1,16)</f>
        <v>-13.578100312499997</v>
      </c>
      <c r="AZ32">
        <f>IF(Beersheet!$A$2="QB",
INDEX(Beersheet!$A:$U,MATCH(Draft!AR32,Beersheet!$C:$C,0),FFARawStatProjections!$BQ$1),
INDEX('Draft Slayer Classic'!$AR:$AR,MATCH(AR32,'Draft Slayer Classic'!$AP:$AP,0)))</f>
        <v>96.736410000000021</v>
      </c>
      <c r="BA32" s="553">
        <f>INDEX('Draft Slayer Classic'!$AS:$AS,MATCH(AR32,'Draft Slayer Classic'!$AP:$AP,0))</f>
        <v>8</v>
      </c>
      <c r="BB32">
        <f>IFERROR(IF(INDEX(Instructions!$X$86:$X$105,MATCH(Draft!AR32,Instructions!$T$86:$T$105,0))&lt;='Draft Slayer Classic'!$E$25,1,0),0)</f>
        <v>0</v>
      </c>
      <c r="BC32" s="197"/>
      <c r="BD32" s="549" t="str">
        <f>INDEX('Draft Slayer Classic'!$BA:$BA,MATCH(SMALL('Draft Slayer Classic'!$BD:$BD,$G32),'Draft Slayer Classic'!$BD:$BD,0))</f>
        <v>CAR</v>
      </c>
      <c r="BE32" s="553" t="str">
        <f>INDEX(FFARawStatProjections!$D:$D,MATCH(BD32,FFARawStatProjections!$B:$B,0))&amp;IF(BF32&gt;0," ("&amp;BF32&amp;")","")</f>
        <v>7</v>
      </c>
      <c r="BF32">
        <f>IFERROR(INDEX($BQ$8:$BQ$21,MATCH(INDEX(FFARawStatProjections!$D:$D,MATCH(BC32,FFARawStatProjections!$A:$A,0)),$BP$8:$BP$21,0)),0)</f>
        <v>0</v>
      </c>
      <c r="BG32" s="464">
        <f>INDEX(FFARawStatProjections!$E:$E,MATCH(BD32,FFARawStatProjections!$B:$B,0))*0.1</f>
        <v>0</v>
      </c>
      <c r="BI32" s="197"/>
      <c r="BJ32" s="549" t="str">
        <f>INDEX('Draft Slayer Classic'!$BF:$BF,MATCH(SMALL('Draft Slayer Classic'!$BJ:$BJ,$G32),'Draft Slayer Classic'!$BJ:$BJ,0))</f>
        <v>Matt Gay</v>
      </c>
      <c r="BK32" s="550" t="str">
        <f>INDEX(FFARawStatProjections!$B:$B,MATCH(BJ32,FFARawStatProjections!$A:$A,0))</f>
        <v>IND</v>
      </c>
      <c r="BL32" s="553" t="str">
        <f>INDEX(FFARawStatProjections!$D:$D,MATCH(BJ32,FFARawStatProjections!$A:$A,0))&amp;IF(BM32&gt;0," ("&amp;BM32&amp;")","")</f>
        <v>11</v>
      </c>
      <c r="BM32">
        <f>IFERROR(INDEX($BQ$8:$BQ$21,MATCH(INDEX(FFARawStatProjections!$D:$D,MATCH(BJ32,FFARawStatProjections!$A:$A,0)),$BP$8:$BP$21,0)),0)</f>
        <v>0</v>
      </c>
      <c r="BN32" s="466">
        <f>INDEX(FFARawStatProjections!$E:$E,MATCH(Draft!BJ32,FFARawStatProjections!$A:$A,0))*0.1</f>
        <v>0</v>
      </c>
      <c r="BO32" s="197"/>
      <c r="BQ32" s="465" t="str">
        <f>IFERROR(INDEX(FFARawStatProjections!$D:$D,MATCH('Draft Slayer Classic'!E53,FFARawStatProjections!$B:$B,0)),"")</f>
        <v/>
      </c>
      <c r="BT32" t="str">
        <f>IF(FFARawStatProjections!A27=0,"",FFARawStatProjections!A27)</f>
        <v>Ryan Tannehill</v>
      </c>
      <c r="BU32" t="str">
        <f>IF(FFARawStatProjections!C27=0,"",FFARawStatProjections!C27)</f>
        <v>QB</v>
      </c>
      <c r="BV32" t="str">
        <f>IF(FFARawStatProjections!B27=0,"",FFARawStatProjections!B27)</f>
        <v>TEN</v>
      </c>
      <c r="BX32">
        <v>26</v>
      </c>
      <c r="BY32" s="89" t="str">
        <f t="shared" si="3"/>
        <v/>
      </c>
      <c r="BZ32" s="89" t="str">
        <f t="shared" si="4"/>
        <v/>
      </c>
      <c r="CA32" s="89" t="str">
        <f t="shared" si="5"/>
        <v/>
      </c>
    </row>
    <row r="33" spans="1:79" ht="33.75" hidden="1" customHeight="1" x14ac:dyDescent="0.25">
      <c r="A33" s="469" t="str">
        <f t="shared" si="6"/>
        <v/>
      </c>
      <c r="B33" s="472"/>
      <c r="C33" s="478" t="str">
        <f t="shared" si="9"/>
        <v/>
      </c>
      <c r="D33" s="190" t="str">
        <f t="shared" si="10"/>
        <v/>
      </c>
      <c r="E33" s="190">
        <f>IFERROR(INDEX(Instructions!$U$111:$U$222,MATCH(Draft!A33,Instructions!$U$111:$U$222,0)),0)</f>
        <v>0</v>
      </c>
      <c r="F33" s="197"/>
      <c r="G33">
        <v>28</v>
      </c>
      <c r="H33" s="554" t="str">
        <f>INDEX('Draft Slayer Classic'!$I:$I,MATCH(SMALL('Draft Slayer Classic'!$Q:$Q,$G33),'Draft Slayer Classic'!$Q:$Q,0))</f>
        <v>Kyler Murray</v>
      </c>
      <c r="I33" s="555" t="str">
        <f>INDEX(FFARawStatProjections!$B:$B,MATCH(H33,FFARawStatProjections!$A:$A,0))</f>
        <v>AZ</v>
      </c>
      <c r="J33" s="556" t="str">
        <f>INDEX(FFARawStatProjections!$D:$D,MATCH(H33,FFARawStatProjections!$A:$A,0))&amp;IF(K33&gt;0," ("&amp;K33&amp;")","")</f>
        <v>14</v>
      </c>
      <c r="K33">
        <f>IFERROR(INDEX($BQ$8:$BQ$21,MATCH(INDEX(FFARawStatProjections!$D:$D,MATCH(H33,FFARawStatProjections!$A:$A,0)),$BP$8:$BP$21,0)),0)</f>
        <v>0</v>
      </c>
      <c r="L33" s="466">
        <f>INDEX(QBproj!M:M,MATCH(Draft!H33,QBproj!D:D,0))</f>
        <v>20.7</v>
      </c>
      <c r="M33">
        <f>INDEX(ADP!$G:$G,MATCH(H33,ADP!$D:$D,0))</f>
        <v>141.80027600000003</v>
      </c>
      <c r="N33">
        <f>IF(AND(M33&gt;=$R$5,M33&lt;$R$4),1,
IF(AND(M33&gt;=$R$4,M33&lt;$R$3),2,
IF(M33&gt;=$R$3,3,
IF(AND(COUNTIF(N$6:N32,1)=0,COUNTIF(M$6:M32,"&lt;="&amp;$R$5)=(COUNTIF(M$6:M$20,"&lt;="&amp;$R$5)-1)),1,0))))</f>
        <v>3</v>
      </c>
      <c r="O33" s="466">
        <f>(IFERROR(P33-INDEX(P:P,MATCH(1,N:N,0)),0)+
IFERROR(P33-INDEX(P:P,MATCH(2,N:N,0)),0)*0.5+
IFERROR(P33-INDEX(P:P,MATCH(3,N:N,0)),0)*0.25
)/16*IF(ISBLANK(Beersheet!$A$1),1,16)</f>
        <v>-16.652658593750001</v>
      </c>
      <c r="P33">
        <f>IF(Beersheet!$A$2="QB",
INDEX(Beersheet!$A:$U,MATCH(Draft!H33,Beersheet!$C:$C,0),FFARawStatProjections!$BQ$1),
INDEX('Draft Slayer Classic'!$K:$K,MATCH(H33,'Draft Slayer Classic'!$I:$I,0)))</f>
        <v>219.09828999999999</v>
      </c>
      <c r="Q33" s="557">
        <f>INDEX('Draft Slayer Classic'!$L:$L,MATCH(H33,'Draft Slayer Classic'!$I:$I,0))</f>
        <v>8</v>
      </c>
      <c r="R33">
        <f>IFERROR(IF(INDEX(Instructions!$V$64:$V$83,MATCH(Draft!H33,Instructions!$S$64:$S$83,0))&lt;='Draft Slayer Classic'!$E$25,1,0),0)</f>
        <v>0</v>
      </c>
      <c r="S33" s="197"/>
      <c r="T33" s="554" t="str">
        <f>INDEX('Draft Slayer Classic'!$T:$T,MATCH(SMALL('Draft Slayer Classic'!$AB:$AB,$G33),'Draft Slayer Classic'!$AB:$AB,0))</f>
        <v>AJ Dillon</v>
      </c>
      <c r="U33" s="555" t="str">
        <f>INDEX(FFARawStatProjections!$B:$B,MATCH(T33,FFARawStatProjections!$A:$A,0))</f>
        <v>GB</v>
      </c>
      <c r="V33" s="556" t="str">
        <f>INDEX(FFARawStatProjections!$D:$D,MATCH(T33,FFARawStatProjections!$A:$A,0))&amp;IF(W33&gt;0," ("&amp;W33&amp;")","")</f>
        <v>6</v>
      </c>
      <c r="W33">
        <f>IFERROR(INDEX($BQ$8:$BQ$21,MATCH(INDEX(FFARawStatProjections!$D:$D,MATCH(T33,FFARawStatProjections!$A:$A,0)),$BP$8:$BP$21,0)),0)</f>
        <v>0</v>
      </c>
      <c r="X33" s="464">
        <f>INDEX(RBproj!M:M,MATCH(Draft!T33,RBproj!D:D,0))</f>
        <v>0</v>
      </c>
      <c r="Y33">
        <f>INDEX(ADP!$G:$G,MATCH(T33,ADP!$D:$D,0))</f>
        <v>85.400719000000009</v>
      </c>
      <c r="Z33">
        <f>IF(AND(Y33&gt;=$R$5,Y33&lt;$R$4),1,
IF(AND(Y33&gt;=$R$4,Y33&lt;$R$3),2,
IF(Y33&gt;=$R$3,3,
IF(AND(COUNTIF(Z$6:Z32,1)=0,COUNTIF(Y$6:Y32,"&lt;="&amp;$R$5)=(COUNTIF(Y$6:Y$20,"&lt;="&amp;$R$5)-1)),1,0))))</f>
        <v>3</v>
      </c>
      <c r="AA33" s="466">
        <f>(IFERROR(AB33-INDEX(AB:AB,MATCH(1,Z:Z,0)),0)+
IFERROR(AB33-INDEX(AB:AB,MATCH(2,Z:Z,0)),0)*0.5+
IFERROR(AB33-INDEX(AB:AB,MATCH(3,Z:Z,0)),0)*0.25
)/16*IF(ISBLANK(Beersheet!$A$1),1,16)</f>
        <v>-12.619654218750004</v>
      </c>
      <c r="AB33">
        <f>IF(Beersheet!$A$2="QB",
INDEX(Beersheet!$A:$U,MATCH(Draft!T33,Beersheet!$C:$C,0),FFARawStatProjections!$BQ$1),
INDEX('Draft Slayer Classic'!$V:$V,MATCH(T33,'Draft Slayer Classic'!$T:$T,0)))</f>
        <v>159.44150999999999</v>
      </c>
      <c r="AC33" s="557">
        <f>INDEX('Draft Slayer Classic'!$W:$W,MATCH(T33,'Draft Slayer Classic'!$T:$T,0))</f>
        <v>8</v>
      </c>
      <c r="AD33">
        <f>IFERROR(IF(INDEX(Instructions!$X$64:$X$83,MATCH(Draft!T33,Instructions!$T$64:$T$83,0))&lt;='Draft Slayer Classic'!$E$25,1,0),0)</f>
        <v>0</v>
      </c>
      <c r="AE33" s="197"/>
      <c r="AF33" s="554" t="str">
        <f>INDEX('Draft Slayer Classic'!$AE:$AE,MATCH(SMALL('Draft Slayer Classic'!$AM:$AM,$G33),'Draft Slayer Classic'!$AM:$AM,0))</f>
        <v>Jahan Dotson</v>
      </c>
      <c r="AG33" s="555" t="str">
        <f>INDEX(FFARawStatProjections!$B:$B,MATCH(AF33,FFARawStatProjections!$A:$A,0))</f>
        <v>WAS</v>
      </c>
      <c r="AH33" s="556" t="str">
        <f>INDEX(FFARawStatProjections!$D:$D,MATCH(AF33,FFARawStatProjections!$A:$A,0))&amp;IF(AI33&gt;0," ("&amp;AI33&amp;")","")</f>
        <v>14</v>
      </c>
      <c r="AI33">
        <f>IFERROR(INDEX($BQ$8:$BQ$21,MATCH(INDEX(FFARawStatProjections!$D:$D,MATCH(AF33,FFARawStatProjections!$A:$A,0)),$BP$8:$BP$21,0)),0)</f>
        <v>0</v>
      </c>
      <c r="AJ33" s="464">
        <f>INDEX(WRproj!M:M,MATCH(Draft!AF33,WRproj!D:D,0))</f>
        <v>0.5</v>
      </c>
      <c r="AK33">
        <f>INDEX(ADP!$G:$G,MATCH(AF33,ADP!$D:$D,0))</f>
        <v>80.400424000000001</v>
      </c>
      <c r="AL33">
        <f>IF(AND(AK33&gt;=$R$5,AK33&lt;$R$4),1,
IF(AND(AK33&gt;=$R$4,AK33&lt;$R$3),2,
IF(AK33&gt;=$R$3,3,
IF(AND(COUNTIF(AL$6:AL32,1)=0,COUNTIF(AK$6:AK32,"&lt;="&amp;$R$5)=(COUNTIF(AK$6:AK$20,"&lt;="&amp;$R$5)-1)),1,0))))</f>
        <v>3</v>
      </c>
      <c r="AM33" s="466">
        <f>(IFERROR(AN33-INDEX(AN:AN,MATCH(1,AL:AL,0)),0)+
IFERROR(AN33-INDEX(AN:AN,MATCH(2,AL:AL,0)),0)*0.5+
IFERROR(AN33-INDEX(AN:AN,MATCH(3,AL:AL,0)),0)*0.25
)/16*IF(ISBLANK(Beersheet!$A$1),1,16)</f>
        <v>-9.9079404687500006</v>
      </c>
      <c r="AN33">
        <f>IF(Beersheet!$A$2="QB",
INDEX(Beersheet!$A:$U,MATCH(Draft!AF33,Beersheet!$C:$C,0),FFARawStatProjections!$BQ$1),
INDEX('Draft Slayer Classic'!$AG:$AG,MATCH(AF33,'Draft Slayer Classic'!$AE:$AE,0)))</f>
        <v>178.14348000000001</v>
      </c>
      <c r="AO33" s="557">
        <f>INDEX('Draft Slayer Classic'!$AH:$AH,MATCH(AF33,'Draft Slayer Classic'!$AE:$AE,0))</f>
        <v>8</v>
      </c>
      <c r="AP33">
        <f>IFERROR(IF(INDEX(Instructions!$V$86:$V$105,MATCH(Draft!AF33,Instructions!$S$86:$S$105,0))&lt;='Draft Slayer Classic'!$E$25,1,0),0)</f>
        <v>0</v>
      </c>
      <c r="AQ33" s="197"/>
      <c r="AR33" s="554" t="str">
        <f>INDEX('Draft Slayer Classic'!$AP:$AP,MATCH(SMALL('Draft Slayer Classic'!$AX:$AX,$G33),'Draft Slayer Classic'!$AX:$AX,0))</f>
        <v>Logan Thomas</v>
      </c>
      <c r="AS33" s="555" t="str">
        <f>INDEX(FFARawStatProjections!$B:$B,MATCH(AR33,FFARawStatProjections!$A:$A,0))</f>
        <v>WAS</v>
      </c>
      <c r="AT33" s="556" t="str">
        <f>INDEX(FFARawStatProjections!$D:$D,MATCH(AR33,FFARawStatProjections!$A:$A,0))&amp;IF(AU33&gt;0," ("&amp;AU33&amp;")","")</f>
        <v>14</v>
      </c>
      <c r="AU33">
        <f>IFERROR(INDEX($BQ$8:$BQ$21,MATCH(INDEX(FFARawStatProjections!$D:$D,MATCH(AR33,FFARawStatProjections!$A:$A,0)),$BP$8:$BP$21,0)),0)</f>
        <v>0</v>
      </c>
      <c r="AV33" s="464">
        <f>INDEX(TEproj!M:M,MATCH(Draft!AR33,TEproj!D:D,0))</f>
        <v>0</v>
      </c>
      <c r="AW33" t="e">
        <f>INDEX(ADP!$G:$G,MATCH(AR33,ADP!$D:$D,0))</f>
        <v>#N/A</v>
      </c>
      <c r="AX33" t="e">
        <f>IF(AND(AW33&gt;=$R$5,AW33&lt;$R$4),1,
IF(AND(AW33&gt;=$R$4,AW33&lt;$R$3),2,
IF(AW33&gt;=$R$3,3,
IF(AND(COUNTIF(AX$6:AX32,1)=0,COUNTIF(AW$6:AW32,"&lt;="&amp;$R$5)=(COUNTIF(AW$6:AW$20,"&lt;="&amp;$R$5)-1)),1,0))))</f>
        <v>#N/A</v>
      </c>
      <c r="AY33" s="466">
        <f>(IFERROR(AZ33-INDEX(AZ:AZ,MATCH(1,AX:AX,0)),0)+
IFERROR(AZ33-INDEX(AZ:AZ,MATCH(2,AX:AX,0)),0)*0.5+
IFERROR(AZ33-INDEX(AZ:AZ,MATCH(3,AX:AX,0)),0)*0.25
)/16*IF(ISBLANK(Beersheet!$A$1),1,16)</f>
        <v>-13.738262031249999</v>
      </c>
      <c r="AZ33">
        <f>IF(Beersheet!$A$2="QB",
INDEX(Beersheet!$A:$U,MATCH(Draft!AR33,Beersheet!$C:$C,0),FFARawStatProjections!$BQ$1),
INDEX('Draft Slayer Classic'!$AR:$AR,MATCH(AR33,'Draft Slayer Classic'!$AP:$AP,0)))</f>
        <v>94.686340000000001</v>
      </c>
      <c r="BA33" s="557">
        <f>INDEX('Draft Slayer Classic'!$AS:$AS,MATCH(AR33,'Draft Slayer Classic'!$AP:$AP,0))</f>
        <v>8</v>
      </c>
      <c r="BB33">
        <f>IFERROR(IF(INDEX(Instructions!$X$86:$X$105,MATCH(Draft!AR33,Instructions!$T$86:$T$105,0))&lt;='Draft Slayer Classic'!$E$25,1,0),0)</f>
        <v>0</v>
      </c>
      <c r="BC33" s="197"/>
      <c r="BD33" s="554" t="str">
        <f>INDEX('Draft Slayer Classic'!$BA:$BA,MATCH(SMALL('Draft Slayer Classic'!$BD:$BD,$G33),'Draft Slayer Classic'!$BD:$BD,0))</f>
        <v>DEN</v>
      </c>
      <c r="BE33" s="557" t="str">
        <f>INDEX(FFARawStatProjections!$D:$D,MATCH(BD33,FFARawStatProjections!$B:$B,0))&amp;IF(BF33&gt;0," ("&amp;BF33&amp;")","")</f>
        <v>9</v>
      </c>
      <c r="BF33">
        <f>IFERROR(INDEX($BQ$8:$BQ$21,MATCH(INDEX(FFARawStatProjections!$D:$D,MATCH(BC33,FFARawStatProjections!$A:$A,0)),$BP$8:$BP$21,0)),0)</f>
        <v>0</v>
      </c>
      <c r="BG33" s="464">
        <f>INDEX(FFARawStatProjections!$E:$E,MATCH(BD33,FFARawStatProjections!$B:$B,0))*0.1</f>
        <v>0</v>
      </c>
      <c r="BI33" s="197"/>
      <c r="BJ33" s="554" t="str">
        <f>INDEX('Draft Slayer Classic'!$BF:$BF,MATCH(SMALL('Draft Slayer Classic'!$BJ:$BJ,$G33),'Draft Slayer Classic'!$BJ:$BJ,0))</f>
        <v>Brandon Aubrey</v>
      </c>
      <c r="BK33" s="555" t="str">
        <f>INDEX(FFARawStatProjections!$B:$B,MATCH(BJ33,FFARawStatProjections!$A:$A,0))</f>
        <v>DAL</v>
      </c>
      <c r="BL33" s="557" t="str">
        <f>INDEX(FFARawStatProjections!$D:$D,MATCH(BJ33,FFARawStatProjections!$A:$A,0))&amp;IF(BM33&gt;0," ("&amp;BM33&amp;")","")</f>
        <v>7</v>
      </c>
      <c r="BM33">
        <f>IFERROR(INDEX($BQ$8:$BQ$21,MATCH(INDEX(FFARawStatProjections!$D:$D,MATCH(BJ33,FFARawStatProjections!$A:$A,0)),$BP$8:$BP$21,0)),0)</f>
        <v>0</v>
      </c>
      <c r="BN33" s="466">
        <f>INDEX(FFARawStatProjections!$E:$E,MATCH(Draft!BJ33,FFARawStatProjections!$A:$A,0))*0.1</f>
        <v>0</v>
      </c>
      <c r="BO33" s="197"/>
      <c r="BT33" t="str">
        <f>IF(FFARawStatProjections!A28=0,"",FFARawStatProjections!A28)</f>
        <v>CJ Stroud</v>
      </c>
      <c r="BU33" t="str">
        <f>IF(FFARawStatProjections!C28=0,"",FFARawStatProjections!C28)</f>
        <v>QB</v>
      </c>
      <c r="BV33" t="str">
        <f>IF(FFARawStatProjections!B28=0,"",FFARawStatProjections!B28)</f>
        <v>HOU</v>
      </c>
      <c r="BX33">
        <v>27</v>
      </c>
      <c r="BY33" s="89" t="str">
        <f t="shared" si="3"/>
        <v/>
      </c>
      <c r="BZ33" s="89" t="str">
        <f t="shared" si="4"/>
        <v/>
      </c>
      <c r="CA33" s="89" t="str">
        <f t="shared" si="5"/>
        <v/>
      </c>
    </row>
    <row r="34" spans="1:79" ht="33.75" hidden="1" customHeight="1" x14ac:dyDescent="0.25">
      <c r="A34" s="473" t="str">
        <f t="shared" si="6"/>
        <v/>
      </c>
      <c r="B34" s="474"/>
      <c r="C34" s="479" t="str">
        <f t="shared" si="9"/>
        <v/>
      </c>
      <c r="D34" s="190" t="str">
        <f t="shared" si="10"/>
        <v/>
      </c>
      <c r="E34" s="190">
        <f>IFERROR(INDEX(Instructions!$U$111:$U$222,MATCH(Draft!A34,Instructions!$U$111:$U$222,0)),0)</f>
        <v>0</v>
      </c>
      <c r="F34" s="197"/>
      <c r="G34">
        <v>29</v>
      </c>
      <c r="H34" s="549" t="str">
        <f>INDEX('Draft Slayer Classic'!$I:$I,MATCH(SMALL('Draft Slayer Classic'!$Q:$Q,$G34),'Draft Slayer Classic'!$Q:$Q,0))</f>
        <v>Sam Howell</v>
      </c>
      <c r="I34" s="550" t="str">
        <f>INDEX(FFARawStatProjections!$B:$B,MATCH(H34,FFARawStatProjections!$A:$A,0))</f>
        <v>WAS</v>
      </c>
      <c r="J34" s="551" t="str">
        <f>INDEX(FFARawStatProjections!$D:$D,MATCH(H34,FFARawStatProjections!$A:$A,0))&amp;IF(K34&gt;0," ("&amp;K34&amp;")","")</f>
        <v>14</v>
      </c>
      <c r="K34">
        <f>IFERROR(INDEX($BQ$8:$BQ$21,MATCH(INDEX(FFARawStatProjections!$D:$D,MATCH(H34,FFARawStatProjections!$A:$A,0)),$BP$8:$BP$21,0)),0)</f>
        <v>0</v>
      </c>
      <c r="L34" s="552">
        <f>INDEX(QBproj!M:M,MATCH(Draft!H34,QBproj!D:D,0))</f>
        <v>0</v>
      </c>
      <c r="M34" t="e">
        <f>INDEX(ADP!$G:$G,MATCH(H34,ADP!$D:$D,0))</f>
        <v>#N/A</v>
      </c>
      <c r="N34" t="e">
        <f>IF(AND(M34&gt;=$R$5,M34&lt;$R$4),1,
IF(AND(M34&gt;=$R$4,M34&lt;$R$3),2,
IF(M34&gt;=$R$3,3,
IF(AND(COUNTIF(N$6:N33,1)=0,COUNTIF(M$6:M33,"&lt;="&amp;$R$5)=(COUNTIF(M$6:M$20,"&lt;="&amp;$R$5)-1)),1,0))))</f>
        <v>#N/A</v>
      </c>
      <c r="O34" s="552">
        <f>(IFERROR(P34-INDEX(P:P,MATCH(1,N:N,0)),0)+
IFERROR(P34-INDEX(P:P,MATCH(2,N:N,0)),0)*0.5+
IFERROR(P34-INDEX(P:P,MATCH(3,N:N,0)),0)*0.25
)/16*IF(ISBLANK(Beersheet!$A$1),1,16)</f>
        <v>-17.382844999999996</v>
      </c>
      <c r="P34">
        <f>IF(Beersheet!$A$2="QB",
INDEX(Beersheet!$A:$U,MATCH(Draft!H34,Beersheet!$C:$C,0),FFARawStatProjections!$BQ$1),
INDEX('Draft Slayer Classic'!$K:$K,MATCH(H34,'Draft Slayer Classic'!$I:$I,0)))</f>
        <v>212.42230000000004</v>
      </c>
      <c r="Q34" s="553">
        <f>INDEX('Draft Slayer Classic'!$L:$L,MATCH(H34,'Draft Slayer Classic'!$I:$I,0))</f>
        <v>8</v>
      </c>
      <c r="R34">
        <f>IFERROR(IF(INDEX(Instructions!$V$64:$V$83,MATCH(Draft!H34,Instructions!$S$64:$S$83,0))&lt;='Draft Slayer Classic'!$E$25,1,0),0)</f>
        <v>0</v>
      </c>
      <c r="S34" s="197"/>
      <c r="T34" s="549" t="str">
        <f>INDEX('Draft Slayer Classic'!$T:$T,MATCH(SMALL('Draft Slayer Classic'!$AB:$AB,$G34),'Draft Slayer Classic'!$AB:$AB,0))</f>
        <v>Dalvin Cook</v>
      </c>
      <c r="U34" s="550" t="str">
        <f>INDEX(FFARawStatProjections!$B:$B,MATCH(T34,FFARawStatProjections!$A:$A,0))</f>
        <v>NYJ</v>
      </c>
      <c r="V34" s="551" t="str">
        <f>INDEX(FFARawStatProjections!$D:$D,MATCH(T34,FFARawStatProjections!$A:$A,0))&amp;IF(W34&gt;0," ("&amp;W34&amp;")","")</f>
        <v>7</v>
      </c>
      <c r="W34">
        <f>IFERROR(INDEX($BQ$8:$BQ$21,MATCH(INDEX(FFARawStatProjections!$D:$D,MATCH(T34,FFARawStatProjections!$A:$A,0)),$BP$8:$BP$21,0)),0)</f>
        <v>0</v>
      </c>
      <c r="X34" s="552">
        <f>INDEX(RBproj!M:M,MATCH(Draft!T34,RBproj!D:D,0))</f>
        <v>0</v>
      </c>
      <c r="Y34" t="e">
        <f>INDEX(ADP!$G:$G,MATCH(T34,ADP!$D:$D,0))</f>
        <v>#N/A</v>
      </c>
      <c r="Z34" t="e">
        <f>IF(AND(Y34&gt;=$R$5,Y34&lt;$R$4),1,
IF(AND(Y34&gt;=$R$4,Y34&lt;$R$3),2,
IF(Y34&gt;=$R$3,3,
IF(AND(COUNTIF(Z$6:Z33,1)=0,COUNTIF(Y$6:Y33,"&lt;="&amp;$R$5)=(COUNTIF(Y$6:Y$20,"&lt;="&amp;$R$5)-1)),1,0))))</f>
        <v>#N/A</v>
      </c>
      <c r="AA34" s="552">
        <f>(IFERROR(AB34-INDEX(AB:AB,MATCH(1,Z:Z,0)),0)+
IFERROR(AB34-INDEX(AB:AB,MATCH(2,Z:Z,0)),0)*0.5+
IFERROR(AB34-INDEX(AB:AB,MATCH(3,Z:Z,0)),0)*0.25
)/16*IF(ISBLANK(Beersheet!$A$1),1,16)</f>
        <v>-13.069192031250005</v>
      </c>
      <c r="AB34">
        <f>IF(Beersheet!$A$2="QB",
INDEX(Beersheet!$A:$U,MATCH(Draft!T34,Beersheet!$C:$C,0),FFARawStatProjections!$BQ$1),
INDEX('Draft Slayer Classic'!$V:$V,MATCH(T34,'Draft Slayer Classic'!$T:$T,0)))</f>
        <v>155.33144999999999</v>
      </c>
      <c r="AC34" s="553">
        <f>INDEX('Draft Slayer Classic'!$W:$W,MATCH(T34,'Draft Slayer Classic'!$T:$T,0))</f>
        <v>8</v>
      </c>
      <c r="AD34">
        <f>IFERROR(IF(INDEX(Instructions!$X$64:$X$83,MATCH(Draft!T34,Instructions!$T$64:$T$83,0))&lt;='Draft Slayer Classic'!$E$25,1,0),0)</f>
        <v>0</v>
      </c>
      <c r="AE34" s="197"/>
      <c r="AF34" s="549" t="str">
        <f>INDEX('Draft Slayer Classic'!$AE:$AE,MATCH(SMALL('Draft Slayer Classic'!$AM:$AM,$G34),'Draft Slayer Classic'!$AM:$AM,0))</f>
        <v>George Pickens</v>
      </c>
      <c r="AG34" s="550" t="str">
        <f>INDEX(FFARawStatProjections!$B:$B,MATCH(AF34,FFARawStatProjections!$A:$A,0))</f>
        <v>PIT</v>
      </c>
      <c r="AH34" s="551" t="str">
        <f>INDEX(FFARawStatProjections!$D:$D,MATCH(AF34,FFARawStatProjections!$A:$A,0))&amp;IF(AI34&gt;0," ("&amp;AI34&amp;")","")</f>
        <v>6</v>
      </c>
      <c r="AI34">
        <f>IFERROR(INDEX($BQ$8:$BQ$21,MATCH(INDEX(FFARawStatProjections!$D:$D,MATCH(AF34,FFARawStatProjections!$A:$A,0)),$BP$8:$BP$21,0)),0)</f>
        <v>0</v>
      </c>
      <c r="AJ34" s="552">
        <f>INDEX(WRproj!M:M,MATCH(Draft!AF34,WRproj!D:D,0))</f>
        <v>1.7999999999999998</v>
      </c>
      <c r="AK34">
        <f>INDEX(ADP!$G:$G,MATCH(AF34,ADP!$D:$D,0))</f>
        <v>77.100467999999992</v>
      </c>
      <c r="AL34">
        <f>IF(AND(AK34&gt;=$R$5,AK34&lt;$R$4),1,
IF(AND(AK34&gt;=$R$4,AK34&lt;$R$3),2,
IF(AK34&gt;=$R$3,3,
IF(AND(COUNTIF(AL$6:AL33,1)=0,COUNTIF(AK$6:AK33,"&lt;="&amp;$R$5)=(COUNTIF(AK$6:AK$20,"&lt;="&amp;$R$5)-1)),1,0))))</f>
        <v>3</v>
      </c>
      <c r="AM34" s="552">
        <f>(IFERROR(AN34-INDEX(AN:AN,MATCH(1,AL:AL,0)),0)+
IFERROR(AN34-INDEX(AN:AN,MATCH(2,AL:AL,0)),0)*0.5+
IFERROR(AN34-INDEX(AN:AN,MATCH(3,AL:AL,0)),0)*0.25
)/16*IF(ISBLANK(Beersheet!$A$1),1,16)</f>
        <v>-10.049023281250005</v>
      </c>
      <c r="AN34">
        <f>IF(Beersheet!$A$2="QB",
INDEX(Beersheet!$A:$U,MATCH(Draft!AF34,Beersheet!$C:$C,0),FFARawStatProjections!$BQ$1),
INDEX('Draft Slayer Classic'!$AG:$AG,MATCH(AF34,'Draft Slayer Classic'!$AE:$AE,0)))</f>
        <v>176.85357999999999</v>
      </c>
      <c r="AO34" s="553">
        <f>INDEX('Draft Slayer Classic'!$AH:$AH,MATCH(AF34,'Draft Slayer Classic'!$AE:$AE,0))</f>
        <v>8</v>
      </c>
      <c r="AP34">
        <f>IFERROR(IF(INDEX(Instructions!$V$86:$V$105,MATCH(Draft!AF34,Instructions!$S$86:$S$105,0))&lt;='Draft Slayer Classic'!$E$25,1,0),0)</f>
        <v>0</v>
      </c>
      <c r="AQ34" s="197"/>
      <c r="AR34" s="549" t="str">
        <f>INDEX('Draft Slayer Classic'!$AP:$AP,MATCH(SMALL('Draft Slayer Classic'!$AX:$AX,$G34),'Draft Slayer Classic'!$AX:$AX,0))</f>
        <v>Jake Ferguson</v>
      </c>
      <c r="AS34" s="550" t="str">
        <f>INDEX(FFARawStatProjections!$B:$B,MATCH(AR34,FFARawStatProjections!$A:$A,0))</f>
        <v>DAL</v>
      </c>
      <c r="AT34" s="551" t="str">
        <f>INDEX(FFARawStatProjections!$D:$D,MATCH(AR34,FFARawStatProjections!$A:$A,0))&amp;IF(AU34&gt;0," ("&amp;AU34&amp;")","")</f>
        <v>7</v>
      </c>
      <c r="AU34">
        <f>IFERROR(INDEX($BQ$8:$BQ$21,MATCH(INDEX(FFARawStatProjections!$D:$D,MATCH(AR34,FFARawStatProjections!$A:$A,0)),$BP$8:$BP$21,0)),0)</f>
        <v>0</v>
      </c>
      <c r="AV34" s="552">
        <f>INDEX(TEproj!M:M,MATCH(Draft!AR34,TEproj!D:D,0))</f>
        <v>0</v>
      </c>
      <c r="AW34" t="e">
        <f>INDEX(ADP!$G:$G,MATCH(AR34,ADP!$D:$D,0))</f>
        <v>#N/A</v>
      </c>
      <c r="AX34" t="e">
        <f>IF(AND(AW34&gt;=$R$5,AW34&lt;$R$4),1,
IF(AND(AW34&gt;=$R$4,AW34&lt;$R$3),2,
IF(AW34&gt;=$R$3,3,
IF(AND(COUNTIF(AX$6:AX33,1)=0,COUNTIF(AW$6:AW33,"&lt;="&amp;$R$5)=(COUNTIF(AW$6:AW$20,"&lt;="&amp;$R$5)-1)),1,0))))</f>
        <v>#N/A</v>
      </c>
      <c r="AY34" s="552">
        <f>(IFERROR(AZ34-INDEX(AZ:AZ,MATCH(1,AX:AX,0)),0)+
IFERROR(AZ34-INDEX(AZ:AZ,MATCH(2,AX:AX,0)),0)*0.5+
IFERROR(AZ34-INDEX(AZ:AZ,MATCH(3,AX:AX,0)),0)*0.25
)/16*IF(ISBLANK(Beersheet!$A$1),1,16)</f>
        <v>-13.882007343749999</v>
      </c>
      <c r="AZ34">
        <f>IF(Beersheet!$A$2="QB",
INDEX(Beersheet!$A:$U,MATCH(Draft!AR34,Beersheet!$C:$C,0),FFARawStatProjections!$BQ$1),
INDEX('Draft Slayer Classic'!$AR:$AR,MATCH(AR34,'Draft Slayer Classic'!$AP:$AP,0)))</f>
        <v>92.846400000000003</v>
      </c>
      <c r="BA34" s="553">
        <f>INDEX('Draft Slayer Classic'!$AS:$AS,MATCH(AR34,'Draft Slayer Classic'!$AP:$AP,0))</f>
        <v>8</v>
      </c>
      <c r="BB34">
        <f>IFERROR(IF(INDEX(Instructions!$X$86:$X$105,MATCH(Draft!AR34,Instructions!$T$86:$T$105,0))&lt;='Draft Slayer Classic'!$E$25,1,0),0)</f>
        <v>0</v>
      </c>
      <c r="BC34" s="197"/>
      <c r="BD34" s="549" t="str">
        <f>INDEX('Draft Slayer Classic'!$BA:$BA,MATCH(SMALL('Draft Slayer Classic'!$BD:$BD,$G34),'Draft Slayer Classic'!$BD:$BD,0))</f>
        <v>ATL</v>
      </c>
      <c r="BE34" s="553" t="str">
        <f>INDEX(FFARawStatProjections!$D:$D,MATCH(BD34,FFARawStatProjections!$B:$B,0))&amp;IF(BF34&gt;0," ("&amp;BF34&amp;")","")</f>
        <v>11</v>
      </c>
      <c r="BF34">
        <f>IFERROR(INDEX($BQ$8:$BQ$21,MATCH(INDEX(FFARawStatProjections!$D:$D,MATCH(BC34,FFARawStatProjections!$A:$A,0)),$BP$8:$BP$21,0)),0)</f>
        <v>0</v>
      </c>
      <c r="BG34" s="464">
        <f>INDEX(FFARawStatProjections!$E:$E,MATCH(BD34,FFARawStatProjections!$B:$B,0))*0.1</f>
        <v>0</v>
      </c>
      <c r="BI34" s="197"/>
      <c r="BJ34" s="549" t="str">
        <f>INDEX('Draft Slayer Classic'!$BF:$BF,MATCH(SMALL('Draft Slayer Classic'!$BJ:$BJ,$G34),'Draft Slayer Classic'!$BJ:$BJ,0))</f>
        <v>Matt Prater</v>
      </c>
      <c r="BK34" s="550" t="str">
        <f>INDEX(FFARawStatProjections!$B:$B,MATCH(BJ34,FFARawStatProjections!$A:$A,0))</f>
        <v>AZ</v>
      </c>
      <c r="BL34" s="553" t="str">
        <f>INDEX(FFARawStatProjections!$D:$D,MATCH(BJ34,FFARawStatProjections!$A:$A,0))&amp;IF(BM34&gt;0," ("&amp;BM34&amp;")","")</f>
        <v>14</v>
      </c>
      <c r="BM34">
        <f>IFERROR(INDEX($BQ$8:$BQ$21,MATCH(INDEX(FFARawStatProjections!$D:$D,MATCH(BJ34,FFARawStatProjections!$A:$A,0)),$BP$8:$BP$21,0)),0)</f>
        <v>0</v>
      </c>
      <c r="BN34" s="466">
        <f>INDEX(FFARawStatProjections!$E:$E,MATCH(Draft!BJ34,FFARawStatProjections!$A:$A,0))*0.1</f>
        <v>0</v>
      </c>
      <c r="BO34" s="197"/>
      <c r="BT34" t="str">
        <f>IF(FFARawStatProjections!A29=0,"",FFARawStatProjections!A29)</f>
        <v>Mac Jones</v>
      </c>
      <c r="BU34" t="str">
        <f>IF(FFARawStatProjections!C29=0,"",FFARawStatProjections!C29)</f>
        <v>QB</v>
      </c>
      <c r="BV34" t="str">
        <f>IF(FFARawStatProjections!B29=0,"",FFARawStatProjections!B29)</f>
        <v>NE</v>
      </c>
      <c r="BX34">
        <v>28</v>
      </c>
      <c r="BY34" s="89" t="str">
        <f t="shared" si="3"/>
        <v/>
      </c>
      <c r="BZ34" s="89" t="str">
        <f t="shared" si="4"/>
        <v/>
      </c>
      <c r="CA34" s="89" t="str">
        <f t="shared" si="5"/>
        <v/>
      </c>
    </row>
    <row r="35" spans="1:79" ht="33.75" hidden="1" customHeight="1" x14ac:dyDescent="0.25">
      <c r="A35" s="469" t="str">
        <f t="shared" si="6"/>
        <v/>
      </c>
      <c r="B35" s="472"/>
      <c r="C35" s="478" t="str">
        <f t="shared" si="9"/>
        <v/>
      </c>
      <c r="D35" s="190" t="str">
        <f t="shared" si="10"/>
        <v/>
      </c>
      <c r="E35" s="190">
        <f>IFERROR(INDEX(Instructions!$U$111:$U$222,MATCH(Draft!A35,Instructions!$U$111:$U$222,0)),0)</f>
        <v>0</v>
      </c>
      <c r="F35" s="197"/>
      <c r="G35">
        <v>30</v>
      </c>
      <c r="H35" s="554" t="str">
        <f>INDEX('Draft Slayer Classic'!$I:$I,MATCH(SMALL('Draft Slayer Classic'!$Q:$Q,$G35),'Draft Slayer Classic'!$Q:$Q,0))</f>
        <v>Desmond Ridder</v>
      </c>
      <c r="I35" s="555" t="str">
        <f>INDEX(FFARawStatProjections!$B:$B,MATCH(H35,FFARawStatProjections!$A:$A,0))</f>
        <v>ATL</v>
      </c>
      <c r="J35" s="556" t="str">
        <f>INDEX(FFARawStatProjections!$D:$D,MATCH(H35,FFARawStatProjections!$A:$A,0))&amp;IF(K35&gt;0," ("&amp;K35&amp;")","")</f>
        <v>11</v>
      </c>
      <c r="K35">
        <f>IFERROR(INDEX($BQ$8:$BQ$21,MATCH(INDEX(FFARawStatProjections!$D:$D,MATCH(H35,FFARawStatProjections!$A:$A,0)),$BP$8:$BP$21,0)),0)</f>
        <v>0</v>
      </c>
      <c r="L35" s="466">
        <f>INDEX(QBproj!M:M,MATCH(Draft!H35,QBproj!D:D,0))</f>
        <v>0</v>
      </c>
      <c r="M35" t="e">
        <f>INDEX(ADP!$G:$G,MATCH(H35,ADP!$D:$D,0))</f>
        <v>#N/A</v>
      </c>
      <c r="N35" t="e">
        <f>IF(AND(M35&gt;=$R$5,M35&lt;$R$4),1,
IF(AND(M35&gt;=$R$4,M35&lt;$R$3),2,
IF(M35&gt;=$R$3,3,
IF(AND(COUNTIF(N$6:N34,1)=0,COUNTIF(M$6:M34,"&lt;="&amp;$R$5)=(COUNTIF(M$6:M$20,"&lt;="&amp;$R$5)-1)),1,0))))</f>
        <v>#N/A</v>
      </c>
      <c r="O35" s="466">
        <f>(IFERROR(P35-INDEX(P:P,MATCH(1,N:N,0)),0)+
IFERROR(P35-INDEX(P:P,MATCH(2,N:N,0)),0)*0.5+
IFERROR(P35-INDEX(P:P,MATCH(3,N:N,0)),0)*0.25
)/16*IF(ISBLANK(Beersheet!$A$1),1,16)</f>
        <v>-18.983000156249997</v>
      </c>
      <c r="P35">
        <f>IF(Beersheet!$A$2="QB",
INDEX(Beersheet!$A:$U,MATCH(Draft!H35,Beersheet!$C:$C,0),FFARawStatProjections!$BQ$1),
INDEX('Draft Slayer Classic'!$K:$K,MATCH(H35,'Draft Slayer Classic'!$I:$I,0)))</f>
        <v>197.79231000000004</v>
      </c>
      <c r="Q35" s="557">
        <f>INDEX('Draft Slayer Classic'!$L:$L,MATCH(H35,'Draft Slayer Classic'!$I:$I,0))</f>
        <v>8</v>
      </c>
      <c r="R35">
        <f>IFERROR(IF(INDEX(Instructions!$V$64:$V$83,MATCH(Draft!H35,Instructions!$S$64:$S$83,0))&lt;='Draft Slayer Classic'!$E$25,1,0),0)</f>
        <v>0</v>
      </c>
      <c r="S35" s="197"/>
      <c r="T35" s="554" t="str">
        <f>INDEX('Draft Slayer Classic'!$T:$T,MATCH(SMALL('Draft Slayer Classic'!$AB:$AB,$G35),'Draft Slayer Classic'!$AB:$AB,0))</f>
        <v>Khalil Herbert</v>
      </c>
      <c r="U35" s="555" t="str">
        <f>INDEX(FFARawStatProjections!$B:$B,MATCH(T35,FFARawStatProjections!$A:$A,0))</f>
        <v>CHI</v>
      </c>
      <c r="V35" s="556" t="str">
        <f>INDEX(FFARawStatProjections!$D:$D,MATCH(T35,FFARawStatProjections!$A:$A,0))&amp;IF(W35&gt;0," ("&amp;W35&amp;")","")</f>
        <v>13</v>
      </c>
      <c r="W35">
        <f>IFERROR(INDEX($BQ$8:$BQ$21,MATCH(INDEX(FFARawStatProjections!$D:$D,MATCH(T35,FFARawStatProjections!$A:$A,0)),$BP$8:$BP$21,0)),0)</f>
        <v>0</v>
      </c>
      <c r="X35" s="464">
        <f>INDEX(RBproj!M:M,MATCH(Draft!T35,RBproj!D:D,0))</f>
        <v>1.1000000000000005</v>
      </c>
      <c r="Y35">
        <f>INDEX(ADP!$G:$G,MATCH(T35,ADP!$D:$D,0))</f>
        <v>98.500290000000007</v>
      </c>
      <c r="Z35">
        <f>IF(AND(Y35&gt;=$R$5,Y35&lt;$R$4),1,
IF(AND(Y35&gt;=$R$4,Y35&lt;$R$3),2,
IF(Y35&gt;=$R$3,3,
IF(AND(COUNTIF(Z$6:Z34,1)=0,COUNTIF(Y$6:Y34,"&lt;="&amp;$R$5)=(COUNTIF(Y$6:Y$20,"&lt;="&amp;$R$5)-1)),1,0))))</f>
        <v>3</v>
      </c>
      <c r="AA35" s="466">
        <f>(IFERROR(AB35-INDEX(AB:AB,MATCH(1,Z:Z,0)),0)+
IFERROR(AB35-INDEX(AB:AB,MATCH(2,Z:Z,0)),0)*0.5+
IFERROR(AB35-INDEX(AB:AB,MATCH(3,Z:Z,0)),0)*0.25
)/16*IF(ISBLANK(Beersheet!$A$1),1,16)</f>
        <v>-13.210281406250001</v>
      </c>
      <c r="AB35">
        <f>IF(Beersheet!$A$2="QB",
INDEX(Beersheet!$A:$U,MATCH(Draft!T35,Beersheet!$C:$C,0),FFARawStatProjections!$BQ$1),
INDEX('Draft Slayer Classic'!$V:$V,MATCH(T35,'Draft Slayer Classic'!$T:$T,0)))</f>
        <v>154.04149000000001</v>
      </c>
      <c r="AC35" s="557">
        <f>INDEX('Draft Slayer Classic'!$W:$W,MATCH(T35,'Draft Slayer Classic'!$T:$T,0))</f>
        <v>8</v>
      </c>
      <c r="AD35">
        <f>IFERROR(IF(INDEX(Instructions!$X$64:$X$83,MATCH(Draft!T35,Instructions!$T$64:$T$83,0))&lt;='Draft Slayer Classic'!$E$25,1,0),0)</f>
        <v>0</v>
      </c>
      <c r="AE35" s="197"/>
      <c r="AF35" s="554" t="str">
        <f>INDEX('Draft Slayer Classic'!$AE:$AE,MATCH(SMALL('Draft Slayer Classic'!$AM:$AM,$G35),'Draft Slayer Classic'!$AM:$AM,0))</f>
        <v>Gabe Davis</v>
      </c>
      <c r="AG35" s="555" t="str">
        <f>INDEX(FFARawStatProjections!$B:$B,MATCH(AF35,FFARawStatProjections!$A:$A,0))</f>
        <v>BUF</v>
      </c>
      <c r="AH35" s="556" t="str">
        <f>INDEX(FFARawStatProjections!$D:$D,MATCH(AF35,FFARawStatProjections!$A:$A,0))&amp;IF(AI35&gt;0," ("&amp;AI35&amp;")","")</f>
        <v>13</v>
      </c>
      <c r="AI35">
        <f>IFERROR(INDEX($BQ$8:$BQ$21,MATCH(INDEX(FFARawStatProjections!$D:$D,MATCH(AF35,FFARawStatProjections!$A:$A,0)),$BP$8:$BP$21,0)),0)</f>
        <v>0</v>
      </c>
      <c r="AJ35" s="464">
        <f>INDEX(WRproj!M:M,MATCH(Draft!AF35,WRproj!D:D,0))</f>
        <v>0</v>
      </c>
      <c r="AK35" t="e">
        <f>INDEX(ADP!$G:$G,MATCH(AF35,ADP!$D:$D,0))</f>
        <v>#N/A</v>
      </c>
      <c r="AL35" t="e">
        <f>IF(AND(AK35&gt;=$R$5,AK35&lt;$R$4),1,
IF(AND(AK35&gt;=$R$4,AK35&lt;$R$3),2,
IF(AK35&gt;=$R$3,3,
IF(AND(COUNTIF(AL$6:AL34,1)=0,COUNTIF(AK$6:AK34,"&lt;="&amp;$R$5)=(COUNTIF(AK$6:AK$20,"&lt;="&amp;$R$5)-1)),1,0))))</f>
        <v>#N/A</v>
      </c>
      <c r="AM35" s="466">
        <f>(IFERROR(AN35-INDEX(AN:AN,MATCH(1,AL:AL,0)),0)+
IFERROR(AN35-INDEX(AN:AN,MATCH(2,AL:AL,0)),0)*0.5+
IFERROR(AN35-INDEX(AN:AN,MATCH(3,AL:AL,0)),0)*0.25
)/16*IF(ISBLANK(Beersheet!$A$1),1,16)</f>
        <v>-10.276532031250001</v>
      </c>
      <c r="AN35">
        <f>IF(Beersheet!$A$2="QB",
INDEX(Beersheet!$A:$U,MATCH(Draft!AF35,Beersheet!$C:$C,0),FFARawStatProjections!$BQ$1),
INDEX('Draft Slayer Classic'!$AG:$AG,MATCH(AF35,'Draft Slayer Classic'!$AE:$AE,0)))</f>
        <v>174.77350000000001</v>
      </c>
      <c r="AO35" s="557">
        <f>INDEX('Draft Slayer Classic'!$AH:$AH,MATCH(AF35,'Draft Slayer Classic'!$AE:$AE,0))</f>
        <v>8</v>
      </c>
      <c r="AP35">
        <f>IFERROR(IF(INDEX(Instructions!$V$86:$V$105,MATCH(Draft!AF35,Instructions!$S$86:$S$105,0))&lt;='Draft Slayer Classic'!$E$25,1,0),0)</f>
        <v>0</v>
      </c>
      <c r="AQ35" s="197"/>
      <c r="AR35" s="554" t="str">
        <f>INDEX('Draft Slayer Classic'!$AP:$AP,MATCH(SMALL('Draft Slayer Classic'!$AX:$AX,$G35),'Draft Slayer Classic'!$AX:$AX,0))</f>
        <v>Michael Mayer</v>
      </c>
      <c r="AS35" s="555" t="str">
        <f>INDEX(FFARawStatProjections!$B:$B,MATCH(AR35,FFARawStatProjections!$A:$A,0))</f>
        <v>LV</v>
      </c>
      <c r="AT35" s="556" t="str">
        <f>INDEX(FFARawStatProjections!$D:$D,MATCH(AR35,FFARawStatProjections!$A:$A,0))&amp;IF(AU35&gt;0," ("&amp;AU35&amp;")","")</f>
        <v>13</v>
      </c>
      <c r="AU35">
        <f>IFERROR(INDEX($BQ$8:$BQ$21,MATCH(INDEX(FFARawStatProjections!$D:$D,MATCH(AR35,FFARawStatProjections!$A:$A,0)),$BP$8:$BP$21,0)),0)</f>
        <v>0</v>
      </c>
      <c r="AV35" s="464">
        <f>INDEX(TEproj!M:M,MATCH(Draft!AR35,TEproj!D:D,0))</f>
        <v>0</v>
      </c>
      <c r="AW35" t="e">
        <f>INDEX(ADP!$G:$G,MATCH(AR35,ADP!$D:$D,0))</f>
        <v>#N/A</v>
      </c>
      <c r="AX35" t="e">
        <f>IF(AND(AW35&gt;=$R$5,AW35&lt;$R$4),1,
IF(AND(AW35&gt;=$R$4,AW35&lt;$R$3),2,
IF(AW35&gt;=$R$3,3,
IF(AND(COUNTIF(AX$6:AX34,1)=0,COUNTIF(AW$6:AW34,"&lt;="&amp;$R$5)=(COUNTIF(AW$6:AW$20,"&lt;="&amp;$R$5)-1)),1,0))))</f>
        <v>#N/A</v>
      </c>
      <c r="AY35" s="466">
        <f>(IFERROR(AZ35-INDEX(AZ:AZ,MATCH(1,AX:AX,0)),0)+
IFERROR(AZ35-INDEX(AZ:AZ,MATCH(2,AX:AX,0)),0)*0.5+
IFERROR(AZ35-INDEX(AZ:AZ,MATCH(3,AX:AX,0)),0)*0.25
)/16*IF(ISBLANK(Beersheet!$A$1),1,16)</f>
        <v>-13.890601875</v>
      </c>
      <c r="AZ35">
        <f>IF(Beersheet!$A$2="QB",
INDEX(Beersheet!$A:$U,MATCH(Draft!AR35,Beersheet!$C:$C,0),FFARawStatProjections!$BQ$1),
INDEX('Draft Slayer Classic'!$AR:$AR,MATCH(AR35,'Draft Slayer Classic'!$AP:$AP,0)))</f>
        <v>92.73639</v>
      </c>
      <c r="BA35" s="557">
        <f>INDEX('Draft Slayer Classic'!$AS:$AS,MATCH(AR35,'Draft Slayer Classic'!$AP:$AP,0))</f>
        <v>8</v>
      </c>
      <c r="BB35">
        <f>IFERROR(IF(INDEX(Instructions!$X$86:$X$105,MATCH(Draft!AR35,Instructions!$T$86:$T$105,0))&lt;='Draft Slayer Classic'!$E$25,1,0),0)</f>
        <v>0</v>
      </c>
      <c r="BC35" s="197"/>
      <c r="BD35" s="554" t="str">
        <f>INDEX('Draft Slayer Classic'!$BA:$BA,MATCH(SMALL('Draft Slayer Classic'!$BD:$BD,$G35),'Draft Slayer Classic'!$BD:$BD,0))</f>
        <v>AZ</v>
      </c>
      <c r="BE35" s="557" t="str">
        <f>INDEX(FFARawStatProjections!$D:$D,MATCH(BD35,FFARawStatProjections!$B:$B,0))&amp;IF(BF35&gt;0," ("&amp;BF35&amp;")","")</f>
        <v>14</v>
      </c>
      <c r="BF35">
        <f>IFERROR(INDEX($BQ$8:$BQ$21,MATCH(INDEX(FFARawStatProjections!$D:$D,MATCH(BC35,FFARawStatProjections!$A:$A,0)),$BP$8:$BP$21,0)),0)</f>
        <v>0</v>
      </c>
      <c r="BG35" s="464">
        <f>INDEX(FFARawStatProjections!$E:$E,MATCH(BD35,FFARawStatProjections!$B:$B,0))*0.1</f>
        <v>0</v>
      </c>
      <c r="BI35" s="197"/>
      <c r="BJ35" s="554" t="str">
        <f>INDEX('Draft Slayer Classic'!$BF:$BF,MATCH(SMALL('Draft Slayer Classic'!$BJ:$BJ,$G35),'Draft Slayer Classic'!$BJ:$BJ,0))</f>
        <v>Anders Carlson</v>
      </c>
      <c r="BK35" s="555" t="str">
        <f>INDEX(FFARawStatProjections!$B:$B,MATCH(BJ35,FFARawStatProjections!$A:$A,0))</f>
        <v>GB</v>
      </c>
      <c r="BL35" s="557" t="str">
        <f>INDEX(FFARawStatProjections!$D:$D,MATCH(BJ35,FFARawStatProjections!$A:$A,0))&amp;IF(BM35&gt;0," ("&amp;BM35&amp;")","")</f>
        <v>6</v>
      </c>
      <c r="BM35">
        <f>IFERROR(INDEX($BQ$8:$BQ$21,MATCH(INDEX(FFARawStatProjections!$D:$D,MATCH(BJ35,FFARawStatProjections!$A:$A,0)),$BP$8:$BP$21,0)),0)</f>
        <v>0</v>
      </c>
      <c r="BN35" s="466">
        <f>INDEX(FFARawStatProjections!$E:$E,MATCH(Draft!BJ35,FFARawStatProjections!$A:$A,0))*0.1</f>
        <v>0</v>
      </c>
      <c r="BO35" s="197"/>
      <c r="BT35" t="str">
        <f>IF(FFARawStatProjections!A30=0,"",FFARawStatProjections!A30)</f>
        <v>Kyler Murray</v>
      </c>
      <c r="BU35" t="str">
        <f>IF(FFARawStatProjections!C30=0,"",FFARawStatProjections!C30)</f>
        <v>QB</v>
      </c>
      <c r="BV35" t="str">
        <f>IF(FFARawStatProjections!B30=0,"",FFARawStatProjections!B30)</f>
        <v>AZ</v>
      </c>
      <c r="BX35">
        <v>29</v>
      </c>
      <c r="BY35" s="89" t="str">
        <f t="shared" si="3"/>
        <v/>
      </c>
      <c r="BZ35" s="89" t="str">
        <f t="shared" si="4"/>
        <v/>
      </c>
      <c r="CA35" s="89" t="str">
        <f t="shared" si="5"/>
        <v/>
      </c>
    </row>
    <row r="36" spans="1:79" ht="33.75" hidden="1" customHeight="1" x14ac:dyDescent="0.25">
      <c r="A36" s="473" t="str">
        <f t="shared" si="6"/>
        <v/>
      </c>
      <c r="B36" s="474"/>
      <c r="C36" s="479" t="str">
        <f t="shared" si="9"/>
        <v/>
      </c>
      <c r="D36" s="190" t="str">
        <f t="shared" si="10"/>
        <v/>
      </c>
      <c r="E36" s="190">
        <f>IFERROR(INDEX(Instructions!$U$111:$U$222,MATCH(Draft!A36,Instructions!$U$111:$U$222,0)),0)</f>
        <v>0</v>
      </c>
      <c r="F36" s="197"/>
      <c r="G36">
        <v>31</v>
      </c>
      <c r="H36" s="549" t="str">
        <f>INDEX('Draft Slayer Classic'!$I:$I,MATCH(SMALL('Draft Slayer Classic'!$Q:$Q,$G36),'Draft Slayer Classic'!$Q:$Q,0))</f>
        <v>Baker Mayfield</v>
      </c>
      <c r="I36" s="550" t="str">
        <f>INDEX(FFARawStatProjections!$B:$B,MATCH(H36,FFARawStatProjections!$A:$A,0))</f>
        <v>TB</v>
      </c>
      <c r="J36" s="551" t="str">
        <f>INDEX(FFARawStatProjections!$D:$D,MATCH(H36,FFARawStatProjections!$A:$A,0))&amp;IF(K36&gt;0," ("&amp;K36&amp;")","")</f>
        <v>5</v>
      </c>
      <c r="K36">
        <f>IFERROR(INDEX($BQ$8:$BQ$21,MATCH(INDEX(FFARawStatProjections!$D:$D,MATCH(H36,FFARawStatProjections!$A:$A,0)),$BP$8:$BP$21,0)),0)</f>
        <v>0</v>
      </c>
      <c r="L36" s="552">
        <f>INDEX(QBproj!M:M,MATCH(Draft!H36,QBproj!D:D,0))</f>
        <v>0</v>
      </c>
      <c r="M36" t="e">
        <f>INDEX(ADP!$G:$G,MATCH(H36,ADP!$D:$D,0))</f>
        <v>#N/A</v>
      </c>
      <c r="N36" t="e">
        <f>IF(AND(M36&gt;=$R$5,M36&lt;$R$4),1,
IF(AND(M36&gt;=$R$4,M36&lt;$R$3),2,
IF(M36&gt;=$R$3,3,
IF(AND(COUNTIF(N$6:N35,1)=0,COUNTIF(M$6:M35,"&lt;="&amp;$R$5)=(COUNTIF(M$6:M$20,"&lt;="&amp;$R$5)-1)),1,0))))</f>
        <v>#N/A</v>
      </c>
      <c r="O36" s="552">
        <f>(IFERROR(P36-INDEX(P:P,MATCH(1,N:N,0)),0)+
IFERROR(P36-INDEX(P:P,MATCH(2,N:N,0)),0)*0.5+
IFERROR(P36-INDEX(P:P,MATCH(3,N:N,0)),0)*0.25
)/16*IF(ISBLANK(Beersheet!$A$1),1,16)</f>
        <v>-19.700280312500006</v>
      </c>
      <c r="P36">
        <f>IF(Beersheet!$A$2="QB",
INDEX(Beersheet!$A:$U,MATCH(Draft!H36,Beersheet!$C:$C,0),FFARawStatProjections!$BQ$1),
INDEX('Draft Slayer Classic'!$K:$K,MATCH(H36,'Draft Slayer Classic'!$I:$I,0)))</f>
        <v>191.23431999999997</v>
      </c>
      <c r="Q36" s="553">
        <f>INDEX('Draft Slayer Classic'!$L:$L,MATCH(H36,'Draft Slayer Classic'!$I:$I,0))</f>
        <v>8</v>
      </c>
      <c r="R36">
        <f>IFERROR(IF(INDEX(Instructions!$V$64:$V$83,MATCH(Draft!H36,Instructions!$S$64:$S$83,0))&lt;='Draft Slayer Classic'!$E$25,1,0),0)</f>
        <v>0</v>
      </c>
      <c r="S36" s="197"/>
      <c r="T36" s="549" t="str">
        <f>INDEX('Draft Slayer Classic'!$T:$T,MATCH(SMALL('Draft Slayer Classic'!$AB:$AB,$G36),'Draft Slayer Classic'!$AB:$AB,0))</f>
        <v>Antonio Gibson</v>
      </c>
      <c r="U36" s="550" t="str">
        <f>INDEX(FFARawStatProjections!$B:$B,MATCH(T36,FFARawStatProjections!$A:$A,0))</f>
        <v>WAS</v>
      </c>
      <c r="V36" s="551" t="str">
        <f>INDEX(FFARawStatProjections!$D:$D,MATCH(T36,FFARawStatProjections!$A:$A,0))&amp;IF(W36&gt;0," ("&amp;W36&amp;")","")</f>
        <v>14</v>
      </c>
      <c r="W36">
        <f>IFERROR(INDEX($BQ$8:$BQ$21,MATCH(INDEX(FFARawStatProjections!$D:$D,MATCH(T36,FFARawStatProjections!$A:$A,0)),$BP$8:$BP$21,0)),0)</f>
        <v>0</v>
      </c>
      <c r="X36" s="552">
        <f>INDEX(RBproj!M:M,MATCH(Draft!T36,RBproj!D:D,0))</f>
        <v>0</v>
      </c>
      <c r="Y36">
        <f>INDEX(ADP!$G:$G,MATCH(T36,ADP!$D:$D,0))</f>
        <v>88.900694999999999</v>
      </c>
      <c r="Z36">
        <f>IF(AND(Y36&gt;=$R$5,Y36&lt;$R$4),1,
IF(AND(Y36&gt;=$R$4,Y36&lt;$R$3),2,
IF(Y36&gt;=$R$3,3,
IF(AND(COUNTIF(Z$6:Z35,1)=0,COUNTIF(Y$6:Y35,"&lt;="&amp;$R$5)=(COUNTIF(Y$6:Y$20,"&lt;="&amp;$R$5)-1)),1,0))))</f>
        <v>3</v>
      </c>
      <c r="AA36" s="552">
        <f>(IFERROR(AB36-INDEX(AB:AB,MATCH(1,Z:Z,0)),0)+
IFERROR(AB36-INDEX(AB:AB,MATCH(2,Z:Z,0)),0)*0.5+
IFERROR(AB36-INDEX(AB:AB,MATCH(3,Z:Z,0)),0)*0.25
)/16*IF(ISBLANK(Beersheet!$A$1),1,16)</f>
        <v>-13.804189843750001</v>
      </c>
      <c r="AB36">
        <f>IF(Beersheet!$A$2="QB",
INDEX(Beersheet!$A:$U,MATCH(Draft!T36,Beersheet!$C:$C,0),FFARawStatProjections!$BQ$1),
INDEX('Draft Slayer Classic'!$V:$V,MATCH(T36,'Draft Slayer Classic'!$T:$T,0)))</f>
        <v>148.61147000000003</v>
      </c>
      <c r="AC36" s="553">
        <f>INDEX('Draft Slayer Classic'!$W:$W,MATCH(T36,'Draft Slayer Classic'!$T:$T,0))</f>
        <v>8</v>
      </c>
      <c r="AD36">
        <f>IFERROR(IF(INDEX(Instructions!$X$64:$X$83,MATCH(Draft!T36,Instructions!$T$64:$T$83,0))&lt;='Draft Slayer Classic'!$E$25,1,0),0)</f>
        <v>0</v>
      </c>
      <c r="AE36" s="197"/>
      <c r="AF36" s="549" t="str">
        <f>INDEX('Draft Slayer Classic'!$AE:$AE,MATCH(SMALL('Draft Slayer Classic'!$AM:$AM,$G36),'Draft Slayer Classic'!$AM:$AM,0))</f>
        <v>Jordan Addison</v>
      </c>
      <c r="AG36" s="550" t="str">
        <f>INDEX(FFARawStatProjections!$B:$B,MATCH(AF36,FFARawStatProjections!$A:$A,0))</f>
        <v>MIN</v>
      </c>
      <c r="AH36" s="551" t="str">
        <f>INDEX(FFARawStatProjections!$D:$D,MATCH(AF36,FFARawStatProjections!$A:$A,0))&amp;IF(AI36&gt;0," ("&amp;AI36&amp;")","")</f>
        <v>13</v>
      </c>
      <c r="AI36">
        <f>IFERROR(INDEX($BQ$8:$BQ$21,MATCH(INDEX(FFARawStatProjections!$D:$D,MATCH(AF36,FFARawStatProjections!$A:$A,0)),$BP$8:$BP$21,0)),0)</f>
        <v>0</v>
      </c>
      <c r="AJ36" s="552">
        <f>INDEX(WRproj!M:M,MATCH(Draft!AF36,WRproj!D:D,0))</f>
        <v>0</v>
      </c>
      <c r="AK36">
        <f>INDEX(ADP!$G:$G,MATCH(AF36,ADP!$D:$D,0))</f>
        <v>85.500350999999995</v>
      </c>
      <c r="AL36">
        <f>IF(AND(AK36&gt;=$R$5,AK36&lt;$R$4),1,
IF(AND(AK36&gt;=$R$4,AK36&lt;$R$3),2,
IF(AK36&gt;=$R$3,3,
IF(AND(COUNTIF(AL$6:AL35,1)=0,COUNTIF(AK$6:AK35,"&lt;="&amp;$R$5)=(COUNTIF(AK$6:AK$20,"&lt;="&amp;$R$5)-1)),1,0))))</f>
        <v>3</v>
      </c>
      <c r="AM36" s="552">
        <f>(IFERROR(AN36-INDEX(AN:AN,MATCH(1,AL:AL,0)),0)+
IFERROR(AN36-INDEX(AN:AN,MATCH(2,AL:AL,0)),0)*0.5+
IFERROR(AN36-INDEX(AN:AN,MATCH(3,AL:AL,0)),0)*0.25
)/16*IF(ISBLANK(Beersheet!$A$1),1,16)</f>
        <v>-10.311529843750002</v>
      </c>
      <c r="AN36">
        <f>IF(Beersheet!$A$2="QB",
INDEX(Beersheet!$A:$U,MATCH(Draft!AF36,Beersheet!$C:$C,0),FFARawStatProjections!$BQ$1),
INDEX('Draft Slayer Classic'!$AG:$AG,MATCH(AF36,'Draft Slayer Classic'!$AE:$AE,0)))</f>
        <v>174.45352</v>
      </c>
      <c r="AO36" s="553">
        <f>INDEX('Draft Slayer Classic'!$AH:$AH,MATCH(AF36,'Draft Slayer Classic'!$AE:$AE,0))</f>
        <v>8</v>
      </c>
      <c r="AP36">
        <f>IFERROR(IF(INDEX(Instructions!$V$86:$V$105,MATCH(Draft!AF36,Instructions!$S$86:$S$105,0))&lt;='Draft Slayer Classic'!$E$25,1,0),0)</f>
        <v>0</v>
      </c>
      <c r="AQ36" s="197"/>
      <c r="AR36" s="549" t="str">
        <f>INDEX('Draft Slayer Classic'!$AP:$AP,MATCH(SMALL('Draft Slayer Classic'!$AX:$AX,$G36),'Draft Slayer Classic'!$AX:$AX,0))</f>
        <v>Mike Gesicki</v>
      </c>
      <c r="AS36" s="550" t="str">
        <f>INDEX(FFARawStatProjections!$B:$B,MATCH(AR36,FFARawStatProjections!$A:$A,0))</f>
        <v>NE</v>
      </c>
      <c r="AT36" s="551" t="str">
        <f>INDEX(FFARawStatProjections!$D:$D,MATCH(AR36,FFARawStatProjections!$A:$A,0))&amp;IF(AU36&gt;0," ("&amp;AU36&amp;")","")</f>
        <v>11</v>
      </c>
      <c r="AU36">
        <f>IFERROR(INDEX($BQ$8:$BQ$21,MATCH(INDEX(FFARawStatProjections!$D:$D,MATCH(AR36,FFARawStatProjections!$A:$A,0)),$BP$8:$BP$21,0)),0)</f>
        <v>0</v>
      </c>
      <c r="AV36" s="552">
        <f>INDEX(TEproj!M:M,MATCH(Draft!AR36,TEproj!D:D,0))</f>
        <v>0</v>
      </c>
      <c r="AW36" t="e">
        <f>INDEX(ADP!$G:$G,MATCH(AR36,ADP!$D:$D,0))</f>
        <v>#N/A</v>
      </c>
      <c r="AX36" t="e">
        <f>IF(AND(AW36&gt;=$R$5,AW36&lt;$R$4),1,
IF(AND(AW36&gt;=$R$4,AW36&lt;$R$3),2,
IF(AW36&gt;=$R$3,3,
IF(AND(COUNTIF(AX$6:AX35,1)=0,COUNTIF(AW$6:AW35,"&lt;="&amp;$R$5)=(COUNTIF(AW$6:AW$20,"&lt;="&amp;$R$5)-1)),1,0))))</f>
        <v>#N/A</v>
      </c>
      <c r="AY36" s="552">
        <f>(IFERROR(AZ36-INDEX(AZ:AZ,MATCH(1,AX:AX,0)),0)+
IFERROR(AZ36-INDEX(AZ:AZ,MATCH(2,AX:AX,0)),0)*0.5+
IFERROR(AZ36-INDEX(AZ:AZ,MATCH(3,AX:AX,0)),0)*0.25
)/16*IF(ISBLANK(Beersheet!$A$1),1,16)</f>
        <v>-13.989821406249998</v>
      </c>
      <c r="AZ36">
        <f>IF(Beersheet!$A$2="QB",
INDEX(Beersheet!$A:$U,MATCH(Draft!AR36,Beersheet!$C:$C,0),FFARawStatProjections!$BQ$1),
INDEX('Draft Slayer Classic'!$AR:$AR,MATCH(AR36,'Draft Slayer Classic'!$AP:$AP,0)))</f>
        <v>91.466380000000001</v>
      </c>
      <c r="BA36" s="553">
        <f>INDEX('Draft Slayer Classic'!$AS:$AS,MATCH(AR36,'Draft Slayer Classic'!$AP:$AP,0))</f>
        <v>8</v>
      </c>
      <c r="BB36">
        <f>IFERROR(IF(INDEX(Instructions!$X$86:$X$105,MATCH(Draft!AR36,Instructions!$T$86:$T$105,0))&lt;='Draft Slayer Classic'!$E$25,1,0),0)</f>
        <v>0</v>
      </c>
      <c r="BC36" s="197"/>
      <c r="BD36" s="549" t="str">
        <f>INDEX('Draft Slayer Classic'!$BA:$BA,MATCH(SMALL('Draft Slayer Classic'!$BD:$BD,$G36),'Draft Slayer Classic'!$BD:$BD,0))</f>
        <v>CHI</v>
      </c>
      <c r="BE36" s="553" t="str">
        <f>INDEX(FFARawStatProjections!$D:$D,MATCH(BD36,FFARawStatProjections!$B:$B,0))&amp;IF(BF36&gt;0," ("&amp;BF36&amp;")","")</f>
        <v>13</v>
      </c>
      <c r="BF36">
        <f>IFERROR(INDEX($BQ$8:$BQ$21,MATCH(INDEX(FFARawStatProjections!$D:$D,MATCH(BC36,FFARawStatProjections!$A:$A,0)),$BP$8:$BP$21,0)),0)</f>
        <v>0</v>
      </c>
      <c r="BG36" s="464">
        <f>INDEX(FFARawStatProjections!$E:$E,MATCH(BD36,FFARawStatProjections!$B:$B,0))*0.1</f>
        <v>0</v>
      </c>
      <c r="BI36" s="197"/>
      <c r="BJ36" s="549" t="str">
        <f>INDEX('Draft Slayer Classic'!$BF:$BF,MATCH(SMALL('Draft Slayer Classic'!$BJ:$BJ,$G36),'Draft Slayer Classic'!$BJ:$BJ,0))</f>
        <v>Kaimi Fairbairn</v>
      </c>
      <c r="BK36" s="550" t="str">
        <f>INDEX(FFARawStatProjections!$B:$B,MATCH(BJ36,FFARawStatProjections!$A:$A,0))</f>
        <v>HOU</v>
      </c>
      <c r="BL36" s="553" t="str">
        <f>INDEX(FFARawStatProjections!$D:$D,MATCH(BJ36,FFARawStatProjections!$A:$A,0))&amp;IF(BM36&gt;0," ("&amp;BM36&amp;")","")</f>
        <v>7</v>
      </c>
      <c r="BM36">
        <f>IFERROR(INDEX($BQ$8:$BQ$21,MATCH(INDEX(FFARawStatProjections!$D:$D,MATCH(BJ36,FFARawStatProjections!$A:$A,0)),$BP$8:$BP$21,0)),0)</f>
        <v>0</v>
      </c>
      <c r="BN36" s="466">
        <f>INDEX(FFARawStatProjections!$E:$E,MATCH(Draft!BJ36,FFARawStatProjections!$A:$A,0))*0.1</f>
        <v>0</v>
      </c>
      <c r="BO36" s="197"/>
      <c r="BT36" t="str">
        <f>IF(FFARawStatProjections!A31=0,"",FFARawStatProjections!A31)</f>
        <v>Sam Howell</v>
      </c>
      <c r="BU36" t="str">
        <f>IF(FFARawStatProjections!C31=0,"",FFARawStatProjections!C31)</f>
        <v>QB</v>
      </c>
      <c r="BV36" t="str">
        <f>IF(FFARawStatProjections!B31=0,"",FFARawStatProjections!B31)</f>
        <v>WAS</v>
      </c>
      <c r="BX36">
        <v>30</v>
      </c>
      <c r="BY36" s="89" t="str">
        <f t="shared" si="3"/>
        <v/>
      </c>
      <c r="BZ36" s="89" t="str">
        <f t="shared" si="4"/>
        <v/>
      </c>
      <c r="CA36" s="89" t="str">
        <f t="shared" si="5"/>
        <v/>
      </c>
    </row>
    <row r="37" spans="1:79" ht="33.75" hidden="1" customHeight="1" x14ac:dyDescent="0.25">
      <c r="A37" s="469" t="str">
        <f t="shared" si="6"/>
        <v/>
      </c>
      <c r="B37" s="472"/>
      <c r="C37" s="478" t="str">
        <f t="shared" si="9"/>
        <v/>
      </c>
      <c r="D37" s="190" t="str">
        <f t="shared" si="10"/>
        <v/>
      </c>
      <c r="E37" s="190">
        <f>IFERROR(INDEX(Instructions!$U$111:$U$222,MATCH(Draft!A37,Instructions!$U$111:$U$222,0)),0)</f>
        <v>0</v>
      </c>
      <c r="F37" s="197"/>
      <c r="G37">
        <v>32</v>
      </c>
      <c r="H37" s="554" t="str">
        <f>INDEX('Draft Slayer Classic'!$I:$I,MATCH(SMALL('Draft Slayer Classic'!$Q:$Q,$G37),'Draft Slayer Classic'!$Q:$Q,0))</f>
        <v>Jacoby Brissett</v>
      </c>
      <c r="I37" s="555" t="str">
        <f>INDEX(FFARawStatProjections!$B:$B,MATCH(H37,FFARawStatProjections!$A:$A,0))</f>
        <v>WAS</v>
      </c>
      <c r="J37" s="556" t="str">
        <f>INDEX(FFARawStatProjections!$D:$D,MATCH(H37,FFARawStatProjections!$A:$A,0))&amp;IF(K37&gt;0," ("&amp;K37&amp;")","")</f>
        <v>14</v>
      </c>
      <c r="K37">
        <f>IFERROR(INDEX($BQ$8:$BQ$21,MATCH(INDEX(FFARawStatProjections!$D:$D,MATCH(H37,FFARawStatProjections!$A:$A,0)),$BP$8:$BP$21,0)),0)</f>
        <v>0</v>
      </c>
      <c r="L37" s="466">
        <f>INDEX(QBproj!M:M,MATCH(Draft!H37,QBproj!D:D,0))</f>
        <v>0</v>
      </c>
      <c r="M37" t="e">
        <f>INDEX(ADP!$G:$G,MATCH(H37,ADP!$D:$D,0))</f>
        <v>#N/A</v>
      </c>
      <c r="N37" t="e">
        <f>IF(AND(M37&gt;=$R$5,M37&lt;$R$4),1,
IF(AND(M37&gt;=$R$4,M37&lt;$R$3),2,
IF(M37&gt;=$R$3,3,
IF(AND(COUNTIF(N$6:N36,1)=0,COUNTIF(M$6:M36,"&lt;="&amp;$R$5)=(COUNTIF(M$6:M$20,"&lt;="&amp;$R$5)-1)),1,0))))</f>
        <v>#N/A</v>
      </c>
      <c r="O37" s="466">
        <f>(IFERROR(P37-INDEX(P:P,MATCH(1,N:N,0)),0)+
IFERROR(P37-INDEX(P:P,MATCH(2,N:N,0)),0)*0.5+
IFERROR(P37-INDEX(P:P,MATCH(3,N:N,0)),0)*0.25
)/16*IF(ISBLANK(Beersheet!$A$1),1,16)</f>
        <v>-31.571841718749997</v>
      </c>
      <c r="P37">
        <f>IF(Beersheet!$A$2="QB",
INDEX(Beersheet!$A:$U,MATCH(Draft!H37,Beersheet!$C:$C,0),FFARawStatProjections!$BQ$1),
INDEX('Draft Slayer Classic'!$K:$K,MATCH(H37,'Draft Slayer Classic'!$I:$I,0)))</f>
        <v>82.694330000000022</v>
      </c>
      <c r="Q37" s="557">
        <f>INDEX('Draft Slayer Classic'!$L:$L,MATCH(H37,'Draft Slayer Classic'!$I:$I,0))</f>
        <v>8</v>
      </c>
      <c r="R37">
        <f>IFERROR(IF(INDEX(Instructions!$V$64:$V$83,MATCH(Draft!H37,Instructions!$S$64:$S$83,0))&lt;='Draft Slayer Classic'!$E$25,1,0),0)</f>
        <v>0</v>
      </c>
      <c r="S37" s="197"/>
      <c r="T37" s="554" t="str">
        <f>INDEX('Draft Slayer Classic'!$T:$T,MATCH(SMALL('Draft Slayer Classic'!$AB:$AB,$G37),'Draft Slayer Classic'!$AB:$AB,0))</f>
        <v>Brian Robinson</v>
      </c>
      <c r="U37" s="555" t="str">
        <f>INDEX(FFARawStatProjections!$B:$B,MATCH(T37,FFARawStatProjections!$A:$A,0))</f>
        <v>WAS</v>
      </c>
      <c r="V37" s="556" t="str">
        <f>INDEX(FFARawStatProjections!$D:$D,MATCH(T37,FFARawStatProjections!$A:$A,0))&amp;IF(W37&gt;0," ("&amp;W37&amp;")","")</f>
        <v>14</v>
      </c>
      <c r="W37">
        <f>IFERROR(INDEX($BQ$8:$BQ$21,MATCH(INDEX(FFARawStatProjections!$D:$D,MATCH(T37,FFARawStatProjections!$A:$A,0)),$BP$8:$BP$21,0)),0)</f>
        <v>0</v>
      </c>
      <c r="X37" s="464">
        <f>INDEX(RBproj!M:M,MATCH(Draft!T37,RBproj!D:D,0))</f>
        <v>0.39999999999999947</v>
      </c>
      <c r="Y37">
        <f>INDEX(ADP!$G:$G,MATCH(T37,ADP!$D:$D,0))</f>
        <v>79.100659999999991</v>
      </c>
      <c r="Z37">
        <f>IF(AND(Y37&gt;=$R$5,Y37&lt;$R$4),1,
IF(AND(Y37&gt;=$R$4,Y37&lt;$R$3),2,
IF(Y37&gt;=$R$3,3,
IF(AND(COUNTIF(Z$6:Z36,1)=0,COUNTIF(Y$6:Y36,"&lt;="&amp;$R$5)=(COUNTIF(Y$6:Y$20,"&lt;="&amp;$R$5)-1)),1,0))))</f>
        <v>3</v>
      </c>
      <c r="AA37" s="466">
        <f>(IFERROR(AB37-INDEX(AB:AB,MATCH(1,Z:Z,0)),0)+
IFERROR(AB37-INDEX(AB:AB,MATCH(2,Z:Z,0)),0)*0.5+
IFERROR(AB37-INDEX(AB:AB,MATCH(3,Z:Z,0)),0)*0.25
)/16*IF(ISBLANK(Beersheet!$A$1),1,16)</f>
        <v>-13.859967812499999</v>
      </c>
      <c r="AB37">
        <f>IF(Beersheet!$A$2="QB",
INDEX(Beersheet!$A:$U,MATCH(Draft!T37,Beersheet!$C:$C,0),FFARawStatProjections!$BQ$1),
INDEX('Draft Slayer Classic'!$V:$V,MATCH(T37,'Draft Slayer Classic'!$T:$T,0)))</f>
        <v>148.10150000000002</v>
      </c>
      <c r="AC37" s="557">
        <f>INDEX('Draft Slayer Classic'!$W:$W,MATCH(T37,'Draft Slayer Classic'!$T:$T,0))</f>
        <v>8</v>
      </c>
      <c r="AD37">
        <f>IFERROR(IF(INDEX(Instructions!$X$64:$X$83,MATCH(Draft!T37,Instructions!$T$64:$T$83,0))&lt;='Draft Slayer Classic'!$E$25,1,0),0)</f>
        <v>0</v>
      </c>
      <c r="AE37" s="197"/>
      <c r="AF37" s="554" t="str">
        <f>INDEX('Draft Slayer Classic'!$AE:$AE,MATCH(SMALL('Draft Slayer Classic'!$AM:$AM,$G37),'Draft Slayer Classic'!$AM:$AM,0))</f>
        <v>Brandin Cooks</v>
      </c>
      <c r="AG37" s="555" t="str">
        <f>INDEX(FFARawStatProjections!$B:$B,MATCH(AF37,FFARawStatProjections!$A:$A,0))</f>
        <v>DAL</v>
      </c>
      <c r="AH37" s="556" t="str">
        <f>INDEX(FFARawStatProjections!$D:$D,MATCH(AF37,FFARawStatProjections!$A:$A,0))&amp;IF(AI37&gt;0," ("&amp;AI37&amp;")","")</f>
        <v>7</v>
      </c>
      <c r="AI37">
        <f>IFERROR(INDEX($BQ$8:$BQ$21,MATCH(INDEX(FFARawStatProjections!$D:$D,MATCH(AF37,FFARawStatProjections!$A:$A,0)),$BP$8:$BP$21,0)),0)</f>
        <v>0</v>
      </c>
      <c r="AJ37" s="464">
        <f>INDEX(WRproj!M:M,MATCH(Draft!AF37,WRproj!D:D,0))</f>
        <v>0</v>
      </c>
      <c r="AK37">
        <f>INDEX(ADP!$G:$G,MATCH(AF37,ADP!$D:$D,0))</f>
        <v>91.200675000000004</v>
      </c>
      <c r="AL37">
        <f>IF(AND(AK37&gt;=$R$5,AK37&lt;$R$4),1,
IF(AND(AK37&gt;=$R$4,AK37&lt;$R$3),2,
IF(AK37&gt;=$R$3,3,
IF(AND(COUNTIF(AL$6:AL36,1)=0,COUNTIF(AK$6:AK36,"&lt;="&amp;$R$5)=(COUNTIF(AK$6:AK$20,"&lt;="&amp;$R$5)-1)),1,0))))</f>
        <v>3</v>
      </c>
      <c r="AM37" s="466">
        <f>(IFERROR(AN37-INDEX(AN:AN,MATCH(1,AL:AL,0)),0)+
IFERROR(AN37-INDEX(AN:AN,MATCH(2,AL:AL,0)),0)*0.5+
IFERROR(AN37-INDEX(AN:AN,MATCH(3,AL:AL,0)),0)*0.25
)/16*IF(ISBLANK(Beersheet!$A$1),1,16)</f>
        <v>-10.366218437499999</v>
      </c>
      <c r="AN37">
        <f>IF(Beersheet!$A$2="QB",
INDEX(Beersheet!$A:$U,MATCH(Draft!AF37,Beersheet!$C:$C,0),FFARawStatProjections!$BQ$1),
INDEX('Draft Slayer Classic'!$AG:$AG,MATCH(AF37,'Draft Slayer Classic'!$AE:$AE,0)))</f>
        <v>173.95351000000002</v>
      </c>
      <c r="AO37" s="557">
        <f>INDEX('Draft Slayer Classic'!$AH:$AH,MATCH(AF37,'Draft Slayer Classic'!$AE:$AE,0))</f>
        <v>8</v>
      </c>
      <c r="AP37">
        <f>IFERROR(IF(INDEX(Instructions!$V$86:$V$105,MATCH(Draft!AF37,Instructions!$S$86:$S$105,0))&lt;='Draft Slayer Classic'!$E$25,1,0),0)</f>
        <v>0</v>
      </c>
      <c r="AQ37" s="197"/>
      <c r="AR37" s="563" t="str">
        <f>INDEX('Draft Slayer Classic'!$AP:$AP,MATCH(SMALL('Draft Slayer Classic'!$AX:$AX,$G37),'Draft Slayer Classic'!$AX:$AX,0))</f>
        <v>Luke Musgrave</v>
      </c>
      <c r="AS37" s="555" t="str">
        <f>INDEX(FFARawStatProjections!$B:$B,MATCH(AR37,FFARawStatProjections!$A:$A,0))</f>
        <v>GB</v>
      </c>
      <c r="AT37" s="556" t="str">
        <f>INDEX(FFARawStatProjections!$D:$D,MATCH(AR37,FFARawStatProjections!$A:$A,0))&amp;IF(AU37&gt;0," ("&amp;AU37&amp;")","")</f>
        <v>6</v>
      </c>
      <c r="AU37">
        <f>IFERROR(INDEX($BQ$8:$BQ$21,MATCH(INDEX(FFARawStatProjections!$D:$D,MATCH(AR37,FFARawStatProjections!$A:$A,0)),$BP$8:$BP$21,0)),0)</f>
        <v>0</v>
      </c>
      <c r="AV37" s="464">
        <f>INDEX(TEproj!M:M,MATCH(Draft!AR37,TEproj!D:D,0))</f>
        <v>0</v>
      </c>
      <c r="AW37" t="e">
        <f>INDEX(ADP!$G:$G,MATCH(AR37,ADP!$D:$D,0))</f>
        <v>#N/A</v>
      </c>
      <c r="AX37" t="e">
        <f>IF(AND(AW37&gt;=$R$5,AW37&lt;$R$4),1,
IF(AND(AW37&gt;=$R$4,AW37&lt;$R$3),2,
IF(AW37&gt;=$R$3,3,
IF(AND(COUNTIF(AX$6:AX36,1)=0,COUNTIF(AW$6:AW36,"&lt;="&amp;$R$5)=(COUNTIF(AW$6:AW$20,"&lt;="&amp;$R$5)-1)),1,0))))</f>
        <v>#N/A</v>
      </c>
      <c r="AY37" s="466">
        <f>(IFERROR(AZ37-INDEX(AZ:AZ,MATCH(1,AX:AX,0)),0)+
IFERROR(AZ37-INDEX(AZ:AZ,MATCH(2,AX:AX,0)),0)*0.5+
IFERROR(AZ37-INDEX(AZ:AZ,MATCH(3,AX:AX,0)),0)*0.25
)/16*IF(ISBLANK(Beersheet!$A$1),1,16)</f>
        <v>-14.450755781249999</v>
      </c>
      <c r="AZ37">
        <f>IF(Beersheet!$A$2="QB",
INDEX(Beersheet!$A:$U,MATCH(Draft!AR37,Beersheet!$C:$C,0),FFARawStatProjections!$BQ$1),
INDEX('Draft Slayer Classic'!$AR:$AR,MATCH(AR37,'Draft Slayer Classic'!$AP:$AP,0)))</f>
        <v>85.566420000000008</v>
      </c>
      <c r="BA37" s="557">
        <f>INDEX('Draft Slayer Classic'!$AS:$AS,MATCH(AR37,'Draft Slayer Classic'!$AP:$AP,0))</f>
        <v>8</v>
      </c>
      <c r="BB37">
        <f>IFERROR(IF(INDEX(Instructions!$X$86:$X$105,MATCH(Draft!AR37,Instructions!$T$86:$T$105,0))&lt;='Draft Slayer Classic'!$E$25,1,0),0)</f>
        <v>0</v>
      </c>
      <c r="BC37" s="197"/>
      <c r="BD37" s="554" t="str">
        <f>INDEX('Draft Slayer Classic'!$BA:$BA,MATCH(SMALL('Draft Slayer Classic'!$BD:$BD,$G37),'Draft Slayer Classic'!$BD:$BD,0))</f>
        <v>LV</v>
      </c>
      <c r="BE37" s="557" t="str">
        <f>INDEX(FFARawStatProjections!$D:$D,MATCH(BD37,FFARawStatProjections!$B:$B,0))&amp;IF(BF37&gt;0," ("&amp;BF37&amp;")","")</f>
        <v>13</v>
      </c>
      <c r="BF37">
        <f>IFERROR(INDEX($BQ$8:$BQ$21,MATCH(INDEX(FFARawStatProjections!$D:$D,MATCH(BC37,FFARawStatProjections!$A:$A,0)),$BP$8:$BP$21,0)),0)</f>
        <v>0</v>
      </c>
      <c r="BG37" s="464">
        <f>INDEX(FFARawStatProjections!$E:$E,MATCH(BD37,FFARawStatProjections!$B:$B,0))*0.1</f>
        <v>0</v>
      </c>
      <c r="BI37" s="197"/>
      <c r="BJ37" s="554" t="str">
        <f>INDEX('Draft Slayer Classic'!$BF:$BF,MATCH(SMALL('Draft Slayer Classic'!$BJ:$BJ,$G37),'Draft Slayer Classic'!$BJ:$BJ,0))</f>
        <v>Chad Ryland</v>
      </c>
      <c r="BK37" s="555" t="str">
        <f>INDEX(FFARawStatProjections!$B:$B,MATCH(BJ37,FFARawStatProjections!$A:$A,0))</f>
        <v>NE</v>
      </c>
      <c r="BL37" s="557" t="str">
        <f>INDEX(FFARawStatProjections!$D:$D,MATCH(BJ37,FFARawStatProjections!$A:$A,0))&amp;IF(BM37&gt;0," ("&amp;BM37&amp;")","")</f>
        <v>11</v>
      </c>
      <c r="BM37">
        <f>IFERROR(INDEX($BQ$8:$BQ$21,MATCH(INDEX(FFARawStatProjections!$D:$D,MATCH(BJ37,FFARawStatProjections!$A:$A,0)),$BP$8:$BP$21,0)),0)</f>
        <v>0</v>
      </c>
      <c r="BN37" s="466">
        <f>INDEX(FFARawStatProjections!$E:$E,MATCH(Draft!BJ37,FFARawStatProjections!$A:$A,0))*0.1</f>
        <v>0</v>
      </c>
      <c r="BO37" s="197"/>
      <c r="BT37" t="str">
        <f>IF(FFARawStatProjections!A32=0,"",FFARawStatProjections!A32)</f>
        <v>Desmond Ridder</v>
      </c>
      <c r="BU37" t="str">
        <f>IF(FFARawStatProjections!C32=0,"",FFARawStatProjections!C32)</f>
        <v>QB</v>
      </c>
      <c r="BV37" t="str">
        <f>IF(FFARawStatProjections!B32=0,"",FFARawStatProjections!B32)</f>
        <v>ATL</v>
      </c>
      <c r="BX37">
        <v>31</v>
      </c>
      <c r="BY37" s="89" t="str">
        <f t="shared" si="3"/>
        <v/>
      </c>
      <c r="BZ37" s="89" t="str">
        <f t="shared" si="4"/>
        <v/>
      </c>
      <c r="CA37" s="89" t="str">
        <f t="shared" si="5"/>
        <v/>
      </c>
    </row>
    <row r="38" spans="1:79" ht="33.75" hidden="1" customHeight="1" x14ac:dyDescent="0.25">
      <c r="A38" s="473" t="str">
        <f t="shared" si="6"/>
        <v/>
      </c>
      <c r="B38" s="474"/>
      <c r="C38" s="479" t="str">
        <f t="shared" si="9"/>
        <v/>
      </c>
      <c r="D38" s="190" t="str">
        <f t="shared" si="10"/>
        <v/>
      </c>
      <c r="E38" s="190">
        <f>IFERROR(INDEX(Instructions!$U$111:$U$222,MATCH(Draft!A38,Instructions!$U$111:$U$222,0)),0)</f>
        <v>0</v>
      </c>
      <c r="F38" s="197"/>
      <c r="G38">
        <v>33</v>
      </c>
      <c r="H38" s="549" t="str">
        <f>INDEX('Draft Slayer Classic'!$I:$I,MATCH(SMALL('Draft Slayer Classic'!$Q:$Q,$G38),'Draft Slayer Classic'!$Q:$Q,0))</f>
        <v>Kyle Trask</v>
      </c>
      <c r="I38" s="550" t="str">
        <f>INDEX(FFARawStatProjections!$B:$B,MATCH(H38,FFARawStatProjections!$A:$A,0))</f>
        <v>TB</v>
      </c>
      <c r="J38" s="551" t="str">
        <f>INDEX(FFARawStatProjections!$D:$D,MATCH(H38,FFARawStatProjections!$A:$A,0))&amp;IF(K38&gt;0," ("&amp;K38&amp;")","")</f>
        <v>5</v>
      </c>
      <c r="K38">
        <f>IFERROR(INDEX($BQ$8:$BQ$21,MATCH(INDEX(FFARawStatProjections!$D:$D,MATCH(H38,FFARawStatProjections!$A:$A,0)),$BP$8:$BP$21,0)),0)</f>
        <v>0</v>
      </c>
      <c r="L38" s="552">
        <f>INDEX(QBproj!M:M,MATCH(Draft!H38,QBproj!D:D,0))</f>
        <v>0</v>
      </c>
      <c r="M38" t="e">
        <f>INDEX(ADP!$G:$G,MATCH(H38,ADP!$D:$D,0))</f>
        <v>#N/A</v>
      </c>
      <c r="N38" t="e">
        <f>IF(AND(M38&gt;=$R$5,M38&lt;$R$4),1,
IF(AND(M38&gt;=$R$4,M38&lt;$R$3),2,
IF(M38&gt;=$R$3,3,
IF(AND(COUNTIF(N$6:N37,1)=0,COUNTIF(M$6:M37,"&lt;="&amp;$R$5)=(COUNTIF(M$6:M$20,"&lt;="&amp;$R$5)-1)),1,0))))</f>
        <v>#N/A</v>
      </c>
      <c r="O38" s="552">
        <f>(IFERROR(P38-INDEX(P:P,MATCH(1,N:N,0)),0)+
IFERROR(P38-INDEX(P:P,MATCH(2,N:N,0)),0)*0.5+
IFERROR(P38-INDEX(P:P,MATCH(3,N:N,0)),0)*0.25
)/16*IF(ISBLANK(Beersheet!$A$1),1,16)</f>
        <v>-31.984840624999997</v>
      </c>
      <c r="P38">
        <f>IF(Beersheet!$A$2="QB",
INDEX(Beersheet!$A:$U,MATCH(Draft!H38,Beersheet!$C:$C,0),FFARawStatProjections!$BQ$1),
INDEX('Draft Slayer Classic'!$K:$K,MATCH(H38,'Draft Slayer Classic'!$I:$I,0)))</f>
        <v>78.918340000000001</v>
      </c>
      <c r="Q38" s="553">
        <f>INDEX('Draft Slayer Classic'!$L:$L,MATCH(H38,'Draft Slayer Classic'!$I:$I,0))</f>
        <v>8</v>
      </c>
      <c r="R38">
        <f>IFERROR(IF(INDEX(Instructions!$V$64:$V$83,MATCH(Draft!H38,Instructions!$S$64:$S$83,0))&lt;='Draft Slayer Classic'!$E$25,1,0),0)</f>
        <v>0</v>
      </c>
      <c r="S38" s="197"/>
      <c r="T38" s="549" t="str">
        <f>INDEX('Draft Slayer Classic'!$T:$T,MATCH(SMALL('Draft Slayer Classic'!$AB:$AB,$G38),'Draft Slayer Classic'!$AB:$AB,0))</f>
        <v>Samaje Perine</v>
      </c>
      <c r="U38" s="550" t="str">
        <f>INDEX(FFARawStatProjections!$B:$B,MATCH(T38,FFARawStatProjections!$A:$A,0))</f>
        <v>DEN</v>
      </c>
      <c r="V38" s="551" t="str">
        <f>INDEX(FFARawStatProjections!$D:$D,MATCH(T38,FFARawStatProjections!$A:$A,0))&amp;IF(W38&gt;0," ("&amp;W38&amp;")","")</f>
        <v>9</v>
      </c>
      <c r="W38">
        <f>IFERROR(INDEX($BQ$8:$BQ$21,MATCH(INDEX(FFARawStatProjections!$D:$D,MATCH(T38,FFARawStatProjections!$A:$A,0)),$BP$8:$BP$21,0)),0)</f>
        <v>0</v>
      </c>
      <c r="X38" s="552">
        <f>INDEX(RBproj!M:M,MATCH(Draft!T38,RBproj!D:D,0))</f>
        <v>0</v>
      </c>
      <c r="Y38">
        <f>INDEX(ADP!$G:$G,MATCH(T38,ADP!$D:$D,0))</f>
        <v>94.100122999999996</v>
      </c>
      <c r="Z38">
        <f>IF(AND(Y38&gt;=$R$5,Y38&lt;$R$4),1,
IF(AND(Y38&gt;=$R$4,Y38&lt;$R$3),2,
IF(Y38&gt;=$R$3,3,
IF(AND(COUNTIF(Z$6:Z37,1)=0,COUNTIF(Y$6:Y37,"&lt;="&amp;$R$5)=(COUNTIF(Y$6:Y$20,"&lt;="&amp;$R$5)-1)),1,0))))</f>
        <v>3</v>
      </c>
      <c r="AA38" s="552">
        <f>(IFERROR(AB38-INDEX(AB:AB,MATCH(1,Z:Z,0)),0)+
IFERROR(AB38-INDEX(AB:AB,MATCH(2,Z:Z,0)),0)*0.5+
IFERROR(AB38-INDEX(AB:AB,MATCH(3,Z:Z,0)),0)*0.25
)/16*IF(ISBLANK(Beersheet!$A$1),1,16)</f>
        <v>-14.199034687500001</v>
      </c>
      <c r="AB38">
        <f>IF(Beersheet!$A$2="QB",
INDEX(Beersheet!$A:$U,MATCH(Draft!T38,Beersheet!$C:$C,0),FFARawStatProjections!$BQ$1),
INDEX('Draft Slayer Classic'!$V:$V,MATCH(T38,'Draft Slayer Classic'!$T:$T,0)))</f>
        <v>145.00146000000001</v>
      </c>
      <c r="AC38" s="553">
        <f>INDEX('Draft Slayer Classic'!$W:$W,MATCH(T38,'Draft Slayer Classic'!$T:$T,0))</f>
        <v>8</v>
      </c>
      <c r="AD38">
        <f>IFERROR(IF(INDEX(Instructions!$X$64:$X$83,MATCH(Draft!T38,Instructions!$T$64:$T$83,0))&lt;='Draft Slayer Classic'!$E$25,1,0),0)</f>
        <v>0</v>
      </c>
      <c r="AE38" s="197"/>
      <c r="AF38" s="549" t="str">
        <f>INDEX('Draft Slayer Classic'!$AE:$AE,MATCH(SMALL('Draft Slayer Classic'!$AM:$AM,$G38),'Draft Slayer Classic'!$AM:$AM,0))</f>
        <v>JuJu Smith-Schuster</v>
      </c>
      <c r="AG38" s="550" t="str">
        <f>INDEX(FFARawStatProjections!$B:$B,MATCH(AF38,FFARawStatProjections!$A:$A,0))</f>
        <v>NE</v>
      </c>
      <c r="AH38" s="551" t="str">
        <f>INDEX(FFARawStatProjections!$D:$D,MATCH(AF38,FFARawStatProjections!$A:$A,0))&amp;IF(AI38&gt;0," ("&amp;AI38&amp;")","")</f>
        <v>11</v>
      </c>
      <c r="AI38">
        <f>IFERROR(INDEX($BQ$8:$BQ$21,MATCH(INDEX(FFARawStatProjections!$D:$D,MATCH(AF38,FFARawStatProjections!$A:$A,0)),$BP$8:$BP$21,0)),0)</f>
        <v>0</v>
      </c>
      <c r="AJ38" s="552">
        <f>INDEX(WRproj!M:M,MATCH(Draft!AF38,WRproj!D:D,0))</f>
        <v>1.9000000000000004</v>
      </c>
      <c r="AK38">
        <f>INDEX(ADP!$G:$G,MATCH(AF38,ADP!$D:$D,0))</f>
        <v>110.900334</v>
      </c>
      <c r="AL38">
        <f>IF(AND(AK38&gt;=$R$5,AK38&lt;$R$4),1,
IF(AND(AK38&gt;=$R$4,AK38&lt;$R$3),2,
IF(AK38&gt;=$R$3,3,
IF(AND(COUNTIF(AL$6:AL37,1)=0,COUNTIF(AK$6:AK37,"&lt;="&amp;$R$5)=(COUNTIF(AK$6:AK$20,"&lt;="&amp;$R$5)-1)),1,0))))</f>
        <v>3</v>
      </c>
      <c r="AM38" s="552">
        <f>(IFERROR(AN38-INDEX(AN:AN,MATCH(1,AL:AL,0)),0)+
IFERROR(AN38-INDEX(AN:AN,MATCH(2,AL:AL,0)),0)*0.5+
IFERROR(AN38-INDEX(AN:AN,MATCH(3,AL:AL,0)),0)*0.25
)/16*IF(ISBLANK(Beersheet!$A$1),1,16)</f>
        <v>-10.609035312500001</v>
      </c>
      <c r="AN38">
        <f>IF(Beersheet!$A$2="QB",
INDEX(Beersheet!$A:$U,MATCH(Draft!AF38,Beersheet!$C:$C,0),FFARawStatProjections!$BQ$1),
INDEX('Draft Slayer Classic'!$AG:$AG,MATCH(AF38,'Draft Slayer Classic'!$AE:$AE,0)))</f>
        <v>171.73347000000001</v>
      </c>
      <c r="AO38" s="553">
        <f>INDEX('Draft Slayer Classic'!$AH:$AH,MATCH(AF38,'Draft Slayer Classic'!$AE:$AE,0))</f>
        <v>8</v>
      </c>
      <c r="AP38">
        <f>IFERROR(IF(INDEX(Instructions!$V$86:$V$105,MATCH(Draft!AF38,Instructions!$S$86:$S$105,0))&lt;='Draft Slayer Classic'!$E$25,1,0),0)</f>
        <v>0</v>
      </c>
      <c r="AQ38" s="197"/>
      <c r="AR38" s="549" t="str">
        <f>INDEX('Draft Slayer Classic'!$AP:$AP,MATCH(SMALL('Draft Slayer Classic'!$AX:$AX,$G38),'Draft Slayer Classic'!$AX:$AX,0))</f>
        <v>Trey McBride</v>
      </c>
      <c r="AS38" s="550" t="str">
        <f>INDEX(FFARawStatProjections!$B:$B,MATCH(AR38,FFARawStatProjections!$A:$A,0))</f>
        <v>AZ</v>
      </c>
      <c r="AT38" s="551" t="str">
        <f>INDEX(FFARawStatProjections!$D:$D,MATCH(AR38,FFARawStatProjections!$A:$A,0))&amp;IF(AU38&gt;0," ("&amp;AU38&amp;")","")</f>
        <v>14</v>
      </c>
      <c r="AU38">
        <f>IFERROR(INDEX($BQ$8:$BQ$21,MATCH(INDEX(FFARawStatProjections!$D:$D,MATCH(AR38,FFARawStatProjections!$A:$A,0)),$BP$8:$BP$21,0)),0)</f>
        <v>0</v>
      </c>
      <c r="AV38" s="552">
        <f>INDEX(TEproj!M:M,MATCH(Draft!AR38,TEproj!D:D,0))</f>
        <v>0</v>
      </c>
      <c r="AW38" t="e">
        <f>INDEX(ADP!$G:$G,MATCH(AR38,ADP!$D:$D,0))</f>
        <v>#N/A</v>
      </c>
      <c r="AX38" t="e">
        <f>IF(AND(AW38&gt;=$R$5,AW38&lt;$R$4),1,
IF(AND(AW38&gt;=$R$4,AW38&lt;$R$3),2,
IF(AW38&gt;=$R$3,3,
IF(AND(COUNTIF(AX$6:AX37,1)=0,COUNTIF(AW$6:AW37,"&lt;="&amp;$R$5)=(COUNTIF(AW$6:AW$20,"&lt;="&amp;$R$5)-1)),1,0))))</f>
        <v>#N/A</v>
      </c>
      <c r="AY38" s="552">
        <f>(IFERROR(AZ38-INDEX(AZ:AZ,MATCH(1,AX:AX,0)),0)+
IFERROR(AZ38-INDEX(AZ:AZ,MATCH(2,AX:AX,0)),0)*0.5+
IFERROR(AZ38-INDEX(AZ:AZ,MATCH(3,AX:AX,0)),0)*0.25
)/16*IF(ISBLANK(Beersheet!$A$1),1,16)</f>
        <v>-14.453098749999999</v>
      </c>
      <c r="AZ38">
        <f>IF(Beersheet!$A$2="QB",
INDEX(Beersheet!$A:$U,MATCH(Draft!AR38,Beersheet!$C:$C,0),FFARawStatProjections!$BQ$1),
INDEX('Draft Slayer Classic'!$AR:$AR,MATCH(AR38,'Draft Slayer Classic'!$AP:$AP,0)))</f>
        <v>85.536429999999996</v>
      </c>
      <c r="BA38" s="553">
        <f>INDEX('Draft Slayer Classic'!$AS:$AS,MATCH(AR38,'Draft Slayer Classic'!$AP:$AP,0))</f>
        <v>8</v>
      </c>
      <c r="BB38">
        <f>IFERROR(IF(INDEX(Instructions!$X$86:$X$105,MATCH(Draft!AR38,Instructions!$T$86:$T$105,0))&lt;='Draft Slayer Classic'!$E$25,1,0),0)</f>
        <v>0</v>
      </c>
      <c r="BC38" s="197"/>
      <c r="BD38" s="549" t="e">
        <f>INDEX('Draft Slayer Classic'!$BA:$BA,MATCH(SMALL('Draft Slayer Classic'!$BD:$BD,$G38),'Draft Slayer Classic'!$BD:$BD,0))</f>
        <v>#NUM!</v>
      </c>
      <c r="BE38" s="553" t="e">
        <f>INDEX(FFARawStatProjections!$D:$D,MATCH(BD38,FFARawStatProjections!$B:$B,0))&amp;IF(BF38&gt;0," ("&amp;BF38&amp;")","")</f>
        <v>#NUM!</v>
      </c>
      <c r="BF38">
        <f>IFERROR(INDEX($BQ$8:$BQ$21,MATCH(INDEX(FFARawStatProjections!$D:$D,MATCH(BC38,FFARawStatProjections!$A:$A,0)),$BP$8:$BP$21,0)),0)</f>
        <v>0</v>
      </c>
      <c r="BG38" s="464" t="e">
        <f>INDEX(FFARawStatProjections!$E:$E,MATCH(BD38,FFARawStatProjections!$B:$B,0))*0.1</f>
        <v>#NUM!</v>
      </c>
      <c r="BI38" s="197"/>
      <c r="BJ38" s="549" t="str">
        <f>INDEX('Draft Slayer Classic'!$BF:$BF,MATCH(SMALL('Draft Slayer Classic'!$BJ:$BJ,$G38),'Draft Slayer Classic'!$BJ:$BJ,0))</f>
        <v>Tanner Brown</v>
      </c>
      <c r="BK38" s="550" t="str">
        <f>INDEX(FFARawStatProjections!$B:$B,MATCH(BJ38,FFARawStatProjections!$A:$A,0))</f>
        <v>LAR</v>
      </c>
      <c r="BL38" s="553" t="str">
        <f>INDEX(FFARawStatProjections!$D:$D,MATCH(BJ38,FFARawStatProjections!$A:$A,0))&amp;IF(BM38&gt;0," ("&amp;BM38&amp;")","")</f>
        <v>10</v>
      </c>
      <c r="BM38">
        <f>IFERROR(INDEX($BQ$8:$BQ$21,MATCH(INDEX(FFARawStatProjections!$D:$D,MATCH(BJ38,FFARawStatProjections!$A:$A,0)),$BP$8:$BP$21,0)),0)</f>
        <v>0</v>
      </c>
      <c r="BN38" s="466">
        <f>INDEX(FFARawStatProjections!$E:$E,MATCH(Draft!BJ38,FFARawStatProjections!$A:$A,0))*0.1</f>
        <v>0</v>
      </c>
      <c r="BO38" s="197"/>
      <c r="BT38" t="str">
        <f>IF(FFARawStatProjections!A33=0,"",FFARawStatProjections!A33)</f>
        <v>Baker Mayfield</v>
      </c>
      <c r="BU38" t="str">
        <f>IF(FFARawStatProjections!C33=0,"",FFARawStatProjections!C33)</f>
        <v>QB</v>
      </c>
      <c r="BV38" t="str">
        <f>IF(FFARawStatProjections!B33=0,"",FFARawStatProjections!B33)</f>
        <v>TB</v>
      </c>
      <c r="BX38">
        <v>32</v>
      </c>
      <c r="BY38" s="89" t="str">
        <f t="shared" si="3"/>
        <v/>
      </c>
      <c r="BZ38" s="89" t="str">
        <f t="shared" si="4"/>
        <v/>
      </c>
      <c r="CA38" s="89" t="str">
        <f t="shared" si="5"/>
        <v/>
      </c>
    </row>
    <row r="39" spans="1:79" ht="33.75" hidden="1" customHeight="1" x14ac:dyDescent="0.25">
      <c r="A39" s="469" t="str">
        <f t="shared" si="6"/>
        <v/>
      </c>
      <c r="B39" s="472"/>
      <c r="C39" s="478" t="str">
        <f t="shared" si="9"/>
        <v/>
      </c>
      <c r="D39" s="190" t="str">
        <f t="shared" si="10"/>
        <v/>
      </c>
      <c r="E39" s="190">
        <f>IFERROR(INDEX(Instructions!$U$111:$U$222,MATCH(Draft!A39,Instructions!$U$111:$U$222,0)),0)</f>
        <v>0</v>
      </c>
      <c r="F39" s="197"/>
      <c r="G39">
        <v>34</v>
      </c>
      <c r="H39" s="554" t="str">
        <f>INDEX('Draft Slayer Classic'!$I:$I,MATCH(SMALL('Draft Slayer Classic'!$Q:$Q,$G39),'Draft Slayer Classic'!$Q:$Q,0))</f>
        <v>Colt McCoy</v>
      </c>
      <c r="I39" s="555" t="str">
        <f>INDEX(FFARawStatProjections!$B:$B,MATCH(H39,FFARawStatProjections!$A:$A,0))</f>
        <v>AZ</v>
      </c>
      <c r="J39" s="556" t="str">
        <f>INDEX(FFARawStatProjections!$D:$D,MATCH(H39,FFARawStatProjections!$A:$A,0))&amp;IF(K39&gt;0," ("&amp;K39&amp;")","")</f>
        <v>14</v>
      </c>
      <c r="K39">
        <f>IFERROR(INDEX($BQ$8:$BQ$21,MATCH(INDEX(FFARawStatProjections!$D:$D,MATCH(H39,FFARawStatProjections!$A:$A,0)),$BP$8:$BP$21,0)),0)</f>
        <v>0</v>
      </c>
      <c r="L39" s="466">
        <f>INDEX(QBproj!M:M,MATCH(Draft!H39,QBproj!D:D,0))</f>
        <v>0</v>
      </c>
      <c r="M39" t="e">
        <f>INDEX(ADP!$G:$G,MATCH(H39,ADP!$D:$D,0))</f>
        <v>#N/A</v>
      </c>
      <c r="N39" t="e">
        <f>IF(AND(M39&gt;=$R$5,M39&lt;$R$4),1,
IF(AND(M39&gt;=$R$4,M39&lt;$R$3),2,
IF(M39&gt;=$R$3,3,
IF(AND(COUNTIF(N$6:N38,1)=0,COUNTIF(M$6:M38,"&lt;="&amp;$R$5)=(COUNTIF(M$6:M$20,"&lt;="&amp;$R$5)-1)),1,0))))</f>
        <v>#N/A</v>
      </c>
      <c r="O39" s="466">
        <f>(IFERROR(P39-INDEX(P:P,MATCH(1,N:N,0)),0)+
IFERROR(P39-INDEX(P:P,MATCH(2,N:N,0)),0)*0.5+
IFERROR(P39-INDEX(P:P,MATCH(3,N:N,0)),0)*0.25
)/16*IF(ISBLANK(Beersheet!$A$1),1,16)</f>
        <v>-32.523402031250001</v>
      </c>
      <c r="P39">
        <f>IF(Beersheet!$A$2="QB",
INDEX(Beersheet!$A:$U,MATCH(Draft!H39,Beersheet!$C:$C,0),FFARawStatProjections!$BQ$1),
INDEX('Draft Slayer Classic'!$K:$K,MATCH(H39,'Draft Slayer Classic'!$I:$I,0)))</f>
        <v>73.994349999999997</v>
      </c>
      <c r="Q39" s="557">
        <f>INDEX('Draft Slayer Classic'!$L:$L,MATCH(H39,'Draft Slayer Classic'!$I:$I,0))</f>
        <v>8</v>
      </c>
      <c r="R39">
        <f>IFERROR(IF(INDEX(Instructions!$V$64:$V$83,MATCH(Draft!H39,Instructions!$S$64:$S$83,0))&lt;='Draft Slayer Classic'!$E$25,1,0),0)</f>
        <v>0</v>
      </c>
      <c r="S39" s="197"/>
      <c r="T39" s="554" t="str">
        <f>INDEX('Draft Slayer Classic'!$T:$T,MATCH(SMALL('Draft Slayer Classic'!$AB:$AB,$G39),'Draft Slayer Classic'!$AB:$AB,0))</f>
        <v>Jeff Wilson</v>
      </c>
      <c r="U39" s="555" t="str">
        <f>INDEX(FFARawStatProjections!$B:$B,MATCH(T39,FFARawStatProjections!$A:$A,0))</f>
        <v>MIA</v>
      </c>
      <c r="V39" s="556" t="str">
        <f>INDEX(FFARawStatProjections!$D:$D,MATCH(T39,FFARawStatProjections!$A:$A,0))&amp;IF(W39&gt;0," ("&amp;W39&amp;")","")</f>
        <v>10</v>
      </c>
      <c r="W39">
        <f>IFERROR(INDEX($BQ$8:$BQ$21,MATCH(INDEX(FFARawStatProjections!$D:$D,MATCH(T39,FFARawStatProjections!$A:$A,0)),$BP$8:$BP$21,0)),0)</f>
        <v>0</v>
      </c>
      <c r="X39" s="464">
        <f>INDEX(RBproj!M:M,MATCH(Draft!T39,RBproj!D:D,0))</f>
        <v>0</v>
      </c>
      <c r="Y39" t="e">
        <f>INDEX(ADP!$G:$G,MATCH(T39,ADP!$D:$D,0))</f>
        <v>#N/A</v>
      </c>
      <c r="Z39" t="e">
        <f>IF(AND(Y39&gt;=$R$5,Y39&lt;$R$4),1,
IF(AND(Y39&gt;=$R$4,Y39&lt;$R$3),2,
IF(Y39&gt;=$R$3,3,
IF(AND(COUNTIF(Z$6:Z38,1)=0,COUNTIF(Y$6:Y38,"&lt;="&amp;$R$5)=(COUNTIF(Y$6:Y$20,"&lt;="&amp;$R$5)-1)),1,0))))</f>
        <v>#N/A</v>
      </c>
      <c r="AA39" s="466">
        <f>(IFERROR(AB39-INDEX(AB:AB,MATCH(1,Z:Z,0)),0)+
IFERROR(AB39-INDEX(AB:AB,MATCH(2,Z:Z,0)),0)*0.5+
IFERROR(AB39-INDEX(AB:AB,MATCH(3,Z:Z,0)),0)*0.25
)/16*IF(ISBLANK(Beersheet!$A$1),1,16)</f>
        <v>-15.309182187499999</v>
      </c>
      <c r="AB39">
        <f>IF(Beersheet!$A$2="QB",
INDEX(Beersheet!$A:$U,MATCH(Draft!T39,Beersheet!$C:$C,0),FFARawStatProjections!$BQ$1),
INDEX('Draft Slayer Classic'!$V:$V,MATCH(T39,'Draft Slayer Classic'!$T:$T,0)))</f>
        <v>134.85154000000003</v>
      </c>
      <c r="AC39" s="557">
        <f>INDEX('Draft Slayer Classic'!$W:$W,MATCH(T39,'Draft Slayer Classic'!$T:$T,0))</f>
        <v>8</v>
      </c>
      <c r="AD39">
        <f>IFERROR(IF(INDEX(Instructions!$X$64:$X$83,MATCH(Draft!T39,Instructions!$T$64:$T$83,0))&lt;='Draft Slayer Classic'!$E$25,1,0),0)</f>
        <v>0</v>
      </c>
      <c r="AE39" s="197"/>
      <c r="AF39" s="554" t="str">
        <f>INDEX('Draft Slayer Classic'!$AE:$AE,MATCH(SMALL('Draft Slayer Classic'!$AM:$AM,$G39),'Draft Slayer Classic'!$AM:$AM,0))</f>
        <v>Treylon Burks</v>
      </c>
      <c r="AG39" s="555" t="str">
        <f>INDEX(FFARawStatProjections!$B:$B,MATCH(AF39,FFARawStatProjections!$A:$A,0))</f>
        <v>TEN</v>
      </c>
      <c r="AH39" s="556" t="str">
        <f>INDEX(FFARawStatProjections!$D:$D,MATCH(AF39,FFARawStatProjections!$A:$A,0))&amp;IF(AI39&gt;0," ("&amp;AI39&amp;")","")</f>
        <v>7</v>
      </c>
      <c r="AI39">
        <f>IFERROR(INDEX($BQ$8:$BQ$21,MATCH(INDEX(FFARawStatProjections!$D:$D,MATCH(AF39,FFARawStatProjections!$A:$A,0)),$BP$8:$BP$21,0)),0)</f>
        <v>0</v>
      </c>
      <c r="AJ39" s="464">
        <f>INDEX(WRproj!M:M,MATCH(Draft!AF39,WRproj!D:D,0))</f>
        <v>0</v>
      </c>
      <c r="AK39">
        <f>INDEX(ADP!$G:$G,MATCH(AF39,ADP!$D:$D,0))</f>
        <v>92.500055000000003</v>
      </c>
      <c r="AL39">
        <f>IF(AND(AK39&gt;=$R$5,AK39&lt;$R$4),1,
IF(AND(AK39&gt;=$R$4,AK39&lt;$R$3),2,
IF(AK39&gt;=$R$3,3,
IF(AND(COUNTIF(AL$6:AL38,1)=0,COUNTIF(AK$6:AK38,"&lt;="&amp;$R$5)=(COUNTIF(AK$6:AK$20,"&lt;="&amp;$R$5)-1)),1,0))))</f>
        <v>3</v>
      </c>
      <c r="AM39" s="466">
        <f>(IFERROR(AN39-INDEX(AN:AN,MATCH(1,AL:AL,0)),0)+
IFERROR(AN39-INDEX(AN:AN,MATCH(2,AL:AL,0)),0)*0.5+
IFERROR(AN39-INDEX(AN:AN,MATCH(3,AL:AL,0)),0)*0.25
)/16*IF(ISBLANK(Beersheet!$A$1),1,16)</f>
        <v>-10.661524375000003</v>
      </c>
      <c r="AN39">
        <f>IF(Beersheet!$A$2="QB",
INDEX(Beersheet!$A:$U,MATCH(Draft!AF39,Beersheet!$C:$C,0),FFARawStatProjections!$BQ$1),
INDEX('Draft Slayer Classic'!$AG:$AG,MATCH(AF39,'Draft Slayer Classic'!$AE:$AE,0)))</f>
        <v>171.25357</v>
      </c>
      <c r="AO39" s="557">
        <f>INDEX('Draft Slayer Classic'!$AH:$AH,MATCH(AF39,'Draft Slayer Classic'!$AE:$AE,0))</f>
        <v>8</v>
      </c>
      <c r="AP39">
        <f>IFERROR(IF(INDEX(Instructions!$V$86:$V$105,MATCH(Draft!AF39,Instructions!$S$86:$S$105,0))&lt;='Draft Slayer Classic'!$E$25,1,0),0)</f>
        <v>0</v>
      </c>
      <c r="AQ39" s="197"/>
      <c r="AR39" s="554" t="str">
        <f>INDEX('Draft Slayer Classic'!$AP:$AP,MATCH(SMALL('Draft Slayer Classic'!$AX:$AX,$G39),'Draft Slayer Classic'!$AX:$AX,0))</f>
        <v>Austin Hooper</v>
      </c>
      <c r="AS39" s="555" t="str">
        <f>INDEX(FFARawStatProjections!$B:$B,MATCH(AR39,FFARawStatProjections!$A:$A,0))</f>
        <v>LV</v>
      </c>
      <c r="AT39" s="556" t="str">
        <f>INDEX(FFARawStatProjections!$D:$D,MATCH(AR39,FFARawStatProjections!$A:$A,0))&amp;IF(AU39&gt;0," ("&amp;AU39&amp;")","")</f>
        <v>13</v>
      </c>
      <c r="AU39">
        <f>IFERROR(INDEX($BQ$8:$BQ$21,MATCH(INDEX(FFARawStatProjections!$D:$D,MATCH(AR39,FFARawStatProjections!$A:$A,0)),$BP$8:$BP$21,0)),0)</f>
        <v>0</v>
      </c>
      <c r="AV39" s="464">
        <f>INDEX(TEproj!M:M,MATCH(Draft!AR39,TEproj!D:D,0))</f>
        <v>0</v>
      </c>
      <c r="AW39" t="e">
        <f>INDEX(ADP!$G:$G,MATCH(AR39,ADP!$D:$D,0))</f>
        <v>#N/A</v>
      </c>
      <c r="AX39" t="e">
        <f>IF(AND(AW39&gt;=$R$5,AW39&lt;$R$4),1,
IF(AND(AW39&gt;=$R$4,AW39&lt;$R$3),2,
IF(AW39&gt;=$R$3,3,
IF(AND(COUNTIF(AX$6:AX38,1)=0,COUNTIF(AW$6:AW38,"&lt;="&amp;$R$5)=(COUNTIF(AW$6:AW$20,"&lt;="&amp;$R$5)-1)),1,0))))</f>
        <v>#N/A</v>
      </c>
      <c r="AY39" s="466">
        <f>(IFERROR(AZ39-INDEX(AZ:AZ,MATCH(1,AX:AX,0)),0)+
IFERROR(AZ39-INDEX(AZ:AZ,MATCH(2,AX:AX,0)),0)*0.5+
IFERROR(AZ39-INDEX(AZ:AZ,MATCH(3,AX:AX,0)),0)*0.25
)/16*IF(ISBLANK(Beersheet!$A$1),1,16)</f>
        <v>-15.802315937499998</v>
      </c>
      <c r="AZ39">
        <f>IF(Beersheet!$A$2="QB",
INDEX(Beersheet!$A:$U,MATCH(Draft!AR39,Beersheet!$C:$C,0),FFARawStatProjections!$BQ$1),
INDEX('Draft Slayer Classic'!$AR:$AR,MATCH(AR39,'Draft Slayer Classic'!$AP:$AP,0)))</f>
        <v>68.266450000000006</v>
      </c>
      <c r="BA39" s="557">
        <f>INDEX('Draft Slayer Classic'!$AS:$AS,MATCH(AR39,'Draft Slayer Classic'!$AP:$AP,0))</f>
        <v>8</v>
      </c>
      <c r="BB39">
        <f>IFERROR(IF(INDEX(Instructions!$X$86:$X$105,MATCH(Draft!AR39,Instructions!$T$86:$T$105,0))&lt;='Draft Slayer Classic'!$E$25,1,0),0)</f>
        <v>0</v>
      </c>
      <c r="BC39" s="197"/>
      <c r="BD39" s="554" t="e">
        <f>INDEX('Draft Slayer Classic'!$BA:$BA,MATCH(SMALL('Draft Slayer Classic'!$BD:$BD,$G39),'Draft Slayer Classic'!$BD:$BD,0))</f>
        <v>#NUM!</v>
      </c>
      <c r="BE39" s="557" t="e">
        <f>INDEX(FFARawStatProjections!$D:$D,MATCH(BD39,FFARawStatProjections!$B:$B,0))&amp;IF(BF39&gt;0," ("&amp;BF39&amp;")","")</f>
        <v>#NUM!</v>
      </c>
      <c r="BF39">
        <f>IFERROR(INDEX($BQ$8:$BQ$21,MATCH(INDEX(FFARawStatProjections!$D:$D,MATCH(BC39,FFARawStatProjections!$A:$A,0)),$BP$8:$BP$21,0)),0)</f>
        <v>0</v>
      </c>
      <c r="BG39" s="464" t="e">
        <f>INDEX(FFARawStatProjections!$E:$E,MATCH(BD39,FFARawStatProjections!$B:$B,0))*0.1</f>
        <v>#NUM!</v>
      </c>
      <c r="BI39" s="197"/>
      <c r="BJ39" s="554" t="str">
        <f>INDEX('Draft Slayer Classic'!$BF:$BF,MATCH(SMALL('Draft Slayer Classic'!$BJ:$BJ,$G39),'Draft Slayer Classic'!$BJ:$BJ,0))</f>
        <v>Joey Slye</v>
      </c>
      <c r="BK39" s="555" t="str">
        <f>INDEX(FFARawStatProjections!$B:$B,MATCH(BJ39,FFARawStatProjections!$A:$A,0))</f>
        <v>WAS</v>
      </c>
      <c r="BL39" s="557" t="str">
        <f>INDEX(FFARawStatProjections!$D:$D,MATCH(BJ39,FFARawStatProjections!$A:$A,0))&amp;IF(BM39&gt;0," ("&amp;BM39&amp;")","")</f>
        <v>14</v>
      </c>
      <c r="BM39">
        <f>IFERROR(INDEX($BQ$8:$BQ$21,MATCH(INDEX(FFARawStatProjections!$D:$D,MATCH(BJ39,FFARawStatProjections!$A:$A,0)),$BP$8:$BP$21,0)),0)</f>
        <v>0</v>
      </c>
      <c r="BN39" s="466">
        <f>INDEX(FFARawStatProjections!$E:$E,MATCH(Draft!BJ39,FFARawStatProjections!$A:$A,0))*0.1</f>
        <v>0</v>
      </c>
      <c r="BO39" s="197"/>
      <c r="BT39" t="str">
        <f>IF(FFARawStatProjections!A34=0,"",FFARawStatProjections!A34)</f>
        <v>Jacoby Brissett</v>
      </c>
      <c r="BU39" t="str">
        <f>IF(FFARawStatProjections!C34=0,"",FFARawStatProjections!C34)</f>
        <v>QB</v>
      </c>
      <c r="BV39" t="str">
        <f>IF(FFARawStatProjections!B34=0,"",FFARawStatProjections!B34)</f>
        <v>WAS</v>
      </c>
      <c r="BX39">
        <v>33</v>
      </c>
      <c r="BY39" s="89" t="str">
        <f t="shared" si="3"/>
        <v/>
      </c>
      <c r="BZ39" s="89" t="str">
        <f t="shared" si="4"/>
        <v/>
      </c>
      <c r="CA39" s="89" t="str">
        <f t="shared" si="5"/>
        <v/>
      </c>
    </row>
    <row r="40" spans="1:79" ht="33.75" hidden="1" customHeight="1" x14ac:dyDescent="0.25">
      <c r="A40" s="575" t="str">
        <f t="shared" si="6"/>
        <v/>
      </c>
      <c r="B40" s="474"/>
      <c r="C40" s="578" t="str">
        <f t="shared" si="9"/>
        <v/>
      </c>
      <c r="D40" s="190" t="str">
        <f t="shared" si="10"/>
        <v/>
      </c>
      <c r="E40" s="190">
        <f>IFERROR(INDEX(Instructions!$U$111:$U$222,MATCH(Draft!A40,Instructions!$U$111:$U$222,0)),0)</f>
        <v>0</v>
      </c>
      <c r="F40" s="581"/>
      <c r="G40">
        <v>35</v>
      </c>
      <c r="H40" s="580" t="str">
        <f>INDEX('Draft Slayer Classic'!$I:$I,MATCH(SMALL('Draft Slayer Classic'!$Q:$Q,$G40),'Draft Slayer Classic'!$Q:$Q,0))</f>
        <v>Will Levis</v>
      </c>
      <c r="I40" s="550" t="str">
        <f>INDEX(FFARawStatProjections!$B:$B,MATCH(H40,FFARawStatProjections!$A:$A,0))</f>
        <v>TEN</v>
      </c>
      <c r="J40" s="551" t="str">
        <f>INDEX(FFARawStatProjections!$D:$D,MATCH(H40,FFARawStatProjections!$A:$A,0))&amp;IF(K40&gt;0," ("&amp;K40&amp;")","")</f>
        <v>7</v>
      </c>
      <c r="K40">
        <f>IFERROR(INDEX($BQ$8:$BQ$21,MATCH(INDEX(FFARawStatProjections!$D:$D,MATCH(H40,FFARawStatProjections!$A:$A,0)),$BP$8:$BP$21,0)),0)</f>
        <v>0</v>
      </c>
      <c r="L40" s="552">
        <f>INDEX(QBproj!M:M,MATCH(Draft!H40,QBproj!D:D,0))</f>
        <v>0</v>
      </c>
      <c r="M40" t="e">
        <f>INDEX(ADP!$G:$G,MATCH(H40,ADP!$D:$D,0))</f>
        <v>#N/A</v>
      </c>
      <c r="N40" t="e">
        <f>IF(AND(M40&gt;=$R$5,M40&lt;$R$4),1,
IF(AND(M40&gt;=$R$4,M40&lt;$R$3),2,
IF(M40&gt;=$R$3,3,
IF(AND(COUNTIF(N$6:N39,1)=0,COUNTIF(M$6:M39,"&lt;="&amp;$R$5)=(COUNTIF(M$6:M$20,"&lt;="&amp;$R$5)-1)),1,0))))</f>
        <v>#N/A</v>
      </c>
      <c r="O40" s="552">
        <f>(IFERROR(P40-INDEX(P:P,MATCH(1,N:N,0)),0)+
IFERROR(P40-INDEX(P:P,MATCH(2,N:N,0)),0)*0.5+
IFERROR(P40-INDEX(P:P,MATCH(3,N:N,0)),0)*0.25
)/16*IF(ISBLANK(Beersheet!$A$1),1,16)</f>
        <v>-34.414057187499999</v>
      </c>
      <c r="P40">
        <f>IF(Beersheet!$A$2="QB",
INDEX(Beersheet!$A:$U,MATCH(Draft!H40,Beersheet!$C:$C,0),FFARawStatProjections!$BQ$1),
INDEX('Draft Slayer Classic'!$K:$K,MATCH(H40,'Draft Slayer Classic'!$I:$I,0)))</f>
        <v>56.708359999999999</v>
      </c>
      <c r="Q40" s="551">
        <f>INDEX('Draft Slayer Classic'!$L:$L,MATCH(H40,'Draft Slayer Classic'!$I:$I,0))</f>
        <v>8</v>
      </c>
      <c r="R40">
        <f>IFERROR(IF(INDEX(Instructions!$V$64:$V$83,MATCH(Draft!H40,Instructions!$S$64:$S$83,0))&lt;='Draft Slayer Classic'!$E$25,1,0),0)</f>
        <v>0</v>
      </c>
      <c r="S40" s="581"/>
      <c r="T40" s="577" t="str">
        <f>INDEX('Draft Slayer Classic'!$T:$T,MATCH(SMALL('Draft Slayer Classic'!$AB:$AB,$G40),'Draft Slayer Classic'!$AB:$AB,0))</f>
        <v>Jamaal Williams</v>
      </c>
      <c r="U40" s="550" t="str">
        <f>INDEX(FFARawStatProjections!$B:$B,MATCH(T40,FFARawStatProjections!$A:$A,0))</f>
        <v>NO</v>
      </c>
      <c r="V40" s="551" t="str">
        <f>INDEX(FFARawStatProjections!$D:$D,MATCH(T40,FFARawStatProjections!$A:$A,0))&amp;IF(W40&gt;0," ("&amp;W40&amp;")","")</f>
        <v>11</v>
      </c>
      <c r="W40">
        <f>IFERROR(INDEX($BQ$8:$BQ$21,MATCH(INDEX(FFARawStatProjections!$D:$D,MATCH(T40,FFARawStatProjections!$A:$A,0)),$BP$8:$BP$21,0)),0)</f>
        <v>0</v>
      </c>
      <c r="X40" s="552">
        <f>INDEX(RBproj!M:M,MATCH(Draft!T40,RBproj!D:D,0))</f>
        <v>1.8000000000000007</v>
      </c>
      <c r="Y40">
        <f>INDEX(ADP!$G:$G,MATCH(T40,ADP!$D:$D,0))</f>
        <v>88.500405000000001</v>
      </c>
      <c r="Z40">
        <f>IF(AND(Y40&gt;=$R$5,Y40&lt;$R$4),1,
IF(AND(Y40&gt;=$R$4,Y40&lt;$R$3),2,
IF(Y40&gt;=$R$3,3,
IF(AND(COUNTIF(Z$6:Z39,1)=0,COUNTIF(Y$6:Y39,"&lt;="&amp;$R$5)=(COUNTIF(Y$6:Y$20,"&lt;="&amp;$R$5)-1)),1,0))))</f>
        <v>3</v>
      </c>
      <c r="AA40" s="552">
        <f>(IFERROR(AB40-INDEX(AB:AB,MATCH(1,Z:Z,0)),0)+
IFERROR(AB40-INDEX(AB:AB,MATCH(2,Z:Z,0)),0)*0.5+
IFERROR(AB40-INDEX(AB:AB,MATCH(3,Z:Z,0)),0)*0.25
)/16*IF(ISBLANK(Beersheet!$A$1),1,16)</f>
        <v>-16.236683281250002</v>
      </c>
      <c r="AB40">
        <f>IF(Beersheet!$A$2="QB",
INDEX(Beersheet!$A:$U,MATCH(Draft!T40,Beersheet!$C:$C,0),FFARawStatProjections!$BQ$1),
INDEX('Draft Slayer Classic'!$V:$V,MATCH(T40,'Draft Slayer Classic'!$T:$T,0)))</f>
        <v>126.37153000000001</v>
      </c>
      <c r="AC40" s="551">
        <f>INDEX('Draft Slayer Classic'!$W:$W,MATCH(T40,'Draft Slayer Classic'!$T:$T,0))</f>
        <v>8</v>
      </c>
      <c r="AD40">
        <f>IFERROR(IF(INDEX(Instructions!$X$64:$X$83,MATCH(Draft!T40,Instructions!$T$64:$T$83,0))&lt;='Draft Slayer Classic'!$E$25,1,0),0)</f>
        <v>0</v>
      </c>
      <c r="AE40" s="581"/>
      <c r="AF40" s="577" t="str">
        <f>INDEX('Draft Slayer Classic'!$AE:$AE,MATCH(SMALL('Draft Slayer Classic'!$AM:$AM,$G40),'Draft Slayer Classic'!$AM:$AM,0))</f>
        <v>Jaxon Smith-Njigba</v>
      </c>
      <c r="AG40" s="550" t="str">
        <f>INDEX(FFARawStatProjections!$B:$B,MATCH(AF40,FFARawStatProjections!$A:$A,0))</f>
        <v>SEA</v>
      </c>
      <c r="AH40" s="551" t="str">
        <f>INDEX(FFARawStatProjections!$D:$D,MATCH(AF40,FFARawStatProjections!$A:$A,0))&amp;IF(AI40&gt;0," ("&amp;AI40&amp;")","")</f>
        <v>5</v>
      </c>
      <c r="AI40">
        <f>IFERROR(INDEX($BQ$8:$BQ$21,MATCH(INDEX(FFARawStatProjections!$D:$D,MATCH(AF40,FFARawStatProjections!$A:$A,0)),$BP$8:$BP$21,0)),0)</f>
        <v>0</v>
      </c>
      <c r="AJ40" s="552">
        <f>INDEX(WRproj!M:M,MATCH(Draft!AF40,WRproj!D:D,0))</f>
        <v>0</v>
      </c>
      <c r="AK40">
        <f>INDEX(ADP!$G:$G,MATCH(AF40,ADP!$D:$D,0))</f>
        <v>89.200381000000007</v>
      </c>
      <c r="AL40">
        <f>IF(AND(AK40&gt;=$R$5,AK40&lt;$R$4),1,
IF(AND(AK40&gt;=$R$4,AK40&lt;$R$3),2,
IF(AK40&gt;=$R$3,3,
IF(AND(COUNTIF(AL$6:AL39,1)=0,COUNTIF(AK$6:AK39,"&lt;="&amp;$R$5)=(COUNTIF(AK$6:AK$20,"&lt;="&amp;$R$5)-1)),1,0))))</f>
        <v>3</v>
      </c>
      <c r="AM40" s="552">
        <f>(IFERROR(AN40-INDEX(AN:AN,MATCH(1,AL:AL,0)),0)+
IFERROR(AN40-INDEX(AN:AN,MATCH(2,AL:AL,0)),0)*0.5+
IFERROR(AN40-INDEX(AN:AN,MATCH(3,AL:AL,0)),0)*0.25
)/16*IF(ISBLANK(Beersheet!$A$1),1,16)</f>
        <v>-11.018089062500001</v>
      </c>
      <c r="AN40">
        <f>IF(Beersheet!$A$2="QB",
INDEX(Beersheet!$A:$U,MATCH(Draft!AF40,Beersheet!$C:$C,0),FFARawStatProjections!$BQ$1),
INDEX('Draft Slayer Classic'!$AG:$AG,MATCH(AF40,'Draft Slayer Classic'!$AE:$AE,0)))</f>
        <v>167.99355</v>
      </c>
      <c r="AO40" s="551">
        <f>INDEX('Draft Slayer Classic'!$AH:$AH,MATCH(AF40,'Draft Slayer Classic'!$AE:$AE,0))</f>
        <v>8</v>
      </c>
      <c r="AP40">
        <f>IFERROR(IF(INDEX(Instructions!$V$86:$V$105,MATCH(Draft!AF40,Instructions!$S$86:$S$105,0))&lt;='Draft Slayer Classic'!$E$25,1,0),0)</f>
        <v>0</v>
      </c>
      <c r="AQ40" s="581"/>
      <c r="AR40" s="577" t="str">
        <f>INDEX('Draft Slayer Classic'!$AP:$AP,MATCH(SMALL('Draft Slayer Classic'!$AX:$AX,$G40),'Draft Slayer Classic'!$AX:$AX,0))</f>
        <v>Isaiah Likely</v>
      </c>
      <c r="AS40" s="550" t="str">
        <f>INDEX(FFARawStatProjections!$B:$B,MATCH(AR40,FFARawStatProjections!$A:$A,0))</f>
        <v>BAL</v>
      </c>
      <c r="AT40" s="551" t="str">
        <f>INDEX(FFARawStatProjections!$D:$D,MATCH(AR40,FFARawStatProjections!$A:$A,0))&amp;IF(AU40&gt;0," ("&amp;AU40&amp;")","")</f>
        <v>13</v>
      </c>
      <c r="AU40">
        <f>IFERROR(INDEX($BQ$8:$BQ$21,MATCH(INDEX(FFARawStatProjections!$D:$D,MATCH(AR40,FFARawStatProjections!$A:$A,0)),$BP$8:$BP$21,0)),0)</f>
        <v>0</v>
      </c>
      <c r="AV40" s="552">
        <f>INDEX(TEproj!M:M,MATCH(Draft!AR40,TEproj!D:D,0))</f>
        <v>0</v>
      </c>
      <c r="AW40" t="e">
        <f>INDEX(ADP!$G:$G,MATCH(AR40,ADP!$D:$D,0))</f>
        <v>#N/A</v>
      </c>
      <c r="AX40" t="e">
        <f>IF(AND(AW40&gt;=$R$5,AW40&lt;$R$4),1,
IF(AND(AW40&gt;=$R$4,AW40&lt;$R$3),2,
IF(AW40&gt;=$R$3,3,
IF(AND(COUNTIF(AX$6:AX39,1)=0,COUNTIF(AW$6:AW39,"&lt;="&amp;$R$5)=(COUNTIF(AW$6:AW$20,"&lt;="&amp;$R$5)-1)),1,0))))</f>
        <v>#N/A</v>
      </c>
      <c r="AY40" s="552">
        <f>(IFERROR(AZ40-INDEX(AZ:AZ,MATCH(1,AX:AX,0)),0)+
IFERROR(AZ40-INDEX(AZ:AZ,MATCH(2,AX:AX,0)),0)*0.5+
IFERROR(AZ40-INDEX(AZ:AZ,MATCH(3,AX:AX,0)),0)*0.25
)/16*IF(ISBLANK(Beersheet!$A$1),1,16)</f>
        <v>-15.97341046875</v>
      </c>
      <c r="AZ40">
        <f>IF(Beersheet!$A$2="QB",
INDEX(Beersheet!$A:$U,MATCH(Draft!AR40,Beersheet!$C:$C,0),FFARawStatProjections!$BQ$1),
INDEX('Draft Slayer Classic'!$AR:$AR,MATCH(AR40,'Draft Slayer Classic'!$AP:$AP,0)))</f>
        <v>66.076439999999991</v>
      </c>
      <c r="BA40" s="551">
        <f>INDEX('Draft Slayer Classic'!$AS:$AS,MATCH(AR40,'Draft Slayer Classic'!$AP:$AP,0))</f>
        <v>8</v>
      </c>
      <c r="BB40">
        <f>IFERROR(IF(INDEX(Instructions!$X$86:$X$105,MATCH(Draft!AR40,Instructions!$T$86:$T$105,0))&lt;='Draft Slayer Classic'!$E$25,1,0),0)</f>
        <v>0</v>
      </c>
      <c r="BC40" s="581"/>
      <c r="BD40" s="577" t="e">
        <f>INDEX('Draft Slayer Classic'!$BA:$BA,MATCH(SMALL('Draft Slayer Classic'!$BD:$BD,$G40),'Draft Slayer Classic'!$BD:$BD,0))</f>
        <v>#NUM!</v>
      </c>
      <c r="BE40" s="551" t="e">
        <f>INDEX(FFARawStatProjections!$D:$D,MATCH(BD40,FFARawStatProjections!$B:$B,0))&amp;IF(BF40&gt;0," ("&amp;BF40&amp;")","")</f>
        <v>#NUM!</v>
      </c>
      <c r="BF40">
        <f>IFERROR(INDEX($BQ$8:$BQ$21,MATCH(INDEX(FFARawStatProjections!$D:$D,MATCH(BC40,FFARawStatProjections!$A:$A,0)),$BP$8:$BP$21,0)),0)</f>
        <v>0</v>
      </c>
      <c r="BG40" s="464" t="e">
        <f>INDEX(FFARawStatProjections!$E:$E,MATCH(BD40,FFARawStatProjections!$B:$B,0))*0.1</f>
        <v>#NUM!</v>
      </c>
      <c r="BI40" s="581"/>
      <c r="BJ40" s="577" t="e">
        <f>INDEX('Draft Slayer Classic'!$BF:$BF,MATCH(SMALL('Draft Slayer Classic'!$BJ:$BJ,$G40),'Draft Slayer Classic'!$BJ:$BJ,0))</f>
        <v>#NUM!</v>
      </c>
      <c r="BK40" s="550" t="e">
        <f>INDEX(FFARawStatProjections!$B:$B,MATCH(BJ40,FFARawStatProjections!$A:$A,0))</f>
        <v>#NUM!</v>
      </c>
      <c r="BL40" s="551" t="e">
        <f>INDEX(FFARawStatProjections!$D:$D,MATCH(BJ40,FFARawStatProjections!$A:$A,0))&amp;IF(BM40&gt;0," ("&amp;BM40&amp;")","")</f>
        <v>#NUM!</v>
      </c>
      <c r="BM40">
        <f>IFERROR(INDEX($BQ$8:$BQ$21,MATCH(INDEX(FFARawStatProjections!$D:$D,MATCH(BJ40,FFARawStatProjections!$A:$A,0)),$BP$8:$BP$21,0)),0)</f>
        <v>0</v>
      </c>
      <c r="BN40" s="466" t="e">
        <f>INDEX(FFARawStatProjections!$E:$E,MATCH(Draft!BJ40,FFARawStatProjections!$A:$A,0))*0.1</f>
        <v>#NUM!</v>
      </c>
      <c r="BO40" s="581"/>
      <c r="BT40" t="str">
        <f>IF(FFARawStatProjections!A35=0,"",FFARawStatProjections!A35)</f>
        <v>Kyle Trask</v>
      </c>
      <c r="BU40" t="str">
        <f>IF(FFARawStatProjections!C35=0,"",FFARawStatProjections!C35)</f>
        <v>QB</v>
      </c>
      <c r="BV40" t="str">
        <f>IF(FFARawStatProjections!B35=0,"",FFARawStatProjections!B35)</f>
        <v>TB</v>
      </c>
      <c r="BX40">
        <v>34</v>
      </c>
      <c r="BY40" s="89" t="str">
        <f t="shared" si="3"/>
        <v/>
      </c>
      <c r="BZ40" s="89" t="str">
        <f t="shared" si="4"/>
        <v/>
      </c>
      <c r="CA40" s="89" t="str">
        <f t="shared" si="5"/>
        <v/>
      </c>
    </row>
    <row r="41" spans="1:79" ht="33.75" hidden="1" customHeight="1" x14ac:dyDescent="0.25">
      <c r="A41" s="469" t="str">
        <f t="shared" si="6"/>
        <v/>
      </c>
      <c r="B41" s="472"/>
      <c r="C41" s="478" t="str">
        <f t="shared" si="9"/>
        <v/>
      </c>
      <c r="D41" s="190" t="str">
        <f t="shared" si="10"/>
        <v/>
      </c>
      <c r="E41" s="190">
        <f>IFERROR(INDEX(Instructions!$U$111:$U$222,MATCH(Draft!A41,Instructions!$U$111:$U$222,0)),0)</f>
        <v>0</v>
      </c>
      <c r="F41" s="579"/>
      <c r="G41">
        <v>36</v>
      </c>
      <c r="H41" s="554" t="str">
        <f>INDEX('Draft Slayer Classic'!$I:$I,MATCH(SMALL('Draft Slayer Classic'!$Q:$Q,$G41),'Draft Slayer Classic'!$Q:$Q,0))</f>
        <v>Trey Lance</v>
      </c>
      <c r="I41" s="555" t="str">
        <f>INDEX(FFARawStatProjections!$B:$B,MATCH(H41,FFARawStatProjections!$A:$A,0))</f>
        <v>SF</v>
      </c>
      <c r="J41" s="556" t="str">
        <f>INDEX(FFARawStatProjections!$D:$D,MATCH(H41,FFARawStatProjections!$A:$A,0))&amp;IF(K41&gt;0," ("&amp;K41&amp;")","")</f>
        <v>9</v>
      </c>
      <c r="K41">
        <f>IFERROR(INDEX($BQ$8:$BQ$21,MATCH(INDEX(FFARawStatProjections!$D:$D,MATCH(H41,FFARawStatProjections!$A:$A,0)),$BP$8:$BP$21,0)),0)</f>
        <v>0</v>
      </c>
      <c r="L41" s="466">
        <f>INDEX(QBproj!M:M,MATCH(Draft!H41,QBproj!D:D,0))</f>
        <v>0</v>
      </c>
      <c r="M41" t="e">
        <f>INDEX(ADP!$G:$G,MATCH(H41,ADP!$D:$D,0))</f>
        <v>#N/A</v>
      </c>
      <c r="N41" t="e">
        <f>IF(AND(M41&gt;=$R$5,M41&lt;$R$4),1,
IF(AND(M41&gt;=$R$4,M41&lt;$R$3),2,
IF(M41&gt;=$R$3,3,
IF(AND(COUNTIF(N$6:N40,1)=0,COUNTIF(M$6:M40,"&lt;="&amp;$R$5)=(COUNTIF(M$6:M$20,"&lt;="&amp;$R$5)-1)),1,0))))</f>
        <v>#N/A</v>
      </c>
      <c r="O41" s="466">
        <f>(IFERROR(P41-INDEX(P:P,MATCH(1,N:N,0)),0)+
IFERROR(P41-INDEX(P:P,MATCH(2,N:N,0)),0)*0.5+
IFERROR(P41-INDEX(P:P,MATCH(3,N:N,0)),0)*0.25
)/16*IF(ISBLANK(Beersheet!$A$1),1,16)</f>
        <v>-34.708056093749995</v>
      </c>
      <c r="P41">
        <f>IF(Beersheet!$A$2="QB",
INDEX(Beersheet!$A:$U,MATCH(Draft!H41,Beersheet!$C:$C,0),FFARawStatProjections!$BQ$1),
INDEX('Draft Slayer Classic'!$K:$K,MATCH(H41,'Draft Slayer Classic'!$I:$I,0)))</f>
        <v>54.02037</v>
      </c>
      <c r="Q41" s="557">
        <f>INDEX('Draft Slayer Classic'!$L:$L,MATCH(H41,'Draft Slayer Classic'!$I:$I,0))</f>
        <v>8</v>
      </c>
      <c r="R41">
        <f>IFERROR(IF(INDEX(Instructions!$V$64:$V$83,MATCH(Draft!H41,Instructions!$S$64:$S$83,0))&lt;='Draft Slayer Classic'!$E$25,1,0),0)</f>
        <v>0</v>
      </c>
      <c r="S41" s="197"/>
      <c r="T41" s="554" t="str">
        <f>INDEX('Draft Slayer Classic'!$T:$T,MATCH(SMALL('Draft Slayer Classic'!$AB:$AB,$G41),'Draft Slayer Classic'!$AB:$AB,0))</f>
        <v>Rashaad Penny</v>
      </c>
      <c r="U41" s="555" t="str">
        <f>INDEX(FFARawStatProjections!$B:$B,MATCH(T41,FFARawStatProjections!$A:$A,0))</f>
        <v>PHI</v>
      </c>
      <c r="V41" s="556" t="str">
        <f>INDEX(FFARawStatProjections!$D:$D,MATCH(T41,FFARawStatProjections!$A:$A,0))&amp;IF(W41&gt;0," ("&amp;W41&amp;")","")</f>
        <v>10</v>
      </c>
      <c r="W41">
        <f>IFERROR(INDEX($BQ$8:$BQ$21,MATCH(INDEX(FFARawStatProjections!$D:$D,MATCH(T41,FFARawStatProjections!$A:$A,0)),$BP$8:$BP$21,0)),0)</f>
        <v>0</v>
      </c>
      <c r="X41" s="464">
        <f>INDEX(RBproj!M:M,MATCH(Draft!T41,RBproj!D:D,0))</f>
        <v>0</v>
      </c>
      <c r="Y41">
        <f>INDEX(ADP!$G:$G,MATCH(T41,ADP!$D:$D,0))</f>
        <v>83.900153000000003</v>
      </c>
      <c r="Z41">
        <f>IF(AND(Y41&gt;=$R$5,Y41&lt;$R$4),1,
IF(AND(Y41&gt;=$R$4,Y41&lt;$R$3),2,
IF(Y41&gt;=$R$3,3,
IF(AND(COUNTIF(Z$6:Z40,1)=0,COUNTIF(Y$6:Y40,"&lt;="&amp;$R$5)=(COUNTIF(Y$6:Y$20,"&lt;="&amp;$R$5)-1)),1,0))))</f>
        <v>3</v>
      </c>
      <c r="AA41" s="466">
        <f>(IFERROR(AB41-INDEX(AB:AB,MATCH(1,Z:Z,0)),0)+
IFERROR(AB41-INDEX(AB:AB,MATCH(2,Z:Z,0)),0)*0.5+
IFERROR(AB41-INDEX(AB:AB,MATCH(3,Z:Z,0)),0)*0.25
)/16*IF(ISBLANK(Beersheet!$A$1),1,16)</f>
        <v>-16.540741406250003</v>
      </c>
      <c r="AB41">
        <f>IF(Beersheet!$A$2="QB",
INDEX(Beersheet!$A:$U,MATCH(Draft!T41,Beersheet!$C:$C,0),FFARawStatProjections!$BQ$1),
INDEX('Draft Slayer Classic'!$V:$V,MATCH(T41,'Draft Slayer Classic'!$T:$T,0)))</f>
        <v>123.59157</v>
      </c>
      <c r="AC41" s="557">
        <f>INDEX('Draft Slayer Classic'!$W:$W,MATCH(T41,'Draft Slayer Classic'!$T:$T,0))</f>
        <v>8</v>
      </c>
      <c r="AD41">
        <f>IFERROR(IF(INDEX(Instructions!$X$64:$X$83,MATCH(Draft!T41,Instructions!$T$64:$T$83,0))&lt;='Draft Slayer Classic'!$E$25,1,0),0)</f>
        <v>0</v>
      </c>
      <c r="AE41" s="197"/>
      <c r="AF41" s="554" t="str">
        <f>INDEX('Draft Slayer Classic'!$AE:$AE,MATCH(SMALL('Draft Slayer Classic'!$AM:$AM,$G41),'Draft Slayer Classic'!$AM:$AM,0))</f>
        <v>Michael Thomas</v>
      </c>
      <c r="AG41" s="555" t="str">
        <f>INDEX(FFARawStatProjections!$B:$B,MATCH(AF41,FFARawStatProjections!$A:$A,0))</f>
        <v>NO</v>
      </c>
      <c r="AH41" s="556" t="str">
        <f>INDEX(FFARawStatProjections!$D:$D,MATCH(AF41,FFARawStatProjections!$A:$A,0))&amp;IF(AI41&gt;0," ("&amp;AI41&amp;")","")</f>
        <v>11</v>
      </c>
      <c r="AI41">
        <f>IFERROR(INDEX($BQ$8:$BQ$21,MATCH(INDEX(FFARawStatProjections!$D:$D,MATCH(AF41,FFARawStatProjections!$A:$A,0)),$BP$8:$BP$21,0)),0)</f>
        <v>0</v>
      </c>
      <c r="AJ41" s="464">
        <f>INDEX(WRproj!M:M,MATCH(Draft!AF41,WRproj!D:D,0))</f>
        <v>0.19999999999999929</v>
      </c>
      <c r="AK41">
        <f>INDEX(ADP!$G:$G,MATCH(AF41,ADP!$D:$D,0))</f>
        <v>107.200225</v>
      </c>
      <c r="AL41">
        <f>IF(AND(AK41&gt;=$R$5,AK41&lt;$R$4),1,
IF(AND(AK41&gt;=$R$4,AK41&lt;$R$3),2,
IF(AK41&gt;=$R$3,3,
IF(AND(COUNTIF(AL$6:AL40,1)=0,COUNTIF(AK$6:AK40,"&lt;="&amp;$R$5)=(COUNTIF(AK$6:AK$20,"&lt;="&amp;$R$5)-1)),1,0))))</f>
        <v>3</v>
      </c>
      <c r="AM41" s="466">
        <f>(IFERROR(AN41-INDEX(AN:AN,MATCH(1,AL:AL,0)),0)+
IFERROR(AN41-INDEX(AN:AN,MATCH(2,AL:AL,0)),0)*0.5+
IFERROR(AN41-INDEX(AN:AN,MATCH(3,AL:AL,0)),0)*0.25
)/16*IF(ISBLANK(Beersheet!$A$1),1,16)</f>
        <v>-11.069496406250005</v>
      </c>
      <c r="AN41">
        <f>IF(Beersheet!$A$2="QB",
INDEX(Beersheet!$A:$U,MATCH(Draft!AF41,Beersheet!$C:$C,0),FFARawStatProjections!$BQ$1),
INDEX('Draft Slayer Classic'!$AG:$AG,MATCH(AF41,'Draft Slayer Classic'!$AE:$AE,0)))</f>
        <v>167.52353999999997</v>
      </c>
      <c r="AO41" s="557">
        <f>INDEX('Draft Slayer Classic'!$AH:$AH,MATCH(AF41,'Draft Slayer Classic'!$AE:$AE,0))</f>
        <v>8</v>
      </c>
      <c r="AP41">
        <f>IFERROR(IF(INDEX(Instructions!$V$86:$V$105,MATCH(Draft!AF41,Instructions!$S$86:$S$105,0))&lt;='Draft Slayer Classic'!$E$25,1,0),0)</f>
        <v>0</v>
      </c>
      <c r="AQ41" s="197"/>
      <c r="AR41" s="554" t="str">
        <f>INDEX('Draft Slayer Classic'!$AP:$AP,MATCH(SMALL('Draft Slayer Classic'!$AX:$AX,$G41),'Draft Slayer Classic'!$AX:$AX,0))</f>
        <v>Noah Gray</v>
      </c>
      <c r="AS41" s="555" t="str">
        <f>INDEX(FFARawStatProjections!$B:$B,MATCH(AR41,FFARawStatProjections!$A:$A,0))</f>
        <v>KC</v>
      </c>
      <c r="AT41" s="556" t="str">
        <f>INDEX(FFARawStatProjections!$D:$D,MATCH(AR41,FFARawStatProjections!$A:$A,0))&amp;IF(AU41&gt;0," ("&amp;AU41&amp;")","")</f>
        <v>10</v>
      </c>
      <c r="AU41">
        <f>IFERROR(INDEX($BQ$8:$BQ$21,MATCH(INDEX(FFARawStatProjections!$D:$D,MATCH(AR41,FFARawStatProjections!$A:$A,0)),$BP$8:$BP$21,0)),0)</f>
        <v>0</v>
      </c>
      <c r="AV41" s="464">
        <f>INDEX(TEproj!M:M,MATCH(Draft!AR41,TEproj!D:D,0))</f>
        <v>0</v>
      </c>
      <c r="AW41" t="e">
        <f>INDEX(ADP!$G:$G,MATCH(AR41,ADP!$D:$D,0))</f>
        <v>#N/A</v>
      </c>
      <c r="AX41" t="e">
        <f>IF(AND(AW41&gt;=$R$5,AW41&lt;$R$4),1,
IF(AND(AW41&gt;=$R$4,AW41&lt;$R$3),2,
IF(AW41&gt;=$R$3,3,
IF(AND(COUNTIF(AX$6:AX40,1)=0,COUNTIF(AW$6:AW40,"&lt;="&amp;$R$5)=(COUNTIF(AW$6:AW$20,"&lt;="&amp;$R$5)-1)),1,0))))</f>
        <v>#N/A</v>
      </c>
      <c r="AY41" s="466">
        <f>(IFERROR(AZ41-INDEX(AZ:AZ,MATCH(1,AX:AX,0)),0)+
IFERROR(AZ41-INDEX(AZ:AZ,MATCH(2,AX:AX,0)),0)*0.5+
IFERROR(AZ41-INDEX(AZ:AZ,MATCH(3,AX:AX,0)),0)*0.25
)/16*IF(ISBLANK(Beersheet!$A$1),1,16)</f>
        <v>-16.866377656250002</v>
      </c>
      <c r="AZ41">
        <f>IF(Beersheet!$A$2="QB",
INDEX(Beersheet!$A:$U,MATCH(Draft!AR41,Beersheet!$C:$C,0),FFARawStatProjections!$BQ$1),
INDEX('Draft Slayer Classic'!$AR:$AR,MATCH(AR41,'Draft Slayer Classic'!$AP:$AP,0)))</f>
        <v>54.646459999999998</v>
      </c>
      <c r="BA41" s="557">
        <f>INDEX('Draft Slayer Classic'!$AS:$AS,MATCH(AR41,'Draft Slayer Classic'!$AP:$AP,0))</f>
        <v>8</v>
      </c>
      <c r="BB41">
        <f>IFERROR(IF(INDEX(Instructions!$X$86:$X$105,MATCH(Draft!AR41,Instructions!$T$86:$T$105,0))&lt;='Draft Slayer Classic'!$E$25,1,0),0)</f>
        <v>0</v>
      </c>
      <c r="BC41" s="197"/>
      <c r="BD41" s="554" t="e">
        <f>INDEX('Draft Slayer Classic'!$BA:$BA,MATCH(SMALL('Draft Slayer Classic'!$BD:$BD,$G41),'Draft Slayer Classic'!$BD:$BD,0))</f>
        <v>#NUM!</v>
      </c>
      <c r="BE41" s="557" t="e">
        <f>INDEX(FFARawStatProjections!$D:$D,MATCH(BD41,FFARawStatProjections!$B:$B,0))&amp;IF(BF41&gt;0," ("&amp;BF41&amp;")","")</f>
        <v>#NUM!</v>
      </c>
      <c r="BF41">
        <f>IFERROR(INDEX($BQ$8:$BQ$21,MATCH(INDEX(FFARawStatProjections!$D:$D,MATCH(BC41,FFARawStatProjections!$A:$A,0)),$BP$8:$BP$21,0)),0)</f>
        <v>0</v>
      </c>
      <c r="BG41" s="464" t="e">
        <f>INDEX(FFARawStatProjections!$E:$E,MATCH(BD41,FFARawStatProjections!$B:$B,0))*0.1</f>
        <v>#NUM!</v>
      </c>
      <c r="BI41" s="197"/>
      <c r="BJ41" s="554" t="e">
        <f>INDEX('Draft Slayer Classic'!$BF:$BF,MATCH(SMALL('Draft Slayer Classic'!$BJ:$BJ,$G41),'Draft Slayer Classic'!$BJ:$BJ,0))</f>
        <v>#NUM!</v>
      </c>
      <c r="BK41" s="555" t="e">
        <f>INDEX(FFARawStatProjections!$B:$B,MATCH(BJ41,FFARawStatProjections!$A:$A,0))</f>
        <v>#NUM!</v>
      </c>
      <c r="BL41" s="557" t="e">
        <f>INDEX(FFARawStatProjections!$D:$D,MATCH(BJ41,FFARawStatProjections!$A:$A,0))&amp;IF(BM41&gt;0," ("&amp;BM41&amp;")","")</f>
        <v>#NUM!</v>
      </c>
      <c r="BM41">
        <f>IFERROR(INDEX($BQ$8:$BQ$21,MATCH(INDEX(FFARawStatProjections!$D:$D,MATCH(BJ41,FFARawStatProjections!$A:$A,0)),$BP$8:$BP$21,0)),0)</f>
        <v>0</v>
      </c>
      <c r="BN41" s="466" t="e">
        <f>INDEX(FFARawStatProjections!$E:$E,MATCH(Draft!BJ41,FFARawStatProjections!$A:$A,0))*0.1</f>
        <v>#NUM!</v>
      </c>
      <c r="BO41" s="197"/>
      <c r="BT41" t="str">
        <f>IF(FFARawStatProjections!A36=0,"",FFARawStatProjections!A36)</f>
        <v>Colt McCoy</v>
      </c>
      <c r="BU41" t="str">
        <f>IF(FFARawStatProjections!C36=0,"",FFARawStatProjections!C36)</f>
        <v>QB</v>
      </c>
      <c r="BV41" t="str">
        <f>IF(FFARawStatProjections!B36=0,"",FFARawStatProjections!B36)</f>
        <v>AZ</v>
      </c>
      <c r="BX41">
        <v>35</v>
      </c>
      <c r="BY41" s="89" t="str">
        <f t="shared" si="3"/>
        <v/>
      </c>
      <c r="BZ41" s="89" t="str">
        <f t="shared" si="4"/>
        <v/>
      </c>
      <c r="CA41" s="89" t="str">
        <f t="shared" si="5"/>
        <v/>
      </c>
    </row>
    <row r="42" spans="1:79" ht="33.75" hidden="1" customHeight="1" x14ac:dyDescent="0.25">
      <c r="A42" s="473" t="str">
        <f t="shared" si="6"/>
        <v/>
      </c>
      <c r="B42" s="474"/>
      <c r="C42" s="479" t="str">
        <f t="shared" si="9"/>
        <v/>
      </c>
      <c r="D42" s="190" t="str">
        <f t="shared" si="10"/>
        <v/>
      </c>
      <c r="E42" s="190">
        <f>IFERROR(INDEX(Instructions!$U$111:$U$222,MATCH(Draft!A42,Instructions!$U$111:$U$222,0)),0)</f>
        <v>0</v>
      </c>
      <c r="F42" s="197"/>
      <c r="G42">
        <v>37</v>
      </c>
      <c r="H42" s="549" t="str">
        <f>INDEX('Draft Slayer Classic'!$I:$I,MATCH(SMALL('Draft Slayer Classic'!$Q:$Q,$G42),'Draft Slayer Classic'!$Q:$Q,0))</f>
        <v>Brian Hoyer</v>
      </c>
      <c r="I42" s="550" t="str">
        <f>INDEX(FFARawStatProjections!$B:$B,MATCH(H42,FFARawStatProjections!$A:$A,0))</f>
        <v>LV</v>
      </c>
      <c r="J42" s="551" t="str">
        <f>INDEX(FFARawStatProjections!$D:$D,MATCH(H42,FFARawStatProjections!$A:$A,0))&amp;IF(K42&gt;0," ("&amp;K42&amp;")","")</f>
        <v>13</v>
      </c>
      <c r="K42">
        <f>IFERROR(INDEX($BQ$8:$BQ$21,MATCH(INDEX(FFARawStatProjections!$D:$D,MATCH(H42,FFARawStatProjections!$A:$A,0)),$BP$8:$BP$21,0)),0)</f>
        <v>0</v>
      </c>
      <c r="L42" s="552">
        <f>INDEX(QBproj!M:M,MATCH(Draft!H42,QBproj!D:D,0))</f>
        <v>0</v>
      </c>
      <c r="M42" t="e">
        <f>INDEX(ADP!$G:$G,MATCH(H42,ADP!$D:$D,0))</f>
        <v>#N/A</v>
      </c>
      <c r="N42" t="e">
        <f>IF(AND(M42&gt;=$R$5,M42&lt;$R$4),1,
IF(AND(M42&gt;=$R$4,M42&lt;$R$3),2,
IF(M42&gt;=$R$3,3,
IF(AND(COUNTIF(N$6:N41,1)=0,COUNTIF(M$6:M41,"&lt;="&amp;$R$5)=(COUNTIF(M$6:M$20,"&lt;="&amp;$R$5)-1)),1,0))))</f>
        <v>#N/A</v>
      </c>
      <c r="O42" s="552">
        <f>(IFERROR(P42-INDEX(P:P,MATCH(1,N:N,0)),0)+
IFERROR(P42-INDEX(P:P,MATCH(2,N:N,0)),0)*0.5+
IFERROR(P42-INDEX(P:P,MATCH(3,N:N,0)),0)*0.25
)/16*IF(ISBLANK(Beersheet!$A$1),1,16)</f>
        <v>-35.567523749999999</v>
      </c>
      <c r="P42">
        <f>IF(Beersheet!$A$2="QB",
INDEX(Beersheet!$A:$U,MATCH(Draft!H42,Beersheet!$C:$C,0),FFARawStatProjections!$BQ$1),
INDEX('Draft Slayer Classic'!$K:$K,MATCH(H42,'Draft Slayer Classic'!$I:$I,0)))</f>
        <v>46.162380000000006</v>
      </c>
      <c r="Q42" s="553">
        <f>INDEX('Draft Slayer Classic'!$L:$L,MATCH(H42,'Draft Slayer Classic'!$I:$I,0))</f>
        <v>8</v>
      </c>
      <c r="R42">
        <f>IFERROR(IF(INDEX(Instructions!$V$64:$V$83,MATCH(Draft!H42,Instructions!$S$64:$S$83,0))&lt;='Draft Slayer Classic'!$E$25,1,0),0)</f>
        <v>0</v>
      </c>
      <c r="S42" s="197"/>
      <c r="T42" s="549" t="str">
        <f>INDEX('Draft Slayer Classic'!$T:$T,MATCH(SMALL('Draft Slayer Classic'!$AB:$AB,$G42),'Draft Slayer Classic'!$AB:$AB,0))</f>
        <v>Raheem Mostert</v>
      </c>
      <c r="U42" s="550" t="str">
        <f>INDEX(FFARawStatProjections!$B:$B,MATCH(T42,FFARawStatProjections!$A:$A,0))</f>
        <v>MIA</v>
      </c>
      <c r="V42" s="551" t="str">
        <f>INDEX(FFARawStatProjections!$D:$D,MATCH(T42,FFARawStatProjections!$A:$A,0))&amp;IF(W42&gt;0," ("&amp;W42&amp;")","")</f>
        <v>10</v>
      </c>
      <c r="W42">
        <f>IFERROR(INDEX($BQ$8:$BQ$21,MATCH(INDEX(FFARawStatProjections!$D:$D,MATCH(T42,FFARawStatProjections!$A:$A,0)),$BP$8:$BP$21,0)),0)</f>
        <v>0</v>
      </c>
      <c r="X42" s="552">
        <f>INDEX(RBproj!M:M,MATCH(Draft!T42,RBproj!D:D,0))</f>
        <v>2.7000000000000011</v>
      </c>
      <c r="Y42">
        <f>INDEX(ADP!$G:$G,MATCH(T42,ADP!$D:$D,0))</f>
        <v>110.90015600000001</v>
      </c>
      <c r="Z42">
        <f>IF(AND(Y42&gt;=$R$5,Y42&lt;$R$4),1,
IF(AND(Y42&gt;=$R$4,Y42&lt;$R$3),2,
IF(Y42&gt;=$R$3,3,
IF(AND(COUNTIF(Z$6:Z41,1)=0,COUNTIF(Y$6:Y41,"&lt;="&amp;$R$5)=(COUNTIF(Y$6:Y$20,"&lt;="&amp;$R$5)-1)),1,0))))</f>
        <v>3</v>
      </c>
      <c r="AA42" s="552">
        <f>(IFERROR(AB42-INDEX(AB:AB,MATCH(1,Z:Z,0)),0)+
IFERROR(AB42-INDEX(AB:AB,MATCH(2,Z:Z,0)),0)*0.5+
IFERROR(AB42-INDEX(AB:AB,MATCH(3,Z:Z,0)),0)*0.25
)/16*IF(ISBLANK(Beersheet!$A$1),1,16)</f>
        <v>-16.685115312499999</v>
      </c>
      <c r="AB42">
        <f>IF(Beersheet!$A$2="QB",
INDEX(Beersheet!$A:$U,MATCH(Draft!T42,Beersheet!$C:$C,0),FFARawStatProjections!$BQ$1),
INDEX('Draft Slayer Classic'!$V:$V,MATCH(T42,'Draft Slayer Classic'!$T:$T,0)))</f>
        <v>122.27158000000001</v>
      </c>
      <c r="AC42" s="553">
        <f>INDEX('Draft Slayer Classic'!$W:$W,MATCH(T42,'Draft Slayer Classic'!$T:$T,0))</f>
        <v>8</v>
      </c>
      <c r="AD42">
        <f>IFERROR(IF(INDEX(Instructions!$X$64:$X$83,MATCH(Draft!T42,Instructions!$T$64:$T$83,0))&lt;='Draft Slayer Classic'!$E$25,1,0),0)</f>
        <v>0</v>
      </c>
      <c r="AE42" s="197"/>
      <c r="AF42" s="549" t="str">
        <f>INDEX('Draft Slayer Classic'!$AE:$AE,MATCH(SMALL('Draft Slayer Classic'!$AM:$AM,$G42),'Draft Slayer Classic'!$AM:$AM,0))</f>
        <v>Courtland Sutton</v>
      </c>
      <c r="AG42" s="550" t="str">
        <f>INDEX(FFARawStatProjections!$B:$B,MATCH(AF42,FFARawStatProjections!$A:$A,0))</f>
        <v>DEN</v>
      </c>
      <c r="AH42" s="551" t="str">
        <f>INDEX(FFARawStatProjections!$D:$D,MATCH(AF42,FFARawStatProjections!$A:$A,0))&amp;IF(AI42&gt;0," ("&amp;AI42&amp;")","")</f>
        <v>9</v>
      </c>
      <c r="AI42">
        <f>IFERROR(INDEX($BQ$8:$BQ$21,MATCH(INDEX(FFARawStatProjections!$D:$D,MATCH(AF42,FFARawStatProjections!$A:$A,0)),$BP$8:$BP$21,0)),0)</f>
        <v>0</v>
      </c>
      <c r="AJ42" s="552">
        <f>INDEX(WRproj!M:M,MATCH(Draft!AF42,WRproj!D:D,0))</f>
        <v>0</v>
      </c>
      <c r="AK42">
        <f>INDEX(ADP!$G:$G,MATCH(AF42,ADP!$D:$D,0))</f>
        <v>94.800586999999993</v>
      </c>
      <c r="AL42">
        <f>IF(AND(AK42&gt;=$R$5,AK42&lt;$R$4),1,
IF(AND(AK42&gt;=$R$4,AK42&lt;$R$3),2,
IF(AK42&gt;=$R$3,3,
IF(AND(COUNTIF(AL$6:AL41,1)=0,COUNTIF(AK$6:AK41,"&lt;="&amp;$R$5)=(COUNTIF(AK$6:AK$20,"&lt;="&amp;$R$5)-1)),1,0))))</f>
        <v>3</v>
      </c>
      <c r="AM42" s="552">
        <f>(IFERROR(AN42-INDEX(AN:AN,MATCH(1,AL:AL,0)),0)+
IFERROR(AN42-INDEX(AN:AN,MATCH(2,AL:AL,0)),0)*0.5+
IFERROR(AN42-INDEX(AN:AN,MATCH(3,AL:AL,0)),0)*0.25
)/16*IF(ISBLANK(Beersheet!$A$1),1,16)</f>
        <v>-11.578087968750001</v>
      </c>
      <c r="AN42">
        <f>IF(Beersheet!$A$2="QB",
INDEX(Beersheet!$A:$U,MATCH(Draft!AF42,Beersheet!$C:$C,0),FFARawStatProjections!$BQ$1),
INDEX('Draft Slayer Classic'!$AG:$AG,MATCH(AF42,'Draft Slayer Classic'!$AE:$AE,0)))</f>
        <v>162.87356000000003</v>
      </c>
      <c r="AO42" s="553">
        <f>INDEX('Draft Slayer Classic'!$AH:$AH,MATCH(AF42,'Draft Slayer Classic'!$AE:$AE,0))</f>
        <v>8</v>
      </c>
      <c r="AP42">
        <f>IFERROR(IF(INDEX(Instructions!$V$86:$V$105,MATCH(Draft!AF42,Instructions!$S$86:$S$105,0))&lt;='Draft Slayer Classic'!$E$25,1,0),0)</f>
        <v>0</v>
      </c>
      <c r="AQ42" s="197"/>
      <c r="AR42" s="549" t="str">
        <f>INDEX('Draft Slayer Classic'!$AP:$AP,MATCH(SMALL('Draft Slayer Classic'!$AX:$AX,$G42),'Draft Slayer Classic'!$AX:$AX,0))</f>
        <v>Luke Schoonmaker</v>
      </c>
      <c r="AS42" s="550" t="str">
        <f>INDEX(FFARawStatProjections!$B:$B,MATCH(AR42,FFARawStatProjections!$A:$A,0))</f>
        <v>DAL</v>
      </c>
      <c r="AT42" s="551" t="str">
        <f>INDEX(FFARawStatProjections!$D:$D,MATCH(AR42,FFARawStatProjections!$A:$A,0))&amp;IF(AU42&gt;0," ("&amp;AU42&amp;")","")</f>
        <v>7</v>
      </c>
      <c r="AU42">
        <f>IFERROR(INDEX($BQ$8:$BQ$21,MATCH(INDEX(FFARawStatProjections!$D:$D,MATCH(AR42,FFARawStatProjections!$A:$A,0)),$BP$8:$BP$21,0)),0)</f>
        <v>0</v>
      </c>
      <c r="AV42" s="552">
        <f>INDEX(TEproj!M:M,MATCH(Draft!AR42,TEproj!D:D,0))</f>
        <v>0</v>
      </c>
      <c r="AW42" t="e">
        <f>INDEX(ADP!$G:$G,MATCH(AR42,ADP!$D:$D,0))</f>
        <v>#N/A</v>
      </c>
      <c r="AX42" t="e">
        <f>IF(AND(AW42&gt;=$R$5,AW42&lt;$R$4),1,
IF(AND(AW42&gt;=$R$4,AW42&lt;$R$3),2,
IF(AW42&gt;=$R$3,3,
IF(AND(COUNTIF(AX$6:AX41,1)=0,COUNTIF(AW$6:AW41,"&lt;="&amp;$R$5)=(COUNTIF(AW$6:AW$20,"&lt;="&amp;$R$5)-1)),1,0))))</f>
        <v>#N/A</v>
      </c>
      <c r="AY42" s="552">
        <f>(IFERROR(AZ42-INDEX(AZ:AZ,MATCH(1,AX:AX,0)),0)+
IFERROR(AZ42-INDEX(AZ:AZ,MATCH(2,AX:AX,0)),0)*0.5+
IFERROR(AZ42-INDEX(AZ:AZ,MATCH(3,AX:AX,0)),0)*0.25
)/16*IF(ISBLANK(Beersheet!$A$1),1,16)</f>
        <v>-16.930439374999999</v>
      </c>
      <c r="AZ42">
        <f>IF(Beersheet!$A$2="QB",
INDEX(Beersheet!$A:$U,MATCH(Draft!AR42,Beersheet!$C:$C,0),FFARawStatProjections!$BQ$1),
INDEX('Draft Slayer Classic'!$AR:$AR,MATCH(AR42,'Draft Slayer Classic'!$AP:$AP,0)))</f>
        <v>53.82647</v>
      </c>
      <c r="BA42" s="553">
        <f>INDEX('Draft Slayer Classic'!$AS:$AS,MATCH(AR42,'Draft Slayer Classic'!$AP:$AP,0))</f>
        <v>8</v>
      </c>
      <c r="BB42">
        <f>IFERROR(IF(INDEX(Instructions!$X$86:$X$105,MATCH(Draft!AR42,Instructions!$T$86:$T$105,0))&lt;='Draft Slayer Classic'!$E$25,1,0),0)</f>
        <v>0</v>
      </c>
      <c r="BC42" s="197"/>
      <c r="BD42" s="549" t="e">
        <f>INDEX('Draft Slayer Classic'!$BA:$BA,MATCH(SMALL('Draft Slayer Classic'!$BD:$BD,$G42),'Draft Slayer Classic'!$BD:$BD,0))</f>
        <v>#NUM!</v>
      </c>
      <c r="BE42" s="553" t="e">
        <f>INDEX(FFARawStatProjections!$D:$D,MATCH(BD42,FFARawStatProjections!$B:$B,0))&amp;IF(BF42&gt;0," ("&amp;BF42&amp;")","")</f>
        <v>#NUM!</v>
      </c>
      <c r="BF42">
        <f>IFERROR(INDEX($BQ$8:$BQ$21,MATCH(INDEX(FFARawStatProjections!$D:$D,MATCH(BC42,FFARawStatProjections!$A:$A,0)),$BP$8:$BP$21,0)),0)</f>
        <v>0</v>
      </c>
      <c r="BG42" s="464" t="e">
        <f>INDEX(FFARawStatProjections!$E:$E,MATCH(BD42,FFARawStatProjections!$B:$B,0))*0.1</f>
        <v>#NUM!</v>
      </c>
      <c r="BI42" s="197"/>
      <c r="BJ42" s="549" t="e">
        <f>INDEX('Draft Slayer Classic'!$BF:$BF,MATCH(SMALL('Draft Slayer Classic'!$BJ:$BJ,$G42),'Draft Slayer Classic'!$BJ:$BJ,0))</f>
        <v>#NUM!</v>
      </c>
      <c r="BK42" s="550" t="e">
        <f>INDEX(FFARawStatProjections!$B:$B,MATCH(BJ42,FFARawStatProjections!$A:$A,0))</f>
        <v>#NUM!</v>
      </c>
      <c r="BL42" s="553" t="e">
        <f>INDEX(FFARawStatProjections!$D:$D,MATCH(BJ42,FFARawStatProjections!$A:$A,0))&amp;IF(BM42&gt;0," ("&amp;BM42&amp;")","")</f>
        <v>#NUM!</v>
      </c>
      <c r="BM42">
        <f>IFERROR(INDEX($BQ$8:$BQ$21,MATCH(INDEX(FFARawStatProjections!$D:$D,MATCH(BJ42,FFARawStatProjections!$A:$A,0)),$BP$8:$BP$21,0)),0)</f>
        <v>0</v>
      </c>
      <c r="BN42" s="466" t="e">
        <f>INDEX(FFARawStatProjections!$E:$E,MATCH(Draft!BJ42,FFARawStatProjections!$A:$A,0))*0.1</f>
        <v>#NUM!</v>
      </c>
      <c r="BO42" s="197"/>
      <c r="BT42" t="str">
        <f>IF(FFARawStatProjections!A37=0,"",FFARawStatProjections!A37)</f>
        <v>Will Levis</v>
      </c>
      <c r="BU42" t="str">
        <f>IF(FFARawStatProjections!C37=0,"",FFARawStatProjections!C37)</f>
        <v>QB</v>
      </c>
      <c r="BV42" t="str">
        <f>IF(FFARawStatProjections!B37=0,"",FFARawStatProjections!B37)</f>
        <v>TEN</v>
      </c>
      <c r="BX42">
        <v>36</v>
      </c>
      <c r="BY42" s="89" t="str">
        <f t="shared" si="3"/>
        <v/>
      </c>
      <c r="BZ42" s="89" t="str">
        <f t="shared" si="4"/>
        <v/>
      </c>
      <c r="CA42" s="89" t="str">
        <f t="shared" si="5"/>
        <v/>
      </c>
    </row>
    <row r="43" spans="1:79" ht="33.75" hidden="1" customHeight="1" x14ac:dyDescent="0.25">
      <c r="A43" s="469" t="str">
        <f t="shared" si="6"/>
        <v/>
      </c>
      <c r="B43" s="472"/>
      <c r="C43" s="478" t="str">
        <f t="shared" si="9"/>
        <v/>
      </c>
      <c r="D43" s="190" t="str">
        <f t="shared" si="10"/>
        <v/>
      </c>
      <c r="E43" s="190">
        <f>IFERROR(INDEX(Instructions!$U$111:$U$222,MATCH(Draft!A43,Instructions!$U$111:$U$222,0)),0)</f>
        <v>0</v>
      </c>
      <c r="F43" s="197"/>
      <c r="G43">
        <v>38</v>
      </c>
      <c r="H43" s="554" t="str">
        <f>INDEX('Draft Slayer Classic'!$I:$I,MATCH(SMALL('Draft Slayer Classic'!$Q:$Q,$G43),'Draft Slayer Classic'!$Q:$Q,0))</f>
        <v>Taylor Heinicke</v>
      </c>
      <c r="I43" s="555" t="str">
        <f>INDEX(FFARawStatProjections!$B:$B,MATCH(H43,FFARawStatProjections!$A:$A,0))</f>
        <v>ATL</v>
      </c>
      <c r="J43" s="556" t="str">
        <f>INDEX(FFARawStatProjections!$D:$D,MATCH(H43,FFARawStatProjections!$A:$A,0))&amp;IF(K43&gt;0," ("&amp;K43&amp;")","")</f>
        <v>11</v>
      </c>
      <c r="K43">
        <f>IFERROR(INDEX($BQ$8:$BQ$21,MATCH(INDEX(FFARawStatProjections!$D:$D,MATCH(H43,FFARawStatProjections!$A:$A,0)),$BP$8:$BP$21,0)),0)</f>
        <v>0</v>
      </c>
      <c r="L43" s="466">
        <f>INDEX(QBproj!M:M,MATCH(Draft!H43,QBproj!D:D,0))</f>
        <v>0</v>
      </c>
      <c r="M43" t="e">
        <f>INDEX(ADP!$G:$G,MATCH(H43,ADP!$D:$D,0))</f>
        <v>#N/A</v>
      </c>
      <c r="N43" t="e">
        <f>IF(AND(M43&gt;=$R$5,M43&lt;$R$4),1,
IF(AND(M43&gt;=$R$4,M43&lt;$R$3),2,
IF(M43&gt;=$R$3,3,
IF(AND(COUNTIF(N$6:N42,1)=0,COUNTIF(M$6:M42,"&lt;="&amp;$R$5)=(COUNTIF(M$6:M$20,"&lt;="&amp;$R$5)-1)),1,0))))</f>
        <v>#N/A</v>
      </c>
      <c r="O43" s="466">
        <f>(IFERROR(P43-INDEX(P:P,MATCH(1,N:N,0)),0)+
IFERROR(P43-INDEX(P:P,MATCH(2,N:N,0)),0)*0.5+
IFERROR(P43-INDEX(P:P,MATCH(3,N:N,0)),0)*0.25
)/16*IF(ISBLANK(Beersheet!$A$1),1,16)</f>
        <v>-35.607553906249997</v>
      </c>
      <c r="P43">
        <f>IF(Beersheet!$A$2="QB",
INDEX(Beersheet!$A:$U,MATCH(Draft!H43,Beersheet!$C:$C,0),FFARawStatProjections!$BQ$1),
INDEX('Draft Slayer Classic'!$K:$K,MATCH(H43,'Draft Slayer Classic'!$I:$I,0)))</f>
        <v>45.796390000000002</v>
      </c>
      <c r="Q43" s="557">
        <f>INDEX('Draft Slayer Classic'!$L:$L,MATCH(H43,'Draft Slayer Classic'!$I:$I,0))</f>
        <v>8</v>
      </c>
      <c r="R43">
        <f>IFERROR(IF(INDEX(Instructions!$V$64:$V$83,MATCH(Draft!H43,Instructions!$S$64:$S$83,0))&lt;='Draft Slayer Classic'!$E$25,1,0),0)</f>
        <v>0</v>
      </c>
      <c r="S43" s="197"/>
      <c r="T43" s="554" t="str">
        <f>INDEX('Draft Slayer Classic'!$T:$T,MATCH(SMALL('Draft Slayer Classic'!$AB:$AB,$G43),'Draft Slayer Classic'!$AB:$AB,0))</f>
        <v>Zach Charbonnet</v>
      </c>
      <c r="U43" s="555" t="str">
        <f>INDEX(FFARawStatProjections!$B:$B,MATCH(T43,FFARawStatProjections!$A:$A,0))</f>
        <v>SEA</v>
      </c>
      <c r="V43" s="556" t="str">
        <f>INDEX(FFARawStatProjections!$D:$D,MATCH(T43,FFARawStatProjections!$A:$A,0))&amp;IF(W43&gt;0," ("&amp;W43&amp;")","")</f>
        <v>5</v>
      </c>
      <c r="W43">
        <f>IFERROR(INDEX($BQ$8:$BQ$21,MATCH(INDEX(FFARawStatProjections!$D:$D,MATCH(T43,FFARawStatProjections!$A:$A,0)),$BP$8:$BP$21,0)),0)</f>
        <v>0</v>
      </c>
      <c r="X43" s="464">
        <f>INDEX(RBproj!M:M,MATCH(Draft!T43,RBproj!D:D,0))</f>
        <v>0</v>
      </c>
      <c r="Y43">
        <f>INDEX(ADP!$G:$G,MATCH(T43,ADP!$D:$D,0))</f>
        <v>97.200013999999996</v>
      </c>
      <c r="Z43">
        <f>IF(AND(Y43&gt;=$R$5,Y43&lt;$R$4),1,
IF(AND(Y43&gt;=$R$4,Y43&lt;$R$3),2,
IF(Y43&gt;=$R$3,3,
IF(AND(COUNTIF(Z$6:Z42,1)=0,COUNTIF(Y$6:Y42,"&lt;="&amp;$R$5)=(COUNTIF(Y$6:Y$20,"&lt;="&amp;$R$5)-1)),1,0))))</f>
        <v>3</v>
      </c>
      <c r="AA43" s="466">
        <f>(IFERROR(AB43-INDEX(AB:AB,MATCH(1,Z:Z,0)),0)+
IFERROR(AB43-INDEX(AB:AB,MATCH(2,Z:Z,0)),0)*0.5+
IFERROR(AB43-INDEX(AB:AB,MATCH(3,Z:Z,0)),0)*0.25
)/16*IF(ISBLANK(Beersheet!$A$1),1,16)</f>
        <v>-16.720105468750003</v>
      </c>
      <c r="AB43">
        <f>IF(Beersheet!$A$2="QB",
INDEX(Beersheet!$A:$U,MATCH(Draft!T43,Beersheet!$C:$C,0),FFARawStatProjections!$BQ$1),
INDEX('Draft Slayer Classic'!$V:$V,MATCH(T43,'Draft Slayer Classic'!$T:$T,0)))</f>
        <v>121.95167000000001</v>
      </c>
      <c r="AC43" s="557">
        <f>INDEX('Draft Slayer Classic'!$W:$W,MATCH(T43,'Draft Slayer Classic'!$T:$T,0))</f>
        <v>8</v>
      </c>
      <c r="AD43">
        <f>IFERROR(IF(INDEX(Instructions!$X$64:$X$83,MATCH(Draft!T43,Instructions!$T$64:$T$83,0))&lt;='Draft Slayer Classic'!$E$25,1,0),0)</f>
        <v>0</v>
      </c>
      <c r="AE43" s="197"/>
      <c r="AF43" s="554" t="str">
        <f>INDEX('Draft Slayer Classic'!$AE:$AE,MATCH(SMALL('Draft Slayer Classic'!$AM:$AM,$G43),'Draft Slayer Classic'!$AM:$AM,0))</f>
        <v>Zay Flowers</v>
      </c>
      <c r="AG43" s="555" t="str">
        <f>INDEX(FFARawStatProjections!$B:$B,MATCH(AF43,FFARawStatProjections!$A:$A,0))</f>
        <v>BAL</v>
      </c>
      <c r="AH43" s="556" t="str">
        <f>INDEX(FFARawStatProjections!$D:$D,MATCH(AF43,FFARawStatProjections!$A:$A,0))&amp;IF(AI43&gt;0," ("&amp;AI43&amp;")","")</f>
        <v>13</v>
      </c>
      <c r="AI43">
        <f>IFERROR(INDEX($BQ$8:$BQ$21,MATCH(INDEX(FFARawStatProjections!$D:$D,MATCH(AF43,FFARawStatProjections!$A:$A,0)),$BP$8:$BP$21,0)),0)</f>
        <v>0</v>
      </c>
      <c r="AJ43" s="464">
        <f>INDEX(WRproj!M:M,MATCH(Draft!AF43,WRproj!D:D,0))</f>
        <v>0.40000000000000036</v>
      </c>
      <c r="AK43">
        <f>INDEX(ADP!$G:$G,MATCH(AF43,ADP!$D:$D,0))</f>
        <v>105.90000300000001</v>
      </c>
      <c r="AL43">
        <f>IF(AND(AK43&gt;=$R$5,AK43&lt;$R$4),1,
IF(AND(AK43&gt;=$R$4,AK43&lt;$R$3),2,
IF(AK43&gt;=$R$3,3,
IF(AND(COUNTIF(AL$6:AL42,1)=0,COUNTIF(AK$6:AK42,"&lt;="&amp;$R$5)=(COUNTIF(AK$6:AK$20,"&lt;="&amp;$R$5)-1)),1,0))))</f>
        <v>3</v>
      </c>
      <c r="AM43" s="466">
        <f>(IFERROR(AN43-INDEX(AN:AN,MATCH(1,AL:AL,0)),0)+
IFERROR(AN43-INDEX(AN:AN,MATCH(2,AL:AL,0)),0)*0.5+
IFERROR(AN43-INDEX(AN:AN,MATCH(3,AL:AL,0)),0)*0.25
)/16*IF(ISBLANK(Beersheet!$A$1),1,16)</f>
        <v>-11.758550156250003</v>
      </c>
      <c r="AN43">
        <f>IF(Beersheet!$A$2="QB",
INDEX(Beersheet!$A:$U,MATCH(Draft!AF43,Beersheet!$C:$C,0),FFARawStatProjections!$BQ$1),
INDEX('Draft Slayer Classic'!$AG:$AG,MATCH(AF43,'Draft Slayer Classic'!$AE:$AE,0)))</f>
        <v>161.22362000000001</v>
      </c>
      <c r="AO43" s="557">
        <f>INDEX('Draft Slayer Classic'!$AH:$AH,MATCH(AF43,'Draft Slayer Classic'!$AE:$AE,0))</f>
        <v>8</v>
      </c>
      <c r="AP43">
        <f>IFERROR(IF(INDEX(Instructions!$V$86:$V$105,MATCH(Draft!AF43,Instructions!$S$86:$S$105,0))&lt;='Draft Slayer Classic'!$E$25,1,0),0)</f>
        <v>0</v>
      </c>
      <c r="AQ43" s="197"/>
      <c r="AR43" s="554" t="str">
        <f>INDEX('Draft Slayer Classic'!$AP:$AP,MATCH(SMALL('Draft Slayer Classic'!$AX:$AX,$G43),'Draft Slayer Classic'!$AX:$AX,0))</f>
        <v>Will Dissly</v>
      </c>
      <c r="AS43" s="555" t="str">
        <f>INDEX(FFARawStatProjections!$B:$B,MATCH(AR43,FFARawStatProjections!$A:$A,0))</f>
        <v>SEA</v>
      </c>
      <c r="AT43" s="556" t="str">
        <f>INDEX(FFARawStatProjections!$D:$D,MATCH(AR43,FFARawStatProjections!$A:$A,0))&amp;IF(AU43&gt;0," ("&amp;AU43&amp;")","")</f>
        <v>5</v>
      </c>
      <c r="AU43">
        <f>IFERROR(INDEX($BQ$8:$BQ$21,MATCH(INDEX(FFARawStatProjections!$D:$D,MATCH(AR43,FFARawStatProjections!$A:$A,0)),$BP$8:$BP$21,0)),0)</f>
        <v>0</v>
      </c>
      <c r="AV43" s="464">
        <f>INDEX(TEproj!M:M,MATCH(Draft!AR43,TEproj!D:D,0))</f>
        <v>0</v>
      </c>
      <c r="AW43" t="e">
        <f>INDEX(ADP!$G:$G,MATCH(AR43,ADP!$D:$D,0))</f>
        <v>#N/A</v>
      </c>
      <c r="AX43" t="e">
        <f>IF(AND(AW43&gt;=$R$5,AW43&lt;$R$4),1,
IF(AND(AW43&gt;=$R$4,AW43&lt;$R$3),2,
IF(AW43&gt;=$R$3,3,
IF(AND(COUNTIF(AX$6:AX42,1)=0,COUNTIF(AW$6:AW42,"&lt;="&amp;$R$5)=(COUNTIF(AW$6:AW$20,"&lt;="&amp;$R$5)-1)),1,0))))</f>
        <v>#N/A</v>
      </c>
      <c r="AY43" s="466">
        <f>(IFERROR(AZ43-INDEX(AZ:AZ,MATCH(1,AX:AX,0)),0)+
IFERROR(AZ43-INDEX(AZ:AZ,MATCH(2,AX:AX,0)),0)*0.5+
IFERROR(AZ43-INDEX(AZ:AZ,MATCH(3,AX:AX,0)),0)*0.25
)/16*IF(ISBLANK(Beersheet!$A$1),1,16)</f>
        <v>-17.205436249999998</v>
      </c>
      <c r="AZ43">
        <f>IF(Beersheet!$A$2="QB",
INDEX(Beersheet!$A:$U,MATCH(Draft!AR43,Beersheet!$C:$C,0),FFARawStatProjections!$BQ$1),
INDEX('Draft Slayer Classic'!$AR:$AR,MATCH(AR43,'Draft Slayer Classic'!$AP:$AP,0)))</f>
        <v>50.306509999999996</v>
      </c>
      <c r="BA43" s="557">
        <f>INDEX('Draft Slayer Classic'!$AS:$AS,MATCH(AR43,'Draft Slayer Classic'!$AP:$AP,0))</f>
        <v>8</v>
      </c>
      <c r="BB43">
        <f>IFERROR(IF(INDEX(Instructions!$X$86:$X$105,MATCH(Draft!AR43,Instructions!$T$86:$T$105,0))&lt;='Draft Slayer Classic'!$E$25,1,0),0)</f>
        <v>0</v>
      </c>
      <c r="BC43" s="197"/>
      <c r="BD43" s="554" t="e">
        <f>INDEX('Draft Slayer Classic'!$BA:$BA,MATCH(SMALL('Draft Slayer Classic'!$BD:$BD,$G43),'Draft Slayer Classic'!$BD:$BD,0))</f>
        <v>#NUM!</v>
      </c>
      <c r="BE43" s="557" t="e">
        <f>INDEX(FFARawStatProjections!$D:$D,MATCH(BD43,FFARawStatProjections!$B:$B,0))&amp;IF(BF43&gt;0," ("&amp;BF43&amp;")","")</f>
        <v>#NUM!</v>
      </c>
      <c r="BF43">
        <f>IFERROR(INDEX($BQ$8:$BQ$21,MATCH(INDEX(FFARawStatProjections!$D:$D,MATCH(BC43,FFARawStatProjections!$A:$A,0)),$BP$8:$BP$21,0)),0)</f>
        <v>0</v>
      </c>
      <c r="BG43" s="464" t="e">
        <f>INDEX(FFARawStatProjections!$E:$E,MATCH(BD43,FFARawStatProjections!$B:$B,0))*0.1</f>
        <v>#NUM!</v>
      </c>
      <c r="BI43" s="197"/>
      <c r="BJ43" s="554" t="e">
        <f>INDEX('Draft Slayer Classic'!$BF:$BF,MATCH(SMALL('Draft Slayer Classic'!$BJ:$BJ,$G43),'Draft Slayer Classic'!$BJ:$BJ,0))</f>
        <v>#NUM!</v>
      </c>
      <c r="BK43" s="555" t="e">
        <f>INDEX(FFARawStatProjections!$B:$B,MATCH(BJ43,FFARawStatProjections!$A:$A,0))</f>
        <v>#NUM!</v>
      </c>
      <c r="BL43" s="557" t="e">
        <f>INDEX(FFARawStatProjections!$D:$D,MATCH(BJ43,FFARawStatProjections!$A:$A,0))&amp;IF(BM43&gt;0," ("&amp;BM43&amp;")","")</f>
        <v>#NUM!</v>
      </c>
      <c r="BM43">
        <f>IFERROR(INDEX($BQ$8:$BQ$21,MATCH(INDEX(FFARawStatProjections!$D:$D,MATCH(BJ43,FFARawStatProjections!$A:$A,0)),$BP$8:$BP$21,0)),0)</f>
        <v>0</v>
      </c>
      <c r="BN43" s="466" t="e">
        <f>INDEX(FFARawStatProjections!$E:$E,MATCH(Draft!BJ43,FFARawStatProjections!$A:$A,0))*0.1</f>
        <v>#NUM!</v>
      </c>
      <c r="BO43" s="197"/>
      <c r="BT43" t="str">
        <f>IF(FFARawStatProjections!A38=0,"",FFARawStatProjections!A38)</f>
        <v>Trey Lance</v>
      </c>
      <c r="BU43" t="str">
        <f>IF(FFARawStatProjections!C38=0,"",FFARawStatProjections!C38)</f>
        <v>QB</v>
      </c>
      <c r="BV43" t="str">
        <f>IF(FFARawStatProjections!B38=0,"",FFARawStatProjections!B38)</f>
        <v>SF</v>
      </c>
      <c r="BX43">
        <v>37</v>
      </c>
      <c r="BY43" s="89" t="str">
        <f t="shared" si="3"/>
        <v/>
      </c>
      <c r="BZ43" s="89" t="str">
        <f t="shared" si="4"/>
        <v/>
      </c>
      <c r="CA43" s="89" t="str">
        <f t="shared" si="5"/>
        <v/>
      </c>
    </row>
    <row r="44" spans="1:79" ht="33.75" hidden="1" customHeight="1" x14ac:dyDescent="0.25">
      <c r="A44" s="473" t="str">
        <f t="shared" si="6"/>
        <v/>
      </c>
      <c r="B44" s="474"/>
      <c r="C44" s="479" t="str">
        <f t="shared" si="9"/>
        <v/>
      </c>
      <c r="D44" s="190" t="str">
        <f t="shared" si="10"/>
        <v/>
      </c>
      <c r="E44" s="190">
        <f>IFERROR(INDEX(Instructions!$U$111:$U$222,MATCH(Draft!A44,Instructions!$U$111:$U$222,0)),0)</f>
        <v>0</v>
      </c>
      <c r="F44" s="197"/>
      <c r="G44">
        <v>39</v>
      </c>
      <c r="H44" s="549" t="str">
        <f>INDEX('Draft Slayer Classic'!$I:$I,MATCH(SMALL('Draft Slayer Classic'!$Q:$Q,$G44),'Draft Slayer Classic'!$Q:$Q,0))</f>
        <v>Gardner Minshew</v>
      </c>
      <c r="I44" s="550" t="str">
        <f>INDEX(FFARawStatProjections!$B:$B,MATCH(H44,FFARawStatProjections!$A:$A,0))</f>
        <v>IND</v>
      </c>
      <c r="J44" s="551" t="str">
        <f>INDEX(FFARawStatProjections!$D:$D,MATCH(H44,FFARawStatProjections!$A:$A,0))&amp;IF(K44&gt;0," ("&amp;K44&amp;")","")</f>
        <v>11</v>
      </c>
      <c r="K44">
        <f>IFERROR(INDEX($BQ$8:$BQ$21,MATCH(INDEX(FFARawStatProjections!$D:$D,MATCH(H44,FFARawStatProjections!$A:$A,0)),$BP$8:$BP$21,0)),0)</f>
        <v>0</v>
      </c>
      <c r="L44" s="552">
        <f>INDEX(QBproj!M:M,MATCH(Draft!H44,QBproj!D:D,0))</f>
        <v>0</v>
      </c>
      <c r="M44" t="e">
        <f>INDEX(ADP!$G:$G,MATCH(H44,ADP!$D:$D,0))</f>
        <v>#N/A</v>
      </c>
      <c r="N44" t="e">
        <f>IF(AND(M44&gt;=$R$5,M44&lt;$R$4),1,
IF(AND(M44&gt;=$R$4,M44&lt;$R$3),2,
IF(M44&gt;=$R$3,3,
IF(AND(COUNTIF(N$6:N43,1)=0,COUNTIF(M$6:M43,"&lt;="&amp;$R$5)=(COUNTIF(M$6:M$20,"&lt;="&amp;$R$5)-1)),1,0))))</f>
        <v>#N/A</v>
      </c>
      <c r="O44" s="552">
        <f>(IFERROR(P44-INDEX(P:P,MATCH(1,N:N,0)),0)+
IFERROR(P44-INDEX(P:P,MATCH(2,N:N,0)),0)*0.5+
IFERROR(P44-INDEX(P:P,MATCH(3,N:N,0)),0)*0.25
)/16*IF(ISBLANK(Beersheet!$A$1),1,16)</f>
        <v>-35.994521562499997</v>
      </c>
      <c r="P44">
        <f>IF(Beersheet!$A$2="QB",
INDEX(Beersheet!$A:$U,MATCH(Draft!H44,Beersheet!$C:$C,0),FFARawStatProjections!$BQ$1),
INDEX('Draft Slayer Classic'!$K:$K,MATCH(H44,'Draft Slayer Classic'!$I:$I,0)))</f>
        <v>42.258400000000002</v>
      </c>
      <c r="Q44" s="553">
        <f>INDEX('Draft Slayer Classic'!$L:$L,MATCH(H44,'Draft Slayer Classic'!$I:$I,0))</f>
        <v>8</v>
      </c>
      <c r="R44">
        <f>IFERROR(IF(INDEX(Instructions!$V$64:$V$83,MATCH(Draft!H44,Instructions!$S$64:$S$83,0))&lt;='Draft Slayer Classic'!$E$25,1,0),0)</f>
        <v>0</v>
      </c>
      <c r="S44" s="197"/>
      <c r="T44" s="549" t="str">
        <f>INDEX('Draft Slayer Classic'!$T:$T,MATCH(SMALL('Draft Slayer Classic'!$AB:$AB,$G44),'Draft Slayer Classic'!$AB:$AB,0))</f>
        <v>Elijah Mitchell</v>
      </c>
      <c r="U44" s="550" t="str">
        <f>INDEX(FFARawStatProjections!$B:$B,MATCH(T44,FFARawStatProjections!$A:$A,0))</f>
        <v>SF</v>
      </c>
      <c r="V44" s="551" t="str">
        <f>INDEX(FFARawStatProjections!$D:$D,MATCH(T44,FFARawStatProjections!$A:$A,0))&amp;IF(W44&gt;0," ("&amp;W44&amp;")","")</f>
        <v>9</v>
      </c>
      <c r="W44">
        <f>IFERROR(INDEX($BQ$8:$BQ$21,MATCH(INDEX(FFARawStatProjections!$D:$D,MATCH(T44,FFARawStatProjections!$A:$A,0)),$BP$8:$BP$21,0)),0)</f>
        <v>0</v>
      </c>
      <c r="X44" s="552">
        <f>INDEX(RBproj!M:M,MATCH(Draft!T44,RBproj!D:D,0))</f>
        <v>0</v>
      </c>
      <c r="Y44">
        <f>INDEX(ADP!$G:$G,MATCH(T44,ADP!$D:$D,0))</f>
        <v>100.20049</v>
      </c>
      <c r="Z44">
        <f>IF(AND(Y44&gt;=$R$5,Y44&lt;$R$4),1,
IF(AND(Y44&gt;=$R$4,Y44&lt;$R$3),2,
IF(Y44&gt;=$R$3,3,
IF(AND(COUNTIF(Z$6:Z43,1)=0,COUNTIF(Y$6:Y43,"&lt;="&amp;$R$5)=(COUNTIF(Y$6:Y$20,"&lt;="&amp;$R$5)-1)),1,0))))</f>
        <v>3</v>
      </c>
      <c r="AA44" s="552">
        <f>(IFERROR(AB44-INDEX(AB:AB,MATCH(1,Z:Z,0)),0)+
IFERROR(AB44-INDEX(AB:AB,MATCH(2,Z:Z,0)),0)*0.5+
IFERROR(AB44-INDEX(AB:AB,MATCH(3,Z:Z,0)),0)*0.25
)/16*IF(ISBLANK(Beersheet!$A$1),1,16)</f>
        <v>-16.805434375000004</v>
      </c>
      <c r="AB44">
        <f>IF(Beersheet!$A$2="QB",
INDEX(Beersheet!$A:$U,MATCH(Draft!T44,Beersheet!$C:$C,0),FFARawStatProjections!$BQ$1),
INDEX('Draft Slayer Classic'!$V:$V,MATCH(T44,'Draft Slayer Classic'!$T:$T,0)))</f>
        <v>121.17152</v>
      </c>
      <c r="AC44" s="553">
        <f>INDEX('Draft Slayer Classic'!$W:$W,MATCH(T44,'Draft Slayer Classic'!$T:$T,0))</f>
        <v>8</v>
      </c>
      <c r="AD44">
        <f>IFERROR(IF(INDEX(Instructions!$X$64:$X$83,MATCH(Draft!T44,Instructions!$T$64:$T$83,0))&lt;='Draft Slayer Classic'!$E$25,1,0),0)</f>
        <v>0</v>
      </c>
      <c r="AE44" s="197"/>
      <c r="AF44" s="549" t="str">
        <f>INDEX('Draft Slayer Classic'!$AE:$AE,MATCH(SMALL('Draft Slayer Classic'!$AM:$AM,$G44),'Draft Slayer Classic'!$AM:$AM,0))</f>
        <v>Jakobi Meyers</v>
      </c>
      <c r="AG44" s="550" t="str">
        <f>INDEX(FFARawStatProjections!$B:$B,MATCH(AF44,FFARawStatProjections!$A:$A,0))</f>
        <v>LV</v>
      </c>
      <c r="AH44" s="551" t="str">
        <f>INDEX(FFARawStatProjections!$D:$D,MATCH(AF44,FFARawStatProjections!$A:$A,0))&amp;IF(AI44&gt;0," ("&amp;AI44&amp;")","")</f>
        <v>13</v>
      </c>
      <c r="AI44">
        <f>IFERROR(INDEX($BQ$8:$BQ$21,MATCH(INDEX(FFARawStatProjections!$D:$D,MATCH(AF44,FFARawStatProjections!$A:$A,0)),$BP$8:$BP$21,0)),0)</f>
        <v>0</v>
      </c>
      <c r="AJ44" s="552">
        <f>INDEX(WRproj!M:M,MATCH(Draft!AF44,WRproj!D:D,0))</f>
        <v>0</v>
      </c>
      <c r="AK44">
        <f>INDEX(ADP!$G:$G,MATCH(AF44,ADP!$D:$D,0))</f>
        <v>133.000415</v>
      </c>
      <c r="AL44">
        <f>IF(AND(AK44&gt;=$R$5,AK44&lt;$R$4),1,
IF(AND(AK44&gt;=$R$4,AK44&lt;$R$3),2,
IF(AK44&gt;=$R$3,3,
IF(AND(COUNTIF(AL$6:AL43,1)=0,COUNTIF(AK$6:AK43,"&lt;="&amp;$R$5)=(COUNTIF(AK$6:AK$20,"&lt;="&amp;$R$5)-1)),1,0))))</f>
        <v>3</v>
      </c>
      <c r="AM44" s="552">
        <f>(IFERROR(AN44-INDEX(AN:AN,MATCH(1,AL:AL,0)),0)+
IFERROR(AN44-INDEX(AN:AN,MATCH(2,AL:AL,0)),0)*0.5+
IFERROR(AN44-INDEX(AN:AN,MATCH(3,AL:AL,0)),0)*0.25
)/16*IF(ISBLANK(Beersheet!$A$1),1,16)</f>
        <v>-12.124959687500004</v>
      </c>
      <c r="AN44">
        <f>IF(Beersheet!$A$2="QB",
INDEX(Beersheet!$A:$U,MATCH(Draft!AF44,Beersheet!$C:$C,0),FFARawStatProjections!$BQ$1),
INDEX('Draft Slayer Classic'!$AG:$AG,MATCH(AF44,'Draft Slayer Classic'!$AE:$AE,0)))</f>
        <v>157.87358999999998</v>
      </c>
      <c r="AO44" s="553">
        <f>INDEX('Draft Slayer Classic'!$AH:$AH,MATCH(AF44,'Draft Slayer Classic'!$AE:$AE,0))</f>
        <v>8</v>
      </c>
      <c r="AP44">
        <f>IFERROR(IF(INDEX(Instructions!$V$86:$V$105,MATCH(Draft!AF44,Instructions!$S$86:$S$105,0))&lt;='Draft Slayer Classic'!$E$25,1,0),0)</f>
        <v>0</v>
      </c>
      <c r="AQ44" s="197"/>
      <c r="AR44" s="549" t="str">
        <f>INDEX('Draft Slayer Classic'!$AP:$AP,MATCH(SMALL('Draft Slayer Classic'!$AX:$AX,$G44),'Draft Slayer Classic'!$AX:$AX,0))</f>
        <v>Donald Parham</v>
      </c>
      <c r="AS44" s="550" t="str">
        <f>INDEX(FFARawStatProjections!$B:$B,MATCH(AR44,FFARawStatProjections!$A:$A,0))</f>
        <v>LAC</v>
      </c>
      <c r="AT44" s="551" t="str">
        <f>INDEX(FFARawStatProjections!$D:$D,MATCH(AR44,FFARawStatProjections!$A:$A,0))&amp;IF(AU44&gt;0," ("&amp;AU44&amp;")","")</f>
        <v>5</v>
      </c>
      <c r="AU44">
        <f>IFERROR(INDEX($BQ$8:$BQ$21,MATCH(INDEX(FFARawStatProjections!$D:$D,MATCH(AR44,FFARawStatProjections!$A:$A,0)),$BP$8:$BP$21,0)),0)</f>
        <v>0</v>
      </c>
      <c r="AV44" s="552">
        <f>INDEX(TEproj!M:M,MATCH(Draft!AR44,TEproj!D:D,0))</f>
        <v>0</v>
      </c>
      <c r="AW44" t="e">
        <f>INDEX(ADP!$G:$G,MATCH(AR44,ADP!$D:$D,0))</f>
        <v>#N/A</v>
      </c>
      <c r="AX44" t="e">
        <f>IF(AND(AW44&gt;=$R$5,AW44&lt;$R$4),1,
IF(AND(AW44&gt;=$R$4,AW44&lt;$R$3),2,
IF(AW44&gt;=$R$3,3,
IF(AND(COUNTIF(AX$6:AX43,1)=0,COUNTIF(AW$6:AW43,"&lt;="&amp;$R$5)=(COUNTIF(AW$6:AW$20,"&lt;="&amp;$R$5)-1)),1,0))))</f>
        <v>#N/A</v>
      </c>
      <c r="AY44" s="552">
        <f>(IFERROR(AZ44-INDEX(AZ:AZ,MATCH(1,AX:AX,0)),0)+
IFERROR(AZ44-INDEX(AZ:AZ,MATCH(2,AX:AX,0)),0)*0.5+
IFERROR(AZ44-INDEX(AZ:AZ,MATCH(3,AX:AX,0)),0)*0.25
)/16*IF(ISBLANK(Beersheet!$A$1),1,16)</f>
        <v>-17.317156562499999</v>
      </c>
      <c r="AZ44">
        <f>IF(Beersheet!$A$2="QB",
INDEX(Beersheet!$A:$U,MATCH(Draft!AR44,Beersheet!$C:$C,0),FFARawStatProjections!$BQ$1),
INDEX('Draft Slayer Classic'!$AR:$AR,MATCH(AR44,'Draft Slayer Classic'!$AP:$AP,0)))</f>
        <v>48.876490000000004</v>
      </c>
      <c r="BA44" s="553">
        <f>INDEX('Draft Slayer Classic'!$AS:$AS,MATCH(AR44,'Draft Slayer Classic'!$AP:$AP,0))</f>
        <v>8</v>
      </c>
      <c r="BB44">
        <f>IFERROR(IF(INDEX(Instructions!$X$86:$X$105,MATCH(Draft!AR44,Instructions!$T$86:$T$105,0))&lt;='Draft Slayer Classic'!$E$25,1,0),0)</f>
        <v>0</v>
      </c>
      <c r="BC44" s="197"/>
      <c r="BD44" s="549" t="e">
        <f>INDEX('Draft Slayer Classic'!$BA:$BA,MATCH(SMALL('Draft Slayer Classic'!$BD:$BD,$G44),'Draft Slayer Classic'!$BD:$BD,0))</f>
        <v>#NUM!</v>
      </c>
      <c r="BE44" s="553" t="e">
        <f>INDEX(FFARawStatProjections!$D:$D,MATCH(BD44,FFARawStatProjections!$B:$B,0))&amp;IF(BF44&gt;0," ("&amp;BF44&amp;")","")</f>
        <v>#NUM!</v>
      </c>
      <c r="BF44">
        <f>IFERROR(INDEX($BQ$8:$BQ$21,MATCH(INDEX(FFARawStatProjections!$D:$D,MATCH(BC44,FFARawStatProjections!$A:$A,0)),$BP$8:$BP$21,0)),0)</f>
        <v>0</v>
      </c>
      <c r="BG44" s="464" t="e">
        <f>INDEX(FFARawStatProjections!$E:$E,MATCH(BD44,FFARawStatProjections!$B:$B,0))*0.1</f>
        <v>#NUM!</v>
      </c>
      <c r="BI44" s="197"/>
      <c r="BJ44" s="549" t="e">
        <f>INDEX('Draft Slayer Classic'!$BF:$BF,MATCH(SMALL('Draft Slayer Classic'!$BJ:$BJ,$G44),'Draft Slayer Classic'!$BJ:$BJ,0))</f>
        <v>#NUM!</v>
      </c>
      <c r="BK44" s="550" t="e">
        <f>INDEX(FFARawStatProjections!$B:$B,MATCH(BJ44,FFARawStatProjections!$A:$A,0))</f>
        <v>#NUM!</v>
      </c>
      <c r="BL44" s="553" t="e">
        <f>INDEX(FFARawStatProjections!$D:$D,MATCH(BJ44,FFARawStatProjections!$A:$A,0))&amp;IF(BM44&gt;0," ("&amp;BM44&amp;")","")</f>
        <v>#NUM!</v>
      </c>
      <c r="BM44">
        <f>IFERROR(INDEX($BQ$8:$BQ$21,MATCH(INDEX(FFARawStatProjections!$D:$D,MATCH(BJ44,FFARawStatProjections!$A:$A,0)),$BP$8:$BP$21,0)),0)</f>
        <v>0</v>
      </c>
      <c r="BN44" s="466" t="e">
        <f>INDEX(FFARawStatProjections!$E:$E,MATCH(Draft!BJ44,FFARawStatProjections!$A:$A,0))*0.1</f>
        <v>#NUM!</v>
      </c>
      <c r="BO44" s="197"/>
      <c r="BT44" t="str">
        <f>IF(FFARawStatProjections!A39=0,"",FFARawStatProjections!A39)</f>
        <v>Brian Hoyer</v>
      </c>
      <c r="BU44" t="str">
        <f>IF(FFARawStatProjections!C39=0,"",FFARawStatProjections!C39)</f>
        <v>QB</v>
      </c>
      <c r="BV44" t="str">
        <f>IF(FFARawStatProjections!B39=0,"",FFARawStatProjections!B39)</f>
        <v>LV</v>
      </c>
      <c r="BX44">
        <v>38</v>
      </c>
      <c r="BY44" s="89" t="str">
        <f t="shared" si="3"/>
        <v/>
      </c>
      <c r="BZ44" s="89" t="str">
        <f t="shared" si="4"/>
        <v/>
      </c>
      <c r="CA44" s="89" t="str">
        <f t="shared" si="5"/>
        <v/>
      </c>
    </row>
    <row r="45" spans="1:79" ht="33.75" hidden="1" customHeight="1" x14ac:dyDescent="0.25">
      <c r="A45" s="469" t="str">
        <f t="shared" si="6"/>
        <v/>
      </c>
      <c r="B45" s="472"/>
      <c r="C45" s="478" t="str">
        <f t="shared" si="9"/>
        <v/>
      </c>
      <c r="D45" s="190" t="str">
        <f t="shared" si="10"/>
        <v/>
      </c>
      <c r="E45" s="190">
        <f>IFERROR(INDEX(Instructions!$U$111:$U$222,MATCH(Draft!A45,Instructions!$U$111:$U$222,0)),0)</f>
        <v>0</v>
      </c>
      <c r="F45" s="197"/>
      <c r="G45">
        <v>40</v>
      </c>
      <c r="H45" s="554" t="str">
        <f>INDEX('Draft Slayer Classic'!$I:$I,MATCH(SMALL('Draft Slayer Classic'!$Q:$Q,$G45),'Draft Slayer Classic'!$Q:$Q,0))</f>
        <v>Mike White</v>
      </c>
      <c r="I45" s="555" t="str">
        <f>INDEX(FFARawStatProjections!$B:$B,MATCH(H45,FFARawStatProjections!$A:$A,0))</f>
        <v>MIA</v>
      </c>
      <c r="J45" s="556" t="str">
        <f>INDEX(FFARawStatProjections!$D:$D,MATCH(H45,FFARawStatProjections!$A:$A,0))&amp;IF(K45&gt;0," ("&amp;K45&amp;")","")</f>
        <v>10</v>
      </c>
      <c r="K45">
        <f>IFERROR(INDEX($BQ$8:$BQ$21,MATCH(INDEX(FFARawStatProjections!$D:$D,MATCH(H45,FFARawStatProjections!$A:$A,0)),$BP$8:$BP$21,0)),0)</f>
        <v>0</v>
      </c>
      <c r="L45" s="466">
        <f>INDEX(QBproj!M:M,MATCH(Draft!H45,QBproj!D:D,0))</f>
        <v>0</v>
      </c>
      <c r="M45" t="e">
        <f>INDEX(ADP!$G:$G,MATCH(H45,ADP!$D:$D,0))</f>
        <v>#N/A</v>
      </c>
      <c r="N45" t="e">
        <f>IF(AND(M45&gt;=$R$5,M45&lt;$R$4),1,
IF(AND(M45&gt;=$R$4,M45&lt;$R$3),2,
IF(M45&gt;=$R$3,3,
IF(AND(COUNTIF(N$6:N44,1)=0,COUNTIF(M$6:M44,"&lt;="&amp;$R$5)=(COUNTIF(M$6:M$20,"&lt;="&amp;$R$5)-1)),1,0))))</f>
        <v>#N/A</v>
      </c>
      <c r="O45" s="466">
        <f>(IFERROR(P45-INDEX(P:P,MATCH(1,N:N,0)),0)+
IFERROR(P45-INDEX(P:P,MATCH(2,N:N,0)),0)*0.5+
IFERROR(P45-INDEX(P:P,MATCH(3,N:N,0)),0)*0.25
)/16*IF(ISBLANK(Beersheet!$A$1),1,16)</f>
        <v>-36.853332968750003</v>
      </c>
      <c r="P45">
        <f>IF(Beersheet!$A$2="QB",
INDEX(Beersheet!$A:$U,MATCH(Draft!H45,Beersheet!$C:$C,0),FFARawStatProjections!$BQ$1),
INDEX('Draft Slayer Classic'!$K:$K,MATCH(H45,'Draft Slayer Classic'!$I:$I,0)))</f>
        <v>34.406410000000001</v>
      </c>
      <c r="Q45" s="557">
        <f>INDEX('Draft Slayer Classic'!$L:$L,MATCH(H45,'Draft Slayer Classic'!$I:$I,0))</f>
        <v>8</v>
      </c>
      <c r="R45">
        <f>IFERROR(IF(INDEX(Instructions!$V$64:$V$83,MATCH(Draft!H45,Instructions!$S$64:$S$83,0))&lt;='Draft Slayer Classic'!$E$25,1,0),0)</f>
        <v>0</v>
      </c>
      <c r="S45" s="197"/>
      <c r="T45" s="554" t="str">
        <f>INDEX('Draft Slayer Classic'!$T:$T,MATCH(SMALL('Draft Slayer Classic'!$AB:$AB,$G45),'Draft Slayer Classic'!$AB:$AB,0))</f>
        <v>Tyler Allgeier</v>
      </c>
      <c r="U45" s="555" t="str">
        <f>INDEX(FFARawStatProjections!$B:$B,MATCH(T45,FFARawStatProjections!$A:$A,0))</f>
        <v>ATL</v>
      </c>
      <c r="V45" s="556" t="str">
        <f>INDEX(FFARawStatProjections!$D:$D,MATCH(T45,FFARawStatProjections!$A:$A,0))&amp;IF(W45&gt;0," ("&amp;W45&amp;")","")</f>
        <v>11</v>
      </c>
      <c r="W45">
        <f>IFERROR(INDEX($BQ$8:$BQ$21,MATCH(INDEX(FFARawStatProjections!$D:$D,MATCH(T45,FFARawStatProjections!$A:$A,0)),$BP$8:$BP$21,0)),0)</f>
        <v>0</v>
      </c>
      <c r="X45" s="464">
        <f>INDEX(RBproj!M:M,MATCH(Draft!T45,RBproj!D:D,0))</f>
        <v>3.5</v>
      </c>
      <c r="Y45">
        <f>INDEX(ADP!$G:$G,MATCH(T45,ADP!$D:$D,0))</f>
        <v>108.10004499999999</v>
      </c>
      <c r="Z45">
        <f>IF(AND(Y45&gt;=$R$5,Y45&lt;$R$4),1,
IF(AND(Y45&gt;=$R$4,Y45&lt;$R$3),2,
IF(Y45&gt;=$R$3,3,
IF(AND(COUNTIF(Z$6:Z44,1)=0,COUNTIF(Y$6:Y44,"&lt;="&amp;$R$5)=(COUNTIF(Y$6:Y$20,"&lt;="&amp;$R$5)-1)),1,0))))</f>
        <v>3</v>
      </c>
      <c r="AA45" s="466">
        <f>(IFERROR(AB45-INDEX(AB:AB,MATCH(1,Z:Z,0)),0)+
IFERROR(AB45-INDEX(AB:AB,MATCH(2,Z:Z,0)),0)*0.5+
IFERROR(AB45-INDEX(AB:AB,MATCH(3,Z:Z,0)),0)*0.25
)/16*IF(ISBLANK(Beersheet!$A$1),1,16)</f>
        <v>-17.358868593750003</v>
      </c>
      <c r="AB45">
        <f>IF(Beersheet!$A$2="QB",
INDEX(Beersheet!$A:$U,MATCH(Draft!T45,Beersheet!$C:$C,0),FFARawStatProjections!$BQ$1),
INDEX('Draft Slayer Classic'!$V:$V,MATCH(T45,'Draft Slayer Classic'!$T:$T,0)))</f>
        <v>116.11154999999999</v>
      </c>
      <c r="AC45" s="557">
        <f>INDEX('Draft Slayer Classic'!$W:$W,MATCH(T45,'Draft Slayer Classic'!$T:$T,0))</f>
        <v>8</v>
      </c>
      <c r="AD45">
        <f>IFERROR(IF(INDEX(Instructions!$X$64:$X$83,MATCH(Draft!T45,Instructions!$T$64:$T$83,0))&lt;='Draft Slayer Classic'!$E$25,1,0),0)</f>
        <v>0</v>
      </c>
      <c r="AE45" s="197"/>
      <c r="AF45" s="554" t="str">
        <f>INDEX('Draft Slayer Classic'!$AE:$AE,MATCH(SMALL('Draft Slayer Classic'!$AM:$AM,$G45),'Draft Slayer Classic'!$AM:$AM,0))</f>
        <v>Kadarius Toney</v>
      </c>
      <c r="AG45" s="555" t="str">
        <f>INDEX(FFARawStatProjections!$B:$B,MATCH(AF45,FFARawStatProjections!$A:$A,0))</f>
        <v>KC</v>
      </c>
      <c r="AH45" s="556" t="str">
        <f>INDEX(FFARawStatProjections!$D:$D,MATCH(AF45,FFARawStatProjections!$A:$A,0))&amp;IF(AI45&gt;0," ("&amp;AI45&amp;")","")</f>
        <v>10</v>
      </c>
      <c r="AI45">
        <f>IFERROR(INDEX($BQ$8:$BQ$21,MATCH(INDEX(FFARawStatProjections!$D:$D,MATCH(AF45,FFARawStatProjections!$A:$A,0)),$BP$8:$BP$21,0)),0)</f>
        <v>0</v>
      </c>
      <c r="AJ45" s="464">
        <f>INDEX(WRproj!M:M,MATCH(Draft!AF45,WRproj!D:D,0))</f>
        <v>9.9999999999999645E-2</v>
      </c>
      <c r="AK45">
        <f>INDEX(ADP!$G:$G,MATCH(AF45,ADP!$D:$D,0))</f>
        <v>98.100322999999989</v>
      </c>
      <c r="AL45">
        <f>IF(AND(AK45&gt;=$R$5,AK45&lt;$R$4),1,
IF(AND(AK45&gt;=$R$4,AK45&lt;$R$3),2,
IF(AK45&gt;=$R$3,3,
IF(AND(COUNTIF(AL$6:AL44,1)=0,COUNTIF(AK$6:AK44,"&lt;="&amp;$R$5)=(COUNTIF(AK$6:AK$20,"&lt;="&amp;$R$5)-1)),1,0))))</f>
        <v>3</v>
      </c>
      <c r="AM45" s="466">
        <f>(IFERROR(AN45-INDEX(AN:AN,MATCH(1,AL:AL,0)),0)+
IFERROR(AN45-INDEX(AN:AN,MATCH(2,AL:AL,0)),0)*0.5+
IFERROR(AN45-INDEX(AN:AN,MATCH(3,AL:AL,0)),0)*0.25
)/16*IF(ISBLANK(Beersheet!$A$1),1,16)</f>
        <v>-12.364473437500001</v>
      </c>
      <c r="AN45">
        <f>IF(Beersheet!$A$2="QB",
INDEX(Beersheet!$A:$U,MATCH(Draft!AF45,Beersheet!$C:$C,0),FFARawStatProjections!$BQ$1),
INDEX('Draft Slayer Classic'!$AG:$AG,MATCH(AF45,'Draft Slayer Classic'!$AE:$AE,0)))</f>
        <v>155.68375</v>
      </c>
      <c r="AO45" s="557">
        <f>INDEX('Draft Slayer Classic'!$AH:$AH,MATCH(AF45,'Draft Slayer Classic'!$AE:$AE,0))</f>
        <v>8</v>
      </c>
      <c r="AP45">
        <f>IFERROR(IF(INDEX(Instructions!$V$86:$V$105,MATCH(Draft!AF45,Instructions!$S$86:$S$105,0))&lt;='Draft Slayer Classic'!$E$25,1,0),0)</f>
        <v>0</v>
      </c>
      <c r="AQ45" s="197"/>
      <c r="AR45" s="563" t="str">
        <f>INDEX('Draft Slayer Classic'!$AP:$AP,MATCH(SMALL('Draft Slayer Classic'!$AX:$AX,$G45),'Draft Slayer Classic'!$AX:$AX,0))</f>
        <v>Jonnu Smith</v>
      </c>
      <c r="AS45" s="555" t="str">
        <f>INDEX(FFARawStatProjections!$B:$B,MATCH(AR45,FFARawStatProjections!$A:$A,0))</f>
        <v>ATL</v>
      </c>
      <c r="AT45" s="556" t="str">
        <f>INDEX(FFARawStatProjections!$D:$D,MATCH(AR45,FFARawStatProjections!$A:$A,0))&amp;IF(AU45&gt;0," ("&amp;AU45&amp;")","")</f>
        <v>11</v>
      </c>
      <c r="AU45">
        <f>IFERROR(INDEX($BQ$8:$BQ$21,MATCH(INDEX(FFARawStatProjections!$D:$D,MATCH(AR45,FFARawStatProjections!$A:$A,0)),$BP$8:$BP$21,0)),0)</f>
        <v>0</v>
      </c>
      <c r="AV45" s="464">
        <f>INDEX(TEproj!M:M,MATCH(Draft!AR45,TEproj!D:D,0))</f>
        <v>0</v>
      </c>
      <c r="AW45" t="e">
        <f>INDEX(ADP!$G:$G,MATCH(AR45,ADP!$D:$D,0))</f>
        <v>#N/A</v>
      </c>
      <c r="AX45" t="e">
        <f>IF(AND(AW45&gt;=$R$5,AW45&lt;$R$4),1,
IF(AND(AW45&gt;=$R$4,AW45&lt;$R$3),2,
IF(AW45&gt;=$R$3,3,
IF(AND(COUNTIF(AX$6:AX44,1)=0,COUNTIF(AW$6:AW44,"&lt;="&amp;$R$5)=(COUNTIF(AW$6:AW$20,"&lt;="&amp;$R$5)-1)),1,0))))</f>
        <v>#N/A</v>
      </c>
      <c r="AY45" s="466">
        <f>(IFERROR(AZ45-INDEX(AZ:AZ,MATCH(1,AX:AX,0)),0)+
IFERROR(AZ45-INDEX(AZ:AZ,MATCH(2,AX:AX,0)),0)*0.5+
IFERROR(AZ45-INDEX(AZ:AZ,MATCH(3,AX:AX,0)),0)*0.25
)/16*IF(ISBLANK(Beersheet!$A$1),1,16)</f>
        <v>-17.374969843749998</v>
      </c>
      <c r="AZ45">
        <f>IF(Beersheet!$A$2="QB",
INDEX(Beersheet!$A:$U,MATCH(Draft!AR45,Beersheet!$C:$C,0),FFARawStatProjections!$BQ$1),
INDEX('Draft Slayer Classic'!$AR:$AR,MATCH(AR45,'Draft Slayer Classic'!$AP:$AP,0)))</f>
        <v>48.136480000000006</v>
      </c>
      <c r="BA45" s="557">
        <f>INDEX('Draft Slayer Classic'!$AS:$AS,MATCH(AR45,'Draft Slayer Classic'!$AP:$AP,0))</f>
        <v>8</v>
      </c>
      <c r="BB45">
        <f>IFERROR(IF(INDEX(Instructions!$X$86:$X$105,MATCH(Draft!AR45,Instructions!$T$86:$T$105,0))&lt;='Draft Slayer Classic'!$E$25,1,0),0)</f>
        <v>0</v>
      </c>
      <c r="BC45" s="197"/>
      <c r="BD45" s="554" t="e">
        <f>INDEX('Draft Slayer Classic'!$BA:$BA,MATCH(SMALL('Draft Slayer Classic'!$BD:$BD,$G45),'Draft Slayer Classic'!$BD:$BD,0))</f>
        <v>#NUM!</v>
      </c>
      <c r="BE45" s="557" t="e">
        <f>INDEX(FFARawStatProjections!$D:$D,MATCH(BD45,FFARawStatProjections!$B:$B,0))&amp;IF(BF45&gt;0," ("&amp;BF45&amp;")","")</f>
        <v>#NUM!</v>
      </c>
      <c r="BF45">
        <f>IFERROR(INDEX($BQ$8:$BQ$21,MATCH(INDEX(FFARawStatProjections!$D:$D,MATCH(BC45,FFARawStatProjections!$A:$A,0)),$BP$8:$BP$21,0)),0)</f>
        <v>0</v>
      </c>
      <c r="BG45" s="464" t="e">
        <f>INDEX(FFARawStatProjections!$E:$E,MATCH(BD45,FFARawStatProjections!$B:$B,0))*0.1</f>
        <v>#NUM!</v>
      </c>
      <c r="BI45" s="197"/>
      <c r="BJ45" s="554" t="e">
        <f>INDEX('Draft Slayer Classic'!$BF:$BF,MATCH(SMALL('Draft Slayer Classic'!$BJ:$BJ,$G45),'Draft Slayer Classic'!$BJ:$BJ,0))</f>
        <v>#NUM!</v>
      </c>
      <c r="BK45" s="555" t="e">
        <f>INDEX(FFARawStatProjections!$B:$B,MATCH(BJ45,FFARawStatProjections!$A:$A,0))</f>
        <v>#NUM!</v>
      </c>
      <c r="BL45" s="557" t="e">
        <f>INDEX(FFARawStatProjections!$D:$D,MATCH(BJ45,FFARawStatProjections!$A:$A,0))&amp;IF(BM45&gt;0," ("&amp;BM45&amp;")","")</f>
        <v>#NUM!</v>
      </c>
      <c r="BM45">
        <f>IFERROR(INDEX($BQ$8:$BQ$21,MATCH(INDEX(FFARawStatProjections!$D:$D,MATCH(BJ45,FFARawStatProjections!$A:$A,0)),$BP$8:$BP$21,0)),0)</f>
        <v>0</v>
      </c>
      <c r="BN45" s="466" t="e">
        <f>INDEX(FFARawStatProjections!$E:$E,MATCH(Draft!BJ45,FFARawStatProjections!$A:$A,0))*0.1</f>
        <v>#NUM!</v>
      </c>
      <c r="BO45" s="197"/>
      <c r="BT45" t="str">
        <f>IF(FFARawStatProjections!A40=0,"",FFARawStatProjections!A40)</f>
        <v>Taylor Heinicke</v>
      </c>
      <c r="BU45" t="str">
        <f>IF(FFARawStatProjections!C40=0,"",FFARawStatProjections!C40)</f>
        <v>QB</v>
      </c>
      <c r="BV45" t="str">
        <f>IF(FFARawStatProjections!B40=0,"",FFARawStatProjections!B40)</f>
        <v>ATL</v>
      </c>
      <c r="BX45">
        <v>39</v>
      </c>
      <c r="BY45" s="89" t="str">
        <f t="shared" si="3"/>
        <v/>
      </c>
      <c r="BZ45" s="89" t="str">
        <f t="shared" si="4"/>
        <v/>
      </c>
      <c r="CA45" s="89" t="str">
        <f t="shared" si="5"/>
        <v/>
      </c>
    </row>
    <row r="46" spans="1:79" ht="33.75" hidden="1" customHeight="1" x14ac:dyDescent="0.25">
      <c r="A46" s="473" t="str">
        <f t="shared" si="6"/>
        <v/>
      </c>
      <c r="B46" s="474"/>
      <c r="C46" s="479" t="str">
        <f t="shared" si="9"/>
        <v/>
      </c>
      <c r="D46" s="190" t="str">
        <f t="shared" si="10"/>
        <v/>
      </c>
      <c r="E46" s="190">
        <f>IFERROR(INDEX(Instructions!$U$111:$U$222,MATCH(Draft!A46,Instructions!$U$111:$U$222,0)),0)</f>
        <v>0</v>
      </c>
      <c r="F46" s="197"/>
      <c r="G46">
        <v>41</v>
      </c>
      <c r="H46" s="549" t="str">
        <f>INDEX('Draft Slayer Classic'!$I:$I,MATCH(SMALL('Draft Slayer Classic'!$Q:$Q,$G46),'Draft Slayer Classic'!$Q:$Q,0))</f>
        <v>Bailey Zappe</v>
      </c>
      <c r="I46" s="550" t="str">
        <f>INDEX(FFARawStatProjections!$B:$B,MATCH(H46,FFARawStatProjections!$A:$A,0))</f>
        <v>NE</v>
      </c>
      <c r="J46" s="551" t="str">
        <f>INDEX(FFARawStatProjections!$D:$D,MATCH(H46,FFARawStatProjections!$A:$A,0))&amp;IF(K46&gt;0," ("&amp;K46&amp;")","")</f>
        <v>11</v>
      </c>
      <c r="K46">
        <f>IFERROR(INDEX($BQ$8:$BQ$21,MATCH(INDEX(FFARawStatProjections!$D:$D,MATCH(H46,FFARawStatProjections!$A:$A,0)),$BP$8:$BP$21,0)),0)</f>
        <v>0</v>
      </c>
      <c r="L46" s="552">
        <f>INDEX(QBproj!M:M,MATCH(Draft!H46,QBproj!D:D,0))</f>
        <v>0</v>
      </c>
      <c r="M46" t="e">
        <f>INDEX(ADP!$G:$G,MATCH(H46,ADP!$D:$D,0))</f>
        <v>#N/A</v>
      </c>
      <c r="N46" t="e">
        <f>IF(AND(M46&gt;=$R$5,M46&lt;$R$4),1,
IF(AND(M46&gt;=$R$4,M46&lt;$R$3),2,
IF(M46&gt;=$R$3,3,
IF(AND(COUNTIF(N$6:N45,1)=0,COUNTIF(M$6:M45,"&lt;="&amp;$R$5)=(COUNTIF(M$6:M$20,"&lt;="&amp;$R$5)-1)),1,0))))</f>
        <v>#N/A</v>
      </c>
      <c r="O46" s="552">
        <f>(IFERROR(P46-INDEX(P:P,MATCH(1,N:N,0)),0)+
IFERROR(P46-INDEX(P:P,MATCH(2,N:N,0)),0)*0.5+
IFERROR(P46-INDEX(P:P,MATCH(3,N:N,0)),0)*0.25
)/16*IF(ISBLANK(Beersheet!$A$1),1,16)</f>
        <v>-37.029863124999999</v>
      </c>
      <c r="P46">
        <f>IF(Beersheet!$A$2="QB",
INDEX(Beersheet!$A:$U,MATCH(Draft!H46,Beersheet!$C:$C,0),FFARawStatProjections!$BQ$1),
INDEX('Draft Slayer Classic'!$K:$K,MATCH(H46,'Draft Slayer Classic'!$I:$I,0)))</f>
        <v>32.79242</v>
      </c>
      <c r="Q46" s="553">
        <f>INDEX('Draft Slayer Classic'!$L:$L,MATCH(H46,'Draft Slayer Classic'!$I:$I,0))</f>
        <v>8</v>
      </c>
      <c r="R46">
        <f>IFERROR(IF(INDEX(Instructions!$V$64:$V$83,MATCH(Draft!H46,Instructions!$S$64:$S$83,0))&lt;='Draft Slayer Classic'!$E$25,1,0),0)</f>
        <v>0</v>
      </c>
      <c r="S46" s="197"/>
      <c r="T46" s="549" t="str">
        <f>INDEX('Draft Slayer Classic'!$T:$T,MATCH(SMALL('Draft Slayer Classic'!$AB:$AB,$G46),'Draft Slayer Classic'!$AB:$AB,0))</f>
        <v>Devin Singletary</v>
      </c>
      <c r="U46" s="550" t="str">
        <f>INDEX(FFARawStatProjections!$B:$B,MATCH(T46,FFARawStatProjections!$A:$A,0))</f>
        <v>HOU</v>
      </c>
      <c r="V46" s="551" t="str">
        <f>INDEX(FFARawStatProjections!$D:$D,MATCH(T46,FFARawStatProjections!$A:$A,0))&amp;IF(W46&gt;0," ("&amp;W46&amp;")","")</f>
        <v>7</v>
      </c>
      <c r="W46">
        <f>IFERROR(INDEX($BQ$8:$BQ$21,MATCH(INDEX(FFARawStatProjections!$D:$D,MATCH(T46,FFARawStatProjections!$A:$A,0)),$BP$8:$BP$21,0)),0)</f>
        <v>0</v>
      </c>
      <c r="X46" s="552">
        <f>INDEX(RBproj!M:M,MATCH(Draft!T46,RBproj!D:D,0))</f>
        <v>4.1000000000000014</v>
      </c>
      <c r="Y46">
        <f>INDEX(ADP!$G:$G,MATCH(T46,ADP!$D:$D,0))</f>
        <v>122.800518</v>
      </c>
      <c r="Z46">
        <f>IF(AND(Y46&gt;=$R$5,Y46&lt;$R$4),1,
IF(AND(Y46&gt;=$R$4,Y46&lt;$R$3),2,
IF(Y46&gt;=$R$3,3,
IF(AND(COUNTIF(Z$6:Z45,1)=0,COUNTIF(Y$6:Y45,"&lt;="&amp;$R$5)=(COUNTIF(Y$6:Y$20,"&lt;="&amp;$R$5)-1)),1,0))))</f>
        <v>3</v>
      </c>
      <c r="AA46" s="552">
        <f>(IFERROR(AB46-INDEX(AB:AB,MATCH(1,Z:Z,0)),0)+
IFERROR(AB46-INDEX(AB:AB,MATCH(2,Z:Z,0)),0)*0.5+
IFERROR(AB46-INDEX(AB:AB,MATCH(3,Z:Z,0)),0)*0.25
)/16*IF(ISBLANK(Beersheet!$A$1),1,16)</f>
        <v>-17.474797343750005</v>
      </c>
      <c r="AB46">
        <f>IF(Beersheet!$A$2="QB",
INDEX(Beersheet!$A:$U,MATCH(Draft!T46,Beersheet!$C:$C,0),FFARawStatProjections!$BQ$1),
INDEX('Draft Slayer Classic'!$V:$V,MATCH(T46,'Draft Slayer Classic'!$T:$T,0)))</f>
        <v>115.05163</v>
      </c>
      <c r="AC46" s="553">
        <f>INDEX('Draft Slayer Classic'!$W:$W,MATCH(T46,'Draft Slayer Classic'!$T:$T,0))</f>
        <v>8</v>
      </c>
      <c r="AD46">
        <f>IFERROR(IF(INDEX(Instructions!$X$64:$X$83,MATCH(Draft!T46,Instructions!$T$64:$T$83,0))&lt;='Draft Slayer Classic'!$E$25,1,0),0)</f>
        <v>0</v>
      </c>
      <c r="AE46" s="197"/>
      <c r="AF46" s="549" t="str">
        <f>INDEX('Draft Slayer Classic'!$AE:$AE,MATCH(SMALL('Draft Slayer Classic'!$AM:$AM,$G46),'Draft Slayer Classic'!$AM:$AM,0))</f>
        <v>Nico Collins</v>
      </c>
      <c r="AG46" s="550" t="str">
        <f>INDEX(FFARawStatProjections!$B:$B,MATCH(AF46,FFARawStatProjections!$A:$A,0))</f>
        <v>HOU</v>
      </c>
      <c r="AH46" s="551" t="str">
        <f>INDEX(FFARawStatProjections!$D:$D,MATCH(AF46,FFARawStatProjections!$A:$A,0))&amp;IF(AI46&gt;0," ("&amp;AI46&amp;")","")</f>
        <v>7</v>
      </c>
      <c r="AI46">
        <f>IFERROR(INDEX($BQ$8:$BQ$21,MATCH(INDEX(FFARawStatProjections!$D:$D,MATCH(AF46,FFARawStatProjections!$A:$A,0)),$BP$8:$BP$21,0)),0)</f>
        <v>0</v>
      </c>
      <c r="AJ46" s="552">
        <f>INDEX(WRproj!M:M,MATCH(Draft!AF46,WRproj!D:D,0))</f>
        <v>0</v>
      </c>
      <c r="AK46">
        <f>INDEX(ADP!$G:$G,MATCH(AF46,ADP!$D:$D,0))</f>
        <v>127.100195</v>
      </c>
      <c r="AL46">
        <f>IF(AND(AK46&gt;=$R$5,AK46&lt;$R$4),1,
IF(AND(AK46&gt;=$R$4,AK46&lt;$R$3),2,
IF(AK46&gt;=$R$3,3,
IF(AND(COUNTIF(AL$6:AL45,1)=0,COUNTIF(AK$6:AK45,"&lt;="&amp;$R$5)=(COUNTIF(AK$6:AK$20,"&lt;="&amp;$R$5)-1)),1,0))))</f>
        <v>3</v>
      </c>
      <c r="AM46" s="552">
        <f>(IFERROR(AN46-INDEX(AN:AN,MATCH(1,AL:AL,0)),0)+
IFERROR(AN46-INDEX(AN:AN,MATCH(2,AL:AL,0)),0)*0.5+
IFERROR(AN46-INDEX(AN:AN,MATCH(3,AL:AL,0)),0)*0.25
)/16*IF(ISBLANK(Beersheet!$A$1),1,16)</f>
        <v>-12.392926249999999</v>
      </c>
      <c r="AN46">
        <f>IF(Beersheet!$A$2="QB",
INDEX(Beersheet!$A:$U,MATCH(Draft!AF46,Beersheet!$C:$C,0),FFARawStatProjections!$BQ$1),
INDEX('Draft Slayer Classic'!$AG:$AG,MATCH(AF46,'Draft Slayer Classic'!$AE:$AE,0)))</f>
        <v>155.42361000000002</v>
      </c>
      <c r="AO46" s="553">
        <f>INDEX('Draft Slayer Classic'!$AH:$AH,MATCH(AF46,'Draft Slayer Classic'!$AE:$AE,0))</f>
        <v>8</v>
      </c>
      <c r="AP46">
        <f>IFERROR(IF(INDEX(Instructions!$V$86:$V$105,MATCH(Draft!AF46,Instructions!$S$86:$S$105,0))&lt;='Draft Slayer Classic'!$E$25,1,0),0)</f>
        <v>0</v>
      </c>
      <c r="AQ46" s="197"/>
      <c r="AR46" s="549" t="str">
        <f>INDEX('Draft Slayer Classic'!$AP:$AP,MATCH(SMALL('Draft Slayer Classic'!$AX:$AX,$G46),'Draft Slayer Classic'!$AX:$AX,0))</f>
        <v>Foster Moreau</v>
      </c>
      <c r="AS46" s="550" t="str">
        <f>INDEX(FFARawStatProjections!$B:$B,MATCH(AR46,FFARawStatProjections!$A:$A,0))</f>
        <v>NO</v>
      </c>
      <c r="AT46" s="551" t="str">
        <f>INDEX(FFARawStatProjections!$D:$D,MATCH(AR46,FFARawStatProjections!$A:$A,0))&amp;IF(AU46&gt;0," ("&amp;AU46&amp;")","")</f>
        <v>11</v>
      </c>
      <c r="AU46">
        <f>IFERROR(INDEX($BQ$8:$BQ$21,MATCH(INDEX(FFARawStatProjections!$D:$D,MATCH(AR46,FFARawStatProjections!$A:$A,0)),$BP$8:$BP$21,0)),0)</f>
        <v>0</v>
      </c>
      <c r="AV46" s="552">
        <f>INDEX(TEproj!M:M,MATCH(Draft!AR46,TEproj!D:D,0))</f>
        <v>0</v>
      </c>
      <c r="AW46" t="e">
        <f>INDEX(ADP!$G:$G,MATCH(AR46,ADP!$D:$D,0))</f>
        <v>#N/A</v>
      </c>
      <c r="AX46" t="e">
        <f>IF(AND(AW46&gt;=$R$5,AW46&lt;$R$4),1,
IF(AND(AW46&gt;=$R$4,AW46&lt;$R$3),2,
IF(AW46&gt;=$R$3,3,
IF(AND(COUNTIF(AX$6:AX45,1)=0,COUNTIF(AW$6:AW45,"&lt;="&amp;$R$5)=(COUNTIF(AW$6:AW$20,"&lt;="&amp;$R$5)-1)),1,0))))</f>
        <v>#N/A</v>
      </c>
      <c r="AY46" s="552">
        <f>(IFERROR(AZ46-INDEX(AZ:AZ,MATCH(1,AX:AX,0)),0)+
IFERROR(AZ46-INDEX(AZ:AZ,MATCH(2,AX:AX,0)),0)*0.5+
IFERROR(AZ46-INDEX(AZ:AZ,MATCH(3,AX:AX,0)),0)*0.25
)/16*IF(ISBLANK(Beersheet!$A$1),1,16)</f>
        <v>-17.429653437500001</v>
      </c>
      <c r="AZ46">
        <f>IF(Beersheet!$A$2="QB",
INDEX(Beersheet!$A:$U,MATCH(Draft!AR46,Beersheet!$C:$C,0),FFARawStatProjections!$BQ$1),
INDEX('Draft Slayer Classic'!$AR:$AR,MATCH(AR46,'Draft Slayer Classic'!$AP:$AP,0)))</f>
        <v>47.436529999999998</v>
      </c>
      <c r="BA46" s="553">
        <f>INDEX('Draft Slayer Classic'!$AS:$AS,MATCH(AR46,'Draft Slayer Classic'!$AP:$AP,0))</f>
        <v>8</v>
      </c>
      <c r="BB46">
        <f>IFERROR(IF(INDEX(Instructions!$X$86:$X$105,MATCH(Draft!AR46,Instructions!$T$86:$T$105,0))&lt;='Draft Slayer Classic'!$E$25,1,0),0)</f>
        <v>0</v>
      </c>
      <c r="BC46" s="197"/>
      <c r="BD46" s="549" t="e">
        <f>INDEX('Draft Slayer Classic'!$BA:$BA,MATCH(SMALL('Draft Slayer Classic'!$BD:$BD,$G46),'Draft Slayer Classic'!$BD:$BD,0))</f>
        <v>#NUM!</v>
      </c>
      <c r="BE46" s="553" t="e">
        <f>INDEX(FFARawStatProjections!$D:$D,MATCH(BD46,FFARawStatProjections!$B:$B,0))&amp;IF(BF46&gt;0," ("&amp;BF46&amp;")","")</f>
        <v>#NUM!</v>
      </c>
      <c r="BF46">
        <f>IFERROR(INDEX($BQ$8:$BQ$21,MATCH(INDEX(FFARawStatProjections!$D:$D,MATCH(BC46,FFARawStatProjections!$A:$A,0)),$BP$8:$BP$21,0)),0)</f>
        <v>0</v>
      </c>
      <c r="BG46" s="464" t="e">
        <f>INDEX(FFARawStatProjections!$E:$E,MATCH(BD46,FFARawStatProjections!$B:$B,0))*0.1</f>
        <v>#NUM!</v>
      </c>
      <c r="BI46" s="197"/>
      <c r="BJ46" s="549" t="e">
        <f>INDEX('Draft Slayer Classic'!$BF:$BF,MATCH(SMALL('Draft Slayer Classic'!$BJ:$BJ,$G46),'Draft Slayer Classic'!$BJ:$BJ,0))</f>
        <v>#NUM!</v>
      </c>
      <c r="BK46" s="550" t="e">
        <f>INDEX(FFARawStatProjections!$B:$B,MATCH(BJ46,FFARawStatProjections!$A:$A,0))</f>
        <v>#NUM!</v>
      </c>
      <c r="BL46" s="553" t="e">
        <f>INDEX(FFARawStatProjections!$D:$D,MATCH(BJ46,FFARawStatProjections!$A:$A,0))&amp;IF(BM46&gt;0," ("&amp;BM46&amp;")","")</f>
        <v>#NUM!</v>
      </c>
      <c r="BM46">
        <f>IFERROR(INDEX($BQ$8:$BQ$21,MATCH(INDEX(FFARawStatProjections!$D:$D,MATCH(BJ46,FFARawStatProjections!$A:$A,0)),$BP$8:$BP$21,0)),0)</f>
        <v>0</v>
      </c>
      <c r="BN46" s="466" t="e">
        <f>INDEX(FFARawStatProjections!$E:$E,MATCH(Draft!BJ46,FFARawStatProjections!$A:$A,0))*0.1</f>
        <v>#NUM!</v>
      </c>
      <c r="BO46" s="197"/>
      <c r="BT46" t="str">
        <f>IF(FFARawStatProjections!A41=0,"",FFARawStatProjections!A41)</f>
        <v>Gardner Minshew</v>
      </c>
      <c r="BU46" t="str">
        <f>IF(FFARawStatProjections!C41=0,"",FFARawStatProjections!C41)</f>
        <v>QB</v>
      </c>
      <c r="BV46" t="str">
        <f>IF(FFARawStatProjections!B41=0,"",FFARawStatProjections!B41)</f>
        <v>IND</v>
      </c>
      <c r="BX46">
        <v>40</v>
      </c>
      <c r="BY46" s="89" t="str">
        <f t="shared" si="3"/>
        <v/>
      </c>
      <c r="BZ46" s="89" t="str">
        <f t="shared" si="4"/>
        <v/>
      </c>
      <c r="CA46" s="89" t="str">
        <f t="shared" si="5"/>
        <v/>
      </c>
    </row>
    <row r="47" spans="1:79" ht="33.75" hidden="1" customHeight="1" x14ac:dyDescent="0.25">
      <c r="A47" s="469" t="str">
        <f t="shared" si="6"/>
        <v/>
      </c>
      <c r="B47" s="472"/>
      <c r="C47" s="478" t="str">
        <f t="shared" si="9"/>
        <v/>
      </c>
      <c r="D47" s="190" t="str">
        <f t="shared" si="10"/>
        <v/>
      </c>
      <c r="E47" s="190">
        <f>IFERROR(INDEX(Instructions!$U$111:$U$222,MATCH(Draft!A47,Instructions!$U$111:$U$222,0)),0)</f>
        <v>0</v>
      </c>
      <c r="F47" s="197"/>
      <c r="G47">
        <v>42</v>
      </c>
      <c r="H47" s="554" t="str">
        <f>INDEX('Draft Slayer Classic'!$I:$I,MATCH(SMALL('Draft Slayer Classic'!$Q:$Q,$G47),'Draft Slayer Classic'!$Q:$Q,0))</f>
        <v>Clayton Tune</v>
      </c>
      <c r="I47" s="555" t="str">
        <f>INDEX(FFARawStatProjections!$B:$B,MATCH(H47,FFARawStatProjections!$A:$A,0))</f>
        <v>AZ</v>
      </c>
      <c r="J47" s="556" t="str">
        <f>INDEX(FFARawStatProjections!$D:$D,MATCH(H47,FFARawStatProjections!$A:$A,0))&amp;IF(K47&gt;0," ("&amp;K47&amp;")","")</f>
        <v>14</v>
      </c>
      <c r="K47">
        <f>IFERROR(INDEX($BQ$8:$BQ$21,MATCH(INDEX(FFARawStatProjections!$D:$D,MATCH(H47,FFARawStatProjections!$A:$A,0)),$BP$8:$BP$21,0)),0)</f>
        <v>0</v>
      </c>
      <c r="L47" s="466">
        <f>INDEX(QBproj!M:M,MATCH(Draft!H47,QBproj!D:D,0))</f>
        <v>0</v>
      </c>
      <c r="M47" t="e">
        <f>INDEX(ADP!$G:$G,MATCH(H47,ADP!$D:$D,0))</f>
        <v>#N/A</v>
      </c>
      <c r="N47" t="e">
        <f>IF(AND(M47&gt;=$R$5,M47&lt;$R$4),1,
IF(AND(M47&gt;=$R$4,M47&lt;$R$3),2,
IF(M47&gt;=$R$3,3,
IF(AND(COUNTIF(N$6:N46,1)=0,COUNTIF(M$6:M46,"&lt;="&amp;$R$5)=(COUNTIF(M$6:M$20,"&lt;="&amp;$R$5)-1)),1,0))))</f>
        <v>#N/A</v>
      </c>
      <c r="O47" s="466">
        <f>(IFERROR(P47-INDEX(P:P,MATCH(1,N:N,0)),0)+
IFERROR(P47-INDEX(P:P,MATCH(2,N:N,0)),0)*0.5+
IFERROR(P47-INDEX(P:P,MATCH(3,N:N,0)),0)*0.25
)/16*IF(ISBLANK(Beersheet!$A$1),1,16)</f>
        <v>-37.084987031250002</v>
      </c>
      <c r="P47">
        <f>IF(Beersheet!$A$2="QB",
INDEX(Beersheet!$A:$U,MATCH(Draft!H47,Beersheet!$C:$C,0),FFARawStatProjections!$BQ$1),
INDEX('Draft Slayer Classic'!$K:$K,MATCH(H47,'Draft Slayer Classic'!$I:$I,0)))</f>
        <v>32.288430000000005</v>
      </c>
      <c r="Q47" s="557">
        <f>INDEX('Draft Slayer Classic'!$L:$L,MATCH(H47,'Draft Slayer Classic'!$I:$I,0))</f>
        <v>8</v>
      </c>
      <c r="R47">
        <f>IFERROR(IF(INDEX(Instructions!$V$64:$V$83,MATCH(Draft!H47,Instructions!$S$64:$S$83,0))&lt;='Draft Slayer Classic'!$E$25,1,0),0)</f>
        <v>0</v>
      </c>
      <c r="S47" s="197"/>
      <c r="T47" s="554" t="str">
        <f>INDEX('Draft Slayer Classic'!$T:$T,MATCH(SMALL('Draft Slayer Classic'!$AB:$AB,$G47),'Draft Slayer Classic'!$AB:$AB,0))</f>
        <v>Ezekiel Elliott</v>
      </c>
      <c r="U47" s="555" t="str">
        <f>INDEX(FFARawStatProjections!$B:$B,MATCH(T47,FFARawStatProjections!$A:$A,0))</f>
        <v>NE</v>
      </c>
      <c r="V47" s="556" t="str">
        <f>INDEX(FFARawStatProjections!$D:$D,MATCH(T47,FFARawStatProjections!$A:$A,0))&amp;IF(W47&gt;0," ("&amp;W47&amp;")","")</f>
        <v>11</v>
      </c>
      <c r="W47">
        <f>IFERROR(INDEX($BQ$8:$BQ$21,MATCH(INDEX(FFARawStatProjections!$D:$D,MATCH(T47,FFARawStatProjections!$A:$A,0)),$BP$8:$BP$21,0)),0)</f>
        <v>0</v>
      </c>
      <c r="X47" s="464">
        <f>INDEX(RBproj!M:M,MATCH(Draft!T47,RBproj!D:D,0))</f>
        <v>0</v>
      </c>
      <c r="Y47" t="e">
        <f>INDEX(ADP!$G:$G,MATCH(T47,ADP!$D:$D,0))</f>
        <v>#N/A</v>
      </c>
      <c r="Z47" t="e">
        <f>IF(AND(Y47&gt;=$R$5,Y47&lt;$R$4),1,
IF(AND(Y47&gt;=$R$4,Y47&lt;$R$3),2,
IF(Y47&gt;=$R$3,3,
IF(AND(COUNTIF(Z$6:Z46,1)=0,COUNTIF(Y$6:Y46,"&lt;="&amp;$R$5)=(COUNTIF(Y$6:Y$20,"&lt;="&amp;$R$5)-1)),1,0))))</f>
        <v>#N/A</v>
      </c>
      <c r="AA47" s="466">
        <f>(IFERROR(AB47-INDEX(AB:AB,MATCH(1,Z:Z,0)),0)+
IFERROR(AB47-INDEX(AB:AB,MATCH(2,Z:Z,0)),0)*0.5+
IFERROR(AB47-INDEX(AB:AB,MATCH(3,Z:Z,0)),0)*0.25
)/16*IF(ISBLANK(Beersheet!$A$1),1,16)</f>
        <v>-17.697930000000003</v>
      </c>
      <c r="AB47">
        <f>IF(Beersheet!$A$2="QB",
INDEX(Beersheet!$A:$U,MATCH(Draft!T47,Beersheet!$C:$C,0),FFARawStatProjections!$BQ$1),
INDEX('Draft Slayer Classic'!$V:$V,MATCH(T47,'Draft Slayer Classic'!$T:$T,0)))</f>
        <v>113.01155999999999</v>
      </c>
      <c r="AC47" s="557">
        <f>INDEX('Draft Slayer Classic'!$W:$W,MATCH(T47,'Draft Slayer Classic'!$T:$T,0))</f>
        <v>8</v>
      </c>
      <c r="AD47">
        <f>IFERROR(IF(INDEX(Instructions!$X$64:$X$83,MATCH(Draft!T47,Instructions!$T$64:$T$83,0))&lt;='Draft Slayer Classic'!$E$25,1,0),0)</f>
        <v>0</v>
      </c>
      <c r="AE47" s="197"/>
      <c r="AF47" s="554" t="str">
        <f>INDEX('Draft Slayer Classic'!$AE:$AE,MATCH(SMALL('Draft Slayer Classic'!$AM:$AM,$G47),'Draft Slayer Classic'!$AM:$AM,0))</f>
        <v>Tyler Boyd</v>
      </c>
      <c r="AG47" s="555" t="str">
        <f>INDEX(FFARawStatProjections!$B:$B,MATCH(AF47,FFARawStatProjections!$A:$A,0))</f>
        <v>CIN</v>
      </c>
      <c r="AH47" s="556" t="str">
        <f>INDEX(FFARawStatProjections!$D:$D,MATCH(AF47,FFARawStatProjections!$A:$A,0))&amp;IF(AI47&gt;0," ("&amp;AI47&amp;")","")</f>
        <v>7</v>
      </c>
      <c r="AI47">
        <f>IFERROR(INDEX($BQ$8:$BQ$21,MATCH(INDEX(FFARawStatProjections!$D:$D,MATCH(AF47,FFARawStatProjections!$A:$A,0)),$BP$8:$BP$21,0)),0)</f>
        <v>0</v>
      </c>
      <c r="AJ47" s="464">
        <f>INDEX(WRproj!M:M,MATCH(Draft!AF47,WRproj!D:D,0))</f>
        <v>0.30000000000000071</v>
      </c>
      <c r="AK47">
        <f>INDEX(ADP!$G:$G,MATCH(AF47,ADP!$D:$D,0))</f>
        <v>134.700042</v>
      </c>
      <c r="AL47">
        <f>IF(AND(AK47&gt;=$R$5,AK47&lt;$R$4),1,
IF(AND(AK47&gt;=$R$4,AK47&lt;$R$3),2,
IF(AK47&gt;=$R$3,3,
IF(AND(COUNTIF(AL$6:AL46,1)=0,COUNTIF(AK$6:AK46,"&lt;="&amp;$R$5)=(COUNTIF(AK$6:AK$20,"&lt;="&amp;$R$5)-1)),1,0))))</f>
        <v>3</v>
      </c>
      <c r="AM47" s="466">
        <f>(IFERROR(AN47-INDEX(AN:AN,MATCH(1,AL:AL,0)),0)+
IFERROR(AN47-INDEX(AN:AN,MATCH(2,AL:AL,0)),0)*0.5+
IFERROR(AN47-INDEX(AN:AN,MATCH(3,AL:AL,0)),0)*0.25
)/16*IF(ISBLANK(Beersheet!$A$1),1,16)</f>
        <v>-12.594171875000004</v>
      </c>
      <c r="AN47">
        <f>IF(Beersheet!$A$2="QB",
INDEX(Beersheet!$A:$U,MATCH(Draft!AF47,Beersheet!$C:$C,0),FFARawStatProjections!$BQ$1),
INDEX('Draft Slayer Classic'!$AG:$AG,MATCH(AF47,'Draft Slayer Classic'!$AE:$AE,0)))</f>
        <v>153.58364999999998</v>
      </c>
      <c r="AO47" s="557">
        <f>INDEX('Draft Slayer Classic'!$AH:$AH,MATCH(AF47,'Draft Slayer Classic'!$AE:$AE,0))</f>
        <v>8</v>
      </c>
      <c r="AP47">
        <f>IFERROR(IF(INDEX(Instructions!$V$86:$V$105,MATCH(Draft!AF47,Instructions!$S$86:$S$105,0))&lt;='Draft Slayer Classic'!$E$25,1,0),0)</f>
        <v>0</v>
      </c>
      <c r="AQ47" s="197"/>
      <c r="AR47" s="554" t="str">
        <f>INDEX('Draft Slayer Classic'!$AP:$AP,MATCH(SMALL('Draft Slayer Classic'!$AX:$AX,$G47),'Draft Slayer Classic'!$AX:$AX,0))</f>
        <v>Robert Tonyan</v>
      </c>
      <c r="AS47" s="555" t="str">
        <f>INDEX(FFARawStatProjections!$B:$B,MATCH(AR47,FFARawStatProjections!$A:$A,0))</f>
        <v>CHI</v>
      </c>
      <c r="AT47" s="556" t="str">
        <f>INDEX(FFARawStatProjections!$D:$D,MATCH(AR47,FFARawStatProjections!$A:$A,0))&amp;IF(AU47&gt;0," ("&amp;AU47&amp;")","")</f>
        <v>13</v>
      </c>
      <c r="AU47">
        <f>IFERROR(INDEX($BQ$8:$BQ$21,MATCH(INDEX(FFARawStatProjections!$D:$D,MATCH(AR47,FFARawStatProjections!$A:$A,0)),$BP$8:$BP$21,0)),0)</f>
        <v>0</v>
      </c>
      <c r="AV47" s="464">
        <f>INDEX(TEproj!M:M,MATCH(Draft!AR47,TEproj!D:D,0))</f>
        <v>0</v>
      </c>
      <c r="AW47" t="e">
        <f>INDEX(ADP!$G:$G,MATCH(AR47,ADP!$D:$D,0))</f>
        <v>#N/A</v>
      </c>
      <c r="AX47" t="e">
        <f>IF(AND(AW47&gt;=$R$5,AW47&lt;$R$4),1,
IF(AND(AW47&gt;=$R$4,AW47&lt;$R$3),2,
IF(AW47&gt;=$R$3,3,
IF(AND(COUNTIF(AX$6:AX46,1)=0,COUNTIF(AW$6:AW46,"&lt;="&amp;$R$5)=(COUNTIF(AW$6:AW$20,"&lt;="&amp;$R$5)-1)),1,0))))</f>
        <v>#N/A</v>
      </c>
      <c r="AY47" s="466">
        <f>(IFERROR(AZ47-INDEX(AZ:AZ,MATCH(1,AX:AX,0)),0)+
IFERROR(AZ47-INDEX(AZ:AZ,MATCH(2,AX:AX,0)),0)*0.5+
IFERROR(AZ47-INDEX(AZ:AZ,MATCH(3,AX:AX,0)),0)*0.25
)/16*IF(ISBLANK(Beersheet!$A$1),1,16)</f>
        <v>-17.454655781250001</v>
      </c>
      <c r="AZ47">
        <f>IF(Beersheet!$A$2="QB",
INDEX(Beersheet!$A:$U,MATCH(Draft!AR47,Beersheet!$C:$C,0),FFARawStatProjections!$BQ$1),
INDEX('Draft Slayer Classic'!$AR:$AR,MATCH(AR47,'Draft Slayer Classic'!$AP:$AP,0)))</f>
        <v>47.116500000000002</v>
      </c>
      <c r="BA47" s="557">
        <f>INDEX('Draft Slayer Classic'!$AS:$AS,MATCH(AR47,'Draft Slayer Classic'!$AP:$AP,0))</f>
        <v>8</v>
      </c>
      <c r="BB47">
        <f>IFERROR(IF(INDEX(Instructions!$X$86:$X$105,MATCH(Draft!AR47,Instructions!$T$86:$T$105,0))&lt;='Draft Slayer Classic'!$E$25,1,0),0)</f>
        <v>0</v>
      </c>
      <c r="BC47" s="197"/>
      <c r="BD47" s="554" t="e">
        <f>INDEX('Draft Slayer Classic'!$BA:$BA,MATCH(SMALL('Draft Slayer Classic'!$BD:$BD,$G47),'Draft Slayer Classic'!$BD:$BD,0))</f>
        <v>#NUM!</v>
      </c>
      <c r="BE47" s="557" t="e">
        <f>INDEX(FFARawStatProjections!$D:$D,MATCH(BD47,FFARawStatProjections!$B:$B,0))&amp;IF(BF47&gt;0," ("&amp;BF47&amp;")","")</f>
        <v>#NUM!</v>
      </c>
      <c r="BF47">
        <f>IFERROR(INDEX($BQ$8:$BQ$21,MATCH(INDEX(FFARawStatProjections!$D:$D,MATCH(BC47,FFARawStatProjections!$A:$A,0)),$BP$8:$BP$21,0)),0)</f>
        <v>0</v>
      </c>
      <c r="BG47" s="464" t="e">
        <f>INDEX(FFARawStatProjections!$E:$E,MATCH(BD47,FFARawStatProjections!$B:$B,0))*0.1</f>
        <v>#NUM!</v>
      </c>
      <c r="BI47" s="197"/>
      <c r="BJ47" s="554" t="e">
        <f>INDEX('Draft Slayer Classic'!$BF:$BF,MATCH(SMALL('Draft Slayer Classic'!$BJ:$BJ,$G47),'Draft Slayer Classic'!$BJ:$BJ,0))</f>
        <v>#NUM!</v>
      </c>
      <c r="BK47" s="555" t="e">
        <f>INDEX(FFARawStatProjections!$B:$B,MATCH(BJ47,FFARawStatProjections!$A:$A,0))</f>
        <v>#NUM!</v>
      </c>
      <c r="BL47" s="557" t="e">
        <f>INDEX(FFARawStatProjections!$D:$D,MATCH(BJ47,FFARawStatProjections!$A:$A,0))&amp;IF(BM47&gt;0," ("&amp;BM47&amp;")","")</f>
        <v>#NUM!</v>
      </c>
      <c r="BM47">
        <f>IFERROR(INDEX($BQ$8:$BQ$21,MATCH(INDEX(FFARawStatProjections!$D:$D,MATCH(BJ47,FFARawStatProjections!$A:$A,0)),$BP$8:$BP$21,0)),0)</f>
        <v>0</v>
      </c>
      <c r="BN47" s="466" t="e">
        <f>INDEX(FFARawStatProjections!$E:$E,MATCH(Draft!BJ47,FFARawStatProjections!$A:$A,0))*0.1</f>
        <v>#NUM!</v>
      </c>
      <c r="BO47" s="197"/>
      <c r="BT47" t="str">
        <f>IF(FFARawStatProjections!A42=0,"",FFARawStatProjections!A42)</f>
        <v>Mike White</v>
      </c>
      <c r="BU47" t="str">
        <f>IF(FFARawStatProjections!C42=0,"",FFARawStatProjections!C42)</f>
        <v>QB</v>
      </c>
      <c r="BV47" t="str">
        <f>IF(FFARawStatProjections!B42=0,"",FFARawStatProjections!B42)</f>
        <v>MIA</v>
      </c>
      <c r="BX47">
        <v>41</v>
      </c>
      <c r="BY47" s="89" t="str">
        <f t="shared" si="3"/>
        <v/>
      </c>
      <c r="BZ47" s="89" t="str">
        <f t="shared" si="4"/>
        <v/>
      </c>
      <c r="CA47" s="89" t="str">
        <f t="shared" si="5"/>
        <v/>
      </c>
    </row>
    <row r="48" spans="1:79" ht="33.75" hidden="1" customHeight="1" thickBot="1" x14ac:dyDescent="0.3">
      <c r="A48" s="475" t="str">
        <f t="shared" si="6"/>
        <v/>
      </c>
      <c r="B48" s="476"/>
      <c r="C48" s="480" t="str">
        <f t="shared" si="9"/>
        <v/>
      </c>
      <c r="D48" s="190" t="str">
        <f t="shared" si="10"/>
        <v/>
      </c>
      <c r="E48" s="190">
        <f>IFERROR(INDEX(Instructions!$U$111:$U$222,MATCH(Draft!A48,Instructions!$U$111:$U$222,0)),0)</f>
        <v>0</v>
      </c>
      <c r="F48" s="197"/>
      <c r="G48">
        <v>43</v>
      </c>
      <c r="H48" s="558" t="str">
        <f>INDEX('Draft Slayer Classic'!$I:$I,MATCH(SMALL('Draft Slayer Classic'!$Q:$Q,$G48),'Draft Slayer Classic'!$Q:$Q,0))</f>
        <v>Sam Darnold</v>
      </c>
      <c r="I48" s="559" t="str">
        <f>INDEX(FFARawStatProjections!$B:$B,MATCH(H48,FFARawStatProjections!$A:$A,0))</f>
        <v>SF</v>
      </c>
      <c r="J48" s="560" t="str">
        <f>INDEX(FFARawStatProjections!$D:$D,MATCH(H48,FFARawStatProjections!$A:$A,0))&amp;IF(K48&gt;0," ("&amp;K48&amp;")","")</f>
        <v>9</v>
      </c>
      <c r="K48">
        <f>IFERROR(INDEX($BQ$8:$BQ$21,MATCH(INDEX(FFARawStatProjections!$D:$D,MATCH(H48,FFARawStatProjections!$A:$A,0)),$BP$8:$BP$21,0)),0)</f>
        <v>0</v>
      </c>
      <c r="L48" s="561">
        <f>INDEX(QBproj!M:M,MATCH(Draft!H48,QBproj!D:D,0))</f>
        <v>0</v>
      </c>
      <c r="M48" t="e">
        <f>INDEX(ADP!$G:$G,MATCH(H48,ADP!$D:$D,0))</f>
        <v>#N/A</v>
      </c>
      <c r="N48" t="e">
        <f>IF(AND(M48&gt;=$R$5,M48&lt;$R$4),1,
IF(AND(M48&gt;=$R$4,M48&lt;$R$3),2,
IF(M48&gt;=$R$3,3,
IF(AND(COUNTIF(N$6:N47,1)=0,COUNTIF(M$6:M47,"&lt;="&amp;$R$5)=(COUNTIF(M$6:M$20,"&lt;="&amp;$R$5)-1)),1,0))))</f>
        <v>#N/A</v>
      </c>
      <c r="O48" s="561">
        <f>(IFERROR(P48-INDEX(P:P,MATCH(1,N:N,0)),0)+
IFERROR(P48-INDEX(P:P,MATCH(2,N:N,0)),0)*0.5+
IFERROR(P48-INDEX(P:P,MATCH(3,N:N,0)),0)*0.25
)/16*IF(ISBLANK(Beersheet!$A$1),1,16)</f>
        <v>-37.450298437499995</v>
      </c>
      <c r="P48">
        <f>IF(Beersheet!$A$2="QB",
INDEX(Beersheet!$A:$U,MATCH(Draft!H48,Beersheet!$C:$C,0),FFARawStatProjections!$BQ$1),
INDEX('Draft Slayer Classic'!$K:$K,MATCH(H48,'Draft Slayer Classic'!$I:$I,0)))</f>
        <v>28.948440000000002</v>
      </c>
      <c r="Q48" s="562">
        <f>INDEX('Draft Slayer Classic'!$L:$L,MATCH(H48,'Draft Slayer Classic'!$I:$I,0))</f>
        <v>8</v>
      </c>
      <c r="R48">
        <f>IFERROR(IF(INDEX(Instructions!$V$64:$V$83,MATCH(Draft!H48,Instructions!$S$64:$S$83,0))&lt;='Draft Slayer Classic'!$E$25,1,0),0)</f>
        <v>0</v>
      </c>
      <c r="S48" s="197"/>
      <c r="T48" s="558" t="str">
        <f>INDEX('Draft Slayer Classic'!$T:$T,MATCH(SMALL('Draft Slayer Classic'!$AB:$AB,$G48),'Draft Slayer Classic'!$AB:$AB,0))</f>
        <v>Jerick McKinnon</v>
      </c>
      <c r="U48" s="559" t="str">
        <f>INDEX(FFARawStatProjections!$B:$B,MATCH(T48,FFARawStatProjections!$A:$A,0))</f>
        <v>KC</v>
      </c>
      <c r="V48" s="560" t="str">
        <f>INDEX(FFARawStatProjections!$D:$D,MATCH(T48,FFARawStatProjections!$A:$A,0))&amp;IF(W48&gt;0," ("&amp;W48&amp;")","")</f>
        <v>10</v>
      </c>
      <c r="W48">
        <f>IFERROR(INDEX($BQ$8:$BQ$21,MATCH(INDEX(FFARawStatProjections!$D:$D,MATCH(T48,FFARawStatProjections!$A:$A,0)),$BP$8:$BP$21,0)),0)</f>
        <v>0</v>
      </c>
      <c r="X48" s="561">
        <f>INDEX(RBproj!M:M,MATCH(Draft!T48,RBproj!D:D,0))</f>
        <v>0</v>
      </c>
      <c r="Y48">
        <f>INDEX(ADP!$G:$G,MATCH(T48,ADP!$D:$D,0))</f>
        <v>120.700374</v>
      </c>
      <c r="Z48">
        <f>IF(AND(Y48&gt;=$R$5,Y48&lt;$R$4),1,
IF(AND(Y48&gt;=$R$4,Y48&lt;$R$3),2,
IF(Y48&gt;=$R$3,3,
IF(AND(COUNTIF(Z$6:Z47,1)=0,COUNTIF(Y$6:Y47,"&lt;="&amp;$R$5)=(COUNTIF(Y$6:Y$20,"&lt;="&amp;$R$5)-1)),1,0))))</f>
        <v>3</v>
      </c>
      <c r="AA48" s="561">
        <f>(IFERROR(AB48-INDEX(AB:AB,MATCH(1,Z:Z,0)),0)+
IFERROR(AB48-INDEX(AB:AB,MATCH(2,Z:Z,0)),0)*0.5+
IFERROR(AB48-INDEX(AB:AB,MATCH(3,Z:Z,0)),0)*0.25
)/16*IF(ISBLANK(Beersheet!$A$1),1,16)</f>
        <v>-17.918858750000002</v>
      </c>
      <c r="AB48">
        <f>IF(Beersheet!$A$2="QB",
INDEX(Beersheet!$A:$U,MATCH(Draft!T48,Beersheet!$C:$C,0),FFARawStatProjections!$BQ$1),
INDEX('Draft Slayer Classic'!$V:$V,MATCH(T48,'Draft Slayer Classic'!$T:$T,0)))</f>
        <v>110.99164</v>
      </c>
      <c r="AC48" s="562">
        <f>INDEX('Draft Slayer Classic'!$W:$W,MATCH(T48,'Draft Slayer Classic'!$T:$T,0))</f>
        <v>8</v>
      </c>
      <c r="AD48">
        <f>IFERROR(IF(INDEX(Instructions!$X$64:$X$83,MATCH(Draft!T48,Instructions!$T$64:$T$83,0))&lt;='Draft Slayer Classic'!$E$25,1,0),0)</f>
        <v>0</v>
      </c>
      <c r="AE48" s="197"/>
      <c r="AF48" s="558" t="str">
        <f>INDEX('Draft Slayer Classic'!$AE:$AE,MATCH(SMALL('Draft Slayer Classic'!$AM:$AM,$G48),'Draft Slayer Classic'!$AM:$AM,0))</f>
        <v>Odell Beckham</v>
      </c>
      <c r="AG48" s="559" t="str">
        <f>INDEX(FFARawStatProjections!$B:$B,MATCH(AF48,FFARawStatProjections!$A:$A,0))</f>
        <v>BAL</v>
      </c>
      <c r="AH48" s="560" t="str">
        <f>INDEX(FFARawStatProjections!$D:$D,MATCH(AF48,FFARawStatProjections!$A:$A,0))&amp;IF(AI48&gt;0," ("&amp;AI48&amp;")","")</f>
        <v>13</v>
      </c>
      <c r="AI48">
        <f>IFERROR(INDEX($BQ$8:$BQ$21,MATCH(INDEX(FFARawStatProjections!$D:$D,MATCH(AF48,FFARawStatProjections!$A:$A,0)),$BP$8:$BP$21,0)),0)</f>
        <v>0</v>
      </c>
      <c r="AJ48" s="561">
        <f>INDEX(WRproj!M:M,MATCH(Draft!AF48,WRproj!D:D,0))</f>
        <v>3.5</v>
      </c>
      <c r="AK48">
        <f>INDEX(ADP!$G:$G,MATCH(AF48,ADP!$D:$D,0))</f>
        <v>115.500185</v>
      </c>
      <c r="AL48">
        <f>IF(AND(AK48&gt;=$R$5,AK48&lt;$R$4),1,
IF(AND(AK48&gt;=$R$4,AK48&lt;$R$3),2,
IF(AK48&gt;=$R$3,3,
IF(AND(COUNTIF(AL$6:AL47,1)=0,COUNTIF(AK$6:AK47,"&lt;="&amp;$R$5)=(COUNTIF(AK$6:AK$20,"&lt;="&amp;$R$5)-1)),1,0))))</f>
        <v>3</v>
      </c>
      <c r="AM48" s="561">
        <f>(IFERROR(AN48-INDEX(AN:AN,MATCH(1,AL:AL,0)),0)+
IFERROR(AN48-INDEX(AN:AN,MATCH(2,AL:AL,0)),0)*0.5+
IFERROR(AN48-INDEX(AN:AN,MATCH(3,AL:AL,0)),0)*0.25
)/16*IF(ISBLANK(Beersheet!$A$1),1,16)</f>
        <v>-12.606208593750001</v>
      </c>
      <c r="AN48">
        <f>IF(Beersheet!$A$2="QB",
INDEX(Beersheet!$A:$U,MATCH(Draft!AF48,Beersheet!$C:$C,0),FFARawStatProjections!$BQ$1),
INDEX('Draft Slayer Classic'!$AG:$AG,MATCH(AF48,'Draft Slayer Classic'!$AE:$AE,0)))</f>
        <v>153.4736</v>
      </c>
      <c r="AO48" s="562">
        <f>INDEX('Draft Slayer Classic'!$AH:$AH,MATCH(AF48,'Draft Slayer Classic'!$AE:$AE,0))</f>
        <v>8</v>
      </c>
      <c r="AP48">
        <f>IFERROR(IF(INDEX(Instructions!$V$86:$V$105,MATCH(Draft!AF48,Instructions!$S$86:$S$105,0))&lt;='Draft Slayer Classic'!$E$25,1,0),0)</f>
        <v>0</v>
      </c>
      <c r="AQ48" s="197"/>
      <c r="AR48" s="558" t="str">
        <f>INDEX('Draft Slayer Classic'!$AP:$AP,MATCH(SMALL('Draft Slayer Classic'!$AX:$AX,$G48),'Draft Slayer Classic'!$AX:$AX,0))</f>
        <v>Brock Wright</v>
      </c>
      <c r="AS48" s="559" t="str">
        <f>INDEX(FFARawStatProjections!$B:$B,MATCH(AR48,FFARawStatProjections!$A:$A,0))</f>
        <v>DET</v>
      </c>
      <c r="AT48" s="560" t="str">
        <f>INDEX(FFARawStatProjections!$D:$D,MATCH(AR48,FFARawStatProjections!$A:$A,0))&amp;IF(AU48&gt;0," ("&amp;AU48&amp;")","")</f>
        <v>9</v>
      </c>
      <c r="AU48">
        <f>IFERROR(INDEX($BQ$8:$BQ$21,MATCH(INDEX(FFARawStatProjections!$D:$D,MATCH(AR48,FFARawStatProjections!$A:$A,0)),$BP$8:$BP$21,0)),0)</f>
        <v>0</v>
      </c>
      <c r="AV48" s="561">
        <f>INDEX(TEproj!M:M,MATCH(Draft!AR48,TEproj!D:D,0))</f>
        <v>0</v>
      </c>
      <c r="AW48" t="e">
        <f>INDEX(ADP!$G:$G,MATCH(AR48,ADP!$D:$D,0))</f>
        <v>#N/A</v>
      </c>
      <c r="AX48" t="e">
        <f>IF(AND(AW48&gt;=$R$5,AW48&lt;$R$4),1,
IF(AND(AW48&gt;=$R$4,AW48&lt;$R$3),2,
IF(AW48&gt;=$R$3,3,
IF(AND(COUNTIF(AX$6:AX47,1)=0,COUNTIF(AW$6:AW47,"&lt;="&amp;$R$5)=(COUNTIF(AW$6:AW$20,"&lt;="&amp;$R$5)-1)),1,0))))</f>
        <v>#N/A</v>
      </c>
      <c r="AY48" s="561">
        <f>(IFERROR(AZ48-INDEX(AZ:AZ,MATCH(1,AX:AX,0)),0)+
IFERROR(AZ48-INDEX(AZ:AZ,MATCH(2,AX:AX,0)),0)*0.5+
IFERROR(AZ48-INDEX(AZ:AZ,MATCH(3,AX:AX,0)),0)*0.25
)/16*IF(ISBLANK(Beersheet!$A$1),1,16)</f>
        <v>-17.4788675</v>
      </c>
      <c r="AZ48">
        <f>IF(Beersheet!$A$2="QB",
INDEX(Beersheet!$A:$U,MATCH(Draft!AR48,Beersheet!$C:$C,0),FFARawStatProjections!$BQ$1),
INDEX('Draft Slayer Classic'!$AR:$AR,MATCH(AR48,'Draft Slayer Classic'!$AP:$AP,0)))</f>
        <v>46.80659</v>
      </c>
      <c r="BA48" s="562">
        <f>INDEX('Draft Slayer Classic'!$AS:$AS,MATCH(AR48,'Draft Slayer Classic'!$AP:$AP,0))</f>
        <v>8</v>
      </c>
      <c r="BB48">
        <f>IFERROR(IF(INDEX(Instructions!$X$86:$X$105,MATCH(Draft!AR48,Instructions!$T$86:$T$105,0))&lt;='Draft Slayer Classic'!$E$25,1,0),0)</f>
        <v>0</v>
      </c>
      <c r="BC48" s="197"/>
      <c r="BD48" s="558" t="e">
        <f>INDEX('Draft Slayer Classic'!$BA:$BA,MATCH(SMALL('Draft Slayer Classic'!$BD:$BD,$G48),'Draft Slayer Classic'!$BD:$BD,0))</f>
        <v>#NUM!</v>
      </c>
      <c r="BE48" s="562" t="e">
        <f>INDEX(FFARawStatProjections!$D:$D,MATCH(BD48,FFARawStatProjections!$B:$B,0))&amp;IF(BF48&gt;0," ("&amp;BF48&amp;")","")</f>
        <v>#NUM!</v>
      </c>
      <c r="BF48">
        <f>IFERROR(INDEX($BQ$8:$BQ$21,MATCH(INDEX(FFARawStatProjections!$D:$D,MATCH(BC48,FFARawStatProjections!$A:$A,0)),$BP$8:$BP$21,0)),0)</f>
        <v>0</v>
      </c>
      <c r="BG48" s="464" t="e">
        <f>INDEX(FFARawStatProjections!$E:$E,MATCH(BD48,FFARawStatProjections!$B:$B,0))*0.1</f>
        <v>#NUM!</v>
      </c>
      <c r="BI48" s="197"/>
      <c r="BJ48" s="558" t="e">
        <f>INDEX('Draft Slayer Classic'!$BF:$BF,MATCH(SMALL('Draft Slayer Classic'!$BJ:$BJ,$G48),'Draft Slayer Classic'!$BJ:$BJ,0))</f>
        <v>#NUM!</v>
      </c>
      <c r="BK48" s="559" t="e">
        <f>INDEX(FFARawStatProjections!$B:$B,MATCH(BJ48,FFARawStatProjections!$A:$A,0))</f>
        <v>#NUM!</v>
      </c>
      <c r="BL48" s="562" t="e">
        <f>INDEX(FFARawStatProjections!$D:$D,MATCH(BJ48,FFARawStatProjections!$A:$A,0))&amp;IF(BM48&gt;0," ("&amp;BM48&amp;")","")</f>
        <v>#NUM!</v>
      </c>
      <c r="BM48">
        <f>IFERROR(INDEX($BQ$8:$BQ$21,MATCH(INDEX(FFARawStatProjections!$D:$D,MATCH(BJ48,FFARawStatProjections!$A:$A,0)),$BP$8:$BP$21,0)),0)</f>
        <v>0</v>
      </c>
      <c r="BN48" s="466" t="e">
        <f>INDEX(FFARawStatProjections!$E:$E,MATCH(Draft!BJ48,FFARawStatProjections!$A:$A,0))*0.1</f>
        <v>#NUM!</v>
      </c>
      <c r="BO48" s="197"/>
      <c r="BT48" t="str">
        <f>IF(FFARawStatProjections!A43=0,"",FFARawStatProjections!A43)</f>
        <v>Bailey Zappe</v>
      </c>
      <c r="BU48" t="str">
        <f>IF(FFARawStatProjections!C43=0,"",FFARawStatProjections!C43)</f>
        <v>QB</v>
      </c>
      <c r="BV48" t="str">
        <f>IF(FFARawStatProjections!B43=0,"",FFARawStatProjections!B43)</f>
        <v>NE</v>
      </c>
      <c r="BX48">
        <v>42</v>
      </c>
      <c r="BY48" s="89" t="str">
        <f t="shared" si="3"/>
        <v/>
      </c>
      <c r="BZ48" s="89" t="str">
        <f t="shared" si="4"/>
        <v/>
      </c>
      <c r="CA48" s="89" t="str">
        <f t="shared" si="5"/>
        <v/>
      </c>
    </row>
    <row r="49" spans="1:79" ht="33.75" hidden="1" customHeight="1" x14ac:dyDescent="0.25">
      <c r="A49" s="197"/>
      <c r="B49" s="197"/>
      <c r="C49" s="197"/>
      <c r="F49" s="197"/>
      <c r="H49" s="197"/>
      <c r="I49" s="197"/>
      <c r="J49" s="197"/>
      <c r="L49" s="197"/>
      <c r="O49" s="197"/>
      <c r="Q49" s="197"/>
      <c r="S49" s="197"/>
      <c r="T49" s="197"/>
      <c r="U49" s="197"/>
      <c r="V49" s="197"/>
      <c r="X49" s="197"/>
      <c r="AA49" s="197"/>
      <c r="AC49" s="197"/>
      <c r="AE49" s="197"/>
      <c r="AF49" s="197"/>
      <c r="AG49" s="197"/>
      <c r="AH49" s="197"/>
      <c r="AJ49" s="197"/>
      <c r="AM49" s="197"/>
      <c r="AO49" s="197"/>
      <c r="AQ49" s="197"/>
      <c r="AR49" s="197"/>
      <c r="AS49" s="197"/>
      <c r="AT49" s="197"/>
      <c r="AV49" s="197"/>
      <c r="AY49" s="197"/>
      <c r="BA49" s="197"/>
      <c r="BC49" s="197"/>
      <c r="BD49" s="197"/>
      <c r="BE49" s="197"/>
      <c r="BG49" s="197"/>
      <c r="BI49" s="197"/>
      <c r="BJ49" s="197"/>
      <c r="BK49" s="197"/>
      <c r="BL49" s="197"/>
      <c r="BN49" s="197"/>
      <c r="BO49" s="197"/>
      <c r="BT49" t="str">
        <f>IF(FFARawStatProjections!A44=0,"",FFARawStatProjections!A44)</f>
        <v>Clayton Tune</v>
      </c>
      <c r="BU49" t="str">
        <f>IF(FFARawStatProjections!C44=0,"",FFARawStatProjections!C44)</f>
        <v>QB</v>
      </c>
      <c r="BV49" t="str">
        <f>IF(FFARawStatProjections!B44=0,"",FFARawStatProjections!B44)</f>
        <v>AZ</v>
      </c>
      <c r="BX49">
        <v>43</v>
      </c>
      <c r="BY49" s="89" t="str">
        <f t="shared" si="3"/>
        <v/>
      </c>
      <c r="BZ49" s="89" t="str">
        <f t="shared" si="4"/>
        <v/>
      </c>
      <c r="CA49" s="89" t="str">
        <f t="shared" si="5"/>
        <v/>
      </c>
    </row>
    <row r="50" spans="1:79" ht="15" hidden="1" x14ac:dyDescent="0.25">
      <c r="B50" s="190"/>
      <c r="BT50" t="str">
        <f>IF(FFARawStatProjections!A45=0,"",FFARawStatProjections!A45)</f>
        <v>Sam Darnold</v>
      </c>
      <c r="BU50" t="str">
        <f>IF(FFARawStatProjections!C45=0,"",FFARawStatProjections!C45)</f>
        <v>QB</v>
      </c>
      <c r="BV50" t="str">
        <f>IF(FFARawStatProjections!B45=0,"",FFARawStatProjections!B45)</f>
        <v>SF</v>
      </c>
      <c r="BX50">
        <v>44</v>
      </c>
      <c r="BY50" s="89" t="str">
        <f t="shared" si="3"/>
        <v/>
      </c>
      <c r="BZ50" s="89" t="str">
        <f t="shared" si="4"/>
        <v/>
      </c>
      <c r="CA50" s="89" t="str">
        <f t="shared" si="5"/>
        <v/>
      </c>
    </row>
    <row r="51" spans="1:79" ht="15" hidden="1" x14ac:dyDescent="0.25">
      <c r="B51" s="190"/>
      <c r="BT51" t="str">
        <f>IF(FFARawStatProjections!A46=0,"",FFARawStatProjections!A46)</f>
        <v>Davis Mills</v>
      </c>
      <c r="BU51" t="str">
        <f>IF(FFARawStatProjections!C46=0,"",FFARawStatProjections!C46)</f>
        <v>QB</v>
      </c>
      <c r="BV51" t="str">
        <f>IF(FFARawStatProjections!B46=0,"",FFARawStatProjections!B46)</f>
        <v>HOU</v>
      </c>
      <c r="BX51">
        <v>45</v>
      </c>
      <c r="BY51" s="89" t="str">
        <f t="shared" si="3"/>
        <v/>
      </c>
      <c r="BZ51" s="89" t="str">
        <f t="shared" si="4"/>
        <v/>
      </c>
      <c r="CA51" s="89" t="str">
        <f t="shared" si="5"/>
        <v/>
      </c>
    </row>
    <row r="52" spans="1:79" ht="15" hidden="1" x14ac:dyDescent="0.25">
      <c r="B52" s="190"/>
      <c r="BT52" t="str">
        <f>IF(FFARawStatProjections!A47=0,"",FFARawStatProjections!A47)</f>
        <v>Tyrod Taylor</v>
      </c>
      <c r="BU52" t="str">
        <f>IF(FFARawStatProjections!C47=0,"",FFARawStatProjections!C47)</f>
        <v>QB</v>
      </c>
      <c r="BV52" t="str">
        <f>IF(FFARawStatProjections!B47=0,"",FFARawStatProjections!B47)</f>
        <v>NYG</v>
      </c>
      <c r="BX52">
        <v>46</v>
      </c>
      <c r="BY52" s="89" t="str">
        <f t="shared" si="3"/>
        <v/>
      </c>
      <c r="BZ52" s="89" t="str">
        <f t="shared" si="4"/>
        <v/>
      </c>
      <c r="CA52" s="89" t="str">
        <f t="shared" si="5"/>
        <v/>
      </c>
    </row>
    <row r="53" spans="1:79" ht="15" hidden="1" x14ac:dyDescent="0.25">
      <c r="B53" s="190"/>
      <c r="BT53" t="str">
        <f>IF(FFARawStatProjections!A48=0,"",FFARawStatProjections!A48)</f>
        <v>Marcus Mariota</v>
      </c>
      <c r="BU53" t="str">
        <f>IF(FFARawStatProjections!C48=0,"",FFARawStatProjections!C48)</f>
        <v>QB</v>
      </c>
      <c r="BV53" t="str">
        <f>IF(FFARawStatProjections!B48=0,"",FFARawStatProjections!B48)</f>
        <v>PHI</v>
      </c>
      <c r="BX53">
        <v>47</v>
      </c>
      <c r="BY53" s="89" t="str">
        <f t="shared" si="3"/>
        <v/>
      </c>
      <c r="BZ53" s="89" t="str">
        <f t="shared" si="4"/>
        <v/>
      </c>
      <c r="CA53" s="89" t="str">
        <f t="shared" si="5"/>
        <v/>
      </c>
    </row>
    <row r="54" spans="1:79" ht="15" hidden="1" x14ac:dyDescent="0.25">
      <c r="B54" s="190"/>
      <c r="BT54" t="str">
        <f>IF(FFARawStatProjections!A49=0,"",FFARawStatProjections!A49)</f>
        <v>Brett Rypien</v>
      </c>
      <c r="BU54" t="str">
        <f>IF(FFARawStatProjections!C49=0,"",FFARawStatProjections!C49)</f>
        <v>QB</v>
      </c>
      <c r="BV54" t="str">
        <f>IF(FFARawStatProjections!B49=0,"",FFARawStatProjections!B49)</f>
        <v>LAR</v>
      </c>
      <c r="BX54">
        <v>48</v>
      </c>
      <c r="BY54" s="89" t="str">
        <f t="shared" si="3"/>
        <v/>
      </c>
      <c r="BZ54" s="89" t="str">
        <f t="shared" si="4"/>
        <v/>
      </c>
      <c r="CA54" s="89" t="str">
        <f t="shared" si="5"/>
        <v/>
      </c>
    </row>
    <row r="55" spans="1:79" ht="15" hidden="1" x14ac:dyDescent="0.25">
      <c r="B55" s="190"/>
      <c r="BT55" t="str">
        <f>IF(FFARawStatProjections!A50=0,"",FFARawStatProjections!A50)</f>
        <v>Mitch Trubisky</v>
      </c>
      <c r="BU55" t="str">
        <f>IF(FFARawStatProjections!C50=0,"",FFARawStatProjections!C50)</f>
        <v>QB</v>
      </c>
      <c r="BV55" t="str">
        <f>IF(FFARawStatProjections!B50=0,"",FFARawStatProjections!B50)</f>
        <v>PIT</v>
      </c>
      <c r="BX55">
        <v>49</v>
      </c>
      <c r="BY55" s="89" t="str">
        <f t="shared" si="3"/>
        <v/>
      </c>
      <c r="BZ55" s="89" t="str">
        <f t="shared" si="4"/>
        <v/>
      </c>
      <c r="CA55" s="89" t="str">
        <f t="shared" si="5"/>
        <v/>
      </c>
    </row>
    <row r="56" spans="1:79" ht="15" hidden="1" x14ac:dyDescent="0.25">
      <c r="B56" s="190"/>
      <c r="BT56" t="str">
        <f>IF(FFARawStatProjections!A51=0,"",FFARawStatProjections!A51)</f>
        <v>Tyler Huntley</v>
      </c>
      <c r="BU56" t="str">
        <f>IF(FFARawStatProjections!C51=0,"",FFARawStatProjections!C51)</f>
        <v>QB</v>
      </c>
      <c r="BV56" t="str">
        <f>IF(FFARawStatProjections!B51=0,"",FFARawStatProjections!B51)</f>
        <v>BAL</v>
      </c>
      <c r="BX56">
        <v>50</v>
      </c>
      <c r="BY56" s="89" t="str">
        <f t="shared" si="3"/>
        <v/>
      </c>
      <c r="BZ56" s="89" t="str">
        <f t="shared" si="4"/>
        <v/>
      </c>
      <c r="CA56" s="89" t="str">
        <f t="shared" si="5"/>
        <v/>
      </c>
    </row>
    <row r="57" spans="1:79" ht="15" hidden="1" x14ac:dyDescent="0.25">
      <c r="B57" s="190"/>
      <c r="BT57" t="str">
        <f>IF(FFARawStatProjections!A52=0,"",FFARawStatProjections!A52)</f>
        <v>Andy Dalton</v>
      </c>
      <c r="BU57" t="str">
        <f>IF(FFARawStatProjections!C52=0,"",FFARawStatProjections!C52)</f>
        <v>QB</v>
      </c>
      <c r="BV57" t="str">
        <f>IF(FFARawStatProjections!B52=0,"",FFARawStatProjections!B52)</f>
        <v>CAR</v>
      </c>
      <c r="BX57">
        <v>51</v>
      </c>
      <c r="BY57" s="89" t="str">
        <f t="shared" si="3"/>
        <v/>
      </c>
      <c r="BZ57" s="89" t="str">
        <f t="shared" si="4"/>
        <v/>
      </c>
      <c r="CA57" s="89" t="str">
        <f t="shared" si="5"/>
        <v/>
      </c>
    </row>
    <row r="58" spans="1:79" ht="15" hidden="1" x14ac:dyDescent="0.25">
      <c r="B58" s="190"/>
      <c r="BT58" t="str">
        <f>IF(FFARawStatProjections!A53=0,"",FFARawStatProjections!A53)</f>
        <v>Jarrett Stidham</v>
      </c>
      <c r="BU58" t="str">
        <f>IF(FFARawStatProjections!C53=0,"",FFARawStatProjections!C53)</f>
        <v>QB</v>
      </c>
      <c r="BV58" t="str">
        <f>IF(FFARawStatProjections!B53=0,"",FFARawStatProjections!B53)</f>
        <v>DEN</v>
      </c>
      <c r="BX58">
        <v>52</v>
      </c>
      <c r="BY58" s="89" t="str">
        <f t="shared" si="3"/>
        <v/>
      </c>
      <c r="BZ58" s="89" t="str">
        <f t="shared" si="4"/>
        <v/>
      </c>
      <c r="CA58" s="89" t="str">
        <f t="shared" si="5"/>
        <v/>
      </c>
    </row>
    <row r="59" spans="1:79" ht="15" hidden="1" x14ac:dyDescent="0.25">
      <c r="B59" s="190"/>
      <c r="BT59" t="str">
        <f>IF(FFARawStatProjections!A54=0,"",FFARawStatProjections!A54)</f>
        <v>Sean Clifford</v>
      </c>
      <c r="BU59" t="str">
        <f>IF(FFARawStatProjections!C54=0,"",FFARawStatProjections!C54)</f>
        <v>QB</v>
      </c>
      <c r="BV59" t="str">
        <f>IF(FFARawStatProjections!B54=0,"",FFARawStatProjections!B54)</f>
        <v>GB</v>
      </c>
      <c r="BX59">
        <v>53</v>
      </c>
      <c r="BY59" s="89" t="str">
        <f t="shared" si="3"/>
        <v/>
      </c>
      <c r="BZ59" s="89" t="str">
        <f t="shared" si="4"/>
        <v/>
      </c>
      <c r="CA59" s="89" t="str">
        <f t="shared" si="5"/>
        <v/>
      </c>
    </row>
    <row r="60" spans="1:79" ht="15" hidden="1" x14ac:dyDescent="0.25">
      <c r="B60" s="190"/>
      <c r="BT60" t="str">
        <f>IF(FFARawStatProjections!A55=0,"",FFARawStatProjections!A55)</f>
        <v>Hendon Hooker</v>
      </c>
      <c r="BU60" t="str">
        <f>IF(FFARawStatProjections!C55=0,"",FFARawStatProjections!C55)</f>
        <v>QB</v>
      </c>
      <c r="BV60" t="str">
        <f>IF(FFARawStatProjections!B55=0,"",FFARawStatProjections!B55)</f>
        <v>DET</v>
      </c>
      <c r="BX60">
        <v>54</v>
      </c>
      <c r="BY60" s="89" t="str">
        <f t="shared" si="3"/>
        <v/>
      </c>
      <c r="BZ60" s="89" t="str">
        <f t="shared" si="4"/>
        <v/>
      </c>
      <c r="CA60" s="89" t="str">
        <f t="shared" si="5"/>
        <v/>
      </c>
    </row>
    <row r="61" spans="1:79" ht="15" hidden="1" x14ac:dyDescent="0.25">
      <c r="B61" s="190"/>
      <c r="BT61" t="str">
        <f>IF(FFARawStatProjections!A56=0,"",FFARawStatProjections!A56)</f>
        <v>Teddy Bridgewater</v>
      </c>
      <c r="BU61" t="str">
        <f>IF(FFARawStatProjections!C56=0,"",FFARawStatProjections!C56)</f>
        <v>QB</v>
      </c>
      <c r="BV61" t="str">
        <f>IF(FFARawStatProjections!B56=0,"",FFARawStatProjections!B56)</f>
        <v>DET</v>
      </c>
      <c r="BX61">
        <v>55</v>
      </c>
      <c r="BY61" s="89" t="str">
        <f t="shared" si="3"/>
        <v/>
      </c>
      <c r="BZ61" s="89" t="str">
        <f t="shared" si="4"/>
        <v/>
      </c>
      <c r="CA61" s="89" t="str">
        <f t="shared" si="5"/>
        <v/>
      </c>
    </row>
    <row r="62" spans="1:79" ht="15" hidden="1" x14ac:dyDescent="0.25">
      <c r="B62" s="190"/>
      <c r="BT62" t="str">
        <f>IF(FFARawStatProjections!A57=0,"",FFARawStatProjections!A57)</f>
        <v>Blaine Gabbert</v>
      </c>
      <c r="BU62" t="str">
        <f>IF(FFARawStatProjections!C57=0,"",FFARawStatProjections!C57)</f>
        <v>QB</v>
      </c>
      <c r="BV62" t="str">
        <f>IF(FFARawStatProjections!B57=0,"",FFARawStatProjections!B57)</f>
        <v>KC</v>
      </c>
      <c r="BX62">
        <v>56</v>
      </c>
      <c r="BY62" s="89" t="str">
        <f t="shared" si="3"/>
        <v/>
      </c>
      <c r="BZ62" s="89" t="str">
        <f t="shared" si="4"/>
        <v/>
      </c>
      <c r="CA62" s="89" t="str">
        <f t="shared" si="5"/>
        <v/>
      </c>
    </row>
    <row r="63" spans="1:79" ht="15" hidden="1" x14ac:dyDescent="0.25">
      <c r="B63" s="190"/>
      <c r="BT63" t="str">
        <f>IF(FFARawStatProjections!A58=0,"",FFARawStatProjections!A58)</f>
        <v>Jameis Winston</v>
      </c>
      <c r="BU63" t="str">
        <f>IF(FFARawStatProjections!C58=0,"",FFARawStatProjections!C58)</f>
        <v>QB</v>
      </c>
      <c r="BV63" t="str">
        <f>IF(FFARawStatProjections!B58=0,"",FFARawStatProjections!B58)</f>
        <v>NO</v>
      </c>
      <c r="BX63">
        <v>57</v>
      </c>
      <c r="BY63" s="89" t="str">
        <f t="shared" si="3"/>
        <v/>
      </c>
      <c r="BZ63" s="89" t="str">
        <f t="shared" si="4"/>
        <v/>
      </c>
      <c r="CA63" s="89" t="str">
        <f t="shared" si="5"/>
        <v/>
      </c>
    </row>
    <row r="64" spans="1:79" ht="15" hidden="1" x14ac:dyDescent="0.25">
      <c r="B64" s="190"/>
      <c r="BT64" t="str">
        <f>IF(FFARawStatProjections!A59=0,"",FFARawStatProjections!A59)</f>
        <v>Trevor Siemian</v>
      </c>
      <c r="BU64" t="str">
        <f>IF(FFARawStatProjections!C59=0,"",FFARawStatProjections!C59)</f>
        <v>QB</v>
      </c>
      <c r="BV64" t="str">
        <f>IF(FFARawStatProjections!B59=0,"",FFARawStatProjections!B59)</f>
        <v>CIN</v>
      </c>
      <c r="BX64">
        <v>58</v>
      </c>
      <c r="BY64" s="89" t="str">
        <f t="shared" si="3"/>
        <v/>
      </c>
      <c r="BZ64" s="89" t="str">
        <f t="shared" si="4"/>
        <v/>
      </c>
      <c r="CA64" s="89" t="str">
        <f t="shared" si="5"/>
        <v/>
      </c>
    </row>
    <row r="65" spans="2:79" ht="15" hidden="1" x14ac:dyDescent="0.25">
      <c r="B65" s="190"/>
      <c r="BT65" t="str">
        <f>IF(FFARawStatProjections!A60=0,"",FFARawStatProjections!A60)</f>
        <v>PJ Walker</v>
      </c>
      <c r="BU65" t="str">
        <f>IF(FFARawStatProjections!C60=0,"",FFARawStatProjections!C60)</f>
        <v>QB</v>
      </c>
      <c r="BV65" t="str">
        <f>IF(FFARawStatProjections!B60=0,"",FFARawStatProjections!B60)</f>
        <v>CHI</v>
      </c>
      <c r="BX65">
        <v>59</v>
      </c>
      <c r="BY65" s="89" t="str">
        <f t="shared" si="3"/>
        <v/>
      </c>
      <c r="BZ65" s="89" t="str">
        <f t="shared" si="4"/>
        <v/>
      </c>
      <c r="CA65" s="89" t="str">
        <f t="shared" si="5"/>
        <v/>
      </c>
    </row>
    <row r="66" spans="2:79" ht="15" hidden="1" x14ac:dyDescent="0.25">
      <c r="B66" s="190"/>
      <c r="BT66" t="str">
        <f>IF(FFARawStatProjections!A61=0,"",FFARawStatProjections!A61)</f>
        <v>Joshua Dobbs</v>
      </c>
      <c r="BU66" t="str">
        <f>IF(FFARawStatProjections!C61=0,"",FFARawStatProjections!C61)</f>
        <v>QB</v>
      </c>
      <c r="BV66" t="str">
        <f>IF(FFARawStatProjections!B61=0,"",FFARawStatProjections!B61)</f>
        <v>CLE</v>
      </c>
      <c r="BX66">
        <v>60</v>
      </c>
      <c r="BY66" s="89" t="str">
        <f t="shared" si="3"/>
        <v/>
      </c>
      <c r="BZ66" s="89" t="str">
        <f t="shared" si="4"/>
        <v/>
      </c>
      <c r="CA66" s="89" t="str">
        <f t="shared" si="5"/>
        <v/>
      </c>
    </row>
    <row r="67" spans="2:79" ht="15" hidden="1" x14ac:dyDescent="0.25">
      <c r="B67" s="190"/>
      <c r="BT67" t="str">
        <f>IF(FFARawStatProjections!A62=0,"",FFARawStatProjections!A62)</f>
        <v>Nick Mullens</v>
      </c>
      <c r="BU67" t="str">
        <f>IF(FFARawStatProjections!C62=0,"",FFARawStatProjections!C62)</f>
        <v>QB</v>
      </c>
      <c r="BV67" t="str">
        <f>IF(FFARawStatProjections!B62=0,"",FFARawStatProjections!B62)</f>
        <v>MIN</v>
      </c>
      <c r="BX67">
        <v>61</v>
      </c>
      <c r="BY67" s="89" t="str">
        <f t="shared" si="3"/>
        <v/>
      </c>
      <c r="BZ67" s="89" t="str">
        <f t="shared" si="4"/>
        <v/>
      </c>
      <c r="CA67" s="89" t="str">
        <f t="shared" si="5"/>
        <v/>
      </c>
    </row>
    <row r="68" spans="2:79" ht="15" hidden="1" x14ac:dyDescent="0.25">
      <c r="B68" s="190"/>
      <c r="BT68" t="str">
        <f>IF(FFARawStatProjections!A63=0,"",FFARawStatProjections!A63)</f>
        <v>Zach Wilson</v>
      </c>
      <c r="BU68" t="str">
        <f>IF(FFARawStatProjections!C63=0,"",FFARawStatProjections!C63)</f>
        <v>QB</v>
      </c>
      <c r="BV68" t="str">
        <f>IF(FFARawStatProjections!B63=0,"",FFARawStatProjections!B63)</f>
        <v>NYJ</v>
      </c>
      <c r="BX68">
        <v>62</v>
      </c>
      <c r="BY68" s="89" t="str">
        <f t="shared" si="3"/>
        <v/>
      </c>
      <c r="BZ68" s="89" t="str">
        <f t="shared" si="4"/>
        <v/>
      </c>
      <c r="CA68" s="89" t="str">
        <f t="shared" si="5"/>
        <v/>
      </c>
    </row>
    <row r="69" spans="2:79" ht="15" hidden="1" x14ac:dyDescent="0.25">
      <c r="B69" s="190"/>
      <c r="BT69" t="str">
        <f>IF(FFARawStatProjections!A64=0,"",FFARawStatProjections!A64)</f>
        <v>Stetson Bennett</v>
      </c>
      <c r="BU69" t="str">
        <f>IF(FFARawStatProjections!C64=0,"",FFARawStatProjections!C64)</f>
        <v>QB</v>
      </c>
      <c r="BV69" t="str">
        <f>IF(FFARawStatProjections!B64=0,"",FFARawStatProjections!B64)</f>
        <v>LAR</v>
      </c>
      <c r="BX69">
        <v>63</v>
      </c>
      <c r="BY69" s="89" t="str">
        <f t="shared" si="3"/>
        <v/>
      </c>
      <c r="BZ69" s="89" t="str">
        <f t="shared" si="4"/>
        <v/>
      </c>
      <c r="CA69" s="89" t="str">
        <f t="shared" si="5"/>
        <v/>
      </c>
    </row>
    <row r="70" spans="2:79" hidden="1" x14ac:dyDescent="0.25">
      <c r="BT70" t="str">
        <f>IF(FFARawStatProjections!A65=0,"",FFARawStatProjections!A65)</f>
        <v>Easton Stick</v>
      </c>
      <c r="BU70" t="str">
        <f>IF(FFARawStatProjections!C65=0,"",FFARawStatProjections!C65)</f>
        <v>QB</v>
      </c>
      <c r="BV70" t="str">
        <f>IF(FFARawStatProjections!B65=0,"",FFARawStatProjections!B65)</f>
        <v>LAC</v>
      </c>
      <c r="BX70">
        <v>64</v>
      </c>
      <c r="BY70" s="89" t="str">
        <f t="shared" si="3"/>
        <v/>
      </c>
      <c r="BZ70" s="89" t="str">
        <f t="shared" si="4"/>
        <v/>
      </c>
      <c r="CA70" s="89" t="str">
        <f t="shared" si="5"/>
        <v/>
      </c>
    </row>
    <row r="71" spans="2:79" hidden="1" x14ac:dyDescent="0.25">
      <c r="BT71" t="str">
        <f>IF(FFARawStatProjections!A66=0,"",FFARawStatProjections!A66)</f>
        <v>CJ Beathard</v>
      </c>
      <c r="BU71" t="str">
        <f>IF(FFARawStatProjections!C66=0,"",FFARawStatProjections!C66)</f>
        <v>QB</v>
      </c>
      <c r="BV71" t="str">
        <f>IF(FFARawStatProjections!B66=0,"",FFARawStatProjections!B66)</f>
        <v>JAC</v>
      </c>
      <c r="BX71">
        <v>65</v>
      </c>
      <c r="BY71" s="89" t="str">
        <f t="shared" si="3"/>
        <v/>
      </c>
      <c r="BZ71" s="89" t="str">
        <f t="shared" si="4"/>
        <v/>
      </c>
      <c r="CA71" s="89" t="str">
        <f t="shared" si="5"/>
        <v/>
      </c>
    </row>
    <row r="72" spans="2:79" hidden="1" x14ac:dyDescent="0.25">
      <c r="BT72" t="str">
        <f>IF(FFARawStatProjections!A67=0,"",FFARawStatProjections!A67)</f>
        <v>Drew Lock</v>
      </c>
      <c r="BU72" t="str">
        <f>IF(FFARawStatProjections!C67=0,"",FFARawStatProjections!C67)</f>
        <v>QB</v>
      </c>
      <c r="BV72" t="str">
        <f>IF(FFARawStatProjections!B67=0,"",FFARawStatProjections!B67)</f>
        <v>SEA</v>
      </c>
      <c r="BX72">
        <v>66</v>
      </c>
      <c r="BY72" s="89" t="str">
        <f t="shared" ref="BY72:BY135" si="11">IFERROR(INDEX(BT:BT,MATCH(BX72,BW:BW,0),1),"")</f>
        <v/>
      </c>
      <c r="BZ72" s="89" t="str">
        <f t="shared" ref="BZ72:BZ135" si="12">IFERROR(INDEX(BU:BU,MATCH(BX72,BW:BW,0)),"")</f>
        <v/>
      </c>
      <c r="CA72" s="89" t="str">
        <f t="shared" ref="CA72:CA135" si="13">IFERROR(INDEX(BV:BV,MATCH(BX72,BW:BW,0)),"")</f>
        <v/>
      </c>
    </row>
    <row r="73" spans="2:79" hidden="1" x14ac:dyDescent="0.25">
      <c r="BT73" t="str">
        <f>IF(FFARawStatProjections!A68=0,"",FFARawStatProjections!A68)</f>
        <v>Cooper Rush</v>
      </c>
      <c r="BU73" t="str">
        <f>IF(FFARawStatProjections!C68=0,"",FFARawStatProjections!C68)</f>
        <v>QB</v>
      </c>
      <c r="BV73" t="str">
        <f>IF(FFARawStatProjections!B68=0,"",FFARawStatProjections!B68)</f>
        <v>DAL</v>
      </c>
      <c r="BX73">
        <v>67</v>
      </c>
      <c r="BY73" s="89" t="str">
        <f t="shared" si="11"/>
        <v/>
      </c>
      <c r="BZ73" s="89" t="str">
        <f t="shared" si="12"/>
        <v/>
      </c>
      <c r="CA73" s="89" t="str">
        <f t="shared" si="13"/>
        <v/>
      </c>
    </row>
    <row r="74" spans="2:79" hidden="1" x14ac:dyDescent="0.25">
      <c r="BT74" t="str">
        <f>IF(FFARawStatProjections!A69=0,"",FFARawStatProjections!A69)</f>
        <v>David Blough</v>
      </c>
      <c r="BU74" t="str">
        <f>IF(FFARawStatProjections!C69=0,"",FFARawStatProjections!C69)</f>
        <v>QB</v>
      </c>
      <c r="BV74" t="str">
        <f>IF(FFARawStatProjections!B69=0,"",FFARawStatProjections!B69)</f>
        <v>AZ</v>
      </c>
      <c r="BX74">
        <v>68</v>
      </c>
      <c r="BY74" s="89" t="str">
        <f t="shared" si="11"/>
        <v/>
      </c>
      <c r="BZ74" s="89" t="str">
        <f t="shared" si="12"/>
        <v/>
      </c>
      <c r="CA74" s="89" t="str">
        <f t="shared" si="13"/>
        <v/>
      </c>
    </row>
    <row r="75" spans="2:79" hidden="1" x14ac:dyDescent="0.25">
      <c r="BT75" t="str">
        <f>IF(FFARawStatProjections!A70=0,"",FFARawStatProjections!A70)</f>
        <v>Kyle Allen</v>
      </c>
      <c r="BU75" t="str">
        <f>IF(FFARawStatProjections!C70=0,"",FFARawStatProjections!C70)</f>
        <v>QB</v>
      </c>
      <c r="BV75" t="str">
        <f>IF(FFARawStatProjections!B70=0,"",FFARawStatProjections!B70)</f>
        <v>BUF</v>
      </c>
      <c r="BX75">
        <v>69</v>
      </c>
      <c r="BY75" s="89" t="str">
        <f t="shared" si="11"/>
        <v/>
      </c>
      <c r="BZ75" s="89" t="str">
        <f t="shared" si="12"/>
        <v/>
      </c>
      <c r="CA75" s="89" t="str">
        <f t="shared" si="13"/>
        <v/>
      </c>
    </row>
    <row r="76" spans="2:79" hidden="1" x14ac:dyDescent="0.25">
      <c r="BT76" t="str">
        <f>IF(FFARawStatProjections!A71=0,"",FFARawStatProjections!A71)</f>
        <v>Aidan OConnell</v>
      </c>
      <c r="BU76" t="str">
        <f>IF(FFARawStatProjections!C71=0,"",FFARawStatProjections!C71)</f>
        <v>QB</v>
      </c>
      <c r="BV76" t="str">
        <f>IF(FFARawStatProjections!B71=0,"",FFARawStatProjections!B71)</f>
        <v>LV</v>
      </c>
      <c r="BX76">
        <v>70</v>
      </c>
      <c r="BY76" s="89" t="str">
        <f t="shared" si="11"/>
        <v/>
      </c>
      <c r="BZ76" s="89" t="str">
        <f t="shared" si="12"/>
        <v/>
      </c>
      <c r="CA76" s="89" t="str">
        <f t="shared" si="13"/>
        <v/>
      </c>
    </row>
    <row r="77" spans="2:79" hidden="1" x14ac:dyDescent="0.25">
      <c r="BT77" t="str">
        <f>IF(FFARawStatProjections!A72=0,"",FFARawStatProjections!A72)</f>
        <v>Matt Barkley</v>
      </c>
      <c r="BU77" t="str">
        <f>IF(FFARawStatProjections!C72=0,"",FFARawStatProjections!C72)</f>
        <v>QB</v>
      </c>
      <c r="BV77" t="str">
        <f>IF(FFARawStatProjections!B72=0,"",FFARawStatProjections!B72)</f>
        <v>BUF</v>
      </c>
      <c r="BX77">
        <v>71</v>
      </c>
      <c r="BY77" s="89" t="str">
        <f t="shared" si="11"/>
        <v/>
      </c>
      <c r="BZ77" s="89" t="str">
        <f t="shared" si="12"/>
        <v/>
      </c>
      <c r="CA77" s="89" t="str">
        <f t="shared" si="13"/>
        <v/>
      </c>
    </row>
    <row r="78" spans="2:79" hidden="1" x14ac:dyDescent="0.25">
      <c r="BT78" t="str">
        <f>IF(FFARawStatProjections!A73=0,"",FFARawStatProjections!A73)</f>
        <v>Malik Willis</v>
      </c>
      <c r="BU78" t="str">
        <f>IF(FFARawStatProjections!C73=0,"",FFARawStatProjections!C73)</f>
        <v>QB</v>
      </c>
      <c r="BV78" t="str">
        <f>IF(FFARawStatProjections!B73=0,"",FFARawStatProjections!B73)</f>
        <v>TEN</v>
      </c>
      <c r="BX78">
        <v>72</v>
      </c>
      <c r="BY78" s="89" t="str">
        <f t="shared" si="11"/>
        <v/>
      </c>
      <c r="BZ78" s="89" t="str">
        <f t="shared" si="12"/>
        <v/>
      </c>
      <c r="CA78" s="89" t="str">
        <f t="shared" si="13"/>
        <v/>
      </c>
    </row>
    <row r="79" spans="2:79" hidden="1" x14ac:dyDescent="0.25">
      <c r="BT79" t="str">
        <f>IF(FFARawStatProjections!A74=0,"",FFARawStatProjections!A74)</f>
        <v>Dorian Thompson-Robinson</v>
      </c>
      <c r="BU79" t="str">
        <f>IF(FFARawStatProjections!C74=0,"",FFARawStatProjections!C74)</f>
        <v>QB</v>
      </c>
      <c r="BV79" t="str">
        <f>IF(FFARawStatProjections!B74=0,"",FFARawStatProjections!B74)</f>
        <v>CLE</v>
      </c>
      <c r="BX79">
        <v>73</v>
      </c>
      <c r="BY79" s="89" t="str">
        <f t="shared" si="11"/>
        <v/>
      </c>
      <c r="BZ79" s="89" t="str">
        <f t="shared" si="12"/>
        <v/>
      </c>
      <c r="CA79" s="89" t="str">
        <f t="shared" si="13"/>
        <v/>
      </c>
    </row>
    <row r="80" spans="2:79" hidden="1" x14ac:dyDescent="0.25">
      <c r="BT80" t="str">
        <f>IF(FFARawStatProjections!A75=0,"",FFARawStatProjections!A75)</f>
        <v>Max Duggan</v>
      </c>
      <c r="BU80" t="str">
        <f>IF(FFARawStatProjections!C75=0,"",FFARawStatProjections!C75)</f>
        <v>QB</v>
      </c>
      <c r="BV80" t="str">
        <f>IF(FFARawStatProjections!B75=0,"",FFARawStatProjections!B75)</f>
        <v>LAC</v>
      </c>
      <c r="BX80">
        <v>74</v>
      </c>
      <c r="BY80" s="89" t="str">
        <f t="shared" si="11"/>
        <v/>
      </c>
      <c r="BZ80" s="89" t="str">
        <f t="shared" si="12"/>
        <v/>
      </c>
      <c r="CA80" s="89" t="str">
        <f t="shared" si="13"/>
        <v/>
      </c>
    </row>
    <row r="81" spans="72:79" hidden="1" x14ac:dyDescent="0.25">
      <c r="BT81" t="str">
        <f>IF(FFARawStatProjections!A76=0,"",FFARawStatProjections!A76)</f>
        <v>Jaren Hall</v>
      </c>
      <c r="BU81" t="str">
        <f>IF(FFARawStatProjections!C76=0,"",FFARawStatProjections!C76)</f>
        <v>QB</v>
      </c>
      <c r="BV81" t="str">
        <f>IF(FFARawStatProjections!B76=0,"",FFARawStatProjections!B76)</f>
        <v>MIN</v>
      </c>
      <c r="BX81">
        <v>75</v>
      </c>
      <c r="BY81" s="89" t="str">
        <f t="shared" si="11"/>
        <v/>
      </c>
      <c r="BZ81" s="89" t="str">
        <f t="shared" si="12"/>
        <v/>
      </c>
      <c r="CA81" s="89" t="str">
        <f t="shared" si="13"/>
        <v/>
      </c>
    </row>
    <row r="82" spans="72:79" hidden="1" x14ac:dyDescent="0.25">
      <c r="BT82" t="str">
        <f>IF(FFARawStatProjections!A77=0,"",FFARawStatProjections!A77)</f>
        <v>Tanner McKee</v>
      </c>
      <c r="BU82" t="str">
        <f>IF(FFARawStatProjections!C77=0,"",FFARawStatProjections!C77)</f>
        <v>QB</v>
      </c>
      <c r="BV82" t="str">
        <f>IF(FFARawStatProjections!B77=0,"",FFARawStatProjections!B77)</f>
        <v>PHI</v>
      </c>
      <c r="BX82">
        <v>76</v>
      </c>
      <c r="BY82" s="89" t="str">
        <f t="shared" si="11"/>
        <v/>
      </c>
      <c r="BZ82" s="89" t="str">
        <f t="shared" si="12"/>
        <v/>
      </c>
      <c r="CA82" s="89" t="str">
        <f t="shared" si="13"/>
        <v/>
      </c>
    </row>
    <row r="83" spans="72:79" hidden="1" x14ac:dyDescent="0.25">
      <c r="BT83" t="str">
        <f>IF(FFARawStatProjections!A78=0,"",FFARawStatProjections!A78)</f>
        <v>Skylar Thompson</v>
      </c>
      <c r="BU83" t="str">
        <f>IF(FFARawStatProjections!C78=0,"",FFARawStatProjections!C78)</f>
        <v>QB</v>
      </c>
      <c r="BV83" t="str">
        <f>IF(FFARawStatProjections!B78=0,"",FFARawStatProjections!B78)</f>
        <v>MIA</v>
      </c>
      <c r="BX83">
        <v>77</v>
      </c>
      <c r="BY83" s="89" t="str">
        <f t="shared" si="11"/>
        <v/>
      </c>
      <c r="BZ83" s="89" t="str">
        <f t="shared" si="12"/>
        <v/>
      </c>
      <c r="CA83" s="89" t="str">
        <f t="shared" si="13"/>
        <v/>
      </c>
    </row>
    <row r="84" spans="72:79" hidden="1" x14ac:dyDescent="0.25">
      <c r="BT84" t="str">
        <f>IF(FFARawStatProjections!A79=0,"",FFARawStatProjections!A79)</f>
        <v>Case Keenum</v>
      </c>
      <c r="BU84" t="str">
        <f>IF(FFARawStatProjections!C79=0,"",FFARawStatProjections!C79)</f>
        <v>QB</v>
      </c>
      <c r="BV84" t="str">
        <f>IF(FFARawStatProjections!B79=0,"",FFARawStatProjections!B79)</f>
        <v>HOU</v>
      </c>
      <c r="BX84">
        <v>78</v>
      </c>
      <c r="BY84" s="89" t="str">
        <f t="shared" si="11"/>
        <v/>
      </c>
      <c r="BZ84" s="89" t="str">
        <f t="shared" si="12"/>
        <v/>
      </c>
      <c r="CA84" s="89" t="str">
        <f t="shared" si="13"/>
        <v/>
      </c>
    </row>
    <row r="85" spans="72:79" hidden="1" x14ac:dyDescent="0.25">
      <c r="BT85" t="str">
        <f>IF(FFARawStatProjections!A80=0,"",FFARawStatProjections!A80)</f>
        <v>Matt Corral</v>
      </c>
      <c r="BU85" t="str">
        <f>IF(FFARawStatProjections!C80=0,"",FFARawStatProjections!C80)</f>
        <v>QB</v>
      </c>
      <c r="BV85" t="str">
        <f>IF(FFARawStatProjections!B80=0,"",FFARawStatProjections!B80)</f>
        <v>CAR</v>
      </c>
      <c r="BX85">
        <v>79</v>
      </c>
      <c r="BY85" s="89" t="str">
        <f t="shared" si="11"/>
        <v/>
      </c>
      <c r="BZ85" s="89" t="str">
        <f t="shared" si="12"/>
        <v/>
      </c>
      <c r="CA85" s="89" t="str">
        <f t="shared" si="13"/>
        <v/>
      </c>
    </row>
    <row r="86" spans="72:79" hidden="1" x14ac:dyDescent="0.25">
      <c r="BT86" t="str">
        <f>IF(FFARawStatProjections!A81=0,"",FFARawStatProjections!A81)</f>
        <v>Mason Rudolph</v>
      </c>
      <c r="BU86" t="str">
        <f>IF(FFARawStatProjections!C81=0,"",FFARawStatProjections!C81)</f>
        <v>QB</v>
      </c>
      <c r="BV86" t="str">
        <f>IF(FFARawStatProjections!B81=0,"",FFARawStatProjections!B81)</f>
        <v>PIT</v>
      </c>
      <c r="BX86">
        <v>80</v>
      </c>
      <c r="BY86" s="89" t="str">
        <f t="shared" si="11"/>
        <v/>
      </c>
      <c r="BZ86" s="89" t="str">
        <f t="shared" si="12"/>
        <v/>
      </c>
      <c r="CA86" s="89" t="str">
        <f t="shared" si="13"/>
        <v/>
      </c>
    </row>
    <row r="87" spans="72:79" hidden="1" x14ac:dyDescent="0.25">
      <c r="BT87" t="str">
        <f>IF(FFARawStatProjections!A82=0,"",FFARawStatProjections!A82)</f>
        <v>Jake Haener</v>
      </c>
      <c r="BU87" t="str">
        <f>IF(FFARawStatProjections!C82=0,"",FFARawStatProjections!C82)</f>
        <v>QB</v>
      </c>
      <c r="BV87" t="str">
        <f>IF(FFARawStatProjections!B82=0,"",FFARawStatProjections!B82)</f>
        <v>NO</v>
      </c>
      <c r="BX87">
        <v>81</v>
      </c>
      <c r="BY87" s="89" t="str">
        <f t="shared" si="11"/>
        <v/>
      </c>
      <c r="BZ87" s="89" t="str">
        <f t="shared" si="12"/>
        <v/>
      </c>
      <c r="CA87" s="89" t="str">
        <f t="shared" si="13"/>
        <v/>
      </c>
    </row>
    <row r="88" spans="72:79" hidden="1" x14ac:dyDescent="0.25">
      <c r="BT88" t="str">
        <f>IF(FFARawStatProjections!A83=0,"",FFARawStatProjections!A83)</f>
        <v>Shane Buechele</v>
      </c>
      <c r="BU88" t="str">
        <f>IF(FFARawStatProjections!C83=0,"",FFARawStatProjections!C83)</f>
        <v>QB</v>
      </c>
      <c r="BV88" t="str">
        <f>IF(FFARawStatProjections!B83=0,"",FFARawStatProjections!B83)</f>
        <v>KC</v>
      </c>
      <c r="BX88">
        <v>82</v>
      </c>
      <c r="BY88" s="89" t="str">
        <f t="shared" si="11"/>
        <v/>
      </c>
      <c r="BZ88" s="89" t="str">
        <f t="shared" si="12"/>
        <v/>
      </c>
      <c r="CA88" s="89" t="str">
        <f t="shared" si="13"/>
        <v/>
      </c>
    </row>
    <row r="89" spans="72:79" hidden="1" x14ac:dyDescent="0.25">
      <c r="BT89" t="str">
        <f>IF(FFARawStatProjections!A84=0,"",FFARawStatProjections!A84)</f>
        <v>Nate Sudfeld</v>
      </c>
      <c r="BU89" t="str">
        <f>IF(FFARawStatProjections!C84=0,"",FFARawStatProjections!C84)</f>
        <v>QB</v>
      </c>
      <c r="BV89" t="str">
        <f>IF(FFARawStatProjections!B84=0,"",FFARawStatProjections!B84)</f>
        <v>DET</v>
      </c>
      <c r="BX89">
        <v>83</v>
      </c>
      <c r="BY89" s="89" t="str">
        <f t="shared" si="11"/>
        <v/>
      </c>
      <c r="BZ89" s="89" t="str">
        <f t="shared" si="12"/>
        <v/>
      </c>
      <c r="CA89" s="89" t="str">
        <f t="shared" si="13"/>
        <v/>
      </c>
    </row>
    <row r="90" spans="72:79" hidden="1" x14ac:dyDescent="0.25">
      <c r="BT90" t="str">
        <f>IF(FFARawStatProjections!A85=0,"",FFARawStatProjections!A85)</f>
        <v>Tommy DeVito</v>
      </c>
      <c r="BU90" t="str">
        <f>IF(FFARawStatProjections!C85=0,"",FFARawStatProjections!C85)</f>
        <v>QB</v>
      </c>
      <c r="BV90" t="str">
        <f>IF(FFARawStatProjections!B85=0,"",FFARawStatProjections!B85)</f>
        <v>NYG</v>
      </c>
      <c r="BX90">
        <v>84</v>
      </c>
      <c r="BY90" s="89" t="str">
        <f t="shared" si="11"/>
        <v/>
      </c>
      <c r="BZ90" s="89" t="str">
        <f t="shared" si="12"/>
        <v/>
      </c>
      <c r="CA90" s="89" t="str">
        <f t="shared" si="13"/>
        <v/>
      </c>
    </row>
    <row r="91" spans="72:79" hidden="1" x14ac:dyDescent="0.25">
      <c r="BT91" t="str">
        <f>IF(FFARawStatProjections!A86=0,"",FFARawStatProjections!A86)</f>
        <v>Will Grier</v>
      </c>
      <c r="BU91" t="str">
        <f>IF(FFARawStatProjections!C86=0,"",FFARawStatProjections!C86)</f>
        <v>QB</v>
      </c>
      <c r="BV91" t="str">
        <f>IF(FFARawStatProjections!B86=0,"",FFARawStatProjections!B86)</f>
        <v>DAL</v>
      </c>
      <c r="BX91">
        <v>85</v>
      </c>
      <c r="BY91" s="89" t="str">
        <f t="shared" si="11"/>
        <v/>
      </c>
      <c r="BZ91" s="89" t="str">
        <f t="shared" si="12"/>
        <v/>
      </c>
      <c r="CA91" s="89" t="str">
        <f t="shared" si="13"/>
        <v/>
      </c>
    </row>
    <row r="92" spans="72:79" hidden="1" x14ac:dyDescent="0.25">
      <c r="BT92" t="str">
        <f>IF(FFARawStatProjections!A87=0,"",FFARawStatProjections!A87)</f>
        <v>Josh Johnson</v>
      </c>
      <c r="BU92" t="str">
        <f>IF(FFARawStatProjections!C87=0,"",FFARawStatProjections!C87)</f>
        <v>QB</v>
      </c>
      <c r="BV92" t="str">
        <f>IF(FFARawStatProjections!B87=0,"",FFARawStatProjections!B87)</f>
        <v>BAL</v>
      </c>
      <c r="BX92">
        <v>86</v>
      </c>
      <c r="BY92" s="89" t="str">
        <f t="shared" si="11"/>
        <v/>
      </c>
      <c r="BZ92" s="89" t="str">
        <f t="shared" si="12"/>
        <v/>
      </c>
      <c r="CA92" s="89" t="str">
        <f t="shared" si="13"/>
        <v/>
      </c>
    </row>
    <row r="93" spans="72:79" hidden="1" x14ac:dyDescent="0.25">
      <c r="BT93" t="str">
        <f>IF(FFARawStatProjections!A88=0,"",FFARawStatProjections!A88)</f>
        <v/>
      </c>
      <c r="BU93" t="str">
        <f>IF(FFARawStatProjections!C88=0,"",FFARawStatProjections!C88)</f>
        <v>QB</v>
      </c>
      <c r="BV93" t="str">
        <f>IF(FFARawStatProjections!B88=0,"",FFARawStatProjections!B88)</f>
        <v/>
      </c>
      <c r="BX93">
        <v>87</v>
      </c>
      <c r="BY93" s="89" t="str">
        <f t="shared" si="11"/>
        <v/>
      </c>
      <c r="BZ93" s="89" t="str">
        <f t="shared" si="12"/>
        <v/>
      </c>
      <c r="CA93" s="89" t="str">
        <f t="shared" si="13"/>
        <v/>
      </c>
    </row>
    <row r="94" spans="72:79" hidden="1" x14ac:dyDescent="0.25">
      <c r="BT94" t="str">
        <f>IF(FFARawStatProjections!A89=0,"",FFARawStatProjections!A89)</f>
        <v/>
      </c>
      <c r="BU94" t="str">
        <f>IF(FFARawStatProjections!C89=0,"",FFARawStatProjections!C89)</f>
        <v>QB</v>
      </c>
      <c r="BV94" t="str">
        <f>IF(FFARawStatProjections!B89=0,"",FFARawStatProjections!B89)</f>
        <v/>
      </c>
      <c r="BX94">
        <v>88</v>
      </c>
      <c r="BY94" s="89" t="str">
        <f t="shared" si="11"/>
        <v/>
      </c>
      <c r="BZ94" s="89" t="str">
        <f t="shared" si="12"/>
        <v/>
      </c>
      <c r="CA94" s="89" t="str">
        <f t="shared" si="13"/>
        <v/>
      </c>
    </row>
    <row r="95" spans="72:79" hidden="1" x14ac:dyDescent="0.25">
      <c r="BT95" t="str">
        <f>IF(FFARawStatProjections!A90=0,"",FFARawStatProjections!A90)</f>
        <v/>
      </c>
      <c r="BU95" t="str">
        <f>IF(FFARawStatProjections!C90=0,"",FFARawStatProjections!C90)</f>
        <v>QB</v>
      </c>
      <c r="BV95" t="str">
        <f>IF(FFARawStatProjections!B90=0,"",FFARawStatProjections!B90)</f>
        <v/>
      </c>
      <c r="BX95">
        <v>89</v>
      </c>
      <c r="BY95" s="89" t="str">
        <f t="shared" si="11"/>
        <v/>
      </c>
      <c r="BZ95" s="89" t="str">
        <f t="shared" si="12"/>
        <v/>
      </c>
      <c r="CA95" s="89" t="str">
        <f t="shared" si="13"/>
        <v/>
      </c>
    </row>
    <row r="96" spans="72:79" hidden="1" x14ac:dyDescent="0.25">
      <c r="BT96" t="str">
        <f>IF(FFARawStatProjections!A91=0,"",FFARawStatProjections!A91)</f>
        <v/>
      </c>
      <c r="BU96" t="str">
        <f>IF(FFARawStatProjections!C91=0,"",FFARawStatProjections!C91)</f>
        <v>QB</v>
      </c>
      <c r="BV96" t="str">
        <f>IF(FFARawStatProjections!B91=0,"",FFARawStatProjections!B91)</f>
        <v/>
      </c>
      <c r="BX96">
        <v>90</v>
      </c>
      <c r="BY96" s="89" t="str">
        <f t="shared" si="11"/>
        <v/>
      </c>
      <c r="BZ96" s="89" t="str">
        <f t="shared" si="12"/>
        <v/>
      </c>
      <c r="CA96" s="89" t="str">
        <f t="shared" si="13"/>
        <v/>
      </c>
    </row>
    <row r="97" spans="72:79" hidden="1" x14ac:dyDescent="0.25">
      <c r="BT97" t="str">
        <f>IF(FFARawStatProjections!A92=0,"",FFARawStatProjections!A92)</f>
        <v/>
      </c>
      <c r="BU97" t="str">
        <f>IF(FFARawStatProjections!C92=0,"",FFARawStatProjections!C92)</f>
        <v>QB</v>
      </c>
      <c r="BV97" t="str">
        <f>IF(FFARawStatProjections!B92=0,"",FFARawStatProjections!B92)</f>
        <v/>
      </c>
      <c r="BX97">
        <v>91</v>
      </c>
      <c r="BY97" s="89" t="str">
        <f t="shared" si="11"/>
        <v/>
      </c>
      <c r="BZ97" s="89" t="str">
        <f t="shared" si="12"/>
        <v/>
      </c>
      <c r="CA97" s="89" t="str">
        <f t="shared" si="13"/>
        <v/>
      </c>
    </row>
    <row r="98" spans="72:79" hidden="1" x14ac:dyDescent="0.25">
      <c r="BT98" t="str">
        <f>IF(FFARawStatProjections!A93=0,"",FFARawStatProjections!A93)</f>
        <v/>
      </c>
      <c r="BU98" t="str">
        <f>IF(FFARawStatProjections!C93=0,"",FFARawStatProjections!C93)</f>
        <v>QB</v>
      </c>
      <c r="BV98" t="str">
        <f>IF(FFARawStatProjections!B93=0,"",FFARawStatProjections!B93)</f>
        <v/>
      </c>
      <c r="BX98">
        <v>92</v>
      </c>
      <c r="BY98" s="89" t="str">
        <f t="shared" si="11"/>
        <v/>
      </c>
      <c r="BZ98" s="89" t="str">
        <f t="shared" si="12"/>
        <v/>
      </c>
      <c r="CA98" s="89" t="str">
        <f t="shared" si="13"/>
        <v/>
      </c>
    </row>
    <row r="99" spans="72:79" hidden="1" x14ac:dyDescent="0.25">
      <c r="BT99" t="str">
        <f>IF(FFARawStatProjections!A94=0,"",FFARawStatProjections!A94)</f>
        <v/>
      </c>
      <c r="BU99" t="str">
        <f>IF(FFARawStatProjections!C94=0,"",FFARawStatProjections!C94)</f>
        <v>QB</v>
      </c>
      <c r="BV99" t="str">
        <f>IF(FFARawStatProjections!B94=0,"",FFARawStatProjections!B94)</f>
        <v/>
      </c>
      <c r="BX99">
        <v>93</v>
      </c>
      <c r="BY99" s="89" t="str">
        <f t="shared" si="11"/>
        <v/>
      </c>
      <c r="BZ99" s="89" t="str">
        <f t="shared" si="12"/>
        <v/>
      </c>
      <c r="CA99" s="89" t="str">
        <f t="shared" si="13"/>
        <v/>
      </c>
    </row>
    <row r="100" spans="72:79" hidden="1" x14ac:dyDescent="0.25">
      <c r="BT100" t="str">
        <f>IF(FFARawStatProjections!A95=0,"",FFARawStatProjections!A95)</f>
        <v/>
      </c>
      <c r="BU100" t="str">
        <f>IF(FFARawStatProjections!C95=0,"",FFARawStatProjections!C95)</f>
        <v>QB</v>
      </c>
      <c r="BV100" t="str">
        <f>IF(FFARawStatProjections!B95=0,"",FFARawStatProjections!B95)</f>
        <v/>
      </c>
      <c r="BX100">
        <v>94</v>
      </c>
      <c r="BY100" s="89" t="str">
        <f t="shared" si="11"/>
        <v/>
      </c>
      <c r="BZ100" s="89" t="str">
        <f t="shared" si="12"/>
        <v/>
      </c>
      <c r="CA100" s="89" t="str">
        <f t="shared" si="13"/>
        <v/>
      </c>
    </row>
    <row r="101" spans="72:79" hidden="1" x14ac:dyDescent="0.25">
      <c r="BT101" t="str">
        <f>IF(FFARawStatProjections!A96=0,"",FFARawStatProjections!A96)</f>
        <v/>
      </c>
      <c r="BU101" t="str">
        <f>IF(FFARawStatProjections!C96=0,"",FFARawStatProjections!C96)</f>
        <v>QB</v>
      </c>
      <c r="BV101" t="str">
        <f>IF(FFARawStatProjections!B96=0,"",FFARawStatProjections!B96)</f>
        <v/>
      </c>
      <c r="BX101">
        <v>95</v>
      </c>
      <c r="BY101" s="89" t="str">
        <f t="shared" si="11"/>
        <v/>
      </c>
      <c r="BZ101" s="89" t="str">
        <f t="shared" si="12"/>
        <v/>
      </c>
      <c r="CA101" s="89" t="str">
        <f t="shared" si="13"/>
        <v/>
      </c>
    </row>
    <row r="102" spans="72:79" hidden="1" x14ac:dyDescent="0.25">
      <c r="BT102" t="str">
        <f>IF(FFARawStatProjections!A97=0,"",FFARawStatProjections!A97)</f>
        <v/>
      </c>
      <c r="BU102" t="str">
        <f>IF(FFARawStatProjections!C97=0,"",FFARawStatProjections!C97)</f>
        <v>QB</v>
      </c>
      <c r="BV102" t="str">
        <f>IF(FFARawStatProjections!B97=0,"",FFARawStatProjections!B97)</f>
        <v/>
      </c>
      <c r="BX102">
        <v>96</v>
      </c>
      <c r="BY102" s="89" t="str">
        <f t="shared" si="11"/>
        <v/>
      </c>
      <c r="BZ102" s="89" t="str">
        <f t="shared" si="12"/>
        <v/>
      </c>
      <c r="CA102" s="89" t="str">
        <f t="shared" si="13"/>
        <v/>
      </c>
    </row>
    <row r="103" spans="72:79" hidden="1" x14ac:dyDescent="0.25">
      <c r="BT103" t="str">
        <f>IF(FFARawStatProjections!A98=0,"",FFARawStatProjections!A98)</f>
        <v/>
      </c>
      <c r="BU103" t="str">
        <f>IF(FFARawStatProjections!C98=0,"",FFARawStatProjections!C98)</f>
        <v>QB</v>
      </c>
      <c r="BV103" t="str">
        <f>IF(FFARawStatProjections!B98=0,"",FFARawStatProjections!B98)</f>
        <v/>
      </c>
      <c r="BX103">
        <v>97</v>
      </c>
      <c r="BY103" s="89" t="str">
        <f t="shared" si="11"/>
        <v/>
      </c>
      <c r="BZ103" s="89" t="str">
        <f t="shared" si="12"/>
        <v/>
      </c>
      <c r="CA103" s="89" t="str">
        <f t="shared" si="13"/>
        <v/>
      </c>
    </row>
    <row r="104" spans="72:79" hidden="1" x14ac:dyDescent="0.25">
      <c r="BT104" t="str">
        <f>IF(FFARawStatProjections!A99=0,"",FFARawStatProjections!A99)</f>
        <v/>
      </c>
      <c r="BU104" t="str">
        <f>IF(FFARawStatProjections!C99=0,"",FFARawStatProjections!C99)</f>
        <v>QB</v>
      </c>
      <c r="BV104" t="str">
        <f>IF(FFARawStatProjections!B99=0,"",FFARawStatProjections!B99)</f>
        <v/>
      </c>
      <c r="BX104">
        <v>98</v>
      </c>
      <c r="BY104" s="89" t="str">
        <f t="shared" si="11"/>
        <v/>
      </c>
      <c r="BZ104" s="89" t="str">
        <f t="shared" si="12"/>
        <v/>
      </c>
      <c r="CA104" s="89" t="str">
        <f t="shared" si="13"/>
        <v/>
      </c>
    </row>
    <row r="105" spans="72:79" hidden="1" x14ac:dyDescent="0.25">
      <c r="BT105" t="str">
        <f>IF(FFARawStatProjections!A100=0,"",FFARawStatProjections!A100)</f>
        <v/>
      </c>
      <c r="BU105" t="str">
        <f>IF(FFARawStatProjections!C100=0,"",FFARawStatProjections!C100)</f>
        <v>QB</v>
      </c>
      <c r="BV105" t="str">
        <f>IF(FFARawStatProjections!B100=0,"",FFARawStatProjections!B100)</f>
        <v/>
      </c>
      <c r="BX105">
        <v>99</v>
      </c>
      <c r="BY105" s="89" t="str">
        <f t="shared" si="11"/>
        <v/>
      </c>
      <c r="BZ105" s="89" t="str">
        <f t="shared" si="12"/>
        <v/>
      </c>
      <c r="CA105" s="89" t="str">
        <f t="shared" si="13"/>
        <v/>
      </c>
    </row>
    <row r="106" spans="72:79" hidden="1" x14ac:dyDescent="0.25">
      <c r="BT106" t="str">
        <f>IF(FFARawStatProjections!A101=0,"",FFARawStatProjections!A101)</f>
        <v/>
      </c>
      <c r="BU106" t="str">
        <f>IF(FFARawStatProjections!C101=0,"",FFARawStatProjections!C101)</f>
        <v>QB</v>
      </c>
      <c r="BV106" t="str">
        <f>IF(FFARawStatProjections!B101=0,"",FFARawStatProjections!B101)</f>
        <v/>
      </c>
      <c r="BX106">
        <v>100</v>
      </c>
      <c r="BY106" s="89" t="str">
        <f t="shared" si="11"/>
        <v/>
      </c>
      <c r="BZ106" s="89" t="str">
        <f t="shared" si="12"/>
        <v/>
      </c>
      <c r="CA106" s="89" t="str">
        <f t="shared" si="13"/>
        <v/>
      </c>
    </row>
    <row r="107" spans="72:79" hidden="1" x14ac:dyDescent="0.25">
      <c r="BT107" t="str">
        <f>IF(FFARawStatProjections!A102=0,"",FFARawStatProjections!A102)</f>
        <v/>
      </c>
      <c r="BU107" t="str">
        <f>IF(FFARawStatProjections!C102=0,"",FFARawStatProjections!C102)</f>
        <v>QB</v>
      </c>
      <c r="BV107" t="str">
        <f>IF(FFARawStatProjections!B102=0,"",FFARawStatProjections!B102)</f>
        <v/>
      </c>
      <c r="BX107">
        <v>101</v>
      </c>
      <c r="BY107" s="89" t="str">
        <f t="shared" si="11"/>
        <v/>
      </c>
      <c r="BZ107" s="89" t="str">
        <f t="shared" si="12"/>
        <v/>
      </c>
      <c r="CA107" s="89" t="str">
        <f t="shared" si="13"/>
        <v/>
      </c>
    </row>
    <row r="108" spans="72:79" hidden="1" x14ac:dyDescent="0.25">
      <c r="BT108" t="str">
        <f>IF(FFARawStatProjections!A103=0,"",FFARawStatProjections!A103)</f>
        <v/>
      </c>
      <c r="BU108" t="str">
        <f>IF(FFARawStatProjections!C103=0,"",FFARawStatProjections!C103)</f>
        <v>QB</v>
      </c>
      <c r="BV108" t="str">
        <f>IF(FFARawStatProjections!B103=0,"",FFARawStatProjections!B103)</f>
        <v/>
      </c>
      <c r="BX108">
        <v>102</v>
      </c>
      <c r="BY108" s="89" t="str">
        <f t="shared" si="11"/>
        <v/>
      </c>
      <c r="BZ108" s="89" t="str">
        <f t="shared" si="12"/>
        <v/>
      </c>
      <c r="CA108" s="89" t="str">
        <f t="shared" si="13"/>
        <v/>
      </c>
    </row>
    <row r="109" spans="72:79" hidden="1" x14ac:dyDescent="0.25">
      <c r="BT109" t="str">
        <f>IF(FFARawStatProjections!A104=0,"",FFARawStatProjections!A104)</f>
        <v/>
      </c>
      <c r="BU109" t="str">
        <f>IF(FFARawStatProjections!C104=0,"",FFARawStatProjections!C104)</f>
        <v>QB</v>
      </c>
      <c r="BV109" t="str">
        <f>IF(FFARawStatProjections!B104=0,"",FFARawStatProjections!B104)</f>
        <v/>
      </c>
      <c r="BX109">
        <v>103</v>
      </c>
      <c r="BY109" s="89" t="str">
        <f t="shared" si="11"/>
        <v/>
      </c>
      <c r="BZ109" s="89" t="str">
        <f t="shared" si="12"/>
        <v/>
      </c>
      <c r="CA109" s="89" t="str">
        <f t="shared" si="13"/>
        <v/>
      </c>
    </row>
    <row r="110" spans="72:79" hidden="1" x14ac:dyDescent="0.25">
      <c r="BT110" t="str">
        <f>IF(FFARawStatProjections!A105=0,"",FFARawStatProjections!A105)</f>
        <v/>
      </c>
      <c r="BU110" t="str">
        <f>IF(FFARawStatProjections!C105=0,"",FFARawStatProjections!C105)</f>
        <v>QB</v>
      </c>
      <c r="BV110" t="str">
        <f>IF(FFARawStatProjections!B105=0,"",FFARawStatProjections!B105)</f>
        <v/>
      </c>
      <c r="BX110">
        <v>104</v>
      </c>
      <c r="BY110" s="89" t="str">
        <f t="shared" si="11"/>
        <v/>
      </c>
      <c r="BZ110" s="89" t="str">
        <f t="shared" si="12"/>
        <v/>
      </c>
      <c r="CA110" s="89" t="str">
        <f t="shared" si="13"/>
        <v/>
      </c>
    </row>
    <row r="111" spans="72:79" hidden="1" x14ac:dyDescent="0.25">
      <c r="BT111" t="str">
        <f>IF(FFARawStatProjections!A106=0,"",FFARawStatProjections!A106)</f>
        <v/>
      </c>
      <c r="BU111" t="str">
        <f>IF(FFARawStatProjections!C106=0,"",FFARawStatProjections!C106)</f>
        <v>QB</v>
      </c>
      <c r="BV111" t="str">
        <f>IF(FFARawStatProjections!B106=0,"",FFARawStatProjections!B106)</f>
        <v/>
      </c>
      <c r="BX111">
        <v>105</v>
      </c>
      <c r="BY111" s="89" t="str">
        <f t="shared" si="11"/>
        <v/>
      </c>
      <c r="BZ111" s="89" t="str">
        <f t="shared" si="12"/>
        <v/>
      </c>
      <c r="CA111" s="89" t="str">
        <f t="shared" si="13"/>
        <v/>
      </c>
    </row>
    <row r="112" spans="72:79" hidden="1" x14ac:dyDescent="0.25">
      <c r="BT112" t="str">
        <f>IF(FFARawStatProjections!A107=0,"",FFARawStatProjections!A107)</f>
        <v/>
      </c>
      <c r="BU112" t="str">
        <f>IF(FFARawStatProjections!C107=0,"",FFARawStatProjections!C107)</f>
        <v>QB</v>
      </c>
      <c r="BV112" t="str">
        <f>IF(FFARawStatProjections!B107=0,"",FFARawStatProjections!B107)</f>
        <v/>
      </c>
      <c r="BX112">
        <v>106</v>
      </c>
      <c r="BY112" s="89" t="str">
        <f t="shared" si="11"/>
        <v/>
      </c>
      <c r="BZ112" s="89" t="str">
        <f t="shared" si="12"/>
        <v/>
      </c>
      <c r="CA112" s="89" t="str">
        <f t="shared" si="13"/>
        <v/>
      </c>
    </row>
    <row r="113" spans="72:79" hidden="1" x14ac:dyDescent="0.25">
      <c r="BT113" t="str">
        <f>IF(FFARawStatProjections!A108=0,"",FFARawStatProjections!A108)</f>
        <v/>
      </c>
      <c r="BU113" t="str">
        <f>IF(FFARawStatProjections!C108=0,"",FFARawStatProjections!C108)</f>
        <v>QB</v>
      </c>
      <c r="BV113" t="str">
        <f>IF(FFARawStatProjections!B108=0,"",FFARawStatProjections!B108)</f>
        <v/>
      </c>
      <c r="BX113">
        <v>107</v>
      </c>
      <c r="BY113" s="89" t="str">
        <f t="shared" si="11"/>
        <v/>
      </c>
      <c r="BZ113" s="89" t="str">
        <f t="shared" si="12"/>
        <v/>
      </c>
      <c r="CA113" s="89" t="str">
        <f t="shared" si="13"/>
        <v/>
      </c>
    </row>
    <row r="114" spans="72:79" hidden="1" x14ac:dyDescent="0.25">
      <c r="BT114" t="str">
        <f>IF(FFARawStatProjections!A109=0,"",FFARawStatProjections!A109)</f>
        <v/>
      </c>
      <c r="BU114" t="str">
        <f>IF(FFARawStatProjections!C109=0,"",FFARawStatProjections!C109)</f>
        <v>QB</v>
      </c>
      <c r="BV114" t="str">
        <f>IF(FFARawStatProjections!B109=0,"",FFARawStatProjections!B109)</f>
        <v/>
      </c>
      <c r="BX114">
        <v>108</v>
      </c>
      <c r="BY114" s="89" t="str">
        <f t="shared" si="11"/>
        <v/>
      </c>
      <c r="BZ114" s="89" t="str">
        <f t="shared" si="12"/>
        <v/>
      </c>
      <c r="CA114" s="89" t="str">
        <f t="shared" si="13"/>
        <v/>
      </c>
    </row>
    <row r="115" spans="72:79" hidden="1" x14ac:dyDescent="0.25">
      <c r="BT115" t="str">
        <f>IF(FFARawStatProjections!A110=0,"",FFARawStatProjections!A110)</f>
        <v/>
      </c>
      <c r="BU115" t="str">
        <f>IF(FFARawStatProjections!C110=0,"",FFARawStatProjections!C110)</f>
        <v>QB</v>
      </c>
      <c r="BV115" t="str">
        <f>IF(FFARawStatProjections!B110=0,"",FFARawStatProjections!B110)</f>
        <v/>
      </c>
      <c r="BX115">
        <v>109</v>
      </c>
      <c r="BY115" s="89" t="str">
        <f t="shared" si="11"/>
        <v/>
      </c>
      <c r="BZ115" s="89" t="str">
        <f t="shared" si="12"/>
        <v/>
      </c>
      <c r="CA115" s="89" t="str">
        <f t="shared" si="13"/>
        <v/>
      </c>
    </row>
    <row r="116" spans="72:79" hidden="1" x14ac:dyDescent="0.25">
      <c r="BT116" t="str">
        <f>IF(FFARawStatProjections!A111=0,"",FFARawStatProjections!A111)</f>
        <v/>
      </c>
      <c r="BU116" t="str">
        <f>IF(FFARawStatProjections!C111=0,"",FFARawStatProjections!C111)</f>
        <v>QB</v>
      </c>
      <c r="BV116" t="str">
        <f>IF(FFARawStatProjections!B111=0,"",FFARawStatProjections!B111)</f>
        <v/>
      </c>
      <c r="BX116">
        <v>110</v>
      </c>
      <c r="BY116" s="89" t="str">
        <f t="shared" si="11"/>
        <v/>
      </c>
      <c r="BZ116" s="89" t="str">
        <f t="shared" si="12"/>
        <v/>
      </c>
      <c r="CA116" s="89" t="str">
        <f t="shared" si="13"/>
        <v/>
      </c>
    </row>
    <row r="117" spans="72:79" hidden="1" x14ac:dyDescent="0.25">
      <c r="BT117" t="str">
        <f>IF(FFARawStatProjections!A112=0,"",FFARawStatProjections!A112)</f>
        <v/>
      </c>
      <c r="BU117" t="str">
        <f>IF(FFARawStatProjections!C112=0,"",FFARawStatProjections!C112)</f>
        <v>QB</v>
      </c>
      <c r="BV117" t="str">
        <f>IF(FFARawStatProjections!B112=0,"",FFARawStatProjections!B112)</f>
        <v/>
      </c>
      <c r="BX117">
        <v>111</v>
      </c>
      <c r="BY117" s="89" t="str">
        <f t="shared" si="11"/>
        <v/>
      </c>
      <c r="BZ117" s="89" t="str">
        <f t="shared" si="12"/>
        <v/>
      </c>
      <c r="CA117" s="89" t="str">
        <f t="shared" si="13"/>
        <v/>
      </c>
    </row>
    <row r="118" spans="72:79" hidden="1" x14ac:dyDescent="0.25">
      <c r="BT118" t="str">
        <f>IF(FFARawStatProjections!A113=0,"",FFARawStatProjections!A113)</f>
        <v/>
      </c>
      <c r="BU118" t="str">
        <f>IF(FFARawStatProjections!C113=0,"",FFARawStatProjections!C113)</f>
        <v>QB</v>
      </c>
      <c r="BV118" t="str">
        <f>IF(FFARawStatProjections!B113=0,"",FFARawStatProjections!B113)</f>
        <v/>
      </c>
      <c r="BX118">
        <v>112</v>
      </c>
      <c r="BY118" s="89" t="str">
        <f t="shared" si="11"/>
        <v/>
      </c>
      <c r="BZ118" s="89" t="str">
        <f t="shared" si="12"/>
        <v/>
      </c>
      <c r="CA118" s="89" t="str">
        <f t="shared" si="13"/>
        <v/>
      </c>
    </row>
    <row r="119" spans="72:79" hidden="1" x14ac:dyDescent="0.25">
      <c r="BT119" t="str">
        <f>IF(FFARawStatProjections!A114=0,"",FFARawStatProjections!A114)</f>
        <v/>
      </c>
      <c r="BU119" t="str">
        <f>IF(FFARawStatProjections!C114=0,"",FFARawStatProjections!C114)</f>
        <v>QB</v>
      </c>
      <c r="BV119" t="str">
        <f>IF(FFARawStatProjections!B114=0,"",FFARawStatProjections!B114)</f>
        <v/>
      </c>
      <c r="BX119">
        <v>113</v>
      </c>
      <c r="BY119" s="89" t="str">
        <f t="shared" si="11"/>
        <v/>
      </c>
      <c r="BZ119" s="89" t="str">
        <f t="shared" si="12"/>
        <v/>
      </c>
      <c r="CA119" s="89" t="str">
        <f t="shared" si="13"/>
        <v/>
      </c>
    </row>
    <row r="120" spans="72:79" hidden="1" x14ac:dyDescent="0.25">
      <c r="BT120" t="str">
        <f>IF(FFARawStatProjections!A115=0,"",FFARawStatProjections!A115)</f>
        <v/>
      </c>
      <c r="BU120" t="str">
        <f>IF(FFARawStatProjections!C115=0,"",FFARawStatProjections!C115)</f>
        <v/>
      </c>
      <c r="BV120" t="str">
        <f>IF(FFARawStatProjections!B115=0,"",FFARawStatProjections!B115)</f>
        <v/>
      </c>
      <c r="BX120">
        <v>114</v>
      </c>
      <c r="BY120" s="89" t="str">
        <f t="shared" si="11"/>
        <v/>
      </c>
      <c r="BZ120" s="89" t="str">
        <f t="shared" si="12"/>
        <v/>
      </c>
      <c r="CA120" s="89" t="str">
        <f t="shared" si="13"/>
        <v/>
      </c>
    </row>
    <row r="121" spans="72:79" hidden="1" x14ac:dyDescent="0.25">
      <c r="BT121" t="str">
        <f>IF(FFARawStatProjections!A116=0,"",FFARawStatProjections!A116)</f>
        <v/>
      </c>
      <c r="BU121" t="str">
        <f>IF(FFARawStatProjections!C116=0,"",FFARawStatProjections!C116)</f>
        <v/>
      </c>
      <c r="BV121" t="str">
        <f>IF(FFARawStatProjections!B116=0,"",FFARawStatProjections!B116)</f>
        <v/>
      </c>
      <c r="BX121">
        <v>115</v>
      </c>
      <c r="BY121" s="89" t="str">
        <f t="shared" si="11"/>
        <v/>
      </c>
      <c r="BZ121" s="89" t="str">
        <f t="shared" si="12"/>
        <v/>
      </c>
      <c r="CA121" s="89" t="str">
        <f t="shared" si="13"/>
        <v/>
      </c>
    </row>
    <row r="122" spans="72:79" hidden="1" x14ac:dyDescent="0.25">
      <c r="BT122" t="str">
        <f>IF(FFARawStatProjections!A117=0,"",FFARawStatProjections!A117)</f>
        <v>Christian McCaffrey</v>
      </c>
      <c r="BU122" t="str">
        <f>IF(FFARawStatProjections!C117=0,"",FFARawStatProjections!C117)</f>
        <v>RB</v>
      </c>
      <c r="BV122" t="str">
        <f>IF(FFARawStatProjections!B117=0,"",FFARawStatProjections!B117)</f>
        <v>SF</v>
      </c>
      <c r="BX122">
        <v>116</v>
      </c>
      <c r="BY122" s="89" t="str">
        <f t="shared" si="11"/>
        <v/>
      </c>
      <c r="BZ122" s="89" t="str">
        <f t="shared" si="12"/>
        <v/>
      </c>
      <c r="CA122" s="89" t="str">
        <f t="shared" si="13"/>
        <v/>
      </c>
    </row>
    <row r="123" spans="72:79" hidden="1" x14ac:dyDescent="0.25">
      <c r="BT123" t="str">
        <f>IF(FFARawStatProjections!A118=0,"",FFARawStatProjections!A118)</f>
        <v>Austin Ekeler</v>
      </c>
      <c r="BU123" t="str">
        <f>IF(FFARawStatProjections!C118=0,"",FFARawStatProjections!C118)</f>
        <v>RB</v>
      </c>
      <c r="BV123" t="str">
        <f>IF(FFARawStatProjections!B118=0,"",FFARawStatProjections!B118)</f>
        <v>LAC</v>
      </c>
      <c r="BX123">
        <v>117</v>
      </c>
      <c r="BY123" s="89" t="str">
        <f t="shared" si="11"/>
        <v/>
      </c>
      <c r="BZ123" s="89" t="str">
        <f t="shared" si="12"/>
        <v/>
      </c>
      <c r="CA123" s="89" t="str">
        <f t="shared" si="13"/>
        <v/>
      </c>
    </row>
    <row r="124" spans="72:79" hidden="1" x14ac:dyDescent="0.25">
      <c r="BT124" t="str">
        <f>IF(FFARawStatProjections!A119=0,"",FFARawStatProjections!A119)</f>
        <v>Nick Chubb</v>
      </c>
      <c r="BU124" t="str">
        <f>IF(FFARawStatProjections!C119=0,"",FFARawStatProjections!C119)</f>
        <v>RB</v>
      </c>
      <c r="BV124" t="str">
        <f>IF(FFARawStatProjections!B119=0,"",FFARawStatProjections!B119)</f>
        <v>CLE</v>
      </c>
      <c r="BX124">
        <v>118</v>
      </c>
      <c r="BY124" s="89" t="str">
        <f t="shared" si="11"/>
        <v/>
      </c>
      <c r="BZ124" s="89" t="str">
        <f t="shared" si="12"/>
        <v/>
      </c>
      <c r="CA124" s="89" t="str">
        <f t="shared" si="13"/>
        <v/>
      </c>
    </row>
    <row r="125" spans="72:79" hidden="1" x14ac:dyDescent="0.25">
      <c r="BT125" t="str">
        <f>IF(FFARawStatProjections!A120=0,"",FFARawStatProjections!A120)</f>
        <v>Derrick Henry</v>
      </c>
      <c r="BU125" t="str">
        <f>IF(FFARawStatProjections!C120=0,"",FFARawStatProjections!C120)</f>
        <v>RB</v>
      </c>
      <c r="BV125" t="str">
        <f>IF(FFARawStatProjections!B120=0,"",FFARawStatProjections!B120)</f>
        <v>TEN</v>
      </c>
      <c r="BX125">
        <v>119</v>
      </c>
      <c r="BY125" s="89" t="str">
        <f t="shared" si="11"/>
        <v/>
      </c>
      <c r="BZ125" s="89" t="str">
        <f t="shared" si="12"/>
        <v/>
      </c>
      <c r="CA125" s="89" t="str">
        <f t="shared" si="13"/>
        <v/>
      </c>
    </row>
    <row r="126" spans="72:79" hidden="1" x14ac:dyDescent="0.25">
      <c r="BT126" t="str">
        <f>IF(FFARawStatProjections!A121=0,"",FFARawStatProjections!A121)</f>
        <v>Josh Jacobs</v>
      </c>
      <c r="BU126" t="str">
        <f>IF(FFARawStatProjections!C121=0,"",FFARawStatProjections!C121)</f>
        <v>RB</v>
      </c>
      <c r="BV126" t="str">
        <f>IF(FFARawStatProjections!B121=0,"",FFARawStatProjections!B121)</f>
        <v>LV</v>
      </c>
      <c r="BX126">
        <v>120</v>
      </c>
      <c r="BY126" s="89" t="str">
        <f t="shared" si="11"/>
        <v/>
      </c>
      <c r="BZ126" s="89" t="str">
        <f t="shared" si="12"/>
        <v/>
      </c>
      <c r="CA126" s="89" t="str">
        <f t="shared" si="13"/>
        <v/>
      </c>
    </row>
    <row r="127" spans="72:79" hidden="1" x14ac:dyDescent="0.25">
      <c r="BT127" t="str">
        <f>IF(FFARawStatProjections!A122=0,"",FFARawStatProjections!A122)</f>
        <v>Bijan Robinson</v>
      </c>
      <c r="BU127" t="str">
        <f>IF(FFARawStatProjections!C122=0,"",FFARawStatProjections!C122)</f>
        <v>RB</v>
      </c>
      <c r="BV127" t="str">
        <f>IF(FFARawStatProjections!B122=0,"",FFARawStatProjections!B122)</f>
        <v>ATL</v>
      </c>
      <c r="BX127">
        <v>121</v>
      </c>
      <c r="BY127" s="89" t="str">
        <f t="shared" si="11"/>
        <v/>
      </c>
      <c r="BZ127" s="89" t="str">
        <f t="shared" si="12"/>
        <v/>
      </c>
      <c r="CA127" s="89" t="str">
        <f t="shared" si="13"/>
        <v/>
      </c>
    </row>
    <row r="128" spans="72:79" hidden="1" x14ac:dyDescent="0.25">
      <c r="BT128" t="str">
        <f>IF(FFARawStatProjections!A123=0,"",FFARawStatProjections!A123)</f>
        <v>Tony Pollard</v>
      </c>
      <c r="BU128" t="str">
        <f>IF(FFARawStatProjections!C123=0,"",FFARawStatProjections!C123)</f>
        <v>RB</v>
      </c>
      <c r="BV128" t="str">
        <f>IF(FFARawStatProjections!B123=0,"",FFARawStatProjections!B123)</f>
        <v>DAL</v>
      </c>
      <c r="BX128">
        <v>122</v>
      </c>
      <c r="BY128" s="89" t="str">
        <f t="shared" si="11"/>
        <v/>
      </c>
      <c r="BZ128" s="89" t="str">
        <f t="shared" si="12"/>
        <v/>
      </c>
      <c r="CA128" s="89" t="str">
        <f t="shared" si="13"/>
        <v/>
      </c>
    </row>
    <row r="129" spans="72:79" hidden="1" x14ac:dyDescent="0.25">
      <c r="BT129" t="str">
        <f>IF(FFARawStatProjections!A124=0,"",FFARawStatProjections!A124)</f>
        <v>Saquon Barkley</v>
      </c>
      <c r="BU129" t="str">
        <f>IF(FFARawStatProjections!C124=0,"",FFARawStatProjections!C124)</f>
        <v>RB</v>
      </c>
      <c r="BV129" t="str">
        <f>IF(FFARawStatProjections!B124=0,"",FFARawStatProjections!B124)</f>
        <v>NYG</v>
      </c>
      <c r="BX129">
        <v>123</v>
      </c>
      <c r="BY129" s="89" t="str">
        <f t="shared" si="11"/>
        <v/>
      </c>
      <c r="BZ129" s="89" t="str">
        <f t="shared" si="12"/>
        <v/>
      </c>
      <c r="CA129" s="89" t="str">
        <f t="shared" si="13"/>
        <v/>
      </c>
    </row>
    <row r="130" spans="72:79" hidden="1" x14ac:dyDescent="0.25">
      <c r="BT130" t="str">
        <f>IF(FFARawStatProjections!A125=0,"",FFARawStatProjections!A125)</f>
        <v>Jonathan Taylor</v>
      </c>
      <c r="BU130" t="str">
        <f>IF(FFARawStatProjections!C125=0,"",FFARawStatProjections!C125)</f>
        <v>RB</v>
      </c>
      <c r="BV130" t="str">
        <f>IF(FFARawStatProjections!B125=0,"",FFARawStatProjections!B125)</f>
        <v>IND</v>
      </c>
      <c r="BX130">
        <v>124</v>
      </c>
      <c r="BY130" s="89" t="str">
        <f t="shared" si="11"/>
        <v/>
      </c>
      <c r="BZ130" s="89" t="str">
        <f t="shared" si="12"/>
        <v/>
      </c>
      <c r="CA130" s="89" t="str">
        <f t="shared" si="13"/>
        <v/>
      </c>
    </row>
    <row r="131" spans="72:79" hidden="1" x14ac:dyDescent="0.25">
      <c r="BT131" t="str">
        <f>IF(FFARawStatProjections!A126=0,"",FFARawStatProjections!A126)</f>
        <v>Joe Mixon</v>
      </c>
      <c r="BU131" t="str">
        <f>IF(FFARawStatProjections!C126=0,"",FFARawStatProjections!C126)</f>
        <v>RB</v>
      </c>
      <c r="BV131" t="str">
        <f>IF(FFARawStatProjections!B126=0,"",FFARawStatProjections!B126)</f>
        <v>CIN</v>
      </c>
      <c r="BX131">
        <v>125</v>
      </c>
      <c r="BY131" s="89" t="str">
        <f t="shared" si="11"/>
        <v/>
      </c>
      <c r="BZ131" s="89" t="str">
        <f t="shared" si="12"/>
        <v/>
      </c>
      <c r="CA131" s="89" t="str">
        <f t="shared" si="13"/>
        <v/>
      </c>
    </row>
    <row r="132" spans="72:79" hidden="1" x14ac:dyDescent="0.25">
      <c r="BT132" t="str">
        <f>IF(FFARawStatProjections!A127=0,"",FFARawStatProjections!A127)</f>
        <v>Aaron Jones</v>
      </c>
      <c r="BU132" t="str">
        <f>IF(FFARawStatProjections!C127=0,"",FFARawStatProjections!C127)</f>
        <v>RB</v>
      </c>
      <c r="BV132" t="str">
        <f>IF(FFARawStatProjections!B127=0,"",FFARawStatProjections!B127)</f>
        <v>GB</v>
      </c>
      <c r="BX132">
        <v>126</v>
      </c>
      <c r="BY132" s="89" t="str">
        <f t="shared" si="11"/>
        <v/>
      </c>
      <c r="BZ132" s="89" t="str">
        <f t="shared" si="12"/>
        <v/>
      </c>
      <c r="CA132" s="89" t="str">
        <f t="shared" si="13"/>
        <v/>
      </c>
    </row>
    <row r="133" spans="72:79" hidden="1" x14ac:dyDescent="0.25">
      <c r="BT133" t="str">
        <f>IF(FFARawStatProjections!A128=0,"",FFARawStatProjections!A128)</f>
        <v>Najee Harris</v>
      </c>
      <c r="BU133" t="str">
        <f>IF(FFARawStatProjections!C128=0,"",FFARawStatProjections!C128)</f>
        <v>RB</v>
      </c>
      <c r="BV133" t="str">
        <f>IF(FFARawStatProjections!B128=0,"",FFARawStatProjections!B128)</f>
        <v>PIT</v>
      </c>
      <c r="BX133">
        <v>127</v>
      </c>
      <c r="BY133" s="89" t="str">
        <f t="shared" si="11"/>
        <v/>
      </c>
      <c r="BZ133" s="89" t="str">
        <f t="shared" si="12"/>
        <v/>
      </c>
      <c r="CA133" s="89" t="str">
        <f t="shared" si="13"/>
        <v/>
      </c>
    </row>
    <row r="134" spans="72:79" hidden="1" x14ac:dyDescent="0.25">
      <c r="BT134" t="str">
        <f>IF(FFARawStatProjections!A129=0,"",FFARawStatProjections!A129)</f>
        <v>Travis Etienne</v>
      </c>
      <c r="BU134" t="str">
        <f>IF(FFARawStatProjections!C129=0,"",FFARawStatProjections!C129)</f>
        <v>RB</v>
      </c>
      <c r="BV134" t="str">
        <f>IF(FFARawStatProjections!B129=0,"",FFARawStatProjections!B129)</f>
        <v>JAC</v>
      </c>
      <c r="BX134">
        <v>128</v>
      </c>
      <c r="BY134" s="89" t="str">
        <f t="shared" si="11"/>
        <v/>
      </c>
      <c r="BZ134" s="89" t="str">
        <f t="shared" si="12"/>
        <v/>
      </c>
      <c r="CA134" s="89" t="str">
        <f t="shared" si="13"/>
        <v/>
      </c>
    </row>
    <row r="135" spans="72:79" hidden="1" x14ac:dyDescent="0.25">
      <c r="BT135" t="str">
        <f>IF(FFARawStatProjections!A130=0,"",FFARawStatProjections!A130)</f>
        <v>Alexander Mattison</v>
      </c>
      <c r="BU135" t="str">
        <f>IF(FFARawStatProjections!C130=0,"",FFARawStatProjections!C130)</f>
        <v>RB</v>
      </c>
      <c r="BV135" t="str">
        <f>IF(FFARawStatProjections!B130=0,"",FFARawStatProjections!B130)</f>
        <v>MIN</v>
      </c>
      <c r="BX135">
        <v>129</v>
      </c>
      <c r="BY135" s="89" t="str">
        <f t="shared" si="11"/>
        <v/>
      </c>
      <c r="BZ135" s="89" t="str">
        <f t="shared" si="12"/>
        <v/>
      </c>
      <c r="CA135" s="89" t="str">
        <f t="shared" si="13"/>
        <v/>
      </c>
    </row>
    <row r="136" spans="72:79" hidden="1" x14ac:dyDescent="0.25">
      <c r="BT136" t="str">
        <f>IF(FFARawStatProjections!A131=0,"",FFARawStatProjections!A131)</f>
        <v>Kenneth Walker</v>
      </c>
      <c r="BU136" t="str">
        <f>IF(FFARawStatProjections!C131=0,"",FFARawStatProjections!C131)</f>
        <v>RB</v>
      </c>
      <c r="BV136" t="str">
        <f>IF(FFARawStatProjections!B131=0,"",FFARawStatProjections!B131)</f>
        <v>SEA</v>
      </c>
      <c r="BX136">
        <v>130</v>
      </c>
      <c r="BY136" s="89" t="str">
        <f t="shared" ref="BY136:BY199" si="14">IFERROR(INDEX(BT:BT,MATCH(BX136,BW:BW,0),1),"")</f>
        <v/>
      </c>
      <c r="BZ136" s="89" t="str">
        <f t="shared" ref="BZ136:BZ199" si="15">IFERROR(INDEX(BU:BU,MATCH(BX136,BW:BW,0)),"")</f>
        <v/>
      </c>
      <c r="CA136" s="89" t="str">
        <f t="shared" ref="CA136:CA199" si="16">IFERROR(INDEX(BV:BV,MATCH(BX136,BW:BW,0)),"")</f>
        <v/>
      </c>
    </row>
    <row r="137" spans="72:79" hidden="1" x14ac:dyDescent="0.25">
      <c r="BT137" t="str">
        <f>IF(FFARawStatProjections!A132=0,"",FFARawStatProjections!A132)</f>
        <v>Rhamondre Stevenson</v>
      </c>
      <c r="BU137" t="str">
        <f>IF(FFARawStatProjections!C132=0,"",FFARawStatProjections!C132)</f>
        <v>RB</v>
      </c>
      <c r="BV137" t="str">
        <f>IF(FFARawStatProjections!B132=0,"",FFARawStatProjections!B132)</f>
        <v>NE</v>
      </c>
      <c r="BX137">
        <v>131</v>
      </c>
      <c r="BY137" s="89" t="str">
        <f t="shared" si="14"/>
        <v/>
      </c>
      <c r="BZ137" s="89" t="str">
        <f t="shared" si="15"/>
        <v/>
      </c>
      <c r="CA137" s="89" t="str">
        <f t="shared" si="16"/>
        <v/>
      </c>
    </row>
    <row r="138" spans="72:79" hidden="1" x14ac:dyDescent="0.25">
      <c r="BT138" t="str">
        <f>IF(FFARawStatProjections!A133=0,"",FFARawStatProjections!A133)</f>
        <v>James Conner</v>
      </c>
      <c r="BU138" t="str">
        <f>IF(FFARawStatProjections!C133=0,"",FFARawStatProjections!C133)</f>
        <v>RB</v>
      </c>
      <c r="BV138" t="str">
        <f>IF(FFARawStatProjections!B133=0,"",FFARawStatProjections!B133)</f>
        <v>AZ</v>
      </c>
      <c r="BX138">
        <v>132</v>
      </c>
      <c r="BY138" s="89" t="str">
        <f t="shared" si="14"/>
        <v/>
      </c>
      <c r="BZ138" s="89" t="str">
        <f t="shared" si="15"/>
        <v/>
      </c>
      <c r="CA138" s="89" t="str">
        <f t="shared" si="16"/>
        <v/>
      </c>
    </row>
    <row r="139" spans="72:79" hidden="1" x14ac:dyDescent="0.25">
      <c r="BT139" t="str">
        <f>IF(FFARawStatProjections!A134=0,"",FFARawStatProjections!A134)</f>
        <v>Dameon Pierce</v>
      </c>
      <c r="BU139" t="str">
        <f>IF(FFARawStatProjections!C134=0,"",FFARawStatProjections!C134)</f>
        <v>RB</v>
      </c>
      <c r="BV139" t="str">
        <f>IF(FFARawStatProjections!B134=0,"",FFARawStatProjections!B134)</f>
        <v>HOU</v>
      </c>
      <c r="BX139">
        <v>133</v>
      </c>
      <c r="BY139" s="89" t="str">
        <f t="shared" si="14"/>
        <v/>
      </c>
      <c r="BZ139" s="89" t="str">
        <f t="shared" si="15"/>
        <v/>
      </c>
      <c r="CA139" s="89" t="str">
        <f t="shared" si="16"/>
        <v/>
      </c>
    </row>
    <row r="140" spans="72:79" hidden="1" x14ac:dyDescent="0.25">
      <c r="BT140" t="str">
        <f>IF(FFARawStatProjections!A135=0,"",FFARawStatProjections!A135)</f>
        <v>Jahmyr Gibbs</v>
      </c>
      <c r="BU140" t="str">
        <f>IF(FFARawStatProjections!C135=0,"",FFARawStatProjections!C135)</f>
        <v>RB</v>
      </c>
      <c r="BV140" t="str">
        <f>IF(FFARawStatProjections!B135=0,"",FFARawStatProjections!B135)</f>
        <v>DET</v>
      </c>
      <c r="BX140">
        <v>134</v>
      </c>
      <c r="BY140" s="89" t="str">
        <f t="shared" si="14"/>
        <v/>
      </c>
      <c r="BZ140" s="89" t="str">
        <f t="shared" si="15"/>
        <v/>
      </c>
      <c r="CA140" s="89" t="str">
        <f t="shared" si="16"/>
        <v/>
      </c>
    </row>
    <row r="141" spans="72:79" hidden="1" x14ac:dyDescent="0.25">
      <c r="BT141" t="str">
        <f>IF(FFARawStatProjections!A136=0,"",FFARawStatProjections!A136)</f>
        <v>Miles Sanders</v>
      </c>
      <c r="BU141" t="str">
        <f>IF(FFARawStatProjections!C136=0,"",FFARawStatProjections!C136)</f>
        <v>RB</v>
      </c>
      <c r="BV141" t="str">
        <f>IF(FFARawStatProjections!B136=0,"",FFARawStatProjections!B136)</f>
        <v>CAR</v>
      </c>
      <c r="BX141">
        <v>135</v>
      </c>
      <c r="BY141" s="89" t="str">
        <f t="shared" si="14"/>
        <v/>
      </c>
      <c r="BZ141" s="89" t="str">
        <f t="shared" si="15"/>
        <v/>
      </c>
      <c r="CA141" s="89" t="str">
        <f t="shared" si="16"/>
        <v/>
      </c>
    </row>
    <row r="142" spans="72:79" hidden="1" x14ac:dyDescent="0.25">
      <c r="BT142" t="str">
        <f>IF(FFARawStatProjections!A137=0,"",FFARawStatProjections!A137)</f>
        <v>Breece Hall</v>
      </c>
      <c r="BU142" t="str">
        <f>IF(FFARawStatProjections!C137=0,"",FFARawStatProjections!C137)</f>
        <v>RB</v>
      </c>
      <c r="BV142" t="str">
        <f>IF(FFARawStatProjections!B137=0,"",FFARawStatProjections!B137)</f>
        <v>NYJ</v>
      </c>
      <c r="BX142">
        <v>136</v>
      </c>
      <c r="BY142" s="89" t="str">
        <f t="shared" si="14"/>
        <v/>
      </c>
      <c r="BZ142" s="89" t="str">
        <f t="shared" si="15"/>
        <v/>
      </c>
      <c r="CA142" s="89" t="str">
        <f t="shared" si="16"/>
        <v/>
      </c>
    </row>
    <row r="143" spans="72:79" hidden="1" x14ac:dyDescent="0.25">
      <c r="BT143" t="str">
        <f>IF(FFARawStatProjections!A138=0,"",FFARawStatProjections!A138)</f>
        <v>Cam Akers</v>
      </c>
      <c r="BU143" t="str">
        <f>IF(FFARawStatProjections!C138=0,"",FFARawStatProjections!C138)</f>
        <v>RB</v>
      </c>
      <c r="BV143" t="str">
        <f>IF(FFARawStatProjections!B138=0,"",FFARawStatProjections!B138)</f>
        <v>LAR</v>
      </c>
      <c r="BX143">
        <v>137</v>
      </c>
      <c r="BY143" s="89" t="str">
        <f t="shared" si="14"/>
        <v/>
      </c>
      <c r="BZ143" s="89" t="str">
        <f t="shared" si="15"/>
        <v/>
      </c>
      <c r="CA143" s="89" t="str">
        <f t="shared" si="16"/>
        <v/>
      </c>
    </row>
    <row r="144" spans="72:79" hidden="1" x14ac:dyDescent="0.25">
      <c r="BT144" t="str">
        <f>IF(FFARawStatProjections!A139=0,"",FFARawStatProjections!A139)</f>
        <v>JK Dobbins</v>
      </c>
      <c r="BU144" t="str">
        <f>IF(FFARawStatProjections!C139=0,"",FFARawStatProjections!C139)</f>
        <v>RB</v>
      </c>
      <c r="BV144" t="str">
        <f>IF(FFARawStatProjections!B139=0,"",FFARawStatProjections!B139)</f>
        <v>BAL</v>
      </c>
      <c r="BX144">
        <v>138</v>
      </c>
      <c r="BY144" s="89" t="str">
        <f t="shared" si="14"/>
        <v/>
      </c>
      <c r="BZ144" s="89" t="str">
        <f t="shared" si="15"/>
        <v/>
      </c>
      <c r="CA144" s="89" t="str">
        <f t="shared" si="16"/>
        <v/>
      </c>
    </row>
    <row r="145" spans="72:79" hidden="1" x14ac:dyDescent="0.25">
      <c r="BT145" t="str">
        <f>IF(FFARawStatProjections!A140=0,"",FFARawStatProjections!A140)</f>
        <v>Isiah Pacheco</v>
      </c>
      <c r="BU145" t="str">
        <f>IF(FFARawStatProjections!C140=0,"",FFARawStatProjections!C140)</f>
        <v>RB</v>
      </c>
      <c r="BV145" t="str">
        <f>IF(FFARawStatProjections!B140=0,"",FFARawStatProjections!B140)</f>
        <v>KC</v>
      </c>
      <c r="BX145">
        <v>139</v>
      </c>
      <c r="BY145" s="89" t="str">
        <f t="shared" si="14"/>
        <v/>
      </c>
      <c r="BZ145" s="89" t="str">
        <f t="shared" si="15"/>
        <v/>
      </c>
      <c r="CA145" s="89" t="str">
        <f t="shared" si="16"/>
        <v/>
      </c>
    </row>
    <row r="146" spans="72:79" hidden="1" x14ac:dyDescent="0.25">
      <c r="BT146" t="str">
        <f>IF(FFARawStatProjections!A141=0,"",FFARawStatProjections!A141)</f>
        <v>Rachaad White</v>
      </c>
      <c r="BU146" t="str">
        <f>IF(FFARawStatProjections!C141=0,"",FFARawStatProjections!C141)</f>
        <v>RB</v>
      </c>
      <c r="BV146" t="str">
        <f>IF(FFARawStatProjections!B141=0,"",FFARawStatProjections!B141)</f>
        <v>TB</v>
      </c>
      <c r="BX146">
        <v>140</v>
      </c>
      <c r="BY146" s="89" t="str">
        <f t="shared" si="14"/>
        <v/>
      </c>
      <c r="BZ146" s="89" t="str">
        <f t="shared" si="15"/>
        <v/>
      </c>
      <c r="CA146" s="89" t="str">
        <f t="shared" si="16"/>
        <v/>
      </c>
    </row>
    <row r="147" spans="72:79" hidden="1" x14ac:dyDescent="0.25">
      <c r="BT147" t="str">
        <f>IF(FFARawStatProjections!A142=0,"",FFARawStatProjections!A142)</f>
        <v>David Montgomery</v>
      </c>
      <c r="BU147" t="str">
        <f>IF(FFARawStatProjections!C142=0,"",FFARawStatProjections!C142)</f>
        <v>RB</v>
      </c>
      <c r="BV147" t="str">
        <f>IF(FFARawStatProjections!B142=0,"",FFARawStatProjections!B142)</f>
        <v>DET</v>
      </c>
      <c r="BX147">
        <v>141</v>
      </c>
      <c r="BY147" s="89" t="str">
        <f t="shared" si="14"/>
        <v/>
      </c>
      <c r="BZ147" s="89" t="str">
        <f t="shared" si="15"/>
        <v/>
      </c>
      <c r="CA147" s="89" t="str">
        <f t="shared" si="16"/>
        <v/>
      </c>
    </row>
    <row r="148" spans="72:79" hidden="1" x14ac:dyDescent="0.25">
      <c r="BT148" t="str">
        <f>IF(FFARawStatProjections!A143=0,"",FFARawStatProjections!A143)</f>
        <v>Javonte Williams</v>
      </c>
      <c r="BU148" t="str">
        <f>IF(FFARawStatProjections!C143=0,"",FFARawStatProjections!C143)</f>
        <v>RB</v>
      </c>
      <c r="BV148" t="str">
        <f>IF(FFARawStatProjections!B143=0,"",FFARawStatProjections!B143)</f>
        <v>DEN</v>
      </c>
      <c r="BX148">
        <v>142</v>
      </c>
      <c r="BY148" s="89" t="str">
        <f t="shared" si="14"/>
        <v/>
      </c>
      <c r="BZ148" s="89" t="str">
        <f t="shared" si="15"/>
        <v/>
      </c>
      <c r="CA148" s="89" t="str">
        <f t="shared" si="16"/>
        <v/>
      </c>
    </row>
    <row r="149" spans="72:79" hidden="1" x14ac:dyDescent="0.25">
      <c r="BT149" t="str">
        <f>IF(FFARawStatProjections!A144=0,"",FFARawStatProjections!A144)</f>
        <v>James Cook</v>
      </c>
      <c r="BU149" t="str">
        <f>IF(FFARawStatProjections!C144=0,"",FFARawStatProjections!C144)</f>
        <v>RB</v>
      </c>
      <c r="BV149" t="str">
        <f>IF(FFARawStatProjections!B144=0,"",FFARawStatProjections!B144)</f>
        <v>BUF</v>
      </c>
      <c r="BX149">
        <v>143</v>
      </c>
      <c r="BY149" s="89" t="str">
        <f t="shared" si="14"/>
        <v/>
      </c>
      <c r="BZ149" s="89" t="str">
        <f t="shared" si="15"/>
        <v/>
      </c>
      <c r="CA149" s="89" t="str">
        <f t="shared" si="16"/>
        <v/>
      </c>
    </row>
    <row r="150" spans="72:79" hidden="1" x14ac:dyDescent="0.25">
      <c r="BT150" t="str">
        <f>IF(FFARawStatProjections!A145=0,"",FFARawStatProjections!A145)</f>
        <v>Alvin Kamara</v>
      </c>
      <c r="BU150" t="str">
        <f>IF(FFARawStatProjections!C145=0,"",FFARawStatProjections!C145)</f>
        <v>RB</v>
      </c>
      <c r="BV150" t="str">
        <f>IF(FFARawStatProjections!B145=0,"",FFARawStatProjections!B145)</f>
        <v>NO</v>
      </c>
      <c r="BX150">
        <v>144</v>
      </c>
      <c r="BY150" s="89" t="str">
        <f t="shared" si="14"/>
        <v/>
      </c>
      <c r="BZ150" s="89" t="str">
        <f t="shared" si="15"/>
        <v/>
      </c>
      <c r="CA150" s="89" t="str">
        <f t="shared" si="16"/>
        <v/>
      </c>
    </row>
    <row r="151" spans="72:79" hidden="1" x14ac:dyDescent="0.25">
      <c r="BT151" t="str">
        <f>IF(FFARawStatProjections!A146=0,"",FFARawStatProjections!A146)</f>
        <v>AJ Dillon</v>
      </c>
      <c r="BU151" t="str">
        <f>IF(FFARawStatProjections!C146=0,"",FFARawStatProjections!C146)</f>
        <v>RB</v>
      </c>
      <c r="BV151" t="str">
        <f>IF(FFARawStatProjections!B146=0,"",FFARawStatProjections!B146)</f>
        <v>GB</v>
      </c>
      <c r="BX151">
        <v>145</v>
      </c>
      <c r="BY151" s="89" t="str">
        <f t="shared" si="14"/>
        <v/>
      </c>
      <c r="BZ151" s="89" t="str">
        <f t="shared" si="15"/>
        <v/>
      </c>
      <c r="CA151" s="89" t="str">
        <f t="shared" si="16"/>
        <v/>
      </c>
    </row>
    <row r="152" spans="72:79" hidden="1" x14ac:dyDescent="0.25">
      <c r="BT152" t="str">
        <f>IF(FFARawStatProjections!A147=0,"",FFARawStatProjections!A147)</f>
        <v>Brian Robinson</v>
      </c>
      <c r="BU152" t="str">
        <f>IF(FFARawStatProjections!C147=0,"",FFARawStatProjections!C147)</f>
        <v>RB</v>
      </c>
      <c r="BV152" t="str">
        <f>IF(FFARawStatProjections!B147=0,"",FFARawStatProjections!B147)</f>
        <v>WAS</v>
      </c>
      <c r="BX152">
        <v>146</v>
      </c>
      <c r="BY152" s="89" t="str">
        <f t="shared" si="14"/>
        <v/>
      </c>
      <c r="BZ152" s="89" t="str">
        <f t="shared" si="15"/>
        <v/>
      </c>
      <c r="CA152" s="89" t="str">
        <f t="shared" si="16"/>
        <v/>
      </c>
    </row>
    <row r="153" spans="72:79" hidden="1" x14ac:dyDescent="0.25">
      <c r="BT153" t="str">
        <f>IF(FFARawStatProjections!A148=0,"",FFARawStatProjections!A148)</f>
        <v>Khalil Herbert</v>
      </c>
      <c r="BU153" t="str">
        <f>IF(FFARawStatProjections!C148=0,"",FFARawStatProjections!C148)</f>
        <v>RB</v>
      </c>
      <c r="BV153" t="str">
        <f>IF(FFARawStatProjections!B148=0,"",FFARawStatProjections!B148)</f>
        <v>CHI</v>
      </c>
      <c r="BX153">
        <v>147</v>
      </c>
      <c r="BY153" s="89" t="str">
        <f t="shared" si="14"/>
        <v/>
      </c>
      <c r="BZ153" s="89" t="str">
        <f t="shared" si="15"/>
        <v/>
      </c>
      <c r="CA153" s="89" t="str">
        <f t="shared" si="16"/>
        <v/>
      </c>
    </row>
    <row r="154" spans="72:79" hidden="1" x14ac:dyDescent="0.25">
      <c r="BT154" t="str">
        <f>IF(FFARawStatProjections!A149=0,"",FFARawStatProjections!A149)</f>
        <v>DAndre Swift</v>
      </c>
      <c r="BU154" t="str">
        <f>IF(FFARawStatProjections!C149=0,"",FFARawStatProjections!C149)</f>
        <v>RB</v>
      </c>
      <c r="BV154" t="str">
        <f>IF(FFARawStatProjections!B149=0,"",FFARawStatProjections!B149)</f>
        <v>PHI</v>
      </c>
      <c r="BX154">
        <v>148</v>
      </c>
      <c r="BY154" s="89" t="str">
        <f t="shared" si="14"/>
        <v/>
      </c>
      <c r="BZ154" s="89" t="str">
        <f t="shared" si="15"/>
        <v/>
      </c>
      <c r="CA154" s="89" t="str">
        <f t="shared" si="16"/>
        <v/>
      </c>
    </row>
    <row r="155" spans="72:79" hidden="1" x14ac:dyDescent="0.25">
      <c r="BT155" t="str">
        <f>IF(FFARawStatProjections!A150=0,"",FFARawStatProjections!A150)</f>
        <v>Dalvin Cook</v>
      </c>
      <c r="BU155" t="str">
        <f>IF(FFARawStatProjections!C150=0,"",FFARawStatProjections!C150)</f>
        <v>RB</v>
      </c>
      <c r="BV155" t="str">
        <f>IF(FFARawStatProjections!B150=0,"",FFARawStatProjections!B150)</f>
        <v>NYJ</v>
      </c>
      <c r="BX155">
        <v>149</v>
      </c>
      <c r="BY155" s="89" t="str">
        <f t="shared" si="14"/>
        <v/>
      </c>
      <c r="BZ155" s="89" t="str">
        <f t="shared" si="15"/>
        <v/>
      </c>
      <c r="CA155" s="89" t="str">
        <f t="shared" si="16"/>
        <v/>
      </c>
    </row>
    <row r="156" spans="72:79" hidden="1" x14ac:dyDescent="0.25">
      <c r="BT156" t="str">
        <f>IF(FFARawStatProjections!A151=0,"",FFARawStatProjections!A151)</f>
        <v>Samaje Perine</v>
      </c>
      <c r="BU156" t="str">
        <f>IF(FFARawStatProjections!C151=0,"",FFARawStatProjections!C151)</f>
        <v>RB</v>
      </c>
      <c r="BV156" t="str">
        <f>IF(FFARawStatProjections!B151=0,"",FFARawStatProjections!B151)</f>
        <v>DEN</v>
      </c>
      <c r="BX156">
        <v>150</v>
      </c>
      <c r="BY156" s="89" t="str">
        <f t="shared" si="14"/>
        <v/>
      </c>
      <c r="BZ156" s="89" t="str">
        <f t="shared" si="15"/>
        <v/>
      </c>
      <c r="CA156" s="89" t="str">
        <f t="shared" si="16"/>
        <v/>
      </c>
    </row>
    <row r="157" spans="72:79" hidden="1" x14ac:dyDescent="0.25">
      <c r="BT157" t="str">
        <f>IF(FFARawStatProjections!A152=0,"",FFARawStatProjections!A152)</f>
        <v>Antonio Gibson</v>
      </c>
      <c r="BU157" t="str">
        <f>IF(FFARawStatProjections!C152=0,"",FFARawStatProjections!C152)</f>
        <v>RB</v>
      </c>
      <c r="BV157" t="str">
        <f>IF(FFARawStatProjections!B152=0,"",FFARawStatProjections!B152)</f>
        <v>WAS</v>
      </c>
      <c r="BX157">
        <v>151</v>
      </c>
      <c r="BY157" s="89" t="str">
        <f t="shared" si="14"/>
        <v/>
      </c>
      <c r="BZ157" s="89" t="str">
        <f t="shared" si="15"/>
        <v/>
      </c>
      <c r="CA157" s="89" t="str">
        <f t="shared" si="16"/>
        <v/>
      </c>
    </row>
    <row r="158" spans="72:79" hidden="1" x14ac:dyDescent="0.25">
      <c r="BT158" t="str">
        <f>IF(FFARawStatProjections!A153=0,"",FFARawStatProjections!A153)</f>
        <v>Rashaad Penny</v>
      </c>
      <c r="BU158" t="str">
        <f>IF(FFARawStatProjections!C153=0,"",FFARawStatProjections!C153)</f>
        <v>RB</v>
      </c>
      <c r="BV158" t="str">
        <f>IF(FFARawStatProjections!B153=0,"",FFARawStatProjections!B153)</f>
        <v>PHI</v>
      </c>
      <c r="BX158">
        <v>152</v>
      </c>
      <c r="BY158" s="89" t="str">
        <f t="shared" si="14"/>
        <v/>
      </c>
      <c r="BZ158" s="89" t="str">
        <f t="shared" si="15"/>
        <v/>
      </c>
      <c r="CA158" s="89" t="str">
        <f t="shared" si="16"/>
        <v/>
      </c>
    </row>
    <row r="159" spans="72:79" hidden="1" x14ac:dyDescent="0.25">
      <c r="BT159" t="str">
        <f>IF(FFARawStatProjections!A154=0,"",FFARawStatProjections!A154)</f>
        <v>Jamaal Williams</v>
      </c>
      <c r="BU159" t="str">
        <f>IF(FFARawStatProjections!C154=0,"",FFARawStatProjections!C154)</f>
        <v>RB</v>
      </c>
      <c r="BV159" t="str">
        <f>IF(FFARawStatProjections!B154=0,"",FFARawStatProjections!B154)</f>
        <v>NO</v>
      </c>
      <c r="BX159">
        <v>153</v>
      </c>
      <c r="BY159" s="89" t="str">
        <f t="shared" si="14"/>
        <v/>
      </c>
      <c r="BZ159" s="89" t="str">
        <f t="shared" si="15"/>
        <v/>
      </c>
      <c r="CA159" s="89" t="str">
        <f t="shared" si="16"/>
        <v/>
      </c>
    </row>
    <row r="160" spans="72:79" hidden="1" x14ac:dyDescent="0.25">
      <c r="BT160" t="str">
        <f>IF(FFARawStatProjections!A155=0,"",FFARawStatProjections!A155)</f>
        <v>Jeff Wilson</v>
      </c>
      <c r="BU160" t="str">
        <f>IF(FFARawStatProjections!C155=0,"",FFARawStatProjections!C155)</f>
        <v>RB</v>
      </c>
      <c r="BV160" t="str">
        <f>IF(FFARawStatProjections!B155=0,"",FFARawStatProjections!B155)</f>
        <v>MIA</v>
      </c>
      <c r="BX160">
        <v>154</v>
      </c>
      <c r="BY160" s="89" t="str">
        <f t="shared" si="14"/>
        <v/>
      </c>
      <c r="BZ160" s="89" t="str">
        <f t="shared" si="15"/>
        <v/>
      </c>
      <c r="CA160" s="89" t="str">
        <f t="shared" si="16"/>
        <v/>
      </c>
    </row>
    <row r="161" spans="72:79" hidden="1" x14ac:dyDescent="0.25">
      <c r="BT161" t="str">
        <f>IF(FFARawStatProjections!A156=0,"",FFARawStatProjections!A156)</f>
        <v>Elijah Mitchell</v>
      </c>
      <c r="BU161" t="str">
        <f>IF(FFARawStatProjections!C156=0,"",FFARawStatProjections!C156)</f>
        <v>RB</v>
      </c>
      <c r="BV161" t="str">
        <f>IF(FFARawStatProjections!B156=0,"",FFARawStatProjections!B156)</f>
        <v>SF</v>
      </c>
      <c r="BX161">
        <v>155</v>
      </c>
      <c r="BY161" s="89" t="str">
        <f t="shared" si="14"/>
        <v/>
      </c>
      <c r="BZ161" s="89" t="str">
        <f t="shared" si="15"/>
        <v/>
      </c>
      <c r="CA161" s="89" t="str">
        <f t="shared" si="16"/>
        <v/>
      </c>
    </row>
    <row r="162" spans="72:79" hidden="1" x14ac:dyDescent="0.25">
      <c r="BT162" t="str">
        <f>IF(FFARawStatProjections!A157=0,"",FFARawStatProjections!A157)</f>
        <v>Tyler Allgeier</v>
      </c>
      <c r="BU162" t="str">
        <f>IF(FFARawStatProjections!C157=0,"",FFARawStatProjections!C157)</f>
        <v>RB</v>
      </c>
      <c r="BV162" t="str">
        <f>IF(FFARawStatProjections!B157=0,"",FFARawStatProjections!B157)</f>
        <v>ATL</v>
      </c>
      <c r="BX162">
        <v>156</v>
      </c>
      <c r="BY162" s="89" t="str">
        <f t="shared" si="14"/>
        <v/>
      </c>
      <c r="BZ162" s="89" t="str">
        <f t="shared" si="15"/>
        <v/>
      </c>
      <c r="CA162" s="89" t="str">
        <f t="shared" si="16"/>
        <v/>
      </c>
    </row>
    <row r="163" spans="72:79" hidden="1" x14ac:dyDescent="0.25">
      <c r="BT163" t="str">
        <f>IF(FFARawStatProjections!A158=0,"",FFARawStatProjections!A158)</f>
        <v>Raheem Mostert</v>
      </c>
      <c r="BU163" t="str">
        <f>IF(FFARawStatProjections!C158=0,"",FFARawStatProjections!C158)</f>
        <v>RB</v>
      </c>
      <c r="BV163" t="str">
        <f>IF(FFARawStatProjections!B158=0,"",FFARawStatProjections!B158)</f>
        <v>MIA</v>
      </c>
      <c r="BX163">
        <v>157</v>
      </c>
      <c r="BY163" s="89" t="str">
        <f t="shared" si="14"/>
        <v/>
      </c>
      <c r="BZ163" s="89" t="str">
        <f t="shared" si="15"/>
        <v/>
      </c>
      <c r="CA163" s="89" t="str">
        <f t="shared" si="16"/>
        <v/>
      </c>
    </row>
    <row r="164" spans="72:79" hidden="1" x14ac:dyDescent="0.25">
      <c r="BT164" t="str">
        <f>IF(FFARawStatProjections!A159=0,"",FFARawStatProjections!A159)</f>
        <v>Zach Charbonnet</v>
      </c>
      <c r="BU164" t="str">
        <f>IF(FFARawStatProjections!C159=0,"",FFARawStatProjections!C159)</f>
        <v>RB</v>
      </c>
      <c r="BV164" t="str">
        <f>IF(FFARawStatProjections!B159=0,"",FFARawStatProjections!B159)</f>
        <v>SEA</v>
      </c>
      <c r="BX164">
        <v>158</v>
      </c>
      <c r="BY164" s="89" t="str">
        <f t="shared" si="14"/>
        <v/>
      </c>
      <c r="BZ164" s="89" t="str">
        <f t="shared" si="15"/>
        <v/>
      </c>
      <c r="CA164" s="89" t="str">
        <f t="shared" si="16"/>
        <v/>
      </c>
    </row>
    <row r="165" spans="72:79" hidden="1" x14ac:dyDescent="0.25">
      <c r="BT165" t="str">
        <f>IF(FFARawStatProjections!A160=0,"",FFARawStatProjections!A160)</f>
        <v>Ezekiel Elliott</v>
      </c>
      <c r="BU165" t="str">
        <f>IF(FFARawStatProjections!C160=0,"",FFARawStatProjections!C160)</f>
        <v>RB</v>
      </c>
      <c r="BV165" t="str">
        <f>IF(FFARawStatProjections!B160=0,"",FFARawStatProjections!B160)</f>
        <v>NE</v>
      </c>
      <c r="BX165">
        <v>159</v>
      </c>
      <c r="BY165" s="89" t="str">
        <f t="shared" si="14"/>
        <v/>
      </c>
      <c r="BZ165" s="89" t="str">
        <f t="shared" si="15"/>
        <v/>
      </c>
      <c r="CA165" s="89" t="str">
        <f t="shared" si="16"/>
        <v/>
      </c>
    </row>
    <row r="166" spans="72:79" hidden="1" x14ac:dyDescent="0.25">
      <c r="BT166" t="str">
        <f>IF(FFARawStatProjections!A161=0,"",FFARawStatProjections!A161)</f>
        <v>DOnta Foreman</v>
      </c>
      <c r="BU166" t="str">
        <f>IF(FFARawStatProjections!C161=0,"",FFARawStatProjections!C161)</f>
        <v>RB</v>
      </c>
      <c r="BV166" t="str">
        <f>IF(FFARawStatProjections!B161=0,"",FFARawStatProjections!B161)</f>
        <v>CHI</v>
      </c>
      <c r="BX166">
        <v>160</v>
      </c>
      <c r="BY166" s="89" t="str">
        <f t="shared" si="14"/>
        <v/>
      </c>
      <c r="BZ166" s="89" t="str">
        <f t="shared" si="15"/>
        <v/>
      </c>
      <c r="CA166" s="89" t="str">
        <f t="shared" si="16"/>
        <v/>
      </c>
    </row>
    <row r="167" spans="72:79" hidden="1" x14ac:dyDescent="0.25">
      <c r="BT167" t="str">
        <f>IF(FFARawStatProjections!A162=0,"",FFARawStatProjections!A162)</f>
        <v>Damien Harris</v>
      </c>
      <c r="BU167" t="str">
        <f>IF(FFARawStatProjections!C162=0,"",FFARawStatProjections!C162)</f>
        <v>RB</v>
      </c>
      <c r="BV167" t="str">
        <f>IF(FFARawStatProjections!B162=0,"",FFARawStatProjections!B162)</f>
        <v>BUF</v>
      </c>
      <c r="BX167">
        <v>161</v>
      </c>
      <c r="BY167" s="89" t="str">
        <f t="shared" si="14"/>
        <v/>
      </c>
      <c r="BZ167" s="89" t="str">
        <f t="shared" si="15"/>
        <v/>
      </c>
      <c r="CA167" s="89" t="str">
        <f t="shared" si="16"/>
        <v/>
      </c>
    </row>
    <row r="168" spans="72:79" hidden="1" x14ac:dyDescent="0.25">
      <c r="BT168" t="str">
        <f>IF(FFARawStatProjections!A163=0,"",FFARawStatProjections!A163)</f>
        <v>Chuba Hubbard</v>
      </c>
      <c r="BU168" t="str">
        <f>IF(FFARawStatProjections!C163=0,"",FFARawStatProjections!C163)</f>
        <v>RB</v>
      </c>
      <c r="BV168" t="str">
        <f>IF(FFARawStatProjections!B163=0,"",FFARawStatProjections!B163)</f>
        <v>CAR</v>
      </c>
      <c r="BX168">
        <v>162</v>
      </c>
      <c r="BY168" s="89" t="str">
        <f t="shared" si="14"/>
        <v/>
      </c>
      <c r="BZ168" s="89" t="str">
        <f t="shared" si="15"/>
        <v/>
      </c>
      <c r="CA168" s="89" t="str">
        <f t="shared" si="16"/>
        <v/>
      </c>
    </row>
    <row r="169" spans="72:79" hidden="1" x14ac:dyDescent="0.25">
      <c r="BT169" t="str">
        <f>IF(FFARawStatProjections!A164=0,"",FFARawStatProjections!A164)</f>
        <v>Devin Singletary</v>
      </c>
      <c r="BU169" t="str">
        <f>IF(FFARawStatProjections!C164=0,"",FFARawStatProjections!C164)</f>
        <v>RB</v>
      </c>
      <c r="BV169" t="str">
        <f>IF(FFARawStatProjections!B164=0,"",FFARawStatProjections!B164)</f>
        <v>HOU</v>
      </c>
      <c r="BX169">
        <v>163</v>
      </c>
      <c r="BY169" s="89" t="str">
        <f t="shared" si="14"/>
        <v/>
      </c>
      <c r="BZ169" s="89" t="str">
        <f t="shared" si="15"/>
        <v/>
      </c>
      <c r="CA169" s="89" t="str">
        <f t="shared" si="16"/>
        <v/>
      </c>
    </row>
    <row r="170" spans="72:79" hidden="1" x14ac:dyDescent="0.25">
      <c r="BT170" t="str">
        <f>IF(FFARawStatProjections!A165=0,"",FFARawStatProjections!A165)</f>
        <v>DeVon Achane</v>
      </c>
      <c r="BU170" t="str">
        <f>IF(FFARawStatProjections!C165=0,"",FFARawStatProjections!C165)</f>
        <v>RB</v>
      </c>
      <c r="BV170" t="str">
        <f>IF(FFARawStatProjections!B165=0,"",FFARawStatProjections!B165)</f>
        <v>MIA</v>
      </c>
      <c r="BX170">
        <v>164</v>
      </c>
      <c r="BY170" s="89" t="str">
        <f t="shared" si="14"/>
        <v/>
      </c>
      <c r="BZ170" s="89" t="str">
        <f t="shared" si="15"/>
        <v/>
      </c>
      <c r="CA170" s="89" t="str">
        <f t="shared" si="16"/>
        <v/>
      </c>
    </row>
    <row r="171" spans="72:79" hidden="1" x14ac:dyDescent="0.25">
      <c r="BT171" t="str">
        <f>IF(FFARawStatProjections!A166=0,"",FFARawStatProjections!A166)</f>
        <v>Jaylen Warren</v>
      </c>
      <c r="BU171" t="str">
        <f>IF(FFARawStatProjections!C166=0,"",FFARawStatProjections!C166)</f>
        <v>RB</v>
      </c>
      <c r="BV171" t="str">
        <f>IF(FFARawStatProjections!B166=0,"",FFARawStatProjections!B166)</f>
        <v>PIT</v>
      </c>
      <c r="BX171">
        <v>165</v>
      </c>
      <c r="BY171" s="89" t="str">
        <f t="shared" si="14"/>
        <v/>
      </c>
      <c r="BZ171" s="89" t="str">
        <f t="shared" si="15"/>
        <v/>
      </c>
      <c r="CA171" s="89" t="str">
        <f t="shared" si="16"/>
        <v/>
      </c>
    </row>
    <row r="172" spans="72:79" hidden="1" x14ac:dyDescent="0.25">
      <c r="BT172" t="str">
        <f>IF(FFARawStatProjections!A167=0,"",FFARawStatProjections!A167)</f>
        <v>Kenneth Gainwell</v>
      </c>
      <c r="BU172" t="str">
        <f>IF(FFARawStatProjections!C167=0,"",FFARawStatProjections!C167)</f>
        <v>RB</v>
      </c>
      <c r="BV172" t="str">
        <f>IF(FFARawStatProjections!B167=0,"",FFARawStatProjections!B167)</f>
        <v>PHI</v>
      </c>
      <c r="BX172">
        <v>166</v>
      </c>
      <c r="BY172" s="89" t="str">
        <f t="shared" si="14"/>
        <v/>
      </c>
      <c r="BZ172" s="89" t="str">
        <f t="shared" si="15"/>
        <v/>
      </c>
      <c r="CA172" s="89" t="str">
        <f t="shared" si="16"/>
        <v/>
      </c>
    </row>
    <row r="173" spans="72:79" hidden="1" x14ac:dyDescent="0.25">
      <c r="BT173" t="str">
        <f>IF(FFARawStatProjections!A168=0,"",FFARawStatProjections!A168)</f>
        <v>Jerick McKinnon</v>
      </c>
      <c r="BU173" t="str">
        <f>IF(FFARawStatProjections!C168=0,"",FFARawStatProjections!C168)</f>
        <v>RB</v>
      </c>
      <c r="BV173" t="str">
        <f>IF(FFARawStatProjections!B168=0,"",FFARawStatProjections!B168)</f>
        <v>KC</v>
      </c>
      <c r="BX173">
        <v>167</v>
      </c>
      <c r="BY173" s="89" t="str">
        <f t="shared" si="14"/>
        <v/>
      </c>
      <c r="BZ173" s="89" t="str">
        <f t="shared" si="15"/>
        <v/>
      </c>
      <c r="CA173" s="89" t="str">
        <f t="shared" si="16"/>
        <v/>
      </c>
    </row>
    <row r="174" spans="72:79" hidden="1" x14ac:dyDescent="0.25">
      <c r="BT174" t="str">
        <f>IF(FFARawStatProjections!A169=0,"",FFARawStatProjections!A169)</f>
        <v>Gus Edwards</v>
      </c>
      <c r="BU174" t="str">
        <f>IF(FFARawStatProjections!C169=0,"",FFARawStatProjections!C169)</f>
        <v>RB</v>
      </c>
      <c r="BV174" t="str">
        <f>IF(FFARawStatProjections!B169=0,"",FFARawStatProjections!B169)</f>
        <v>BAL</v>
      </c>
      <c r="BX174">
        <v>168</v>
      </c>
      <c r="BY174" s="89" t="str">
        <f t="shared" si="14"/>
        <v/>
      </c>
      <c r="BZ174" s="89" t="str">
        <f t="shared" si="15"/>
        <v/>
      </c>
      <c r="CA174" s="89" t="str">
        <f t="shared" si="16"/>
        <v/>
      </c>
    </row>
    <row r="175" spans="72:79" hidden="1" x14ac:dyDescent="0.25">
      <c r="BT175" t="str">
        <f>IF(FFARawStatProjections!A170=0,"",FFARawStatProjections!A170)</f>
        <v>Tank Bigsby</v>
      </c>
      <c r="BU175" t="str">
        <f>IF(FFARawStatProjections!C170=0,"",FFARawStatProjections!C170)</f>
        <v>RB</v>
      </c>
      <c r="BV175" t="str">
        <f>IF(FFARawStatProjections!B170=0,"",FFARawStatProjections!B170)</f>
        <v>JAC</v>
      </c>
      <c r="BX175">
        <v>169</v>
      </c>
      <c r="BY175" s="89" t="str">
        <f t="shared" si="14"/>
        <v/>
      </c>
      <c r="BZ175" s="89" t="str">
        <f t="shared" si="15"/>
        <v/>
      </c>
      <c r="CA175" s="89" t="str">
        <f t="shared" si="16"/>
        <v/>
      </c>
    </row>
    <row r="176" spans="72:79" hidden="1" x14ac:dyDescent="0.25">
      <c r="BT176" t="str">
        <f>IF(FFARawStatProjections!A171=0,"",FFARawStatProjections!A171)</f>
        <v>Roschon Johnson</v>
      </c>
      <c r="BU176" t="str">
        <f>IF(FFARawStatProjections!C171=0,"",FFARawStatProjections!C171)</f>
        <v>RB</v>
      </c>
      <c r="BV176" t="str">
        <f>IF(FFARawStatProjections!B171=0,"",FFARawStatProjections!B171)</f>
        <v>CHI</v>
      </c>
      <c r="BX176">
        <v>170</v>
      </c>
      <c r="BY176" s="89" t="str">
        <f t="shared" si="14"/>
        <v/>
      </c>
      <c r="BZ176" s="89" t="str">
        <f t="shared" si="15"/>
        <v/>
      </c>
      <c r="CA176" s="89" t="str">
        <f t="shared" si="16"/>
        <v/>
      </c>
    </row>
    <row r="177" spans="72:79" hidden="1" x14ac:dyDescent="0.25">
      <c r="BT177" t="str">
        <f>IF(FFARawStatProjections!A172=0,"",FFARawStatProjections!A172)</f>
        <v>Chase Edmonds</v>
      </c>
      <c r="BU177" t="str">
        <f>IF(FFARawStatProjections!C172=0,"",FFARawStatProjections!C172)</f>
        <v>RB</v>
      </c>
      <c r="BV177" t="str">
        <f>IF(FFARawStatProjections!B172=0,"",FFARawStatProjections!B172)</f>
        <v>TB</v>
      </c>
      <c r="BX177">
        <v>171</v>
      </c>
      <c r="BY177" s="89" t="str">
        <f t="shared" si="14"/>
        <v/>
      </c>
      <c r="BZ177" s="89" t="str">
        <f t="shared" si="15"/>
        <v/>
      </c>
      <c r="CA177" s="89" t="str">
        <f t="shared" si="16"/>
        <v/>
      </c>
    </row>
    <row r="178" spans="72:79" hidden="1" x14ac:dyDescent="0.25">
      <c r="BT178" t="str">
        <f>IF(FFARawStatProjections!A173=0,"",FFARawStatProjections!A173)</f>
        <v>Cordarrelle Patterson</v>
      </c>
      <c r="BU178" t="str">
        <f>IF(FFARawStatProjections!C173=0,"",FFARawStatProjections!C173)</f>
        <v>RB</v>
      </c>
      <c r="BV178" t="str">
        <f>IF(FFARawStatProjections!B173=0,"",FFARawStatProjections!B173)</f>
        <v>ATL</v>
      </c>
      <c r="BX178">
        <v>172</v>
      </c>
      <c r="BY178" s="89" t="str">
        <f t="shared" si="14"/>
        <v/>
      </c>
      <c r="BZ178" s="89" t="str">
        <f t="shared" si="15"/>
        <v/>
      </c>
      <c r="CA178" s="89" t="str">
        <f t="shared" si="16"/>
        <v/>
      </c>
    </row>
    <row r="179" spans="72:79" hidden="1" x14ac:dyDescent="0.25">
      <c r="BT179" t="str">
        <f>IF(FFARawStatProjections!A174=0,"",FFARawStatProjections!A174)</f>
        <v>Joshua Kelley</v>
      </c>
      <c r="BU179" t="str">
        <f>IF(FFARawStatProjections!C174=0,"",FFARawStatProjections!C174)</f>
        <v>RB</v>
      </c>
      <c r="BV179" t="str">
        <f>IF(FFARawStatProjections!B174=0,"",FFARawStatProjections!B174)</f>
        <v>LAC</v>
      </c>
      <c r="BX179">
        <v>173</v>
      </c>
      <c r="BY179" s="89" t="str">
        <f t="shared" si="14"/>
        <v/>
      </c>
      <c r="BZ179" s="89" t="str">
        <f t="shared" si="15"/>
        <v/>
      </c>
      <c r="CA179" s="89" t="str">
        <f t="shared" si="16"/>
        <v/>
      </c>
    </row>
    <row r="180" spans="72:79" hidden="1" x14ac:dyDescent="0.25">
      <c r="BT180" t="str">
        <f>IF(FFARawStatProjections!A175=0,"",FFARawStatProjections!A175)</f>
        <v>Clyde Edwards-Helaire</v>
      </c>
      <c r="BU180" t="str">
        <f>IF(FFARawStatProjections!C175=0,"",FFARawStatProjections!C175)</f>
        <v>RB</v>
      </c>
      <c r="BV180" t="str">
        <f>IF(FFARawStatProjections!B175=0,"",FFARawStatProjections!B175)</f>
        <v>KC</v>
      </c>
      <c r="BX180">
        <v>174</v>
      </c>
      <c r="BY180" s="89" t="str">
        <f t="shared" si="14"/>
        <v/>
      </c>
      <c r="BZ180" s="89" t="str">
        <f t="shared" si="15"/>
        <v/>
      </c>
      <c r="CA180" s="89" t="str">
        <f t="shared" si="16"/>
        <v/>
      </c>
    </row>
    <row r="181" spans="72:79" hidden="1" x14ac:dyDescent="0.25">
      <c r="BT181" t="str">
        <f>IF(FFARawStatProjections!A176=0,"",FFARawStatProjections!A176)</f>
        <v>Tyjae Spears</v>
      </c>
      <c r="BU181" t="str">
        <f>IF(FFARawStatProjections!C176=0,"",FFARawStatProjections!C176)</f>
        <v>RB</v>
      </c>
      <c r="BV181" t="str">
        <f>IF(FFARawStatProjections!B176=0,"",FFARawStatProjections!B176)</f>
        <v>TEN</v>
      </c>
      <c r="BX181">
        <v>175</v>
      </c>
      <c r="BY181" s="89" t="str">
        <f t="shared" si="14"/>
        <v/>
      </c>
      <c r="BZ181" s="89" t="str">
        <f t="shared" si="15"/>
        <v/>
      </c>
      <c r="CA181" s="89" t="str">
        <f t="shared" si="16"/>
        <v/>
      </c>
    </row>
    <row r="182" spans="72:79" hidden="1" x14ac:dyDescent="0.25">
      <c r="BT182" t="str">
        <f>IF(FFARawStatProjections!A177=0,"",FFARawStatProjections!A177)</f>
        <v>Ty Chandler</v>
      </c>
      <c r="BU182" t="str">
        <f>IF(FFARawStatProjections!C177=0,"",FFARawStatProjections!C177)</f>
        <v>RB</v>
      </c>
      <c r="BV182" t="str">
        <f>IF(FFARawStatProjections!B177=0,"",FFARawStatProjections!B177)</f>
        <v>MIN</v>
      </c>
      <c r="BX182">
        <v>176</v>
      </c>
      <c r="BY182" s="89" t="str">
        <f t="shared" si="14"/>
        <v/>
      </c>
      <c r="BZ182" s="89" t="str">
        <f t="shared" si="15"/>
        <v/>
      </c>
      <c r="CA182" s="89" t="str">
        <f t="shared" si="16"/>
        <v/>
      </c>
    </row>
    <row r="183" spans="72:79" hidden="1" x14ac:dyDescent="0.25">
      <c r="BT183" t="str">
        <f>IF(FFARawStatProjections!A178=0,"",FFARawStatProjections!A178)</f>
        <v>Jerome Ford</v>
      </c>
      <c r="BU183" t="str">
        <f>IF(FFARawStatProjections!C178=0,"",FFARawStatProjections!C178)</f>
        <v>RB</v>
      </c>
      <c r="BV183" t="str">
        <f>IF(FFARawStatProjections!B178=0,"",FFARawStatProjections!B178)</f>
        <v>CLE</v>
      </c>
      <c r="BX183">
        <v>177</v>
      </c>
      <c r="BY183" s="89" t="str">
        <f t="shared" si="14"/>
        <v/>
      </c>
      <c r="BZ183" s="89" t="str">
        <f t="shared" si="15"/>
        <v/>
      </c>
      <c r="CA183" s="89" t="str">
        <f t="shared" si="16"/>
        <v/>
      </c>
    </row>
    <row r="184" spans="72:79" hidden="1" x14ac:dyDescent="0.25">
      <c r="BT184" t="str">
        <f>IF(FFARawStatProjections!A179=0,"",FFARawStatProjections!A179)</f>
        <v>Kyren Williams</v>
      </c>
      <c r="BU184" t="str">
        <f>IF(FFARawStatProjections!C179=0,"",FFARawStatProjections!C179)</f>
        <v>RB</v>
      </c>
      <c r="BV184" t="str">
        <f>IF(FFARawStatProjections!B179=0,"",FFARawStatProjections!B179)</f>
        <v>LAR</v>
      </c>
      <c r="BX184">
        <v>178</v>
      </c>
      <c r="BY184" s="89" t="str">
        <f t="shared" si="14"/>
        <v/>
      </c>
      <c r="BZ184" s="89" t="str">
        <f t="shared" si="15"/>
        <v/>
      </c>
      <c r="CA184" s="89" t="str">
        <f t="shared" si="16"/>
        <v/>
      </c>
    </row>
    <row r="185" spans="72:79" hidden="1" x14ac:dyDescent="0.25">
      <c r="BT185" t="str">
        <f>IF(FFARawStatProjections!A180=0,"",FFARawStatProjections!A180)</f>
        <v>Chase Brown</v>
      </c>
      <c r="BU185" t="str">
        <f>IF(FFARawStatProjections!C180=0,"",FFARawStatProjections!C180)</f>
        <v>RB</v>
      </c>
      <c r="BV185" t="str">
        <f>IF(FFARawStatProjections!B180=0,"",FFARawStatProjections!B180)</f>
        <v>CIN</v>
      </c>
      <c r="BX185">
        <v>179</v>
      </c>
      <c r="BY185" s="89" t="str">
        <f t="shared" si="14"/>
        <v/>
      </c>
      <c r="BZ185" s="89" t="str">
        <f t="shared" si="15"/>
        <v/>
      </c>
      <c r="CA185" s="89" t="str">
        <f t="shared" si="16"/>
        <v/>
      </c>
    </row>
    <row r="186" spans="72:79" hidden="1" x14ac:dyDescent="0.25">
      <c r="BT186" t="str">
        <f>IF(FFARawStatProjections!A181=0,"",FFARawStatProjections!A181)</f>
        <v>Ronald Jones</v>
      </c>
      <c r="BU186" t="str">
        <f>IF(FFARawStatProjections!C181=0,"",FFARawStatProjections!C181)</f>
        <v>RB</v>
      </c>
      <c r="BV186" t="str">
        <f>IF(FFARawStatProjections!B181=0,"",FFARawStatProjections!B181)</f>
        <v>DAL</v>
      </c>
      <c r="BX186">
        <v>180</v>
      </c>
      <c r="BY186" s="89" t="str">
        <f t="shared" si="14"/>
        <v/>
      </c>
      <c r="BZ186" s="89" t="str">
        <f t="shared" si="15"/>
        <v/>
      </c>
      <c r="CA186" s="89" t="str">
        <f t="shared" si="16"/>
        <v/>
      </c>
    </row>
    <row r="187" spans="72:79" hidden="1" x14ac:dyDescent="0.25">
      <c r="BT187" t="str">
        <f>IF(FFARawStatProjections!A182=0,"",FFARawStatProjections!A182)</f>
        <v>Kendre Miller</v>
      </c>
      <c r="BU187" t="str">
        <f>IF(FFARawStatProjections!C182=0,"",FFARawStatProjections!C182)</f>
        <v>RB</v>
      </c>
      <c r="BV187" t="str">
        <f>IF(FFARawStatProjections!B182=0,"",FFARawStatProjections!B182)</f>
        <v>NO</v>
      </c>
      <c r="BX187">
        <v>181</v>
      </c>
      <c r="BY187" s="89" t="str">
        <f t="shared" si="14"/>
        <v/>
      </c>
      <c r="BZ187" s="89" t="str">
        <f t="shared" si="15"/>
        <v/>
      </c>
      <c r="CA187" s="89" t="str">
        <f t="shared" si="16"/>
        <v/>
      </c>
    </row>
    <row r="188" spans="72:79" hidden="1" x14ac:dyDescent="0.25">
      <c r="BT188" t="str">
        <f>IF(FFARawStatProjections!A183=0,"",FFARawStatProjections!A183)</f>
        <v>Keaontay Ingram</v>
      </c>
      <c r="BU188" t="str">
        <f>IF(FFARawStatProjections!C183=0,"",FFARawStatProjections!C183)</f>
        <v>RB</v>
      </c>
      <c r="BV188" t="str">
        <f>IF(FFARawStatProjections!B183=0,"",FFARawStatProjections!B183)</f>
        <v>AZ</v>
      </c>
      <c r="BX188">
        <v>182</v>
      </c>
      <c r="BY188" s="89" t="str">
        <f t="shared" si="14"/>
        <v/>
      </c>
      <c r="BZ188" s="89" t="str">
        <f t="shared" si="15"/>
        <v/>
      </c>
      <c r="CA188" s="89" t="str">
        <f t="shared" si="16"/>
        <v/>
      </c>
    </row>
    <row r="189" spans="72:79" hidden="1" x14ac:dyDescent="0.25">
      <c r="BT189" t="str">
        <f>IF(FFARawStatProjections!A184=0,"",FFARawStatProjections!A184)</f>
        <v>Israel Abanikanda</v>
      </c>
      <c r="BU189" t="str">
        <f>IF(FFARawStatProjections!C184=0,"",FFARawStatProjections!C184)</f>
        <v>RB</v>
      </c>
      <c r="BV189" t="str">
        <f>IF(FFARawStatProjections!B184=0,"",FFARawStatProjections!B184)</f>
        <v>NYJ</v>
      </c>
      <c r="BX189">
        <v>183</v>
      </c>
      <c r="BY189" s="89" t="str">
        <f t="shared" si="14"/>
        <v/>
      </c>
      <c r="BZ189" s="89" t="str">
        <f t="shared" si="15"/>
        <v/>
      </c>
      <c r="CA189" s="89" t="str">
        <f t="shared" si="16"/>
        <v/>
      </c>
    </row>
    <row r="190" spans="72:79" hidden="1" x14ac:dyDescent="0.25">
      <c r="BT190" t="str">
        <f>IF(FFARawStatProjections!A185=0,"",FFARawStatProjections!A185)</f>
        <v>Latavius Murray</v>
      </c>
      <c r="BU190" t="str">
        <f>IF(FFARawStatProjections!C185=0,"",FFARawStatProjections!C185)</f>
        <v>RB</v>
      </c>
      <c r="BV190" t="str">
        <f>IF(FFARawStatProjections!B185=0,"",FFARawStatProjections!B185)</f>
        <v>BUF</v>
      </c>
      <c r="BX190">
        <v>184</v>
      </c>
      <c r="BY190" s="89" t="str">
        <f t="shared" si="14"/>
        <v/>
      </c>
      <c r="BZ190" s="89" t="str">
        <f t="shared" si="15"/>
        <v/>
      </c>
      <c r="CA190" s="89" t="str">
        <f t="shared" si="16"/>
        <v/>
      </c>
    </row>
    <row r="191" spans="72:79" hidden="1" x14ac:dyDescent="0.25">
      <c r="BT191" t="str">
        <f>IF(FFARawStatProjections!A186=0,"",FFARawStatProjections!A186)</f>
        <v>Matt Breida</v>
      </c>
      <c r="BU191" t="str">
        <f>IF(FFARawStatProjections!C186=0,"",FFARawStatProjections!C186)</f>
        <v>RB</v>
      </c>
      <c r="BV191" t="str">
        <f>IF(FFARawStatProjections!B186=0,"",FFARawStatProjections!B186)</f>
        <v>NYG</v>
      </c>
      <c r="BX191">
        <v>185</v>
      </c>
      <c r="BY191" s="89" t="str">
        <f t="shared" si="14"/>
        <v/>
      </c>
      <c r="BZ191" s="89" t="str">
        <f t="shared" si="15"/>
        <v/>
      </c>
      <c r="CA191" s="89" t="str">
        <f t="shared" si="16"/>
        <v/>
      </c>
    </row>
    <row r="192" spans="72:79" hidden="1" x14ac:dyDescent="0.25">
      <c r="BT192" t="str">
        <f>IF(FFARawStatProjections!A187=0,"",FFARawStatProjections!A187)</f>
        <v>Isaiah Spiller</v>
      </c>
      <c r="BU192" t="str">
        <f>IF(FFARawStatProjections!C187=0,"",FFARawStatProjections!C187)</f>
        <v>RB</v>
      </c>
      <c r="BV192" t="str">
        <f>IF(FFARawStatProjections!B187=0,"",FFARawStatProjections!B187)</f>
        <v>LAC</v>
      </c>
      <c r="BX192">
        <v>186</v>
      </c>
      <c r="BY192" s="89" t="str">
        <f t="shared" si="14"/>
        <v/>
      </c>
      <c r="BZ192" s="89" t="str">
        <f t="shared" si="15"/>
        <v/>
      </c>
      <c r="CA192" s="89" t="str">
        <f t="shared" si="16"/>
        <v/>
      </c>
    </row>
    <row r="193" spans="72:79" hidden="1" x14ac:dyDescent="0.25">
      <c r="BT193" t="str">
        <f>IF(FFARawStatProjections!A188=0,"",FFARawStatProjections!A188)</f>
        <v>Zamir White</v>
      </c>
      <c r="BU193" t="str">
        <f>IF(FFARawStatProjections!C188=0,"",FFARawStatProjections!C188)</f>
        <v>RB</v>
      </c>
      <c r="BV193" t="str">
        <f>IF(FFARawStatProjections!B188=0,"",FFARawStatProjections!B188)</f>
        <v>LV</v>
      </c>
      <c r="BX193">
        <v>187</v>
      </c>
      <c r="BY193" s="89" t="str">
        <f t="shared" si="14"/>
        <v/>
      </c>
      <c r="BZ193" s="89" t="str">
        <f t="shared" si="15"/>
        <v/>
      </c>
      <c r="CA193" s="89" t="str">
        <f t="shared" si="16"/>
        <v/>
      </c>
    </row>
    <row r="194" spans="72:79" hidden="1" x14ac:dyDescent="0.25">
      <c r="BT194" t="str">
        <f>IF(FFARawStatProjections!A189=0,"",FFARawStatProjections!A189)</f>
        <v>Zach Evans</v>
      </c>
      <c r="BU194" t="str">
        <f>IF(FFARawStatProjections!C189=0,"",FFARawStatProjections!C189)</f>
        <v>RB</v>
      </c>
      <c r="BV194" t="str">
        <f>IF(FFARawStatProjections!B189=0,"",FFARawStatProjections!B189)</f>
        <v>LAR</v>
      </c>
      <c r="BX194">
        <v>188</v>
      </c>
      <c r="BY194" s="89" t="str">
        <f t="shared" si="14"/>
        <v/>
      </c>
      <c r="BZ194" s="89" t="str">
        <f t="shared" si="15"/>
        <v/>
      </c>
      <c r="CA194" s="89" t="str">
        <f t="shared" si="16"/>
        <v/>
      </c>
    </row>
    <row r="195" spans="72:79" hidden="1" x14ac:dyDescent="0.25">
      <c r="BT195" t="str">
        <f>IF(FFARawStatProjections!A190=0,"",FFARawStatProjections!A190)</f>
        <v>Zack Moss</v>
      </c>
      <c r="BU195" t="str">
        <f>IF(FFARawStatProjections!C190=0,"",FFARawStatProjections!C190)</f>
        <v>RB</v>
      </c>
      <c r="BV195" t="str">
        <f>IF(FFARawStatProjections!B190=0,"",FFARawStatProjections!B190)</f>
        <v>IND</v>
      </c>
      <c r="BX195">
        <v>189</v>
      </c>
      <c r="BY195" s="89" t="str">
        <f t="shared" si="14"/>
        <v/>
      </c>
      <c r="BZ195" s="89" t="str">
        <f t="shared" si="15"/>
        <v/>
      </c>
      <c r="CA195" s="89" t="str">
        <f t="shared" si="16"/>
        <v/>
      </c>
    </row>
    <row r="196" spans="72:79" hidden="1" x14ac:dyDescent="0.25">
      <c r="BT196" t="str">
        <f>IF(FFARawStatProjections!A191=0,"",FFARawStatProjections!A191)</f>
        <v>Deuce Vaughn</v>
      </c>
      <c r="BU196" t="str">
        <f>IF(FFARawStatProjections!C191=0,"",FFARawStatProjections!C191)</f>
        <v>RB</v>
      </c>
      <c r="BV196" t="str">
        <f>IF(FFARawStatProjections!B191=0,"",FFARawStatProjections!B191)</f>
        <v>DAL</v>
      </c>
      <c r="BX196">
        <v>190</v>
      </c>
      <c r="BY196" s="89" t="str">
        <f t="shared" si="14"/>
        <v/>
      </c>
      <c r="BZ196" s="89" t="str">
        <f t="shared" si="15"/>
        <v/>
      </c>
      <c r="CA196" s="89" t="str">
        <f t="shared" si="16"/>
        <v/>
      </c>
    </row>
    <row r="197" spans="72:79" hidden="1" x14ac:dyDescent="0.25">
      <c r="BT197" t="str">
        <f>IF(FFARawStatProjections!A192=0,"",FFARawStatProjections!A192)</f>
        <v>Kenyan Drake</v>
      </c>
      <c r="BU197" t="str">
        <f>IF(FFARawStatProjections!C192=0,"",FFARawStatProjections!C192)</f>
        <v>RB</v>
      </c>
      <c r="BV197" t="str">
        <f>IF(FFARawStatProjections!B192=0,"",FFARawStatProjections!B192)</f>
        <v>IND</v>
      </c>
      <c r="BX197">
        <v>191</v>
      </c>
      <c r="BY197" s="89" t="str">
        <f t="shared" si="14"/>
        <v/>
      </c>
      <c r="BZ197" s="89" t="str">
        <f t="shared" si="15"/>
        <v/>
      </c>
      <c r="CA197" s="89" t="str">
        <f t="shared" si="16"/>
        <v/>
      </c>
    </row>
    <row r="198" spans="72:79" hidden="1" x14ac:dyDescent="0.25">
      <c r="BT198" t="str">
        <f>IF(FFARawStatProjections!A193=0,"",FFARawStatProjections!A193)</f>
        <v>Abram Smith</v>
      </c>
      <c r="BU198" t="str">
        <f>IF(FFARawStatProjections!C193=0,"",FFARawStatProjections!C193)</f>
        <v>RB</v>
      </c>
      <c r="BV198" t="str">
        <f>IF(FFARawStatProjections!B193=0,"",FFARawStatProjections!B193)</f>
        <v>MIN</v>
      </c>
      <c r="BX198">
        <v>192</v>
      </c>
      <c r="BY198" s="89" t="str">
        <f t="shared" si="14"/>
        <v/>
      </c>
      <c r="BZ198" s="89" t="str">
        <f t="shared" si="15"/>
        <v/>
      </c>
      <c r="CA198" s="89" t="str">
        <f t="shared" si="16"/>
        <v/>
      </c>
    </row>
    <row r="199" spans="72:79" hidden="1" x14ac:dyDescent="0.25">
      <c r="BT199" t="str">
        <f>IF(FFARawStatProjections!A194=0,"",FFARawStatProjections!A194)</f>
        <v>Corey Clement</v>
      </c>
      <c r="BU199" t="str">
        <f>IF(FFARawStatProjections!C194=0,"",FFARawStatProjections!C194)</f>
        <v>RB</v>
      </c>
      <c r="BV199" t="str">
        <f>IF(FFARawStatProjections!B194=0,"",FFARawStatProjections!B194)</f>
        <v>AZ</v>
      </c>
      <c r="BX199">
        <v>193</v>
      </c>
      <c r="BY199" s="89" t="str">
        <f t="shared" si="14"/>
        <v/>
      </c>
      <c r="BZ199" s="89" t="str">
        <f t="shared" si="15"/>
        <v/>
      </c>
      <c r="CA199" s="89" t="str">
        <f t="shared" si="16"/>
        <v/>
      </c>
    </row>
    <row r="200" spans="72:79" hidden="1" x14ac:dyDescent="0.25">
      <c r="BT200" t="str">
        <f>IF(FFARawStatProjections!A195=0,"",FFARawStatProjections!A195)</f>
        <v>Eric Gray</v>
      </c>
      <c r="BU200" t="str">
        <f>IF(FFARawStatProjections!C195=0,"",FFARawStatProjections!C195)</f>
        <v>RB</v>
      </c>
      <c r="BV200" t="str">
        <f>IF(FFARawStatProjections!B195=0,"",FFARawStatProjections!B195)</f>
        <v>NYG</v>
      </c>
      <c r="BX200">
        <v>194</v>
      </c>
      <c r="BY200" s="89" t="str">
        <f t="shared" ref="BY200:BY263" si="17">IFERROR(INDEX(BT:BT,MATCH(BX200,BW:BW,0),1),"")</f>
        <v/>
      </c>
      <c r="BZ200" s="89" t="str">
        <f t="shared" ref="BZ200:BZ263" si="18">IFERROR(INDEX(BU:BU,MATCH(BX200,BW:BW,0)),"")</f>
        <v/>
      </c>
      <c r="CA200" s="89" t="str">
        <f t="shared" ref="CA200:CA263" si="19">IFERROR(INDEX(BV:BV,MATCH(BX200,BW:BW,0)),"")</f>
        <v/>
      </c>
    </row>
    <row r="201" spans="72:79" hidden="1" x14ac:dyDescent="0.25">
      <c r="BT201" t="str">
        <f>IF(FFARawStatProjections!A196=0,"",FFARawStatProjections!A196)</f>
        <v>JaMycal Hasty</v>
      </c>
      <c r="BU201" t="str">
        <f>IF(FFARawStatProjections!C196=0,"",FFARawStatProjections!C196)</f>
        <v>RB</v>
      </c>
      <c r="BV201" t="str">
        <f>IF(FFARawStatProjections!B196=0,"",FFARawStatProjections!B196)</f>
        <v>JAC</v>
      </c>
      <c r="BX201">
        <v>195</v>
      </c>
      <c r="BY201" s="89" t="str">
        <f t="shared" si="17"/>
        <v/>
      </c>
      <c r="BZ201" s="89" t="str">
        <f t="shared" si="18"/>
        <v/>
      </c>
      <c r="CA201" s="89" t="str">
        <f t="shared" si="19"/>
        <v/>
      </c>
    </row>
    <row r="202" spans="72:79" hidden="1" x14ac:dyDescent="0.25">
      <c r="BT202" t="str">
        <f>IF(FFARawStatProjections!A197=0,"",FFARawStatProjections!A197)</f>
        <v>KeShawn Vaughn</v>
      </c>
      <c r="BU202" t="str">
        <f>IF(FFARawStatProjections!C197=0,"",FFARawStatProjections!C197)</f>
        <v>RB</v>
      </c>
      <c r="BV202" t="str">
        <f>IF(FFARawStatProjections!B197=0,"",FFARawStatProjections!B197)</f>
        <v>TB</v>
      </c>
      <c r="BX202">
        <v>196</v>
      </c>
      <c r="BY202" s="89" t="str">
        <f t="shared" si="17"/>
        <v/>
      </c>
      <c r="BZ202" s="89" t="str">
        <f t="shared" si="18"/>
        <v/>
      </c>
      <c r="CA202" s="89" t="str">
        <f t="shared" si="19"/>
        <v/>
      </c>
    </row>
    <row r="203" spans="72:79" hidden="1" x14ac:dyDescent="0.25">
      <c r="BT203" t="str">
        <f>IF(FFARawStatProjections!A198=0,"",FFARawStatProjections!A198)</f>
        <v>Jordan Mason</v>
      </c>
      <c r="BU203" t="str">
        <f>IF(FFARawStatProjections!C198=0,"",FFARawStatProjections!C198)</f>
        <v>RB</v>
      </c>
      <c r="BV203" t="str">
        <f>IF(FFARawStatProjections!B198=0,"",FFARawStatProjections!B198)</f>
        <v>SF</v>
      </c>
      <c r="BX203">
        <v>197</v>
      </c>
      <c r="BY203" s="89" t="str">
        <f t="shared" si="17"/>
        <v/>
      </c>
      <c r="BZ203" s="89" t="str">
        <f t="shared" si="18"/>
        <v/>
      </c>
      <c r="CA203" s="89" t="str">
        <f t="shared" si="19"/>
        <v/>
      </c>
    </row>
    <row r="204" spans="72:79" hidden="1" x14ac:dyDescent="0.25">
      <c r="BT204" t="str">
        <f>IF(FFARawStatProjections!A199=0,"",FFARawStatProjections!A199)</f>
        <v>Michael Carter</v>
      </c>
      <c r="BU204" t="str">
        <f>IF(FFARawStatProjections!C199=0,"",FFARawStatProjections!C199)</f>
        <v>RB</v>
      </c>
      <c r="BV204" t="str">
        <f>IF(FFARawStatProjections!B199=0,"",FFARawStatProjections!B199)</f>
        <v>NYJ</v>
      </c>
      <c r="BX204">
        <v>198</v>
      </c>
      <c r="BY204" s="89" t="str">
        <f t="shared" si="17"/>
        <v/>
      </c>
      <c r="BZ204" s="89" t="str">
        <f t="shared" si="18"/>
        <v/>
      </c>
      <c r="CA204" s="89" t="str">
        <f t="shared" si="19"/>
        <v/>
      </c>
    </row>
    <row r="205" spans="72:79" hidden="1" x14ac:dyDescent="0.25">
      <c r="BT205" t="str">
        <f>IF(FFARawStatProjections!A200=0,"",FFARawStatProjections!A200)</f>
        <v>Melvin Gordon</v>
      </c>
      <c r="BU205" t="str">
        <f>IF(FFARawStatProjections!C200=0,"",FFARawStatProjections!C200)</f>
        <v>RB</v>
      </c>
      <c r="BV205" t="str">
        <f>IF(FFARawStatProjections!B200=0,"",FFARawStatProjections!B200)</f>
        <v>BAL</v>
      </c>
      <c r="BX205">
        <v>199</v>
      </c>
      <c r="BY205" s="89" t="str">
        <f t="shared" si="17"/>
        <v/>
      </c>
      <c r="BZ205" s="89" t="str">
        <f t="shared" si="18"/>
        <v/>
      </c>
      <c r="CA205" s="89" t="str">
        <f t="shared" si="19"/>
        <v/>
      </c>
    </row>
    <row r="206" spans="72:79" hidden="1" x14ac:dyDescent="0.25">
      <c r="BT206" t="str">
        <f>IF(FFARawStatProjections!A201=0,"",FFARawStatProjections!A201)</f>
        <v>Pierre Strong</v>
      </c>
      <c r="BU206" t="str">
        <f>IF(FFARawStatProjections!C201=0,"",FFARawStatProjections!C201)</f>
        <v>RB</v>
      </c>
      <c r="BV206" t="str">
        <f>IF(FFARawStatProjections!B201=0,"",FFARawStatProjections!B201)</f>
        <v>NE</v>
      </c>
      <c r="BX206">
        <v>200</v>
      </c>
      <c r="BY206" s="89" t="str">
        <f t="shared" si="17"/>
        <v/>
      </c>
      <c r="BZ206" s="89" t="str">
        <f t="shared" si="18"/>
        <v/>
      </c>
      <c r="CA206" s="89" t="str">
        <f t="shared" si="19"/>
        <v/>
      </c>
    </row>
    <row r="207" spans="72:79" hidden="1" x14ac:dyDescent="0.25">
      <c r="BT207" t="str">
        <f>IF(FFARawStatProjections!A202=0,"",FFARawStatProjections!A202)</f>
        <v>Ameer Abdullah</v>
      </c>
      <c r="BU207" t="str">
        <f>IF(FFARawStatProjections!C202=0,"",FFARawStatProjections!C202)</f>
        <v>RB</v>
      </c>
      <c r="BV207" t="str">
        <f>IF(FFARawStatProjections!B202=0,"",FFARawStatProjections!B202)</f>
        <v>LV</v>
      </c>
      <c r="BX207">
        <v>201</v>
      </c>
      <c r="BY207" s="89" t="str">
        <f t="shared" si="17"/>
        <v/>
      </c>
      <c r="BZ207" s="89" t="str">
        <f t="shared" si="18"/>
        <v/>
      </c>
      <c r="CA207" s="89" t="str">
        <f t="shared" si="19"/>
        <v/>
      </c>
    </row>
    <row r="208" spans="72:79" hidden="1" x14ac:dyDescent="0.25">
      <c r="BT208" t="str">
        <f>IF(FFARawStatProjections!A203=0,"",FFARawStatProjections!A203)</f>
        <v>Trayveon Williams</v>
      </c>
      <c r="BU208" t="str">
        <f>IF(FFARawStatProjections!C203=0,"",FFARawStatProjections!C203)</f>
        <v>RB</v>
      </c>
      <c r="BV208" t="str">
        <f>IF(FFARawStatProjections!B203=0,"",FFARawStatProjections!B203)</f>
        <v>CIN</v>
      </c>
      <c r="BX208">
        <v>202</v>
      </c>
      <c r="BY208" s="89" t="str">
        <f t="shared" si="17"/>
        <v/>
      </c>
      <c r="BZ208" s="89" t="str">
        <f t="shared" si="18"/>
        <v/>
      </c>
      <c r="CA208" s="89" t="str">
        <f t="shared" si="19"/>
        <v/>
      </c>
    </row>
    <row r="209" spans="72:79" hidden="1" x14ac:dyDescent="0.25">
      <c r="BT209" t="str">
        <f>IF(FFARawStatProjections!A204=0,"",FFARawStatProjections!A204)</f>
        <v>Hassan Haskins</v>
      </c>
      <c r="BU209" t="str">
        <f>IF(FFARawStatProjections!C204=0,"",FFARawStatProjections!C204)</f>
        <v>RB</v>
      </c>
      <c r="BV209" t="str">
        <f>IF(FFARawStatProjections!B204=0,"",FFARawStatProjections!B204)</f>
        <v>TEN</v>
      </c>
      <c r="BX209">
        <v>203</v>
      </c>
      <c r="BY209" s="89" t="str">
        <f t="shared" si="17"/>
        <v/>
      </c>
      <c r="BZ209" s="89" t="str">
        <f t="shared" si="18"/>
        <v/>
      </c>
      <c r="CA209" s="89" t="str">
        <f t="shared" si="19"/>
        <v/>
      </c>
    </row>
    <row r="210" spans="72:79" hidden="1" x14ac:dyDescent="0.25">
      <c r="BT210" t="str">
        <f>IF(FFARawStatProjections!A205=0,"",FFARawStatProjections!A205)</f>
        <v>Chris Rodriguez</v>
      </c>
      <c r="BU210" t="str">
        <f>IF(FFARawStatProjections!C205=0,"",FFARawStatProjections!C205)</f>
        <v>RB</v>
      </c>
      <c r="BV210" t="str">
        <f>IF(FFARawStatProjections!B205=0,"",FFARawStatProjections!B205)</f>
        <v>WAS</v>
      </c>
      <c r="BX210">
        <v>204</v>
      </c>
      <c r="BY210" s="89" t="str">
        <f t="shared" si="17"/>
        <v/>
      </c>
      <c r="BZ210" s="89" t="str">
        <f t="shared" si="18"/>
        <v/>
      </c>
      <c r="CA210" s="89" t="str">
        <f t="shared" si="19"/>
        <v/>
      </c>
    </row>
    <row r="211" spans="72:79" hidden="1" x14ac:dyDescent="0.25">
      <c r="BT211" t="str">
        <f>IF(FFARawStatProjections!A206=0,"",FFARawStatProjections!A206)</f>
        <v>Raheem Blackshear</v>
      </c>
      <c r="BU211" t="str">
        <f>IF(FFARawStatProjections!C206=0,"",FFARawStatProjections!C206)</f>
        <v>RB</v>
      </c>
      <c r="BV211" t="str">
        <f>IF(FFARawStatProjections!B206=0,"",FFARawStatProjections!B206)</f>
        <v>CAR</v>
      </c>
      <c r="BX211">
        <v>205</v>
      </c>
      <c r="BY211" s="89" t="str">
        <f t="shared" si="17"/>
        <v/>
      </c>
      <c r="BZ211" s="89" t="str">
        <f t="shared" si="18"/>
        <v/>
      </c>
      <c r="CA211" s="89" t="str">
        <f t="shared" si="19"/>
        <v/>
      </c>
    </row>
    <row r="212" spans="72:79" hidden="1" x14ac:dyDescent="0.25">
      <c r="BT212" t="str">
        <f>IF(FFARawStatProjections!A207=0,"",FFARawStatProjections!A207)</f>
        <v>Rico Dowdle</v>
      </c>
      <c r="BU212" t="str">
        <f>IF(FFARawStatProjections!C207=0,"",FFARawStatProjections!C207)</f>
        <v>RB</v>
      </c>
      <c r="BV212" t="str">
        <f>IF(FFARawStatProjections!B207=0,"",FFARawStatProjections!B207)</f>
        <v>DAL</v>
      </c>
      <c r="BX212">
        <v>206</v>
      </c>
      <c r="BY212" s="89" t="str">
        <f t="shared" si="17"/>
        <v/>
      </c>
      <c r="BZ212" s="89" t="str">
        <f t="shared" si="18"/>
        <v/>
      </c>
      <c r="CA212" s="89" t="str">
        <f t="shared" si="19"/>
        <v/>
      </c>
    </row>
    <row r="213" spans="72:79" hidden="1" x14ac:dyDescent="0.25">
      <c r="BT213" t="str">
        <f>IF(FFARawStatProjections!A208=0,"",FFARawStatProjections!A208)</f>
        <v>Evan Hull</v>
      </c>
      <c r="BU213" t="str">
        <f>IF(FFARawStatProjections!C208=0,"",FFARawStatProjections!C208)</f>
        <v>RB</v>
      </c>
      <c r="BV213" t="str">
        <f>IF(FFARawStatProjections!B208=0,"",FFARawStatProjections!B208)</f>
        <v>IND</v>
      </c>
      <c r="BX213">
        <v>207</v>
      </c>
      <c r="BY213" s="89" t="str">
        <f t="shared" si="17"/>
        <v/>
      </c>
      <c r="BZ213" s="89" t="str">
        <f t="shared" si="18"/>
        <v/>
      </c>
      <c r="CA213" s="89" t="str">
        <f t="shared" si="19"/>
        <v/>
      </c>
    </row>
    <row r="214" spans="72:79" hidden="1" x14ac:dyDescent="0.25">
      <c r="BT214" t="str">
        <f>IF(FFARawStatProjections!A209=0,"",FFARawStatProjections!A209)</f>
        <v>Sean Tucker</v>
      </c>
      <c r="BU214" t="str">
        <f>IF(FFARawStatProjections!C209=0,"",FFARawStatProjections!C209)</f>
        <v>RB</v>
      </c>
      <c r="BV214" t="str">
        <f>IF(FFARawStatProjections!B209=0,"",FFARawStatProjections!B209)</f>
        <v>TB</v>
      </c>
      <c r="BX214">
        <v>208</v>
      </c>
      <c r="BY214" s="89" t="str">
        <f t="shared" si="17"/>
        <v/>
      </c>
      <c r="BZ214" s="89" t="str">
        <f t="shared" si="18"/>
        <v/>
      </c>
      <c r="CA214" s="89" t="str">
        <f t="shared" si="19"/>
        <v/>
      </c>
    </row>
    <row r="215" spans="72:79" hidden="1" x14ac:dyDescent="0.25">
      <c r="BT215" t="str">
        <f>IF(FFARawStatProjections!A210=0,"",FFARawStatProjections!A210)</f>
        <v>Kene Nwangwu</v>
      </c>
      <c r="BU215" t="str">
        <f>IF(FFARawStatProjections!C210=0,"",FFARawStatProjections!C210)</f>
        <v>RB</v>
      </c>
      <c r="BV215" t="str">
        <f>IF(FFARawStatProjections!B210=0,"",FFARawStatProjections!B210)</f>
        <v>MIN</v>
      </c>
      <c r="BX215">
        <v>209</v>
      </c>
      <c r="BY215" s="89" t="str">
        <f t="shared" si="17"/>
        <v/>
      </c>
      <c r="BZ215" s="89" t="str">
        <f t="shared" si="18"/>
        <v/>
      </c>
      <c r="CA215" s="89" t="str">
        <f t="shared" si="19"/>
        <v/>
      </c>
    </row>
    <row r="216" spans="72:79" hidden="1" x14ac:dyDescent="0.25">
      <c r="BT216" t="str">
        <f>IF(FFARawStatProjections!A211=0,"",FFARawStatProjections!A211)</f>
        <v>Malik Davis</v>
      </c>
      <c r="BU216" t="str">
        <f>IF(FFARawStatProjections!C211=0,"",FFARawStatProjections!C211)</f>
        <v>RB</v>
      </c>
      <c r="BV216" t="str">
        <f>IF(FFARawStatProjections!B211=0,"",FFARawStatProjections!B211)</f>
        <v>DAL</v>
      </c>
      <c r="BX216">
        <v>210</v>
      </c>
      <c r="BY216" s="89" t="str">
        <f t="shared" si="17"/>
        <v/>
      </c>
      <c r="BZ216" s="89" t="str">
        <f t="shared" si="18"/>
        <v/>
      </c>
      <c r="CA216" s="89" t="str">
        <f t="shared" si="19"/>
        <v/>
      </c>
    </row>
    <row r="217" spans="72:79" hidden="1" x14ac:dyDescent="0.25">
      <c r="BT217" t="str">
        <f>IF(FFARawStatProjections!A212=0,"",FFARawStatProjections!A212)</f>
        <v>DeWayne McBride</v>
      </c>
      <c r="BU217" t="str">
        <f>IF(FFARawStatProjections!C212=0,"",FFARawStatProjections!C212)</f>
        <v>RB</v>
      </c>
      <c r="BV217" t="str">
        <f>IF(FFARawStatProjections!B212=0,"",FFARawStatProjections!B212)</f>
        <v>MIN</v>
      </c>
      <c r="BX217">
        <v>211</v>
      </c>
      <c r="BY217" s="89" t="str">
        <f t="shared" si="17"/>
        <v/>
      </c>
      <c r="BZ217" s="89" t="str">
        <f t="shared" si="18"/>
        <v/>
      </c>
      <c r="CA217" s="89" t="str">
        <f t="shared" si="19"/>
        <v/>
      </c>
    </row>
    <row r="218" spans="72:79" hidden="1" x14ac:dyDescent="0.25">
      <c r="BT218" t="str">
        <f>IF(FFARawStatProjections!A213=0,"",FFARawStatProjections!A213)</f>
        <v>DeeJay Dallas</v>
      </c>
      <c r="BU218" t="str">
        <f>IF(FFARawStatProjections!C213=0,"",FFARawStatProjections!C213)</f>
        <v>RB</v>
      </c>
      <c r="BV218" t="str">
        <f>IF(FFARawStatProjections!B213=0,"",FFARawStatProjections!B213)</f>
        <v>SEA</v>
      </c>
      <c r="BX218">
        <v>212</v>
      </c>
      <c r="BY218" s="89" t="str">
        <f t="shared" si="17"/>
        <v/>
      </c>
      <c r="BZ218" s="89" t="str">
        <f t="shared" si="18"/>
        <v/>
      </c>
      <c r="CA218" s="89" t="str">
        <f t="shared" si="19"/>
        <v/>
      </c>
    </row>
    <row r="219" spans="72:79" hidden="1" x14ac:dyDescent="0.25">
      <c r="BT219" t="str">
        <f>IF(FFARawStatProjections!A214=0,"",FFARawStatProjections!A214)</f>
        <v>Chris Evans</v>
      </c>
      <c r="BU219" t="str">
        <f>IF(FFARawStatProjections!C214=0,"",FFARawStatProjections!C214)</f>
        <v>RB</v>
      </c>
      <c r="BV219" t="str">
        <f>IF(FFARawStatProjections!B214=0,"",FFARawStatProjections!B214)</f>
        <v>CIN</v>
      </c>
      <c r="BX219">
        <v>213</v>
      </c>
      <c r="BY219" s="89" t="str">
        <f t="shared" si="17"/>
        <v/>
      </c>
      <c r="BZ219" s="89" t="str">
        <f t="shared" si="18"/>
        <v/>
      </c>
      <c r="CA219" s="89" t="str">
        <f t="shared" si="19"/>
        <v/>
      </c>
    </row>
    <row r="220" spans="72:79" hidden="1" x14ac:dyDescent="0.25">
      <c r="BT220" t="str">
        <f>IF(FFARawStatProjections!A215=0,"",FFARawStatProjections!A215)</f>
        <v>Deon Jackson</v>
      </c>
      <c r="BU220" t="str">
        <f>IF(FFARawStatProjections!C215=0,"",FFARawStatProjections!C215)</f>
        <v>RB</v>
      </c>
      <c r="BV220" t="str">
        <f>IF(FFARawStatProjections!B215=0,"",FFARawStatProjections!B215)</f>
        <v>IND</v>
      </c>
      <c r="BX220">
        <v>214</v>
      </c>
      <c r="BY220" s="89" t="str">
        <f t="shared" si="17"/>
        <v/>
      </c>
      <c r="BZ220" s="89" t="str">
        <f t="shared" si="18"/>
        <v/>
      </c>
      <c r="CA220" s="89" t="str">
        <f t="shared" si="19"/>
        <v/>
      </c>
    </row>
    <row r="221" spans="72:79" hidden="1" x14ac:dyDescent="0.25">
      <c r="BT221" t="str">
        <f>IF(FFARawStatProjections!A216=0,"",FFARawStatProjections!A216)</f>
        <v>Craig Reynolds</v>
      </c>
      <c r="BU221" t="str">
        <f>IF(FFARawStatProjections!C216=0,"",FFARawStatProjections!C216)</f>
        <v>RB</v>
      </c>
      <c r="BV221" t="str">
        <f>IF(FFARawStatProjections!B216=0,"",FFARawStatProjections!B216)</f>
        <v>DET</v>
      </c>
      <c r="BX221">
        <v>215</v>
      </c>
      <c r="BY221" s="89" t="str">
        <f t="shared" si="17"/>
        <v/>
      </c>
      <c r="BZ221" s="89" t="str">
        <f t="shared" si="18"/>
        <v/>
      </c>
      <c r="CA221" s="89" t="str">
        <f t="shared" si="19"/>
        <v/>
      </c>
    </row>
    <row r="222" spans="72:79" hidden="1" x14ac:dyDescent="0.25">
      <c r="BT222" t="str">
        <f>IF(FFARawStatProjections!A217=0,"",FFARawStatProjections!A217)</f>
        <v>Boston Scott</v>
      </c>
      <c r="BU222" t="str">
        <f>IF(FFARawStatProjections!C217=0,"",FFARawStatProjections!C217)</f>
        <v>RB</v>
      </c>
      <c r="BV222" t="str">
        <f>IF(FFARawStatProjections!B217=0,"",FFARawStatProjections!B217)</f>
        <v>PHI</v>
      </c>
      <c r="BX222">
        <v>216</v>
      </c>
      <c r="BY222" s="89" t="str">
        <f t="shared" si="17"/>
        <v/>
      </c>
      <c r="BZ222" s="89" t="str">
        <f t="shared" si="18"/>
        <v/>
      </c>
      <c r="CA222" s="89" t="str">
        <f t="shared" si="19"/>
        <v/>
      </c>
    </row>
    <row r="223" spans="72:79" hidden="1" x14ac:dyDescent="0.25">
      <c r="BT223" t="str">
        <f>IF(FFARawStatProjections!A218=0,"",FFARawStatProjections!A218)</f>
        <v>Sincere McCormick</v>
      </c>
      <c r="BU223" t="str">
        <f>IF(FFARawStatProjections!C218=0,"",FFARawStatProjections!C218)</f>
        <v>RB</v>
      </c>
      <c r="BV223" t="str">
        <f>IF(FFARawStatProjections!B218=0,"",FFARawStatProjections!B218)</f>
        <v>LV</v>
      </c>
      <c r="BX223">
        <v>217</v>
      </c>
      <c r="BY223" s="89" t="str">
        <f t="shared" si="17"/>
        <v/>
      </c>
      <c r="BZ223" s="89" t="str">
        <f t="shared" si="18"/>
        <v/>
      </c>
      <c r="CA223" s="89" t="str">
        <f t="shared" si="19"/>
        <v/>
      </c>
    </row>
    <row r="224" spans="72:79" hidden="1" x14ac:dyDescent="0.25">
      <c r="BT224" t="str">
        <f>IF(FFARawStatProjections!A219=0,"",FFARawStatProjections!A219)</f>
        <v>Anthony McFarland</v>
      </c>
      <c r="BU224" t="str">
        <f>IF(FFARawStatProjections!C219=0,"",FFARawStatProjections!C219)</f>
        <v>RB</v>
      </c>
      <c r="BV224" t="str">
        <f>IF(FFARawStatProjections!B219=0,"",FFARawStatProjections!B219)</f>
        <v>PIT</v>
      </c>
      <c r="BX224">
        <v>218</v>
      </c>
      <c r="BY224" s="89" t="str">
        <f t="shared" si="17"/>
        <v/>
      </c>
      <c r="BZ224" s="89" t="str">
        <f t="shared" si="18"/>
        <v/>
      </c>
      <c r="CA224" s="89" t="str">
        <f t="shared" si="19"/>
        <v/>
      </c>
    </row>
    <row r="225" spans="72:79" hidden="1" x14ac:dyDescent="0.25">
      <c r="BT225" t="str">
        <f>IF(FFARawStatProjections!A220=0,"",FFARawStatProjections!A220)</f>
        <v>Zonovan Knight</v>
      </c>
      <c r="BU225" t="str">
        <f>IF(FFARawStatProjections!C220=0,"",FFARawStatProjections!C220)</f>
        <v>RB</v>
      </c>
      <c r="BV225" t="str">
        <f>IF(FFARawStatProjections!B220=0,"",FFARawStatProjections!B220)</f>
        <v>NYJ</v>
      </c>
      <c r="BX225">
        <v>219</v>
      </c>
      <c r="BY225" s="89" t="str">
        <f t="shared" si="17"/>
        <v/>
      </c>
      <c r="BZ225" s="89" t="str">
        <f t="shared" si="18"/>
        <v/>
      </c>
      <c r="CA225" s="89" t="str">
        <f t="shared" si="19"/>
        <v/>
      </c>
    </row>
    <row r="226" spans="72:79" hidden="1" x14ac:dyDescent="0.25">
      <c r="BT226" t="str">
        <f>IF(FFARawStatProjections!A221=0,"",FFARawStatProjections!A221)</f>
        <v>Kenny McIntosh</v>
      </c>
      <c r="BU226" t="str">
        <f>IF(FFARawStatProjections!C221=0,"",FFARawStatProjections!C221)</f>
        <v>RB</v>
      </c>
      <c r="BV226" t="str">
        <f>IF(FFARawStatProjections!B221=0,"",FFARawStatProjections!B221)</f>
        <v>SEA</v>
      </c>
      <c r="BX226">
        <v>220</v>
      </c>
      <c r="BY226" s="89" t="str">
        <f t="shared" si="17"/>
        <v/>
      </c>
      <c r="BZ226" s="89" t="str">
        <f t="shared" si="18"/>
        <v/>
      </c>
      <c r="CA226" s="89" t="str">
        <f t="shared" si="19"/>
        <v/>
      </c>
    </row>
    <row r="227" spans="72:79" hidden="1" x14ac:dyDescent="0.25">
      <c r="BT227" t="str">
        <f>IF(FFARawStatProjections!A222=0,"",FFARawStatProjections!A222)</f>
        <v>Ty Montgomery</v>
      </c>
      <c r="BU227" t="str">
        <f>IF(FFARawStatProjections!C222=0,"",FFARawStatProjections!C222)</f>
        <v>RB</v>
      </c>
      <c r="BV227" t="str">
        <f>IF(FFARawStatProjections!B222=0,"",FFARawStatProjections!B222)</f>
        <v>NE</v>
      </c>
      <c r="BX227">
        <v>221</v>
      </c>
      <c r="BY227" s="89" t="str">
        <f t="shared" si="17"/>
        <v/>
      </c>
      <c r="BZ227" s="89" t="str">
        <f t="shared" si="18"/>
        <v/>
      </c>
      <c r="CA227" s="89" t="str">
        <f t="shared" si="19"/>
        <v/>
      </c>
    </row>
    <row r="228" spans="72:79" hidden="1" x14ac:dyDescent="0.25">
      <c r="BT228" t="str">
        <f>IF(FFARawStatProjections!A223=0,"",FFARawStatProjections!A223)</f>
        <v>DErnest Johnson</v>
      </c>
      <c r="BU228" t="str">
        <f>IF(FFARawStatProjections!C223=0,"",FFARawStatProjections!C223)</f>
        <v>RB</v>
      </c>
      <c r="BV228" t="str">
        <f>IF(FFARawStatProjections!B223=0,"",FFARawStatProjections!B223)</f>
        <v>JAC</v>
      </c>
      <c r="BX228">
        <v>222</v>
      </c>
      <c r="BY228" s="89" t="str">
        <f t="shared" si="17"/>
        <v/>
      </c>
      <c r="BZ228" s="89" t="str">
        <f t="shared" si="18"/>
        <v/>
      </c>
      <c r="CA228" s="89" t="str">
        <f t="shared" si="19"/>
        <v/>
      </c>
    </row>
    <row r="229" spans="72:79" hidden="1" x14ac:dyDescent="0.25">
      <c r="BT229" t="str">
        <f>IF(FFARawStatProjections!A224=0,"",FFARawStatProjections!A224)</f>
        <v>Travis Homer</v>
      </c>
      <c r="BU229" t="str">
        <f>IF(FFARawStatProjections!C224=0,"",FFARawStatProjections!C224)</f>
        <v>RB</v>
      </c>
      <c r="BV229" t="str">
        <f>IF(FFARawStatProjections!B224=0,"",FFARawStatProjections!B224)</f>
        <v>CHI</v>
      </c>
      <c r="BX229">
        <v>223</v>
      </c>
      <c r="BY229" s="89" t="str">
        <f t="shared" si="17"/>
        <v/>
      </c>
      <c r="BZ229" s="89" t="str">
        <f t="shared" si="18"/>
        <v/>
      </c>
      <c r="CA229" s="89" t="str">
        <f t="shared" si="19"/>
        <v/>
      </c>
    </row>
    <row r="230" spans="72:79" hidden="1" x14ac:dyDescent="0.25">
      <c r="BT230" t="str">
        <f>IF(FFARawStatProjections!A225=0,"",FFARawStatProjections!A225)</f>
        <v>Deneric Prince</v>
      </c>
      <c r="BU230" t="str">
        <f>IF(FFARawStatProjections!C225=0,"",FFARawStatProjections!C225)</f>
        <v>RB</v>
      </c>
      <c r="BV230" t="str">
        <f>IF(FFARawStatProjections!B225=0,"",FFARawStatProjections!B225)</f>
        <v>KC</v>
      </c>
      <c r="BX230">
        <v>224</v>
      </c>
      <c r="BY230" s="89" t="str">
        <f t="shared" si="17"/>
        <v/>
      </c>
      <c r="BZ230" s="89" t="str">
        <f t="shared" si="18"/>
        <v/>
      </c>
      <c r="CA230" s="89" t="str">
        <f t="shared" si="19"/>
        <v/>
      </c>
    </row>
    <row r="231" spans="72:79" hidden="1" x14ac:dyDescent="0.25">
      <c r="BT231" t="str">
        <f>IF(FFARawStatProjections!A226=0,"",FFARawStatProjections!A226)</f>
        <v>Patrick Taylor</v>
      </c>
      <c r="BU231" t="str">
        <f>IF(FFARawStatProjections!C226=0,"",FFARawStatProjections!C226)</f>
        <v>RB</v>
      </c>
      <c r="BV231" t="str">
        <f>IF(FFARawStatProjections!B226=0,"",FFARawStatProjections!B226)</f>
        <v>GB</v>
      </c>
      <c r="BX231">
        <v>225</v>
      </c>
      <c r="BY231" s="89" t="str">
        <f t="shared" si="17"/>
        <v/>
      </c>
      <c r="BZ231" s="89" t="str">
        <f t="shared" si="18"/>
        <v/>
      </c>
      <c r="CA231" s="89" t="str">
        <f t="shared" si="19"/>
        <v/>
      </c>
    </row>
    <row r="232" spans="72:79" hidden="1" x14ac:dyDescent="0.25">
      <c r="BT232" t="str">
        <f>IF(FFARawStatProjections!A227=0,"",FFARawStatProjections!A227)</f>
        <v>Kyle Juszczyk</v>
      </c>
      <c r="BU232" t="str">
        <f>IF(FFARawStatProjections!C227=0,"",FFARawStatProjections!C227)</f>
        <v>RB</v>
      </c>
      <c r="BV232" t="str">
        <f>IF(FFARawStatProjections!B227=0,"",FFARawStatProjections!B227)</f>
        <v>SF</v>
      </c>
      <c r="BX232">
        <v>226</v>
      </c>
      <c r="BY232" s="89" t="str">
        <f t="shared" si="17"/>
        <v/>
      </c>
      <c r="BZ232" s="89" t="str">
        <f t="shared" si="18"/>
        <v/>
      </c>
      <c r="CA232" s="89" t="str">
        <f t="shared" si="19"/>
        <v/>
      </c>
    </row>
    <row r="233" spans="72:79" hidden="1" x14ac:dyDescent="0.25">
      <c r="BT233" t="str">
        <f>IF(FFARawStatProjections!A228=0,"",FFARawStatProjections!A228)</f>
        <v>Kevin Harris</v>
      </c>
      <c r="BU233" t="str">
        <f>IF(FFARawStatProjections!C228=0,"",FFARawStatProjections!C228)</f>
        <v>RB</v>
      </c>
      <c r="BV233" t="str">
        <f>IF(FFARawStatProjections!B228=0,"",FFARawStatProjections!B228)</f>
        <v>NE</v>
      </c>
      <c r="BX233">
        <v>227</v>
      </c>
      <c r="BY233" s="89" t="str">
        <f t="shared" si="17"/>
        <v/>
      </c>
      <c r="BZ233" s="89" t="str">
        <f t="shared" si="18"/>
        <v/>
      </c>
      <c r="CA233" s="89" t="str">
        <f t="shared" si="19"/>
        <v/>
      </c>
    </row>
    <row r="234" spans="72:79" hidden="1" x14ac:dyDescent="0.25">
      <c r="BT234" t="str">
        <f>IF(FFARawStatProjections!A229=0,"",FFARawStatProjections!A229)</f>
        <v>James Robinson</v>
      </c>
      <c r="BU234" t="str">
        <f>IF(FFARawStatProjections!C229=0,"",FFARawStatProjections!C229)</f>
        <v>RB</v>
      </c>
      <c r="BV234" t="str">
        <f>IF(FFARawStatProjections!B229=0,"",FFARawStatProjections!B229)</f>
        <v>NYG</v>
      </c>
      <c r="BX234">
        <v>228</v>
      </c>
      <c r="BY234" s="89" t="str">
        <f t="shared" si="17"/>
        <v/>
      </c>
      <c r="BZ234" s="89" t="str">
        <f t="shared" si="18"/>
        <v/>
      </c>
      <c r="CA234" s="89" t="str">
        <f t="shared" si="19"/>
        <v/>
      </c>
    </row>
    <row r="235" spans="72:79" hidden="1" x14ac:dyDescent="0.25">
      <c r="BT235" t="str">
        <f>IF(FFARawStatProjections!A230=0,"",FFARawStatProjections!A230)</f>
        <v>Gary Brightwell</v>
      </c>
      <c r="BU235" t="str">
        <f>IF(FFARawStatProjections!C230=0,"",FFARawStatProjections!C230)</f>
        <v>RB</v>
      </c>
      <c r="BV235" t="str">
        <f>IF(FFARawStatProjections!B230=0,"",FFARawStatProjections!B230)</f>
        <v>NYG</v>
      </c>
      <c r="BX235">
        <v>229</v>
      </c>
      <c r="BY235" s="89" t="str">
        <f t="shared" si="17"/>
        <v/>
      </c>
      <c r="BZ235" s="89" t="str">
        <f t="shared" si="18"/>
        <v/>
      </c>
      <c r="CA235" s="89" t="str">
        <f t="shared" si="19"/>
        <v/>
      </c>
    </row>
    <row r="236" spans="72:79" hidden="1" x14ac:dyDescent="0.25">
      <c r="BT236" t="str">
        <f>IF(FFARawStatProjections!A231=0,"",FFARawStatProjections!A231)</f>
        <v>Darrel Williams</v>
      </c>
      <c r="BU236" t="str">
        <f>IF(FFARawStatProjections!C231=0,"",FFARawStatProjections!C231)</f>
        <v>RB</v>
      </c>
      <c r="BV236" t="str">
        <f>IF(FFARawStatProjections!B231=0,"",FFARawStatProjections!B231)</f>
        <v>NO</v>
      </c>
      <c r="BX236">
        <v>230</v>
      </c>
      <c r="BY236" s="89" t="str">
        <f t="shared" si="17"/>
        <v/>
      </c>
      <c r="BZ236" s="89" t="str">
        <f t="shared" si="18"/>
        <v/>
      </c>
      <c r="CA236" s="89" t="str">
        <f t="shared" si="19"/>
        <v/>
      </c>
    </row>
    <row r="237" spans="72:79" hidden="1" x14ac:dyDescent="0.25">
      <c r="BT237" t="str">
        <f>IF(FFARawStatProjections!A232=0,"",FFARawStatProjections!A232)</f>
        <v>Tyler Badie</v>
      </c>
      <c r="BU237" t="str">
        <f>IF(FFARawStatProjections!C232=0,"",FFARawStatProjections!C232)</f>
        <v>RB</v>
      </c>
      <c r="BV237" t="str">
        <f>IF(FFARawStatProjections!B232=0,"",FFARawStatProjections!B232)</f>
        <v>DEN</v>
      </c>
      <c r="BX237">
        <v>231</v>
      </c>
      <c r="BY237" s="89" t="str">
        <f t="shared" si="17"/>
        <v/>
      </c>
      <c r="BZ237" s="89" t="str">
        <f t="shared" si="18"/>
        <v/>
      </c>
      <c r="CA237" s="89" t="str">
        <f t="shared" si="19"/>
        <v/>
      </c>
    </row>
    <row r="238" spans="72:79" hidden="1" x14ac:dyDescent="0.25">
      <c r="BT238" t="str">
        <f>IF(FFARawStatProjections!A233=0,"",FFARawStatProjections!A233)</f>
        <v>Dare Ogunbowale</v>
      </c>
      <c r="BU238" t="str">
        <f>IF(FFARawStatProjections!C233=0,"",FFARawStatProjections!C233)</f>
        <v>RB</v>
      </c>
      <c r="BV238" t="str">
        <f>IF(FFARawStatProjections!B233=0,"",FFARawStatProjections!B233)</f>
        <v>HOU</v>
      </c>
      <c r="BX238">
        <v>232</v>
      </c>
      <c r="BY238" s="89" t="str">
        <f t="shared" si="17"/>
        <v/>
      </c>
      <c r="BZ238" s="89" t="str">
        <f t="shared" si="18"/>
        <v/>
      </c>
      <c r="CA238" s="89" t="str">
        <f t="shared" si="19"/>
        <v/>
      </c>
    </row>
    <row r="239" spans="72:79" hidden="1" x14ac:dyDescent="0.25">
      <c r="BT239" t="str">
        <f>IF(FFARawStatProjections!A234=0,"",FFARawStatProjections!A234)</f>
        <v>Demetric Felton</v>
      </c>
      <c r="BU239" t="str">
        <f>IF(FFARawStatProjections!C234=0,"",FFARawStatProjections!C234)</f>
        <v>RB</v>
      </c>
      <c r="BV239" t="str">
        <f>IF(FFARawStatProjections!B234=0,"",FFARawStatProjections!B234)</f>
        <v>CLE</v>
      </c>
      <c r="BX239">
        <v>233</v>
      </c>
      <c r="BY239" s="89" t="str">
        <f t="shared" si="17"/>
        <v/>
      </c>
      <c r="BZ239" s="89" t="str">
        <f t="shared" si="18"/>
        <v/>
      </c>
      <c r="CA239" s="89" t="str">
        <f t="shared" si="19"/>
        <v/>
      </c>
    </row>
    <row r="240" spans="72:79" hidden="1" x14ac:dyDescent="0.25">
      <c r="BT240" t="str">
        <f>IF(FFARawStatProjections!A235=0,"",FFARawStatProjections!A235)</f>
        <v>Tyrion Davis-Price</v>
      </c>
      <c r="BU240" t="str">
        <f>IF(FFARawStatProjections!C235=0,"",FFARawStatProjections!C235)</f>
        <v>RB</v>
      </c>
      <c r="BV240" t="str">
        <f>IF(FFARawStatProjections!B235=0,"",FFARawStatProjections!B235)</f>
        <v>SF</v>
      </c>
      <c r="BX240">
        <v>234</v>
      </c>
      <c r="BY240" s="89" t="str">
        <f t="shared" si="17"/>
        <v/>
      </c>
      <c r="BZ240" s="89" t="str">
        <f t="shared" si="18"/>
        <v/>
      </c>
      <c r="CA240" s="89" t="str">
        <f t="shared" si="19"/>
        <v/>
      </c>
    </row>
    <row r="241" spans="72:79" hidden="1" x14ac:dyDescent="0.25">
      <c r="BT241" t="str">
        <f>IF(FFARawStatProjections!A236=0,"",FFARawStatProjections!A236)</f>
        <v>John Kelly</v>
      </c>
      <c r="BU241" t="str">
        <f>IF(FFARawStatProjections!C236=0,"",FFARawStatProjections!C236)</f>
        <v>RB</v>
      </c>
      <c r="BV241" t="str">
        <f>IF(FFARawStatProjections!B236=0,"",FFARawStatProjections!B236)</f>
        <v>CLE</v>
      </c>
      <c r="BX241">
        <v>235</v>
      </c>
      <c r="BY241" s="89" t="str">
        <f t="shared" si="17"/>
        <v/>
      </c>
      <c r="BZ241" s="89" t="str">
        <f t="shared" si="18"/>
        <v/>
      </c>
      <c r="CA241" s="89" t="str">
        <f t="shared" si="19"/>
        <v/>
      </c>
    </row>
    <row r="242" spans="72:79" hidden="1" x14ac:dyDescent="0.25">
      <c r="BT242" t="str">
        <f>IF(FFARawStatProjections!A237=0,"",FFARawStatProjections!A237)</f>
        <v>Tony Jones</v>
      </c>
      <c r="BU242" t="str">
        <f>IF(FFARawStatProjections!C237=0,"",FFARawStatProjections!C237)</f>
        <v>RB</v>
      </c>
      <c r="BV242" t="str">
        <f>IF(FFARawStatProjections!B237=0,"",FFARawStatProjections!B237)</f>
        <v>DEN</v>
      </c>
      <c r="BX242">
        <v>236</v>
      </c>
      <c r="BY242" s="89" t="str">
        <f t="shared" si="17"/>
        <v/>
      </c>
      <c r="BZ242" s="89" t="str">
        <f t="shared" si="18"/>
        <v/>
      </c>
      <c r="CA242" s="89" t="str">
        <f t="shared" si="19"/>
        <v/>
      </c>
    </row>
    <row r="243" spans="72:79" hidden="1" x14ac:dyDescent="0.25">
      <c r="BT243" t="str">
        <f>IF(FFARawStatProjections!A238=0,"",FFARawStatProjections!A238)</f>
        <v>Damien Williams</v>
      </c>
      <c r="BU243" t="str">
        <f>IF(FFARawStatProjections!C238=0,"",FFARawStatProjections!C238)</f>
        <v>RB</v>
      </c>
      <c r="BV243" t="str">
        <f>IF(FFARawStatProjections!B238=0,"",FFARawStatProjections!B238)</f>
        <v>LV</v>
      </c>
      <c r="BX243">
        <v>237</v>
      </c>
      <c r="BY243" s="89" t="str">
        <f t="shared" si="17"/>
        <v/>
      </c>
      <c r="BZ243" s="89" t="str">
        <f t="shared" si="18"/>
        <v/>
      </c>
      <c r="CA243" s="89" t="str">
        <f t="shared" si="19"/>
        <v/>
      </c>
    </row>
    <row r="244" spans="72:79" hidden="1" x14ac:dyDescent="0.25">
      <c r="BT244" t="str">
        <f>IF(FFARawStatProjections!A239=0,"",FFARawStatProjections!A239)</f>
        <v>Salvon Ahmed</v>
      </c>
      <c r="BU244" t="str">
        <f>IF(FFARawStatProjections!C239=0,"",FFARawStatProjections!C239)</f>
        <v>RB</v>
      </c>
      <c r="BV244" t="str">
        <f>IF(FFARawStatProjections!B239=0,"",FFARawStatProjections!B239)</f>
        <v>MIA</v>
      </c>
      <c r="BX244">
        <v>238</v>
      </c>
      <c r="BY244" s="89" t="str">
        <f t="shared" si="17"/>
        <v/>
      </c>
      <c r="BZ244" s="89" t="str">
        <f t="shared" si="18"/>
        <v/>
      </c>
      <c r="CA244" s="89" t="str">
        <f t="shared" si="19"/>
        <v/>
      </c>
    </row>
    <row r="245" spans="72:79" hidden="1" x14ac:dyDescent="0.25">
      <c r="BT245" t="str">
        <f>IF(FFARawStatProjections!A240=0,"",FFARawStatProjections!A240)</f>
        <v>Myles Gaskin</v>
      </c>
      <c r="BU245" t="str">
        <f>IF(FFARawStatProjections!C240=0,"",FFARawStatProjections!C240)</f>
        <v>RB</v>
      </c>
      <c r="BV245" t="str">
        <f>IF(FFARawStatProjections!B240=0,"",FFARawStatProjections!B240)</f>
        <v>MIA</v>
      </c>
      <c r="BX245">
        <v>239</v>
      </c>
      <c r="BY245" s="89" t="str">
        <f t="shared" si="17"/>
        <v/>
      </c>
      <c r="BZ245" s="89" t="str">
        <f t="shared" si="18"/>
        <v/>
      </c>
      <c r="CA245" s="89" t="str">
        <f t="shared" si="19"/>
        <v/>
      </c>
    </row>
    <row r="246" spans="72:79" hidden="1" x14ac:dyDescent="0.25">
      <c r="BT246" t="str">
        <f>IF(FFARawStatProjections!A241=0,"",FFARawStatProjections!A241)</f>
        <v>Jonathan Williams</v>
      </c>
      <c r="BU246" t="str">
        <f>IF(FFARawStatProjections!C241=0,"",FFARawStatProjections!C241)</f>
        <v>RB</v>
      </c>
      <c r="BV246" t="str">
        <f>IF(FFARawStatProjections!B241=0,"",FFARawStatProjections!B241)</f>
        <v>WAS</v>
      </c>
      <c r="BX246">
        <v>240</v>
      </c>
      <c r="BY246" s="89" t="str">
        <f t="shared" si="17"/>
        <v/>
      </c>
      <c r="BZ246" s="89" t="str">
        <f t="shared" si="18"/>
        <v/>
      </c>
      <c r="CA246" s="89" t="str">
        <f t="shared" si="19"/>
        <v/>
      </c>
    </row>
    <row r="247" spans="72:79" hidden="1" x14ac:dyDescent="0.25">
      <c r="BT247" t="str">
        <f>IF(FFARawStatProjections!A242=0,"",FFARawStatProjections!A242)</f>
        <v>Lew Nichols</v>
      </c>
      <c r="BU247" t="str">
        <f>IF(FFARawStatProjections!C242=0,"",FFARawStatProjections!C242)</f>
        <v>RB</v>
      </c>
      <c r="BV247" t="str">
        <f>IF(FFARawStatProjections!B242=0,"",FFARawStatProjections!B242)</f>
        <v>GB</v>
      </c>
      <c r="BX247">
        <v>241</v>
      </c>
      <c r="BY247" s="89" t="str">
        <f t="shared" si="17"/>
        <v/>
      </c>
      <c r="BZ247" s="89" t="str">
        <f t="shared" si="18"/>
        <v/>
      </c>
      <c r="CA247" s="89" t="str">
        <f t="shared" si="19"/>
        <v/>
      </c>
    </row>
    <row r="248" spans="72:79" hidden="1" x14ac:dyDescent="0.25">
      <c r="BT248" t="str">
        <f>IF(FFARawStatProjections!A243=0,"",FFARawStatProjections!A243)</f>
        <v>Brandon Bolden</v>
      </c>
      <c r="BU248" t="str">
        <f>IF(FFARawStatProjections!C243=0,"",FFARawStatProjections!C243)</f>
        <v>RB</v>
      </c>
      <c r="BV248" t="str">
        <f>IF(FFARawStatProjections!B243=0,"",FFARawStatProjections!B243)</f>
        <v>LV</v>
      </c>
      <c r="BX248">
        <v>242</v>
      </c>
      <c r="BY248" s="89" t="str">
        <f t="shared" si="17"/>
        <v/>
      </c>
      <c r="BZ248" s="89" t="str">
        <f t="shared" si="18"/>
        <v/>
      </c>
      <c r="CA248" s="89" t="str">
        <f t="shared" si="19"/>
        <v/>
      </c>
    </row>
    <row r="249" spans="72:79" hidden="1" x14ac:dyDescent="0.25">
      <c r="BT249" t="str">
        <f>IF(FFARawStatProjections!A244=0,"",FFARawStatProjections!A244)</f>
        <v>Elijah Dotson</v>
      </c>
      <c r="BU249" t="str">
        <f>IF(FFARawStatProjections!C244=0,"",FFARawStatProjections!C244)</f>
        <v>RB</v>
      </c>
      <c r="BV249" t="str">
        <f>IF(FFARawStatProjections!B244=0,"",FFARawStatProjections!B244)</f>
        <v>LAC</v>
      </c>
      <c r="BX249">
        <v>243</v>
      </c>
      <c r="BY249" s="89" t="str">
        <f t="shared" si="17"/>
        <v/>
      </c>
      <c r="BZ249" s="89" t="str">
        <f t="shared" si="18"/>
        <v/>
      </c>
      <c r="CA249" s="89" t="str">
        <f t="shared" si="19"/>
        <v/>
      </c>
    </row>
    <row r="250" spans="72:79" hidden="1" x14ac:dyDescent="0.25">
      <c r="BT250" t="str">
        <f>IF(FFARawStatProjections!A245=0,"",FFARawStatProjections!A245)</f>
        <v>Justice Hill</v>
      </c>
      <c r="BU250" t="str">
        <f>IF(FFARawStatProjections!C245=0,"",FFARawStatProjections!C245)</f>
        <v>RB</v>
      </c>
      <c r="BV250" t="str">
        <f>IF(FFARawStatProjections!B245=0,"",FFARawStatProjections!B245)</f>
        <v>BAL</v>
      </c>
      <c r="BX250">
        <v>244</v>
      </c>
      <c r="BY250" s="89" t="str">
        <f t="shared" si="17"/>
        <v/>
      </c>
      <c r="BZ250" s="89" t="str">
        <f t="shared" si="18"/>
        <v/>
      </c>
      <c r="CA250" s="89" t="str">
        <f t="shared" si="19"/>
        <v/>
      </c>
    </row>
    <row r="251" spans="72:79" hidden="1" x14ac:dyDescent="0.25">
      <c r="BT251" t="str">
        <f>IF(FFARawStatProjections!A246=0,"",FFARawStatProjections!A246)</f>
        <v>Keaton Mitchell</v>
      </c>
      <c r="BU251" t="str">
        <f>IF(FFARawStatProjections!C246=0,"",FFARawStatProjections!C246)</f>
        <v>RB</v>
      </c>
      <c r="BV251" t="str">
        <f>IF(FFARawStatProjections!B246=0,"",FFARawStatProjections!B246)</f>
        <v>BAL</v>
      </c>
      <c r="BX251">
        <v>245</v>
      </c>
      <c r="BY251" s="89" t="str">
        <f t="shared" si="17"/>
        <v/>
      </c>
      <c r="BZ251" s="89" t="str">
        <f t="shared" si="18"/>
        <v/>
      </c>
      <c r="CA251" s="89" t="str">
        <f t="shared" si="19"/>
        <v/>
      </c>
    </row>
    <row r="252" spans="72:79" hidden="1" x14ac:dyDescent="0.25">
      <c r="BT252" t="str">
        <f>IF(FFARawStatProjections!A247=0,"",FFARawStatProjections!A247)</f>
        <v>Snoop Conner</v>
      </c>
      <c r="BU252" t="str">
        <f>IF(FFARawStatProjections!C247=0,"",FFARawStatProjections!C247)</f>
        <v>RB</v>
      </c>
      <c r="BV252" t="str">
        <f>IF(FFARawStatProjections!B247=0,"",FFARawStatProjections!B247)</f>
        <v>JAC</v>
      </c>
      <c r="BX252">
        <v>246</v>
      </c>
      <c r="BY252" s="89" t="str">
        <f t="shared" si="17"/>
        <v/>
      </c>
      <c r="BZ252" s="89" t="str">
        <f t="shared" si="18"/>
        <v/>
      </c>
      <c r="CA252" s="89" t="str">
        <f t="shared" si="19"/>
        <v/>
      </c>
    </row>
    <row r="253" spans="72:79" hidden="1" x14ac:dyDescent="0.25">
      <c r="BT253" t="str">
        <f>IF(FFARawStatProjections!A248=0,"",FFARawStatProjections!A248)</f>
        <v>Mohamed Ibrahim</v>
      </c>
      <c r="BU253" t="str">
        <f>IF(FFARawStatProjections!C248=0,"",FFARawStatProjections!C248)</f>
        <v>RB</v>
      </c>
      <c r="BV253" t="str">
        <f>IF(FFARawStatProjections!B248=0,"",FFARawStatProjections!B248)</f>
        <v>DET</v>
      </c>
      <c r="BX253">
        <v>247</v>
      </c>
      <c r="BY253" s="89" t="str">
        <f t="shared" si="17"/>
        <v/>
      </c>
      <c r="BZ253" s="89" t="str">
        <f t="shared" si="18"/>
        <v/>
      </c>
      <c r="CA253" s="89" t="str">
        <f t="shared" si="19"/>
        <v/>
      </c>
    </row>
    <row r="254" spans="72:79" hidden="1" x14ac:dyDescent="0.25">
      <c r="BT254" t="str">
        <f>IF(FFARawStatProjections!A249=0,"",FFARawStatProjections!A249)</f>
        <v>JJ Taylor</v>
      </c>
      <c r="BU254" t="str">
        <f>IF(FFARawStatProjections!C249=0,"",FFARawStatProjections!C249)</f>
        <v>RB</v>
      </c>
      <c r="BV254" t="str">
        <f>IF(FFARawStatProjections!B249=0,"",FFARawStatProjections!B249)</f>
        <v>NE</v>
      </c>
      <c r="BX254">
        <v>248</v>
      </c>
      <c r="BY254" s="89" t="str">
        <f t="shared" si="17"/>
        <v/>
      </c>
      <c r="BZ254" s="89" t="str">
        <f t="shared" si="18"/>
        <v/>
      </c>
      <c r="CA254" s="89" t="str">
        <f t="shared" si="19"/>
        <v/>
      </c>
    </row>
    <row r="255" spans="72:79" hidden="1" x14ac:dyDescent="0.25">
      <c r="BT255" t="str">
        <f>IF(FFARawStatProjections!A250=0,"",FFARawStatProjections!A250)</f>
        <v>Kirk Merritt</v>
      </c>
      <c r="BU255" t="str">
        <f>IF(FFARawStatProjections!C250=0,"",FFARawStatProjections!C250)</f>
        <v>RB</v>
      </c>
      <c r="BV255" t="str">
        <f>IF(FFARawStatProjections!B250=0,"",FFARawStatProjections!B250)</f>
        <v>NO</v>
      </c>
      <c r="BX255">
        <v>249</v>
      </c>
      <c r="BY255" s="89" t="str">
        <f t="shared" si="17"/>
        <v/>
      </c>
      <c r="BZ255" s="89" t="str">
        <f t="shared" si="18"/>
        <v/>
      </c>
      <c r="CA255" s="89" t="str">
        <f t="shared" si="19"/>
        <v/>
      </c>
    </row>
    <row r="256" spans="72:79" hidden="1" x14ac:dyDescent="0.25">
      <c r="BT256" t="str">
        <f>IF(FFARawStatProjections!A251=0,"",FFARawStatProjections!A251)</f>
        <v>Reggie Gilliam</v>
      </c>
      <c r="BU256" t="str">
        <f>IF(FFARawStatProjections!C251=0,"",FFARawStatProjections!C251)</f>
        <v>RB</v>
      </c>
      <c r="BV256" t="str">
        <f>IF(FFARawStatProjections!B251=0,"",FFARawStatProjections!B251)</f>
        <v>BUF</v>
      </c>
      <c r="BX256">
        <v>250</v>
      </c>
      <c r="BY256" s="89" t="str">
        <f t="shared" si="17"/>
        <v/>
      </c>
      <c r="BZ256" s="89" t="str">
        <f t="shared" si="18"/>
        <v/>
      </c>
      <c r="CA256" s="89" t="str">
        <f t="shared" si="19"/>
        <v/>
      </c>
    </row>
    <row r="257" spans="72:79" hidden="1" x14ac:dyDescent="0.25">
      <c r="BT257" t="str">
        <f>IF(FFARawStatProjections!A252=0,"",FFARawStatProjections!A252)</f>
        <v>Trey Sermon</v>
      </c>
      <c r="BU257" t="str">
        <f>IF(FFARawStatProjections!C252=0,"",FFARawStatProjections!C252)</f>
        <v>RB</v>
      </c>
      <c r="BV257" t="str">
        <f>IF(FFARawStatProjections!B252=0,"",FFARawStatProjections!B252)</f>
        <v>PHI</v>
      </c>
      <c r="BX257">
        <v>251</v>
      </c>
      <c r="BY257" s="89" t="str">
        <f t="shared" si="17"/>
        <v/>
      </c>
      <c r="BZ257" s="89" t="str">
        <f t="shared" si="18"/>
        <v/>
      </c>
      <c r="CA257" s="89" t="str">
        <f t="shared" si="19"/>
        <v/>
      </c>
    </row>
    <row r="258" spans="72:79" hidden="1" x14ac:dyDescent="0.25">
      <c r="BT258" t="str">
        <f>IF(FFARawStatProjections!A253=0,"",FFARawStatProjections!A253)</f>
        <v>Mike Boone</v>
      </c>
      <c r="BU258" t="str">
        <f>IF(FFARawStatProjections!C253=0,"",FFARawStatProjections!C253)</f>
        <v>RB</v>
      </c>
      <c r="BV258" t="str">
        <f>IF(FFARawStatProjections!B253=0,"",FFARawStatProjections!B253)</f>
        <v>HOU</v>
      </c>
      <c r="BX258">
        <v>252</v>
      </c>
      <c r="BY258" s="89" t="str">
        <f t="shared" si="17"/>
        <v/>
      </c>
      <c r="BZ258" s="89" t="str">
        <f t="shared" si="18"/>
        <v/>
      </c>
      <c r="CA258" s="89" t="str">
        <f t="shared" si="19"/>
        <v/>
      </c>
    </row>
    <row r="259" spans="72:79" hidden="1" x14ac:dyDescent="0.25">
      <c r="BT259" t="str">
        <f>IF(FFARawStatProjections!A254=0,"",FFARawStatProjections!A254)</f>
        <v>TySon Williams</v>
      </c>
      <c r="BU259" t="str">
        <f>IF(FFARawStatProjections!C254=0,"",FFARawStatProjections!C254)</f>
        <v>RB</v>
      </c>
      <c r="BV259" t="str">
        <f>IF(FFARawStatProjections!B254=0,"",FFARawStatProjections!B254)</f>
        <v>AZ</v>
      </c>
      <c r="BX259">
        <v>253</v>
      </c>
      <c r="BY259" s="89" t="str">
        <f t="shared" si="17"/>
        <v/>
      </c>
      <c r="BZ259" s="89" t="str">
        <f t="shared" si="18"/>
        <v/>
      </c>
      <c r="CA259" s="89" t="str">
        <f t="shared" si="19"/>
        <v/>
      </c>
    </row>
    <row r="260" spans="72:79" hidden="1" x14ac:dyDescent="0.25">
      <c r="BT260" t="str">
        <f>IF(FFARawStatProjections!A255=0,"",FFARawStatProjections!A255)</f>
        <v>Royce Freeman</v>
      </c>
      <c r="BU260" t="str">
        <f>IF(FFARawStatProjections!C255=0,"",FFARawStatProjections!C255)</f>
        <v>RB</v>
      </c>
      <c r="BV260" t="str">
        <f>IF(FFARawStatProjections!B255=0,"",FFARawStatProjections!B255)</f>
        <v>LAR</v>
      </c>
      <c r="BX260">
        <v>254</v>
      </c>
      <c r="BY260" s="89" t="str">
        <f t="shared" si="17"/>
        <v/>
      </c>
      <c r="BZ260" s="89" t="str">
        <f t="shared" si="18"/>
        <v/>
      </c>
      <c r="CA260" s="89" t="str">
        <f t="shared" si="19"/>
        <v/>
      </c>
    </row>
    <row r="261" spans="72:79" hidden="1" x14ac:dyDescent="0.25">
      <c r="BT261" t="str">
        <f>IF(FFARawStatProjections!A256=0,"",FFARawStatProjections!A256)</f>
        <v>Brittain Brown</v>
      </c>
      <c r="BU261" t="str">
        <f>IF(FFARawStatProjections!C256=0,"",FFARawStatProjections!C256)</f>
        <v>RB</v>
      </c>
      <c r="BV261" t="str">
        <f>IF(FFARawStatProjections!B256=0,"",FFARawStatProjections!B256)</f>
        <v>LV</v>
      </c>
      <c r="BX261">
        <v>255</v>
      </c>
      <c r="BY261" s="89" t="str">
        <f t="shared" si="17"/>
        <v/>
      </c>
      <c r="BZ261" s="89" t="str">
        <f t="shared" si="18"/>
        <v/>
      </c>
      <c r="CA261" s="89" t="str">
        <f t="shared" si="19"/>
        <v/>
      </c>
    </row>
    <row r="262" spans="72:79" hidden="1" x14ac:dyDescent="0.25">
      <c r="BT262" t="str">
        <f>IF(FFARawStatProjections!A257=0,"",FFARawStatProjections!A257)</f>
        <v>Alec Ingold</v>
      </c>
      <c r="BU262" t="str">
        <f>IF(FFARawStatProjections!C257=0,"",FFARawStatProjections!C257)</f>
        <v>RB</v>
      </c>
      <c r="BV262" t="str">
        <f>IF(FFARawStatProjections!B257=0,"",FFARawStatProjections!B257)</f>
        <v>MIA</v>
      </c>
      <c r="BX262">
        <v>256</v>
      </c>
      <c r="BY262" s="89" t="str">
        <f t="shared" si="17"/>
        <v/>
      </c>
      <c r="BZ262" s="89" t="str">
        <f t="shared" si="18"/>
        <v/>
      </c>
      <c r="CA262" s="89" t="str">
        <f t="shared" si="19"/>
        <v/>
      </c>
    </row>
    <row r="263" spans="72:79" hidden="1" x14ac:dyDescent="0.25">
      <c r="BT263" t="str">
        <f>IF(FFARawStatProjections!A258=0,"",FFARawStatProjections!A258)</f>
        <v>Darrynton Evans</v>
      </c>
      <c r="BU263" t="str">
        <f>IF(FFARawStatProjections!C258=0,"",FFARawStatProjections!C258)</f>
        <v>RB</v>
      </c>
      <c r="BV263" t="str">
        <f>IF(FFARawStatProjections!B258=0,"",FFARawStatProjections!B258)</f>
        <v>BUF</v>
      </c>
      <c r="BX263">
        <v>257</v>
      </c>
      <c r="BY263" s="89" t="str">
        <f t="shared" si="17"/>
        <v/>
      </c>
      <c r="BZ263" s="89" t="str">
        <f t="shared" si="18"/>
        <v/>
      </c>
      <c r="CA263" s="89" t="str">
        <f t="shared" si="19"/>
        <v/>
      </c>
    </row>
    <row r="264" spans="72:79" hidden="1" x14ac:dyDescent="0.25">
      <c r="BT264" t="str">
        <f>IF(FFARawStatProjections!A259=0,"",FFARawStatProjections!A259)</f>
        <v>Zander Horvath</v>
      </c>
      <c r="BU264" t="str">
        <f>IF(FFARawStatProjections!C259=0,"",FFARawStatProjections!C259)</f>
        <v>RB</v>
      </c>
      <c r="BV264" t="str">
        <f>IF(FFARawStatProjections!B259=0,"",FFARawStatProjections!B259)</f>
        <v>LAC</v>
      </c>
      <c r="BX264">
        <v>258</v>
      </c>
      <c r="BY264" s="89" t="str">
        <f t="shared" ref="BY264:BY327" si="20">IFERROR(INDEX(BT:BT,MATCH(BX264,BW:BW,0),1),"")</f>
        <v/>
      </c>
      <c r="BZ264" s="89" t="str">
        <f t="shared" ref="BZ264:BZ327" si="21">IFERROR(INDEX(BU:BU,MATCH(BX264,BW:BW,0)),"")</f>
        <v/>
      </c>
      <c r="CA264" s="89" t="str">
        <f t="shared" ref="CA264:CA327" si="22">IFERROR(INDEX(BV:BV,MATCH(BX264,BW:BW,0)),"")</f>
        <v/>
      </c>
    </row>
    <row r="265" spans="72:79" hidden="1" x14ac:dyDescent="0.25">
      <c r="BT265" t="str">
        <f>IF(FFARawStatProjections!A260=0,"",FFARawStatProjections!A260)</f>
        <v>Julius Chestnut</v>
      </c>
      <c r="BU265" t="str">
        <f>IF(FFARawStatProjections!C260=0,"",FFARawStatProjections!C260)</f>
        <v>RB</v>
      </c>
      <c r="BV265" t="str">
        <f>IF(FFARawStatProjections!B260=0,"",FFARawStatProjections!B260)</f>
        <v>TEN</v>
      </c>
      <c r="BX265">
        <v>259</v>
      </c>
      <c r="BY265" s="89" t="str">
        <f t="shared" si="20"/>
        <v/>
      </c>
      <c r="BZ265" s="89" t="str">
        <f t="shared" si="21"/>
        <v/>
      </c>
      <c r="CA265" s="89" t="str">
        <f t="shared" si="22"/>
        <v/>
      </c>
    </row>
    <row r="266" spans="72:79" hidden="1" x14ac:dyDescent="0.25">
      <c r="BT266" t="str">
        <f>IF(FFARawStatProjections!A261=0,"",FFARawStatProjections!A261)</f>
        <v>Ty Johnson</v>
      </c>
      <c r="BU266" t="str">
        <f>IF(FFARawStatProjections!C261=0,"",FFARawStatProjections!C261)</f>
        <v>RB</v>
      </c>
      <c r="BV266" t="str">
        <f>IF(FFARawStatProjections!B261=0,"",FFARawStatProjections!B261)</f>
        <v>BUF</v>
      </c>
      <c r="BX266">
        <v>260</v>
      </c>
      <c r="BY266" s="89" t="str">
        <f t="shared" si="20"/>
        <v/>
      </c>
      <c r="BZ266" s="89" t="str">
        <f t="shared" si="21"/>
        <v/>
      </c>
      <c r="CA266" s="89" t="str">
        <f t="shared" si="22"/>
        <v/>
      </c>
    </row>
    <row r="267" spans="72:79" hidden="1" x14ac:dyDescent="0.25">
      <c r="BT267" t="str">
        <f>IF(FFARawStatProjections!A262=0,"",FFARawStatProjections!A262)</f>
        <v>Trestan Ebner</v>
      </c>
      <c r="BU267" t="str">
        <f>IF(FFARawStatProjections!C262=0,"",FFARawStatProjections!C262)</f>
        <v>RB</v>
      </c>
      <c r="BV267" t="str">
        <f>IF(FFARawStatProjections!B262=0,"",FFARawStatProjections!B262)</f>
        <v>CHI</v>
      </c>
      <c r="BX267">
        <v>261</v>
      </c>
      <c r="BY267" s="89" t="str">
        <f t="shared" si="20"/>
        <v/>
      </c>
      <c r="BZ267" s="89" t="str">
        <f t="shared" si="21"/>
        <v/>
      </c>
      <c r="CA267" s="89" t="str">
        <f t="shared" si="22"/>
        <v/>
      </c>
    </row>
    <row r="268" spans="72:79" hidden="1" x14ac:dyDescent="0.25">
      <c r="BT268" t="str">
        <f>IF(FFARawStatProjections!A263=0,"",FFARawStatProjections!A263)</f>
        <v>Jaleel McLaughlin</v>
      </c>
      <c r="BU268" t="str">
        <f>IF(FFARawStatProjections!C263=0,"",FFARawStatProjections!C263)</f>
        <v>RB</v>
      </c>
      <c r="BV268" t="str">
        <f>IF(FFARawStatProjections!B263=0,"",FFARawStatProjections!B263)</f>
        <v>DEN</v>
      </c>
      <c r="BX268">
        <v>262</v>
      </c>
      <c r="BY268" s="89" t="str">
        <f t="shared" si="20"/>
        <v/>
      </c>
      <c r="BZ268" s="89" t="str">
        <f t="shared" si="21"/>
        <v/>
      </c>
      <c r="CA268" s="89" t="str">
        <f t="shared" si="22"/>
        <v/>
      </c>
    </row>
    <row r="269" spans="72:79" hidden="1" x14ac:dyDescent="0.25">
      <c r="BT269" t="str">
        <f>IF(FFARawStatProjections!A264=0,"",FFARawStatProjections!A264)</f>
        <v>CJ Ham</v>
      </c>
      <c r="BU269" t="str">
        <f>IF(FFARawStatProjections!C264=0,"",FFARawStatProjections!C264)</f>
        <v>RB</v>
      </c>
      <c r="BV269" t="str">
        <f>IF(FFARawStatProjections!B264=0,"",FFARawStatProjections!B264)</f>
        <v>MIN</v>
      </c>
      <c r="BX269">
        <v>263</v>
      </c>
      <c r="BY269" s="89" t="str">
        <f t="shared" si="20"/>
        <v/>
      </c>
      <c r="BZ269" s="89" t="str">
        <f t="shared" si="21"/>
        <v/>
      </c>
      <c r="CA269" s="89" t="str">
        <f t="shared" si="22"/>
        <v/>
      </c>
    </row>
    <row r="270" spans="72:79" hidden="1" x14ac:dyDescent="0.25">
      <c r="BT270" t="str">
        <f>IF(FFARawStatProjections!A265=0,"",FFARawStatProjections!A265)</f>
        <v>LaMical Perine</v>
      </c>
      <c r="BU270" t="str">
        <f>IF(FFARawStatProjections!C265=0,"",FFARawStatProjections!C265)</f>
        <v>RB</v>
      </c>
      <c r="BV270" t="str">
        <f>IF(FFARawStatProjections!B265=0,"",FFARawStatProjections!B265)</f>
        <v>KC</v>
      </c>
      <c r="BX270">
        <v>264</v>
      </c>
      <c r="BY270" s="89" t="str">
        <f t="shared" si="20"/>
        <v/>
      </c>
      <c r="BZ270" s="89" t="str">
        <f t="shared" si="21"/>
        <v/>
      </c>
      <c r="CA270" s="89" t="str">
        <f t="shared" si="22"/>
        <v/>
      </c>
    </row>
    <row r="271" spans="72:79" hidden="1" x14ac:dyDescent="0.25">
      <c r="BT271" t="str">
        <f>IF(FFARawStatProjections!A266=0,"",FFARawStatProjections!A266)</f>
        <v>Jermar Jefferson</v>
      </c>
      <c r="BU271" t="str">
        <f>IF(FFARawStatProjections!C266=0,"",FFARawStatProjections!C266)</f>
        <v>RB</v>
      </c>
      <c r="BV271" t="str">
        <f>IF(FFARawStatProjections!B266=0,"",FFARawStatProjections!B266)</f>
        <v>DET</v>
      </c>
      <c r="BX271">
        <v>265</v>
      </c>
      <c r="BY271" s="89" t="str">
        <f t="shared" si="20"/>
        <v/>
      </c>
      <c r="BZ271" s="89" t="str">
        <f t="shared" si="21"/>
        <v/>
      </c>
      <c r="CA271" s="89" t="str">
        <f t="shared" si="22"/>
        <v/>
      </c>
    </row>
    <row r="272" spans="72:79" hidden="1" x14ac:dyDescent="0.25">
      <c r="BT272" t="str">
        <f>IF(FFARawStatProjections!A267=0,"",FFARawStatProjections!A267)</f>
        <v>Ronnie Rivers</v>
      </c>
      <c r="BU272" t="str">
        <f>IF(FFARawStatProjections!C267=0,"",FFARawStatProjections!C267)</f>
        <v>RB</v>
      </c>
      <c r="BV272" t="str">
        <f>IF(FFARawStatProjections!B267=0,"",FFARawStatProjections!B267)</f>
        <v>LAR</v>
      </c>
      <c r="BX272">
        <v>266</v>
      </c>
      <c r="BY272" s="89" t="str">
        <f t="shared" si="20"/>
        <v/>
      </c>
      <c r="BZ272" s="89" t="str">
        <f t="shared" si="21"/>
        <v/>
      </c>
      <c r="CA272" s="89" t="str">
        <f t="shared" si="22"/>
        <v/>
      </c>
    </row>
    <row r="273" spans="72:79" hidden="1" x14ac:dyDescent="0.25">
      <c r="BT273" t="str">
        <f>IF(FFARawStatProjections!A268=0,"",FFARawStatProjections!A268)</f>
        <v>Jake Funk</v>
      </c>
      <c r="BU273" t="str">
        <f>IF(FFARawStatProjections!C268=0,"",FFARawStatProjections!C268)</f>
        <v>RB</v>
      </c>
      <c r="BV273" t="str">
        <f>IF(FFARawStatProjections!B268=0,"",FFARawStatProjections!B268)</f>
        <v>IND</v>
      </c>
      <c r="BX273">
        <v>267</v>
      </c>
      <c r="BY273" s="89" t="str">
        <f t="shared" si="20"/>
        <v/>
      </c>
      <c r="BZ273" s="89" t="str">
        <f t="shared" si="21"/>
        <v/>
      </c>
      <c r="CA273" s="89" t="str">
        <f t="shared" si="22"/>
        <v/>
      </c>
    </row>
    <row r="274" spans="72:79" hidden="1" x14ac:dyDescent="0.25">
      <c r="BT274" t="str">
        <f>IF(FFARawStatProjections!A269=0,"",FFARawStatProjections!A269)</f>
        <v>Hunter Luepke</v>
      </c>
      <c r="BU274" t="str">
        <f>IF(FFARawStatProjections!C269=0,"",FFARawStatProjections!C269)</f>
        <v>RB</v>
      </c>
      <c r="BV274" t="str">
        <f>IF(FFARawStatProjections!B269=0,"",FFARawStatProjections!B269)</f>
        <v>DAL</v>
      </c>
      <c r="BX274">
        <v>268</v>
      </c>
      <c r="BY274" s="89" t="str">
        <f t="shared" si="20"/>
        <v/>
      </c>
      <c r="BZ274" s="89" t="str">
        <f t="shared" si="21"/>
        <v/>
      </c>
      <c r="CA274" s="89" t="str">
        <f t="shared" si="22"/>
        <v/>
      </c>
    </row>
    <row r="275" spans="72:79" hidden="1" x14ac:dyDescent="0.25">
      <c r="BT275" t="str">
        <f>IF(FFARawStatProjections!A270=0,"",FFARawStatProjections!A270)</f>
        <v>Patrick Ricard</v>
      </c>
      <c r="BU275" t="str">
        <f>IF(FFARawStatProjections!C270=0,"",FFARawStatProjections!C270)</f>
        <v>RB</v>
      </c>
      <c r="BV275" t="str">
        <f>IF(FFARawStatProjections!B270=0,"",FFARawStatProjections!B270)</f>
        <v>BAL</v>
      </c>
      <c r="BX275">
        <v>269</v>
      </c>
      <c r="BY275" s="89" t="str">
        <f t="shared" si="20"/>
        <v/>
      </c>
      <c r="BZ275" s="89" t="str">
        <f t="shared" si="21"/>
        <v/>
      </c>
      <c r="CA275" s="89" t="str">
        <f t="shared" si="22"/>
        <v/>
      </c>
    </row>
    <row r="276" spans="72:79" hidden="1" x14ac:dyDescent="0.25">
      <c r="BT276" t="str">
        <f>IF(FFARawStatProjections!A271=0,"",FFARawStatProjections!A271)</f>
        <v>Godwin Igwebuike</v>
      </c>
      <c r="BU276" t="str">
        <f>IF(FFARawStatProjections!C271=0,"",FFARawStatProjections!C271)</f>
        <v>RB</v>
      </c>
      <c r="BV276" t="str">
        <f>IF(FFARawStatProjections!B271=0,"",FFARawStatProjections!B271)</f>
        <v>ATL</v>
      </c>
      <c r="BX276">
        <v>270</v>
      </c>
      <c r="BY276" s="89" t="str">
        <f t="shared" si="20"/>
        <v/>
      </c>
      <c r="BZ276" s="89" t="str">
        <f t="shared" si="21"/>
        <v/>
      </c>
      <c r="CA276" s="89" t="str">
        <f t="shared" si="22"/>
        <v/>
      </c>
    </row>
    <row r="277" spans="72:79" hidden="1" x14ac:dyDescent="0.25">
      <c r="BT277" t="str">
        <f>IF(FFARawStatProjections!A272=0,"",FFARawStatProjections!A272)</f>
        <v>Jonathan Ward</v>
      </c>
      <c r="BU277" t="str">
        <f>IF(FFARawStatProjections!C272=0,"",FFARawStatProjections!C272)</f>
        <v>RB</v>
      </c>
      <c r="BV277" t="str">
        <f>IF(FFARawStatProjections!B272=0,"",FFARawStatProjections!B272)</f>
        <v>TEN</v>
      </c>
      <c r="BX277">
        <v>271</v>
      </c>
      <c r="BY277" s="89" t="str">
        <f t="shared" si="20"/>
        <v/>
      </c>
      <c r="BZ277" s="89" t="str">
        <f t="shared" si="21"/>
        <v/>
      </c>
      <c r="CA277" s="89" t="str">
        <f t="shared" si="22"/>
        <v/>
      </c>
    </row>
    <row r="278" spans="72:79" hidden="1" x14ac:dyDescent="0.25">
      <c r="BT278" t="str">
        <f>IF(FFARawStatProjections!A273=0,"",FFARawStatProjections!A273)</f>
        <v>Qadree Ollison</v>
      </c>
      <c r="BU278" t="str">
        <f>IF(FFARawStatProjections!C273=0,"",FFARawStatProjections!C273)</f>
        <v>RB</v>
      </c>
      <c r="BV278" t="str">
        <f>IF(FFARawStatProjections!B273=0,"",FFARawStatProjections!B273)</f>
        <v>JAC</v>
      </c>
      <c r="BX278">
        <v>272</v>
      </c>
      <c r="BY278" s="89" t="str">
        <f t="shared" si="20"/>
        <v/>
      </c>
      <c r="BZ278" s="89" t="str">
        <f t="shared" si="21"/>
        <v/>
      </c>
      <c r="CA278" s="89" t="str">
        <f t="shared" si="22"/>
        <v/>
      </c>
    </row>
    <row r="279" spans="72:79" hidden="1" x14ac:dyDescent="0.25">
      <c r="BT279" t="str">
        <f>IF(FFARawStatProjections!A274=0,"",FFARawStatProjections!A274)</f>
        <v>Giovanni Ricci</v>
      </c>
      <c r="BU279" t="str">
        <f>IF(FFARawStatProjections!C274=0,"",FFARawStatProjections!C274)</f>
        <v>RB</v>
      </c>
      <c r="BV279" t="str">
        <f>IF(FFARawStatProjections!B274=0,"",FFARawStatProjections!B274)</f>
        <v>CAR</v>
      </c>
      <c r="BX279">
        <v>273</v>
      </c>
      <c r="BY279" s="89" t="str">
        <f t="shared" si="20"/>
        <v/>
      </c>
      <c r="BZ279" s="89" t="str">
        <f t="shared" si="21"/>
        <v/>
      </c>
      <c r="CA279" s="89" t="str">
        <f t="shared" si="22"/>
        <v/>
      </c>
    </row>
    <row r="280" spans="72:79" hidden="1" x14ac:dyDescent="0.25">
      <c r="BT280" t="str">
        <f>IF(FFARawStatProjections!A275=0,"",FFARawStatProjections!A275)</f>
        <v>Patrick Laird</v>
      </c>
      <c r="BU280" t="str">
        <f>IF(FFARawStatProjections!C275=0,"",FFARawStatProjections!C275)</f>
        <v>RB</v>
      </c>
      <c r="BV280" t="str">
        <f>IF(FFARawStatProjections!B275=0,"",FFARawStatProjections!B275)</f>
        <v>TB</v>
      </c>
      <c r="BX280">
        <v>274</v>
      </c>
      <c r="BY280" s="89" t="str">
        <f t="shared" si="20"/>
        <v/>
      </c>
      <c r="BZ280" s="89" t="str">
        <f t="shared" si="21"/>
        <v/>
      </c>
      <c r="CA280" s="89" t="str">
        <f t="shared" si="22"/>
        <v/>
      </c>
    </row>
    <row r="281" spans="72:79" hidden="1" x14ac:dyDescent="0.25">
      <c r="BT281" t="str">
        <f>IF(FFARawStatProjections!A276=0,"",FFARawStatProjections!A276)</f>
        <v>Spencer Brown</v>
      </c>
      <c r="BU281" t="str">
        <f>IF(FFARawStatProjections!C276=0,"",FFARawStatProjections!C276)</f>
        <v>RB</v>
      </c>
      <c r="BV281" t="str">
        <f>IF(FFARawStatProjections!B276=0,"",FFARawStatProjections!B276)</f>
        <v>CAR</v>
      </c>
      <c r="BX281">
        <v>275</v>
      </c>
      <c r="BY281" s="89" t="str">
        <f t="shared" si="20"/>
        <v/>
      </c>
      <c r="BZ281" s="89" t="str">
        <f t="shared" si="21"/>
        <v/>
      </c>
      <c r="CA281" s="89" t="str">
        <f t="shared" si="22"/>
        <v/>
      </c>
    </row>
    <row r="282" spans="72:79" hidden="1" x14ac:dyDescent="0.25">
      <c r="BT282" t="str">
        <f>IF(FFARawStatProjections!A277=0,"",FFARawStatProjections!A277)</f>
        <v>Jason Cabinda</v>
      </c>
      <c r="BU282" t="str">
        <f>IF(FFARawStatProjections!C277=0,"",FFARawStatProjections!C277)</f>
        <v>RB</v>
      </c>
      <c r="BV282" t="str">
        <f>IF(FFARawStatProjections!B277=0,"",FFARawStatProjections!B277)</f>
        <v>DET</v>
      </c>
      <c r="BX282">
        <v>276</v>
      </c>
      <c r="BY282" s="89" t="str">
        <f t="shared" si="20"/>
        <v/>
      </c>
      <c r="BZ282" s="89" t="str">
        <f t="shared" si="21"/>
        <v/>
      </c>
      <c r="CA282" s="89" t="str">
        <f t="shared" si="22"/>
        <v/>
      </c>
    </row>
    <row r="283" spans="72:79" hidden="1" x14ac:dyDescent="0.25">
      <c r="BT283" t="str">
        <f>IF(FFARawStatProjections!A278=0,"",FFARawStatProjections!A278)</f>
        <v>Jaret Patterson</v>
      </c>
      <c r="BU283" t="str">
        <f>IF(FFARawStatProjections!C278=0,"",FFARawStatProjections!C278)</f>
        <v>RB</v>
      </c>
      <c r="BV283" t="str">
        <f>IF(FFARawStatProjections!B278=0,"",FFARawStatProjections!B278)</f>
        <v>WAS</v>
      </c>
      <c r="BX283">
        <v>277</v>
      </c>
      <c r="BY283" s="89" t="str">
        <f t="shared" si="20"/>
        <v/>
      </c>
      <c r="BZ283" s="89" t="str">
        <f t="shared" si="21"/>
        <v/>
      </c>
      <c r="CA283" s="89" t="str">
        <f t="shared" si="22"/>
        <v/>
      </c>
    </row>
    <row r="284" spans="72:79" hidden="1" x14ac:dyDescent="0.25">
      <c r="BT284" t="str">
        <f>IF(FFARawStatProjections!A279=0,"",FFARawStatProjections!A279)</f>
        <v>Nate McCrary</v>
      </c>
      <c r="BU284" t="str">
        <f>IF(FFARawStatProjections!C279=0,"",FFARawStatProjections!C279)</f>
        <v>RB</v>
      </c>
      <c r="BV284" t="str">
        <f>IF(FFARawStatProjections!B279=0,"",FFARawStatProjections!B279)</f>
        <v>GB</v>
      </c>
      <c r="BX284">
        <v>278</v>
      </c>
      <c r="BY284" s="89" t="str">
        <f t="shared" si="20"/>
        <v/>
      </c>
      <c r="BZ284" s="89" t="str">
        <f t="shared" si="21"/>
        <v/>
      </c>
      <c r="CA284" s="89" t="str">
        <f t="shared" si="22"/>
        <v/>
      </c>
    </row>
    <row r="285" spans="72:79" hidden="1" x14ac:dyDescent="0.25">
      <c r="BT285" t="str">
        <f>IF(FFARawStatProjections!A280=0,"",FFARawStatProjections!A280)</f>
        <v>Avery Williams</v>
      </c>
      <c r="BU285" t="str">
        <f>IF(FFARawStatProjections!C280=0,"",FFARawStatProjections!C280)</f>
        <v>RB</v>
      </c>
      <c r="BV285" t="str">
        <f>IF(FFARawStatProjections!B280=0,"",FFARawStatProjections!B280)</f>
        <v>ATL</v>
      </c>
      <c r="BX285">
        <v>279</v>
      </c>
      <c r="BY285" s="89" t="str">
        <f t="shared" si="20"/>
        <v/>
      </c>
      <c r="BZ285" s="89" t="str">
        <f t="shared" si="21"/>
        <v/>
      </c>
      <c r="CA285" s="89" t="str">
        <f t="shared" si="22"/>
        <v/>
      </c>
    </row>
    <row r="286" spans="72:79" hidden="1" x14ac:dyDescent="0.25">
      <c r="BT286" t="str">
        <f>IF(FFARawStatProjections!A281=0,"",FFARawStatProjections!A281)</f>
        <v>Larry Rountree</v>
      </c>
      <c r="BU286" t="str">
        <f>IF(FFARawStatProjections!C281=0,"",FFARawStatProjections!C281)</f>
        <v>RB</v>
      </c>
      <c r="BV286" t="str">
        <f>IF(FFARawStatProjections!B281=0,"",FFARawStatProjections!B281)</f>
        <v>HOU</v>
      </c>
      <c r="BX286">
        <v>280</v>
      </c>
      <c r="BY286" s="89" t="str">
        <f t="shared" si="20"/>
        <v/>
      </c>
      <c r="BZ286" s="89" t="str">
        <f t="shared" si="21"/>
        <v/>
      </c>
      <c r="CA286" s="89" t="str">
        <f t="shared" si="22"/>
        <v/>
      </c>
    </row>
    <row r="287" spans="72:79" hidden="1" x14ac:dyDescent="0.25">
      <c r="BT287" t="str">
        <f>IF(FFARawStatProjections!A282=0,"",FFARawStatProjections!A282)</f>
        <v>Gerrid Doaks</v>
      </c>
      <c r="BU287" t="str">
        <f>IF(FFARawStatProjections!C282=0,"",FFARawStatProjections!C282)</f>
        <v>RB</v>
      </c>
      <c r="BV287" t="str">
        <f>IF(FFARawStatProjections!B282=0,"",FFARawStatProjections!B282)</f>
        <v>HOU</v>
      </c>
      <c r="BX287">
        <v>281</v>
      </c>
      <c r="BY287" s="89" t="str">
        <f t="shared" si="20"/>
        <v/>
      </c>
      <c r="BZ287" s="89" t="str">
        <f t="shared" si="21"/>
        <v/>
      </c>
      <c r="CA287" s="89" t="str">
        <f t="shared" si="22"/>
        <v/>
      </c>
    </row>
    <row r="288" spans="72:79" hidden="1" x14ac:dyDescent="0.25">
      <c r="BT288" t="str">
        <f>IF(FFARawStatProjections!A283=0,"",FFARawStatProjections!A283)</f>
        <v>Michael Burton</v>
      </c>
      <c r="BU288" t="str">
        <f>IF(FFARawStatProjections!C283=0,"",FFARawStatProjections!C283)</f>
        <v>RB</v>
      </c>
      <c r="BV288" t="str">
        <f>IF(FFARawStatProjections!B283=0,"",FFARawStatProjections!B283)</f>
        <v>DEN</v>
      </c>
      <c r="BX288">
        <v>282</v>
      </c>
      <c r="BY288" s="89" t="str">
        <f t="shared" si="20"/>
        <v/>
      </c>
      <c r="BZ288" s="89" t="str">
        <f t="shared" si="21"/>
        <v/>
      </c>
      <c r="CA288" s="89" t="str">
        <f t="shared" si="22"/>
        <v/>
      </c>
    </row>
    <row r="289" spans="72:79" hidden="1" x14ac:dyDescent="0.25">
      <c r="BT289" t="str">
        <f>IF(FFARawStatProjections!A284=0,"",FFARawStatProjections!A284)</f>
        <v>Adam Prentice</v>
      </c>
      <c r="BU289" t="str">
        <f>IF(FFARawStatProjections!C284=0,"",FFARawStatProjections!C284)</f>
        <v>RB</v>
      </c>
      <c r="BV289" t="str">
        <f>IF(FFARawStatProjections!B284=0,"",FFARawStatProjections!B284)</f>
        <v>NO</v>
      </c>
      <c r="BX289">
        <v>283</v>
      </c>
      <c r="BY289" s="89" t="str">
        <f t="shared" si="20"/>
        <v/>
      </c>
      <c r="BZ289" s="89" t="str">
        <f t="shared" si="21"/>
        <v/>
      </c>
      <c r="CA289" s="89" t="str">
        <f t="shared" si="22"/>
        <v/>
      </c>
    </row>
    <row r="290" spans="72:79" hidden="1" x14ac:dyDescent="0.25">
      <c r="BT290" t="str">
        <f>IF(FFARawStatProjections!A285=0,"",FFARawStatProjections!A285)</f>
        <v>Henry Pearson</v>
      </c>
      <c r="BU290" t="str">
        <f>IF(FFARawStatProjections!C285=0,"",FFARawStatProjections!C285)</f>
        <v>RB</v>
      </c>
      <c r="BV290" t="str">
        <f>IF(FFARawStatProjections!B285=0,"",FFARawStatProjections!B285)</f>
        <v>GB</v>
      </c>
      <c r="BX290">
        <v>284</v>
      </c>
      <c r="BY290" s="89" t="str">
        <f t="shared" si="20"/>
        <v/>
      </c>
      <c r="BZ290" s="89" t="str">
        <f t="shared" si="21"/>
        <v/>
      </c>
      <c r="CA290" s="89" t="str">
        <f t="shared" si="22"/>
        <v/>
      </c>
    </row>
    <row r="291" spans="72:79" hidden="1" x14ac:dyDescent="0.25">
      <c r="BT291" t="str">
        <f>IF(FFARawStatProjections!A286=0,"",FFARawStatProjections!A286)</f>
        <v>Jason Huntley</v>
      </c>
      <c r="BU291" t="str">
        <f>IF(FFARawStatProjections!C286=0,"",FFARawStatProjections!C286)</f>
        <v>RB</v>
      </c>
      <c r="BV291" t="str">
        <f>IF(FFARawStatProjections!B286=0,"",FFARawStatProjections!B286)</f>
        <v>IND</v>
      </c>
      <c r="BX291">
        <v>285</v>
      </c>
      <c r="BY291" s="89" t="str">
        <f t="shared" si="20"/>
        <v/>
      </c>
      <c r="BZ291" s="89" t="str">
        <f t="shared" si="21"/>
        <v/>
      </c>
      <c r="CA291" s="89" t="str">
        <f t="shared" si="22"/>
        <v/>
      </c>
    </row>
    <row r="292" spans="72:79" hidden="1" x14ac:dyDescent="0.25">
      <c r="BT292" t="str">
        <f>IF(FFARawStatProjections!A287=0,"",FFARawStatProjections!A287)</f>
        <v>Khari Blasingame</v>
      </c>
      <c r="BU292" t="str">
        <f>IF(FFARawStatProjections!C287=0,"",FFARawStatProjections!C287)</f>
        <v>RB</v>
      </c>
      <c r="BV292" t="str">
        <f>IF(FFARawStatProjections!B287=0,"",FFARawStatProjections!B287)</f>
        <v>CHI</v>
      </c>
      <c r="BX292">
        <v>286</v>
      </c>
      <c r="BY292" s="89" t="str">
        <f t="shared" si="20"/>
        <v/>
      </c>
      <c r="BZ292" s="89" t="str">
        <f t="shared" si="21"/>
        <v/>
      </c>
      <c r="CA292" s="89" t="str">
        <f t="shared" si="22"/>
        <v/>
      </c>
    </row>
    <row r="293" spans="72:79" hidden="1" x14ac:dyDescent="0.25">
      <c r="BT293" t="str">
        <f>IF(FFARawStatProjections!A288=0,"",FFARawStatProjections!A288)</f>
        <v>Jack Colletto</v>
      </c>
      <c r="BU293" t="str">
        <f>IF(FFARawStatProjections!C288=0,"",FFARawStatProjections!C288)</f>
        <v>RB</v>
      </c>
      <c r="BV293" t="str">
        <f>IF(FFARawStatProjections!B288=0,"",FFARawStatProjections!B288)</f>
        <v>SF</v>
      </c>
      <c r="BX293">
        <v>287</v>
      </c>
      <c r="BY293" s="89" t="str">
        <f t="shared" si="20"/>
        <v/>
      </c>
      <c r="BZ293" s="89" t="str">
        <f t="shared" si="21"/>
        <v/>
      </c>
      <c r="CA293" s="89" t="str">
        <f t="shared" si="22"/>
        <v/>
      </c>
    </row>
    <row r="294" spans="72:79" hidden="1" x14ac:dyDescent="0.25">
      <c r="BT294" t="str">
        <f>IF(FFARawStatProjections!A289=0,"",FFARawStatProjections!A289)</f>
        <v>Keith Smith</v>
      </c>
      <c r="BU294" t="str">
        <f>IF(FFARawStatProjections!C289=0,"",FFARawStatProjections!C289)</f>
        <v>RB</v>
      </c>
      <c r="BV294" t="str">
        <f>IF(FFARawStatProjections!B289=0,"",FFARawStatProjections!B289)</f>
        <v>ATL</v>
      </c>
      <c r="BX294">
        <v>288</v>
      </c>
      <c r="BY294" s="89" t="str">
        <f t="shared" si="20"/>
        <v/>
      </c>
      <c r="BZ294" s="89" t="str">
        <f t="shared" si="21"/>
        <v/>
      </c>
      <c r="CA294" s="89" t="str">
        <f t="shared" si="22"/>
        <v/>
      </c>
    </row>
    <row r="295" spans="72:79" hidden="1" x14ac:dyDescent="0.25">
      <c r="BT295" t="str">
        <f>IF(FFARawStatProjections!A290=0,"",FFARawStatProjections!A290)</f>
        <v>Jakob Johnson</v>
      </c>
      <c r="BU295" t="str">
        <f>IF(FFARawStatProjections!C290=0,"",FFARawStatProjections!C290)</f>
        <v>RB</v>
      </c>
      <c r="BV295" t="str">
        <f>IF(FFARawStatProjections!B290=0,"",FFARawStatProjections!B290)</f>
        <v>LV</v>
      </c>
      <c r="BX295">
        <v>289</v>
      </c>
      <c r="BY295" s="89" t="str">
        <f t="shared" si="20"/>
        <v/>
      </c>
      <c r="BZ295" s="89" t="str">
        <f t="shared" si="21"/>
        <v/>
      </c>
      <c r="CA295" s="89" t="str">
        <f t="shared" si="22"/>
        <v/>
      </c>
    </row>
    <row r="296" spans="72:79" hidden="1" x14ac:dyDescent="0.25">
      <c r="BT296" t="str">
        <f>IF(FFARawStatProjections!A291=0,"",FFARawStatProjections!A291)</f>
        <v>Ellis Merriweather</v>
      </c>
      <c r="BU296" t="str">
        <f>IF(FFARawStatProjections!C291=0,"",FFARawStatProjections!C291)</f>
        <v>RB</v>
      </c>
      <c r="BV296" t="str">
        <f>IF(FFARawStatProjections!B291=0,"",FFARawStatProjections!B291)</f>
        <v>NO</v>
      </c>
      <c r="BX296">
        <v>290</v>
      </c>
      <c r="BY296" s="89" t="str">
        <f t="shared" si="20"/>
        <v/>
      </c>
      <c r="BZ296" s="89" t="str">
        <f t="shared" si="21"/>
        <v/>
      </c>
      <c r="CA296" s="89" t="str">
        <f t="shared" si="22"/>
        <v/>
      </c>
    </row>
    <row r="297" spans="72:79" hidden="1" x14ac:dyDescent="0.25">
      <c r="BT297" t="str">
        <f>IF(FFARawStatProjections!A292=0,"",FFARawStatProjections!A292)</f>
        <v>Tyler Goodson</v>
      </c>
      <c r="BU297" t="str">
        <f>IF(FFARawStatProjections!C292=0,"",FFARawStatProjections!C292)</f>
        <v>RB</v>
      </c>
      <c r="BV297" t="str">
        <f>IF(FFARawStatProjections!B292=0,"",FFARawStatProjections!B292)</f>
        <v>GB</v>
      </c>
      <c r="BX297">
        <v>291</v>
      </c>
      <c r="BY297" s="89" t="str">
        <f t="shared" si="20"/>
        <v/>
      </c>
      <c r="BZ297" s="89" t="str">
        <f t="shared" si="21"/>
        <v/>
      </c>
      <c r="CA297" s="89" t="str">
        <f t="shared" si="22"/>
        <v/>
      </c>
    </row>
    <row r="298" spans="72:79" hidden="1" x14ac:dyDescent="0.25">
      <c r="BT298" t="str">
        <f>IF(FFARawStatProjections!A293=0,"",FFARawStatProjections!A293)</f>
        <v>Dwayne Washington</v>
      </c>
      <c r="BU298" t="str">
        <f>IF(FFARawStatProjections!C293=0,"",FFARawStatProjections!C293)</f>
        <v>RB</v>
      </c>
      <c r="BV298" t="str">
        <f>IF(FFARawStatProjections!B293=0,"",FFARawStatProjections!B293)</f>
        <v>DEN</v>
      </c>
      <c r="BX298">
        <v>292</v>
      </c>
      <c r="BY298" s="89" t="str">
        <f t="shared" si="20"/>
        <v/>
      </c>
      <c r="BZ298" s="89" t="str">
        <f t="shared" si="21"/>
        <v/>
      </c>
      <c r="CA298" s="89" t="str">
        <f t="shared" si="22"/>
        <v/>
      </c>
    </row>
    <row r="299" spans="72:79" hidden="1" x14ac:dyDescent="0.25">
      <c r="BT299" t="str">
        <f>IF(FFARawStatProjections!A294=0,"",FFARawStatProjections!A294)</f>
        <v>Clint Ratkovich</v>
      </c>
      <c r="BU299" t="str">
        <f>IF(FFARawStatProjections!C294=0,"",FFARawStatProjections!C294)</f>
        <v>RB</v>
      </c>
      <c r="BV299" t="str">
        <f>IF(FFARawStatProjections!B294=0,"",FFARawStatProjections!B294)</f>
        <v>ATL</v>
      </c>
      <c r="BX299">
        <v>293</v>
      </c>
      <c r="BY299" s="89" t="str">
        <f t="shared" si="20"/>
        <v/>
      </c>
      <c r="BZ299" s="89" t="str">
        <f t="shared" si="21"/>
        <v/>
      </c>
      <c r="CA299" s="89" t="str">
        <f t="shared" si="22"/>
        <v/>
      </c>
    </row>
    <row r="300" spans="72:79" hidden="1" x14ac:dyDescent="0.25">
      <c r="BT300" t="str">
        <f>IF(FFARawStatProjections!A295=0,"",FFARawStatProjections!A295)</f>
        <v>Nick Bellore</v>
      </c>
      <c r="BU300" t="str">
        <f>IF(FFARawStatProjections!C295=0,"",FFARawStatProjections!C295)</f>
        <v>RB</v>
      </c>
      <c r="BV300" t="str">
        <f>IF(FFARawStatProjections!B295=0,"",FFARawStatProjections!B295)</f>
        <v>SEA</v>
      </c>
      <c r="BX300">
        <v>294</v>
      </c>
      <c r="BY300" s="89" t="str">
        <f t="shared" si="20"/>
        <v/>
      </c>
      <c r="BZ300" s="89" t="str">
        <f t="shared" si="21"/>
        <v/>
      </c>
      <c r="CA300" s="89" t="str">
        <f t="shared" si="22"/>
        <v/>
      </c>
    </row>
    <row r="301" spans="72:79" hidden="1" x14ac:dyDescent="0.25">
      <c r="BT301" t="str">
        <f>IF(FFARawStatProjections!A296=0,"",FFARawStatProjections!A296)</f>
        <v/>
      </c>
      <c r="BU301" t="str">
        <f>IF(FFARawStatProjections!C296=0,"",FFARawStatProjections!C296)</f>
        <v>RB</v>
      </c>
      <c r="BV301" t="str">
        <f>IF(FFARawStatProjections!B296=0,"",FFARawStatProjections!B296)</f>
        <v/>
      </c>
      <c r="BX301">
        <v>295</v>
      </c>
      <c r="BY301" s="89" t="str">
        <f t="shared" si="20"/>
        <v/>
      </c>
      <c r="BZ301" s="89" t="str">
        <f t="shared" si="21"/>
        <v/>
      </c>
      <c r="CA301" s="89" t="str">
        <f t="shared" si="22"/>
        <v/>
      </c>
    </row>
    <row r="302" spans="72:79" hidden="1" x14ac:dyDescent="0.25">
      <c r="BT302" t="str">
        <f>IF(FFARawStatProjections!A297=0,"",FFARawStatProjections!A297)</f>
        <v/>
      </c>
      <c r="BU302" t="str">
        <f>IF(FFARawStatProjections!C297=0,"",FFARawStatProjections!C297)</f>
        <v>RB</v>
      </c>
      <c r="BV302" t="str">
        <f>IF(FFARawStatProjections!B297=0,"",FFARawStatProjections!B297)</f>
        <v/>
      </c>
      <c r="BX302">
        <v>296</v>
      </c>
      <c r="BY302" s="89" t="str">
        <f t="shared" si="20"/>
        <v/>
      </c>
      <c r="BZ302" s="89" t="str">
        <f t="shared" si="21"/>
        <v/>
      </c>
      <c r="CA302" s="89" t="str">
        <f t="shared" si="22"/>
        <v/>
      </c>
    </row>
    <row r="303" spans="72:79" hidden="1" x14ac:dyDescent="0.25">
      <c r="BT303" t="str">
        <f>IF(FFARawStatProjections!A298=0,"",FFARawStatProjections!A298)</f>
        <v/>
      </c>
      <c r="BU303" t="str">
        <f>IF(FFARawStatProjections!C298=0,"",FFARawStatProjections!C298)</f>
        <v>RB</v>
      </c>
      <c r="BV303" t="str">
        <f>IF(FFARawStatProjections!B298=0,"",FFARawStatProjections!B298)</f>
        <v/>
      </c>
      <c r="BX303">
        <v>297</v>
      </c>
      <c r="BY303" s="89" t="str">
        <f t="shared" si="20"/>
        <v/>
      </c>
      <c r="BZ303" s="89" t="str">
        <f t="shared" si="21"/>
        <v/>
      </c>
      <c r="CA303" s="89" t="str">
        <f t="shared" si="22"/>
        <v/>
      </c>
    </row>
    <row r="304" spans="72:79" hidden="1" x14ac:dyDescent="0.25">
      <c r="BT304" t="str">
        <f>IF(FFARawStatProjections!A299=0,"",FFARawStatProjections!A299)</f>
        <v/>
      </c>
      <c r="BU304" t="str">
        <f>IF(FFARawStatProjections!C299=0,"",FFARawStatProjections!C299)</f>
        <v>RB</v>
      </c>
      <c r="BV304" t="str">
        <f>IF(FFARawStatProjections!B299=0,"",FFARawStatProjections!B299)</f>
        <v/>
      </c>
      <c r="BX304">
        <v>298</v>
      </c>
      <c r="BY304" s="89" t="str">
        <f t="shared" si="20"/>
        <v/>
      </c>
      <c r="BZ304" s="89" t="str">
        <f t="shared" si="21"/>
        <v/>
      </c>
      <c r="CA304" s="89" t="str">
        <f t="shared" si="22"/>
        <v/>
      </c>
    </row>
    <row r="305" spans="72:79" hidden="1" x14ac:dyDescent="0.25">
      <c r="BT305" t="str">
        <f>IF(FFARawStatProjections!A300=0,"",FFARawStatProjections!A300)</f>
        <v/>
      </c>
      <c r="BU305" t="str">
        <f>IF(FFARawStatProjections!C300=0,"",FFARawStatProjections!C300)</f>
        <v>RB</v>
      </c>
      <c r="BV305" t="str">
        <f>IF(FFARawStatProjections!B300=0,"",FFARawStatProjections!B300)</f>
        <v/>
      </c>
      <c r="BX305">
        <v>299</v>
      </c>
      <c r="BY305" s="89" t="str">
        <f t="shared" si="20"/>
        <v/>
      </c>
      <c r="BZ305" s="89" t="str">
        <f t="shared" si="21"/>
        <v/>
      </c>
      <c r="CA305" s="89" t="str">
        <f t="shared" si="22"/>
        <v/>
      </c>
    </row>
    <row r="306" spans="72:79" hidden="1" x14ac:dyDescent="0.25">
      <c r="BT306" t="str">
        <f>IF(FFARawStatProjections!A301=0,"",FFARawStatProjections!A301)</f>
        <v/>
      </c>
      <c r="BU306" t="str">
        <f>IF(FFARawStatProjections!C301=0,"",FFARawStatProjections!C301)</f>
        <v>RB</v>
      </c>
      <c r="BV306" t="str">
        <f>IF(FFARawStatProjections!B301=0,"",FFARawStatProjections!B301)</f>
        <v/>
      </c>
      <c r="BX306">
        <v>300</v>
      </c>
      <c r="BY306" s="89" t="str">
        <f t="shared" si="20"/>
        <v/>
      </c>
      <c r="BZ306" s="89" t="str">
        <f t="shared" si="21"/>
        <v/>
      </c>
      <c r="CA306" s="89" t="str">
        <f t="shared" si="22"/>
        <v/>
      </c>
    </row>
    <row r="307" spans="72:79" hidden="1" x14ac:dyDescent="0.25">
      <c r="BT307" t="str">
        <f>IF(FFARawStatProjections!A302=0,"",FFARawStatProjections!A302)</f>
        <v/>
      </c>
      <c r="BU307" t="str">
        <f>IF(FFARawStatProjections!C302=0,"",FFARawStatProjections!C302)</f>
        <v>RB</v>
      </c>
      <c r="BV307" t="str">
        <f>IF(FFARawStatProjections!B302=0,"",FFARawStatProjections!B302)</f>
        <v/>
      </c>
      <c r="BX307">
        <v>301</v>
      </c>
      <c r="BY307" s="89" t="str">
        <f t="shared" si="20"/>
        <v/>
      </c>
      <c r="BZ307" s="89" t="str">
        <f t="shared" si="21"/>
        <v/>
      </c>
      <c r="CA307" s="89" t="str">
        <f t="shared" si="22"/>
        <v/>
      </c>
    </row>
    <row r="308" spans="72:79" hidden="1" x14ac:dyDescent="0.25">
      <c r="BT308" t="str">
        <f>IF(FFARawStatProjections!A303=0,"",FFARawStatProjections!A303)</f>
        <v/>
      </c>
      <c r="BU308" t="str">
        <f>IF(FFARawStatProjections!C303=0,"",FFARawStatProjections!C303)</f>
        <v>RB</v>
      </c>
      <c r="BV308" t="str">
        <f>IF(FFARawStatProjections!B303=0,"",FFARawStatProjections!B303)</f>
        <v/>
      </c>
      <c r="BX308">
        <v>302</v>
      </c>
      <c r="BY308" s="89" t="str">
        <f t="shared" si="20"/>
        <v/>
      </c>
      <c r="BZ308" s="89" t="str">
        <f t="shared" si="21"/>
        <v/>
      </c>
      <c r="CA308" s="89" t="str">
        <f t="shared" si="22"/>
        <v/>
      </c>
    </row>
    <row r="309" spans="72:79" hidden="1" x14ac:dyDescent="0.25">
      <c r="BT309" t="str">
        <f>IF(FFARawStatProjections!A304=0,"",FFARawStatProjections!A304)</f>
        <v/>
      </c>
      <c r="BU309" t="str">
        <f>IF(FFARawStatProjections!C304=0,"",FFARawStatProjections!C304)</f>
        <v>RB</v>
      </c>
      <c r="BV309" t="str">
        <f>IF(FFARawStatProjections!B304=0,"",FFARawStatProjections!B304)</f>
        <v/>
      </c>
      <c r="BX309">
        <v>303</v>
      </c>
      <c r="BY309" s="89" t="str">
        <f t="shared" si="20"/>
        <v/>
      </c>
      <c r="BZ309" s="89" t="str">
        <f t="shared" si="21"/>
        <v/>
      </c>
      <c r="CA309" s="89" t="str">
        <f t="shared" si="22"/>
        <v/>
      </c>
    </row>
    <row r="310" spans="72:79" hidden="1" x14ac:dyDescent="0.25">
      <c r="BT310" t="str">
        <f>IF(FFARawStatProjections!A305=0,"",FFARawStatProjections!A305)</f>
        <v/>
      </c>
      <c r="BU310" t="str">
        <f>IF(FFARawStatProjections!C305=0,"",FFARawStatProjections!C305)</f>
        <v>RB</v>
      </c>
      <c r="BV310" t="str">
        <f>IF(FFARawStatProjections!B305=0,"",FFARawStatProjections!B305)</f>
        <v/>
      </c>
      <c r="BX310">
        <v>304</v>
      </c>
      <c r="BY310" s="89" t="str">
        <f t="shared" si="20"/>
        <v/>
      </c>
      <c r="BZ310" s="89" t="str">
        <f t="shared" si="21"/>
        <v/>
      </c>
      <c r="CA310" s="89" t="str">
        <f t="shared" si="22"/>
        <v/>
      </c>
    </row>
    <row r="311" spans="72:79" hidden="1" x14ac:dyDescent="0.25">
      <c r="BT311" t="str">
        <f>IF(FFARawStatProjections!A306=0,"",FFARawStatProjections!A306)</f>
        <v/>
      </c>
      <c r="BU311" t="str">
        <f>IF(FFARawStatProjections!C306=0,"",FFARawStatProjections!C306)</f>
        <v>RB</v>
      </c>
      <c r="BV311" t="str">
        <f>IF(FFARawStatProjections!B306=0,"",FFARawStatProjections!B306)</f>
        <v/>
      </c>
      <c r="BX311">
        <v>305</v>
      </c>
      <c r="BY311" s="89" t="str">
        <f t="shared" si="20"/>
        <v/>
      </c>
      <c r="BZ311" s="89" t="str">
        <f t="shared" si="21"/>
        <v/>
      </c>
      <c r="CA311" s="89" t="str">
        <f t="shared" si="22"/>
        <v/>
      </c>
    </row>
    <row r="312" spans="72:79" hidden="1" x14ac:dyDescent="0.25">
      <c r="BT312" t="str">
        <f>IF(FFARawStatProjections!A307=0,"",FFARawStatProjections!A307)</f>
        <v/>
      </c>
      <c r="BU312" t="str">
        <f>IF(FFARawStatProjections!C307=0,"",FFARawStatProjections!C307)</f>
        <v>RB</v>
      </c>
      <c r="BV312" t="str">
        <f>IF(FFARawStatProjections!B307=0,"",FFARawStatProjections!B307)</f>
        <v/>
      </c>
      <c r="BX312">
        <v>306</v>
      </c>
      <c r="BY312" s="89" t="str">
        <f t="shared" si="20"/>
        <v/>
      </c>
      <c r="BZ312" s="89" t="str">
        <f t="shared" si="21"/>
        <v/>
      </c>
      <c r="CA312" s="89" t="str">
        <f t="shared" si="22"/>
        <v/>
      </c>
    </row>
    <row r="313" spans="72:79" hidden="1" x14ac:dyDescent="0.25">
      <c r="BT313" t="str">
        <f>IF(FFARawStatProjections!A308=0,"",FFARawStatProjections!A308)</f>
        <v/>
      </c>
      <c r="BU313" t="str">
        <f>IF(FFARawStatProjections!C308=0,"",FFARawStatProjections!C308)</f>
        <v>RB</v>
      </c>
      <c r="BV313" t="str">
        <f>IF(FFARawStatProjections!B308=0,"",FFARawStatProjections!B308)</f>
        <v/>
      </c>
      <c r="BX313">
        <v>307</v>
      </c>
      <c r="BY313" s="89" t="str">
        <f t="shared" si="20"/>
        <v/>
      </c>
      <c r="BZ313" s="89" t="str">
        <f t="shared" si="21"/>
        <v/>
      </c>
      <c r="CA313" s="89" t="str">
        <f t="shared" si="22"/>
        <v/>
      </c>
    </row>
    <row r="314" spans="72:79" hidden="1" x14ac:dyDescent="0.25">
      <c r="BT314" t="str">
        <f>IF(FFARawStatProjections!A309=0,"",FFARawStatProjections!A309)</f>
        <v/>
      </c>
      <c r="BU314" t="str">
        <f>IF(FFARawStatProjections!C309=0,"",FFARawStatProjections!C309)</f>
        <v>RB</v>
      </c>
      <c r="BV314" t="str">
        <f>IF(FFARawStatProjections!B309=0,"",FFARawStatProjections!B309)</f>
        <v/>
      </c>
      <c r="BX314">
        <v>308</v>
      </c>
      <c r="BY314" s="89" t="str">
        <f t="shared" si="20"/>
        <v/>
      </c>
      <c r="BZ314" s="89" t="str">
        <f t="shared" si="21"/>
        <v/>
      </c>
      <c r="CA314" s="89" t="str">
        <f t="shared" si="22"/>
        <v/>
      </c>
    </row>
    <row r="315" spans="72:79" hidden="1" x14ac:dyDescent="0.25">
      <c r="BT315" t="str">
        <f>IF(FFARawStatProjections!A310=0,"",FFARawStatProjections!A310)</f>
        <v/>
      </c>
      <c r="BU315" t="str">
        <f>IF(FFARawStatProjections!C310=0,"",FFARawStatProjections!C310)</f>
        <v>RB</v>
      </c>
      <c r="BV315" t="str">
        <f>IF(FFARawStatProjections!B310=0,"",FFARawStatProjections!B310)</f>
        <v/>
      </c>
      <c r="BX315">
        <v>309</v>
      </c>
      <c r="BY315" s="89" t="str">
        <f t="shared" si="20"/>
        <v/>
      </c>
      <c r="BZ315" s="89" t="str">
        <f t="shared" si="21"/>
        <v/>
      </c>
      <c r="CA315" s="89" t="str">
        <f t="shared" si="22"/>
        <v/>
      </c>
    </row>
    <row r="316" spans="72:79" hidden="1" x14ac:dyDescent="0.25">
      <c r="BT316" t="str">
        <f>IF(FFARawStatProjections!A311=0,"",FFARawStatProjections!A311)</f>
        <v/>
      </c>
      <c r="BU316" t="str">
        <f>IF(FFARawStatProjections!C311=0,"",FFARawStatProjections!C311)</f>
        <v>RB</v>
      </c>
      <c r="BV316" t="str">
        <f>IF(FFARawStatProjections!B311=0,"",FFARawStatProjections!B311)</f>
        <v/>
      </c>
      <c r="BX316">
        <v>310</v>
      </c>
      <c r="BY316" s="89" t="str">
        <f t="shared" si="20"/>
        <v/>
      </c>
      <c r="BZ316" s="89" t="str">
        <f t="shared" si="21"/>
        <v/>
      </c>
      <c r="CA316" s="89" t="str">
        <f t="shared" si="22"/>
        <v/>
      </c>
    </row>
    <row r="317" spans="72:79" hidden="1" x14ac:dyDescent="0.25">
      <c r="BT317" t="str">
        <f>IF(FFARawStatProjections!A312=0,"",FFARawStatProjections!A312)</f>
        <v/>
      </c>
      <c r="BU317" t="str">
        <f>IF(FFARawStatProjections!C312=0,"",FFARawStatProjections!C312)</f>
        <v>RB</v>
      </c>
      <c r="BV317" t="str">
        <f>IF(FFARawStatProjections!B312=0,"",FFARawStatProjections!B312)</f>
        <v/>
      </c>
      <c r="BX317">
        <v>311</v>
      </c>
      <c r="BY317" s="89" t="str">
        <f t="shared" si="20"/>
        <v/>
      </c>
      <c r="BZ317" s="89" t="str">
        <f t="shared" si="21"/>
        <v/>
      </c>
      <c r="CA317" s="89" t="str">
        <f t="shared" si="22"/>
        <v/>
      </c>
    </row>
    <row r="318" spans="72:79" hidden="1" x14ac:dyDescent="0.25">
      <c r="BT318" t="str">
        <f>IF(FFARawStatProjections!A313=0,"",FFARawStatProjections!A313)</f>
        <v/>
      </c>
      <c r="BU318" t="str">
        <f>IF(FFARawStatProjections!C313=0,"",FFARawStatProjections!C313)</f>
        <v>RB</v>
      </c>
      <c r="BV318" t="str">
        <f>IF(FFARawStatProjections!B313=0,"",FFARawStatProjections!B313)</f>
        <v/>
      </c>
      <c r="BX318">
        <v>312</v>
      </c>
      <c r="BY318" s="89" t="str">
        <f t="shared" si="20"/>
        <v/>
      </c>
      <c r="BZ318" s="89" t="str">
        <f t="shared" si="21"/>
        <v/>
      </c>
      <c r="CA318" s="89" t="str">
        <f t="shared" si="22"/>
        <v/>
      </c>
    </row>
    <row r="319" spans="72:79" hidden="1" x14ac:dyDescent="0.25">
      <c r="BT319" t="str">
        <f>IF(FFARawStatProjections!A314=0,"",FFARawStatProjections!A314)</f>
        <v/>
      </c>
      <c r="BU319" t="str">
        <f>IF(FFARawStatProjections!C314=0,"",FFARawStatProjections!C314)</f>
        <v/>
      </c>
      <c r="BV319" t="str">
        <f>IF(FFARawStatProjections!B314=0,"",FFARawStatProjections!B314)</f>
        <v/>
      </c>
      <c r="BX319">
        <v>313</v>
      </c>
      <c r="BY319" s="89" t="str">
        <f t="shared" si="20"/>
        <v/>
      </c>
      <c r="BZ319" s="89" t="str">
        <f t="shared" si="21"/>
        <v/>
      </c>
      <c r="CA319" s="89" t="str">
        <f t="shared" si="22"/>
        <v/>
      </c>
    </row>
    <row r="320" spans="72:79" hidden="1" x14ac:dyDescent="0.25">
      <c r="BT320" t="str">
        <f>IF(FFARawStatProjections!A315=0,"",FFARawStatProjections!A315)</f>
        <v>Playe</v>
      </c>
      <c r="BU320" t="str">
        <f>IF(FFARawStatProjections!C315=0,"",FFARawStatProjections!C315)</f>
        <v/>
      </c>
      <c r="BV320" t="str">
        <f>IF(FFARawStatProjections!B315=0,"",FFARawStatProjections!B315)</f>
        <v/>
      </c>
      <c r="BX320">
        <v>314</v>
      </c>
      <c r="BY320" s="89" t="str">
        <f t="shared" si="20"/>
        <v/>
      </c>
      <c r="BZ320" s="89" t="str">
        <f t="shared" si="21"/>
        <v/>
      </c>
      <c r="CA320" s="89" t="str">
        <f t="shared" si="22"/>
        <v/>
      </c>
    </row>
    <row r="321" spans="72:79" hidden="1" x14ac:dyDescent="0.25">
      <c r="BT321" t="str">
        <f>IF(FFARawStatProjections!A316=0,"",FFARawStatProjections!A316)</f>
        <v>Justin Jefferson</v>
      </c>
      <c r="BU321" t="str">
        <f>IF(FFARawStatProjections!C316=0,"",FFARawStatProjections!C316)</f>
        <v>WR</v>
      </c>
      <c r="BV321" t="str">
        <f>IF(FFARawStatProjections!B316=0,"",FFARawStatProjections!B316)</f>
        <v>MIN</v>
      </c>
      <c r="BX321">
        <v>315</v>
      </c>
      <c r="BY321" s="89" t="str">
        <f t="shared" si="20"/>
        <v/>
      </c>
      <c r="BZ321" s="89" t="str">
        <f t="shared" si="21"/>
        <v/>
      </c>
      <c r="CA321" s="89" t="str">
        <f t="shared" si="22"/>
        <v/>
      </c>
    </row>
    <row r="322" spans="72:79" hidden="1" x14ac:dyDescent="0.25">
      <c r="BT322" t="str">
        <f>IF(FFARawStatProjections!A317=0,"",FFARawStatProjections!A317)</f>
        <v>JaMarr Chase</v>
      </c>
      <c r="BU322" t="str">
        <f>IF(FFARawStatProjections!C317=0,"",FFARawStatProjections!C317)</f>
        <v>WR</v>
      </c>
      <c r="BV322" t="str">
        <f>IF(FFARawStatProjections!B317=0,"",FFARawStatProjections!B317)</f>
        <v>CIN</v>
      </c>
      <c r="BX322">
        <v>316</v>
      </c>
      <c r="BY322" s="89" t="str">
        <f t="shared" si="20"/>
        <v/>
      </c>
      <c r="BZ322" s="89" t="str">
        <f t="shared" si="21"/>
        <v/>
      </c>
      <c r="CA322" s="89" t="str">
        <f t="shared" si="22"/>
        <v/>
      </c>
    </row>
    <row r="323" spans="72:79" hidden="1" x14ac:dyDescent="0.25">
      <c r="BT323" t="str">
        <f>IF(FFARawStatProjections!A318=0,"",FFARawStatProjections!A318)</f>
        <v>Cooper Kupp</v>
      </c>
      <c r="BU323" t="str">
        <f>IF(FFARawStatProjections!C318=0,"",FFARawStatProjections!C318)</f>
        <v>WR</v>
      </c>
      <c r="BV323" t="str">
        <f>IF(FFARawStatProjections!B318=0,"",FFARawStatProjections!B318)</f>
        <v>LAR</v>
      </c>
      <c r="BX323">
        <v>317</v>
      </c>
      <c r="BY323" s="89" t="str">
        <f t="shared" si="20"/>
        <v/>
      </c>
      <c r="BZ323" s="89" t="str">
        <f t="shared" si="21"/>
        <v/>
      </c>
      <c r="CA323" s="89" t="str">
        <f t="shared" si="22"/>
        <v/>
      </c>
    </row>
    <row r="324" spans="72:79" hidden="1" x14ac:dyDescent="0.25">
      <c r="BT324" t="str">
        <f>IF(FFARawStatProjections!A319=0,"",FFARawStatProjections!A319)</f>
        <v>Tyreek Hill</v>
      </c>
      <c r="BU324" t="str">
        <f>IF(FFARawStatProjections!C319=0,"",FFARawStatProjections!C319)</f>
        <v>WR</v>
      </c>
      <c r="BV324" t="str">
        <f>IF(FFARawStatProjections!B319=0,"",FFARawStatProjections!B319)</f>
        <v>MIA</v>
      </c>
      <c r="BX324">
        <v>318</v>
      </c>
      <c r="BY324" s="89" t="str">
        <f t="shared" si="20"/>
        <v/>
      </c>
      <c r="BZ324" s="89" t="str">
        <f t="shared" si="21"/>
        <v/>
      </c>
      <c r="CA324" s="89" t="str">
        <f t="shared" si="22"/>
        <v/>
      </c>
    </row>
    <row r="325" spans="72:79" hidden="1" x14ac:dyDescent="0.25">
      <c r="BT325" t="str">
        <f>IF(FFARawStatProjections!A320=0,"",FFARawStatProjections!A320)</f>
        <v>CeeDee Lamb</v>
      </c>
      <c r="BU325" t="str">
        <f>IF(FFARawStatProjections!C320=0,"",FFARawStatProjections!C320)</f>
        <v>WR</v>
      </c>
      <c r="BV325" t="str">
        <f>IF(FFARawStatProjections!B320=0,"",FFARawStatProjections!B320)</f>
        <v>DAL</v>
      </c>
      <c r="BX325">
        <v>319</v>
      </c>
      <c r="BY325" s="89" t="str">
        <f t="shared" si="20"/>
        <v/>
      </c>
      <c r="BZ325" s="89" t="str">
        <f t="shared" si="21"/>
        <v/>
      </c>
      <c r="CA325" s="89" t="str">
        <f t="shared" si="22"/>
        <v/>
      </c>
    </row>
    <row r="326" spans="72:79" hidden="1" x14ac:dyDescent="0.25">
      <c r="BT326" t="str">
        <f>IF(FFARawStatProjections!A321=0,"",FFARawStatProjections!A321)</f>
        <v>Davante Adams</v>
      </c>
      <c r="BU326" t="str">
        <f>IF(FFARawStatProjections!C321=0,"",FFARawStatProjections!C321)</f>
        <v>WR</v>
      </c>
      <c r="BV326" t="str">
        <f>IF(FFARawStatProjections!B321=0,"",FFARawStatProjections!B321)</f>
        <v>LV</v>
      </c>
      <c r="BX326">
        <v>320</v>
      </c>
      <c r="BY326" s="89" t="str">
        <f t="shared" si="20"/>
        <v/>
      </c>
      <c r="BZ326" s="89" t="str">
        <f t="shared" si="21"/>
        <v/>
      </c>
      <c r="CA326" s="89" t="str">
        <f t="shared" si="22"/>
        <v/>
      </c>
    </row>
    <row r="327" spans="72:79" hidden="1" x14ac:dyDescent="0.25">
      <c r="BT327" t="str">
        <f>IF(FFARawStatProjections!A322=0,"",FFARawStatProjections!A322)</f>
        <v>Stefon Diggs</v>
      </c>
      <c r="BU327" t="str">
        <f>IF(FFARawStatProjections!C322=0,"",FFARawStatProjections!C322)</f>
        <v>WR</v>
      </c>
      <c r="BV327" t="str">
        <f>IF(FFARawStatProjections!B322=0,"",FFARawStatProjections!B322)</f>
        <v>BUF</v>
      </c>
      <c r="BX327">
        <v>321</v>
      </c>
      <c r="BY327" s="89" t="str">
        <f t="shared" si="20"/>
        <v/>
      </c>
      <c r="BZ327" s="89" t="str">
        <f t="shared" si="21"/>
        <v/>
      </c>
      <c r="CA327" s="89" t="str">
        <f t="shared" si="22"/>
        <v/>
      </c>
    </row>
    <row r="328" spans="72:79" hidden="1" x14ac:dyDescent="0.25">
      <c r="BT328" t="str">
        <f>IF(FFARawStatProjections!A323=0,"",FFARawStatProjections!A323)</f>
        <v>AJ Brown</v>
      </c>
      <c r="BU328" t="str">
        <f>IF(FFARawStatProjections!C323=0,"",FFARawStatProjections!C323)</f>
        <v>WR</v>
      </c>
      <c r="BV328" t="str">
        <f>IF(FFARawStatProjections!B323=0,"",FFARawStatProjections!B323)</f>
        <v>PHI</v>
      </c>
      <c r="BX328">
        <v>322</v>
      </c>
      <c r="BY328" s="89" t="str">
        <f t="shared" ref="BY328:BY391" si="23">IFERROR(INDEX(BT:BT,MATCH(BX328,BW:BW,0),1),"")</f>
        <v/>
      </c>
      <c r="BZ328" s="89" t="str">
        <f t="shared" ref="BZ328:BZ391" si="24">IFERROR(INDEX(BU:BU,MATCH(BX328,BW:BW,0)),"")</f>
        <v/>
      </c>
      <c r="CA328" s="89" t="str">
        <f t="shared" ref="CA328:CA391" si="25">IFERROR(INDEX(BV:BV,MATCH(BX328,BW:BW,0)),"")</f>
        <v/>
      </c>
    </row>
    <row r="329" spans="72:79" hidden="1" x14ac:dyDescent="0.25">
      <c r="BT329" t="str">
        <f>IF(FFARawStatProjections!A324=0,"",FFARawStatProjections!A324)</f>
        <v>Amon-Ra St Brown</v>
      </c>
      <c r="BU329" t="str">
        <f>IF(FFARawStatProjections!C324=0,"",FFARawStatProjections!C324)</f>
        <v>WR</v>
      </c>
      <c r="BV329" t="str">
        <f>IF(FFARawStatProjections!B324=0,"",FFARawStatProjections!B324)</f>
        <v>DET</v>
      </c>
      <c r="BX329">
        <v>323</v>
      </c>
      <c r="BY329" s="89" t="str">
        <f t="shared" si="23"/>
        <v/>
      </c>
      <c r="BZ329" s="89" t="str">
        <f t="shared" si="24"/>
        <v/>
      </c>
      <c r="CA329" s="89" t="str">
        <f t="shared" si="25"/>
        <v/>
      </c>
    </row>
    <row r="330" spans="72:79" hidden="1" x14ac:dyDescent="0.25">
      <c r="BT330" t="str">
        <f>IF(FFARawStatProjections!A325=0,"",FFARawStatProjections!A325)</f>
        <v>Jaylen Waddle</v>
      </c>
      <c r="BU330" t="str">
        <f>IF(FFARawStatProjections!C325=0,"",FFARawStatProjections!C325)</f>
        <v>WR</v>
      </c>
      <c r="BV330" t="str">
        <f>IF(FFARawStatProjections!B325=0,"",FFARawStatProjections!B325)</f>
        <v>MIA</v>
      </c>
      <c r="BX330">
        <v>324</v>
      </c>
      <c r="BY330" s="89" t="str">
        <f t="shared" si="23"/>
        <v/>
      </c>
      <c r="BZ330" s="89" t="str">
        <f t="shared" si="24"/>
        <v/>
      </c>
      <c r="CA330" s="89" t="str">
        <f t="shared" si="25"/>
        <v/>
      </c>
    </row>
    <row r="331" spans="72:79" hidden="1" x14ac:dyDescent="0.25">
      <c r="BT331" t="str">
        <f>IF(FFARawStatProjections!A326=0,"",FFARawStatProjections!A326)</f>
        <v>Garrett Wilson</v>
      </c>
      <c r="BU331" t="str">
        <f>IF(FFARawStatProjections!C326=0,"",FFARawStatProjections!C326)</f>
        <v>WR</v>
      </c>
      <c r="BV331" t="str">
        <f>IF(FFARawStatProjections!B326=0,"",FFARawStatProjections!B326)</f>
        <v>NYJ</v>
      </c>
      <c r="BX331">
        <v>325</v>
      </c>
      <c r="BY331" s="89" t="str">
        <f t="shared" si="23"/>
        <v/>
      </c>
      <c r="BZ331" s="89" t="str">
        <f t="shared" si="24"/>
        <v/>
      </c>
      <c r="CA331" s="89" t="str">
        <f t="shared" si="25"/>
        <v/>
      </c>
    </row>
    <row r="332" spans="72:79" hidden="1" x14ac:dyDescent="0.25">
      <c r="BT332" t="str">
        <f>IF(FFARawStatProjections!A327=0,"",FFARawStatProjections!A327)</f>
        <v>Deebo Samuel</v>
      </c>
      <c r="BU332" t="str">
        <f>IF(FFARawStatProjections!C327=0,"",FFARawStatProjections!C327)</f>
        <v>WR</v>
      </c>
      <c r="BV332" t="str">
        <f>IF(FFARawStatProjections!B327=0,"",FFARawStatProjections!B327)</f>
        <v>SF</v>
      </c>
      <c r="BX332">
        <v>326</v>
      </c>
      <c r="BY332" s="89" t="str">
        <f t="shared" si="23"/>
        <v/>
      </c>
      <c r="BZ332" s="89" t="str">
        <f t="shared" si="24"/>
        <v/>
      </c>
      <c r="CA332" s="89" t="str">
        <f t="shared" si="25"/>
        <v/>
      </c>
    </row>
    <row r="333" spans="72:79" hidden="1" x14ac:dyDescent="0.25">
      <c r="BT333" t="str">
        <f>IF(FFARawStatProjections!A328=0,"",FFARawStatProjections!A328)</f>
        <v>Tee Higgins</v>
      </c>
      <c r="BU333" t="str">
        <f>IF(FFARawStatProjections!C328=0,"",FFARawStatProjections!C328)</f>
        <v>WR</v>
      </c>
      <c r="BV333" t="str">
        <f>IF(FFARawStatProjections!B328=0,"",FFARawStatProjections!B328)</f>
        <v>CIN</v>
      </c>
      <c r="BX333">
        <v>327</v>
      </c>
      <c r="BY333" s="89" t="str">
        <f t="shared" si="23"/>
        <v/>
      </c>
      <c r="BZ333" s="89" t="str">
        <f t="shared" si="24"/>
        <v/>
      </c>
      <c r="CA333" s="89" t="str">
        <f t="shared" si="25"/>
        <v/>
      </c>
    </row>
    <row r="334" spans="72:79" hidden="1" x14ac:dyDescent="0.25">
      <c r="BT334" t="str">
        <f>IF(FFARawStatProjections!A329=0,"",FFARawStatProjections!A329)</f>
        <v>Chris Olave</v>
      </c>
      <c r="BU334" t="str">
        <f>IF(FFARawStatProjections!C329=0,"",FFARawStatProjections!C329)</f>
        <v>WR</v>
      </c>
      <c r="BV334" t="str">
        <f>IF(FFARawStatProjections!B329=0,"",FFARawStatProjections!B329)</f>
        <v>NO</v>
      </c>
      <c r="BX334">
        <v>328</v>
      </c>
      <c r="BY334" s="89" t="str">
        <f t="shared" si="23"/>
        <v/>
      </c>
      <c r="BZ334" s="89" t="str">
        <f t="shared" si="24"/>
        <v/>
      </c>
      <c r="CA334" s="89" t="str">
        <f t="shared" si="25"/>
        <v/>
      </c>
    </row>
    <row r="335" spans="72:79" hidden="1" x14ac:dyDescent="0.25">
      <c r="BT335" t="str">
        <f>IF(FFARawStatProjections!A330=0,"",FFARawStatProjections!A330)</f>
        <v>Amari Cooper</v>
      </c>
      <c r="BU335" t="str">
        <f>IF(FFARawStatProjections!C330=0,"",FFARawStatProjections!C330)</f>
        <v>WR</v>
      </c>
      <c r="BV335" t="str">
        <f>IF(FFARawStatProjections!B330=0,"",FFARawStatProjections!B330)</f>
        <v>CLE</v>
      </c>
      <c r="BX335">
        <v>329</v>
      </c>
      <c r="BY335" s="89" t="str">
        <f t="shared" si="23"/>
        <v/>
      </c>
      <c r="BZ335" s="89" t="str">
        <f t="shared" si="24"/>
        <v/>
      </c>
      <c r="CA335" s="89" t="str">
        <f t="shared" si="25"/>
        <v/>
      </c>
    </row>
    <row r="336" spans="72:79" hidden="1" x14ac:dyDescent="0.25">
      <c r="BT336" t="str">
        <f>IF(FFARawStatProjections!A331=0,"",FFARawStatProjections!A331)</f>
        <v>Christian Watson</v>
      </c>
      <c r="BU336" t="str">
        <f>IF(FFARawStatProjections!C331=0,"",FFARawStatProjections!C331)</f>
        <v>WR</v>
      </c>
      <c r="BV336" t="str">
        <f>IF(FFARawStatProjections!B331=0,"",FFARawStatProjections!B331)</f>
        <v>GB</v>
      </c>
      <c r="BX336">
        <v>330</v>
      </c>
      <c r="BY336" s="89" t="str">
        <f t="shared" si="23"/>
        <v/>
      </c>
      <c r="BZ336" s="89" t="str">
        <f t="shared" si="24"/>
        <v/>
      </c>
      <c r="CA336" s="89" t="str">
        <f t="shared" si="25"/>
        <v/>
      </c>
    </row>
    <row r="337" spans="72:79" hidden="1" x14ac:dyDescent="0.25">
      <c r="BT337" t="str">
        <f>IF(FFARawStatProjections!A332=0,"",FFARawStatProjections!A332)</f>
        <v>DK Metcalf</v>
      </c>
      <c r="BU337" t="str">
        <f>IF(FFARawStatProjections!C332=0,"",FFARawStatProjections!C332)</f>
        <v>WR</v>
      </c>
      <c r="BV337" t="str">
        <f>IF(FFARawStatProjections!B332=0,"",FFARawStatProjections!B332)</f>
        <v>SEA</v>
      </c>
      <c r="BX337">
        <v>331</v>
      </c>
      <c r="BY337" s="89" t="str">
        <f t="shared" si="23"/>
        <v/>
      </c>
      <c r="BZ337" s="89" t="str">
        <f t="shared" si="24"/>
        <v/>
      </c>
      <c r="CA337" s="89" t="str">
        <f t="shared" si="25"/>
        <v/>
      </c>
    </row>
    <row r="338" spans="72:79" hidden="1" x14ac:dyDescent="0.25">
      <c r="BT338" t="str">
        <f>IF(FFARawStatProjections!A333=0,"",FFARawStatProjections!A333)</f>
        <v>DeVonta Smith</v>
      </c>
      <c r="BU338" t="str">
        <f>IF(FFARawStatProjections!C333=0,"",FFARawStatProjections!C333)</f>
        <v>WR</v>
      </c>
      <c r="BV338" t="str">
        <f>IF(FFARawStatProjections!B333=0,"",FFARawStatProjections!B333)</f>
        <v>PHI</v>
      </c>
      <c r="BX338">
        <v>332</v>
      </c>
      <c r="BY338" s="89" t="str">
        <f t="shared" si="23"/>
        <v/>
      </c>
      <c r="BZ338" s="89" t="str">
        <f t="shared" si="24"/>
        <v/>
      </c>
      <c r="CA338" s="89" t="str">
        <f t="shared" si="25"/>
        <v/>
      </c>
    </row>
    <row r="339" spans="72:79" hidden="1" x14ac:dyDescent="0.25">
      <c r="BT339" t="str">
        <f>IF(FFARawStatProjections!A334=0,"",FFARawStatProjections!A334)</f>
        <v>Calvin Ridley</v>
      </c>
      <c r="BU339" t="str">
        <f>IF(FFARawStatProjections!C334=0,"",FFARawStatProjections!C334)</f>
        <v>WR</v>
      </c>
      <c r="BV339" t="str">
        <f>IF(FFARawStatProjections!B334=0,"",FFARawStatProjections!B334)</f>
        <v>JAC</v>
      </c>
      <c r="BX339">
        <v>333</v>
      </c>
      <c r="BY339" s="89" t="str">
        <f t="shared" si="23"/>
        <v/>
      </c>
      <c r="BZ339" s="89" t="str">
        <f t="shared" si="24"/>
        <v/>
      </c>
      <c r="CA339" s="89" t="str">
        <f t="shared" si="25"/>
        <v/>
      </c>
    </row>
    <row r="340" spans="72:79" hidden="1" x14ac:dyDescent="0.25">
      <c r="BT340" t="str">
        <f>IF(FFARawStatProjections!A335=0,"",FFARawStatProjections!A335)</f>
        <v>Jerry Jeudy</v>
      </c>
      <c r="BU340" t="str">
        <f>IF(FFARawStatProjections!C335=0,"",FFARawStatProjections!C335)</f>
        <v>WR</v>
      </c>
      <c r="BV340" t="str">
        <f>IF(FFARawStatProjections!B335=0,"",FFARawStatProjections!B335)</f>
        <v>DEN</v>
      </c>
      <c r="BX340">
        <v>334</v>
      </c>
      <c r="BY340" s="89" t="str">
        <f t="shared" si="23"/>
        <v/>
      </c>
      <c r="BZ340" s="89" t="str">
        <f t="shared" si="24"/>
        <v/>
      </c>
      <c r="CA340" s="89" t="str">
        <f t="shared" si="25"/>
        <v/>
      </c>
    </row>
    <row r="341" spans="72:79" hidden="1" x14ac:dyDescent="0.25">
      <c r="BT341" t="str">
        <f>IF(FFARawStatProjections!A336=0,"",FFARawStatProjections!A336)</f>
        <v>DJ Moore</v>
      </c>
      <c r="BU341" t="str">
        <f>IF(FFARawStatProjections!C336=0,"",FFARawStatProjections!C336)</f>
        <v>WR</v>
      </c>
      <c r="BV341" t="str">
        <f>IF(FFARawStatProjections!B336=0,"",FFARawStatProjections!B336)</f>
        <v>CHI</v>
      </c>
      <c r="BX341">
        <v>335</v>
      </c>
      <c r="BY341" s="89" t="str">
        <f t="shared" si="23"/>
        <v/>
      </c>
      <c r="BZ341" s="89" t="str">
        <f t="shared" si="24"/>
        <v/>
      </c>
      <c r="CA341" s="89" t="str">
        <f t="shared" si="25"/>
        <v/>
      </c>
    </row>
    <row r="342" spans="72:79" hidden="1" x14ac:dyDescent="0.25">
      <c r="BT342" t="str">
        <f>IF(FFARawStatProjections!A337=0,"",FFARawStatProjections!A337)</f>
        <v>Terry McLaurin</v>
      </c>
      <c r="BU342" t="str">
        <f>IF(FFARawStatProjections!C337=0,"",FFARawStatProjections!C337)</f>
        <v>WR</v>
      </c>
      <c r="BV342" t="str">
        <f>IF(FFARawStatProjections!B337=0,"",FFARawStatProjections!B337)</f>
        <v>WAS</v>
      </c>
      <c r="BX342">
        <v>336</v>
      </c>
      <c r="BY342" s="89" t="str">
        <f t="shared" si="23"/>
        <v/>
      </c>
      <c r="BZ342" s="89" t="str">
        <f t="shared" si="24"/>
        <v/>
      </c>
      <c r="CA342" s="89" t="str">
        <f t="shared" si="25"/>
        <v/>
      </c>
    </row>
    <row r="343" spans="72:79" hidden="1" x14ac:dyDescent="0.25">
      <c r="BT343" t="str">
        <f>IF(FFARawStatProjections!A338=0,"",FFARawStatProjections!A338)</f>
        <v>Mike Williams</v>
      </c>
      <c r="BU343" t="str">
        <f>IF(FFARawStatProjections!C338=0,"",FFARawStatProjections!C338)</f>
        <v>WR</v>
      </c>
      <c r="BV343" t="str">
        <f>IF(FFARawStatProjections!B338=0,"",FFARawStatProjections!B338)</f>
        <v>LAC</v>
      </c>
      <c r="BX343">
        <v>337</v>
      </c>
      <c r="BY343" s="89" t="str">
        <f t="shared" si="23"/>
        <v/>
      </c>
      <c r="BZ343" s="89" t="str">
        <f t="shared" si="24"/>
        <v/>
      </c>
      <c r="CA343" s="89" t="str">
        <f t="shared" si="25"/>
        <v/>
      </c>
    </row>
    <row r="344" spans="72:79" hidden="1" x14ac:dyDescent="0.25">
      <c r="BT344" t="str">
        <f>IF(FFARawStatProjections!A339=0,"",FFARawStatProjections!A339)</f>
        <v>Mike Evans</v>
      </c>
      <c r="BU344" t="str">
        <f>IF(FFARawStatProjections!C339=0,"",FFARawStatProjections!C339)</f>
        <v>WR</v>
      </c>
      <c r="BV344" t="str">
        <f>IF(FFARawStatProjections!B339=0,"",FFARawStatProjections!B339)</f>
        <v>TB</v>
      </c>
      <c r="BX344">
        <v>338</v>
      </c>
      <c r="BY344" s="89" t="str">
        <f t="shared" si="23"/>
        <v/>
      </c>
      <c r="BZ344" s="89" t="str">
        <f t="shared" si="24"/>
        <v/>
      </c>
      <c r="CA344" s="89" t="str">
        <f t="shared" si="25"/>
        <v/>
      </c>
    </row>
    <row r="345" spans="72:79" hidden="1" x14ac:dyDescent="0.25">
      <c r="BT345" t="str">
        <f>IF(FFARawStatProjections!A340=0,"",FFARawStatProjections!A340)</f>
        <v>Keenan Allen</v>
      </c>
      <c r="BU345" t="str">
        <f>IF(FFARawStatProjections!C340=0,"",FFARawStatProjections!C340)</f>
        <v>WR</v>
      </c>
      <c r="BV345" t="str">
        <f>IF(FFARawStatProjections!B340=0,"",FFARawStatProjections!B340)</f>
        <v>LAC</v>
      </c>
      <c r="BX345">
        <v>339</v>
      </c>
      <c r="BY345" s="89" t="str">
        <f t="shared" si="23"/>
        <v/>
      </c>
      <c r="BZ345" s="89" t="str">
        <f t="shared" si="24"/>
        <v/>
      </c>
      <c r="CA345" s="89" t="str">
        <f t="shared" si="25"/>
        <v/>
      </c>
    </row>
    <row r="346" spans="72:79" hidden="1" x14ac:dyDescent="0.25">
      <c r="BT346" t="str">
        <f>IF(FFARawStatProjections!A341=0,"",FFARawStatProjections!A341)</f>
        <v>DeAndre Hopkins</v>
      </c>
      <c r="BU346" t="str">
        <f>IF(FFARawStatProjections!C341=0,"",FFARawStatProjections!C341)</f>
        <v>WR</v>
      </c>
      <c r="BV346" t="str">
        <f>IF(FFARawStatProjections!B341=0,"",FFARawStatProjections!B341)</f>
        <v>TEN</v>
      </c>
      <c r="BX346">
        <v>340</v>
      </c>
      <c r="BY346" s="89" t="str">
        <f t="shared" si="23"/>
        <v/>
      </c>
      <c r="BZ346" s="89" t="str">
        <f t="shared" si="24"/>
        <v/>
      </c>
      <c r="CA346" s="89" t="str">
        <f t="shared" si="25"/>
        <v/>
      </c>
    </row>
    <row r="347" spans="72:79" hidden="1" x14ac:dyDescent="0.25">
      <c r="BT347" t="str">
        <f>IF(FFARawStatProjections!A342=0,"",FFARawStatProjections!A342)</f>
        <v>Christian Kirk</v>
      </c>
      <c r="BU347" t="str">
        <f>IF(FFARawStatProjections!C342=0,"",FFARawStatProjections!C342)</f>
        <v>WR</v>
      </c>
      <c r="BV347" t="str">
        <f>IF(FFARawStatProjections!B342=0,"",FFARawStatProjections!B342)</f>
        <v>JAC</v>
      </c>
      <c r="BX347">
        <v>341</v>
      </c>
      <c r="BY347" s="89" t="str">
        <f t="shared" si="23"/>
        <v/>
      </c>
      <c r="BZ347" s="89" t="str">
        <f t="shared" si="24"/>
        <v/>
      </c>
      <c r="CA347" s="89" t="str">
        <f t="shared" si="25"/>
        <v/>
      </c>
    </row>
    <row r="348" spans="72:79" hidden="1" x14ac:dyDescent="0.25">
      <c r="BT348" t="str">
        <f>IF(FFARawStatProjections!A343=0,"",FFARawStatProjections!A343)</f>
        <v>Brandon Aiyuk</v>
      </c>
      <c r="BU348" t="str">
        <f>IF(FFARawStatProjections!C343=0,"",FFARawStatProjections!C343)</f>
        <v>WR</v>
      </c>
      <c r="BV348" t="str">
        <f>IF(FFARawStatProjections!B343=0,"",FFARawStatProjections!B343)</f>
        <v>SF</v>
      </c>
      <c r="BX348">
        <v>342</v>
      </c>
      <c r="BY348" s="89" t="str">
        <f t="shared" si="23"/>
        <v/>
      </c>
      <c r="BZ348" s="89" t="str">
        <f t="shared" si="24"/>
        <v/>
      </c>
      <c r="CA348" s="89" t="str">
        <f t="shared" si="25"/>
        <v/>
      </c>
    </row>
    <row r="349" spans="72:79" hidden="1" x14ac:dyDescent="0.25">
      <c r="BT349" t="str">
        <f>IF(FFARawStatProjections!A344=0,"",FFARawStatProjections!A344)</f>
        <v>Drake London</v>
      </c>
      <c r="BU349" t="str">
        <f>IF(FFARawStatProjections!C344=0,"",FFARawStatProjections!C344)</f>
        <v>WR</v>
      </c>
      <c r="BV349" t="str">
        <f>IF(FFARawStatProjections!B344=0,"",FFARawStatProjections!B344)</f>
        <v>ATL</v>
      </c>
      <c r="BX349">
        <v>343</v>
      </c>
      <c r="BY349" s="89" t="str">
        <f t="shared" si="23"/>
        <v/>
      </c>
      <c r="BZ349" s="89" t="str">
        <f t="shared" si="24"/>
        <v/>
      </c>
      <c r="CA349" s="89" t="str">
        <f t="shared" si="25"/>
        <v/>
      </c>
    </row>
    <row r="350" spans="72:79" hidden="1" x14ac:dyDescent="0.25">
      <c r="BT350" t="str">
        <f>IF(FFARawStatProjections!A345=0,"",FFARawStatProjections!A345)</f>
        <v>Chris Godwin</v>
      </c>
      <c r="BU350" t="str">
        <f>IF(FFARawStatProjections!C345=0,"",FFARawStatProjections!C345)</f>
        <v>WR</v>
      </c>
      <c r="BV350" t="str">
        <f>IF(FFARawStatProjections!B345=0,"",FFARawStatProjections!B345)</f>
        <v>TB</v>
      </c>
      <c r="BX350">
        <v>344</v>
      </c>
      <c r="BY350" s="89" t="str">
        <f t="shared" si="23"/>
        <v/>
      </c>
      <c r="BZ350" s="89" t="str">
        <f t="shared" si="24"/>
        <v/>
      </c>
      <c r="CA350" s="89" t="str">
        <f t="shared" si="25"/>
        <v/>
      </c>
    </row>
    <row r="351" spans="72:79" hidden="1" x14ac:dyDescent="0.25">
      <c r="BT351" t="str">
        <f>IF(FFARawStatProjections!A346=0,"",FFARawStatProjections!A346)</f>
        <v>Tyler Lockett</v>
      </c>
      <c r="BU351" t="str">
        <f>IF(FFARawStatProjections!C346=0,"",FFARawStatProjections!C346)</f>
        <v>WR</v>
      </c>
      <c r="BV351" t="str">
        <f>IF(FFARawStatProjections!B346=0,"",FFARawStatProjections!B346)</f>
        <v>SEA</v>
      </c>
      <c r="BX351">
        <v>345</v>
      </c>
      <c r="BY351" s="89" t="str">
        <f t="shared" si="23"/>
        <v/>
      </c>
      <c r="BZ351" s="89" t="str">
        <f t="shared" si="24"/>
        <v/>
      </c>
      <c r="CA351" s="89" t="str">
        <f t="shared" si="25"/>
        <v/>
      </c>
    </row>
    <row r="352" spans="72:79" hidden="1" x14ac:dyDescent="0.25">
      <c r="BT352" t="str">
        <f>IF(FFARawStatProjections!A347=0,"",FFARawStatProjections!A347)</f>
        <v>Marquise Brown</v>
      </c>
      <c r="BU352" t="str">
        <f>IF(FFARawStatProjections!C347=0,"",FFARawStatProjections!C347)</f>
        <v>WR</v>
      </c>
      <c r="BV352" t="str">
        <f>IF(FFARawStatProjections!B347=0,"",FFARawStatProjections!B347)</f>
        <v>AZ</v>
      </c>
      <c r="BX352">
        <v>346</v>
      </c>
      <c r="BY352" s="89" t="str">
        <f t="shared" si="23"/>
        <v/>
      </c>
      <c r="BZ352" s="89" t="str">
        <f t="shared" si="24"/>
        <v/>
      </c>
      <c r="CA352" s="89" t="str">
        <f t="shared" si="25"/>
        <v/>
      </c>
    </row>
    <row r="353" spans="72:79" hidden="1" x14ac:dyDescent="0.25">
      <c r="BT353" t="str">
        <f>IF(FFARawStatProjections!A348=0,"",FFARawStatProjections!A348)</f>
        <v>Gabe Davis</v>
      </c>
      <c r="BU353" t="str">
        <f>IF(FFARawStatProjections!C348=0,"",FFARawStatProjections!C348)</f>
        <v>WR</v>
      </c>
      <c r="BV353" t="str">
        <f>IF(FFARawStatProjections!B348=0,"",FFARawStatProjections!B348)</f>
        <v>BUF</v>
      </c>
      <c r="BX353">
        <v>347</v>
      </c>
      <c r="BY353" s="89" t="str">
        <f t="shared" si="23"/>
        <v/>
      </c>
      <c r="BZ353" s="89" t="str">
        <f t="shared" si="24"/>
        <v/>
      </c>
      <c r="CA353" s="89" t="str">
        <f t="shared" si="25"/>
        <v/>
      </c>
    </row>
    <row r="354" spans="72:79" hidden="1" x14ac:dyDescent="0.25">
      <c r="BT354" t="str">
        <f>IF(FFARawStatProjections!A349=0,"",FFARawStatProjections!A349)</f>
        <v>Jahan Dotson</v>
      </c>
      <c r="BU354" t="str">
        <f>IF(FFARawStatProjections!C349=0,"",FFARawStatProjections!C349)</f>
        <v>WR</v>
      </c>
      <c r="BV354" t="str">
        <f>IF(FFARawStatProjections!B349=0,"",FFARawStatProjections!B349)</f>
        <v>WAS</v>
      </c>
      <c r="BX354">
        <v>348</v>
      </c>
      <c r="BY354" s="89" t="str">
        <f t="shared" si="23"/>
        <v/>
      </c>
      <c r="BZ354" s="89" t="str">
        <f t="shared" si="24"/>
        <v/>
      </c>
      <c r="CA354" s="89" t="str">
        <f t="shared" si="25"/>
        <v/>
      </c>
    </row>
    <row r="355" spans="72:79" hidden="1" x14ac:dyDescent="0.25">
      <c r="BT355" t="str">
        <f>IF(FFARawStatProjections!A350=0,"",FFARawStatProjections!A350)</f>
        <v>Diontae Johnson</v>
      </c>
      <c r="BU355" t="str">
        <f>IF(FFARawStatProjections!C350=0,"",FFARawStatProjections!C350)</f>
        <v>WR</v>
      </c>
      <c r="BV355" t="str">
        <f>IF(FFARawStatProjections!B350=0,"",FFARawStatProjections!B350)</f>
        <v>PIT</v>
      </c>
      <c r="BX355">
        <v>349</v>
      </c>
      <c r="BY355" s="89" t="str">
        <f t="shared" si="23"/>
        <v/>
      </c>
      <c r="BZ355" s="89" t="str">
        <f t="shared" si="24"/>
        <v/>
      </c>
      <c r="CA355" s="89" t="str">
        <f t="shared" si="25"/>
        <v/>
      </c>
    </row>
    <row r="356" spans="72:79" hidden="1" x14ac:dyDescent="0.25">
      <c r="BT356" t="str">
        <f>IF(FFARawStatProjections!A351=0,"",FFARawStatProjections!A351)</f>
        <v>George Pickens</v>
      </c>
      <c r="BU356" t="str">
        <f>IF(FFARawStatProjections!C351=0,"",FFARawStatProjections!C351)</f>
        <v>WR</v>
      </c>
      <c r="BV356" t="str">
        <f>IF(FFARawStatProjections!B351=0,"",FFARawStatProjections!B351)</f>
        <v>PIT</v>
      </c>
      <c r="BX356">
        <v>350</v>
      </c>
      <c r="BY356" s="89" t="str">
        <f t="shared" si="23"/>
        <v/>
      </c>
      <c r="BZ356" s="89" t="str">
        <f t="shared" si="24"/>
        <v/>
      </c>
      <c r="CA356" s="89" t="str">
        <f t="shared" si="25"/>
        <v/>
      </c>
    </row>
    <row r="357" spans="72:79" hidden="1" x14ac:dyDescent="0.25">
      <c r="BT357" t="str">
        <f>IF(FFARawStatProjections!A352=0,"",FFARawStatProjections!A352)</f>
        <v>Brandin Cooks</v>
      </c>
      <c r="BU357" t="str">
        <f>IF(FFARawStatProjections!C352=0,"",FFARawStatProjections!C352)</f>
        <v>WR</v>
      </c>
      <c r="BV357" t="str">
        <f>IF(FFARawStatProjections!B352=0,"",FFARawStatProjections!B352)</f>
        <v>DAL</v>
      </c>
      <c r="BX357">
        <v>351</v>
      </c>
      <c r="BY357" s="89" t="str">
        <f t="shared" si="23"/>
        <v/>
      </c>
      <c r="BZ357" s="89" t="str">
        <f t="shared" si="24"/>
        <v/>
      </c>
      <c r="CA357" s="89" t="str">
        <f t="shared" si="25"/>
        <v/>
      </c>
    </row>
    <row r="358" spans="72:79" hidden="1" x14ac:dyDescent="0.25">
      <c r="BT358" t="str">
        <f>IF(FFARawStatProjections!A353=0,"",FFARawStatProjections!A353)</f>
        <v>Jordan Addison</v>
      </c>
      <c r="BU358" t="str">
        <f>IF(FFARawStatProjections!C353=0,"",FFARawStatProjections!C353)</f>
        <v>WR</v>
      </c>
      <c r="BV358" t="str">
        <f>IF(FFARawStatProjections!B353=0,"",FFARawStatProjections!B353)</f>
        <v>MIN</v>
      </c>
      <c r="BX358">
        <v>352</v>
      </c>
      <c r="BY358" s="89" t="str">
        <f t="shared" si="23"/>
        <v/>
      </c>
      <c r="BZ358" s="89" t="str">
        <f t="shared" si="24"/>
        <v/>
      </c>
      <c r="CA358" s="89" t="str">
        <f t="shared" si="25"/>
        <v/>
      </c>
    </row>
    <row r="359" spans="72:79" hidden="1" x14ac:dyDescent="0.25">
      <c r="BT359" t="str">
        <f>IF(FFARawStatProjections!A354=0,"",FFARawStatProjections!A354)</f>
        <v>Michael Pittman</v>
      </c>
      <c r="BU359" t="str">
        <f>IF(FFARawStatProjections!C354=0,"",FFARawStatProjections!C354)</f>
        <v>WR</v>
      </c>
      <c r="BV359" t="str">
        <f>IF(FFARawStatProjections!B354=0,"",FFARawStatProjections!B354)</f>
        <v>IND</v>
      </c>
      <c r="BX359">
        <v>353</v>
      </c>
      <c r="BY359" s="89" t="str">
        <f t="shared" si="23"/>
        <v/>
      </c>
      <c r="BZ359" s="89" t="str">
        <f t="shared" si="24"/>
        <v/>
      </c>
      <c r="CA359" s="89" t="str">
        <f t="shared" si="25"/>
        <v/>
      </c>
    </row>
    <row r="360" spans="72:79" hidden="1" x14ac:dyDescent="0.25">
      <c r="BT360" t="str">
        <f>IF(FFARawStatProjections!A355=0,"",FFARawStatProjections!A355)</f>
        <v>Treylon Burks</v>
      </c>
      <c r="BU360" t="str">
        <f>IF(FFARawStatProjections!C355=0,"",FFARawStatProjections!C355)</f>
        <v>WR</v>
      </c>
      <c r="BV360" t="str">
        <f>IF(FFARawStatProjections!B355=0,"",FFARawStatProjections!B355)</f>
        <v>TEN</v>
      </c>
      <c r="BX360">
        <v>354</v>
      </c>
      <c r="BY360" s="89" t="str">
        <f t="shared" si="23"/>
        <v/>
      </c>
      <c r="BZ360" s="89" t="str">
        <f t="shared" si="24"/>
        <v/>
      </c>
      <c r="CA360" s="89" t="str">
        <f t="shared" si="25"/>
        <v/>
      </c>
    </row>
    <row r="361" spans="72:79" hidden="1" x14ac:dyDescent="0.25">
      <c r="BT361" t="str">
        <f>IF(FFARawStatProjections!A356=0,"",FFARawStatProjections!A356)</f>
        <v>Jaxon Smith-Njigba</v>
      </c>
      <c r="BU361" t="str">
        <f>IF(FFARawStatProjections!C356=0,"",FFARawStatProjections!C356)</f>
        <v>WR</v>
      </c>
      <c r="BV361" t="str">
        <f>IF(FFARawStatProjections!B356=0,"",FFARawStatProjections!B356)</f>
        <v>SEA</v>
      </c>
      <c r="BX361">
        <v>355</v>
      </c>
      <c r="BY361" s="89" t="str">
        <f t="shared" si="23"/>
        <v/>
      </c>
      <c r="BZ361" s="89" t="str">
        <f t="shared" si="24"/>
        <v/>
      </c>
      <c r="CA361" s="89" t="str">
        <f t="shared" si="25"/>
        <v/>
      </c>
    </row>
    <row r="362" spans="72:79" hidden="1" x14ac:dyDescent="0.25">
      <c r="BT362" t="str">
        <f>IF(FFARawStatProjections!A357=0,"",FFARawStatProjections!A357)</f>
        <v>Courtland Sutton</v>
      </c>
      <c r="BU362" t="str">
        <f>IF(FFARawStatProjections!C357=0,"",FFARawStatProjections!C357)</f>
        <v>WR</v>
      </c>
      <c r="BV362" t="str">
        <f>IF(FFARawStatProjections!B357=0,"",FFARawStatProjections!B357)</f>
        <v>DEN</v>
      </c>
      <c r="BX362">
        <v>356</v>
      </c>
      <c r="BY362" s="89" t="str">
        <f t="shared" si="23"/>
        <v/>
      </c>
      <c r="BZ362" s="89" t="str">
        <f t="shared" si="24"/>
        <v/>
      </c>
      <c r="CA362" s="89" t="str">
        <f t="shared" si="25"/>
        <v/>
      </c>
    </row>
    <row r="363" spans="72:79" hidden="1" x14ac:dyDescent="0.25">
      <c r="BT363" t="str">
        <f>IF(FFARawStatProjections!A358=0,"",FFARawStatProjections!A358)</f>
        <v>Michael Thomas</v>
      </c>
      <c r="BU363" t="str">
        <f>IF(FFARawStatProjections!C358=0,"",FFARawStatProjections!C358)</f>
        <v>WR</v>
      </c>
      <c r="BV363" t="str">
        <f>IF(FFARawStatProjections!B358=0,"",FFARawStatProjections!B358)</f>
        <v>NO</v>
      </c>
      <c r="BX363">
        <v>357</v>
      </c>
      <c r="BY363" s="89" t="str">
        <f t="shared" si="23"/>
        <v/>
      </c>
      <c r="BZ363" s="89" t="str">
        <f t="shared" si="24"/>
        <v/>
      </c>
      <c r="CA363" s="89" t="str">
        <f t="shared" si="25"/>
        <v/>
      </c>
    </row>
    <row r="364" spans="72:79" hidden="1" x14ac:dyDescent="0.25">
      <c r="BT364" t="str">
        <f>IF(FFARawStatProjections!A359=0,"",FFARawStatProjections!A359)</f>
        <v>JuJu Smith-Schuster</v>
      </c>
      <c r="BU364" t="str">
        <f>IF(FFARawStatProjections!C359=0,"",FFARawStatProjections!C359)</f>
        <v>WR</v>
      </c>
      <c r="BV364" t="str">
        <f>IF(FFARawStatProjections!B359=0,"",FFARawStatProjections!B359)</f>
        <v>NE</v>
      </c>
      <c r="BX364">
        <v>358</v>
      </c>
      <c r="BY364" s="89" t="str">
        <f t="shared" si="23"/>
        <v/>
      </c>
      <c r="BZ364" s="89" t="str">
        <f t="shared" si="24"/>
        <v/>
      </c>
      <c r="CA364" s="89" t="str">
        <f t="shared" si="25"/>
        <v/>
      </c>
    </row>
    <row r="365" spans="72:79" hidden="1" x14ac:dyDescent="0.25">
      <c r="BT365" t="str">
        <f>IF(FFARawStatProjections!A360=0,"",FFARawStatProjections!A360)</f>
        <v>Zay Flowers</v>
      </c>
      <c r="BU365" t="str">
        <f>IF(FFARawStatProjections!C360=0,"",FFARawStatProjections!C360)</f>
        <v>WR</v>
      </c>
      <c r="BV365" t="str">
        <f>IF(FFARawStatProjections!B360=0,"",FFARawStatProjections!B360)</f>
        <v>BAL</v>
      </c>
      <c r="BX365">
        <v>359</v>
      </c>
      <c r="BY365" s="89" t="str">
        <f t="shared" si="23"/>
        <v/>
      </c>
      <c r="BZ365" s="89" t="str">
        <f t="shared" si="24"/>
        <v/>
      </c>
      <c r="CA365" s="89" t="str">
        <f t="shared" si="25"/>
        <v/>
      </c>
    </row>
    <row r="366" spans="72:79" hidden="1" x14ac:dyDescent="0.25">
      <c r="BT366" t="str">
        <f>IF(FFARawStatProjections!A361=0,"",FFARawStatProjections!A361)</f>
        <v>Kadarius Toney</v>
      </c>
      <c r="BU366" t="str">
        <f>IF(FFARawStatProjections!C361=0,"",FFARawStatProjections!C361)</f>
        <v>WR</v>
      </c>
      <c r="BV366" t="str">
        <f>IF(FFARawStatProjections!B361=0,"",FFARawStatProjections!B361)</f>
        <v>KC</v>
      </c>
      <c r="BX366">
        <v>360</v>
      </c>
      <c r="BY366" s="89" t="str">
        <f t="shared" si="23"/>
        <v/>
      </c>
      <c r="BZ366" s="89" t="str">
        <f t="shared" si="24"/>
        <v/>
      </c>
      <c r="CA366" s="89" t="str">
        <f t="shared" si="25"/>
        <v/>
      </c>
    </row>
    <row r="367" spans="72:79" hidden="1" x14ac:dyDescent="0.25">
      <c r="BT367" t="str">
        <f>IF(FFARawStatProjections!A362=0,"",FFARawStatProjections!A362)</f>
        <v>Nico Collins</v>
      </c>
      <c r="BU367" t="str">
        <f>IF(FFARawStatProjections!C362=0,"",FFARawStatProjections!C362)</f>
        <v>WR</v>
      </c>
      <c r="BV367" t="str">
        <f>IF(FFARawStatProjections!B362=0,"",FFARawStatProjections!B362)</f>
        <v>HOU</v>
      </c>
      <c r="BX367">
        <v>361</v>
      </c>
      <c r="BY367" s="89" t="str">
        <f t="shared" si="23"/>
        <v/>
      </c>
      <c r="BZ367" s="89" t="str">
        <f t="shared" si="24"/>
        <v/>
      </c>
      <c r="CA367" s="89" t="str">
        <f t="shared" si="25"/>
        <v/>
      </c>
    </row>
    <row r="368" spans="72:79" hidden="1" x14ac:dyDescent="0.25">
      <c r="BT368" t="str">
        <f>IF(FFARawStatProjections!A363=0,"",FFARawStatProjections!A363)</f>
        <v>Jakobi Meyers</v>
      </c>
      <c r="BU368" t="str">
        <f>IF(FFARawStatProjections!C363=0,"",FFARawStatProjections!C363)</f>
        <v>WR</v>
      </c>
      <c r="BV368" t="str">
        <f>IF(FFARawStatProjections!B363=0,"",FFARawStatProjections!B363)</f>
        <v>LV</v>
      </c>
      <c r="BX368">
        <v>362</v>
      </c>
      <c r="BY368" s="89" t="str">
        <f t="shared" si="23"/>
        <v/>
      </c>
      <c r="BZ368" s="89" t="str">
        <f t="shared" si="24"/>
        <v/>
      </c>
      <c r="CA368" s="89" t="str">
        <f t="shared" si="25"/>
        <v/>
      </c>
    </row>
    <row r="369" spans="72:79" hidden="1" x14ac:dyDescent="0.25">
      <c r="BT369" t="str">
        <f>IF(FFARawStatProjections!A364=0,"",FFARawStatProjections!A364)</f>
        <v>Odell Beckham</v>
      </c>
      <c r="BU369" t="str">
        <f>IF(FFARawStatProjections!C364=0,"",FFARawStatProjections!C364)</f>
        <v>WR</v>
      </c>
      <c r="BV369" t="str">
        <f>IF(FFARawStatProjections!B364=0,"",FFARawStatProjections!B364)</f>
        <v>BAL</v>
      </c>
      <c r="BX369">
        <v>363</v>
      </c>
      <c r="BY369" s="89" t="str">
        <f t="shared" si="23"/>
        <v/>
      </c>
      <c r="BZ369" s="89" t="str">
        <f t="shared" si="24"/>
        <v/>
      </c>
      <c r="CA369" s="89" t="str">
        <f t="shared" si="25"/>
        <v/>
      </c>
    </row>
    <row r="370" spans="72:79" hidden="1" x14ac:dyDescent="0.25">
      <c r="BT370" t="str">
        <f>IF(FFARawStatProjections!A365=0,"",FFARawStatProjections!A365)</f>
        <v>DJ Chark</v>
      </c>
      <c r="BU370" t="str">
        <f>IF(FFARawStatProjections!C365=0,"",FFARawStatProjections!C365)</f>
        <v>WR</v>
      </c>
      <c r="BV370" t="str">
        <f>IF(FFARawStatProjections!B365=0,"",FFARawStatProjections!B365)</f>
        <v>CAR</v>
      </c>
      <c r="BX370">
        <v>364</v>
      </c>
      <c r="BY370" s="89" t="str">
        <f t="shared" si="23"/>
        <v/>
      </c>
      <c r="BZ370" s="89" t="str">
        <f t="shared" si="24"/>
        <v/>
      </c>
      <c r="CA370" s="89" t="str">
        <f t="shared" si="25"/>
        <v/>
      </c>
    </row>
    <row r="371" spans="72:79" hidden="1" x14ac:dyDescent="0.25">
      <c r="BT371" t="str">
        <f>IF(FFARawStatProjections!A366=0,"",FFARawStatProjections!A366)</f>
        <v>Tyler Boyd</v>
      </c>
      <c r="BU371" t="str">
        <f>IF(FFARawStatProjections!C366=0,"",FFARawStatProjections!C366)</f>
        <v>WR</v>
      </c>
      <c r="BV371" t="str">
        <f>IF(FFARawStatProjections!B366=0,"",FFARawStatProjections!B366)</f>
        <v>CIN</v>
      </c>
      <c r="BX371">
        <v>365</v>
      </c>
      <c r="BY371" s="89" t="str">
        <f t="shared" si="23"/>
        <v/>
      </c>
      <c r="BZ371" s="89" t="str">
        <f t="shared" si="24"/>
        <v/>
      </c>
      <c r="CA371" s="89" t="str">
        <f t="shared" si="25"/>
        <v/>
      </c>
    </row>
    <row r="372" spans="72:79" hidden="1" x14ac:dyDescent="0.25">
      <c r="BT372" t="str">
        <f>IF(FFARawStatProjections!A367=0,"",FFARawStatProjections!A367)</f>
        <v>Marquez Valdes-Scantling</v>
      </c>
      <c r="BU372" t="str">
        <f>IF(FFARawStatProjections!C367=0,"",FFARawStatProjections!C367)</f>
        <v>WR</v>
      </c>
      <c r="BV372" t="str">
        <f>IF(FFARawStatProjections!B367=0,"",FFARawStatProjections!B367)</f>
        <v>KC</v>
      </c>
      <c r="BX372">
        <v>366</v>
      </c>
      <c r="BY372" s="89" t="str">
        <f t="shared" si="23"/>
        <v/>
      </c>
      <c r="BZ372" s="89" t="str">
        <f t="shared" si="24"/>
        <v/>
      </c>
      <c r="CA372" s="89" t="str">
        <f t="shared" si="25"/>
        <v/>
      </c>
    </row>
    <row r="373" spans="72:79" hidden="1" x14ac:dyDescent="0.25">
      <c r="BT373" t="str">
        <f>IF(FFARawStatProjections!A368=0,"",FFARawStatProjections!A368)</f>
        <v>Quentin Johnston</v>
      </c>
      <c r="BU373" t="str">
        <f>IF(FFARawStatProjections!C368=0,"",FFARawStatProjections!C368)</f>
        <v>WR</v>
      </c>
      <c r="BV373" t="str">
        <f>IF(FFARawStatProjections!B368=0,"",FFARawStatProjections!B368)</f>
        <v>LAC</v>
      </c>
      <c r="BX373">
        <v>367</v>
      </c>
      <c r="BY373" s="89" t="str">
        <f t="shared" si="23"/>
        <v/>
      </c>
      <c r="BZ373" s="89" t="str">
        <f t="shared" si="24"/>
        <v/>
      </c>
      <c r="CA373" s="89" t="str">
        <f t="shared" si="25"/>
        <v/>
      </c>
    </row>
    <row r="374" spans="72:79" hidden="1" x14ac:dyDescent="0.25">
      <c r="BT374" t="str">
        <f>IF(FFARawStatProjections!A369=0,"",FFARawStatProjections!A369)</f>
        <v>Michael Gallup</v>
      </c>
      <c r="BU374" t="str">
        <f>IF(FFARawStatProjections!C369=0,"",FFARawStatProjections!C369)</f>
        <v>WR</v>
      </c>
      <c r="BV374" t="str">
        <f>IF(FFARawStatProjections!B369=0,"",FFARawStatProjections!B369)</f>
        <v>DAL</v>
      </c>
      <c r="BX374">
        <v>368</v>
      </c>
      <c r="BY374" s="89" t="str">
        <f t="shared" si="23"/>
        <v/>
      </c>
      <c r="BZ374" s="89" t="str">
        <f t="shared" si="24"/>
        <v/>
      </c>
      <c r="CA374" s="89" t="str">
        <f t="shared" si="25"/>
        <v/>
      </c>
    </row>
    <row r="375" spans="72:79" hidden="1" x14ac:dyDescent="0.25">
      <c r="BT375" t="str">
        <f>IF(FFARawStatProjections!A370=0,"",FFARawStatProjections!A370)</f>
        <v>Allen Lazard</v>
      </c>
      <c r="BU375" t="str">
        <f>IF(FFARawStatProjections!C370=0,"",FFARawStatProjections!C370)</f>
        <v>WR</v>
      </c>
      <c r="BV375" t="str">
        <f>IF(FFARawStatProjections!B370=0,"",FFARawStatProjections!B370)</f>
        <v>NYJ</v>
      </c>
      <c r="BX375">
        <v>369</v>
      </c>
      <c r="BY375" s="89" t="str">
        <f t="shared" si="23"/>
        <v/>
      </c>
      <c r="BZ375" s="89" t="str">
        <f t="shared" si="24"/>
        <v/>
      </c>
      <c r="CA375" s="89" t="str">
        <f t="shared" si="25"/>
        <v/>
      </c>
    </row>
    <row r="376" spans="72:79" hidden="1" x14ac:dyDescent="0.25">
      <c r="BT376" t="str">
        <f>IF(FFARawStatProjections!A371=0,"",FFARawStatProjections!A371)</f>
        <v>Darnell Mooney</v>
      </c>
      <c r="BU376" t="str">
        <f>IF(FFARawStatProjections!C371=0,"",FFARawStatProjections!C371)</f>
        <v>WR</v>
      </c>
      <c r="BV376" t="str">
        <f>IF(FFARawStatProjections!B371=0,"",FFARawStatProjections!B371)</f>
        <v>CHI</v>
      </c>
      <c r="BX376">
        <v>370</v>
      </c>
      <c r="BY376" s="89" t="str">
        <f t="shared" si="23"/>
        <v/>
      </c>
      <c r="BZ376" s="89" t="str">
        <f t="shared" si="24"/>
        <v/>
      </c>
      <c r="CA376" s="89" t="str">
        <f t="shared" si="25"/>
        <v/>
      </c>
    </row>
    <row r="377" spans="72:79" hidden="1" x14ac:dyDescent="0.25">
      <c r="BT377" t="str">
        <f>IF(FFARawStatProjections!A372=0,"",FFARawStatProjections!A372)</f>
        <v>Zay Jones</v>
      </c>
      <c r="BU377" t="str">
        <f>IF(FFARawStatProjections!C372=0,"",FFARawStatProjections!C372)</f>
        <v>WR</v>
      </c>
      <c r="BV377" t="str">
        <f>IF(FFARawStatProjections!B372=0,"",FFARawStatProjections!B372)</f>
        <v>JAC</v>
      </c>
      <c r="BX377">
        <v>371</v>
      </c>
      <c r="BY377" s="89" t="str">
        <f t="shared" si="23"/>
        <v/>
      </c>
      <c r="BZ377" s="89" t="str">
        <f t="shared" si="24"/>
        <v/>
      </c>
      <c r="CA377" s="89" t="str">
        <f t="shared" si="25"/>
        <v/>
      </c>
    </row>
    <row r="378" spans="72:79" hidden="1" x14ac:dyDescent="0.25">
      <c r="BT378" t="str">
        <f>IF(FFARawStatProjections!A373=0,"",FFARawStatProjections!A373)</f>
        <v>Adam Thielen</v>
      </c>
      <c r="BU378" t="str">
        <f>IF(FFARawStatProjections!C373=0,"",FFARawStatProjections!C373)</f>
        <v>WR</v>
      </c>
      <c r="BV378" t="str">
        <f>IF(FFARawStatProjections!B373=0,"",FFARawStatProjections!B373)</f>
        <v>CAR</v>
      </c>
      <c r="BX378">
        <v>372</v>
      </c>
      <c r="BY378" s="89" t="str">
        <f t="shared" si="23"/>
        <v/>
      </c>
      <c r="BZ378" s="89" t="str">
        <f t="shared" si="24"/>
        <v/>
      </c>
      <c r="CA378" s="89" t="str">
        <f t="shared" si="25"/>
        <v/>
      </c>
    </row>
    <row r="379" spans="72:79" hidden="1" x14ac:dyDescent="0.25">
      <c r="BT379" t="str">
        <f>IF(FFARawStatProjections!A374=0,"",FFARawStatProjections!A374)</f>
        <v>DeVante Parker</v>
      </c>
      <c r="BU379" t="str">
        <f>IF(FFARawStatProjections!C374=0,"",FFARawStatProjections!C374)</f>
        <v>WR</v>
      </c>
      <c r="BV379" t="str">
        <f>IF(FFARawStatProjections!B374=0,"",FFARawStatProjections!B374)</f>
        <v>NE</v>
      </c>
      <c r="BX379">
        <v>373</v>
      </c>
      <c r="BY379" s="89" t="str">
        <f t="shared" si="23"/>
        <v/>
      </c>
      <c r="BZ379" s="89" t="str">
        <f t="shared" si="24"/>
        <v/>
      </c>
      <c r="CA379" s="89" t="str">
        <f t="shared" si="25"/>
        <v/>
      </c>
    </row>
    <row r="380" spans="72:79" hidden="1" x14ac:dyDescent="0.25">
      <c r="BT380" t="str">
        <f>IF(FFARawStatProjections!A375=0,"",FFARawStatProjections!A375)</f>
        <v>Skyy Moore</v>
      </c>
      <c r="BU380" t="str">
        <f>IF(FFARawStatProjections!C375=0,"",FFARawStatProjections!C375)</f>
        <v>WR</v>
      </c>
      <c r="BV380" t="str">
        <f>IF(FFARawStatProjections!B375=0,"",FFARawStatProjections!B375)</f>
        <v>KC</v>
      </c>
      <c r="BX380">
        <v>374</v>
      </c>
      <c r="BY380" s="89" t="str">
        <f t="shared" si="23"/>
        <v/>
      </c>
      <c r="BZ380" s="89" t="str">
        <f t="shared" si="24"/>
        <v/>
      </c>
      <c r="CA380" s="89" t="str">
        <f t="shared" si="25"/>
        <v/>
      </c>
    </row>
    <row r="381" spans="72:79" hidden="1" x14ac:dyDescent="0.25">
      <c r="BT381" t="str">
        <f>IF(FFARawStatProjections!A376=0,"",FFARawStatProjections!A376)</f>
        <v>Rondale Moore</v>
      </c>
      <c r="BU381" t="str">
        <f>IF(FFARawStatProjections!C376=0,"",FFARawStatProjections!C376)</f>
        <v>WR</v>
      </c>
      <c r="BV381" t="str">
        <f>IF(FFARawStatProjections!B376=0,"",FFARawStatProjections!B376)</f>
        <v>AZ</v>
      </c>
      <c r="BX381">
        <v>375</v>
      </c>
      <c r="BY381" s="89" t="str">
        <f t="shared" si="23"/>
        <v/>
      </c>
      <c r="BZ381" s="89" t="str">
        <f t="shared" si="24"/>
        <v/>
      </c>
      <c r="CA381" s="89" t="str">
        <f t="shared" si="25"/>
        <v/>
      </c>
    </row>
    <row r="382" spans="72:79" hidden="1" x14ac:dyDescent="0.25">
      <c r="BT382" t="str">
        <f>IF(FFARawStatProjections!A377=0,"",FFARawStatProjections!A377)</f>
        <v>Romeo Doubs</v>
      </c>
      <c r="BU382" t="str">
        <f>IF(FFARawStatProjections!C377=0,"",FFARawStatProjections!C377)</f>
        <v>WR</v>
      </c>
      <c r="BV382" t="str">
        <f>IF(FFARawStatProjections!B377=0,"",FFARawStatProjections!B377)</f>
        <v>GB</v>
      </c>
      <c r="BX382">
        <v>376</v>
      </c>
      <c r="BY382" s="89" t="str">
        <f t="shared" si="23"/>
        <v/>
      </c>
      <c r="BZ382" s="89" t="str">
        <f t="shared" si="24"/>
        <v/>
      </c>
      <c r="CA382" s="89" t="str">
        <f t="shared" si="25"/>
        <v/>
      </c>
    </row>
    <row r="383" spans="72:79" hidden="1" x14ac:dyDescent="0.25">
      <c r="BT383" t="str">
        <f>IF(FFARawStatProjections!A378=0,"",FFARawStatProjections!A378)</f>
        <v>Jonathan Mingo</v>
      </c>
      <c r="BU383" t="str">
        <f>IF(FFARawStatProjections!C378=0,"",FFARawStatProjections!C378)</f>
        <v>WR</v>
      </c>
      <c r="BV383" t="str">
        <f>IF(FFARawStatProjections!B378=0,"",FFARawStatProjections!B378)</f>
        <v>CAR</v>
      </c>
      <c r="BX383">
        <v>377</v>
      </c>
      <c r="BY383" s="89" t="str">
        <f t="shared" si="23"/>
        <v/>
      </c>
      <c r="BZ383" s="89" t="str">
        <f t="shared" si="24"/>
        <v/>
      </c>
      <c r="CA383" s="89" t="str">
        <f t="shared" si="25"/>
        <v/>
      </c>
    </row>
    <row r="384" spans="72:79" hidden="1" x14ac:dyDescent="0.25">
      <c r="BT384" t="str">
        <f>IF(FFARawStatProjections!A379=0,"",FFARawStatProjections!A379)</f>
        <v>Curtis Samuel</v>
      </c>
      <c r="BU384" t="str">
        <f>IF(FFARawStatProjections!C379=0,"",FFARawStatProjections!C379)</f>
        <v>WR</v>
      </c>
      <c r="BV384" t="str">
        <f>IF(FFARawStatProjections!B379=0,"",FFARawStatProjections!B379)</f>
        <v>WAS</v>
      </c>
      <c r="BX384">
        <v>378</v>
      </c>
      <c r="BY384" s="89" t="str">
        <f t="shared" si="23"/>
        <v/>
      </c>
      <c r="BZ384" s="89" t="str">
        <f t="shared" si="24"/>
        <v/>
      </c>
      <c r="CA384" s="89" t="str">
        <f t="shared" si="25"/>
        <v/>
      </c>
    </row>
    <row r="385" spans="72:79" hidden="1" x14ac:dyDescent="0.25">
      <c r="BT385" t="str">
        <f>IF(FFARawStatProjections!A380=0,"",FFARawStatProjections!A380)</f>
        <v>Van Jefferson</v>
      </c>
      <c r="BU385" t="str">
        <f>IF(FFARawStatProjections!C380=0,"",FFARawStatProjections!C380)</f>
        <v>WR</v>
      </c>
      <c r="BV385" t="str">
        <f>IF(FFARawStatProjections!B380=0,"",FFARawStatProjections!B380)</f>
        <v>LAR</v>
      </c>
      <c r="BX385">
        <v>379</v>
      </c>
      <c r="BY385" s="89" t="str">
        <f t="shared" si="23"/>
        <v/>
      </c>
      <c r="BZ385" s="89" t="str">
        <f t="shared" si="24"/>
        <v/>
      </c>
      <c r="CA385" s="89" t="str">
        <f t="shared" si="25"/>
        <v/>
      </c>
    </row>
    <row r="386" spans="72:79" hidden="1" x14ac:dyDescent="0.25">
      <c r="BT386" t="str">
        <f>IF(FFARawStatProjections!A381=0,"",FFARawStatProjections!A381)</f>
        <v>Elijah Moore</v>
      </c>
      <c r="BU386" t="str">
        <f>IF(FFARawStatProjections!C381=0,"",FFARawStatProjections!C381)</f>
        <v>WR</v>
      </c>
      <c r="BV386" t="str">
        <f>IF(FFARawStatProjections!B381=0,"",FFARawStatProjections!B381)</f>
        <v>CLE</v>
      </c>
      <c r="BX386">
        <v>380</v>
      </c>
      <c r="BY386" s="89" t="str">
        <f t="shared" si="23"/>
        <v/>
      </c>
      <c r="BZ386" s="89" t="str">
        <f t="shared" si="24"/>
        <v/>
      </c>
      <c r="CA386" s="89" t="str">
        <f t="shared" si="25"/>
        <v/>
      </c>
    </row>
    <row r="387" spans="72:79" hidden="1" x14ac:dyDescent="0.25">
      <c r="BT387" t="str">
        <f>IF(FFARawStatProjections!A382=0,"",FFARawStatProjections!A382)</f>
        <v>Donovan Peoples-Jones</v>
      </c>
      <c r="BU387" t="str">
        <f>IF(FFARawStatProjections!C382=0,"",FFARawStatProjections!C382)</f>
        <v>WR</v>
      </c>
      <c r="BV387" t="str">
        <f>IF(FFARawStatProjections!B382=0,"",FFARawStatProjections!B382)</f>
        <v>CLE</v>
      </c>
      <c r="BX387">
        <v>381</v>
      </c>
      <c r="BY387" s="89" t="str">
        <f t="shared" si="23"/>
        <v/>
      </c>
      <c r="BZ387" s="89" t="str">
        <f t="shared" si="24"/>
        <v/>
      </c>
      <c r="CA387" s="89" t="str">
        <f t="shared" si="25"/>
        <v/>
      </c>
    </row>
    <row r="388" spans="72:79" hidden="1" x14ac:dyDescent="0.25">
      <c r="BT388" t="str">
        <f>IF(FFARawStatProjections!A383=0,"",FFARawStatProjections!A383)</f>
        <v>KJ Osborn</v>
      </c>
      <c r="BU388" t="str">
        <f>IF(FFARawStatProjections!C383=0,"",FFARawStatProjections!C383)</f>
        <v>WR</v>
      </c>
      <c r="BV388" t="str">
        <f>IF(FFARawStatProjections!B383=0,"",FFARawStatProjections!B383)</f>
        <v>MIN</v>
      </c>
      <c r="BX388">
        <v>382</v>
      </c>
      <c r="BY388" s="89" t="str">
        <f t="shared" si="23"/>
        <v/>
      </c>
      <c r="BZ388" s="89" t="str">
        <f t="shared" si="24"/>
        <v/>
      </c>
      <c r="CA388" s="89" t="str">
        <f t="shared" si="25"/>
        <v/>
      </c>
    </row>
    <row r="389" spans="72:79" hidden="1" x14ac:dyDescent="0.25">
      <c r="BT389" t="str">
        <f>IF(FFARawStatProjections!A384=0,"",FFARawStatProjections!A384)</f>
        <v>Hunter Renfrow</v>
      </c>
      <c r="BU389" t="str">
        <f>IF(FFARawStatProjections!C384=0,"",FFARawStatProjections!C384)</f>
        <v>WR</v>
      </c>
      <c r="BV389" t="str">
        <f>IF(FFARawStatProjections!B384=0,"",FFARawStatProjections!B384)</f>
        <v>LV</v>
      </c>
      <c r="BX389">
        <v>383</v>
      </c>
      <c r="BY389" s="89" t="str">
        <f t="shared" si="23"/>
        <v/>
      </c>
      <c r="BZ389" s="89" t="str">
        <f t="shared" si="24"/>
        <v/>
      </c>
      <c r="CA389" s="89" t="str">
        <f t="shared" si="25"/>
        <v/>
      </c>
    </row>
    <row r="390" spans="72:79" hidden="1" x14ac:dyDescent="0.25">
      <c r="BT390" t="str">
        <f>IF(FFARawStatProjections!A385=0,"",FFARawStatProjections!A385)</f>
        <v>Jayden Reed</v>
      </c>
      <c r="BU390" t="str">
        <f>IF(FFARawStatProjections!C385=0,"",FFARawStatProjections!C385)</f>
        <v>WR</v>
      </c>
      <c r="BV390" t="str">
        <f>IF(FFARawStatProjections!B385=0,"",FFARawStatProjections!B385)</f>
        <v>GB</v>
      </c>
      <c r="BX390">
        <v>384</v>
      </c>
      <c r="BY390" s="89" t="str">
        <f t="shared" si="23"/>
        <v/>
      </c>
      <c r="BZ390" s="89" t="str">
        <f t="shared" si="24"/>
        <v/>
      </c>
      <c r="CA390" s="89" t="str">
        <f t="shared" si="25"/>
        <v/>
      </c>
    </row>
    <row r="391" spans="72:79" hidden="1" x14ac:dyDescent="0.25">
      <c r="BT391" t="str">
        <f>IF(FFARawStatProjections!A386=0,"",FFARawStatProjections!A386)</f>
        <v>Jameson Williams</v>
      </c>
      <c r="BU391" t="str">
        <f>IF(FFARawStatProjections!C386=0,"",FFARawStatProjections!C386)</f>
        <v>WR</v>
      </c>
      <c r="BV391" t="str">
        <f>IF(FFARawStatProjections!B386=0,"",FFARawStatProjections!B386)</f>
        <v>DET</v>
      </c>
      <c r="BX391">
        <v>385</v>
      </c>
      <c r="BY391" s="89" t="str">
        <f t="shared" si="23"/>
        <v/>
      </c>
      <c r="BZ391" s="89" t="str">
        <f t="shared" si="24"/>
        <v/>
      </c>
      <c r="CA391" s="89" t="str">
        <f t="shared" si="25"/>
        <v/>
      </c>
    </row>
    <row r="392" spans="72:79" hidden="1" x14ac:dyDescent="0.25">
      <c r="BT392" t="str">
        <f>IF(FFARawStatProjections!A387=0,"",FFARawStatProjections!A387)</f>
        <v>Rashid Shaheed</v>
      </c>
      <c r="BU392" t="str">
        <f>IF(FFARawStatProjections!C387=0,"",FFARawStatProjections!C387)</f>
        <v>WR</v>
      </c>
      <c r="BV392" t="str">
        <f>IF(FFARawStatProjections!B387=0,"",FFARawStatProjections!B387)</f>
        <v>NO</v>
      </c>
      <c r="BX392">
        <v>386</v>
      </c>
      <c r="BY392" s="89" t="str">
        <f t="shared" ref="BY392:BY455" si="26">IFERROR(INDEX(BT:BT,MATCH(BX392,BW:BW,0),1),"")</f>
        <v/>
      </c>
      <c r="BZ392" s="89" t="str">
        <f t="shared" ref="BZ392:BZ455" si="27">IFERROR(INDEX(BU:BU,MATCH(BX392,BW:BW,0)),"")</f>
        <v/>
      </c>
      <c r="CA392" s="89" t="str">
        <f t="shared" ref="CA392:CA455" si="28">IFERROR(INDEX(BV:BV,MATCH(BX392,BW:BW,0)),"")</f>
        <v/>
      </c>
    </row>
    <row r="393" spans="72:79" hidden="1" x14ac:dyDescent="0.25">
      <c r="BT393" t="str">
        <f>IF(FFARawStatProjections!A388=0,"",FFARawStatProjections!A388)</f>
        <v>Isaiah Hodgins</v>
      </c>
      <c r="BU393" t="str">
        <f>IF(FFARawStatProjections!C388=0,"",FFARawStatProjections!C388)</f>
        <v>WR</v>
      </c>
      <c r="BV393" t="str">
        <f>IF(FFARawStatProjections!B388=0,"",FFARawStatProjections!B388)</f>
        <v>NYG</v>
      </c>
      <c r="BX393">
        <v>387</v>
      </c>
      <c r="BY393" s="89" t="str">
        <f t="shared" si="26"/>
        <v/>
      </c>
      <c r="BZ393" s="89" t="str">
        <f t="shared" si="27"/>
        <v/>
      </c>
      <c r="CA393" s="89" t="str">
        <f t="shared" si="28"/>
        <v/>
      </c>
    </row>
    <row r="394" spans="72:79" hidden="1" x14ac:dyDescent="0.25">
      <c r="BT394" t="str">
        <f>IF(FFARawStatProjections!A389=0,"",FFARawStatProjections!A389)</f>
        <v>Rashod Bateman</v>
      </c>
      <c r="BU394" t="str">
        <f>IF(FFARawStatProjections!C389=0,"",FFARawStatProjections!C389)</f>
        <v>WR</v>
      </c>
      <c r="BV394" t="str">
        <f>IF(FFARawStatProjections!B389=0,"",FFARawStatProjections!B389)</f>
        <v>BAL</v>
      </c>
      <c r="BX394">
        <v>388</v>
      </c>
      <c r="BY394" s="89" t="str">
        <f t="shared" si="26"/>
        <v/>
      </c>
      <c r="BZ394" s="89" t="str">
        <f t="shared" si="27"/>
        <v/>
      </c>
      <c r="CA394" s="89" t="str">
        <f t="shared" si="28"/>
        <v/>
      </c>
    </row>
    <row r="395" spans="72:79" hidden="1" x14ac:dyDescent="0.25">
      <c r="BT395" t="str">
        <f>IF(FFARawStatProjections!A390=0,"",FFARawStatProjections!A390)</f>
        <v>Alec Pierce</v>
      </c>
      <c r="BU395" t="str">
        <f>IF(FFARawStatProjections!C390=0,"",FFARawStatProjections!C390)</f>
        <v>WR</v>
      </c>
      <c r="BV395" t="str">
        <f>IF(FFARawStatProjections!B390=0,"",FFARawStatProjections!B390)</f>
        <v>IND</v>
      </c>
      <c r="BX395">
        <v>389</v>
      </c>
      <c r="BY395" s="89" t="str">
        <f t="shared" si="26"/>
        <v/>
      </c>
      <c r="BZ395" s="89" t="str">
        <f t="shared" si="27"/>
        <v/>
      </c>
      <c r="CA395" s="89" t="str">
        <f t="shared" si="28"/>
        <v/>
      </c>
    </row>
    <row r="396" spans="72:79" hidden="1" x14ac:dyDescent="0.25">
      <c r="BT396" t="str">
        <f>IF(FFARawStatProjections!A391=0,"",FFARawStatProjections!A391)</f>
        <v>Robert Woods</v>
      </c>
      <c r="BU396" t="str">
        <f>IF(FFARawStatProjections!C391=0,"",FFARawStatProjections!C391)</f>
        <v>WR</v>
      </c>
      <c r="BV396" t="str">
        <f>IF(FFARawStatProjections!B391=0,"",FFARawStatProjections!B391)</f>
        <v>HOU</v>
      </c>
      <c r="BX396">
        <v>390</v>
      </c>
      <c r="BY396" s="89" t="str">
        <f t="shared" si="26"/>
        <v/>
      </c>
      <c r="BZ396" s="89" t="str">
        <f t="shared" si="27"/>
        <v/>
      </c>
      <c r="CA396" s="89" t="str">
        <f t="shared" si="28"/>
        <v/>
      </c>
    </row>
    <row r="397" spans="72:79" hidden="1" x14ac:dyDescent="0.25">
      <c r="BT397" t="str">
        <f>IF(FFARawStatProjections!A392=0,"",FFARawStatProjections!A392)</f>
        <v>John Metchie</v>
      </c>
      <c r="BU397" t="str">
        <f>IF(FFARawStatProjections!C392=0,"",FFARawStatProjections!C392)</f>
        <v>WR</v>
      </c>
      <c r="BV397" t="str">
        <f>IF(FFARawStatProjections!B392=0,"",FFARawStatProjections!B392)</f>
        <v>HOU</v>
      </c>
      <c r="BX397">
        <v>391</v>
      </c>
      <c r="BY397" s="89" t="str">
        <f t="shared" si="26"/>
        <v/>
      </c>
      <c r="BZ397" s="89" t="str">
        <f t="shared" si="27"/>
        <v/>
      </c>
      <c r="CA397" s="89" t="str">
        <f t="shared" si="28"/>
        <v/>
      </c>
    </row>
    <row r="398" spans="72:79" hidden="1" x14ac:dyDescent="0.25">
      <c r="BT398" t="str">
        <f>IF(FFARawStatProjections!A393=0,"",FFARawStatProjections!A393)</f>
        <v>Chase Claypool</v>
      </c>
      <c r="BU398" t="str">
        <f>IF(FFARawStatProjections!C393=0,"",FFARawStatProjections!C393)</f>
        <v>WR</v>
      </c>
      <c r="BV398" t="str">
        <f>IF(FFARawStatProjections!B393=0,"",FFARawStatProjections!B393)</f>
        <v>CHI</v>
      </c>
      <c r="BX398">
        <v>392</v>
      </c>
      <c r="BY398" s="89" t="str">
        <f t="shared" si="26"/>
        <v/>
      </c>
      <c r="BZ398" s="89" t="str">
        <f t="shared" si="27"/>
        <v/>
      </c>
      <c r="CA398" s="89" t="str">
        <f t="shared" si="28"/>
        <v/>
      </c>
    </row>
    <row r="399" spans="72:79" hidden="1" x14ac:dyDescent="0.25">
      <c r="BT399" t="str">
        <f>IF(FFARawStatProjections!A394=0,"",FFARawStatProjections!A394)</f>
        <v>Mecole Hardman</v>
      </c>
      <c r="BU399" t="str">
        <f>IF(FFARawStatProjections!C394=0,"",FFARawStatProjections!C394)</f>
        <v>WR</v>
      </c>
      <c r="BV399" t="str">
        <f>IF(FFARawStatProjections!B394=0,"",FFARawStatProjections!B394)</f>
        <v>NYJ</v>
      </c>
      <c r="BX399">
        <v>393</v>
      </c>
      <c r="BY399" s="89" t="str">
        <f t="shared" si="26"/>
        <v/>
      </c>
      <c r="BZ399" s="89" t="str">
        <f t="shared" si="27"/>
        <v/>
      </c>
      <c r="CA399" s="89" t="str">
        <f t="shared" si="28"/>
        <v/>
      </c>
    </row>
    <row r="400" spans="72:79" hidden="1" x14ac:dyDescent="0.25">
      <c r="BT400" t="str">
        <f>IF(FFARawStatProjections!A395=0,"",FFARawStatProjections!A395)</f>
        <v>Corey Davis</v>
      </c>
      <c r="BU400" t="str">
        <f>IF(FFARawStatProjections!C395=0,"",FFARawStatProjections!C395)</f>
        <v>WR</v>
      </c>
      <c r="BV400" t="str">
        <f>IF(FFARawStatProjections!B395=0,"",FFARawStatProjections!B395)</f>
        <v>NYJ</v>
      </c>
      <c r="BX400">
        <v>394</v>
      </c>
      <c r="BY400" s="89" t="str">
        <f t="shared" si="26"/>
        <v/>
      </c>
      <c r="BZ400" s="89" t="str">
        <f t="shared" si="27"/>
        <v/>
      </c>
      <c r="CA400" s="89" t="str">
        <f t="shared" si="28"/>
        <v/>
      </c>
    </row>
    <row r="401" spans="72:79" hidden="1" x14ac:dyDescent="0.25">
      <c r="BT401" t="str">
        <f>IF(FFARawStatProjections!A396=0,"",FFARawStatProjections!A396)</f>
        <v>Marvin Jones</v>
      </c>
      <c r="BU401" t="str">
        <f>IF(FFARawStatProjections!C396=0,"",FFARawStatProjections!C396)</f>
        <v>WR</v>
      </c>
      <c r="BV401" t="str">
        <f>IF(FFARawStatProjections!B396=0,"",FFARawStatProjections!B396)</f>
        <v>DET</v>
      </c>
      <c r="BX401">
        <v>395</v>
      </c>
      <c r="BY401" s="89" t="str">
        <f t="shared" si="26"/>
        <v/>
      </c>
      <c r="BZ401" s="89" t="str">
        <f t="shared" si="27"/>
        <v/>
      </c>
      <c r="CA401" s="89" t="str">
        <f t="shared" si="28"/>
        <v/>
      </c>
    </row>
    <row r="402" spans="72:79" hidden="1" x14ac:dyDescent="0.25">
      <c r="BT402" t="str">
        <f>IF(FFARawStatProjections!A397=0,"",FFARawStatProjections!A397)</f>
        <v>Darius Slayton</v>
      </c>
      <c r="BU402" t="str">
        <f>IF(FFARawStatProjections!C397=0,"",FFARawStatProjections!C397)</f>
        <v>WR</v>
      </c>
      <c r="BV402" t="str">
        <f>IF(FFARawStatProjections!B397=0,"",FFARawStatProjections!B397)</f>
        <v>NYG</v>
      </c>
      <c r="BX402">
        <v>396</v>
      </c>
      <c r="BY402" s="89" t="str">
        <f t="shared" si="26"/>
        <v/>
      </c>
      <c r="BZ402" s="89" t="str">
        <f t="shared" si="27"/>
        <v/>
      </c>
      <c r="CA402" s="89" t="str">
        <f t="shared" si="28"/>
        <v/>
      </c>
    </row>
    <row r="403" spans="72:79" hidden="1" x14ac:dyDescent="0.25">
      <c r="BT403" t="str">
        <f>IF(FFARawStatProjections!A398=0,"",FFARawStatProjections!A398)</f>
        <v>Mack Hollins</v>
      </c>
      <c r="BU403" t="str">
        <f>IF(FFARawStatProjections!C398=0,"",FFARawStatProjections!C398)</f>
        <v>WR</v>
      </c>
      <c r="BV403" t="str">
        <f>IF(FFARawStatProjections!B398=0,"",FFARawStatProjections!B398)</f>
        <v>ATL</v>
      </c>
      <c r="BX403">
        <v>397</v>
      </c>
      <c r="BY403" s="89" t="str">
        <f t="shared" si="26"/>
        <v/>
      </c>
      <c r="BZ403" s="89" t="str">
        <f t="shared" si="27"/>
        <v/>
      </c>
      <c r="CA403" s="89" t="str">
        <f t="shared" si="28"/>
        <v/>
      </c>
    </row>
    <row r="404" spans="72:79" hidden="1" x14ac:dyDescent="0.25">
      <c r="BT404" t="str">
        <f>IF(FFARawStatProjections!A399=0,"",FFARawStatProjections!A399)</f>
        <v>Rashee Rice</v>
      </c>
      <c r="BU404" t="str">
        <f>IF(FFARawStatProjections!C399=0,"",FFARawStatProjections!C399)</f>
        <v>WR</v>
      </c>
      <c r="BV404" t="str">
        <f>IF(FFARawStatProjections!B399=0,"",FFARawStatProjections!B399)</f>
        <v>KC</v>
      </c>
      <c r="BX404">
        <v>398</v>
      </c>
      <c r="BY404" s="89" t="str">
        <f t="shared" si="26"/>
        <v/>
      </c>
      <c r="BZ404" s="89" t="str">
        <f t="shared" si="27"/>
        <v/>
      </c>
      <c r="CA404" s="89" t="str">
        <f t="shared" si="28"/>
        <v/>
      </c>
    </row>
    <row r="405" spans="72:79" hidden="1" x14ac:dyDescent="0.25">
      <c r="BT405" t="str">
        <f>IF(FFARawStatProjections!A400=0,"",FFARawStatProjections!A400)</f>
        <v>Allen Robinson</v>
      </c>
      <c r="BU405" t="str">
        <f>IF(FFARawStatProjections!C400=0,"",FFARawStatProjections!C400)</f>
        <v>WR</v>
      </c>
      <c r="BV405" t="str">
        <f>IF(FFARawStatProjections!B400=0,"",FFARawStatProjections!B400)</f>
        <v>PIT</v>
      </c>
      <c r="BX405">
        <v>399</v>
      </c>
      <c r="BY405" s="89" t="str">
        <f t="shared" si="26"/>
        <v/>
      </c>
      <c r="BZ405" s="89" t="str">
        <f t="shared" si="27"/>
        <v/>
      </c>
      <c r="CA405" s="89" t="str">
        <f t="shared" si="28"/>
        <v/>
      </c>
    </row>
    <row r="406" spans="72:79" hidden="1" x14ac:dyDescent="0.25">
      <c r="BT406" t="str">
        <f>IF(FFARawStatProjections!A401=0,"",FFARawStatProjections!A401)</f>
        <v>Russell Gage</v>
      </c>
      <c r="BU406" t="str">
        <f>IF(FFARawStatProjections!C401=0,"",FFARawStatProjections!C401)</f>
        <v>WR</v>
      </c>
      <c r="BV406" t="str">
        <f>IF(FFARawStatProjections!B401=0,"",FFARawStatProjections!B401)</f>
        <v>TB</v>
      </c>
      <c r="BX406">
        <v>400</v>
      </c>
      <c r="BY406" s="89" t="str">
        <f t="shared" si="26"/>
        <v/>
      </c>
      <c r="BZ406" s="89" t="str">
        <f t="shared" si="27"/>
        <v/>
      </c>
      <c r="CA406" s="89" t="str">
        <f t="shared" si="28"/>
        <v/>
      </c>
    </row>
    <row r="407" spans="72:79" hidden="1" x14ac:dyDescent="0.25">
      <c r="BT407" t="str">
        <f>IF(FFARawStatProjections!A402=0,"",FFARawStatProjections!A402)</f>
        <v>Parris Campbell</v>
      </c>
      <c r="BU407" t="str">
        <f>IF(FFARawStatProjections!C402=0,"",FFARawStatProjections!C402)</f>
        <v>WR</v>
      </c>
      <c r="BV407" t="str">
        <f>IF(FFARawStatProjections!B402=0,"",FFARawStatProjections!B402)</f>
        <v>NYG</v>
      </c>
      <c r="BX407">
        <v>401</v>
      </c>
      <c r="BY407" s="89" t="str">
        <f t="shared" si="26"/>
        <v/>
      </c>
      <c r="BZ407" s="89" t="str">
        <f t="shared" si="27"/>
        <v/>
      </c>
      <c r="CA407" s="89" t="str">
        <f t="shared" si="28"/>
        <v/>
      </c>
    </row>
    <row r="408" spans="72:79" hidden="1" x14ac:dyDescent="0.25">
      <c r="BT408" t="str">
        <f>IF(FFARawStatProjections!A403=0,"",FFARawStatProjections!A403)</f>
        <v>Khalil Shakir</v>
      </c>
      <c r="BU408" t="str">
        <f>IF(FFARawStatProjections!C403=0,"",FFARawStatProjections!C403)</f>
        <v>WR</v>
      </c>
      <c r="BV408" t="str">
        <f>IF(FFARawStatProjections!B403=0,"",FFARawStatProjections!B403)</f>
        <v>BUF</v>
      </c>
      <c r="BX408">
        <v>402</v>
      </c>
      <c r="BY408" s="89" t="str">
        <f t="shared" si="26"/>
        <v/>
      </c>
      <c r="BZ408" s="89" t="str">
        <f t="shared" si="27"/>
        <v/>
      </c>
      <c r="CA408" s="89" t="str">
        <f t="shared" si="28"/>
        <v/>
      </c>
    </row>
    <row r="409" spans="72:79" hidden="1" x14ac:dyDescent="0.25">
      <c r="BT409" t="str">
        <f>IF(FFARawStatProjections!A404=0,"",FFARawStatProjections!A404)</f>
        <v>Tyquan Thornton</v>
      </c>
      <c r="BU409" t="str">
        <f>IF(FFARawStatProjections!C404=0,"",FFARawStatProjections!C404)</f>
        <v>WR</v>
      </c>
      <c r="BV409" t="str">
        <f>IF(FFARawStatProjections!B404=0,"",FFARawStatProjections!B404)</f>
        <v>NE</v>
      </c>
      <c r="BX409">
        <v>403</v>
      </c>
      <c r="BY409" s="89" t="str">
        <f t="shared" si="26"/>
        <v/>
      </c>
      <c r="BZ409" s="89" t="str">
        <f t="shared" si="27"/>
        <v/>
      </c>
      <c r="CA409" s="89" t="str">
        <f t="shared" si="28"/>
        <v/>
      </c>
    </row>
    <row r="410" spans="72:79" hidden="1" x14ac:dyDescent="0.25">
      <c r="BT410" t="str">
        <f>IF(FFARawStatProjections!A405=0,"",FFARawStatProjections!A405)</f>
        <v>Kendrick Bourne</v>
      </c>
      <c r="BU410" t="str">
        <f>IF(FFARawStatProjections!C405=0,"",FFARawStatProjections!C405)</f>
        <v>WR</v>
      </c>
      <c r="BV410" t="str">
        <f>IF(FFARawStatProjections!B405=0,"",FFARawStatProjections!B405)</f>
        <v>NE</v>
      </c>
      <c r="BX410">
        <v>404</v>
      </c>
      <c r="BY410" s="89" t="str">
        <f t="shared" si="26"/>
        <v/>
      </c>
      <c r="BZ410" s="89" t="str">
        <f t="shared" si="27"/>
        <v/>
      </c>
      <c r="CA410" s="89" t="str">
        <f t="shared" si="28"/>
        <v/>
      </c>
    </row>
    <row r="411" spans="72:79" hidden="1" x14ac:dyDescent="0.25">
      <c r="BT411" t="str">
        <f>IF(FFARawStatProjections!A406=0,"",FFARawStatProjections!A406)</f>
        <v>Joshua Palmer</v>
      </c>
      <c r="BU411" t="str">
        <f>IF(FFARawStatProjections!C406=0,"",FFARawStatProjections!C406)</f>
        <v>WR</v>
      </c>
      <c r="BV411" t="str">
        <f>IF(FFARawStatProjections!B406=0,"",FFARawStatProjections!B406)</f>
        <v>LAC</v>
      </c>
      <c r="BX411">
        <v>405</v>
      </c>
      <c r="BY411" s="89" t="str">
        <f t="shared" si="26"/>
        <v/>
      </c>
      <c r="BZ411" s="89" t="str">
        <f t="shared" si="27"/>
        <v/>
      </c>
      <c r="CA411" s="89" t="str">
        <f t="shared" si="28"/>
        <v/>
      </c>
    </row>
    <row r="412" spans="72:79" hidden="1" x14ac:dyDescent="0.25">
      <c r="BT412" t="str">
        <f>IF(FFARawStatProjections!A407=0,"",FFARawStatProjections!A407)</f>
        <v>WanDale Robinson</v>
      </c>
      <c r="BU412" t="str">
        <f>IF(FFARawStatProjections!C407=0,"",FFARawStatProjections!C407)</f>
        <v>WR</v>
      </c>
      <c r="BV412" t="str">
        <f>IF(FFARawStatProjections!B407=0,"",FFARawStatProjections!B407)</f>
        <v>NYG</v>
      </c>
      <c r="BX412">
        <v>406</v>
      </c>
      <c r="BY412" s="89" t="str">
        <f t="shared" si="26"/>
        <v/>
      </c>
      <c r="BZ412" s="89" t="str">
        <f t="shared" si="27"/>
        <v/>
      </c>
      <c r="CA412" s="89" t="str">
        <f t="shared" si="28"/>
        <v/>
      </c>
    </row>
    <row r="413" spans="72:79" hidden="1" x14ac:dyDescent="0.25">
      <c r="BT413" t="str">
        <f>IF(FFARawStatProjections!A408=0,"",FFARawStatProjections!A408)</f>
        <v>Nick Westbrook-Ikhine</v>
      </c>
      <c r="BU413" t="str">
        <f>IF(FFARawStatProjections!C408=0,"",FFARawStatProjections!C408)</f>
        <v>WR</v>
      </c>
      <c r="BV413" t="str">
        <f>IF(FFARawStatProjections!B408=0,"",FFARawStatProjections!B408)</f>
        <v>TEN</v>
      </c>
      <c r="BX413">
        <v>407</v>
      </c>
      <c r="BY413" s="89" t="str">
        <f t="shared" si="26"/>
        <v/>
      </c>
      <c r="BZ413" s="89" t="str">
        <f t="shared" si="27"/>
        <v/>
      </c>
      <c r="CA413" s="89" t="str">
        <f t="shared" si="28"/>
        <v/>
      </c>
    </row>
    <row r="414" spans="72:79" hidden="1" x14ac:dyDescent="0.25">
      <c r="BT414" t="str">
        <f>IF(FFARawStatProjections!A409=0,"",FFARawStatProjections!A409)</f>
        <v>Josh Reynolds</v>
      </c>
      <c r="BU414" t="str">
        <f>IF(FFARawStatProjections!C409=0,"",FFARawStatProjections!C409)</f>
        <v>WR</v>
      </c>
      <c r="BV414" t="str">
        <f>IF(FFARawStatProjections!B409=0,"",FFARawStatProjections!B409)</f>
        <v>DET</v>
      </c>
      <c r="BX414">
        <v>408</v>
      </c>
      <c r="BY414" s="89" t="str">
        <f t="shared" si="26"/>
        <v/>
      </c>
      <c r="BZ414" s="89" t="str">
        <f t="shared" si="27"/>
        <v/>
      </c>
      <c r="CA414" s="89" t="str">
        <f t="shared" si="28"/>
        <v/>
      </c>
    </row>
    <row r="415" spans="72:79" hidden="1" x14ac:dyDescent="0.25">
      <c r="BT415" t="str">
        <f>IF(FFARawStatProjections!A410=0,"",FFARawStatProjections!A410)</f>
        <v>Marvin Mims</v>
      </c>
      <c r="BU415" t="str">
        <f>IF(FFARawStatProjections!C410=0,"",FFARawStatProjections!C410)</f>
        <v>WR</v>
      </c>
      <c r="BV415" t="str">
        <f>IF(FFARawStatProjections!B410=0,"",FFARawStatProjections!B410)</f>
        <v>DEN</v>
      </c>
      <c r="BX415">
        <v>409</v>
      </c>
      <c r="BY415" s="89" t="str">
        <f t="shared" si="26"/>
        <v/>
      </c>
      <c r="BZ415" s="89" t="str">
        <f t="shared" si="27"/>
        <v/>
      </c>
      <c r="CA415" s="89" t="str">
        <f t="shared" si="28"/>
        <v/>
      </c>
    </row>
    <row r="416" spans="72:79" hidden="1" x14ac:dyDescent="0.25">
      <c r="BT416" t="str">
        <f>IF(FFARawStatProjections!A411=0,"",FFARawStatProjections!A411)</f>
        <v>Jalin Hyatt</v>
      </c>
      <c r="BU416" t="str">
        <f>IF(FFARawStatProjections!C411=0,"",FFARawStatProjections!C411)</f>
        <v>WR</v>
      </c>
      <c r="BV416" t="str">
        <f>IF(FFARawStatProjections!B411=0,"",FFARawStatProjections!B411)</f>
        <v>NYG</v>
      </c>
      <c r="BX416">
        <v>410</v>
      </c>
      <c r="BY416" s="89" t="str">
        <f t="shared" si="26"/>
        <v/>
      </c>
      <c r="BZ416" s="89" t="str">
        <f t="shared" si="27"/>
        <v/>
      </c>
      <c r="CA416" s="89" t="str">
        <f t="shared" si="28"/>
        <v/>
      </c>
    </row>
    <row r="417" spans="72:79" hidden="1" x14ac:dyDescent="0.25">
      <c r="BT417" t="str">
        <f>IF(FFARawStatProjections!A412=0,"",FFARawStatProjections!A412)</f>
        <v>Ben Skowronek</v>
      </c>
      <c r="BU417" t="str">
        <f>IF(FFARawStatProjections!C412=0,"",FFARawStatProjections!C412)</f>
        <v>WR</v>
      </c>
      <c r="BV417" t="str">
        <f>IF(FFARawStatProjections!B412=0,"",FFARawStatProjections!B412)</f>
        <v>LAR</v>
      </c>
      <c r="BX417">
        <v>411</v>
      </c>
      <c r="BY417" s="89" t="str">
        <f t="shared" si="26"/>
        <v/>
      </c>
      <c r="BZ417" s="89" t="str">
        <f t="shared" si="27"/>
        <v/>
      </c>
      <c r="CA417" s="89" t="str">
        <f t="shared" si="28"/>
        <v/>
      </c>
    </row>
    <row r="418" spans="72:79" hidden="1" x14ac:dyDescent="0.25">
      <c r="BT418" t="str">
        <f>IF(FFARawStatProjections!A413=0,"",FFARawStatProjections!A413)</f>
        <v>Terrace Marshall</v>
      </c>
      <c r="BU418" t="str">
        <f>IF(FFARawStatProjections!C413=0,"",FFARawStatProjections!C413)</f>
        <v>WR</v>
      </c>
      <c r="BV418" t="str">
        <f>IF(FFARawStatProjections!B413=0,"",FFARawStatProjections!B413)</f>
        <v>CAR</v>
      </c>
      <c r="BX418">
        <v>412</v>
      </c>
      <c r="BY418" s="89" t="str">
        <f t="shared" si="26"/>
        <v/>
      </c>
      <c r="BZ418" s="89" t="str">
        <f t="shared" si="27"/>
        <v/>
      </c>
      <c r="CA418" s="89" t="str">
        <f t="shared" si="28"/>
        <v/>
      </c>
    </row>
    <row r="419" spans="72:79" hidden="1" x14ac:dyDescent="0.25">
      <c r="BT419" t="str">
        <f>IF(FFARawStatProjections!A414=0,"",FFARawStatProjections!A414)</f>
        <v>Greg Dortch</v>
      </c>
      <c r="BU419" t="str">
        <f>IF(FFARawStatProjections!C414=0,"",FFARawStatProjections!C414)</f>
        <v>WR</v>
      </c>
      <c r="BV419" t="str">
        <f>IF(FFARawStatProjections!B414=0,"",FFARawStatProjections!B414)</f>
        <v>AZ</v>
      </c>
      <c r="BX419">
        <v>413</v>
      </c>
      <c r="BY419" s="89" t="str">
        <f t="shared" si="26"/>
        <v/>
      </c>
      <c r="BZ419" s="89" t="str">
        <f t="shared" si="27"/>
        <v/>
      </c>
      <c r="CA419" s="89" t="str">
        <f t="shared" si="28"/>
        <v/>
      </c>
    </row>
    <row r="420" spans="72:79" hidden="1" x14ac:dyDescent="0.25">
      <c r="BT420" t="str">
        <f>IF(FFARawStatProjections!A415=0,"",FFARawStatProjections!A415)</f>
        <v>Michael Wilson</v>
      </c>
      <c r="BU420" t="str">
        <f>IF(FFARawStatProjections!C415=0,"",FFARawStatProjections!C415)</f>
        <v>WR</v>
      </c>
      <c r="BV420" t="str">
        <f>IF(FFARawStatProjections!B415=0,"",FFARawStatProjections!B415)</f>
        <v>AZ</v>
      </c>
      <c r="BX420">
        <v>414</v>
      </c>
      <c r="BY420" s="89" t="str">
        <f t="shared" si="26"/>
        <v/>
      </c>
      <c r="BZ420" s="89" t="str">
        <f t="shared" si="27"/>
        <v/>
      </c>
      <c r="CA420" s="89" t="str">
        <f t="shared" si="28"/>
        <v/>
      </c>
    </row>
    <row r="421" spans="72:79" hidden="1" x14ac:dyDescent="0.25">
      <c r="BT421" t="str">
        <f>IF(FFARawStatProjections!A416=0,"",FFARawStatProjections!A416)</f>
        <v>Tutu Atwell</v>
      </c>
      <c r="BU421" t="str">
        <f>IF(FFARawStatProjections!C416=0,"",FFARawStatProjections!C416)</f>
        <v>WR</v>
      </c>
      <c r="BV421" t="str">
        <f>IF(FFARawStatProjections!B416=0,"",FFARawStatProjections!B416)</f>
        <v>LAR</v>
      </c>
      <c r="BX421">
        <v>415</v>
      </c>
      <c r="BY421" s="89" t="str">
        <f t="shared" si="26"/>
        <v/>
      </c>
      <c r="BZ421" s="89" t="str">
        <f t="shared" si="27"/>
        <v/>
      </c>
      <c r="CA421" s="89" t="str">
        <f t="shared" si="28"/>
        <v/>
      </c>
    </row>
    <row r="422" spans="72:79" hidden="1" x14ac:dyDescent="0.25">
      <c r="BT422" t="str">
        <f>IF(FFARawStatProjections!A417=0,"",FFARawStatProjections!A417)</f>
        <v>Sterling Shepard</v>
      </c>
      <c r="BU422" t="str">
        <f>IF(FFARawStatProjections!C417=0,"",FFARawStatProjections!C417)</f>
        <v>WR</v>
      </c>
      <c r="BV422" t="str">
        <f>IF(FFARawStatProjections!B417=0,"",FFARawStatProjections!B417)</f>
        <v>NYG</v>
      </c>
      <c r="BX422">
        <v>416</v>
      </c>
      <c r="BY422" s="89" t="str">
        <f t="shared" si="26"/>
        <v/>
      </c>
      <c r="BZ422" s="89" t="str">
        <f t="shared" si="27"/>
        <v/>
      </c>
      <c r="CA422" s="89" t="str">
        <f t="shared" si="28"/>
        <v/>
      </c>
    </row>
    <row r="423" spans="72:79" hidden="1" x14ac:dyDescent="0.25">
      <c r="BT423" t="str">
        <f>IF(FFARawStatProjections!A418=0,"",FFARawStatProjections!A418)</f>
        <v>Josh Downs</v>
      </c>
      <c r="BU423" t="str">
        <f>IF(FFARawStatProjections!C418=0,"",FFARawStatProjections!C418)</f>
        <v>WR</v>
      </c>
      <c r="BV423" t="str">
        <f>IF(FFARawStatProjections!B418=0,"",FFARawStatProjections!B418)</f>
        <v>IND</v>
      </c>
      <c r="BX423">
        <v>417</v>
      </c>
      <c r="BY423" s="89" t="str">
        <f t="shared" si="26"/>
        <v/>
      </c>
      <c r="BZ423" s="89" t="str">
        <f t="shared" si="27"/>
        <v/>
      </c>
      <c r="CA423" s="89" t="str">
        <f t="shared" si="28"/>
        <v/>
      </c>
    </row>
    <row r="424" spans="72:79" hidden="1" x14ac:dyDescent="0.25">
      <c r="BT424" t="str">
        <f>IF(FFARawStatProjections!A419=0,"",FFARawStatProjections!A419)</f>
        <v>Tank Dell</v>
      </c>
      <c r="BU424" t="str">
        <f>IF(FFARawStatProjections!C419=0,"",FFARawStatProjections!C419)</f>
        <v>WR</v>
      </c>
      <c r="BV424" t="str">
        <f>IF(FFARawStatProjections!B419=0,"",FFARawStatProjections!B419)</f>
        <v>HOU</v>
      </c>
      <c r="BX424">
        <v>418</v>
      </c>
      <c r="BY424" s="89" t="str">
        <f t="shared" si="26"/>
        <v/>
      </c>
      <c r="BZ424" s="89" t="str">
        <f t="shared" si="27"/>
        <v/>
      </c>
      <c r="CA424" s="89" t="str">
        <f t="shared" si="28"/>
        <v/>
      </c>
    </row>
    <row r="425" spans="72:79" hidden="1" x14ac:dyDescent="0.25">
      <c r="BT425" t="str">
        <f>IF(FFARawStatProjections!A420=0,"",FFARawStatProjections!A420)</f>
        <v>Robbie Chosen</v>
      </c>
      <c r="BU425" t="str">
        <f>IF(FFARawStatProjections!C420=0,"",FFARawStatProjections!C420)</f>
        <v>WR</v>
      </c>
      <c r="BV425" t="str">
        <f>IF(FFARawStatProjections!B420=0,"",FFARawStatProjections!B420)</f>
        <v>MIA</v>
      </c>
      <c r="BX425">
        <v>419</v>
      </c>
      <c r="BY425" s="89" t="str">
        <f t="shared" si="26"/>
        <v/>
      </c>
      <c r="BZ425" s="89" t="str">
        <f t="shared" si="27"/>
        <v/>
      </c>
      <c r="CA425" s="89" t="str">
        <f t="shared" si="28"/>
        <v/>
      </c>
    </row>
    <row r="426" spans="72:79" hidden="1" x14ac:dyDescent="0.25">
      <c r="BT426" t="str">
        <f>IF(FFARawStatProjections!A421=0,"",FFARawStatProjections!A421)</f>
        <v>Cedric Tillman</v>
      </c>
      <c r="BU426" t="str">
        <f>IF(FFARawStatProjections!C421=0,"",FFARawStatProjections!C421)</f>
        <v>WR</v>
      </c>
      <c r="BV426" t="str">
        <f>IF(FFARawStatProjections!B421=0,"",FFARawStatProjections!B421)</f>
        <v>CLE</v>
      </c>
      <c r="BX426">
        <v>420</v>
      </c>
      <c r="BY426" s="89" t="str">
        <f t="shared" si="26"/>
        <v/>
      </c>
      <c r="BZ426" s="89" t="str">
        <f t="shared" si="27"/>
        <v/>
      </c>
      <c r="CA426" s="89" t="str">
        <f t="shared" si="28"/>
        <v/>
      </c>
    </row>
    <row r="427" spans="72:79" hidden="1" x14ac:dyDescent="0.25">
      <c r="BT427" t="str">
        <f>IF(FFARawStatProjections!A422=0,"",FFARawStatProjections!A422)</f>
        <v>Richie James</v>
      </c>
      <c r="BU427" t="str">
        <f>IF(FFARawStatProjections!C422=0,"",FFARawStatProjections!C422)</f>
        <v>WR</v>
      </c>
      <c r="BV427" t="str">
        <f>IF(FFARawStatProjections!B422=0,"",FFARawStatProjections!B422)</f>
        <v>KC</v>
      </c>
      <c r="BX427">
        <v>421</v>
      </c>
      <c r="BY427" s="89" t="str">
        <f t="shared" si="26"/>
        <v/>
      </c>
      <c r="BZ427" s="89" t="str">
        <f t="shared" si="27"/>
        <v/>
      </c>
      <c r="CA427" s="89" t="str">
        <f t="shared" si="28"/>
        <v/>
      </c>
    </row>
    <row r="428" spans="72:79" hidden="1" x14ac:dyDescent="0.25">
      <c r="BT428" t="str">
        <f>IF(FFARawStatProjections!A423=0,"",FFARawStatProjections!A423)</f>
        <v>Laviska Shenault</v>
      </c>
      <c r="BU428" t="str">
        <f>IF(FFARawStatProjections!C423=0,"",FFARawStatProjections!C423)</f>
        <v>WR</v>
      </c>
      <c r="BV428" t="str">
        <f>IF(FFARawStatProjections!B423=0,"",FFARawStatProjections!B423)</f>
        <v>CAR</v>
      </c>
      <c r="BX428">
        <v>422</v>
      </c>
      <c r="BY428" s="89" t="str">
        <f t="shared" si="26"/>
        <v/>
      </c>
      <c r="BZ428" s="89" t="str">
        <f t="shared" si="27"/>
        <v/>
      </c>
      <c r="CA428" s="89" t="str">
        <f t="shared" si="28"/>
        <v/>
      </c>
    </row>
    <row r="429" spans="72:79" hidden="1" x14ac:dyDescent="0.25">
      <c r="BT429" t="str">
        <f>IF(FFARawStatProjections!A424=0,"",FFARawStatProjections!A424)</f>
        <v>Amari Rodgers</v>
      </c>
      <c r="BU429" t="str">
        <f>IF(FFARawStatProjections!C424=0,"",FFARawStatProjections!C424)</f>
        <v>WR</v>
      </c>
      <c r="BV429" t="str">
        <f>IF(FFARawStatProjections!B424=0,"",FFARawStatProjections!B424)</f>
        <v>IND</v>
      </c>
      <c r="BX429">
        <v>423</v>
      </c>
      <c r="BY429" s="89" t="str">
        <f t="shared" si="26"/>
        <v/>
      </c>
      <c r="BZ429" s="89" t="str">
        <f t="shared" si="27"/>
        <v/>
      </c>
      <c r="CA429" s="89" t="str">
        <f t="shared" si="28"/>
        <v/>
      </c>
    </row>
    <row r="430" spans="72:79" hidden="1" x14ac:dyDescent="0.25">
      <c r="BT430" t="str">
        <f>IF(FFARawStatProjections!A425=0,"",FFARawStatProjections!A425)</f>
        <v>Isaiah McKenzie</v>
      </c>
      <c r="BU430" t="str">
        <f>IF(FFARawStatProjections!C425=0,"",FFARawStatProjections!C425)</f>
        <v>WR</v>
      </c>
      <c r="BV430" t="str">
        <f>IF(FFARawStatProjections!B425=0,"",FFARawStatProjections!B425)</f>
        <v>IND</v>
      </c>
      <c r="BX430">
        <v>424</v>
      </c>
      <c r="BY430" s="89" t="str">
        <f t="shared" si="26"/>
        <v/>
      </c>
      <c r="BZ430" s="89" t="str">
        <f t="shared" si="27"/>
        <v/>
      </c>
      <c r="CA430" s="89" t="str">
        <f t="shared" si="28"/>
        <v/>
      </c>
    </row>
    <row r="431" spans="72:79" hidden="1" x14ac:dyDescent="0.25">
      <c r="BT431" t="str">
        <f>IF(FFARawStatProjections!A426=0,"",FFARawStatProjections!A426)</f>
        <v>Kayshon Boutte</v>
      </c>
      <c r="BU431" t="str">
        <f>IF(FFARawStatProjections!C426=0,"",FFARawStatProjections!C426)</f>
        <v>WR</v>
      </c>
      <c r="BV431" t="str">
        <f>IF(FFARawStatProjections!B426=0,"",FFARawStatProjections!B426)</f>
        <v>NE</v>
      </c>
      <c r="BX431">
        <v>425</v>
      </c>
      <c r="BY431" s="89" t="str">
        <f t="shared" si="26"/>
        <v/>
      </c>
      <c r="BZ431" s="89" t="str">
        <f t="shared" si="27"/>
        <v/>
      </c>
      <c r="CA431" s="89" t="str">
        <f t="shared" si="28"/>
        <v/>
      </c>
    </row>
    <row r="432" spans="72:79" hidden="1" x14ac:dyDescent="0.25">
      <c r="BT432" t="str">
        <f>IF(FFARawStatProjections!A427=0,"",FFARawStatProjections!A427)</f>
        <v>Trey Palmer</v>
      </c>
      <c r="BU432" t="str">
        <f>IF(FFARawStatProjections!C427=0,"",FFARawStatProjections!C427)</f>
        <v>WR</v>
      </c>
      <c r="BV432" t="str">
        <f>IF(FFARawStatProjections!B427=0,"",FFARawStatProjections!B427)</f>
        <v>TB</v>
      </c>
      <c r="BX432">
        <v>426</v>
      </c>
      <c r="BY432" s="89" t="str">
        <f t="shared" si="26"/>
        <v/>
      </c>
      <c r="BZ432" s="89" t="str">
        <f t="shared" si="27"/>
        <v/>
      </c>
      <c r="CA432" s="89" t="str">
        <f t="shared" si="28"/>
        <v/>
      </c>
    </row>
    <row r="433" spans="72:79" hidden="1" x14ac:dyDescent="0.25">
      <c r="BT433" t="str">
        <f>IF(FFARawStatProjections!A428=0,"",FFARawStatProjections!A428)</f>
        <v>Braxton Berrios</v>
      </c>
      <c r="BU433" t="str">
        <f>IF(FFARawStatProjections!C428=0,"",FFARawStatProjections!C428)</f>
        <v>WR</v>
      </c>
      <c r="BV433" t="str">
        <f>IF(FFARawStatProjections!B428=0,"",FFARawStatProjections!B428)</f>
        <v>MIA</v>
      </c>
      <c r="BX433">
        <v>427</v>
      </c>
      <c r="BY433" s="89" t="str">
        <f t="shared" si="26"/>
        <v/>
      </c>
      <c r="BZ433" s="89" t="str">
        <f t="shared" si="27"/>
        <v/>
      </c>
      <c r="CA433" s="89" t="str">
        <f t="shared" si="28"/>
        <v/>
      </c>
    </row>
    <row r="434" spans="72:79" hidden="1" x14ac:dyDescent="0.25">
      <c r="BT434" t="str">
        <f>IF(FFARawStatProjections!A429=0,"",FFARawStatProjections!A429)</f>
        <v>Quez Watkins</v>
      </c>
      <c r="BU434" t="str">
        <f>IF(FFARawStatProjections!C429=0,"",FFARawStatProjections!C429)</f>
        <v>WR</v>
      </c>
      <c r="BV434" t="str">
        <f>IF(FFARawStatProjections!B429=0,"",FFARawStatProjections!B429)</f>
        <v>PHI</v>
      </c>
      <c r="BX434">
        <v>428</v>
      </c>
      <c r="BY434" s="89" t="str">
        <f t="shared" si="26"/>
        <v/>
      </c>
      <c r="BZ434" s="89" t="str">
        <f t="shared" si="27"/>
        <v/>
      </c>
      <c r="CA434" s="89" t="str">
        <f t="shared" si="28"/>
        <v/>
      </c>
    </row>
    <row r="435" spans="72:79" hidden="1" x14ac:dyDescent="0.25">
      <c r="BT435" t="str">
        <f>IF(FFARawStatProjections!A430=0,"",FFARawStatProjections!A430)</f>
        <v>Jauan Jennings</v>
      </c>
      <c r="BU435" t="str">
        <f>IF(FFARawStatProjections!C430=0,"",FFARawStatProjections!C430)</f>
        <v>WR</v>
      </c>
      <c r="BV435" t="str">
        <f>IF(FFARawStatProjections!B430=0,"",FFARawStatProjections!B430)</f>
        <v>SF</v>
      </c>
      <c r="BX435">
        <v>429</v>
      </c>
      <c r="BY435" s="89" t="str">
        <f t="shared" si="26"/>
        <v/>
      </c>
      <c r="BZ435" s="89" t="str">
        <f t="shared" si="27"/>
        <v/>
      </c>
      <c r="CA435" s="89" t="str">
        <f t="shared" si="28"/>
        <v/>
      </c>
    </row>
    <row r="436" spans="72:79" hidden="1" x14ac:dyDescent="0.25">
      <c r="BT436" t="str">
        <f>IF(FFARawStatProjections!A431=0,"",FFARawStatProjections!A431)</f>
        <v>Puka Nacua</v>
      </c>
      <c r="BU436" t="str">
        <f>IF(FFARawStatProjections!C431=0,"",FFARawStatProjections!C431)</f>
        <v>WR</v>
      </c>
      <c r="BV436" t="str">
        <f>IF(FFARawStatProjections!B431=0,"",FFARawStatProjections!B431)</f>
        <v>LAR</v>
      </c>
      <c r="BX436">
        <v>430</v>
      </c>
      <c r="BY436" s="89" t="str">
        <f t="shared" si="26"/>
        <v/>
      </c>
      <c r="BZ436" s="89" t="str">
        <f t="shared" si="27"/>
        <v/>
      </c>
      <c r="CA436" s="89" t="str">
        <f t="shared" si="28"/>
        <v/>
      </c>
    </row>
    <row r="437" spans="72:79" hidden="1" x14ac:dyDescent="0.25">
      <c r="BT437" t="str">
        <f>IF(FFARawStatProjections!A432=0,"",FFARawStatProjections!A432)</f>
        <v>Chris Moore</v>
      </c>
      <c r="BU437" t="str">
        <f>IF(FFARawStatProjections!C432=0,"",FFARawStatProjections!C432)</f>
        <v>WR</v>
      </c>
      <c r="BV437" t="str">
        <f>IF(FFARawStatProjections!B432=0,"",FFARawStatProjections!B432)</f>
        <v>TEN</v>
      </c>
      <c r="BX437">
        <v>431</v>
      </c>
      <c r="BY437" s="89" t="str">
        <f t="shared" si="26"/>
        <v/>
      </c>
      <c r="BZ437" s="89" t="str">
        <f t="shared" si="27"/>
        <v/>
      </c>
      <c r="CA437" s="89" t="str">
        <f t="shared" si="28"/>
        <v/>
      </c>
    </row>
    <row r="438" spans="72:79" hidden="1" x14ac:dyDescent="0.25">
      <c r="BT438" t="str">
        <f>IF(FFARawStatProjections!A433=0,"",FFARawStatProjections!A433)</f>
        <v>Kalif Raymond</v>
      </c>
      <c r="BU438" t="str">
        <f>IF(FFARawStatProjections!C433=0,"",FFARawStatProjections!C433)</f>
        <v>WR</v>
      </c>
      <c r="BV438" t="str">
        <f>IF(FFARawStatProjections!B433=0,"",FFARawStatProjections!B433)</f>
        <v>DET</v>
      </c>
      <c r="BX438">
        <v>432</v>
      </c>
      <c r="BY438" s="89" t="str">
        <f t="shared" si="26"/>
        <v/>
      </c>
      <c r="BZ438" s="89" t="str">
        <f t="shared" si="27"/>
        <v/>
      </c>
      <c r="CA438" s="89" t="str">
        <f t="shared" si="28"/>
        <v/>
      </c>
    </row>
    <row r="439" spans="72:79" hidden="1" x14ac:dyDescent="0.25">
      <c r="BT439" t="str">
        <f>IF(FFARawStatProjections!A434=0,"",FFARawStatProjections!A434)</f>
        <v>Marquez Callaway</v>
      </c>
      <c r="BU439" t="str">
        <f>IF(FFARawStatProjections!C434=0,"",FFARawStatProjections!C434)</f>
        <v>WR</v>
      </c>
      <c r="BV439" t="str">
        <f>IF(FFARawStatProjections!B434=0,"",FFARawStatProjections!B434)</f>
        <v>DEN</v>
      </c>
      <c r="BX439">
        <v>433</v>
      </c>
      <c r="BY439" s="89" t="str">
        <f t="shared" si="26"/>
        <v/>
      </c>
      <c r="BZ439" s="89" t="str">
        <f t="shared" si="27"/>
        <v/>
      </c>
      <c r="CA439" s="89" t="str">
        <f t="shared" si="28"/>
        <v/>
      </c>
    </row>
    <row r="440" spans="72:79" hidden="1" x14ac:dyDescent="0.25">
      <c r="BT440" t="str">
        <f>IF(FFARawStatProjections!A435=0,"",FFARawStatProjections!A435)</f>
        <v>Demarcus Robinson</v>
      </c>
      <c r="BU440" t="str">
        <f>IF(FFARawStatProjections!C435=0,"",FFARawStatProjections!C435)</f>
        <v>WR</v>
      </c>
      <c r="BV440" t="str">
        <f>IF(FFARawStatProjections!B435=0,"",FFARawStatProjections!B435)</f>
        <v>LAR</v>
      </c>
      <c r="BX440">
        <v>434</v>
      </c>
      <c r="BY440" s="89" t="str">
        <f t="shared" si="26"/>
        <v/>
      </c>
      <c r="BZ440" s="89" t="str">
        <f t="shared" si="27"/>
        <v/>
      </c>
      <c r="CA440" s="89" t="str">
        <f t="shared" si="28"/>
        <v/>
      </c>
    </row>
    <row r="441" spans="72:79" hidden="1" x14ac:dyDescent="0.25">
      <c r="BT441" t="str">
        <f>IF(FFARawStatProjections!A436=0,"",FFARawStatProjections!A436)</f>
        <v>Olamide Zaccheaus</v>
      </c>
      <c r="BU441" t="str">
        <f>IF(FFARawStatProjections!C436=0,"",FFARawStatProjections!C436)</f>
        <v>WR</v>
      </c>
      <c r="BV441" t="str">
        <f>IF(FFARawStatProjections!B436=0,"",FFARawStatProjections!B436)</f>
        <v>PHI</v>
      </c>
      <c r="BX441">
        <v>435</v>
      </c>
      <c r="BY441" s="89" t="str">
        <f t="shared" si="26"/>
        <v/>
      </c>
      <c r="BZ441" s="89" t="str">
        <f t="shared" si="27"/>
        <v/>
      </c>
      <c r="CA441" s="89" t="str">
        <f t="shared" si="28"/>
        <v/>
      </c>
    </row>
    <row r="442" spans="72:79" hidden="1" x14ac:dyDescent="0.25">
      <c r="BT442" t="str">
        <f>IF(FFARawStatProjections!A437=0,"",FFARawStatProjections!A437)</f>
        <v>Trent Sherfield</v>
      </c>
      <c r="BU442" t="str">
        <f>IF(FFARawStatProjections!C437=0,"",FFARawStatProjections!C437)</f>
        <v>WR</v>
      </c>
      <c r="BV442" t="str">
        <f>IF(FFARawStatProjections!B437=0,"",FFARawStatProjections!B437)</f>
        <v>BUF</v>
      </c>
      <c r="BX442">
        <v>436</v>
      </c>
      <c r="BY442" s="89" t="str">
        <f t="shared" si="26"/>
        <v/>
      </c>
      <c r="BZ442" s="89" t="str">
        <f t="shared" si="27"/>
        <v/>
      </c>
      <c r="CA442" s="89" t="str">
        <f t="shared" si="28"/>
        <v/>
      </c>
    </row>
    <row r="443" spans="72:79" hidden="1" x14ac:dyDescent="0.25">
      <c r="BT443" t="str">
        <f>IF(FFARawStatProjections!A438=0,"",FFARawStatProjections!A438)</f>
        <v>Kyle Philips</v>
      </c>
      <c r="BU443" t="str">
        <f>IF(FFARawStatProjections!C438=0,"",FFARawStatProjections!C438)</f>
        <v>WR</v>
      </c>
      <c r="BV443" t="str">
        <f>IF(FFARawStatProjections!B438=0,"",FFARawStatProjections!B438)</f>
        <v>TEN</v>
      </c>
      <c r="BX443">
        <v>437</v>
      </c>
      <c r="BY443" s="89" t="str">
        <f t="shared" si="26"/>
        <v/>
      </c>
      <c r="BZ443" s="89" t="str">
        <f t="shared" si="27"/>
        <v/>
      </c>
      <c r="CA443" s="89" t="str">
        <f t="shared" si="28"/>
        <v/>
      </c>
    </row>
    <row r="444" spans="72:79" hidden="1" x14ac:dyDescent="0.25">
      <c r="BT444" t="str">
        <f>IF(FFARawStatProjections!A439=0,"",FFARawStatProjections!A439)</f>
        <v>Randall Cobb</v>
      </c>
      <c r="BU444" t="str">
        <f>IF(FFARawStatProjections!C439=0,"",FFARawStatProjections!C439)</f>
        <v>WR</v>
      </c>
      <c r="BV444" t="str">
        <f>IF(FFARawStatProjections!B439=0,"",FFARawStatProjections!B439)</f>
        <v>NYJ</v>
      </c>
      <c r="BX444">
        <v>438</v>
      </c>
      <c r="BY444" s="89" t="str">
        <f t="shared" si="26"/>
        <v/>
      </c>
      <c r="BZ444" s="89" t="str">
        <f t="shared" si="27"/>
        <v/>
      </c>
      <c r="CA444" s="89" t="str">
        <f t="shared" si="28"/>
        <v/>
      </c>
    </row>
    <row r="445" spans="72:79" hidden="1" x14ac:dyDescent="0.25">
      <c r="BT445" t="str">
        <f>IF(FFARawStatProjections!A440=0,"",FFARawStatProjections!A440)</f>
        <v>Jamal Agnew</v>
      </c>
      <c r="BU445" t="str">
        <f>IF(FFARawStatProjections!C440=0,"",FFARawStatProjections!C440)</f>
        <v>WR</v>
      </c>
      <c r="BV445" t="str">
        <f>IF(FFARawStatProjections!B440=0,"",FFARawStatProjections!B440)</f>
        <v>JAC</v>
      </c>
      <c r="BX445">
        <v>439</v>
      </c>
      <c r="BY445" s="89" t="str">
        <f t="shared" si="26"/>
        <v/>
      </c>
      <c r="BZ445" s="89" t="str">
        <f t="shared" si="27"/>
        <v/>
      </c>
      <c r="CA445" s="89" t="str">
        <f t="shared" si="28"/>
        <v/>
      </c>
    </row>
    <row r="446" spans="72:79" hidden="1" x14ac:dyDescent="0.25">
      <c r="BT446" t="str">
        <f>IF(FFARawStatProjections!A441=0,"",FFARawStatProjections!A441)</f>
        <v>Marquise Goodwin</v>
      </c>
      <c r="BU446" t="str">
        <f>IF(FFARawStatProjections!C441=0,"",FFARawStatProjections!C441)</f>
        <v>WR</v>
      </c>
      <c r="BV446" t="str">
        <f>IF(FFARawStatProjections!B441=0,"",FFARawStatProjections!B441)</f>
        <v>CLE</v>
      </c>
      <c r="BX446">
        <v>440</v>
      </c>
      <c r="BY446" s="89" t="str">
        <f t="shared" si="26"/>
        <v/>
      </c>
      <c r="BZ446" s="89" t="str">
        <f t="shared" si="27"/>
        <v/>
      </c>
      <c r="CA446" s="89" t="str">
        <f t="shared" si="28"/>
        <v/>
      </c>
    </row>
    <row r="447" spans="72:79" hidden="1" x14ac:dyDescent="0.25">
      <c r="BT447" t="str">
        <f>IF(FFARawStatProjections!A442=0,"",FFARawStatProjections!A442)</f>
        <v>David Moore</v>
      </c>
      <c r="BU447" t="str">
        <f>IF(FFARawStatProjections!C442=0,"",FFARawStatProjections!C442)</f>
        <v>WR</v>
      </c>
      <c r="BV447" t="str">
        <f>IF(FFARawStatProjections!B442=0,"",FFARawStatProjections!B442)</f>
        <v>TB</v>
      </c>
      <c r="BX447">
        <v>441</v>
      </c>
      <c r="BY447" s="89" t="str">
        <f t="shared" si="26"/>
        <v/>
      </c>
      <c r="BZ447" s="89" t="str">
        <f t="shared" si="27"/>
        <v/>
      </c>
      <c r="CA447" s="89" t="str">
        <f t="shared" si="28"/>
        <v/>
      </c>
    </row>
    <row r="448" spans="72:79" hidden="1" x14ac:dyDescent="0.25">
      <c r="BT448" t="str">
        <f>IF(FFARawStatProjections!A443=0,"",FFARawStatProjections!A443)</f>
        <v>Charlie Jones</v>
      </c>
      <c r="BU448" t="str">
        <f>IF(FFARawStatProjections!C443=0,"",FFARawStatProjections!C443)</f>
        <v>WR</v>
      </c>
      <c r="BV448" t="str">
        <f>IF(FFARawStatProjections!B443=0,"",FFARawStatProjections!B443)</f>
        <v>CIN</v>
      </c>
      <c r="BX448">
        <v>442</v>
      </c>
      <c r="BY448" s="89" t="str">
        <f t="shared" si="26"/>
        <v/>
      </c>
      <c r="BZ448" s="89" t="str">
        <f t="shared" si="27"/>
        <v/>
      </c>
      <c r="CA448" s="89" t="str">
        <f t="shared" si="28"/>
        <v/>
      </c>
    </row>
    <row r="449" spans="72:79" hidden="1" x14ac:dyDescent="0.25">
      <c r="BT449" t="str">
        <f>IF(FFARawStatProjections!A444=0,"",FFARawStatProjections!A444)</f>
        <v>AT Perry</v>
      </c>
      <c r="BU449" t="str">
        <f>IF(FFARawStatProjections!C444=0,"",FFARawStatProjections!C444)</f>
        <v>WR</v>
      </c>
      <c r="BV449" t="str">
        <f>IF(FFARawStatProjections!B444=0,"",FFARawStatProjections!B444)</f>
        <v>NO</v>
      </c>
      <c r="BX449">
        <v>443</v>
      </c>
      <c r="BY449" s="89" t="str">
        <f t="shared" si="26"/>
        <v/>
      </c>
      <c r="BZ449" s="89" t="str">
        <f t="shared" si="27"/>
        <v/>
      </c>
      <c r="CA449" s="89" t="str">
        <f t="shared" si="28"/>
        <v/>
      </c>
    </row>
    <row r="450" spans="72:79" hidden="1" x14ac:dyDescent="0.25">
      <c r="BT450" t="str">
        <f>IF(FFARawStatProjections!A445=0,"",FFARawStatProjections!A445)</f>
        <v>Cedrick Wilson</v>
      </c>
      <c r="BU450" t="str">
        <f>IF(FFARawStatProjections!C445=0,"",FFARawStatProjections!C445)</f>
        <v>WR</v>
      </c>
      <c r="BV450" t="str">
        <f>IF(FFARawStatProjections!B445=0,"",FFARawStatProjections!B445)</f>
        <v>MIA</v>
      </c>
      <c r="BX450">
        <v>444</v>
      </c>
      <c r="BY450" s="89" t="str">
        <f t="shared" si="26"/>
        <v/>
      </c>
      <c r="BZ450" s="89" t="str">
        <f t="shared" si="27"/>
        <v/>
      </c>
      <c r="CA450" s="89" t="str">
        <f t="shared" si="28"/>
        <v/>
      </c>
    </row>
    <row r="451" spans="72:79" hidden="1" x14ac:dyDescent="0.25">
      <c r="BT451" t="str">
        <f>IF(FFARawStatProjections!A446=0,"",FFARawStatProjections!A446)</f>
        <v>Noah Brown</v>
      </c>
      <c r="BU451" t="str">
        <f>IF(FFARawStatProjections!C446=0,"",FFARawStatProjections!C446)</f>
        <v>WR</v>
      </c>
      <c r="BV451" t="str">
        <f>IF(FFARawStatProjections!B446=0,"",FFARawStatProjections!B446)</f>
        <v>HOU</v>
      </c>
      <c r="BX451">
        <v>445</v>
      </c>
      <c r="BY451" s="89" t="str">
        <f t="shared" si="26"/>
        <v/>
      </c>
      <c r="BZ451" s="89" t="str">
        <f t="shared" si="27"/>
        <v/>
      </c>
      <c r="CA451" s="89" t="str">
        <f t="shared" si="28"/>
        <v/>
      </c>
    </row>
    <row r="452" spans="72:79" hidden="1" x14ac:dyDescent="0.25">
      <c r="BT452" t="str">
        <f>IF(FFARawStatProjections!A447=0,"",FFARawStatProjections!A447)</f>
        <v>Cade Johnson</v>
      </c>
      <c r="BU452" t="str">
        <f>IF(FFARawStatProjections!C447=0,"",FFARawStatProjections!C447)</f>
        <v>WR</v>
      </c>
      <c r="BV452" t="str">
        <f>IF(FFARawStatProjections!B447=0,"",FFARawStatProjections!B447)</f>
        <v>SEA</v>
      </c>
      <c r="BX452">
        <v>446</v>
      </c>
      <c r="BY452" s="89" t="str">
        <f t="shared" si="26"/>
        <v/>
      </c>
      <c r="BZ452" s="89" t="str">
        <f t="shared" si="27"/>
        <v/>
      </c>
      <c r="CA452" s="89" t="str">
        <f t="shared" si="28"/>
        <v/>
      </c>
    </row>
    <row r="453" spans="72:79" hidden="1" x14ac:dyDescent="0.25">
      <c r="BT453" t="str">
        <f>IF(FFARawStatProjections!A448=0,"",FFARawStatProjections!A448)</f>
        <v>Samori Toure</v>
      </c>
      <c r="BU453" t="str">
        <f>IF(FFARawStatProjections!C448=0,"",FFARawStatProjections!C448)</f>
        <v>WR</v>
      </c>
      <c r="BV453" t="str">
        <f>IF(FFARawStatProjections!B448=0,"",FFARawStatProjections!B448)</f>
        <v>GB</v>
      </c>
      <c r="BX453">
        <v>447</v>
      </c>
      <c r="BY453" s="89" t="str">
        <f t="shared" si="26"/>
        <v/>
      </c>
      <c r="BZ453" s="89" t="str">
        <f t="shared" si="27"/>
        <v/>
      </c>
      <c r="CA453" s="89" t="str">
        <f t="shared" si="28"/>
        <v/>
      </c>
    </row>
    <row r="454" spans="72:79" hidden="1" x14ac:dyDescent="0.25">
      <c r="BT454" t="str">
        <f>IF(FFARawStatProjections!A449=0,"",FFARawStatProjections!A449)</f>
        <v>Demario Douglas</v>
      </c>
      <c r="BU454" t="str">
        <f>IF(FFARawStatProjections!C449=0,"",FFARawStatProjections!C449)</f>
        <v>WR</v>
      </c>
      <c r="BV454" t="str">
        <f>IF(FFARawStatProjections!B449=0,"",FFARawStatProjections!B449)</f>
        <v>NE</v>
      </c>
      <c r="BX454">
        <v>448</v>
      </c>
      <c r="BY454" s="89" t="str">
        <f t="shared" si="26"/>
        <v/>
      </c>
      <c r="BZ454" s="89" t="str">
        <f t="shared" si="27"/>
        <v/>
      </c>
      <c r="CA454" s="89" t="str">
        <f t="shared" si="28"/>
        <v/>
      </c>
    </row>
    <row r="455" spans="72:79" hidden="1" x14ac:dyDescent="0.25">
      <c r="BT455" t="str">
        <f>IF(FFARawStatProjections!A450=0,"",FFARawStatProjections!A450)</f>
        <v>Xavier Hutchinson</v>
      </c>
      <c r="BU455" t="str">
        <f>IF(FFARawStatProjections!C450=0,"",FFARawStatProjections!C450)</f>
        <v>WR</v>
      </c>
      <c r="BV455" t="str">
        <f>IF(FFARawStatProjections!B450=0,"",FFARawStatProjections!B450)</f>
        <v>HOU</v>
      </c>
      <c r="BX455">
        <v>449</v>
      </c>
      <c r="BY455" s="89" t="str">
        <f t="shared" si="26"/>
        <v/>
      </c>
      <c r="BZ455" s="89" t="str">
        <f t="shared" si="27"/>
        <v/>
      </c>
      <c r="CA455" s="89" t="str">
        <f t="shared" si="28"/>
        <v/>
      </c>
    </row>
    <row r="456" spans="72:79" hidden="1" x14ac:dyDescent="0.25">
      <c r="BT456" t="str">
        <f>IF(FFARawStatProjections!A451=0,"",FFARawStatProjections!A451)</f>
        <v>Dontayvion Wicks</v>
      </c>
      <c r="BU456" t="str">
        <f>IF(FFARawStatProjections!C451=0,"",FFARawStatProjections!C451)</f>
        <v>WR</v>
      </c>
      <c r="BV456" t="str">
        <f>IF(FFARawStatProjections!B451=0,"",FFARawStatProjections!B451)</f>
        <v>GB</v>
      </c>
      <c r="BX456">
        <v>450</v>
      </c>
      <c r="BY456" s="89" t="str">
        <f t="shared" ref="BY456:BY519" si="29">IFERROR(INDEX(BT:BT,MATCH(BX456,BW:BW,0),1),"")</f>
        <v/>
      </c>
      <c r="BZ456" s="89" t="str">
        <f t="shared" ref="BZ456:BZ519" si="30">IFERROR(INDEX(BU:BU,MATCH(BX456,BW:BW,0)),"")</f>
        <v/>
      </c>
      <c r="CA456" s="89" t="str">
        <f t="shared" ref="CA456:CA519" si="31">IFERROR(INDEX(BV:BV,MATCH(BX456,BW:BW,0)),"")</f>
        <v/>
      </c>
    </row>
    <row r="457" spans="72:79" hidden="1" x14ac:dyDescent="0.25">
      <c r="BT457" t="str">
        <f>IF(FFARawStatProjections!A452=0,"",FFARawStatProjections!A452)</f>
        <v>Deven Thompkins</v>
      </c>
      <c r="BU457" t="str">
        <f>IF(FFARawStatProjections!C452=0,"",FFARawStatProjections!C452)</f>
        <v>WR</v>
      </c>
      <c r="BV457" t="str">
        <f>IF(FFARawStatProjections!B452=0,"",FFARawStatProjections!B452)</f>
        <v>TB</v>
      </c>
      <c r="BX457">
        <v>451</v>
      </c>
      <c r="BY457" s="89" t="str">
        <f t="shared" si="29"/>
        <v/>
      </c>
      <c r="BZ457" s="89" t="str">
        <f t="shared" si="30"/>
        <v/>
      </c>
      <c r="CA457" s="89" t="str">
        <f t="shared" si="31"/>
        <v/>
      </c>
    </row>
    <row r="458" spans="72:79" hidden="1" x14ac:dyDescent="0.25">
      <c r="BT458" t="str">
        <f>IF(FFARawStatProjections!A453=0,"",FFARawStatProjections!A453)</f>
        <v>Justyn Ross</v>
      </c>
      <c r="BU458" t="str">
        <f>IF(FFARawStatProjections!C453=0,"",FFARawStatProjections!C453)</f>
        <v>WR</v>
      </c>
      <c r="BV458" t="str">
        <f>IF(FFARawStatProjections!B453=0,"",FFARawStatProjections!B453)</f>
        <v>KC</v>
      </c>
      <c r="BX458">
        <v>452</v>
      </c>
      <c r="BY458" s="89" t="str">
        <f t="shared" si="29"/>
        <v/>
      </c>
      <c r="BZ458" s="89" t="str">
        <f t="shared" si="30"/>
        <v/>
      </c>
      <c r="CA458" s="89" t="str">
        <f t="shared" si="31"/>
        <v/>
      </c>
    </row>
    <row r="459" spans="72:79" hidden="1" x14ac:dyDescent="0.25">
      <c r="BT459" t="str">
        <f>IF(FFARawStatProjections!A454=0,"",FFARawStatProjections!A454)</f>
        <v>Tyler Scott</v>
      </c>
      <c r="BU459" t="str">
        <f>IF(FFARawStatProjections!C454=0,"",FFARawStatProjections!C454)</f>
        <v>WR</v>
      </c>
      <c r="BV459" t="str">
        <f>IF(FFARawStatProjections!B454=0,"",FFARawStatProjections!B454)</f>
        <v>CHI</v>
      </c>
      <c r="BX459">
        <v>453</v>
      </c>
      <c r="BY459" s="89" t="str">
        <f t="shared" si="29"/>
        <v/>
      </c>
      <c r="BZ459" s="89" t="str">
        <f t="shared" si="30"/>
        <v/>
      </c>
      <c r="CA459" s="89" t="str">
        <f t="shared" si="31"/>
        <v/>
      </c>
    </row>
    <row r="460" spans="72:79" hidden="1" x14ac:dyDescent="0.25">
      <c r="BT460" t="str">
        <f>IF(FFARawStatProjections!A455=0,"",FFARawStatProjections!A455)</f>
        <v>Devin Duvernay</v>
      </c>
      <c r="BU460" t="str">
        <f>IF(FFARawStatProjections!C455=0,"",FFARawStatProjections!C455)</f>
        <v>WR</v>
      </c>
      <c r="BV460" t="str">
        <f>IF(FFARawStatProjections!B455=0,"",FFARawStatProjections!B455)</f>
        <v>BAL</v>
      </c>
      <c r="BX460">
        <v>454</v>
      </c>
      <c r="BY460" s="89" t="str">
        <f t="shared" si="29"/>
        <v/>
      </c>
      <c r="BZ460" s="89" t="str">
        <f t="shared" si="30"/>
        <v/>
      </c>
      <c r="CA460" s="89" t="str">
        <f t="shared" si="31"/>
        <v/>
      </c>
    </row>
    <row r="461" spans="72:79" hidden="1" x14ac:dyDescent="0.25">
      <c r="BT461" t="str">
        <f>IF(FFARawStatProjections!A456=0,"",FFARawStatProjections!A456)</f>
        <v>Trenton Irwin</v>
      </c>
      <c r="BU461" t="str">
        <f>IF(FFARawStatProjections!C456=0,"",FFARawStatProjections!C456)</f>
        <v>WR</v>
      </c>
      <c r="BV461" t="str">
        <f>IF(FFARawStatProjections!B456=0,"",FFARawStatProjections!B456)</f>
        <v>CIN</v>
      </c>
      <c r="BX461">
        <v>455</v>
      </c>
      <c r="BY461" s="89" t="str">
        <f t="shared" si="29"/>
        <v/>
      </c>
      <c r="BZ461" s="89" t="str">
        <f t="shared" si="30"/>
        <v/>
      </c>
      <c r="CA461" s="89" t="str">
        <f t="shared" si="31"/>
        <v/>
      </c>
    </row>
    <row r="462" spans="72:79" hidden="1" x14ac:dyDescent="0.25">
      <c r="BT462" t="str">
        <f>IF(FFARawStatProjections!A457=0,"",FFARawStatProjections!A457)</f>
        <v>Justin Watson</v>
      </c>
      <c r="BU462" t="str">
        <f>IF(FFARawStatProjections!C457=0,"",FFARawStatProjections!C457)</f>
        <v>WR</v>
      </c>
      <c r="BV462" t="str">
        <f>IF(FFARawStatProjections!B457=0,"",FFARawStatProjections!B457)</f>
        <v>KC</v>
      </c>
      <c r="BX462">
        <v>456</v>
      </c>
      <c r="BY462" s="89" t="str">
        <f t="shared" si="29"/>
        <v/>
      </c>
      <c r="BZ462" s="89" t="str">
        <f t="shared" si="30"/>
        <v/>
      </c>
      <c r="CA462" s="89" t="str">
        <f t="shared" si="31"/>
        <v/>
      </c>
    </row>
    <row r="463" spans="72:79" hidden="1" x14ac:dyDescent="0.25">
      <c r="BT463" t="str">
        <f>IF(FFARawStatProjections!A458=0,"",FFARawStatProjections!A458)</f>
        <v>Zach Pascal</v>
      </c>
      <c r="BU463" t="str">
        <f>IF(FFARawStatProjections!C458=0,"",FFARawStatProjections!C458)</f>
        <v>WR</v>
      </c>
      <c r="BV463" t="str">
        <f>IF(FFARawStatProjections!B458=0,"",FFARawStatProjections!B458)</f>
        <v>AZ</v>
      </c>
      <c r="BX463">
        <v>457</v>
      </c>
      <c r="BY463" s="89" t="str">
        <f t="shared" si="29"/>
        <v/>
      </c>
      <c r="BZ463" s="89" t="str">
        <f t="shared" si="30"/>
        <v/>
      </c>
      <c r="CA463" s="89" t="str">
        <f t="shared" si="31"/>
        <v/>
      </c>
    </row>
    <row r="464" spans="72:79" hidden="1" x14ac:dyDescent="0.25">
      <c r="BT464" t="str">
        <f>IF(FFARawStatProjections!A459=0,"",FFARawStatProjections!A459)</f>
        <v>KhaDarel Hodge</v>
      </c>
      <c r="BU464" t="str">
        <f>IF(FFARawStatProjections!C459=0,"",FFARawStatProjections!C459)</f>
        <v>WR</v>
      </c>
      <c r="BV464" t="str">
        <f>IF(FFARawStatProjections!B459=0,"",FFARawStatProjections!B459)</f>
        <v>ATL</v>
      </c>
      <c r="BX464">
        <v>458</v>
      </c>
      <c r="BY464" s="89" t="str">
        <f t="shared" si="29"/>
        <v/>
      </c>
      <c r="BZ464" s="89" t="str">
        <f t="shared" si="30"/>
        <v/>
      </c>
      <c r="CA464" s="89" t="str">
        <f t="shared" si="31"/>
        <v/>
      </c>
    </row>
    <row r="465" spans="72:79" hidden="1" x14ac:dyDescent="0.25">
      <c r="BT465" t="str">
        <f>IF(FFARawStatProjections!A460=0,"",FFARawStatProjections!A460)</f>
        <v>Dyami Brown</v>
      </c>
      <c r="BU465" t="str">
        <f>IF(FFARawStatProjections!C460=0,"",FFARawStatProjections!C460)</f>
        <v>WR</v>
      </c>
      <c r="BV465" t="str">
        <f>IF(FFARawStatProjections!B460=0,"",FFARawStatProjections!B460)</f>
        <v>WAS</v>
      </c>
      <c r="BX465">
        <v>459</v>
      </c>
      <c r="BY465" s="89" t="str">
        <f t="shared" si="29"/>
        <v/>
      </c>
      <c r="BZ465" s="89" t="str">
        <f t="shared" si="30"/>
        <v/>
      </c>
      <c r="CA465" s="89" t="str">
        <f t="shared" si="31"/>
        <v/>
      </c>
    </row>
    <row r="466" spans="72:79" hidden="1" x14ac:dyDescent="0.25">
      <c r="BT466" t="str">
        <f>IF(FFARawStatProjections!A461=0,"",FFARawStatProjections!A461)</f>
        <v>David Bell</v>
      </c>
      <c r="BU466" t="str">
        <f>IF(FFARawStatProjections!C461=0,"",FFARawStatProjections!C461)</f>
        <v>WR</v>
      </c>
      <c r="BV466" t="str">
        <f>IF(FFARawStatProjections!B461=0,"",FFARawStatProjections!B461)</f>
        <v>CLE</v>
      </c>
      <c r="BX466">
        <v>460</v>
      </c>
      <c r="BY466" s="89" t="str">
        <f t="shared" si="29"/>
        <v/>
      </c>
      <c r="BZ466" s="89" t="str">
        <f t="shared" si="30"/>
        <v/>
      </c>
      <c r="CA466" s="89" t="str">
        <f t="shared" si="31"/>
        <v/>
      </c>
    </row>
    <row r="467" spans="72:79" hidden="1" x14ac:dyDescent="0.25">
      <c r="BT467" t="str">
        <f>IF(FFARawStatProjections!A462=0,"",FFARawStatProjections!A462)</f>
        <v>Calvin Austin</v>
      </c>
      <c r="BU467" t="str">
        <f>IF(FFARawStatProjections!C462=0,"",FFARawStatProjections!C462)</f>
        <v>WR</v>
      </c>
      <c r="BV467" t="str">
        <f>IF(FFARawStatProjections!B462=0,"",FFARawStatProjections!B462)</f>
        <v>PIT</v>
      </c>
      <c r="BX467">
        <v>461</v>
      </c>
      <c r="BY467" s="89" t="str">
        <f t="shared" si="29"/>
        <v/>
      </c>
      <c r="BZ467" s="89" t="str">
        <f t="shared" si="30"/>
        <v/>
      </c>
      <c r="CA467" s="89" t="str">
        <f t="shared" si="31"/>
        <v/>
      </c>
    </row>
    <row r="468" spans="72:79" hidden="1" x14ac:dyDescent="0.25">
      <c r="BT468" t="str">
        <f>IF(FFARawStatProjections!A463=0,"",FFARawStatProjections!A463)</f>
        <v>Tre Nixon</v>
      </c>
      <c r="BU468" t="str">
        <f>IF(FFARawStatProjections!C463=0,"",FFARawStatProjections!C463)</f>
        <v>WR</v>
      </c>
      <c r="BV468" t="str">
        <f>IF(FFARawStatProjections!B463=0,"",FFARawStatProjections!B463)</f>
        <v>NE</v>
      </c>
      <c r="BX468">
        <v>462</v>
      </c>
      <c r="BY468" s="89" t="str">
        <f t="shared" si="29"/>
        <v/>
      </c>
      <c r="BZ468" s="89" t="str">
        <f t="shared" si="30"/>
        <v/>
      </c>
      <c r="CA468" s="89" t="str">
        <f t="shared" si="31"/>
        <v/>
      </c>
    </row>
    <row r="469" spans="72:79" hidden="1" x14ac:dyDescent="0.25">
      <c r="BT469" t="str">
        <f>IF(FFARawStatProjections!A464=0,"",FFARawStatProjections!A464)</f>
        <v>Deonte Harty</v>
      </c>
      <c r="BU469" t="str">
        <f>IF(FFARawStatProjections!C464=0,"",FFARawStatProjections!C464)</f>
        <v>WR</v>
      </c>
      <c r="BV469" t="str">
        <f>IF(FFARawStatProjections!B464=0,"",FFARawStatProjections!B464)</f>
        <v>BUF</v>
      </c>
      <c r="BX469">
        <v>463</v>
      </c>
      <c r="BY469" s="89" t="str">
        <f t="shared" si="29"/>
        <v/>
      </c>
      <c r="BZ469" s="89" t="str">
        <f t="shared" si="30"/>
        <v/>
      </c>
      <c r="CA469" s="89" t="str">
        <f t="shared" si="31"/>
        <v/>
      </c>
    </row>
    <row r="470" spans="72:79" hidden="1" x14ac:dyDescent="0.25">
      <c r="BT470" t="str">
        <f>IF(FFARawStatProjections!A465=0,"",FFARawStatProjections!A465)</f>
        <v>Britain Covey</v>
      </c>
      <c r="BU470" t="str">
        <f>IF(FFARawStatProjections!C465=0,"",FFARawStatProjections!C465)</f>
        <v>WR</v>
      </c>
      <c r="BV470" t="str">
        <f>IF(FFARawStatProjections!B465=0,"",FFARawStatProjections!B465)</f>
        <v>PHI</v>
      </c>
      <c r="BX470">
        <v>464</v>
      </c>
      <c r="BY470" s="89" t="str">
        <f t="shared" si="29"/>
        <v/>
      </c>
      <c r="BZ470" s="89" t="str">
        <f t="shared" si="30"/>
        <v/>
      </c>
      <c r="CA470" s="89" t="str">
        <f t="shared" si="31"/>
        <v/>
      </c>
    </row>
    <row r="471" spans="72:79" hidden="1" x14ac:dyDescent="0.25">
      <c r="BT471" t="str">
        <f>IF(FFARawStatProjections!A466=0,"",FFARawStatProjections!A466)</f>
        <v>Jalen Guyton</v>
      </c>
      <c r="BU471" t="str">
        <f>IF(FFARawStatProjections!C466=0,"",FFARawStatProjections!C466)</f>
        <v>WR</v>
      </c>
      <c r="BV471" t="str">
        <f>IF(FFARawStatProjections!B466=0,"",FFARawStatProjections!B466)</f>
        <v>LAC</v>
      </c>
      <c r="BX471">
        <v>465</v>
      </c>
      <c r="BY471" s="89" t="str">
        <f t="shared" si="29"/>
        <v/>
      </c>
      <c r="BZ471" s="89" t="str">
        <f t="shared" si="30"/>
        <v/>
      </c>
      <c r="CA471" s="89" t="str">
        <f t="shared" si="31"/>
        <v/>
      </c>
    </row>
    <row r="472" spans="72:79" hidden="1" x14ac:dyDescent="0.25">
      <c r="BT472" t="str">
        <f>IF(FFARawStatProjections!A467=0,"",FFARawStatProjections!A467)</f>
        <v>Parker Washington</v>
      </c>
      <c r="BU472" t="str">
        <f>IF(FFARawStatProjections!C467=0,"",FFARawStatProjections!C467)</f>
        <v>WR</v>
      </c>
      <c r="BV472" t="str">
        <f>IF(FFARawStatProjections!B467=0,"",FFARawStatProjections!B467)</f>
        <v>JAC</v>
      </c>
      <c r="BX472">
        <v>466</v>
      </c>
      <c r="BY472" s="89" t="str">
        <f t="shared" si="29"/>
        <v/>
      </c>
      <c r="BZ472" s="89" t="str">
        <f t="shared" si="30"/>
        <v/>
      </c>
      <c r="CA472" s="89" t="str">
        <f t="shared" si="31"/>
        <v/>
      </c>
    </row>
    <row r="473" spans="72:79" hidden="1" x14ac:dyDescent="0.25">
      <c r="BT473" t="str">
        <f>IF(FFARawStatProjections!A468=0,"",FFARawStatProjections!A468)</f>
        <v>Bryan Edwards</v>
      </c>
      <c r="BU473" t="str">
        <f>IF(FFARawStatProjections!C468=0,"",FFARawStatProjections!C468)</f>
        <v>WR</v>
      </c>
      <c r="BV473" t="str">
        <f>IF(FFARawStatProjections!B468=0,"",FFARawStatProjections!B468)</f>
        <v>NO</v>
      </c>
      <c r="BX473">
        <v>467</v>
      </c>
      <c r="BY473" s="89" t="str">
        <f t="shared" si="29"/>
        <v/>
      </c>
      <c r="BZ473" s="89" t="str">
        <f t="shared" si="30"/>
        <v/>
      </c>
      <c r="CA473" s="89" t="str">
        <f t="shared" si="31"/>
        <v/>
      </c>
    </row>
    <row r="474" spans="72:79" hidden="1" x14ac:dyDescent="0.25">
      <c r="BT474" t="str">
        <f>IF(FFARawStatProjections!A469=0,"",FFARawStatProjections!A469)</f>
        <v>Steven Sims</v>
      </c>
      <c r="BU474" t="str">
        <f>IF(FFARawStatProjections!C469=0,"",FFARawStatProjections!C469)</f>
        <v>WR</v>
      </c>
      <c r="BV474" t="str">
        <f>IF(FFARawStatProjections!B469=0,"",FFARawStatProjections!B469)</f>
        <v>HOU</v>
      </c>
      <c r="BX474">
        <v>468</v>
      </c>
      <c r="BY474" s="89" t="str">
        <f t="shared" si="29"/>
        <v/>
      </c>
      <c r="BZ474" s="89" t="str">
        <f t="shared" si="30"/>
        <v/>
      </c>
      <c r="CA474" s="89" t="str">
        <f t="shared" si="31"/>
        <v/>
      </c>
    </row>
    <row r="475" spans="72:79" hidden="1" x14ac:dyDescent="0.25">
      <c r="BT475" t="str">
        <f>IF(FFARawStatProjections!A470=0,"",FFARawStatProjections!A470)</f>
        <v>Brandon Powell</v>
      </c>
      <c r="BU475" t="str">
        <f>IF(FFARawStatProjections!C470=0,"",FFARawStatProjections!C470)</f>
        <v>WR</v>
      </c>
      <c r="BV475" t="str">
        <f>IF(FFARawStatProjections!B470=0,"",FFARawStatProjections!B470)</f>
        <v>MIN</v>
      </c>
      <c r="BX475">
        <v>469</v>
      </c>
      <c r="BY475" s="89" t="str">
        <f t="shared" si="29"/>
        <v/>
      </c>
      <c r="BZ475" s="89" t="str">
        <f t="shared" si="30"/>
        <v/>
      </c>
      <c r="CA475" s="89" t="str">
        <f t="shared" si="31"/>
        <v/>
      </c>
    </row>
    <row r="476" spans="72:79" hidden="1" x14ac:dyDescent="0.25">
      <c r="BT476" t="str">
        <f>IF(FFARawStatProjections!A471=0,"",FFARawStatProjections!A471)</f>
        <v>Jamison Crowder</v>
      </c>
      <c r="BU476" t="str">
        <f>IF(FFARawStatProjections!C471=0,"",FFARawStatProjections!C471)</f>
        <v>WR</v>
      </c>
      <c r="BV476" t="str">
        <f>IF(FFARawStatProjections!B471=0,"",FFARawStatProjections!B471)</f>
        <v>NYG</v>
      </c>
      <c r="BX476">
        <v>470</v>
      </c>
      <c r="BY476" s="89" t="str">
        <f t="shared" si="29"/>
        <v/>
      </c>
      <c r="BZ476" s="89" t="str">
        <f t="shared" si="30"/>
        <v/>
      </c>
      <c r="CA476" s="89" t="str">
        <f t="shared" si="31"/>
        <v/>
      </c>
    </row>
    <row r="477" spans="72:79" hidden="1" x14ac:dyDescent="0.25">
      <c r="BT477" t="str">
        <f>IF(FFARawStatProjections!A472=0,"",FFARawStatProjections!A472)</f>
        <v>Jalen Tolbert</v>
      </c>
      <c r="BU477" t="str">
        <f>IF(FFARawStatProjections!C472=0,"",FFARawStatProjections!C472)</f>
        <v>WR</v>
      </c>
      <c r="BV477" t="str">
        <f>IF(FFARawStatProjections!B472=0,"",FFARawStatProjections!B472)</f>
        <v>DAL</v>
      </c>
      <c r="BX477">
        <v>471</v>
      </c>
      <c r="BY477" s="89" t="str">
        <f t="shared" si="29"/>
        <v/>
      </c>
      <c r="BZ477" s="89" t="str">
        <f t="shared" si="30"/>
        <v/>
      </c>
      <c r="CA477" s="89" t="str">
        <f t="shared" si="31"/>
        <v/>
      </c>
    </row>
    <row r="478" spans="72:79" hidden="1" x14ac:dyDescent="0.25">
      <c r="BT478" t="str">
        <f>IF(FFARawStatProjections!A473=0,"",FFARawStatProjections!A473)</f>
        <v>Cole Beasley</v>
      </c>
      <c r="BU478" t="str">
        <f>IF(FFARawStatProjections!C473=0,"",FFARawStatProjections!C473)</f>
        <v>WR</v>
      </c>
      <c r="BV478" t="str">
        <f>IF(FFARawStatProjections!B473=0,"",FFARawStatProjections!B473)</f>
        <v>NYG</v>
      </c>
      <c r="BX478">
        <v>472</v>
      </c>
      <c r="BY478" s="89" t="str">
        <f t="shared" si="29"/>
        <v/>
      </c>
      <c r="BZ478" s="89" t="str">
        <f t="shared" si="30"/>
        <v/>
      </c>
      <c r="CA478" s="89" t="str">
        <f t="shared" si="31"/>
        <v/>
      </c>
    </row>
    <row r="479" spans="72:79" hidden="1" x14ac:dyDescent="0.25">
      <c r="BT479" t="str">
        <f>IF(FFARawStatProjections!A474=0,"",FFARawStatProjections!A474)</f>
        <v>Equanimeous St Brown</v>
      </c>
      <c r="BU479" t="str">
        <f>IF(FFARawStatProjections!C474=0,"",FFARawStatProjections!C474)</f>
        <v>WR</v>
      </c>
      <c r="BV479" t="str">
        <f>IF(FFARawStatProjections!B474=0,"",FFARawStatProjections!B474)</f>
        <v>CHI</v>
      </c>
      <c r="BX479">
        <v>473</v>
      </c>
      <c r="BY479" s="89" t="str">
        <f t="shared" si="29"/>
        <v/>
      </c>
      <c r="BZ479" s="89" t="str">
        <f t="shared" si="30"/>
        <v/>
      </c>
      <c r="CA479" s="89" t="str">
        <f t="shared" si="31"/>
        <v/>
      </c>
    </row>
    <row r="480" spans="72:79" hidden="1" x14ac:dyDescent="0.25">
      <c r="BT480" t="str">
        <f>IF(FFARawStatProjections!A475=0,"",FFARawStatProjections!A475)</f>
        <v>Nelson Agholor</v>
      </c>
      <c r="BU480" t="str">
        <f>IF(FFARawStatProjections!C475=0,"",FFARawStatProjections!C475)</f>
        <v>WR</v>
      </c>
      <c r="BV480" t="str">
        <f>IF(FFARawStatProjections!B475=0,"",FFARawStatProjections!B475)</f>
        <v>BAL</v>
      </c>
      <c r="BX480">
        <v>474</v>
      </c>
      <c r="BY480" s="89" t="str">
        <f t="shared" si="29"/>
        <v/>
      </c>
      <c r="BZ480" s="89" t="str">
        <f t="shared" si="30"/>
        <v/>
      </c>
      <c r="CA480" s="89" t="str">
        <f t="shared" si="31"/>
        <v/>
      </c>
    </row>
    <row r="481" spans="72:79" hidden="1" x14ac:dyDescent="0.25">
      <c r="BT481" t="str">
        <f>IF(FFARawStatProjections!A476=0,"",FFARawStatProjections!A476)</f>
        <v>Jalen Nailor</v>
      </c>
      <c r="BU481" t="str">
        <f>IF(FFARawStatProjections!C476=0,"",FFARawStatProjections!C476)</f>
        <v>WR</v>
      </c>
      <c r="BV481" t="str">
        <f>IF(FFARawStatProjections!B476=0,"",FFARawStatProjections!B476)</f>
        <v>MIN</v>
      </c>
      <c r="BX481">
        <v>475</v>
      </c>
      <c r="BY481" s="89" t="str">
        <f t="shared" si="29"/>
        <v/>
      </c>
      <c r="BZ481" s="89" t="str">
        <f t="shared" si="30"/>
        <v/>
      </c>
      <c r="CA481" s="89" t="str">
        <f t="shared" si="31"/>
        <v/>
      </c>
    </row>
    <row r="482" spans="72:79" hidden="1" x14ac:dyDescent="0.25">
      <c r="BT482" t="str">
        <f>IF(FFARawStatProjections!A477=0,"",FFARawStatProjections!A477)</f>
        <v>TreQuan Smith</v>
      </c>
      <c r="BU482" t="str">
        <f>IF(FFARawStatProjections!C477=0,"",FFARawStatProjections!C477)</f>
        <v>WR</v>
      </c>
      <c r="BV482" t="str">
        <f>IF(FFARawStatProjections!B477=0,"",FFARawStatProjections!B477)</f>
        <v>NO</v>
      </c>
      <c r="BX482">
        <v>476</v>
      </c>
      <c r="BY482" s="89" t="str">
        <f t="shared" si="29"/>
        <v/>
      </c>
      <c r="BZ482" s="89" t="str">
        <f t="shared" si="30"/>
        <v/>
      </c>
      <c r="CA482" s="89" t="str">
        <f t="shared" si="31"/>
        <v/>
      </c>
    </row>
    <row r="483" spans="72:79" hidden="1" x14ac:dyDescent="0.25">
      <c r="BT483" t="str">
        <f>IF(FFARawStatProjections!A478=0,"",FFARawStatProjections!A478)</f>
        <v>Velus Jones</v>
      </c>
      <c r="BU483" t="str">
        <f>IF(FFARawStatProjections!C478=0,"",FFARawStatProjections!C478)</f>
        <v>WR</v>
      </c>
      <c r="BV483" t="str">
        <f>IF(FFARawStatProjections!B478=0,"",FFARawStatProjections!B478)</f>
        <v>CHI</v>
      </c>
      <c r="BX483">
        <v>477</v>
      </c>
      <c r="BY483" s="89" t="str">
        <f t="shared" si="29"/>
        <v/>
      </c>
      <c r="BZ483" s="89" t="str">
        <f t="shared" si="30"/>
        <v/>
      </c>
      <c r="CA483" s="89" t="str">
        <f t="shared" si="31"/>
        <v/>
      </c>
    </row>
    <row r="484" spans="72:79" hidden="1" x14ac:dyDescent="0.25">
      <c r="BT484" t="str">
        <f>IF(FFARawStatProjections!A479=0,"",FFARawStatProjections!A479)</f>
        <v>Kendall Hinton</v>
      </c>
      <c r="BU484" t="str">
        <f>IF(FFARawStatProjections!C479=0,"",FFARawStatProjections!C479)</f>
        <v>WR</v>
      </c>
      <c r="BV484" t="str">
        <f>IF(FFARawStatProjections!B479=0,"",FFARawStatProjections!B479)</f>
        <v>DEN</v>
      </c>
      <c r="BX484">
        <v>478</v>
      </c>
      <c r="BY484" s="89" t="str">
        <f t="shared" si="29"/>
        <v/>
      </c>
      <c r="BZ484" s="89" t="str">
        <f t="shared" si="30"/>
        <v/>
      </c>
      <c r="CA484" s="89" t="str">
        <f t="shared" si="31"/>
        <v/>
      </c>
    </row>
    <row r="485" spans="72:79" hidden="1" x14ac:dyDescent="0.25">
      <c r="BT485" t="str">
        <f>IF(FFARawStatProjections!A480=0,"",FFARawStatProjections!A480)</f>
        <v>DeAndre Carter</v>
      </c>
      <c r="BU485" t="str">
        <f>IF(FFARawStatProjections!C480=0,"",FFARawStatProjections!C480)</f>
        <v>WR</v>
      </c>
      <c r="BV485" t="str">
        <f>IF(FFARawStatProjections!B480=0,"",FFARawStatProjections!B480)</f>
        <v>LV</v>
      </c>
      <c r="BX485">
        <v>479</v>
      </c>
      <c r="BY485" s="89" t="str">
        <f t="shared" si="29"/>
        <v/>
      </c>
      <c r="BZ485" s="89" t="str">
        <f t="shared" si="30"/>
        <v/>
      </c>
      <c r="CA485" s="89" t="str">
        <f t="shared" si="31"/>
        <v/>
      </c>
    </row>
    <row r="486" spans="72:79" hidden="1" x14ac:dyDescent="0.25">
      <c r="BT486" t="str">
        <f>IF(FFARawStatProjections!A481=0,"",FFARawStatProjections!A481)</f>
        <v>Penny Hart</v>
      </c>
      <c r="BU486" t="str">
        <f>IF(FFARawStatProjections!C481=0,"",FFARawStatProjections!C481)</f>
        <v>WR</v>
      </c>
      <c r="BV486" t="str">
        <f>IF(FFARawStatProjections!B481=0,"",FFARawStatProjections!B481)</f>
        <v>ATL</v>
      </c>
      <c r="BX486">
        <v>480</v>
      </c>
      <c r="BY486" s="89" t="str">
        <f t="shared" si="29"/>
        <v/>
      </c>
      <c r="BZ486" s="89" t="str">
        <f t="shared" si="30"/>
        <v/>
      </c>
      <c r="CA486" s="89" t="str">
        <f t="shared" si="31"/>
        <v/>
      </c>
    </row>
    <row r="487" spans="72:79" hidden="1" x14ac:dyDescent="0.25">
      <c r="BT487" t="str">
        <f>IF(FFARawStatProjections!A482=0,"",FFARawStatProjections!A482)</f>
        <v>Dee Eskridge</v>
      </c>
      <c r="BU487" t="str">
        <f>IF(FFARawStatProjections!C482=0,"",FFARawStatProjections!C482)</f>
        <v>WR</v>
      </c>
      <c r="BV487" t="str">
        <f>IF(FFARawStatProjections!B482=0,"",FFARawStatProjections!B482)</f>
        <v>SEA</v>
      </c>
      <c r="BX487">
        <v>481</v>
      </c>
      <c r="BY487" s="89" t="str">
        <f t="shared" si="29"/>
        <v/>
      </c>
      <c r="BZ487" s="89" t="str">
        <f t="shared" si="30"/>
        <v/>
      </c>
      <c r="CA487" s="89" t="str">
        <f t="shared" si="31"/>
        <v/>
      </c>
    </row>
    <row r="488" spans="72:79" hidden="1" x14ac:dyDescent="0.25">
      <c r="BT488" t="str">
        <f>IF(FFARawStatProjections!A483=0,"",FFARawStatProjections!A483)</f>
        <v>Phillip Dorsett</v>
      </c>
      <c r="BU488" t="str">
        <f>IF(FFARawStatProjections!C483=0,"",FFARawStatProjections!C483)</f>
        <v>WR</v>
      </c>
      <c r="BV488" t="str">
        <f>IF(FFARawStatProjections!B483=0,"",FFARawStatProjections!B483)</f>
        <v>LV</v>
      </c>
      <c r="BX488">
        <v>482</v>
      </c>
      <c r="BY488" s="89" t="str">
        <f t="shared" si="29"/>
        <v/>
      </c>
      <c r="BZ488" s="89" t="str">
        <f t="shared" si="30"/>
        <v/>
      </c>
      <c r="CA488" s="89" t="str">
        <f t="shared" si="31"/>
        <v/>
      </c>
    </row>
    <row r="489" spans="72:79" hidden="1" x14ac:dyDescent="0.25">
      <c r="BT489" t="str">
        <f>IF(FFARawStatProjections!A484=0,"",FFARawStatProjections!A484)</f>
        <v>Scott Miller</v>
      </c>
      <c r="BU489" t="str">
        <f>IF(FFARawStatProjections!C484=0,"",FFARawStatProjections!C484)</f>
        <v>WR</v>
      </c>
      <c r="BV489" t="str">
        <f>IF(FFARawStatProjections!B484=0,"",FFARawStatProjections!B484)</f>
        <v>ATL</v>
      </c>
      <c r="BX489">
        <v>483</v>
      </c>
      <c r="BY489" s="89" t="str">
        <f t="shared" si="29"/>
        <v/>
      </c>
      <c r="BZ489" s="89" t="str">
        <f t="shared" si="30"/>
        <v/>
      </c>
      <c r="CA489" s="89" t="str">
        <f t="shared" si="31"/>
        <v/>
      </c>
    </row>
    <row r="490" spans="72:79" hidden="1" x14ac:dyDescent="0.25">
      <c r="BT490" t="str">
        <f>IF(FFARawStatProjections!A485=0,"",FFARawStatProjections!A485)</f>
        <v>Shi Smith</v>
      </c>
      <c r="BU490" t="str">
        <f>IF(FFARawStatProjections!C485=0,"",FFARawStatProjections!C485)</f>
        <v>WR</v>
      </c>
      <c r="BV490" t="str">
        <f>IF(FFARawStatProjections!B485=0,"",FFARawStatProjections!B485)</f>
        <v>CAR</v>
      </c>
      <c r="BX490">
        <v>484</v>
      </c>
      <c r="BY490" s="89" t="str">
        <f t="shared" si="29"/>
        <v/>
      </c>
      <c r="BZ490" s="89" t="str">
        <f t="shared" si="30"/>
        <v/>
      </c>
      <c r="CA490" s="89" t="str">
        <f t="shared" si="31"/>
        <v/>
      </c>
    </row>
    <row r="491" spans="72:79" hidden="1" x14ac:dyDescent="0.25">
      <c r="BT491" t="str">
        <f>IF(FFARawStatProjections!A486=0,"",FFARawStatProjections!A486)</f>
        <v>Derius Davis</v>
      </c>
      <c r="BU491" t="str">
        <f>IF(FFARawStatProjections!C486=0,"",FFARawStatProjections!C486)</f>
        <v>WR</v>
      </c>
      <c r="BV491" t="str">
        <f>IF(FFARawStatProjections!B486=0,"",FFARawStatProjections!B486)</f>
        <v>LAC</v>
      </c>
      <c r="BX491">
        <v>485</v>
      </c>
      <c r="BY491" s="89" t="str">
        <f t="shared" si="29"/>
        <v/>
      </c>
      <c r="BZ491" s="89" t="str">
        <f t="shared" si="30"/>
        <v/>
      </c>
      <c r="CA491" s="89" t="str">
        <f t="shared" si="31"/>
        <v/>
      </c>
    </row>
    <row r="492" spans="72:79" hidden="1" x14ac:dyDescent="0.25">
      <c r="BT492" t="str">
        <f>IF(FFARawStatProjections!A487=0,"",FFARawStatProjections!A487)</f>
        <v>Denzel Mims</v>
      </c>
      <c r="BU492" t="str">
        <f>IF(FFARawStatProjections!C487=0,"",FFARawStatProjections!C487)</f>
        <v>WR</v>
      </c>
      <c r="BV492" t="str">
        <f>IF(FFARawStatProjections!B487=0,"",FFARawStatProjections!B487)</f>
        <v>DET</v>
      </c>
      <c r="BX492">
        <v>486</v>
      </c>
      <c r="BY492" s="89" t="str">
        <f t="shared" si="29"/>
        <v/>
      </c>
      <c r="BZ492" s="89" t="str">
        <f t="shared" si="30"/>
        <v/>
      </c>
      <c r="CA492" s="89" t="str">
        <f t="shared" si="31"/>
        <v/>
      </c>
    </row>
    <row r="493" spans="72:79" hidden="1" x14ac:dyDescent="0.25">
      <c r="BT493" t="str">
        <f>IF(FFARawStatProjections!A488=0,"",FFARawStatProjections!A488)</f>
        <v>Andrei Iosivas</v>
      </c>
      <c r="BU493" t="str">
        <f>IF(FFARawStatProjections!C488=0,"",FFARawStatProjections!C488)</f>
        <v>WR</v>
      </c>
      <c r="BV493" t="str">
        <f>IF(FFARawStatProjections!B488=0,"",FFARawStatProjections!B488)</f>
        <v>CIN</v>
      </c>
      <c r="BX493">
        <v>487</v>
      </c>
      <c r="BY493" s="89" t="str">
        <f t="shared" si="29"/>
        <v/>
      </c>
      <c r="BZ493" s="89" t="str">
        <f t="shared" si="30"/>
        <v/>
      </c>
      <c r="CA493" s="89" t="str">
        <f t="shared" si="31"/>
        <v/>
      </c>
    </row>
    <row r="494" spans="72:79" hidden="1" x14ac:dyDescent="0.25">
      <c r="BT494" t="str">
        <f>IF(FFARawStatProjections!A489=0,"",FFARawStatProjections!A489)</f>
        <v>Gunner Olszewski</v>
      </c>
      <c r="BU494" t="str">
        <f>IF(FFARawStatProjections!C489=0,"",FFARawStatProjections!C489)</f>
        <v>WR</v>
      </c>
      <c r="BV494" t="str">
        <f>IF(FFARawStatProjections!B489=0,"",FFARawStatProjections!B489)</f>
        <v>PIT</v>
      </c>
      <c r="BX494">
        <v>488</v>
      </c>
      <c r="BY494" s="89" t="str">
        <f t="shared" si="29"/>
        <v/>
      </c>
      <c r="BZ494" s="89" t="str">
        <f t="shared" si="30"/>
        <v/>
      </c>
      <c r="CA494" s="89" t="str">
        <f t="shared" si="31"/>
        <v/>
      </c>
    </row>
    <row r="495" spans="72:79" hidden="1" x14ac:dyDescent="0.25">
      <c r="BT495" t="str">
        <f>IF(FFARawStatProjections!A490=0,"",FFARawStatProjections!A490)</f>
        <v>Kaylon Geiger</v>
      </c>
      <c r="BU495" t="str">
        <f>IF(FFARawStatProjections!C490=0,"",FFARawStatProjections!C490)</f>
        <v>WR</v>
      </c>
      <c r="BV495" t="str">
        <f>IF(FFARawStatProjections!B490=0,"",FFARawStatProjections!B490)</f>
        <v>TB</v>
      </c>
      <c r="BX495">
        <v>489</v>
      </c>
      <c r="BY495" s="89" t="str">
        <f t="shared" si="29"/>
        <v/>
      </c>
      <c r="BZ495" s="89" t="str">
        <f t="shared" si="30"/>
        <v/>
      </c>
      <c r="CA495" s="89" t="str">
        <f t="shared" si="31"/>
        <v/>
      </c>
    </row>
    <row r="496" spans="72:79" hidden="1" x14ac:dyDescent="0.25">
      <c r="BT496" t="str">
        <f>IF(FFARawStatProjections!A491=0,"",FFARawStatProjections!A491)</f>
        <v>Justin Shorter</v>
      </c>
      <c r="BU496" t="str">
        <f>IF(FFARawStatProjections!C491=0,"",FFARawStatProjections!C491)</f>
        <v>WR</v>
      </c>
      <c r="BV496" t="str">
        <f>IF(FFARawStatProjections!B491=0,"",FFARawStatProjections!B491)</f>
        <v>BUF</v>
      </c>
      <c r="BX496">
        <v>490</v>
      </c>
      <c r="BY496" s="89" t="str">
        <f t="shared" si="29"/>
        <v/>
      </c>
      <c r="BZ496" s="89" t="str">
        <f t="shared" si="30"/>
        <v/>
      </c>
      <c r="CA496" s="89" t="str">
        <f t="shared" si="31"/>
        <v/>
      </c>
    </row>
    <row r="497" spans="72:79" hidden="1" x14ac:dyDescent="0.25">
      <c r="BT497" t="str">
        <f>IF(FFARawStatProjections!A492=0,"",FFARawStatProjections!A492)</f>
        <v>Joseph Ngata</v>
      </c>
      <c r="BU497" t="str">
        <f>IF(FFARawStatProjections!C492=0,"",FFARawStatProjections!C492)</f>
        <v>WR</v>
      </c>
      <c r="BV497" t="str">
        <f>IF(FFARawStatProjections!B492=0,"",FFARawStatProjections!B492)</f>
        <v>PHI</v>
      </c>
      <c r="BX497">
        <v>491</v>
      </c>
      <c r="BY497" s="89" t="str">
        <f t="shared" si="29"/>
        <v/>
      </c>
      <c r="BZ497" s="89" t="str">
        <f t="shared" si="30"/>
        <v/>
      </c>
      <c r="CA497" s="89" t="str">
        <f t="shared" si="31"/>
        <v/>
      </c>
    </row>
    <row r="498" spans="72:79" hidden="1" x14ac:dyDescent="0.25">
      <c r="BT498" t="str">
        <f>IF(FFARawStatProjections!A493=0,"",FFARawStatProjections!A493)</f>
        <v>Tre Tucker</v>
      </c>
      <c r="BU498" t="str">
        <f>IF(FFARawStatProjections!C493=0,"",FFARawStatProjections!C493)</f>
        <v>WR</v>
      </c>
      <c r="BV498" t="str">
        <f>IF(FFARawStatProjections!B493=0,"",FFARawStatProjections!B493)</f>
        <v>LV</v>
      </c>
      <c r="BX498">
        <v>492</v>
      </c>
      <c r="BY498" s="89" t="str">
        <f t="shared" si="29"/>
        <v/>
      </c>
      <c r="BZ498" s="89" t="str">
        <f t="shared" si="30"/>
        <v/>
      </c>
      <c r="CA498" s="89" t="str">
        <f t="shared" si="31"/>
        <v/>
      </c>
    </row>
    <row r="499" spans="72:79" hidden="1" x14ac:dyDescent="0.25">
      <c r="BT499" t="str">
        <f>IF(FFARawStatProjections!A494=0,"",FFARawStatProjections!A494)</f>
        <v>Jalen Reagor</v>
      </c>
      <c r="BU499" t="str">
        <f>IF(FFARawStatProjections!C494=0,"",FFARawStatProjections!C494)</f>
        <v>WR</v>
      </c>
      <c r="BV499" t="str">
        <f>IF(FFARawStatProjections!B494=0,"",FFARawStatProjections!B494)</f>
        <v>MIN</v>
      </c>
      <c r="BX499">
        <v>493</v>
      </c>
      <c r="BY499" s="89" t="str">
        <f t="shared" si="29"/>
        <v/>
      </c>
      <c r="BZ499" s="89" t="str">
        <f t="shared" si="30"/>
        <v/>
      </c>
      <c r="CA499" s="89" t="str">
        <f t="shared" si="31"/>
        <v/>
      </c>
    </row>
    <row r="500" spans="72:79" hidden="1" x14ac:dyDescent="0.25">
      <c r="BT500" t="str">
        <f>IF(FFARawStatProjections!A495=0,"",FFARawStatProjections!A495)</f>
        <v>Jakeem Grant</v>
      </c>
      <c r="BU500" t="str">
        <f>IF(FFARawStatProjections!C495=0,"",FFARawStatProjections!C495)</f>
        <v>WR</v>
      </c>
      <c r="BV500" t="str">
        <f>IF(FFARawStatProjections!B495=0,"",FFARawStatProjections!B495)</f>
        <v>CLE</v>
      </c>
      <c r="BX500">
        <v>494</v>
      </c>
      <c r="BY500" s="89" t="str">
        <f t="shared" si="29"/>
        <v/>
      </c>
      <c r="BZ500" s="89" t="str">
        <f t="shared" si="30"/>
        <v/>
      </c>
      <c r="CA500" s="89" t="str">
        <f t="shared" si="31"/>
        <v/>
      </c>
    </row>
    <row r="501" spans="72:79" hidden="1" x14ac:dyDescent="0.25">
      <c r="BT501" t="str">
        <f>IF(FFARawStatProjections!A496=0,"",FFARawStatProjections!A496)</f>
        <v>Ray-Ray McCloud</v>
      </c>
      <c r="BU501" t="str">
        <f>IF(FFARawStatProjections!C496=0,"",FFARawStatProjections!C496)</f>
        <v>WR</v>
      </c>
      <c r="BV501" t="str">
        <f>IF(FFARawStatProjections!B496=0,"",FFARawStatProjections!B496)</f>
        <v>SF</v>
      </c>
      <c r="BX501">
        <v>495</v>
      </c>
      <c r="BY501" s="89" t="str">
        <f t="shared" si="29"/>
        <v/>
      </c>
      <c r="BZ501" s="89" t="str">
        <f t="shared" si="30"/>
        <v/>
      </c>
      <c r="CA501" s="89" t="str">
        <f t="shared" si="31"/>
        <v/>
      </c>
    </row>
    <row r="502" spans="72:79" hidden="1" x14ac:dyDescent="0.25">
      <c r="BT502" t="str">
        <f>IF(FFARawStatProjections!A497=0,"",FFARawStatProjections!A497)</f>
        <v>KaVontae Turpin</v>
      </c>
      <c r="BU502" t="str">
        <f>IF(FFARawStatProjections!C497=0,"",FFARawStatProjections!C497)</f>
        <v>WR</v>
      </c>
      <c r="BV502" t="str">
        <f>IF(FFARawStatProjections!B497=0,"",FFARawStatProjections!B497)</f>
        <v>DAL</v>
      </c>
      <c r="BX502">
        <v>496</v>
      </c>
      <c r="BY502" s="89" t="str">
        <f t="shared" si="29"/>
        <v/>
      </c>
      <c r="BZ502" s="89" t="str">
        <f t="shared" si="30"/>
        <v/>
      </c>
      <c r="CA502" s="89" t="str">
        <f t="shared" si="31"/>
        <v/>
      </c>
    </row>
    <row r="503" spans="72:79" hidden="1" x14ac:dyDescent="0.25">
      <c r="BT503" t="str">
        <f>IF(FFARawStatProjections!A498=0,"",FFARawStatProjections!A498)</f>
        <v>Dareke Young</v>
      </c>
      <c r="BU503" t="str">
        <f>IF(FFARawStatProjections!C498=0,"",FFARawStatProjections!C498)</f>
        <v>WR</v>
      </c>
      <c r="BV503" t="str">
        <f>IF(FFARawStatProjections!B498=0,"",FFARawStatProjections!B498)</f>
        <v>SEA</v>
      </c>
      <c r="BX503">
        <v>497</v>
      </c>
      <c r="BY503" s="89" t="str">
        <f t="shared" si="29"/>
        <v/>
      </c>
      <c r="BZ503" s="89" t="str">
        <f t="shared" si="30"/>
        <v/>
      </c>
      <c r="CA503" s="89" t="str">
        <f t="shared" si="31"/>
        <v/>
      </c>
    </row>
    <row r="504" spans="72:79" hidden="1" x14ac:dyDescent="0.25">
      <c r="BT504" t="str">
        <f>IF(FFARawStatProjections!A499=0,"",FFARawStatProjections!A499)</f>
        <v>Ashton Dulin</v>
      </c>
      <c r="BU504" t="str">
        <f>IF(FFARawStatProjections!C499=0,"",FFARawStatProjections!C499)</f>
        <v>WR</v>
      </c>
      <c r="BV504" t="str">
        <f>IF(FFARawStatProjections!B499=0,"",FFARawStatProjections!B499)</f>
        <v>IND</v>
      </c>
      <c r="BX504">
        <v>498</v>
      </c>
      <c r="BY504" s="89" t="str">
        <f t="shared" si="29"/>
        <v/>
      </c>
      <c r="BZ504" s="89" t="str">
        <f t="shared" si="30"/>
        <v/>
      </c>
      <c r="CA504" s="89" t="str">
        <f t="shared" si="31"/>
        <v/>
      </c>
    </row>
    <row r="505" spans="72:79" hidden="1" x14ac:dyDescent="0.25">
      <c r="BT505" t="str">
        <f>IF(FFARawStatProjections!A500=0,"",FFARawStatProjections!A500)</f>
        <v>Ronnie Bell</v>
      </c>
      <c r="BU505" t="str">
        <f>IF(FFARawStatProjections!C500=0,"",FFARawStatProjections!C500)</f>
        <v>WR</v>
      </c>
      <c r="BV505" t="str">
        <f>IF(FFARawStatProjections!B500=0,"",FFARawStatProjections!B500)</f>
        <v>SF</v>
      </c>
      <c r="BX505">
        <v>499</v>
      </c>
      <c r="BY505" s="89" t="str">
        <f t="shared" si="29"/>
        <v/>
      </c>
      <c r="BZ505" s="89" t="str">
        <f t="shared" si="30"/>
        <v/>
      </c>
      <c r="CA505" s="89" t="str">
        <f t="shared" si="31"/>
        <v/>
      </c>
    </row>
    <row r="506" spans="72:79" hidden="1" x14ac:dyDescent="0.25">
      <c r="BT506" t="str">
        <f>IF(FFARawStatProjections!A501=0,"",FFARawStatProjections!A501)</f>
        <v>Demetric Felton</v>
      </c>
      <c r="BU506" t="str">
        <f>IF(FFARawStatProjections!C501=0,"",FFARawStatProjections!C501)</f>
        <v>WR</v>
      </c>
      <c r="BV506" t="str">
        <f>IF(FFARawStatProjections!B501=0,"",FFARawStatProjections!B501)</f>
        <v>CLE</v>
      </c>
      <c r="BX506">
        <v>500</v>
      </c>
      <c r="BY506" s="89" t="str">
        <f t="shared" si="29"/>
        <v/>
      </c>
      <c r="BZ506" s="89" t="str">
        <f t="shared" si="30"/>
        <v/>
      </c>
      <c r="CA506" s="89" t="str">
        <f t="shared" si="31"/>
        <v/>
      </c>
    </row>
    <row r="507" spans="72:79" hidden="1" x14ac:dyDescent="0.25">
      <c r="BT507" t="str">
        <f>IF(FFARawStatProjections!A502=0,"",FFARawStatProjections!A502)</f>
        <v>Lance McCutcheon</v>
      </c>
      <c r="BU507" t="str">
        <f>IF(FFARawStatProjections!C502=0,"",FFARawStatProjections!C502)</f>
        <v>WR</v>
      </c>
      <c r="BV507" t="str">
        <f>IF(FFARawStatProjections!B502=0,"",FFARawStatProjections!B502)</f>
        <v>LAR</v>
      </c>
      <c r="BX507">
        <v>501</v>
      </c>
      <c r="BY507" s="89" t="str">
        <f t="shared" si="29"/>
        <v/>
      </c>
      <c r="BZ507" s="89" t="str">
        <f t="shared" si="30"/>
        <v/>
      </c>
      <c r="CA507" s="89" t="str">
        <f t="shared" si="31"/>
        <v/>
      </c>
    </row>
    <row r="508" spans="72:79" hidden="1" x14ac:dyDescent="0.25">
      <c r="BT508" t="str">
        <f>IF(FFARawStatProjections!A503=0,"",FFARawStatProjections!A503)</f>
        <v>Darrius Shepherd</v>
      </c>
      <c r="BU508" t="str">
        <f>IF(FFARawStatProjections!C503=0,"",FFARawStatProjections!C503)</f>
        <v>WR</v>
      </c>
      <c r="BV508" t="str">
        <f>IF(FFARawStatProjections!B503=0,"",FFARawStatProjections!B503)</f>
        <v>LAC</v>
      </c>
      <c r="BX508">
        <v>502</v>
      </c>
      <c r="BY508" s="89" t="str">
        <f t="shared" si="29"/>
        <v/>
      </c>
      <c r="BZ508" s="89" t="str">
        <f t="shared" si="30"/>
        <v/>
      </c>
      <c r="CA508" s="89" t="str">
        <f t="shared" si="31"/>
        <v/>
      </c>
    </row>
    <row r="509" spans="72:79" hidden="1" x14ac:dyDescent="0.25">
      <c r="BT509" t="str">
        <f>IF(FFARawStatProjections!A504=0,"",FFARawStatProjections!A504)</f>
        <v>Dante Pettis</v>
      </c>
      <c r="BU509" t="str">
        <f>IF(FFARawStatProjections!C504=0,"",FFARawStatProjections!C504)</f>
        <v>WR</v>
      </c>
      <c r="BV509" t="str">
        <f>IF(FFARawStatProjections!B504=0,"",FFARawStatProjections!B504)</f>
        <v>CHI</v>
      </c>
      <c r="BX509">
        <v>503</v>
      </c>
      <c r="BY509" s="89" t="str">
        <f t="shared" si="29"/>
        <v/>
      </c>
      <c r="BZ509" s="89" t="str">
        <f t="shared" si="30"/>
        <v/>
      </c>
      <c r="CA509" s="89" t="str">
        <f t="shared" si="31"/>
        <v/>
      </c>
    </row>
    <row r="510" spans="72:79" hidden="1" x14ac:dyDescent="0.25">
      <c r="BT510" t="str">
        <f>IF(FFARawStatProjections!A505=0,"",FFARawStatProjections!A505)</f>
        <v>Byron Pringle</v>
      </c>
      <c r="BU510" t="str">
        <f>IF(FFARawStatProjections!C505=0,"",FFARawStatProjections!C505)</f>
        <v>WR</v>
      </c>
      <c r="BV510" t="str">
        <f>IF(FFARawStatProjections!B505=0,"",FFARawStatProjections!B505)</f>
        <v>WAS</v>
      </c>
      <c r="BX510">
        <v>504</v>
      </c>
      <c r="BY510" s="89" t="str">
        <f t="shared" si="29"/>
        <v/>
      </c>
      <c r="BZ510" s="89" t="str">
        <f t="shared" si="30"/>
        <v/>
      </c>
      <c r="CA510" s="89" t="str">
        <f t="shared" si="31"/>
        <v/>
      </c>
    </row>
    <row r="511" spans="72:79" hidden="1" x14ac:dyDescent="0.25">
      <c r="BT511" t="str">
        <f>IF(FFARawStatProjections!A506=0,"",FFARawStatProjections!A506)</f>
        <v>Rakim Jarrett</v>
      </c>
      <c r="BU511" t="str">
        <f>IF(FFARawStatProjections!C506=0,"",FFARawStatProjections!C506)</f>
        <v>WR</v>
      </c>
      <c r="BV511" t="str">
        <f>IF(FFARawStatProjections!B506=0,"",FFARawStatProjections!B506)</f>
        <v>TB</v>
      </c>
      <c r="BX511">
        <v>505</v>
      </c>
      <c r="BY511" s="89" t="str">
        <f t="shared" si="29"/>
        <v/>
      </c>
      <c r="BZ511" s="89" t="str">
        <f t="shared" si="30"/>
        <v/>
      </c>
      <c r="CA511" s="89" t="str">
        <f t="shared" si="31"/>
        <v/>
      </c>
    </row>
    <row r="512" spans="72:79" hidden="1" x14ac:dyDescent="0.25">
      <c r="BT512" t="str">
        <f>IF(FFARawStatProjections!A507=0,"",FFARawStatProjections!A507)</f>
        <v>Cody Thompson</v>
      </c>
      <c r="BU512" t="str">
        <f>IF(FFARawStatProjections!C507=0,"",FFARawStatProjections!C507)</f>
        <v>WR</v>
      </c>
      <c r="BV512" t="str">
        <f>IF(FFARawStatProjections!B507=0,"",FFARawStatProjections!B507)</f>
        <v>SEA</v>
      </c>
      <c r="BX512">
        <v>506</v>
      </c>
      <c r="BY512" s="89" t="str">
        <f t="shared" si="29"/>
        <v/>
      </c>
      <c r="BZ512" s="89" t="str">
        <f t="shared" si="30"/>
        <v/>
      </c>
      <c r="CA512" s="89" t="str">
        <f t="shared" si="31"/>
        <v/>
      </c>
    </row>
    <row r="513" spans="72:79" hidden="1" x14ac:dyDescent="0.25">
      <c r="BT513" t="str">
        <f>IF(FFARawStatProjections!A508=0,"",FFARawStatProjections!A508)</f>
        <v>Kevin Austin</v>
      </c>
      <c r="BU513" t="str">
        <f>IF(FFARawStatProjections!C508=0,"",FFARawStatProjections!C508)</f>
        <v>WR</v>
      </c>
      <c r="BV513" t="str">
        <f>IF(FFARawStatProjections!B508=0,"",FFARawStatProjections!B508)</f>
        <v>JAC</v>
      </c>
      <c r="BX513">
        <v>507</v>
      </c>
      <c r="BY513" s="89" t="str">
        <f t="shared" si="29"/>
        <v/>
      </c>
      <c r="BZ513" s="89" t="str">
        <f t="shared" si="30"/>
        <v/>
      </c>
      <c r="CA513" s="89" t="str">
        <f t="shared" si="31"/>
        <v/>
      </c>
    </row>
    <row r="514" spans="72:79" hidden="1" x14ac:dyDescent="0.25">
      <c r="BT514" t="str">
        <f>IF(FFARawStatProjections!A509=0,"",FFARawStatProjections!A509)</f>
        <v>Erik Ezukanma</v>
      </c>
      <c r="BU514" t="str">
        <f>IF(FFARawStatProjections!C509=0,"",FFARawStatProjections!C509)</f>
        <v>WR</v>
      </c>
      <c r="BV514" t="str">
        <f>IF(FFARawStatProjections!B509=0,"",FFARawStatProjections!B509)</f>
        <v>MIA</v>
      </c>
      <c r="BX514">
        <v>508</v>
      </c>
      <c r="BY514" s="89" t="str">
        <f t="shared" si="29"/>
        <v/>
      </c>
      <c r="BZ514" s="89" t="str">
        <f t="shared" si="30"/>
        <v/>
      </c>
      <c r="CA514" s="89" t="str">
        <f t="shared" si="31"/>
        <v/>
      </c>
    </row>
    <row r="515" spans="72:79" hidden="1" x14ac:dyDescent="0.25">
      <c r="BT515" t="str">
        <f>IF(FFARawStatProjections!A510=0,"",FFARawStatProjections!A510)</f>
        <v>Danny Gray</v>
      </c>
      <c r="BU515" t="str">
        <f>IF(FFARawStatProjections!C510=0,"",FFARawStatProjections!C510)</f>
        <v>WR</v>
      </c>
      <c r="BV515" t="str">
        <f>IF(FFARawStatProjections!B510=0,"",FFARawStatProjections!B510)</f>
        <v>SF</v>
      </c>
      <c r="BX515">
        <v>509</v>
      </c>
      <c r="BY515" s="89" t="str">
        <f t="shared" si="29"/>
        <v/>
      </c>
      <c r="BZ515" s="89" t="str">
        <f t="shared" si="30"/>
        <v/>
      </c>
      <c r="CA515" s="89" t="str">
        <f t="shared" si="31"/>
        <v/>
      </c>
    </row>
    <row r="516" spans="72:79" hidden="1" x14ac:dyDescent="0.25">
      <c r="BT516" t="str">
        <f>IF(FFARawStatProjections!A511=0,"",FFARawStatProjections!A511)</f>
        <v>Maurice Alexander</v>
      </c>
      <c r="BU516" t="str">
        <f>IF(FFARawStatProjections!C511=0,"",FFARawStatProjections!C511)</f>
        <v>WR</v>
      </c>
      <c r="BV516" t="str">
        <f>IF(FFARawStatProjections!B511=0,"",FFARawStatProjections!B511)</f>
        <v>DET</v>
      </c>
      <c r="BX516">
        <v>510</v>
      </c>
      <c r="BY516" s="89" t="str">
        <f t="shared" si="29"/>
        <v/>
      </c>
      <c r="BZ516" s="89" t="str">
        <f t="shared" si="30"/>
        <v/>
      </c>
      <c r="CA516" s="89" t="str">
        <f t="shared" si="31"/>
        <v/>
      </c>
    </row>
    <row r="517" spans="72:79" hidden="1" x14ac:dyDescent="0.25">
      <c r="BT517" t="str">
        <f>IF(FFARawStatProjections!A512=0,"",FFARawStatProjections!A512)</f>
        <v>Montrell Washington</v>
      </c>
      <c r="BU517" t="str">
        <f>IF(FFARawStatProjections!C512=0,"",FFARawStatProjections!C512)</f>
        <v>WR</v>
      </c>
      <c r="BV517" t="str">
        <f>IF(FFARawStatProjections!B512=0,"",FFARawStatProjections!B512)</f>
        <v>DEN</v>
      </c>
      <c r="BX517">
        <v>511</v>
      </c>
      <c r="BY517" s="89" t="str">
        <f t="shared" si="29"/>
        <v/>
      </c>
      <c r="BZ517" s="89" t="str">
        <f t="shared" si="30"/>
        <v/>
      </c>
      <c r="CA517" s="89" t="str">
        <f t="shared" si="31"/>
        <v/>
      </c>
    </row>
    <row r="518" spans="72:79" hidden="1" x14ac:dyDescent="0.25">
      <c r="BT518" t="str">
        <f>IF(FFARawStatProjections!A513=0,"",FFARawStatProjections!A513)</f>
        <v>Matthew Slater</v>
      </c>
      <c r="BU518" t="str">
        <f>IF(FFARawStatProjections!C513=0,"",FFARawStatProjections!C513)</f>
        <v>WR</v>
      </c>
      <c r="BV518" t="str">
        <f>IF(FFARawStatProjections!B513=0,"",FFARawStatProjections!B513)</f>
        <v>NE</v>
      </c>
      <c r="BX518">
        <v>512</v>
      </c>
      <c r="BY518" s="89" t="str">
        <f t="shared" si="29"/>
        <v/>
      </c>
      <c r="BZ518" s="89" t="str">
        <f t="shared" si="30"/>
        <v/>
      </c>
      <c r="CA518" s="89" t="str">
        <f t="shared" si="31"/>
        <v/>
      </c>
    </row>
    <row r="519" spans="72:79" hidden="1" x14ac:dyDescent="0.25">
      <c r="BT519" t="str">
        <f>IF(FFARawStatProjections!A514=0,"",FFARawStatProjections!A514)</f>
        <v>Joe Reed</v>
      </c>
      <c r="BU519" t="str">
        <f>IF(FFARawStatProjections!C514=0,"",FFARawStatProjections!C514)</f>
        <v>WR</v>
      </c>
      <c r="BV519" t="str">
        <f>IF(FFARawStatProjections!B514=0,"",FFARawStatProjections!B514)</f>
        <v>CHI</v>
      </c>
      <c r="BX519">
        <v>513</v>
      </c>
      <c r="BY519" s="89" t="str">
        <f t="shared" si="29"/>
        <v/>
      </c>
      <c r="BZ519" s="89" t="str">
        <f t="shared" si="30"/>
        <v/>
      </c>
      <c r="CA519" s="89" t="str">
        <f t="shared" si="31"/>
        <v/>
      </c>
    </row>
    <row r="520" spans="72:79" hidden="1" x14ac:dyDescent="0.25">
      <c r="BT520" t="str">
        <f>IF(FFARawStatProjections!A515=0,"",FFARawStatProjections!A515)</f>
        <v>Andy Isabella</v>
      </c>
      <c r="BU520" t="str">
        <f>IF(FFARawStatProjections!C515=0,"",FFARawStatProjections!C515)</f>
        <v>WR</v>
      </c>
      <c r="BV520" t="str">
        <f>IF(FFARawStatProjections!B515=0,"",FFARawStatProjections!B515)</f>
        <v>BUF</v>
      </c>
      <c r="BX520">
        <v>514</v>
      </c>
      <c r="BY520" s="89" t="str">
        <f t="shared" ref="BY520:BY583" si="32">IFERROR(INDEX(BT:BT,MATCH(BX520,BW:BW,0),1),"")</f>
        <v/>
      </c>
      <c r="BZ520" s="89" t="str">
        <f t="shared" ref="BZ520:BZ583" si="33">IFERROR(INDEX(BU:BU,MATCH(BX520,BW:BW,0)),"")</f>
        <v/>
      </c>
      <c r="CA520" s="89" t="str">
        <f t="shared" ref="CA520:CA583" si="34">IFERROR(INDEX(BV:BV,MATCH(BX520,BW:BW,0)),"")</f>
        <v/>
      </c>
    </row>
    <row r="521" spans="72:79" hidden="1" x14ac:dyDescent="0.25">
      <c r="BT521" t="str">
        <f>IF(FFARawStatProjections!A516=0,"",FFARawStatProjections!A516)</f>
        <v>Trinity Benson</v>
      </c>
      <c r="BU521" t="str">
        <f>IF(FFARawStatProjections!C516=0,"",FFARawStatProjections!C516)</f>
        <v>WR</v>
      </c>
      <c r="BV521" t="str">
        <f>IF(FFARawStatProjections!B516=0,"",FFARawStatProjections!B516)</f>
        <v>DET</v>
      </c>
      <c r="BX521">
        <v>515</v>
      </c>
      <c r="BY521" s="89" t="str">
        <f t="shared" si="32"/>
        <v/>
      </c>
      <c r="BZ521" s="89" t="str">
        <f t="shared" si="33"/>
        <v/>
      </c>
      <c r="CA521" s="89" t="str">
        <f t="shared" si="34"/>
        <v/>
      </c>
    </row>
    <row r="522" spans="72:79" hidden="1" x14ac:dyDescent="0.25">
      <c r="BT522" t="str">
        <f>IF(FFARawStatProjections!A517=0,"",FFARawStatProjections!A517)</f>
        <v>River Cracraft</v>
      </c>
      <c r="BU522" t="str">
        <f>IF(FFARawStatProjections!C517=0,"",FFARawStatProjections!C517)</f>
        <v>WR</v>
      </c>
      <c r="BV522" t="str">
        <f>IF(FFARawStatProjections!B517=0,"",FFARawStatProjections!B517)</f>
        <v>MIA</v>
      </c>
      <c r="BX522">
        <v>516</v>
      </c>
      <c r="BY522" s="89" t="str">
        <f t="shared" si="32"/>
        <v/>
      </c>
      <c r="BZ522" s="89" t="str">
        <f t="shared" si="33"/>
        <v/>
      </c>
      <c r="CA522" s="89" t="str">
        <f t="shared" si="34"/>
        <v/>
      </c>
    </row>
    <row r="523" spans="72:79" hidden="1" x14ac:dyDescent="0.25">
      <c r="BT523" t="str">
        <f>IF(FFARawStatProjections!A518=0,"",FFARawStatProjections!A518)</f>
        <v>Isaiah Coulter</v>
      </c>
      <c r="BU523" t="str">
        <f>IF(FFARawStatProjections!C518=0,"",FFARawStatProjections!C518)</f>
        <v>WR</v>
      </c>
      <c r="BV523" t="str">
        <f>IF(FFARawStatProjections!B518=0,"",FFARawStatProjections!B518)</f>
        <v>BUF</v>
      </c>
      <c r="BX523">
        <v>517</v>
      </c>
      <c r="BY523" s="89" t="str">
        <f t="shared" si="32"/>
        <v/>
      </c>
      <c r="BZ523" s="89" t="str">
        <f t="shared" si="33"/>
        <v/>
      </c>
      <c r="CA523" s="89" t="str">
        <f t="shared" si="34"/>
        <v/>
      </c>
    </row>
    <row r="524" spans="72:79" hidden="1" x14ac:dyDescent="0.25">
      <c r="BT524" t="str">
        <f>IF(FFARawStatProjections!A519=0,"",FFARawStatProjections!A519)</f>
        <v>Dezmon Patmon</v>
      </c>
      <c r="BU524" t="str">
        <f>IF(FFARawStatProjections!C519=0,"",FFARawStatProjections!C519)</f>
        <v>WR</v>
      </c>
      <c r="BV524" t="str">
        <f>IF(FFARawStatProjections!B519=0,"",FFARawStatProjections!B519)</f>
        <v>BUF</v>
      </c>
      <c r="BX524">
        <v>518</v>
      </c>
      <c r="BY524" s="89" t="str">
        <f t="shared" si="32"/>
        <v/>
      </c>
      <c r="BZ524" s="89" t="str">
        <f t="shared" si="33"/>
        <v/>
      </c>
      <c r="CA524" s="89" t="str">
        <f t="shared" si="34"/>
        <v/>
      </c>
    </row>
    <row r="525" spans="72:79" hidden="1" x14ac:dyDescent="0.25">
      <c r="BT525" t="str">
        <f>IF(FFARawStatProjections!A520=0,"",FFARawStatProjections!A520)</f>
        <v>Bo Melton</v>
      </c>
      <c r="BU525" t="str">
        <f>IF(FFARawStatProjections!C520=0,"",FFARawStatProjections!C520)</f>
        <v>WR</v>
      </c>
      <c r="BV525" t="str">
        <f>IF(FFARawStatProjections!B520=0,"",FFARawStatProjections!B520)</f>
        <v>GB</v>
      </c>
      <c r="BX525">
        <v>519</v>
      </c>
      <c r="BY525" s="89" t="str">
        <f t="shared" si="32"/>
        <v/>
      </c>
      <c r="BZ525" s="89" t="str">
        <f t="shared" si="33"/>
        <v/>
      </c>
      <c r="CA525" s="89" t="str">
        <f t="shared" si="34"/>
        <v/>
      </c>
    </row>
    <row r="526" spans="72:79" hidden="1" x14ac:dyDescent="0.25">
      <c r="BT526" t="str">
        <f>IF(FFARawStatProjections!A521=0,"",FFARawStatProjections!A521)</f>
        <v>Jason Moore</v>
      </c>
      <c r="BU526" t="str">
        <f>IF(FFARawStatProjections!C521=0,"",FFARawStatProjections!C521)</f>
        <v>WR</v>
      </c>
      <c r="BV526" t="str">
        <f>IF(FFARawStatProjections!B521=0,"",FFARawStatProjections!B521)</f>
        <v>DET</v>
      </c>
      <c r="BX526">
        <v>520</v>
      </c>
      <c r="BY526" s="89" t="str">
        <f t="shared" si="32"/>
        <v/>
      </c>
      <c r="BZ526" s="89" t="str">
        <f t="shared" si="33"/>
        <v/>
      </c>
      <c r="CA526" s="89" t="str">
        <f t="shared" si="34"/>
        <v/>
      </c>
    </row>
    <row r="527" spans="72:79" hidden="1" x14ac:dyDescent="0.25">
      <c r="BT527" t="str">
        <f>IF(FFARawStatProjections!A522=0,"",FFARawStatProjections!A522)</f>
        <v>Simi Fehoko</v>
      </c>
      <c r="BU527" t="str">
        <f>IF(FFARawStatProjections!C522=0,"",FFARawStatProjections!C522)</f>
        <v>WR</v>
      </c>
      <c r="BV527" t="str">
        <f>IF(FFARawStatProjections!B522=0,"",FFARawStatProjections!B522)</f>
        <v>DAL</v>
      </c>
      <c r="BX527">
        <v>521</v>
      </c>
      <c r="BY527" s="89" t="str">
        <f t="shared" si="32"/>
        <v/>
      </c>
      <c r="BZ527" s="89" t="str">
        <f t="shared" si="33"/>
        <v/>
      </c>
      <c r="CA527" s="89" t="str">
        <f t="shared" si="34"/>
        <v/>
      </c>
    </row>
    <row r="528" spans="72:79" hidden="1" x14ac:dyDescent="0.25">
      <c r="BT528" t="str">
        <f>IF(FFARawStatProjections!A523=0,"",FFARawStatProjections!A523)</f>
        <v>Dennis Houston</v>
      </c>
      <c r="BU528" t="str">
        <f>IF(FFARawStatProjections!C523=0,"",FFARawStatProjections!C523)</f>
        <v>WR</v>
      </c>
      <c r="BV528" t="str">
        <f>IF(FFARawStatProjections!B523=0,"",FFARawStatProjections!B523)</f>
        <v>DAL</v>
      </c>
      <c r="BX528">
        <v>522</v>
      </c>
      <c r="BY528" s="89" t="str">
        <f t="shared" si="32"/>
        <v/>
      </c>
      <c r="BZ528" s="89" t="str">
        <f t="shared" si="33"/>
        <v/>
      </c>
      <c r="CA528" s="89" t="str">
        <f t="shared" si="34"/>
        <v/>
      </c>
    </row>
    <row r="529" spans="72:79" hidden="1" x14ac:dyDescent="0.25">
      <c r="BT529" t="str">
        <f>IF(FFARawStatProjections!A524=0,"",FFARawStatProjections!A524)</f>
        <v>Cody Chrest</v>
      </c>
      <c r="BU529" t="str">
        <f>IF(FFARawStatProjections!C524=0,"",FFARawStatProjections!C524)</f>
        <v>WR</v>
      </c>
      <c r="BV529" t="str">
        <f>IF(FFARawStatProjections!B524=0,"",FFARawStatProjections!B524)</f>
        <v>GB</v>
      </c>
      <c r="BX529">
        <v>523</v>
      </c>
      <c r="BY529" s="89" t="str">
        <f t="shared" si="32"/>
        <v/>
      </c>
      <c r="BZ529" s="89" t="str">
        <f t="shared" si="33"/>
        <v/>
      </c>
      <c r="CA529" s="89" t="str">
        <f t="shared" si="34"/>
        <v/>
      </c>
    </row>
    <row r="530" spans="72:79" hidden="1" x14ac:dyDescent="0.25">
      <c r="BT530" t="str">
        <f>IF(FFARawStatProjections!A525=0,"",FFARawStatProjections!A525)</f>
        <v>Stanley Morgan</v>
      </c>
      <c r="BU530" t="str">
        <f>IF(FFARawStatProjections!C525=0,"",FFARawStatProjections!C525)</f>
        <v>WR</v>
      </c>
      <c r="BV530" t="str">
        <f>IF(FFARawStatProjections!B525=0,"",FFARawStatProjections!B525)</f>
        <v>CIN</v>
      </c>
      <c r="BX530">
        <v>524</v>
      </c>
      <c r="BY530" s="89" t="str">
        <f t="shared" si="32"/>
        <v/>
      </c>
      <c r="BZ530" s="89" t="str">
        <f t="shared" si="33"/>
        <v/>
      </c>
      <c r="CA530" s="89" t="str">
        <f t="shared" si="34"/>
        <v/>
      </c>
    </row>
    <row r="531" spans="72:79" hidden="1" x14ac:dyDescent="0.25">
      <c r="BT531" t="str">
        <f>IF(FFARawStatProjections!A526=0,"",FFARawStatProjections!A526)</f>
        <v>Seth Williams</v>
      </c>
      <c r="BU531" t="str">
        <f>IF(FFARawStatProjections!C526=0,"",FFARawStatProjections!C526)</f>
        <v>WR</v>
      </c>
      <c r="BV531" t="str">
        <f>IF(FFARawStatProjections!B526=0,"",FFARawStatProjections!B526)</f>
        <v>JAC</v>
      </c>
      <c r="BX531">
        <v>525</v>
      </c>
      <c r="BY531" s="89" t="str">
        <f t="shared" si="32"/>
        <v/>
      </c>
      <c r="BZ531" s="89" t="str">
        <f t="shared" si="33"/>
        <v/>
      </c>
      <c r="CA531" s="89" t="str">
        <f t="shared" si="34"/>
        <v/>
      </c>
    </row>
    <row r="532" spans="72:79" hidden="1" x14ac:dyDescent="0.25">
      <c r="BT532" t="str">
        <f>IF(FFARawStatProjections!A527=0,"",FFARawStatProjections!A527)</f>
        <v>Jacob Harris</v>
      </c>
      <c r="BU532" t="str">
        <f>IF(FFARawStatProjections!C527=0,"",FFARawStatProjections!C527)</f>
        <v>WR</v>
      </c>
      <c r="BV532" t="str">
        <f>IF(FFARawStatProjections!B527=0,"",FFARawStatProjections!B527)</f>
        <v>JAC</v>
      </c>
      <c r="BX532">
        <v>526</v>
      </c>
      <c r="BY532" s="89" t="str">
        <f t="shared" si="32"/>
        <v/>
      </c>
      <c r="BZ532" s="89" t="str">
        <f t="shared" si="33"/>
        <v/>
      </c>
      <c r="CA532" s="89" t="str">
        <f t="shared" si="34"/>
        <v/>
      </c>
    </row>
    <row r="533" spans="72:79" hidden="1" x14ac:dyDescent="0.25">
      <c r="BT533" t="str">
        <f>IF(FFARawStatProjections!A528=0,"",FFARawStatProjections!A528)</f>
        <v>Easop Winston</v>
      </c>
      <c r="BU533" t="str">
        <f>IF(FFARawStatProjections!C528=0,"",FFARawStatProjections!C528)</f>
        <v>WR</v>
      </c>
      <c r="BV533" t="str">
        <f>IF(FFARawStatProjections!B528=0,"",FFARawStatProjections!B528)</f>
        <v>SEA</v>
      </c>
      <c r="BX533">
        <v>527</v>
      </c>
      <c r="BY533" s="89" t="str">
        <f t="shared" si="32"/>
        <v/>
      </c>
      <c r="BZ533" s="89" t="str">
        <f t="shared" si="33"/>
        <v/>
      </c>
      <c r="CA533" s="89" t="str">
        <f t="shared" si="34"/>
        <v/>
      </c>
    </row>
    <row r="534" spans="72:79" hidden="1" x14ac:dyDescent="0.25">
      <c r="BT534" t="str">
        <f>IF(FFARawStatProjections!A529=0,"",FFARawStatProjections!A529)</f>
        <v>KeeSean Johnson</v>
      </c>
      <c r="BU534" t="str">
        <f>IF(FFARawStatProjections!C529=0,"",FFARawStatProjections!C529)</f>
        <v>WR</v>
      </c>
      <c r="BV534" t="str">
        <f>IF(FFARawStatProjections!B529=0,"",FFARawStatProjections!B529)</f>
        <v>BUF</v>
      </c>
      <c r="BX534">
        <v>528</v>
      </c>
      <c r="BY534" s="89" t="str">
        <f t="shared" si="32"/>
        <v/>
      </c>
      <c r="BZ534" s="89" t="str">
        <f t="shared" si="33"/>
        <v/>
      </c>
      <c r="CA534" s="89" t="str">
        <f t="shared" si="34"/>
        <v/>
      </c>
    </row>
    <row r="535" spans="72:79" hidden="1" x14ac:dyDescent="0.25">
      <c r="BT535" t="str">
        <f>IF(FFARawStatProjections!A530=0,"",FFARawStatProjections!A530)</f>
        <v>Jalen Virgil</v>
      </c>
      <c r="BU535" t="str">
        <f>IF(FFARawStatProjections!C530=0,"",FFARawStatProjections!C530)</f>
        <v>WR</v>
      </c>
      <c r="BV535" t="str">
        <f>IF(FFARawStatProjections!B530=0,"",FFARawStatProjections!B530)</f>
        <v>DEN</v>
      </c>
      <c r="BX535">
        <v>529</v>
      </c>
      <c r="BY535" s="89" t="str">
        <f t="shared" si="32"/>
        <v/>
      </c>
      <c r="BZ535" s="89" t="str">
        <f t="shared" si="33"/>
        <v/>
      </c>
      <c r="CA535" s="89" t="str">
        <f t="shared" si="34"/>
        <v/>
      </c>
    </row>
    <row r="536" spans="72:79" hidden="1" x14ac:dyDescent="0.25">
      <c r="BT536" t="str">
        <f>IF(FFARawStatProjections!A531=0,"",FFARawStatProjections!A531)</f>
        <v>Tim Jones</v>
      </c>
      <c r="BU536" t="str">
        <f>IF(FFARawStatProjections!C531=0,"",FFARawStatProjections!C531)</f>
        <v>WR</v>
      </c>
      <c r="BV536" t="str">
        <f>IF(FFARawStatProjections!B531=0,"",FFARawStatProjections!B531)</f>
        <v>JAC</v>
      </c>
      <c r="BX536">
        <v>530</v>
      </c>
      <c r="BY536" s="89" t="str">
        <f t="shared" si="32"/>
        <v/>
      </c>
      <c r="BZ536" s="89" t="str">
        <f t="shared" si="33"/>
        <v/>
      </c>
      <c r="CA536" s="89" t="str">
        <f t="shared" si="34"/>
        <v/>
      </c>
    </row>
    <row r="537" spans="72:79" hidden="1" x14ac:dyDescent="0.25">
      <c r="BT537" t="str">
        <f>IF(FFARawStatProjections!A532=0,"",FFARawStatProjections!A532)</f>
        <v>Keelan Doss</v>
      </c>
      <c r="BU537" t="str">
        <f>IF(FFARawStatProjections!C532=0,"",FFARawStatProjections!C532)</f>
        <v>WR</v>
      </c>
      <c r="BV537" t="str">
        <f>IF(FFARawStatProjections!B532=0,"",FFARawStatProjections!B532)</f>
        <v>LAC</v>
      </c>
      <c r="BX537">
        <v>531</v>
      </c>
      <c r="BY537" s="89" t="str">
        <f t="shared" si="32"/>
        <v/>
      </c>
      <c r="BZ537" s="89" t="str">
        <f t="shared" si="33"/>
        <v/>
      </c>
      <c r="CA537" s="89" t="str">
        <f t="shared" si="34"/>
        <v/>
      </c>
    </row>
    <row r="538" spans="72:79" hidden="1" x14ac:dyDescent="0.25">
      <c r="BT538" t="str">
        <f>IF(FFARawStatProjections!A533=0,"",FFARawStatProjections!A533)</f>
        <v>Brandon Johnson</v>
      </c>
      <c r="BU538" t="str">
        <f>IF(FFARawStatProjections!C533=0,"",FFARawStatProjections!C533)</f>
        <v>WR</v>
      </c>
      <c r="BV538" t="str">
        <f>IF(FFARawStatProjections!B533=0,"",FFARawStatProjections!B533)</f>
        <v>DEN</v>
      </c>
      <c r="BX538">
        <v>532</v>
      </c>
      <c r="BY538" s="89" t="str">
        <f t="shared" si="32"/>
        <v/>
      </c>
      <c r="BZ538" s="89" t="str">
        <f t="shared" si="33"/>
        <v/>
      </c>
      <c r="CA538" s="89" t="str">
        <f t="shared" si="34"/>
        <v/>
      </c>
    </row>
    <row r="539" spans="72:79" hidden="1" x14ac:dyDescent="0.25">
      <c r="BT539" t="str">
        <f>IF(FFARawStatProjections!A534=0,"",FFARawStatProjections!A534)</f>
        <v>Jaelon Darden</v>
      </c>
      <c r="BU539" t="str">
        <f>IF(FFARawStatProjections!C534=0,"",FFARawStatProjections!C534)</f>
        <v>WR</v>
      </c>
      <c r="BV539" t="str">
        <f>IF(FFARawStatProjections!B534=0,"",FFARawStatProjections!B534)</f>
        <v>CLE</v>
      </c>
      <c r="BX539">
        <v>533</v>
      </c>
      <c r="BY539" s="89" t="str">
        <f t="shared" si="32"/>
        <v/>
      </c>
      <c r="BZ539" s="89" t="str">
        <f t="shared" si="33"/>
        <v/>
      </c>
      <c r="CA539" s="89" t="str">
        <f t="shared" si="34"/>
        <v/>
      </c>
    </row>
    <row r="540" spans="72:79" hidden="1" x14ac:dyDescent="0.25">
      <c r="BT540" t="str">
        <f>IF(FFARawStatProjections!A535=0,"",FFARawStatProjections!A535)</f>
        <v>Andre Baccellia</v>
      </c>
      <c r="BU540" t="str">
        <f>IF(FFARawStatProjections!C535=0,"",FFARawStatProjections!C535)</f>
        <v>WR</v>
      </c>
      <c r="BV540" t="str">
        <f>IF(FFARawStatProjections!B535=0,"",FFARawStatProjections!B535)</f>
        <v>AZ</v>
      </c>
      <c r="BX540">
        <v>534</v>
      </c>
      <c r="BY540" s="89" t="str">
        <f t="shared" si="32"/>
        <v/>
      </c>
      <c r="BZ540" s="89" t="str">
        <f t="shared" si="33"/>
        <v/>
      </c>
      <c r="CA540" s="89" t="str">
        <f t="shared" si="34"/>
        <v/>
      </c>
    </row>
    <row r="541" spans="72:79" hidden="1" x14ac:dyDescent="0.25">
      <c r="BT541" t="str">
        <f>IF(FFARawStatProjections!A536=0,"",FFARawStatProjections!A536)</f>
        <v>Austin Trammell</v>
      </c>
      <c r="BU541" t="str">
        <f>IF(FFARawStatProjections!C536=0,"",FFARawStatProjections!C536)</f>
        <v>WR</v>
      </c>
      <c r="BV541" t="str">
        <f>IF(FFARawStatProjections!B536=0,"",FFARawStatProjections!B536)</f>
        <v>LAR</v>
      </c>
      <c r="BX541">
        <v>535</v>
      </c>
      <c r="BY541" s="89" t="str">
        <f t="shared" si="32"/>
        <v/>
      </c>
      <c r="BZ541" s="89" t="str">
        <f t="shared" si="33"/>
        <v/>
      </c>
      <c r="CA541" s="89" t="str">
        <f t="shared" si="34"/>
        <v/>
      </c>
    </row>
    <row r="542" spans="72:79" hidden="1" x14ac:dyDescent="0.25">
      <c r="BT542" t="str">
        <f>IF(FFARawStatProjections!A537=0,"",FFARawStatProjections!A537)</f>
        <v>Dax Milne</v>
      </c>
      <c r="BU542" t="str">
        <f>IF(FFARawStatProjections!C537=0,"",FFARawStatProjections!C537)</f>
        <v>WR</v>
      </c>
      <c r="BV542" t="str">
        <f>IF(FFARawStatProjections!B537=0,"",FFARawStatProjections!B537)</f>
        <v>WAS</v>
      </c>
      <c r="BX542">
        <v>536</v>
      </c>
      <c r="BY542" s="89" t="str">
        <f t="shared" si="32"/>
        <v/>
      </c>
      <c r="BZ542" s="89" t="str">
        <f t="shared" si="33"/>
        <v/>
      </c>
      <c r="CA542" s="89" t="str">
        <f t="shared" si="34"/>
        <v/>
      </c>
    </row>
    <row r="543" spans="72:79" hidden="1" x14ac:dyDescent="0.25">
      <c r="BT543" t="str">
        <f>IF(FFARawStatProjections!A538=0,"",FFARawStatProjections!A538)</f>
        <v>CJ Saunders</v>
      </c>
      <c r="BU543" t="str">
        <f>IF(FFARawStatProjections!C538=0,"",FFARawStatProjections!C538)</f>
        <v>WR</v>
      </c>
      <c r="BV543" t="str">
        <f>IF(FFARawStatProjections!B538=0,"",FFARawStatProjections!B538)</f>
        <v>CAR</v>
      </c>
      <c r="BX543">
        <v>537</v>
      </c>
      <c r="BY543" s="89" t="str">
        <f t="shared" si="32"/>
        <v/>
      </c>
      <c r="BZ543" s="89" t="str">
        <f t="shared" si="33"/>
        <v/>
      </c>
      <c r="CA543" s="89" t="str">
        <f t="shared" si="34"/>
        <v/>
      </c>
    </row>
    <row r="544" spans="72:79" hidden="1" x14ac:dyDescent="0.25">
      <c r="BT544" t="str">
        <f>IF(FFARawStatProjections!A539=0,"",FFARawStatProjections!A539)</f>
        <v>Trent Taylor</v>
      </c>
      <c r="BU544" t="str">
        <f>IF(FFARawStatProjections!C539=0,"",FFARawStatProjections!C539)</f>
        <v>WR</v>
      </c>
      <c r="BV544" t="str">
        <f>IF(FFARawStatProjections!B539=0,"",FFARawStatProjections!B539)</f>
        <v>CIN</v>
      </c>
      <c r="BX544">
        <v>538</v>
      </c>
      <c r="BY544" s="89" t="str">
        <f t="shared" si="32"/>
        <v/>
      </c>
      <c r="BZ544" s="89" t="str">
        <f t="shared" si="33"/>
        <v/>
      </c>
      <c r="CA544" s="89" t="str">
        <f t="shared" si="34"/>
        <v/>
      </c>
    </row>
    <row r="545" spans="72:79" hidden="1" x14ac:dyDescent="0.25">
      <c r="BT545" t="str">
        <f>IF(FFARawStatProjections!A540=0,"",FFARawStatProjections!A540)</f>
        <v>Kawaan Baker</v>
      </c>
      <c r="BU545" t="str">
        <f>IF(FFARawStatProjections!C540=0,"",FFARawStatProjections!C540)</f>
        <v>WR</v>
      </c>
      <c r="BV545" t="str">
        <f>IF(FFARawStatProjections!B540=0,"",FFARawStatProjections!B540)</f>
        <v>NO</v>
      </c>
      <c r="BX545">
        <v>539</v>
      </c>
      <c r="BY545" s="89" t="str">
        <f t="shared" si="32"/>
        <v/>
      </c>
      <c r="BZ545" s="89" t="str">
        <f t="shared" si="33"/>
        <v/>
      </c>
      <c r="CA545" s="89" t="str">
        <f t="shared" si="34"/>
        <v/>
      </c>
    </row>
    <row r="546" spans="72:79" hidden="1" x14ac:dyDescent="0.25">
      <c r="BT546" t="str">
        <f>IF(FFARawStatProjections!A541=0,"",FFARawStatProjections!A541)</f>
        <v>Cam Sims</v>
      </c>
      <c r="BU546" t="str">
        <f>IF(FFARawStatProjections!C541=0,"",FFARawStatProjections!C541)</f>
        <v>WR</v>
      </c>
      <c r="BV546" t="str">
        <f>IF(FFARawStatProjections!B541=0,"",FFARawStatProjections!B541)</f>
        <v>LV</v>
      </c>
      <c r="BX546">
        <v>540</v>
      </c>
      <c r="BY546" s="89" t="str">
        <f t="shared" si="32"/>
        <v/>
      </c>
      <c r="BZ546" s="89" t="str">
        <f t="shared" si="33"/>
        <v/>
      </c>
      <c r="CA546" s="89" t="str">
        <f t="shared" si="34"/>
        <v/>
      </c>
    </row>
    <row r="547" spans="72:79" hidden="1" x14ac:dyDescent="0.25">
      <c r="BT547" t="str">
        <f>IF(FFARawStatProjections!A542=0,"",FFARawStatProjections!A542)</f>
        <v>Keke Coutee</v>
      </c>
      <c r="BU547" t="str">
        <f>IF(FFARawStatProjections!C542=0,"",FFARawStatProjections!C542)</f>
        <v>WR</v>
      </c>
      <c r="BV547" t="str">
        <f>IF(FFARawStatProjections!B542=0,"",FFARawStatProjections!B542)</f>
        <v>MIA</v>
      </c>
      <c r="BX547">
        <v>541</v>
      </c>
      <c r="BY547" s="89" t="str">
        <f t="shared" si="32"/>
        <v/>
      </c>
      <c r="BZ547" s="89" t="str">
        <f t="shared" si="33"/>
        <v/>
      </c>
      <c r="CA547" s="89" t="str">
        <f t="shared" si="34"/>
        <v/>
      </c>
    </row>
    <row r="548" spans="72:79" hidden="1" x14ac:dyDescent="0.25">
      <c r="BT548" t="str">
        <f>IF(FFARawStatProjections!A543=0,"",FFARawStatProjections!A543)</f>
        <v>Dez Fitzpatrick</v>
      </c>
      <c r="BU548" t="str">
        <f>IF(FFARawStatProjections!C543=0,"",FFARawStatProjections!C543)</f>
        <v>WR</v>
      </c>
      <c r="BV548" t="str">
        <f>IF(FFARawStatProjections!B543=0,"",FFARawStatProjections!B543)</f>
        <v>PIT</v>
      </c>
      <c r="BX548">
        <v>542</v>
      </c>
      <c r="BY548" s="89" t="str">
        <f t="shared" si="32"/>
        <v/>
      </c>
      <c r="BZ548" s="89" t="str">
        <f t="shared" si="33"/>
        <v/>
      </c>
      <c r="CA548" s="89" t="str">
        <f t="shared" si="34"/>
        <v/>
      </c>
    </row>
    <row r="549" spans="72:79" hidden="1" x14ac:dyDescent="0.25">
      <c r="BT549" t="str">
        <f>IF(FFARawStatProjections!A544=0,"",FFARawStatProjections!A544)</f>
        <v>Keelan Cole</v>
      </c>
      <c r="BU549" t="str">
        <f>IF(FFARawStatProjections!C544=0,"",FFARawStatProjections!C544)</f>
        <v>WR</v>
      </c>
      <c r="BV549" t="str">
        <f>IF(FFARawStatProjections!B544=0,"",FFARawStatProjections!B544)</f>
        <v>LV</v>
      </c>
      <c r="BX549">
        <v>543</v>
      </c>
      <c r="BY549" s="89" t="str">
        <f t="shared" si="32"/>
        <v/>
      </c>
      <c r="BZ549" s="89" t="str">
        <f t="shared" si="33"/>
        <v/>
      </c>
      <c r="CA549" s="89" t="str">
        <f t="shared" si="34"/>
        <v/>
      </c>
    </row>
    <row r="550" spans="72:79" hidden="1" x14ac:dyDescent="0.25">
      <c r="BT550" t="str">
        <f>IF(FFARawStatProjections!A545=0,"",FFARawStatProjections!A545)</f>
        <v>Michael Woods</v>
      </c>
      <c r="BU550" t="str">
        <f>IF(FFARawStatProjections!C545=0,"",FFARawStatProjections!C545)</f>
        <v>WR</v>
      </c>
      <c r="BV550" t="str">
        <f>IF(FFARawStatProjections!B545=0,"",FFARawStatProjections!B545)</f>
        <v>CLE</v>
      </c>
      <c r="BX550">
        <v>544</v>
      </c>
      <c r="BY550" s="89" t="str">
        <f t="shared" si="32"/>
        <v/>
      </c>
      <c r="BZ550" s="89" t="str">
        <f t="shared" si="33"/>
        <v/>
      </c>
      <c r="CA550" s="89" t="str">
        <f t="shared" si="34"/>
        <v/>
      </c>
    </row>
    <row r="551" spans="72:79" hidden="1" x14ac:dyDescent="0.25">
      <c r="BT551" t="str">
        <f>IF(FFARawStatProjections!A546=0,"",FFARawStatProjections!A546)</f>
        <v>Mason Kinsey</v>
      </c>
      <c r="BU551" t="str">
        <f>IF(FFARawStatProjections!C546=0,"",FFARawStatProjections!C546)</f>
        <v>WR</v>
      </c>
      <c r="BV551" t="str">
        <f>IF(FFARawStatProjections!B546=0,"",FFARawStatProjections!B546)</f>
        <v>TEN</v>
      </c>
      <c r="BX551">
        <v>545</v>
      </c>
      <c r="BY551" s="89" t="str">
        <f t="shared" si="32"/>
        <v/>
      </c>
      <c r="BZ551" s="89" t="str">
        <f t="shared" si="33"/>
        <v/>
      </c>
      <c r="CA551" s="89" t="str">
        <f t="shared" si="34"/>
        <v/>
      </c>
    </row>
    <row r="552" spans="72:79" hidden="1" x14ac:dyDescent="0.25">
      <c r="BT552" t="str">
        <f>IF(FFARawStatProjections!A547=0,"",FFARawStatProjections!A547)</f>
        <v>Bryce Ford-Wheaton</v>
      </c>
      <c r="BU552" t="str">
        <f>IF(FFARawStatProjections!C547=0,"",FFARawStatProjections!C547)</f>
        <v>WR</v>
      </c>
      <c r="BV552" t="str">
        <f>IF(FFARawStatProjections!B547=0,"",FFARawStatProjections!B547)</f>
        <v>NYG</v>
      </c>
      <c r="BX552">
        <v>546</v>
      </c>
      <c r="BY552" s="89" t="str">
        <f t="shared" si="32"/>
        <v/>
      </c>
      <c r="BZ552" s="89" t="str">
        <f t="shared" si="33"/>
        <v/>
      </c>
      <c r="CA552" s="89" t="str">
        <f t="shared" si="34"/>
        <v/>
      </c>
    </row>
    <row r="553" spans="72:79" hidden="1" x14ac:dyDescent="0.25">
      <c r="BT553" t="str">
        <f>IF(FFARawStatProjections!A548=0,"",FFARawStatProjections!A548)</f>
        <v>Racey McMath</v>
      </c>
      <c r="BU553" t="str">
        <f>IF(FFARawStatProjections!C548=0,"",FFARawStatProjections!C548)</f>
        <v>WR</v>
      </c>
      <c r="BV553" t="str">
        <f>IF(FFARawStatProjections!B548=0,"",FFARawStatProjections!B548)</f>
        <v>TEN</v>
      </c>
      <c r="BX553">
        <v>547</v>
      </c>
      <c r="BY553" s="89" t="str">
        <f t="shared" si="32"/>
        <v/>
      </c>
      <c r="BZ553" s="89" t="str">
        <f t="shared" si="33"/>
        <v/>
      </c>
      <c r="CA553" s="89" t="str">
        <f t="shared" si="34"/>
        <v/>
      </c>
    </row>
    <row r="554" spans="72:79" hidden="1" x14ac:dyDescent="0.25">
      <c r="BT554" t="str">
        <f>IF(FFARawStatProjections!A549=0,"",FFARawStatProjections!A549)</f>
        <v>NKeal Harry</v>
      </c>
      <c r="BU554" t="str">
        <f>IF(FFARawStatProjections!C549=0,"",FFARawStatProjections!C549)</f>
        <v>WR</v>
      </c>
      <c r="BV554" t="str">
        <f>IF(FFARawStatProjections!B549=0,"",FFARawStatProjections!B549)</f>
        <v>MIN</v>
      </c>
      <c r="BX554">
        <v>548</v>
      </c>
      <c r="BY554" s="89" t="str">
        <f t="shared" si="32"/>
        <v/>
      </c>
      <c r="BZ554" s="89" t="str">
        <f t="shared" si="33"/>
        <v/>
      </c>
      <c r="CA554" s="89" t="str">
        <f t="shared" si="34"/>
        <v/>
      </c>
    </row>
    <row r="555" spans="72:79" hidden="1" x14ac:dyDescent="0.25">
      <c r="BT555" t="str">
        <f>IF(FFARawStatProjections!A550=0,"",FFARawStatProjections!A550)</f>
        <v>Tylan Wallace</v>
      </c>
      <c r="BU555" t="str">
        <f>IF(FFARawStatProjections!C550=0,"",FFARawStatProjections!C550)</f>
        <v>WR</v>
      </c>
      <c r="BV555" t="str">
        <f>IF(FFARawStatProjections!B550=0,"",FFARawStatProjections!B550)</f>
        <v>BAL</v>
      </c>
      <c r="BX555">
        <v>549</v>
      </c>
      <c r="BY555" s="89" t="str">
        <f t="shared" si="32"/>
        <v/>
      </c>
      <c r="BZ555" s="89" t="str">
        <f t="shared" si="33"/>
        <v/>
      </c>
      <c r="CA555" s="89" t="str">
        <f t="shared" si="34"/>
        <v/>
      </c>
    </row>
    <row r="556" spans="72:79" hidden="1" x14ac:dyDescent="0.25">
      <c r="BT556" t="str">
        <f>IF(FFARawStatProjections!A551=0,"",FFARawStatProjections!A551)</f>
        <v>Chris Conley</v>
      </c>
      <c r="BU556" t="str">
        <f>IF(FFARawStatProjections!C551=0,"",FFARawStatProjections!C551)</f>
        <v>WR</v>
      </c>
      <c r="BV556" t="str">
        <f>IF(FFARawStatProjections!B551=0,"",FFARawStatProjections!B551)</f>
        <v>SF</v>
      </c>
      <c r="BX556">
        <v>550</v>
      </c>
      <c r="BY556" s="89" t="str">
        <f t="shared" si="32"/>
        <v/>
      </c>
      <c r="BZ556" s="89" t="str">
        <f t="shared" si="33"/>
        <v/>
      </c>
      <c r="CA556" s="89" t="str">
        <f t="shared" si="34"/>
        <v/>
      </c>
    </row>
    <row r="557" spans="72:79" hidden="1" x14ac:dyDescent="0.25">
      <c r="BT557" t="str">
        <f>IF(FFARawStatProjections!A552=0,"",FFARawStatProjections!A552)</f>
        <v>Jalen Camp</v>
      </c>
      <c r="BU557" t="str">
        <f>IF(FFARawStatProjections!C552=0,"",FFARawStatProjections!C552)</f>
        <v>WR</v>
      </c>
      <c r="BV557" t="str">
        <f>IF(FFARawStatProjections!B552=0,"",FFARawStatProjections!B552)</f>
        <v>HOU</v>
      </c>
      <c r="BX557">
        <v>551</v>
      </c>
      <c r="BY557" s="89" t="str">
        <f t="shared" si="32"/>
        <v/>
      </c>
      <c r="BZ557" s="89" t="str">
        <f t="shared" si="33"/>
        <v/>
      </c>
      <c r="CA557" s="89" t="str">
        <f t="shared" si="34"/>
        <v/>
      </c>
    </row>
    <row r="558" spans="72:79" hidden="1" x14ac:dyDescent="0.25">
      <c r="BT558" t="str">
        <f>IF(FFARawStatProjections!A553=0,"",FFARawStatProjections!A553)</f>
        <v>Vyncint Smith</v>
      </c>
      <c r="BU558" t="str">
        <f>IF(FFARawStatProjections!C553=0,"",FFARawStatProjections!C553)</f>
        <v>WR</v>
      </c>
      <c r="BV558" t="str">
        <f>IF(FFARawStatProjections!B553=0,"",FFARawStatProjections!B553)</f>
        <v>IND</v>
      </c>
      <c r="BX558">
        <v>552</v>
      </c>
      <c r="BY558" s="89" t="str">
        <f t="shared" si="32"/>
        <v/>
      </c>
      <c r="BZ558" s="89" t="str">
        <f t="shared" si="33"/>
        <v/>
      </c>
      <c r="CA558" s="89" t="str">
        <f t="shared" si="34"/>
        <v/>
      </c>
    </row>
    <row r="559" spans="72:79" hidden="1" x14ac:dyDescent="0.25">
      <c r="BT559" t="str">
        <f>IF(FFARawStatProjections!A554=0,"",FFARawStatProjections!A554)</f>
        <v>Mike Strachan</v>
      </c>
      <c r="BU559" t="str">
        <f>IF(FFARawStatProjections!C554=0,"",FFARawStatProjections!C554)</f>
        <v>WR</v>
      </c>
      <c r="BV559" t="str">
        <f>IF(FFARawStatProjections!B554=0,"",FFARawStatProjections!B554)</f>
        <v>IND</v>
      </c>
      <c r="BX559">
        <v>553</v>
      </c>
      <c r="BY559" s="89" t="str">
        <f t="shared" si="32"/>
        <v/>
      </c>
      <c r="BZ559" s="89" t="str">
        <f t="shared" si="33"/>
        <v/>
      </c>
      <c r="CA559" s="89" t="str">
        <f t="shared" si="34"/>
        <v/>
      </c>
    </row>
    <row r="560" spans="72:79" hidden="1" x14ac:dyDescent="0.25">
      <c r="BT560" t="str">
        <f>IF(FFARawStatProjections!A555=0,"",FFARawStatProjections!A555)</f>
        <v>Anthony Schwartz</v>
      </c>
      <c r="BU560" t="str">
        <f>IF(FFARawStatProjections!C555=0,"",FFARawStatProjections!C555)</f>
        <v>WR</v>
      </c>
      <c r="BV560" t="str">
        <f>IF(FFARawStatProjections!B555=0,"",FFARawStatProjections!B555)</f>
        <v>CLE</v>
      </c>
      <c r="BX560">
        <v>554</v>
      </c>
      <c r="BY560" s="89" t="str">
        <f t="shared" si="32"/>
        <v/>
      </c>
      <c r="BZ560" s="89" t="str">
        <f t="shared" si="33"/>
        <v/>
      </c>
      <c r="CA560" s="89" t="str">
        <f t="shared" si="34"/>
        <v/>
      </c>
    </row>
    <row r="561" spans="72:79" hidden="1" x14ac:dyDescent="0.25">
      <c r="BT561" t="str">
        <f>IF(FFARawStatProjections!A556=0,"",FFARawStatProjections!A556)</f>
        <v>Josh Ali</v>
      </c>
      <c r="BU561" t="str">
        <f>IF(FFARawStatProjections!C556=0,"",FFARawStatProjections!C556)</f>
        <v>WR</v>
      </c>
      <c r="BV561" t="str">
        <f>IF(FFARawStatProjections!B556=0,"",FFARawStatProjections!B556)</f>
        <v>ATL</v>
      </c>
      <c r="BX561">
        <v>555</v>
      </c>
      <c r="BY561" s="89" t="str">
        <f t="shared" si="32"/>
        <v/>
      </c>
      <c r="BZ561" s="89" t="str">
        <f t="shared" si="33"/>
        <v/>
      </c>
      <c r="CA561" s="89" t="str">
        <f t="shared" si="34"/>
        <v/>
      </c>
    </row>
    <row r="562" spans="72:79" hidden="1" x14ac:dyDescent="0.25">
      <c r="BT562" t="str">
        <f>IF(FFARawStatProjections!A557=0,"",FFARawStatProjections!A557)</f>
        <v>James Proche</v>
      </c>
      <c r="BU562" t="str">
        <f>IF(FFARawStatProjections!C557=0,"",FFARawStatProjections!C557)</f>
        <v>WR</v>
      </c>
      <c r="BV562" t="str">
        <f>IF(FFARawStatProjections!B557=0,"",FFARawStatProjections!B557)</f>
        <v>BAL</v>
      </c>
      <c r="BX562">
        <v>556</v>
      </c>
      <c r="BY562" s="89" t="str">
        <f t="shared" si="32"/>
        <v/>
      </c>
      <c r="BZ562" s="89" t="str">
        <f t="shared" si="33"/>
        <v/>
      </c>
      <c r="CA562" s="89" t="str">
        <f t="shared" si="34"/>
        <v/>
      </c>
    </row>
    <row r="563" spans="72:79" hidden="1" x14ac:dyDescent="0.25">
      <c r="BT563" t="str">
        <f>IF(FFARawStatProjections!A558=0,"",FFARawStatProjections!A558)</f>
        <v>Daurice Fountain</v>
      </c>
      <c r="BU563" t="str">
        <f>IF(FFARawStatProjections!C558=0,"",FFARawStatProjections!C558)</f>
        <v>WR</v>
      </c>
      <c r="BV563" t="str">
        <f>IF(FFARawStatProjections!B558=0,"",FFARawStatProjections!B558)</f>
        <v>CHI</v>
      </c>
      <c r="BX563">
        <v>557</v>
      </c>
      <c r="BY563" s="89" t="str">
        <f t="shared" si="32"/>
        <v/>
      </c>
      <c r="BZ563" s="89" t="str">
        <f t="shared" si="33"/>
        <v/>
      </c>
      <c r="CA563" s="89" t="str">
        <f t="shared" si="34"/>
        <v/>
      </c>
    </row>
    <row r="564" spans="72:79" hidden="1" x14ac:dyDescent="0.25">
      <c r="BT564" t="str">
        <f>IF(FFARawStatProjections!A559=0,"",FFARawStatProjections!A559)</f>
        <v>Greg Ward</v>
      </c>
      <c r="BU564" t="str">
        <f>IF(FFARawStatProjections!C559=0,"",FFARawStatProjections!C559)</f>
        <v>WR</v>
      </c>
      <c r="BV564" t="str">
        <f>IF(FFARawStatProjections!B559=0,"",FFARawStatProjections!B559)</f>
        <v>PHI</v>
      </c>
      <c r="BX564">
        <v>558</v>
      </c>
      <c r="BY564" s="89" t="str">
        <f t="shared" si="32"/>
        <v/>
      </c>
      <c r="BZ564" s="89" t="str">
        <f t="shared" si="33"/>
        <v/>
      </c>
      <c r="CA564" s="89" t="str">
        <f t="shared" si="34"/>
        <v/>
      </c>
    </row>
    <row r="565" spans="72:79" hidden="1" x14ac:dyDescent="0.25">
      <c r="BT565" t="str">
        <f>IF(FFARawStatProjections!A560=0,"",FFARawStatProjections!A560)</f>
        <v>Nsimba Webster</v>
      </c>
      <c r="BU565" t="str">
        <f>IF(FFARawStatProjections!C560=0,"",FFARawStatProjections!C560)</f>
        <v>WR</v>
      </c>
      <c r="BV565" t="str">
        <f>IF(FFARawStatProjections!B560=0,"",FFARawStatProjections!B560)</f>
        <v>CHI</v>
      </c>
      <c r="BX565">
        <v>559</v>
      </c>
      <c r="BY565" s="89" t="str">
        <f t="shared" si="32"/>
        <v/>
      </c>
      <c r="BZ565" s="89" t="str">
        <f t="shared" si="33"/>
        <v/>
      </c>
      <c r="CA565" s="89" t="str">
        <f t="shared" si="34"/>
        <v/>
      </c>
    </row>
    <row r="566" spans="72:79" hidden="1" x14ac:dyDescent="0.25">
      <c r="BT566" t="str">
        <f>IF(FFARawStatProjections!A561=0,"",FFARawStatProjections!A561)</f>
        <v>Keith Kirkwood</v>
      </c>
      <c r="BU566" t="str">
        <f>IF(FFARawStatProjections!C561=0,"",FFARawStatProjections!C561)</f>
        <v>WR</v>
      </c>
      <c r="BV566" t="str">
        <f>IF(FFARawStatProjections!B561=0,"",FFARawStatProjections!B561)</f>
        <v>NO</v>
      </c>
      <c r="BX566">
        <v>560</v>
      </c>
      <c r="BY566" s="89" t="str">
        <f t="shared" si="32"/>
        <v/>
      </c>
      <c r="BZ566" s="89" t="str">
        <f t="shared" si="33"/>
        <v/>
      </c>
      <c r="CA566" s="89" t="str">
        <f t="shared" si="34"/>
        <v/>
      </c>
    </row>
    <row r="567" spans="72:79" hidden="1" x14ac:dyDescent="0.25">
      <c r="BT567" t="str">
        <f>IF(FFARawStatProjections!A562=0,"",FFARawStatProjections!A562)</f>
        <v>Miles Boykin</v>
      </c>
      <c r="BU567" t="str">
        <f>IF(FFARawStatProjections!C562=0,"",FFARawStatProjections!C562)</f>
        <v>WR</v>
      </c>
      <c r="BV567" t="str">
        <f>IF(FFARawStatProjections!B562=0,"",FFARawStatProjections!B562)</f>
        <v>PIT</v>
      </c>
      <c r="BX567">
        <v>561</v>
      </c>
      <c r="BY567" s="89" t="str">
        <f t="shared" si="32"/>
        <v/>
      </c>
      <c r="BZ567" s="89" t="str">
        <f t="shared" si="33"/>
        <v/>
      </c>
      <c r="CA567" s="89" t="str">
        <f t="shared" si="34"/>
        <v/>
      </c>
    </row>
    <row r="568" spans="72:79" hidden="1" x14ac:dyDescent="0.25">
      <c r="BT568" t="str">
        <f>IF(FFARawStatProjections!A563=0,"",FFARawStatProjections!A563)</f>
        <v>Alex Erickson</v>
      </c>
      <c r="BU568" t="str">
        <f>IF(FFARawStatProjections!C563=0,"",FFARawStatProjections!C563)</f>
        <v>WR</v>
      </c>
      <c r="BV568" t="str">
        <f>IF(FFARawStatProjections!B563=0,"",FFARawStatProjections!B563)</f>
        <v>NYJ</v>
      </c>
      <c r="BX568">
        <v>562</v>
      </c>
      <c r="BY568" s="89" t="str">
        <f t="shared" si="32"/>
        <v/>
      </c>
      <c r="BZ568" s="89" t="str">
        <f t="shared" si="33"/>
        <v/>
      </c>
      <c r="CA568" s="89" t="str">
        <f t="shared" si="34"/>
        <v/>
      </c>
    </row>
    <row r="569" spans="72:79" hidden="1" x14ac:dyDescent="0.25">
      <c r="BT569" t="str">
        <f>IF(FFARawStatProjections!A564=0,"",FFARawStatProjections!A564)</f>
        <v>Breshad Perriman</v>
      </c>
      <c r="BU569" t="str">
        <f>IF(FFARawStatProjections!C564=0,"",FFARawStatProjections!C564)</f>
        <v>WR</v>
      </c>
      <c r="BV569" t="str">
        <f>IF(FFARawStatProjections!B564=0,"",FFARawStatProjections!B564)</f>
        <v>IND</v>
      </c>
      <c r="BX569">
        <v>563</v>
      </c>
      <c r="BY569" s="89" t="str">
        <f t="shared" si="32"/>
        <v/>
      </c>
      <c r="BZ569" s="89" t="str">
        <f t="shared" si="33"/>
        <v/>
      </c>
      <c r="CA569" s="89" t="str">
        <f t="shared" si="34"/>
        <v/>
      </c>
    </row>
    <row r="570" spans="72:79" hidden="1" x14ac:dyDescent="0.25">
      <c r="BT570" t="str">
        <f>IF(FFARawStatProjections!A565=0,"",FFARawStatProjections!A565)</f>
        <v>Jason Brownlee</v>
      </c>
      <c r="BU570" t="str">
        <f>IF(FFARawStatProjections!C565=0,"",FFARawStatProjections!C565)</f>
        <v>WR</v>
      </c>
      <c r="BV570" t="str">
        <f>IF(FFARawStatProjections!B565=0,"",FFARawStatProjections!B565)</f>
        <v>NYJ</v>
      </c>
      <c r="BX570">
        <v>564</v>
      </c>
      <c r="BY570" s="89" t="str">
        <f t="shared" si="32"/>
        <v/>
      </c>
      <c r="BZ570" s="89" t="str">
        <f t="shared" si="33"/>
        <v/>
      </c>
      <c r="CA570" s="89" t="str">
        <f t="shared" si="34"/>
        <v/>
      </c>
    </row>
    <row r="571" spans="72:79" hidden="1" x14ac:dyDescent="0.25">
      <c r="BT571" t="str">
        <f>IF(FFARawStatProjections!A566=0,"",FFARawStatProjections!A566)</f>
        <v>Kirk Merritt</v>
      </c>
      <c r="BU571" t="str">
        <f>IF(FFARawStatProjections!C566=0,"",FFARawStatProjections!C566)</f>
        <v>WR</v>
      </c>
      <c r="BV571" t="str">
        <f>IF(FFARawStatProjections!B566=0,"",FFARawStatProjections!B566)</f>
        <v>NO</v>
      </c>
      <c r="BX571">
        <v>565</v>
      </c>
      <c r="BY571" s="89" t="str">
        <f t="shared" si="32"/>
        <v/>
      </c>
      <c r="BZ571" s="89" t="str">
        <f t="shared" si="33"/>
        <v/>
      </c>
      <c r="CA571" s="89" t="str">
        <f t="shared" si="34"/>
        <v/>
      </c>
    </row>
    <row r="572" spans="72:79" hidden="1" x14ac:dyDescent="0.25">
      <c r="BT572" t="str">
        <f>IF(FFARawStatProjections!A567=0,"",FFARawStatProjections!A567)</f>
        <v/>
      </c>
      <c r="BU572" t="str">
        <f>IF(FFARawStatProjections!C567=0,"",FFARawStatProjections!C567)</f>
        <v>WR</v>
      </c>
      <c r="BV572" t="str">
        <f>IF(FFARawStatProjections!B567=0,"",FFARawStatProjections!B567)</f>
        <v/>
      </c>
      <c r="BX572">
        <v>566</v>
      </c>
      <c r="BY572" s="89" t="str">
        <f t="shared" si="32"/>
        <v/>
      </c>
      <c r="BZ572" s="89" t="str">
        <f t="shared" si="33"/>
        <v/>
      </c>
      <c r="CA572" s="89" t="str">
        <f t="shared" si="34"/>
        <v/>
      </c>
    </row>
    <row r="573" spans="72:79" hidden="1" x14ac:dyDescent="0.25">
      <c r="BT573" t="str">
        <f>IF(FFARawStatProjections!A568=0,"",FFARawStatProjections!A568)</f>
        <v/>
      </c>
      <c r="BU573" t="str">
        <f>IF(FFARawStatProjections!C568=0,"",FFARawStatProjections!C568)</f>
        <v>WR</v>
      </c>
      <c r="BV573" t="str">
        <f>IF(FFARawStatProjections!B568=0,"",FFARawStatProjections!B568)</f>
        <v/>
      </c>
      <c r="BX573">
        <v>567</v>
      </c>
      <c r="BY573" s="89" t="str">
        <f t="shared" si="32"/>
        <v/>
      </c>
      <c r="BZ573" s="89" t="str">
        <f t="shared" si="33"/>
        <v/>
      </c>
      <c r="CA573" s="89" t="str">
        <f t="shared" si="34"/>
        <v/>
      </c>
    </row>
    <row r="574" spans="72:79" hidden="1" x14ac:dyDescent="0.25">
      <c r="BT574" t="str">
        <f>IF(FFARawStatProjections!A569=0,"",FFARawStatProjections!A569)</f>
        <v/>
      </c>
      <c r="BU574" t="str">
        <f>IF(FFARawStatProjections!C569=0,"",FFARawStatProjections!C569)</f>
        <v>WR</v>
      </c>
      <c r="BV574" t="str">
        <f>IF(FFARawStatProjections!B569=0,"",FFARawStatProjections!B569)</f>
        <v/>
      </c>
      <c r="BX574">
        <v>568</v>
      </c>
      <c r="BY574" s="89" t="str">
        <f t="shared" si="32"/>
        <v/>
      </c>
      <c r="BZ574" s="89" t="str">
        <f t="shared" si="33"/>
        <v/>
      </c>
      <c r="CA574" s="89" t="str">
        <f t="shared" si="34"/>
        <v/>
      </c>
    </row>
    <row r="575" spans="72:79" hidden="1" x14ac:dyDescent="0.25">
      <c r="BT575" t="str">
        <f>IF(FFARawStatProjections!A570=0,"",FFARawStatProjections!A570)</f>
        <v/>
      </c>
      <c r="BU575" t="str">
        <f>IF(FFARawStatProjections!C570=0,"",FFARawStatProjections!C570)</f>
        <v>WR</v>
      </c>
      <c r="BV575" t="str">
        <f>IF(FFARawStatProjections!B570=0,"",FFARawStatProjections!B570)</f>
        <v/>
      </c>
      <c r="BX575">
        <v>569</v>
      </c>
      <c r="BY575" s="89" t="str">
        <f t="shared" si="32"/>
        <v/>
      </c>
      <c r="BZ575" s="89" t="str">
        <f t="shared" si="33"/>
        <v/>
      </c>
      <c r="CA575" s="89" t="str">
        <f t="shared" si="34"/>
        <v/>
      </c>
    </row>
    <row r="576" spans="72:79" hidden="1" x14ac:dyDescent="0.25">
      <c r="BT576" t="str">
        <f>IF(FFARawStatProjections!A571=0,"",FFARawStatProjections!A571)</f>
        <v/>
      </c>
      <c r="BU576" t="str">
        <f>IF(FFARawStatProjections!C571=0,"",FFARawStatProjections!C571)</f>
        <v>WR</v>
      </c>
      <c r="BV576" t="str">
        <f>IF(FFARawStatProjections!B571=0,"",FFARawStatProjections!B571)</f>
        <v/>
      </c>
      <c r="BX576">
        <v>570</v>
      </c>
      <c r="BY576" s="89" t="str">
        <f t="shared" si="32"/>
        <v/>
      </c>
      <c r="BZ576" s="89" t="str">
        <f t="shared" si="33"/>
        <v/>
      </c>
      <c r="CA576" s="89" t="str">
        <f t="shared" si="34"/>
        <v/>
      </c>
    </row>
    <row r="577" spans="72:79" hidden="1" x14ac:dyDescent="0.25">
      <c r="BT577" t="str">
        <f>IF(FFARawStatProjections!A572=0,"",FFARawStatProjections!A572)</f>
        <v/>
      </c>
      <c r="BU577" t="str">
        <f>IF(FFARawStatProjections!C572=0,"",FFARawStatProjections!C572)</f>
        <v>WR</v>
      </c>
      <c r="BV577" t="str">
        <f>IF(FFARawStatProjections!B572=0,"",FFARawStatProjections!B572)</f>
        <v/>
      </c>
      <c r="BX577">
        <v>571</v>
      </c>
      <c r="BY577" s="89" t="str">
        <f t="shared" si="32"/>
        <v/>
      </c>
      <c r="BZ577" s="89" t="str">
        <f t="shared" si="33"/>
        <v/>
      </c>
      <c r="CA577" s="89" t="str">
        <f t="shared" si="34"/>
        <v/>
      </c>
    </row>
    <row r="578" spans="72:79" hidden="1" x14ac:dyDescent="0.25">
      <c r="BT578" t="str">
        <f>IF(FFARawStatProjections!A573=0,"",FFARawStatProjections!A573)</f>
        <v/>
      </c>
      <c r="BU578" t="str">
        <f>IF(FFARawStatProjections!C573=0,"",FFARawStatProjections!C573)</f>
        <v>WR</v>
      </c>
      <c r="BV578" t="str">
        <f>IF(FFARawStatProjections!B573=0,"",FFARawStatProjections!B573)</f>
        <v/>
      </c>
      <c r="BX578">
        <v>572</v>
      </c>
      <c r="BY578" s="89" t="str">
        <f t="shared" si="32"/>
        <v/>
      </c>
      <c r="BZ578" s="89" t="str">
        <f t="shared" si="33"/>
        <v/>
      </c>
      <c r="CA578" s="89" t="str">
        <f t="shared" si="34"/>
        <v/>
      </c>
    </row>
    <row r="579" spans="72:79" hidden="1" x14ac:dyDescent="0.25">
      <c r="BT579" t="str">
        <f>IF(FFARawStatProjections!A574=0,"",FFARawStatProjections!A574)</f>
        <v/>
      </c>
      <c r="BU579" t="str">
        <f>IF(FFARawStatProjections!C574=0,"",FFARawStatProjections!C574)</f>
        <v>WR</v>
      </c>
      <c r="BV579" t="str">
        <f>IF(FFARawStatProjections!B574=0,"",FFARawStatProjections!B574)</f>
        <v/>
      </c>
      <c r="BX579">
        <v>573</v>
      </c>
      <c r="BY579" s="89" t="str">
        <f t="shared" si="32"/>
        <v/>
      </c>
      <c r="BZ579" s="89" t="str">
        <f t="shared" si="33"/>
        <v/>
      </c>
      <c r="CA579" s="89" t="str">
        <f t="shared" si="34"/>
        <v/>
      </c>
    </row>
    <row r="580" spans="72:79" hidden="1" x14ac:dyDescent="0.25">
      <c r="BT580" t="str">
        <f>IF(FFARawStatProjections!A575=0,"",FFARawStatProjections!A575)</f>
        <v/>
      </c>
      <c r="BU580" t="str">
        <f>IF(FFARawStatProjections!C575=0,"",FFARawStatProjections!C575)</f>
        <v>WR</v>
      </c>
      <c r="BV580" t="str">
        <f>IF(FFARawStatProjections!B575=0,"",FFARawStatProjections!B575)</f>
        <v/>
      </c>
      <c r="BX580">
        <v>574</v>
      </c>
      <c r="BY580" s="89" t="str">
        <f t="shared" si="32"/>
        <v/>
      </c>
      <c r="BZ580" s="89" t="str">
        <f t="shared" si="33"/>
        <v/>
      </c>
      <c r="CA580" s="89" t="str">
        <f t="shared" si="34"/>
        <v/>
      </c>
    </row>
    <row r="581" spans="72:79" hidden="1" x14ac:dyDescent="0.25">
      <c r="BT581" t="str">
        <f>IF(FFARawStatProjections!A576=0,"",FFARawStatProjections!A576)</f>
        <v/>
      </c>
      <c r="BU581" t="str">
        <f>IF(FFARawStatProjections!C576=0,"",FFARawStatProjections!C576)</f>
        <v>WR</v>
      </c>
      <c r="BV581" t="str">
        <f>IF(FFARawStatProjections!B576=0,"",FFARawStatProjections!B576)</f>
        <v/>
      </c>
      <c r="BX581">
        <v>575</v>
      </c>
      <c r="BY581" s="89" t="str">
        <f t="shared" si="32"/>
        <v/>
      </c>
      <c r="BZ581" s="89" t="str">
        <f t="shared" si="33"/>
        <v/>
      </c>
      <c r="CA581" s="89" t="str">
        <f t="shared" si="34"/>
        <v/>
      </c>
    </row>
    <row r="582" spans="72:79" hidden="1" x14ac:dyDescent="0.25">
      <c r="BT582" t="str">
        <f>IF(FFARawStatProjections!A577=0,"",FFARawStatProjections!A577)</f>
        <v/>
      </c>
      <c r="BU582" t="str">
        <f>IF(FFARawStatProjections!C577=0,"",FFARawStatProjections!C577)</f>
        <v>WR</v>
      </c>
      <c r="BV582" t="str">
        <f>IF(FFARawStatProjections!B577=0,"",FFARawStatProjections!B577)</f>
        <v/>
      </c>
      <c r="BX582">
        <v>576</v>
      </c>
      <c r="BY582" s="89" t="str">
        <f t="shared" si="32"/>
        <v/>
      </c>
      <c r="BZ582" s="89" t="str">
        <f t="shared" si="33"/>
        <v/>
      </c>
      <c r="CA582" s="89" t="str">
        <f t="shared" si="34"/>
        <v/>
      </c>
    </row>
    <row r="583" spans="72:79" hidden="1" x14ac:dyDescent="0.25">
      <c r="BT583" t="str">
        <f>IF(FFARawStatProjections!A578=0,"",FFARawStatProjections!A578)</f>
        <v/>
      </c>
      <c r="BU583" t="str">
        <f>IF(FFARawStatProjections!C578=0,"",FFARawStatProjections!C578)</f>
        <v>WR</v>
      </c>
      <c r="BV583" t="str">
        <f>IF(FFARawStatProjections!B578=0,"",FFARawStatProjections!B578)</f>
        <v/>
      </c>
      <c r="BX583">
        <v>577</v>
      </c>
      <c r="BY583" s="89" t="str">
        <f t="shared" si="32"/>
        <v/>
      </c>
      <c r="BZ583" s="89" t="str">
        <f t="shared" si="33"/>
        <v/>
      </c>
      <c r="CA583" s="89" t="str">
        <f t="shared" si="34"/>
        <v/>
      </c>
    </row>
    <row r="584" spans="72:79" hidden="1" x14ac:dyDescent="0.25">
      <c r="BT584" t="str">
        <f>IF(FFARawStatProjections!A579=0,"",FFARawStatProjections!A579)</f>
        <v/>
      </c>
      <c r="BU584" t="str">
        <f>IF(FFARawStatProjections!C579=0,"",FFARawStatProjections!C579)</f>
        <v>WR</v>
      </c>
      <c r="BV584" t="str">
        <f>IF(FFARawStatProjections!B579=0,"",FFARawStatProjections!B579)</f>
        <v/>
      </c>
      <c r="BX584">
        <v>578</v>
      </c>
      <c r="BY584" s="89" t="str">
        <f t="shared" ref="BY584:BY647" si="35">IFERROR(INDEX(BT:BT,MATCH(BX584,BW:BW,0),1),"")</f>
        <v/>
      </c>
      <c r="BZ584" s="89" t="str">
        <f t="shared" ref="BZ584:BZ647" si="36">IFERROR(INDEX(BU:BU,MATCH(BX584,BW:BW,0)),"")</f>
        <v/>
      </c>
      <c r="CA584" s="89" t="str">
        <f t="shared" ref="CA584:CA647" si="37">IFERROR(INDEX(BV:BV,MATCH(BX584,BW:BW,0)),"")</f>
        <v/>
      </c>
    </row>
    <row r="585" spans="72:79" hidden="1" x14ac:dyDescent="0.25">
      <c r="BT585" t="str">
        <f>IF(FFARawStatProjections!A580=0,"",FFARawStatProjections!A580)</f>
        <v/>
      </c>
      <c r="BU585" t="str">
        <f>IF(FFARawStatProjections!C580=0,"",FFARawStatProjections!C580)</f>
        <v>WR</v>
      </c>
      <c r="BV585" t="str">
        <f>IF(FFARawStatProjections!B580=0,"",FFARawStatProjections!B580)</f>
        <v/>
      </c>
      <c r="BX585">
        <v>579</v>
      </c>
      <c r="BY585" s="89" t="str">
        <f t="shared" si="35"/>
        <v/>
      </c>
      <c r="BZ585" s="89" t="str">
        <f t="shared" si="36"/>
        <v/>
      </c>
      <c r="CA585" s="89" t="str">
        <f t="shared" si="37"/>
        <v/>
      </c>
    </row>
    <row r="586" spans="72:79" hidden="1" x14ac:dyDescent="0.25">
      <c r="BT586" t="str">
        <f>IF(FFARawStatProjections!A581=0,"",FFARawStatProjections!A581)</f>
        <v/>
      </c>
      <c r="BU586" t="str">
        <f>IF(FFARawStatProjections!C581=0,"",FFARawStatProjections!C581)</f>
        <v>WR</v>
      </c>
      <c r="BV586" t="str">
        <f>IF(FFARawStatProjections!B581=0,"",FFARawStatProjections!B581)</f>
        <v/>
      </c>
      <c r="BX586">
        <v>580</v>
      </c>
      <c r="BY586" s="89" t="str">
        <f t="shared" si="35"/>
        <v/>
      </c>
      <c r="BZ586" s="89" t="str">
        <f t="shared" si="36"/>
        <v/>
      </c>
      <c r="CA586" s="89" t="str">
        <f t="shared" si="37"/>
        <v/>
      </c>
    </row>
    <row r="587" spans="72:79" hidden="1" x14ac:dyDescent="0.25">
      <c r="BT587" t="str">
        <f>IF(FFARawStatProjections!A582=0,"",FFARawStatProjections!A582)</f>
        <v/>
      </c>
      <c r="BU587" t="str">
        <f>IF(FFARawStatProjections!C582=0,"",FFARawStatProjections!C582)</f>
        <v>WR</v>
      </c>
      <c r="BV587" t="str">
        <f>IF(FFARawStatProjections!B582=0,"",FFARawStatProjections!B582)</f>
        <v/>
      </c>
      <c r="BX587">
        <v>581</v>
      </c>
      <c r="BY587" s="89" t="str">
        <f t="shared" si="35"/>
        <v/>
      </c>
      <c r="BZ587" s="89" t="str">
        <f t="shared" si="36"/>
        <v/>
      </c>
      <c r="CA587" s="89" t="str">
        <f t="shared" si="37"/>
        <v/>
      </c>
    </row>
    <row r="588" spans="72:79" hidden="1" x14ac:dyDescent="0.25">
      <c r="BT588" t="str">
        <f>IF(FFARawStatProjections!A583=0,"",FFARawStatProjections!A583)</f>
        <v/>
      </c>
      <c r="BU588" t="str">
        <f>IF(FFARawStatProjections!C583=0,"",FFARawStatProjections!C583)</f>
        <v>WR</v>
      </c>
      <c r="BV588" t="str">
        <f>IF(FFARawStatProjections!B583=0,"",FFARawStatProjections!B583)</f>
        <v/>
      </c>
      <c r="BX588">
        <v>582</v>
      </c>
      <c r="BY588" s="89" t="str">
        <f t="shared" si="35"/>
        <v/>
      </c>
      <c r="BZ588" s="89" t="str">
        <f t="shared" si="36"/>
        <v/>
      </c>
      <c r="CA588" s="89" t="str">
        <f t="shared" si="37"/>
        <v/>
      </c>
    </row>
    <row r="589" spans="72:79" hidden="1" x14ac:dyDescent="0.25">
      <c r="BT589" t="str">
        <f>IF(FFARawStatProjections!A584=0,"",FFARawStatProjections!A584)</f>
        <v/>
      </c>
      <c r="BU589" t="str">
        <f>IF(FFARawStatProjections!C584=0,"",FFARawStatProjections!C584)</f>
        <v>WR</v>
      </c>
      <c r="BV589" t="str">
        <f>IF(FFARawStatProjections!B584=0,"",FFARawStatProjections!B584)</f>
        <v/>
      </c>
      <c r="BX589">
        <v>583</v>
      </c>
      <c r="BY589" s="89" t="str">
        <f t="shared" si="35"/>
        <v/>
      </c>
      <c r="BZ589" s="89" t="str">
        <f t="shared" si="36"/>
        <v/>
      </c>
      <c r="CA589" s="89" t="str">
        <f t="shared" si="37"/>
        <v/>
      </c>
    </row>
    <row r="590" spans="72:79" hidden="1" x14ac:dyDescent="0.25">
      <c r="BT590" t="str">
        <f>IF(FFARawStatProjections!A585=0,"",FFARawStatProjections!A585)</f>
        <v/>
      </c>
      <c r="BU590" t="str">
        <f>IF(FFARawStatProjections!C585=0,"",FFARawStatProjections!C585)</f>
        <v>WR</v>
      </c>
      <c r="BV590" t="str">
        <f>IF(FFARawStatProjections!B585=0,"",FFARawStatProjections!B585)</f>
        <v/>
      </c>
      <c r="BX590">
        <v>584</v>
      </c>
      <c r="BY590" s="89" t="str">
        <f t="shared" si="35"/>
        <v/>
      </c>
      <c r="BZ590" s="89" t="str">
        <f t="shared" si="36"/>
        <v/>
      </c>
      <c r="CA590" s="89" t="str">
        <f t="shared" si="37"/>
        <v/>
      </c>
    </row>
    <row r="591" spans="72:79" hidden="1" x14ac:dyDescent="0.25">
      <c r="BT591" t="str">
        <f>IF(FFARawStatProjections!A586=0,"",FFARawStatProjections!A586)</f>
        <v/>
      </c>
      <c r="BU591" t="str">
        <f>IF(FFARawStatProjections!C586=0,"",FFARawStatProjections!C586)</f>
        <v>WR</v>
      </c>
      <c r="BV591" t="str">
        <f>IF(FFARawStatProjections!B586=0,"",FFARawStatProjections!B586)</f>
        <v/>
      </c>
      <c r="BX591">
        <v>585</v>
      </c>
      <c r="BY591" s="89" t="str">
        <f t="shared" si="35"/>
        <v/>
      </c>
      <c r="BZ591" s="89" t="str">
        <f t="shared" si="36"/>
        <v/>
      </c>
      <c r="CA591" s="89" t="str">
        <f t="shared" si="37"/>
        <v/>
      </c>
    </row>
    <row r="592" spans="72:79" hidden="1" x14ac:dyDescent="0.25">
      <c r="BT592" t="str">
        <f>IF(FFARawStatProjections!A587=0,"",FFARawStatProjections!A587)</f>
        <v/>
      </c>
      <c r="BU592" t="str">
        <f>IF(FFARawStatProjections!C587=0,"",FFARawStatProjections!C587)</f>
        <v>WR</v>
      </c>
      <c r="BV592" t="str">
        <f>IF(FFARawStatProjections!B587=0,"",FFARawStatProjections!B587)</f>
        <v/>
      </c>
      <c r="BX592">
        <v>586</v>
      </c>
      <c r="BY592" s="89" t="str">
        <f t="shared" si="35"/>
        <v/>
      </c>
      <c r="BZ592" s="89" t="str">
        <f t="shared" si="36"/>
        <v/>
      </c>
      <c r="CA592" s="89" t="str">
        <f t="shared" si="37"/>
        <v/>
      </c>
    </row>
    <row r="593" spans="72:79" hidden="1" x14ac:dyDescent="0.25">
      <c r="BT593" t="str">
        <f>IF(FFARawStatProjections!A588=0,"",FFARawStatProjections!A588)</f>
        <v/>
      </c>
      <c r="BU593" t="str">
        <f>IF(FFARawStatProjections!C588=0,"",FFARawStatProjections!C588)</f>
        <v>WR</v>
      </c>
      <c r="BV593" t="str">
        <f>IF(FFARawStatProjections!B588=0,"",FFARawStatProjections!B588)</f>
        <v/>
      </c>
      <c r="BX593">
        <v>587</v>
      </c>
      <c r="BY593" s="89" t="str">
        <f t="shared" si="35"/>
        <v/>
      </c>
      <c r="BZ593" s="89" t="str">
        <f t="shared" si="36"/>
        <v/>
      </c>
      <c r="CA593" s="89" t="str">
        <f t="shared" si="37"/>
        <v/>
      </c>
    </row>
    <row r="594" spans="72:79" hidden="1" x14ac:dyDescent="0.25">
      <c r="BT594" t="str">
        <f>IF(FFARawStatProjections!A589=0,"",FFARawStatProjections!A589)</f>
        <v/>
      </c>
      <c r="BU594" t="str">
        <f>IF(FFARawStatProjections!C589=0,"",FFARawStatProjections!C589)</f>
        <v>WR</v>
      </c>
      <c r="BV594" t="str">
        <f>IF(FFARawStatProjections!B589=0,"",FFARawStatProjections!B589)</f>
        <v/>
      </c>
      <c r="BX594">
        <v>588</v>
      </c>
      <c r="BY594" s="89" t="str">
        <f t="shared" si="35"/>
        <v/>
      </c>
      <c r="BZ594" s="89" t="str">
        <f t="shared" si="36"/>
        <v/>
      </c>
      <c r="CA594" s="89" t="str">
        <f t="shared" si="37"/>
        <v/>
      </c>
    </row>
    <row r="595" spans="72:79" hidden="1" x14ac:dyDescent="0.25">
      <c r="BT595" t="str">
        <f>IF(FFARawStatProjections!A590=0,"",FFARawStatProjections!A590)</f>
        <v/>
      </c>
      <c r="BU595" t="str">
        <f>IF(FFARawStatProjections!C590=0,"",FFARawStatProjections!C590)</f>
        <v>WR</v>
      </c>
      <c r="BV595" t="str">
        <f>IF(FFARawStatProjections!B590=0,"",FFARawStatProjections!B590)</f>
        <v/>
      </c>
      <c r="BX595">
        <v>589</v>
      </c>
      <c r="BY595" s="89" t="str">
        <f t="shared" si="35"/>
        <v/>
      </c>
      <c r="BZ595" s="89" t="str">
        <f t="shared" si="36"/>
        <v/>
      </c>
      <c r="CA595" s="89" t="str">
        <f t="shared" si="37"/>
        <v/>
      </c>
    </row>
    <row r="596" spans="72:79" hidden="1" x14ac:dyDescent="0.25">
      <c r="BT596" t="str">
        <f>IF(FFARawStatProjections!A591=0,"",FFARawStatProjections!A591)</f>
        <v/>
      </c>
      <c r="BU596" t="str">
        <f>IF(FFARawStatProjections!C591=0,"",FFARawStatProjections!C591)</f>
        <v>WR</v>
      </c>
      <c r="BV596" t="str">
        <f>IF(FFARawStatProjections!B591=0,"",FFARawStatProjections!B591)</f>
        <v/>
      </c>
      <c r="BX596">
        <v>590</v>
      </c>
      <c r="BY596" s="89" t="str">
        <f t="shared" si="35"/>
        <v/>
      </c>
      <c r="BZ596" s="89" t="str">
        <f t="shared" si="36"/>
        <v/>
      </c>
      <c r="CA596" s="89" t="str">
        <f t="shared" si="37"/>
        <v/>
      </c>
    </row>
    <row r="597" spans="72:79" hidden="1" x14ac:dyDescent="0.25">
      <c r="BT597" t="str">
        <f>IF(FFARawStatProjections!A592=0,"",FFARawStatProjections!A592)</f>
        <v/>
      </c>
      <c r="BU597" t="str">
        <f>IF(FFARawStatProjections!C592=0,"",FFARawStatProjections!C592)</f>
        <v>WR</v>
      </c>
      <c r="BV597" t="str">
        <f>IF(FFARawStatProjections!B592=0,"",FFARawStatProjections!B592)</f>
        <v/>
      </c>
      <c r="BX597">
        <v>591</v>
      </c>
      <c r="BY597" s="89" t="str">
        <f t="shared" si="35"/>
        <v/>
      </c>
      <c r="BZ597" s="89" t="str">
        <f t="shared" si="36"/>
        <v/>
      </c>
      <c r="CA597" s="89" t="str">
        <f t="shared" si="37"/>
        <v/>
      </c>
    </row>
    <row r="598" spans="72:79" hidden="1" x14ac:dyDescent="0.25">
      <c r="BT598" t="str">
        <f>IF(FFARawStatProjections!A593=0,"",FFARawStatProjections!A593)</f>
        <v/>
      </c>
      <c r="BU598" t="str">
        <f>IF(FFARawStatProjections!C593=0,"",FFARawStatProjections!C593)</f>
        <v>WR</v>
      </c>
      <c r="BV598" t="str">
        <f>IF(FFARawStatProjections!B593=0,"",FFARawStatProjections!B593)</f>
        <v/>
      </c>
      <c r="BX598">
        <v>592</v>
      </c>
      <c r="BY598" s="89" t="str">
        <f t="shared" si="35"/>
        <v/>
      </c>
      <c r="BZ598" s="89" t="str">
        <f t="shared" si="36"/>
        <v/>
      </c>
      <c r="CA598" s="89" t="str">
        <f t="shared" si="37"/>
        <v/>
      </c>
    </row>
    <row r="599" spans="72:79" hidden="1" x14ac:dyDescent="0.25">
      <c r="BT599" t="str">
        <f>IF(FFARawStatProjections!A594=0,"",FFARawStatProjections!A594)</f>
        <v/>
      </c>
      <c r="BU599" t="str">
        <f>IF(FFARawStatProjections!C594=0,"",FFARawStatProjections!C594)</f>
        <v>WR</v>
      </c>
      <c r="BV599" t="str">
        <f>IF(FFARawStatProjections!B594=0,"",FFARawStatProjections!B594)</f>
        <v/>
      </c>
      <c r="BX599">
        <v>593</v>
      </c>
      <c r="BY599" s="89" t="str">
        <f t="shared" si="35"/>
        <v/>
      </c>
      <c r="BZ599" s="89" t="str">
        <f t="shared" si="36"/>
        <v/>
      </c>
      <c r="CA599" s="89" t="str">
        <f t="shared" si="37"/>
        <v/>
      </c>
    </row>
    <row r="600" spans="72:79" hidden="1" x14ac:dyDescent="0.25">
      <c r="BT600" t="str">
        <f>IF(FFARawStatProjections!A595=0,"",FFARawStatProjections!A595)</f>
        <v/>
      </c>
      <c r="BU600" t="str">
        <f>IF(FFARawStatProjections!C595=0,"",FFARawStatProjections!C595)</f>
        <v>WR</v>
      </c>
      <c r="BV600" t="str">
        <f>IF(FFARawStatProjections!B595=0,"",FFARawStatProjections!B595)</f>
        <v/>
      </c>
      <c r="BX600">
        <v>594</v>
      </c>
      <c r="BY600" s="89" t="str">
        <f t="shared" si="35"/>
        <v/>
      </c>
      <c r="BZ600" s="89" t="str">
        <f t="shared" si="36"/>
        <v/>
      </c>
      <c r="CA600" s="89" t="str">
        <f t="shared" si="37"/>
        <v/>
      </c>
    </row>
    <row r="601" spans="72:79" hidden="1" x14ac:dyDescent="0.25">
      <c r="BT601" t="str">
        <f>IF(FFARawStatProjections!A596=0,"",FFARawStatProjections!A596)</f>
        <v/>
      </c>
      <c r="BU601" t="str">
        <f>IF(FFARawStatProjections!C596=0,"",FFARawStatProjections!C596)</f>
        <v>WR</v>
      </c>
      <c r="BV601" t="str">
        <f>IF(FFARawStatProjections!B596=0,"",FFARawStatProjections!B596)</f>
        <v/>
      </c>
      <c r="BX601">
        <v>595</v>
      </c>
      <c r="BY601" s="89" t="str">
        <f t="shared" si="35"/>
        <v/>
      </c>
      <c r="BZ601" s="89" t="str">
        <f t="shared" si="36"/>
        <v/>
      </c>
      <c r="CA601" s="89" t="str">
        <f t="shared" si="37"/>
        <v/>
      </c>
    </row>
    <row r="602" spans="72:79" hidden="1" x14ac:dyDescent="0.25">
      <c r="BT602" t="str">
        <f>IF(FFARawStatProjections!A597=0,"",FFARawStatProjections!A597)</f>
        <v/>
      </c>
      <c r="BU602" t="str">
        <f>IF(FFARawStatProjections!C597=0,"",FFARawStatProjections!C597)</f>
        <v>WR</v>
      </c>
      <c r="BV602" t="str">
        <f>IF(FFARawStatProjections!B597=0,"",FFARawStatProjections!B597)</f>
        <v/>
      </c>
      <c r="BX602">
        <v>596</v>
      </c>
      <c r="BY602" s="89" t="str">
        <f t="shared" si="35"/>
        <v/>
      </c>
      <c r="BZ602" s="89" t="str">
        <f t="shared" si="36"/>
        <v/>
      </c>
      <c r="CA602" s="89" t="str">
        <f t="shared" si="37"/>
        <v/>
      </c>
    </row>
    <row r="603" spans="72:79" hidden="1" x14ac:dyDescent="0.25">
      <c r="BT603" t="str">
        <f>IF(FFARawStatProjections!A598=0,"",FFARawStatProjections!A598)</f>
        <v/>
      </c>
      <c r="BU603" t="str">
        <f>IF(FFARawStatProjections!C598=0,"",FFARawStatProjections!C598)</f>
        <v>WR</v>
      </c>
      <c r="BV603" t="str">
        <f>IF(FFARawStatProjections!B598=0,"",FFARawStatProjections!B598)</f>
        <v/>
      </c>
      <c r="BX603">
        <v>597</v>
      </c>
      <c r="BY603" s="89" t="str">
        <f t="shared" si="35"/>
        <v/>
      </c>
      <c r="BZ603" s="89" t="str">
        <f t="shared" si="36"/>
        <v/>
      </c>
      <c r="CA603" s="89" t="str">
        <f t="shared" si="37"/>
        <v/>
      </c>
    </row>
    <row r="604" spans="72:79" hidden="1" x14ac:dyDescent="0.25">
      <c r="BT604" t="str">
        <f>IF(FFARawStatProjections!A599=0,"",FFARawStatProjections!A599)</f>
        <v/>
      </c>
      <c r="BU604" t="str">
        <f>IF(FFARawStatProjections!C599=0,"",FFARawStatProjections!C599)</f>
        <v>WR</v>
      </c>
      <c r="BV604" t="str">
        <f>IF(FFARawStatProjections!B599=0,"",FFARawStatProjections!B599)</f>
        <v/>
      </c>
      <c r="BX604">
        <v>598</v>
      </c>
      <c r="BY604" s="89" t="str">
        <f t="shared" si="35"/>
        <v/>
      </c>
      <c r="BZ604" s="89" t="str">
        <f t="shared" si="36"/>
        <v/>
      </c>
      <c r="CA604" s="89" t="str">
        <f t="shared" si="37"/>
        <v/>
      </c>
    </row>
    <row r="605" spans="72:79" hidden="1" x14ac:dyDescent="0.25">
      <c r="BT605" t="str">
        <f>IF(FFARawStatProjections!A600=0,"",FFARawStatProjections!A600)</f>
        <v/>
      </c>
      <c r="BU605" t="str">
        <f>IF(FFARawStatProjections!C600=0,"",FFARawStatProjections!C600)</f>
        <v>WR</v>
      </c>
      <c r="BV605" t="str">
        <f>IF(FFARawStatProjections!B600=0,"",FFARawStatProjections!B600)</f>
        <v/>
      </c>
      <c r="BX605">
        <v>599</v>
      </c>
      <c r="BY605" s="89" t="str">
        <f t="shared" si="35"/>
        <v/>
      </c>
      <c r="BZ605" s="89" t="str">
        <f t="shared" si="36"/>
        <v/>
      </c>
      <c r="CA605" s="89" t="str">
        <f t="shared" si="37"/>
        <v/>
      </c>
    </row>
    <row r="606" spans="72:79" hidden="1" x14ac:dyDescent="0.25">
      <c r="BT606" t="str">
        <f>IF(FFARawStatProjections!A601=0,"",FFARawStatProjections!A601)</f>
        <v/>
      </c>
      <c r="BU606" t="str">
        <f>IF(FFARawStatProjections!C601=0,"",FFARawStatProjections!C601)</f>
        <v>WR</v>
      </c>
      <c r="BV606" t="str">
        <f>IF(FFARawStatProjections!B601=0,"",FFARawStatProjections!B601)</f>
        <v/>
      </c>
      <c r="BX606">
        <v>600</v>
      </c>
      <c r="BY606" s="89" t="str">
        <f t="shared" si="35"/>
        <v/>
      </c>
      <c r="BZ606" s="89" t="str">
        <f t="shared" si="36"/>
        <v/>
      </c>
      <c r="CA606" s="89" t="str">
        <f t="shared" si="37"/>
        <v/>
      </c>
    </row>
    <row r="607" spans="72:79" hidden="1" x14ac:dyDescent="0.25">
      <c r="BT607" t="str">
        <f>IF(FFARawStatProjections!A602=0,"",FFARawStatProjections!A602)</f>
        <v/>
      </c>
      <c r="BU607" t="str">
        <f>IF(FFARawStatProjections!C602=0,"",FFARawStatProjections!C602)</f>
        <v>WR</v>
      </c>
      <c r="BV607" t="str">
        <f>IF(FFARawStatProjections!B602=0,"",FFARawStatProjections!B602)</f>
        <v/>
      </c>
      <c r="BX607">
        <v>601</v>
      </c>
      <c r="BY607" s="89" t="str">
        <f t="shared" si="35"/>
        <v/>
      </c>
      <c r="BZ607" s="89" t="str">
        <f t="shared" si="36"/>
        <v/>
      </c>
      <c r="CA607" s="89" t="str">
        <f t="shared" si="37"/>
        <v/>
      </c>
    </row>
    <row r="608" spans="72:79" hidden="1" x14ac:dyDescent="0.25">
      <c r="BT608" t="str">
        <f>IF(FFARawStatProjections!A603=0,"",FFARawStatProjections!A603)</f>
        <v/>
      </c>
      <c r="BU608" t="str">
        <f>IF(FFARawStatProjections!C603=0,"",FFARawStatProjections!C603)</f>
        <v>WR</v>
      </c>
      <c r="BV608" t="str">
        <f>IF(FFARawStatProjections!B603=0,"",FFARawStatProjections!B603)</f>
        <v/>
      </c>
      <c r="BX608">
        <v>602</v>
      </c>
      <c r="BY608" s="89" t="str">
        <f t="shared" si="35"/>
        <v/>
      </c>
      <c r="BZ608" s="89" t="str">
        <f t="shared" si="36"/>
        <v/>
      </c>
      <c r="CA608" s="89" t="str">
        <f t="shared" si="37"/>
        <v/>
      </c>
    </row>
    <row r="609" spans="72:79" hidden="1" x14ac:dyDescent="0.25">
      <c r="BT609" t="str">
        <f>IF(FFARawStatProjections!A604=0,"",FFARawStatProjections!A604)</f>
        <v/>
      </c>
      <c r="BU609" t="str">
        <f>IF(FFARawStatProjections!C604=0,"",FFARawStatProjections!C604)</f>
        <v>WR</v>
      </c>
      <c r="BV609" t="str">
        <f>IF(FFARawStatProjections!B604=0,"",FFARawStatProjections!B604)</f>
        <v/>
      </c>
      <c r="BX609">
        <v>603</v>
      </c>
      <c r="BY609" s="89" t="str">
        <f t="shared" si="35"/>
        <v/>
      </c>
      <c r="BZ609" s="89" t="str">
        <f t="shared" si="36"/>
        <v/>
      </c>
      <c r="CA609" s="89" t="str">
        <f t="shared" si="37"/>
        <v/>
      </c>
    </row>
    <row r="610" spans="72:79" hidden="1" x14ac:dyDescent="0.25">
      <c r="BT610" t="str">
        <f>IF(FFARawStatProjections!A605=0,"",FFARawStatProjections!A605)</f>
        <v/>
      </c>
      <c r="BU610" t="str">
        <f>IF(FFARawStatProjections!C605=0,"",FFARawStatProjections!C605)</f>
        <v>WR</v>
      </c>
      <c r="BV610" t="str">
        <f>IF(FFARawStatProjections!B605=0,"",FFARawStatProjections!B605)</f>
        <v/>
      </c>
      <c r="BX610">
        <v>604</v>
      </c>
      <c r="BY610" s="89" t="str">
        <f t="shared" si="35"/>
        <v/>
      </c>
      <c r="BZ610" s="89" t="str">
        <f t="shared" si="36"/>
        <v/>
      </c>
      <c r="CA610" s="89" t="str">
        <f t="shared" si="37"/>
        <v/>
      </c>
    </row>
    <row r="611" spans="72:79" hidden="1" x14ac:dyDescent="0.25">
      <c r="BT611" t="str">
        <f>IF(FFARawStatProjections!A606=0,"",FFARawStatProjections!A606)</f>
        <v/>
      </c>
      <c r="BU611" t="str">
        <f>IF(FFARawStatProjections!C606=0,"",FFARawStatProjections!C606)</f>
        <v>WR</v>
      </c>
      <c r="BV611" t="str">
        <f>IF(FFARawStatProjections!B606=0,"",FFARawStatProjections!B606)</f>
        <v/>
      </c>
      <c r="BX611">
        <v>605</v>
      </c>
      <c r="BY611" s="89" t="str">
        <f t="shared" si="35"/>
        <v/>
      </c>
      <c r="BZ611" s="89" t="str">
        <f t="shared" si="36"/>
        <v/>
      </c>
      <c r="CA611" s="89" t="str">
        <f t="shared" si="37"/>
        <v/>
      </c>
    </row>
    <row r="612" spans="72:79" hidden="1" x14ac:dyDescent="0.25">
      <c r="BT612" t="str">
        <f>IF(FFARawStatProjections!A607=0,"",FFARawStatProjections!A607)</f>
        <v/>
      </c>
      <c r="BU612" t="str">
        <f>IF(FFARawStatProjections!C607=0,"",FFARawStatProjections!C607)</f>
        <v>WR</v>
      </c>
      <c r="BV612" t="str">
        <f>IF(FFARawStatProjections!B607=0,"",FFARawStatProjections!B607)</f>
        <v/>
      </c>
      <c r="BX612">
        <v>606</v>
      </c>
      <c r="BY612" s="89" t="str">
        <f t="shared" si="35"/>
        <v/>
      </c>
      <c r="BZ612" s="89" t="str">
        <f t="shared" si="36"/>
        <v/>
      </c>
      <c r="CA612" s="89" t="str">
        <f t="shared" si="37"/>
        <v/>
      </c>
    </row>
    <row r="613" spans="72:79" hidden="1" x14ac:dyDescent="0.25">
      <c r="BT613" t="str">
        <f>IF(FFARawStatProjections!A608=0,"",FFARawStatProjections!A608)</f>
        <v/>
      </c>
      <c r="BU613" t="str">
        <f>IF(FFARawStatProjections!C608=0,"",FFARawStatProjections!C608)</f>
        <v/>
      </c>
      <c r="BV613" t="str">
        <f>IF(FFARawStatProjections!B608=0,"",FFARawStatProjections!B608)</f>
        <v/>
      </c>
      <c r="BX613">
        <v>607</v>
      </c>
      <c r="BY613" s="89" t="str">
        <f t="shared" si="35"/>
        <v/>
      </c>
      <c r="BZ613" s="89" t="str">
        <f t="shared" si="36"/>
        <v/>
      </c>
      <c r="CA613" s="89" t="str">
        <f t="shared" si="37"/>
        <v/>
      </c>
    </row>
    <row r="614" spans="72:79" hidden="1" x14ac:dyDescent="0.25">
      <c r="BT614" t="str">
        <f>IF(FFARawStatProjections!A609=0,"",FFARawStatProjections!A609)</f>
        <v/>
      </c>
      <c r="BU614" t="str">
        <f>IF(FFARawStatProjections!C609=0,"",FFARawStatProjections!C609)</f>
        <v/>
      </c>
      <c r="BV614" t="str">
        <f>IF(FFARawStatProjections!B609=0,"",FFARawStatProjections!B609)</f>
        <v/>
      </c>
      <c r="BX614">
        <v>608</v>
      </c>
      <c r="BY614" s="89" t="str">
        <f t="shared" si="35"/>
        <v/>
      </c>
      <c r="BZ614" s="89" t="str">
        <f t="shared" si="36"/>
        <v/>
      </c>
      <c r="CA614" s="89" t="str">
        <f t="shared" si="37"/>
        <v/>
      </c>
    </row>
    <row r="615" spans="72:79" hidden="1" x14ac:dyDescent="0.25">
      <c r="BT615" t="str">
        <f>IF(FFARawStatProjections!A610=0,"",FFARawStatProjections!A610)</f>
        <v>Travis Kelce</v>
      </c>
      <c r="BU615" t="str">
        <f>IF(FFARawStatProjections!C610=0,"",FFARawStatProjections!C610)</f>
        <v>TE</v>
      </c>
      <c r="BV615" t="str">
        <f>IF(FFARawStatProjections!B610=0,"",FFARawStatProjections!B610)</f>
        <v>KC</v>
      </c>
      <c r="BX615">
        <v>609</v>
      </c>
      <c r="BY615" s="89" t="str">
        <f t="shared" si="35"/>
        <v/>
      </c>
      <c r="BZ615" s="89" t="str">
        <f t="shared" si="36"/>
        <v/>
      </c>
      <c r="CA615" s="89" t="str">
        <f t="shared" si="37"/>
        <v/>
      </c>
    </row>
    <row r="616" spans="72:79" hidden="1" x14ac:dyDescent="0.25">
      <c r="BT616" t="str">
        <f>IF(FFARawStatProjections!A611=0,"",FFARawStatProjections!A611)</f>
        <v>Mark Andrews</v>
      </c>
      <c r="BU616" t="str">
        <f>IF(FFARawStatProjections!C611=0,"",FFARawStatProjections!C611)</f>
        <v>TE</v>
      </c>
      <c r="BV616" t="str">
        <f>IF(FFARawStatProjections!B611=0,"",FFARawStatProjections!B611)</f>
        <v>BAL</v>
      </c>
      <c r="BX616">
        <v>610</v>
      </c>
      <c r="BY616" s="89" t="str">
        <f t="shared" si="35"/>
        <v/>
      </c>
      <c r="BZ616" s="89" t="str">
        <f t="shared" si="36"/>
        <v/>
      </c>
      <c r="CA616" s="89" t="str">
        <f t="shared" si="37"/>
        <v/>
      </c>
    </row>
    <row r="617" spans="72:79" hidden="1" x14ac:dyDescent="0.25">
      <c r="BT617" t="str">
        <f>IF(FFARawStatProjections!A612=0,"",FFARawStatProjections!A612)</f>
        <v>TJ Hockenson</v>
      </c>
      <c r="BU617" t="str">
        <f>IF(FFARawStatProjections!C612=0,"",FFARawStatProjections!C612)</f>
        <v>TE</v>
      </c>
      <c r="BV617" t="str">
        <f>IF(FFARawStatProjections!B612=0,"",FFARawStatProjections!B612)</f>
        <v>MIN</v>
      </c>
      <c r="BX617">
        <v>611</v>
      </c>
      <c r="BY617" s="89" t="str">
        <f t="shared" si="35"/>
        <v/>
      </c>
      <c r="BZ617" s="89" t="str">
        <f t="shared" si="36"/>
        <v/>
      </c>
      <c r="CA617" s="89" t="str">
        <f t="shared" si="37"/>
        <v/>
      </c>
    </row>
    <row r="618" spans="72:79" hidden="1" x14ac:dyDescent="0.25">
      <c r="BT618" t="str">
        <f>IF(FFARawStatProjections!A613=0,"",FFARawStatProjections!A613)</f>
        <v>George Kittle</v>
      </c>
      <c r="BU618" t="str">
        <f>IF(FFARawStatProjections!C613=0,"",FFARawStatProjections!C613)</f>
        <v>TE</v>
      </c>
      <c r="BV618" t="str">
        <f>IF(FFARawStatProjections!B613=0,"",FFARawStatProjections!B613)</f>
        <v>SF</v>
      </c>
      <c r="BX618">
        <v>612</v>
      </c>
      <c r="BY618" s="89" t="str">
        <f t="shared" si="35"/>
        <v/>
      </c>
      <c r="BZ618" s="89" t="str">
        <f t="shared" si="36"/>
        <v/>
      </c>
      <c r="CA618" s="89" t="str">
        <f t="shared" si="37"/>
        <v/>
      </c>
    </row>
    <row r="619" spans="72:79" hidden="1" x14ac:dyDescent="0.25">
      <c r="BT619" t="str">
        <f>IF(FFARawStatProjections!A614=0,"",FFARawStatProjections!A614)</f>
        <v>Darren Waller</v>
      </c>
      <c r="BU619" t="str">
        <f>IF(FFARawStatProjections!C614=0,"",FFARawStatProjections!C614)</f>
        <v>TE</v>
      </c>
      <c r="BV619" t="str">
        <f>IF(FFARawStatProjections!B614=0,"",FFARawStatProjections!B614)</f>
        <v>NYG</v>
      </c>
      <c r="BX619">
        <v>613</v>
      </c>
      <c r="BY619" s="89" t="str">
        <f t="shared" si="35"/>
        <v/>
      </c>
      <c r="BZ619" s="89" t="str">
        <f t="shared" si="36"/>
        <v/>
      </c>
      <c r="CA619" s="89" t="str">
        <f t="shared" si="37"/>
        <v/>
      </c>
    </row>
    <row r="620" spans="72:79" hidden="1" x14ac:dyDescent="0.25">
      <c r="BT620" t="str">
        <f>IF(FFARawStatProjections!A615=0,"",FFARawStatProjections!A615)</f>
        <v>Kyle Pitts</v>
      </c>
      <c r="BU620" t="str">
        <f>IF(FFARawStatProjections!C615=0,"",FFARawStatProjections!C615)</f>
        <v>TE</v>
      </c>
      <c r="BV620" t="str">
        <f>IF(FFARawStatProjections!B615=0,"",FFARawStatProjections!B615)</f>
        <v>ATL</v>
      </c>
      <c r="BX620">
        <v>614</v>
      </c>
      <c r="BY620" s="89" t="str">
        <f t="shared" si="35"/>
        <v/>
      </c>
      <c r="BZ620" s="89" t="str">
        <f t="shared" si="36"/>
        <v/>
      </c>
      <c r="CA620" s="89" t="str">
        <f t="shared" si="37"/>
        <v/>
      </c>
    </row>
    <row r="621" spans="72:79" hidden="1" x14ac:dyDescent="0.25">
      <c r="BT621" t="str">
        <f>IF(FFARawStatProjections!A616=0,"",FFARawStatProjections!A616)</f>
        <v>Dallas Goedert</v>
      </c>
      <c r="BU621" t="str">
        <f>IF(FFARawStatProjections!C616=0,"",FFARawStatProjections!C616)</f>
        <v>TE</v>
      </c>
      <c r="BV621" t="str">
        <f>IF(FFARawStatProjections!B616=0,"",FFARawStatProjections!B616)</f>
        <v>PHI</v>
      </c>
      <c r="BX621">
        <v>615</v>
      </c>
      <c r="BY621" s="89" t="str">
        <f t="shared" si="35"/>
        <v/>
      </c>
      <c r="BZ621" s="89" t="str">
        <f t="shared" si="36"/>
        <v/>
      </c>
      <c r="CA621" s="89" t="str">
        <f t="shared" si="37"/>
        <v/>
      </c>
    </row>
    <row r="622" spans="72:79" hidden="1" x14ac:dyDescent="0.25">
      <c r="BT622" t="str">
        <f>IF(FFARawStatProjections!A617=0,"",FFARawStatProjections!A617)</f>
        <v>Patrick Freiermuth</v>
      </c>
      <c r="BU622" t="str">
        <f>IF(FFARawStatProjections!C617=0,"",FFARawStatProjections!C617)</f>
        <v>TE</v>
      </c>
      <c r="BV622" t="str">
        <f>IF(FFARawStatProjections!B617=0,"",FFARawStatProjections!B617)</f>
        <v>PIT</v>
      </c>
      <c r="BX622">
        <v>616</v>
      </c>
      <c r="BY622" s="89" t="str">
        <f t="shared" si="35"/>
        <v/>
      </c>
      <c r="BZ622" s="89" t="str">
        <f t="shared" si="36"/>
        <v/>
      </c>
      <c r="CA622" s="89" t="str">
        <f t="shared" si="37"/>
        <v/>
      </c>
    </row>
    <row r="623" spans="72:79" hidden="1" x14ac:dyDescent="0.25">
      <c r="BT623" t="str">
        <f>IF(FFARawStatProjections!A618=0,"",FFARawStatProjections!A618)</f>
        <v>Evan Engram</v>
      </c>
      <c r="BU623" t="str">
        <f>IF(FFARawStatProjections!C618=0,"",FFARawStatProjections!C618)</f>
        <v>TE</v>
      </c>
      <c r="BV623" t="str">
        <f>IF(FFARawStatProjections!B618=0,"",FFARawStatProjections!B618)</f>
        <v>JAC</v>
      </c>
      <c r="BX623">
        <v>617</v>
      </c>
      <c r="BY623" s="89" t="str">
        <f t="shared" si="35"/>
        <v/>
      </c>
      <c r="BZ623" s="89" t="str">
        <f t="shared" si="36"/>
        <v/>
      </c>
      <c r="CA623" s="89" t="str">
        <f t="shared" si="37"/>
        <v/>
      </c>
    </row>
    <row r="624" spans="72:79" hidden="1" x14ac:dyDescent="0.25">
      <c r="BT624" t="str">
        <f>IF(FFARawStatProjections!A619=0,"",FFARawStatProjections!A619)</f>
        <v>David Njoku</v>
      </c>
      <c r="BU624" t="str">
        <f>IF(FFARawStatProjections!C619=0,"",FFARawStatProjections!C619)</f>
        <v>TE</v>
      </c>
      <c r="BV624" t="str">
        <f>IF(FFARawStatProjections!B619=0,"",FFARawStatProjections!B619)</f>
        <v>CLE</v>
      </c>
      <c r="BX624">
        <v>618</v>
      </c>
      <c r="BY624" s="89" t="str">
        <f t="shared" si="35"/>
        <v/>
      </c>
      <c r="BZ624" s="89" t="str">
        <f t="shared" si="36"/>
        <v/>
      </c>
      <c r="CA624" s="89" t="str">
        <f t="shared" si="37"/>
        <v/>
      </c>
    </row>
    <row r="625" spans="72:79" hidden="1" x14ac:dyDescent="0.25">
      <c r="BT625" t="str">
        <f>IF(FFARawStatProjections!A620=0,"",FFARawStatProjections!A620)</f>
        <v>Chigoziem Okonkwo</v>
      </c>
      <c r="BU625" t="str">
        <f>IF(FFARawStatProjections!C620=0,"",FFARawStatProjections!C620)</f>
        <v>TE</v>
      </c>
      <c r="BV625" t="str">
        <f>IF(FFARawStatProjections!B620=0,"",FFARawStatProjections!B620)</f>
        <v>TEN</v>
      </c>
      <c r="BX625">
        <v>619</v>
      </c>
      <c r="BY625" s="89" t="str">
        <f t="shared" si="35"/>
        <v/>
      </c>
      <c r="BZ625" s="89" t="str">
        <f t="shared" si="36"/>
        <v/>
      </c>
      <c r="CA625" s="89" t="str">
        <f t="shared" si="37"/>
        <v/>
      </c>
    </row>
    <row r="626" spans="72:79" hidden="1" x14ac:dyDescent="0.25">
      <c r="BT626" t="str">
        <f>IF(FFARawStatProjections!A621=0,"",FFARawStatProjections!A621)</f>
        <v>Dalton Schultz</v>
      </c>
      <c r="BU626" t="str">
        <f>IF(FFARawStatProjections!C621=0,"",FFARawStatProjections!C621)</f>
        <v>TE</v>
      </c>
      <c r="BV626" t="str">
        <f>IF(FFARawStatProjections!B621=0,"",FFARawStatProjections!B621)</f>
        <v>HOU</v>
      </c>
      <c r="BX626">
        <v>620</v>
      </c>
      <c r="BY626" s="89" t="str">
        <f t="shared" si="35"/>
        <v/>
      </c>
      <c r="BZ626" s="89" t="str">
        <f t="shared" si="36"/>
        <v/>
      </c>
      <c r="CA626" s="89" t="str">
        <f t="shared" si="37"/>
        <v/>
      </c>
    </row>
    <row r="627" spans="72:79" hidden="1" x14ac:dyDescent="0.25">
      <c r="BT627" t="str">
        <f>IF(FFARawStatProjections!A622=0,"",FFARawStatProjections!A622)</f>
        <v>Tyler Higbee</v>
      </c>
      <c r="BU627" t="str">
        <f>IF(FFARawStatProjections!C622=0,"",FFARawStatProjections!C622)</f>
        <v>TE</v>
      </c>
      <c r="BV627" t="str">
        <f>IF(FFARawStatProjections!B622=0,"",FFARawStatProjections!B622)</f>
        <v>LAR</v>
      </c>
      <c r="BX627">
        <v>621</v>
      </c>
      <c r="BY627" s="89" t="str">
        <f t="shared" si="35"/>
        <v/>
      </c>
      <c r="BZ627" s="89" t="str">
        <f t="shared" si="36"/>
        <v/>
      </c>
      <c r="CA627" s="89" t="str">
        <f t="shared" si="37"/>
        <v/>
      </c>
    </row>
    <row r="628" spans="72:79" hidden="1" x14ac:dyDescent="0.25">
      <c r="BT628" t="str">
        <f>IF(FFARawStatProjections!A623=0,"",FFARawStatProjections!A623)</f>
        <v>Greg Dulcich</v>
      </c>
      <c r="BU628" t="str">
        <f>IF(FFARawStatProjections!C623=0,"",FFARawStatProjections!C623)</f>
        <v>TE</v>
      </c>
      <c r="BV628" t="str">
        <f>IF(FFARawStatProjections!B623=0,"",FFARawStatProjections!B623)</f>
        <v>DEN</v>
      </c>
      <c r="BX628">
        <v>622</v>
      </c>
      <c r="BY628" s="89" t="str">
        <f t="shared" si="35"/>
        <v/>
      </c>
      <c r="BZ628" s="89" t="str">
        <f t="shared" si="36"/>
        <v/>
      </c>
      <c r="CA628" s="89" t="str">
        <f t="shared" si="37"/>
        <v/>
      </c>
    </row>
    <row r="629" spans="72:79" hidden="1" x14ac:dyDescent="0.25">
      <c r="BT629" t="str">
        <f>IF(FFARawStatProjections!A624=0,"",FFARawStatProjections!A624)</f>
        <v>Cole Kmet</v>
      </c>
      <c r="BU629" t="str">
        <f>IF(FFARawStatProjections!C624=0,"",FFARawStatProjections!C624)</f>
        <v>TE</v>
      </c>
      <c r="BV629" t="str">
        <f>IF(FFARawStatProjections!B624=0,"",FFARawStatProjections!B624)</f>
        <v>CHI</v>
      </c>
      <c r="BX629">
        <v>623</v>
      </c>
      <c r="BY629" s="89" t="str">
        <f t="shared" si="35"/>
        <v/>
      </c>
      <c r="BZ629" s="89" t="str">
        <f t="shared" si="36"/>
        <v/>
      </c>
      <c r="CA629" s="89" t="str">
        <f t="shared" si="37"/>
        <v/>
      </c>
    </row>
    <row r="630" spans="72:79" hidden="1" x14ac:dyDescent="0.25">
      <c r="BT630" t="str">
        <f>IF(FFARawStatProjections!A625=0,"",FFARawStatProjections!A625)</f>
        <v>Gerald Everett</v>
      </c>
      <c r="BU630" t="str">
        <f>IF(FFARawStatProjections!C625=0,"",FFARawStatProjections!C625)</f>
        <v>TE</v>
      </c>
      <c r="BV630" t="str">
        <f>IF(FFARawStatProjections!B625=0,"",FFARawStatProjections!B625)</f>
        <v>LAC</v>
      </c>
      <c r="BX630">
        <v>624</v>
      </c>
      <c r="BY630" s="89" t="str">
        <f t="shared" si="35"/>
        <v/>
      </c>
      <c r="BZ630" s="89" t="str">
        <f t="shared" si="36"/>
        <v/>
      </c>
      <c r="CA630" s="89" t="str">
        <f t="shared" si="37"/>
        <v/>
      </c>
    </row>
    <row r="631" spans="72:79" hidden="1" x14ac:dyDescent="0.25">
      <c r="BT631" t="str">
        <f>IF(FFARawStatProjections!A626=0,"",FFARawStatProjections!A626)</f>
        <v>Juwan Johnson</v>
      </c>
      <c r="BU631" t="str">
        <f>IF(FFARawStatProjections!C626=0,"",FFARawStatProjections!C626)</f>
        <v>TE</v>
      </c>
      <c r="BV631" t="str">
        <f>IF(FFARawStatProjections!B626=0,"",FFARawStatProjections!B626)</f>
        <v>NO</v>
      </c>
      <c r="BX631">
        <v>625</v>
      </c>
      <c r="BY631" s="89" t="str">
        <f t="shared" si="35"/>
        <v/>
      </c>
      <c r="BZ631" s="89" t="str">
        <f t="shared" si="36"/>
        <v/>
      </c>
      <c r="CA631" s="89" t="str">
        <f t="shared" si="37"/>
        <v/>
      </c>
    </row>
    <row r="632" spans="72:79" hidden="1" x14ac:dyDescent="0.25">
      <c r="BT632" t="str">
        <f>IF(FFARawStatProjections!A627=0,"",FFARawStatProjections!A627)</f>
        <v>Dalton Kincaid</v>
      </c>
      <c r="BU632" t="str">
        <f>IF(FFARawStatProjections!C627=0,"",FFARawStatProjections!C627)</f>
        <v>TE</v>
      </c>
      <c r="BV632" t="str">
        <f>IF(FFARawStatProjections!B627=0,"",FFARawStatProjections!B627)</f>
        <v>BUF</v>
      </c>
      <c r="BX632">
        <v>626</v>
      </c>
      <c r="BY632" s="89" t="str">
        <f t="shared" si="35"/>
        <v/>
      </c>
      <c r="BZ632" s="89" t="str">
        <f t="shared" si="36"/>
        <v/>
      </c>
      <c r="CA632" s="89" t="str">
        <f t="shared" si="37"/>
        <v/>
      </c>
    </row>
    <row r="633" spans="72:79" hidden="1" x14ac:dyDescent="0.25">
      <c r="BT633" t="str">
        <f>IF(FFARawStatProjections!A628=0,"",FFARawStatProjections!A628)</f>
        <v>Sam LaPorta</v>
      </c>
      <c r="BU633" t="str">
        <f>IF(FFARawStatProjections!C628=0,"",FFARawStatProjections!C628)</f>
        <v>TE</v>
      </c>
      <c r="BV633" t="str">
        <f>IF(FFARawStatProjections!B628=0,"",FFARawStatProjections!B628)</f>
        <v>DET</v>
      </c>
      <c r="BX633">
        <v>627</v>
      </c>
      <c r="BY633" s="89" t="str">
        <f t="shared" si="35"/>
        <v/>
      </c>
      <c r="BZ633" s="89" t="str">
        <f t="shared" si="36"/>
        <v/>
      </c>
      <c r="CA633" s="89" t="str">
        <f t="shared" si="37"/>
        <v/>
      </c>
    </row>
    <row r="634" spans="72:79" hidden="1" x14ac:dyDescent="0.25">
      <c r="BT634" t="str">
        <f>IF(FFARawStatProjections!A629=0,"",FFARawStatProjections!A629)</f>
        <v>Hunter Henry</v>
      </c>
      <c r="BU634" t="str">
        <f>IF(FFARawStatProjections!C629=0,"",FFARawStatProjections!C629)</f>
        <v>TE</v>
      </c>
      <c r="BV634" t="str">
        <f>IF(FFARawStatProjections!B629=0,"",FFARawStatProjections!B629)</f>
        <v>NE</v>
      </c>
      <c r="BX634">
        <v>628</v>
      </c>
      <c r="BY634" s="89" t="str">
        <f t="shared" si="35"/>
        <v/>
      </c>
      <c r="BZ634" s="89" t="str">
        <f t="shared" si="36"/>
        <v/>
      </c>
      <c r="CA634" s="89" t="str">
        <f t="shared" si="37"/>
        <v/>
      </c>
    </row>
    <row r="635" spans="72:79" hidden="1" x14ac:dyDescent="0.25">
      <c r="BT635" t="str">
        <f>IF(FFARawStatProjections!A630=0,"",FFARawStatProjections!A630)</f>
        <v>Irv Smith</v>
      </c>
      <c r="BU635" t="str">
        <f>IF(FFARawStatProjections!C630=0,"",FFARawStatProjections!C630)</f>
        <v>TE</v>
      </c>
      <c r="BV635" t="str">
        <f>IF(FFARawStatProjections!B630=0,"",FFARawStatProjections!B630)</f>
        <v>CIN</v>
      </c>
      <c r="BX635">
        <v>629</v>
      </c>
      <c r="BY635" s="89" t="str">
        <f t="shared" si="35"/>
        <v/>
      </c>
      <c r="BZ635" s="89" t="str">
        <f t="shared" si="36"/>
        <v/>
      </c>
      <c r="CA635" s="89" t="str">
        <f t="shared" si="37"/>
        <v/>
      </c>
    </row>
    <row r="636" spans="72:79" hidden="1" x14ac:dyDescent="0.25">
      <c r="BT636" t="str">
        <f>IF(FFARawStatProjections!A631=0,"",FFARawStatProjections!A631)</f>
        <v>Noah Fant</v>
      </c>
      <c r="BU636" t="str">
        <f>IF(FFARawStatProjections!C631=0,"",FFARawStatProjections!C631)</f>
        <v>TE</v>
      </c>
      <c r="BV636" t="str">
        <f>IF(FFARawStatProjections!B631=0,"",FFARawStatProjections!B631)</f>
        <v>SEA</v>
      </c>
      <c r="BX636">
        <v>630</v>
      </c>
      <c r="BY636" s="89" t="str">
        <f t="shared" si="35"/>
        <v/>
      </c>
      <c r="BZ636" s="89" t="str">
        <f t="shared" si="36"/>
        <v/>
      </c>
      <c r="CA636" s="89" t="str">
        <f t="shared" si="37"/>
        <v/>
      </c>
    </row>
    <row r="637" spans="72:79" hidden="1" x14ac:dyDescent="0.25">
      <c r="BT637" t="str">
        <f>IF(FFARawStatProjections!A632=0,"",FFARawStatProjections!A632)</f>
        <v>Dawson Knox</v>
      </c>
      <c r="BU637" t="str">
        <f>IF(FFARawStatProjections!C632=0,"",FFARawStatProjections!C632)</f>
        <v>TE</v>
      </c>
      <c r="BV637" t="str">
        <f>IF(FFARawStatProjections!B632=0,"",FFARawStatProjections!B632)</f>
        <v>BUF</v>
      </c>
      <c r="BX637">
        <v>631</v>
      </c>
      <c r="BY637" s="89" t="str">
        <f t="shared" si="35"/>
        <v/>
      </c>
      <c r="BZ637" s="89" t="str">
        <f t="shared" si="36"/>
        <v/>
      </c>
      <c r="CA637" s="89" t="str">
        <f t="shared" si="37"/>
        <v/>
      </c>
    </row>
    <row r="638" spans="72:79" hidden="1" x14ac:dyDescent="0.25">
      <c r="BT638" t="str">
        <f>IF(FFARawStatProjections!A633=0,"",FFARawStatProjections!A633)</f>
        <v>Hayden Hurst</v>
      </c>
      <c r="BU638" t="str">
        <f>IF(FFARawStatProjections!C633=0,"",FFARawStatProjections!C633)</f>
        <v>TE</v>
      </c>
      <c r="BV638" t="str">
        <f>IF(FFARawStatProjections!B633=0,"",FFARawStatProjections!B633)</f>
        <v>CAR</v>
      </c>
      <c r="BX638">
        <v>632</v>
      </c>
      <c r="BY638" s="89" t="str">
        <f t="shared" si="35"/>
        <v/>
      </c>
      <c r="BZ638" s="89" t="str">
        <f t="shared" si="36"/>
        <v/>
      </c>
      <c r="CA638" s="89" t="str">
        <f t="shared" si="37"/>
        <v/>
      </c>
    </row>
    <row r="639" spans="72:79" hidden="1" x14ac:dyDescent="0.25">
      <c r="BT639" t="str">
        <f>IF(FFARawStatProjections!A634=0,"",FFARawStatProjections!A634)</f>
        <v>Zach Ertz</v>
      </c>
      <c r="BU639" t="str">
        <f>IF(FFARawStatProjections!C634=0,"",FFARawStatProjections!C634)</f>
        <v>TE</v>
      </c>
      <c r="BV639" t="str">
        <f>IF(FFARawStatProjections!B634=0,"",FFARawStatProjections!B634)</f>
        <v>AZ</v>
      </c>
      <c r="BX639">
        <v>633</v>
      </c>
      <c r="BY639" s="89" t="str">
        <f t="shared" si="35"/>
        <v/>
      </c>
      <c r="BZ639" s="89" t="str">
        <f t="shared" si="36"/>
        <v/>
      </c>
      <c r="CA639" s="89" t="str">
        <f t="shared" si="37"/>
        <v/>
      </c>
    </row>
    <row r="640" spans="72:79" hidden="1" x14ac:dyDescent="0.25">
      <c r="BT640" t="str">
        <f>IF(FFARawStatProjections!A635=0,"",FFARawStatProjections!A635)</f>
        <v>Jelani Woods</v>
      </c>
      <c r="BU640" t="str">
        <f>IF(FFARawStatProjections!C635=0,"",FFARawStatProjections!C635)</f>
        <v>TE</v>
      </c>
      <c r="BV640" t="str">
        <f>IF(FFARawStatProjections!B635=0,"",FFARawStatProjections!B635)</f>
        <v>IND</v>
      </c>
      <c r="BX640">
        <v>634</v>
      </c>
      <c r="BY640" s="89" t="str">
        <f t="shared" si="35"/>
        <v/>
      </c>
      <c r="BZ640" s="89" t="str">
        <f t="shared" si="36"/>
        <v/>
      </c>
      <c r="CA640" s="89" t="str">
        <f t="shared" si="37"/>
        <v/>
      </c>
    </row>
    <row r="641" spans="72:79" hidden="1" x14ac:dyDescent="0.25">
      <c r="BT641" t="str">
        <f>IF(FFARawStatProjections!A636=0,"",FFARawStatProjections!A636)</f>
        <v>Taysom Hill</v>
      </c>
      <c r="BU641" t="str">
        <f>IF(FFARawStatProjections!C636=0,"",FFARawStatProjections!C636)</f>
        <v>TE</v>
      </c>
      <c r="BV641" t="str">
        <f>IF(FFARawStatProjections!B636=0,"",FFARawStatProjections!B636)</f>
        <v>NO</v>
      </c>
      <c r="BX641">
        <v>635</v>
      </c>
      <c r="BY641" s="89" t="str">
        <f t="shared" si="35"/>
        <v/>
      </c>
      <c r="BZ641" s="89" t="str">
        <f t="shared" si="36"/>
        <v/>
      </c>
      <c r="CA641" s="89" t="str">
        <f t="shared" si="37"/>
        <v/>
      </c>
    </row>
    <row r="642" spans="72:79" hidden="1" x14ac:dyDescent="0.25">
      <c r="BT642" t="str">
        <f>IF(FFARawStatProjections!A637=0,"",FFARawStatProjections!A637)</f>
        <v>Cade Otton</v>
      </c>
      <c r="BU642" t="str">
        <f>IF(FFARawStatProjections!C637=0,"",FFARawStatProjections!C637)</f>
        <v>TE</v>
      </c>
      <c r="BV642" t="str">
        <f>IF(FFARawStatProjections!B637=0,"",FFARawStatProjections!B637)</f>
        <v>TB</v>
      </c>
      <c r="BX642">
        <v>636</v>
      </c>
      <c r="BY642" s="89" t="str">
        <f t="shared" si="35"/>
        <v/>
      </c>
      <c r="BZ642" s="89" t="str">
        <f t="shared" si="36"/>
        <v/>
      </c>
      <c r="CA642" s="89" t="str">
        <f t="shared" si="37"/>
        <v/>
      </c>
    </row>
    <row r="643" spans="72:79" hidden="1" x14ac:dyDescent="0.25">
      <c r="BT643" t="str">
        <f>IF(FFARawStatProjections!A638=0,"",FFARawStatProjections!A638)</f>
        <v>Tyler Conklin</v>
      </c>
      <c r="BU643" t="str">
        <f>IF(FFARawStatProjections!C638=0,"",FFARawStatProjections!C638)</f>
        <v>TE</v>
      </c>
      <c r="BV643" t="str">
        <f>IF(FFARawStatProjections!B638=0,"",FFARawStatProjections!B638)</f>
        <v>NYJ</v>
      </c>
      <c r="BX643">
        <v>637</v>
      </c>
      <c r="BY643" s="89" t="str">
        <f t="shared" si="35"/>
        <v/>
      </c>
      <c r="BZ643" s="89" t="str">
        <f t="shared" si="36"/>
        <v/>
      </c>
      <c r="CA643" s="89" t="str">
        <f t="shared" si="37"/>
        <v/>
      </c>
    </row>
    <row r="644" spans="72:79" hidden="1" x14ac:dyDescent="0.25">
      <c r="BT644" t="str">
        <f>IF(FFARawStatProjections!A639=0,"",FFARawStatProjections!A639)</f>
        <v>Mike Gesicki</v>
      </c>
      <c r="BU644" t="str">
        <f>IF(FFARawStatProjections!C639=0,"",FFARawStatProjections!C639)</f>
        <v>TE</v>
      </c>
      <c r="BV644" t="str">
        <f>IF(FFARawStatProjections!B639=0,"",FFARawStatProjections!B639)</f>
        <v>NE</v>
      </c>
      <c r="BX644">
        <v>638</v>
      </c>
      <c r="BY644" s="89" t="str">
        <f t="shared" si="35"/>
        <v/>
      </c>
      <c r="BZ644" s="89" t="str">
        <f t="shared" si="36"/>
        <v/>
      </c>
      <c r="CA644" s="89" t="str">
        <f t="shared" si="37"/>
        <v/>
      </c>
    </row>
    <row r="645" spans="72:79" hidden="1" x14ac:dyDescent="0.25">
      <c r="BT645" t="str">
        <f>IF(FFARawStatProjections!A640=0,"",FFARawStatProjections!A640)</f>
        <v>Jake Ferguson</v>
      </c>
      <c r="BU645" t="str">
        <f>IF(FFARawStatProjections!C640=0,"",FFARawStatProjections!C640)</f>
        <v>TE</v>
      </c>
      <c r="BV645" t="str">
        <f>IF(FFARawStatProjections!B640=0,"",FFARawStatProjections!B640)</f>
        <v>DAL</v>
      </c>
      <c r="BX645">
        <v>639</v>
      </c>
      <c r="BY645" s="89" t="str">
        <f t="shared" si="35"/>
        <v/>
      </c>
      <c r="BZ645" s="89" t="str">
        <f t="shared" si="36"/>
        <v/>
      </c>
      <c r="CA645" s="89" t="str">
        <f t="shared" si="37"/>
        <v/>
      </c>
    </row>
    <row r="646" spans="72:79" hidden="1" x14ac:dyDescent="0.25">
      <c r="BT646" t="str">
        <f>IF(FFARawStatProjections!A641=0,"",FFARawStatProjections!A641)</f>
        <v>Michael Mayer</v>
      </c>
      <c r="BU646" t="str">
        <f>IF(FFARawStatProjections!C641=0,"",FFARawStatProjections!C641)</f>
        <v>TE</v>
      </c>
      <c r="BV646" t="str">
        <f>IF(FFARawStatProjections!B641=0,"",FFARawStatProjections!B641)</f>
        <v>LV</v>
      </c>
      <c r="BX646">
        <v>640</v>
      </c>
      <c r="BY646" s="89" t="str">
        <f t="shared" si="35"/>
        <v/>
      </c>
      <c r="BZ646" s="89" t="str">
        <f t="shared" si="36"/>
        <v/>
      </c>
      <c r="CA646" s="89" t="str">
        <f t="shared" si="37"/>
        <v/>
      </c>
    </row>
    <row r="647" spans="72:79" hidden="1" x14ac:dyDescent="0.25">
      <c r="BT647" t="str">
        <f>IF(FFARawStatProjections!A642=0,"",FFARawStatProjections!A642)</f>
        <v>Logan Thomas</v>
      </c>
      <c r="BU647" t="str">
        <f>IF(FFARawStatProjections!C642=0,"",FFARawStatProjections!C642)</f>
        <v>TE</v>
      </c>
      <c r="BV647" t="str">
        <f>IF(FFARawStatProjections!B642=0,"",FFARawStatProjections!B642)</f>
        <v>WAS</v>
      </c>
      <c r="BX647">
        <v>641</v>
      </c>
      <c r="BY647" s="89" t="str">
        <f t="shared" si="35"/>
        <v/>
      </c>
      <c r="BZ647" s="89" t="str">
        <f t="shared" si="36"/>
        <v/>
      </c>
      <c r="CA647" s="89" t="str">
        <f t="shared" si="37"/>
        <v/>
      </c>
    </row>
    <row r="648" spans="72:79" hidden="1" x14ac:dyDescent="0.25">
      <c r="BT648" t="str">
        <f>IF(FFARawStatProjections!A643=0,"",FFARawStatProjections!A643)</f>
        <v>Luke Musgrave</v>
      </c>
      <c r="BU648" t="str">
        <f>IF(FFARawStatProjections!C643=0,"",FFARawStatProjections!C643)</f>
        <v>TE</v>
      </c>
      <c r="BV648" t="str">
        <f>IF(FFARawStatProjections!B643=0,"",FFARawStatProjections!B643)</f>
        <v>GB</v>
      </c>
      <c r="BX648">
        <v>642</v>
      </c>
      <c r="BY648" s="89" t="str">
        <f t="shared" ref="BY648:BY656" si="38">IFERROR(INDEX(BT:BT,MATCH(BX648,BW:BW,0),1),"")</f>
        <v/>
      </c>
      <c r="BZ648" s="89" t="str">
        <f t="shared" ref="BZ648:BZ656" si="39">IFERROR(INDEX(BU:BU,MATCH(BX648,BW:BW,0)),"")</f>
        <v/>
      </c>
      <c r="CA648" s="89" t="str">
        <f t="shared" ref="CA648:CA656" si="40">IFERROR(INDEX(BV:BV,MATCH(BX648,BW:BW,0)),"")</f>
        <v/>
      </c>
    </row>
    <row r="649" spans="72:79" hidden="1" x14ac:dyDescent="0.25">
      <c r="BT649" t="str">
        <f>IF(FFARawStatProjections!A644=0,"",FFARawStatProjections!A644)</f>
        <v>Trey McBride</v>
      </c>
      <c r="BU649" t="str">
        <f>IF(FFARawStatProjections!C644=0,"",FFARawStatProjections!C644)</f>
        <v>TE</v>
      </c>
      <c r="BV649" t="str">
        <f>IF(FFARawStatProjections!B644=0,"",FFARawStatProjections!B644)</f>
        <v>AZ</v>
      </c>
      <c r="BX649">
        <v>643</v>
      </c>
      <c r="BY649" s="89" t="str">
        <f t="shared" si="38"/>
        <v/>
      </c>
      <c r="BZ649" s="89" t="str">
        <f t="shared" si="39"/>
        <v/>
      </c>
      <c r="CA649" s="89" t="str">
        <f t="shared" si="40"/>
        <v/>
      </c>
    </row>
    <row r="650" spans="72:79" hidden="1" x14ac:dyDescent="0.25">
      <c r="BT650" t="str">
        <f>IF(FFARawStatProjections!A645=0,"",FFARawStatProjections!A645)</f>
        <v>Isaiah Likely</v>
      </c>
      <c r="BU650" t="str">
        <f>IF(FFARawStatProjections!C645=0,"",FFARawStatProjections!C645)</f>
        <v>TE</v>
      </c>
      <c r="BV650" t="str">
        <f>IF(FFARawStatProjections!B645=0,"",FFARawStatProjections!B645)</f>
        <v>BAL</v>
      </c>
      <c r="BX650">
        <v>644</v>
      </c>
      <c r="BY650" s="89" t="str">
        <f t="shared" si="38"/>
        <v/>
      </c>
      <c r="BZ650" s="89" t="str">
        <f t="shared" si="39"/>
        <v/>
      </c>
      <c r="CA650" s="89" t="str">
        <f t="shared" si="40"/>
        <v/>
      </c>
    </row>
    <row r="651" spans="72:79" hidden="1" x14ac:dyDescent="0.25">
      <c r="BT651" t="str">
        <f>IF(FFARawStatProjections!A646=0,"",FFARawStatProjections!A646)</f>
        <v>Austin Hooper</v>
      </c>
      <c r="BU651" t="str">
        <f>IF(FFARawStatProjections!C646=0,"",FFARawStatProjections!C646)</f>
        <v>TE</v>
      </c>
      <c r="BV651" t="str">
        <f>IF(FFARawStatProjections!B646=0,"",FFARawStatProjections!B646)</f>
        <v>LV</v>
      </c>
      <c r="BX651">
        <v>645</v>
      </c>
      <c r="BY651" s="89" t="str">
        <f t="shared" si="38"/>
        <v/>
      </c>
      <c r="BZ651" s="89" t="str">
        <f t="shared" si="39"/>
        <v/>
      </c>
      <c r="CA651" s="89" t="str">
        <f t="shared" si="40"/>
        <v/>
      </c>
    </row>
    <row r="652" spans="72:79" hidden="1" x14ac:dyDescent="0.25">
      <c r="BT652" t="str">
        <f>IF(FFARawStatProjections!A647=0,"",FFARawStatProjections!A647)</f>
        <v>Noah Gray</v>
      </c>
      <c r="BU652" t="str">
        <f>IF(FFARawStatProjections!C647=0,"",FFARawStatProjections!C647)</f>
        <v>TE</v>
      </c>
      <c r="BV652" t="str">
        <f>IF(FFARawStatProjections!B647=0,"",FFARawStatProjections!B647)</f>
        <v>KC</v>
      </c>
      <c r="BX652">
        <v>646</v>
      </c>
      <c r="BY652" s="89" t="str">
        <f t="shared" si="38"/>
        <v/>
      </c>
      <c r="BZ652" s="89" t="str">
        <f t="shared" si="39"/>
        <v/>
      </c>
      <c r="CA652" s="89" t="str">
        <f t="shared" si="40"/>
        <v/>
      </c>
    </row>
    <row r="653" spans="72:79" hidden="1" x14ac:dyDescent="0.25">
      <c r="BT653" t="str">
        <f>IF(FFARawStatProjections!A648=0,"",FFARawStatProjections!A648)</f>
        <v>Luke Schoonmaker</v>
      </c>
      <c r="BU653" t="str">
        <f>IF(FFARawStatProjections!C648=0,"",FFARawStatProjections!C648)</f>
        <v>TE</v>
      </c>
      <c r="BV653" t="str">
        <f>IF(FFARawStatProjections!B648=0,"",FFARawStatProjections!B648)</f>
        <v>DAL</v>
      </c>
      <c r="BX653">
        <v>647</v>
      </c>
      <c r="BY653" s="89" t="str">
        <f t="shared" si="38"/>
        <v/>
      </c>
      <c r="BZ653" s="89" t="str">
        <f t="shared" si="39"/>
        <v/>
      </c>
      <c r="CA653" s="89" t="str">
        <f t="shared" si="40"/>
        <v/>
      </c>
    </row>
    <row r="654" spans="72:79" hidden="1" x14ac:dyDescent="0.25">
      <c r="BT654" t="str">
        <f>IF(FFARawStatProjections!A649=0,"",FFARawStatProjections!A649)</f>
        <v>Donald Parham</v>
      </c>
      <c r="BU654" t="str">
        <f>IF(FFARawStatProjections!C649=0,"",FFARawStatProjections!C649)</f>
        <v>TE</v>
      </c>
      <c r="BV654" t="str">
        <f>IF(FFARawStatProjections!B649=0,"",FFARawStatProjections!B649)</f>
        <v>LAC</v>
      </c>
      <c r="BX654">
        <v>648</v>
      </c>
      <c r="BY654" s="89" t="str">
        <f t="shared" si="38"/>
        <v/>
      </c>
      <c r="BZ654" s="89" t="str">
        <f t="shared" si="39"/>
        <v/>
      </c>
      <c r="CA654" s="89" t="str">
        <f t="shared" si="40"/>
        <v/>
      </c>
    </row>
    <row r="655" spans="72:79" hidden="1" x14ac:dyDescent="0.25">
      <c r="BT655" t="str">
        <f>IF(FFARawStatProjections!A650=0,"",FFARawStatProjections!A650)</f>
        <v>Jonnu Smith</v>
      </c>
      <c r="BU655" t="str">
        <f>IF(FFARawStatProjections!C650=0,"",FFARawStatProjections!C650)</f>
        <v>TE</v>
      </c>
      <c r="BV655" t="str">
        <f>IF(FFARawStatProjections!B650=0,"",FFARawStatProjections!B650)</f>
        <v>ATL</v>
      </c>
      <c r="BX655">
        <v>649</v>
      </c>
      <c r="BY655" s="89" t="str">
        <f t="shared" si="38"/>
        <v/>
      </c>
      <c r="BZ655" s="89" t="str">
        <f t="shared" si="39"/>
        <v/>
      </c>
      <c r="CA655" s="89" t="str">
        <f t="shared" si="40"/>
        <v/>
      </c>
    </row>
    <row r="656" spans="72:79" hidden="1" x14ac:dyDescent="0.25">
      <c r="BT656" t="str">
        <f>IF(FFARawStatProjections!A651=0,"",FFARawStatProjections!A651)</f>
        <v>Foster Moreau</v>
      </c>
      <c r="BU656" t="str">
        <f>IF(FFARawStatProjections!C651=0,"",FFARawStatProjections!C651)</f>
        <v>TE</v>
      </c>
      <c r="BV656" t="str">
        <f>IF(FFARawStatProjections!B651=0,"",FFARawStatProjections!B651)</f>
        <v>NO</v>
      </c>
      <c r="BX656">
        <v>650</v>
      </c>
      <c r="BY656" s="89" t="str">
        <f t="shared" si="38"/>
        <v/>
      </c>
      <c r="BZ656" s="89" t="str">
        <f t="shared" si="39"/>
        <v/>
      </c>
      <c r="CA656" s="89" t="str">
        <f t="shared" si="40"/>
        <v/>
      </c>
    </row>
    <row r="657" spans="72:79" hidden="1" x14ac:dyDescent="0.25">
      <c r="BT657" t="str">
        <f>IF(FFARawStatProjections!A652=0,"",FFARawStatProjections!A652)</f>
        <v>Will Dissly</v>
      </c>
      <c r="BU657" t="str">
        <f>IF(FFARawStatProjections!C652=0,"",FFARawStatProjections!C652)</f>
        <v>TE</v>
      </c>
      <c r="BV657" t="str">
        <f>IF(FFARawStatProjections!B652=0,"",FFARawStatProjections!B652)</f>
        <v>SEA</v>
      </c>
      <c r="BX657">
        <v>651</v>
      </c>
      <c r="BY657" s="89" t="str">
        <f t="shared" ref="BY657:BY699" si="41">IFERROR(INDEX(BT:BT,MATCH(BX657,BW:BW,0),1),"")</f>
        <v/>
      </c>
      <c r="BZ657" s="89" t="str">
        <f t="shared" ref="BZ657:BZ699" si="42">IFERROR(INDEX(BU:BU,MATCH(BX657,BW:BW,0)),"")</f>
        <v/>
      </c>
      <c r="CA657" s="89" t="str">
        <f t="shared" ref="CA657:CA699" si="43">IFERROR(INDEX(BV:BV,MATCH(BX657,BW:BW,0)),"")</f>
        <v/>
      </c>
    </row>
    <row r="658" spans="72:79" hidden="1" x14ac:dyDescent="0.25">
      <c r="BT658" t="str">
        <f>IF(FFARawStatProjections!A653=0,"",FFARawStatProjections!A653)</f>
        <v>Brock Wright</v>
      </c>
      <c r="BU658" t="str">
        <f>IF(FFARawStatProjections!C653=0,"",FFARawStatProjections!C653)</f>
        <v>TE</v>
      </c>
      <c r="BV658" t="str">
        <f>IF(FFARawStatProjections!B653=0,"",FFARawStatProjections!B653)</f>
        <v>DET</v>
      </c>
      <c r="BX658">
        <v>652</v>
      </c>
      <c r="BY658" s="89" t="str">
        <f t="shared" si="41"/>
        <v/>
      </c>
      <c r="BZ658" s="89" t="str">
        <f t="shared" si="42"/>
        <v/>
      </c>
      <c r="CA658" s="89" t="str">
        <f t="shared" si="43"/>
        <v/>
      </c>
    </row>
    <row r="659" spans="72:79" hidden="1" x14ac:dyDescent="0.25">
      <c r="BT659" t="str">
        <f>IF(FFARawStatProjections!A654=0,"",FFARawStatProjections!A654)</f>
        <v>Robert Tonyan</v>
      </c>
      <c r="BU659" t="str">
        <f>IF(FFARawStatProjections!C654=0,"",FFARawStatProjections!C654)</f>
        <v>TE</v>
      </c>
      <c r="BV659" t="str">
        <f>IF(FFARawStatProjections!B654=0,"",FFARawStatProjections!B654)</f>
        <v>CHI</v>
      </c>
      <c r="BX659">
        <v>653</v>
      </c>
      <c r="BY659" s="89" t="str">
        <f t="shared" si="41"/>
        <v/>
      </c>
      <c r="BZ659" s="89" t="str">
        <f t="shared" si="42"/>
        <v/>
      </c>
      <c r="CA659" s="89" t="str">
        <f t="shared" si="43"/>
        <v/>
      </c>
    </row>
    <row r="660" spans="72:79" hidden="1" x14ac:dyDescent="0.25">
      <c r="BT660" t="str">
        <f>IF(FFARawStatProjections!A655=0,"",FFARawStatProjections!A655)</f>
        <v>CJ Uzomah</v>
      </c>
      <c r="BU660" t="str">
        <f>IF(FFARawStatProjections!C655=0,"",FFARawStatProjections!C655)</f>
        <v>TE</v>
      </c>
      <c r="BV660" t="str">
        <f>IF(FFARawStatProjections!B655=0,"",FFARawStatProjections!B655)</f>
        <v>NYJ</v>
      </c>
      <c r="BX660">
        <v>654</v>
      </c>
      <c r="BY660" s="89" t="str">
        <f t="shared" si="41"/>
        <v/>
      </c>
      <c r="BZ660" s="89" t="str">
        <f t="shared" si="42"/>
        <v/>
      </c>
      <c r="CA660" s="89" t="str">
        <f t="shared" si="43"/>
        <v/>
      </c>
    </row>
    <row r="661" spans="72:79" hidden="1" x14ac:dyDescent="0.25">
      <c r="BT661" t="str">
        <f>IF(FFARawStatProjections!A656=0,"",FFARawStatProjections!A656)</f>
        <v>Adam Trautman</v>
      </c>
      <c r="BU661" t="str">
        <f>IF(FFARawStatProjections!C656=0,"",FFARawStatProjections!C656)</f>
        <v>TE</v>
      </c>
      <c r="BV661" t="str">
        <f>IF(FFARawStatProjections!B656=0,"",FFARawStatProjections!B656)</f>
        <v>DEN</v>
      </c>
      <c r="BX661">
        <v>655</v>
      </c>
      <c r="BY661" s="89" t="str">
        <f t="shared" si="41"/>
        <v/>
      </c>
      <c r="BZ661" s="89" t="str">
        <f t="shared" si="42"/>
        <v/>
      </c>
      <c r="CA661" s="89" t="str">
        <f t="shared" si="43"/>
        <v/>
      </c>
    </row>
    <row r="662" spans="72:79" hidden="1" x14ac:dyDescent="0.25">
      <c r="BT662" t="str">
        <f>IF(FFARawStatProjections!A657=0,"",FFARawStatProjections!A657)</f>
        <v>Kylen Granson</v>
      </c>
      <c r="BU662" t="str">
        <f>IF(FFARawStatProjections!C657=0,"",FFARawStatProjections!C657)</f>
        <v>TE</v>
      </c>
      <c r="BV662" t="str">
        <f>IF(FFARawStatProjections!B657=0,"",FFARawStatProjections!B657)</f>
        <v>IND</v>
      </c>
      <c r="BX662">
        <v>656</v>
      </c>
      <c r="BY662" s="89" t="str">
        <f t="shared" si="41"/>
        <v/>
      </c>
      <c r="BZ662" s="89" t="str">
        <f t="shared" si="42"/>
        <v/>
      </c>
      <c r="CA662" s="89" t="str">
        <f t="shared" si="43"/>
        <v/>
      </c>
    </row>
    <row r="663" spans="72:79" hidden="1" x14ac:dyDescent="0.25">
      <c r="BT663" t="str">
        <f>IF(FFARawStatProjections!A658=0,"",FFARawStatProjections!A658)</f>
        <v>Durham Smythe</v>
      </c>
      <c r="BU663" t="str">
        <f>IF(FFARawStatProjections!C658=0,"",FFARawStatProjections!C658)</f>
        <v>TE</v>
      </c>
      <c r="BV663" t="str">
        <f>IF(FFARawStatProjections!B658=0,"",FFARawStatProjections!B658)</f>
        <v>MIA</v>
      </c>
      <c r="BX663">
        <v>657</v>
      </c>
      <c r="BY663" s="89" t="str">
        <f t="shared" si="41"/>
        <v/>
      </c>
      <c r="BZ663" s="89" t="str">
        <f t="shared" si="42"/>
        <v/>
      </c>
      <c r="CA663" s="89" t="str">
        <f t="shared" si="43"/>
        <v/>
      </c>
    </row>
    <row r="664" spans="72:79" hidden="1" x14ac:dyDescent="0.25">
      <c r="BT664" t="str">
        <f>IF(FFARawStatProjections!A659=0,"",FFARawStatProjections!A659)</f>
        <v>Jordan Akins</v>
      </c>
      <c r="BU664" t="str">
        <f>IF(FFARawStatProjections!C659=0,"",FFARawStatProjections!C659)</f>
        <v>TE</v>
      </c>
      <c r="BV664" t="str">
        <f>IF(FFARawStatProjections!B659=0,"",FFARawStatProjections!B659)</f>
        <v>CLE</v>
      </c>
      <c r="BX664">
        <v>658</v>
      </c>
      <c r="BY664" s="89" t="str">
        <f t="shared" si="41"/>
        <v/>
      </c>
      <c r="BZ664" s="89" t="str">
        <f t="shared" si="42"/>
        <v/>
      </c>
      <c r="CA664" s="89" t="str">
        <f t="shared" si="43"/>
        <v/>
      </c>
    </row>
    <row r="665" spans="72:79" hidden="1" x14ac:dyDescent="0.25">
      <c r="BT665" t="str">
        <f>IF(FFARawStatProjections!A660=0,"",FFARawStatProjections!A660)</f>
        <v>Brenton Strange</v>
      </c>
      <c r="BU665" t="str">
        <f>IF(FFARawStatProjections!C660=0,"",FFARawStatProjections!C660)</f>
        <v>TE</v>
      </c>
      <c r="BV665" t="str">
        <f>IF(FFARawStatProjections!B660=0,"",FFARawStatProjections!B660)</f>
        <v>JAC</v>
      </c>
      <c r="BX665">
        <v>659</v>
      </c>
      <c r="BY665" s="89" t="str">
        <f t="shared" si="41"/>
        <v/>
      </c>
      <c r="BZ665" s="89" t="str">
        <f t="shared" si="42"/>
        <v/>
      </c>
      <c r="CA665" s="89" t="str">
        <f t="shared" si="43"/>
        <v/>
      </c>
    </row>
    <row r="666" spans="72:79" hidden="1" x14ac:dyDescent="0.25">
      <c r="BT666" t="str">
        <f>IF(FFARawStatProjections!A661=0,"",FFARawStatProjections!A661)</f>
        <v>Josiah Deguara</v>
      </c>
      <c r="BU666" t="str">
        <f>IF(FFARawStatProjections!C661=0,"",FFARawStatProjections!C661)</f>
        <v>TE</v>
      </c>
      <c r="BV666" t="str">
        <f>IF(FFARawStatProjections!B661=0,"",FFARawStatProjections!B661)</f>
        <v>GB</v>
      </c>
      <c r="BX666">
        <v>660</v>
      </c>
      <c r="BY666" s="89" t="str">
        <f t="shared" si="41"/>
        <v/>
      </c>
      <c r="BZ666" s="89" t="str">
        <f t="shared" si="42"/>
        <v/>
      </c>
      <c r="CA666" s="89" t="str">
        <f t="shared" si="43"/>
        <v/>
      </c>
    </row>
    <row r="667" spans="72:79" hidden="1" x14ac:dyDescent="0.25">
      <c r="BT667" t="str">
        <f>IF(FFARawStatProjections!A662=0,"",FFARawStatProjections!A662)</f>
        <v>Harrison Bryant</v>
      </c>
      <c r="BU667" t="str">
        <f>IF(FFARawStatProjections!C662=0,"",FFARawStatProjections!C662)</f>
        <v>TE</v>
      </c>
      <c r="BV667" t="str">
        <f>IF(FFARawStatProjections!B662=0,"",FFARawStatProjections!B662)</f>
        <v>CLE</v>
      </c>
      <c r="BX667">
        <v>661</v>
      </c>
      <c r="BY667" s="89" t="str">
        <f t="shared" si="41"/>
        <v/>
      </c>
      <c r="BZ667" s="89" t="str">
        <f t="shared" si="42"/>
        <v/>
      </c>
      <c r="CA667" s="89" t="str">
        <f t="shared" si="43"/>
        <v/>
      </c>
    </row>
    <row r="668" spans="72:79" hidden="1" x14ac:dyDescent="0.25">
      <c r="BT668" t="str">
        <f>IF(FFARawStatProjections!A663=0,"",FFARawStatProjections!A663)</f>
        <v>Mo Alie-Cox</v>
      </c>
      <c r="BU668" t="str">
        <f>IF(FFARawStatProjections!C663=0,"",FFARawStatProjections!C663)</f>
        <v>TE</v>
      </c>
      <c r="BV668" t="str">
        <f>IF(FFARawStatProjections!B663=0,"",FFARawStatProjections!B663)</f>
        <v>IND</v>
      </c>
      <c r="BX668">
        <v>662</v>
      </c>
      <c r="BY668" s="89" t="str">
        <f t="shared" si="41"/>
        <v/>
      </c>
      <c r="BZ668" s="89" t="str">
        <f t="shared" si="42"/>
        <v/>
      </c>
      <c r="CA668" s="89" t="str">
        <f t="shared" si="43"/>
        <v/>
      </c>
    </row>
    <row r="669" spans="72:79" hidden="1" x14ac:dyDescent="0.25">
      <c r="BT669" t="str">
        <f>IF(FFARawStatProjections!A664=0,"",FFARawStatProjections!A664)</f>
        <v>Jimmy Graham</v>
      </c>
      <c r="BU669" t="str">
        <f>IF(FFARawStatProjections!C664=0,"",FFARawStatProjections!C664)</f>
        <v>TE</v>
      </c>
      <c r="BV669" t="str">
        <f>IF(FFARawStatProjections!B664=0,"",FFARawStatProjections!B664)</f>
        <v>NO</v>
      </c>
      <c r="BX669">
        <v>663</v>
      </c>
      <c r="BY669" s="89" t="str">
        <f t="shared" si="41"/>
        <v/>
      </c>
      <c r="BZ669" s="89" t="str">
        <f t="shared" si="42"/>
        <v/>
      </c>
      <c r="CA669" s="89" t="str">
        <f t="shared" si="43"/>
        <v/>
      </c>
    </row>
    <row r="670" spans="72:79" hidden="1" x14ac:dyDescent="0.25">
      <c r="BT670" t="str">
        <f>IF(FFARawStatProjections!A665=0,"",FFARawStatProjections!A665)</f>
        <v>Tucker Kraft</v>
      </c>
      <c r="BU670" t="str">
        <f>IF(FFARawStatProjections!C665=0,"",FFARawStatProjections!C665)</f>
        <v>TE</v>
      </c>
      <c r="BV670" t="str">
        <f>IF(FFARawStatProjections!B665=0,"",FFARawStatProjections!B665)</f>
        <v>GB</v>
      </c>
      <c r="BX670">
        <v>664</v>
      </c>
      <c r="BY670" s="89" t="str">
        <f t="shared" si="41"/>
        <v/>
      </c>
      <c r="BZ670" s="89" t="str">
        <f t="shared" si="42"/>
        <v/>
      </c>
      <c r="CA670" s="89" t="str">
        <f t="shared" si="43"/>
        <v/>
      </c>
    </row>
    <row r="671" spans="72:79" hidden="1" x14ac:dyDescent="0.25">
      <c r="BT671" t="str">
        <f>IF(FFARawStatProjections!A666=0,"",FFARawStatProjections!A666)</f>
        <v>Josh Oliver</v>
      </c>
      <c r="BU671" t="str">
        <f>IF(FFARawStatProjections!C666=0,"",FFARawStatProjections!C666)</f>
        <v>TE</v>
      </c>
      <c r="BV671" t="str">
        <f>IF(FFARawStatProjections!B666=0,"",FFARawStatProjections!B666)</f>
        <v>MIN</v>
      </c>
      <c r="BX671">
        <v>665</v>
      </c>
      <c r="BY671" s="89" t="str">
        <f t="shared" si="41"/>
        <v/>
      </c>
      <c r="BZ671" s="89" t="str">
        <f t="shared" si="42"/>
        <v/>
      </c>
      <c r="CA671" s="89" t="str">
        <f t="shared" si="43"/>
        <v/>
      </c>
    </row>
    <row r="672" spans="72:79" hidden="1" x14ac:dyDescent="0.25">
      <c r="BT672" t="str">
        <f>IF(FFARawStatProjections!A667=0,"",FFARawStatProjections!A667)</f>
        <v>Tommy Tremble</v>
      </c>
      <c r="BU672" t="str">
        <f>IF(FFARawStatProjections!C667=0,"",FFARawStatProjections!C667)</f>
        <v>TE</v>
      </c>
      <c r="BV672" t="str">
        <f>IF(FFARawStatProjections!B667=0,"",FFARawStatProjections!B667)</f>
        <v>CAR</v>
      </c>
      <c r="BX672">
        <v>666</v>
      </c>
      <c r="BY672" s="89" t="str">
        <f t="shared" si="41"/>
        <v/>
      </c>
      <c r="BZ672" s="89" t="str">
        <f t="shared" si="42"/>
        <v/>
      </c>
      <c r="CA672" s="89" t="str">
        <f t="shared" si="43"/>
        <v/>
      </c>
    </row>
    <row r="673" spans="72:79" hidden="1" x14ac:dyDescent="0.25">
      <c r="BT673" t="str">
        <f>IF(FFARawStatProjections!A668=0,"",FFARawStatProjections!A668)</f>
        <v>Elijah Higgins</v>
      </c>
      <c r="BU673" t="str">
        <f>IF(FFARawStatProjections!C668=0,"",FFARawStatProjections!C668)</f>
        <v>TE</v>
      </c>
      <c r="BV673" t="str">
        <f>IF(FFARawStatProjections!B668=0,"",FFARawStatProjections!B668)</f>
        <v>MIA</v>
      </c>
      <c r="BX673">
        <v>667</v>
      </c>
      <c r="BY673" s="89" t="str">
        <f t="shared" si="41"/>
        <v/>
      </c>
      <c r="BZ673" s="89" t="str">
        <f t="shared" si="42"/>
        <v/>
      </c>
      <c r="CA673" s="89" t="str">
        <f t="shared" si="43"/>
        <v/>
      </c>
    </row>
    <row r="674" spans="72:79" hidden="1" x14ac:dyDescent="0.25">
      <c r="BT674" t="str">
        <f>IF(FFARawStatProjections!A669=0,"",FFARawStatProjections!A669)</f>
        <v>Colby Parkinson</v>
      </c>
      <c r="BU674" t="str">
        <f>IF(FFARawStatProjections!C669=0,"",FFARawStatProjections!C669)</f>
        <v>TE</v>
      </c>
      <c r="BV674" t="str">
        <f>IF(FFARawStatProjections!B669=0,"",FFARawStatProjections!B669)</f>
        <v>SEA</v>
      </c>
      <c r="BX674">
        <v>668</v>
      </c>
      <c r="BY674" s="89" t="str">
        <f t="shared" si="41"/>
        <v/>
      </c>
      <c r="BZ674" s="89" t="str">
        <f t="shared" si="42"/>
        <v/>
      </c>
      <c r="CA674" s="89" t="str">
        <f t="shared" si="43"/>
        <v/>
      </c>
    </row>
    <row r="675" spans="72:79" hidden="1" x14ac:dyDescent="0.25">
      <c r="BT675" t="str">
        <f>IF(FFARawStatProjections!A670=0,"",FFARawStatProjections!A670)</f>
        <v>Ian Thomas</v>
      </c>
      <c r="BU675" t="str">
        <f>IF(FFARawStatProjections!C670=0,"",FFARawStatProjections!C670)</f>
        <v>TE</v>
      </c>
      <c r="BV675" t="str">
        <f>IF(FFARawStatProjections!B670=0,"",FFARawStatProjections!B670)</f>
        <v>CAR</v>
      </c>
      <c r="BX675">
        <v>669</v>
      </c>
      <c r="BY675" s="89" t="str">
        <f t="shared" si="41"/>
        <v/>
      </c>
      <c r="BZ675" s="89" t="str">
        <f t="shared" si="42"/>
        <v/>
      </c>
      <c r="CA675" s="89" t="str">
        <f t="shared" si="43"/>
        <v/>
      </c>
    </row>
    <row r="676" spans="72:79" hidden="1" x14ac:dyDescent="0.25">
      <c r="BT676" t="str">
        <f>IF(FFARawStatProjections!A671=0,"",FFARawStatProjections!A671)</f>
        <v>Brevin Jordan</v>
      </c>
      <c r="BU676" t="str">
        <f>IF(FFARawStatProjections!C671=0,"",FFARawStatProjections!C671)</f>
        <v>TE</v>
      </c>
      <c r="BV676" t="str">
        <f>IF(FFARawStatProjections!B671=0,"",FFARawStatProjections!B671)</f>
        <v>HOU</v>
      </c>
      <c r="BX676">
        <v>670</v>
      </c>
      <c r="BY676" s="89" t="str">
        <f t="shared" si="41"/>
        <v/>
      </c>
      <c r="BZ676" s="89" t="str">
        <f t="shared" si="42"/>
        <v/>
      </c>
      <c r="CA676" s="89" t="str">
        <f t="shared" si="43"/>
        <v/>
      </c>
    </row>
    <row r="677" spans="72:79" hidden="1" x14ac:dyDescent="0.25">
      <c r="BT677" t="str">
        <f>IF(FFARawStatProjections!A672=0,"",FFARawStatProjections!A672)</f>
        <v>Darnell Washington</v>
      </c>
      <c r="BU677" t="str">
        <f>IF(FFARawStatProjections!C672=0,"",FFARawStatProjections!C672)</f>
        <v>TE</v>
      </c>
      <c r="BV677" t="str">
        <f>IF(FFARawStatProjections!B672=0,"",FFARawStatProjections!B672)</f>
        <v>PIT</v>
      </c>
      <c r="BX677">
        <v>671</v>
      </c>
      <c r="BY677" s="89" t="str">
        <f t="shared" si="41"/>
        <v/>
      </c>
      <c r="BZ677" s="89" t="str">
        <f t="shared" si="42"/>
        <v/>
      </c>
      <c r="CA677" s="89" t="str">
        <f t="shared" si="43"/>
        <v/>
      </c>
    </row>
    <row r="678" spans="72:79" hidden="1" x14ac:dyDescent="0.25">
      <c r="BT678" t="str">
        <f>IF(FFARawStatProjections!A673=0,"",FFARawStatProjections!A673)</f>
        <v>Teagan Quitoriano</v>
      </c>
      <c r="BU678" t="str">
        <f>IF(FFARawStatProjections!C673=0,"",FFARawStatProjections!C673)</f>
        <v>TE</v>
      </c>
      <c r="BV678" t="str">
        <f>IF(FFARawStatProjections!B673=0,"",FFARawStatProjections!B673)</f>
        <v>HOU</v>
      </c>
      <c r="BX678">
        <v>672</v>
      </c>
      <c r="BY678" s="89" t="str">
        <f t="shared" si="41"/>
        <v/>
      </c>
      <c r="BZ678" s="89" t="str">
        <f t="shared" si="42"/>
        <v/>
      </c>
      <c r="CA678" s="89" t="str">
        <f t="shared" si="43"/>
        <v/>
      </c>
    </row>
    <row r="679" spans="72:79" hidden="1" x14ac:dyDescent="0.25">
      <c r="BT679" t="str">
        <f>IF(FFARawStatProjections!A674=0,"",FFARawStatProjections!A674)</f>
        <v>Daniel Bellinger</v>
      </c>
      <c r="BU679" t="str">
        <f>IF(FFARawStatProjections!C674=0,"",FFARawStatProjections!C674)</f>
        <v>TE</v>
      </c>
      <c r="BV679" t="str">
        <f>IF(FFARawStatProjections!B674=0,"",FFARawStatProjections!B674)</f>
        <v>NYG</v>
      </c>
      <c r="BX679">
        <v>673</v>
      </c>
      <c r="BY679" s="89" t="str">
        <f t="shared" si="41"/>
        <v/>
      </c>
      <c r="BZ679" s="89" t="str">
        <f t="shared" si="42"/>
        <v/>
      </c>
      <c r="CA679" s="89" t="str">
        <f t="shared" si="43"/>
        <v/>
      </c>
    </row>
    <row r="680" spans="72:79" hidden="1" x14ac:dyDescent="0.25">
      <c r="BT680" t="str">
        <f>IF(FFARawStatProjections!A675=0,"",FFARawStatProjections!A675)</f>
        <v>Lawrence Cager</v>
      </c>
      <c r="BU680" t="str">
        <f>IF(FFARawStatProjections!C675=0,"",FFARawStatProjections!C675)</f>
        <v>TE</v>
      </c>
      <c r="BV680" t="str">
        <f>IF(FFARawStatProjections!B675=0,"",FFARawStatProjections!B675)</f>
        <v>NYG</v>
      </c>
      <c r="BX680">
        <v>674</v>
      </c>
      <c r="BY680" s="89" t="str">
        <f t="shared" si="41"/>
        <v/>
      </c>
      <c r="BZ680" s="89" t="str">
        <f t="shared" si="42"/>
        <v/>
      </c>
      <c r="CA680" s="89" t="str">
        <f t="shared" si="43"/>
        <v/>
      </c>
    </row>
    <row r="681" spans="72:79" hidden="1" x14ac:dyDescent="0.25">
      <c r="BT681" t="str">
        <f>IF(FFARawStatProjections!A676=0,"",FFARawStatProjections!A676)</f>
        <v>Albert Okwuegbunam</v>
      </c>
      <c r="BU681" t="str">
        <f>IF(FFARawStatProjections!C676=0,"",FFARawStatProjections!C676)</f>
        <v>TE</v>
      </c>
      <c r="BV681" t="str">
        <f>IF(FFARawStatProjections!B676=0,"",FFARawStatProjections!B676)</f>
        <v>DEN</v>
      </c>
      <c r="BX681">
        <v>675</v>
      </c>
      <c r="BY681" s="89" t="str">
        <f t="shared" si="41"/>
        <v/>
      </c>
      <c r="BZ681" s="89" t="str">
        <f t="shared" si="42"/>
        <v/>
      </c>
      <c r="CA681" s="89" t="str">
        <f t="shared" si="43"/>
        <v/>
      </c>
    </row>
    <row r="682" spans="72:79" hidden="1" x14ac:dyDescent="0.25">
      <c r="BT682" t="str">
        <f>IF(FFARawStatProjections!A677=0,"",FFARawStatProjections!A677)</f>
        <v>Charlie Kolar</v>
      </c>
      <c r="BU682" t="str">
        <f>IF(FFARawStatProjections!C677=0,"",FFARawStatProjections!C677)</f>
        <v>TE</v>
      </c>
      <c r="BV682" t="str">
        <f>IF(FFARawStatProjections!B677=0,"",FFARawStatProjections!B677)</f>
        <v>BAL</v>
      </c>
      <c r="BX682">
        <v>676</v>
      </c>
      <c r="BY682" s="89" t="str">
        <f t="shared" si="41"/>
        <v/>
      </c>
      <c r="BZ682" s="89" t="str">
        <f t="shared" si="42"/>
        <v/>
      </c>
      <c r="CA682" s="89" t="str">
        <f t="shared" si="43"/>
        <v/>
      </c>
    </row>
    <row r="683" spans="72:79" hidden="1" x14ac:dyDescent="0.25">
      <c r="BT683" t="str">
        <f>IF(FFARawStatProjections!A678=0,"",FFARawStatProjections!A678)</f>
        <v>Brycen Hopkins</v>
      </c>
      <c r="BU683" t="str">
        <f>IF(FFARawStatProjections!C678=0,"",FFARawStatProjections!C678)</f>
        <v>TE</v>
      </c>
      <c r="BV683" t="str">
        <f>IF(FFARawStatProjections!B678=0,"",FFARawStatProjections!B678)</f>
        <v>LAR</v>
      </c>
      <c r="BX683">
        <v>677</v>
      </c>
      <c r="BY683" s="89" t="str">
        <f t="shared" si="41"/>
        <v/>
      </c>
      <c r="BZ683" s="89" t="str">
        <f t="shared" si="42"/>
        <v/>
      </c>
      <c r="CA683" s="89" t="str">
        <f t="shared" si="43"/>
        <v/>
      </c>
    </row>
    <row r="684" spans="72:79" hidden="1" x14ac:dyDescent="0.25">
      <c r="BT684" t="str">
        <f>IF(FFARawStatProjections!A679=0,"",FFARawStatProjections!A679)</f>
        <v>Peyton Hendershot</v>
      </c>
      <c r="BU684" t="str">
        <f>IF(FFARawStatProjections!C679=0,"",FFARawStatProjections!C679)</f>
        <v>TE</v>
      </c>
      <c r="BV684" t="str">
        <f>IF(FFARawStatProjections!B679=0,"",FFARawStatProjections!B679)</f>
        <v>DAL</v>
      </c>
      <c r="BX684">
        <v>678</v>
      </c>
      <c r="BY684" s="89" t="str">
        <f t="shared" si="41"/>
        <v/>
      </c>
      <c r="BZ684" s="89" t="str">
        <f t="shared" si="42"/>
        <v/>
      </c>
      <c r="CA684" s="89" t="str">
        <f t="shared" si="43"/>
        <v/>
      </c>
    </row>
    <row r="685" spans="72:79" hidden="1" x14ac:dyDescent="0.25">
      <c r="BT685" t="str">
        <f>IF(FFARawStatProjections!A680=0,"",FFARawStatProjections!A680)</f>
        <v>Eric Saubert</v>
      </c>
      <c r="BU685" t="str">
        <f>IF(FFARawStatProjections!C680=0,"",FFARawStatProjections!C680)</f>
        <v>TE</v>
      </c>
      <c r="BV685" t="str">
        <f>IF(FFARawStatProjections!B680=0,"",FFARawStatProjections!B680)</f>
        <v>MIA</v>
      </c>
      <c r="BX685">
        <v>679</v>
      </c>
      <c r="BY685" s="89" t="str">
        <f t="shared" si="41"/>
        <v/>
      </c>
      <c r="BZ685" s="89" t="str">
        <f t="shared" si="42"/>
        <v/>
      </c>
      <c r="CA685" s="89" t="str">
        <f t="shared" si="43"/>
        <v/>
      </c>
    </row>
    <row r="686" spans="72:79" hidden="1" x14ac:dyDescent="0.25">
      <c r="BT686" t="str">
        <f>IF(FFARawStatProjections!A681=0,"",FFARawStatProjections!A681)</f>
        <v>Blake Bell</v>
      </c>
      <c r="BU686" t="str">
        <f>IF(FFARawStatProjections!C681=0,"",FFARawStatProjections!C681)</f>
        <v>TE</v>
      </c>
      <c r="BV686" t="str">
        <f>IF(FFARawStatProjections!B681=0,"",FFARawStatProjections!B681)</f>
        <v>KC</v>
      </c>
      <c r="BX686">
        <v>680</v>
      </c>
      <c r="BY686" s="89" t="str">
        <f t="shared" si="41"/>
        <v/>
      </c>
      <c r="BZ686" s="89" t="str">
        <f t="shared" si="42"/>
        <v/>
      </c>
      <c r="CA686" s="89" t="str">
        <f t="shared" si="43"/>
        <v/>
      </c>
    </row>
    <row r="687" spans="72:79" hidden="1" x14ac:dyDescent="0.25">
      <c r="BT687" t="str">
        <f>IF(FFARawStatProjections!A682=0,"",FFARawStatProjections!A682)</f>
        <v>John Bates</v>
      </c>
      <c r="BU687" t="str">
        <f>IF(FFARawStatProjections!C682=0,"",FFARawStatProjections!C682)</f>
        <v>TE</v>
      </c>
      <c r="BV687" t="str">
        <f>IF(FFARawStatProjections!B682=0,"",FFARawStatProjections!B682)</f>
        <v>WAS</v>
      </c>
      <c r="BX687">
        <v>681</v>
      </c>
      <c r="BY687" s="89" t="str">
        <f t="shared" si="41"/>
        <v/>
      </c>
      <c r="BZ687" s="89" t="str">
        <f t="shared" si="42"/>
        <v/>
      </c>
      <c r="CA687" s="89" t="str">
        <f t="shared" si="43"/>
        <v/>
      </c>
    </row>
    <row r="688" spans="72:79" hidden="1" x14ac:dyDescent="0.25">
      <c r="BT688" t="str">
        <f>IF(FFARawStatProjections!A683=0,"",FFARawStatProjections!A683)</f>
        <v>Dan Arnold</v>
      </c>
      <c r="BU688" t="str">
        <f>IF(FFARawStatProjections!C683=0,"",FFARawStatProjections!C683)</f>
        <v>TE</v>
      </c>
      <c r="BV688" t="str">
        <f>IF(FFARawStatProjections!B683=0,"",FFARawStatProjections!B683)</f>
        <v>PHI</v>
      </c>
      <c r="BX688">
        <v>682</v>
      </c>
      <c r="BY688" s="89" t="str">
        <f t="shared" si="41"/>
        <v/>
      </c>
      <c r="BZ688" s="89" t="str">
        <f t="shared" si="42"/>
        <v/>
      </c>
      <c r="CA688" s="89" t="str">
        <f t="shared" si="43"/>
        <v/>
      </c>
    </row>
    <row r="689" spans="72:79" hidden="1" x14ac:dyDescent="0.25">
      <c r="BT689" t="str">
        <f>IF(FFARawStatProjections!A684=0,"",FFARawStatProjections!A684)</f>
        <v>Cameron Latu</v>
      </c>
      <c r="BU689" t="str">
        <f>IF(FFARawStatProjections!C684=0,"",FFARawStatProjections!C684)</f>
        <v>TE</v>
      </c>
      <c r="BV689" t="str">
        <f>IF(FFARawStatProjections!B684=0,"",FFARawStatProjections!B684)</f>
        <v>SF</v>
      </c>
      <c r="BX689">
        <v>683</v>
      </c>
      <c r="BY689" s="89" t="str">
        <f t="shared" si="41"/>
        <v/>
      </c>
      <c r="BZ689" s="89" t="str">
        <f t="shared" si="42"/>
        <v/>
      </c>
      <c r="CA689" s="89" t="str">
        <f t="shared" si="43"/>
        <v/>
      </c>
    </row>
    <row r="690" spans="72:79" hidden="1" x14ac:dyDescent="0.25">
      <c r="BT690" t="str">
        <f>IF(FFARawStatProjections!A685=0,"",FFARawStatProjections!A685)</f>
        <v>Hunter Long</v>
      </c>
      <c r="BU690" t="str">
        <f>IF(FFARawStatProjections!C685=0,"",FFARawStatProjections!C685)</f>
        <v>TE</v>
      </c>
      <c r="BV690" t="str">
        <f>IF(FFARawStatProjections!B685=0,"",FFARawStatProjections!B685)</f>
        <v>LAR</v>
      </c>
      <c r="BX690">
        <v>684</v>
      </c>
      <c r="BY690" s="89" t="str">
        <f t="shared" si="41"/>
        <v/>
      </c>
      <c r="BZ690" s="89" t="str">
        <f t="shared" si="42"/>
        <v/>
      </c>
      <c r="CA690" s="89" t="str">
        <f t="shared" si="43"/>
        <v/>
      </c>
    </row>
    <row r="691" spans="72:79" hidden="1" x14ac:dyDescent="0.25">
      <c r="BT691" t="str">
        <f>IF(FFARawStatProjections!A686=0,"",FFARawStatProjections!A686)</f>
        <v>Payne Durham</v>
      </c>
      <c r="BU691" t="str">
        <f>IF(FFARawStatProjections!C686=0,"",FFARawStatProjections!C686)</f>
        <v>TE</v>
      </c>
      <c r="BV691" t="str">
        <f>IF(FFARawStatProjections!B686=0,"",FFARawStatProjections!B686)</f>
        <v>TB</v>
      </c>
      <c r="BX691">
        <v>685</v>
      </c>
      <c r="BY691" s="89" t="str">
        <f t="shared" si="41"/>
        <v/>
      </c>
      <c r="BZ691" s="89" t="str">
        <f t="shared" si="42"/>
        <v/>
      </c>
      <c r="CA691" s="89" t="str">
        <f t="shared" si="43"/>
        <v/>
      </c>
    </row>
    <row r="692" spans="72:79" hidden="1" x14ac:dyDescent="0.25">
      <c r="BT692" t="str">
        <f>IF(FFARawStatProjections!A687=0,"",FFARawStatProjections!A687)</f>
        <v>Geoff Swaim</v>
      </c>
      <c r="BU692" t="str">
        <f>IF(FFARawStatProjections!C687=0,"",FFARawStatProjections!C687)</f>
        <v>TE</v>
      </c>
      <c r="BV692" t="str">
        <f>IF(FFARawStatProjections!B687=0,"",FFARawStatProjections!B687)</f>
        <v>AZ</v>
      </c>
      <c r="BX692">
        <v>686</v>
      </c>
      <c r="BY692" s="89" t="str">
        <f t="shared" si="41"/>
        <v/>
      </c>
      <c r="BZ692" s="89" t="str">
        <f t="shared" si="42"/>
        <v/>
      </c>
      <c r="CA692" s="89" t="str">
        <f t="shared" si="43"/>
        <v/>
      </c>
    </row>
    <row r="693" spans="72:79" hidden="1" x14ac:dyDescent="0.25">
      <c r="BT693" t="str">
        <f>IF(FFARawStatProjections!A688=0,"",FFARawStatProjections!A688)</f>
        <v>Connor Heyward</v>
      </c>
      <c r="BU693" t="str">
        <f>IF(FFARawStatProjections!C688=0,"",FFARawStatProjections!C688)</f>
        <v>TE</v>
      </c>
      <c r="BV693" t="str">
        <f>IF(FFARawStatProjections!B688=0,"",FFARawStatProjections!B688)</f>
        <v>PIT</v>
      </c>
      <c r="BX693">
        <v>687</v>
      </c>
      <c r="BY693" s="89" t="str">
        <f t="shared" si="41"/>
        <v/>
      </c>
      <c r="BZ693" s="89" t="str">
        <f t="shared" si="42"/>
        <v/>
      </c>
      <c r="CA693" s="89" t="str">
        <f t="shared" si="43"/>
        <v/>
      </c>
    </row>
    <row r="694" spans="72:79" hidden="1" x14ac:dyDescent="0.25">
      <c r="BT694" t="str">
        <f>IF(FFARawStatProjections!A689=0,"",FFARawStatProjections!A689)</f>
        <v>Ko Kieft</v>
      </c>
      <c r="BU694" t="str">
        <f>IF(FFARawStatProjections!C689=0,"",FFARawStatProjections!C689)</f>
        <v>TE</v>
      </c>
      <c r="BV694" t="str">
        <f>IF(FFARawStatProjections!B689=0,"",FFARawStatProjections!B689)</f>
        <v>TB</v>
      </c>
      <c r="BX694">
        <v>688</v>
      </c>
      <c r="BY694" s="89" t="str">
        <f t="shared" si="41"/>
        <v/>
      </c>
      <c r="BZ694" s="89" t="str">
        <f t="shared" si="42"/>
        <v/>
      </c>
      <c r="CA694" s="89" t="str">
        <f t="shared" si="43"/>
        <v/>
      </c>
    </row>
    <row r="695" spans="72:79" hidden="1" x14ac:dyDescent="0.25">
      <c r="BT695" t="str">
        <f>IF(FFARawStatProjections!A690=0,"",FFARawStatProjections!A690)</f>
        <v>James Mitchell</v>
      </c>
      <c r="BU695" t="str">
        <f>IF(FFARawStatProjections!C690=0,"",FFARawStatProjections!C690)</f>
        <v>TE</v>
      </c>
      <c r="BV695" t="str">
        <f>IF(FFARawStatProjections!B690=0,"",FFARawStatProjections!B690)</f>
        <v>DET</v>
      </c>
      <c r="BX695">
        <v>689</v>
      </c>
      <c r="BY695" s="89" t="str">
        <f t="shared" si="41"/>
        <v/>
      </c>
      <c r="BZ695" s="89" t="str">
        <f t="shared" si="42"/>
        <v/>
      </c>
      <c r="CA695" s="89" t="str">
        <f t="shared" si="43"/>
        <v/>
      </c>
    </row>
    <row r="696" spans="72:79" hidden="1" x14ac:dyDescent="0.25">
      <c r="BT696" t="str">
        <f>IF(FFARawStatProjections!A691=0,"",FFARawStatProjections!A691)</f>
        <v>Tre McKitty</v>
      </c>
      <c r="BU696" t="str">
        <f>IF(FFARawStatProjections!C691=0,"",FFARawStatProjections!C691)</f>
        <v>TE</v>
      </c>
      <c r="BV696" t="str">
        <f>IF(FFARawStatProjections!B691=0,"",FFARawStatProjections!B691)</f>
        <v>LAC</v>
      </c>
      <c r="BX696">
        <v>690</v>
      </c>
      <c r="BY696" s="89" t="str">
        <f t="shared" si="41"/>
        <v/>
      </c>
      <c r="BZ696" s="89" t="str">
        <f t="shared" si="42"/>
        <v/>
      </c>
      <c r="CA696" s="89" t="str">
        <f t="shared" si="43"/>
        <v/>
      </c>
    </row>
    <row r="697" spans="72:79" hidden="1" x14ac:dyDescent="0.25">
      <c r="BT697" t="str">
        <f>IF(FFARawStatProjections!A692=0,"",FFARawStatProjections!A692)</f>
        <v>Andrew Ogletree</v>
      </c>
      <c r="BU697" t="str">
        <f>IF(FFARawStatProjections!C692=0,"",FFARawStatProjections!C692)</f>
        <v>TE</v>
      </c>
      <c r="BV697" t="str">
        <f>IF(FFARawStatProjections!B692=0,"",FFARawStatProjections!B692)</f>
        <v>IND</v>
      </c>
      <c r="BX697">
        <v>691</v>
      </c>
      <c r="BY697" s="89" t="str">
        <f t="shared" si="41"/>
        <v/>
      </c>
      <c r="BZ697" s="89" t="str">
        <f t="shared" si="42"/>
        <v/>
      </c>
      <c r="CA697" s="89" t="str">
        <f t="shared" si="43"/>
        <v/>
      </c>
    </row>
    <row r="698" spans="72:79" hidden="1" x14ac:dyDescent="0.25">
      <c r="BT698" t="str">
        <f>IF(FFARawStatProjections!A693=0,"",FFARawStatProjections!A693)</f>
        <v>Josh Whyle</v>
      </c>
      <c r="BU698" t="str">
        <f>IF(FFARawStatProjections!C693=0,"",FFARawStatProjections!C693)</f>
        <v>TE</v>
      </c>
      <c r="BV698" t="str">
        <f>IF(FFARawStatProjections!B693=0,"",FFARawStatProjections!B693)</f>
        <v>TEN</v>
      </c>
      <c r="BX698">
        <v>692</v>
      </c>
      <c r="BY698" s="89" t="str">
        <f t="shared" si="41"/>
        <v/>
      </c>
      <c r="BZ698" s="89" t="str">
        <f t="shared" si="42"/>
        <v/>
      </c>
      <c r="CA698" s="89" t="str">
        <f t="shared" si="43"/>
        <v/>
      </c>
    </row>
    <row r="699" spans="72:79" hidden="1" x14ac:dyDescent="0.25">
      <c r="BT699" t="str">
        <f>IF(FFARawStatProjections!A694=0,"",FFARawStatProjections!A694)</f>
        <v>Davis Allen</v>
      </c>
      <c r="BU699" t="str">
        <f>IF(FFARawStatProjections!C694=0,"",FFARawStatProjections!C694)</f>
        <v>TE</v>
      </c>
      <c r="BV699" t="str">
        <f>IF(FFARawStatProjections!B694=0,"",FFARawStatProjections!B694)</f>
        <v>LAR</v>
      </c>
      <c r="BX699">
        <v>693</v>
      </c>
      <c r="BY699" s="89" t="str">
        <f t="shared" si="41"/>
        <v/>
      </c>
      <c r="BZ699" s="89" t="str">
        <f t="shared" si="42"/>
        <v/>
      </c>
      <c r="CA699" s="89" t="str">
        <f t="shared" si="43"/>
        <v/>
      </c>
    </row>
    <row r="700" spans="72:79" hidden="1" x14ac:dyDescent="0.25">
      <c r="BT700" t="str">
        <f>IF(FFARawStatProjections!A695=0,"",FFARawStatProjections!A695)</f>
        <v>Andrew Beck</v>
      </c>
      <c r="BU700" t="str">
        <f>IF(FFARawStatProjections!C695=0,"",FFARawStatProjections!C695)</f>
        <v>TE</v>
      </c>
      <c r="BV700" t="str">
        <f>IF(FFARawStatProjections!B695=0,"",FFARawStatProjections!B695)</f>
        <v>HOU</v>
      </c>
      <c r="BX700">
        <v>694</v>
      </c>
      <c r="BY700" s="89" t="str">
        <f t="shared" ref="BY700:BY763" si="44">IFERROR(INDEX(BT:BT,MATCH(BX700,BW:BW,0),1),"")</f>
        <v/>
      </c>
      <c r="BZ700" s="89" t="str">
        <f t="shared" ref="BZ700:BZ763" si="45">IFERROR(INDEX(BU:BU,MATCH(BX700,BW:BW,0)),"")</f>
        <v/>
      </c>
      <c r="CA700" s="89" t="str">
        <f t="shared" ref="CA700:CA763" si="46">IFERROR(INDEX(BV:BV,MATCH(BX700,BW:BW,0)),"")</f>
        <v/>
      </c>
    </row>
    <row r="701" spans="72:79" hidden="1" x14ac:dyDescent="0.25">
      <c r="BT701" t="str">
        <f>IF(FFARawStatProjections!A696=0,"",FFARawStatProjections!A696)</f>
        <v>Zack Kuntz</v>
      </c>
      <c r="BU701" t="str">
        <f>IF(FFARawStatProjections!C696=0,"",FFARawStatProjections!C696)</f>
        <v>TE</v>
      </c>
      <c r="BV701" t="str">
        <f>IF(FFARawStatProjections!B696=0,"",FFARawStatProjections!B696)</f>
        <v>NYJ</v>
      </c>
      <c r="BX701">
        <v>695</v>
      </c>
      <c r="BY701" s="89" t="str">
        <f t="shared" si="44"/>
        <v/>
      </c>
      <c r="BZ701" s="89" t="str">
        <f t="shared" si="45"/>
        <v/>
      </c>
      <c r="CA701" s="89" t="str">
        <f t="shared" si="46"/>
        <v/>
      </c>
    </row>
    <row r="702" spans="72:79" hidden="1" x14ac:dyDescent="0.25">
      <c r="BT702" t="str">
        <f>IF(FFARawStatProjections!A697=0,"",FFARawStatProjections!A697)</f>
        <v>Tyler Kroft</v>
      </c>
      <c r="BU702" t="str">
        <f>IF(FFARawStatProjections!C697=0,"",FFARawStatProjections!C697)</f>
        <v>TE</v>
      </c>
      <c r="BV702" t="str">
        <f>IF(FFARawStatProjections!B697=0,"",FFARawStatProjections!B697)</f>
        <v>MIA</v>
      </c>
      <c r="BX702">
        <v>696</v>
      </c>
      <c r="BY702" s="89" t="str">
        <f t="shared" si="44"/>
        <v/>
      </c>
      <c r="BZ702" s="89" t="str">
        <f t="shared" si="45"/>
        <v/>
      </c>
      <c r="CA702" s="89" t="str">
        <f t="shared" si="46"/>
        <v/>
      </c>
    </row>
    <row r="703" spans="72:79" hidden="1" x14ac:dyDescent="0.25">
      <c r="BT703" t="str">
        <f>IF(FFARawStatProjections!A698=0,"",FFARawStatProjections!A698)</f>
        <v>Jeremy Ruckert</v>
      </c>
      <c r="BU703" t="str">
        <f>IF(FFARawStatProjections!C698=0,"",FFARawStatProjections!C698)</f>
        <v>TE</v>
      </c>
      <c r="BV703" t="str">
        <f>IF(FFARawStatProjections!B698=0,"",FFARawStatProjections!B698)</f>
        <v>NYJ</v>
      </c>
      <c r="BX703">
        <v>697</v>
      </c>
      <c r="BY703" s="89" t="str">
        <f t="shared" si="44"/>
        <v/>
      </c>
      <c r="BZ703" s="89" t="str">
        <f t="shared" si="45"/>
        <v/>
      </c>
      <c r="CA703" s="89" t="str">
        <f t="shared" si="46"/>
        <v/>
      </c>
    </row>
    <row r="704" spans="72:79" hidden="1" x14ac:dyDescent="0.25">
      <c r="BT704" t="str">
        <f>IF(FFARawStatProjections!A699=0,"",FFARawStatProjections!A699)</f>
        <v>Jack Stoll</v>
      </c>
      <c r="BU704" t="str">
        <f>IF(FFARawStatProjections!C699=0,"",FFARawStatProjections!C699)</f>
        <v>TE</v>
      </c>
      <c r="BV704" t="str">
        <f>IF(FFARawStatProjections!B699=0,"",FFARawStatProjections!B699)</f>
        <v>PHI</v>
      </c>
      <c r="BX704">
        <v>698</v>
      </c>
      <c r="BY704" s="89" t="str">
        <f t="shared" si="44"/>
        <v/>
      </c>
      <c r="BZ704" s="89" t="str">
        <f t="shared" si="45"/>
        <v/>
      </c>
      <c r="CA704" s="89" t="str">
        <f t="shared" si="46"/>
        <v/>
      </c>
    </row>
    <row r="705" spans="72:79" hidden="1" x14ac:dyDescent="0.25">
      <c r="BT705" t="str">
        <f>IF(FFARawStatProjections!A700=0,"",FFARawStatProjections!A700)</f>
        <v>Zach Gentry</v>
      </c>
      <c r="BU705" t="str">
        <f>IF(FFARawStatProjections!C700=0,"",FFARawStatProjections!C700)</f>
        <v>TE</v>
      </c>
      <c r="BV705" t="str">
        <f>IF(FFARawStatProjections!B700=0,"",FFARawStatProjections!B700)</f>
        <v>PIT</v>
      </c>
      <c r="BX705">
        <v>699</v>
      </c>
      <c r="BY705" s="89" t="str">
        <f t="shared" si="44"/>
        <v/>
      </c>
      <c r="BZ705" s="89" t="str">
        <f t="shared" si="45"/>
        <v/>
      </c>
      <c r="CA705" s="89" t="str">
        <f t="shared" si="46"/>
        <v/>
      </c>
    </row>
    <row r="706" spans="72:79" hidden="1" x14ac:dyDescent="0.25">
      <c r="BT706" t="str">
        <f>IF(FFARawStatProjections!A701=0,"",FFARawStatProjections!A701)</f>
        <v>Marcedes Lewis</v>
      </c>
      <c r="BU706" t="str">
        <f>IF(FFARawStatProjections!C701=0,"",FFARawStatProjections!C701)</f>
        <v>TE</v>
      </c>
      <c r="BV706" t="str">
        <f>IF(FFARawStatProjections!B701=0,"",FFARawStatProjections!B701)</f>
        <v>CHI</v>
      </c>
      <c r="BX706">
        <v>700</v>
      </c>
      <c r="BY706" s="89" t="str">
        <f t="shared" si="44"/>
        <v/>
      </c>
      <c r="BZ706" s="89" t="str">
        <f t="shared" si="45"/>
        <v/>
      </c>
      <c r="CA706" s="89" t="str">
        <f t="shared" si="46"/>
        <v/>
      </c>
    </row>
    <row r="707" spans="72:79" hidden="1" x14ac:dyDescent="0.25">
      <c r="BT707" t="str">
        <f>IF(FFARawStatProjections!A702=0,"",FFARawStatProjections!A702)</f>
        <v>Stephen Sullivan</v>
      </c>
      <c r="BU707" t="str">
        <f>IF(FFARawStatProjections!C702=0,"",FFARawStatProjections!C702)</f>
        <v>TE</v>
      </c>
      <c r="BV707" t="str">
        <f>IF(FFARawStatProjections!B702=0,"",FFARawStatProjections!B702)</f>
        <v>CAR</v>
      </c>
      <c r="BX707">
        <v>701</v>
      </c>
      <c r="BY707" s="89" t="str">
        <f t="shared" si="44"/>
        <v/>
      </c>
      <c r="BZ707" s="89" t="str">
        <f t="shared" si="45"/>
        <v/>
      </c>
      <c r="CA707" s="89" t="str">
        <f t="shared" si="46"/>
        <v/>
      </c>
    </row>
    <row r="708" spans="72:79" hidden="1" x14ac:dyDescent="0.25">
      <c r="BT708" t="str">
        <f>IF(FFARawStatProjections!A703=0,"",FFARawStatProjections!A703)</f>
        <v>Cole Turner</v>
      </c>
      <c r="BU708" t="str">
        <f>IF(FFARawStatProjections!C703=0,"",FFARawStatProjections!C703)</f>
        <v>TE</v>
      </c>
      <c r="BV708" t="str">
        <f>IF(FFARawStatProjections!B703=0,"",FFARawStatProjections!B703)</f>
        <v>WAS</v>
      </c>
      <c r="BX708">
        <v>702</v>
      </c>
      <c r="BY708" s="89" t="str">
        <f t="shared" si="44"/>
        <v/>
      </c>
      <c r="BZ708" s="89" t="str">
        <f t="shared" si="45"/>
        <v/>
      </c>
      <c r="CA708" s="89" t="str">
        <f t="shared" si="46"/>
        <v/>
      </c>
    </row>
    <row r="709" spans="72:79" hidden="1" x14ac:dyDescent="0.25">
      <c r="BT709" t="str">
        <f>IF(FFARawStatProjections!A704=0,"",FFARawStatProjections!A704)</f>
        <v>Jody Fortson</v>
      </c>
      <c r="BU709" t="str">
        <f>IF(FFARawStatProjections!C704=0,"",FFARawStatProjections!C704)</f>
        <v>TE</v>
      </c>
      <c r="BV709" t="str">
        <f>IF(FFARawStatProjections!B704=0,"",FFARawStatProjections!B704)</f>
        <v>KC</v>
      </c>
      <c r="BX709">
        <v>703</v>
      </c>
      <c r="BY709" s="89" t="str">
        <f t="shared" si="44"/>
        <v/>
      </c>
      <c r="BZ709" s="89" t="str">
        <f t="shared" si="45"/>
        <v/>
      </c>
      <c r="CA709" s="89" t="str">
        <f t="shared" si="46"/>
        <v/>
      </c>
    </row>
    <row r="710" spans="72:79" hidden="1" x14ac:dyDescent="0.25">
      <c r="BT710" t="str">
        <f>IF(FFARawStatProjections!A705=0,"",FFARawStatProjections!A705)</f>
        <v>Tanner Hudson</v>
      </c>
      <c r="BU710" t="str">
        <f>IF(FFARawStatProjections!C705=0,"",FFARawStatProjections!C705)</f>
        <v>TE</v>
      </c>
      <c r="BV710" t="str">
        <f>IF(FFARawStatProjections!B705=0,"",FFARawStatProjections!B705)</f>
        <v>CIN</v>
      </c>
      <c r="BX710">
        <v>704</v>
      </c>
      <c r="BY710" s="89" t="str">
        <f t="shared" si="44"/>
        <v/>
      </c>
      <c r="BZ710" s="89" t="str">
        <f t="shared" si="45"/>
        <v/>
      </c>
      <c r="CA710" s="89" t="str">
        <f t="shared" si="46"/>
        <v/>
      </c>
    </row>
    <row r="711" spans="72:79" hidden="1" x14ac:dyDescent="0.25">
      <c r="BT711" t="str">
        <f>IF(FFARawStatProjections!A706=0,"",FFARawStatProjections!A706)</f>
        <v>Will Mallory</v>
      </c>
      <c r="BU711" t="str">
        <f>IF(FFARawStatProjections!C706=0,"",FFARawStatProjections!C706)</f>
        <v>TE</v>
      </c>
      <c r="BV711" t="str">
        <f>IF(FFARawStatProjections!B706=0,"",FFARawStatProjections!B706)</f>
        <v>IND</v>
      </c>
      <c r="BX711">
        <v>705</v>
      </c>
      <c r="BY711" s="89" t="str">
        <f t="shared" si="44"/>
        <v/>
      </c>
      <c r="BZ711" s="89" t="str">
        <f t="shared" si="45"/>
        <v/>
      </c>
      <c r="CA711" s="89" t="str">
        <f t="shared" si="46"/>
        <v/>
      </c>
    </row>
    <row r="712" spans="72:79" hidden="1" x14ac:dyDescent="0.25">
      <c r="BT712" t="str">
        <f>IF(FFARawStatProjections!A707=0,"",FFARawStatProjections!A707)</f>
        <v>Ross Dwelley</v>
      </c>
      <c r="BU712" t="str">
        <f>IF(FFARawStatProjections!C707=0,"",FFARawStatProjections!C707)</f>
        <v>TE</v>
      </c>
      <c r="BV712" t="str">
        <f>IF(FFARawStatProjections!B707=0,"",FFARawStatProjections!B707)</f>
        <v>SF</v>
      </c>
      <c r="BX712">
        <v>706</v>
      </c>
      <c r="BY712" s="89" t="str">
        <f t="shared" si="44"/>
        <v/>
      </c>
      <c r="BZ712" s="89" t="str">
        <f t="shared" si="45"/>
        <v/>
      </c>
      <c r="CA712" s="89" t="str">
        <f t="shared" si="46"/>
        <v/>
      </c>
    </row>
    <row r="713" spans="72:79" hidden="1" x14ac:dyDescent="0.25">
      <c r="BT713" t="str">
        <f>IF(FFARawStatProjections!A708=0,"",FFARawStatProjections!A708)</f>
        <v>Drew Sample</v>
      </c>
      <c r="BU713" t="str">
        <f>IF(FFARawStatProjections!C708=0,"",FFARawStatProjections!C708)</f>
        <v>TE</v>
      </c>
      <c r="BV713" t="str">
        <f>IF(FFARawStatProjections!B708=0,"",FFARawStatProjections!B708)</f>
        <v>CIN</v>
      </c>
      <c r="BX713">
        <v>707</v>
      </c>
      <c r="BY713" s="89" t="str">
        <f t="shared" si="44"/>
        <v/>
      </c>
      <c r="BZ713" s="89" t="str">
        <f t="shared" si="45"/>
        <v/>
      </c>
      <c r="CA713" s="89" t="str">
        <f t="shared" si="46"/>
        <v/>
      </c>
    </row>
    <row r="714" spans="72:79" hidden="1" x14ac:dyDescent="0.25">
      <c r="BT714" t="str">
        <f>IF(FFARawStatProjections!A709=0,"",FFARawStatProjections!A709)</f>
        <v>Trevon Wesco</v>
      </c>
      <c r="BU714" t="str">
        <f>IF(FFARawStatProjections!C709=0,"",FFARawStatProjections!C709)</f>
        <v>TE</v>
      </c>
      <c r="BV714" t="str">
        <f>IF(FFARawStatProjections!B709=0,"",FFARawStatProjections!B709)</f>
        <v>TEN</v>
      </c>
      <c r="BX714">
        <v>708</v>
      </c>
      <c r="BY714" s="89" t="str">
        <f t="shared" si="44"/>
        <v/>
      </c>
      <c r="BZ714" s="89" t="str">
        <f t="shared" si="45"/>
        <v/>
      </c>
      <c r="CA714" s="89" t="str">
        <f t="shared" si="46"/>
        <v/>
      </c>
    </row>
    <row r="715" spans="72:79" hidden="1" x14ac:dyDescent="0.25">
      <c r="BT715" t="str">
        <f>IF(FFARawStatProjections!A710=0,"",FFARawStatProjections!A710)</f>
        <v>Reggie Gilliam</v>
      </c>
      <c r="BU715" t="str">
        <f>IF(FFARawStatProjections!C710=0,"",FFARawStatProjections!C710)</f>
        <v>TE</v>
      </c>
      <c r="BV715" t="str">
        <f>IF(FFARawStatProjections!B710=0,"",FFARawStatProjections!B710)</f>
        <v>BUF</v>
      </c>
      <c r="BX715">
        <v>709</v>
      </c>
      <c r="BY715" s="89" t="str">
        <f t="shared" si="44"/>
        <v/>
      </c>
      <c r="BZ715" s="89" t="str">
        <f t="shared" si="45"/>
        <v/>
      </c>
      <c r="CA715" s="89" t="str">
        <f t="shared" si="46"/>
        <v/>
      </c>
    </row>
    <row r="716" spans="72:79" hidden="1" x14ac:dyDescent="0.25">
      <c r="BT716" t="str">
        <f>IF(FFARawStatProjections!A711=0,"",FFARawStatProjections!A711)</f>
        <v>Quintin Morris</v>
      </c>
      <c r="BU716" t="str">
        <f>IF(FFARawStatProjections!C711=0,"",FFARawStatProjections!C711)</f>
        <v>TE</v>
      </c>
      <c r="BV716" t="str">
        <f>IF(FFARawStatProjections!B711=0,"",FFARawStatProjections!B711)</f>
        <v>BUF</v>
      </c>
      <c r="BX716">
        <v>710</v>
      </c>
      <c r="BY716" s="89" t="str">
        <f t="shared" si="44"/>
        <v/>
      </c>
      <c r="BZ716" s="89" t="str">
        <f t="shared" si="45"/>
        <v/>
      </c>
      <c r="CA716" s="89" t="str">
        <f t="shared" si="46"/>
        <v/>
      </c>
    </row>
    <row r="717" spans="72:79" hidden="1" x14ac:dyDescent="0.25">
      <c r="BT717" t="str">
        <f>IF(FFARawStatProjections!A712=0,"",FFARawStatProjections!A712)</f>
        <v>Armani Rogers</v>
      </c>
      <c r="BU717" t="str">
        <f>IF(FFARawStatProjections!C712=0,"",FFARawStatProjections!C712)</f>
        <v>TE</v>
      </c>
      <c r="BV717" t="str">
        <f>IF(FFARawStatProjections!B712=0,"",FFARawStatProjections!B712)</f>
        <v>WAS</v>
      </c>
      <c r="BX717">
        <v>711</v>
      </c>
      <c r="BY717" s="89" t="str">
        <f t="shared" si="44"/>
        <v/>
      </c>
      <c r="BZ717" s="89" t="str">
        <f t="shared" si="45"/>
        <v/>
      </c>
      <c r="CA717" s="89" t="str">
        <f t="shared" si="46"/>
        <v/>
      </c>
    </row>
    <row r="718" spans="72:79" hidden="1" x14ac:dyDescent="0.25">
      <c r="BT718" t="str">
        <f>IF(FFARawStatProjections!A713=0,"",FFARawStatProjections!A713)</f>
        <v>Luke Farrell</v>
      </c>
      <c r="BU718" t="str">
        <f>IF(FFARawStatProjections!C713=0,"",FFARawStatProjections!C713)</f>
        <v>TE</v>
      </c>
      <c r="BV718" t="str">
        <f>IF(FFARawStatProjections!B713=0,"",FFARawStatProjections!B713)</f>
        <v>JAC</v>
      </c>
      <c r="BX718">
        <v>712</v>
      </c>
      <c r="BY718" s="89" t="str">
        <f t="shared" si="44"/>
        <v/>
      </c>
      <c r="BZ718" s="89" t="str">
        <f t="shared" si="45"/>
        <v/>
      </c>
      <c r="CA718" s="89" t="str">
        <f t="shared" si="46"/>
        <v/>
      </c>
    </row>
    <row r="719" spans="72:79" hidden="1" x14ac:dyDescent="0.25">
      <c r="BT719" t="str">
        <f>IF(FFARawStatProjections!A714=0,"",FFARawStatProjections!A714)</f>
        <v>Johnny Mundt</v>
      </c>
      <c r="BU719" t="str">
        <f>IF(FFARawStatProjections!C714=0,"",FFARawStatProjections!C714)</f>
        <v>TE</v>
      </c>
      <c r="BV719" t="str">
        <f>IF(FFARawStatProjections!B714=0,"",FFARawStatProjections!B714)</f>
        <v>MIN</v>
      </c>
      <c r="BX719">
        <v>713</v>
      </c>
      <c r="BY719" s="89" t="str">
        <f t="shared" si="44"/>
        <v/>
      </c>
      <c r="BZ719" s="89" t="str">
        <f t="shared" si="45"/>
        <v/>
      </c>
      <c r="CA719" s="89" t="str">
        <f t="shared" si="46"/>
        <v/>
      </c>
    </row>
    <row r="720" spans="72:79" hidden="1" x14ac:dyDescent="0.25">
      <c r="BT720" t="str">
        <f>IF(FFARawStatProjections!A715=0,"",FFARawStatProjections!A715)</f>
        <v>Curtis Hodges</v>
      </c>
      <c r="BU720" t="str">
        <f>IF(FFARawStatProjections!C715=0,"",FFARawStatProjections!C715)</f>
        <v>TE</v>
      </c>
      <c r="BV720" t="str">
        <f>IF(FFARawStatProjections!B715=0,"",FFARawStatProjections!B715)</f>
        <v>WAS</v>
      </c>
      <c r="BX720">
        <v>714</v>
      </c>
      <c r="BY720" s="89" t="str">
        <f t="shared" si="44"/>
        <v/>
      </c>
      <c r="BZ720" s="89" t="str">
        <f t="shared" si="45"/>
        <v/>
      </c>
      <c r="CA720" s="89" t="str">
        <f t="shared" si="46"/>
        <v/>
      </c>
    </row>
    <row r="721" spans="72:79" hidden="1" x14ac:dyDescent="0.25">
      <c r="BT721" t="str">
        <f>IF(FFARawStatProjections!A716=0,"",FFARawStatProjections!A716)</f>
        <v>Kevin Rader</v>
      </c>
      <c r="BU721" t="str">
        <f>IF(FFARawStatProjections!C716=0,"",FFARawStatProjections!C716)</f>
        <v>TE</v>
      </c>
      <c r="BV721" t="str">
        <f>IF(FFARawStatProjections!B716=0,"",FFARawStatProjections!B716)</f>
        <v>TEN</v>
      </c>
      <c r="BX721">
        <v>715</v>
      </c>
      <c r="BY721" s="89" t="str">
        <f t="shared" si="44"/>
        <v/>
      </c>
      <c r="BZ721" s="89" t="str">
        <f t="shared" si="45"/>
        <v/>
      </c>
      <c r="CA721" s="89" t="str">
        <f t="shared" si="46"/>
        <v/>
      </c>
    </row>
    <row r="722" spans="72:79" hidden="1" x14ac:dyDescent="0.25">
      <c r="BT722" t="str">
        <f>IF(FFARawStatProjections!A717=0,"",FFARawStatProjections!A717)</f>
        <v>Jesper Horsted</v>
      </c>
      <c r="BU722" t="str">
        <f>IF(FFARawStatProjections!C717=0,"",FFARawStatProjections!C717)</f>
        <v>TE</v>
      </c>
      <c r="BV722" t="str">
        <f>IF(FFARawStatProjections!B717=0,"",FFARawStatProjections!B717)</f>
        <v>LV</v>
      </c>
      <c r="BX722">
        <v>716</v>
      </c>
      <c r="BY722" s="89" t="str">
        <f t="shared" si="44"/>
        <v/>
      </c>
      <c r="BZ722" s="89" t="str">
        <f t="shared" si="45"/>
        <v/>
      </c>
      <c r="CA722" s="89" t="str">
        <f t="shared" si="46"/>
        <v/>
      </c>
    </row>
    <row r="723" spans="72:79" hidden="1" x14ac:dyDescent="0.25">
      <c r="BT723" t="str">
        <f>IF(FFARawStatProjections!A718=0,"",FFARawStatProjections!A718)</f>
        <v>Stone Smartt</v>
      </c>
      <c r="BU723" t="str">
        <f>IF(FFARawStatProjections!C718=0,"",FFARawStatProjections!C718)</f>
        <v>TE</v>
      </c>
      <c r="BV723" t="str">
        <f>IF(FFARawStatProjections!B718=0,"",FFARawStatProjections!B718)</f>
        <v>LAC</v>
      </c>
      <c r="BX723">
        <v>717</v>
      </c>
      <c r="BY723" s="89" t="str">
        <f t="shared" si="44"/>
        <v/>
      </c>
      <c r="BZ723" s="89" t="str">
        <f t="shared" si="45"/>
        <v/>
      </c>
      <c r="CA723" s="89" t="str">
        <f t="shared" si="46"/>
        <v/>
      </c>
    </row>
    <row r="724" spans="72:79" hidden="1" x14ac:dyDescent="0.25">
      <c r="BT724" t="str">
        <f>IF(FFARawStatProjections!A719=0,"",FFARawStatProjections!A719)</f>
        <v>Devin Asiasi</v>
      </c>
      <c r="BU724" t="str">
        <f>IF(FFARawStatProjections!C719=0,"",FFARawStatProjections!C719)</f>
        <v>TE</v>
      </c>
      <c r="BV724" t="str">
        <f>IF(FFARawStatProjections!B719=0,"",FFARawStatProjections!B719)</f>
        <v>CIN</v>
      </c>
      <c r="BX724">
        <v>718</v>
      </c>
      <c r="BY724" s="89" t="str">
        <f t="shared" si="44"/>
        <v/>
      </c>
      <c r="BZ724" s="89" t="str">
        <f t="shared" si="45"/>
        <v/>
      </c>
      <c r="CA724" s="89" t="str">
        <f t="shared" si="46"/>
        <v/>
      </c>
    </row>
    <row r="725" spans="72:79" hidden="1" x14ac:dyDescent="0.25">
      <c r="BT725" t="str">
        <f>IF(FFARawStatProjections!A720=0,"",FFARawStatProjections!A720)</f>
        <v>Mitchell Wilcox</v>
      </c>
      <c r="BU725" t="str">
        <f>IF(FFARawStatProjections!C720=0,"",FFARawStatProjections!C720)</f>
        <v>TE</v>
      </c>
      <c r="BV725" t="str">
        <f>IF(FFARawStatProjections!B720=0,"",FFARawStatProjections!B720)</f>
        <v>CIN</v>
      </c>
      <c r="BX725">
        <v>719</v>
      </c>
      <c r="BY725" s="89" t="str">
        <f t="shared" si="44"/>
        <v/>
      </c>
      <c r="BZ725" s="89" t="str">
        <f t="shared" si="45"/>
        <v/>
      </c>
      <c r="CA725" s="89" t="str">
        <f t="shared" si="46"/>
        <v/>
      </c>
    </row>
    <row r="726" spans="72:79" hidden="1" x14ac:dyDescent="0.25">
      <c r="BT726" t="str">
        <f>IF(FFARawStatProjections!A721=0,"",FFARawStatProjections!A721)</f>
        <v>Shane Zylstra</v>
      </c>
      <c r="BU726" t="str">
        <f>IF(FFARawStatProjections!C721=0,"",FFARawStatProjections!C721)</f>
        <v>TE</v>
      </c>
      <c r="BV726" t="str">
        <f>IF(FFARawStatProjections!B721=0,"",FFARawStatProjections!B721)</f>
        <v>DET</v>
      </c>
      <c r="BX726">
        <v>720</v>
      </c>
      <c r="BY726" s="89" t="str">
        <f t="shared" si="44"/>
        <v/>
      </c>
      <c r="BZ726" s="89" t="str">
        <f t="shared" si="45"/>
        <v/>
      </c>
      <c r="CA726" s="89" t="str">
        <f t="shared" si="46"/>
        <v/>
      </c>
    </row>
    <row r="727" spans="72:79" hidden="1" x14ac:dyDescent="0.25">
      <c r="BT727" t="str">
        <f>IF(FFARawStatProjections!A722=0,"",FFARawStatProjections!A722)</f>
        <v>Grant Calcaterra</v>
      </c>
      <c r="BU727" t="str">
        <f>IF(FFARawStatProjections!C722=0,"",FFARawStatProjections!C722)</f>
        <v>TE</v>
      </c>
      <c r="BV727" t="str">
        <f>IF(FFARawStatProjections!B722=0,"",FFARawStatProjections!B722)</f>
        <v>PHI</v>
      </c>
      <c r="BX727">
        <v>721</v>
      </c>
      <c r="BY727" s="89" t="str">
        <f t="shared" si="44"/>
        <v/>
      </c>
      <c r="BZ727" s="89" t="str">
        <f t="shared" si="45"/>
        <v/>
      </c>
      <c r="CA727" s="89" t="str">
        <f t="shared" si="46"/>
        <v/>
      </c>
    </row>
    <row r="728" spans="72:79" hidden="1" x14ac:dyDescent="0.25">
      <c r="BT728" t="str">
        <f>IF(FFARawStatProjections!A723=0,"",FFARawStatProjections!A723)</f>
        <v>Chris Manhertz</v>
      </c>
      <c r="BU728" t="str">
        <f>IF(FFARawStatProjections!C723=0,"",FFARawStatProjections!C723)</f>
        <v>TE</v>
      </c>
      <c r="BV728" t="str">
        <f>IF(FFARawStatProjections!B723=0,"",FFARawStatProjections!B723)</f>
        <v>DEN</v>
      </c>
      <c r="BX728">
        <v>722</v>
      </c>
      <c r="BY728" s="89" t="str">
        <f t="shared" si="44"/>
        <v/>
      </c>
      <c r="BZ728" s="89" t="str">
        <f t="shared" si="45"/>
        <v/>
      </c>
      <c r="CA728" s="89" t="str">
        <f t="shared" si="46"/>
        <v/>
      </c>
    </row>
    <row r="729" spans="72:79" hidden="1" x14ac:dyDescent="0.25">
      <c r="BT729" t="str">
        <f>IF(FFARawStatProjections!A724=0,"",FFARawStatProjections!A724)</f>
        <v>Anthony Firkser</v>
      </c>
      <c r="BU729" t="str">
        <f>IF(FFARawStatProjections!C724=0,"",FFARawStatProjections!C724)</f>
        <v>TE</v>
      </c>
      <c r="BV729" t="str">
        <f>IF(FFARawStatProjections!B724=0,"",FFARawStatProjections!B724)</f>
        <v>NE</v>
      </c>
      <c r="BX729">
        <v>723</v>
      </c>
      <c r="BY729" s="89" t="str">
        <f t="shared" si="44"/>
        <v/>
      </c>
      <c r="BZ729" s="89" t="str">
        <f t="shared" si="45"/>
        <v/>
      </c>
      <c r="CA729" s="89" t="str">
        <f t="shared" si="46"/>
        <v/>
      </c>
    </row>
    <row r="730" spans="72:79" hidden="1" x14ac:dyDescent="0.25">
      <c r="BT730" t="str">
        <f>IF(FFARawStatProjections!A725=0,"",FFARawStatProjections!A725)</f>
        <v>Eric Tomlinson</v>
      </c>
      <c r="BU730" t="str">
        <f>IF(FFARawStatProjections!C725=0,"",FFARawStatProjections!C725)</f>
        <v>TE</v>
      </c>
      <c r="BV730" t="str">
        <f>IF(FFARawStatProjections!B725=0,"",FFARawStatProjections!B725)</f>
        <v>HOU</v>
      </c>
      <c r="BX730">
        <v>724</v>
      </c>
      <c r="BY730" s="89" t="str">
        <f t="shared" si="44"/>
        <v/>
      </c>
      <c r="BZ730" s="89" t="str">
        <f t="shared" si="45"/>
        <v/>
      </c>
      <c r="CA730" s="89" t="str">
        <f t="shared" si="46"/>
        <v/>
      </c>
    </row>
    <row r="731" spans="72:79" hidden="1" x14ac:dyDescent="0.25">
      <c r="BT731" t="str">
        <f>IF(FFARawStatProjections!A726=0,"",FFARawStatProjections!A726)</f>
        <v>Charlie Woerner</v>
      </c>
      <c r="BU731" t="str">
        <f>IF(FFARawStatProjections!C726=0,"",FFARawStatProjections!C726)</f>
        <v>TE</v>
      </c>
      <c r="BV731" t="str">
        <f>IF(FFARawStatProjections!B726=0,"",FFARawStatProjections!B726)</f>
        <v>SF</v>
      </c>
      <c r="BX731">
        <v>725</v>
      </c>
      <c r="BY731" s="89" t="str">
        <f t="shared" si="44"/>
        <v/>
      </c>
      <c r="BZ731" s="89" t="str">
        <f t="shared" si="45"/>
        <v/>
      </c>
      <c r="CA731" s="89" t="str">
        <f t="shared" si="46"/>
        <v/>
      </c>
    </row>
    <row r="732" spans="72:79" hidden="1" x14ac:dyDescent="0.25">
      <c r="BT732" t="str">
        <f>IF(FFARawStatProjections!A727=0,"",FFARawStatProjections!A727)</f>
        <v>Nick Vannett</v>
      </c>
      <c r="BU732" t="str">
        <f>IF(FFARawStatProjections!C727=0,"",FFARawStatProjections!C727)</f>
        <v>TE</v>
      </c>
      <c r="BV732" t="str">
        <f>IF(FFARawStatProjections!B727=0,"",FFARawStatProjections!B727)</f>
        <v>HOU</v>
      </c>
      <c r="BX732">
        <v>726</v>
      </c>
      <c r="BY732" s="89" t="str">
        <f t="shared" si="44"/>
        <v/>
      </c>
      <c r="BZ732" s="89" t="str">
        <f t="shared" si="45"/>
        <v/>
      </c>
      <c r="CA732" s="89" t="str">
        <f t="shared" si="46"/>
        <v/>
      </c>
    </row>
    <row r="733" spans="72:79" hidden="1" x14ac:dyDescent="0.25">
      <c r="BT733" t="str">
        <f>IF(FFARawStatProjections!A728=0,"",FFARawStatProjections!A728)</f>
        <v>MyCole Pruitt</v>
      </c>
      <c r="BU733" t="str">
        <f>IF(FFARawStatProjections!C728=0,"",FFARawStatProjections!C728)</f>
        <v>TE</v>
      </c>
      <c r="BV733" t="str">
        <f>IF(FFARawStatProjections!B728=0,"",FFARawStatProjections!B728)</f>
        <v>ATL</v>
      </c>
      <c r="BX733">
        <v>727</v>
      </c>
      <c r="BY733" s="89" t="str">
        <f t="shared" si="44"/>
        <v/>
      </c>
      <c r="BZ733" s="89" t="str">
        <f t="shared" si="45"/>
        <v/>
      </c>
      <c r="CA733" s="89" t="str">
        <f t="shared" si="46"/>
        <v/>
      </c>
    </row>
    <row r="734" spans="72:79" hidden="1" x14ac:dyDescent="0.25">
      <c r="BT734" t="str">
        <f>IF(FFARawStatProjections!A729=0,"",FFARawStatProjections!A729)</f>
        <v>Kendall Blanton</v>
      </c>
      <c r="BU734" t="str">
        <f>IF(FFARawStatProjections!C729=0,"",FFARawStatProjections!C729)</f>
        <v>TE</v>
      </c>
      <c r="BV734" t="str">
        <f>IF(FFARawStatProjections!B729=0,"",FFARawStatProjections!B729)</f>
        <v>KC</v>
      </c>
      <c r="BX734">
        <v>728</v>
      </c>
      <c r="BY734" s="89" t="str">
        <f t="shared" si="44"/>
        <v/>
      </c>
      <c r="BZ734" s="89" t="str">
        <f t="shared" si="45"/>
        <v/>
      </c>
      <c r="CA734" s="89" t="str">
        <f t="shared" si="46"/>
        <v/>
      </c>
    </row>
    <row r="735" spans="72:79" hidden="1" x14ac:dyDescent="0.25">
      <c r="BT735" t="str">
        <f>IF(FFARawStatProjections!A730=0,"",FFARawStatProjections!A730)</f>
        <v>Noah Togiai</v>
      </c>
      <c r="BU735" t="str">
        <f>IF(FFARawStatProjections!C730=0,"",FFARawStatProjections!C730)</f>
        <v>TE</v>
      </c>
      <c r="BV735" t="str">
        <f>IF(FFARawStatProjections!B730=0,"",FFARawStatProjections!B730)</f>
        <v>AZ</v>
      </c>
      <c r="BX735">
        <v>729</v>
      </c>
      <c r="BY735" s="89" t="str">
        <f t="shared" si="44"/>
        <v/>
      </c>
      <c r="BZ735" s="89" t="str">
        <f t="shared" si="45"/>
        <v/>
      </c>
      <c r="CA735" s="89" t="str">
        <f t="shared" si="46"/>
        <v/>
      </c>
    </row>
    <row r="736" spans="72:79" hidden="1" x14ac:dyDescent="0.25">
      <c r="BT736" t="str">
        <f>IF(FFARawStatProjections!A731=0,"",FFARawStatProjections!A731)</f>
        <v>David Wells</v>
      </c>
      <c r="BU736" t="str">
        <f>IF(FFARawStatProjections!C731=0,"",FFARawStatProjections!C731)</f>
        <v>TE</v>
      </c>
      <c r="BV736" t="str">
        <f>IF(FFARawStatProjections!B731=0,"",FFARawStatProjections!B731)</f>
        <v>TB</v>
      </c>
      <c r="BX736">
        <v>730</v>
      </c>
      <c r="BY736" s="89" t="str">
        <f t="shared" si="44"/>
        <v/>
      </c>
      <c r="BZ736" s="89" t="str">
        <f t="shared" si="45"/>
        <v/>
      </c>
      <c r="CA736" s="89" t="str">
        <f t="shared" si="46"/>
        <v/>
      </c>
    </row>
    <row r="737" spans="72:79" hidden="1" x14ac:dyDescent="0.25">
      <c r="BT737" t="str">
        <f>IF(FFARawStatProjections!A732=0,"",FFARawStatProjections!A732)</f>
        <v>Dominique Dafney</v>
      </c>
      <c r="BU737" t="str">
        <f>IF(FFARawStatProjections!C732=0,"",FFARawStatProjections!C732)</f>
        <v>TE</v>
      </c>
      <c r="BV737" t="str">
        <f>IF(FFARawStatProjections!B732=0,"",FFARawStatProjections!B732)</f>
        <v>TB</v>
      </c>
      <c r="BX737">
        <v>731</v>
      </c>
      <c r="BY737" s="89" t="str">
        <f t="shared" si="44"/>
        <v/>
      </c>
      <c r="BZ737" s="89" t="str">
        <f t="shared" si="45"/>
        <v/>
      </c>
      <c r="CA737" s="89" t="str">
        <f t="shared" si="46"/>
        <v/>
      </c>
    </row>
    <row r="738" spans="72:79" hidden="1" x14ac:dyDescent="0.25">
      <c r="BT738" t="str">
        <f>IF(FFARawStatProjections!A733=0,"",FFARawStatProjections!A733)</f>
        <v>Giovanni Ricci</v>
      </c>
      <c r="BU738" t="str">
        <f>IF(FFARawStatProjections!C733=0,"",FFARawStatProjections!C733)</f>
        <v>TE</v>
      </c>
      <c r="BV738" t="str">
        <f>IF(FFARawStatProjections!B733=0,"",FFARawStatProjections!B733)</f>
        <v>CAR</v>
      </c>
      <c r="BX738">
        <v>732</v>
      </c>
      <c r="BY738" s="89" t="str">
        <f t="shared" si="44"/>
        <v/>
      </c>
      <c r="BZ738" s="89" t="str">
        <f t="shared" si="45"/>
        <v/>
      </c>
      <c r="CA738" s="89" t="str">
        <f t="shared" si="46"/>
        <v/>
      </c>
    </row>
    <row r="739" spans="72:79" hidden="1" x14ac:dyDescent="0.25">
      <c r="BT739" t="str">
        <f>IF(FFARawStatProjections!A734=0,"",FFARawStatProjections!A734)</f>
        <v>Tanner Conner</v>
      </c>
      <c r="BU739" t="str">
        <f>IF(FFARawStatProjections!C734=0,"",FFARawStatProjections!C734)</f>
        <v>TE</v>
      </c>
      <c r="BV739" t="str">
        <f>IF(FFARawStatProjections!B734=0,"",FFARawStatProjections!B734)</f>
        <v>MIA</v>
      </c>
      <c r="BX739">
        <v>733</v>
      </c>
      <c r="BY739" s="89" t="str">
        <f t="shared" si="44"/>
        <v/>
      </c>
      <c r="BZ739" s="89" t="str">
        <f t="shared" si="45"/>
        <v/>
      </c>
      <c r="CA739" s="89" t="str">
        <f t="shared" si="46"/>
        <v/>
      </c>
    </row>
    <row r="740" spans="72:79" hidden="1" x14ac:dyDescent="0.25">
      <c r="BT740" t="str">
        <f>IF(FFARawStatProjections!A735=0,"",FFARawStatProjections!A735)</f>
        <v>Tyler Davis</v>
      </c>
      <c r="BU740" t="str">
        <f>IF(FFARawStatProjections!C735=0,"",FFARawStatProjections!C735)</f>
        <v>TE</v>
      </c>
      <c r="BV740" t="str">
        <f>IF(FFARawStatProjections!B735=0,"",FFARawStatProjections!B735)</f>
        <v>GB</v>
      </c>
      <c r="BX740">
        <v>734</v>
      </c>
      <c r="BY740" s="89" t="str">
        <f t="shared" si="44"/>
        <v/>
      </c>
      <c r="BZ740" s="89" t="str">
        <f t="shared" si="45"/>
        <v/>
      </c>
      <c r="CA740" s="89" t="str">
        <f t="shared" si="46"/>
        <v/>
      </c>
    </row>
    <row r="741" spans="72:79" hidden="1" x14ac:dyDescent="0.25">
      <c r="BT741" t="str">
        <f>IF(FFARawStatProjections!A736=0,"",FFARawStatProjections!A736)</f>
        <v>Tyree Jackson</v>
      </c>
      <c r="BU741" t="str">
        <f>IF(FFARawStatProjections!C736=0,"",FFARawStatProjections!C736)</f>
        <v>TE</v>
      </c>
      <c r="BV741" t="str">
        <f>IF(FFARawStatProjections!B736=0,"",FFARawStatProjections!B736)</f>
        <v>PHI</v>
      </c>
      <c r="BX741">
        <v>735</v>
      </c>
      <c r="BY741" s="89" t="str">
        <f t="shared" si="44"/>
        <v/>
      </c>
      <c r="BZ741" s="89" t="str">
        <f t="shared" si="45"/>
        <v/>
      </c>
      <c r="CA741" s="89" t="str">
        <f t="shared" si="46"/>
        <v/>
      </c>
    </row>
    <row r="742" spans="72:79" hidden="1" x14ac:dyDescent="0.25">
      <c r="BT742" t="str">
        <f>IF(FFARawStatProjections!A737=0,"",FFARawStatProjections!A737)</f>
        <v>Mason Schreck</v>
      </c>
      <c r="BU742" t="str">
        <f>IF(FFARawStatProjections!C737=0,"",FFARawStatProjections!C737)</f>
        <v>TE</v>
      </c>
      <c r="BV742" t="str">
        <f>IF(FFARawStatProjections!B737=0,"",FFARawStatProjections!B737)</f>
        <v>HOU</v>
      </c>
      <c r="BX742">
        <v>736</v>
      </c>
      <c r="BY742" s="89" t="str">
        <f t="shared" si="44"/>
        <v/>
      </c>
      <c r="BZ742" s="89" t="str">
        <f t="shared" si="45"/>
        <v/>
      </c>
      <c r="CA742" s="89" t="str">
        <f t="shared" si="46"/>
        <v/>
      </c>
    </row>
    <row r="743" spans="72:79" hidden="1" x14ac:dyDescent="0.25">
      <c r="BT743" t="str">
        <f>IF(FFARawStatProjections!A738=0,"",FFARawStatProjections!A738)</f>
        <v>Dalton Keene</v>
      </c>
      <c r="BU743" t="str">
        <f>IF(FFARawStatProjections!C738=0,"",FFARawStatProjections!C738)</f>
        <v>TE</v>
      </c>
      <c r="BV743" t="str">
        <f>IF(FFARawStatProjections!B738=0,"",FFARawStatProjections!B738)</f>
        <v>HOU</v>
      </c>
      <c r="BX743">
        <v>737</v>
      </c>
      <c r="BY743" s="89" t="str">
        <f t="shared" si="44"/>
        <v/>
      </c>
      <c r="BZ743" s="89" t="str">
        <f t="shared" si="45"/>
        <v/>
      </c>
      <c r="CA743" s="89" t="str">
        <f t="shared" si="46"/>
        <v/>
      </c>
    </row>
    <row r="744" spans="72:79" hidden="1" x14ac:dyDescent="0.25">
      <c r="BT744" t="str">
        <f>IF(FFARawStatProjections!A739=0,"",FFARawStatProjections!A739)</f>
        <v>Tommy Sweeney</v>
      </c>
      <c r="BU744" t="str">
        <f>IF(FFARawStatProjections!C739=0,"",FFARawStatProjections!C739)</f>
        <v>TE</v>
      </c>
      <c r="BV744" t="str">
        <f>IF(FFARawStatProjections!B739=0,"",FFARawStatProjections!B739)</f>
        <v>NYG</v>
      </c>
      <c r="BX744">
        <v>738</v>
      </c>
      <c r="BY744" s="89" t="str">
        <f t="shared" si="44"/>
        <v/>
      </c>
      <c r="BZ744" s="89" t="str">
        <f t="shared" si="45"/>
        <v/>
      </c>
      <c r="CA744" s="89" t="str">
        <f t="shared" si="46"/>
        <v/>
      </c>
    </row>
    <row r="745" spans="72:79" hidden="1" x14ac:dyDescent="0.25">
      <c r="BT745" t="str">
        <f>IF(FFARawStatProjections!A740=0,"",FFARawStatProjections!A740)</f>
        <v>Parker Hesse</v>
      </c>
      <c r="BU745" t="str">
        <f>IF(FFARawStatProjections!C740=0,"",FFARawStatProjections!C740)</f>
        <v>TE</v>
      </c>
      <c r="BV745" t="str">
        <f>IF(FFARawStatProjections!B740=0,"",FFARawStatProjections!B740)</f>
        <v>ATL</v>
      </c>
      <c r="BX745">
        <v>739</v>
      </c>
      <c r="BY745" s="89" t="str">
        <f t="shared" si="44"/>
        <v/>
      </c>
      <c r="BZ745" s="89" t="str">
        <f t="shared" si="45"/>
        <v/>
      </c>
      <c r="CA745" s="89" t="str">
        <f t="shared" si="46"/>
        <v/>
      </c>
    </row>
    <row r="746" spans="72:79" hidden="1" x14ac:dyDescent="0.25">
      <c r="BT746" t="str">
        <f>IF(FFARawStatProjections!A741=0,"",FFARawStatProjections!A741)</f>
        <v>Pharaoh Brown</v>
      </c>
      <c r="BU746" t="str">
        <f>IF(FFARawStatProjections!C741=0,"",FFARawStatProjections!C741)</f>
        <v>TE</v>
      </c>
      <c r="BV746" t="str">
        <f>IF(FFARawStatProjections!B741=0,"",FFARawStatProjections!B741)</f>
        <v>IND</v>
      </c>
      <c r="BX746">
        <v>740</v>
      </c>
      <c r="BY746" s="89" t="str">
        <f t="shared" si="44"/>
        <v/>
      </c>
      <c r="BZ746" s="89" t="str">
        <f t="shared" si="45"/>
        <v/>
      </c>
      <c r="CA746" s="89" t="str">
        <f t="shared" si="46"/>
        <v/>
      </c>
    </row>
    <row r="747" spans="72:79" hidden="1" x14ac:dyDescent="0.25">
      <c r="BT747" t="str">
        <f>IF(FFARawStatProjections!A742=0,"",FFARawStatProjections!A742)</f>
        <v>Chris Myarick</v>
      </c>
      <c r="BU747" t="str">
        <f>IF(FFARawStatProjections!C742=0,"",FFARawStatProjections!C742)</f>
        <v>TE</v>
      </c>
      <c r="BV747" t="str">
        <f>IF(FFARawStatProjections!B742=0,"",FFARawStatProjections!B742)</f>
        <v>NYG</v>
      </c>
      <c r="BX747">
        <v>741</v>
      </c>
      <c r="BY747" s="89" t="str">
        <f t="shared" si="44"/>
        <v/>
      </c>
      <c r="BZ747" s="89" t="str">
        <f t="shared" si="45"/>
        <v/>
      </c>
      <c r="CA747" s="89" t="str">
        <f t="shared" si="46"/>
        <v/>
      </c>
    </row>
    <row r="748" spans="72:79" hidden="1" x14ac:dyDescent="0.25">
      <c r="BT748" t="str">
        <f>IF(FFARawStatProjections!A743=0,"",FFARawStatProjections!A743)</f>
        <v>Tyler Mabry</v>
      </c>
      <c r="BU748" t="str">
        <f>IF(FFARawStatProjections!C743=0,"",FFARawStatProjections!C743)</f>
        <v>TE</v>
      </c>
      <c r="BV748" t="str">
        <f>IF(FFARawStatProjections!B743=0,"",FFARawStatProjections!B743)</f>
        <v>SEA</v>
      </c>
      <c r="BX748">
        <v>742</v>
      </c>
      <c r="BY748" s="89" t="str">
        <f t="shared" si="44"/>
        <v/>
      </c>
      <c r="BZ748" s="89" t="str">
        <f t="shared" si="45"/>
        <v/>
      </c>
      <c r="CA748" s="89" t="str">
        <f t="shared" si="46"/>
        <v/>
      </c>
    </row>
    <row r="749" spans="72:79" hidden="1" x14ac:dyDescent="0.25">
      <c r="BT749" t="str">
        <f>IF(FFARawStatProjections!A744=0,"",FFARawStatProjections!A744)</f>
        <v>Feleipe Franks</v>
      </c>
      <c r="BU749" t="str">
        <f>IF(FFARawStatProjections!C744=0,"",FFARawStatProjections!C744)</f>
        <v>TE</v>
      </c>
      <c r="BV749" t="str">
        <f>IF(FFARawStatProjections!B744=0,"",FFARawStatProjections!B744)</f>
        <v>ATL</v>
      </c>
      <c r="BX749">
        <v>743</v>
      </c>
      <c r="BY749" s="89" t="str">
        <f t="shared" si="44"/>
        <v/>
      </c>
      <c r="BZ749" s="89" t="str">
        <f t="shared" si="45"/>
        <v/>
      </c>
      <c r="CA749" s="89" t="str">
        <f t="shared" si="46"/>
        <v/>
      </c>
    </row>
    <row r="750" spans="72:79" hidden="1" x14ac:dyDescent="0.25">
      <c r="BT750" t="str">
        <f>IF(FFARawStatProjections!A745=0,"",FFARawStatProjections!A745)</f>
        <v>Kaden Smith</v>
      </c>
      <c r="BU750" t="str">
        <f>IF(FFARawStatProjections!C745=0,"",FFARawStatProjections!C745)</f>
        <v>TE</v>
      </c>
      <c r="BV750" t="str">
        <f>IF(FFARawStatProjections!B745=0,"",FFARawStatProjections!B745)</f>
        <v>WAS</v>
      </c>
      <c r="BX750">
        <v>744</v>
      </c>
      <c r="BY750" s="89" t="str">
        <f t="shared" si="44"/>
        <v/>
      </c>
      <c r="BZ750" s="89" t="str">
        <f t="shared" si="45"/>
        <v/>
      </c>
      <c r="CA750" s="89" t="str">
        <f t="shared" si="46"/>
        <v/>
      </c>
    </row>
    <row r="751" spans="72:79" hidden="1" x14ac:dyDescent="0.25">
      <c r="BT751" t="str">
        <f>IF(FFARawStatProjections!A746=0,"",FFARawStatProjections!A746)</f>
        <v>Matt Sokol</v>
      </c>
      <c r="BU751" t="str">
        <f>IF(FFARawStatProjections!C746=0,"",FFARawStatProjections!C746)</f>
        <v>TE</v>
      </c>
      <c r="BV751" t="str">
        <f>IF(FFARawStatProjections!B746=0,"",FFARawStatProjections!B746)</f>
        <v>NE</v>
      </c>
      <c r="BX751">
        <v>745</v>
      </c>
      <c r="BY751" s="89" t="str">
        <f t="shared" si="44"/>
        <v/>
      </c>
      <c r="BZ751" s="89" t="str">
        <f t="shared" si="45"/>
        <v/>
      </c>
      <c r="CA751" s="89" t="str">
        <f t="shared" si="46"/>
        <v/>
      </c>
    </row>
    <row r="752" spans="72:79" hidden="1" x14ac:dyDescent="0.25">
      <c r="BT752" t="str">
        <f>IF(FFARawStatProjections!A747=0,"",FFARawStatProjections!A747)</f>
        <v>Jacob Hollister</v>
      </c>
      <c r="BU752" t="str">
        <f>IF(FFARawStatProjections!C747=0,"",FFARawStatProjections!C747)</f>
        <v>TE</v>
      </c>
      <c r="BV752" t="str">
        <f>IF(FFARawStatProjections!B747=0,"",FFARawStatProjections!B747)</f>
        <v>LV</v>
      </c>
      <c r="BX752">
        <v>746</v>
      </c>
      <c r="BY752" s="89" t="str">
        <f t="shared" si="44"/>
        <v/>
      </c>
      <c r="BZ752" s="89" t="str">
        <f t="shared" si="45"/>
        <v/>
      </c>
      <c r="CA752" s="89" t="str">
        <f t="shared" si="46"/>
        <v/>
      </c>
    </row>
    <row r="753" spans="72:79" hidden="1" x14ac:dyDescent="0.25">
      <c r="BT753" t="str">
        <f>IF(FFARawStatProjections!A748=0,"",FFARawStatProjections!A748)</f>
        <v>Sean McKeon</v>
      </c>
      <c r="BU753" t="str">
        <f>IF(FFARawStatProjections!C748=0,"",FFARawStatProjections!C748)</f>
        <v>TE</v>
      </c>
      <c r="BV753" t="str">
        <f>IF(FFARawStatProjections!B748=0,"",FFARawStatProjections!B748)</f>
        <v>DAL</v>
      </c>
      <c r="BX753">
        <v>747</v>
      </c>
      <c r="BY753" s="89" t="str">
        <f t="shared" si="44"/>
        <v/>
      </c>
      <c r="BZ753" s="89" t="str">
        <f t="shared" si="45"/>
        <v/>
      </c>
      <c r="CA753" s="89" t="str">
        <f t="shared" si="46"/>
        <v/>
      </c>
    </row>
    <row r="754" spans="72:79" hidden="1" x14ac:dyDescent="0.25">
      <c r="BT754" t="str">
        <f>IF(FFARawStatProjections!A749=0,"",FFARawStatProjections!A749)</f>
        <v>Hunter Kampmoyer</v>
      </c>
      <c r="BU754" t="str">
        <f>IF(FFARawStatProjections!C749=0,"",FFARawStatProjections!C749)</f>
        <v>TE</v>
      </c>
      <c r="BV754" t="str">
        <f>IF(FFARawStatProjections!B749=0,"",FFARawStatProjections!B749)</f>
        <v>LAC</v>
      </c>
      <c r="BX754">
        <v>748</v>
      </c>
      <c r="BY754" s="89" t="str">
        <f t="shared" si="44"/>
        <v/>
      </c>
      <c r="BZ754" s="89" t="str">
        <f t="shared" si="45"/>
        <v/>
      </c>
      <c r="CA754" s="89" t="str">
        <f t="shared" si="46"/>
        <v/>
      </c>
    </row>
    <row r="755" spans="72:79" hidden="1" x14ac:dyDescent="0.25">
      <c r="BT755" t="str">
        <f>IF(FFARawStatProjections!A750=0,"",FFARawStatProjections!A750)</f>
        <v>Ben Mason</v>
      </c>
      <c r="BU755" t="str">
        <f>IF(FFARawStatProjections!C750=0,"",FFARawStatProjections!C750)</f>
        <v>TE</v>
      </c>
      <c r="BV755" t="str">
        <f>IF(FFARawStatProjections!B750=0,"",FFARawStatProjections!B750)</f>
        <v>BAL</v>
      </c>
      <c r="BX755">
        <v>749</v>
      </c>
      <c r="BY755" s="89" t="str">
        <f t="shared" si="44"/>
        <v/>
      </c>
      <c r="BZ755" s="89" t="str">
        <f t="shared" si="45"/>
        <v/>
      </c>
      <c r="CA755" s="89" t="str">
        <f t="shared" si="46"/>
        <v/>
      </c>
    </row>
    <row r="756" spans="72:79" hidden="1" x14ac:dyDescent="0.25">
      <c r="BT756" t="str">
        <f>IF(FFARawStatProjections!A751=0,"",FFARawStatProjections!A751)</f>
        <v/>
      </c>
      <c r="BU756" t="str">
        <f>IF(FFARawStatProjections!C751=0,"",FFARawStatProjections!C751)</f>
        <v>TE</v>
      </c>
      <c r="BV756" t="str">
        <f>IF(FFARawStatProjections!B751=0,"",FFARawStatProjections!B751)</f>
        <v/>
      </c>
      <c r="BX756">
        <v>750</v>
      </c>
      <c r="BY756" s="89" t="str">
        <f t="shared" si="44"/>
        <v/>
      </c>
      <c r="BZ756" s="89" t="str">
        <f t="shared" si="45"/>
        <v/>
      </c>
      <c r="CA756" s="89" t="str">
        <f t="shared" si="46"/>
        <v/>
      </c>
    </row>
    <row r="757" spans="72:79" hidden="1" x14ac:dyDescent="0.25">
      <c r="BT757" t="str">
        <f>IF(FFARawStatProjections!A752=0,"",FFARawStatProjections!A752)</f>
        <v/>
      </c>
      <c r="BU757" t="str">
        <f>IF(FFARawStatProjections!C752=0,"",FFARawStatProjections!C752)</f>
        <v>TE</v>
      </c>
      <c r="BV757" t="str">
        <f>IF(FFARawStatProjections!B752=0,"",FFARawStatProjections!B752)</f>
        <v/>
      </c>
      <c r="BX757">
        <v>751</v>
      </c>
      <c r="BY757" s="89" t="str">
        <f t="shared" si="44"/>
        <v/>
      </c>
      <c r="BZ757" s="89" t="str">
        <f t="shared" si="45"/>
        <v/>
      </c>
      <c r="CA757" s="89" t="str">
        <f t="shared" si="46"/>
        <v/>
      </c>
    </row>
    <row r="758" spans="72:79" hidden="1" x14ac:dyDescent="0.25">
      <c r="BT758" t="str">
        <f>IF(FFARawStatProjections!A753=0,"",FFARawStatProjections!A753)</f>
        <v/>
      </c>
      <c r="BU758" t="str">
        <f>IF(FFARawStatProjections!C753=0,"",FFARawStatProjections!C753)</f>
        <v>TE</v>
      </c>
      <c r="BV758" t="str">
        <f>IF(FFARawStatProjections!B753=0,"",FFARawStatProjections!B753)</f>
        <v/>
      </c>
      <c r="BX758">
        <v>752</v>
      </c>
      <c r="BY758" s="89" t="str">
        <f t="shared" si="44"/>
        <v/>
      </c>
      <c r="BZ758" s="89" t="str">
        <f t="shared" si="45"/>
        <v/>
      </c>
      <c r="CA758" s="89" t="str">
        <f t="shared" si="46"/>
        <v/>
      </c>
    </row>
    <row r="759" spans="72:79" hidden="1" x14ac:dyDescent="0.25">
      <c r="BT759" t="str">
        <f>IF(FFARawStatProjections!A754=0,"",FFARawStatProjections!A754)</f>
        <v/>
      </c>
      <c r="BU759" t="str">
        <f>IF(FFARawStatProjections!C754=0,"",FFARawStatProjections!C754)</f>
        <v>TE</v>
      </c>
      <c r="BV759" t="str">
        <f>IF(FFARawStatProjections!B754=0,"",FFARawStatProjections!B754)</f>
        <v/>
      </c>
      <c r="BX759">
        <v>753</v>
      </c>
      <c r="BY759" s="89" t="str">
        <f t="shared" si="44"/>
        <v/>
      </c>
      <c r="BZ759" s="89" t="str">
        <f t="shared" si="45"/>
        <v/>
      </c>
      <c r="CA759" s="89" t="str">
        <f t="shared" si="46"/>
        <v/>
      </c>
    </row>
    <row r="760" spans="72:79" hidden="1" x14ac:dyDescent="0.25">
      <c r="BT760" t="str">
        <f>IF(FFARawStatProjections!A755=0,"",FFARawStatProjections!A755)</f>
        <v/>
      </c>
      <c r="BU760" t="str">
        <f>IF(FFARawStatProjections!C755=0,"",FFARawStatProjections!C755)</f>
        <v>TE</v>
      </c>
      <c r="BV760" t="str">
        <f>IF(FFARawStatProjections!B755=0,"",FFARawStatProjections!B755)</f>
        <v/>
      </c>
      <c r="BX760">
        <v>754</v>
      </c>
      <c r="BY760" s="89" t="str">
        <f t="shared" si="44"/>
        <v/>
      </c>
      <c r="BZ760" s="89" t="str">
        <f t="shared" si="45"/>
        <v/>
      </c>
      <c r="CA760" s="89" t="str">
        <f t="shared" si="46"/>
        <v/>
      </c>
    </row>
    <row r="761" spans="72:79" hidden="1" x14ac:dyDescent="0.25">
      <c r="BT761" t="str">
        <f>IF(FFARawStatProjections!A756=0,"",FFARawStatProjections!A756)</f>
        <v/>
      </c>
      <c r="BU761" t="str">
        <f>IF(FFARawStatProjections!C756=0,"",FFARawStatProjections!C756)</f>
        <v>TE</v>
      </c>
      <c r="BV761" t="str">
        <f>IF(FFARawStatProjections!B756=0,"",FFARawStatProjections!B756)</f>
        <v/>
      </c>
      <c r="BX761">
        <v>755</v>
      </c>
      <c r="BY761" s="89" t="str">
        <f t="shared" si="44"/>
        <v/>
      </c>
      <c r="BZ761" s="89" t="str">
        <f t="shared" si="45"/>
        <v/>
      </c>
      <c r="CA761" s="89" t="str">
        <f t="shared" si="46"/>
        <v/>
      </c>
    </row>
    <row r="762" spans="72:79" hidden="1" x14ac:dyDescent="0.25">
      <c r="BT762" t="str">
        <f>IF(FFARawStatProjections!A757=0,"",FFARawStatProjections!A757)</f>
        <v/>
      </c>
      <c r="BU762" t="str">
        <f>IF(FFARawStatProjections!C757=0,"",FFARawStatProjections!C757)</f>
        <v>TE</v>
      </c>
      <c r="BV762" t="str">
        <f>IF(FFARawStatProjections!B757=0,"",FFARawStatProjections!B757)</f>
        <v/>
      </c>
      <c r="BX762">
        <v>756</v>
      </c>
      <c r="BY762" s="89" t="str">
        <f t="shared" si="44"/>
        <v/>
      </c>
      <c r="BZ762" s="89" t="str">
        <f t="shared" si="45"/>
        <v/>
      </c>
      <c r="CA762" s="89" t="str">
        <f t="shared" si="46"/>
        <v/>
      </c>
    </row>
    <row r="763" spans="72:79" hidden="1" x14ac:dyDescent="0.25">
      <c r="BT763" t="str">
        <f>IF(FFARawStatProjections!A758=0,"",FFARawStatProjections!A758)</f>
        <v/>
      </c>
      <c r="BU763" t="str">
        <f>IF(FFARawStatProjections!C758=0,"",FFARawStatProjections!C758)</f>
        <v>TE</v>
      </c>
      <c r="BV763" t="str">
        <f>IF(FFARawStatProjections!B758=0,"",FFARawStatProjections!B758)</f>
        <v/>
      </c>
      <c r="BX763">
        <v>757</v>
      </c>
      <c r="BY763" s="89" t="str">
        <f t="shared" si="44"/>
        <v/>
      </c>
      <c r="BZ763" s="89" t="str">
        <f t="shared" si="45"/>
        <v/>
      </c>
      <c r="CA763" s="89" t="str">
        <f t="shared" si="46"/>
        <v/>
      </c>
    </row>
    <row r="764" spans="72:79" hidden="1" x14ac:dyDescent="0.25">
      <c r="BT764" t="str">
        <f>IF(FFARawStatProjections!A759=0,"",FFARawStatProjections!A759)</f>
        <v/>
      </c>
      <c r="BU764" t="str">
        <f>IF(FFARawStatProjections!C759=0,"",FFARawStatProjections!C759)</f>
        <v>TE</v>
      </c>
      <c r="BV764" t="str">
        <f>IF(FFARawStatProjections!B759=0,"",FFARawStatProjections!B759)</f>
        <v/>
      </c>
      <c r="BX764">
        <v>758</v>
      </c>
      <c r="BY764" s="89" t="str">
        <f t="shared" ref="BY764:BY827" si="47">IFERROR(INDEX(BT:BT,MATCH(BX764,BW:BW,0),1),"")</f>
        <v/>
      </c>
      <c r="BZ764" s="89" t="str">
        <f t="shared" ref="BZ764:BZ827" si="48">IFERROR(INDEX(BU:BU,MATCH(BX764,BW:BW,0)),"")</f>
        <v/>
      </c>
      <c r="CA764" s="89" t="str">
        <f t="shared" ref="CA764:CA827" si="49">IFERROR(INDEX(BV:BV,MATCH(BX764,BW:BW,0)),"")</f>
        <v/>
      </c>
    </row>
    <row r="765" spans="72:79" hidden="1" x14ac:dyDescent="0.25">
      <c r="BT765" t="str">
        <f>IF(FFARawStatProjections!A760=0,"",FFARawStatProjections!A760)</f>
        <v/>
      </c>
      <c r="BU765" t="str">
        <f>IF(FFARawStatProjections!C760=0,"",FFARawStatProjections!C760)</f>
        <v>TE</v>
      </c>
      <c r="BV765" t="str">
        <f>IF(FFARawStatProjections!B760=0,"",FFARawStatProjections!B760)</f>
        <v/>
      </c>
      <c r="BX765">
        <v>759</v>
      </c>
      <c r="BY765" s="89" t="str">
        <f t="shared" si="47"/>
        <v/>
      </c>
      <c r="BZ765" s="89" t="str">
        <f t="shared" si="48"/>
        <v/>
      </c>
      <c r="CA765" s="89" t="str">
        <f t="shared" si="49"/>
        <v/>
      </c>
    </row>
    <row r="766" spans="72:79" hidden="1" x14ac:dyDescent="0.25">
      <c r="BT766" t="str">
        <f>IF(FFARawStatProjections!A761=0,"",FFARawStatProjections!A761)</f>
        <v/>
      </c>
      <c r="BU766" t="str">
        <f>IF(FFARawStatProjections!C761=0,"",FFARawStatProjections!C761)</f>
        <v>TE</v>
      </c>
      <c r="BV766" t="str">
        <f>IF(FFARawStatProjections!B761=0,"",FFARawStatProjections!B761)</f>
        <v/>
      </c>
      <c r="BX766">
        <v>760</v>
      </c>
      <c r="BY766" s="89" t="str">
        <f t="shared" si="47"/>
        <v/>
      </c>
      <c r="BZ766" s="89" t="str">
        <f t="shared" si="48"/>
        <v/>
      </c>
      <c r="CA766" s="89" t="str">
        <f t="shared" si="49"/>
        <v/>
      </c>
    </row>
    <row r="767" spans="72:79" hidden="1" x14ac:dyDescent="0.25">
      <c r="BT767" t="str">
        <f>IF(FFARawStatProjections!A762=0,"",FFARawStatProjections!A762)</f>
        <v/>
      </c>
      <c r="BU767" t="str">
        <f>IF(FFARawStatProjections!C762=0,"",FFARawStatProjections!C762)</f>
        <v>TE</v>
      </c>
      <c r="BV767" t="str">
        <f>IF(FFARawStatProjections!B762=0,"",FFARawStatProjections!B762)</f>
        <v/>
      </c>
      <c r="BX767">
        <v>761</v>
      </c>
      <c r="BY767" s="89" t="str">
        <f t="shared" si="47"/>
        <v/>
      </c>
      <c r="BZ767" s="89" t="str">
        <f t="shared" si="48"/>
        <v/>
      </c>
      <c r="CA767" s="89" t="str">
        <f t="shared" si="49"/>
        <v/>
      </c>
    </row>
    <row r="768" spans="72:79" hidden="1" x14ac:dyDescent="0.25">
      <c r="BT768" t="str">
        <f>IF(FFARawStatProjections!A763=0,"",FFARawStatProjections!A763)</f>
        <v/>
      </c>
      <c r="BU768" t="str">
        <f>IF(FFARawStatProjections!C763=0,"",FFARawStatProjections!C763)</f>
        <v>TE</v>
      </c>
      <c r="BV768" t="str">
        <f>IF(FFARawStatProjections!B763=0,"",FFARawStatProjections!B763)</f>
        <v/>
      </c>
      <c r="BX768">
        <v>762</v>
      </c>
      <c r="BY768" s="89" t="str">
        <f t="shared" si="47"/>
        <v/>
      </c>
      <c r="BZ768" s="89" t="str">
        <f t="shared" si="48"/>
        <v/>
      </c>
      <c r="CA768" s="89" t="str">
        <f t="shared" si="49"/>
        <v/>
      </c>
    </row>
    <row r="769" spans="72:79" hidden="1" x14ac:dyDescent="0.25">
      <c r="BT769" t="str">
        <f>IF(FFARawStatProjections!A764=0,"",FFARawStatProjections!A764)</f>
        <v/>
      </c>
      <c r="BU769" t="str">
        <f>IF(FFARawStatProjections!C764=0,"",FFARawStatProjections!C764)</f>
        <v>TE</v>
      </c>
      <c r="BV769" t="str">
        <f>IF(FFARawStatProjections!B764=0,"",FFARawStatProjections!B764)</f>
        <v/>
      </c>
      <c r="BX769">
        <v>763</v>
      </c>
      <c r="BY769" s="89" t="str">
        <f t="shared" si="47"/>
        <v/>
      </c>
      <c r="BZ769" s="89" t="str">
        <f t="shared" si="48"/>
        <v/>
      </c>
      <c r="CA769" s="89" t="str">
        <f t="shared" si="49"/>
        <v/>
      </c>
    </row>
    <row r="770" spans="72:79" hidden="1" x14ac:dyDescent="0.25">
      <c r="BT770" t="str">
        <f>IF(FFARawStatProjections!A765=0,"",FFARawStatProjections!A765)</f>
        <v/>
      </c>
      <c r="BU770" t="str">
        <f>IF(FFARawStatProjections!C765=0,"",FFARawStatProjections!C765)</f>
        <v>TE</v>
      </c>
      <c r="BV770" t="str">
        <f>IF(FFARawStatProjections!B765=0,"",FFARawStatProjections!B765)</f>
        <v/>
      </c>
      <c r="BX770">
        <v>764</v>
      </c>
      <c r="BY770" s="89" t="str">
        <f t="shared" si="47"/>
        <v/>
      </c>
      <c r="BZ770" s="89" t="str">
        <f t="shared" si="48"/>
        <v/>
      </c>
      <c r="CA770" s="89" t="str">
        <f t="shared" si="49"/>
        <v/>
      </c>
    </row>
    <row r="771" spans="72:79" hidden="1" x14ac:dyDescent="0.25">
      <c r="BT771" t="str">
        <f>IF(FFARawStatProjections!A766=0,"",FFARawStatProjections!A766)</f>
        <v/>
      </c>
      <c r="BU771" t="str">
        <f>IF(FFARawStatProjections!C766=0,"",FFARawStatProjections!C766)</f>
        <v/>
      </c>
      <c r="BV771" t="str">
        <f>IF(FFARawStatProjections!B766=0,"",FFARawStatProjections!B766)</f>
        <v/>
      </c>
      <c r="BX771">
        <v>765</v>
      </c>
      <c r="BY771" s="89" t="str">
        <f t="shared" si="47"/>
        <v/>
      </c>
      <c r="BZ771" s="89" t="str">
        <f t="shared" si="48"/>
        <v/>
      </c>
      <c r="CA771" s="89" t="str">
        <f t="shared" si="49"/>
        <v/>
      </c>
    </row>
    <row r="772" spans="72:79" hidden="1" x14ac:dyDescent="0.25">
      <c r="BT772" t="str">
        <f>IF(FFARawStatProjections!A767=0,"",FFARawStatProjections!A767)</f>
        <v>Zane Gonzalez</v>
      </c>
      <c r="BU772" t="str">
        <f>IF(FFARawStatProjections!C767=0,"",FFARawStatProjections!C767)</f>
        <v>K</v>
      </c>
      <c r="BV772" t="str">
        <f>IF(FFARawStatProjections!B767=0,"",FFARawStatProjections!B767)</f>
        <v>SF</v>
      </c>
      <c r="BX772">
        <v>766</v>
      </c>
      <c r="BY772" s="89" t="str">
        <f t="shared" si="47"/>
        <v/>
      </c>
      <c r="BZ772" s="89" t="str">
        <f t="shared" si="48"/>
        <v/>
      </c>
      <c r="CA772" s="89" t="str">
        <f t="shared" si="49"/>
        <v/>
      </c>
    </row>
    <row r="773" spans="72:79" hidden="1" x14ac:dyDescent="0.25">
      <c r="BT773" t="str">
        <f>IF(FFARawStatProjections!A768=0,"",FFARawStatProjections!A768)</f>
        <v>Greg Joseph</v>
      </c>
      <c r="BU773" t="str">
        <f>IF(FFARawStatProjections!C768=0,"",FFARawStatProjections!C768)</f>
        <v>K</v>
      </c>
      <c r="BV773" t="str">
        <f>IF(FFARawStatProjections!B768=0,"",FFARawStatProjections!B768)</f>
        <v>MIN</v>
      </c>
      <c r="BX773">
        <v>767</v>
      </c>
      <c r="BY773" s="89" t="str">
        <f t="shared" si="47"/>
        <v/>
      </c>
      <c r="BZ773" s="89" t="str">
        <f t="shared" si="48"/>
        <v/>
      </c>
      <c r="CA773" s="89" t="str">
        <f t="shared" si="49"/>
        <v/>
      </c>
    </row>
    <row r="774" spans="72:79" hidden="1" x14ac:dyDescent="0.25">
      <c r="BT774" t="str">
        <f>IF(FFARawStatProjections!A769=0,"",FFARawStatProjections!A769)</f>
        <v>Justin Tucker</v>
      </c>
      <c r="BU774" t="str">
        <f>IF(FFARawStatProjections!C769=0,"",FFARawStatProjections!C769)</f>
        <v>K</v>
      </c>
      <c r="BV774" t="str">
        <f>IF(FFARawStatProjections!B769=0,"",FFARawStatProjections!B769)</f>
        <v>BAL</v>
      </c>
      <c r="BX774">
        <v>768</v>
      </c>
      <c r="BY774" s="89" t="str">
        <f t="shared" si="47"/>
        <v/>
      </c>
      <c r="BZ774" s="89" t="str">
        <f t="shared" si="48"/>
        <v/>
      </c>
      <c r="CA774" s="89" t="str">
        <f t="shared" si="49"/>
        <v/>
      </c>
    </row>
    <row r="775" spans="72:79" hidden="1" x14ac:dyDescent="0.25">
      <c r="BT775" t="str">
        <f>IF(FFARawStatProjections!A770=0,"",FFARawStatProjections!A770)</f>
        <v>Jason Myers</v>
      </c>
      <c r="BU775" t="str">
        <f>IF(FFARawStatProjections!C770=0,"",FFARawStatProjections!C770)</f>
        <v>K</v>
      </c>
      <c r="BV775" t="str">
        <f>IF(FFARawStatProjections!B770=0,"",FFARawStatProjections!B770)</f>
        <v>SEA</v>
      </c>
      <c r="BX775">
        <v>769</v>
      </c>
      <c r="BY775" s="89" t="str">
        <f t="shared" si="47"/>
        <v/>
      </c>
      <c r="BZ775" s="89" t="str">
        <f t="shared" si="48"/>
        <v/>
      </c>
      <c r="CA775" s="89" t="str">
        <f t="shared" si="49"/>
        <v/>
      </c>
    </row>
    <row r="776" spans="72:79" hidden="1" x14ac:dyDescent="0.25">
      <c r="BT776" t="str">
        <f>IF(FFARawStatProjections!A771=0,"",FFARawStatProjections!A771)</f>
        <v>Harrison Butker</v>
      </c>
      <c r="BU776" t="str">
        <f>IF(FFARawStatProjections!C771=0,"",FFARawStatProjections!C771)</f>
        <v>K</v>
      </c>
      <c r="BV776" t="str">
        <f>IF(FFARawStatProjections!B771=0,"",FFARawStatProjections!B771)</f>
        <v>KC</v>
      </c>
      <c r="BX776">
        <v>770</v>
      </c>
      <c r="BY776" s="89" t="str">
        <f t="shared" si="47"/>
        <v/>
      </c>
      <c r="BZ776" s="89" t="str">
        <f t="shared" si="48"/>
        <v/>
      </c>
      <c r="CA776" s="89" t="str">
        <f t="shared" si="49"/>
        <v/>
      </c>
    </row>
    <row r="777" spans="72:79" hidden="1" x14ac:dyDescent="0.25">
      <c r="BT777" t="str">
        <f>IF(FFARawStatProjections!A772=0,"",FFARawStatProjections!A772)</f>
        <v>Evan McPherson</v>
      </c>
      <c r="BU777" t="str">
        <f>IF(FFARawStatProjections!C772=0,"",FFARawStatProjections!C772)</f>
        <v>K</v>
      </c>
      <c r="BV777" t="str">
        <f>IF(FFARawStatProjections!B772=0,"",FFARawStatProjections!B772)</f>
        <v>CIN</v>
      </c>
      <c r="BX777">
        <v>771</v>
      </c>
      <c r="BY777" s="89" t="str">
        <f t="shared" si="47"/>
        <v/>
      </c>
      <c r="BZ777" s="89" t="str">
        <f t="shared" si="48"/>
        <v/>
      </c>
      <c r="CA777" s="89" t="str">
        <f t="shared" si="49"/>
        <v/>
      </c>
    </row>
    <row r="778" spans="72:79" hidden="1" x14ac:dyDescent="0.25">
      <c r="BT778" t="str">
        <f>IF(FFARawStatProjections!A773=0,"",FFARawStatProjections!A773)</f>
        <v>Tyler Bass</v>
      </c>
      <c r="BU778" t="str">
        <f>IF(FFARawStatProjections!C773=0,"",FFARawStatProjections!C773)</f>
        <v>K</v>
      </c>
      <c r="BV778" t="str">
        <f>IF(FFARawStatProjections!B773=0,"",FFARawStatProjections!B773)</f>
        <v>BUF</v>
      </c>
      <c r="BX778">
        <v>772</v>
      </c>
      <c r="BY778" s="89" t="str">
        <f t="shared" si="47"/>
        <v/>
      </c>
      <c r="BZ778" s="89" t="str">
        <f t="shared" si="48"/>
        <v/>
      </c>
      <c r="CA778" s="89" t="str">
        <f t="shared" si="49"/>
        <v/>
      </c>
    </row>
    <row r="779" spans="72:79" hidden="1" x14ac:dyDescent="0.25">
      <c r="BT779" t="str">
        <f>IF(FFARawStatProjections!A774=0,"",FFARawStatProjections!A774)</f>
        <v>Daniel Carlson</v>
      </c>
      <c r="BU779" t="str">
        <f>IF(FFARawStatProjections!C774=0,"",FFARawStatProjections!C774)</f>
        <v>K</v>
      </c>
      <c r="BV779" t="str">
        <f>IF(FFARawStatProjections!B774=0,"",FFARawStatProjections!B774)</f>
        <v>LV</v>
      </c>
      <c r="BX779">
        <v>773</v>
      </c>
      <c r="BY779" s="89" t="str">
        <f t="shared" si="47"/>
        <v/>
      </c>
      <c r="BZ779" s="89" t="str">
        <f t="shared" si="48"/>
        <v/>
      </c>
      <c r="CA779" s="89" t="str">
        <f t="shared" si="49"/>
        <v/>
      </c>
    </row>
    <row r="780" spans="72:79" hidden="1" x14ac:dyDescent="0.25">
      <c r="BT780" t="str">
        <f>IF(FFARawStatProjections!A775=0,"",FFARawStatProjections!A775)</f>
        <v>Jake Elliott</v>
      </c>
      <c r="BU780" t="str">
        <f>IF(FFARawStatProjections!C775=0,"",FFARawStatProjections!C775)</f>
        <v>K</v>
      </c>
      <c r="BV780" t="str">
        <f>IF(FFARawStatProjections!B775=0,"",FFARawStatProjections!B775)</f>
        <v>PHI</v>
      </c>
      <c r="BX780">
        <v>774</v>
      </c>
      <c r="BY780" s="89" t="str">
        <f t="shared" si="47"/>
        <v/>
      </c>
      <c r="BZ780" s="89" t="str">
        <f t="shared" si="48"/>
        <v/>
      </c>
      <c r="CA780" s="89" t="str">
        <f t="shared" si="49"/>
        <v/>
      </c>
    </row>
    <row r="781" spans="72:79" hidden="1" x14ac:dyDescent="0.25">
      <c r="BT781" t="str">
        <f>IF(FFARawStatProjections!A776=0,"",FFARawStatProjections!A776)</f>
        <v>Younghoe Koo</v>
      </c>
      <c r="BU781" t="str">
        <f>IF(FFARawStatProjections!C776=0,"",FFARawStatProjections!C776)</f>
        <v>K</v>
      </c>
      <c r="BV781" t="str">
        <f>IF(FFARawStatProjections!B776=0,"",FFARawStatProjections!B776)</f>
        <v>ATL</v>
      </c>
      <c r="BX781">
        <v>775</v>
      </c>
      <c r="BY781" s="89" t="str">
        <f t="shared" si="47"/>
        <v/>
      </c>
      <c r="BZ781" s="89" t="str">
        <f t="shared" si="48"/>
        <v/>
      </c>
      <c r="CA781" s="89" t="str">
        <f t="shared" si="49"/>
        <v/>
      </c>
    </row>
    <row r="782" spans="72:79" hidden="1" x14ac:dyDescent="0.25">
      <c r="BT782" t="str">
        <f>IF(FFARawStatProjections!A777=0,"",FFARawStatProjections!A777)</f>
        <v>Graham Gano</v>
      </c>
      <c r="BU782" t="str">
        <f>IF(FFARawStatProjections!C777=0,"",FFARawStatProjections!C777)</f>
        <v>K</v>
      </c>
      <c r="BV782" t="str">
        <f>IF(FFARawStatProjections!B777=0,"",FFARawStatProjections!B777)</f>
        <v>NYG</v>
      </c>
      <c r="BX782">
        <v>776</v>
      </c>
      <c r="BY782" s="89" t="str">
        <f t="shared" si="47"/>
        <v/>
      </c>
      <c r="BZ782" s="89" t="str">
        <f t="shared" si="48"/>
        <v/>
      </c>
      <c r="CA782" s="89" t="str">
        <f t="shared" si="49"/>
        <v/>
      </c>
    </row>
    <row r="783" spans="72:79" hidden="1" x14ac:dyDescent="0.25">
      <c r="BT783" t="str">
        <f>IF(FFARawStatProjections!A778=0,"",FFARawStatProjections!A778)</f>
        <v>Riley Patterson</v>
      </c>
      <c r="BU783" t="str">
        <f>IF(FFARawStatProjections!C778=0,"",FFARawStatProjections!C778)</f>
        <v>K</v>
      </c>
      <c r="BV783" t="str">
        <f>IF(FFARawStatProjections!B778=0,"",FFARawStatProjections!B778)</f>
        <v>DET</v>
      </c>
      <c r="BX783">
        <v>777</v>
      </c>
      <c r="BY783" s="89" t="str">
        <f t="shared" si="47"/>
        <v/>
      </c>
      <c r="BZ783" s="89" t="str">
        <f t="shared" si="48"/>
        <v/>
      </c>
      <c r="CA783" s="89" t="str">
        <f t="shared" si="49"/>
        <v/>
      </c>
    </row>
    <row r="784" spans="72:79" hidden="1" x14ac:dyDescent="0.25">
      <c r="BT784" t="str">
        <f>IF(FFARawStatProjections!A779=0,"",FFARawStatProjections!A779)</f>
        <v>Brandon McManus</v>
      </c>
      <c r="BU784" t="str">
        <f>IF(FFARawStatProjections!C779=0,"",FFARawStatProjections!C779)</f>
        <v>K</v>
      </c>
      <c r="BV784" t="str">
        <f>IF(FFARawStatProjections!B779=0,"",FFARawStatProjections!B779)</f>
        <v>JAC</v>
      </c>
      <c r="BX784">
        <v>778</v>
      </c>
      <c r="BY784" s="89" t="str">
        <f t="shared" si="47"/>
        <v/>
      </c>
      <c r="BZ784" s="89" t="str">
        <f t="shared" si="48"/>
        <v/>
      </c>
      <c r="CA784" s="89" t="str">
        <f t="shared" si="49"/>
        <v/>
      </c>
    </row>
    <row r="785" spans="72:79" hidden="1" x14ac:dyDescent="0.25">
      <c r="BT785" t="str">
        <f>IF(FFARawStatProjections!A780=0,"",FFARawStatProjections!A780)</f>
        <v>Cameron Dicker</v>
      </c>
      <c r="BU785" t="str">
        <f>IF(FFARawStatProjections!C780=0,"",FFARawStatProjections!C780)</f>
        <v>K</v>
      </c>
      <c r="BV785" t="str">
        <f>IF(FFARawStatProjections!B780=0,"",FFARawStatProjections!B780)</f>
        <v>LAC</v>
      </c>
      <c r="BX785">
        <v>779</v>
      </c>
      <c r="BY785" s="89" t="str">
        <f t="shared" si="47"/>
        <v/>
      </c>
      <c r="BZ785" s="89" t="str">
        <f t="shared" si="48"/>
        <v/>
      </c>
      <c r="CA785" s="89" t="str">
        <f t="shared" si="49"/>
        <v/>
      </c>
    </row>
    <row r="786" spans="72:79" hidden="1" x14ac:dyDescent="0.25">
      <c r="BT786" t="str">
        <f>IF(FFARawStatProjections!A781=0,"",FFARawStatProjections!A781)</f>
        <v>Jason Sanders</v>
      </c>
      <c r="BU786" t="str">
        <f>IF(FFARawStatProjections!C781=0,"",FFARawStatProjections!C781)</f>
        <v>K</v>
      </c>
      <c r="BV786" t="str">
        <f>IF(FFARawStatProjections!B781=0,"",FFARawStatProjections!B781)</f>
        <v>MIA</v>
      </c>
      <c r="BX786">
        <v>780</v>
      </c>
      <c r="BY786" s="89" t="str">
        <f t="shared" si="47"/>
        <v/>
      </c>
      <c r="BZ786" s="89" t="str">
        <f t="shared" si="48"/>
        <v/>
      </c>
      <c r="CA786" s="89" t="str">
        <f t="shared" si="49"/>
        <v/>
      </c>
    </row>
    <row r="787" spans="72:79" hidden="1" x14ac:dyDescent="0.25">
      <c r="BT787" t="str">
        <f>IF(FFARawStatProjections!A782=0,"",FFARawStatProjections!A782)</f>
        <v>Cairo Santos</v>
      </c>
      <c r="BU787" t="str">
        <f>IF(FFARawStatProjections!C782=0,"",FFARawStatProjections!C782)</f>
        <v>K</v>
      </c>
      <c r="BV787" t="str">
        <f>IF(FFARawStatProjections!B782=0,"",FFARawStatProjections!B782)</f>
        <v>CHI</v>
      </c>
      <c r="BX787">
        <v>781</v>
      </c>
      <c r="BY787" s="89" t="str">
        <f t="shared" si="47"/>
        <v/>
      </c>
      <c r="BZ787" s="89" t="str">
        <f t="shared" si="48"/>
        <v/>
      </c>
      <c r="CA787" s="89" t="str">
        <f t="shared" si="49"/>
        <v/>
      </c>
    </row>
    <row r="788" spans="72:79" hidden="1" x14ac:dyDescent="0.25">
      <c r="BT788" t="str">
        <f>IF(FFARawStatProjections!A783=0,"",FFARawStatProjections!A783)</f>
        <v>Jake Moody</v>
      </c>
      <c r="BU788" t="str">
        <f>IF(FFARawStatProjections!C783=0,"",FFARawStatProjections!C783)</f>
        <v>K</v>
      </c>
      <c r="BV788" t="str">
        <f>IF(FFARawStatProjections!B783=0,"",FFARawStatProjections!B783)</f>
        <v>SF</v>
      </c>
      <c r="BX788">
        <v>782</v>
      </c>
      <c r="BY788" s="89" t="str">
        <f t="shared" si="47"/>
        <v/>
      </c>
      <c r="BZ788" s="89" t="str">
        <f t="shared" si="48"/>
        <v/>
      </c>
      <c r="CA788" s="89" t="str">
        <f t="shared" si="49"/>
        <v/>
      </c>
    </row>
    <row r="789" spans="72:79" hidden="1" x14ac:dyDescent="0.25">
      <c r="BT789" t="str">
        <f>IF(FFARawStatProjections!A784=0,"",FFARawStatProjections!A784)</f>
        <v>Chase McLaughlin</v>
      </c>
      <c r="BU789" t="str">
        <f>IF(FFARawStatProjections!C784=0,"",FFARawStatProjections!C784)</f>
        <v>K</v>
      </c>
      <c r="BV789" t="str">
        <f>IF(FFARawStatProjections!B784=0,"",FFARawStatProjections!B784)</f>
        <v>TB</v>
      </c>
      <c r="BX789">
        <v>783</v>
      </c>
      <c r="BY789" s="89" t="str">
        <f t="shared" si="47"/>
        <v/>
      </c>
      <c r="BZ789" s="89" t="str">
        <f t="shared" si="48"/>
        <v/>
      </c>
      <c r="CA789" s="89" t="str">
        <f t="shared" si="49"/>
        <v/>
      </c>
    </row>
    <row r="790" spans="72:79" hidden="1" x14ac:dyDescent="0.25">
      <c r="BT790" t="str">
        <f>IF(FFARawStatProjections!A785=0,"",FFARawStatProjections!A785)</f>
        <v>Nick Folk</v>
      </c>
      <c r="BU790" t="str">
        <f>IF(FFARawStatProjections!C785=0,"",FFARawStatProjections!C785)</f>
        <v>K</v>
      </c>
      <c r="BV790" t="str">
        <f>IF(FFARawStatProjections!B785=0,"",FFARawStatProjections!B785)</f>
        <v>NE</v>
      </c>
      <c r="BX790">
        <v>784</v>
      </c>
      <c r="BY790" s="89" t="str">
        <f t="shared" si="47"/>
        <v/>
      </c>
      <c r="BZ790" s="89" t="str">
        <f t="shared" si="48"/>
        <v/>
      </c>
      <c r="CA790" s="89" t="str">
        <f t="shared" si="49"/>
        <v/>
      </c>
    </row>
    <row r="791" spans="72:79" hidden="1" x14ac:dyDescent="0.25">
      <c r="BT791" t="str">
        <f>IF(FFARawStatProjections!A786=0,"",FFARawStatProjections!A786)</f>
        <v>Wil Lutz</v>
      </c>
      <c r="BU791" t="str">
        <f>IF(FFARawStatProjections!C786=0,"",FFARawStatProjections!C786)</f>
        <v>K</v>
      </c>
      <c r="BV791" t="str">
        <f>IF(FFARawStatProjections!B786=0,"",FFARawStatProjections!B786)</f>
        <v>NO</v>
      </c>
      <c r="BX791">
        <v>785</v>
      </c>
      <c r="BY791" s="89" t="str">
        <f t="shared" si="47"/>
        <v/>
      </c>
      <c r="BZ791" s="89" t="str">
        <f t="shared" si="48"/>
        <v/>
      </c>
      <c r="CA791" s="89" t="str">
        <f t="shared" si="49"/>
        <v/>
      </c>
    </row>
    <row r="792" spans="72:79" hidden="1" x14ac:dyDescent="0.25">
      <c r="BT792" t="str">
        <f>IF(FFARawStatProjections!A787=0,"",FFARawStatProjections!A787)</f>
        <v>Eddy Pineiro</v>
      </c>
      <c r="BU792" t="str">
        <f>IF(FFARawStatProjections!C787=0,"",FFARawStatProjections!C787)</f>
        <v>K</v>
      </c>
      <c r="BV792" t="str">
        <f>IF(FFARawStatProjections!B787=0,"",FFARawStatProjections!B787)</f>
        <v>CAR</v>
      </c>
      <c r="BX792">
        <v>786</v>
      </c>
      <c r="BY792" s="89" t="str">
        <f t="shared" si="47"/>
        <v/>
      </c>
      <c r="BZ792" s="89" t="str">
        <f t="shared" si="48"/>
        <v/>
      </c>
      <c r="CA792" s="89" t="str">
        <f t="shared" si="49"/>
        <v/>
      </c>
    </row>
    <row r="793" spans="72:79" hidden="1" x14ac:dyDescent="0.25">
      <c r="BT793" t="str">
        <f>IF(FFARawStatProjections!A788=0,"",FFARawStatProjections!A788)</f>
        <v>Chris Boswell</v>
      </c>
      <c r="BU793" t="str">
        <f>IF(FFARawStatProjections!C788=0,"",FFARawStatProjections!C788)</f>
        <v>K</v>
      </c>
      <c r="BV793" t="str">
        <f>IF(FFARawStatProjections!B788=0,"",FFARawStatProjections!B788)</f>
        <v>PIT</v>
      </c>
      <c r="BX793">
        <v>787</v>
      </c>
      <c r="BY793" s="89" t="str">
        <f t="shared" si="47"/>
        <v/>
      </c>
      <c r="BZ793" s="89" t="str">
        <f t="shared" si="48"/>
        <v/>
      </c>
      <c r="CA793" s="89" t="str">
        <f t="shared" si="49"/>
        <v/>
      </c>
    </row>
    <row r="794" spans="72:79" hidden="1" x14ac:dyDescent="0.25">
      <c r="BT794" t="str">
        <f>IF(FFARawStatProjections!A789=0,"",FFARawStatProjections!A789)</f>
        <v>Greg Zuerlein</v>
      </c>
      <c r="BU794" t="str">
        <f>IF(FFARawStatProjections!C789=0,"",FFARawStatProjections!C789)</f>
        <v>K</v>
      </c>
      <c r="BV794" t="str">
        <f>IF(FFARawStatProjections!B789=0,"",FFARawStatProjections!B789)</f>
        <v>NYJ</v>
      </c>
      <c r="BX794">
        <v>788</v>
      </c>
      <c r="BY794" s="89" t="str">
        <f t="shared" si="47"/>
        <v/>
      </c>
      <c r="BZ794" s="89" t="str">
        <f t="shared" si="48"/>
        <v/>
      </c>
      <c r="CA794" s="89" t="str">
        <f t="shared" si="49"/>
        <v/>
      </c>
    </row>
    <row r="795" spans="72:79" hidden="1" x14ac:dyDescent="0.25">
      <c r="BT795" t="str">
        <f>IF(FFARawStatProjections!A790=0,"",FFARawStatProjections!A790)</f>
        <v>Brett Maher</v>
      </c>
      <c r="BU795" t="str">
        <f>IF(FFARawStatProjections!C790=0,"",FFARawStatProjections!C790)</f>
        <v>K</v>
      </c>
      <c r="BV795" t="str">
        <f>IF(FFARawStatProjections!B790=0,"",FFARawStatProjections!B790)</f>
        <v>DEN</v>
      </c>
      <c r="BX795">
        <v>789</v>
      </c>
      <c r="BY795" s="89" t="str">
        <f t="shared" si="47"/>
        <v/>
      </c>
      <c r="BZ795" s="89" t="str">
        <f t="shared" si="48"/>
        <v/>
      </c>
      <c r="CA795" s="89" t="str">
        <f t="shared" si="49"/>
        <v/>
      </c>
    </row>
    <row r="796" spans="72:79" hidden="1" x14ac:dyDescent="0.25">
      <c r="BT796" t="str">
        <f>IF(FFARawStatProjections!A791=0,"",FFARawStatProjections!A791)</f>
        <v>Cade York</v>
      </c>
      <c r="BU796" t="str">
        <f>IF(FFARawStatProjections!C791=0,"",FFARawStatProjections!C791)</f>
        <v>K</v>
      </c>
      <c r="BV796" t="str">
        <f>IF(FFARawStatProjections!B791=0,"",FFARawStatProjections!B791)</f>
        <v>CLE</v>
      </c>
      <c r="BX796">
        <v>790</v>
      </c>
      <c r="BY796" s="89" t="str">
        <f t="shared" si="47"/>
        <v/>
      </c>
      <c r="BZ796" s="89" t="str">
        <f t="shared" si="48"/>
        <v/>
      </c>
      <c r="CA796" s="89" t="str">
        <f t="shared" si="49"/>
        <v/>
      </c>
    </row>
    <row r="797" spans="72:79" hidden="1" x14ac:dyDescent="0.25">
      <c r="BT797" t="str">
        <f>IF(FFARawStatProjections!A792=0,"",FFARawStatProjections!A792)</f>
        <v>Dustin Hopkins</v>
      </c>
      <c r="BU797" t="str">
        <f>IF(FFARawStatProjections!C792=0,"",FFARawStatProjections!C792)</f>
        <v>K</v>
      </c>
      <c r="BV797" t="str">
        <f>IF(FFARawStatProjections!B792=0,"",FFARawStatProjections!B792)</f>
        <v>LAC</v>
      </c>
      <c r="BX797">
        <v>791</v>
      </c>
      <c r="BY797" s="89" t="str">
        <f t="shared" si="47"/>
        <v/>
      </c>
      <c r="BZ797" s="89" t="str">
        <f t="shared" si="48"/>
        <v/>
      </c>
      <c r="CA797" s="89" t="str">
        <f t="shared" si="49"/>
        <v/>
      </c>
    </row>
    <row r="798" spans="72:79" hidden="1" x14ac:dyDescent="0.25">
      <c r="BT798" t="str">
        <f>IF(FFARawStatProjections!A793=0,"",FFARawStatProjections!A793)</f>
        <v>Matt Gay</v>
      </c>
      <c r="BU798" t="str">
        <f>IF(FFARawStatProjections!C793=0,"",FFARawStatProjections!C793)</f>
        <v>K</v>
      </c>
      <c r="BV798" t="str">
        <f>IF(FFARawStatProjections!B793=0,"",FFARawStatProjections!B793)</f>
        <v>IND</v>
      </c>
      <c r="BX798">
        <v>792</v>
      </c>
      <c r="BY798" s="89" t="str">
        <f t="shared" si="47"/>
        <v/>
      </c>
      <c r="BZ798" s="89" t="str">
        <f t="shared" si="48"/>
        <v/>
      </c>
      <c r="CA798" s="89" t="str">
        <f t="shared" si="49"/>
        <v/>
      </c>
    </row>
    <row r="799" spans="72:79" hidden="1" x14ac:dyDescent="0.25">
      <c r="BT799" t="str">
        <f>IF(FFARawStatProjections!A794=0,"",FFARawStatProjections!A794)</f>
        <v>Brandon Aubrey</v>
      </c>
      <c r="BU799" t="str">
        <f>IF(FFARawStatProjections!C794=0,"",FFARawStatProjections!C794)</f>
        <v>K</v>
      </c>
      <c r="BV799" t="str">
        <f>IF(FFARawStatProjections!B794=0,"",FFARawStatProjections!B794)</f>
        <v>DAL</v>
      </c>
      <c r="BX799">
        <v>793</v>
      </c>
      <c r="BY799" s="89" t="str">
        <f t="shared" si="47"/>
        <v/>
      </c>
      <c r="BZ799" s="89" t="str">
        <f t="shared" si="48"/>
        <v/>
      </c>
      <c r="CA799" s="89" t="str">
        <f t="shared" si="49"/>
        <v/>
      </c>
    </row>
    <row r="800" spans="72:79" hidden="1" x14ac:dyDescent="0.25">
      <c r="BT800" t="str">
        <f>IF(FFARawStatProjections!A795=0,"",FFARawStatProjections!A795)</f>
        <v>Matt Prater</v>
      </c>
      <c r="BU800" t="str">
        <f>IF(FFARawStatProjections!C795=0,"",FFARawStatProjections!C795)</f>
        <v>K</v>
      </c>
      <c r="BV800" t="str">
        <f>IF(FFARawStatProjections!B795=0,"",FFARawStatProjections!B795)</f>
        <v>AZ</v>
      </c>
      <c r="BX800">
        <v>794</v>
      </c>
      <c r="BY800" s="89" t="str">
        <f t="shared" si="47"/>
        <v/>
      </c>
      <c r="BZ800" s="89" t="str">
        <f t="shared" si="48"/>
        <v/>
      </c>
      <c r="CA800" s="89" t="str">
        <f t="shared" si="49"/>
        <v/>
      </c>
    </row>
    <row r="801" spans="72:79" hidden="1" x14ac:dyDescent="0.25">
      <c r="BT801" t="str">
        <f>IF(FFARawStatProjections!A796=0,"",FFARawStatProjections!A796)</f>
        <v>Anders Carlson</v>
      </c>
      <c r="BU801" t="str">
        <f>IF(FFARawStatProjections!C796=0,"",FFARawStatProjections!C796)</f>
        <v>K</v>
      </c>
      <c r="BV801" t="str">
        <f>IF(FFARawStatProjections!B796=0,"",FFARawStatProjections!B796)</f>
        <v>GB</v>
      </c>
      <c r="BX801">
        <v>795</v>
      </c>
      <c r="BY801" s="89" t="str">
        <f t="shared" si="47"/>
        <v/>
      </c>
      <c r="BZ801" s="89" t="str">
        <f t="shared" si="48"/>
        <v/>
      </c>
      <c r="CA801" s="89" t="str">
        <f t="shared" si="49"/>
        <v/>
      </c>
    </row>
    <row r="802" spans="72:79" hidden="1" x14ac:dyDescent="0.25">
      <c r="BT802" t="str">
        <f>IF(FFARawStatProjections!A797=0,"",FFARawStatProjections!A797)</f>
        <v>Kaimi Fairbairn</v>
      </c>
      <c r="BU802" t="str">
        <f>IF(FFARawStatProjections!C797=0,"",FFARawStatProjections!C797)</f>
        <v>K</v>
      </c>
      <c r="BV802" t="str">
        <f>IF(FFARawStatProjections!B797=0,"",FFARawStatProjections!B797)</f>
        <v>HOU</v>
      </c>
      <c r="BX802">
        <v>796</v>
      </c>
      <c r="BY802" s="89" t="str">
        <f t="shared" si="47"/>
        <v/>
      </c>
      <c r="BZ802" s="89" t="str">
        <f t="shared" si="48"/>
        <v/>
      </c>
      <c r="CA802" s="89" t="str">
        <f t="shared" si="49"/>
        <v/>
      </c>
    </row>
    <row r="803" spans="72:79" hidden="1" x14ac:dyDescent="0.25">
      <c r="BT803" t="str">
        <f>IF(FFARawStatProjections!A798=0,"",FFARawStatProjections!A798)</f>
        <v>Chad Ryland</v>
      </c>
      <c r="BU803" t="str">
        <f>IF(FFARawStatProjections!C798=0,"",FFARawStatProjections!C798)</f>
        <v>K</v>
      </c>
      <c r="BV803" t="str">
        <f>IF(FFARawStatProjections!B798=0,"",FFARawStatProjections!B798)</f>
        <v>NE</v>
      </c>
      <c r="BX803">
        <v>797</v>
      </c>
      <c r="BY803" s="89" t="str">
        <f t="shared" si="47"/>
        <v/>
      </c>
      <c r="BZ803" s="89" t="str">
        <f t="shared" si="48"/>
        <v/>
      </c>
      <c r="CA803" s="89" t="str">
        <f t="shared" si="49"/>
        <v/>
      </c>
    </row>
    <row r="804" spans="72:79" hidden="1" x14ac:dyDescent="0.25">
      <c r="BT804" t="str">
        <f>IF(FFARawStatProjections!A799=0,"",FFARawStatProjections!A799)</f>
        <v>Tanner Brown</v>
      </c>
      <c r="BU804" t="str">
        <f>IF(FFARawStatProjections!C799=0,"",FFARawStatProjections!C799)</f>
        <v>K</v>
      </c>
      <c r="BV804" t="str">
        <f>IF(FFARawStatProjections!B799=0,"",FFARawStatProjections!B799)</f>
        <v>LAR</v>
      </c>
      <c r="BX804">
        <v>798</v>
      </c>
      <c r="BY804" s="89" t="str">
        <f t="shared" si="47"/>
        <v/>
      </c>
      <c r="BZ804" s="89" t="str">
        <f t="shared" si="48"/>
        <v/>
      </c>
      <c r="CA804" s="89" t="str">
        <f t="shared" si="49"/>
        <v/>
      </c>
    </row>
    <row r="805" spans="72:79" hidden="1" x14ac:dyDescent="0.25">
      <c r="BT805" t="str">
        <f>IF(FFARawStatProjections!A800=0,"",FFARawStatProjections!A800)</f>
        <v>Joey Slye</v>
      </c>
      <c r="BU805" t="str">
        <f>IF(FFARawStatProjections!C800=0,"",FFARawStatProjections!C800)</f>
        <v>K</v>
      </c>
      <c r="BV805" t="str">
        <f>IF(FFARawStatProjections!B800=0,"",FFARawStatProjections!B800)</f>
        <v>WAS</v>
      </c>
      <c r="BX805">
        <v>799</v>
      </c>
      <c r="BY805" s="89" t="str">
        <f t="shared" si="47"/>
        <v/>
      </c>
      <c r="BZ805" s="89" t="str">
        <f t="shared" si="48"/>
        <v/>
      </c>
      <c r="CA805" s="89" t="str">
        <f t="shared" si="49"/>
        <v/>
      </c>
    </row>
    <row r="806" spans="72:79" hidden="1" x14ac:dyDescent="0.25">
      <c r="BT806" t="str">
        <f>IF(FFARawStatProjections!A801=0,"",FFARawStatProjections!A801)</f>
        <v>Caleb Shudak</v>
      </c>
      <c r="BU806" t="str">
        <f>IF(FFARawStatProjections!C801=0,"",FFARawStatProjections!C801)</f>
        <v>K</v>
      </c>
      <c r="BV806" t="str">
        <f>IF(FFARawStatProjections!B801=0,"",FFARawStatProjections!B801)</f>
        <v>TEN</v>
      </c>
      <c r="BX806">
        <v>800</v>
      </c>
      <c r="BY806" s="89" t="str">
        <f t="shared" si="47"/>
        <v/>
      </c>
      <c r="BZ806" s="89" t="str">
        <f t="shared" si="48"/>
        <v/>
      </c>
      <c r="CA806" s="89" t="str">
        <f t="shared" si="49"/>
        <v/>
      </c>
    </row>
    <row r="807" spans="72:79" hidden="1" x14ac:dyDescent="0.25">
      <c r="BT807" t="str">
        <f>IF(FFARawStatProjections!A802=0,"",FFARawStatProjections!A802)</f>
        <v/>
      </c>
      <c r="BU807" t="str">
        <f>IF(FFARawStatProjections!C802=0,"",FFARawStatProjections!C802)</f>
        <v>K</v>
      </c>
      <c r="BV807" t="str">
        <f>IF(FFARawStatProjections!B802=0,"",FFARawStatProjections!B802)</f>
        <v/>
      </c>
      <c r="BX807">
        <v>801</v>
      </c>
      <c r="BY807" s="89" t="str">
        <f t="shared" si="47"/>
        <v/>
      </c>
      <c r="BZ807" s="89" t="str">
        <f t="shared" si="48"/>
        <v/>
      </c>
      <c r="CA807" s="89" t="str">
        <f t="shared" si="49"/>
        <v/>
      </c>
    </row>
    <row r="808" spans="72:79" hidden="1" x14ac:dyDescent="0.25">
      <c r="BT808" t="str">
        <f>IF(FFARawStatProjections!A803=0,"",FFARawStatProjections!A803)</f>
        <v/>
      </c>
      <c r="BU808" t="str">
        <f>IF(FFARawStatProjections!C803=0,"",FFARawStatProjections!C803)</f>
        <v>K</v>
      </c>
      <c r="BV808" t="str">
        <f>IF(FFARawStatProjections!B803=0,"",FFARawStatProjections!B803)</f>
        <v/>
      </c>
      <c r="BX808">
        <v>802</v>
      </c>
      <c r="BY808" s="89" t="str">
        <f t="shared" si="47"/>
        <v/>
      </c>
      <c r="BZ808" s="89" t="str">
        <f t="shared" si="48"/>
        <v/>
      </c>
      <c r="CA808" s="89" t="str">
        <f t="shared" si="49"/>
        <v/>
      </c>
    </row>
    <row r="809" spans="72:79" hidden="1" x14ac:dyDescent="0.25">
      <c r="BT809" t="str">
        <f>IF(FFARawStatProjections!A804=0,"",FFARawStatProjections!A804)</f>
        <v/>
      </c>
      <c r="BU809" t="str">
        <f>IF(FFARawStatProjections!C804=0,"",FFARawStatProjections!C804)</f>
        <v/>
      </c>
      <c r="BV809" t="str">
        <f>IF(FFARawStatProjections!B804=0,"",FFARawStatProjections!B804)</f>
        <v/>
      </c>
      <c r="BX809">
        <v>803</v>
      </c>
      <c r="BY809" s="89" t="str">
        <f t="shared" si="47"/>
        <v/>
      </c>
      <c r="BZ809" s="89" t="str">
        <f t="shared" si="48"/>
        <v/>
      </c>
      <c r="CA809" s="89" t="str">
        <f t="shared" si="49"/>
        <v/>
      </c>
    </row>
    <row r="810" spans="72:79" hidden="1" x14ac:dyDescent="0.25">
      <c r="BT810" t="str">
        <f>IF(FFARawStatProjections!A805=0,"",FFARawStatProjections!A805)</f>
        <v>DAL</v>
      </c>
      <c r="BU810" t="str">
        <f>IF(FFARawStatProjections!C805=0,"",FFARawStatProjections!C805)</f>
        <v>DST</v>
      </c>
      <c r="BV810" t="str">
        <f>IF(FFARawStatProjections!B805=0,"",FFARawStatProjections!B805)</f>
        <v>DAL</v>
      </c>
      <c r="BX810">
        <v>804</v>
      </c>
      <c r="BY810" s="89" t="str">
        <f t="shared" si="47"/>
        <v/>
      </c>
      <c r="BZ810" s="89" t="str">
        <f t="shared" si="48"/>
        <v/>
      </c>
      <c r="CA810" s="89" t="str">
        <f t="shared" si="49"/>
        <v/>
      </c>
    </row>
    <row r="811" spans="72:79" hidden="1" x14ac:dyDescent="0.25">
      <c r="BT811" t="str">
        <f>IF(FFARawStatProjections!A806=0,"",FFARawStatProjections!A806)</f>
        <v>PHI</v>
      </c>
      <c r="BU811" t="str">
        <f>IF(FFARawStatProjections!C806=0,"",FFARawStatProjections!C806)</f>
        <v>DST</v>
      </c>
      <c r="BV811" t="str">
        <f>IF(FFARawStatProjections!B806=0,"",FFARawStatProjections!B806)</f>
        <v>PHI</v>
      </c>
      <c r="BX811">
        <v>805</v>
      </c>
      <c r="BY811" s="89" t="str">
        <f t="shared" si="47"/>
        <v/>
      </c>
      <c r="BZ811" s="89" t="str">
        <f t="shared" si="48"/>
        <v/>
      </c>
      <c r="CA811" s="89" t="str">
        <f t="shared" si="49"/>
        <v/>
      </c>
    </row>
    <row r="812" spans="72:79" hidden="1" x14ac:dyDescent="0.25">
      <c r="BT812" t="str">
        <f>IF(FFARawStatProjections!A807=0,"",FFARawStatProjections!A807)</f>
        <v>NE</v>
      </c>
      <c r="BU812" t="str">
        <f>IF(FFARawStatProjections!C807=0,"",FFARawStatProjections!C807)</f>
        <v>DST</v>
      </c>
      <c r="BV812" t="str">
        <f>IF(FFARawStatProjections!B807=0,"",FFARawStatProjections!B807)</f>
        <v>NE</v>
      </c>
      <c r="BX812">
        <v>806</v>
      </c>
      <c r="BY812" s="89" t="str">
        <f t="shared" si="47"/>
        <v/>
      </c>
      <c r="BZ812" s="89" t="str">
        <f t="shared" si="48"/>
        <v/>
      </c>
      <c r="CA812" s="89" t="str">
        <f t="shared" si="49"/>
        <v/>
      </c>
    </row>
    <row r="813" spans="72:79" hidden="1" x14ac:dyDescent="0.25">
      <c r="BT813" t="str">
        <f>IF(FFARawStatProjections!A808=0,"",FFARawStatProjections!A808)</f>
        <v>PIT</v>
      </c>
      <c r="BU813" t="str">
        <f>IF(FFARawStatProjections!C808=0,"",FFARawStatProjections!C808)</f>
        <v>DST</v>
      </c>
      <c r="BV813" t="str">
        <f>IF(FFARawStatProjections!B808=0,"",FFARawStatProjections!B808)</f>
        <v>PIT</v>
      </c>
      <c r="BX813">
        <v>807</v>
      </c>
      <c r="BY813" s="89" t="str">
        <f t="shared" si="47"/>
        <v/>
      </c>
      <c r="BZ813" s="89" t="str">
        <f t="shared" si="48"/>
        <v/>
      </c>
      <c r="CA813" s="89" t="str">
        <f t="shared" si="49"/>
        <v/>
      </c>
    </row>
    <row r="814" spans="72:79" hidden="1" x14ac:dyDescent="0.25">
      <c r="BT814" t="str">
        <f>IF(FFARawStatProjections!A809=0,"",FFARawStatProjections!A809)</f>
        <v>IND</v>
      </c>
      <c r="BU814" t="str">
        <f>IF(FFARawStatProjections!C809=0,"",FFARawStatProjections!C809)</f>
        <v>DST</v>
      </c>
      <c r="BV814" t="str">
        <f>IF(FFARawStatProjections!B809=0,"",FFARawStatProjections!B809)</f>
        <v>IND</v>
      </c>
      <c r="BX814">
        <v>808</v>
      </c>
      <c r="BY814" s="89" t="str">
        <f t="shared" si="47"/>
        <v/>
      </c>
      <c r="BZ814" s="89" t="str">
        <f t="shared" si="48"/>
        <v/>
      </c>
      <c r="CA814" s="89" t="str">
        <f t="shared" si="49"/>
        <v/>
      </c>
    </row>
    <row r="815" spans="72:79" hidden="1" x14ac:dyDescent="0.25">
      <c r="BT815" t="str">
        <f>IF(FFARawStatProjections!A810=0,"",FFARawStatProjections!A810)</f>
        <v>CLE</v>
      </c>
      <c r="BU815" t="str">
        <f>IF(FFARawStatProjections!C810=0,"",FFARawStatProjections!C810)</f>
        <v>DST</v>
      </c>
      <c r="BV815" t="str">
        <f>IF(FFARawStatProjections!B810=0,"",FFARawStatProjections!B810)</f>
        <v>CLE</v>
      </c>
      <c r="BX815">
        <v>809</v>
      </c>
      <c r="BY815" s="89" t="str">
        <f t="shared" si="47"/>
        <v/>
      </c>
      <c r="BZ815" s="89" t="str">
        <f t="shared" si="48"/>
        <v/>
      </c>
      <c r="CA815" s="89" t="str">
        <f t="shared" si="49"/>
        <v/>
      </c>
    </row>
    <row r="816" spans="72:79" hidden="1" x14ac:dyDescent="0.25">
      <c r="BT816" t="str">
        <f>IF(FFARawStatProjections!A811=0,"",FFARawStatProjections!A811)</f>
        <v>KC</v>
      </c>
      <c r="BU816" t="str">
        <f>IF(FFARawStatProjections!C811=0,"",FFARawStatProjections!C811)</f>
        <v>DST</v>
      </c>
      <c r="BV816" t="str">
        <f>IF(FFARawStatProjections!B811=0,"",FFARawStatProjections!B811)</f>
        <v>KC</v>
      </c>
      <c r="BX816">
        <v>810</v>
      </c>
      <c r="BY816" s="89" t="str">
        <f t="shared" si="47"/>
        <v/>
      </c>
      <c r="BZ816" s="89" t="str">
        <f t="shared" si="48"/>
        <v/>
      </c>
      <c r="CA816" s="89" t="str">
        <f t="shared" si="49"/>
        <v/>
      </c>
    </row>
    <row r="817" spans="72:79" hidden="1" x14ac:dyDescent="0.25">
      <c r="BT817" t="str">
        <f>IF(FFARawStatProjections!A812=0,"",FFARawStatProjections!A812)</f>
        <v>SF</v>
      </c>
      <c r="BU817" t="str">
        <f>IF(FFARawStatProjections!C812=0,"",FFARawStatProjections!C812)</f>
        <v>DST</v>
      </c>
      <c r="BV817" t="str">
        <f>IF(FFARawStatProjections!B812=0,"",FFARawStatProjections!B812)</f>
        <v>SF</v>
      </c>
      <c r="BX817">
        <v>811</v>
      </c>
      <c r="BY817" s="89" t="str">
        <f t="shared" si="47"/>
        <v/>
      </c>
      <c r="BZ817" s="89" t="str">
        <f t="shared" si="48"/>
        <v/>
      </c>
      <c r="CA817" s="89" t="str">
        <f t="shared" si="49"/>
        <v/>
      </c>
    </row>
    <row r="818" spans="72:79" hidden="1" x14ac:dyDescent="0.25">
      <c r="BT818" t="str">
        <f>IF(FFARawStatProjections!A813=0,"",FFARawStatProjections!A813)</f>
        <v>WAS</v>
      </c>
      <c r="BU818" t="str">
        <f>IF(FFARawStatProjections!C813=0,"",FFARawStatProjections!C813)</f>
        <v>DST</v>
      </c>
      <c r="BV818" t="str">
        <f>IF(FFARawStatProjections!B813=0,"",FFARawStatProjections!B813)</f>
        <v>WAS</v>
      </c>
      <c r="BX818">
        <v>812</v>
      </c>
      <c r="BY818" s="89" t="str">
        <f t="shared" si="47"/>
        <v/>
      </c>
      <c r="BZ818" s="89" t="str">
        <f t="shared" si="48"/>
        <v/>
      </c>
      <c r="CA818" s="89" t="str">
        <f t="shared" si="49"/>
        <v/>
      </c>
    </row>
    <row r="819" spans="72:79" hidden="1" x14ac:dyDescent="0.25">
      <c r="BT819" t="str">
        <f>IF(FFARawStatProjections!A814=0,"",FFARawStatProjections!A814)</f>
        <v>MIA</v>
      </c>
      <c r="BU819" t="str">
        <f>IF(FFARawStatProjections!C814=0,"",FFARawStatProjections!C814)</f>
        <v>DST</v>
      </c>
      <c r="BV819" t="str">
        <f>IF(FFARawStatProjections!B814=0,"",FFARawStatProjections!B814)</f>
        <v>MIA</v>
      </c>
      <c r="BX819">
        <v>813</v>
      </c>
      <c r="BY819" s="89" t="str">
        <f t="shared" si="47"/>
        <v/>
      </c>
      <c r="BZ819" s="89" t="str">
        <f t="shared" si="48"/>
        <v/>
      </c>
      <c r="CA819" s="89" t="str">
        <f t="shared" si="49"/>
        <v/>
      </c>
    </row>
    <row r="820" spans="72:79" hidden="1" x14ac:dyDescent="0.25">
      <c r="BT820" t="str">
        <f>IF(FFARawStatProjections!A815=0,"",FFARawStatProjections!A815)</f>
        <v>NO</v>
      </c>
      <c r="BU820" t="str">
        <f>IF(FFARawStatProjections!C815=0,"",FFARawStatProjections!C815)</f>
        <v>DST</v>
      </c>
      <c r="BV820" t="str">
        <f>IF(FFARawStatProjections!B815=0,"",FFARawStatProjections!B815)</f>
        <v>NO</v>
      </c>
      <c r="BX820">
        <v>814</v>
      </c>
      <c r="BY820" s="89" t="str">
        <f t="shared" si="47"/>
        <v/>
      </c>
      <c r="BZ820" s="89" t="str">
        <f t="shared" si="48"/>
        <v/>
      </c>
      <c r="CA820" s="89" t="str">
        <f t="shared" si="49"/>
        <v/>
      </c>
    </row>
    <row r="821" spans="72:79" hidden="1" x14ac:dyDescent="0.25">
      <c r="BT821" t="str">
        <f>IF(FFARawStatProjections!A816=0,"",FFARawStatProjections!A816)</f>
        <v>BUF</v>
      </c>
      <c r="BU821" t="str">
        <f>IF(FFARawStatProjections!C816=0,"",FFARawStatProjections!C816)</f>
        <v>DST</v>
      </c>
      <c r="BV821" t="str">
        <f>IF(FFARawStatProjections!B816=0,"",FFARawStatProjections!B816)</f>
        <v>BUF</v>
      </c>
      <c r="BX821">
        <v>815</v>
      </c>
      <c r="BY821" s="89" t="str">
        <f t="shared" si="47"/>
        <v/>
      </c>
      <c r="BZ821" s="89" t="str">
        <f t="shared" si="48"/>
        <v/>
      </c>
      <c r="CA821" s="89" t="str">
        <f t="shared" si="49"/>
        <v/>
      </c>
    </row>
    <row r="822" spans="72:79" hidden="1" x14ac:dyDescent="0.25">
      <c r="BT822" t="str">
        <f>IF(FFARawStatProjections!A817=0,"",FFARawStatProjections!A817)</f>
        <v>GB</v>
      </c>
      <c r="BU822" t="str">
        <f>IF(FFARawStatProjections!C817=0,"",FFARawStatProjections!C817)</f>
        <v>DST</v>
      </c>
      <c r="BV822" t="str">
        <f>IF(FFARawStatProjections!B817=0,"",FFARawStatProjections!B817)</f>
        <v>GB</v>
      </c>
      <c r="BX822">
        <v>816</v>
      </c>
      <c r="BY822" s="89" t="str">
        <f t="shared" si="47"/>
        <v/>
      </c>
      <c r="BZ822" s="89" t="str">
        <f t="shared" si="48"/>
        <v/>
      </c>
      <c r="CA822" s="89" t="str">
        <f t="shared" si="49"/>
        <v/>
      </c>
    </row>
    <row r="823" spans="72:79" hidden="1" x14ac:dyDescent="0.25">
      <c r="BT823" t="str">
        <f>IF(FFARawStatProjections!A818=0,"",FFARawStatProjections!A818)</f>
        <v>NYJ</v>
      </c>
      <c r="BU823" t="str">
        <f>IF(FFARawStatProjections!C818=0,"",FFARawStatProjections!C818)</f>
        <v>DST</v>
      </c>
      <c r="BV823" t="str">
        <f>IF(FFARawStatProjections!B818=0,"",FFARawStatProjections!B818)</f>
        <v>NYJ</v>
      </c>
      <c r="BX823">
        <v>817</v>
      </c>
      <c r="BY823" s="89" t="str">
        <f t="shared" si="47"/>
        <v/>
      </c>
      <c r="BZ823" s="89" t="str">
        <f t="shared" si="48"/>
        <v/>
      </c>
      <c r="CA823" s="89" t="str">
        <f t="shared" si="49"/>
        <v/>
      </c>
    </row>
    <row r="824" spans="72:79" hidden="1" x14ac:dyDescent="0.25">
      <c r="BT824" t="str">
        <f>IF(FFARawStatProjections!A819=0,"",FFARawStatProjections!A819)</f>
        <v>SEA</v>
      </c>
      <c r="BU824" t="str">
        <f>IF(FFARawStatProjections!C819=0,"",FFARawStatProjections!C819)</f>
        <v>DST</v>
      </c>
      <c r="BV824" t="str">
        <f>IF(FFARawStatProjections!B819=0,"",FFARawStatProjections!B819)</f>
        <v>SEA</v>
      </c>
      <c r="BX824">
        <v>818</v>
      </c>
      <c r="BY824" s="89" t="str">
        <f t="shared" si="47"/>
        <v/>
      </c>
      <c r="BZ824" s="89" t="str">
        <f t="shared" si="48"/>
        <v/>
      </c>
      <c r="CA824" s="89" t="str">
        <f t="shared" si="49"/>
        <v/>
      </c>
    </row>
    <row r="825" spans="72:79" hidden="1" x14ac:dyDescent="0.25">
      <c r="BT825" t="str">
        <f>IF(FFARawStatProjections!A820=0,"",FFARawStatProjections!A820)</f>
        <v>LAC</v>
      </c>
      <c r="BU825" t="str">
        <f>IF(FFARawStatProjections!C820=0,"",FFARawStatProjections!C820)</f>
        <v>DST</v>
      </c>
      <c r="BV825" t="str">
        <f>IF(FFARawStatProjections!B820=0,"",FFARawStatProjections!B820)</f>
        <v>LAC</v>
      </c>
      <c r="BX825">
        <v>819</v>
      </c>
      <c r="BY825" s="89" t="str">
        <f t="shared" si="47"/>
        <v/>
      </c>
      <c r="BZ825" s="89" t="str">
        <f t="shared" si="48"/>
        <v/>
      </c>
      <c r="CA825" s="89" t="str">
        <f t="shared" si="49"/>
        <v/>
      </c>
    </row>
    <row r="826" spans="72:79" hidden="1" x14ac:dyDescent="0.25">
      <c r="BT826" t="str">
        <f>IF(FFARawStatProjections!A821=0,"",FFARawStatProjections!A821)</f>
        <v>DET</v>
      </c>
      <c r="BU826" t="str">
        <f>IF(FFARawStatProjections!C821=0,"",FFARawStatProjections!C821)</f>
        <v>DST</v>
      </c>
      <c r="BV826" t="str">
        <f>IF(FFARawStatProjections!B821=0,"",FFARawStatProjections!B821)</f>
        <v>DET</v>
      </c>
      <c r="BX826">
        <v>820</v>
      </c>
      <c r="BY826" s="89" t="str">
        <f t="shared" si="47"/>
        <v/>
      </c>
      <c r="BZ826" s="89" t="str">
        <f t="shared" si="48"/>
        <v/>
      </c>
      <c r="CA826" s="89" t="str">
        <f t="shared" si="49"/>
        <v/>
      </c>
    </row>
    <row r="827" spans="72:79" hidden="1" x14ac:dyDescent="0.25">
      <c r="BT827" t="str">
        <f>IF(FFARawStatProjections!A822=0,"",FFARawStatProjections!A822)</f>
        <v>HOU</v>
      </c>
      <c r="BU827" t="str">
        <f>IF(FFARawStatProjections!C822=0,"",FFARawStatProjections!C822)</f>
        <v>DST</v>
      </c>
      <c r="BV827" t="str">
        <f>IF(FFARawStatProjections!B822=0,"",FFARawStatProjections!B822)</f>
        <v>HOU</v>
      </c>
      <c r="BX827">
        <v>821</v>
      </c>
      <c r="BY827" s="89" t="str">
        <f t="shared" si="47"/>
        <v/>
      </c>
      <c r="BZ827" s="89" t="str">
        <f t="shared" si="48"/>
        <v/>
      </c>
      <c r="CA827" s="89" t="str">
        <f t="shared" si="49"/>
        <v/>
      </c>
    </row>
    <row r="828" spans="72:79" hidden="1" x14ac:dyDescent="0.25">
      <c r="BT828" t="str">
        <f>IF(FFARawStatProjections!A823=0,"",FFARawStatProjections!A823)</f>
        <v>MIN</v>
      </c>
      <c r="BU828" t="str">
        <f>IF(FFARawStatProjections!C823=0,"",FFARawStatProjections!C823)</f>
        <v>DST</v>
      </c>
      <c r="BV828" t="str">
        <f>IF(FFARawStatProjections!B823=0,"",FFARawStatProjections!B823)</f>
        <v>MIN</v>
      </c>
      <c r="BX828">
        <v>822</v>
      </c>
      <c r="BY828" s="89" t="str">
        <f t="shared" ref="BY828:BY891" si="50">IFERROR(INDEX(BT:BT,MATCH(BX828,BW:BW,0),1),"")</f>
        <v/>
      </c>
      <c r="BZ828" s="89" t="str">
        <f t="shared" ref="BZ828:BZ891" si="51">IFERROR(INDEX(BU:BU,MATCH(BX828,BW:BW,0)),"")</f>
        <v/>
      </c>
      <c r="CA828" s="89" t="str">
        <f t="shared" ref="CA828:CA891" si="52">IFERROR(INDEX(BV:BV,MATCH(BX828,BW:BW,0)),"")</f>
        <v/>
      </c>
    </row>
    <row r="829" spans="72:79" hidden="1" x14ac:dyDescent="0.25">
      <c r="BT829" t="str">
        <f>IF(FFARawStatProjections!A824=0,"",FFARawStatProjections!A824)</f>
        <v>BAL</v>
      </c>
      <c r="BU829" t="str">
        <f>IF(FFARawStatProjections!C824=0,"",FFARawStatProjections!C824)</f>
        <v>DST</v>
      </c>
      <c r="BV829" t="str">
        <f>IF(FFARawStatProjections!B824=0,"",FFARawStatProjections!B824)</f>
        <v>BAL</v>
      </c>
      <c r="BX829">
        <v>823</v>
      </c>
      <c r="BY829" s="89" t="str">
        <f t="shared" si="50"/>
        <v/>
      </c>
      <c r="BZ829" s="89" t="str">
        <f t="shared" si="51"/>
        <v/>
      </c>
      <c r="CA829" s="89" t="str">
        <f t="shared" si="52"/>
        <v/>
      </c>
    </row>
    <row r="830" spans="72:79" hidden="1" x14ac:dyDescent="0.25">
      <c r="BT830" t="str">
        <f>IF(FFARawStatProjections!A825=0,"",FFARawStatProjections!A825)</f>
        <v>TB</v>
      </c>
      <c r="BU830" t="str">
        <f>IF(FFARawStatProjections!C825=0,"",FFARawStatProjections!C825)</f>
        <v>DST</v>
      </c>
      <c r="BV830" t="str">
        <f>IF(FFARawStatProjections!B825=0,"",FFARawStatProjections!B825)</f>
        <v>TB</v>
      </c>
      <c r="BX830">
        <v>824</v>
      </c>
      <c r="BY830" s="89" t="str">
        <f t="shared" si="50"/>
        <v/>
      </c>
      <c r="BZ830" s="89" t="str">
        <f t="shared" si="51"/>
        <v/>
      </c>
      <c r="CA830" s="89" t="str">
        <f t="shared" si="52"/>
        <v/>
      </c>
    </row>
    <row r="831" spans="72:79" hidden="1" x14ac:dyDescent="0.25">
      <c r="BT831" t="str">
        <f>IF(FFARawStatProjections!A826=0,"",FFARawStatProjections!A826)</f>
        <v>JAC</v>
      </c>
      <c r="BU831" t="str">
        <f>IF(FFARawStatProjections!C826=0,"",FFARawStatProjections!C826)</f>
        <v>DST</v>
      </c>
      <c r="BV831" t="str">
        <f>IF(FFARawStatProjections!B826=0,"",FFARawStatProjections!B826)</f>
        <v>JAC</v>
      </c>
      <c r="BX831">
        <v>825</v>
      </c>
      <c r="BY831" s="89" t="str">
        <f t="shared" si="50"/>
        <v/>
      </c>
      <c r="BZ831" s="89" t="str">
        <f t="shared" si="51"/>
        <v/>
      </c>
      <c r="CA831" s="89" t="str">
        <f t="shared" si="52"/>
        <v/>
      </c>
    </row>
    <row r="832" spans="72:79" hidden="1" x14ac:dyDescent="0.25">
      <c r="BT832" t="str">
        <f>IF(FFARawStatProjections!A827=0,"",FFARawStatProjections!A827)</f>
        <v>NYG</v>
      </c>
      <c r="BU832" t="str">
        <f>IF(FFARawStatProjections!C827=0,"",FFARawStatProjections!C827)</f>
        <v>DST</v>
      </c>
      <c r="BV832" t="str">
        <f>IF(FFARawStatProjections!B827=0,"",FFARawStatProjections!B827)</f>
        <v>NYG</v>
      </c>
      <c r="BX832">
        <v>826</v>
      </c>
      <c r="BY832" s="89" t="str">
        <f t="shared" si="50"/>
        <v/>
      </c>
      <c r="BZ832" s="89" t="str">
        <f t="shared" si="51"/>
        <v/>
      </c>
      <c r="CA832" s="89" t="str">
        <f t="shared" si="52"/>
        <v/>
      </c>
    </row>
    <row r="833" spans="72:79" hidden="1" x14ac:dyDescent="0.25">
      <c r="BT833" t="str">
        <f>IF(FFARawStatProjections!A828=0,"",FFARawStatProjections!A828)</f>
        <v>LAR</v>
      </c>
      <c r="BU833" t="str">
        <f>IF(FFARawStatProjections!C828=0,"",FFARawStatProjections!C828)</f>
        <v>DST</v>
      </c>
      <c r="BV833" t="str">
        <f>IF(FFARawStatProjections!B828=0,"",FFARawStatProjections!B828)</f>
        <v>LAR</v>
      </c>
      <c r="BX833">
        <v>827</v>
      </c>
      <c r="BY833" s="89" t="str">
        <f t="shared" si="50"/>
        <v/>
      </c>
      <c r="BZ833" s="89" t="str">
        <f t="shared" si="51"/>
        <v/>
      </c>
      <c r="CA833" s="89" t="str">
        <f t="shared" si="52"/>
        <v/>
      </c>
    </row>
    <row r="834" spans="72:79" hidden="1" x14ac:dyDescent="0.25">
      <c r="BT834" t="str">
        <f>IF(FFARawStatProjections!A829=0,"",FFARawStatProjections!A829)</f>
        <v>TEN</v>
      </c>
      <c r="BU834" t="str">
        <f>IF(FFARawStatProjections!C829=0,"",FFARawStatProjections!C829)</f>
        <v>DST</v>
      </c>
      <c r="BV834" t="str">
        <f>IF(FFARawStatProjections!B829=0,"",FFARawStatProjections!B829)</f>
        <v>TEN</v>
      </c>
      <c r="BX834">
        <v>828</v>
      </c>
      <c r="BY834" s="89" t="str">
        <f t="shared" si="50"/>
        <v/>
      </c>
      <c r="BZ834" s="89" t="str">
        <f t="shared" si="51"/>
        <v/>
      </c>
      <c r="CA834" s="89" t="str">
        <f t="shared" si="52"/>
        <v/>
      </c>
    </row>
    <row r="835" spans="72:79" hidden="1" x14ac:dyDescent="0.25">
      <c r="BT835" t="str">
        <f>IF(FFARawStatProjections!A830=0,"",FFARawStatProjections!A830)</f>
        <v>CIN</v>
      </c>
      <c r="BU835" t="str">
        <f>IF(FFARawStatProjections!C830=0,"",FFARawStatProjections!C830)</f>
        <v>DST</v>
      </c>
      <c r="BV835" t="str">
        <f>IF(FFARawStatProjections!B830=0,"",FFARawStatProjections!B830)</f>
        <v>CIN</v>
      </c>
      <c r="BX835">
        <v>829</v>
      </c>
      <c r="BY835" s="89" t="str">
        <f t="shared" si="50"/>
        <v/>
      </c>
      <c r="BZ835" s="89" t="str">
        <f t="shared" si="51"/>
        <v/>
      </c>
      <c r="CA835" s="89" t="str">
        <f t="shared" si="52"/>
        <v/>
      </c>
    </row>
    <row r="836" spans="72:79" hidden="1" x14ac:dyDescent="0.25">
      <c r="BT836" t="str">
        <f>IF(FFARawStatProjections!A831=0,"",FFARawStatProjections!A831)</f>
        <v>CAR</v>
      </c>
      <c r="BU836" t="str">
        <f>IF(FFARawStatProjections!C831=0,"",FFARawStatProjections!C831)</f>
        <v>DST</v>
      </c>
      <c r="BV836" t="str">
        <f>IF(FFARawStatProjections!B831=0,"",FFARawStatProjections!B831)</f>
        <v>CAR</v>
      </c>
      <c r="BX836">
        <v>830</v>
      </c>
      <c r="BY836" s="89" t="str">
        <f t="shared" si="50"/>
        <v/>
      </c>
      <c r="BZ836" s="89" t="str">
        <f t="shared" si="51"/>
        <v/>
      </c>
      <c r="CA836" s="89" t="str">
        <f t="shared" si="52"/>
        <v/>
      </c>
    </row>
    <row r="837" spans="72:79" hidden="1" x14ac:dyDescent="0.25">
      <c r="BT837" t="str">
        <f>IF(FFARawStatProjections!A832=0,"",FFARawStatProjections!A832)</f>
        <v>DEN</v>
      </c>
      <c r="BU837" t="str">
        <f>IF(FFARawStatProjections!C832=0,"",FFARawStatProjections!C832)</f>
        <v>DST</v>
      </c>
      <c r="BV837" t="str">
        <f>IF(FFARawStatProjections!B832=0,"",FFARawStatProjections!B832)</f>
        <v>DEN</v>
      </c>
      <c r="BX837">
        <v>831</v>
      </c>
      <c r="BY837" s="89" t="str">
        <f t="shared" si="50"/>
        <v/>
      </c>
      <c r="BZ837" s="89" t="str">
        <f t="shared" si="51"/>
        <v/>
      </c>
      <c r="CA837" s="89" t="str">
        <f t="shared" si="52"/>
        <v/>
      </c>
    </row>
    <row r="838" spans="72:79" hidden="1" x14ac:dyDescent="0.25">
      <c r="BT838" t="str">
        <f>IF(FFARawStatProjections!A833=0,"",FFARawStatProjections!A833)</f>
        <v>ATL</v>
      </c>
      <c r="BU838" t="str">
        <f>IF(FFARawStatProjections!C833=0,"",FFARawStatProjections!C833)</f>
        <v>DST</v>
      </c>
      <c r="BV838" t="str">
        <f>IF(FFARawStatProjections!B833=0,"",FFARawStatProjections!B833)</f>
        <v>ATL</v>
      </c>
      <c r="BX838">
        <v>832</v>
      </c>
      <c r="BY838" s="89" t="str">
        <f t="shared" si="50"/>
        <v/>
      </c>
      <c r="BZ838" s="89" t="str">
        <f t="shared" si="51"/>
        <v/>
      </c>
      <c r="CA838" s="89" t="str">
        <f t="shared" si="52"/>
        <v/>
      </c>
    </row>
    <row r="839" spans="72:79" hidden="1" x14ac:dyDescent="0.25">
      <c r="BT839" t="str">
        <f>IF(FFARawStatProjections!A834=0,"",FFARawStatProjections!A834)</f>
        <v>AZ</v>
      </c>
      <c r="BU839" t="str">
        <f>IF(FFARawStatProjections!C834=0,"",FFARawStatProjections!C834)</f>
        <v>DST</v>
      </c>
      <c r="BV839" t="str">
        <f>IF(FFARawStatProjections!B834=0,"",FFARawStatProjections!B834)</f>
        <v>AZ</v>
      </c>
      <c r="BX839">
        <v>833</v>
      </c>
      <c r="BY839" s="89" t="str">
        <f t="shared" si="50"/>
        <v/>
      </c>
      <c r="BZ839" s="89" t="str">
        <f t="shared" si="51"/>
        <v/>
      </c>
      <c r="CA839" s="89" t="str">
        <f t="shared" si="52"/>
        <v/>
      </c>
    </row>
    <row r="840" spans="72:79" hidden="1" x14ac:dyDescent="0.25">
      <c r="BT840" t="str">
        <f>IF(FFARawStatProjections!A835=0,"",FFARawStatProjections!A835)</f>
        <v>CHI</v>
      </c>
      <c r="BU840" t="str">
        <f>IF(FFARawStatProjections!C835=0,"",FFARawStatProjections!C835)</f>
        <v>DST</v>
      </c>
      <c r="BV840" t="str">
        <f>IF(FFARawStatProjections!B835=0,"",FFARawStatProjections!B835)</f>
        <v>CHI</v>
      </c>
      <c r="BX840">
        <v>834</v>
      </c>
      <c r="BY840" s="89" t="str">
        <f t="shared" si="50"/>
        <v/>
      </c>
      <c r="BZ840" s="89" t="str">
        <f t="shared" si="51"/>
        <v/>
      </c>
      <c r="CA840" s="89" t="str">
        <f t="shared" si="52"/>
        <v/>
      </c>
    </row>
    <row r="841" spans="72:79" hidden="1" x14ac:dyDescent="0.25">
      <c r="BT841" t="str">
        <f>IF(FFARawStatProjections!A836=0,"",FFARawStatProjections!A836)</f>
        <v>LV</v>
      </c>
      <c r="BU841" t="str">
        <f>IF(FFARawStatProjections!C836=0,"",FFARawStatProjections!C836)</f>
        <v>DST</v>
      </c>
      <c r="BV841" t="str">
        <f>IF(FFARawStatProjections!B836=0,"",FFARawStatProjections!B836)</f>
        <v>LV</v>
      </c>
      <c r="BX841">
        <v>835</v>
      </c>
      <c r="BY841" s="89" t="str">
        <f t="shared" si="50"/>
        <v/>
      </c>
      <c r="BZ841" s="89" t="str">
        <f t="shared" si="51"/>
        <v/>
      </c>
      <c r="CA841" s="89" t="str">
        <f t="shared" si="52"/>
        <v/>
      </c>
    </row>
    <row r="842" spans="72:79" hidden="1" x14ac:dyDescent="0.25">
      <c r="BT842" t="str">
        <f>IF(FFARawStatProjections!A837=0,"",FFARawStatProjections!A837)</f>
        <v/>
      </c>
      <c r="BU842" t="str">
        <f>IF(FFARawStatProjections!C837=0,"",FFARawStatProjections!C837)</f>
        <v/>
      </c>
      <c r="BV842" t="str">
        <f>IF(FFARawStatProjections!B837=0,"",FFARawStatProjections!B837)</f>
        <v/>
      </c>
      <c r="BX842">
        <v>836</v>
      </c>
      <c r="BY842" s="89" t="str">
        <f t="shared" si="50"/>
        <v/>
      </c>
      <c r="BZ842" s="89" t="str">
        <f t="shared" si="51"/>
        <v/>
      </c>
      <c r="CA842" s="89" t="str">
        <f t="shared" si="52"/>
        <v/>
      </c>
    </row>
    <row r="843" spans="72:79" hidden="1" x14ac:dyDescent="0.25">
      <c r="BT843" t="str">
        <f>IF(FFARawStatProjections!A838=0,"",FFARawStatProjections!A838)</f>
        <v/>
      </c>
      <c r="BU843" t="str">
        <f>IF(FFARawStatProjections!C838=0,"",FFARawStatProjections!C838)</f>
        <v/>
      </c>
      <c r="BV843" t="str">
        <f>IF(FFARawStatProjections!B838=0,"",FFARawStatProjections!B838)</f>
        <v/>
      </c>
      <c r="BX843">
        <v>837</v>
      </c>
      <c r="BY843" s="89" t="str">
        <f t="shared" si="50"/>
        <v/>
      </c>
      <c r="BZ843" s="89" t="str">
        <f t="shared" si="51"/>
        <v/>
      </c>
      <c r="CA843" s="89" t="str">
        <f t="shared" si="52"/>
        <v/>
      </c>
    </row>
    <row r="844" spans="72:79" hidden="1" x14ac:dyDescent="0.25">
      <c r="BT844" t="str">
        <f>IF(FFARawStatProjections!A839=0,"",FFARawStatProjections!A839)</f>
        <v/>
      </c>
      <c r="BU844" t="str">
        <f>IF(FFARawStatProjections!C839=0,"",FFARawStatProjections!C839)</f>
        <v/>
      </c>
      <c r="BV844" t="str">
        <f>IF(FFARawStatProjections!B839=0,"",FFARawStatProjections!B839)</f>
        <v/>
      </c>
      <c r="BX844">
        <v>838</v>
      </c>
      <c r="BY844" s="89" t="str">
        <f t="shared" si="50"/>
        <v/>
      </c>
      <c r="BZ844" s="89" t="str">
        <f t="shared" si="51"/>
        <v/>
      </c>
      <c r="CA844" s="89" t="str">
        <f t="shared" si="52"/>
        <v/>
      </c>
    </row>
    <row r="845" spans="72:79" hidden="1" x14ac:dyDescent="0.25">
      <c r="BT845" t="str">
        <f>IF(FFARawStatProjections!A840=0,"",FFARawStatProjections!A840)</f>
        <v/>
      </c>
      <c r="BU845" t="str">
        <f>IF(FFARawStatProjections!C840=0,"",FFARawStatProjections!C840)</f>
        <v/>
      </c>
      <c r="BV845" t="str">
        <f>IF(FFARawStatProjections!B840=0,"",FFARawStatProjections!B840)</f>
        <v/>
      </c>
      <c r="BX845">
        <v>839</v>
      </c>
      <c r="BY845" s="89" t="str">
        <f t="shared" si="50"/>
        <v/>
      </c>
      <c r="BZ845" s="89" t="str">
        <f t="shared" si="51"/>
        <v/>
      </c>
      <c r="CA845" s="89" t="str">
        <f t="shared" si="52"/>
        <v/>
      </c>
    </row>
    <row r="846" spans="72:79" hidden="1" x14ac:dyDescent="0.25">
      <c r="BT846" t="str">
        <f>IF(FFARawStatProjections!A841=0,"",FFARawStatProjections!A841)</f>
        <v>Will Fuller</v>
      </c>
      <c r="BU846" t="str">
        <f>IF(FFARawStatProjections!C841=0,"",FFARawStatProjections!C841)</f>
        <v>WR</v>
      </c>
      <c r="BV846" t="str">
        <f>IF(FFARawStatProjections!B841=0,"",FFARawStatProjections!B841)</f>
        <v>FA</v>
      </c>
      <c r="BX846">
        <v>840</v>
      </c>
      <c r="BY846" s="89" t="str">
        <f t="shared" si="50"/>
        <v/>
      </c>
      <c r="BZ846" s="89" t="str">
        <f t="shared" si="51"/>
        <v/>
      </c>
      <c r="CA846" s="89" t="str">
        <f t="shared" si="52"/>
        <v/>
      </c>
    </row>
    <row r="847" spans="72:79" hidden="1" x14ac:dyDescent="0.25">
      <c r="BT847" t="str">
        <f>IF(FFARawStatProjections!A842=0,"",FFARawStatProjections!A842)</f>
        <v>Kareem Hunt</v>
      </c>
      <c r="BU847" t="str">
        <f>IF(FFARawStatProjections!C842=0,"",FFARawStatProjections!C842)</f>
        <v>RB</v>
      </c>
      <c r="BV847" t="str">
        <f>IF(FFARawStatProjections!B842=0,"",FFARawStatProjections!B842)</f>
        <v>FA</v>
      </c>
      <c r="BX847">
        <v>841</v>
      </c>
      <c r="BY847" s="89" t="str">
        <f t="shared" si="50"/>
        <v/>
      </c>
      <c r="BZ847" s="89" t="str">
        <f t="shared" si="51"/>
        <v/>
      </c>
      <c r="CA847" s="89" t="str">
        <f t="shared" si="52"/>
        <v/>
      </c>
    </row>
    <row r="848" spans="72:79" hidden="1" x14ac:dyDescent="0.25">
      <c r="BT848" t="str">
        <f>IF(FFARawStatProjections!A843=0,"",FFARawStatProjections!A843)</f>
        <v/>
      </c>
      <c r="BU848" t="str">
        <f>IF(FFARawStatProjections!C843=0,"",FFARawStatProjections!C843)</f>
        <v/>
      </c>
      <c r="BV848" t="str">
        <f>IF(FFARawStatProjections!B843=0,"",FFARawStatProjections!B843)</f>
        <v/>
      </c>
      <c r="BX848">
        <v>842</v>
      </c>
      <c r="BY848" s="89" t="str">
        <f t="shared" si="50"/>
        <v/>
      </c>
      <c r="BZ848" s="89" t="str">
        <f t="shared" si="51"/>
        <v/>
      </c>
      <c r="CA848" s="89" t="str">
        <f t="shared" si="52"/>
        <v/>
      </c>
    </row>
    <row r="849" spans="72:79" hidden="1" x14ac:dyDescent="0.25">
      <c r="BT849" t="str">
        <f>IF(FFARawStatProjections!A844=0,"",FFARawStatProjections!A844)</f>
        <v/>
      </c>
      <c r="BU849" t="str">
        <f>IF(FFARawStatProjections!C844=0,"",FFARawStatProjections!C844)</f>
        <v/>
      </c>
      <c r="BV849" t="str">
        <f>IF(FFARawStatProjections!B844=0,"",FFARawStatProjections!B844)</f>
        <v/>
      </c>
      <c r="BX849">
        <v>843</v>
      </c>
      <c r="BY849" s="89" t="str">
        <f t="shared" si="50"/>
        <v/>
      </c>
      <c r="BZ849" s="89" t="str">
        <f t="shared" si="51"/>
        <v/>
      </c>
      <c r="CA849" s="89" t="str">
        <f t="shared" si="52"/>
        <v/>
      </c>
    </row>
    <row r="850" spans="72:79" hidden="1" x14ac:dyDescent="0.25">
      <c r="BT850" t="str">
        <f>IF(FFARawStatProjections!A845=0,"",FFARawStatProjections!A845)</f>
        <v/>
      </c>
      <c r="BU850" t="str">
        <f>IF(FFARawStatProjections!C845=0,"",FFARawStatProjections!C845)</f>
        <v/>
      </c>
      <c r="BV850" t="str">
        <f>IF(FFARawStatProjections!B845=0,"",FFARawStatProjections!B845)</f>
        <v/>
      </c>
      <c r="BX850">
        <v>844</v>
      </c>
      <c r="BY850" s="89" t="str">
        <f t="shared" si="50"/>
        <v/>
      </c>
      <c r="BZ850" s="89" t="str">
        <f t="shared" si="51"/>
        <v/>
      </c>
      <c r="CA850" s="89" t="str">
        <f t="shared" si="52"/>
        <v/>
      </c>
    </row>
    <row r="851" spans="72:79" hidden="1" x14ac:dyDescent="0.25">
      <c r="BT851" t="str">
        <f>IF(FFARawStatProjections!A846=0,"",FFARawStatProjections!A846)</f>
        <v/>
      </c>
      <c r="BU851" t="str">
        <f>IF(FFARawStatProjections!C846=0,"",FFARawStatProjections!C846)</f>
        <v/>
      </c>
      <c r="BV851" t="str">
        <f>IF(FFARawStatProjections!B846=0,"",FFARawStatProjections!B846)</f>
        <v/>
      </c>
      <c r="BX851">
        <v>845</v>
      </c>
      <c r="BY851" s="89" t="str">
        <f t="shared" si="50"/>
        <v/>
      </c>
      <c r="BZ851" s="89" t="str">
        <f t="shared" si="51"/>
        <v/>
      </c>
      <c r="CA851" s="89" t="str">
        <f t="shared" si="52"/>
        <v/>
      </c>
    </row>
    <row r="852" spans="72:79" hidden="1" x14ac:dyDescent="0.25">
      <c r="BT852" t="str">
        <f>IF(FFARawStatProjections!A847=0,"",FFARawStatProjections!A847)</f>
        <v/>
      </c>
      <c r="BU852" t="str">
        <f>IF(FFARawStatProjections!C847=0,"",FFARawStatProjections!C847)</f>
        <v/>
      </c>
      <c r="BV852" t="str">
        <f>IF(FFARawStatProjections!B847=0,"",FFARawStatProjections!B847)</f>
        <v/>
      </c>
      <c r="BX852">
        <v>846</v>
      </c>
      <c r="BY852" s="89" t="str">
        <f t="shared" si="50"/>
        <v/>
      </c>
      <c r="BZ852" s="89" t="str">
        <f t="shared" si="51"/>
        <v/>
      </c>
      <c r="CA852" s="89" t="str">
        <f t="shared" si="52"/>
        <v/>
      </c>
    </row>
    <row r="853" spans="72:79" hidden="1" x14ac:dyDescent="0.25">
      <c r="BT853" t="str">
        <f>IF(FFARawStatProjections!A848=0,"",FFARawStatProjections!A848)</f>
        <v/>
      </c>
      <c r="BU853" t="str">
        <f>IF(FFARawStatProjections!C848=0,"",FFARawStatProjections!C848)</f>
        <v/>
      </c>
      <c r="BV853" t="str">
        <f>IF(FFARawStatProjections!B848=0,"",FFARawStatProjections!B848)</f>
        <v/>
      </c>
      <c r="BX853">
        <v>847</v>
      </c>
      <c r="BY853" s="89" t="str">
        <f t="shared" si="50"/>
        <v/>
      </c>
      <c r="BZ853" s="89" t="str">
        <f t="shared" si="51"/>
        <v/>
      </c>
      <c r="CA853" s="89" t="str">
        <f t="shared" si="52"/>
        <v/>
      </c>
    </row>
    <row r="854" spans="72:79" hidden="1" x14ac:dyDescent="0.25">
      <c r="BT854" t="str">
        <f>IF(FFARawStatProjections!A849=0,"",FFARawStatProjections!A849)</f>
        <v/>
      </c>
      <c r="BU854" t="str">
        <f>IF(FFARawStatProjections!C849=0,"",FFARawStatProjections!C849)</f>
        <v/>
      </c>
      <c r="BV854" t="str">
        <f>IF(FFARawStatProjections!B849=0,"",FFARawStatProjections!B849)</f>
        <v/>
      </c>
      <c r="BX854">
        <v>848</v>
      </c>
      <c r="BY854" s="89" t="str">
        <f t="shared" si="50"/>
        <v/>
      </c>
      <c r="BZ854" s="89" t="str">
        <f t="shared" si="51"/>
        <v/>
      </c>
      <c r="CA854" s="89" t="str">
        <f t="shared" si="52"/>
        <v/>
      </c>
    </row>
    <row r="855" spans="72:79" hidden="1" x14ac:dyDescent="0.25">
      <c r="BT855" t="str">
        <f>IF(FFARawStatProjections!A850=0,"",FFARawStatProjections!A850)</f>
        <v/>
      </c>
      <c r="BU855" t="str">
        <f>IF(FFARawStatProjections!C850=0,"",FFARawStatProjections!C850)</f>
        <v/>
      </c>
      <c r="BV855" t="str">
        <f>IF(FFARawStatProjections!B850=0,"",FFARawStatProjections!B850)</f>
        <v/>
      </c>
      <c r="BX855">
        <v>849</v>
      </c>
      <c r="BY855" s="89" t="str">
        <f t="shared" si="50"/>
        <v/>
      </c>
      <c r="BZ855" s="89" t="str">
        <f t="shared" si="51"/>
        <v/>
      </c>
      <c r="CA855" s="89" t="str">
        <f t="shared" si="52"/>
        <v/>
      </c>
    </row>
    <row r="856" spans="72:79" hidden="1" x14ac:dyDescent="0.25">
      <c r="BT856" t="str">
        <f>IF(FFARawStatProjections!A851=0,"",FFARawStatProjections!A851)</f>
        <v/>
      </c>
      <c r="BU856" t="str">
        <f>IF(FFARawStatProjections!C851=0,"",FFARawStatProjections!C851)</f>
        <v/>
      </c>
      <c r="BV856" t="str">
        <f>IF(FFARawStatProjections!B851=0,"",FFARawStatProjections!B851)</f>
        <v/>
      </c>
      <c r="BX856">
        <v>850</v>
      </c>
      <c r="BY856" s="89" t="str">
        <f t="shared" si="50"/>
        <v/>
      </c>
      <c r="BZ856" s="89" t="str">
        <f t="shared" si="51"/>
        <v/>
      </c>
      <c r="CA856" s="89" t="str">
        <f t="shared" si="52"/>
        <v/>
      </c>
    </row>
    <row r="857" spans="72:79" hidden="1" x14ac:dyDescent="0.25">
      <c r="BT857" t="str">
        <f>IF(FFARawStatProjections!A852=0,"",FFARawStatProjections!A852)</f>
        <v/>
      </c>
      <c r="BU857" t="str">
        <f>IF(FFARawStatProjections!C852=0,"",FFARawStatProjections!C852)</f>
        <v/>
      </c>
      <c r="BV857" t="str">
        <f>IF(FFARawStatProjections!B852=0,"",FFARawStatProjections!B852)</f>
        <v/>
      </c>
      <c r="BX857">
        <v>851</v>
      </c>
      <c r="BY857" s="89" t="str">
        <f t="shared" si="50"/>
        <v/>
      </c>
      <c r="BZ857" s="89" t="str">
        <f t="shared" si="51"/>
        <v/>
      </c>
      <c r="CA857" s="89" t="str">
        <f t="shared" si="52"/>
        <v/>
      </c>
    </row>
    <row r="858" spans="72:79" hidden="1" x14ac:dyDescent="0.25">
      <c r="BT858" t="str">
        <f>IF(FFARawStatProjections!A853=0,"",FFARawStatProjections!A853)</f>
        <v/>
      </c>
      <c r="BU858" t="str">
        <f>IF(FFARawStatProjections!C853=0,"",FFARawStatProjections!C853)</f>
        <v/>
      </c>
      <c r="BV858" t="str">
        <f>IF(FFARawStatProjections!B853=0,"",FFARawStatProjections!B853)</f>
        <v/>
      </c>
      <c r="BX858">
        <v>852</v>
      </c>
      <c r="BY858" s="89" t="str">
        <f t="shared" si="50"/>
        <v/>
      </c>
      <c r="BZ858" s="89" t="str">
        <f t="shared" si="51"/>
        <v/>
      </c>
      <c r="CA858" s="89" t="str">
        <f t="shared" si="52"/>
        <v/>
      </c>
    </row>
    <row r="859" spans="72:79" hidden="1" x14ac:dyDescent="0.25">
      <c r="BT859" t="str">
        <f>IF(FFARawStatProjections!A854=0,"",FFARawStatProjections!A854)</f>
        <v/>
      </c>
      <c r="BU859" t="str">
        <f>IF(FFARawStatProjections!C854=0,"",FFARawStatProjections!C854)</f>
        <v/>
      </c>
      <c r="BV859" t="str">
        <f>IF(FFARawStatProjections!B854=0,"",FFARawStatProjections!B854)</f>
        <v/>
      </c>
      <c r="BX859">
        <v>853</v>
      </c>
      <c r="BY859" s="89" t="str">
        <f t="shared" si="50"/>
        <v/>
      </c>
      <c r="BZ859" s="89" t="str">
        <f t="shared" si="51"/>
        <v/>
      </c>
      <c r="CA859" s="89" t="str">
        <f t="shared" si="52"/>
        <v/>
      </c>
    </row>
    <row r="860" spans="72:79" hidden="1" x14ac:dyDescent="0.25">
      <c r="BT860" t="str">
        <f>IF(FFARawStatProjections!A855=0,"",FFARawStatProjections!A855)</f>
        <v/>
      </c>
      <c r="BU860" t="str">
        <f>IF(FFARawStatProjections!C855=0,"",FFARawStatProjections!C855)</f>
        <v/>
      </c>
      <c r="BV860" t="str">
        <f>IF(FFARawStatProjections!B855=0,"",FFARawStatProjections!B855)</f>
        <v/>
      </c>
      <c r="BX860">
        <v>854</v>
      </c>
      <c r="BY860" s="89" t="str">
        <f t="shared" si="50"/>
        <v/>
      </c>
      <c r="BZ860" s="89" t="str">
        <f t="shared" si="51"/>
        <v/>
      </c>
      <c r="CA860" s="89" t="str">
        <f t="shared" si="52"/>
        <v/>
      </c>
    </row>
    <row r="861" spans="72:79" hidden="1" x14ac:dyDescent="0.25">
      <c r="BT861" t="str">
        <f>IF(FFARawStatProjections!A856=0,"",FFARawStatProjections!A856)</f>
        <v/>
      </c>
      <c r="BU861" t="str">
        <f>IF(FFARawStatProjections!C856=0,"",FFARawStatProjections!C856)</f>
        <v/>
      </c>
      <c r="BV861" t="str">
        <f>IF(FFARawStatProjections!B856=0,"",FFARawStatProjections!B856)</f>
        <v/>
      </c>
      <c r="BX861">
        <v>855</v>
      </c>
      <c r="BY861" s="89" t="str">
        <f t="shared" si="50"/>
        <v/>
      </c>
      <c r="BZ861" s="89" t="str">
        <f t="shared" si="51"/>
        <v/>
      </c>
      <c r="CA861" s="89" t="str">
        <f t="shared" si="52"/>
        <v/>
      </c>
    </row>
    <row r="862" spans="72:79" hidden="1" x14ac:dyDescent="0.25">
      <c r="BT862" t="str">
        <f>IF(FFARawStatProjections!A857=0,"",FFARawStatProjections!A857)</f>
        <v/>
      </c>
      <c r="BU862" t="str">
        <f>IF(FFARawStatProjections!C857=0,"",FFARawStatProjections!C857)</f>
        <v/>
      </c>
      <c r="BV862" t="str">
        <f>IF(FFARawStatProjections!B857=0,"",FFARawStatProjections!B857)</f>
        <v/>
      </c>
      <c r="BX862">
        <v>856</v>
      </c>
      <c r="BY862" s="89" t="str">
        <f t="shared" si="50"/>
        <v/>
      </c>
      <c r="BZ862" s="89" t="str">
        <f t="shared" si="51"/>
        <v/>
      </c>
      <c r="CA862" s="89" t="str">
        <f t="shared" si="52"/>
        <v/>
      </c>
    </row>
    <row r="863" spans="72:79" hidden="1" x14ac:dyDescent="0.25">
      <c r="BT863" t="str">
        <f>IF(FFARawStatProjections!A858=0,"",FFARawStatProjections!A858)</f>
        <v/>
      </c>
      <c r="BU863" t="str">
        <f>IF(FFARawStatProjections!C858=0,"",FFARawStatProjections!C858)</f>
        <v/>
      </c>
      <c r="BV863" t="str">
        <f>IF(FFARawStatProjections!B858=0,"",FFARawStatProjections!B858)</f>
        <v/>
      </c>
      <c r="BX863">
        <v>857</v>
      </c>
      <c r="BY863" s="89" t="str">
        <f t="shared" si="50"/>
        <v/>
      </c>
      <c r="BZ863" s="89" t="str">
        <f t="shared" si="51"/>
        <v/>
      </c>
      <c r="CA863" s="89" t="str">
        <f t="shared" si="52"/>
        <v/>
      </c>
    </row>
    <row r="864" spans="72:79" hidden="1" x14ac:dyDescent="0.25">
      <c r="BT864" t="str">
        <f>IF(FFARawStatProjections!A859=0,"",FFARawStatProjections!A859)</f>
        <v/>
      </c>
      <c r="BU864" t="str">
        <f>IF(FFARawStatProjections!C859=0,"",FFARawStatProjections!C859)</f>
        <v/>
      </c>
      <c r="BV864" t="str">
        <f>IF(FFARawStatProjections!B859=0,"",FFARawStatProjections!B859)</f>
        <v/>
      </c>
      <c r="BX864">
        <v>858</v>
      </c>
      <c r="BY864" s="89" t="str">
        <f t="shared" si="50"/>
        <v/>
      </c>
      <c r="BZ864" s="89" t="str">
        <f t="shared" si="51"/>
        <v/>
      </c>
      <c r="CA864" s="89" t="str">
        <f t="shared" si="52"/>
        <v/>
      </c>
    </row>
    <row r="865" spans="72:79" hidden="1" x14ac:dyDescent="0.25">
      <c r="BT865" t="str">
        <f>IF(FFARawStatProjections!A860=0,"",FFARawStatProjections!A860)</f>
        <v/>
      </c>
      <c r="BU865" t="str">
        <f>IF(FFARawStatProjections!C860=0,"",FFARawStatProjections!C860)</f>
        <v/>
      </c>
      <c r="BV865" t="str">
        <f>IF(FFARawStatProjections!B860=0,"",FFARawStatProjections!B860)</f>
        <v/>
      </c>
      <c r="BX865">
        <v>859</v>
      </c>
      <c r="BY865" s="89" t="str">
        <f t="shared" si="50"/>
        <v/>
      </c>
      <c r="BZ865" s="89" t="str">
        <f t="shared" si="51"/>
        <v/>
      </c>
      <c r="CA865" s="89" t="str">
        <f t="shared" si="52"/>
        <v/>
      </c>
    </row>
    <row r="866" spans="72:79" hidden="1" x14ac:dyDescent="0.25">
      <c r="BT866" t="str">
        <f>IF(FFARawStatProjections!A861=0,"",FFARawStatProjections!A861)</f>
        <v/>
      </c>
      <c r="BU866" t="str">
        <f>IF(FFARawStatProjections!C861=0,"",FFARawStatProjections!C861)</f>
        <v/>
      </c>
      <c r="BV866" t="str">
        <f>IF(FFARawStatProjections!B861=0,"",FFARawStatProjections!B861)</f>
        <v/>
      </c>
      <c r="BX866">
        <v>860</v>
      </c>
      <c r="BY866" s="89" t="str">
        <f t="shared" si="50"/>
        <v/>
      </c>
      <c r="BZ866" s="89" t="str">
        <f t="shared" si="51"/>
        <v/>
      </c>
      <c r="CA866" s="89" t="str">
        <f t="shared" si="52"/>
        <v/>
      </c>
    </row>
    <row r="867" spans="72:79" hidden="1" x14ac:dyDescent="0.25">
      <c r="BT867" t="str">
        <f>IF(FFARawStatProjections!A862=0,"",FFARawStatProjections!A862)</f>
        <v/>
      </c>
      <c r="BU867" t="str">
        <f>IF(FFARawStatProjections!C862=0,"",FFARawStatProjections!C862)</f>
        <v/>
      </c>
      <c r="BV867" t="str">
        <f>IF(FFARawStatProjections!B862=0,"",FFARawStatProjections!B862)</f>
        <v/>
      </c>
      <c r="BX867">
        <v>861</v>
      </c>
      <c r="BY867" s="89" t="str">
        <f t="shared" si="50"/>
        <v/>
      </c>
      <c r="BZ867" s="89" t="str">
        <f t="shared" si="51"/>
        <v/>
      </c>
      <c r="CA867" s="89" t="str">
        <f t="shared" si="52"/>
        <v/>
      </c>
    </row>
    <row r="868" spans="72:79" hidden="1" x14ac:dyDescent="0.25">
      <c r="BT868" t="str">
        <f>IF(FFARawStatProjections!A863=0,"",FFARawStatProjections!A863)</f>
        <v/>
      </c>
      <c r="BU868" t="str">
        <f>IF(FFARawStatProjections!C863=0,"",FFARawStatProjections!C863)</f>
        <v/>
      </c>
      <c r="BV868" t="str">
        <f>IF(FFARawStatProjections!B863=0,"",FFARawStatProjections!B863)</f>
        <v/>
      </c>
      <c r="BX868">
        <v>862</v>
      </c>
      <c r="BY868" s="89" t="str">
        <f t="shared" si="50"/>
        <v/>
      </c>
      <c r="BZ868" s="89" t="str">
        <f t="shared" si="51"/>
        <v/>
      </c>
      <c r="CA868" s="89" t="str">
        <f t="shared" si="52"/>
        <v/>
      </c>
    </row>
    <row r="869" spans="72:79" hidden="1" x14ac:dyDescent="0.25">
      <c r="BT869" t="str">
        <f>IF(FFARawStatProjections!A864=0,"",FFARawStatProjections!A864)</f>
        <v/>
      </c>
      <c r="BU869" t="str">
        <f>IF(FFARawStatProjections!C864=0,"",FFARawStatProjections!C864)</f>
        <v/>
      </c>
      <c r="BV869" t="str">
        <f>IF(FFARawStatProjections!B864=0,"",FFARawStatProjections!B864)</f>
        <v/>
      </c>
      <c r="BX869">
        <v>863</v>
      </c>
      <c r="BY869" s="89" t="str">
        <f t="shared" si="50"/>
        <v/>
      </c>
      <c r="BZ869" s="89" t="str">
        <f t="shared" si="51"/>
        <v/>
      </c>
      <c r="CA869" s="89" t="str">
        <f t="shared" si="52"/>
        <v/>
      </c>
    </row>
    <row r="870" spans="72:79" hidden="1" x14ac:dyDescent="0.25">
      <c r="BT870" t="str">
        <f>IF(FFARawStatProjections!A865=0,"",FFARawStatProjections!A865)</f>
        <v/>
      </c>
      <c r="BU870" t="str">
        <f>IF(FFARawStatProjections!C865=0,"",FFARawStatProjections!C865)</f>
        <v/>
      </c>
      <c r="BV870" t="str">
        <f>IF(FFARawStatProjections!B865=0,"",FFARawStatProjections!B865)</f>
        <v/>
      </c>
      <c r="BX870">
        <v>864</v>
      </c>
      <c r="BY870" s="89" t="str">
        <f t="shared" si="50"/>
        <v/>
      </c>
      <c r="BZ870" s="89" t="str">
        <f t="shared" si="51"/>
        <v/>
      </c>
      <c r="CA870" s="89" t="str">
        <f t="shared" si="52"/>
        <v/>
      </c>
    </row>
    <row r="871" spans="72:79" hidden="1" x14ac:dyDescent="0.25">
      <c r="BT871" t="str">
        <f>IF(FFARawStatProjections!A866=0,"",FFARawStatProjections!A866)</f>
        <v/>
      </c>
      <c r="BU871" t="str">
        <f>IF(FFARawStatProjections!C866=0,"",FFARawStatProjections!C866)</f>
        <v/>
      </c>
      <c r="BV871" t="str">
        <f>IF(FFARawStatProjections!B866=0,"",FFARawStatProjections!B866)</f>
        <v/>
      </c>
      <c r="BX871">
        <v>865</v>
      </c>
      <c r="BY871" s="89" t="str">
        <f t="shared" si="50"/>
        <v/>
      </c>
      <c r="BZ871" s="89" t="str">
        <f t="shared" si="51"/>
        <v/>
      </c>
      <c r="CA871" s="89" t="str">
        <f t="shared" si="52"/>
        <v/>
      </c>
    </row>
    <row r="872" spans="72:79" hidden="1" x14ac:dyDescent="0.25">
      <c r="BT872" t="str">
        <f>IF(FFARawStatProjections!A867=0,"",FFARawStatProjections!A867)</f>
        <v/>
      </c>
      <c r="BU872" t="str">
        <f>IF(FFARawStatProjections!C867=0,"",FFARawStatProjections!C867)</f>
        <v/>
      </c>
      <c r="BV872" t="str">
        <f>IF(FFARawStatProjections!B867=0,"",FFARawStatProjections!B867)</f>
        <v/>
      </c>
      <c r="BX872">
        <v>866</v>
      </c>
      <c r="BY872" s="89" t="str">
        <f t="shared" si="50"/>
        <v/>
      </c>
      <c r="BZ872" s="89" t="str">
        <f t="shared" si="51"/>
        <v/>
      </c>
      <c r="CA872" s="89" t="str">
        <f t="shared" si="52"/>
        <v/>
      </c>
    </row>
    <row r="873" spans="72:79" hidden="1" x14ac:dyDescent="0.25">
      <c r="BT873" t="str">
        <f>IF(FFARawStatProjections!A868=0,"",FFARawStatProjections!A868)</f>
        <v/>
      </c>
      <c r="BU873" t="str">
        <f>IF(FFARawStatProjections!C868=0,"",FFARawStatProjections!C868)</f>
        <v/>
      </c>
      <c r="BV873" t="str">
        <f>IF(FFARawStatProjections!B868=0,"",FFARawStatProjections!B868)</f>
        <v/>
      </c>
      <c r="BX873">
        <v>867</v>
      </c>
      <c r="BY873" s="89" t="str">
        <f t="shared" si="50"/>
        <v/>
      </c>
      <c r="BZ873" s="89" t="str">
        <f t="shared" si="51"/>
        <v/>
      </c>
      <c r="CA873" s="89" t="str">
        <f t="shared" si="52"/>
        <v/>
      </c>
    </row>
    <row r="874" spans="72:79" hidden="1" x14ac:dyDescent="0.25">
      <c r="BT874" t="str">
        <f>IF(FFARawStatProjections!A869=0,"",FFARawStatProjections!A869)</f>
        <v/>
      </c>
      <c r="BU874" t="str">
        <f>IF(FFARawStatProjections!C869=0,"",FFARawStatProjections!C869)</f>
        <v/>
      </c>
      <c r="BV874" t="str">
        <f>IF(FFARawStatProjections!B869=0,"",FFARawStatProjections!B869)</f>
        <v/>
      </c>
      <c r="BX874">
        <v>868</v>
      </c>
      <c r="BY874" s="89" t="str">
        <f t="shared" si="50"/>
        <v/>
      </c>
      <c r="BZ874" s="89" t="str">
        <f t="shared" si="51"/>
        <v/>
      </c>
      <c r="CA874" s="89" t="str">
        <f t="shared" si="52"/>
        <v/>
      </c>
    </row>
    <row r="875" spans="72:79" hidden="1" x14ac:dyDescent="0.25">
      <c r="BT875" t="str">
        <f>IF(FFARawStatProjections!A870=0,"",FFARawStatProjections!A870)</f>
        <v/>
      </c>
      <c r="BU875" t="str">
        <f>IF(FFARawStatProjections!C870=0,"",FFARawStatProjections!C870)</f>
        <v/>
      </c>
      <c r="BV875" t="str">
        <f>IF(FFARawStatProjections!B870=0,"",FFARawStatProjections!B870)</f>
        <v/>
      </c>
      <c r="BX875">
        <v>869</v>
      </c>
      <c r="BY875" s="89" t="str">
        <f t="shared" si="50"/>
        <v/>
      </c>
      <c r="BZ875" s="89" t="str">
        <f t="shared" si="51"/>
        <v/>
      </c>
      <c r="CA875" s="89" t="str">
        <f t="shared" si="52"/>
        <v/>
      </c>
    </row>
    <row r="876" spans="72:79" hidden="1" x14ac:dyDescent="0.25">
      <c r="BT876" t="str">
        <f>IF(FFARawStatProjections!A871=0,"",FFARawStatProjections!A871)</f>
        <v/>
      </c>
      <c r="BU876" t="str">
        <f>IF(FFARawStatProjections!C871=0,"",FFARawStatProjections!C871)</f>
        <v/>
      </c>
      <c r="BV876" t="str">
        <f>IF(FFARawStatProjections!B871=0,"",FFARawStatProjections!B871)</f>
        <v/>
      </c>
      <c r="BX876">
        <v>870</v>
      </c>
      <c r="BY876" s="89" t="str">
        <f t="shared" si="50"/>
        <v/>
      </c>
      <c r="BZ876" s="89" t="str">
        <f t="shared" si="51"/>
        <v/>
      </c>
      <c r="CA876" s="89" t="str">
        <f t="shared" si="52"/>
        <v/>
      </c>
    </row>
    <row r="877" spans="72:79" hidden="1" x14ac:dyDescent="0.25">
      <c r="BT877" t="str">
        <f>IF(FFARawStatProjections!A872=0,"",FFARawStatProjections!A872)</f>
        <v/>
      </c>
      <c r="BU877" t="str">
        <f>IF(FFARawStatProjections!C872=0,"",FFARawStatProjections!C872)</f>
        <v/>
      </c>
      <c r="BV877" t="str">
        <f>IF(FFARawStatProjections!B872=0,"",FFARawStatProjections!B872)</f>
        <v/>
      </c>
      <c r="BX877">
        <v>871</v>
      </c>
      <c r="BY877" s="89" t="str">
        <f t="shared" si="50"/>
        <v/>
      </c>
      <c r="BZ877" s="89" t="str">
        <f t="shared" si="51"/>
        <v/>
      </c>
      <c r="CA877" s="89" t="str">
        <f t="shared" si="52"/>
        <v/>
      </c>
    </row>
    <row r="878" spans="72:79" hidden="1" x14ac:dyDescent="0.25">
      <c r="BT878" t="str">
        <f>IF(FFARawStatProjections!A873=0,"",FFARawStatProjections!A873)</f>
        <v/>
      </c>
      <c r="BU878" t="str">
        <f>IF(FFARawStatProjections!C873=0,"",FFARawStatProjections!C873)</f>
        <v/>
      </c>
      <c r="BV878" t="str">
        <f>IF(FFARawStatProjections!B873=0,"",FFARawStatProjections!B873)</f>
        <v/>
      </c>
      <c r="BX878">
        <v>872</v>
      </c>
      <c r="BY878" s="89" t="str">
        <f t="shared" si="50"/>
        <v/>
      </c>
      <c r="BZ878" s="89" t="str">
        <f t="shared" si="51"/>
        <v/>
      </c>
      <c r="CA878" s="89" t="str">
        <f t="shared" si="52"/>
        <v/>
      </c>
    </row>
    <row r="879" spans="72:79" hidden="1" x14ac:dyDescent="0.25">
      <c r="BT879" t="str">
        <f>IF(FFARawStatProjections!A874=0,"",FFARawStatProjections!A874)</f>
        <v/>
      </c>
      <c r="BU879" t="str">
        <f>IF(FFARawStatProjections!C874=0,"",FFARawStatProjections!C874)</f>
        <v/>
      </c>
      <c r="BV879" t="str">
        <f>IF(FFARawStatProjections!B874=0,"",FFARawStatProjections!B874)</f>
        <v/>
      </c>
      <c r="BX879">
        <v>873</v>
      </c>
      <c r="BY879" s="89" t="str">
        <f t="shared" si="50"/>
        <v/>
      </c>
      <c r="BZ879" s="89" t="str">
        <f t="shared" si="51"/>
        <v/>
      </c>
      <c r="CA879" s="89" t="str">
        <f t="shared" si="52"/>
        <v/>
      </c>
    </row>
    <row r="880" spans="72:79" hidden="1" x14ac:dyDescent="0.25">
      <c r="BT880" t="str">
        <f>IF(FFARawStatProjections!A875=0,"",FFARawStatProjections!A875)</f>
        <v/>
      </c>
      <c r="BU880" t="str">
        <f>IF(FFARawStatProjections!C875=0,"",FFARawStatProjections!C875)</f>
        <v/>
      </c>
      <c r="BV880" t="str">
        <f>IF(FFARawStatProjections!B875=0,"",FFARawStatProjections!B875)</f>
        <v/>
      </c>
      <c r="BX880">
        <v>874</v>
      </c>
      <c r="BY880" s="89" t="str">
        <f t="shared" si="50"/>
        <v/>
      </c>
      <c r="BZ880" s="89" t="str">
        <f t="shared" si="51"/>
        <v/>
      </c>
      <c r="CA880" s="89" t="str">
        <f t="shared" si="52"/>
        <v/>
      </c>
    </row>
    <row r="881" spans="72:79" hidden="1" x14ac:dyDescent="0.25">
      <c r="BT881" t="str">
        <f>IF(FFARawStatProjections!A876=0,"",FFARawStatProjections!A876)</f>
        <v/>
      </c>
      <c r="BU881" t="str">
        <f>IF(FFARawStatProjections!C876=0,"",FFARawStatProjections!C876)</f>
        <v/>
      </c>
      <c r="BV881" t="str">
        <f>IF(FFARawStatProjections!B876=0,"",FFARawStatProjections!B876)</f>
        <v/>
      </c>
      <c r="BX881">
        <v>875</v>
      </c>
      <c r="BY881" s="89" t="str">
        <f t="shared" si="50"/>
        <v/>
      </c>
      <c r="BZ881" s="89" t="str">
        <f t="shared" si="51"/>
        <v/>
      </c>
      <c r="CA881" s="89" t="str">
        <f t="shared" si="52"/>
        <v/>
      </c>
    </row>
    <row r="882" spans="72:79" hidden="1" x14ac:dyDescent="0.25">
      <c r="BT882" t="str">
        <f>IF(FFARawStatProjections!A877=0,"",FFARawStatProjections!A877)</f>
        <v/>
      </c>
      <c r="BU882" t="str">
        <f>IF(FFARawStatProjections!C877=0,"",FFARawStatProjections!C877)</f>
        <v/>
      </c>
      <c r="BV882" t="str">
        <f>IF(FFARawStatProjections!B877=0,"",FFARawStatProjections!B877)</f>
        <v/>
      </c>
      <c r="BX882">
        <v>876</v>
      </c>
      <c r="BY882" s="89" t="str">
        <f t="shared" si="50"/>
        <v/>
      </c>
      <c r="BZ882" s="89" t="str">
        <f t="shared" si="51"/>
        <v/>
      </c>
      <c r="CA882" s="89" t="str">
        <f t="shared" si="52"/>
        <v/>
      </c>
    </row>
    <row r="883" spans="72:79" hidden="1" x14ac:dyDescent="0.25">
      <c r="BT883" t="str">
        <f>IF(FFARawStatProjections!A878=0,"",FFARawStatProjections!A878)</f>
        <v/>
      </c>
      <c r="BU883" t="str">
        <f>IF(FFARawStatProjections!C878=0,"",FFARawStatProjections!C878)</f>
        <v/>
      </c>
      <c r="BV883" t="str">
        <f>IF(FFARawStatProjections!B878=0,"",FFARawStatProjections!B878)</f>
        <v/>
      </c>
      <c r="BX883">
        <v>877</v>
      </c>
      <c r="BY883" s="89" t="str">
        <f t="shared" si="50"/>
        <v/>
      </c>
      <c r="BZ883" s="89" t="str">
        <f t="shared" si="51"/>
        <v/>
      </c>
      <c r="CA883" s="89" t="str">
        <f t="shared" si="52"/>
        <v/>
      </c>
    </row>
    <row r="884" spans="72:79" hidden="1" x14ac:dyDescent="0.25">
      <c r="BT884" t="str">
        <f>IF(FFARawStatProjections!A879=0,"",FFARawStatProjections!A879)</f>
        <v/>
      </c>
      <c r="BU884" t="str">
        <f>IF(FFARawStatProjections!C879=0,"",FFARawStatProjections!C879)</f>
        <v/>
      </c>
      <c r="BV884" t="str">
        <f>IF(FFARawStatProjections!B879=0,"",FFARawStatProjections!B879)</f>
        <v/>
      </c>
      <c r="BX884">
        <v>878</v>
      </c>
      <c r="BY884" s="89" t="str">
        <f t="shared" si="50"/>
        <v/>
      </c>
      <c r="BZ884" s="89" t="str">
        <f t="shared" si="51"/>
        <v/>
      </c>
      <c r="CA884" s="89" t="str">
        <f t="shared" si="52"/>
        <v/>
      </c>
    </row>
    <row r="885" spans="72:79" hidden="1" x14ac:dyDescent="0.25">
      <c r="BT885" t="str">
        <f>IF(FFARawStatProjections!A880=0,"",FFARawStatProjections!A880)</f>
        <v/>
      </c>
      <c r="BU885" t="str">
        <f>IF(FFARawStatProjections!C880=0,"",FFARawStatProjections!C880)</f>
        <v/>
      </c>
      <c r="BV885" t="str">
        <f>IF(FFARawStatProjections!B880=0,"",FFARawStatProjections!B880)</f>
        <v/>
      </c>
      <c r="BX885">
        <v>879</v>
      </c>
      <c r="BY885" s="89" t="str">
        <f t="shared" si="50"/>
        <v/>
      </c>
      <c r="BZ885" s="89" t="str">
        <f t="shared" si="51"/>
        <v/>
      </c>
      <c r="CA885" s="89" t="str">
        <f t="shared" si="52"/>
        <v/>
      </c>
    </row>
    <row r="886" spans="72:79" hidden="1" x14ac:dyDescent="0.25">
      <c r="BT886" t="str">
        <f>IF(FFARawStatProjections!A881=0,"",FFARawStatProjections!A881)</f>
        <v/>
      </c>
      <c r="BU886" t="str">
        <f>IF(FFARawStatProjections!C881=0,"",FFARawStatProjections!C881)</f>
        <v/>
      </c>
      <c r="BV886" t="str">
        <f>IF(FFARawStatProjections!B881=0,"",FFARawStatProjections!B881)</f>
        <v/>
      </c>
      <c r="BX886">
        <v>880</v>
      </c>
      <c r="BY886" s="89" t="str">
        <f t="shared" si="50"/>
        <v/>
      </c>
      <c r="BZ886" s="89" t="str">
        <f t="shared" si="51"/>
        <v/>
      </c>
      <c r="CA886" s="89" t="str">
        <f t="shared" si="52"/>
        <v/>
      </c>
    </row>
    <row r="887" spans="72:79" hidden="1" x14ac:dyDescent="0.25">
      <c r="BT887" t="str">
        <f>IF(FFARawStatProjections!A882=0,"",FFARawStatProjections!A882)</f>
        <v/>
      </c>
      <c r="BU887" t="str">
        <f>IF(FFARawStatProjections!C882=0,"",FFARawStatProjections!C882)</f>
        <v/>
      </c>
      <c r="BV887" t="str">
        <f>IF(FFARawStatProjections!B882=0,"",FFARawStatProjections!B882)</f>
        <v/>
      </c>
      <c r="BX887">
        <v>881</v>
      </c>
      <c r="BY887" s="89" t="str">
        <f t="shared" si="50"/>
        <v/>
      </c>
      <c r="BZ887" s="89" t="str">
        <f t="shared" si="51"/>
        <v/>
      </c>
      <c r="CA887" s="89" t="str">
        <f t="shared" si="52"/>
        <v/>
      </c>
    </row>
    <row r="888" spans="72:79" hidden="1" x14ac:dyDescent="0.25">
      <c r="BT888" t="str">
        <f>IF(FFARawStatProjections!A883=0,"",FFARawStatProjections!A883)</f>
        <v/>
      </c>
      <c r="BU888" t="str">
        <f>IF(FFARawStatProjections!C883=0,"",FFARawStatProjections!C883)</f>
        <v/>
      </c>
      <c r="BV888" t="str">
        <f>IF(FFARawStatProjections!B883=0,"",FFARawStatProjections!B883)</f>
        <v/>
      </c>
      <c r="BX888">
        <v>882</v>
      </c>
      <c r="BY888" s="89" t="str">
        <f t="shared" si="50"/>
        <v/>
      </c>
      <c r="BZ888" s="89" t="str">
        <f t="shared" si="51"/>
        <v/>
      </c>
      <c r="CA888" s="89" t="str">
        <f t="shared" si="52"/>
        <v/>
      </c>
    </row>
    <row r="889" spans="72:79" hidden="1" x14ac:dyDescent="0.25">
      <c r="BT889" t="str">
        <f>IF(FFARawStatProjections!A884=0,"",FFARawStatProjections!A884)</f>
        <v/>
      </c>
      <c r="BU889" t="str">
        <f>IF(FFARawStatProjections!C884=0,"",FFARawStatProjections!C884)</f>
        <v/>
      </c>
      <c r="BV889" t="str">
        <f>IF(FFARawStatProjections!B884=0,"",FFARawStatProjections!B884)</f>
        <v/>
      </c>
      <c r="BX889">
        <v>883</v>
      </c>
      <c r="BY889" s="89" t="str">
        <f t="shared" si="50"/>
        <v/>
      </c>
      <c r="BZ889" s="89" t="str">
        <f t="shared" si="51"/>
        <v/>
      </c>
      <c r="CA889" s="89" t="str">
        <f t="shared" si="52"/>
        <v/>
      </c>
    </row>
    <row r="890" spans="72:79" hidden="1" x14ac:dyDescent="0.25">
      <c r="BT890" t="str">
        <f>IF(FFARawStatProjections!A885=0,"",FFARawStatProjections!A885)</f>
        <v/>
      </c>
      <c r="BU890" t="str">
        <f>IF(FFARawStatProjections!C885=0,"",FFARawStatProjections!C885)</f>
        <v/>
      </c>
      <c r="BV890" t="str">
        <f>IF(FFARawStatProjections!B885=0,"",FFARawStatProjections!B885)</f>
        <v/>
      </c>
      <c r="BX890">
        <v>884</v>
      </c>
      <c r="BY890" s="89" t="str">
        <f t="shared" si="50"/>
        <v/>
      </c>
      <c r="BZ890" s="89" t="str">
        <f t="shared" si="51"/>
        <v/>
      </c>
      <c r="CA890" s="89" t="str">
        <f t="shared" si="52"/>
        <v/>
      </c>
    </row>
    <row r="891" spans="72:79" hidden="1" x14ac:dyDescent="0.25">
      <c r="BT891" t="str">
        <f>IF(FFARawStatProjections!A886=0,"",FFARawStatProjections!A886)</f>
        <v/>
      </c>
      <c r="BU891" t="str">
        <f>IF(FFARawStatProjections!C886=0,"",FFARawStatProjections!C886)</f>
        <v/>
      </c>
      <c r="BV891" t="str">
        <f>IF(FFARawStatProjections!B886=0,"",FFARawStatProjections!B886)</f>
        <v/>
      </c>
      <c r="BX891">
        <v>885</v>
      </c>
      <c r="BY891" s="89" t="str">
        <f t="shared" si="50"/>
        <v/>
      </c>
      <c r="BZ891" s="89" t="str">
        <f t="shared" si="51"/>
        <v/>
      </c>
      <c r="CA891" s="89" t="str">
        <f t="shared" si="52"/>
        <v/>
      </c>
    </row>
    <row r="892" spans="72:79" hidden="1" x14ac:dyDescent="0.25">
      <c r="BT892" t="str">
        <f>IF(FFARawStatProjections!A887=0,"",FFARawStatProjections!A887)</f>
        <v/>
      </c>
      <c r="BU892" t="str">
        <f>IF(FFARawStatProjections!C887=0,"",FFARawStatProjections!C887)</f>
        <v/>
      </c>
      <c r="BV892" t="str">
        <f>IF(FFARawStatProjections!B887=0,"",FFARawStatProjections!B887)</f>
        <v/>
      </c>
      <c r="BX892">
        <v>886</v>
      </c>
      <c r="BY892" s="89" t="str">
        <f t="shared" ref="BY892:BY906" si="53">IFERROR(INDEX(BT:BT,MATCH(BX892,BW:BW,0),1),"")</f>
        <v/>
      </c>
      <c r="BZ892" s="89" t="str">
        <f t="shared" ref="BZ892:BZ906" si="54">IFERROR(INDEX(BU:BU,MATCH(BX892,BW:BW,0)),"")</f>
        <v/>
      </c>
      <c r="CA892" s="89" t="str">
        <f t="shared" ref="CA892:CA906" si="55">IFERROR(INDEX(BV:BV,MATCH(BX892,BW:BW,0)),"")</f>
        <v/>
      </c>
    </row>
    <row r="893" spans="72:79" hidden="1" x14ac:dyDescent="0.25">
      <c r="BT893" t="str">
        <f>IF(FFARawStatProjections!A888=0,"",FFARawStatProjections!A888)</f>
        <v/>
      </c>
      <c r="BU893" t="str">
        <f>IF(FFARawStatProjections!C888=0,"",FFARawStatProjections!C888)</f>
        <v/>
      </c>
      <c r="BV893" t="str">
        <f>IF(FFARawStatProjections!B888=0,"",FFARawStatProjections!B888)</f>
        <v/>
      </c>
      <c r="BX893">
        <v>887</v>
      </c>
      <c r="BY893" s="89" t="str">
        <f t="shared" si="53"/>
        <v/>
      </c>
      <c r="BZ893" s="89" t="str">
        <f t="shared" si="54"/>
        <v/>
      </c>
      <c r="CA893" s="89" t="str">
        <f t="shared" si="55"/>
        <v/>
      </c>
    </row>
    <row r="894" spans="72:79" hidden="1" x14ac:dyDescent="0.25">
      <c r="BT894" t="str">
        <f>IF(FFARawStatProjections!A889=0,"",FFARawStatProjections!A889)</f>
        <v/>
      </c>
      <c r="BU894" t="str">
        <f>IF(FFARawStatProjections!C889=0,"",FFARawStatProjections!C889)</f>
        <v/>
      </c>
      <c r="BV894" t="str">
        <f>IF(FFARawStatProjections!B889=0,"",FFARawStatProjections!B889)</f>
        <v/>
      </c>
      <c r="BX894">
        <v>888</v>
      </c>
      <c r="BY894" s="89" t="str">
        <f t="shared" si="53"/>
        <v/>
      </c>
      <c r="BZ894" s="89" t="str">
        <f t="shared" si="54"/>
        <v/>
      </c>
      <c r="CA894" s="89" t="str">
        <f t="shared" si="55"/>
        <v/>
      </c>
    </row>
    <row r="895" spans="72:79" hidden="1" x14ac:dyDescent="0.25">
      <c r="BT895" t="str">
        <f>IF(FFARawStatProjections!A890=0,"",FFARawStatProjections!A890)</f>
        <v/>
      </c>
      <c r="BU895" t="str">
        <f>IF(FFARawStatProjections!C890=0,"",FFARawStatProjections!C890)</f>
        <v/>
      </c>
      <c r="BV895" t="str">
        <f>IF(FFARawStatProjections!B890=0,"",FFARawStatProjections!B890)</f>
        <v/>
      </c>
      <c r="BX895">
        <v>889</v>
      </c>
      <c r="BY895" s="89" t="str">
        <f t="shared" si="53"/>
        <v/>
      </c>
      <c r="BZ895" s="89" t="str">
        <f t="shared" si="54"/>
        <v/>
      </c>
      <c r="CA895" s="89" t="str">
        <f t="shared" si="55"/>
        <v/>
      </c>
    </row>
    <row r="896" spans="72:79" hidden="1" x14ac:dyDescent="0.25">
      <c r="BT896" t="str">
        <f>IF(FFARawStatProjections!A891=0,"",FFARawStatProjections!A891)</f>
        <v/>
      </c>
      <c r="BU896" t="str">
        <f>IF(FFARawStatProjections!C891=0,"",FFARawStatProjections!C891)</f>
        <v/>
      </c>
      <c r="BV896" t="str">
        <f>IF(FFARawStatProjections!B891=0,"",FFARawStatProjections!B891)</f>
        <v/>
      </c>
      <c r="BX896">
        <v>890</v>
      </c>
      <c r="BY896" s="89" t="str">
        <f t="shared" si="53"/>
        <v/>
      </c>
      <c r="BZ896" s="89" t="str">
        <f t="shared" si="54"/>
        <v/>
      </c>
      <c r="CA896" s="89" t="str">
        <f t="shared" si="55"/>
        <v/>
      </c>
    </row>
    <row r="897" spans="72:79" hidden="1" x14ac:dyDescent="0.25">
      <c r="BT897" t="str">
        <f>IF(FFARawStatProjections!A892=0,"",FFARawStatProjections!A892)</f>
        <v/>
      </c>
      <c r="BU897" t="str">
        <f>IF(FFARawStatProjections!C892=0,"",FFARawStatProjections!C892)</f>
        <v/>
      </c>
      <c r="BV897" t="str">
        <f>IF(FFARawStatProjections!B892=0,"",FFARawStatProjections!B892)</f>
        <v/>
      </c>
      <c r="BX897">
        <v>891</v>
      </c>
      <c r="BY897" s="89" t="str">
        <f t="shared" si="53"/>
        <v/>
      </c>
      <c r="BZ897" s="89" t="str">
        <f t="shared" si="54"/>
        <v/>
      </c>
      <c r="CA897" s="89" t="str">
        <f t="shared" si="55"/>
        <v/>
      </c>
    </row>
    <row r="898" spans="72:79" hidden="1" x14ac:dyDescent="0.25">
      <c r="BT898" t="str">
        <f>IF(FFARawStatProjections!A893=0,"",FFARawStatProjections!A893)</f>
        <v/>
      </c>
      <c r="BU898" t="str">
        <f>IF(FFARawStatProjections!C893=0,"",FFARawStatProjections!C893)</f>
        <v/>
      </c>
      <c r="BV898" t="str">
        <f>IF(FFARawStatProjections!B893=0,"",FFARawStatProjections!B893)</f>
        <v/>
      </c>
      <c r="BX898">
        <v>892</v>
      </c>
      <c r="BY898" s="89" t="str">
        <f t="shared" si="53"/>
        <v/>
      </c>
      <c r="BZ898" s="89" t="str">
        <f t="shared" si="54"/>
        <v/>
      </c>
      <c r="CA898" s="89" t="str">
        <f t="shared" si="55"/>
        <v/>
      </c>
    </row>
    <row r="899" spans="72:79" hidden="1" x14ac:dyDescent="0.25">
      <c r="BT899" t="str">
        <f>IF(FFARawStatProjections!A894=0,"",FFARawStatProjections!A894)</f>
        <v/>
      </c>
      <c r="BU899" t="str">
        <f>IF(FFARawStatProjections!C894=0,"",FFARawStatProjections!C894)</f>
        <v/>
      </c>
      <c r="BV899" t="str">
        <f>IF(FFARawStatProjections!B894=0,"",FFARawStatProjections!B894)</f>
        <v/>
      </c>
      <c r="BX899">
        <v>893</v>
      </c>
      <c r="BY899" s="89" t="str">
        <f t="shared" si="53"/>
        <v/>
      </c>
      <c r="BZ899" s="89" t="str">
        <f t="shared" si="54"/>
        <v/>
      </c>
      <c r="CA899" s="89" t="str">
        <f t="shared" si="55"/>
        <v/>
      </c>
    </row>
    <row r="900" spans="72:79" hidden="1" x14ac:dyDescent="0.25">
      <c r="BT900" t="str">
        <f>IF(FFARawStatProjections!A895=0,"",FFARawStatProjections!A895)</f>
        <v/>
      </c>
      <c r="BU900" t="str">
        <f>IF(FFARawStatProjections!C895=0,"",FFARawStatProjections!C895)</f>
        <v/>
      </c>
      <c r="BV900" t="str">
        <f>IF(FFARawStatProjections!B895=0,"",FFARawStatProjections!B895)</f>
        <v/>
      </c>
      <c r="BX900">
        <v>894</v>
      </c>
      <c r="BY900" s="89" t="str">
        <f t="shared" si="53"/>
        <v/>
      </c>
      <c r="BZ900" s="89" t="str">
        <f t="shared" si="54"/>
        <v/>
      </c>
      <c r="CA900" s="89" t="str">
        <f t="shared" si="55"/>
        <v/>
      </c>
    </row>
    <row r="901" spans="72:79" hidden="1" x14ac:dyDescent="0.25">
      <c r="BT901" t="str">
        <f>IF(FFARawStatProjections!A896=0,"",FFARawStatProjections!A896)</f>
        <v/>
      </c>
      <c r="BU901" t="str">
        <f>IF(FFARawStatProjections!C896=0,"",FFARawStatProjections!C896)</f>
        <v/>
      </c>
      <c r="BV901" t="str">
        <f>IF(FFARawStatProjections!B896=0,"",FFARawStatProjections!B896)</f>
        <v/>
      </c>
      <c r="BX901">
        <v>895</v>
      </c>
      <c r="BY901" s="89" t="str">
        <f t="shared" si="53"/>
        <v/>
      </c>
      <c r="BZ901" s="89" t="str">
        <f t="shared" si="54"/>
        <v/>
      </c>
      <c r="CA901" s="89" t="str">
        <f t="shared" si="55"/>
        <v/>
      </c>
    </row>
    <row r="902" spans="72:79" hidden="1" x14ac:dyDescent="0.25">
      <c r="BT902" t="str">
        <f>IF(FFARawStatProjections!A897=0,"",FFARawStatProjections!A897)</f>
        <v/>
      </c>
      <c r="BU902" t="str">
        <f>IF(FFARawStatProjections!C897=0,"",FFARawStatProjections!C897)</f>
        <v/>
      </c>
      <c r="BV902" t="str">
        <f>IF(FFARawStatProjections!B897=0,"",FFARawStatProjections!B897)</f>
        <v/>
      </c>
      <c r="BX902">
        <v>896</v>
      </c>
      <c r="BY902" s="89" t="str">
        <f t="shared" si="53"/>
        <v/>
      </c>
      <c r="BZ902" s="89" t="str">
        <f t="shared" si="54"/>
        <v/>
      </c>
      <c r="CA902" s="89" t="str">
        <f t="shared" si="55"/>
        <v/>
      </c>
    </row>
    <row r="903" spans="72:79" hidden="1" x14ac:dyDescent="0.25">
      <c r="BT903" t="str">
        <f>IF(FFARawStatProjections!A898=0,"",FFARawStatProjections!A898)</f>
        <v/>
      </c>
      <c r="BU903" t="str">
        <f>IF(FFARawStatProjections!C898=0,"",FFARawStatProjections!C898)</f>
        <v/>
      </c>
      <c r="BV903" t="str">
        <f>IF(FFARawStatProjections!B898=0,"",FFARawStatProjections!B898)</f>
        <v/>
      </c>
      <c r="BX903">
        <v>897</v>
      </c>
      <c r="BY903" s="89" t="str">
        <f t="shared" si="53"/>
        <v/>
      </c>
      <c r="BZ903" s="89" t="str">
        <f t="shared" si="54"/>
        <v/>
      </c>
      <c r="CA903" s="89" t="str">
        <f t="shared" si="55"/>
        <v/>
      </c>
    </row>
    <row r="904" spans="72:79" hidden="1" x14ac:dyDescent="0.25">
      <c r="BT904" t="str">
        <f>IF(FFARawStatProjections!A899=0,"",FFARawStatProjections!A899)</f>
        <v/>
      </c>
      <c r="BU904" t="str">
        <f>IF(FFARawStatProjections!C899=0,"",FFARawStatProjections!C899)</f>
        <v/>
      </c>
      <c r="BV904" t="str">
        <f>IF(FFARawStatProjections!B899=0,"",FFARawStatProjections!B899)</f>
        <v/>
      </c>
      <c r="BX904">
        <v>898</v>
      </c>
      <c r="BY904" s="89" t="str">
        <f t="shared" si="53"/>
        <v/>
      </c>
      <c r="BZ904" s="89" t="str">
        <f t="shared" si="54"/>
        <v/>
      </c>
      <c r="CA904" s="89" t="str">
        <f t="shared" si="55"/>
        <v/>
      </c>
    </row>
    <row r="905" spans="72:79" hidden="1" x14ac:dyDescent="0.25">
      <c r="BT905" t="str">
        <f>IF(FFARawStatProjections!A900=0,"",FFARawStatProjections!A900)</f>
        <v/>
      </c>
      <c r="BU905" t="str">
        <f>IF(FFARawStatProjections!C900=0,"",FFARawStatProjections!C900)</f>
        <v/>
      </c>
      <c r="BV905" t="str">
        <f>IF(FFARawStatProjections!B900=0,"",FFARawStatProjections!B900)</f>
        <v/>
      </c>
      <c r="BX905">
        <v>899</v>
      </c>
      <c r="BY905" s="89" t="str">
        <f t="shared" si="53"/>
        <v/>
      </c>
      <c r="BZ905" s="89" t="str">
        <f t="shared" si="54"/>
        <v/>
      </c>
      <c r="CA905" s="89" t="str">
        <f t="shared" si="55"/>
        <v/>
      </c>
    </row>
    <row r="906" spans="72:79" hidden="1" x14ac:dyDescent="0.25">
      <c r="BT906" t="str">
        <f>IF(FFARawStatProjections!A901=0,"",FFARawStatProjections!A901)</f>
        <v/>
      </c>
      <c r="BU906" t="str">
        <f>IF(FFARawStatProjections!C901=0,"",FFARawStatProjections!C901)</f>
        <v/>
      </c>
      <c r="BV906" t="str">
        <f>IF(FFARawStatProjections!B901=0,"",FFARawStatProjections!B901)</f>
        <v/>
      </c>
      <c r="BX906">
        <v>900</v>
      </c>
      <c r="BY906" s="89" t="str">
        <f t="shared" si="53"/>
        <v/>
      </c>
      <c r="BZ906" s="89" t="str">
        <f t="shared" si="54"/>
        <v/>
      </c>
      <c r="CA906" s="89" t="str">
        <f t="shared" si="55"/>
        <v/>
      </c>
    </row>
    <row r="907" spans="72:79" hidden="1" x14ac:dyDescent="0.25"/>
    <row r="908" spans="72:79" hidden="1" x14ac:dyDescent="0.25"/>
    <row r="909" spans="72:79" hidden="1" x14ac:dyDescent="0.25"/>
    <row r="910" spans="72:79" hidden="1" x14ac:dyDescent="0.25"/>
    <row r="911" spans="72:79" hidden="1" x14ac:dyDescent="0.25"/>
    <row r="912" spans="72:79"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sheetData>
  <sheetProtection sheet="1" objects="1" scenarios="1"/>
  <mergeCells count="5">
    <mergeCell ref="AF3:AJ3"/>
    <mergeCell ref="H2:Q2"/>
    <mergeCell ref="AR2:BA2"/>
    <mergeCell ref="A5:C5"/>
    <mergeCell ref="H3:M3"/>
  </mergeCells>
  <conditionalFormatting sqref="X6:X20">
    <cfRule type="colorScale" priority="290">
      <colorScale>
        <cfvo type="num" val="0"/>
        <cfvo type="num" val="3"/>
        <color theme="0" tint="-4.9989318521683403E-2"/>
        <color theme="5" tint="0.39997558519241921"/>
      </colorScale>
    </cfRule>
  </conditionalFormatting>
  <conditionalFormatting sqref="AH6:AH20 BE6:BE20 BL6:BL20 V6:V20">
    <cfRule type="expression" dxfId="107" priority="70">
      <formula>(W6&gt;0)</formula>
    </cfRule>
  </conditionalFormatting>
  <conditionalFormatting sqref="AJ6:AJ20">
    <cfRule type="colorScale" priority="276">
      <colorScale>
        <cfvo type="num" val="0"/>
        <cfvo type="num" val="3"/>
        <color theme="0" tint="-4.9989318521683403E-2"/>
        <color theme="5" tint="0.39997558519241921"/>
      </colorScale>
    </cfRule>
  </conditionalFormatting>
  <conditionalFormatting sqref="AV6:AV20">
    <cfRule type="colorScale" priority="275">
      <colorScale>
        <cfvo type="num" val="0"/>
        <cfvo type="num" val="3"/>
        <color theme="0" tint="-4.9989318521683403E-2"/>
        <color theme="5" tint="0.39997558519241921"/>
      </colorScale>
    </cfRule>
  </conditionalFormatting>
  <conditionalFormatting sqref="AT6 AT8 AT10 AT14 AT18 AT12 AT16 AT20">
    <cfRule type="expression" dxfId="106" priority="71">
      <formula>(AU6&gt;0)</formula>
    </cfRule>
  </conditionalFormatting>
  <conditionalFormatting sqref="BG6:BG20">
    <cfRule type="colorScale" priority="274">
      <colorScale>
        <cfvo type="num" val="0.6"/>
        <cfvo type="num" val="2.4"/>
        <color theme="0"/>
        <color rgb="FFF59393"/>
      </colorScale>
    </cfRule>
  </conditionalFormatting>
  <conditionalFormatting sqref="BN6:BN20">
    <cfRule type="colorScale" priority="272">
      <colorScale>
        <cfvo type="num" val="0.6"/>
        <cfvo type="num" val="2.4"/>
        <color theme="0"/>
        <color rgb="FFF59393"/>
      </colorScale>
    </cfRule>
  </conditionalFormatting>
  <conditionalFormatting sqref="J6:J20">
    <cfRule type="expression" dxfId="105" priority="72">
      <formula>(K6&gt;0)</formula>
    </cfRule>
  </conditionalFormatting>
  <conditionalFormatting sqref="L6:L20">
    <cfRule type="colorScale" priority="267">
      <colorScale>
        <cfvo type="num" val="0"/>
        <cfvo type="num" val="3"/>
        <color theme="0" tint="-4.9989318521683403E-2"/>
        <color theme="5" tint="0.39997558519241921"/>
      </colorScale>
    </cfRule>
  </conditionalFormatting>
  <conditionalFormatting sqref="A6:C20">
    <cfRule type="expression" dxfId="104" priority="257">
      <formula>$E6&gt;0</formula>
    </cfRule>
  </conditionalFormatting>
  <conditionalFormatting sqref="AF2:AJ2">
    <cfRule type="expression" dxfId="103" priority="67">
      <formula>$AF$2=$BQ$6</formula>
    </cfRule>
  </conditionalFormatting>
  <conditionalFormatting sqref="B20">
    <cfRule type="expression" dxfId="102" priority="80">
      <formula>$D20="QB"</formula>
    </cfRule>
  </conditionalFormatting>
  <conditionalFormatting sqref="B6:B20">
    <cfRule type="expression" dxfId="101" priority="74">
      <formula>$D6="K"</formula>
    </cfRule>
    <cfRule type="expression" dxfId="100" priority="75">
      <formula>$D6="DST"</formula>
    </cfRule>
    <cfRule type="expression" dxfId="99" priority="76">
      <formula>$D6="TE"</formula>
    </cfRule>
    <cfRule type="expression" dxfId="98" priority="77">
      <formula>$D6="WR"</formula>
    </cfRule>
    <cfRule type="expression" dxfId="97" priority="78">
      <formula>$D6="RB"</formula>
    </cfRule>
    <cfRule type="expression" dxfId="96" priority="79">
      <formula>$D6="QB"</formula>
    </cfRule>
  </conditionalFormatting>
  <conditionalFormatting sqref="AA6:AA20 AM6:AM20 AY6:AY20 O6:O20">
    <cfRule type="expression" dxfId="95" priority="68">
      <formula>AND($D$2=1,O6=$G$2)</formula>
    </cfRule>
  </conditionalFormatting>
  <conditionalFormatting sqref="H6:J20 L6:L20 Q6:Q20 O6:O20">
    <cfRule type="expression" dxfId="94" priority="88">
      <formula>$R6=1</formula>
    </cfRule>
  </conditionalFormatting>
  <conditionalFormatting sqref="T6:V20 X6:X20 AA6:AA20 AC6:AC20">
    <cfRule type="expression" dxfId="93" priority="86">
      <formula>$AD6=1</formula>
    </cfRule>
  </conditionalFormatting>
  <conditionalFormatting sqref="AF6:AH20 AJ6:AJ20 AM6:AM20 AO6:AO20">
    <cfRule type="expression" dxfId="92" priority="73">
      <formula>$AP6=1</formula>
    </cfRule>
  </conditionalFormatting>
  <conditionalFormatting sqref="AR6:AT20 AV6:AV20 AY6:AY20 BA6:BA20">
    <cfRule type="expression" dxfId="91" priority="85">
      <formula>$BB6=1</formula>
    </cfRule>
  </conditionalFormatting>
  <conditionalFormatting sqref="X21:X28">
    <cfRule type="colorScale" priority="66">
      <colorScale>
        <cfvo type="num" val="0"/>
        <cfvo type="num" val="3"/>
        <color theme="0" tint="-4.9989318521683403E-2"/>
        <color theme="5" tint="0.39997558519241921"/>
      </colorScale>
    </cfRule>
  </conditionalFormatting>
  <conditionalFormatting sqref="AH21:AH28 BE21:BE28 BL21:BL28 V21:V28">
    <cfRule type="expression" dxfId="90" priority="46">
      <formula>(W21&gt;0)</formula>
    </cfRule>
  </conditionalFormatting>
  <conditionalFormatting sqref="AJ21:AJ28">
    <cfRule type="colorScale" priority="65">
      <colorScale>
        <cfvo type="num" val="0"/>
        <cfvo type="num" val="3"/>
        <color theme="0" tint="-4.9989318521683403E-2"/>
        <color theme="5" tint="0.39997558519241921"/>
      </colorScale>
    </cfRule>
  </conditionalFormatting>
  <conditionalFormatting sqref="AV21:AV28">
    <cfRule type="colorScale" priority="64">
      <colorScale>
        <cfvo type="num" val="0"/>
        <cfvo type="num" val="3"/>
        <color theme="0" tint="-4.9989318521683403E-2"/>
        <color theme="5" tint="0.39997558519241921"/>
      </colorScale>
    </cfRule>
  </conditionalFormatting>
  <conditionalFormatting sqref="AT22 AT26 AT24 AT28">
    <cfRule type="expression" dxfId="89" priority="47">
      <formula>(AU22&gt;0)</formula>
    </cfRule>
  </conditionalFormatting>
  <conditionalFormatting sqref="BG21:BG28">
    <cfRule type="colorScale" priority="63">
      <colorScale>
        <cfvo type="num" val="0.6"/>
        <cfvo type="num" val="2.4"/>
        <color theme="0"/>
        <color rgb="FFF59393"/>
      </colorScale>
    </cfRule>
  </conditionalFormatting>
  <conditionalFormatting sqref="BN21:BN28">
    <cfRule type="colorScale" priority="62">
      <colorScale>
        <cfvo type="num" val="0.6"/>
        <cfvo type="num" val="2.4"/>
        <color theme="0"/>
        <color rgb="FFF59393"/>
      </colorScale>
    </cfRule>
  </conditionalFormatting>
  <conditionalFormatting sqref="J21:J28">
    <cfRule type="expression" dxfId="88" priority="48">
      <formula>(K21&gt;0)</formula>
    </cfRule>
  </conditionalFormatting>
  <conditionalFormatting sqref="L21:L28">
    <cfRule type="colorScale" priority="61">
      <colorScale>
        <cfvo type="num" val="0"/>
        <cfvo type="num" val="3"/>
        <color theme="0" tint="-4.9989318521683403E-2"/>
        <color theme="5" tint="0.39997558519241921"/>
      </colorScale>
    </cfRule>
  </conditionalFormatting>
  <conditionalFormatting sqref="A21:C28">
    <cfRule type="expression" dxfId="87" priority="60">
      <formula>$E21&gt;0</formula>
    </cfRule>
  </conditionalFormatting>
  <conditionalFormatting sqref="B28">
    <cfRule type="expression" dxfId="86" priority="56">
      <formula>$D28="QB"</formula>
    </cfRule>
  </conditionalFormatting>
  <conditionalFormatting sqref="B21:B28">
    <cfRule type="expression" dxfId="85" priority="50">
      <formula>$D21="K"</formula>
    </cfRule>
    <cfRule type="expression" dxfId="84" priority="51">
      <formula>$D21="DST"</formula>
    </cfRule>
    <cfRule type="expression" dxfId="83" priority="52">
      <formula>$D21="TE"</formula>
    </cfRule>
    <cfRule type="expression" dxfId="82" priority="53">
      <formula>$D21="WR"</formula>
    </cfRule>
    <cfRule type="expression" dxfId="81" priority="54">
      <formula>$D21="RB"</formula>
    </cfRule>
    <cfRule type="expression" dxfId="80" priority="55">
      <formula>$D21="QB"</formula>
    </cfRule>
  </conditionalFormatting>
  <conditionalFormatting sqref="AA21:AA28 AM21:AM28 AY21:AY28 O21:O28">
    <cfRule type="expression" dxfId="79" priority="45">
      <formula>AND($D$2=1,O21=$G$2)</formula>
    </cfRule>
  </conditionalFormatting>
  <conditionalFormatting sqref="H21:J28 L21:L28 Q21:Q28 O21:O28">
    <cfRule type="expression" dxfId="78" priority="59">
      <formula>$R21=1</formula>
    </cfRule>
  </conditionalFormatting>
  <conditionalFormatting sqref="T21:V28 X21:X28 AA21:AA28 AC21:AC28">
    <cfRule type="expression" dxfId="77" priority="58">
      <formula>$AD21=1</formula>
    </cfRule>
  </conditionalFormatting>
  <conditionalFormatting sqref="AF21:AH28 AJ21:AJ28 AM21:AM28 AO21:AO28">
    <cfRule type="expression" dxfId="76" priority="49">
      <formula>$AP21=1</formula>
    </cfRule>
  </conditionalFormatting>
  <conditionalFormatting sqref="AR21:AT28 AV21:AV28 AY21:AY28 BA21:BA28">
    <cfRule type="expression" dxfId="75" priority="57">
      <formula>$BB21=1</formula>
    </cfRule>
  </conditionalFormatting>
  <conditionalFormatting sqref="X29:X40">
    <cfRule type="colorScale" priority="44">
      <colorScale>
        <cfvo type="num" val="0"/>
        <cfvo type="num" val="3"/>
        <color theme="0" tint="-4.9989318521683403E-2"/>
        <color theme="5" tint="0.39997558519241921"/>
      </colorScale>
    </cfRule>
  </conditionalFormatting>
  <conditionalFormatting sqref="AH29:AH40 BE29:BE40 BL29:BL40 V29:V40">
    <cfRule type="expression" dxfId="74" priority="24">
      <formula>(W29&gt;0)</formula>
    </cfRule>
  </conditionalFormatting>
  <conditionalFormatting sqref="AJ29:AJ40">
    <cfRule type="colorScale" priority="43">
      <colorScale>
        <cfvo type="num" val="0"/>
        <cfvo type="num" val="3"/>
        <color theme="0" tint="-4.9989318521683403E-2"/>
        <color theme="5" tint="0.39997558519241921"/>
      </colorScale>
    </cfRule>
  </conditionalFormatting>
  <conditionalFormatting sqref="AV29:AV40">
    <cfRule type="colorScale" priority="42">
      <colorScale>
        <cfvo type="num" val="0"/>
        <cfvo type="num" val="3"/>
        <color theme="0" tint="-4.9989318521683403E-2"/>
        <color theme="5" tint="0.39997558519241921"/>
      </colorScale>
    </cfRule>
  </conditionalFormatting>
  <conditionalFormatting sqref="AT30 AT34 AT38 AT32 AT36 AT40">
    <cfRule type="expression" dxfId="73" priority="25">
      <formula>(AU30&gt;0)</formula>
    </cfRule>
  </conditionalFormatting>
  <conditionalFormatting sqref="BG29:BG40">
    <cfRule type="colorScale" priority="41">
      <colorScale>
        <cfvo type="num" val="0.6"/>
        <cfvo type="num" val="2.4"/>
        <color theme="0"/>
        <color rgb="FFF59393"/>
      </colorScale>
    </cfRule>
  </conditionalFormatting>
  <conditionalFormatting sqref="BN29:BN40">
    <cfRule type="colorScale" priority="40">
      <colorScale>
        <cfvo type="num" val="0.6"/>
        <cfvo type="num" val="2.4"/>
        <color theme="0"/>
        <color rgb="FFF59393"/>
      </colorScale>
    </cfRule>
  </conditionalFormatting>
  <conditionalFormatting sqref="J29:J40">
    <cfRule type="expression" dxfId="72" priority="26">
      <formula>(K29&gt;0)</formula>
    </cfRule>
  </conditionalFormatting>
  <conditionalFormatting sqref="L29:L40">
    <cfRule type="colorScale" priority="39">
      <colorScale>
        <cfvo type="num" val="0"/>
        <cfvo type="num" val="3"/>
        <color theme="0" tint="-4.9989318521683403E-2"/>
        <color theme="5" tint="0.39997558519241921"/>
      </colorScale>
    </cfRule>
  </conditionalFormatting>
  <conditionalFormatting sqref="A29:C40">
    <cfRule type="expression" dxfId="71" priority="38">
      <formula>$E29&gt;0</formula>
    </cfRule>
  </conditionalFormatting>
  <conditionalFormatting sqref="B40">
    <cfRule type="expression" dxfId="70" priority="34">
      <formula>$D40="QB"</formula>
    </cfRule>
  </conditionalFormatting>
  <conditionalFormatting sqref="B29:B40">
    <cfRule type="expression" dxfId="69" priority="28">
      <formula>$D29="K"</formula>
    </cfRule>
    <cfRule type="expression" dxfId="68" priority="29">
      <formula>$D29="DST"</formula>
    </cfRule>
    <cfRule type="expression" dxfId="67" priority="30">
      <formula>$D29="TE"</formula>
    </cfRule>
    <cfRule type="expression" dxfId="66" priority="31">
      <formula>$D29="WR"</formula>
    </cfRule>
    <cfRule type="expression" dxfId="65" priority="32">
      <formula>$D29="RB"</formula>
    </cfRule>
    <cfRule type="expression" dxfId="64" priority="33">
      <formula>$D29="QB"</formula>
    </cfRule>
  </conditionalFormatting>
  <conditionalFormatting sqref="AA29:AA40 AM29:AM40 AY29:AY40 O29:O40">
    <cfRule type="expression" dxfId="63" priority="23">
      <formula>AND($D$2=1,O29=$G$2)</formula>
    </cfRule>
  </conditionalFormatting>
  <conditionalFormatting sqref="H29:J40 L29:L40 Q29:Q40 O29:O40">
    <cfRule type="expression" dxfId="62" priority="37">
      <formula>$R29=1</formula>
    </cfRule>
  </conditionalFormatting>
  <conditionalFormatting sqref="T29:V40 X29:X40 AA29:AA40 AC29:AC40">
    <cfRule type="expression" dxfId="61" priority="36">
      <formula>$AD29=1</formula>
    </cfRule>
  </conditionalFormatting>
  <conditionalFormatting sqref="AF29:AH40 AJ29:AJ40 AM29:AM40 AO29:AO40">
    <cfRule type="expression" dxfId="60" priority="27">
      <formula>$AP29=1</formula>
    </cfRule>
  </conditionalFormatting>
  <conditionalFormatting sqref="AR29:AT40 AV29:AV40 AY29:AY40 BA29:BA40">
    <cfRule type="expression" dxfId="59" priority="35">
      <formula>$BB29=1</formula>
    </cfRule>
  </conditionalFormatting>
  <conditionalFormatting sqref="X41:X48">
    <cfRule type="colorScale" priority="22">
      <colorScale>
        <cfvo type="num" val="0"/>
        <cfvo type="num" val="3"/>
        <color theme="0" tint="-4.9989318521683403E-2"/>
        <color theme="5" tint="0.39997558519241921"/>
      </colorScale>
    </cfRule>
  </conditionalFormatting>
  <conditionalFormatting sqref="AH41:AH48 BE41:BE48 BL41:BL48 V41:V48">
    <cfRule type="expression" dxfId="58" priority="2">
      <formula>(W41&gt;0)</formula>
    </cfRule>
  </conditionalFormatting>
  <conditionalFormatting sqref="AJ41:AJ48">
    <cfRule type="colorScale" priority="21">
      <colorScale>
        <cfvo type="num" val="0"/>
        <cfvo type="num" val="3"/>
        <color theme="0" tint="-4.9989318521683403E-2"/>
        <color theme="5" tint="0.39997558519241921"/>
      </colorScale>
    </cfRule>
  </conditionalFormatting>
  <conditionalFormatting sqref="AV41:AV48">
    <cfRule type="colorScale" priority="20">
      <colorScale>
        <cfvo type="num" val="0"/>
        <cfvo type="num" val="3"/>
        <color theme="0" tint="-4.9989318521683403E-2"/>
        <color theme="5" tint="0.39997558519241921"/>
      </colorScale>
    </cfRule>
  </conditionalFormatting>
  <conditionalFormatting sqref="AT42 AT46 AT44 AT48">
    <cfRule type="expression" dxfId="57" priority="3">
      <formula>(AU42&gt;0)</formula>
    </cfRule>
  </conditionalFormatting>
  <conditionalFormatting sqref="BG41:BG48">
    <cfRule type="colorScale" priority="19">
      <colorScale>
        <cfvo type="num" val="0.6"/>
        <cfvo type="num" val="2.4"/>
        <color theme="0"/>
        <color rgb="FFF59393"/>
      </colorScale>
    </cfRule>
  </conditionalFormatting>
  <conditionalFormatting sqref="BN41:BN48">
    <cfRule type="colorScale" priority="18">
      <colorScale>
        <cfvo type="num" val="0.6"/>
        <cfvo type="num" val="2.4"/>
        <color theme="0"/>
        <color rgb="FFF59393"/>
      </colorScale>
    </cfRule>
  </conditionalFormatting>
  <conditionalFormatting sqref="J41:J48">
    <cfRule type="expression" dxfId="56" priority="4">
      <formula>(K41&gt;0)</formula>
    </cfRule>
  </conditionalFormatting>
  <conditionalFormatting sqref="L41:L48">
    <cfRule type="colorScale" priority="17">
      <colorScale>
        <cfvo type="num" val="0"/>
        <cfvo type="num" val="3"/>
        <color theme="0" tint="-4.9989318521683403E-2"/>
        <color theme="5" tint="0.39997558519241921"/>
      </colorScale>
    </cfRule>
  </conditionalFormatting>
  <conditionalFormatting sqref="A41:C48">
    <cfRule type="expression" dxfId="55" priority="16">
      <formula>$E41&gt;0</formula>
    </cfRule>
  </conditionalFormatting>
  <conditionalFormatting sqref="B48">
    <cfRule type="expression" dxfId="54" priority="12">
      <formula>$D48="QB"</formula>
    </cfRule>
  </conditionalFormatting>
  <conditionalFormatting sqref="B41:B48">
    <cfRule type="expression" dxfId="53" priority="6">
      <formula>$D41="K"</formula>
    </cfRule>
    <cfRule type="expression" dxfId="52" priority="7">
      <formula>$D41="DST"</formula>
    </cfRule>
    <cfRule type="expression" dxfId="51" priority="8">
      <formula>$D41="TE"</formula>
    </cfRule>
    <cfRule type="expression" dxfId="50" priority="9">
      <formula>$D41="WR"</formula>
    </cfRule>
    <cfRule type="expression" dxfId="49" priority="10">
      <formula>$D41="RB"</formula>
    </cfRule>
    <cfRule type="expression" dxfId="48" priority="11">
      <formula>$D41="QB"</formula>
    </cfRule>
  </conditionalFormatting>
  <conditionalFormatting sqref="AA41:AA48 AM41:AM48 AY41:AY48 O41:O48">
    <cfRule type="expression" dxfId="47" priority="1">
      <formula>AND($D$2=1,O41=$G$2)</formula>
    </cfRule>
  </conditionalFormatting>
  <conditionalFormatting sqref="H41:J48 L41:L48 Q41:Q48 O41:O48">
    <cfRule type="expression" dxfId="46" priority="15">
      <formula>$R41=1</formula>
    </cfRule>
  </conditionalFormatting>
  <conditionalFormatting sqref="T41:V48 X41:X48 AA41:AA48 AC41:AC48">
    <cfRule type="expression" dxfId="45" priority="14">
      <formula>$AD41=1</formula>
    </cfRule>
  </conditionalFormatting>
  <conditionalFormatting sqref="AF41:AH48 AJ41:AJ48 AM41:AM48 AO41:AO48">
    <cfRule type="expression" dxfId="44" priority="5">
      <formula>$AP41=1</formula>
    </cfRule>
  </conditionalFormatting>
  <conditionalFormatting sqref="AR41:AT48 AV41:AV48 AY41:AY48 BA41:BA48">
    <cfRule type="expression" dxfId="43" priority="13">
      <formula>$BB41=1</formula>
    </cfRule>
  </conditionalFormatting>
  <pageMargins left="0.7" right="0.7" top="0.75" bottom="0.75" header="0.3" footer="0.3"/>
  <drawing r:id="rId1"/>
  <legacyDrawing r:id="rId2"/>
  <controls>
    <mc:AlternateContent xmlns:mc="http://schemas.openxmlformats.org/markup-compatibility/2006">
      <mc:Choice Requires="x14">
        <control shapeId="61449" r:id="rId3" name="TempCombo">
          <controlPr defaultSize="0" autoLine="0" r:id="rId4">
            <anchor moveWithCells="1">
              <from>
                <xdr:col>31</xdr:col>
                <xdr:colOff>0</xdr:colOff>
                <xdr:row>1</xdr:row>
                <xdr:rowOff>0</xdr:rowOff>
              </from>
              <to>
                <xdr:col>38</xdr:col>
                <xdr:colOff>57150</xdr:colOff>
                <xdr:row>2</xdr:row>
                <xdr:rowOff>0</xdr:rowOff>
              </to>
            </anchor>
          </controlPr>
        </control>
      </mc:Choice>
      <mc:Fallback>
        <control shapeId="61449" r:id="rId3" name="TempCombo"/>
      </mc:Fallback>
    </mc:AlternateContent>
    <mc:AlternateContent xmlns:mc="http://schemas.openxmlformats.org/markup-compatibility/2006">
      <mc:Choice Requires="x14">
        <control shapeId="61453" r:id="rId5" name="Check Box 13">
          <controlPr locked="0" defaultSize="0" autoFill="0" autoLine="0" autoPict="0">
            <anchor moveWithCells="1">
              <from>
                <xdr:col>9</xdr:col>
                <xdr:colOff>152400</xdr:colOff>
                <xdr:row>1</xdr:row>
                <xdr:rowOff>409575</xdr:rowOff>
              </from>
              <to>
                <xdr:col>11</xdr:col>
                <xdr:colOff>133350</xdr:colOff>
                <xdr:row>3</xdr:row>
                <xdr:rowOff>19050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1" id="{ACAEAC85-6275-4601-B66E-30DA3AFCDEB4}">
            <xm:f>'Draft Slayer Classic'!$E$24='Draft Slayer Classic'!$E$22</xm:f>
            <x14:dxf>
              <fill>
                <patternFill patternType="darkUp">
                  <fgColor rgb="FFCCFFCC"/>
                </patternFill>
              </fill>
            </x14:dxf>
          </x14:cfRule>
          <xm:sqref>AF2:AJ2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DropDown="1" showInputMessage="1" showErrorMessage="1" xr:uid="{00000000-0002-0000-0200-000000000000}">
          <x14:formula1>
            <xm:f>'Draft Slayer Classic'!$DF$3:$DF$1000</xm:f>
          </x14:formula1>
          <xm:sqref>AF2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EE1000"/>
  <sheetViews>
    <sheetView zoomScale="95" zoomScaleNormal="95" workbookViewId="0">
      <pane xSplit="8" topLeftCell="I1" activePane="topRight" state="frozen"/>
      <selection pane="topRight" activeCell="F1" sqref="F1:G1048576"/>
    </sheetView>
  </sheetViews>
  <sheetFormatPr defaultColWidth="0" defaultRowHeight="15" x14ac:dyDescent="0.25"/>
  <cols>
    <col min="1" max="1" width="3.7109375" customWidth="1"/>
    <col min="2" max="2" width="5.7109375" customWidth="1"/>
    <col min="3" max="3" width="20.28515625" customWidth="1"/>
    <col min="4" max="4" width="5.7109375" customWidth="1"/>
    <col min="5" max="5" width="6.7109375" customWidth="1"/>
    <col min="6" max="7" width="5.7109375" hidden="1" customWidth="1"/>
    <col min="8" max="8" width="3.7109375" customWidth="1"/>
    <col min="9" max="9" width="20.28515625" customWidth="1"/>
    <col min="10" max="10" width="5.140625" style="3" bestFit="1" customWidth="1"/>
    <col min="11" max="11" width="5.7109375" hidden="1" customWidth="1"/>
    <col min="12" max="12" width="4.5703125" customWidth="1"/>
    <col min="13" max="13" width="5.5703125" hidden="1" customWidth="1"/>
    <col min="14" max="14" width="6.42578125" hidden="1" customWidth="1"/>
    <col min="15" max="15" width="5.7109375" hidden="1" customWidth="1"/>
    <col min="16" max="16" width="6.28515625" hidden="1" customWidth="1"/>
    <col min="17" max="17" width="6" hidden="1" customWidth="1"/>
    <col min="18" max="18" width="4" hidden="1" customWidth="1"/>
    <col min="19" max="19" width="3.7109375" customWidth="1"/>
    <col min="20" max="20" width="20.28515625" bestFit="1" customWidth="1"/>
    <col min="21" max="21" width="5.140625" style="3" bestFit="1" customWidth="1"/>
    <col min="22" max="22" width="6.7109375" hidden="1" customWidth="1"/>
    <col min="23" max="23" width="4.5703125" customWidth="1"/>
    <col min="24" max="24" width="5.28515625" hidden="1" customWidth="1"/>
    <col min="25" max="26" width="6" hidden="1" customWidth="1"/>
    <col min="27" max="27" width="7.7109375" hidden="1" customWidth="1"/>
    <col min="28" max="28" width="6.28515625" hidden="1" customWidth="1"/>
    <col min="29" max="29" width="4" hidden="1" customWidth="1"/>
    <col min="30" max="30" width="3.7109375" customWidth="1"/>
    <col min="31" max="31" width="20.28515625" customWidth="1"/>
    <col min="32" max="32" width="5.140625" style="3" customWidth="1"/>
    <col min="33" max="33" width="5.7109375" hidden="1" customWidth="1"/>
    <col min="34" max="34" width="4.5703125" customWidth="1"/>
    <col min="35" max="35" width="4.5703125" hidden="1" customWidth="1"/>
    <col min="36" max="36" width="6" hidden="1" customWidth="1"/>
    <col min="37" max="37" width="5.5703125" hidden="1" customWidth="1"/>
    <col min="38" max="38" width="6.28515625" hidden="1" customWidth="1"/>
    <col min="39" max="40" width="4" hidden="1" customWidth="1"/>
    <col min="41" max="41" width="3.7109375" customWidth="1"/>
    <col min="42" max="42" width="20.28515625" customWidth="1"/>
    <col min="43" max="43" width="5.140625" style="3" bestFit="1" customWidth="1"/>
    <col min="44" max="44" width="5.7109375" hidden="1" customWidth="1"/>
    <col min="45" max="45" width="4.5703125" customWidth="1"/>
    <col min="46" max="46" width="4.5703125" hidden="1" customWidth="1"/>
    <col min="47" max="47" width="5.85546875" hidden="1" customWidth="1"/>
    <col min="48" max="48" width="6" hidden="1" customWidth="1"/>
    <col min="49" max="49" width="6.28515625" hidden="1" customWidth="1"/>
    <col min="50" max="51" width="4" hidden="1" customWidth="1"/>
    <col min="52" max="52" width="3.7109375" customWidth="1"/>
    <col min="53" max="53" width="15.7109375" customWidth="1"/>
    <col min="54" max="54" width="4.5703125" hidden="1" customWidth="1"/>
    <col min="55" max="55" width="6.28515625" hidden="1" customWidth="1"/>
    <col min="56" max="56" width="5.7109375" hidden="1" customWidth="1"/>
    <col min="57" max="57" width="3.7109375" customWidth="1"/>
    <col min="58" max="58" width="19.85546875" bestFit="1" customWidth="1"/>
    <col min="59" max="59" width="5.140625" style="3" bestFit="1" customWidth="1"/>
    <col min="60" max="60" width="4.28515625" hidden="1" customWidth="1"/>
    <col min="61" max="62" width="5.7109375" hidden="1" customWidth="1"/>
    <col min="63" max="63" width="3.7109375" customWidth="1"/>
    <col min="64" max="64" width="9.140625" hidden="1" customWidth="1"/>
    <col min="65" max="65" width="22.7109375" hidden="1" customWidth="1"/>
    <col min="66" max="66" width="6.140625" hidden="1" customWidth="1"/>
    <col min="67" max="67" width="8.7109375" hidden="1" customWidth="1"/>
    <col min="68" max="68" width="9.140625" style="89" hidden="1" customWidth="1"/>
    <col min="69" max="69" width="9.140625" hidden="1" customWidth="1"/>
    <col min="70" max="70" width="19.28515625" hidden="1" customWidth="1"/>
    <col min="71" max="100" width="9.140625" hidden="1" customWidth="1"/>
    <col min="101" max="101" width="3.7109375" hidden="1" customWidth="1"/>
    <col min="102" max="102" width="15.28515625" hidden="1" customWidth="1"/>
    <col min="103" max="103" width="3.7109375" hidden="1" customWidth="1"/>
    <col min="104" max="104" width="16.7109375" hidden="1" customWidth="1"/>
    <col min="105" max="105" width="4.140625" hidden="1" customWidth="1"/>
    <col min="106" max="106" width="17.85546875" hidden="1" customWidth="1"/>
    <col min="107" max="107" width="3.140625" hidden="1" customWidth="1"/>
    <col min="108" max="108" width="18.140625" hidden="1" customWidth="1"/>
    <col min="109" max="109" width="9.140625" hidden="1" customWidth="1"/>
    <col min="110" max="110" width="24.28515625" hidden="1" customWidth="1"/>
    <col min="111" max="117" width="9.140625" hidden="1" customWidth="1"/>
    <col min="118" max="118" width="7.42578125" hidden="1" customWidth="1"/>
    <col min="119" max="119" width="9.140625" hidden="1" customWidth="1"/>
    <col min="120" max="120" width="7.42578125" hidden="1" customWidth="1"/>
    <col min="121" max="121" width="5.5703125" hidden="1" customWidth="1"/>
    <col min="122" max="122" width="6.85546875" hidden="1" customWidth="1"/>
    <col min="123" max="123" width="9.140625" hidden="1" customWidth="1"/>
    <col min="124" max="124" width="10" hidden="1" customWidth="1"/>
    <col min="125" max="135" width="0" hidden="1" customWidth="1"/>
    <col min="136" max="16384" width="9.140625" hidden="1"/>
  </cols>
  <sheetData>
    <row r="1" spans="1:122" ht="15.75" customHeight="1" thickBot="1" x14ac:dyDescent="0.3">
      <c r="A1" s="191"/>
      <c r="B1" s="192"/>
      <c r="C1" s="192"/>
      <c r="D1" s="192"/>
      <c r="E1" s="192"/>
      <c r="F1" s="192"/>
      <c r="G1" s="192"/>
      <c r="H1" s="192"/>
      <c r="I1" s="193"/>
      <c r="J1" s="194"/>
      <c r="K1" s="194"/>
      <c r="L1" s="194"/>
      <c r="M1" s="194"/>
      <c r="S1" s="192"/>
      <c r="T1" s="194"/>
      <c r="U1" s="194"/>
      <c r="V1" s="194"/>
      <c r="W1" s="194"/>
      <c r="X1" s="194"/>
      <c r="AD1" s="192"/>
      <c r="AE1" s="194"/>
      <c r="AF1" s="194"/>
      <c r="AG1" s="194"/>
      <c r="AH1" s="194"/>
      <c r="AI1" s="194"/>
      <c r="AO1" s="192"/>
      <c r="AP1" s="192"/>
      <c r="AQ1" s="194"/>
      <c r="AR1" s="194"/>
      <c r="AS1" s="194"/>
      <c r="AT1" s="194"/>
      <c r="AZ1" s="192"/>
      <c r="BA1" s="192"/>
      <c r="BB1" s="194"/>
      <c r="BE1" s="192"/>
      <c r="BF1" s="192"/>
      <c r="BG1" s="194"/>
      <c r="BH1" s="194"/>
      <c r="BK1" s="195"/>
    </row>
    <row r="2" spans="1:122" ht="20.25" customHeight="1" thickBot="1" x14ac:dyDescent="0.3">
      <c r="A2" s="196"/>
      <c r="B2" s="197"/>
      <c r="C2" s="197"/>
      <c r="D2" s="197"/>
      <c r="E2" s="197"/>
      <c r="F2" s="197"/>
      <c r="G2" s="197"/>
      <c r="H2" s="197"/>
      <c r="I2" s="198" t="s">
        <v>1</v>
      </c>
      <c r="J2" s="199" t="s">
        <v>1253</v>
      </c>
      <c r="K2" s="199" t="s">
        <v>0</v>
      </c>
      <c r="L2" s="202" t="s">
        <v>1167</v>
      </c>
      <c r="M2" s="200" t="s">
        <v>887</v>
      </c>
      <c r="O2" t="s">
        <v>695</v>
      </c>
      <c r="P2" t="s">
        <v>246</v>
      </c>
      <c r="Q2" t="s">
        <v>704</v>
      </c>
      <c r="R2" t="s">
        <v>1846</v>
      </c>
      <c r="S2" s="197"/>
      <c r="T2" s="198" t="s">
        <v>3</v>
      </c>
      <c r="U2" s="199" t="s">
        <v>1253</v>
      </c>
      <c r="V2" s="199" t="s">
        <v>0</v>
      </c>
      <c r="W2" s="202" t="s">
        <v>1167</v>
      </c>
      <c r="X2" s="200" t="s">
        <v>887</v>
      </c>
      <c r="Z2" t="s">
        <v>695</v>
      </c>
      <c r="AA2" t="s">
        <v>246</v>
      </c>
      <c r="AB2" t="s">
        <v>704</v>
      </c>
      <c r="AC2" t="s">
        <v>1846</v>
      </c>
      <c r="AD2" s="197"/>
      <c r="AE2" s="198" t="s">
        <v>6</v>
      </c>
      <c r="AF2" s="199" t="s">
        <v>1253</v>
      </c>
      <c r="AG2" s="199" t="s">
        <v>0</v>
      </c>
      <c r="AH2" s="202" t="s">
        <v>1167</v>
      </c>
      <c r="AI2" s="200" t="s">
        <v>887</v>
      </c>
      <c r="AK2" t="s">
        <v>695</v>
      </c>
      <c r="AL2" t="s">
        <v>246</v>
      </c>
      <c r="AM2" t="s">
        <v>704</v>
      </c>
      <c r="AN2" t="s">
        <v>1847</v>
      </c>
      <c r="AO2" s="197"/>
      <c r="AP2" s="198" t="s">
        <v>7</v>
      </c>
      <c r="AQ2" s="199" t="s">
        <v>1253</v>
      </c>
      <c r="AR2" s="199" t="s">
        <v>0</v>
      </c>
      <c r="AS2" s="199" t="s">
        <v>1167</v>
      </c>
      <c r="AT2" s="200" t="s">
        <v>887</v>
      </c>
      <c r="AV2" t="s">
        <v>695</v>
      </c>
      <c r="AX2" t="s">
        <v>704</v>
      </c>
      <c r="AY2" t="s">
        <v>1847</v>
      </c>
      <c r="AZ2" s="201"/>
      <c r="BA2" s="198" t="s">
        <v>706</v>
      </c>
      <c r="BB2" s="202" t="s">
        <v>887</v>
      </c>
      <c r="BD2" t="s">
        <v>704</v>
      </c>
      <c r="BE2" s="197"/>
      <c r="BF2" s="198" t="s">
        <v>11</v>
      </c>
      <c r="BG2" s="200" t="s">
        <v>1253</v>
      </c>
      <c r="BH2" s="202" t="s">
        <v>887</v>
      </c>
      <c r="BJ2" t="s">
        <v>704</v>
      </c>
      <c r="BK2" s="203"/>
    </row>
    <row r="3" spans="1:122" ht="15.75" customHeight="1" thickBot="1" x14ac:dyDescent="0.3">
      <c r="A3" s="196"/>
      <c r="B3" s="652" t="s">
        <v>1</v>
      </c>
      <c r="C3" s="650" t="str">
        <f>INDEX(I3:I57,MATCH(SMALL(Q3:Q58,1),Q3:Q58,0))</f>
        <v>Patrick Mahomes</v>
      </c>
      <c r="D3" s="650"/>
      <c r="E3" s="654">
        <f>IFERROR(INDEX(Draft!O6:O20,MATCH(C3,Draft!H6:H20,0)), 0)</f>
        <v>1.7864045312499996</v>
      </c>
      <c r="F3" s="204"/>
      <c r="G3" s="205">
        <f>IF($E$23&gt;=11,0,IF(COUNTIF(B29:B38,"QB")&gt;=Instructions!E15,1,0))</f>
        <v>0</v>
      </c>
      <c r="H3" s="197"/>
      <c r="I3" s="180" t="str">
        <f>IF(QBproj!D7=0,"",QBproj!D7)</f>
        <v>Josh Allen</v>
      </c>
      <c r="J3" s="460" t="str">
        <f>QBproj!E7</f>
        <v>BUF</v>
      </c>
      <c r="K3" s="181">
        <f>QBproj!F7</f>
        <v>388.81601999999998</v>
      </c>
      <c r="L3" s="516">
        <f>IFERROR(IF(QBproj!H7="",QBproj!G7,QBproj!H7),0)</f>
        <v>1</v>
      </c>
      <c r="M3" s="515">
        <f>INDEX(Draft!$BW:$BW,MATCH(I3,Draft_Names_Master,0))</f>
        <v>0</v>
      </c>
      <c r="N3">
        <v>1E-3</v>
      </c>
      <c r="O3">
        <f>IFERROR(IF(INDEX(Instructions!$V$64:$V$83,MATCH('Draft Slayer Classic'!I3,Instructions!$S$64:$S$83,0))&lt;=$E$25,1,0),0)</f>
        <v>0</v>
      </c>
      <c r="P3">
        <f>IFERROR(INDEX(ADP!$A$7:$A$260,MATCH(I3,ADP!$D$7:$D$260,0)),999+N3)</f>
        <v>25</v>
      </c>
      <c r="Q3">
        <f>IFERROR(IF(AND(R3&gt;0,M3=0),R3,IF(M3=0,N3,1)),999)</f>
        <v>95</v>
      </c>
      <c r="R3">
        <f>IFERROR(INDEX(Instructions!$U$111:$U$222,MATCH(I3,Instructions!$T$111:$T$222,0)),0)</f>
        <v>95</v>
      </c>
      <c r="S3" s="197"/>
      <c r="T3" s="186" t="str">
        <f>RBproj!D7</f>
        <v>Christian McCaffrey</v>
      </c>
      <c r="U3" s="460" t="str">
        <f>RBproj!E7</f>
        <v>SF</v>
      </c>
      <c r="V3" s="181">
        <f>RBproj!F7</f>
        <v>309.36116000000004</v>
      </c>
      <c r="W3" s="516">
        <f>IFERROR(IF(RBproj!H7="",RBproj!G7,RBproj!H7),0)</f>
        <v>0</v>
      </c>
      <c r="X3" s="515">
        <f>INDEX(Draft!$BW:$BW,MATCH(T3,Draft_Names_Master,0))</f>
        <v>0</v>
      </c>
      <c r="Y3">
        <v>1E-3</v>
      </c>
      <c r="Z3">
        <f>IFERROR(IF(INDEX(Instructions!$X$64:$X$83,MATCH('Draft Slayer Classic'!T3,Instructions!$T$64:$T$83,0))&lt;=$E$25,1,0),0)</f>
        <v>0</v>
      </c>
      <c r="AA3">
        <f>IFERROR(INDEX(ADP!$A$7:$A$260,MATCH(T3,ADP!$D$7:$D$260,0)),999+Y3)</f>
        <v>2</v>
      </c>
      <c r="AB3">
        <f>IFERROR(IF(AND(AC3&gt;0,X3=0),AC3,IF(X3=0,Y3,1)),999)</f>
        <v>1E-3</v>
      </c>
      <c r="AC3">
        <f>IFERROR(INDEX(Instructions!$U$111:$U$222,MATCH(T3,Instructions!$T$111:$T$222,0)),0)</f>
        <v>0</v>
      </c>
      <c r="AD3" s="197"/>
      <c r="AE3" s="186" t="str">
        <f>WRproj!D7</f>
        <v>Justin Jefferson</v>
      </c>
      <c r="AF3" s="460" t="str">
        <f>WRproj!E7</f>
        <v>MIN</v>
      </c>
      <c r="AG3" s="181">
        <f>WRproj!F7</f>
        <v>315.59314999999998</v>
      </c>
      <c r="AH3" s="516">
        <f>IFERROR(IF(WRproj!H7="",WRproj!G7,WRproj!H7),0)</f>
        <v>0</v>
      </c>
      <c r="AI3" s="502">
        <f>INDEX(Draft!$BW:$BW,MATCH(AE3,Draft_Names_Master,0))</f>
        <v>0</v>
      </c>
      <c r="AJ3">
        <v>1E-3</v>
      </c>
      <c r="AK3">
        <f>IFERROR(IF(INDEX(Instructions!$V$86:$V$105,MATCH('Draft Slayer Classic'!AE3,Instructions!$S$86:$S$105,0))&lt;=$E$25,1,0),0)</f>
        <v>0</v>
      </c>
      <c r="AL3">
        <f>IFERROR(INDEX(ADP!$A$7:$A$260,MATCH(AE3,ADP!$D$7:$D$260,0)),999+AJ3)</f>
        <v>1</v>
      </c>
      <c r="AM3">
        <f>IFERROR(IF(AND(AN3&gt;0,AI3=0),AN3,IF(AI3=0,AJ3,1)),999)</f>
        <v>116</v>
      </c>
      <c r="AN3">
        <f>IFERROR(INDEX(Instructions!$U$111:$U$222,MATCH(AE3,Instructions!$T$111:$T$222,0)),0)</f>
        <v>116</v>
      </c>
      <c r="AO3" s="197"/>
      <c r="AP3" s="186" t="str">
        <f>TEproj!D7</f>
        <v>Travis Kelce</v>
      </c>
      <c r="AQ3" s="460" t="str">
        <f>TEproj!E7</f>
        <v>KC</v>
      </c>
      <c r="AR3" s="181">
        <f>TEproj!F7</f>
        <v>288.55608999999998</v>
      </c>
      <c r="AS3" s="516">
        <f>IFERROR(IF(TEproj!H7="",TEproj!G7,TEproj!H7),0)</f>
        <v>0</v>
      </c>
      <c r="AT3" s="515">
        <f>INDEX(Draft!$BW:$BW,MATCH(AP3,Draft_Names_Master,0))</f>
        <v>0</v>
      </c>
      <c r="AU3">
        <v>1E-3</v>
      </c>
      <c r="AV3">
        <f>IFERROR(IF(INDEX(Instructions!$X$86:$X$105,MATCH('Draft Slayer Classic'!AP3,Instructions!$T$86:$T$105,0))&lt;=$E$25,1,0),0)</f>
        <v>0</v>
      </c>
      <c r="AW3">
        <f>IFERROR(INDEX(ADP!$A$7:$A$260,MATCH(AP3,ADP!$D$7:$D$260,0)),999+AU3)</f>
        <v>5</v>
      </c>
      <c r="AX3">
        <f>IFERROR(IF(AND(AY3&gt;0,AT3=0),AY3,IF(AT3=0,AU3,1)),999)</f>
        <v>1E-3</v>
      </c>
      <c r="AY3">
        <f>IFERROR(INDEX(Instructions!$U$111:$U$222,MATCH(AP3,Instructions!$T$111:$T$222,0)),0)</f>
        <v>0</v>
      </c>
      <c r="AZ3" s="197"/>
      <c r="BA3" s="511" t="str">
        <f>DEFproj!D7</f>
        <v>DAL</v>
      </c>
      <c r="BB3" s="510">
        <f>INDEX(Draft!$BW:$BW,MATCH(BA3,Draft_Names_Master,0))</f>
        <v>0</v>
      </c>
      <c r="BC3">
        <v>1E-3</v>
      </c>
      <c r="BD3">
        <f>IF(BB3=0,BC3,1)</f>
        <v>1E-3</v>
      </c>
      <c r="BE3" s="197"/>
      <c r="BF3" s="186" t="str">
        <f>IF(Kproj!D7=0, "", Kproj!D7)</f>
        <v>Zane Gonzalez</v>
      </c>
      <c r="BG3" s="506" t="str">
        <f>INDEX(FFARawStatProjections!B:B,MATCH('Draft Slayer Classic'!BF3,FFARawStatProjections!A:A,0))</f>
        <v>SF</v>
      </c>
      <c r="BH3" s="502">
        <f>INDEX(Draft!$BW:$BW,MATCH(BF3,Draft_Names_Master,0))</f>
        <v>0</v>
      </c>
      <c r="BI3">
        <v>1.00000000000001E-3</v>
      </c>
      <c r="BJ3">
        <f>IF(BH3=0,BI3,1)</f>
        <v>1.00000000000001E-3</v>
      </c>
      <c r="BK3" s="203"/>
      <c r="BV3" t="s">
        <v>918</v>
      </c>
      <c r="BW3">
        <v>1</v>
      </c>
      <c r="BX3">
        <v>2</v>
      </c>
      <c r="BY3">
        <v>3</v>
      </c>
      <c r="BZ3">
        <v>4</v>
      </c>
      <c r="CA3">
        <v>5</v>
      </c>
      <c r="CB3">
        <v>6</v>
      </c>
      <c r="CC3">
        <v>7</v>
      </c>
      <c r="CD3">
        <v>8</v>
      </c>
      <c r="CE3">
        <v>9</v>
      </c>
      <c r="CF3">
        <v>10</v>
      </c>
      <c r="CG3">
        <v>11</v>
      </c>
      <c r="CH3">
        <v>12</v>
      </c>
      <c r="CI3">
        <v>13</v>
      </c>
      <c r="CJ3">
        <v>14</v>
      </c>
      <c r="CK3">
        <v>15</v>
      </c>
      <c r="CL3">
        <v>16</v>
      </c>
      <c r="CM3">
        <v>17</v>
      </c>
      <c r="CN3">
        <v>18</v>
      </c>
      <c r="CO3">
        <v>19</v>
      </c>
      <c r="CP3">
        <v>20</v>
      </c>
      <c r="CQ3">
        <v>21</v>
      </c>
      <c r="CR3">
        <v>22</v>
      </c>
      <c r="CS3">
        <v>23</v>
      </c>
      <c r="CT3">
        <v>24</v>
      </c>
      <c r="CU3">
        <v>25</v>
      </c>
      <c r="CX3" t="s">
        <v>1</v>
      </c>
      <c r="CZ3" t="s">
        <v>3</v>
      </c>
      <c r="DB3" t="s">
        <v>6</v>
      </c>
      <c r="DD3" t="s">
        <v>7</v>
      </c>
      <c r="DE3">
        <v>1</v>
      </c>
      <c r="DF3" t="str">
        <f>IF(IFERROR(MATCH(FFARawStatProjections!A4,Draft!BY:BY,0),1)=1,FFARawStatProjections!A4,"")</f>
        <v>Jalen Hurts</v>
      </c>
      <c r="DK3" s="430"/>
      <c r="DL3" s="430"/>
      <c r="DM3" s="430"/>
      <c r="DN3" s="430"/>
      <c r="DP3" s="430"/>
      <c r="DQ3" s="430"/>
      <c r="DR3" s="430"/>
    </row>
    <row r="4" spans="1:122" x14ac:dyDescent="0.25">
      <c r="A4" s="196"/>
      <c r="B4" s="653"/>
      <c r="C4" s="651"/>
      <c r="D4" s="651"/>
      <c r="E4" s="655"/>
      <c r="F4" s="205" t="str">
        <f>IF(LARGE(E3:E10,1)=0,"",IF(AND(G4="QB",G3=0),"QB",IF(AND(G4="RB",G5=0),"RB",IF(AND(G4="WR",G7=0),"WR","TE"))))</f>
        <v>RB</v>
      </c>
      <c r="G4" s="205" t="str">
        <f>INDEX(B3:B10,MATCH(LARGE(E3:E10,1),E3:E10,0))</f>
        <v>RB</v>
      </c>
      <c r="H4" s="197"/>
      <c r="I4" s="182" t="str">
        <f>IF(QBproj!D8=0,"",QBproj!D8)</f>
        <v>Patrick Mahomes</v>
      </c>
      <c r="J4" s="290" t="str">
        <f>QBproj!E8</f>
        <v>KC</v>
      </c>
      <c r="K4" s="183">
        <f>QBproj!F8</f>
        <v>387.68401</v>
      </c>
      <c r="L4" s="517">
        <f>IFERROR(IF(QBproj!H8="",QBproj!G8,QBproj!H8),0)</f>
        <v>1</v>
      </c>
      <c r="M4" s="504">
        <f>INDEX(Draft!$BW:$BW,MATCH(I4,Draft_Names_Master,0))</f>
        <v>0</v>
      </c>
      <c r="N4">
        <v>2E-3</v>
      </c>
      <c r="O4">
        <f>IFERROR(IF(INDEX(Instructions!$V$64:$V$83,MATCH('Draft Slayer Classic'!I4,Instructions!$S$64:$S$83,0))&lt;=$E$25,1,0),0)</f>
        <v>0</v>
      </c>
      <c r="P4">
        <f>IFERROR(INDEX(ADP!$A$7:$A$260,MATCH(I4,ADP!$D$7:$D$260,0)),999+N4)</f>
        <v>18</v>
      </c>
      <c r="Q4">
        <f t="shared" ref="Q4:Q57" si="0">IFERROR(IF(AND(R4&gt;0,M4=0),R4,IF(M4=0,N4,1)),999)</f>
        <v>2E-3</v>
      </c>
      <c r="R4">
        <f>IFERROR(INDEX(Instructions!$U$111:$U$222,MATCH(I4,Instructions!$T$111:$T$222,0)),0)</f>
        <v>0</v>
      </c>
      <c r="S4" s="197"/>
      <c r="T4" s="182" t="str">
        <f>RBproj!D8</f>
        <v>Austin Ekeler</v>
      </c>
      <c r="U4" s="290" t="str">
        <f>RBproj!E8</f>
        <v>LAC</v>
      </c>
      <c r="V4" s="183">
        <f>RBproj!F8</f>
        <v>303.69117000000006</v>
      </c>
      <c r="W4" s="517">
        <f>IFERROR(IF(RBproj!H8="",RBproj!G8,RBproj!H8),0)</f>
        <v>0</v>
      </c>
      <c r="X4" s="504">
        <f>INDEX(Draft!$BW:$BW,MATCH(T4,Draft_Names_Master,0))</f>
        <v>0</v>
      </c>
      <c r="Y4">
        <v>2E-3</v>
      </c>
      <c r="Z4">
        <f>IFERROR(IF(INDEX(Instructions!$X$64:$X$83,MATCH('Draft Slayer Classic'!T4,Instructions!$T$64:$T$83,0))&lt;=$E$25,1,0),0)</f>
        <v>0</v>
      </c>
      <c r="AA4">
        <f>IFERROR(INDEX(ADP!$A$7:$A$260,MATCH(T4,ADP!$D$7:$D$260,0)),999+Y4)</f>
        <v>3</v>
      </c>
      <c r="AB4">
        <f t="shared" ref="AB4:AB67" si="1">IFERROR(IF(AND(AC4&gt;0,X4=0),AC4,IF(X4=0,Y4,1)),999)</f>
        <v>51</v>
      </c>
      <c r="AC4">
        <f>IFERROR(INDEX(Instructions!$U$111:$U$222,MATCH(T4,Instructions!$T$111:$T$222,0)),0)</f>
        <v>51</v>
      </c>
      <c r="AD4" s="197"/>
      <c r="AE4" s="182" t="str">
        <f>WRproj!D8</f>
        <v>JaMarr Chase</v>
      </c>
      <c r="AF4" s="290" t="str">
        <f>WRproj!E8</f>
        <v>CIN</v>
      </c>
      <c r="AG4" s="183">
        <f>WRproj!F8</f>
        <v>309.69316000000003</v>
      </c>
      <c r="AH4" s="517">
        <f>IFERROR(IF(WRproj!H8="",WRproj!G8,WRproj!H8),0)</f>
        <v>0</v>
      </c>
      <c r="AI4" s="503">
        <f>INDEX(Draft!$BW:$BW,MATCH(AE4,Draft_Names_Master,0))</f>
        <v>0</v>
      </c>
      <c r="AJ4">
        <v>2E-3</v>
      </c>
      <c r="AK4">
        <f>IFERROR(IF(INDEX(Instructions!$V$86:$V$105,MATCH('Draft Slayer Classic'!AE4,Instructions!$S$86:$S$105,0))&lt;=$E$25,1,0),0)</f>
        <v>0</v>
      </c>
      <c r="AL4">
        <f>IFERROR(INDEX(ADP!$A$7:$A$260,MATCH(AE4,ADP!$D$7:$D$260,0)),999+AJ4)</f>
        <v>6</v>
      </c>
      <c r="AM4">
        <f t="shared" ref="AM4:AM67" si="2">IFERROR(IF(AND(AN4&gt;0,AI4=0),AN4,IF(AI4=0,AJ4,1)),999)</f>
        <v>60</v>
      </c>
      <c r="AN4">
        <f>IFERROR(INDEX(Instructions!$U$111:$U$222,MATCH(AE4,Instructions!$T$111:$T$222,0)),0)</f>
        <v>60</v>
      </c>
      <c r="AO4" s="197"/>
      <c r="AP4" s="182" t="str">
        <f>TEproj!D8</f>
        <v>Mark Andrews</v>
      </c>
      <c r="AQ4" s="290" t="str">
        <f>TEproj!E8</f>
        <v>BAL</v>
      </c>
      <c r="AR4" s="183">
        <f>TEproj!F8</f>
        <v>201.79610000000002</v>
      </c>
      <c r="AS4" s="517">
        <f>IFERROR(IF(TEproj!H8="",TEproj!G8,TEproj!H8),0)</f>
        <v>2</v>
      </c>
      <c r="AT4" s="504">
        <f>INDEX(Draft!$BW:$BW,MATCH(AP4,Draft_Names_Master,0))</f>
        <v>0</v>
      </c>
      <c r="AU4">
        <v>2E-3</v>
      </c>
      <c r="AV4">
        <f>IFERROR(IF(INDEX(Instructions!$X$86:$X$105,MATCH('Draft Slayer Classic'!AP4,Instructions!$T$86:$T$105,0))&lt;=$E$25,1,0),0)</f>
        <v>0</v>
      </c>
      <c r="AW4">
        <f>IFERROR(INDEX(ADP!$A$7:$A$260,MATCH(AP4,ADP!$D$7:$D$260,0)),999+AU4)</f>
        <v>34</v>
      </c>
      <c r="AX4">
        <f t="shared" ref="AX4:AX67" si="3">IFERROR(IF(AND(AY4&gt;0,AT4=0),AY4,IF(AT4=0,AU4,1)),999)</f>
        <v>107</v>
      </c>
      <c r="AY4">
        <f>IFERROR(INDEX(Instructions!$U$111:$U$222,MATCH(AP4,Instructions!$T$111:$T$222,0)),0)</f>
        <v>107</v>
      </c>
      <c r="AZ4" s="197"/>
      <c r="BA4" s="512" t="str">
        <f>DEFproj!D8</f>
        <v>PHI</v>
      </c>
      <c r="BB4" s="503">
        <f>INDEX(Draft!$BW:$BW,MATCH(BA4,Draft_Names_Master,0))</f>
        <v>0</v>
      </c>
      <c r="BC4">
        <v>2E-3</v>
      </c>
      <c r="BD4">
        <f t="shared" ref="BD4:BD34" si="4">IF(BB4=0,BC4,1)</f>
        <v>2E-3</v>
      </c>
      <c r="BE4" s="197"/>
      <c r="BF4" s="182" t="str">
        <f>IF(Kproj!D8=0, "", Kproj!D8)</f>
        <v>Greg Joseph</v>
      </c>
      <c r="BG4" s="507" t="str">
        <f>INDEX(FFARawStatProjections!B:B,MATCH('Draft Slayer Classic'!BF4,FFARawStatProjections!A:A,0))</f>
        <v>MIN</v>
      </c>
      <c r="BH4" s="503">
        <f>INDEX(Draft!$BW:$BW,MATCH(BF4,Draft_Names_Master,0))</f>
        <v>0</v>
      </c>
      <c r="BI4">
        <v>2.00000000000001E-3</v>
      </c>
      <c r="BJ4">
        <f t="shared" ref="BJ4:BJ36" si="5">IF(BH4=0,BI4,1)</f>
        <v>2.00000000000001E-3</v>
      </c>
      <c r="BK4" s="203"/>
      <c r="BV4" t="str">
        <f>8&amp;1</f>
        <v>81</v>
      </c>
      <c r="BW4">
        <v>1</v>
      </c>
      <c r="BX4">
        <v>16</v>
      </c>
      <c r="BY4">
        <v>17</v>
      </c>
      <c r="BZ4">
        <v>32</v>
      </c>
      <c r="CA4">
        <v>33</v>
      </c>
      <c r="CB4">
        <v>48</v>
      </c>
      <c r="CC4">
        <v>49</v>
      </c>
      <c r="CD4">
        <v>64</v>
      </c>
      <c r="CE4">
        <v>65</v>
      </c>
      <c r="CF4">
        <v>80</v>
      </c>
      <c r="CG4">
        <v>81</v>
      </c>
      <c r="CH4">
        <v>96</v>
      </c>
      <c r="CI4">
        <v>97</v>
      </c>
      <c r="CJ4">
        <v>112</v>
      </c>
      <c r="CK4">
        <v>113</v>
      </c>
      <c r="CL4">
        <v>128</v>
      </c>
      <c r="CM4">
        <v>129</v>
      </c>
      <c r="CN4">
        <v>144</v>
      </c>
      <c r="CO4">
        <v>145</v>
      </c>
      <c r="CP4">
        <v>160</v>
      </c>
      <c r="CQ4">
        <v>161</v>
      </c>
      <c r="CR4">
        <v>176</v>
      </c>
      <c r="CS4">
        <v>177</v>
      </c>
      <c r="CT4">
        <v>192</v>
      </c>
      <c r="CU4">
        <v>193</v>
      </c>
      <c r="CW4">
        <f>IF(CX4&lt;&gt;0, "QB", 0)</f>
        <v>0</v>
      </c>
      <c r="CX4">
        <f>IFERROR(IF(INDEX(Q:Q,MATCH(Instructions!F64,I:I,0))=1, 0, Instructions!F64), Instructions!F64)</f>
        <v>0</v>
      </c>
      <c r="CY4">
        <f>IF(CZ4&lt;&gt;0, "RB", 0)</f>
        <v>0</v>
      </c>
      <c r="CZ4">
        <f>IFERROR(IF(INDEX(AB:AB,MATCH(Instructions!K64,T:T,0))=1, 0, Instructions!K64), Instructions!K64)</f>
        <v>0</v>
      </c>
      <c r="DA4">
        <f>IF(DB4&lt;&gt;0, "WR", 0)</f>
        <v>0</v>
      </c>
      <c r="DB4">
        <f>IFERROR(IF(INDEX(AM:AM,MATCH(Instructions!F86,AE:AE,0))=1, 0, Instructions!F86), Instructions!F86)</f>
        <v>0</v>
      </c>
      <c r="DC4">
        <f>IF(DD4&lt;&gt;0, "TE", 0)</f>
        <v>0</v>
      </c>
      <c r="DD4">
        <f>IFERROR(IF(VLOOKUP(Instructions!K86,AP:AX,6,FALSE)=1, 0, Instructions!K86), Instructions!K86)</f>
        <v>0</v>
      </c>
      <c r="DE4">
        <v>2</v>
      </c>
      <c r="DF4" t="str">
        <f>IF(IFERROR(MATCH(FFARawStatProjections!A5,Draft!BY:BY,0),1)&lt;=1,IF(FFARawStatProjections!A5=0,"",FFARawStatProjections!A5),"")</f>
        <v>Lamar Jackson</v>
      </c>
      <c r="DK4" s="430"/>
      <c r="DL4" s="430"/>
      <c r="DM4" s="430"/>
      <c r="DN4" s="430"/>
      <c r="DP4" s="430"/>
      <c r="DQ4" s="430"/>
      <c r="DR4" s="430"/>
    </row>
    <row r="5" spans="1:122" x14ac:dyDescent="0.25">
      <c r="A5" s="196"/>
      <c r="B5" s="656" t="s">
        <v>3</v>
      </c>
      <c r="C5" s="662" t="str">
        <f>INDEX(T3:T135,MATCH(SMALL(AB3:AB135,1),AB3:AB135,0))</f>
        <v>Christian McCaffrey</v>
      </c>
      <c r="D5" s="662"/>
      <c r="E5" s="658">
        <f>IFERROR(INDEX(Draft!AA6:AA20,MATCH(C5,Draft!T6:T20,0)), 0)</f>
        <v>3.777807500000002</v>
      </c>
      <c r="F5" s="205">
        <f>Instructions!E19+Instructions!J15</f>
        <v>3</v>
      </c>
      <c r="G5" s="205">
        <f>IF($E$23&gt;=11,0,IF(OR(COUNTIF(B29:B38,"RB")&gt;=F5,AND(COUNTIF(B29:B38,"RB")&gt;=Instructions!E19,COUNTIF(B29:B38,"WR"&gt;=F7))),1,0))</f>
        <v>0</v>
      </c>
      <c r="H5" s="197"/>
      <c r="I5" s="180" t="str">
        <f>IF(QBproj!D9=0,"",QBproj!D9)</f>
        <v>Jalen Hurts</v>
      </c>
      <c r="J5" s="461" t="str">
        <f>QBproj!E9</f>
        <v>PHI</v>
      </c>
      <c r="K5" s="184">
        <f>QBproj!F9</f>
        <v>382.08402999999998</v>
      </c>
      <c r="L5" s="517">
        <f>IFERROR(IF(QBproj!H9="",QBproj!G9,QBproj!H9),0)</f>
        <v>2</v>
      </c>
      <c r="M5" s="503">
        <f>INDEX(Draft!$BW:$BW,MATCH(I5,Draft_Names_Master,0))</f>
        <v>0</v>
      </c>
      <c r="N5">
        <v>3.0000000000000001E-3</v>
      </c>
      <c r="O5">
        <f>IFERROR(IF(INDEX(Instructions!$V$64:$V$83,MATCH('Draft Slayer Classic'!I5,Instructions!$S$64:$S$83,0))&lt;=$E$25,1,0),0)</f>
        <v>0</v>
      </c>
      <c r="P5">
        <f>IFERROR(INDEX(ADP!$A$7:$A$260,MATCH(I5,ADP!$D$7:$D$260,0)),999+N5)</f>
        <v>26</v>
      </c>
      <c r="Q5">
        <f t="shared" si="0"/>
        <v>3.0000000000000001E-3</v>
      </c>
      <c r="R5">
        <f>IFERROR(INDEX(Instructions!$U$111:$U$222,MATCH(I5,Instructions!$T$111:$T$222,0)),0)</f>
        <v>0</v>
      </c>
      <c r="S5" s="197"/>
      <c r="T5" s="187" t="str">
        <f>RBproj!D9</f>
        <v>Derrick Henry</v>
      </c>
      <c r="U5" s="461" t="str">
        <f>RBproj!E9</f>
        <v>TEN</v>
      </c>
      <c r="V5" s="184">
        <f>RBproj!F9</f>
        <v>260.70123000000007</v>
      </c>
      <c r="W5" s="517">
        <f>IFERROR(IF(RBproj!H9="",RBproj!G9,RBproj!H9),0)</f>
        <v>2</v>
      </c>
      <c r="X5" s="504">
        <f>INDEX(Draft!$BW:$BW,MATCH(T5,Draft_Names_Master,0))</f>
        <v>0</v>
      </c>
      <c r="Y5">
        <v>3.0000000000000001E-3</v>
      </c>
      <c r="Z5">
        <f>IFERROR(IF(INDEX(Instructions!$X$64:$X$83,MATCH('Draft Slayer Classic'!T5,Instructions!$T$64:$T$83,0))&lt;=$E$25,1,0),0)</f>
        <v>0</v>
      </c>
      <c r="AA5">
        <f>IFERROR(INDEX(ADP!$A$7:$A$260,MATCH(T5,ADP!$D$7:$D$260,0)),999+Y5)</f>
        <v>12</v>
      </c>
      <c r="AB5">
        <f t="shared" si="1"/>
        <v>3.0000000000000001E-3</v>
      </c>
      <c r="AC5">
        <f>IFERROR(INDEX(Instructions!$U$111:$U$222,MATCH(T5,Instructions!$T$111:$T$222,0)),0)</f>
        <v>0</v>
      </c>
      <c r="AD5" s="197"/>
      <c r="AE5" s="187" t="str">
        <f>WRproj!D9</f>
        <v>Cooper Kupp</v>
      </c>
      <c r="AF5" s="461" t="str">
        <f>WRproj!E9</f>
        <v>LAR</v>
      </c>
      <c r="AG5" s="184">
        <f>WRproj!F9</f>
        <v>304.49317000000002</v>
      </c>
      <c r="AH5" s="517">
        <f>IFERROR(IF(WRproj!H9="",WRproj!G9,WRproj!H9),0)</f>
        <v>1</v>
      </c>
      <c r="AI5" s="503">
        <f>INDEX(Draft!$BW:$BW,MATCH(AE5,Draft_Names_Master,0))</f>
        <v>0</v>
      </c>
      <c r="AJ5">
        <v>3.0000000000000001E-3</v>
      </c>
      <c r="AK5">
        <f>IFERROR(IF(INDEX(Instructions!$V$86:$V$105,MATCH('Draft Slayer Classic'!AE5,Instructions!$S$86:$S$105,0))&lt;=$E$25,1,0),0)</f>
        <v>0</v>
      </c>
      <c r="AL5">
        <f>IFERROR(INDEX(ADP!$A$7:$A$260,MATCH(AE5,ADP!$D$7:$D$260,0)),999+AJ5)</f>
        <v>9</v>
      </c>
      <c r="AM5">
        <f t="shared" si="2"/>
        <v>36</v>
      </c>
      <c r="AN5">
        <f>IFERROR(INDEX(Instructions!$U$111:$U$222,MATCH(AE5,Instructions!$T$111:$T$222,0)),0)</f>
        <v>36</v>
      </c>
      <c r="AO5" s="197"/>
      <c r="AP5" s="187" t="str">
        <f>TEproj!D9</f>
        <v>TJ Hockenson</v>
      </c>
      <c r="AQ5" s="461" t="str">
        <f>TEproj!E9</f>
        <v>MIN</v>
      </c>
      <c r="AR5" s="184">
        <f>TEproj!F9</f>
        <v>198.45611000000002</v>
      </c>
      <c r="AS5" s="517">
        <f>IFERROR(IF(TEproj!H9="",TEproj!G9,TEproj!H9),0)</f>
        <v>3</v>
      </c>
      <c r="AT5" s="503">
        <f>INDEX(Draft!$BW:$BW,MATCH(AP5,Draft_Names_Master,0))</f>
        <v>0</v>
      </c>
      <c r="AU5">
        <v>3.0000000000000001E-3</v>
      </c>
      <c r="AV5">
        <f>IFERROR(IF(INDEX(Instructions!$X$86:$X$105,MATCH('Draft Slayer Classic'!AP5,Instructions!$T$86:$T$105,0))&lt;=$E$25,1,0),0)</f>
        <v>0</v>
      </c>
      <c r="AW5">
        <f>IFERROR(INDEX(ADP!$A$7:$A$260,MATCH(AP5,ADP!$D$7:$D$260,0)),999+AU5)</f>
        <v>54</v>
      </c>
      <c r="AX5">
        <f t="shared" si="3"/>
        <v>3.0000000000000001E-3</v>
      </c>
      <c r="AY5">
        <f>IFERROR(INDEX(Instructions!$U$111:$U$222,MATCH(AP5,Instructions!$T$111:$T$222,0)),0)</f>
        <v>0</v>
      </c>
      <c r="AZ5" s="197"/>
      <c r="BA5" s="513" t="str">
        <f>DEFproj!D9</f>
        <v>NE</v>
      </c>
      <c r="BB5" s="504">
        <f>INDEX(Draft!$BW:$BW,MATCH(BA5,Draft_Names_Master,0))</f>
        <v>0</v>
      </c>
      <c r="BC5">
        <v>3.0000000000000001E-3</v>
      </c>
      <c r="BD5">
        <f t="shared" si="4"/>
        <v>3.0000000000000001E-3</v>
      </c>
      <c r="BE5" s="197"/>
      <c r="BF5" s="187" t="str">
        <f>IF(Kproj!D9=0, "", Kproj!D9)</f>
        <v>Jason Myers</v>
      </c>
      <c r="BG5" s="508" t="str">
        <f>INDEX(FFARawStatProjections!B:B,MATCH('Draft Slayer Classic'!BF5,FFARawStatProjections!A:A,0))</f>
        <v>SEA</v>
      </c>
      <c r="BH5" s="504">
        <f>INDEX(Draft!$BW:$BW,MATCH(BF5,Draft_Names_Master,0))</f>
        <v>0</v>
      </c>
      <c r="BI5">
        <v>3.0000000000000001E-3</v>
      </c>
      <c r="BJ5">
        <f t="shared" si="5"/>
        <v>3.0000000000000001E-3</v>
      </c>
      <c r="BK5" s="203"/>
      <c r="BV5" t="str">
        <f>8&amp;2</f>
        <v>82</v>
      </c>
      <c r="BW5">
        <v>2</v>
      </c>
      <c r="BX5">
        <v>15</v>
      </c>
      <c r="BY5">
        <v>18</v>
      </c>
      <c r="BZ5">
        <v>31</v>
      </c>
      <c r="CA5">
        <v>34</v>
      </c>
      <c r="CB5">
        <v>47</v>
      </c>
      <c r="CC5">
        <v>50</v>
      </c>
      <c r="CD5">
        <v>63</v>
      </c>
      <c r="CE5">
        <v>66</v>
      </c>
      <c r="CF5">
        <v>79</v>
      </c>
      <c r="CG5">
        <v>82</v>
      </c>
      <c r="CH5">
        <v>95</v>
      </c>
      <c r="CI5">
        <v>98</v>
      </c>
      <c r="CJ5">
        <v>111</v>
      </c>
      <c r="CK5">
        <v>114</v>
      </c>
      <c r="CL5">
        <v>127</v>
      </c>
      <c r="CM5">
        <v>130</v>
      </c>
      <c r="CN5">
        <v>143</v>
      </c>
      <c r="CO5">
        <v>146</v>
      </c>
      <c r="CP5">
        <v>159</v>
      </c>
      <c r="CQ5">
        <v>162</v>
      </c>
      <c r="CR5">
        <v>175</v>
      </c>
      <c r="CS5">
        <v>178</v>
      </c>
      <c r="CT5">
        <v>191</v>
      </c>
      <c r="CU5">
        <v>194</v>
      </c>
      <c r="CW5">
        <f>IF(AND(CX5&lt;&gt;0,COUNTIF(CW$4:CW4, "QB") = 0), "QB", 0)</f>
        <v>0</v>
      </c>
      <c r="CX5">
        <f>IFERROR(IF(INDEX(Q:Q,MATCH(Instructions!F65,I:I,0))=1, 0, Instructions!F65), Instructions!F65)</f>
        <v>0</v>
      </c>
      <c r="CY5">
        <f>IF(AND(CZ5&lt;&gt;0,COUNTIF(CY$4:CY4, "RB") = 0), "RB", IF(CY4="RB", 1, 0))</f>
        <v>0</v>
      </c>
      <c r="CZ5">
        <f>IFERROR(IF(INDEX(AB:AB,MATCH(Instructions!K65,T:T,0))=1, 0, Instructions!K65), Instructions!K65)</f>
        <v>0</v>
      </c>
      <c r="DA5">
        <f>IF(AND(DB5&lt;&gt;0,COUNTIF(DA$4:DA4, "WR") = 0), "WR", IF(DA4="WR", 1, 0))</f>
        <v>0</v>
      </c>
      <c r="DB5">
        <f>IFERROR(IF(INDEX(AM:AM,MATCH(Instructions!F87,AE:AE,0))=1, 0, Instructions!F87), Instructions!F87)</f>
        <v>0</v>
      </c>
      <c r="DC5">
        <f>IF(AND(DD5&lt;&gt;0,COUNTIF(DC$4:DC4, "TE") = 0), "TE", 0)</f>
        <v>0</v>
      </c>
      <c r="DD5">
        <f>IFERROR(IF(VLOOKUP(Instructions!K87,AP:AX,6,FALSE)=1, 0, Instructions!K87), Instructions!K87)</f>
        <v>0</v>
      </c>
      <c r="DE5">
        <v>3</v>
      </c>
      <c r="DF5" t="str">
        <f>IF(IFERROR(MATCH(FFARawStatProjections!A6,Draft!BY:BY,0),1)&lt;=1,IF(FFARawStatProjections!A6=0,"",FFARawStatProjections!A6),"")</f>
        <v>Joe Burrow</v>
      </c>
      <c r="DK5" s="430"/>
      <c r="DL5" s="430"/>
      <c r="DM5" s="430"/>
      <c r="DN5" s="430"/>
      <c r="DP5" s="430"/>
      <c r="DQ5" s="430"/>
      <c r="DR5" s="430"/>
    </row>
    <row r="6" spans="1:122" x14ac:dyDescent="0.25">
      <c r="A6" s="196"/>
      <c r="B6" s="657"/>
      <c r="C6" s="663"/>
      <c r="D6" s="663"/>
      <c r="E6" s="659"/>
      <c r="F6" s="205"/>
      <c r="G6" s="205">
        <f>G5+G7</f>
        <v>0</v>
      </c>
      <c r="H6" s="197"/>
      <c r="I6" s="182" t="str">
        <f>IF(QBproj!D10=0,"",QBproj!D10)</f>
        <v>Lamar Jackson</v>
      </c>
      <c r="J6" s="290" t="str">
        <f>QBproj!E10</f>
        <v>BAL</v>
      </c>
      <c r="K6" s="183">
        <f>QBproj!F10</f>
        <v>357.19204000000002</v>
      </c>
      <c r="L6" s="517">
        <f>IFERROR(IF(QBproj!H10="",QBproj!G10,QBproj!H10),0)</f>
        <v>3</v>
      </c>
      <c r="M6" s="524">
        <f>INDEX(Draft!$BW:$BW,MATCH(I6,Draft_Names_Master,0))</f>
        <v>0</v>
      </c>
      <c r="N6">
        <v>4.0000000000000001E-3</v>
      </c>
      <c r="O6">
        <f>IFERROR(IF(INDEX(Instructions!$V$64:$V$83,MATCH('Draft Slayer Classic'!I6,Instructions!$S$64:$S$83,0))&lt;=$E$25,1,0),0)</f>
        <v>0</v>
      </c>
      <c r="P6">
        <f>IFERROR(INDEX(ADP!$A$7:$A$260,MATCH(I6,ADP!$D$7:$D$260,0)),999+N6)</f>
        <v>37</v>
      </c>
      <c r="Q6">
        <f t="shared" si="0"/>
        <v>4.0000000000000001E-3</v>
      </c>
      <c r="R6">
        <f>IFERROR(INDEX(Instructions!$U$111:$U$222,MATCH(I6,Instructions!$T$111:$T$222,0)),0)</f>
        <v>0</v>
      </c>
      <c r="S6" s="197"/>
      <c r="T6" s="182" t="str">
        <f>RBproj!D10</f>
        <v>Bijan Robinson</v>
      </c>
      <c r="U6" s="290" t="str">
        <f>RBproj!E10</f>
        <v>ATL</v>
      </c>
      <c r="V6" s="183">
        <f>RBproj!F10</f>
        <v>257.28120999999999</v>
      </c>
      <c r="W6" s="517">
        <f>IFERROR(IF(RBproj!H10="",RBproj!G10,RBproj!H10),0)</f>
        <v>2</v>
      </c>
      <c r="X6" s="504">
        <f>INDEX(Draft!$BW:$BW,MATCH(T6,Draft_Names_Master,0))</f>
        <v>0</v>
      </c>
      <c r="Y6">
        <v>4.0000000000000001E-3</v>
      </c>
      <c r="Z6">
        <f>IFERROR(IF(INDEX(Instructions!$X$64:$X$83,MATCH('Draft Slayer Classic'!T6,Instructions!$T$64:$T$83,0))&lt;=$E$25,1,0),0)</f>
        <v>0</v>
      </c>
      <c r="AA6">
        <f>IFERROR(INDEX(ADP!$A$7:$A$260,MATCH(T6,ADP!$D$7:$D$260,0)),999+Y6)</f>
        <v>8</v>
      </c>
      <c r="AB6">
        <f t="shared" si="1"/>
        <v>4.0000000000000001E-3</v>
      </c>
      <c r="AC6">
        <f>IFERROR(INDEX(Instructions!$U$111:$U$222,MATCH(T6,Instructions!$T$111:$T$222,0)),0)</f>
        <v>0</v>
      </c>
      <c r="AD6" s="197"/>
      <c r="AE6" s="182" t="str">
        <f>WRproj!D10</f>
        <v>Tyreek Hill</v>
      </c>
      <c r="AF6" s="290" t="str">
        <f>WRproj!E10</f>
        <v>MIA</v>
      </c>
      <c r="AG6" s="183">
        <f>WRproj!F10</f>
        <v>301.02318000000002</v>
      </c>
      <c r="AH6" s="517">
        <f>IFERROR(IF(WRproj!H10="",WRproj!G10,WRproj!H10),0)</f>
        <v>1</v>
      </c>
      <c r="AI6" s="503">
        <f>INDEX(Draft!$BW:$BW,MATCH(AE6,Draft_Names_Master,0))</f>
        <v>0</v>
      </c>
      <c r="AJ6">
        <v>4.0000000000000001E-3</v>
      </c>
      <c r="AK6">
        <f>IFERROR(IF(INDEX(Instructions!$V$86:$V$105,MATCH('Draft Slayer Classic'!AE6,Instructions!$S$86:$S$105,0))&lt;=$E$25,1,0),0)</f>
        <v>0</v>
      </c>
      <c r="AL6">
        <f>IFERROR(INDEX(ADP!$A$7:$A$260,MATCH(AE6,ADP!$D$7:$D$260,0)),999+AJ6)</f>
        <v>4</v>
      </c>
      <c r="AM6">
        <f t="shared" si="2"/>
        <v>4.0000000000000001E-3</v>
      </c>
      <c r="AN6">
        <f>IFERROR(INDEX(Instructions!$U$111:$U$222,MATCH(AE6,Instructions!$T$111:$T$222,0)),0)</f>
        <v>0</v>
      </c>
      <c r="AO6" s="197"/>
      <c r="AP6" s="182" t="str">
        <f>TEproj!D10</f>
        <v>George Kittle</v>
      </c>
      <c r="AQ6" s="290" t="str">
        <f>TEproj!E10</f>
        <v>SF</v>
      </c>
      <c r="AR6" s="183">
        <f>TEproj!F10</f>
        <v>175.26613000000003</v>
      </c>
      <c r="AS6" s="517">
        <f>IFERROR(IF(TEproj!H10="",TEproj!G10,TEproj!H10),0)</f>
        <v>4</v>
      </c>
      <c r="AT6" s="504">
        <f>INDEX(Draft!$BW:$BW,MATCH(AP6,Draft_Names_Master,0))</f>
        <v>0</v>
      </c>
      <c r="AU6">
        <v>4.0000000000000001E-3</v>
      </c>
      <c r="AV6">
        <f>IFERROR(IF(INDEX(Instructions!$X$86:$X$105,MATCH('Draft Slayer Classic'!AP6,Instructions!$T$86:$T$105,0))&lt;=$E$25,1,0),0)</f>
        <v>0</v>
      </c>
      <c r="AW6">
        <f>IFERROR(INDEX(ADP!$A$7:$A$260,MATCH(AP6,ADP!$D$7:$D$260,0)),999+AU6)</f>
        <v>61</v>
      </c>
      <c r="AX6">
        <f t="shared" si="3"/>
        <v>4.0000000000000001E-3</v>
      </c>
      <c r="AY6">
        <f>IFERROR(INDEX(Instructions!$U$111:$U$222,MATCH(AP6,Instructions!$T$111:$T$222,0)),0)</f>
        <v>0</v>
      </c>
      <c r="AZ6" s="197"/>
      <c r="BA6" s="512" t="str">
        <f>DEFproj!D10</f>
        <v>PIT</v>
      </c>
      <c r="BB6" s="503">
        <f>INDEX(Draft!$BW:$BW,MATCH(BA6,Draft_Names_Master,0))</f>
        <v>0</v>
      </c>
      <c r="BC6">
        <v>4.0000000000000001E-3</v>
      </c>
      <c r="BD6">
        <f t="shared" si="4"/>
        <v>4.0000000000000001E-3</v>
      </c>
      <c r="BE6" s="197"/>
      <c r="BF6" s="182" t="str">
        <f>IF(Kproj!D10=0, "", Kproj!D10)</f>
        <v>Justin Tucker</v>
      </c>
      <c r="BG6" s="507" t="str">
        <f>INDEX(FFARawStatProjections!B:B,MATCH('Draft Slayer Classic'!BF6,FFARawStatProjections!A:A,0))</f>
        <v>BAL</v>
      </c>
      <c r="BH6" s="503">
        <f>INDEX(Draft!$BW:$BW,MATCH(BF6,Draft_Names_Master,0))</f>
        <v>0</v>
      </c>
      <c r="BI6">
        <v>4.0000000000000001E-3</v>
      </c>
      <c r="BJ6">
        <f t="shared" si="5"/>
        <v>4.0000000000000001E-3</v>
      </c>
      <c r="BK6" s="203"/>
      <c r="BV6" t="str">
        <f>8&amp;3</f>
        <v>83</v>
      </c>
      <c r="BW6">
        <v>3</v>
      </c>
      <c r="BX6">
        <v>14</v>
      </c>
      <c r="BY6">
        <v>19</v>
      </c>
      <c r="BZ6">
        <v>30</v>
      </c>
      <c r="CA6">
        <v>35</v>
      </c>
      <c r="CB6">
        <v>46</v>
      </c>
      <c r="CC6">
        <v>51</v>
      </c>
      <c r="CD6">
        <v>62</v>
      </c>
      <c r="CE6">
        <v>67</v>
      </c>
      <c r="CF6">
        <v>78</v>
      </c>
      <c r="CG6">
        <v>83</v>
      </c>
      <c r="CH6">
        <v>94</v>
      </c>
      <c r="CI6">
        <v>99</v>
      </c>
      <c r="CJ6">
        <v>110</v>
      </c>
      <c r="CK6">
        <v>115</v>
      </c>
      <c r="CL6">
        <v>126</v>
      </c>
      <c r="CM6">
        <v>131</v>
      </c>
      <c r="CN6">
        <v>142</v>
      </c>
      <c r="CO6">
        <v>147</v>
      </c>
      <c r="CP6">
        <v>158</v>
      </c>
      <c r="CQ6">
        <v>163</v>
      </c>
      <c r="CR6">
        <v>174</v>
      </c>
      <c r="CS6">
        <v>179</v>
      </c>
      <c r="CT6">
        <v>190</v>
      </c>
      <c r="CU6">
        <v>195</v>
      </c>
      <c r="CW6">
        <f>IF(AND(CX6&lt;&gt;0,COUNTIF(CW$4:CW5, "QB") = 0), "QB", 0)</f>
        <v>0</v>
      </c>
      <c r="CX6">
        <f>IFERROR(IF(INDEX(Q:Q,MATCH(Instructions!F66,I:I,0))=1, 0, Instructions!F66), Instructions!F66)</f>
        <v>0</v>
      </c>
      <c r="CY6">
        <f>IF(AND(CZ6&lt;&gt;0,COUNTIF(CY$4:CY5, "RB") = 0), "RB", IF(CY5="RB", 1, 0))</f>
        <v>0</v>
      </c>
      <c r="CZ6">
        <f>IFERROR(IF(INDEX(AB:AB,MATCH(Instructions!K66,T:T,0))=1, 0, Instructions!K66), Instructions!K66)</f>
        <v>0</v>
      </c>
      <c r="DA6">
        <f>IF(AND(DB6&lt;&gt;0,COUNTIF(DA$4:DA5, "WR") = 0), "WR", IF(DA5="WR", 1, 0))</f>
        <v>0</v>
      </c>
      <c r="DB6">
        <f>IFERROR(IF(INDEX(AM:AM,MATCH(Instructions!F88,AE:AE,0))=1, 0, Instructions!F88), Instructions!F88)</f>
        <v>0</v>
      </c>
      <c r="DC6">
        <f>IF(AND(DD6&lt;&gt;0,COUNTIF(DC$4:DC5, "TE") = 0), "TE", 0)</f>
        <v>0</v>
      </c>
      <c r="DD6">
        <f>IFERROR(IF(VLOOKUP(Instructions!K88,AP:AX,6,FALSE)=1, 0, Instructions!K88), Instructions!K88)</f>
        <v>0</v>
      </c>
      <c r="DE6">
        <v>4</v>
      </c>
      <c r="DF6" t="str">
        <f>IF(IFERROR(MATCH(FFARawStatProjections!A7,Draft!BY:BY,0),1)&lt;=1,IF(FFARawStatProjections!A7=0,"",FFARawStatProjections!A7),"")</f>
        <v>Justin Fields</v>
      </c>
      <c r="DK6" s="430"/>
      <c r="DL6" s="430"/>
      <c r="DM6" s="430"/>
      <c r="DN6" s="430"/>
      <c r="DP6" s="430"/>
      <c r="DQ6" s="430"/>
      <c r="DR6" s="430"/>
    </row>
    <row r="7" spans="1:122" x14ac:dyDescent="0.25">
      <c r="A7" s="196"/>
      <c r="B7" s="660" t="s">
        <v>6</v>
      </c>
      <c r="C7" s="664" t="str">
        <f>INDEX(AE3:AE177,MATCH(SMALL(AM3:AM177,1),AM3:AM177,0))</f>
        <v>Tyreek Hill</v>
      </c>
      <c r="D7" s="664"/>
      <c r="E7" s="661">
        <f>IFERROR(INDEX(Draft!AM6:AM20,MATCH(C7,Draft!AF6:AF20,0)), 0)</f>
        <v>3.5320267187500005</v>
      </c>
      <c r="F7" s="205">
        <f>Instructions!E17+Instructions!J15</f>
        <v>3</v>
      </c>
      <c r="G7" s="205">
        <f>IF($E$23&gt;=11,0,IF(OR(COUNTIF(B29:B38,"WR")&gt;=F7,AND(COUNTIF(B29:B38,"WR")&gt;=Instructions!E17,COUNTIF(B29:B38,"RB"&gt;=F5))),1,0))</f>
        <v>0</v>
      </c>
      <c r="H7" s="197"/>
      <c r="I7" s="180" t="str">
        <f>IF(QBproj!D11=0,"",QBproj!D11)</f>
        <v>Joe Burrow</v>
      </c>
      <c r="J7" s="461" t="str">
        <f>QBproj!E11</f>
        <v>CIN</v>
      </c>
      <c r="K7" s="184">
        <f>QBproj!F11</f>
        <v>350.62604999999996</v>
      </c>
      <c r="L7" s="517">
        <f>IFERROR(IF(QBproj!H11="",QBproj!G11,QBproj!H11),0)</f>
        <v>4</v>
      </c>
      <c r="M7" s="503">
        <f>INDEX(Draft!$BW:$BW,MATCH(I7,Draft_Names_Master,0))</f>
        <v>0</v>
      </c>
      <c r="N7">
        <v>5.0000000000000001E-3</v>
      </c>
      <c r="O7">
        <f>IFERROR(IF(INDEX(Instructions!$V$64:$V$83,MATCH('Draft Slayer Classic'!I7,Instructions!$S$64:$S$83,0))&lt;=$E$25,1,0),0)</f>
        <v>0</v>
      </c>
      <c r="P7">
        <f>IFERROR(INDEX(ADP!$A$7:$A$260,MATCH(I7,ADP!$D$7:$D$260,0)),999+N7)</f>
        <v>42</v>
      </c>
      <c r="Q7">
        <f t="shared" si="0"/>
        <v>5.0000000000000001E-3</v>
      </c>
      <c r="R7">
        <f>IFERROR(INDEX(Instructions!$U$111:$U$222,MATCH(I7,Instructions!$T$111:$T$222,0)),0)</f>
        <v>0</v>
      </c>
      <c r="S7" s="197"/>
      <c r="T7" s="187" t="str">
        <f>RBproj!D11</f>
        <v>Nick Chubb</v>
      </c>
      <c r="U7" s="461" t="str">
        <f>RBproj!E11</f>
        <v>CLE</v>
      </c>
      <c r="V7" s="184">
        <f>RBproj!F11</f>
        <v>257.19121999999999</v>
      </c>
      <c r="W7" s="517">
        <f>IFERROR(IF(RBproj!H11="",RBproj!G11,RBproj!H11),0)</f>
        <v>2</v>
      </c>
      <c r="X7" s="504">
        <f>INDEX(Draft!$BW:$BW,MATCH(T7,Draft_Names_Master,0))</f>
        <v>0</v>
      </c>
      <c r="Y7">
        <v>5.0000000000000001E-3</v>
      </c>
      <c r="Z7">
        <f>IFERROR(IF(INDEX(Instructions!$X$64:$X$83,MATCH('Draft Slayer Classic'!T7,Instructions!$T$64:$T$83,0))&lt;=$E$25,1,0),0)</f>
        <v>0</v>
      </c>
      <c r="AA7">
        <f>IFERROR(INDEX(ADP!$A$7:$A$260,MATCH(T7,ADP!$D$7:$D$260,0)),999+Y7)</f>
        <v>7</v>
      </c>
      <c r="AB7">
        <f t="shared" si="1"/>
        <v>5.0000000000000001E-3</v>
      </c>
      <c r="AC7">
        <f>IFERROR(INDEX(Instructions!$U$111:$U$222,MATCH(T7,Instructions!$T$111:$T$222,0)),0)</f>
        <v>0</v>
      </c>
      <c r="AD7" s="197"/>
      <c r="AE7" s="187" t="str">
        <f>WRproj!D11</f>
        <v>CeeDee Lamb</v>
      </c>
      <c r="AF7" s="461" t="str">
        <f>WRproj!E11</f>
        <v>DAL</v>
      </c>
      <c r="AG7" s="184">
        <f>WRproj!F11</f>
        <v>282.02319</v>
      </c>
      <c r="AH7" s="517">
        <f>IFERROR(IF(WRproj!H11="",WRproj!G11,WRproj!H11),0)</f>
        <v>2</v>
      </c>
      <c r="AI7" s="503">
        <f>INDEX(Draft!$BW:$BW,MATCH(AE7,Draft_Names_Master,0))</f>
        <v>0</v>
      </c>
      <c r="AJ7">
        <v>5.0000000000000001E-3</v>
      </c>
      <c r="AK7">
        <f>IFERROR(IF(INDEX(Instructions!$V$86:$V$105,MATCH('Draft Slayer Classic'!AE7,Instructions!$S$86:$S$105,0))&lt;=$E$25,1,0),0)</f>
        <v>0</v>
      </c>
      <c r="AL7">
        <f>IFERROR(INDEX(ADP!$A$7:$A$260,MATCH(AE7,ADP!$D$7:$D$260,0)),999+AJ7)</f>
        <v>15</v>
      </c>
      <c r="AM7">
        <f t="shared" si="2"/>
        <v>51</v>
      </c>
      <c r="AN7">
        <f>IFERROR(INDEX(Instructions!$U$111:$U$222,MATCH(AE7,Instructions!$T$111:$T$222,0)),0)</f>
        <v>51</v>
      </c>
      <c r="AO7" s="197"/>
      <c r="AP7" s="187" t="str">
        <f>TEproj!D11</f>
        <v>Darren Waller</v>
      </c>
      <c r="AQ7" s="461" t="str">
        <f>TEproj!E11</f>
        <v>NYG</v>
      </c>
      <c r="AR7" s="184">
        <f>TEproj!F11</f>
        <v>173.71612000000005</v>
      </c>
      <c r="AS7" s="517">
        <f>IFERROR(IF(TEproj!H11="",TEproj!G11,TEproj!H11),0)</f>
        <v>4</v>
      </c>
      <c r="AT7" s="503">
        <f>INDEX(Draft!$BW:$BW,MATCH(AP7,Draft_Names_Master,0))</f>
        <v>0</v>
      </c>
      <c r="AU7">
        <v>5.0000000000000001E-3</v>
      </c>
      <c r="AV7">
        <f>IFERROR(IF(INDEX(Instructions!$X$86:$X$105,MATCH('Draft Slayer Classic'!AP7,Instructions!$T$86:$T$105,0))&lt;=$E$25,1,0),0)</f>
        <v>0</v>
      </c>
      <c r="AW7">
        <f>IFERROR(INDEX(ADP!$A$7:$A$260,MATCH(AP7,ADP!$D$7:$D$260,0)),999+AU7)</f>
        <v>75</v>
      </c>
      <c r="AX7">
        <f t="shared" si="3"/>
        <v>5.0000000000000001E-3</v>
      </c>
      <c r="AY7">
        <f>IFERROR(INDEX(Instructions!$U$111:$U$222,MATCH(AP7,Instructions!$T$111:$T$222,0)),0)</f>
        <v>0</v>
      </c>
      <c r="AZ7" s="197"/>
      <c r="BA7" s="513" t="str">
        <f>DEFproj!D11</f>
        <v>IND</v>
      </c>
      <c r="BB7" s="504">
        <f>INDEX(Draft!$BW:$BW,MATCH(BA7,Draft_Names_Master,0))</f>
        <v>0</v>
      </c>
      <c r="BC7">
        <v>5.0000000000000001E-3</v>
      </c>
      <c r="BD7">
        <f t="shared" si="4"/>
        <v>5.0000000000000001E-3</v>
      </c>
      <c r="BE7" s="197"/>
      <c r="BF7" s="187" t="str">
        <f>IF(Kproj!D11=0, "", Kproj!D11)</f>
        <v>Harrison Butker</v>
      </c>
      <c r="BG7" s="508" t="str">
        <f>INDEX(FFARawStatProjections!B:B,MATCH('Draft Slayer Classic'!BF7,FFARawStatProjections!A:A,0))</f>
        <v>KC</v>
      </c>
      <c r="BH7" s="504">
        <f>INDEX(Draft!$BW:$BW,MATCH(BF7,Draft_Names_Master,0))</f>
        <v>0</v>
      </c>
      <c r="BI7">
        <v>5.0000000000000001E-3</v>
      </c>
      <c r="BJ7">
        <f t="shared" si="5"/>
        <v>5.0000000000000001E-3</v>
      </c>
      <c r="BK7" s="203"/>
      <c r="BV7" t="str">
        <f>8&amp;4</f>
        <v>84</v>
      </c>
      <c r="BW7">
        <v>4</v>
      </c>
      <c r="BX7">
        <v>13</v>
      </c>
      <c r="BY7">
        <v>20</v>
      </c>
      <c r="BZ7">
        <v>29</v>
      </c>
      <c r="CA7">
        <v>36</v>
      </c>
      <c r="CB7">
        <v>45</v>
      </c>
      <c r="CC7">
        <v>52</v>
      </c>
      <c r="CD7">
        <v>61</v>
      </c>
      <c r="CE7">
        <v>68</v>
      </c>
      <c r="CF7">
        <v>77</v>
      </c>
      <c r="CG7">
        <v>84</v>
      </c>
      <c r="CH7">
        <v>93</v>
      </c>
      <c r="CI7">
        <v>100</v>
      </c>
      <c r="CJ7">
        <v>109</v>
      </c>
      <c r="CK7">
        <v>116</v>
      </c>
      <c r="CL7">
        <v>125</v>
      </c>
      <c r="CM7">
        <v>132</v>
      </c>
      <c r="CN7">
        <v>141</v>
      </c>
      <c r="CO7">
        <v>148</v>
      </c>
      <c r="CP7">
        <v>157</v>
      </c>
      <c r="CQ7">
        <v>164</v>
      </c>
      <c r="CR7">
        <v>173</v>
      </c>
      <c r="CS7">
        <v>180</v>
      </c>
      <c r="CT7">
        <v>189</v>
      </c>
      <c r="CU7">
        <v>196</v>
      </c>
      <c r="CW7">
        <f>IF(AND(CX7&lt;&gt;0,COUNTIF(CW$4:CW6, "QB") = 0), "QB", 0)</f>
        <v>0</v>
      </c>
      <c r="CX7">
        <f>IFERROR(IF(INDEX(Q:Q,MATCH(Instructions!F67,I:I,0))=1, 0, Instructions!F67), Instructions!F67)</f>
        <v>0</v>
      </c>
      <c r="CY7">
        <f>IF(AND(CZ7&lt;&gt;0,COUNTIF(CY$4:CY6, "RB") = 0), "RB", IF(CY6="RB", 1, 0))</f>
        <v>0</v>
      </c>
      <c r="CZ7">
        <f>IFERROR(IF(INDEX(AB:AB,MATCH(Instructions!K67,T:T,0))=1, 0, Instructions!K67), Instructions!K67)</f>
        <v>0</v>
      </c>
      <c r="DA7">
        <f>IF(AND(DB7&lt;&gt;0,COUNTIF(DA$4:DA6, "WR") = 0), "WR", IF(DA6="WR", 1, 0))</f>
        <v>0</v>
      </c>
      <c r="DB7">
        <f>IFERROR(IF(INDEX(AM:AM,MATCH(Instructions!F89,AE:AE,0))=1, 0, Instructions!F89), Instructions!F89)</f>
        <v>0</v>
      </c>
      <c r="DC7">
        <f>IF(AND(DD7&lt;&gt;0,COUNTIF(DC$4:DC6, "TE") = 0), "TE", 0)</f>
        <v>0</v>
      </c>
      <c r="DD7">
        <f>IFERROR(IF(VLOOKUP(Instructions!K89,AP:AX,6,FALSE)=1, 0, Instructions!K89), Instructions!K89)</f>
        <v>0</v>
      </c>
      <c r="DE7">
        <v>5</v>
      </c>
      <c r="DF7" t="str">
        <f>IF(IFERROR(MATCH(FFARawStatProjections!A8,Draft!BY:BY,0),1)&lt;=1,IF(FFARawStatProjections!A8=0,"",FFARawStatProjections!A8),"")</f>
        <v>Justin Herbert</v>
      </c>
      <c r="DK7" s="430"/>
      <c r="DL7" s="430"/>
      <c r="DM7" s="430"/>
      <c r="DN7" s="430"/>
      <c r="DP7" s="430"/>
      <c r="DQ7" s="430"/>
      <c r="DR7" s="430"/>
    </row>
    <row r="8" spans="1:122" x14ac:dyDescent="0.25">
      <c r="A8" s="196"/>
      <c r="B8" s="653"/>
      <c r="C8" s="665"/>
      <c r="D8" s="665"/>
      <c r="E8" s="655"/>
      <c r="F8" s="205"/>
      <c r="G8" s="205"/>
      <c r="H8" s="197"/>
      <c r="I8" s="182" t="str">
        <f>IF(QBproj!D12=0,"",QBproj!D12)</f>
        <v>Justin Fields</v>
      </c>
      <c r="J8" s="290" t="str">
        <f>QBproj!E12</f>
        <v>CHI</v>
      </c>
      <c r="K8" s="183">
        <f>QBproj!F12</f>
        <v>334.33805999999998</v>
      </c>
      <c r="L8" s="517">
        <f>IFERROR(IF(QBproj!H12="",QBproj!G12,QBproj!H12),0)</f>
        <v>5</v>
      </c>
      <c r="M8" s="504">
        <f>INDEX(Draft!$BW:$BW,MATCH(I8,Draft_Names_Master,0))</f>
        <v>0</v>
      </c>
      <c r="N8">
        <v>6.0000000000000001E-3</v>
      </c>
      <c r="O8">
        <f>IFERROR(IF(INDEX(Instructions!$V$64:$V$83,MATCH('Draft Slayer Classic'!I8,Instructions!$S$64:$S$83,0))&lt;=$E$25,1,0),0)</f>
        <v>0</v>
      </c>
      <c r="P8">
        <f>IFERROR(INDEX(ADP!$A$7:$A$260,MATCH(I8,ADP!$D$7:$D$260,0)),999+N8)</f>
        <v>49</v>
      </c>
      <c r="Q8">
        <f t="shared" si="0"/>
        <v>6.0000000000000001E-3</v>
      </c>
      <c r="R8">
        <f>IFERROR(INDEX(Instructions!$U$111:$U$222,MATCH(I8,Instructions!$T$111:$T$222,0)),0)</f>
        <v>0</v>
      </c>
      <c r="S8" s="197"/>
      <c r="T8" s="182" t="str">
        <f>RBproj!D12</f>
        <v>Josh Jacobs</v>
      </c>
      <c r="U8" s="290" t="str">
        <f>RBproj!E12</f>
        <v>LV</v>
      </c>
      <c r="V8" s="183">
        <f>RBproj!F12</f>
        <v>255.56120000000001</v>
      </c>
      <c r="W8" s="517">
        <f>IFERROR(IF(RBproj!H12="",RBproj!G12,RBproj!H12),0)</f>
        <v>3</v>
      </c>
      <c r="X8" s="504">
        <f>INDEX(Draft!$BW:$BW,MATCH(T8,Draft_Names_Master,0))</f>
        <v>0</v>
      </c>
      <c r="Y8">
        <v>6.0000000000000001E-3</v>
      </c>
      <c r="Z8">
        <f>IFERROR(IF(INDEX(Instructions!$X$64:$X$83,MATCH('Draft Slayer Classic'!T8,Instructions!$T$64:$T$83,0))&lt;=$E$25,1,0),0)</f>
        <v>0</v>
      </c>
      <c r="AA8">
        <f>IFERROR(INDEX(ADP!$A$7:$A$260,MATCH(T8,ADP!$D$7:$D$260,0)),999+Y8)</f>
        <v>20</v>
      </c>
      <c r="AB8">
        <f t="shared" si="1"/>
        <v>6.0000000000000001E-3</v>
      </c>
      <c r="AC8">
        <f>IFERROR(INDEX(Instructions!$U$111:$U$222,MATCH(T8,Instructions!$T$111:$T$222,0)),0)</f>
        <v>0</v>
      </c>
      <c r="AD8" s="197"/>
      <c r="AE8" s="182" t="str">
        <f>WRproj!D12</f>
        <v>Stefon Diggs</v>
      </c>
      <c r="AF8" s="290" t="str">
        <f>WRproj!E12</f>
        <v>BUF</v>
      </c>
      <c r="AG8" s="183">
        <f>WRproj!F12</f>
        <v>275.30321000000004</v>
      </c>
      <c r="AH8" s="517">
        <f>IFERROR(IF(WRproj!H12="",WRproj!G12,WRproj!H12),0)</f>
        <v>3</v>
      </c>
      <c r="AI8" s="503">
        <f>INDEX(Draft!$BW:$BW,MATCH(AE8,Draft_Names_Master,0))</f>
        <v>0</v>
      </c>
      <c r="AJ8">
        <v>6.0000000000000001E-3</v>
      </c>
      <c r="AK8">
        <f>IFERROR(IF(INDEX(Instructions!$V$86:$V$105,MATCH('Draft Slayer Classic'!AE8,Instructions!$S$86:$S$105,0))&lt;=$E$25,1,0),0)</f>
        <v>0</v>
      </c>
      <c r="AL8">
        <f>IFERROR(INDEX(ADP!$A$7:$A$260,MATCH(AE8,ADP!$D$7:$D$260,0)),999+AJ8)</f>
        <v>11</v>
      </c>
      <c r="AM8">
        <f t="shared" si="2"/>
        <v>52</v>
      </c>
      <c r="AN8">
        <f>IFERROR(INDEX(Instructions!$U$111:$U$222,MATCH(AE8,Instructions!$T$111:$T$222,0)),0)</f>
        <v>52</v>
      </c>
      <c r="AO8" s="197"/>
      <c r="AP8" s="182" t="str">
        <f>TEproj!D12</f>
        <v>Kyle Pitts</v>
      </c>
      <c r="AQ8" s="290" t="str">
        <f>TEproj!E12</f>
        <v>ATL</v>
      </c>
      <c r="AR8" s="183">
        <f>TEproj!F12</f>
        <v>162.61615</v>
      </c>
      <c r="AS8" s="517">
        <f>IFERROR(IF(TEproj!H12="",TEproj!G12,TEproj!H12),0)</f>
        <v>5</v>
      </c>
      <c r="AT8" s="504">
        <f>INDEX(Draft!$BW:$BW,MATCH(AP8,Draft_Names_Master,0))</f>
        <v>0</v>
      </c>
      <c r="AU8">
        <v>6.0000000000000001E-3</v>
      </c>
      <c r="AV8">
        <f>IFERROR(IF(INDEX(Instructions!$X$86:$X$105,MATCH('Draft Slayer Classic'!AP8,Instructions!$T$86:$T$105,0))&lt;=$E$25,1,0),0)</f>
        <v>0</v>
      </c>
      <c r="AW8">
        <f>IFERROR(INDEX(ADP!$A$7:$A$260,MATCH(AP8,ADP!$D$7:$D$260,0)),999+AU8)</f>
        <v>78</v>
      </c>
      <c r="AX8">
        <f t="shared" si="3"/>
        <v>6.0000000000000001E-3</v>
      </c>
      <c r="AY8">
        <f>IFERROR(INDEX(Instructions!$U$111:$U$222,MATCH(AP8,Instructions!$T$111:$T$222,0)),0)</f>
        <v>0</v>
      </c>
      <c r="AZ8" s="197"/>
      <c r="BA8" s="512" t="str">
        <f>DEFproj!D12</f>
        <v>CLE</v>
      </c>
      <c r="BB8" s="503">
        <f>INDEX(Draft!$BW:$BW,MATCH(BA8,Draft_Names_Master,0))</f>
        <v>0</v>
      </c>
      <c r="BC8">
        <v>6.0000000000000001E-3</v>
      </c>
      <c r="BD8">
        <f t="shared" si="4"/>
        <v>6.0000000000000001E-3</v>
      </c>
      <c r="BE8" s="197"/>
      <c r="BF8" s="182" t="str">
        <f>IF(Kproj!D12=0, "", Kproj!D12)</f>
        <v>Evan McPherson</v>
      </c>
      <c r="BG8" s="507" t="str">
        <f>INDEX(FFARawStatProjections!B:B,MATCH('Draft Slayer Classic'!BF8,FFARawStatProjections!A:A,0))</f>
        <v>CIN</v>
      </c>
      <c r="BH8" s="503">
        <f>INDEX(Draft!$BW:$BW,MATCH(BF8,Draft_Names_Master,0))</f>
        <v>0</v>
      </c>
      <c r="BI8">
        <v>6.0000000000000001E-3</v>
      </c>
      <c r="BJ8">
        <f t="shared" si="5"/>
        <v>6.0000000000000001E-3</v>
      </c>
      <c r="BK8" s="203"/>
      <c r="BV8" t="str">
        <f>8&amp;5</f>
        <v>85</v>
      </c>
      <c r="BW8">
        <v>5</v>
      </c>
      <c r="BX8">
        <v>12</v>
      </c>
      <c r="BY8">
        <v>21</v>
      </c>
      <c r="BZ8">
        <v>28</v>
      </c>
      <c r="CA8">
        <v>37</v>
      </c>
      <c r="CB8">
        <v>44</v>
      </c>
      <c r="CC8">
        <v>53</v>
      </c>
      <c r="CD8">
        <v>60</v>
      </c>
      <c r="CE8">
        <v>69</v>
      </c>
      <c r="CF8">
        <v>76</v>
      </c>
      <c r="CG8">
        <v>85</v>
      </c>
      <c r="CH8">
        <v>92</v>
      </c>
      <c r="CI8">
        <v>101</v>
      </c>
      <c r="CJ8">
        <v>108</v>
      </c>
      <c r="CK8">
        <v>117</v>
      </c>
      <c r="CL8">
        <v>124</v>
      </c>
      <c r="CM8">
        <v>133</v>
      </c>
      <c r="CN8">
        <v>140</v>
      </c>
      <c r="CO8">
        <v>149</v>
      </c>
      <c r="CP8">
        <v>156</v>
      </c>
      <c r="CQ8">
        <v>165</v>
      </c>
      <c r="CR8">
        <v>172</v>
      </c>
      <c r="CS8">
        <v>181</v>
      </c>
      <c r="CT8">
        <v>188</v>
      </c>
      <c r="CU8">
        <v>197</v>
      </c>
      <c r="CW8">
        <f>IF(AND(CX8&lt;&gt;0,COUNTIF(CW$4:CW7, "QB") = 0), "QB", 0)</f>
        <v>0</v>
      </c>
      <c r="CX8">
        <f>IFERROR(IF(INDEX(Q:Q,MATCH(Instructions!F68,I:I,0))=1, 0, Instructions!F68), Instructions!F68)</f>
        <v>0</v>
      </c>
      <c r="CY8">
        <f>IF(AND(CZ8&lt;&gt;0,COUNTIF(CY$4:CY7, "RB") = 0), "RB", IF(CY7="RB", 1, 0))</f>
        <v>0</v>
      </c>
      <c r="CZ8">
        <f>IFERROR(IF(INDEX(AB:AB,MATCH(Instructions!K68,T:T,0))=1, 0, Instructions!K68), Instructions!K68)</f>
        <v>0</v>
      </c>
      <c r="DA8">
        <f>IF(AND(DB8&lt;&gt;0,COUNTIF(DA$4:DA7, "WR") = 0), "WR", IF(DA7="WR", 1, 0))</f>
        <v>0</v>
      </c>
      <c r="DB8">
        <f>IFERROR(IF(INDEX(AM:AM,MATCH(Instructions!F90,AE:AE,0))=1, 0, Instructions!F90), Instructions!F90)</f>
        <v>0</v>
      </c>
      <c r="DC8">
        <f>IF(AND(DD8&lt;&gt;0,COUNTIF(DC$4:DC7, "TE") = 0), "TE", 0)</f>
        <v>0</v>
      </c>
      <c r="DD8">
        <f>IFERROR(IF(VLOOKUP(Instructions!K90,AP:AX,6,FALSE)=1, 0, Instructions!K90), Instructions!K90)</f>
        <v>0</v>
      </c>
      <c r="DE8">
        <v>6</v>
      </c>
      <c r="DF8" t="str">
        <f>IF(IFERROR(MATCH(FFARawStatProjections!A9,Draft!BY:BY,0),1)&lt;=1,IF(FFARawStatProjections!A9=0,"",FFARawStatProjections!A9),"")</f>
        <v>Deshaun Watson</v>
      </c>
      <c r="DK8" s="430"/>
      <c r="DL8" s="430"/>
      <c r="DM8" s="430"/>
      <c r="DN8" s="430"/>
      <c r="DP8" s="430"/>
      <c r="DQ8" s="430"/>
      <c r="DR8" s="430"/>
    </row>
    <row r="9" spans="1:122" x14ac:dyDescent="0.25">
      <c r="A9" s="196"/>
      <c r="B9" s="646" t="s">
        <v>7</v>
      </c>
      <c r="C9" s="666" t="str">
        <f>INDEX(AP3:AP85,MATCH(SMALL(AX3:AX85,1),AX3:AX85,0))</f>
        <v>Travis Kelce</v>
      </c>
      <c r="D9" s="666"/>
      <c r="E9" s="648">
        <f>IFERROR(INDEX(Draft!AY6:AY20,MATCH(C9,Draft!AR6:AR20,0)), 0)</f>
        <v>1.4078121874999994</v>
      </c>
      <c r="F9" s="205"/>
      <c r="G9" s="205">
        <f>IF($E$23&gt;=11,0,IF(COUNTIF($B$29:$B$38, "TE")&gt;=Instructions!E21,1,0))</f>
        <v>0</v>
      </c>
      <c r="H9" s="197"/>
      <c r="I9" s="180" t="str">
        <f>IF(QBproj!D13=0,"",QBproj!D13)</f>
        <v>Justin Herbert</v>
      </c>
      <c r="J9" s="461" t="str">
        <f>QBproj!E13</f>
        <v>LAC</v>
      </c>
      <c r="K9" s="184">
        <f>QBproj!F13</f>
        <v>325.50606999999997</v>
      </c>
      <c r="L9" s="517">
        <f>IFERROR(IF(QBproj!H13="",QBproj!G13,QBproj!H13),0)</f>
        <v>5</v>
      </c>
      <c r="M9" s="503">
        <f>INDEX(Draft!$BW:$BW,MATCH(I9,Draft_Names_Master,0))</f>
        <v>0</v>
      </c>
      <c r="N9">
        <v>7.0000000000000001E-3</v>
      </c>
      <c r="O9">
        <f>IFERROR(IF(INDEX(Instructions!$V$64:$V$83,MATCH('Draft Slayer Classic'!I9,Instructions!$S$64:$S$83,0))&lt;=$E$25,1,0),0)</f>
        <v>0</v>
      </c>
      <c r="P9">
        <f>IFERROR(INDEX(ADP!$A$7:$A$260,MATCH(I9,ADP!$D$7:$D$260,0)),999+N9)</f>
        <v>46</v>
      </c>
      <c r="Q9">
        <f t="shared" si="0"/>
        <v>7.0000000000000001E-3</v>
      </c>
      <c r="R9">
        <f>IFERROR(INDEX(Instructions!$U$111:$U$222,MATCH(I9,Instructions!$T$111:$T$222,0)),0)</f>
        <v>0</v>
      </c>
      <c r="S9" s="197"/>
      <c r="T9" s="187" t="str">
        <f>RBproj!D13</f>
        <v>Tony Pollard</v>
      </c>
      <c r="U9" s="461" t="str">
        <f>RBproj!E13</f>
        <v>DAL</v>
      </c>
      <c r="V9" s="184">
        <f>RBproj!F13</f>
        <v>254.98119000000003</v>
      </c>
      <c r="W9" s="517">
        <f>IFERROR(IF(RBproj!H13="",RBproj!G13,RBproj!H13),0)</f>
        <v>3</v>
      </c>
      <c r="X9" s="504">
        <f>INDEX(Draft!$BW:$BW,MATCH(T9,Draft_Names_Master,0))</f>
        <v>0</v>
      </c>
      <c r="Y9">
        <v>7.0000000000000001E-3</v>
      </c>
      <c r="Z9">
        <f>IFERROR(IF(INDEX(Instructions!$X$64:$X$83,MATCH('Draft Slayer Classic'!T9,Instructions!$T$64:$T$83,0))&lt;=$E$25,1,0),0)</f>
        <v>0</v>
      </c>
      <c r="AA9">
        <f>IFERROR(INDEX(ADP!$A$7:$A$260,MATCH(T9,ADP!$D$7:$D$260,0)),999+Y9)</f>
        <v>14</v>
      </c>
      <c r="AB9">
        <f t="shared" si="1"/>
        <v>57</v>
      </c>
      <c r="AC9">
        <f>IFERROR(INDEX(Instructions!$U$111:$U$222,MATCH(T9,Instructions!$T$111:$T$222,0)),0)</f>
        <v>57</v>
      </c>
      <c r="AD9" s="197"/>
      <c r="AE9" s="187" t="str">
        <f>WRproj!D13</f>
        <v>Davante Adams</v>
      </c>
      <c r="AF9" s="461" t="str">
        <f>WRproj!E13</f>
        <v>LV</v>
      </c>
      <c r="AG9" s="184">
        <f>WRproj!F13</f>
        <v>271.40320000000003</v>
      </c>
      <c r="AH9" s="517">
        <f>IFERROR(IF(WRproj!H13="",WRproj!G13,WRproj!H13),0)</f>
        <v>3</v>
      </c>
      <c r="AI9" s="503">
        <f>INDEX(Draft!$BW:$BW,MATCH(AE9,Draft_Names_Master,0))</f>
        <v>0</v>
      </c>
      <c r="AJ9">
        <v>7.0000000000000001E-3</v>
      </c>
      <c r="AK9">
        <f>IFERROR(IF(INDEX(Instructions!$V$86:$V$105,MATCH('Draft Slayer Classic'!AE9,Instructions!$S$86:$S$105,0))&lt;=$E$25,1,0),0)</f>
        <v>0</v>
      </c>
      <c r="AL9">
        <f>IFERROR(INDEX(ADP!$A$7:$A$260,MATCH(AE9,ADP!$D$7:$D$260,0)),999+AJ9)</f>
        <v>16</v>
      </c>
      <c r="AM9">
        <f t="shared" si="2"/>
        <v>7.0000000000000001E-3</v>
      </c>
      <c r="AN9">
        <f>IFERROR(INDEX(Instructions!$U$111:$U$222,MATCH(AE9,Instructions!$T$111:$T$222,0)),0)</f>
        <v>0</v>
      </c>
      <c r="AO9" s="197"/>
      <c r="AP9" s="187" t="str">
        <f>TEproj!D13</f>
        <v>Dallas Goedert</v>
      </c>
      <c r="AQ9" s="461" t="str">
        <f>TEproj!E13</f>
        <v>PHI</v>
      </c>
      <c r="AR9" s="184">
        <f>TEproj!F13</f>
        <v>162.51613999999998</v>
      </c>
      <c r="AS9" s="517">
        <f>IFERROR(IF(TEproj!H13="",TEproj!G13,TEproj!H13),0)</f>
        <v>5</v>
      </c>
      <c r="AT9" s="503">
        <f>INDEX(Draft!$BW:$BW,MATCH(AP9,Draft_Names_Master,0))</f>
        <v>0</v>
      </c>
      <c r="AU9">
        <v>7.0000000000000001E-3</v>
      </c>
      <c r="AV9">
        <f>IFERROR(IF(INDEX(Instructions!$X$86:$X$105,MATCH('Draft Slayer Classic'!AP9,Instructions!$T$86:$T$105,0))&lt;=$E$25,1,0),0)</f>
        <v>0</v>
      </c>
      <c r="AW9">
        <f>IFERROR(INDEX(ADP!$A$7:$A$260,MATCH(AP9,ADP!$D$7:$D$260,0)),999+AU9)</f>
        <v>85</v>
      </c>
      <c r="AX9">
        <f t="shared" si="3"/>
        <v>7.0000000000000001E-3</v>
      </c>
      <c r="AY9">
        <f>IFERROR(INDEX(Instructions!$U$111:$U$222,MATCH(AP9,Instructions!$T$111:$T$222,0)),0)</f>
        <v>0</v>
      </c>
      <c r="AZ9" s="197"/>
      <c r="BA9" s="513" t="str">
        <f>DEFproj!D13</f>
        <v>KC</v>
      </c>
      <c r="BB9" s="504">
        <f>INDEX(Draft!$BW:$BW,MATCH(BA9,Draft_Names_Master,0))</f>
        <v>0</v>
      </c>
      <c r="BC9">
        <v>7.0000000000000001E-3</v>
      </c>
      <c r="BD9">
        <f t="shared" si="4"/>
        <v>7.0000000000000001E-3</v>
      </c>
      <c r="BE9" s="197"/>
      <c r="BF9" s="187" t="str">
        <f>IF(Kproj!D13=0, "", Kproj!D13)</f>
        <v>Tyler Bass</v>
      </c>
      <c r="BG9" s="508" t="str">
        <f>INDEX(FFARawStatProjections!B:B,MATCH('Draft Slayer Classic'!BF9,FFARawStatProjections!A:A,0))</f>
        <v>BUF</v>
      </c>
      <c r="BH9" s="504">
        <f>INDEX(Draft!$BW:$BW,MATCH(BF9,Draft_Names_Master,0))</f>
        <v>0</v>
      </c>
      <c r="BI9">
        <v>7.0000000000000001E-3</v>
      </c>
      <c r="BJ9">
        <f t="shared" si="5"/>
        <v>7.0000000000000001E-3</v>
      </c>
      <c r="BK9" s="203"/>
      <c r="BV9" t="str">
        <f>8&amp;6</f>
        <v>86</v>
      </c>
      <c r="BW9">
        <v>6</v>
      </c>
      <c r="BX9">
        <v>11</v>
      </c>
      <c r="BY9">
        <v>22</v>
      </c>
      <c r="BZ9">
        <v>27</v>
      </c>
      <c r="CA9">
        <v>38</v>
      </c>
      <c r="CB9">
        <v>43</v>
      </c>
      <c r="CC9">
        <v>54</v>
      </c>
      <c r="CD9">
        <v>59</v>
      </c>
      <c r="CE9">
        <v>70</v>
      </c>
      <c r="CF9">
        <v>75</v>
      </c>
      <c r="CG9">
        <v>86</v>
      </c>
      <c r="CH9">
        <v>91</v>
      </c>
      <c r="CI9">
        <v>102</v>
      </c>
      <c r="CJ9">
        <v>107</v>
      </c>
      <c r="CK9">
        <v>118</v>
      </c>
      <c r="CL9">
        <v>123</v>
      </c>
      <c r="CM9">
        <v>134</v>
      </c>
      <c r="CN9">
        <v>139</v>
      </c>
      <c r="CO9">
        <v>150</v>
      </c>
      <c r="CP9">
        <v>155</v>
      </c>
      <c r="CQ9">
        <v>166</v>
      </c>
      <c r="CR9">
        <v>171</v>
      </c>
      <c r="CS9">
        <v>182</v>
      </c>
      <c r="CT9">
        <v>187</v>
      </c>
      <c r="CU9">
        <v>198</v>
      </c>
      <c r="CW9">
        <f>IF(AND(CX9&lt;&gt;0,COUNTIF(CW$4:CW8, "QB") = 0), "QB", 0)</f>
        <v>0</v>
      </c>
      <c r="CX9">
        <f>IFERROR(IF(INDEX(Q:Q,MATCH(Instructions!F69,I:I,0))=1, 0, Instructions!F69), Instructions!F69)</f>
        <v>0</v>
      </c>
      <c r="CY9">
        <f>IF(AND(CZ9&lt;&gt;0,COUNTIF(CY$4:CY8, "RB") = 0), "RB", IF(CY8="RB", 1, 0))</f>
        <v>0</v>
      </c>
      <c r="CZ9">
        <f>IFERROR(IF(INDEX(AB:AB,MATCH(Instructions!K69,T:T,0))=1, 0, Instructions!K69), Instructions!K69)</f>
        <v>0</v>
      </c>
      <c r="DA9">
        <f>IF(AND(DB9&lt;&gt;0,COUNTIF(DA$4:DA8, "WR") = 0), "WR", IF(DA8="WR", 1, 0))</f>
        <v>0</v>
      </c>
      <c r="DB9">
        <f>IFERROR(IF(INDEX(AM:AM,MATCH(Instructions!F91,AE:AE,0))=1, 0, Instructions!F91), Instructions!F91)</f>
        <v>0</v>
      </c>
      <c r="DC9">
        <f>IF(AND(DD9&lt;&gt;0,COUNTIF(DC$4:DC8, "TE") = 0), "TE", 0)</f>
        <v>0</v>
      </c>
      <c r="DD9">
        <f>IFERROR(IF(VLOOKUP(Instructions!K91,AP:AX,6,FALSE)=1, 0, Instructions!K91), Instructions!K91)</f>
        <v>0</v>
      </c>
      <c r="DE9">
        <v>7</v>
      </c>
      <c r="DF9" t="str">
        <f>IF(IFERROR(MATCH(FFARawStatProjections!A10,Draft!BY:BY,0),1)&lt;=1,IF(FFARawStatProjections!A10=0,"",FFARawStatProjections!A10),"")</f>
        <v>Dak Prescott</v>
      </c>
      <c r="DK9" s="430"/>
      <c r="DL9" s="430"/>
      <c r="DM9" s="430"/>
      <c r="DN9" s="430"/>
      <c r="DP9" s="430"/>
      <c r="DQ9" s="430"/>
      <c r="DR9" s="430"/>
    </row>
    <row r="10" spans="1:122" ht="15.75" thickBot="1" x14ac:dyDescent="0.3">
      <c r="A10" s="196"/>
      <c r="B10" s="647"/>
      <c r="C10" s="667"/>
      <c r="D10" s="667"/>
      <c r="E10" s="649"/>
      <c r="F10" s="206"/>
      <c r="G10" s="206"/>
      <c r="H10" s="197"/>
      <c r="I10" s="182" t="str">
        <f>IF(QBproj!D14=0,"",QBproj!D14)</f>
        <v>Deshaun Watson</v>
      </c>
      <c r="J10" s="290" t="str">
        <f>QBproj!E14</f>
        <v>CLE</v>
      </c>
      <c r="K10" s="183">
        <f>QBproj!F14</f>
        <v>315.00008000000003</v>
      </c>
      <c r="L10" s="517">
        <f>IFERROR(IF(QBproj!H14="",QBproj!G14,QBproj!H14),0)</f>
        <v>6</v>
      </c>
      <c r="M10" s="504">
        <f>INDEX(Draft!$BW:$BW,MATCH(I10,Draft_Names_Master,0))</f>
        <v>0</v>
      </c>
      <c r="N10">
        <v>8.0000000000000002E-3</v>
      </c>
      <c r="O10">
        <f>IFERROR(IF(INDEX(Instructions!$V$64:$V$83,MATCH('Draft Slayer Classic'!I10,Instructions!$S$64:$S$83,0))&lt;=$E$25,1,0),0)</f>
        <v>0</v>
      </c>
      <c r="P10">
        <f>IFERROR(INDEX(ADP!$A$7:$A$260,MATCH(I10,ADP!$D$7:$D$260,0)),999+N10)</f>
        <v>72</v>
      </c>
      <c r="Q10">
        <f t="shared" si="0"/>
        <v>8.0000000000000002E-3</v>
      </c>
      <c r="R10">
        <f>IFERROR(INDEX(Instructions!$U$111:$U$222,MATCH(I10,Instructions!$T$111:$T$222,0)),0)</f>
        <v>0</v>
      </c>
      <c r="S10" s="197"/>
      <c r="T10" s="182" t="str">
        <f>RBproj!D14</f>
        <v>Saquon Barkley</v>
      </c>
      <c r="U10" s="290" t="str">
        <f>RBproj!E14</f>
        <v>NYG</v>
      </c>
      <c r="V10" s="183">
        <f>RBproj!F14</f>
        <v>250.26118</v>
      </c>
      <c r="W10" s="517">
        <f>IFERROR(IF(RBproj!H14="",RBproj!G14,RBproj!H14),0)</f>
        <v>3</v>
      </c>
      <c r="X10" s="504">
        <f>INDEX(Draft!$BW:$BW,MATCH(T10,Draft_Names_Master,0))</f>
        <v>0</v>
      </c>
      <c r="Y10">
        <v>8.0000000000000002E-3</v>
      </c>
      <c r="Z10">
        <f>IFERROR(IF(INDEX(Instructions!$X$64:$X$83,MATCH('Draft Slayer Classic'!T10,Instructions!$T$64:$T$83,0))&lt;=$E$25,1,0),0)</f>
        <v>0</v>
      </c>
      <c r="AA10">
        <f>IFERROR(INDEX(ADP!$A$7:$A$260,MATCH(T10,ADP!$D$7:$D$260,0)),999+Y10)</f>
        <v>10</v>
      </c>
      <c r="AB10">
        <f t="shared" si="1"/>
        <v>8.0000000000000002E-3</v>
      </c>
      <c r="AC10">
        <f>IFERROR(INDEX(Instructions!$U$111:$U$222,MATCH(T10,Instructions!$T$111:$T$222,0)),0)</f>
        <v>0</v>
      </c>
      <c r="AD10" s="197"/>
      <c r="AE10" s="182" t="str">
        <f>WRproj!D14</f>
        <v>Amon-Ra St Brown</v>
      </c>
      <c r="AF10" s="290" t="str">
        <f>WRproj!E14</f>
        <v>DET</v>
      </c>
      <c r="AG10" s="183">
        <f>WRproj!F14</f>
        <v>259.51322999999996</v>
      </c>
      <c r="AH10" s="517">
        <f>IFERROR(IF(WRproj!H14="",WRproj!G14,WRproj!H14),0)</f>
        <v>4</v>
      </c>
      <c r="AI10" s="503">
        <f>INDEX(Draft!$BW:$BW,MATCH(AE10,Draft_Names_Master,0))</f>
        <v>0</v>
      </c>
      <c r="AJ10">
        <v>8.0000000000000002E-3</v>
      </c>
      <c r="AK10">
        <f>IFERROR(IF(INDEX(Instructions!$V$86:$V$105,MATCH('Draft Slayer Classic'!AE10,Instructions!$S$86:$S$105,0))&lt;=$E$25,1,0),0)</f>
        <v>0</v>
      </c>
      <c r="AL10">
        <f>IFERROR(INDEX(ADP!$A$7:$A$260,MATCH(AE10,ADP!$D$7:$D$260,0)),999+AJ10)</f>
        <v>17</v>
      </c>
      <c r="AM10">
        <f t="shared" si="2"/>
        <v>8.0000000000000002E-3</v>
      </c>
      <c r="AN10">
        <f>IFERROR(INDEX(Instructions!$U$111:$U$222,MATCH(AE10,Instructions!$T$111:$T$222,0)),0)</f>
        <v>0</v>
      </c>
      <c r="AO10" s="197"/>
      <c r="AP10" s="182" t="str">
        <f>TEproj!D14</f>
        <v>Evan Engram</v>
      </c>
      <c r="AQ10" s="290" t="str">
        <f>TEproj!E14</f>
        <v>JAC</v>
      </c>
      <c r="AR10" s="183">
        <f>TEproj!F14</f>
        <v>149.53617</v>
      </c>
      <c r="AS10" s="517">
        <f>IFERROR(IF(TEproj!H14="",TEproj!G14,TEproj!H14),0)</f>
        <v>6</v>
      </c>
      <c r="AT10" s="504">
        <f>INDEX(Draft!$BW:$BW,MATCH(AP10,Draft_Names_Master,0))</f>
        <v>0</v>
      </c>
      <c r="AU10">
        <v>8.0000000000000002E-3</v>
      </c>
      <c r="AV10">
        <f>IFERROR(IF(INDEX(Instructions!$X$86:$X$105,MATCH('Draft Slayer Classic'!AP10,Instructions!$T$86:$T$105,0))&lt;=$E$25,1,0),0)</f>
        <v>0</v>
      </c>
      <c r="AW10">
        <f>IFERROR(INDEX(ADP!$A$7:$A$260,MATCH(AP10,ADP!$D$7:$D$260,0)),999+AU10)</f>
        <v>112</v>
      </c>
      <c r="AX10">
        <f t="shared" si="3"/>
        <v>8.0000000000000002E-3</v>
      </c>
      <c r="AY10">
        <f>IFERROR(INDEX(Instructions!$U$111:$U$222,MATCH(AP10,Instructions!$T$111:$T$222,0)),0)</f>
        <v>0</v>
      </c>
      <c r="AZ10" s="197"/>
      <c r="BA10" s="512" t="str">
        <f>DEFproj!D14</f>
        <v>SF</v>
      </c>
      <c r="BB10" s="503">
        <f>INDEX(Draft!$BW:$BW,MATCH(BA10,Draft_Names_Master,0))</f>
        <v>0</v>
      </c>
      <c r="BC10">
        <v>8.0000000000000002E-3</v>
      </c>
      <c r="BD10">
        <f t="shared" si="4"/>
        <v>8.0000000000000002E-3</v>
      </c>
      <c r="BE10" s="197"/>
      <c r="BF10" s="182" t="str">
        <f>IF(Kproj!D14=0, "", Kproj!D14)</f>
        <v>Daniel Carlson</v>
      </c>
      <c r="BG10" s="507" t="str">
        <f>INDEX(FFARawStatProjections!B:B,MATCH('Draft Slayer Classic'!BF10,FFARawStatProjections!A:A,0))</f>
        <v>LV</v>
      </c>
      <c r="BH10" s="503">
        <f>INDEX(Draft!$BW:$BW,MATCH(BF10,Draft_Names_Master,0))</f>
        <v>0</v>
      </c>
      <c r="BI10">
        <v>8.0000000000000002E-3</v>
      </c>
      <c r="BJ10">
        <f t="shared" si="5"/>
        <v>8.0000000000000002E-3</v>
      </c>
      <c r="BK10" s="203"/>
      <c r="BV10" t="str">
        <f>8&amp;7</f>
        <v>87</v>
      </c>
      <c r="BW10">
        <v>7</v>
      </c>
      <c r="BX10">
        <v>10</v>
      </c>
      <c r="BY10">
        <v>23</v>
      </c>
      <c r="BZ10">
        <v>26</v>
      </c>
      <c r="CA10">
        <v>39</v>
      </c>
      <c r="CB10">
        <v>42</v>
      </c>
      <c r="CC10">
        <v>55</v>
      </c>
      <c r="CD10">
        <v>58</v>
      </c>
      <c r="CE10">
        <v>71</v>
      </c>
      <c r="CF10">
        <v>74</v>
      </c>
      <c r="CG10">
        <v>87</v>
      </c>
      <c r="CH10">
        <v>90</v>
      </c>
      <c r="CI10">
        <v>103</v>
      </c>
      <c r="CJ10">
        <v>106</v>
      </c>
      <c r="CK10">
        <v>119</v>
      </c>
      <c r="CL10">
        <v>122</v>
      </c>
      <c r="CM10">
        <v>135</v>
      </c>
      <c r="CN10">
        <v>138</v>
      </c>
      <c r="CO10">
        <v>151</v>
      </c>
      <c r="CP10">
        <v>154</v>
      </c>
      <c r="CQ10">
        <v>167</v>
      </c>
      <c r="CR10">
        <v>170</v>
      </c>
      <c r="CS10">
        <v>183</v>
      </c>
      <c r="CT10">
        <v>186</v>
      </c>
      <c r="CU10">
        <v>199</v>
      </c>
      <c r="CW10">
        <f>IF(AND(CX10&lt;&gt;0,COUNTIF(CW$4:CW9, "QB") = 0), "QB", 0)</f>
        <v>0</v>
      </c>
      <c r="CX10">
        <f>IFERROR(IF(INDEX(Q:Q,MATCH(Instructions!F70,I:I,0))=1, 0, Instructions!F70), Instructions!F70)</f>
        <v>0</v>
      </c>
      <c r="CY10">
        <f>IF(AND(CZ10&lt;&gt;0,COUNTIF(CY$4:CY9, "RB") = 0), "RB", IF(CY9="RB", 1, 0))</f>
        <v>0</v>
      </c>
      <c r="CZ10">
        <f>IFERROR(IF(INDEX(AB:AB,MATCH(Instructions!K70,T:T,0))=1, 0, Instructions!K70), Instructions!K70)</f>
        <v>0</v>
      </c>
      <c r="DA10">
        <f>IF(AND(DB10&lt;&gt;0,COUNTIF(DA$4:DA9, "WR") = 0), "WR", IF(DA9="WR", 1, 0))</f>
        <v>0</v>
      </c>
      <c r="DB10">
        <f>IFERROR(IF(INDEX(AM:AM,MATCH(Instructions!F92,AE:AE,0))=1, 0, Instructions!F92), Instructions!F92)</f>
        <v>0</v>
      </c>
      <c r="DC10">
        <f>IF(AND(DD10&lt;&gt;0,COUNTIF(DC$4:DC9, "TE") = 0), "TE", 0)</f>
        <v>0</v>
      </c>
      <c r="DD10">
        <f>IFERROR(IF(VLOOKUP(Instructions!K92,AP:AX,6,FALSE)=1, 0, Instructions!K92), Instructions!K92)</f>
        <v>0</v>
      </c>
      <c r="DE10">
        <v>8</v>
      </c>
      <c r="DF10" t="str">
        <f>IF(IFERROR(MATCH(FFARawStatProjections!A11,Draft!BY:BY,0),1)&lt;=1,IF(FFARawStatProjections!A11=0,"",FFARawStatProjections!A11),"")</f>
        <v>Trevor Lawrence</v>
      </c>
      <c r="DK10" s="430"/>
      <c r="DL10" s="430"/>
      <c r="DM10" s="430"/>
      <c r="DN10" s="430"/>
      <c r="DP10" s="430"/>
      <c r="DQ10" s="430"/>
      <c r="DR10" s="430"/>
    </row>
    <row r="11" spans="1:122" ht="15.75" thickBot="1" x14ac:dyDescent="0.3">
      <c r="A11" s="196"/>
      <c r="B11" s="197"/>
      <c r="C11" s="197"/>
      <c r="D11" s="197"/>
      <c r="E11" s="197"/>
      <c r="F11" s="207"/>
      <c r="G11" s="207"/>
      <c r="H11" s="197"/>
      <c r="I11" s="180" t="str">
        <f>IF(QBproj!D15=0,"",QBproj!D15)</f>
        <v>Trevor Lawrence</v>
      </c>
      <c r="J11" s="461" t="str">
        <f>QBproj!E15</f>
        <v>JAC</v>
      </c>
      <c r="K11" s="184">
        <f>QBproj!F15</f>
        <v>310.87009999999998</v>
      </c>
      <c r="L11" s="517">
        <f>IFERROR(IF(QBproj!H15="",QBproj!G15,QBproj!H15),0)</f>
        <v>6</v>
      </c>
      <c r="M11" s="503">
        <f>INDEX(Draft!$BW:$BW,MATCH(I11,Draft_Names_Master,0))</f>
        <v>0</v>
      </c>
      <c r="N11">
        <v>8.9999999999999993E-3</v>
      </c>
      <c r="O11">
        <f>IFERROR(IF(INDEX(Instructions!$V$64:$V$83,MATCH('Draft Slayer Classic'!I11,Instructions!$S$64:$S$83,0))&lt;=$E$25,1,0),0)</f>
        <v>0</v>
      </c>
      <c r="P11">
        <f>IFERROR(INDEX(ADP!$A$7:$A$260,MATCH(I11,ADP!$D$7:$D$260,0)),999+N11)</f>
        <v>57</v>
      </c>
      <c r="Q11">
        <f t="shared" si="0"/>
        <v>8.9999999999999993E-3</v>
      </c>
      <c r="R11">
        <f>IFERROR(INDEX(Instructions!$U$111:$U$222,MATCH(I11,Instructions!$T$111:$T$222,0)),0)</f>
        <v>0</v>
      </c>
      <c r="S11" s="197"/>
      <c r="T11" s="187" t="str">
        <f>RBproj!D15</f>
        <v>Jonathan Taylor</v>
      </c>
      <c r="U11" s="461" t="str">
        <f>RBproj!E15</f>
        <v>IND</v>
      </c>
      <c r="V11" s="184">
        <f>RBproj!F15</f>
        <v>241.02125000000001</v>
      </c>
      <c r="W11" s="517">
        <f>IFERROR(IF(RBproj!H15="",RBproj!G15,RBproj!H15),0)</f>
        <v>3</v>
      </c>
      <c r="X11" s="504">
        <f>INDEX(Draft!$BW:$BW,MATCH(T11,Draft_Names_Master,0))</f>
        <v>0</v>
      </c>
      <c r="Y11">
        <v>8.9999999999999993E-3</v>
      </c>
      <c r="Z11">
        <f>IFERROR(IF(INDEX(Instructions!$X$64:$X$83,MATCH('Draft Slayer Classic'!T11,Instructions!$T$64:$T$83,0))&lt;=$E$25,1,0),0)</f>
        <v>0</v>
      </c>
      <c r="AA11">
        <f>IFERROR(INDEX(ADP!$A$7:$A$260,MATCH(T11,ADP!$D$7:$D$260,0)),999+Y11)</f>
        <v>22</v>
      </c>
      <c r="AB11">
        <f t="shared" si="1"/>
        <v>8.9999999999999993E-3</v>
      </c>
      <c r="AC11">
        <f>IFERROR(INDEX(Instructions!$U$111:$U$222,MATCH(T11,Instructions!$T$111:$T$222,0)),0)</f>
        <v>0</v>
      </c>
      <c r="AD11" s="197"/>
      <c r="AE11" s="187" t="str">
        <f>WRproj!D15</f>
        <v>AJ Brown</v>
      </c>
      <c r="AF11" s="461" t="str">
        <f>WRproj!E15</f>
        <v>PHI</v>
      </c>
      <c r="AG11" s="184">
        <f>WRproj!F15</f>
        <v>247.48321999999999</v>
      </c>
      <c r="AH11" s="517">
        <f>IFERROR(IF(WRproj!H15="",WRproj!G15,WRproj!H15),0)</f>
        <v>4</v>
      </c>
      <c r="AI11" s="503">
        <f>INDEX(Draft!$BW:$BW,MATCH(AE11,Draft_Names_Master,0))</f>
        <v>0</v>
      </c>
      <c r="AJ11">
        <v>8.9999999999999993E-3</v>
      </c>
      <c r="AK11">
        <f>IFERROR(IF(INDEX(Instructions!$V$86:$V$105,MATCH('Draft Slayer Classic'!AE11,Instructions!$S$86:$S$105,0))&lt;=$E$25,1,0),0)</f>
        <v>0</v>
      </c>
      <c r="AL11">
        <f>IFERROR(INDEX(ADP!$A$7:$A$260,MATCH(AE11,ADP!$D$7:$D$260,0)),999+AJ11)</f>
        <v>13</v>
      </c>
      <c r="AM11">
        <f t="shared" si="2"/>
        <v>8.9999999999999993E-3</v>
      </c>
      <c r="AN11">
        <f>IFERROR(INDEX(Instructions!$U$111:$U$222,MATCH(AE11,Instructions!$T$111:$T$222,0)),0)</f>
        <v>0</v>
      </c>
      <c r="AO11" s="197"/>
      <c r="AP11" s="187" t="str">
        <f>TEproj!D15</f>
        <v>Patrick Freiermuth</v>
      </c>
      <c r="AQ11" s="461" t="str">
        <f>TEproj!E15</f>
        <v>PIT</v>
      </c>
      <c r="AR11" s="184">
        <f>TEproj!F15</f>
        <v>147.79615999999999</v>
      </c>
      <c r="AS11" s="517">
        <f>IFERROR(IF(TEproj!H15="",TEproj!G15,TEproj!H15),0)</f>
        <v>6</v>
      </c>
      <c r="AT11" s="503">
        <f>INDEX(Draft!$BW:$BW,MATCH(AP11,Draft_Names_Master,0))</f>
        <v>0</v>
      </c>
      <c r="AU11">
        <v>8.9999999999999993E-3</v>
      </c>
      <c r="AV11">
        <f>IFERROR(IF(INDEX(Instructions!$X$86:$X$105,MATCH('Draft Slayer Classic'!AP11,Instructions!$T$86:$T$105,0))&lt;=$E$25,1,0),0)</f>
        <v>0</v>
      </c>
      <c r="AW11">
        <f>IFERROR(INDEX(ADP!$A$7:$A$260,MATCH(AP11,ADP!$D$7:$D$260,0)),999+AU11)</f>
        <v>103</v>
      </c>
      <c r="AX11">
        <f t="shared" si="3"/>
        <v>8.9999999999999993E-3</v>
      </c>
      <c r="AY11">
        <f>IFERROR(INDEX(Instructions!$U$111:$U$222,MATCH(AP11,Instructions!$T$111:$T$222,0)),0)</f>
        <v>0</v>
      </c>
      <c r="AZ11" s="197"/>
      <c r="BA11" s="513" t="str">
        <f>DEFproj!D15</f>
        <v>WAS</v>
      </c>
      <c r="BB11" s="504">
        <f>INDEX(Draft!$BW:$BW,MATCH(BA11,Draft_Names_Master,0))</f>
        <v>0</v>
      </c>
      <c r="BC11">
        <v>8.9999999999999993E-3</v>
      </c>
      <c r="BD11">
        <f t="shared" si="4"/>
        <v>8.9999999999999993E-3</v>
      </c>
      <c r="BE11" s="197"/>
      <c r="BF11" s="187" t="str">
        <f>IF(Kproj!D15=0, "", Kproj!D15)</f>
        <v>Jake Elliott</v>
      </c>
      <c r="BG11" s="508" t="str">
        <f>INDEX(FFARawStatProjections!B:B,MATCH('Draft Slayer Classic'!BF11,FFARawStatProjections!A:A,0))</f>
        <v>PHI</v>
      </c>
      <c r="BH11" s="504">
        <f>INDEX(Draft!$BW:$BW,MATCH(BF11,Draft_Names_Master,0))</f>
        <v>0</v>
      </c>
      <c r="BI11">
        <v>8.9999999999999993E-3</v>
      </c>
      <c r="BJ11">
        <f t="shared" si="5"/>
        <v>8.9999999999999993E-3</v>
      </c>
      <c r="BK11" s="203"/>
      <c r="BV11" t="str">
        <f>8&amp;8</f>
        <v>88</v>
      </c>
      <c r="BW11">
        <v>8</v>
      </c>
      <c r="BX11">
        <v>9</v>
      </c>
      <c r="BY11">
        <v>24</v>
      </c>
      <c r="BZ11">
        <v>25</v>
      </c>
      <c r="CA11">
        <v>40</v>
      </c>
      <c r="CB11">
        <v>41</v>
      </c>
      <c r="CC11">
        <v>56</v>
      </c>
      <c r="CD11">
        <v>57</v>
      </c>
      <c r="CE11">
        <v>72</v>
      </c>
      <c r="CF11">
        <v>73</v>
      </c>
      <c r="CG11">
        <v>88</v>
      </c>
      <c r="CH11">
        <v>89</v>
      </c>
      <c r="CI11">
        <v>104</v>
      </c>
      <c r="CJ11">
        <v>105</v>
      </c>
      <c r="CK11">
        <v>120</v>
      </c>
      <c r="CL11">
        <v>121</v>
      </c>
      <c r="CM11">
        <v>136</v>
      </c>
      <c r="CN11">
        <v>137</v>
      </c>
      <c r="CO11">
        <v>152</v>
      </c>
      <c r="CP11">
        <v>153</v>
      </c>
      <c r="CQ11">
        <v>168</v>
      </c>
      <c r="CR11">
        <v>169</v>
      </c>
      <c r="CS11">
        <v>184</v>
      </c>
      <c r="CT11">
        <v>185</v>
      </c>
      <c r="CU11">
        <v>200</v>
      </c>
      <c r="CW11">
        <f>IF(AND(CX11&lt;&gt;0,COUNTIF(CW$4:CW10, "QB") = 0), "QB", 0)</f>
        <v>0</v>
      </c>
      <c r="CX11">
        <f>IFERROR(IF(INDEX(Q:Q,MATCH(Instructions!F71,I:I,0))=1, 0, Instructions!F71), Instructions!F71)</f>
        <v>0</v>
      </c>
      <c r="CY11">
        <f>IF(AND(CZ11&lt;&gt;0,COUNTIF(CY$4:CY10, "RB") = 0), "RB", IF(CY10="RB", 1, 0))</f>
        <v>0</v>
      </c>
      <c r="CZ11">
        <f>IFERROR(IF(INDEX(AB:AB,MATCH(Instructions!K71,T:T,0))=1, 0, Instructions!K71), Instructions!K71)</f>
        <v>0</v>
      </c>
      <c r="DA11">
        <f>IF(AND(DB11&lt;&gt;0,COUNTIF(DA$4:DA10, "WR") = 0), "WR", IF(DA10="WR", 1, 0))</f>
        <v>0</v>
      </c>
      <c r="DB11">
        <f>IFERROR(IF(INDEX(AM:AM,MATCH(Instructions!F93,AE:AE,0))=1, 0, Instructions!F93), Instructions!F93)</f>
        <v>0</v>
      </c>
      <c r="DC11">
        <f>IF(AND(DD11&lt;&gt;0,COUNTIF(DC$4:DC10, "TE") = 0), "TE", 0)</f>
        <v>0</v>
      </c>
      <c r="DD11">
        <f>IFERROR(IF(VLOOKUP(Instructions!K93,AP:AX,6,FALSE)=1, 0, Instructions!K93), Instructions!K93)</f>
        <v>0</v>
      </c>
      <c r="DE11">
        <v>9</v>
      </c>
      <c r="DF11" t="str">
        <f>IF(IFERROR(MATCH(FFARawStatProjections!A12,Draft!BY:BY,0),1)&lt;=1,IF(FFARawStatProjections!A12=0,"",FFARawStatProjections!A12),"")</f>
        <v>Kirk Cousins</v>
      </c>
      <c r="DK11" s="430"/>
      <c r="DL11" s="430"/>
      <c r="DM11" s="430"/>
      <c r="DN11" s="430"/>
      <c r="DP11" s="430"/>
      <c r="DQ11" s="430"/>
      <c r="DR11" s="430"/>
    </row>
    <row r="12" spans="1:122" ht="15" customHeight="1" thickBot="1" x14ac:dyDescent="0.3">
      <c r="A12" s="208"/>
      <c r="B12" s="668" t="s">
        <v>889</v>
      </c>
      <c r="C12" s="669"/>
      <c r="D12" s="669"/>
      <c r="E12" s="670"/>
      <c r="F12" s="209"/>
      <c r="G12" s="210"/>
      <c r="H12" s="211"/>
      <c r="I12" s="182" t="str">
        <f>IF(QBproj!D16=0,"",QBproj!D16)</f>
        <v>Dak Prescott</v>
      </c>
      <c r="J12" s="290" t="str">
        <f>QBproj!E16</f>
        <v>DAL</v>
      </c>
      <c r="K12" s="183">
        <f>QBproj!F16</f>
        <v>307.36408999999998</v>
      </c>
      <c r="L12" s="517">
        <f>IFERROR(IF(QBproj!H16="",QBproj!G16,QBproj!H16),0)</f>
        <v>6</v>
      </c>
      <c r="M12" s="504">
        <f>INDEX(Draft!$BW:$BW,MATCH(I12,Draft_Names_Master,0))</f>
        <v>0</v>
      </c>
      <c r="N12">
        <v>0.01</v>
      </c>
      <c r="O12">
        <f>IFERROR(IF(INDEX(Instructions!$V$64:$V$83,MATCH('Draft Slayer Classic'!I12,Instructions!$S$64:$S$83,0))&lt;=$E$25,1,0),0)</f>
        <v>0</v>
      </c>
      <c r="P12">
        <f>IFERROR(INDEX(ADP!$A$7:$A$260,MATCH(I12,ADP!$D$7:$D$260,0)),999+N12)</f>
        <v>81</v>
      </c>
      <c r="Q12">
        <f t="shared" si="0"/>
        <v>0.01</v>
      </c>
      <c r="R12">
        <f>IFERROR(INDEX(Instructions!$U$111:$U$222,MATCH(I12,Instructions!$T$111:$T$222,0)),0)</f>
        <v>0</v>
      </c>
      <c r="S12" s="212"/>
      <c r="T12" s="182" t="str">
        <f>RBproj!D16</f>
        <v>Joe Mixon</v>
      </c>
      <c r="U12" s="290" t="str">
        <f>RBproj!E16</f>
        <v>CIN</v>
      </c>
      <c r="V12" s="183">
        <f>RBproj!F16</f>
        <v>237.80124000000001</v>
      </c>
      <c r="W12" s="517">
        <f>IFERROR(IF(RBproj!H16="",RBproj!G16,RBproj!H16),0)</f>
        <v>4</v>
      </c>
      <c r="X12" s="504">
        <f>INDEX(Draft!$BW:$BW,MATCH(T12,Draft_Names_Master,0))</f>
        <v>0</v>
      </c>
      <c r="Y12">
        <v>0.01</v>
      </c>
      <c r="Z12">
        <f>IFERROR(IF(INDEX(Instructions!$X$64:$X$83,MATCH('Draft Slayer Classic'!T12,Instructions!$T$64:$T$83,0))&lt;=$E$25,1,0),0)</f>
        <v>0</v>
      </c>
      <c r="AA12">
        <f>IFERROR(INDEX(ADP!$A$7:$A$260,MATCH(T12,ADP!$D$7:$D$260,0)),999+Y12)</f>
        <v>33</v>
      </c>
      <c r="AB12">
        <f t="shared" si="1"/>
        <v>0.01</v>
      </c>
      <c r="AC12">
        <f>IFERROR(INDEX(Instructions!$U$111:$U$222,MATCH(T12,Instructions!$T$111:$T$222,0)),0)</f>
        <v>0</v>
      </c>
      <c r="AD12" s="212"/>
      <c r="AE12" s="182" t="str">
        <f>WRproj!D16</f>
        <v>Jaylen Waddle</v>
      </c>
      <c r="AF12" s="290" t="str">
        <f>WRproj!E16</f>
        <v>MIA</v>
      </c>
      <c r="AG12" s="183">
        <f>WRproj!F16</f>
        <v>238.75324000000003</v>
      </c>
      <c r="AH12" s="517">
        <f>IFERROR(IF(WRproj!H16="",WRproj!G16,WRproj!H16),0)</f>
        <v>5</v>
      </c>
      <c r="AI12" s="503">
        <f>INDEX(Draft!$BW:$BW,MATCH(AE12,Draft_Names_Master,0))</f>
        <v>0</v>
      </c>
      <c r="AJ12">
        <v>0.01</v>
      </c>
      <c r="AK12">
        <f>IFERROR(IF(INDEX(Instructions!$V$86:$V$105,MATCH('Draft Slayer Classic'!AE12,Instructions!$S$86:$S$105,0))&lt;=$E$25,1,0),0)</f>
        <v>0</v>
      </c>
      <c r="AL12">
        <f>IFERROR(INDEX(ADP!$A$7:$A$260,MATCH(AE12,ADP!$D$7:$D$260,0)),999+AJ12)</f>
        <v>21</v>
      </c>
      <c r="AM12">
        <f t="shared" si="2"/>
        <v>0.01</v>
      </c>
      <c r="AN12">
        <f>IFERROR(INDEX(Instructions!$U$111:$U$222,MATCH(AE12,Instructions!$T$111:$T$222,0)),0)</f>
        <v>0</v>
      </c>
      <c r="AO12" s="212"/>
      <c r="AP12" s="182" t="str">
        <f>TEproj!D16</f>
        <v>Dalton Schultz</v>
      </c>
      <c r="AQ12" s="290" t="str">
        <f>TEproj!E16</f>
        <v>HOU</v>
      </c>
      <c r="AR12" s="183">
        <f>TEproj!F16</f>
        <v>140.38621000000001</v>
      </c>
      <c r="AS12" s="517">
        <f>IFERROR(IF(TEproj!H16="",TEproj!G16,TEproj!H16),0)</f>
        <v>6</v>
      </c>
      <c r="AT12" s="504">
        <f>INDEX(Draft!$BW:$BW,MATCH(AP12,Draft_Names_Master,0))</f>
        <v>0</v>
      </c>
      <c r="AU12">
        <v>0.01</v>
      </c>
      <c r="AV12">
        <f>IFERROR(IF(INDEX(Instructions!$X$86:$X$105,MATCH('Draft Slayer Classic'!AP12,Instructions!$T$86:$T$105,0))&lt;=$E$25,1,0),0)</f>
        <v>0</v>
      </c>
      <c r="AW12">
        <f>IFERROR(INDEX(ADP!$A$7:$A$260,MATCH(AP12,ADP!$D$7:$D$260,0)),999+AU12)</f>
        <v>113</v>
      </c>
      <c r="AX12">
        <f t="shared" si="3"/>
        <v>0.01</v>
      </c>
      <c r="AY12">
        <f>IFERROR(INDEX(Instructions!$U$111:$U$222,MATCH(AP12,Instructions!$T$111:$T$222,0)),0)</f>
        <v>0</v>
      </c>
      <c r="AZ12" s="212"/>
      <c r="BA12" s="512" t="str">
        <f>DEFproj!D16</f>
        <v>MIA</v>
      </c>
      <c r="BB12" s="503">
        <f>INDEX(Draft!$BW:$BW,MATCH(BA12,Draft_Names_Master,0))</f>
        <v>0</v>
      </c>
      <c r="BC12">
        <v>0.01</v>
      </c>
      <c r="BD12">
        <f t="shared" si="4"/>
        <v>0.01</v>
      </c>
      <c r="BE12" s="212"/>
      <c r="BF12" s="182" t="str">
        <f>IF(Kproj!D16=0, "", Kproj!D16)</f>
        <v>Younghoe Koo</v>
      </c>
      <c r="BG12" s="507" t="str">
        <f>INDEX(FFARawStatProjections!B:B,MATCH('Draft Slayer Classic'!BF12,FFARawStatProjections!A:A,0))</f>
        <v>ATL</v>
      </c>
      <c r="BH12" s="503">
        <f>INDEX(Draft!$BW:$BW,MATCH(BF12,Draft_Names_Master,0))</f>
        <v>0</v>
      </c>
      <c r="BI12">
        <v>0.01</v>
      </c>
      <c r="BJ12">
        <f t="shared" si="5"/>
        <v>0.01</v>
      </c>
      <c r="BK12" s="213"/>
      <c r="CW12">
        <f>IF(AND(CX12&lt;&gt;0,COUNTIF(CW$4:CW11, "QB") = 0), "QB", 0)</f>
        <v>0</v>
      </c>
      <c r="CX12">
        <f>IFERROR(IF(INDEX(Q:Q,MATCH(Instructions!F72,I:I,0))=1, 0, Instructions!F72), Instructions!F72)</f>
        <v>0</v>
      </c>
      <c r="CY12">
        <f>IF(AND(CZ12&lt;&gt;0,COUNTIF(CY$4:CY11, "RB") = 0), "RB", IF(CY11="RB", 1, 0))</f>
        <v>0</v>
      </c>
      <c r="CZ12">
        <f>IFERROR(IF(INDEX(AB:AB,MATCH(Instructions!K72,T:T,0))=1, 0, Instructions!K72), Instructions!K72)</f>
        <v>0</v>
      </c>
      <c r="DA12">
        <f>IF(AND(DB12&lt;&gt;0,COUNTIF(DA$4:DA11, "WR") = 0), "WR", IF(DA11="WR", 1, 0))</f>
        <v>0</v>
      </c>
      <c r="DB12">
        <f>IFERROR(IF(INDEX(AM:AM,MATCH(Instructions!F94,AE:AE,0))=1, 0, Instructions!F94), Instructions!F94)</f>
        <v>0</v>
      </c>
      <c r="DC12">
        <f>IF(AND(DD12&lt;&gt;0,COUNTIF(DC$4:DC11, "TE") = 0), "TE", 0)</f>
        <v>0</v>
      </c>
      <c r="DD12">
        <f>IFERROR(IF(VLOOKUP(Instructions!K94,AP:AX,6,FALSE)=1, 0, Instructions!K94), Instructions!K94)</f>
        <v>0</v>
      </c>
      <c r="DE12">
        <v>10</v>
      </c>
      <c r="DF12" t="str">
        <f>IF(IFERROR(MATCH(FFARawStatProjections!A13,Draft!BY:BY,0),1)&lt;=1,IF(FFARawStatProjections!A13=0,"",FFARawStatProjections!A13),"")</f>
        <v>Daniel Jones</v>
      </c>
      <c r="DK12" s="430"/>
      <c r="DL12" s="430"/>
      <c r="DM12" s="430"/>
      <c r="DN12" s="430"/>
      <c r="DP12" s="430"/>
      <c r="DQ12" s="430"/>
      <c r="DR12" s="430"/>
    </row>
    <row r="13" spans="1:122" x14ac:dyDescent="0.25">
      <c r="A13" s="196"/>
      <c r="B13" s="146" t="s">
        <v>1</v>
      </c>
      <c r="C13" s="147" t="str">
        <f>IFERROR(IF(INDEX(CX:CX,MATCH("QB",CW:CW,0))=0, "", INDEX(CX:CX,MATCH("QB",CW:CW,0))),"")</f>
        <v/>
      </c>
      <c r="D13" s="147" t="str">
        <f>IFERROR(IF(C13="", "", VLOOKUP(VLOOKUP(C13, ADP!D:N, 18, FALSE), 'Draft Pick Order'!C:Q, VLOOKUP(Instructions!E$11, Instructions!S$10:U$13, 3, FALSE))),"")</f>
        <v/>
      </c>
      <c r="E13" s="148" t="str">
        <f>IFERROR(IF(C13="", "", VLOOKUP(C13, ADP!D:N, 18, FALSE)-$E$25), "")</f>
        <v/>
      </c>
      <c r="F13" s="214" t="str">
        <f>IFERROR(IF(INDEX(Instructions!G64:G83,MATCH(C13,Instructions!F64:F83,0))=0,"", (INDEX(Instructions!G64:G83,MATCH(C13,Instructions!F64:F83,0)))), "")</f>
        <v/>
      </c>
      <c r="G13" s="215">
        <f>IFERROR(IF(AND(E13-VLOOKUP($E$25,'Draft Pick Order'!C:Q,(VLOOKUP(Instructions!E$11, Instructions!S:U, 3, FALSE)+$E$22),FALSE)&lt;=0, $E$22=$E$24), 1, 0), 0)</f>
        <v>0</v>
      </c>
      <c r="H13" s="197"/>
      <c r="I13" s="180" t="str">
        <f>IF(QBproj!D17=0,"",QBproj!D17)</f>
        <v>Kirk Cousins</v>
      </c>
      <c r="J13" s="461" t="str">
        <f>QBproj!E17</f>
        <v>MIN</v>
      </c>
      <c r="K13" s="184">
        <f>QBproj!F17</f>
        <v>305.62211000000002</v>
      </c>
      <c r="L13" s="517">
        <f>IFERROR(IF(QBproj!H17="",QBproj!G17,QBproj!H17),0)</f>
        <v>6</v>
      </c>
      <c r="M13" s="503">
        <f>INDEX(Draft!$BW:$BW,MATCH(I13,Draft_Names_Master,0))</f>
        <v>0</v>
      </c>
      <c r="N13">
        <v>1.0999999999999999E-2</v>
      </c>
      <c r="O13">
        <f>IFERROR(IF(INDEX(Instructions!$V$64:$V$83,MATCH('Draft Slayer Classic'!I13,Instructions!$S$64:$S$83,0))&lt;=$E$25,1,0),0)</f>
        <v>0</v>
      </c>
      <c r="P13">
        <f>IFERROR(INDEX(ADP!$A$7:$A$260,MATCH(I13,ADP!$D$7:$D$260,0)),999+N13)</f>
        <v>92</v>
      </c>
      <c r="Q13">
        <f t="shared" si="0"/>
        <v>1.0999999999999999E-2</v>
      </c>
      <c r="R13">
        <f>IFERROR(INDEX(Instructions!$U$111:$U$222,MATCH(I13,Instructions!$T$111:$T$222,0)),0)</f>
        <v>0</v>
      </c>
      <c r="S13" s="197"/>
      <c r="T13" s="187" t="str">
        <f>RBproj!D17</f>
        <v>Aaron Jones</v>
      </c>
      <c r="U13" s="461" t="str">
        <f>RBproj!E17</f>
        <v>GB</v>
      </c>
      <c r="V13" s="184">
        <f>RBproj!F17</f>
        <v>235.81126</v>
      </c>
      <c r="W13" s="517">
        <f>IFERROR(IF(RBproj!H17="",RBproj!G17,RBproj!H17),0)</f>
        <v>4</v>
      </c>
      <c r="X13" s="504">
        <f>INDEX(Draft!$BW:$BW,MATCH(T13,Draft_Names_Master,0))</f>
        <v>0</v>
      </c>
      <c r="Y13">
        <v>1.0999999999999999E-2</v>
      </c>
      <c r="Z13">
        <f>IFERROR(IF(INDEX(Instructions!$X$64:$X$83,MATCH('Draft Slayer Classic'!T13,Instructions!$T$64:$T$83,0))&lt;=$E$25,1,0),0)</f>
        <v>0</v>
      </c>
      <c r="AA13">
        <f>IFERROR(INDEX(ADP!$A$7:$A$260,MATCH(T13,ADP!$D$7:$D$260,0)),999+Y13)</f>
        <v>38</v>
      </c>
      <c r="AB13">
        <f t="shared" si="1"/>
        <v>1.0999999999999999E-2</v>
      </c>
      <c r="AC13">
        <f>IFERROR(INDEX(Instructions!$U$111:$U$222,MATCH(T13,Instructions!$T$111:$T$222,0)),0)</f>
        <v>0</v>
      </c>
      <c r="AD13" s="197"/>
      <c r="AE13" s="187" t="str">
        <f>WRproj!D17</f>
        <v>Garrett Wilson</v>
      </c>
      <c r="AF13" s="461" t="str">
        <f>WRproj!E17</f>
        <v>NYJ</v>
      </c>
      <c r="AG13" s="184">
        <f>WRproj!F17</f>
        <v>235.79325</v>
      </c>
      <c r="AH13" s="517">
        <f>IFERROR(IF(WRproj!H17="",WRproj!G17,WRproj!H17),0)</f>
        <v>5</v>
      </c>
      <c r="AI13" s="503">
        <f>INDEX(Draft!$BW:$BW,MATCH(AE13,Draft_Names_Master,0))</f>
        <v>0</v>
      </c>
      <c r="AJ13">
        <v>1.0999999999999999E-2</v>
      </c>
      <c r="AK13">
        <f>IFERROR(IF(INDEX(Instructions!$V$86:$V$105,MATCH('Draft Slayer Classic'!AE13,Instructions!$S$86:$S$105,0))&lt;=$E$25,1,0),0)</f>
        <v>0</v>
      </c>
      <c r="AL13">
        <f>IFERROR(INDEX(ADP!$A$7:$A$260,MATCH(AE13,ADP!$D$7:$D$260,0)),999+AJ13)</f>
        <v>19</v>
      </c>
      <c r="AM13">
        <f t="shared" si="2"/>
        <v>113</v>
      </c>
      <c r="AN13">
        <f>IFERROR(INDEX(Instructions!$U$111:$U$222,MATCH(AE13,Instructions!$T$111:$T$222,0)),0)</f>
        <v>113</v>
      </c>
      <c r="AO13" s="197"/>
      <c r="AP13" s="187" t="str">
        <f>TEproj!D17</f>
        <v>David Njoku</v>
      </c>
      <c r="AQ13" s="461" t="str">
        <f>TEproj!E17</f>
        <v>CLE</v>
      </c>
      <c r="AR13" s="184">
        <f>TEproj!F17</f>
        <v>138.67620000000002</v>
      </c>
      <c r="AS13" s="517">
        <f>IFERROR(IF(TEproj!H17="",TEproj!G17,TEproj!H17),0)</f>
        <v>6</v>
      </c>
      <c r="AT13" s="503">
        <f>INDEX(Draft!$BW:$BW,MATCH(AP13,Draft_Names_Master,0))</f>
        <v>0</v>
      </c>
      <c r="AU13">
        <v>1.0999999999999999E-2</v>
      </c>
      <c r="AV13">
        <f>IFERROR(IF(INDEX(Instructions!$X$86:$X$105,MATCH('Draft Slayer Classic'!AP13,Instructions!$T$86:$T$105,0))&lt;=$E$25,1,0),0)</f>
        <v>0</v>
      </c>
      <c r="AW13">
        <f>IFERROR(INDEX(ADP!$A$7:$A$260,MATCH(AP13,ADP!$D$7:$D$260,0)),999+AU13)</f>
        <v>119</v>
      </c>
      <c r="AX13">
        <f t="shared" si="3"/>
        <v>1.0999999999999999E-2</v>
      </c>
      <c r="AY13">
        <f>IFERROR(INDEX(Instructions!$U$111:$U$222,MATCH(AP13,Instructions!$T$111:$T$222,0)),0)</f>
        <v>0</v>
      </c>
      <c r="AZ13" s="197"/>
      <c r="BA13" s="513" t="str">
        <f>DEFproj!D17</f>
        <v>NO</v>
      </c>
      <c r="BB13" s="504">
        <f>INDEX(Draft!$BW:$BW,MATCH(BA13,Draft_Names_Master,0))</f>
        <v>0</v>
      </c>
      <c r="BC13">
        <v>1.0999999999999999E-2</v>
      </c>
      <c r="BD13">
        <f t="shared" si="4"/>
        <v>1.0999999999999999E-2</v>
      </c>
      <c r="BE13" s="197"/>
      <c r="BF13" s="187" t="str">
        <f>IF(Kproj!D17=0, "", Kproj!D17)</f>
        <v>Graham Gano</v>
      </c>
      <c r="BG13" s="508" t="str">
        <f>INDEX(FFARawStatProjections!B:B,MATCH('Draft Slayer Classic'!BF13,FFARawStatProjections!A:A,0))</f>
        <v>NYG</v>
      </c>
      <c r="BH13" s="504">
        <f>INDEX(Draft!$BW:$BW,MATCH(BF13,Draft_Names_Master,0))</f>
        <v>0</v>
      </c>
      <c r="BI13">
        <v>1.0999999999999999E-2</v>
      </c>
      <c r="BJ13">
        <f t="shared" si="5"/>
        <v>1.0999999999999999E-2</v>
      </c>
      <c r="BK13" s="203"/>
      <c r="BV13" t="str">
        <f>10&amp;1</f>
        <v>101</v>
      </c>
      <c r="BW13">
        <v>1</v>
      </c>
      <c r="BX13">
        <v>20</v>
      </c>
      <c r="BY13">
        <v>21</v>
      </c>
      <c r="BZ13">
        <v>40</v>
      </c>
      <c r="CA13">
        <v>41</v>
      </c>
      <c r="CB13">
        <v>60</v>
      </c>
      <c r="CC13">
        <v>61</v>
      </c>
      <c r="CD13">
        <v>80</v>
      </c>
      <c r="CE13">
        <v>81</v>
      </c>
      <c r="CF13">
        <v>100</v>
      </c>
      <c r="CG13">
        <v>101</v>
      </c>
      <c r="CH13">
        <v>120</v>
      </c>
      <c r="CI13">
        <v>121</v>
      </c>
      <c r="CJ13">
        <v>140</v>
      </c>
      <c r="CK13">
        <v>141</v>
      </c>
      <c r="CL13">
        <v>160</v>
      </c>
      <c r="CM13">
        <v>161</v>
      </c>
      <c r="CN13">
        <v>180</v>
      </c>
      <c r="CO13">
        <v>181</v>
      </c>
      <c r="CP13">
        <v>200</v>
      </c>
      <c r="CQ13">
        <v>201</v>
      </c>
      <c r="CR13">
        <v>220</v>
      </c>
      <c r="CS13">
        <v>221</v>
      </c>
      <c r="CT13">
        <v>240</v>
      </c>
      <c r="CU13">
        <v>241</v>
      </c>
      <c r="CW13">
        <f>IF(AND(CX13&lt;&gt;0,COUNTIF(CW$4:CW12, "QB") = 0), "QB", 0)</f>
        <v>0</v>
      </c>
      <c r="CX13">
        <f>IFERROR(IF(INDEX(Q:Q,MATCH(Instructions!F73,I:I,0))=1, 0, Instructions!F73), Instructions!F73)</f>
        <v>0</v>
      </c>
      <c r="CY13">
        <f>IF(AND(CZ13&lt;&gt;0,COUNTIF(CY$4:CY12, "RB") = 0), "RB", IF(CY12="RB", 1, 0))</f>
        <v>0</v>
      </c>
      <c r="CZ13">
        <f>IFERROR(IF(INDEX(AB:AB,MATCH(Instructions!K73,T:T,0))=1, 0, Instructions!K73), Instructions!K73)</f>
        <v>0</v>
      </c>
      <c r="DA13">
        <f>IF(AND(DB13&lt;&gt;0,COUNTIF(DA$4:DA12, "WR") = 0), "WR", IF(DA12="WR", 1, 0))</f>
        <v>0</v>
      </c>
      <c r="DB13">
        <f>IFERROR(IF(INDEX(AM:AM,MATCH(Instructions!F95,AE:AE,0))=1, 0, Instructions!F95), Instructions!F95)</f>
        <v>0</v>
      </c>
      <c r="DC13">
        <f>IF(AND(DD13&lt;&gt;0,COUNTIF(DC$4:DC12, "TE") = 0), "TE", 0)</f>
        <v>0</v>
      </c>
      <c r="DD13">
        <f>IFERROR(IF(VLOOKUP(Instructions!K95,AP:AX,6,FALSE)=1, 0, Instructions!K95), Instructions!K95)</f>
        <v>0</v>
      </c>
      <c r="DE13">
        <v>11</v>
      </c>
      <c r="DF13" t="str">
        <f>IF(IFERROR(MATCH(FFARawStatProjections!A14,Draft!BY:BY,0),1)&lt;=1,IF(FFARawStatProjections!A14=0,"",FFARawStatProjections!A14),"")</f>
        <v>Geno Smith</v>
      </c>
      <c r="DK13" s="430"/>
      <c r="DL13" s="430"/>
      <c r="DM13" s="430"/>
      <c r="DN13" s="430"/>
    </row>
    <row r="14" spans="1:122" x14ac:dyDescent="0.25">
      <c r="A14" s="196"/>
      <c r="B14" s="149" t="s">
        <v>3</v>
      </c>
      <c r="C14" s="150" t="str">
        <f>IFERROR(IF(INDEX(CZ:CZ,MATCH("RB",CY:CY,0))=0,"",INDEX(CZ:CZ,MATCH("RB",CY:CY,0))),"")</f>
        <v/>
      </c>
      <c r="D14" s="150" t="str">
        <f>IFERROR(IF(C14="", "", VLOOKUP(VLOOKUP(C14, ADP!D:N, 18, FALSE), 'Draft Pick Order'!C:Q, VLOOKUP(Instructions!E$11, Instructions!S$10:U$13, 3, FALSE))),"")</f>
        <v/>
      </c>
      <c r="E14" s="151" t="str">
        <f>IFERROR(IF(C14="", "", VLOOKUP(C14, ADP!D:N, 18, FALSE)-$E$25), "")</f>
        <v/>
      </c>
      <c r="F14" s="214" t="str">
        <f>IFERROR(IF(VLOOKUP(C14, Instructions!K64:L83, 2, FALSE)=0, "", (VLOOKUP(C14, Instructions!K64:L83, 2, FALSE))),"")</f>
        <v/>
      </c>
      <c r="G14" s="215">
        <f>IFERROR(IF(AND(E14-VLOOKUP($E$25,'Draft Pick Order'!C:Q,(VLOOKUP(Instructions!E$11, Instructions!S:U, 3, FALSE)+$E$22),FALSE)&lt;=0, $E$22=$E$24), 1, 0), 0)</f>
        <v>0</v>
      </c>
      <c r="H14" s="197"/>
      <c r="I14" s="182" t="str">
        <f>IF(QBproj!D18=0,"",QBproj!D18)</f>
        <v>Daniel Jones</v>
      </c>
      <c r="J14" s="290" t="str">
        <f>QBproj!E18</f>
        <v>NYG</v>
      </c>
      <c r="K14" s="183">
        <f>QBproj!F18</f>
        <v>305.10611999999998</v>
      </c>
      <c r="L14" s="517">
        <f>IFERROR(IF(QBproj!H18="",QBproj!G18,QBproj!H18),0)</f>
        <v>7</v>
      </c>
      <c r="M14" s="504">
        <f>INDEX(Draft!$BW:$BW,MATCH(I14,Draft_Names_Master,0))</f>
        <v>0</v>
      </c>
      <c r="N14">
        <v>1.2E-2</v>
      </c>
      <c r="O14">
        <f>IFERROR(IF(INDEX(Instructions!$V$64:$V$83,MATCH('Draft Slayer Classic'!I14,Instructions!$S$64:$S$83,0))&lt;=$E$25,1,0),0)</f>
        <v>0</v>
      </c>
      <c r="P14">
        <f>IFERROR(INDEX(ADP!$A$7:$A$260,MATCH(I14,ADP!$D$7:$D$260,0)),999+N14)</f>
        <v>97</v>
      </c>
      <c r="Q14">
        <f t="shared" si="0"/>
        <v>1.2E-2</v>
      </c>
      <c r="R14">
        <f>IFERROR(INDEX(Instructions!$U$111:$U$222,MATCH(I14,Instructions!$T$111:$T$222,0)),0)</f>
        <v>0</v>
      </c>
      <c r="S14" s="197"/>
      <c r="T14" s="182" t="str">
        <f>RBproj!D18</f>
        <v>Najee Harris</v>
      </c>
      <c r="U14" s="290" t="str">
        <f>RBproj!E18</f>
        <v>PIT</v>
      </c>
      <c r="V14" s="183">
        <f>RBproj!F18</f>
        <v>223.17127000000002</v>
      </c>
      <c r="W14" s="517">
        <f>IFERROR(IF(RBproj!H18="",RBproj!G18,RBproj!H18),0)</f>
        <v>5</v>
      </c>
      <c r="X14" s="504">
        <f>INDEX(Draft!$BW:$BW,MATCH(T14,Draft_Names_Master,0))</f>
        <v>0</v>
      </c>
      <c r="Y14">
        <v>1.2E-2</v>
      </c>
      <c r="Z14">
        <f>IFERROR(IF(INDEX(Instructions!$X$64:$X$83,MATCH('Draft Slayer Classic'!T14,Instructions!$T$64:$T$83,0))&lt;=$E$25,1,0),0)</f>
        <v>0</v>
      </c>
      <c r="AA14">
        <f>IFERROR(INDEX(ADP!$A$7:$A$260,MATCH(T14,ADP!$D$7:$D$260,0)),999+Y14)</f>
        <v>27</v>
      </c>
      <c r="AB14">
        <f t="shared" si="1"/>
        <v>1.2E-2</v>
      </c>
      <c r="AC14">
        <f>IFERROR(INDEX(Instructions!$U$111:$U$222,MATCH(T14,Instructions!$T$111:$T$222,0)),0)</f>
        <v>0</v>
      </c>
      <c r="AD14" s="197"/>
      <c r="AE14" s="182" t="str">
        <f>WRproj!D18</f>
        <v>Chris Olave</v>
      </c>
      <c r="AF14" s="290" t="str">
        <f>WRproj!E18</f>
        <v>NO</v>
      </c>
      <c r="AG14" s="183">
        <f>WRproj!F18</f>
        <v>230.21327999999997</v>
      </c>
      <c r="AH14" s="517">
        <f>IFERROR(IF(WRproj!H18="",WRproj!G18,WRproj!H18),0)</f>
        <v>5</v>
      </c>
      <c r="AI14" s="503">
        <f>INDEX(Draft!$BW:$BW,MATCH(AE14,Draft_Names_Master,0))</f>
        <v>0</v>
      </c>
      <c r="AJ14">
        <v>1.2E-2</v>
      </c>
      <c r="AK14">
        <f>IFERROR(IF(INDEX(Instructions!$V$86:$V$105,MATCH('Draft Slayer Classic'!AE14,Instructions!$S$86:$S$105,0))&lt;=$E$25,1,0),0)</f>
        <v>0</v>
      </c>
      <c r="AL14">
        <f>IFERROR(INDEX(ADP!$A$7:$A$260,MATCH(AE14,ADP!$D$7:$D$260,0)),999+AJ14)</f>
        <v>23</v>
      </c>
      <c r="AM14">
        <f t="shared" si="2"/>
        <v>79</v>
      </c>
      <c r="AN14">
        <f>IFERROR(INDEX(Instructions!$U$111:$U$222,MATCH(AE14,Instructions!$T$111:$T$222,0)),0)</f>
        <v>79</v>
      </c>
      <c r="AO14" s="197"/>
      <c r="AP14" s="182" t="str">
        <f>TEproj!D18</f>
        <v>Tyler Higbee</v>
      </c>
      <c r="AQ14" s="290" t="str">
        <f>TEproj!E18</f>
        <v>LAR</v>
      </c>
      <c r="AR14" s="183">
        <f>TEproj!F18</f>
        <v>136.38618</v>
      </c>
      <c r="AS14" s="517">
        <f>IFERROR(IF(TEproj!H18="",TEproj!G18,TEproj!H18),0)</f>
        <v>7</v>
      </c>
      <c r="AT14" s="504">
        <f>INDEX(Draft!$BW:$BW,MATCH(AP14,Draft_Names_Master,0))</f>
        <v>0</v>
      </c>
      <c r="AU14">
        <v>1.2E-2</v>
      </c>
      <c r="AV14">
        <f>IFERROR(IF(INDEX(Instructions!$X$86:$X$105,MATCH('Draft Slayer Classic'!AP14,Instructions!$T$86:$T$105,0))&lt;=$E$25,1,0),0)</f>
        <v>0</v>
      </c>
      <c r="AW14">
        <f>IFERROR(INDEX(ADP!$A$7:$A$260,MATCH(AP14,ADP!$D$7:$D$260,0)),999+AU14)</f>
        <v>169</v>
      </c>
      <c r="AX14">
        <f t="shared" si="3"/>
        <v>1.2E-2</v>
      </c>
      <c r="AY14">
        <f>IFERROR(INDEX(Instructions!$U$111:$U$222,MATCH(AP14,Instructions!$T$111:$T$222,0)),0)</f>
        <v>0</v>
      </c>
      <c r="AZ14" s="197"/>
      <c r="BA14" s="512" t="str">
        <f>DEFproj!D18</f>
        <v>BUF</v>
      </c>
      <c r="BB14" s="503">
        <f>INDEX(Draft!$BW:$BW,MATCH(BA14,Draft_Names_Master,0))</f>
        <v>0</v>
      </c>
      <c r="BC14">
        <v>1.2E-2</v>
      </c>
      <c r="BD14">
        <f t="shared" si="4"/>
        <v>1.2E-2</v>
      </c>
      <c r="BE14" s="197"/>
      <c r="BF14" s="182" t="str">
        <f>IF(Kproj!D18=0, "", Kproj!D18)</f>
        <v>Riley Patterson</v>
      </c>
      <c r="BG14" s="507" t="str">
        <f>INDEX(FFARawStatProjections!B:B,MATCH('Draft Slayer Classic'!BF14,FFARawStatProjections!A:A,0))</f>
        <v>DET</v>
      </c>
      <c r="BH14" s="503">
        <f>INDEX(Draft!$BW:$BW,MATCH(BF14,Draft_Names_Master,0))</f>
        <v>0</v>
      </c>
      <c r="BI14">
        <v>1.2E-2</v>
      </c>
      <c r="BJ14">
        <f t="shared" si="5"/>
        <v>1.2E-2</v>
      </c>
      <c r="BK14" s="203"/>
      <c r="BV14" t="str">
        <f>10&amp;2</f>
        <v>102</v>
      </c>
      <c r="BW14">
        <v>2</v>
      </c>
      <c r="BX14">
        <v>19</v>
      </c>
      <c r="BY14">
        <v>22</v>
      </c>
      <c r="BZ14">
        <v>39</v>
      </c>
      <c r="CA14">
        <v>42</v>
      </c>
      <c r="CB14">
        <v>59</v>
      </c>
      <c r="CC14">
        <v>62</v>
      </c>
      <c r="CD14">
        <v>79</v>
      </c>
      <c r="CE14">
        <v>82</v>
      </c>
      <c r="CF14">
        <v>99</v>
      </c>
      <c r="CG14">
        <v>102</v>
      </c>
      <c r="CH14">
        <v>119</v>
      </c>
      <c r="CI14">
        <v>122</v>
      </c>
      <c r="CJ14">
        <v>139</v>
      </c>
      <c r="CK14">
        <v>142</v>
      </c>
      <c r="CL14">
        <v>159</v>
      </c>
      <c r="CM14">
        <v>162</v>
      </c>
      <c r="CN14">
        <v>179</v>
      </c>
      <c r="CO14">
        <v>182</v>
      </c>
      <c r="CP14">
        <v>199</v>
      </c>
      <c r="CQ14">
        <v>202</v>
      </c>
      <c r="CR14">
        <v>219</v>
      </c>
      <c r="CS14">
        <v>222</v>
      </c>
      <c r="CT14">
        <v>239</v>
      </c>
      <c r="CU14">
        <v>242</v>
      </c>
      <c r="CW14">
        <f>IF(AND(CX14&lt;&gt;0,COUNTIF(CW$4:CW13, "QB") = 0), "QB", 0)</f>
        <v>0</v>
      </c>
      <c r="CX14">
        <f>IFERROR(IF(INDEX(Q:Q,MATCH(Instructions!F74,I:I,0))=1, 0, Instructions!F74), Instructions!F74)</f>
        <v>0</v>
      </c>
      <c r="CY14">
        <f>IF(AND(CZ14&lt;&gt;0,COUNTIF(CY$4:CY13, "RB") = 0), "RB", IF(CY13="RB", 1, 0))</f>
        <v>0</v>
      </c>
      <c r="CZ14">
        <f>IFERROR(IF(INDEX(AB:AB,MATCH(Instructions!K74,T:T,0))=1, 0, Instructions!K74), Instructions!K74)</f>
        <v>0</v>
      </c>
      <c r="DA14">
        <f>IF(AND(DB14&lt;&gt;0,COUNTIF(DA$4:DA13, "WR") = 0), "WR", IF(DA13="WR", 1, 0))</f>
        <v>0</v>
      </c>
      <c r="DB14">
        <f>IFERROR(IF(INDEX(AM:AM,MATCH(Instructions!F96,AE:AE,0))=1, 0, Instructions!F96), Instructions!F96)</f>
        <v>0</v>
      </c>
      <c r="DC14">
        <f>IF(AND(DD14&lt;&gt;0,COUNTIF(DC$4:DC13, "TE") = 0), "TE", 0)</f>
        <v>0</v>
      </c>
      <c r="DD14">
        <f>IFERROR(IF(VLOOKUP(Instructions!K96,AP:AX,6,FALSE)=1, 0, Instructions!K96), Instructions!K96)</f>
        <v>0</v>
      </c>
      <c r="DE14">
        <v>12</v>
      </c>
      <c r="DF14" t="str">
        <f>IF(IFERROR(MATCH(FFARawStatProjections!A15,Draft!BY:BY,0),1)&lt;=1,IF(FFARawStatProjections!A15=0,"",FFARawStatProjections!A15),"")</f>
        <v>Aaron Rodgers</v>
      </c>
      <c r="DK14" s="430"/>
      <c r="DL14" s="430"/>
      <c r="DM14" s="430"/>
      <c r="DN14" s="430"/>
    </row>
    <row r="15" spans="1:122" x14ac:dyDescent="0.25">
      <c r="A15" s="196"/>
      <c r="B15" s="152" t="s">
        <v>3</v>
      </c>
      <c r="C15" s="153" t="str">
        <f>IFERROR(IF(INDEX(CZ:CZ,MATCH(1,CY:CY,0))=0,"",INDEX(CZ:CZ,MATCH(1,CY:CY,0))),"")</f>
        <v/>
      </c>
      <c r="D15" s="153" t="str">
        <f>IFERROR(IF(C15="", "", VLOOKUP(VLOOKUP(C15, ADP!D:N, 18, FALSE), 'Draft Pick Order'!C:Q, VLOOKUP(Instructions!E$11, Instructions!S$10:U$13, 3, FALSE))),"")</f>
        <v/>
      </c>
      <c r="E15" s="154" t="str">
        <f>IFERROR(IF(C15="", "", VLOOKUP(C15, ADP!D:N, 18, FALSE)-$E$25), "")</f>
        <v/>
      </c>
      <c r="F15" s="214" t="str">
        <f>IFERROR(IF(VLOOKUP(C15, Instructions!K64:L83, 2, FALSE)=0,"", VLOOKUP(C15, Instructions!K64:L83, 2, FALSE)),"")</f>
        <v/>
      </c>
      <c r="G15" s="215">
        <f>IFERROR(IF(AND(E15-VLOOKUP($E$25,'Draft Pick Order'!C:Q,(VLOOKUP(Instructions!E$11, Instructions!S:U, 3, FALSE)+$E$22),FALSE)&lt;=0, $E$22=$E$24), 1, 0), 0)</f>
        <v>0</v>
      </c>
      <c r="H15" s="197"/>
      <c r="I15" s="180" t="str">
        <f>IF(QBproj!D19=0,"",QBproj!D19)</f>
        <v>Geno Smith</v>
      </c>
      <c r="J15" s="461" t="str">
        <f>QBproj!E19</f>
        <v>SEA</v>
      </c>
      <c r="K15" s="184">
        <f>QBproj!F19</f>
        <v>303.41213000000005</v>
      </c>
      <c r="L15" s="517">
        <f>IFERROR(IF(QBproj!H19="",QBproj!G19,QBproj!H19),0)</f>
        <v>7</v>
      </c>
      <c r="M15" s="503">
        <f>INDEX(Draft!$BW:$BW,MATCH(I15,Draft_Names_Master,0))</f>
        <v>0</v>
      </c>
      <c r="N15">
        <v>1.2999999999999999E-2</v>
      </c>
      <c r="O15">
        <f>IFERROR(IF(INDEX(Instructions!$V$64:$V$83,MATCH('Draft Slayer Classic'!I15,Instructions!$S$64:$S$83,0))&lt;=$E$25,1,0),0)</f>
        <v>0</v>
      </c>
      <c r="P15">
        <f>IFERROR(INDEX(ADP!$A$7:$A$260,MATCH(I15,ADP!$D$7:$D$260,0)),999+N15)</f>
        <v>107</v>
      </c>
      <c r="Q15">
        <f t="shared" si="0"/>
        <v>1.2999999999999999E-2</v>
      </c>
      <c r="R15">
        <f>IFERROR(INDEX(Instructions!$U$111:$U$222,MATCH(I15,Instructions!$T$111:$T$222,0)),0)</f>
        <v>0</v>
      </c>
      <c r="S15" s="197"/>
      <c r="T15" s="187" t="str">
        <f>RBproj!D19</f>
        <v>Travis Etienne</v>
      </c>
      <c r="U15" s="461" t="str">
        <f>RBproj!E19</f>
        <v>JAC</v>
      </c>
      <c r="V15" s="184">
        <f>RBproj!F19</f>
        <v>222.28130999999999</v>
      </c>
      <c r="W15" s="517">
        <f>IFERROR(IF(RBproj!H19="",RBproj!G19,RBproj!H19),0)</f>
        <v>5</v>
      </c>
      <c r="X15" s="504">
        <f>INDEX(Draft!$BW:$BW,MATCH(T15,Draft_Names_Master,0))</f>
        <v>0</v>
      </c>
      <c r="Y15">
        <v>1.2999999999999999E-2</v>
      </c>
      <c r="Z15">
        <f>IFERROR(IF(INDEX(Instructions!$X$64:$X$83,MATCH('Draft Slayer Classic'!T15,Instructions!$T$64:$T$83,0))&lt;=$E$25,1,0),0)</f>
        <v>0</v>
      </c>
      <c r="AA15">
        <f>IFERROR(INDEX(ADP!$A$7:$A$260,MATCH(T15,ADP!$D$7:$D$260,0)),999+Y15)</f>
        <v>28</v>
      </c>
      <c r="AB15">
        <f t="shared" si="1"/>
        <v>1.2999999999999999E-2</v>
      </c>
      <c r="AC15">
        <f>IFERROR(INDEX(Instructions!$U$111:$U$222,MATCH(T15,Instructions!$T$111:$T$222,0)),0)</f>
        <v>0</v>
      </c>
      <c r="AD15" s="197"/>
      <c r="AE15" s="187" t="str">
        <f>WRproj!D19</f>
        <v>Tee Higgins</v>
      </c>
      <c r="AF15" s="461" t="str">
        <f>WRproj!E19</f>
        <v>CIN</v>
      </c>
      <c r="AG15" s="184">
        <f>WRproj!F19</f>
        <v>229.09327000000002</v>
      </c>
      <c r="AH15" s="517">
        <f>IFERROR(IF(WRproj!H19="",WRproj!G19,WRproj!H19),0)</f>
        <v>6</v>
      </c>
      <c r="AI15" s="503">
        <f>INDEX(Draft!$BW:$BW,MATCH(AE15,Draft_Names_Master,0))</f>
        <v>0</v>
      </c>
      <c r="AJ15">
        <v>1.2999999999999999E-2</v>
      </c>
      <c r="AK15">
        <f>IFERROR(IF(INDEX(Instructions!$V$86:$V$105,MATCH('Draft Slayer Classic'!AE15,Instructions!$S$86:$S$105,0))&lt;=$E$25,1,0),0)</f>
        <v>0</v>
      </c>
      <c r="AL15">
        <f>IFERROR(INDEX(ADP!$A$7:$A$260,MATCH(AE15,ADP!$D$7:$D$260,0)),999+AJ15)</f>
        <v>29</v>
      </c>
      <c r="AM15">
        <f t="shared" si="2"/>
        <v>1.2999999999999999E-2</v>
      </c>
      <c r="AN15">
        <f>IFERROR(INDEX(Instructions!$U$111:$U$222,MATCH(AE15,Instructions!$T$111:$T$222,0)),0)</f>
        <v>0</v>
      </c>
      <c r="AO15" s="197"/>
      <c r="AP15" s="187" t="str">
        <f>TEproj!D19</f>
        <v>Chigoziem Okonkwo</v>
      </c>
      <c r="AQ15" s="461" t="str">
        <f>TEproj!E19</f>
        <v>TEN</v>
      </c>
      <c r="AR15" s="184">
        <f>TEproj!F19</f>
        <v>126.27619000000001</v>
      </c>
      <c r="AS15" s="517">
        <f>IFERROR(IF(TEproj!H19="",TEproj!G19,TEproj!H19),0)</f>
        <v>7</v>
      </c>
      <c r="AT15" s="503">
        <f>INDEX(Draft!$BW:$BW,MATCH(AP15,Draft_Names_Master,0))</f>
        <v>0</v>
      </c>
      <c r="AU15">
        <v>1.2999999999999999E-2</v>
      </c>
      <c r="AV15">
        <f>IFERROR(IF(INDEX(Instructions!$X$86:$X$105,MATCH('Draft Slayer Classic'!AP15,Instructions!$T$86:$T$105,0))&lt;=$E$25,1,0),0)</f>
        <v>0</v>
      </c>
      <c r="AW15">
        <f>IFERROR(INDEX(ADP!$A$7:$A$260,MATCH(AP15,ADP!$D$7:$D$260,0)),999+AU15)</f>
        <v>140</v>
      </c>
      <c r="AX15">
        <f t="shared" si="3"/>
        <v>1.2999999999999999E-2</v>
      </c>
      <c r="AY15">
        <f>IFERROR(INDEX(Instructions!$U$111:$U$222,MATCH(AP15,Instructions!$T$111:$T$222,0)),0)</f>
        <v>0</v>
      </c>
      <c r="AZ15" s="197"/>
      <c r="BA15" s="513" t="str">
        <f>DEFproj!D19</f>
        <v>GB</v>
      </c>
      <c r="BB15" s="504">
        <f>INDEX(Draft!$BW:$BW,MATCH(BA15,Draft_Names_Master,0))</f>
        <v>0</v>
      </c>
      <c r="BC15">
        <v>1.2999999999999999E-2</v>
      </c>
      <c r="BD15">
        <f t="shared" si="4"/>
        <v>1.2999999999999999E-2</v>
      </c>
      <c r="BE15" s="197"/>
      <c r="BF15" s="187" t="str">
        <f>IF(Kproj!D19=0, "", Kproj!D19)</f>
        <v>Brandon McManus</v>
      </c>
      <c r="BG15" s="508" t="str">
        <f>INDEX(FFARawStatProjections!B:B,MATCH('Draft Slayer Classic'!BF15,FFARawStatProjections!A:A,0))</f>
        <v>JAC</v>
      </c>
      <c r="BH15" s="504">
        <f>INDEX(Draft!$BW:$BW,MATCH(BF15,Draft_Names_Master,0))</f>
        <v>0</v>
      </c>
      <c r="BI15">
        <v>1.2999999999999999E-2</v>
      </c>
      <c r="BJ15">
        <f t="shared" si="5"/>
        <v>1.2999999999999999E-2</v>
      </c>
      <c r="BK15" s="203"/>
      <c r="BV15" t="str">
        <f>10&amp;3</f>
        <v>103</v>
      </c>
      <c r="BW15">
        <v>3</v>
      </c>
      <c r="BX15">
        <v>18</v>
      </c>
      <c r="BY15">
        <v>23</v>
      </c>
      <c r="BZ15">
        <v>38</v>
      </c>
      <c r="CA15">
        <v>43</v>
      </c>
      <c r="CB15">
        <v>58</v>
      </c>
      <c r="CC15">
        <v>63</v>
      </c>
      <c r="CD15">
        <v>78</v>
      </c>
      <c r="CE15">
        <v>83</v>
      </c>
      <c r="CF15">
        <v>98</v>
      </c>
      <c r="CG15">
        <v>103</v>
      </c>
      <c r="CH15">
        <v>118</v>
      </c>
      <c r="CI15">
        <v>123</v>
      </c>
      <c r="CJ15">
        <v>138</v>
      </c>
      <c r="CK15">
        <v>143</v>
      </c>
      <c r="CL15">
        <v>158</v>
      </c>
      <c r="CM15">
        <v>163</v>
      </c>
      <c r="CN15">
        <v>178</v>
      </c>
      <c r="CO15">
        <v>183</v>
      </c>
      <c r="CP15">
        <v>198</v>
      </c>
      <c r="CQ15">
        <v>203</v>
      </c>
      <c r="CR15">
        <v>218</v>
      </c>
      <c r="CS15">
        <v>223</v>
      </c>
      <c r="CT15">
        <v>238</v>
      </c>
      <c r="CU15">
        <v>243</v>
      </c>
      <c r="CW15">
        <f>IF(AND(CX15&lt;&gt;0,COUNTIF(CW$4:CW14, "QB") = 0), "QB", 0)</f>
        <v>0</v>
      </c>
      <c r="CX15">
        <f>IFERROR(IF(INDEX(Q:Q,MATCH(Instructions!F75,I:I,0))=1, 0, Instructions!F75), Instructions!F75)</f>
        <v>0</v>
      </c>
      <c r="CY15">
        <f>IF(AND(CZ15&lt;&gt;0,COUNTIF(CY$4:CY14, "RB") = 0), "RB", IF(CY14="RB", 1, 0))</f>
        <v>0</v>
      </c>
      <c r="CZ15">
        <f>IFERROR(IF(INDEX(AB:AB,MATCH(Instructions!K75,T:T,0))=1, 0, Instructions!K75), Instructions!K75)</f>
        <v>0</v>
      </c>
      <c r="DA15">
        <f>IF(AND(DB15&lt;&gt;0,COUNTIF(DA$4:DA14, "WR") = 0), "WR", IF(DA14="WR", 1, 0))</f>
        <v>0</v>
      </c>
      <c r="DB15">
        <f>IFERROR(IF(INDEX(AM:AM,MATCH(Instructions!F97,AE:AE,0))=1, 0, Instructions!F97), Instructions!F97)</f>
        <v>0</v>
      </c>
      <c r="DC15">
        <f>IF(AND(DD15&lt;&gt;0,COUNTIF(DC$4:DC14, "TE") = 0), "TE", 0)</f>
        <v>0</v>
      </c>
      <c r="DD15">
        <f>IFERROR(IF(VLOOKUP(Instructions!K97,AP:AX,6,FALSE)=1, 0, Instructions!K97), Instructions!K97)</f>
        <v>0</v>
      </c>
      <c r="DE15">
        <v>13</v>
      </c>
      <c r="DF15" t="str">
        <f>IF(IFERROR(MATCH(FFARawStatProjections!A16,Draft!BY:BY,0),1)&lt;=1,IF(FFARawStatProjections!A16=0,"",FFARawStatProjections!A16),"")</f>
        <v>Tua Tagovailoa</v>
      </c>
    </row>
    <row r="16" spans="1:122" x14ac:dyDescent="0.25">
      <c r="A16" s="196"/>
      <c r="B16" s="149" t="s">
        <v>6</v>
      </c>
      <c r="C16" s="150" t="str">
        <f>IFERROR(IF(INDEX(DB:DB,MATCH("WR",DA:DA,0))=0,"", INDEX(DB:DB,MATCH("WR",DA:DA,0))),"")</f>
        <v/>
      </c>
      <c r="D16" s="150" t="str">
        <f>IFERROR(IF(C16="", "", VLOOKUP(VLOOKUP(C16, ADP!D:N, 18, FALSE), 'Draft Pick Order'!C:Q, VLOOKUP(Instructions!E$11, Instructions!S$10:U$13, 3, FALSE))),"")</f>
        <v/>
      </c>
      <c r="E16" s="151" t="str">
        <f>IFERROR(IF(C16="", "", VLOOKUP(C16, ADP!D:N, 18, FALSE)-$E$25), "")</f>
        <v/>
      </c>
      <c r="F16" s="214" t="str">
        <f>IFERROR(IF(VLOOKUP(C16, Instructions!F86:G105, 2, FALSE)=0,"", VLOOKUP(C16, Instructions!F86:G105, 2, FALSE)),"")</f>
        <v/>
      </c>
      <c r="G16" s="215">
        <f>IFERROR(IF(AND(E16-VLOOKUP($E$25,'Draft Pick Order'!C:Q,(VLOOKUP(Instructions!E$11, Instructions!S:U, 3, FALSE)+$E$22),FALSE)&lt;=0, $E$22=$E$24), 1, 0), 0)</f>
        <v>0</v>
      </c>
      <c r="H16" s="197"/>
      <c r="I16" s="182" t="str">
        <f>IF(QBproj!D20=0,"",QBproj!D20)</f>
        <v>Aaron Rodgers</v>
      </c>
      <c r="J16" s="290" t="str">
        <f>QBproj!E20</f>
        <v>NYJ</v>
      </c>
      <c r="K16" s="183">
        <f>QBproj!F20</f>
        <v>287.28613999999999</v>
      </c>
      <c r="L16" s="517">
        <f>IFERROR(IF(QBproj!H20="",QBproj!G20,QBproj!H20),0)</f>
        <v>8</v>
      </c>
      <c r="M16" s="504">
        <f>INDEX(Draft!$BW:$BW,MATCH(I16,Draft_Names_Master,0))</f>
        <v>0</v>
      </c>
      <c r="N16">
        <v>1.4E-2</v>
      </c>
      <c r="O16">
        <f>IFERROR(IF(INDEX(Instructions!$V$64:$V$83,MATCH('Draft Slayer Classic'!I16,Instructions!$S$64:$S$83,0))&lt;=$E$25,1,0),0)</f>
        <v>0</v>
      </c>
      <c r="P16">
        <f>IFERROR(INDEX(ADP!$A$7:$A$260,MATCH(I16,ADP!$D$7:$D$260,0)),999+N16)</f>
        <v>105</v>
      </c>
      <c r="Q16">
        <f t="shared" si="0"/>
        <v>1.4E-2</v>
      </c>
      <c r="R16">
        <f>IFERROR(INDEX(Instructions!$U$111:$U$222,MATCH(I16,Instructions!$T$111:$T$222,0)),0)</f>
        <v>0</v>
      </c>
      <c r="S16" s="197"/>
      <c r="T16" s="182" t="str">
        <f>RBproj!D20</f>
        <v>Rhamondre Stevenson</v>
      </c>
      <c r="U16" s="290" t="str">
        <f>RBproj!E20</f>
        <v>NE</v>
      </c>
      <c r="V16" s="183">
        <f>RBproj!F20</f>
        <v>216.28127999999998</v>
      </c>
      <c r="W16" s="517">
        <f>IFERROR(IF(RBproj!H20="",RBproj!G20,RBproj!H20),0)</f>
        <v>5</v>
      </c>
      <c r="X16" s="504">
        <f>INDEX(Draft!$BW:$BW,MATCH(T16,Draft_Names_Master,0))</f>
        <v>0</v>
      </c>
      <c r="Y16">
        <v>1.4E-2</v>
      </c>
      <c r="Z16">
        <f>IFERROR(IF(INDEX(Instructions!$X$64:$X$83,MATCH('Draft Slayer Classic'!T16,Instructions!$T$64:$T$83,0))&lt;=$E$25,1,0),0)</f>
        <v>0</v>
      </c>
      <c r="AA16">
        <f>IFERROR(INDEX(ADP!$A$7:$A$260,MATCH(T16,ADP!$D$7:$D$260,0)),999+Y16)</f>
        <v>24</v>
      </c>
      <c r="AB16">
        <f t="shared" si="1"/>
        <v>1.4E-2</v>
      </c>
      <c r="AC16">
        <f>IFERROR(INDEX(Instructions!$U$111:$U$222,MATCH(T16,Instructions!$T$111:$T$222,0)),0)</f>
        <v>0</v>
      </c>
      <c r="AD16" s="197"/>
      <c r="AE16" s="182" t="str">
        <f>WRproj!D20</f>
        <v>Deebo Samuel</v>
      </c>
      <c r="AF16" s="290" t="str">
        <f>WRproj!E20</f>
        <v>SF</v>
      </c>
      <c r="AG16" s="183">
        <f>WRproj!F20</f>
        <v>227.77331000000004</v>
      </c>
      <c r="AH16" s="517">
        <f>IFERROR(IF(WRproj!H20="",WRproj!G20,WRproj!H20),0)</f>
        <v>6</v>
      </c>
      <c r="AI16" s="503">
        <f>INDEX(Draft!$BW:$BW,MATCH(AE16,Draft_Names_Master,0))</f>
        <v>0</v>
      </c>
      <c r="AJ16">
        <v>1.4E-2</v>
      </c>
      <c r="AK16">
        <f>IFERROR(IF(INDEX(Instructions!$V$86:$V$105,MATCH('Draft Slayer Classic'!AE16,Instructions!$S$86:$S$105,0))&lt;=$E$25,1,0),0)</f>
        <v>0</v>
      </c>
      <c r="AL16">
        <f>IFERROR(INDEX(ADP!$A$7:$A$260,MATCH(AE16,ADP!$D$7:$D$260,0)),999+AJ16)</f>
        <v>35</v>
      </c>
      <c r="AM16">
        <f t="shared" si="2"/>
        <v>1.4E-2</v>
      </c>
      <c r="AN16">
        <f>IFERROR(INDEX(Instructions!$U$111:$U$222,MATCH(AE16,Instructions!$T$111:$T$222,0)),0)</f>
        <v>0</v>
      </c>
      <c r="AO16" s="197"/>
      <c r="AP16" s="182" t="str">
        <f>TEproj!D20</f>
        <v>Greg Dulcich</v>
      </c>
      <c r="AQ16" s="290" t="str">
        <f>TEproj!E20</f>
        <v>DEN</v>
      </c>
      <c r="AR16" s="183">
        <f>TEproj!F20</f>
        <v>126.08624000000002</v>
      </c>
      <c r="AS16" s="517">
        <f>IFERROR(IF(TEproj!H20="",TEproj!G20,TEproj!H20),0)</f>
        <v>7</v>
      </c>
      <c r="AT16" s="504">
        <f>INDEX(Draft!$BW:$BW,MATCH(AP16,Draft_Names_Master,0))</f>
        <v>0</v>
      </c>
      <c r="AU16">
        <v>1.4E-2</v>
      </c>
      <c r="AV16">
        <f>IFERROR(IF(INDEX(Instructions!$X$86:$X$105,MATCH('Draft Slayer Classic'!AP16,Instructions!$T$86:$T$105,0))&lt;=$E$25,1,0),0)</f>
        <v>0</v>
      </c>
      <c r="AW16">
        <f>IFERROR(INDEX(ADP!$A$7:$A$260,MATCH(AP16,ADP!$D$7:$D$260,0)),999+AU16)</f>
        <v>171</v>
      </c>
      <c r="AX16">
        <f t="shared" si="3"/>
        <v>1.4E-2</v>
      </c>
      <c r="AY16">
        <f>IFERROR(INDEX(Instructions!$U$111:$U$222,MATCH(AP16,Instructions!$T$111:$T$222,0)),0)</f>
        <v>0</v>
      </c>
      <c r="AZ16" s="197"/>
      <c r="BA16" s="512" t="str">
        <f>DEFproj!D20</f>
        <v>NYJ</v>
      </c>
      <c r="BB16" s="503">
        <f>INDEX(Draft!$BW:$BW,MATCH(BA16,Draft_Names_Master,0))</f>
        <v>0</v>
      </c>
      <c r="BC16">
        <v>1.4E-2</v>
      </c>
      <c r="BD16">
        <f t="shared" si="4"/>
        <v>1.4E-2</v>
      </c>
      <c r="BE16" s="197"/>
      <c r="BF16" s="182" t="str">
        <f>IF(Kproj!D20=0, "", Kproj!D20)</f>
        <v>Cameron Dicker</v>
      </c>
      <c r="BG16" s="507" t="str">
        <f>INDEX(FFARawStatProjections!B:B,MATCH('Draft Slayer Classic'!BF16,FFARawStatProjections!A:A,0))</f>
        <v>LAC</v>
      </c>
      <c r="BH16" s="503">
        <f>INDEX(Draft!$BW:$BW,MATCH(BF16,Draft_Names_Master,0))</f>
        <v>0</v>
      </c>
      <c r="BI16">
        <v>1.4E-2</v>
      </c>
      <c r="BJ16">
        <f t="shared" si="5"/>
        <v>1.4E-2</v>
      </c>
      <c r="BK16" s="203"/>
      <c r="BV16" t="str">
        <f>10&amp;4</f>
        <v>104</v>
      </c>
      <c r="BW16">
        <v>4</v>
      </c>
      <c r="BX16">
        <v>17</v>
      </c>
      <c r="BY16">
        <v>24</v>
      </c>
      <c r="BZ16">
        <v>37</v>
      </c>
      <c r="CA16">
        <v>44</v>
      </c>
      <c r="CB16">
        <v>57</v>
      </c>
      <c r="CC16">
        <v>64</v>
      </c>
      <c r="CD16">
        <v>77</v>
      </c>
      <c r="CE16">
        <v>84</v>
      </c>
      <c r="CF16">
        <v>97</v>
      </c>
      <c r="CG16">
        <v>104</v>
      </c>
      <c r="CH16">
        <v>117</v>
      </c>
      <c r="CI16">
        <v>124</v>
      </c>
      <c r="CJ16">
        <v>137</v>
      </c>
      <c r="CK16">
        <v>144</v>
      </c>
      <c r="CL16">
        <v>157</v>
      </c>
      <c r="CM16">
        <v>164</v>
      </c>
      <c r="CN16">
        <v>177</v>
      </c>
      <c r="CO16">
        <v>184</v>
      </c>
      <c r="CP16">
        <v>197</v>
      </c>
      <c r="CQ16">
        <v>204</v>
      </c>
      <c r="CR16">
        <v>217</v>
      </c>
      <c r="CS16">
        <v>224</v>
      </c>
      <c r="CT16">
        <v>237</v>
      </c>
      <c r="CU16">
        <v>244</v>
      </c>
      <c r="CW16">
        <f>IF(AND(CX16&lt;&gt;0,COUNTIF(CW$4:CW15, "QB") = 0), "QB", 0)</f>
        <v>0</v>
      </c>
      <c r="CX16">
        <f>IFERROR(IF(INDEX(Q:Q,MATCH(Instructions!F76,I:I,0))=1, 0, Instructions!F76), Instructions!F76)</f>
        <v>0</v>
      </c>
      <c r="CY16">
        <f>IF(AND(CZ16&lt;&gt;0,COUNTIF(CY$4:CY15, "RB") = 0), "RB", IF(CY15="RB", 1, 0))</f>
        <v>0</v>
      </c>
      <c r="CZ16">
        <f>IFERROR(IF(INDEX(AB:AB,MATCH(Instructions!K76,T:T,0))=1, 0, Instructions!K76), Instructions!K76)</f>
        <v>0</v>
      </c>
      <c r="DA16">
        <f>IF(AND(DB16&lt;&gt;0,COUNTIF(DA$4:DA15, "WR") = 0), "WR", IF(DA15="WR", 1, 0))</f>
        <v>0</v>
      </c>
      <c r="DB16">
        <f>IFERROR(IF(INDEX(AM:AM,MATCH(Instructions!F98,AE:AE,0))=1, 0, Instructions!F98), Instructions!F98)</f>
        <v>0</v>
      </c>
      <c r="DC16">
        <f>IF(AND(DD16&lt;&gt;0,COUNTIF(DC$4:DC15, "TE") = 0), "TE", 0)</f>
        <v>0</v>
      </c>
      <c r="DD16">
        <f>IFERROR(IF(VLOOKUP(Instructions!K98,AP:AX,6,FALSE)=1, 0, Instructions!K98), Instructions!K98)</f>
        <v>0</v>
      </c>
      <c r="DE16">
        <v>14</v>
      </c>
      <c r="DF16" t="str">
        <f>IF(IFERROR(MATCH(FFARawStatProjections!A17,Draft!BY:BY,0),1)&lt;=1,IF(FFARawStatProjections!A17=0,"",FFARawStatProjections!A17),"")</f>
        <v>Russell Wilson</v>
      </c>
      <c r="DK16" s="428"/>
      <c r="DL16" s="428"/>
      <c r="DM16" s="428"/>
      <c r="DN16" s="428"/>
    </row>
    <row r="17" spans="1:110" x14ac:dyDescent="0.25">
      <c r="A17" s="196"/>
      <c r="B17" s="155" t="s">
        <v>6</v>
      </c>
      <c r="C17" s="156" t="str">
        <f>IFERROR(IF(INDEX(DB:DB,MATCH(1,DA:DA,0))=0,"", INDEX(DB:DB,MATCH(1,DA:DA,0))),"")</f>
        <v/>
      </c>
      <c r="D17" s="156" t="str">
        <f>IFERROR(IF(C17="", "", VLOOKUP(VLOOKUP(C17, ADP!D:N, 18, FALSE), 'Draft Pick Order'!C:Q, VLOOKUP(Instructions!E$11, Instructions!S$10:U$13, 3, FALSE))),"")</f>
        <v/>
      </c>
      <c r="E17" s="157" t="str">
        <f>IFERROR(IF(C17="", "", VLOOKUP(C17, ADP!D:N, 18, FALSE)-$E$25), "")</f>
        <v/>
      </c>
      <c r="F17" s="214" t="str">
        <f>IFERROR(IF(VLOOKUP(C17, Instructions!F86:G105, 2, FALSE)=0,"", VLOOKUP(C17, Instructions!F86:G105, 2, FALSE)),"")</f>
        <v/>
      </c>
      <c r="G17" s="215">
        <f>IFERROR(IF(AND(E17-VLOOKUP($E$25,'Draft Pick Order'!C:Q,(VLOOKUP(Instructions!E$11, Instructions!S:U, 3, FALSE)+$E$22),FALSE)&lt;=0, $E$22=$E$24), 1, 0), 0)</f>
        <v>0</v>
      </c>
      <c r="H17" s="197"/>
      <c r="I17" s="180" t="str">
        <f>IF(QBproj!D21=0,"",QBproj!D21)</f>
        <v>Tua Tagovailoa</v>
      </c>
      <c r="J17" s="461" t="str">
        <f>QBproj!E21</f>
        <v>MIA</v>
      </c>
      <c r="K17" s="184">
        <f>QBproj!F21</f>
        <v>284.87615</v>
      </c>
      <c r="L17" s="517">
        <f>IFERROR(IF(QBproj!H21="",QBproj!G21,QBproj!H21),0)</f>
        <v>8</v>
      </c>
      <c r="M17" s="503">
        <f>INDEX(Draft!$BW:$BW,MATCH(I17,Draft_Names_Master,0))</f>
        <v>0</v>
      </c>
      <c r="N17">
        <v>1.4999999999999999E-2</v>
      </c>
      <c r="O17">
        <f>IFERROR(IF(INDEX(Instructions!$V$64:$V$83,MATCH('Draft Slayer Classic'!I17,Instructions!$S$64:$S$83,0))&lt;=$E$25,1,0),0)</f>
        <v>0</v>
      </c>
      <c r="P17">
        <f>IFERROR(INDEX(ADP!$A$7:$A$260,MATCH(I17,ADP!$D$7:$D$260,0)),999+N17)</f>
        <v>84</v>
      </c>
      <c r="Q17">
        <f t="shared" si="0"/>
        <v>1.4999999999999999E-2</v>
      </c>
      <c r="R17">
        <f>IFERROR(INDEX(Instructions!$U$111:$U$222,MATCH(I17,Instructions!$T$111:$T$222,0)),0)</f>
        <v>0</v>
      </c>
      <c r="S17" s="197"/>
      <c r="T17" s="187" t="str">
        <f>RBproj!D21</f>
        <v>Alexander Mattison</v>
      </c>
      <c r="U17" s="461" t="str">
        <f>RBproj!E21</f>
        <v>MIN</v>
      </c>
      <c r="V17" s="184">
        <f>RBproj!F21</f>
        <v>210.70131999999998</v>
      </c>
      <c r="W17" s="517">
        <f>IFERROR(IF(RBproj!H21="",RBproj!G21,RBproj!H21),0)</f>
        <v>5</v>
      </c>
      <c r="X17" s="504">
        <f>INDEX(Draft!$BW:$BW,MATCH(T17,Draft_Names_Master,0))</f>
        <v>0</v>
      </c>
      <c r="Y17">
        <v>1.4999999999999999E-2</v>
      </c>
      <c r="Z17">
        <f>IFERROR(IF(INDEX(Instructions!$X$64:$X$83,MATCH('Draft Slayer Classic'!T17,Instructions!$T$64:$T$83,0))&lt;=$E$25,1,0),0)</f>
        <v>0</v>
      </c>
      <c r="AA17">
        <f>IFERROR(INDEX(ADP!$A$7:$A$260,MATCH(T17,ADP!$D$7:$D$260,0)),999+Y17)</f>
        <v>52</v>
      </c>
      <c r="AB17">
        <f t="shared" si="1"/>
        <v>1.4999999999999999E-2</v>
      </c>
      <c r="AC17">
        <f>IFERROR(INDEX(Instructions!$U$111:$U$222,MATCH(T17,Instructions!$T$111:$T$222,0)),0)</f>
        <v>0</v>
      </c>
      <c r="AD17" s="197"/>
      <c r="AE17" s="187" t="str">
        <f>WRproj!D21</f>
        <v>DK Metcalf</v>
      </c>
      <c r="AF17" s="461" t="str">
        <f>WRproj!E21</f>
        <v>SEA</v>
      </c>
      <c r="AG17" s="184">
        <f>WRproj!F21</f>
        <v>226.29332000000002</v>
      </c>
      <c r="AH17" s="517">
        <f>IFERROR(IF(WRproj!H21="",WRproj!G21,WRproj!H21),0)</f>
        <v>6</v>
      </c>
      <c r="AI17" s="503">
        <f>INDEX(Draft!$BW:$BW,MATCH(AE17,Draft_Names_Master,0))</f>
        <v>0</v>
      </c>
      <c r="AJ17">
        <v>1.4999999999999999E-2</v>
      </c>
      <c r="AK17">
        <f>IFERROR(IF(INDEX(Instructions!$V$86:$V$105,MATCH('Draft Slayer Classic'!AE17,Instructions!$S$86:$S$105,0))&lt;=$E$25,1,0),0)</f>
        <v>0</v>
      </c>
      <c r="AL17">
        <f>IFERROR(INDEX(ADP!$A$7:$A$260,MATCH(AE17,ADP!$D$7:$D$260,0)),999+AJ17)</f>
        <v>36</v>
      </c>
      <c r="AM17">
        <f t="shared" si="2"/>
        <v>1.4999999999999999E-2</v>
      </c>
      <c r="AN17">
        <f>IFERROR(INDEX(Instructions!$U$111:$U$222,MATCH(AE17,Instructions!$T$111:$T$222,0)),0)</f>
        <v>0</v>
      </c>
      <c r="AO17" s="197"/>
      <c r="AP17" s="187" t="str">
        <f>TEproj!D21</f>
        <v>Gerald Everett</v>
      </c>
      <c r="AQ17" s="461" t="str">
        <f>TEproj!E21</f>
        <v>LAC</v>
      </c>
      <c r="AR17" s="184">
        <f>TEproj!F21</f>
        <v>124.79622000000002</v>
      </c>
      <c r="AS17" s="517">
        <f>IFERROR(IF(TEproj!H21="",TEproj!G21,TEproj!H21),0)</f>
        <v>7</v>
      </c>
      <c r="AT17" s="503">
        <f>INDEX(Draft!$BW:$BW,MATCH(AP17,Draft_Names_Master,0))</f>
        <v>0</v>
      </c>
      <c r="AU17">
        <v>1.4999999999999999E-2</v>
      </c>
      <c r="AV17">
        <f>IFERROR(IF(INDEX(Instructions!$X$86:$X$105,MATCH('Draft Slayer Classic'!AP17,Instructions!$T$86:$T$105,0))&lt;=$E$25,1,0),0)</f>
        <v>0</v>
      </c>
      <c r="AW17">
        <f>IFERROR(INDEX(ADP!$A$7:$A$260,MATCH(AP17,ADP!$D$7:$D$260,0)),999+AU17)</f>
        <v>164</v>
      </c>
      <c r="AX17">
        <f t="shared" si="3"/>
        <v>1.4999999999999999E-2</v>
      </c>
      <c r="AY17">
        <f>IFERROR(INDEX(Instructions!$U$111:$U$222,MATCH(AP17,Instructions!$T$111:$T$222,0)),0)</f>
        <v>0</v>
      </c>
      <c r="AZ17" s="197"/>
      <c r="BA17" s="513" t="str">
        <f>DEFproj!D21</f>
        <v>SEA</v>
      </c>
      <c r="BB17" s="504">
        <f>INDEX(Draft!$BW:$BW,MATCH(BA17,Draft_Names_Master,0))</f>
        <v>0</v>
      </c>
      <c r="BC17">
        <v>1.4999999999999999E-2</v>
      </c>
      <c r="BD17">
        <f t="shared" si="4"/>
        <v>1.4999999999999999E-2</v>
      </c>
      <c r="BE17" s="197"/>
      <c r="BF17" s="187" t="str">
        <f>IF(Kproj!D21=0, "", Kproj!D21)</f>
        <v>Jason Sanders</v>
      </c>
      <c r="BG17" s="508" t="str">
        <f>INDEX(FFARawStatProjections!B:B,MATCH('Draft Slayer Classic'!BF17,FFARawStatProjections!A:A,0))</f>
        <v>MIA</v>
      </c>
      <c r="BH17" s="504">
        <f>INDEX(Draft!$BW:$BW,MATCH(BF17,Draft_Names_Master,0))</f>
        <v>0</v>
      </c>
      <c r="BI17">
        <v>1.4999999999999999E-2</v>
      </c>
      <c r="BJ17">
        <f t="shared" si="5"/>
        <v>1.4999999999999999E-2</v>
      </c>
      <c r="BK17" s="203"/>
      <c r="BV17" t="str">
        <f>10&amp;5</f>
        <v>105</v>
      </c>
      <c r="BW17">
        <v>5</v>
      </c>
      <c r="BX17">
        <v>16</v>
      </c>
      <c r="BY17">
        <v>25</v>
      </c>
      <c r="BZ17">
        <v>36</v>
      </c>
      <c r="CA17">
        <v>45</v>
      </c>
      <c r="CB17">
        <v>56</v>
      </c>
      <c r="CC17">
        <v>65</v>
      </c>
      <c r="CD17">
        <v>76</v>
      </c>
      <c r="CE17">
        <v>85</v>
      </c>
      <c r="CF17">
        <v>96</v>
      </c>
      <c r="CG17">
        <v>105</v>
      </c>
      <c r="CH17">
        <v>116</v>
      </c>
      <c r="CI17">
        <v>125</v>
      </c>
      <c r="CJ17">
        <v>136</v>
      </c>
      <c r="CK17">
        <v>145</v>
      </c>
      <c r="CL17">
        <v>156</v>
      </c>
      <c r="CM17">
        <v>165</v>
      </c>
      <c r="CN17">
        <v>176</v>
      </c>
      <c r="CO17">
        <v>185</v>
      </c>
      <c r="CP17">
        <v>196</v>
      </c>
      <c r="CQ17">
        <v>205</v>
      </c>
      <c r="CR17">
        <v>216</v>
      </c>
      <c r="CS17">
        <v>225</v>
      </c>
      <c r="CT17">
        <v>236</v>
      </c>
      <c r="CU17">
        <v>245</v>
      </c>
      <c r="CW17">
        <f>IF(AND(CX17&lt;&gt;0,COUNTIF(CW$4:CW16, "QB") = 0), "QB", 0)</f>
        <v>0</v>
      </c>
      <c r="CX17">
        <f>IFERROR(IF(INDEX(Q:Q,MATCH(Instructions!F77,I:I,0))=1, 0, Instructions!F77), Instructions!F77)</f>
        <v>0</v>
      </c>
      <c r="CY17">
        <f>IF(AND(CZ17&lt;&gt;0,COUNTIF(CY$4:CY16, "RB") = 0), "RB", IF(CY16="RB", 1, 0))</f>
        <v>0</v>
      </c>
      <c r="CZ17">
        <f>IFERROR(IF(INDEX(AB:AB,MATCH(Instructions!K77,T:T,0))=1, 0, Instructions!K77), Instructions!K77)</f>
        <v>0</v>
      </c>
      <c r="DA17">
        <f>IF(AND(DB17&lt;&gt;0,COUNTIF(DA$4:DA16, "WR") = 0), "WR", IF(DA16="WR", 1, 0))</f>
        <v>0</v>
      </c>
      <c r="DB17">
        <f>IFERROR(IF(INDEX(AM:AM,MATCH(Instructions!F99,AE:AE,0))=1, 0, Instructions!F99), Instructions!F99)</f>
        <v>0</v>
      </c>
      <c r="DC17">
        <f>IF(AND(DD17&lt;&gt;0,COUNTIF(DC$4:DC16, "TE") = 0), "TE", 0)</f>
        <v>0</v>
      </c>
      <c r="DD17">
        <f>IFERROR(IF(VLOOKUP(Instructions!K99,AP:AX,6,FALSE)=1, 0, Instructions!K99), Instructions!K99)</f>
        <v>0</v>
      </c>
      <c r="DE17">
        <v>15</v>
      </c>
      <c r="DF17" t="str">
        <f>IF(IFERROR(MATCH(FFARawStatProjections!A18,Draft!BY:BY,0),1)&lt;=1,IF(FFARawStatProjections!A18=0,"",FFARawStatProjections!A18),"")</f>
        <v>Jared Goff</v>
      </c>
    </row>
    <row r="18" spans="1:110" ht="15.75" thickBot="1" x14ac:dyDescent="0.3">
      <c r="A18" s="196"/>
      <c r="B18" s="158" t="s">
        <v>7</v>
      </c>
      <c r="C18" s="159" t="str">
        <f>IFERROR(IF(INDEX(DD:DD,MATCH("TE",DC:DC,0))=0,"", INDEX(DD:DD,MATCH("TE",DC:DC,0))),"")</f>
        <v/>
      </c>
      <c r="D18" s="159" t="str">
        <f>IFERROR(IF(C18="", "", VLOOKUP(VLOOKUP(C18, ADP!D:N, 18, FALSE), 'Draft Pick Order'!C:Q, VLOOKUP(Instructions!E$11, Instructions!S$10:U$13, 3, FALSE))),"")</f>
        <v/>
      </c>
      <c r="E18" s="160" t="str">
        <f>IFERROR(IF(C18="", "", VLOOKUP(C18, ADP!D:N, 18, FALSE)-$E$25), "")</f>
        <v/>
      </c>
      <c r="F18" s="214" t="str">
        <f>IFERROR(IF(VLOOKUP(C18, Instructions!K86:L105, 2, FALSE)=0,"", VLOOKUP(C18, Instructions!K86:L105, 2, FALSE)),"")</f>
        <v/>
      </c>
      <c r="G18" s="215">
        <f>IFERROR(IF(AND(E18-VLOOKUP($E$25,'Draft Pick Order'!C:Q,(VLOOKUP(Instructions!E$11, Instructions!S:U, 3, FALSE)+$E$22),FALSE)&lt;=0, $E$22=$E$24), 1, 0), 0)</f>
        <v>0</v>
      </c>
      <c r="H18" s="197"/>
      <c r="I18" s="182" t="str">
        <f>IF(QBproj!D22=0,"",QBproj!D22)</f>
        <v>Russell Wilson</v>
      </c>
      <c r="J18" s="290" t="str">
        <f>QBproj!E22</f>
        <v>DEN</v>
      </c>
      <c r="K18" s="183">
        <f>QBproj!F22</f>
        <v>283.70215999999999</v>
      </c>
      <c r="L18" s="517">
        <f>IFERROR(IF(QBproj!H22="",QBproj!G22,QBproj!H22),0)</f>
        <v>8</v>
      </c>
      <c r="M18" s="504">
        <f>INDEX(Draft!$BW:$BW,MATCH(I18,Draft_Names_Master,0))</f>
        <v>0</v>
      </c>
      <c r="N18">
        <v>1.6E-2</v>
      </c>
      <c r="O18">
        <f>IFERROR(IF(INDEX(Instructions!$V$64:$V$83,MATCH('Draft Slayer Classic'!I18,Instructions!$S$64:$S$83,0))&lt;=$E$25,1,0),0)</f>
        <v>0</v>
      </c>
      <c r="P18">
        <f>IFERROR(INDEX(ADP!$A$7:$A$260,MATCH(I18,ADP!$D$7:$D$260,0)),999+N18)</f>
        <v>135</v>
      </c>
      <c r="Q18">
        <f t="shared" si="0"/>
        <v>1.6E-2</v>
      </c>
      <c r="R18">
        <f>IFERROR(INDEX(Instructions!$U$111:$U$222,MATCH(I18,Instructions!$T$111:$T$222,0)),0)</f>
        <v>0</v>
      </c>
      <c r="S18" s="197"/>
      <c r="T18" s="182" t="str">
        <f>RBproj!D22</f>
        <v>James Conner</v>
      </c>
      <c r="U18" s="290" t="str">
        <f>RBproj!E22</f>
        <v>AZ</v>
      </c>
      <c r="V18" s="183">
        <f>RBproj!F22</f>
        <v>210.42129000000003</v>
      </c>
      <c r="W18" s="517">
        <f>IFERROR(IF(RBproj!H22="",RBproj!G22,RBproj!H22),0)</f>
        <v>5</v>
      </c>
      <c r="X18" s="504">
        <f>INDEX(Draft!$BW:$BW,MATCH(T18,Draft_Names_Master,0))</f>
        <v>0</v>
      </c>
      <c r="Y18">
        <v>1.6E-2</v>
      </c>
      <c r="Z18">
        <f>IFERROR(IF(INDEX(Instructions!$X$64:$X$83,MATCH('Draft Slayer Classic'!T18,Instructions!$T$64:$T$83,0))&lt;=$E$25,1,0),0)</f>
        <v>0</v>
      </c>
      <c r="AA18">
        <f>IFERROR(INDEX(ADP!$A$7:$A$260,MATCH(T18,ADP!$D$7:$D$260,0)),999+Y18)</f>
        <v>58</v>
      </c>
      <c r="AB18">
        <f t="shared" si="1"/>
        <v>1.6E-2</v>
      </c>
      <c r="AC18">
        <f>IFERROR(INDEX(Instructions!$U$111:$U$222,MATCH(T18,Instructions!$T$111:$T$222,0)),0)</f>
        <v>0</v>
      </c>
      <c r="AD18" s="197"/>
      <c r="AE18" s="182" t="str">
        <f>WRproj!D22</f>
        <v>DeVonta Smith</v>
      </c>
      <c r="AF18" s="290" t="str">
        <f>WRproj!E22</f>
        <v>PHI</v>
      </c>
      <c r="AG18" s="183">
        <f>WRproj!F22</f>
        <v>223.24339000000001</v>
      </c>
      <c r="AH18" s="517">
        <f>IFERROR(IF(WRproj!H22="",WRproj!G22,WRproj!H22),0)</f>
        <v>6</v>
      </c>
      <c r="AI18" s="503">
        <f>INDEX(Draft!$BW:$BW,MATCH(AE18,Draft_Names_Master,0))</f>
        <v>0</v>
      </c>
      <c r="AJ18">
        <v>1.6E-2</v>
      </c>
      <c r="AK18">
        <f>IFERROR(IF(INDEX(Instructions!$V$86:$V$105,MATCH('Draft Slayer Classic'!AE18,Instructions!$S$86:$S$105,0))&lt;=$E$25,1,0),0)</f>
        <v>0</v>
      </c>
      <c r="AL18">
        <f>IFERROR(INDEX(ADP!$A$7:$A$260,MATCH(AE18,ADP!$D$7:$D$260,0)),999+AJ18)</f>
        <v>30</v>
      </c>
      <c r="AM18">
        <f t="shared" si="2"/>
        <v>1.6E-2</v>
      </c>
      <c r="AN18">
        <f>IFERROR(INDEX(Instructions!$U$111:$U$222,MATCH(AE18,Instructions!$T$111:$T$222,0)),0)</f>
        <v>0</v>
      </c>
      <c r="AO18" s="197"/>
      <c r="AP18" s="182" t="str">
        <f>TEproj!D22</f>
        <v>Cole Kmet</v>
      </c>
      <c r="AQ18" s="290" t="str">
        <f>TEproj!E22</f>
        <v>CHI</v>
      </c>
      <c r="AR18" s="183">
        <f>TEproj!F22</f>
        <v>123.78623</v>
      </c>
      <c r="AS18" s="517">
        <f>IFERROR(IF(TEproj!H22="",TEproj!G22,TEproj!H22),0)</f>
        <v>7</v>
      </c>
      <c r="AT18" s="504">
        <f>INDEX(Draft!$BW:$BW,MATCH(AP18,Draft_Names_Master,0))</f>
        <v>0</v>
      </c>
      <c r="AU18">
        <v>1.6E-2</v>
      </c>
      <c r="AV18">
        <f>IFERROR(IF(INDEX(Instructions!$X$86:$X$105,MATCH('Draft Slayer Classic'!AP18,Instructions!$T$86:$T$105,0))&lt;=$E$25,1,0),0)</f>
        <v>0</v>
      </c>
      <c r="AW18">
        <f>IFERROR(INDEX(ADP!$A$7:$A$260,MATCH(AP18,ADP!$D$7:$D$260,0)),999+AU18)</f>
        <v>147</v>
      </c>
      <c r="AX18">
        <f t="shared" si="3"/>
        <v>1.6E-2</v>
      </c>
      <c r="AY18">
        <f>IFERROR(INDEX(Instructions!$U$111:$U$222,MATCH(AP18,Instructions!$T$111:$T$222,0)),0)</f>
        <v>0</v>
      </c>
      <c r="AZ18" s="197"/>
      <c r="BA18" s="512" t="str">
        <f>DEFproj!D22</f>
        <v>LAC</v>
      </c>
      <c r="BB18" s="503">
        <f>INDEX(Draft!$BW:$BW,MATCH(BA18,Draft_Names_Master,0))</f>
        <v>0</v>
      </c>
      <c r="BC18">
        <v>1.6E-2</v>
      </c>
      <c r="BD18">
        <f t="shared" si="4"/>
        <v>1.6E-2</v>
      </c>
      <c r="BE18" s="197"/>
      <c r="BF18" s="182" t="str">
        <f>IF(Kproj!D22=0, "", Kproj!D22)</f>
        <v>Jake Moody</v>
      </c>
      <c r="BG18" s="507" t="str">
        <f>INDEX(FFARawStatProjections!B:B,MATCH('Draft Slayer Classic'!BF18,FFARawStatProjections!A:A,0))</f>
        <v>SF</v>
      </c>
      <c r="BH18" s="503">
        <f>INDEX(Draft!$BW:$BW,MATCH(BF18,Draft_Names_Master,0))</f>
        <v>0</v>
      </c>
      <c r="BI18">
        <v>1.6E-2</v>
      </c>
      <c r="BJ18">
        <f t="shared" si="5"/>
        <v>1.6E-2</v>
      </c>
      <c r="BK18" s="203"/>
      <c r="BV18" t="str">
        <f>10&amp;6</f>
        <v>106</v>
      </c>
      <c r="BW18">
        <v>6</v>
      </c>
      <c r="BX18">
        <v>15</v>
      </c>
      <c r="BY18">
        <v>26</v>
      </c>
      <c r="BZ18">
        <v>35</v>
      </c>
      <c r="CA18">
        <v>46</v>
      </c>
      <c r="CB18">
        <v>55</v>
      </c>
      <c r="CC18">
        <v>66</v>
      </c>
      <c r="CD18">
        <v>75</v>
      </c>
      <c r="CE18">
        <v>86</v>
      </c>
      <c r="CF18">
        <v>95</v>
      </c>
      <c r="CG18">
        <v>106</v>
      </c>
      <c r="CH18">
        <v>115</v>
      </c>
      <c r="CI18">
        <v>126</v>
      </c>
      <c r="CJ18">
        <v>135</v>
      </c>
      <c r="CK18">
        <v>146</v>
      </c>
      <c r="CL18">
        <v>155</v>
      </c>
      <c r="CM18">
        <v>166</v>
      </c>
      <c r="CN18">
        <v>175</v>
      </c>
      <c r="CO18">
        <v>186</v>
      </c>
      <c r="CP18">
        <v>195</v>
      </c>
      <c r="CQ18">
        <v>206</v>
      </c>
      <c r="CR18">
        <v>215</v>
      </c>
      <c r="CS18">
        <v>226</v>
      </c>
      <c r="CT18">
        <v>235</v>
      </c>
      <c r="CU18">
        <v>246</v>
      </c>
      <c r="CW18">
        <f>IF(AND(CX18&lt;&gt;0,COUNTIF(CW$4:CW17, "QB") = 0), "QB", 0)</f>
        <v>0</v>
      </c>
      <c r="CX18">
        <f>IFERROR(IF(INDEX(Q:Q,MATCH(Instructions!F78,I:I,0))=1, 0, Instructions!F78), Instructions!F78)</f>
        <v>0</v>
      </c>
      <c r="CY18">
        <f>IF(AND(CZ18&lt;&gt;0,COUNTIF(CY$4:CY17, "RB") = 0), "RB", IF(CY17="RB", 1, 0))</f>
        <v>0</v>
      </c>
      <c r="CZ18">
        <f>IFERROR(IF(INDEX(AB:AB,MATCH(Instructions!K78,T:T,0))=1, 0, Instructions!K78), Instructions!K78)</f>
        <v>0</v>
      </c>
      <c r="DA18">
        <f>IF(AND(DB18&lt;&gt;0,COUNTIF(DA$4:DA17, "WR") = 0), "WR", IF(DA17="WR", 1, 0))</f>
        <v>0</v>
      </c>
      <c r="DB18">
        <f>IFERROR(IF(INDEX(AM:AM,MATCH(Instructions!F100,AE:AE,0))=1, 0, Instructions!F100), Instructions!F100)</f>
        <v>0</v>
      </c>
      <c r="DC18">
        <f>IF(AND(DD18&lt;&gt;0,COUNTIF(DC$4:DC17, "TE") = 0), "TE", 0)</f>
        <v>0</v>
      </c>
      <c r="DD18">
        <f>IFERROR(IF(VLOOKUP(Instructions!K100,AP:AX,6,FALSE)=1, 0, Instructions!K100), Instructions!K100)</f>
        <v>0</v>
      </c>
      <c r="DE18">
        <v>16</v>
      </c>
      <c r="DF18" t="str">
        <f>IF(IFERROR(MATCH(FFARawStatProjections!A19,Draft!BY:BY,0),1)&lt;=1,IF(FFARawStatProjections!A19=0,"",FFARawStatProjections!A19),"")</f>
        <v>Anthony Richardson</v>
      </c>
    </row>
    <row r="19" spans="1:110" ht="15.75" thickBot="1" x14ac:dyDescent="0.3">
      <c r="A19" s="196"/>
      <c r="B19" s="197"/>
      <c r="C19" s="197"/>
      <c r="D19" s="197"/>
      <c r="E19" s="197"/>
      <c r="F19" s="197"/>
      <c r="G19" s="197"/>
      <c r="H19" s="197"/>
      <c r="I19" s="180" t="str">
        <f>IF(QBproj!D23=0,"",QBproj!D23)</f>
        <v>Jared Goff</v>
      </c>
      <c r="J19" s="461" t="str">
        <f>QBproj!E23</f>
        <v>DET</v>
      </c>
      <c r="K19" s="184">
        <f>QBproj!F23</f>
        <v>283.52616999999998</v>
      </c>
      <c r="L19" s="517">
        <f>IFERROR(IF(QBproj!H23="",QBproj!G23,QBproj!H23),0)</f>
        <v>8</v>
      </c>
      <c r="M19" s="503">
        <f>INDEX(Draft!$BW:$BW,MATCH(I19,Draft_Names_Master,0))</f>
        <v>0</v>
      </c>
      <c r="N19">
        <v>1.7000000000000001E-2</v>
      </c>
      <c r="O19">
        <f>IFERROR(IF(INDEX(Instructions!$V$64:$V$83,MATCH('Draft Slayer Classic'!I19,Instructions!$S$64:$S$83,0))&lt;=$E$25,1,0),0)</f>
        <v>0</v>
      </c>
      <c r="P19">
        <f>IFERROR(INDEX(ADP!$A$7:$A$260,MATCH(I19,ADP!$D$7:$D$260,0)),999+N19)</f>
        <v>123</v>
      </c>
      <c r="Q19">
        <f t="shared" si="0"/>
        <v>1.7000000000000001E-2</v>
      </c>
      <c r="R19">
        <f>IFERROR(INDEX(Instructions!$U$111:$U$222,MATCH(I19,Instructions!$T$111:$T$222,0)),0)</f>
        <v>0</v>
      </c>
      <c r="S19" s="197"/>
      <c r="T19" s="187" t="str">
        <f>RBproj!D23</f>
        <v>Jahmyr Gibbs</v>
      </c>
      <c r="U19" s="461" t="str">
        <f>RBproj!E23</f>
        <v>DET</v>
      </c>
      <c r="V19" s="184">
        <f>RBproj!F23</f>
        <v>209.63133999999999</v>
      </c>
      <c r="W19" s="517">
        <f>IFERROR(IF(RBproj!H23="",RBproj!G23,RBproj!H23),0)</f>
        <v>5</v>
      </c>
      <c r="X19" s="504">
        <f>INDEX(Draft!$BW:$BW,MATCH(T19,Draft_Names_Master,0))</f>
        <v>0</v>
      </c>
      <c r="Y19">
        <v>1.7000000000000001E-2</v>
      </c>
      <c r="Z19">
        <f>IFERROR(IF(INDEX(Instructions!$X$64:$X$83,MATCH('Draft Slayer Classic'!T19,Instructions!$T$64:$T$83,0))&lt;=$E$25,1,0),0)</f>
        <v>0</v>
      </c>
      <c r="AA19">
        <f>IFERROR(INDEX(ADP!$A$7:$A$260,MATCH(T19,ADP!$D$7:$D$260,0)),999+Y19)</f>
        <v>40</v>
      </c>
      <c r="AB19">
        <f t="shared" si="1"/>
        <v>1.7000000000000001E-2</v>
      </c>
      <c r="AC19">
        <f>IFERROR(INDEX(Instructions!$U$111:$U$222,MATCH(T19,Instructions!$T$111:$T$222,0)),0)</f>
        <v>0</v>
      </c>
      <c r="AD19" s="197"/>
      <c r="AE19" s="187" t="str">
        <f>WRproj!D23</f>
        <v>Calvin Ridley</v>
      </c>
      <c r="AF19" s="461" t="str">
        <f>WRproj!E23</f>
        <v>JAC</v>
      </c>
      <c r="AG19" s="184">
        <f>WRproj!F23</f>
        <v>222.39326000000003</v>
      </c>
      <c r="AH19" s="517">
        <f>IFERROR(IF(WRproj!H23="",WRproj!G23,WRproj!H23),0)</f>
        <v>6</v>
      </c>
      <c r="AI19" s="503">
        <f>INDEX(Draft!$BW:$BW,MATCH(AE19,Draft_Names_Master,0))</f>
        <v>0</v>
      </c>
      <c r="AJ19">
        <v>1.7000000000000001E-2</v>
      </c>
      <c r="AK19">
        <f>IFERROR(IF(INDEX(Instructions!$V$86:$V$105,MATCH('Draft Slayer Classic'!AE19,Instructions!$S$86:$S$105,0))&lt;=$E$25,1,0),0)</f>
        <v>0</v>
      </c>
      <c r="AL19">
        <f>IFERROR(INDEX(ADP!$A$7:$A$260,MATCH(AE19,ADP!$D$7:$D$260,0)),999+AJ19)</f>
        <v>39</v>
      </c>
      <c r="AM19">
        <f t="shared" si="2"/>
        <v>1.7000000000000001E-2</v>
      </c>
      <c r="AN19">
        <f>IFERROR(INDEX(Instructions!$U$111:$U$222,MATCH(AE19,Instructions!$T$111:$T$222,0)),0)</f>
        <v>0</v>
      </c>
      <c r="AO19" s="197"/>
      <c r="AP19" s="187" t="str">
        <f>TEproj!D23</f>
        <v>Dalton Kincaid</v>
      </c>
      <c r="AQ19" s="461" t="str">
        <f>TEproj!E23</f>
        <v>BUF</v>
      </c>
      <c r="AR19" s="184">
        <f>TEproj!F23</f>
        <v>115.62626</v>
      </c>
      <c r="AS19" s="517">
        <f>IFERROR(IF(TEproj!H23="",TEproj!G23,TEproj!H23),0)</f>
        <v>8</v>
      </c>
      <c r="AT19" s="503">
        <f>INDEX(Draft!$BW:$BW,MATCH(AP19,Draft_Names_Master,0))</f>
        <v>0</v>
      </c>
      <c r="AU19">
        <v>1.7000000000000001E-2</v>
      </c>
      <c r="AV19">
        <f>IFERROR(IF(INDEX(Instructions!$X$86:$X$105,MATCH('Draft Slayer Classic'!AP19,Instructions!$T$86:$T$105,0))&lt;=$E$25,1,0),0)</f>
        <v>0</v>
      </c>
      <c r="AW19">
        <f>IFERROR(INDEX(ADP!$A$7:$A$260,MATCH(AP19,ADP!$D$7:$D$260,0)),999+AU19)</f>
        <v>155</v>
      </c>
      <c r="AX19">
        <f t="shared" si="3"/>
        <v>1.7000000000000001E-2</v>
      </c>
      <c r="AY19">
        <f>IFERROR(INDEX(Instructions!$U$111:$U$222,MATCH(AP19,Instructions!$T$111:$T$222,0)),0)</f>
        <v>0</v>
      </c>
      <c r="AZ19" s="197"/>
      <c r="BA19" s="513" t="str">
        <f>DEFproj!D23</f>
        <v>DET</v>
      </c>
      <c r="BB19" s="504">
        <f>INDEX(Draft!$BW:$BW,MATCH(BA19,Draft_Names_Master,0))</f>
        <v>0</v>
      </c>
      <c r="BC19">
        <v>1.7000000000000001E-2</v>
      </c>
      <c r="BD19">
        <f t="shared" si="4"/>
        <v>1.7000000000000001E-2</v>
      </c>
      <c r="BE19" s="197"/>
      <c r="BF19" s="187" t="str">
        <f>IF(Kproj!D23=0, "", Kproj!D23)</f>
        <v>Cairo Santos</v>
      </c>
      <c r="BG19" s="508" t="str">
        <f>INDEX(FFARawStatProjections!B:B,MATCH('Draft Slayer Classic'!BF19,FFARawStatProjections!A:A,0))</f>
        <v>CHI</v>
      </c>
      <c r="BH19" s="504">
        <f>INDEX(Draft!$BW:$BW,MATCH(BF19,Draft_Names_Master,0))</f>
        <v>0</v>
      </c>
      <c r="BI19">
        <v>1.7000000000000001E-2</v>
      </c>
      <c r="BJ19">
        <f t="shared" si="5"/>
        <v>1.7000000000000001E-2</v>
      </c>
      <c r="BK19" s="203"/>
      <c r="BV19" t="str">
        <f>10&amp;7</f>
        <v>107</v>
      </c>
      <c r="BW19">
        <v>7</v>
      </c>
      <c r="BX19">
        <v>14</v>
      </c>
      <c r="BY19">
        <v>27</v>
      </c>
      <c r="BZ19">
        <v>34</v>
      </c>
      <c r="CA19">
        <v>47</v>
      </c>
      <c r="CB19">
        <v>54</v>
      </c>
      <c r="CC19">
        <v>67</v>
      </c>
      <c r="CD19">
        <v>74</v>
      </c>
      <c r="CE19">
        <v>87</v>
      </c>
      <c r="CF19">
        <v>94</v>
      </c>
      <c r="CG19">
        <v>107</v>
      </c>
      <c r="CH19">
        <v>114</v>
      </c>
      <c r="CI19">
        <v>127</v>
      </c>
      <c r="CJ19">
        <v>134</v>
      </c>
      <c r="CK19">
        <v>147</v>
      </c>
      <c r="CL19">
        <v>154</v>
      </c>
      <c r="CM19">
        <v>167</v>
      </c>
      <c r="CN19">
        <v>174</v>
      </c>
      <c r="CO19">
        <v>187</v>
      </c>
      <c r="CP19">
        <v>194</v>
      </c>
      <c r="CQ19">
        <v>207</v>
      </c>
      <c r="CR19">
        <v>214</v>
      </c>
      <c r="CS19">
        <v>227</v>
      </c>
      <c r="CT19">
        <v>234</v>
      </c>
      <c r="CU19">
        <v>247</v>
      </c>
      <c r="CW19">
        <f>IF(AND(CX19&lt;&gt;0,COUNTIF(CW$4:CW18, "QB") = 0), "QB", 0)</f>
        <v>0</v>
      </c>
      <c r="CX19">
        <f>IFERROR(IF(INDEX(Q:Q,MATCH(Instructions!F79,I:I,0))=1, 0, Instructions!F79), Instructions!F79)</f>
        <v>0</v>
      </c>
      <c r="CY19">
        <f>IF(AND(CZ19&lt;&gt;0,COUNTIF(CY$4:CY18, "RB") = 0), "RB", IF(CY18="RB", 1, 0))</f>
        <v>0</v>
      </c>
      <c r="CZ19">
        <f>IFERROR(IF(INDEX(AB:AB,MATCH(Instructions!K79,T:T,0))=1, 0, Instructions!K79), Instructions!K79)</f>
        <v>0</v>
      </c>
      <c r="DA19">
        <f>IF(AND(DB19&lt;&gt;0,COUNTIF(DA$4:DA18, "WR") = 0), "WR", IF(DA18="WR", 1, 0))</f>
        <v>0</v>
      </c>
      <c r="DB19">
        <f>IFERROR(IF(INDEX(AM:AM,MATCH(Instructions!F101,AE:AE,0))=1, 0, Instructions!F101), Instructions!F101)</f>
        <v>0</v>
      </c>
      <c r="DC19">
        <f>IF(AND(DD19&lt;&gt;0,COUNTIF(DC$4:DC18, "TE") = 0), "TE", 0)</f>
        <v>0</v>
      </c>
      <c r="DD19">
        <f>IFERROR(IF(VLOOKUP(Instructions!K101,AP:AX,6,FALSE)=1, 0, Instructions!K101), Instructions!K101)</f>
        <v>0</v>
      </c>
      <c r="DE19">
        <v>17</v>
      </c>
      <c r="DF19" t="str">
        <f>IF(IFERROR(MATCH(FFARawStatProjections!A20,Draft!BY:BY,0),1)&lt;=1,IF(FFARawStatProjections!A20=0,"",FFARawStatProjections!A20),"")</f>
        <v>Derek Carr</v>
      </c>
    </row>
    <row r="20" spans="1:110" ht="15.75" thickBot="1" x14ac:dyDescent="0.3">
      <c r="A20" s="196"/>
      <c r="B20" s="673" t="s">
        <v>914</v>
      </c>
      <c r="C20" s="676"/>
      <c r="D20" s="676"/>
      <c r="E20" s="677"/>
      <c r="F20" s="207"/>
      <c r="G20" s="207">
        <f>IFERROR(INDEX(Instructions!U111:U222,MATCH(E25,Instructions!U111:U222,0)),0)</f>
        <v>0</v>
      </c>
      <c r="H20" s="197"/>
      <c r="I20" s="182" t="str">
        <f>IF(QBproj!D24=0,"",QBproj!D24)</f>
        <v>Anthony Richardson</v>
      </c>
      <c r="J20" s="290" t="str">
        <f>QBproj!E24</f>
        <v>IND</v>
      </c>
      <c r="K20" s="183">
        <f>QBproj!F24</f>
        <v>273.84818000000001</v>
      </c>
      <c r="L20" s="517">
        <f>IFERROR(IF(QBproj!H24="",QBproj!G24,QBproj!H24),0)</f>
        <v>8</v>
      </c>
      <c r="M20" s="504">
        <f>INDEX(Draft!$BW:$BW,MATCH(I20,Draft_Names_Master,0))</f>
        <v>0</v>
      </c>
      <c r="N20">
        <v>1.7999999999999999E-2</v>
      </c>
      <c r="O20">
        <f>IFERROR(IF(INDEX(Instructions!$V$64:$V$83,MATCH('Draft Slayer Classic'!I20,Instructions!$S$64:$S$83,0))&lt;=$E$25,1,0),0)</f>
        <v>0</v>
      </c>
      <c r="P20">
        <f>IFERROR(INDEX(ADP!$A$7:$A$260,MATCH(I20,ADP!$D$7:$D$260,0)),999+N20)</f>
        <v>138</v>
      </c>
      <c r="Q20">
        <f t="shared" si="0"/>
        <v>1.7999999999999999E-2</v>
      </c>
      <c r="R20">
        <f>IFERROR(INDEX(Instructions!$U$111:$U$222,MATCH(I20,Instructions!$T$111:$T$222,0)),0)</f>
        <v>0</v>
      </c>
      <c r="S20" s="197"/>
      <c r="T20" s="182" t="str">
        <f>RBproj!D24</f>
        <v>Kenneth Walker</v>
      </c>
      <c r="U20" s="290" t="str">
        <f>RBproj!E24</f>
        <v>SEA</v>
      </c>
      <c r="V20" s="183">
        <f>RBproj!F24</f>
        <v>204.69139999999999</v>
      </c>
      <c r="W20" s="517">
        <f>IFERROR(IF(RBproj!H24="",RBproj!G24,RBproj!H24),0)</f>
        <v>6</v>
      </c>
      <c r="X20" s="504">
        <f>INDEX(Draft!$BW:$BW,MATCH(T20,Draft_Names_Master,0))</f>
        <v>0</v>
      </c>
      <c r="Y20">
        <v>1.7999999999999999E-2</v>
      </c>
      <c r="Z20">
        <f>IFERROR(IF(INDEX(Instructions!$X$64:$X$83,MATCH('Draft Slayer Classic'!T20,Instructions!$T$64:$T$83,0))&lt;=$E$25,1,0),0)</f>
        <v>0</v>
      </c>
      <c r="AA20">
        <f>IFERROR(INDEX(ADP!$A$7:$A$260,MATCH(T20,ADP!$D$7:$D$260,0)),999+Y20)</f>
        <v>41</v>
      </c>
      <c r="AB20">
        <f t="shared" si="1"/>
        <v>1.7999999999999999E-2</v>
      </c>
      <c r="AC20">
        <f>IFERROR(INDEX(Instructions!$U$111:$U$222,MATCH(T20,Instructions!$T$111:$T$222,0)),0)</f>
        <v>0</v>
      </c>
      <c r="AD20" s="197"/>
      <c r="AE20" s="182" t="str">
        <f>WRproj!D24</f>
        <v>Amari Cooper</v>
      </c>
      <c r="AF20" s="290" t="str">
        <f>WRproj!E24</f>
        <v>CLE</v>
      </c>
      <c r="AG20" s="183">
        <f>WRproj!F24</f>
        <v>222.30333000000002</v>
      </c>
      <c r="AH20" s="517">
        <f>IFERROR(IF(WRproj!H24="",WRproj!G24,WRproj!H24),0)</f>
        <v>6</v>
      </c>
      <c r="AI20" s="503">
        <f>INDEX(Draft!$BW:$BW,MATCH(AE20,Draft_Names_Master,0))</f>
        <v>0</v>
      </c>
      <c r="AJ20">
        <v>1.7999999999999999E-2</v>
      </c>
      <c r="AK20">
        <f>IFERROR(IF(INDEX(Instructions!$V$86:$V$105,MATCH('Draft Slayer Classic'!AE20,Instructions!$S$86:$S$105,0))&lt;=$E$25,1,0),0)</f>
        <v>0</v>
      </c>
      <c r="AL20">
        <f>IFERROR(INDEX(ADP!$A$7:$A$260,MATCH(AE20,ADP!$D$7:$D$260,0)),999+AJ20)</f>
        <v>32</v>
      </c>
      <c r="AM20">
        <f t="shared" si="2"/>
        <v>1.7999999999999999E-2</v>
      </c>
      <c r="AN20">
        <f>IFERROR(INDEX(Instructions!$U$111:$U$222,MATCH(AE20,Instructions!$T$111:$T$222,0)),0)</f>
        <v>0</v>
      </c>
      <c r="AO20" s="197"/>
      <c r="AP20" s="182" t="str">
        <f>TEproj!D24</f>
        <v>Juwan Johnson</v>
      </c>
      <c r="AQ20" s="290" t="str">
        <f>TEproj!E24</f>
        <v>NO</v>
      </c>
      <c r="AR20" s="183">
        <f>TEproj!F24</f>
        <v>113.19624999999999</v>
      </c>
      <c r="AS20" s="517">
        <f>IFERROR(IF(TEproj!H24="",TEproj!G24,TEproj!H24),0)</f>
        <v>8</v>
      </c>
      <c r="AT20" s="504">
        <f>INDEX(Draft!$BW:$BW,MATCH(AP20,Draft_Names_Master,0))</f>
        <v>0</v>
      </c>
      <c r="AU20">
        <v>1.7999999999999999E-2</v>
      </c>
      <c r="AV20">
        <f>IFERROR(IF(INDEX(Instructions!$X$86:$X$105,MATCH('Draft Slayer Classic'!AP20,Instructions!$T$86:$T$105,0))&lt;=$E$25,1,0),0)</f>
        <v>0</v>
      </c>
      <c r="AW20">
        <f>IFERROR(INDEX(ADP!$A$7:$A$260,MATCH(AP20,ADP!$D$7:$D$260,0)),999+AU20)</f>
        <v>999.01800000000003</v>
      </c>
      <c r="AX20">
        <f t="shared" si="3"/>
        <v>1.7999999999999999E-2</v>
      </c>
      <c r="AY20">
        <f>IFERROR(INDEX(Instructions!$U$111:$U$222,MATCH(AP20,Instructions!$T$111:$T$222,0)),0)</f>
        <v>0</v>
      </c>
      <c r="AZ20" s="197"/>
      <c r="BA20" s="512" t="str">
        <f>DEFproj!D24</f>
        <v>HOU</v>
      </c>
      <c r="BB20" s="503">
        <f>INDEX(Draft!$BW:$BW,MATCH(BA20,Draft_Names_Master,0))</f>
        <v>0</v>
      </c>
      <c r="BC20">
        <v>1.7999999999999999E-2</v>
      </c>
      <c r="BD20">
        <f t="shared" si="4"/>
        <v>1.7999999999999999E-2</v>
      </c>
      <c r="BE20" s="197"/>
      <c r="BF20" s="182" t="str">
        <f>IF(Kproj!D24=0, "", Kproj!D24)</f>
        <v>Chase McLaughlin</v>
      </c>
      <c r="BG20" s="507" t="str">
        <f>INDEX(FFARawStatProjections!B:B,MATCH('Draft Slayer Classic'!BF20,FFARawStatProjections!A:A,0))</f>
        <v>TB</v>
      </c>
      <c r="BH20" s="503">
        <f>INDEX(Draft!$BW:$BW,MATCH(BF20,Draft_Names_Master,0))</f>
        <v>0</v>
      </c>
      <c r="BI20">
        <v>1.7999999999999999E-2</v>
      </c>
      <c r="BJ20">
        <f t="shared" si="5"/>
        <v>1.7999999999999999E-2</v>
      </c>
      <c r="BK20" s="203"/>
      <c r="BV20" t="str">
        <f>10&amp;8</f>
        <v>108</v>
      </c>
      <c r="BW20">
        <v>8</v>
      </c>
      <c r="BX20">
        <v>13</v>
      </c>
      <c r="BY20">
        <v>28</v>
      </c>
      <c r="BZ20">
        <v>33</v>
      </c>
      <c r="CA20">
        <v>48</v>
      </c>
      <c r="CB20">
        <v>53</v>
      </c>
      <c r="CC20">
        <v>68</v>
      </c>
      <c r="CD20">
        <v>73</v>
      </c>
      <c r="CE20">
        <v>88</v>
      </c>
      <c r="CF20">
        <v>93</v>
      </c>
      <c r="CG20">
        <v>108</v>
      </c>
      <c r="CH20">
        <v>113</v>
      </c>
      <c r="CI20">
        <v>128</v>
      </c>
      <c r="CJ20">
        <v>133</v>
      </c>
      <c r="CK20">
        <v>148</v>
      </c>
      <c r="CL20">
        <v>153</v>
      </c>
      <c r="CM20">
        <v>168</v>
      </c>
      <c r="CN20">
        <v>173</v>
      </c>
      <c r="CO20">
        <v>188</v>
      </c>
      <c r="CP20">
        <v>193</v>
      </c>
      <c r="CQ20">
        <v>208</v>
      </c>
      <c r="CR20">
        <v>213</v>
      </c>
      <c r="CS20">
        <v>228</v>
      </c>
      <c r="CT20">
        <v>233</v>
      </c>
      <c r="CU20">
        <v>248</v>
      </c>
      <c r="CW20">
        <f>IF(AND(CX20&lt;&gt;0,COUNTIF(CW$4:CW19, "QB") = 0), "QB", 0)</f>
        <v>0</v>
      </c>
      <c r="CX20">
        <f>IFERROR(IF(INDEX(Q:Q,MATCH(Instructions!F80,I:I,0))=1, 0, Instructions!F80), Instructions!F80)</f>
        <v>0</v>
      </c>
      <c r="CY20">
        <f>IF(AND(CZ20&lt;&gt;0,COUNTIF(CY$4:CY19, "RB") = 0), "RB", IF(CY19="RB", 1, 0))</f>
        <v>0</v>
      </c>
      <c r="CZ20">
        <f>IFERROR(IF(INDEX(AB:AB,MATCH(Instructions!K80,T:T,0))=1, 0, Instructions!K80), Instructions!K80)</f>
        <v>0</v>
      </c>
      <c r="DA20">
        <f>IF(AND(DB20&lt;&gt;0,COUNTIF(DA$4:DA19, "WR") = 0), "WR", IF(DA19="WR", 1, 0))</f>
        <v>0</v>
      </c>
      <c r="DB20">
        <f>IFERROR(IF(INDEX(AM:AM,MATCH(Instructions!F102,AE:AE,0))=1, 0, Instructions!F102), Instructions!F102)</f>
        <v>0</v>
      </c>
      <c r="DC20">
        <f>IF(AND(DD20&lt;&gt;0,COUNTIF(DC$4:DC19, "TE") = 0), "TE", 0)</f>
        <v>0</v>
      </c>
      <c r="DD20">
        <f>IFERROR(IF(VLOOKUP(Instructions!K102,AP:AX,6,FALSE)=1, 0, Instructions!K102), Instructions!K102)</f>
        <v>0</v>
      </c>
      <c r="DE20">
        <v>18</v>
      </c>
      <c r="DF20" t="str">
        <f>IF(IFERROR(MATCH(FFARawStatProjections!A21,Draft!BY:BY,0),1)&lt;=1,IF(FFARawStatProjections!A21=0,"",FFARawStatProjections!A21),"")</f>
        <v>Matthew Stafford</v>
      </c>
    </row>
    <row r="21" spans="1:110" x14ac:dyDescent="0.25">
      <c r="A21" s="196"/>
      <c r="B21" s="684" t="s">
        <v>958</v>
      </c>
      <c r="C21" s="685"/>
      <c r="D21" s="685"/>
      <c r="E21" s="161">
        <f>Instructions!E11</f>
        <v>12</v>
      </c>
      <c r="F21" s="207"/>
      <c r="G21" s="207"/>
      <c r="H21" s="197"/>
      <c r="I21" s="180" t="str">
        <f>IF(QBproj!D25=0,"",QBproj!D25)</f>
        <v>Derek Carr</v>
      </c>
      <c r="J21" s="461" t="str">
        <f>QBproj!E25</f>
        <v>NO</v>
      </c>
      <c r="K21" s="184">
        <f>QBproj!F25</f>
        <v>257.57819000000001</v>
      </c>
      <c r="L21" s="517">
        <f>IFERROR(IF(QBproj!H25="",QBproj!G25,QBproj!H25),0)</f>
        <v>8</v>
      </c>
      <c r="M21" s="503">
        <f>INDEX(Draft!$BW:$BW,MATCH(I21,Draft_Names_Master,0))</f>
        <v>0</v>
      </c>
      <c r="N21">
        <v>1.9E-2</v>
      </c>
      <c r="O21">
        <f>IFERROR(IF(INDEX(Instructions!$V$64:$V$83,MATCH('Draft Slayer Classic'!I21,Instructions!$S$64:$S$83,0))&lt;=$E$25,1,0),0)</f>
        <v>0</v>
      </c>
      <c r="P21">
        <f>IFERROR(INDEX(ADP!$A$7:$A$260,MATCH(I21,ADP!$D$7:$D$260,0)),999+N21)</f>
        <v>157</v>
      </c>
      <c r="Q21">
        <f t="shared" si="0"/>
        <v>1.9E-2</v>
      </c>
      <c r="R21">
        <f>IFERROR(INDEX(Instructions!$U$111:$U$222,MATCH(I21,Instructions!$T$111:$T$222,0)),0)</f>
        <v>0</v>
      </c>
      <c r="S21" s="197"/>
      <c r="T21" s="187" t="str">
        <f>RBproj!D25</f>
        <v>Dameon Pierce</v>
      </c>
      <c r="U21" s="461" t="str">
        <f>RBproj!E25</f>
        <v>HOU</v>
      </c>
      <c r="V21" s="184">
        <f>RBproj!F25</f>
        <v>202.70132999999998</v>
      </c>
      <c r="W21" s="517">
        <f>IFERROR(IF(RBproj!H25="",RBproj!G25,RBproj!H25),0)</f>
        <v>6</v>
      </c>
      <c r="X21" s="504">
        <f>INDEX(Draft!$BW:$BW,MATCH(T21,Draft_Names_Master,0))</f>
        <v>0</v>
      </c>
      <c r="Y21">
        <v>1.9E-2</v>
      </c>
      <c r="Z21">
        <f>IFERROR(IF(INDEX(Instructions!$X$64:$X$83,MATCH('Draft Slayer Classic'!T21,Instructions!$T$64:$T$83,0))&lt;=$E$25,1,0),0)</f>
        <v>0</v>
      </c>
      <c r="AA21">
        <f>IFERROR(INDEX(ADP!$A$7:$A$260,MATCH(T21,ADP!$D$7:$D$260,0)),999+Y21)</f>
        <v>55</v>
      </c>
      <c r="AB21">
        <f t="shared" si="1"/>
        <v>1.9E-2</v>
      </c>
      <c r="AC21">
        <f>IFERROR(INDEX(Instructions!$U$111:$U$222,MATCH(T21,Instructions!$T$111:$T$222,0)),0)</f>
        <v>0</v>
      </c>
      <c r="AD21" s="197"/>
      <c r="AE21" s="187" t="str">
        <f>WRproj!D25</f>
        <v>Christian Watson</v>
      </c>
      <c r="AF21" s="461" t="str">
        <f>WRproj!E25</f>
        <v>GB</v>
      </c>
      <c r="AG21" s="184">
        <f>WRproj!F25</f>
        <v>218.83329000000001</v>
      </c>
      <c r="AH21" s="517">
        <f>IFERROR(IF(WRproj!H25="",WRproj!G25,WRproj!H25),0)</f>
        <v>6</v>
      </c>
      <c r="AI21" s="503">
        <f>INDEX(Draft!$BW:$BW,MATCH(AE21,Draft_Names_Master,0))</f>
        <v>0</v>
      </c>
      <c r="AJ21">
        <v>1.9E-2</v>
      </c>
      <c r="AK21">
        <f>IFERROR(IF(INDEX(Instructions!$V$86:$V$105,MATCH('Draft Slayer Classic'!AE21,Instructions!$S$86:$S$105,0))&lt;=$E$25,1,0),0)</f>
        <v>0</v>
      </c>
      <c r="AL21">
        <f>IFERROR(INDEX(ADP!$A$7:$A$260,MATCH(AE21,ADP!$D$7:$D$260,0)),999+AJ21)</f>
        <v>51</v>
      </c>
      <c r="AM21">
        <f t="shared" si="2"/>
        <v>1.9E-2</v>
      </c>
      <c r="AN21">
        <f>IFERROR(INDEX(Instructions!$U$111:$U$222,MATCH(AE21,Instructions!$T$111:$T$222,0)),0)</f>
        <v>0</v>
      </c>
      <c r="AO21" s="197"/>
      <c r="AP21" s="187" t="str">
        <f>TEproj!D25</f>
        <v>Sam LaPorta</v>
      </c>
      <c r="AQ21" s="461" t="str">
        <f>TEproj!E25</f>
        <v>DET</v>
      </c>
      <c r="AR21" s="184">
        <f>TEproj!F25</f>
        <v>110.22627</v>
      </c>
      <c r="AS21" s="517">
        <f>IFERROR(IF(TEproj!H25="",TEproj!G25,TEproj!H25),0)</f>
        <v>8</v>
      </c>
      <c r="AT21" s="503">
        <f>INDEX(Draft!$BW:$BW,MATCH(AP21,Draft_Names_Master,0))</f>
        <v>0</v>
      </c>
      <c r="AU21">
        <v>1.9E-2</v>
      </c>
      <c r="AV21">
        <f>IFERROR(IF(INDEX(Instructions!$X$86:$X$105,MATCH('Draft Slayer Classic'!AP21,Instructions!$T$86:$T$105,0))&lt;=$E$25,1,0),0)</f>
        <v>0</v>
      </c>
      <c r="AW21">
        <f>IFERROR(INDEX(ADP!$A$7:$A$260,MATCH(AP21,ADP!$D$7:$D$260,0)),999+AU21)</f>
        <v>181</v>
      </c>
      <c r="AX21">
        <f t="shared" si="3"/>
        <v>1.9E-2</v>
      </c>
      <c r="AY21">
        <f>IFERROR(INDEX(Instructions!$U$111:$U$222,MATCH(AP21,Instructions!$T$111:$T$222,0)),0)</f>
        <v>0</v>
      </c>
      <c r="AZ21" s="197"/>
      <c r="BA21" s="513" t="str">
        <f>DEFproj!D25</f>
        <v>MIN</v>
      </c>
      <c r="BB21" s="504">
        <f>INDEX(Draft!$BW:$BW,MATCH(BA21,Draft_Names_Master,0))</f>
        <v>0</v>
      </c>
      <c r="BC21">
        <v>1.9E-2</v>
      </c>
      <c r="BD21">
        <f t="shared" si="4"/>
        <v>1.9E-2</v>
      </c>
      <c r="BE21" s="197"/>
      <c r="BF21" s="187" t="str">
        <f>IF(Kproj!D25=0, "", Kproj!D25)</f>
        <v>Nick Folk</v>
      </c>
      <c r="BG21" s="508" t="str">
        <f>INDEX(FFARawStatProjections!B:B,MATCH('Draft Slayer Classic'!BF21,FFARawStatProjections!A:A,0))</f>
        <v>NE</v>
      </c>
      <c r="BH21" s="504">
        <f>INDEX(Draft!$BW:$BW,MATCH(BF21,Draft_Names_Master,0))</f>
        <v>0</v>
      </c>
      <c r="BI21">
        <v>1.9E-2</v>
      </c>
      <c r="BJ21">
        <f t="shared" si="5"/>
        <v>1.9E-2</v>
      </c>
      <c r="BK21" s="203"/>
      <c r="BV21" t="str">
        <f>10&amp;9</f>
        <v>109</v>
      </c>
      <c r="BW21">
        <v>9</v>
      </c>
      <c r="BX21">
        <v>12</v>
      </c>
      <c r="BY21">
        <v>29</v>
      </c>
      <c r="BZ21">
        <v>32</v>
      </c>
      <c r="CA21">
        <v>49</v>
      </c>
      <c r="CB21">
        <v>52</v>
      </c>
      <c r="CC21">
        <v>69</v>
      </c>
      <c r="CD21">
        <v>72</v>
      </c>
      <c r="CE21">
        <v>89</v>
      </c>
      <c r="CF21">
        <v>92</v>
      </c>
      <c r="CG21">
        <v>109</v>
      </c>
      <c r="CH21">
        <v>112</v>
      </c>
      <c r="CI21">
        <v>129</v>
      </c>
      <c r="CJ21">
        <v>132</v>
      </c>
      <c r="CK21">
        <v>149</v>
      </c>
      <c r="CL21">
        <v>152</v>
      </c>
      <c r="CM21">
        <v>169</v>
      </c>
      <c r="CN21">
        <v>172</v>
      </c>
      <c r="CO21">
        <v>189</v>
      </c>
      <c r="CP21">
        <v>192</v>
      </c>
      <c r="CQ21">
        <v>209</v>
      </c>
      <c r="CR21">
        <v>212</v>
      </c>
      <c r="CS21">
        <v>229</v>
      </c>
      <c r="CT21">
        <v>232</v>
      </c>
      <c r="CU21">
        <v>249</v>
      </c>
      <c r="CW21">
        <f>IF(AND(CX21&lt;&gt;0,COUNTIF(CW$4:CW20, "QB") = 0), "QB", 0)</f>
        <v>0</v>
      </c>
      <c r="CX21">
        <f>IFERROR(IF(INDEX(Q:Q,MATCH(Instructions!F81,I:I,0))=1, 0, Instructions!F81), Instructions!F81)</f>
        <v>0</v>
      </c>
      <c r="CY21">
        <f>IF(AND(CZ21&lt;&gt;0,COUNTIF(CY$4:CY20, "RB") = 0), "RB", IF(CY20="RB", 1, 0))</f>
        <v>0</v>
      </c>
      <c r="CZ21">
        <f>IFERROR(IF(INDEX(AB:AB,MATCH(Instructions!K81,T:T,0))=1, 0, Instructions!K81), Instructions!K81)</f>
        <v>0</v>
      </c>
      <c r="DA21">
        <f>IF(AND(DB21&lt;&gt;0,COUNTIF(DA$4:DA20, "WR") = 0), "WR", IF(DA20="WR", 1, 0))</f>
        <v>0</v>
      </c>
      <c r="DB21">
        <f>IFERROR(IF(INDEX(AM:AM,MATCH(Instructions!F103,AE:AE,0))=1, 0, Instructions!F103), Instructions!F103)</f>
        <v>0</v>
      </c>
      <c r="DC21">
        <f>IF(AND(DD21&lt;&gt;0,COUNTIF(DC$4:DC20, "TE") = 0), "TE", 0)</f>
        <v>0</v>
      </c>
      <c r="DD21">
        <f>IFERROR(IF(VLOOKUP(Instructions!K103,AP:AX,6,FALSE)=1, 0, Instructions!K103), Instructions!K103)</f>
        <v>0</v>
      </c>
      <c r="DE21">
        <v>19</v>
      </c>
      <c r="DF21" t="str">
        <f>IF(IFERROR(MATCH(FFARawStatProjections!A22,Draft!BY:BY,0),1)&lt;=1,IF(FFARawStatProjections!A22=0,"",FFARawStatProjections!A22),"")</f>
        <v>Jordan Love</v>
      </c>
    </row>
    <row r="22" spans="1:110" x14ac:dyDescent="0.25">
      <c r="A22" s="196"/>
      <c r="B22" s="678" t="s">
        <v>705</v>
      </c>
      <c r="C22" s="679"/>
      <c r="D22" s="679"/>
      <c r="E22" s="162">
        <f>Instructions!J11</f>
        <v>2</v>
      </c>
      <c r="F22" s="207"/>
      <c r="G22" s="207"/>
      <c r="H22" s="197"/>
      <c r="I22" s="182" t="str">
        <f>IF(QBproj!D26=0,"",QBproj!D26)</f>
        <v>Matthew Stafford</v>
      </c>
      <c r="J22" s="290" t="str">
        <f>QBproj!E26</f>
        <v>LAR</v>
      </c>
      <c r="K22" s="183">
        <f>QBproj!F26</f>
        <v>257.20819999999998</v>
      </c>
      <c r="L22" s="517">
        <f>IFERROR(IF(QBproj!H26="",QBproj!G26,QBproj!H26),0)</f>
        <v>8</v>
      </c>
      <c r="M22" s="504">
        <f>INDEX(Draft!$BW:$BW,MATCH(I22,Draft_Names_Master,0))</f>
        <v>0</v>
      </c>
      <c r="N22">
        <v>0.02</v>
      </c>
      <c r="O22">
        <f>IFERROR(IF(INDEX(Instructions!$V$64:$V$83,MATCH('Draft Slayer Classic'!I22,Instructions!$S$64:$S$83,0))&lt;=$E$25,1,0),0)</f>
        <v>0</v>
      </c>
      <c r="P22">
        <f>IFERROR(INDEX(ADP!$A$7:$A$260,MATCH(I22,ADP!$D$7:$D$260,0)),999+N22)</f>
        <v>166</v>
      </c>
      <c r="Q22">
        <f t="shared" si="0"/>
        <v>0.02</v>
      </c>
      <c r="R22">
        <f>IFERROR(INDEX(Instructions!$U$111:$U$222,MATCH(I22,Instructions!$T$111:$T$222,0)),0)</f>
        <v>0</v>
      </c>
      <c r="S22" s="197"/>
      <c r="T22" s="182" t="str">
        <f>RBproj!D26</f>
        <v>Rachaad White</v>
      </c>
      <c r="U22" s="290" t="str">
        <f>RBproj!E26</f>
        <v>TB</v>
      </c>
      <c r="V22" s="183">
        <f>RBproj!F26</f>
        <v>200.10129999999998</v>
      </c>
      <c r="W22" s="517">
        <f>IFERROR(IF(RBproj!H26="",RBproj!G26,RBproj!H26),0)</f>
        <v>6</v>
      </c>
      <c r="X22" s="504">
        <f>INDEX(Draft!$BW:$BW,MATCH(T22,Draft_Names_Master,0))</f>
        <v>0</v>
      </c>
      <c r="Y22">
        <v>0.02</v>
      </c>
      <c r="Z22">
        <f>IFERROR(IF(INDEX(Instructions!$X$64:$X$83,MATCH('Draft Slayer Classic'!T22,Instructions!$T$64:$T$83,0))&lt;=$E$25,1,0),0)</f>
        <v>0</v>
      </c>
      <c r="AA22">
        <f>IFERROR(INDEX(ADP!$A$7:$A$260,MATCH(T22,ADP!$D$7:$D$260,0)),999+Y22)</f>
        <v>66</v>
      </c>
      <c r="AB22">
        <f t="shared" si="1"/>
        <v>0.02</v>
      </c>
      <c r="AC22">
        <f>IFERROR(INDEX(Instructions!$U$111:$U$222,MATCH(T22,Instructions!$T$111:$T$222,0)),0)</f>
        <v>0</v>
      </c>
      <c r="AD22" s="197"/>
      <c r="AE22" s="182" t="str">
        <f>WRproj!D26</f>
        <v>Keenan Allen</v>
      </c>
      <c r="AF22" s="290" t="str">
        <f>WRproj!E26</f>
        <v>LAC</v>
      </c>
      <c r="AG22" s="183">
        <f>WRproj!F26</f>
        <v>214.0333</v>
      </c>
      <c r="AH22" s="517">
        <f>IFERROR(IF(WRproj!H26="",WRproj!G26,WRproj!H26),0)</f>
        <v>6</v>
      </c>
      <c r="AI22" s="503">
        <f>INDEX(Draft!$BW:$BW,MATCH(AE22,Draft_Names_Master,0))</f>
        <v>0</v>
      </c>
      <c r="AJ22">
        <v>0.02</v>
      </c>
      <c r="AK22">
        <f>IFERROR(IF(INDEX(Instructions!$V$86:$V$105,MATCH('Draft Slayer Classic'!AE22,Instructions!$S$86:$S$105,0))&lt;=$E$25,1,0),0)</f>
        <v>0</v>
      </c>
      <c r="AL22">
        <f>IFERROR(INDEX(ADP!$A$7:$A$260,MATCH(AE22,ADP!$D$7:$D$260,0)),999+AJ22)</f>
        <v>44</v>
      </c>
      <c r="AM22">
        <f t="shared" si="2"/>
        <v>0.02</v>
      </c>
      <c r="AN22">
        <f>IFERROR(INDEX(Instructions!$U$111:$U$222,MATCH(AE22,Instructions!$T$111:$T$222,0)),0)</f>
        <v>0</v>
      </c>
      <c r="AO22" s="197"/>
      <c r="AP22" s="182" t="str">
        <f>TEproj!D26</f>
        <v>Irv Smith</v>
      </c>
      <c r="AQ22" s="290" t="str">
        <f>TEproj!E26</f>
        <v>CIN</v>
      </c>
      <c r="AR22" s="183">
        <f>TEproj!F26</f>
        <v>109.23629000000001</v>
      </c>
      <c r="AS22" s="517">
        <f>IFERROR(IF(TEproj!H26="",TEproj!G26,TEproj!H26),0)</f>
        <v>8</v>
      </c>
      <c r="AT22" s="504">
        <f>INDEX(Draft!$BW:$BW,MATCH(AP22,Draft_Names_Master,0))</f>
        <v>0</v>
      </c>
      <c r="AU22">
        <v>0.02</v>
      </c>
      <c r="AV22">
        <f>IFERROR(IF(INDEX(Instructions!$X$86:$X$105,MATCH('Draft Slayer Classic'!AP22,Instructions!$T$86:$T$105,0))&lt;=$E$25,1,0),0)</f>
        <v>0</v>
      </c>
      <c r="AW22">
        <f>IFERROR(INDEX(ADP!$A$7:$A$260,MATCH(AP22,ADP!$D$7:$D$260,0)),999+AU22)</f>
        <v>999.02</v>
      </c>
      <c r="AX22">
        <f t="shared" si="3"/>
        <v>0.02</v>
      </c>
      <c r="AY22">
        <f>IFERROR(INDEX(Instructions!$U$111:$U$222,MATCH(AP22,Instructions!$T$111:$T$222,0)),0)</f>
        <v>0</v>
      </c>
      <c r="AZ22" s="197"/>
      <c r="BA22" s="512" t="str">
        <f>DEFproj!D26</f>
        <v>BAL</v>
      </c>
      <c r="BB22" s="503">
        <f>INDEX(Draft!$BW:$BW,MATCH(BA22,Draft_Names_Master,0))</f>
        <v>0</v>
      </c>
      <c r="BC22">
        <v>0.02</v>
      </c>
      <c r="BD22">
        <f t="shared" si="4"/>
        <v>0.02</v>
      </c>
      <c r="BE22" s="197"/>
      <c r="BF22" s="182" t="str">
        <f>IF(Kproj!D26=0, "", Kproj!D26)</f>
        <v>Wil Lutz</v>
      </c>
      <c r="BG22" s="507" t="str">
        <f>INDEX(FFARawStatProjections!B:B,MATCH('Draft Slayer Classic'!BF22,FFARawStatProjections!A:A,0))</f>
        <v>NO</v>
      </c>
      <c r="BH22" s="503">
        <f>INDEX(Draft!$BW:$BW,MATCH(BF22,Draft_Names_Master,0))</f>
        <v>0</v>
      </c>
      <c r="BI22">
        <v>0.02</v>
      </c>
      <c r="BJ22">
        <f t="shared" si="5"/>
        <v>0.02</v>
      </c>
      <c r="BK22" s="203"/>
      <c r="BV22" t="str">
        <f>10&amp;10</f>
        <v>1010</v>
      </c>
      <c r="BW22">
        <v>10</v>
      </c>
      <c r="BX22">
        <v>11</v>
      </c>
      <c r="BY22">
        <v>30</v>
      </c>
      <c r="BZ22">
        <v>31</v>
      </c>
      <c r="CA22">
        <v>50</v>
      </c>
      <c r="CB22">
        <v>51</v>
      </c>
      <c r="CC22">
        <v>70</v>
      </c>
      <c r="CD22">
        <v>71</v>
      </c>
      <c r="CE22">
        <v>90</v>
      </c>
      <c r="CF22">
        <v>91</v>
      </c>
      <c r="CG22">
        <v>110</v>
      </c>
      <c r="CH22">
        <v>111</v>
      </c>
      <c r="CI22">
        <v>130</v>
      </c>
      <c r="CJ22">
        <v>131</v>
      </c>
      <c r="CK22">
        <v>150</v>
      </c>
      <c r="CL22">
        <v>151</v>
      </c>
      <c r="CM22">
        <v>170</v>
      </c>
      <c r="CN22">
        <v>171</v>
      </c>
      <c r="CO22">
        <v>190</v>
      </c>
      <c r="CP22">
        <v>191</v>
      </c>
      <c r="CQ22">
        <v>210</v>
      </c>
      <c r="CR22">
        <v>211</v>
      </c>
      <c r="CS22">
        <v>230</v>
      </c>
      <c r="CT22">
        <v>231</v>
      </c>
      <c r="CU22">
        <v>250</v>
      </c>
      <c r="CW22">
        <f>IF(AND(CX22&lt;&gt;0,COUNTIF(CW$4:CW21, "QB") = 0), "QB", 0)</f>
        <v>0</v>
      </c>
      <c r="CX22">
        <f>IFERROR(IF(INDEX(Q:Q,MATCH(Instructions!F82,I:I,0))=1, 0, Instructions!F82), Instructions!F82)</f>
        <v>0</v>
      </c>
      <c r="CY22">
        <f>IF(AND(CZ22&lt;&gt;0,COUNTIF(CY$4:CY21, "RB") = 0), "RB", IF(CY21="RB", 1, 0))</f>
        <v>0</v>
      </c>
      <c r="CZ22">
        <f>IFERROR(IF(INDEX(AB:AB,MATCH(Instructions!K82,T:T,0))=1, 0, Instructions!K82), Instructions!K82)</f>
        <v>0</v>
      </c>
      <c r="DA22">
        <f>IF(AND(DB22&lt;&gt;0,COUNTIF(DA$4:DA21, "WR") = 0), "WR", IF(DA21="WR", 1, 0))</f>
        <v>0</v>
      </c>
      <c r="DB22">
        <f>IFERROR(IF(INDEX(AM:AM,MATCH(Instructions!F104,AE:AE,0))=1, 0, Instructions!F104), Instructions!F104)</f>
        <v>0</v>
      </c>
      <c r="DC22">
        <f>IF(AND(DD22&lt;&gt;0,COUNTIF(DC$4:DC21, "TE") = 0), "TE", 0)</f>
        <v>0</v>
      </c>
      <c r="DD22">
        <f>IFERROR(IF(VLOOKUP(Instructions!K104,AP:AX,6,FALSE)=1, 0, Instructions!K104), Instructions!K104)</f>
        <v>0</v>
      </c>
      <c r="DE22">
        <v>20</v>
      </c>
      <c r="DF22" t="str">
        <f>IF(IFERROR(MATCH(FFARawStatProjections!A23,Draft!BY:BY,0),1)&lt;=1,IF(FFARawStatProjections!A23=0,"",FFARawStatProjections!A23),"")</f>
        <v>Kenny Pickett</v>
      </c>
    </row>
    <row r="23" spans="1:110" x14ac:dyDescent="0.25">
      <c r="A23" s="196"/>
      <c r="B23" s="680" t="s">
        <v>894</v>
      </c>
      <c r="C23" s="681"/>
      <c r="D23" s="681"/>
      <c r="E23" s="163">
        <f>IFERROR(VLOOKUP(E25,'Draft Pick Order'!C:W,INDEX(Instructions!U:U,MATCH(Instructions!E11,Instructions!S:S,0))+2,FALSE),1)</f>
        <v>1</v>
      </c>
      <c r="F23" s="301"/>
      <c r="G23" s="301"/>
      <c r="H23" s="197"/>
      <c r="I23" s="180" t="str">
        <f>IF(QBproj!D27=0,"",QBproj!D27)</f>
        <v>Jordan Love</v>
      </c>
      <c r="J23" s="461" t="str">
        <f>QBproj!E27</f>
        <v>GB</v>
      </c>
      <c r="K23" s="184">
        <f>QBproj!F27</f>
        <v>256.35820999999999</v>
      </c>
      <c r="L23" s="517">
        <f>IFERROR(IF(QBproj!H27="",QBproj!G27,QBproj!H27),0)</f>
        <v>8</v>
      </c>
      <c r="M23" s="503">
        <f>INDEX(Draft!$BW:$BW,MATCH(I23,Draft_Names_Master,0))</f>
        <v>0</v>
      </c>
      <c r="N23">
        <v>2.1000000000000001E-2</v>
      </c>
      <c r="O23">
        <f>IFERROR(IF(INDEX(Instructions!$V$64:$V$83,MATCH('Draft Slayer Classic'!I23,Instructions!$S$64:$S$83,0))&lt;=$E$25,1,0),0)</f>
        <v>0</v>
      </c>
      <c r="P23">
        <f>IFERROR(INDEX(ADP!$A$7:$A$260,MATCH(I23,ADP!$D$7:$D$260,0)),999+N23)</f>
        <v>188</v>
      </c>
      <c r="Q23">
        <f t="shared" si="0"/>
        <v>2.1000000000000001E-2</v>
      </c>
      <c r="R23">
        <f>IFERROR(INDEX(Instructions!$U$111:$U$222,MATCH(I23,Instructions!$T$111:$T$222,0)),0)</f>
        <v>0</v>
      </c>
      <c r="S23" s="197"/>
      <c r="T23" s="187" t="str">
        <f>RBproj!D27</f>
        <v>Breece Hall</v>
      </c>
      <c r="U23" s="461" t="str">
        <f>RBproj!E27</f>
        <v>NYJ</v>
      </c>
      <c r="V23" s="184">
        <f>RBproj!F27</f>
        <v>196.11136000000002</v>
      </c>
      <c r="W23" s="517">
        <f>IFERROR(IF(RBproj!H27="",RBproj!G27,RBproj!H27),0)</f>
        <v>6</v>
      </c>
      <c r="X23" s="504">
        <f>INDEX(Draft!$BW:$BW,MATCH(T23,Draft_Names_Master,0))</f>
        <v>0</v>
      </c>
      <c r="Y23">
        <v>2.1000000000000001E-2</v>
      </c>
      <c r="Z23">
        <f>IFERROR(IF(INDEX(Instructions!$X$64:$X$83,MATCH('Draft Slayer Classic'!T23,Instructions!$T$64:$T$83,0))&lt;=$E$25,1,0),0)</f>
        <v>0</v>
      </c>
      <c r="AA23">
        <f>IFERROR(INDEX(ADP!$A$7:$A$260,MATCH(T23,ADP!$D$7:$D$260,0)),999+Y23)</f>
        <v>31</v>
      </c>
      <c r="AB23">
        <f t="shared" si="1"/>
        <v>2.1000000000000001E-2</v>
      </c>
      <c r="AC23">
        <f>IFERROR(INDEX(Instructions!$U$111:$U$222,MATCH(T23,Instructions!$T$111:$T$222,0)),0)</f>
        <v>0</v>
      </c>
      <c r="AD23" s="197"/>
      <c r="AE23" s="187" t="str">
        <f>WRproj!D27</f>
        <v>Jerry Jeudy</v>
      </c>
      <c r="AF23" s="461" t="str">
        <f>WRproj!E27</f>
        <v>DEN</v>
      </c>
      <c r="AG23" s="184">
        <f>WRproj!F27</f>
        <v>212.94334000000001</v>
      </c>
      <c r="AH23" s="517">
        <f>IFERROR(IF(WRproj!H27="",WRproj!G27,WRproj!H27),0)</f>
        <v>7</v>
      </c>
      <c r="AI23" s="503">
        <f>INDEX(Draft!$BW:$BW,MATCH(AE23,Draft_Names_Master,0))</f>
        <v>0</v>
      </c>
      <c r="AJ23">
        <v>2.1000000000000001E-2</v>
      </c>
      <c r="AK23">
        <f>IFERROR(IF(INDEX(Instructions!$V$86:$V$105,MATCH('Draft Slayer Classic'!AE23,Instructions!$S$86:$S$105,0))&lt;=$E$25,1,0),0)</f>
        <v>0</v>
      </c>
      <c r="AL23">
        <f>IFERROR(INDEX(ADP!$A$7:$A$260,MATCH(AE23,ADP!$D$7:$D$260,0)),999+AJ23)</f>
        <v>45</v>
      </c>
      <c r="AM23">
        <f t="shared" si="2"/>
        <v>2.1000000000000001E-2</v>
      </c>
      <c r="AN23">
        <f>IFERROR(INDEX(Instructions!$U$111:$U$222,MATCH(AE23,Instructions!$T$111:$T$222,0)),0)</f>
        <v>0</v>
      </c>
      <c r="AO23" s="197"/>
      <c r="AP23" s="187" t="str">
        <f>TEproj!D27</f>
        <v>Hunter Henry</v>
      </c>
      <c r="AQ23" s="461" t="str">
        <f>TEproj!E27</f>
        <v>NE</v>
      </c>
      <c r="AR23" s="184">
        <f>TEproj!F27</f>
        <v>107.70631999999999</v>
      </c>
      <c r="AS23" s="517">
        <f>IFERROR(IF(TEproj!H27="",TEproj!G27,TEproj!H27),0)</f>
        <v>8</v>
      </c>
      <c r="AT23" s="503">
        <f>INDEX(Draft!$BW:$BW,MATCH(AP23,Draft_Names_Master,0))</f>
        <v>0</v>
      </c>
      <c r="AU23">
        <v>2.1000000000000001E-2</v>
      </c>
      <c r="AV23">
        <f>IFERROR(IF(INDEX(Instructions!$X$86:$X$105,MATCH('Draft Slayer Classic'!AP23,Instructions!$T$86:$T$105,0))&lt;=$E$25,1,0),0)</f>
        <v>0</v>
      </c>
      <c r="AW23">
        <f>IFERROR(INDEX(ADP!$A$7:$A$260,MATCH(AP23,ADP!$D$7:$D$260,0)),999+AU23)</f>
        <v>999.02099999999996</v>
      </c>
      <c r="AX23">
        <f t="shared" si="3"/>
        <v>2.1000000000000001E-2</v>
      </c>
      <c r="AY23">
        <f>IFERROR(INDEX(Instructions!$U$111:$U$222,MATCH(AP23,Instructions!$T$111:$T$222,0)),0)</f>
        <v>0</v>
      </c>
      <c r="AZ23" s="197"/>
      <c r="BA23" s="513" t="str">
        <f>DEFproj!D27</f>
        <v>TB</v>
      </c>
      <c r="BB23" s="504">
        <f>INDEX(Draft!$BW:$BW,MATCH(BA23,Draft_Names_Master,0))</f>
        <v>0</v>
      </c>
      <c r="BC23">
        <v>2.1000000000000001E-2</v>
      </c>
      <c r="BD23">
        <f t="shared" si="4"/>
        <v>2.1000000000000001E-2</v>
      </c>
      <c r="BE23" s="197"/>
      <c r="BF23" s="187" t="str">
        <f>IF(Kproj!D27=0, "", Kproj!D27)</f>
        <v>Eddy Pineiro</v>
      </c>
      <c r="BG23" s="508" t="str">
        <f>INDEX(FFARawStatProjections!B:B,MATCH('Draft Slayer Classic'!BF23,FFARawStatProjections!A:A,0))</f>
        <v>CAR</v>
      </c>
      <c r="BH23" s="504">
        <f>INDEX(Draft!$BW:$BW,MATCH(BF23,Draft_Names_Master,0))</f>
        <v>0</v>
      </c>
      <c r="BI23">
        <v>2.1000000000000001E-2</v>
      </c>
      <c r="BJ23">
        <f t="shared" si="5"/>
        <v>2.1000000000000001E-2</v>
      </c>
      <c r="BK23" s="203"/>
      <c r="CW23">
        <f>IF(AND(CX23&lt;&gt;0,COUNTIF(CW$4:CW22, "QB") = 0), "QB", 0)</f>
        <v>0</v>
      </c>
      <c r="CX23">
        <f>IFERROR(IF(INDEX(Q:Q,MATCH(Instructions!F83,I:I,0))=1, 0, Instructions!F83), Instructions!F83)</f>
        <v>0</v>
      </c>
      <c r="CY23">
        <f>IF(AND(CZ23&lt;&gt;0,COUNTIF(CY$4:CY22, "RB") = 0), "RB", IF(CY22="RB", 1, 0))</f>
        <v>0</v>
      </c>
      <c r="CZ23">
        <f>IFERROR(IF(INDEX(AB:AB,MATCH(Instructions!K83,T:T,0))=1, 0, Instructions!K83), Instructions!K83)</f>
        <v>0</v>
      </c>
      <c r="DA23">
        <f>IF(AND(DB23&lt;&gt;0,COUNTIF(DA$4:DA22, "WR") = 0), "WR", IF(DA22="WR", 1, 0))</f>
        <v>0</v>
      </c>
      <c r="DB23">
        <f>IFERROR(IF(INDEX(AM:AM,MATCH(Instructions!F105,AE:AE,0))=1, 0, Instructions!F105), Instructions!F105)</f>
        <v>0</v>
      </c>
      <c r="DC23">
        <f>IF(AND(DD23&lt;&gt;0,COUNTIF(DC$4:DC22, "TE") = 0), "TE", 0)</f>
        <v>0</v>
      </c>
      <c r="DD23">
        <f>IFERROR(IF(VLOOKUP(Instructions!K105,AP:AX,6,FALSE)=1, 0, Instructions!K105), Instructions!K105)</f>
        <v>0</v>
      </c>
      <c r="DE23">
        <v>21</v>
      </c>
      <c r="DF23" t="str">
        <f>IF(IFERROR(MATCH(FFARawStatProjections!A24,Draft!BY:BY,0),1)&lt;=1,IF(FFARawStatProjections!A24=0,"",FFARawStatProjections!A24),"")</f>
        <v>Brock Purdy</v>
      </c>
    </row>
    <row r="24" spans="1:110" x14ac:dyDescent="0.25">
      <c r="A24" s="196"/>
      <c r="B24" s="678" t="s">
        <v>895</v>
      </c>
      <c r="C24" s="679"/>
      <c r="D24" s="679"/>
      <c r="E24" s="164">
        <f>IFERROR(INDEX(Instructions!T42:T55,MATCH(F24,Instructions!F42:F55,0)), 1)</f>
        <v>1</v>
      </c>
      <c r="F24" s="207" t="str">
        <f>VLOOKUP(E25,'Draft Pick Order'!C:V, VLOOKUP(Instructions!E11, Instructions!S:X,6,FALSE), FALSE)</f>
        <v>Trumbo</v>
      </c>
      <c r="G24" s="207"/>
      <c r="H24" s="197"/>
      <c r="I24" s="182" t="str">
        <f>IF(QBproj!D28=0,"",QBproj!D28)</f>
        <v>Kenny Pickett</v>
      </c>
      <c r="J24" s="290" t="str">
        <f>QBproj!E28</f>
        <v>PIT</v>
      </c>
      <c r="K24" s="183">
        <f>QBproj!F28</f>
        <v>253.69622000000001</v>
      </c>
      <c r="L24" s="517">
        <f>IFERROR(IF(QBproj!H28="",QBproj!G28,QBproj!H28),0)</f>
        <v>8</v>
      </c>
      <c r="M24" s="504">
        <f>INDEX(Draft!$BW:$BW,MATCH(I24,Draft_Names_Master,0))</f>
        <v>0</v>
      </c>
      <c r="N24">
        <v>2.1999999999999999E-2</v>
      </c>
      <c r="O24">
        <f>IFERROR(IF(INDEX(Instructions!$V$64:$V$83,MATCH('Draft Slayer Classic'!I24,Instructions!$S$64:$S$83,0))&lt;=$E$25,1,0),0)</f>
        <v>0</v>
      </c>
      <c r="P24">
        <f>IFERROR(INDEX(ADP!$A$7:$A$260,MATCH(I24,ADP!$D$7:$D$260,0)),999+N24)</f>
        <v>192</v>
      </c>
      <c r="Q24">
        <f t="shared" si="0"/>
        <v>2.1999999999999999E-2</v>
      </c>
      <c r="R24">
        <f>IFERROR(INDEX(Instructions!$U$111:$U$222,MATCH(I24,Instructions!$T$111:$T$222,0)),0)</f>
        <v>0</v>
      </c>
      <c r="S24" s="197"/>
      <c r="T24" s="182" t="str">
        <f>RBproj!D28</f>
        <v>Miles Sanders</v>
      </c>
      <c r="U24" s="290" t="str">
        <f>RBproj!E28</f>
        <v>CAR</v>
      </c>
      <c r="V24" s="183">
        <f>RBproj!F28</f>
        <v>193.20135000000002</v>
      </c>
      <c r="W24" s="517">
        <f>IFERROR(IF(RBproj!H28="",RBproj!G28,RBproj!H28),0)</f>
        <v>6</v>
      </c>
      <c r="X24" s="504">
        <f>INDEX(Draft!$BW:$BW,MATCH(T24,Draft_Names_Master,0))</f>
        <v>0</v>
      </c>
      <c r="Y24">
        <v>2.1999999999999999E-2</v>
      </c>
      <c r="Z24">
        <f>IFERROR(IF(INDEX(Instructions!$X$64:$X$83,MATCH('Draft Slayer Classic'!T24,Instructions!$T$64:$T$83,0))&lt;=$E$25,1,0),0)</f>
        <v>0</v>
      </c>
      <c r="AA24">
        <f>IFERROR(INDEX(ADP!$A$7:$A$260,MATCH(T24,ADP!$D$7:$D$260,0)),999+Y24)</f>
        <v>47</v>
      </c>
      <c r="AB24">
        <f t="shared" si="1"/>
        <v>2.1999999999999999E-2</v>
      </c>
      <c r="AC24">
        <f>IFERROR(INDEX(Instructions!$U$111:$U$222,MATCH(T24,Instructions!$T$111:$T$222,0)),0)</f>
        <v>0</v>
      </c>
      <c r="AD24" s="197"/>
      <c r="AE24" s="182" t="str">
        <f>WRproj!D28</f>
        <v>Terry McLaurin</v>
      </c>
      <c r="AF24" s="290" t="str">
        <f>WRproj!E28</f>
        <v>WAS</v>
      </c>
      <c r="AG24" s="183">
        <f>WRproj!F28</f>
        <v>212.78344000000001</v>
      </c>
      <c r="AH24" s="517">
        <f>IFERROR(IF(WRproj!H28="",WRproj!G28,WRproj!H28),0)</f>
        <v>7</v>
      </c>
      <c r="AI24" s="503">
        <f>INDEX(Draft!$BW:$BW,MATCH(AE24,Draft_Names_Master,0))</f>
        <v>0</v>
      </c>
      <c r="AJ24">
        <v>2.1999999999999999E-2</v>
      </c>
      <c r="AK24">
        <f>IFERROR(IF(INDEX(Instructions!$V$86:$V$105,MATCH('Draft Slayer Classic'!AE24,Instructions!$S$86:$S$105,0))&lt;=$E$25,1,0),0)</f>
        <v>0</v>
      </c>
      <c r="AL24">
        <f>IFERROR(INDEX(ADP!$A$7:$A$260,MATCH(AE24,ADP!$D$7:$D$260,0)),999+AJ24)</f>
        <v>53</v>
      </c>
      <c r="AM24">
        <f t="shared" si="2"/>
        <v>2.1999999999999999E-2</v>
      </c>
      <c r="AN24">
        <f>IFERROR(INDEX(Instructions!$U$111:$U$222,MATCH(AE24,Instructions!$T$111:$T$222,0)),0)</f>
        <v>0</v>
      </c>
      <c r="AO24" s="197"/>
      <c r="AP24" s="182" t="str">
        <f>TEproj!D28</f>
        <v>Hayden Hurst</v>
      </c>
      <c r="AQ24" s="290" t="str">
        <f>TEproj!E28</f>
        <v>CAR</v>
      </c>
      <c r="AR24" s="183">
        <f>TEproj!F28</f>
        <v>107.14628</v>
      </c>
      <c r="AS24" s="517">
        <f>IFERROR(IF(TEproj!H28="",TEproj!G28,TEproj!H28),0)</f>
        <v>8</v>
      </c>
      <c r="AT24" s="504">
        <f>INDEX(Draft!$BW:$BW,MATCH(AP24,Draft_Names_Master,0))</f>
        <v>0</v>
      </c>
      <c r="AU24">
        <v>2.1999999999999999E-2</v>
      </c>
      <c r="AV24">
        <f>IFERROR(IF(INDEX(Instructions!$X$86:$X$105,MATCH('Draft Slayer Classic'!AP24,Instructions!$T$86:$T$105,0))&lt;=$E$25,1,0),0)</f>
        <v>0</v>
      </c>
      <c r="AW24">
        <f>IFERROR(INDEX(ADP!$A$7:$A$260,MATCH(AP24,ADP!$D$7:$D$260,0)),999+AU24)</f>
        <v>999.02200000000005</v>
      </c>
      <c r="AX24">
        <f t="shared" si="3"/>
        <v>2.1999999999999999E-2</v>
      </c>
      <c r="AY24">
        <f>IFERROR(INDEX(Instructions!$U$111:$U$222,MATCH(AP24,Instructions!$T$111:$T$222,0)),0)</f>
        <v>0</v>
      </c>
      <c r="AZ24" s="197"/>
      <c r="BA24" s="512" t="str">
        <f>DEFproj!D28</f>
        <v>JAC</v>
      </c>
      <c r="BB24" s="503">
        <f>INDEX(Draft!$BW:$BW,MATCH(BA24,Draft_Names_Master,0))</f>
        <v>0</v>
      </c>
      <c r="BC24">
        <v>2.1999999999999999E-2</v>
      </c>
      <c r="BD24">
        <f t="shared" si="4"/>
        <v>2.1999999999999999E-2</v>
      </c>
      <c r="BE24" s="197"/>
      <c r="BF24" s="182" t="str">
        <f>IF(Kproj!D28=0, "", Kproj!D28)</f>
        <v>Chris Boswell</v>
      </c>
      <c r="BG24" s="507" t="str">
        <f>INDEX(FFARawStatProjections!B:B,MATCH('Draft Slayer Classic'!BF24,FFARawStatProjections!A:A,0))</f>
        <v>PIT</v>
      </c>
      <c r="BH24" s="503">
        <f>INDEX(Draft!$BW:$BW,MATCH(BF24,Draft_Names_Master,0))</f>
        <v>0</v>
      </c>
      <c r="BI24">
        <v>2.1999999999999999E-2</v>
      </c>
      <c r="BJ24">
        <f t="shared" si="5"/>
        <v>2.1999999999999999E-2</v>
      </c>
      <c r="BK24" s="203"/>
      <c r="BV24" t="str">
        <f>12&amp;1</f>
        <v>121</v>
      </c>
      <c r="BW24">
        <v>1</v>
      </c>
      <c r="BX24">
        <v>24</v>
      </c>
      <c r="BY24">
        <v>25</v>
      </c>
      <c r="BZ24">
        <v>48</v>
      </c>
      <c r="CA24">
        <v>49</v>
      </c>
      <c r="CB24">
        <v>72</v>
      </c>
      <c r="CC24">
        <v>73</v>
      </c>
      <c r="CD24">
        <v>96</v>
      </c>
      <c r="CE24">
        <v>97</v>
      </c>
      <c r="CF24">
        <v>120</v>
      </c>
      <c r="CG24">
        <v>121</v>
      </c>
      <c r="CH24">
        <v>144</v>
      </c>
      <c r="CI24">
        <v>145</v>
      </c>
      <c r="CJ24">
        <v>168</v>
      </c>
      <c r="CK24">
        <v>169</v>
      </c>
      <c r="CL24">
        <v>192</v>
      </c>
      <c r="CM24">
        <v>193</v>
      </c>
      <c r="CN24">
        <v>216</v>
      </c>
      <c r="CO24">
        <v>217</v>
      </c>
      <c r="CP24">
        <v>240</v>
      </c>
      <c r="CQ24">
        <v>241</v>
      </c>
      <c r="CR24">
        <v>264</v>
      </c>
      <c r="CS24">
        <v>265</v>
      </c>
      <c r="CT24">
        <v>288</v>
      </c>
      <c r="CU24">
        <v>289</v>
      </c>
      <c r="CW24">
        <f>IF(AND(CX24&lt;&gt;0,COUNTIF(CW$4:CW23, "QB") = 0), "QB", 0)</f>
        <v>0</v>
      </c>
      <c r="CX24">
        <f>IFERROR(IF(INDEX(Q:Q,MATCH(Instructions!F84,I:I,0))=1, 0, Instructions!F84), Instructions!F84)</f>
        <v>0</v>
      </c>
      <c r="CY24">
        <f>IF(AND(CZ24&lt;&gt;0,COUNTIF(CY$4:CY23, "RB") = 0), "RB", IF(CY23="RB", 1, 0))</f>
        <v>0</v>
      </c>
      <c r="CZ24">
        <f>IFERROR(IF(INDEX(AB:AB,MATCH(Instructions!K84,T:T,0))=1, 0, Instructions!K84), Instructions!K84)</f>
        <v>0</v>
      </c>
      <c r="DA24">
        <f>IF(AND(DB24&lt;&gt;0,COUNTIF(DA$4:DA23, "WR") = 0), "WR", IF(DA23="WR", 1, 0))</f>
        <v>0</v>
      </c>
      <c r="DB24">
        <f>IFERROR(IF(INDEX(AM:AM,MATCH(Instructions!F106,AE:AE,0))=1, 0, Instructions!F106), Instructions!F106)</f>
        <v>0</v>
      </c>
      <c r="DC24">
        <f>IF(AND(DD24&lt;&gt;0,COUNTIF(DC$4:DC23, "TE") = 0), "TE", 0)</f>
        <v>0</v>
      </c>
      <c r="DD24">
        <f>IFERROR(IF(VLOOKUP(Instructions!K106,AP:AX,6,FALSE)=1, 0, Instructions!K106), Instructions!K106)</f>
        <v>0</v>
      </c>
      <c r="DE24">
        <v>22</v>
      </c>
      <c r="DF24" t="str">
        <f>IF(IFERROR(MATCH(FFARawStatProjections!A25,Draft!BY:BY,0),1)&lt;=1,IF(FFARawStatProjections!A25=0,"",FFARawStatProjections!A25),"")</f>
        <v>Bryce Young</v>
      </c>
    </row>
    <row r="25" spans="1:110" x14ac:dyDescent="0.25">
      <c r="A25" s="196"/>
      <c r="B25" s="682" t="s">
        <v>702</v>
      </c>
      <c r="C25" s="683"/>
      <c r="D25" s="683"/>
      <c r="E25" s="165">
        <f>Draft!BS6</f>
        <v>1</v>
      </c>
      <c r="F25" s="207" t="str">
        <f>VLOOKUP(E25, 'Draft Pick Order'!C:V, VLOOKUP(Instructions!E11,Instructions!S:U, 3, FALSE), FALSE)</f>
        <v>1-1</v>
      </c>
      <c r="G25" s="207"/>
      <c r="H25" s="197"/>
      <c r="I25" s="180" t="str">
        <f>IF(QBproj!D29=0,"",QBproj!D29)</f>
        <v>Bryce Young</v>
      </c>
      <c r="J25" s="461" t="str">
        <f>QBproj!E29</f>
        <v>CAR</v>
      </c>
      <c r="K25" s="184">
        <f>QBproj!F29</f>
        <v>243.72824</v>
      </c>
      <c r="L25" s="517">
        <f>IFERROR(IF(QBproj!H29="",QBproj!G29,QBproj!H29),0)</f>
        <v>8</v>
      </c>
      <c r="M25" s="503">
        <f>INDEX(Draft!$BW:$BW,MATCH(I25,Draft_Names_Master,0))</f>
        <v>0</v>
      </c>
      <c r="N25">
        <v>2.3E-2</v>
      </c>
      <c r="O25">
        <f>IFERROR(IF(INDEX(Instructions!$V$64:$V$83,MATCH('Draft Slayer Classic'!I25,Instructions!$S$64:$S$83,0))&lt;=$E$25,1,0),0)</f>
        <v>0</v>
      </c>
      <c r="P25">
        <f>IFERROR(INDEX(ADP!$A$7:$A$260,MATCH(I25,ADP!$D$7:$D$260,0)),999+N25)</f>
        <v>999.02300000000002</v>
      </c>
      <c r="Q25">
        <f t="shared" si="0"/>
        <v>2.3E-2</v>
      </c>
      <c r="R25">
        <f>IFERROR(INDEX(Instructions!$U$111:$U$222,MATCH(I25,Instructions!$T$111:$T$222,0)),0)</f>
        <v>0</v>
      </c>
      <c r="S25" s="197"/>
      <c r="T25" s="187" t="str">
        <f>RBproj!D29</f>
        <v>Cam Akers</v>
      </c>
      <c r="U25" s="461" t="str">
        <f>RBproj!E29</f>
        <v>LAR</v>
      </c>
      <c r="V25" s="184">
        <f>RBproj!F29</f>
        <v>186.86137000000002</v>
      </c>
      <c r="W25" s="517">
        <f>IFERROR(IF(RBproj!H29="",RBproj!G29,RBproj!H29),0)</f>
        <v>7</v>
      </c>
      <c r="X25" s="504">
        <f>INDEX(Draft!$BW:$BW,MATCH(T25,Draft_Names_Master,0))</f>
        <v>0</v>
      </c>
      <c r="Y25">
        <v>2.3E-2</v>
      </c>
      <c r="Z25">
        <f>IFERROR(IF(INDEX(Instructions!$X$64:$X$83,MATCH('Draft Slayer Classic'!T25,Instructions!$T$64:$T$83,0))&lt;=$E$25,1,0),0)</f>
        <v>0</v>
      </c>
      <c r="AA25">
        <f>IFERROR(INDEX(ADP!$A$7:$A$260,MATCH(T25,ADP!$D$7:$D$260,0)),999+Y25)</f>
        <v>50</v>
      </c>
      <c r="AB25">
        <f t="shared" si="1"/>
        <v>139</v>
      </c>
      <c r="AC25">
        <f>IFERROR(INDEX(Instructions!$U$111:$U$222,MATCH(T25,Instructions!$T$111:$T$222,0)),0)</f>
        <v>139</v>
      </c>
      <c r="AD25" s="197"/>
      <c r="AE25" s="187" t="str">
        <f>WRproj!D29</f>
        <v>DJ Moore</v>
      </c>
      <c r="AF25" s="461" t="str">
        <f>WRproj!E29</f>
        <v>CHI</v>
      </c>
      <c r="AG25" s="184">
        <f>WRproj!F29</f>
        <v>210.08335999999997</v>
      </c>
      <c r="AH25" s="517">
        <f>IFERROR(IF(WRproj!H29="",WRproj!G29,WRproj!H29),0)</f>
        <v>7</v>
      </c>
      <c r="AI25" s="503">
        <f>INDEX(Draft!$BW:$BW,MATCH(AE25,Draft_Names_Master,0))</f>
        <v>0</v>
      </c>
      <c r="AJ25">
        <v>2.3E-2</v>
      </c>
      <c r="AK25">
        <f>IFERROR(IF(INDEX(Instructions!$V$86:$V$105,MATCH('Draft Slayer Classic'!AE25,Instructions!$S$86:$S$105,0))&lt;=$E$25,1,0),0)</f>
        <v>0</v>
      </c>
      <c r="AL25">
        <f>IFERROR(INDEX(ADP!$A$7:$A$260,MATCH(AE25,ADP!$D$7:$D$260,0)),999+AJ25)</f>
        <v>43</v>
      </c>
      <c r="AM25">
        <f t="shared" si="2"/>
        <v>2.3E-2</v>
      </c>
      <c r="AN25">
        <f>IFERROR(INDEX(Instructions!$U$111:$U$222,MATCH(AE25,Instructions!$T$111:$T$222,0)),0)</f>
        <v>0</v>
      </c>
      <c r="AO25" s="197"/>
      <c r="AP25" s="187" t="str">
        <f>TEproj!D29</f>
        <v>Noah Fant</v>
      </c>
      <c r="AQ25" s="461" t="str">
        <f>TEproj!E29</f>
        <v>SEA</v>
      </c>
      <c r="AR25" s="184">
        <f>TEproj!F29</f>
        <v>106.27630000000001</v>
      </c>
      <c r="AS25" s="517">
        <f>IFERROR(IF(TEproj!H29="",TEproj!G29,TEproj!H29),0)</f>
        <v>8</v>
      </c>
      <c r="AT25" s="503">
        <f>INDEX(Draft!$BW:$BW,MATCH(AP25,Draft_Names_Master,0))</f>
        <v>0</v>
      </c>
      <c r="AU25">
        <v>2.3E-2</v>
      </c>
      <c r="AV25">
        <f>IFERROR(IF(INDEX(Instructions!$X$86:$X$105,MATCH('Draft Slayer Classic'!AP25,Instructions!$T$86:$T$105,0))&lt;=$E$25,1,0),0)</f>
        <v>0</v>
      </c>
      <c r="AW25">
        <f>IFERROR(INDEX(ADP!$A$7:$A$260,MATCH(AP25,ADP!$D$7:$D$260,0)),999+AU25)</f>
        <v>999.02300000000002</v>
      </c>
      <c r="AX25">
        <f t="shared" si="3"/>
        <v>2.3E-2</v>
      </c>
      <c r="AY25">
        <f>IFERROR(INDEX(Instructions!$U$111:$U$222,MATCH(AP25,Instructions!$T$111:$T$222,0)),0)</f>
        <v>0</v>
      </c>
      <c r="AZ25" s="197"/>
      <c r="BA25" s="513" t="str">
        <f>DEFproj!D29</f>
        <v>NYG</v>
      </c>
      <c r="BB25" s="504">
        <f>INDEX(Draft!$BW:$BW,MATCH(BA25,Draft_Names_Master,0))</f>
        <v>0</v>
      </c>
      <c r="BC25">
        <v>2.3E-2</v>
      </c>
      <c r="BD25">
        <f t="shared" si="4"/>
        <v>2.3E-2</v>
      </c>
      <c r="BE25" s="197"/>
      <c r="BF25" s="187" t="str">
        <f>IF(Kproj!D29=0, "", Kproj!D29)</f>
        <v>Greg Zuerlein</v>
      </c>
      <c r="BG25" s="508" t="str">
        <f>INDEX(FFARawStatProjections!B:B,MATCH('Draft Slayer Classic'!BF25,FFARawStatProjections!A:A,0))</f>
        <v>NYJ</v>
      </c>
      <c r="BH25" s="504">
        <f>INDEX(Draft!$BW:$BW,MATCH(BF25,Draft_Names_Master,0))</f>
        <v>0</v>
      </c>
      <c r="BI25">
        <v>2.3E-2</v>
      </c>
      <c r="BJ25">
        <f t="shared" si="5"/>
        <v>2.3E-2</v>
      </c>
      <c r="BK25" s="203"/>
      <c r="BV25" t="str">
        <f>12&amp;2</f>
        <v>122</v>
      </c>
      <c r="BW25">
        <v>2</v>
      </c>
      <c r="BX25">
        <v>23</v>
      </c>
      <c r="BY25">
        <v>26</v>
      </c>
      <c r="BZ25">
        <v>47</v>
      </c>
      <c r="CA25">
        <v>50</v>
      </c>
      <c r="CB25">
        <v>71</v>
      </c>
      <c r="CC25">
        <v>74</v>
      </c>
      <c r="CD25">
        <v>95</v>
      </c>
      <c r="CE25">
        <v>98</v>
      </c>
      <c r="CF25">
        <v>119</v>
      </c>
      <c r="CG25">
        <v>122</v>
      </c>
      <c r="CH25">
        <v>143</v>
      </c>
      <c r="CI25">
        <v>146</v>
      </c>
      <c r="CJ25">
        <v>167</v>
      </c>
      <c r="CK25">
        <v>170</v>
      </c>
      <c r="CL25">
        <v>191</v>
      </c>
      <c r="CM25">
        <v>194</v>
      </c>
      <c r="CN25">
        <v>215</v>
      </c>
      <c r="CO25">
        <v>218</v>
      </c>
      <c r="CP25">
        <v>239</v>
      </c>
      <c r="CQ25">
        <v>242</v>
      </c>
      <c r="CR25">
        <v>263</v>
      </c>
      <c r="CS25">
        <v>266</v>
      </c>
      <c r="CT25">
        <v>287</v>
      </c>
      <c r="CU25">
        <v>290</v>
      </c>
      <c r="DE25">
        <v>23</v>
      </c>
      <c r="DF25" t="str">
        <f>IF(IFERROR(MATCH(FFARawStatProjections!A26,Draft!BY:BY,0),1)&lt;=1,IF(FFARawStatProjections!A26=0,"",FFARawStatProjections!A26),"")</f>
        <v>Jimmy Garoppolo</v>
      </c>
    </row>
    <row r="26" spans="1:110" ht="15" customHeight="1" thickBot="1" x14ac:dyDescent="0.3">
      <c r="A26" s="196"/>
      <c r="B26" s="671" t="s">
        <v>703</v>
      </c>
      <c r="C26" s="672"/>
      <c r="D26" s="672"/>
      <c r="E26" s="166">
        <f>IFERROR(IF(AND(IF(G29&gt;E25, G29-E25, G27-E25)=1, E22=E24), IF(G29&gt;E25, G29-E25, G28-E25), IF(G29&gt;E25, G29-E25, G27-E25)),"")</f>
        <v>1</v>
      </c>
      <c r="F26" s="207">
        <f>VALUE(IF(25-COUNTIF(E29:E53,"")&lt;10,E22&amp;0&amp;(25-COUNTIF(E29:E53,"")),E22&amp;(25-COUNTIF(E29:E53,""))))</f>
        <v>200</v>
      </c>
      <c r="G26" s="207"/>
      <c r="H26" s="197"/>
      <c r="I26" s="182" t="str">
        <f>IF(QBproj!D30=0,"",QBproj!D30)</f>
        <v>Brock Purdy</v>
      </c>
      <c r="J26" s="290" t="str">
        <f>QBproj!E30</f>
        <v>SF</v>
      </c>
      <c r="K26" s="183">
        <f>QBproj!F30</f>
        <v>242.16822999999997</v>
      </c>
      <c r="L26" s="517">
        <f>IFERROR(IF(QBproj!H30="",QBproj!G30,QBproj!H30),0)</f>
        <v>8</v>
      </c>
      <c r="M26" s="504">
        <f>INDEX(Draft!$BW:$BW,MATCH(I26,Draft_Names_Master,0))</f>
        <v>0</v>
      </c>
      <c r="N26">
        <v>2.4E-2</v>
      </c>
      <c r="O26">
        <f>IFERROR(IF(INDEX(Instructions!$V$64:$V$83,MATCH('Draft Slayer Classic'!I26,Instructions!$S$64:$S$83,0))&lt;=$E$25,1,0),0)</f>
        <v>0</v>
      </c>
      <c r="P26">
        <f>IFERROR(INDEX(ADP!$A$7:$A$260,MATCH(I26,ADP!$D$7:$D$260,0)),999+N26)</f>
        <v>174</v>
      </c>
      <c r="Q26">
        <f t="shared" si="0"/>
        <v>2.4E-2</v>
      </c>
      <c r="R26">
        <f>IFERROR(INDEX(Instructions!$U$111:$U$222,MATCH(I26,Instructions!$T$111:$T$222,0)),0)</f>
        <v>0</v>
      </c>
      <c r="S26" s="197"/>
      <c r="T26" s="182" t="str">
        <f>RBproj!D30</f>
        <v>Isiah Pacheco</v>
      </c>
      <c r="U26" s="290" t="str">
        <f>RBproj!E30</f>
        <v>KC</v>
      </c>
      <c r="V26" s="183">
        <f>RBproj!F30</f>
        <v>185.91144</v>
      </c>
      <c r="W26" s="517">
        <f>IFERROR(IF(RBproj!H30="",RBproj!G30,RBproj!H30),0)</f>
        <v>7</v>
      </c>
      <c r="X26" s="504">
        <f>INDEX(Draft!$BW:$BW,MATCH(T26,Draft_Names_Master,0))</f>
        <v>0</v>
      </c>
      <c r="Y26">
        <v>2.4E-2</v>
      </c>
      <c r="Z26">
        <f>IFERROR(IF(INDEX(Instructions!$X$64:$X$83,MATCH('Draft Slayer Classic'!T26,Instructions!$T$64:$T$83,0))&lt;=$E$25,1,0),0)</f>
        <v>0</v>
      </c>
      <c r="AA26">
        <f>IFERROR(INDEX(ADP!$A$7:$A$260,MATCH(T26,ADP!$D$7:$D$260,0)),999+Y26)</f>
        <v>63</v>
      </c>
      <c r="AB26">
        <f t="shared" si="1"/>
        <v>2.4E-2</v>
      </c>
      <c r="AC26">
        <f>IFERROR(INDEX(Instructions!$U$111:$U$222,MATCH(T26,Instructions!$T$111:$T$222,0)),0)</f>
        <v>0</v>
      </c>
      <c r="AD26" s="197"/>
      <c r="AE26" s="182" t="str">
        <f>WRproj!D30</f>
        <v>Mike Williams</v>
      </c>
      <c r="AF26" s="290" t="str">
        <f>WRproj!E30</f>
        <v>LAC</v>
      </c>
      <c r="AG26" s="183">
        <f>WRproj!F30</f>
        <v>209.18340000000001</v>
      </c>
      <c r="AH26" s="517">
        <f>IFERROR(IF(WRproj!H30="",WRproj!G30,WRproj!H30),0)</f>
        <v>7</v>
      </c>
      <c r="AI26" s="503">
        <f>INDEX(Draft!$BW:$BW,MATCH(AE26,Draft_Names_Master,0))</f>
        <v>0</v>
      </c>
      <c r="AJ26">
        <v>2.4E-2</v>
      </c>
      <c r="AK26">
        <f>IFERROR(IF(INDEX(Instructions!$V$86:$V$105,MATCH('Draft Slayer Classic'!AE26,Instructions!$S$86:$S$105,0))&lt;=$E$25,1,0),0)</f>
        <v>0</v>
      </c>
      <c r="AL26">
        <f>IFERROR(INDEX(ADP!$A$7:$A$260,MATCH(AE26,ADP!$D$7:$D$260,0)),999+AJ26)</f>
        <v>62</v>
      </c>
      <c r="AM26">
        <f t="shared" si="2"/>
        <v>2.4E-2</v>
      </c>
      <c r="AN26">
        <f>IFERROR(INDEX(Instructions!$U$111:$U$222,MATCH(AE26,Instructions!$T$111:$T$222,0)),0)</f>
        <v>0</v>
      </c>
      <c r="AO26" s="197"/>
      <c r="AP26" s="182" t="str">
        <f>TEproj!D30</f>
        <v>Zach Ertz</v>
      </c>
      <c r="AQ26" s="290" t="str">
        <f>TEproj!E30</f>
        <v>AZ</v>
      </c>
      <c r="AR26" s="183">
        <f>TEproj!F30</f>
        <v>105.45633000000001</v>
      </c>
      <c r="AS26" s="517">
        <f>IFERROR(IF(TEproj!H30="",TEproj!G30,TEproj!H30),0)</f>
        <v>8</v>
      </c>
      <c r="AT26" s="504">
        <f>INDEX(Draft!$BW:$BW,MATCH(AP26,Draft_Names_Master,0))</f>
        <v>0</v>
      </c>
      <c r="AU26">
        <v>2.4E-2</v>
      </c>
      <c r="AV26">
        <f>IFERROR(IF(INDEX(Instructions!$X$86:$X$105,MATCH('Draft Slayer Classic'!AP26,Instructions!$T$86:$T$105,0))&lt;=$E$25,1,0),0)</f>
        <v>0</v>
      </c>
      <c r="AW26">
        <f>IFERROR(INDEX(ADP!$A$7:$A$260,MATCH(AP26,ADP!$D$7:$D$260,0)),999+AU26)</f>
        <v>186</v>
      </c>
      <c r="AX26">
        <f t="shared" si="3"/>
        <v>2.4E-2</v>
      </c>
      <c r="AY26">
        <f>IFERROR(INDEX(Instructions!$U$111:$U$222,MATCH(AP26,Instructions!$T$111:$T$222,0)),0)</f>
        <v>0</v>
      </c>
      <c r="AZ26" s="197"/>
      <c r="BA26" s="512" t="str">
        <f>DEFproj!D30</f>
        <v>LAR</v>
      </c>
      <c r="BB26" s="503">
        <f>INDEX(Draft!$BW:$BW,MATCH(BA26,Draft_Names_Master,0))</f>
        <v>0</v>
      </c>
      <c r="BC26">
        <v>2.4E-2</v>
      </c>
      <c r="BD26">
        <f t="shared" si="4"/>
        <v>2.4E-2</v>
      </c>
      <c r="BE26" s="197"/>
      <c r="BF26" s="182" t="str">
        <f>IF(Kproj!D30=0, "", Kproj!D30)</f>
        <v>Cade York</v>
      </c>
      <c r="BG26" s="507" t="str">
        <f>INDEX(FFARawStatProjections!B:B,MATCH('Draft Slayer Classic'!BF26,FFARawStatProjections!A:A,0))</f>
        <v>CLE</v>
      </c>
      <c r="BH26" s="503">
        <f>INDEX(Draft!$BW:$BW,MATCH(BF26,Draft_Names_Master,0))</f>
        <v>0</v>
      </c>
      <c r="BI26">
        <v>2.4E-2</v>
      </c>
      <c r="BJ26">
        <f t="shared" si="5"/>
        <v>2.4E-2</v>
      </c>
      <c r="BK26" s="203"/>
      <c r="BV26" t="str">
        <f>12&amp;3</f>
        <v>123</v>
      </c>
      <c r="BW26">
        <v>3</v>
      </c>
      <c r="BX26">
        <v>22</v>
      </c>
      <c r="BY26">
        <v>27</v>
      </c>
      <c r="BZ26">
        <v>46</v>
      </c>
      <c r="CA26">
        <v>51</v>
      </c>
      <c r="CB26">
        <v>70</v>
      </c>
      <c r="CC26">
        <v>75</v>
      </c>
      <c r="CD26">
        <v>94</v>
      </c>
      <c r="CE26">
        <v>99</v>
      </c>
      <c r="CF26">
        <v>118</v>
      </c>
      <c r="CG26">
        <v>123</v>
      </c>
      <c r="CH26">
        <v>142</v>
      </c>
      <c r="CI26">
        <v>147</v>
      </c>
      <c r="CJ26">
        <v>166</v>
      </c>
      <c r="CK26">
        <v>171</v>
      </c>
      <c r="CL26">
        <v>190</v>
      </c>
      <c r="CM26">
        <v>195</v>
      </c>
      <c r="CN26">
        <v>214</v>
      </c>
      <c r="CO26">
        <v>219</v>
      </c>
      <c r="CP26">
        <v>238</v>
      </c>
      <c r="CQ26">
        <v>243</v>
      </c>
      <c r="CR26">
        <v>262</v>
      </c>
      <c r="CS26">
        <v>267</v>
      </c>
      <c r="CT26">
        <v>286</v>
      </c>
      <c r="CU26">
        <v>291</v>
      </c>
      <c r="DE26">
        <v>24</v>
      </c>
      <c r="DF26" t="str">
        <f>IF(IFERROR(MATCH(FFARawStatProjections!A27,Draft!BY:BY,0),1)&lt;=1,IF(FFARawStatProjections!A27=0,"",FFARawStatProjections!A27),"")</f>
        <v>Ryan Tannehill</v>
      </c>
    </row>
    <row r="27" spans="1:110" ht="15.75" thickBot="1" x14ac:dyDescent="0.3">
      <c r="A27" s="196"/>
      <c r="B27" s="197"/>
      <c r="C27" s="197"/>
      <c r="D27" s="197"/>
      <c r="E27" s="197"/>
      <c r="F27" s="207">
        <f>VALUE(IF(G29&gt;E25,E22&amp;0&amp;2,IF(E22=E24,F26+2,F26+1)))</f>
        <v>202</v>
      </c>
      <c r="G27" s="207">
        <f>VLOOKUP(F27, F29:G53, 2, FALSE)</f>
        <v>23</v>
      </c>
      <c r="H27" s="197"/>
      <c r="I27" s="180" t="str">
        <f>IF(QBproj!D31=0,"",QBproj!D31)</f>
        <v>Jimmy Garoppolo</v>
      </c>
      <c r="J27" s="461" t="str">
        <f>QBproj!E31</f>
        <v>LV</v>
      </c>
      <c r="K27" s="184">
        <f>QBproj!F31</f>
        <v>230.81424999999999</v>
      </c>
      <c r="L27" s="517">
        <f>IFERROR(IF(QBproj!H31="",QBproj!G31,QBproj!H31),0)</f>
        <v>8</v>
      </c>
      <c r="M27" s="503">
        <f>INDEX(Draft!$BW:$BW,MATCH(I27,Draft_Names_Master,0))</f>
        <v>0</v>
      </c>
      <c r="N27">
        <v>2.5000000000000001E-2</v>
      </c>
      <c r="O27">
        <f>IFERROR(IF(INDEX(Instructions!$V$64:$V$83,MATCH('Draft Slayer Classic'!I27,Instructions!$S$64:$S$83,0))&lt;=$E$25,1,0),0)</f>
        <v>0</v>
      </c>
      <c r="P27">
        <f>IFERROR(INDEX(ADP!$A$7:$A$260,MATCH(I27,ADP!$D$7:$D$260,0)),999+N27)</f>
        <v>999.02499999999998</v>
      </c>
      <c r="Q27">
        <f t="shared" si="0"/>
        <v>2.5000000000000001E-2</v>
      </c>
      <c r="R27">
        <f>IFERROR(INDEX(Instructions!$U$111:$U$222,MATCH(I27,Instructions!$T$111:$T$222,0)),0)</f>
        <v>0</v>
      </c>
      <c r="S27" s="197"/>
      <c r="T27" s="187" t="str">
        <f>RBproj!D31</f>
        <v>JK Dobbins</v>
      </c>
      <c r="U27" s="461" t="str">
        <f>RBproj!E31</f>
        <v>BAL</v>
      </c>
      <c r="V27" s="184">
        <f>RBproj!F31</f>
        <v>183.57141000000001</v>
      </c>
      <c r="W27" s="517">
        <f>IFERROR(IF(RBproj!H31="",RBproj!G31,RBproj!H31),0)</f>
        <v>7</v>
      </c>
      <c r="X27" s="504">
        <f>INDEX(Draft!$BW:$BW,MATCH(T27,Draft_Names_Master,0))</f>
        <v>0</v>
      </c>
      <c r="Y27">
        <v>2.5000000000000001E-2</v>
      </c>
      <c r="Z27">
        <f>IFERROR(IF(INDEX(Instructions!$X$64:$X$83,MATCH('Draft Slayer Classic'!T27,Instructions!$T$64:$T$83,0))&lt;=$E$25,1,0),0)</f>
        <v>0</v>
      </c>
      <c r="AA27">
        <f>IFERROR(INDEX(ADP!$A$7:$A$260,MATCH(T27,ADP!$D$7:$D$260,0)),999+Y27)</f>
        <v>48</v>
      </c>
      <c r="AB27">
        <f t="shared" si="1"/>
        <v>2.5000000000000001E-2</v>
      </c>
      <c r="AC27">
        <f>IFERROR(INDEX(Instructions!$U$111:$U$222,MATCH(T27,Instructions!$T$111:$T$222,0)),0)</f>
        <v>0</v>
      </c>
      <c r="AD27" s="197"/>
      <c r="AE27" s="187" t="str">
        <f>WRproj!D31</f>
        <v>Mike Evans</v>
      </c>
      <c r="AF27" s="461" t="str">
        <f>WRproj!E31</f>
        <v>TB</v>
      </c>
      <c r="AG27" s="184">
        <f>WRproj!F31</f>
        <v>206.17337000000001</v>
      </c>
      <c r="AH27" s="517">
        <f>IFERROR(IF(WRproj!H31="",WRproj!G31,WRproj!H31),0)</f>
        <v>7</v>
      </c>
      <c r="AI27" s="503">
        <f>INDEX(Draft!$BW:$BW,MATCH(AE27,Draft_Names_Master,0))</f>
        <v>0</v>
      </c>
      <c r="AJ27">
        <v>2.5000000000000001E-2</v>
      </c>
      <c r="AK27">
        <f>IFERROR(IF(INDEX(Instructions!$V$86:$V$105,MATCH('Draft Slayer Classic'!AE27,Instructions!$S$86:$S$105,0))&lt;=$E$25,1,0),0)</f>
        <v>0</v>
      </c>
      <c r="AL27">
        <f>IFERROR(INDEX(ADP!$A$7:$A$260,MATCH(AE27,ADP!$D$7:$D$260,0)),999+AJ27)</f>
        <v>70</v>
      </c>
      <c r="AM27">
        <f t="shared" si="2"/>
        <v>2.5000000000000001E-2</v>
      </c>
      <c r="AN27">
        <f>IFERROR(INDEX(Instructions!$U$111:$U$222,MATCH(AE27,Instructions!$T$111:$T$222,0)),0)</f>
        <v>0</v>
      </c>
      <c r="AO27" s="197"/>
      <c r="AP27" s="187" t="str">
        <f>TEproj!D31</f>
        <v>Cade Otton</v>
      </c>
      <c r="AQ27" s="461" t="str">
        <f>TEproj!E31</f>
        <v>TB</v>
      </c>
      <c r="AR27" s="184">
        <f>TEproj!F31</f>
        <v>104.79635999999999</v>
      </c>
      <c r="AS27" s="517">
        <f>IFERROR(IF(TEproj!H31="",TEproj!G31,TEproj!H31),0)</f>
        <v>8</v>
      </c>
      <c r="AT27" s="503">
        <f>INDEX(Draft!$BW:$BW,MATCH(AP27,Draft_Names_Master,0))</f>
        <v>0</v>
      </c>
      <c r="AU27">
        <v>2.5000000000000001E-2</v>
      </c>
      <c r="AV27">
        <f>IFERROR(IF(INDEX(Instructions!$X$86:$X$105,MATCH('Draft Slayer Classic'!AP27,Instructions!$T$86:$T$105,0))&lt;=$E$25,1,0),0)</f>
        <v>0</v>
      </c>
      <c r="AW27">
        <f>IFERROR(INDEX(ADP!$A$7:$A$260,MATCH(AP27,ADP!$D$7:$D$260,0)),999+AU27)</f>
        <v>999.02499999999998</v>
      </c>
      <c r="AX27">
        <f t="shared" si="3"/>
        <v>2.5000000000000001E-2</v>
      </c>
      <c r="AY27">
        <f>IFERROR(INDEX(Instructions!$U$111:$U$222,MATCH(AP27,Instructions!$T$111:$T$222,0)),0)</f>
        <v>0</v>
      </c>
      <c r="AZ27" s="197"/>
      <c r="BA27" s="513" t="str">
        <f>DEFproj!D31</f>
        <v>CIN</v>
      </c>
      <c r="BB27" s="504">
        <f>INDEX(Draft!$BW:$BW,MATCH(BA27,Draft_Names_Master,0))</f>
        <v>0</v>
      </c>
      <c r="BC27">
        <v>2.5000000000000001E-2</v>
      </c>
      <c r="BD27">
        <f t="shared" si="4"/>
        <v>2.5000000000000001E-2</v>
      </c>
      <c r="BE27" s="197"/>
      <c r="BF27" s="187" t="str">
        <f>IF(Kproj!D31=0, "", Kproj!D31)</f>
        <v>Brett Maher</v>
      </c>
      <c r="BG27" s="508" t="str">
        <f>INDEX(FFARawStatProjections!B:B,MATCH('Draft Slayer Classic'!BF27,FFARawStatProjections!A:A,0))</f>
        <v>DEN</v>
      </c>
      <c r="BH27" s="504">
        <f>INDEX(Draft!$BW:$BW,MATCH(BF27,Draft_Names_Master,0))</f>
        <v>0</v>
      </c>
      <c r="BI27">
        <v>2.5000000000000001E-2</v>
      </c>
      <c r="BJ27">
        <f t="shared" si="5"/>
        <v>2.5000000000000001E-2</v>
      </c>
      <c r="BK27" s="203"/>
      <c r="BV27" t="str">
        <f>12&amp;4</f>
        <v>124</v>
      </c>
      <c r="BW27">
        <v>4</v>
      </c>
      <c r="BX27">
        <v>21</v>
      </c>
      <c r="BY27">
        <v>28</v>
      </c>
      <c r="BZ27">
        <v>45</v>
      </c>
      <c r="CA27">
        <v>52</v>
      </c>
      <c r="CB27">
        <v>69</v>
      </c>
      <c r="CC27">
        <v>76</v>
      </c>
      <c r="CD27">
        <v>93</v>
      </c>
      <c r="CE27">
        <v>100</v>
      </c>
      <c r="CF27">
        <v>117</v>
      </c>
      <c r="CG27">
        <v>124</v>
      </c>
      <c r="CH27">
        <v>141</v>
      </c>
      <c r="CI27">
        <v>148</v>
      </c>
      <c r="CJ27">
        <v>165</v>
      </c>
      <c r="CK27">
        <v>172</v>
      </c>
      <c r="CL27">
        <v>189</v>
      </c>
      <c r="CM27">
        <v>196</v>
      </c>
      <c r="CN27">
        <v>213</v>
      </c>
      <c r="CO27">
        <v>220</v>
      </c>
      <c r="CP27">
        <v>237</v>
      </c>
      <c r="CQ27">
        <v>244</v>
      </c>
      <c r="CR27">
        <v>261</v>
      </c>
      <c r="CS27">
        <v>268</v>
      </c>
      <c r="CT27">
        <v>285</v>
      </c>
      <c r="CU27">
        <v>292</v>
      </c>
      <c r="DE27">
        <v>25</v>
      </c>
      <c r="DF27" t="str">
        <f>IF(IFERROR(MATCH(FFARawStatProjections!A28,Draft!BY:BY,0),1)&lt;=1,IF(FFARawStatProjections!A28=0,"",FFARawStatProjections!A28),"")</f>
        <v>CJ Stroud</v>
      </c>
    </row>
    <row r="28" spans="1:110" ht="15" customHeight="1" thickBot="1" x14ac:dyDescent="0.3">
      <c r="A28" s="196"/>
      <c r="B28" s="673" t="s">
        <v>888</v>
      </c>
      <c r="C28" s="674"/>
      <c r="D28" s="674"/>
      <c r="E28" s="675"/>
      <c r="F28" s="207">
        <f>VALUE(F27+1)</f>
        <v>203</v>
      </c>
      <c r="G28" s="207">
        <f>VLOOKUP(F28, F29:G53, 2, FALSE)</f>
        <v>26</v>
      </c>
      <c r="H28" s="197"/>
      <c r="I28" s="182" t="str">
        <f>IF(QBproj!D32=0,"",QBproj!D32)</f>
        <v>Ryan Tannehill</v>
      </c>
      <c r="J28" s="290" t="str">
        <f>QBproj!E32</f>
        <v>TEN</v>
      </c>
      <c r="K28" s="183">
        <f>QBproj!F32</f>
        <v>225.91026000000002</v>
      </c>
      <c r="L28" s="517">
        <f>IFERROR(IF(QBproj!H32="",QBproj!G32,QBproj!H32),0)</f>
        <v>8</v>
      </c>
      <c r="M28" s="504">
        <f>INDEX(Draft!$BW:$BW,MATCH(I28,Draft_Names_Master,0))</f>
        <v>0</v>
      </c>
      <c r="N28">
        <v>2.5999999999999999E-2</v>
      </c>
      <c r="O28">
        <f>IFERROR(IF(INDEX(Instructions!$V$64:$V$83,MATCH('Draft Slayer Classic'!I28,Instructions!$S$64:$S$83,0))&lt;=$E$25,1,0),0)</f>
        <v>0</v>
      </c>
      <c r="P28">
        <f>IFERROR(INDEX(ADP!$A$7:$A$260,MATCH(I28,ADP!$D$7:$D$260,0)),999+N28)</f>
        <v>999.02599999999995</v>
      </c>
      <c r="Q28">
        <f t="shared" si="0"/>
        <v>2.5999999999999999E-2</v>
      </c>
      <c r="R28">
        <f>IFERROR(INDEX(Instructions!$U$111:$U$222,MATCH(I28,Instructions!$T$111:$T$222,0)),0)</f>
        <v>0</v>
      </c>
      <c r="S28" s="197"/>
      <c r="T28" s="182" t="str">
        <f>RBproj!D32</f>
        <v>David Montgomery</v>
      </c>
      <c r="U28" s="290" t="str">
        <f>RBproj!E32</f>
        <v>DET</v>
      </c>
      <c r="V28" s="183">
        <f>RBproj!F32</f>
        <v>183.25142</v>
      </c>
      <c r="W28" s="517">
        <f>IFERROR(IF(RBproj!H32="",RBproj!G32,RBproj!H32),0)</f>
        <v>7</v>
      </c>
      <c r="X28" s="504">
        <f>INDEX(Draft!$BW:$BW,MATCH(T28,Draft_Names_Master,0))</f>
        <v>0</v>
      </c>
      <c r="Y28">
        <v>2.5999999999999999E-2</v>
      </c>
      <c r="Z28">
        <f>IFERROR(IF(INDEX(Instructions!$X$64:$X$83,MATCH('Draft Slayer Classic'!T28,Instructions!$T$64:$T$83,0))&lt;=$E$25,1,0),0)</f>
        <v>0</v>
      </c>
      <c r="AA28">
        <f>IFERROR(INDEX(ADP!$A$7:$A$260,MATCH(T28,ADP!$D$7:$D$260,0)),999+Y28)</f>
        <v>65</v>
      </c>
      <c r="AB28">
        <f t="shared" si="1"/>
        <v>2.5999999999999999E-2</v>
      </c>
      <c r="AC28">
        <f>IFERROR(INDEX(Instructions!$U$111:$U$222,MATCH(T28,Instructions!$T$111:$T$222,0)),0)</f>
        <v>0</v>
      </c>
      <c r="AD28" s="197"/>
      <c r="AE28" s="182" t="str">
        <f>WRproj!D32</f>
        <v>DeAndre Hopkins</v>
      </c>
      <c r="AF28" s="290" t="str">
        <f>WRproj!E32</f>
        <v>TEN</v>
      </c>
      <c r="AG28" s="183">
        <f>WRproj!F32</f>
        <v>205.93338</v>
      </c>
      <c r="AH28" s="517">
        <f>IFERROR(IF(WRproj!H32="",WRproj!G32,WRproj!H32),0)</f>
        <v>7</v>
      </c>
      <c r="AI28" s="503">
        <f>INDEX(Draft!$BW:$BW,MATCH(AE28,Draft_Names_Master,0))</f>
        <v>0</v>
      </c>
      <c r="AJ28">
        <v>2.5999999999999999E-2</v>
      </c>
      <c r="AK28">
        <f>IFERROR(IF(INDEX(Instructions!$V$86:$V$105,MATCH('Draft Slayer Classic'!AE28,Instructions!$S$86:$S$105,0))&lt;=$E$25,1,0),0)</f>
        <v>0</v>
      </c>
      <c r="AL28">
        <f>IFERROR(INDEX(ADP!$A$7:$A$260,MATCH(AE28,ADP!$D$7:$D$260,0)),999+AJ28)</f>
        <v>56</v>
      </c>
      <c r="AM28">
        <f t="shared" si="2"/>
        <v>2.5999999999999999E-2</v>
      </c>
      <c r="AN28">
        <f>IFERROR(INDEX(Instructions!$U$111:$U$222,MATCH(AE28,Instructions!$T$111:$T$222,0)),0)</f>
        <v>0</v>
      </c>
      <c r="AO28" s="197"/>
      <c r="AP28" s="182" t="str">
        <f>TEproj!D32</f>
        <v>Tyler Conklin</v>
      </c>
      <c r="AQ28" s="290" t="str">
        <f>TEproj!E32</f>
        <v>NYJ</v>
      </c>
      <c r="AR28" s="183">
        <f>TEproj!F32</f>
        <v>102.05637000000002</v>
      </c>
      <c r="AS28" s="517">
        <f>IFERROR(IF(TEproj!H32="",TEproj!G32,TEproj!H32),0)</f>
        <v>8</v>
      </c>
      <c r="AT28" s="504">
        <f>INDEX(Draft!$BW:$BW,MATCH(AP28,Draft_Names_Master,0))</f>
        <v>0</v>
      </c>
      <c r="AU28">
        <v>2.5999999999999999E-2</v>
      </c>
      <c r="AV28">
        <f>IFERROR(IF(INDEX(Instructions!$X$86:$X$105,MATCH('Draft Slayer Classic'!AP28,Instructions!$T$86:$T$105,0))&lt;=$E$25,1,0),0)</f>
        <v>0</v>
      </c>
      <c r="AW28">
        <f>IFERROR(INDEX(ADP!$A$7:$A$260,MATCH(AP28,ADP!$D$7:$D$260,0)),999+AU28)</f>
        <v>999.02599999999995</v>
      </c>
      <c r="AX28">
        <f t="shared" si="3"/>
        <v>2.5999999999999999E-2</v>
      </c>
      <c r="AY28">
        <f>IFERROR(INDEX(Instructions!$U$111:$U$222,MATCH(AP28,Instructions!$T$111:$T$222,0)),0)</f>
        <v>0</v>
      </c>
      <c r="AZ28" s="197"/>
      <c r="BA28" s="512" t="str">
        <f>DEFproj!D32</f>
        <v>TEN</v>
      </c>
      <c r="BB28" s="503">
        <f>INDEX(Draft!$BW:$BW,MATCH(BA28,Draft_Names_Master,0))</f>
        <v>0</v>
      </c>
      <c r="BC28">
        <v>2.5999999999999999E-2</v>
      </c>
      <c r="BD28">
        <f t="shared" si="4"/>
        <v>2.5999999999999999E-2</v>
      </c>
      <c r="BE28" s="197"/>
      <c r="BF28" s="182" t="str">
        <f>IF(Kproj!D32=0, "", Kproj!D32)</f>
        <v>Dustin Hopkins</v>
      </c>
      <c r="BG28" s="507" t="str">
        <f>INDEX(FFARawStatProjections!B:B,MATCH('Draft Slayer Classic'!BF28,FFARawStatProjections!A:A,0))</f>
        <v>LAC</v>
      </c>
      <c r="BH28" s="503">
        <f>INDEX(Draft!$BW:$BW,MATCH(BF28,Draft_Names_Master,0))</f>
        <v>0</v>
      </c>
      <c r="BI28">
        <v>2.5999999999999999E-2</v>
      </c>
      <c r="BJ28">
        <f t="shared" si="5"/>
        <v>2.5999999999999999E-2</v>
      </c>
      <c r="BK28" s="203"/>
      <c r="BV28" t="str">
        <f>12&amp;5</f>
        <v>125</v>
      </c>
      <c r="BW28">
        <v>5</v>
      </c>
      <c r="BX28">
        <v>20</v>
      </c>
      <c r="BY28">
        <v>29</v>
      </c>
      <c r="BZ28">
        <v>44</v>
      </c>
      <c r="CA28">
        <v>53</v>
      </c>
      <c r="CB28">
        <v>68</v>
      </c>
      <c r="CC28">
        <v>77</v>
      </c>
      <c r="CD28">
        <v>92</v>
      </c>
      <c r="CE28">
        <v>101</v>
      </c>
      <c r="CF28">
        <v>116</v>
      </c>
      <c r="CG28">
        <v>125</v>
      </c>
      <c r="CH28">
        <v>140</v>
      </c>
      <c r="CI28">
        <v>149</v>
      </c>
      <c r="CJ28">
        <v>164</v>
      </c>
      <c r="CK28">
        <v>173</v>
      </c>
      <c r="CL28">
        <v>188</v>
      </c>
      <c r="CM28">
        <v>197</v>
      </c>
      <c r="CN28">
        <v>212</v>
      </c>
      <c r="CO28">
        <v>221</v>
      </c>
      <c r="CP28">
        <v>236</v>
      </c>
      <c r="CQ28">
        <v>245</v>
      </c>
      <c r="CR28">
        <v>260</v>
      </c>
      <c r="CS28">
        <v>269</v>
      </c>
      <c r="CT28">
        <v>284</v>
      </c>
      <c r="CU28">
        <v>293</v>
      </c>
      <c r="DE28">
        <v>26</v>
      </c>
      <c r="DF28" t="str">
        <f>IF(IFERROR(MATCH(FFARawStatProjections!A29,Draft!BY:BY,0),1)&lt;=1,IF(FFARawStatProjections!A29=0,"",FFARawStatProjections!A29),"")</f>
        <v>Mac Jones</v>
      </c>
    </row>
    <row r="29" spans="1:110" x14ac:dyDescent="0.25">
      <c r="A29" s="196"/>
      <c r="B29" s="169" t="str">
        <f>IFERROR( INDEX(FFARawStatProjections!C:C,MATCH(C29,FFARawStatProjections!A:A,0)), "")</f>
        <v/>
      </c>
      <c r="C29" s="540">
        <f>IFERROR(IF(INDEX(Draft!BY:BY,MATCH(G29,Draft!BX:BX,0))="",G29,(INDEX(Draft!BY:BY,MATCH(G29,Draft!BX:BX,0)))),"")</f>
        <v>2</v>
      </c>
      <c r="D29" s="540" t="str">
        <f>IFERROR(INDEX(FFARawStatProjections!B:B,MATCH(C29,FFARawStatProjections!A:A,0)),"")</f>
        <v/>
      </c>
      <c r="E29" s="541" t="str">
        <f>IFERROR(INDEX(FFARawStatProjections!D:D,MATCH(C29,FFARawStatProjections!A:A,0)),"")</f>
        <v/>
      </c>
      <c r="F29" s="207">
        <f>VALUE($E$22&amp;0&amp;1)</f>
        <v>201</v>
      </c>
      <c r="G29" s="207">
        <f>VLOOKUP($E$22&amp;0&amp;1, 'Draft Pick Order'!B:C, 2, FALSE)</f>
        <v>2</v>
      </c>
      <c r="H29" s="197"/>
      <c r="I29" s="180" t="str">
        <f>IF(QBproj!D33=0,"",QBproj!D33)</f>
        <v>CJ Stroud</v>
      </c>
      <c r="J29" s="461" t="str">
        <f>QBproj!E33</f>
        <v>HOU</v>
      </c>
      <c r="K29" s="184">
        <f>QBproj!F33</f>
        <v>225.68826999999999</v>
      </c>
      <c r="L29" s="517">
        <f>IFERROR(IF(QBproj!H33="",QBproj!G33,QBproj!H33),0)</f>
        <v>8</v>
      </c>
      <c r="M29" s="503">
        <f>INDEX(Draft!$BW:$BW,MATCH(I29,Draft_Names_Master,0))</f>
        <v>0</v>
      </c>
      <c r="N29">
        <v>2.7E-2</v>
      </c>
      <c r="O29">
        <f>IFERROR(IF(INDEX(Instructions!$V$64:$V$83,MATCH('Draft Slayer Classic'!I29,Instructions!$S$64:$S$83,0))&lt;=$E$25,1,0),0)</f>
        <v>0</v>
      </c>
      <c r="P29">
        <f>IFERROR(INDEX(ADP!$A$7:$A$260,MATCH(I29,ADP!$D$7:$D$260,0)),999+N29)</f>
        <v>999.02700000000004</v>
      </c>
      <c r="Q29">
        <f t="shared" si="0"/>
        <v>2.7E-2</v>
      </c>
      <c r="R29">
        <f>IFERROR(INDEX(Instructions!$U$111:$U$222,MATCH(I29,Instructions!$T$111:$T$222,0)),0)</f>
        <v>0</v>
      </c>
      <c r="S29" s="197"/>
      <c r="T29" s="187" t="str">
        <f>RBproj!D33</f>
        <v>Javonte Williams</v>
      </c>
      <c r="U29" s="461" t="str">
        <f>RBproj!E33</f>
        <v>DEN</v>
      </c>
      <c r="V29" s="184">
        <f>RBproj!F33</f>
        <v>182.98139</v>
      </c>
      <c r="W29" s="517">
        <f>IFERROR(IF(RBproj!H33="",RBproj!G33,RBproj!H33),0)</f>
        <v>7</v>
      </c>
      <c r="X29" s="504">
        <f>INDEX(Draft!$BW:$BW,MATCH(T29,Draft_Names_Master,0))</f>
        <v>0</v>
      </c>
      <c r="Y29">
        <v>2.7E-2</v>
      </c>
      <c r="Z29">
        <f>IFERROR(IF(INDEX(Instructions!$X$64:$X$83,MATCH('Draft Slayer Classic'!T29,Instructions!$T$64:$T$83,0))&lt;=$E$25,1,0),0)</f>
        <v>0</v>
      </c>
      <c r="AA29">
        <f>IFERROR(INDEX(ADP!$A$7:$A$260,MATCH(T29,ADP!$D$7:$D$260,0)),999+Y29)</f>
        <v>68</v>
      </c>
      <c r="AB29">
        <f t="shared" si="1"/>
        <v>2.7E-2</v>
      </c>
      <c r="AC29">
        <f>IFERROR(INDEX(Instructions!$U$111:$U$222,MATCH(T29,Instructions!$T$111:$T$222,0)),0)</f>
        <v>0</v>
      </c>
      <c r="AD29" s="197"/>
      <c r="AE29" s="187" t="str">
        <f>WRproj!D33</f>
        <v>Chris Godwin</v>
      </c>
      <c r="AF29" s="461" t="str">
        <f>WRproj!E33</f>
        <v>TB</v>
      </c>
      <c r="AG29" s="184">
        <f>WRproj!F33</f>
        <v>204.87335000000002</v>
      </c>
      <c r="AH29" s="517">
        <f>IFERROR(IF(WRproj!H33="",WRproj!G33,WRproj!H33),0)</f>
        <v>7</v>
      </c>
      <c r="AI29" s="503">
        <f>INDEX(Draft!$BW:$BW,MATCH(AE29,Draft_Names_Master,0))</f>
        <v>0</v>
      </c>
      <c r="AJ29">
        <v>2.7E-2</v>
      </c>
      <c r="AK29">
        <f>IFERROR(IF(INDEX(Instructions!$V$86:$V$105,MATCH('Draft Slayer Classic'!AE29,Instructions!$S$86:$S$105,0))&lt;=$E$25,1,0),0)</f>
        <v>0</v>
      </c>
      <c r="AL29">
        <f>IFERROR(INDEX(ADP!$A$7:$A$260,MATCH(AE29,ADP!$D$7:$D$260,0)),999+AJ29)</f>
        <v>73</v>
      </c>
      <c r="AM29">
        <f t="shared" si="2"/>
        <v>2.7E-2</v>
      </c>
      <c r="AN29">
        <f>IFERROR(INDEX(Instructions!$U$111:$U$222,MATCH(AE29,Instructions!$T$111:$T$222,0)),0)</f>
        <v>0</v>
      </c>
      <c r="AO29" s="197"/>
      <c r="AP29" s="187" t="str">
        <f>TEproj!D33</f>
        <v>Dawson Knox</v>
      </c>
      <c r="AQ29" s="461" t="str">
        <f>TEproj!E33</f>
        <v>BUF</v>
      </c>
      <c r="AR29" s="184">
        <f>TEproj!F33</f>
        <v>97.156310000000005</v>
      </c>
      <c r="AS29" s="517">
        <f>IFERROR(IF(TEproj!H33="",TEproj!G33,TEproj!H33),0)</f>
        <v>8</v>
      </c>
      <c r="AT29" s="503">
        <f>INDEX(Draft!$BW:$BW,MATCH(AP29,Draft_Names_Master,0))</f>
        <v>0</v>
      </c>
      <c r="AU29">
        <v>2.7E-2</v>
      </c>
      <c r="AV29">
        <f>IFERROR(IF(INDEX(Instructions!$X$86:$X$105,MATCH('Draft Slayer Classic'!AP29,Instructions!$T$86:$T$105,0))&lt;=$E$25,1,0),0)</f>
        <v>0</v>
      </c>
      <c r="AW29">
        <f>IFERROR(INDEX(ADP!$A$7:$A$260,MATCH(AP29,ADP!$D$7:$D$260,0)),999+AU29)</f>
        <v>131</v>
      </c>
      <c r="AX29">
        <f t="shared" si="3"/>
        <v>2.7E-2</v>
      </c>
      <c r="AY29">
        <f>IFERROR(INDEX(Instructions!$U$111:$U$222,MATCH(AP29,Instructions!$T$111:$T$222,0)),0)</f>
        <v>0</v>
      </c>
      <c r="AZ29" s="197"/>
      <c r="BA29" s="513" t="str">
        <f>DEFproj!D33</f>
        <v>CAR</v>
      </c>
      <c r="BB29" s="504">
        <f>INDEX(Draft!$BW:$BW,MATCH(BA29,Draft_Names_Master,0))</f>
        <v>0</v>
      </c>
      <c r="BC29">
        <v>2.7E-2</v>
      </c>
      <c r="BD29">
        <f t="shared" si="4"/>
        <v>2.7E-2</v>
      </c>
      <c r="BE29" s="197"/>
      <c r="BF29" s="187" t="str">
        <f>IF(Kproj!D33=0, "", Kproj!D33)</f>
        <v>Matt Gay</v>
      </c>
      <c r="BG29" s="508" t="str">
        <f>INDEX(FFARawStatProjections!B:B,MATCH('Draft Slayer Classic'!BF29,FFARawStatProjections!A:A,0))</f>
        <v>IND</v>
      </c>
      <c r="BH29" s="504">
        <f>INDEX(Draft!$BW:$BW,MATCH(BF29,Draft_Names_Master,0))</f>
        <v>0</v>
      </c>
      <c r="BI29">
        <v>2.7E-2</v>
      </c>
      <c r="BJ29">
        <f t="shared" si="5"/>
        <v>2.7E-2</v>
      </c>
      <c r="BK29" s="203"/>
      <c r="BV29" t="str">
        <f>12&amp;6</f>
        <v>126</v>
      </c>
      <c r="BW29">
        <v>6</v>
      </c>
      <c r="BX29">
        <v>19</v>
      </c>
      <c r="BY29">
        <v>30</v>
      </c>
      <c r="BZ29">
        <v>43</v>
      </c>
      <c r="CA29">
        <v>54</v>
      </c>
      <c r="CB29">
        <v>67</v>
      </c>
      <c r="CC29">
        <v>78</v>
      </c>
      <c r="CD29">
        <v>91</v>
      </c>
      <c r="CE29">
        <v>102</v>
      </c>
      <c r="CF29">
        <v>115</v>
      </c>
      <c r="CG29">
        <v>126</v>
      </c>
      <c r="CH29">
        <v>139</v>
      </c>
      <c r="CI29">
        <v>150</v>
      </c>
      <c r="CJ29">
        <v>163</v>
      </c>
      <c r="CK29">
        <v>174</v>
      </c>
      <c r="CL29">
        <v>187</v>
      </c>
      <c r="CM29">
        <v>198</v>
      </c>
      <c r="CN29">
        <v>211</v>
      </c>
      <c r="CO29">
        <v>222</v>
      </c>
      <c r="CP29">
        <v>235</v>
      </c>
      <c r="CQ29">
        <v>246</v>
      </c>
      <c r="CR29">
        <v>259</v>
      </c>
      <c r="CS29">
        <v>270</v>
      </c>
      <c r="CT29">
        <v>283</v>
      </c>
      <c r="CU29">
        <v>294</v>
      </c>
      <c r="DE29">
        <v>27</v>
      </c>
      <c r="DF29" t="str">
        <f>IF(IFERROR(MATCH(FFARawStatProjections!A30,Draft!BY:BY,0),1)&lt;=1,IF(FFARawStatProjections!A30=0,"",FFARawStatProjections!A30),"")</f>
        <v>Kyler Murray</v>
      </c>
    </row>
    <row r="30" spans="1:110" ht="14.45" customHeight="1" x14ac:dyDescent="0.25">
      <c r="A30" s="196"/>
      <c r="B30" s="167" t="str">
        <f>IFERROR( INDEX(FFARawStatProjections!C:C,MATCH(C30,FFARawStatProjections!A:A,0)), "")</f>
        <v/>
      </c>
      <c r="C30" s="156">
        <f>IFERROR(IF(INDEX(Draft!BY:BY,MATCH(G30,Draft!BX:BX,0))="",G30,(INDEX(Draft!BY:BY,MATCH(G30,Draft!BX:BX,0)))),"")</f>
        <v>23</v>
      </c>
      <c r="D30" s="156" t="str">
        <f>IFERROR(INDEX(FFARawStatProjections!B:B,MATCH(C30,FFARawStatProjections!A:A,0)),"")</f>
        <v/>
      </c>
      <c r="E30" s="168" t="str">
        <f>IFERROR(INDEX(FFARawStatProjections!D:D,MATCH(C30,FFARawStatProjections!A:A,0)),"")</f>
        <v/>
      </c>
      <c r="F30" s="207">
        <f>VALUE($E$22&amp;0&amp;2)</f>
        <v>202</v>
      </c>
      <c r="G30" s="207">
        <f>VLOOKUP($E$22&amp;0&amp;2, 'Draft Pick Order'!B:C, 2, FALSE)</f>
        <v>23</v>
      </c>
      <c r="H30" s="197"/>
      <c r="I30" s="182" t="str">
        <f>IF(QBproj!D34=0,"",QBproj!D34)</f>
        <v>Mac Jones</v>
      </c>
      <c r="J30" s="290" t="str">
        <f>QBproj!E34</f>
        <v>NE</v>
      </c>
      <c r="K30" s="183">
        <f>QBproj!F34</f>
        <v>222.10227999999998</v>
      </c>
      <c r="L30" s="517">
        <f>IFERROR(IF(QBproj!H34="",QBproj!G34,QBproj!H34),0)</f>
        <v>8</v>
      </c>
      <c r="M30" s="504">
        <f>INDEX(Draft!$BW:$BW,MATCH(I30,Draft_Names_Master,0))</f>
        <v>0</v>
      </c>
      <c r="N30">
        <v>2.8000000000000001E-2</v>
      </c>
      <c r="O30">
        <f>IFERROR(IF(INDEX(Instructions!$V$64:$V$83,MATCH('Draft Slayer Classic'!I30,Instructions!$S$64:$S$83,0))&lt;=$E$25,1,0),0)</f>
        <v>0</v>
      </c>
      <c r="P30">
        <f>IFERROR(INDEX(ADP!$A$7:$A$260,MATCH(I30,ADP!$D$7:$D$260,0)),999+N30)</f>
        <v>999.02800000000002</v>
      </c>
      <c r="Q30">
        <f t="shared" si="0"/>
        <v>2.8000000000000001E-2</v>
      </c>
      <c r="R30">
        <f>IFERROR(INDEX(Instructions!$U$111:$U$222,MATCH(I30,Instructions!$T$111:$T$222,0)),0)</f>
        <v>0</v>
      </c>
      <c r="S30" s="197"/>
      <c r="T30" s="182" t="str">
        <f>RBproj!D34</f>
        <v>Alvin Kamara</v>
      </c>
      <c r="U30" s="290" t="str">
        <f>RBproj!E34</f>
        <v>NO</v>
      </c>
      <c r="V30" s="183">
        <f>RBproj!F34</f>
        <v>180.92143000000002</v>
      </c>
      <c r="W30" s="517">
        <f>IFERROR(IF(RBproj!H34="",RBproj!G34,RBproj!H34),0)</f>
        <v>7</v>
      </c>
      <c r="X30" s="504">
        <f>INDEX(Draft!$BW:$BW,MATCH(T30,Draft_Names_Master,0))</f>
        <v>0</v>
      </c>
      <c r="Y30">
        <v>2.8000000000000001E-2</v>
      </c>
      <c r="Z30">
        <f>IFERROR(IF(INDEX(Instructions!$X$64:$X$83,MATCH('Draft Slayer Classic'!T30,Instructions!$T$64:$T$83,0))&lt;=$E$25,1,0),0)</f>
        <v>0</v>
      </c>
      <c r="AA30">
        <f>IFERROR(INDEX(ADP!$A$7:$A$260,MATCH(T30,ADP!$D$7:$D$260,0)),999+Y30)</f>
        <v>69</v>
      </c>
      <c r="AB30">
        <f t="shared" si="1"/>
        <v>2.8000000000000001E-2</v>
      </c>
      <c r="AC30">
        <f>IFERROR(INDEX(Instructions!$U$111:$U$222,MATCH(T30,Instructions!$T$111:$T$222,0)),0)</f>
        <v>0</v>
      </c>
      <c r="AD30" s="197"/>
      <c r="AE30" s="182" t="str">
        <f>WRproj!D34</f>
        <v>Christian Kirk</v>
      </c>
      <c r="AF30" s="290" t="str">
        <f>WRproj!E34</f>
        <v>JAC</v>
      </c>
      <c r="AG30" s="183">
        <f>WRproj!F34</f>
        <v>204.21341000000001</v>
      </c>
      <c r="AH30" s="517">
        <f>IFERROR(IF(WRproj!H34="",WRproj!G34,WRproj!H34),0)</f>
        <v>7</v>
      </c>
      <c r="AI30" s="503">
        <f>INDEX(Draft!$BW:$BW,MATCH(AE30,Draft_Names_Master,0))</f>
        <v>0</v>
      </c>
      <c r="AJ30">
        <v>2.8000000000000001E-2</v>
      </c>
      <c r="AK30">
        <f>IFERROR(IF(INDEX(Instructions!$V$86:$V$105,MATCH('Draft Slayer Classic'!AE30,Instructions!$S$86:$S$105,0))&lt;=$E$25,1,0),0)</f>
        <v>0</v>
      </c>
      <c r="AL30">
        <f>IFERROR(INDEX(ADP!$A$7:$A$260,MATCH(AE30,ADP!$D$7:$D$260,0)),999+AJ30)</f>
        <v>67</v>
      </c>
      <c r="AM30">
        <f t="shared" si="2"/>
        <v>2.8000000000000001E-2</v>
      </c>
      <c r="AN30">
        <f>IFERROR(INDEX(Instructions!$U$111:$U$222,MATCH(AE30,Instructions!$T$111:$T$222,0)),0)</f>
        <v>0</v>
      </c>
      <c r="AO30" s="197"/>
      <c r="AP30" s="182" t="str">
        <f>TEproj!D34</f>
        <v>Jelani Woods</v>
      </c>
      <c r="AQ30" s="290" t="str">
        <f>TEproj!E34</f>
        <v>IND</v>
      </c>
      <c r="AR30" s="183">
        <f>TEproj!F34</f>
        <v>96.736410000000021</v>
      </c>
      <c r="AS30" s="517">
        <f>IFERROR(IF(TEproj!H34="",TEproj!G34,TEproj!H34),0)</f>
        <v>8</v>
      </c>
      <c r="AT30" s="504">
        <f>INDEX(Draft!$BW:$BW,MATCH(AP30,Draft_Names_Master,0))</f>
        <v>0</v>
      </c>
      <c r="AU30">
        <v>2.8000000000000001E-2</v>
      </c>
      <c r="AV30">
        <f>IFERROR(IF(INDEX(Instructions!$X$86:$X$105,MATCH('Draft Slayer Classic'!AP30,Instructions!$T$86:$T$105,0))&lt;=$E$25,1,0),0)</f>
        <v>0</v>
      </c>
      <c r="AW30">
        <f>IFERROR(INDEX(ADP!$A$7:$A$260,MATCH(AP30,ADP!$D$7:$D$260,0)),999+AU30)</f>
        <v>999.02800000000002</v>
      </c>
      <c r="AX30">
        <f t="shared" si="3"/>
        <v>2.8000000000000001E-2</v>
      </c>
      <c r="AY30">
        <f>IFERROR(INDEX(Instructions!$U$111:$U$222,MATCH(AP30,Instructions!$T$111:$T$222,0)),0)</f>
        <v>0</v>
      </c>
      <c r="AZ30" s="197"/>
      <c r="BA30" s="512" t="str">
        <f>DEFproj!D34</f>
        <v>DEN</v>
      </c>
      <c r="BB30" s="503">
        <f>INDEX(Draft!$BW:$BW,MATCH(BA30,Draft_Names_Master,0))</f>
        <v>0</v>
      </c>
      <c r="BC30">
        <v>2.8000000000000001E-2</v>
      </c>
      <c r="BD30">
        <f t="shared" si="4"/>
        <v>2.8000000000000001E-2</v>
      </c>
      <c r="BE30" s="197"/>
      <c r="BF30" s="182" t="str">
        <f>IF(Kproj!D34=0, "", Kproj!D34)</f>
        <v>Brandon Aubrey</v>
      </c>
      <c r="BG30" s="507" t="str">
        <f>INDEX(FFARawStatProjections!B:B,MATCH('Draft Slayer Classic'!BF30,FFARawStatProjections!A:A,0))</f>
        <v>DAL</v>
      </c>
      <c r="BH30" s="503">
        <f>INDEX(Draft!$BW:$BW,MATCH(BF30,Draft_Names_Master,0))</f>
        <v>0</v>
      </c>
      <c r="BI30">
        <v>2.8000000000000001E-2</v>
      </c>
      <c r="BJ30">
        <f t="shared" si="5"/>
        <v>2.8000000000000001E-2</v>
      </c>
      <c r="BK30" s="203"/>
      <c r="BV30" t="str">
        <f>12&amp;7</f>
        <v>127</v>
      </c>
      <c r="BW30">
        <v>7</v>
      </c>
      <c r="BX30">
        <v>18</v>
      </c>
      <c r="BY30">
        <v>31</v>
      </c>
      <c r="BZ30">
        <v>42</v>
      </c>
      <c r="CA30">
        <v>55</v>
      </c>
      <c r="CB30">
        <v>66</v>
      </c>
      <c r="CC30">
        <v>79</v>
      </c>
      <c r="CD30">
        <v>90</v>
      </c>
      <c r="CE30">
        <v>103</v>
      </c>
      <c r="CF30">
        <v>114</v>
      </c>
      <c r="CG30">
        <v>127</v>
      </c>
      <c r="CH30">
        <v>138</v>
      </c>
      <c r="CI30">
        <v>151</v>
      </c>
      <c r="CJ30">
        <v>162</v>
      </c>
      <c r="CK30">
        <v>175</v>
      </c>
      <c r="CL30">
        <v>186</v>
      </c>
      <c r="CM30">
        <v>199</v>
      </c>
      <c r="CN30">
        <v>210</v>
      </c>
      <c r="CO30">
        <v>223</v>
      </c>
      <c r="CP30">
        <v>234</v>
      </c>
      <c r="CQ30">
        <v>247</v>
      </c>
      <c r="CR30">
        <v>258</v>
      </c>
      <c r="CS30">
        <v>271</v>
      </c>
      <c r="CT30">
        <v>282</v>
      </c>
      <c r="CU30">
        <v>295</v>
      </c>
      <c r="DE30">
        <v>28</v>
      </c>
      <c r="DF30" t="str">
        <f>IF(IFERROR(MATCH(FFARawStatProjections!A31,Draft!BY:BY,0),1)&lt;=1,IF(FFARawStatProjections!A31=0,"",FFARawStatProjections!A31),"")</f>
        <v>Sam Howell</v>
      </c>
    </row>
    <row r="31" spans="1:110" x14ac:dyDescent="0.25">
      <c r="A31" s="196"/>
      <c r="B31" s="169" t="str">
        <f>IFERROR( INDEX(FFARawStatProjections!C:C,MATCH(C31,FFARawStatProjections!A:A,0)), "")</f>
        <v/>
      </c>
      <c r="C31" s="150">
        <f>IFERROR(IF(INDEX(Draft!BY:BY,MATCH(G31,Draft!BX:BX,0))="",G31,(INDEX(Draft!BY:BY,MATCH(G31,Draft!BX:BX,0)))),"")</f>
        <v>26</v>
      </c>
      <c r="D31" s="150" t="str">
        <f>IFERROR(INDEX(FFARawStatProjections!B:B,MATCH(C31,FFARawStatProjections!A:A,0)),"")</f>
        <v/>
      </c>
      <c r="E31" s="170" t="str">
        <f>IFERROR(INDEX(FFARawStatProjections!D:D,MATCH(C31,FFARawStatProjections!A:A,0)),"")</f>
        <v/>
      </c>
      <c r="F31" s="207">
        <f>VALUE($E$22&amp;0&amp;3)</f>
        <v>203</v>
      </c>
      <c r="G31" s="207">
        <f>VLOOKUP($E$22&amp;0&amp;3, 'Draft Pick Order'!B:C, 2, FALSE)</f>
        <v>26</v>
      </c>
      <c r="H31" s="197"/>
      <c r="I31" s="180" t="str">
        <f>IF(QBproj!D35=0,"",QBproj!D35)</f>
        <v>Kyler Murray</v>
      </c>
      <c r="J31" s="461" t="str">
        <f>QBproj!E35</f>
        <v>AZ</v>
      </c>
      <c r="K31" s="184">
        <f>QBproj!F35</f>
        <v>219.09828999999999</v>
      </c>
      <c r="L31" s="517">
        <f>IFERROR(IF(QBproj!H35="",QBproj!G35,QBproj!H35),0)</f>
        <v>8</v>
      </c>
      <c r="M31" s="503">
        <f>INDEX(Draft!$BW:$BW,MATCH(I31,Draft_Names_Master,0))</f>
        <v>0</v>
      </c>
      <c r="N31">
        <v>2.9000000000000001E-2</v>
      </c>
      <c r="O31">
        <f>IFERROR(IF(INDEX(Instructions!$V$64:$V$83,MATCH('Draft Slayer Classic'!I31,Instructions!$S$64:$S$83,0))&lt;=$E$25,1,0),0)</f>
        <v>0</v>
      </c>
      <c r="P31">
        <f>IFERROR(INDEX(ADP!$A$7:$A$260,MATCH(I31,ADP!$D$7:$D$260,0)),999+N31)</f>
        <v>149</v>
      </c>
      <c r="Q31">
        <f t="shared" si="0"/>
        <v>2.9000000000000001E-2</v>
      </c>
      <c r="R31">
        <f>IFERROR(INDEX(Instructions!$U$111:$U$222,MATCH(I31,Instructions!$T$111:$T$222,0)),0)</f>
        <v>0</v>
      </c>
      <c r="S31" s="197"/>
      <c r="T31" s="187" t="str">
        <f>RBproj!D35</f>
        <v>James Cook</v>
      </c>
      <c r="U31" s="461" t="str">
        <f>RBproj!E35</f>
        <v>BUF</v>
      </c>
      <c r="V31" s="184">
        <f>RBproj!F35</f>
        <v>180.31138000000001</v>
      </c>
      <c r="W31" s="517">
        <f>IFERROR(IF(RBproj!H35="",RBproj!G35,RBproj!H35),0)</f>
        <v>7</v>
      </c>
      <c r="X31" s="504">
        <f>INDEX(Draft!$BW:$BW,MATCH(T31,Draft_Names_Master,0))</f>
        <v>0</v>
      </c>
      <c r="Y31">
        <v>2.9000000000000001E-2</v>
      </c>
      <c r="Z31">
        <f>IFERROR(IF(INDEX(Instructions!$X$64:$X$83,MATCH('Draft Slayer Classic'!T31,Instructions!$T$64:$T$83,0))&lt;=$E$25,1,0),0)</f>
        <v>0</v>
      </c>
      <c r="AA31">
        <f>IFERROR(INDEX(ADP!$A$7:$A$260,MATCH(T31,ADP!$D$7:$D$260,0)),999+Y31)</f>
        <v>74</v>
      </c>
      <c r="AB31">
        <f t="shared" si="1"/>
        <v>2.9000000000000001E-2</v>
      </c>
      <c r="AC31">
        <f>IFERROR(INDEX(Instructions!$U$111:$U$222,MATCH(T31,Instructions!$T$111:$T$222,0)),0)</f>
        <v>0</v>
      </c>
      <c r="AD31" s="197"/>
      <c r="AE31" s="187" t="str">
        <f>WRproj!D35</f>
        <v>Drake London</v>
      </c>
      <c r="AF31" s="461" t="str">
        <f>WRproj!E35</f>
        <v>ATL</v>
      </c>
      <c r="AG31" s="184">
        <f>WRproj!F35</f>
        <v>202.63343</v>
      </c>
      <c r="AH31" s="517">
        <f>IFERROR(IF(WRproj!H35="",WRproj!G35,WRproj!H35),0)</f>
        <v>7</v>
      </c>
      <c r="AI31" s="503">
        <f>INDEX(Draft!$BW:$BW,MATCH(AE31,Draft_Names_Master,0))</f>
        <v>0</v>
      </c>
      <c r="AJ31">
        <v>2.9000000000000001E-2</v>
      </c>
      <c r="AK31">
        <f>IFERROR(IF(INDEX(Instructions!$V$86:$V$105,MATCH('Draft Slayer Classic'!AE31,Instructions!$S$86:$S$105,0))&lt;=$E$25,1,0),0)</f>
        <v>0</v>
      </c>
      <c r="AL31">
        <f>IFERROR(INDEX(ADP!$A$7:$A$260,MATCH(AE31,ADP!$D$7:$D$260,0)),999+AJ31)</f>
        <v>59</v>
      </c>
      <c r="AM31">
        <f t="shared" si="2"/>
        <v>2.9000000000000001E-2</v>
      </c>
      <c r="AN31">
        <f>IFERROR(INDEX(Instructions!$U$111:$U$222,MATCH(AE31,Instructions!$T$111:$T$222,0)),0)</f>
        <v>0</v>
      </c>
      <c r="AO31" s="197"/>
      <c r="AP31" s="187" t="str">
        <f>TEproj!D35</f>
        <v>Logan Thomas</v>
      </c>
      <c r="AQ31" s="461" t="str">
        <f>TEproj!E35</f>
        <v>WAS</v>
      </c>
      <c r="AR31" s="184">
        <f>TEproj!F35</f>
        <v>94.686340000000001</v>
      </c>
      <c r="AS31" s="517">
        <f>IFERROR(IF(TEproj!H35="",TEproj!G35,TEproj!H35),0)</f>
        <v>8</v>
      </c>
      <c r="AT31" s="503">
        <f>INDEX(Draft!$BW:$BW,MATCH(AP31,Draft_Names_Master,0))</f>
        <v>0</v>
      </c>
      <c r="AU31">
        <v>2.9000000000000001E-2</v>
      </c>
      <c r="AV31">
        <f>IFERROR(IF(INDEX(Instructions!$X$86:$X$105,MATCH('Draft Slayer Classic'!AP31,Instructions!$T$86:$T$105,0))&lt;=$E$25,1,0),0)</f>
        <v>0</v>
      </c>
      <c r="AW31">
        <f>IFERROR(INDEX(ADP!$A$7:$A$260,MATCH(AP31,ADP!$D$7:$D$260,0)),999+AU31)</f>
        <v>999.029</v>
      </c>
      <c r="AX31">
        <f t="shared" si="3"/>
        <v>2.9000000000000001E-2</v>
      </c>
      <c r="AY31">
        <f>IFERROR(INDEX(Instructions!$U$111:$U$222,MATCH(AP31,Instructions!$T$111:$T$222,0)),0)</f>
        <v>0</v>
      </c>
      <c r="AZ31" s="197"/>
      <c r="BA31" s="513" t="str">
        <f>DEFproj!D35</f>
        <v>ATL</v>
      </c>
      <c r="BB31" s="504">
        <f>INDEX(Draft!$BW:$BW,MATCH(BA31,Draft_Names_Master,0))</f>
        <v>0</v>
      </c>
      <c r="BC31">
        <v>2.9000000000000001E-2</v>
      </c>
      <c r="BD31">
        <f t="shared" si="4"/>
        <v>2.9000000000000001E-2</v>
      </c>
      <c r="BE31" s="197"/>
      <c r="BF31" s="187" t="str">
        <f>IF(Kproj!D35=0, "", Kproj!D35)</f>
        <v>Matt Prater</v>
      </c>
      <c r="BG31" s="508" t="str">
        <f>INDEX(FFARawStatProjections!B:B,MATCH('Draft Slayer Classic'!BF31,FFARawStatProjections!A:A,0))</f>
        <v>AZ</v>
      </c>
      <c r="BH31" s="504">
        <f>INDEX(Draft!$BW:$BW,MATCH(BF31,Draft_Names_Master,0))</f>
        <v>0</v>
      </c>
      <c r="BI31">
        <v>2.9000000000000001E-2</v>
      </c>
      <c r="BJ31">
        <f t="shared" si="5"/>
        <v>2.9000000000000001E-2</v>
      </c>
      <c r="BK31" s="203"/>
      <c r="BV31" t="str">
        <f>12&amp;8</f>
        <v>128</v>
      </c>
      <c r="BW31">
        <v>8</v>
      </c>
      <c r="BX31">
        <v>17</v>
      </c>
      <c r="BY31">
        <v>32</v>
      </c>
      <c r="BZ31">
        <v>41</v>
      </c>
      <c r="CA31">
        <v>56</v>
      </c>
      <c r="CB31">
        <v>65</v>
      </c>
      <c r="CC31">
        <v>80</v>
      </c>
      <c r="CD31">
        <v>89</v>
      </c>
      <c r="CE31">
        <v>104</v>
      </c>
      <c r="CF31">
        <v>113</v>
      </c>
      <c r="CG31">
        <v>128</v>
      </c>
      <c r="CH31">
        <v>137</v>
      </c>
      <c r="CI31">
        <v>152</v>
      </c>
      <c r="CJ31">
        <v>161</v>
      </c>
      <c r="CK31">
        <v>176</v>
      </c>
      <c r="CL31">
        <v>185</v>
      </c>
      <c r="CM31">
        <v>200</v>
      </c>
      <c r="CN31">
        <v>209</v>
      </c>
      <c r="CO31">
        <v>224</v>
      </c>
      <c r="CP31">
        <v>233</v>
      </c>
      <c r="CQ31">
        <v>248</v>
      </c>
      <c r="CR31">
        <v>257</v>
      </c>
      <c r="CS31">
        <v>272</v>
      </c>
      <c r="CT31">
        <v>281</v>
      </c>
      <c r="CU31">
        <v>296</v>
      </c>
      <c r="DE31">
        <v>29</v>
      </c>
      <c r="DF31" t="str">
        <f>IF(IFERROR(MATCH(FFARawStatProjections!A32,Draft!BY:BY,0),1)&lt;=1,IF(FFARawStatProjections!A32=0,"",FFARawStatProjections!A32),"")</f>
        <v>Desmond Ridder</v>
      </c>
    </row>
    <row r="32" spans="1:110" x14ac:dyDescent="0.25">
      <c r="A32" s="196"/>
      <c r="B32" s="167" t="str">
        <f>IFERROR( INDEX(FFARawStatProjections!C:C,MATCH(C32,FFARawStatProjections!A:A,0)), "")</f>
        <v/>
      </c>
      <c r="C32" s="156">
        <f>IFERROR(IF(INDEX(Draft!BY:BY,MATCH(G32,Draft!BX:BX,0))="",G32,(INDEX(Draft!BY:BY,MATCH(G32,Draft!BX:BX,0)))),"")</f>
        <v>47</v>
      </c>
      <c r="D32" s="156" t="str">
        <f>IFERROR(INDEX(FFARawStatProjections!B:B,MATCH(C32,FFARawStatProjections!A:A,0)),"")</f>
        <v/>
      </c>
      <c r="E32" s="168" t="str">
        <f>IFERROR(INDEX(FFARawStatProjections!D:D,MATCH(C32,FFARawStatProjections!A:A,0)),"")</f>
        <v/>
      </c>
      <c r="F32" s="207">
        <f>VALUE($E$22&amp;0&amp;4)</f>
        <v>204</v>
      </c>
      <c r="G32" s="207">
        <f>VLOOKUP($E$22&amp;0&amp;4, 'Draft Pick Order'!B:C, 2, FALSE)</f>
        <v>47</v>
      </c>
      <c r="H32" s="197"/>
      <c r="I32" s="182" t="str">
        <f>IF(QBproj!D36=0,"",QBproj!D36)</f>
        <v>Sam Howell</v>
      </c>
      <c r="J32" s="290" t="str">
        <f>QBproj!E36</f>
        <v>WAS</v>
      </c>
      <c r="K32" s="183">
        <f>QBproj!F36</f>
        <v>212.42230000000004</v>
      </c>
      <c r="L32" s="517">
        <f>IFERROR(IF(QBproj!H36="",QBproj!G36,QBproj!H36),0)</f>
        <v>8</v>
      </c>
      <c r="M32" s="504">
        <f>INDEX(Draft!$BW:$BW,MATCH(I32,Draft_Names_Master,0))</f>
        <v>0</v>
      </c>
      <c r="N32">
        <v>0.03</v>
      </c>
      <c r="O32">
        <f>IFERROR(IF(INDEX(Instructions!$V$64:$V$83,MATCH('Draft Slayer Classic'!I32,Instructions!$S$64:$S$83,0))&lt;=$E$25,1,0),0)</f>
        <v>0</v>
      </c>
      <c r="P32">
        <f>IFERROR(INDEX(ADP!$A$7:$A$260,MATCH(I32,ADP!$D$7:$D$260,0)),999+N32)</f>
        <v>999.03</v>
      </c>
      <c r="Q32">
        <f t="shared" si="0"/>
        <v>0.03</v>
      </c>
      <c r="R32">
        <f>IFERROR(INDEX(Instructions!$U$111:$U$222,MATCH(I32,Instructions!$T$111:$T$222,0)),0)</f>
        <v>0</v>
      </c>
      <c r="S32" s="197"/>
      <c r="T32" s="182" t="str">
        <f>RBproj!D36</f>
        <v>DAndre Swift</v>
      </c>
      <c r="U32" s="290" t="str">
        <f>RBproj!E36</f>
        <v>PHI</v>
      </c>
      <c r="V32" s="183">
        <f>RBproj!F36</f>
        <v>168.03147999999999</v>
      </c>
      <c r="W32" s="517">
        <f>IFERROR(IF(RBproj!H36="",RBproj!G36,RBproj!H36),0)</f>
        <v>8</v>
      </c>
      <c r="X32" s="504">
        <f>INDEX(Draft!$BW:$BW,MATCH(T32,Draft_Names_Master,0))</f>
        <v>0</v>
      </c>
      <c r="Y32">
        <v>0.03</v>
      </c>
      <c r="Z32">
        <f>IFERROR(IF(INDEX(Instructions!$X$64:$X$83,MATCH('Draft Slayer Classic'!T32,Instructions!$T$64:$T$83,0))&lt;=$E$25,1,0),0)</f>
        <v>0</v>
      </c>
      <c r="AA32">
        <f>IFERROR(INDEX(ADP!$A$7:$A$260,MATCH(T32,ADP!$D$7:$D$260,0)),999+Y32)</f>
        <v>71</v>
      </c>
      <c r="AB32">
        <f t="shared" si="1"/>
        <v>0.03</v>
      </c>
      <c r="AC32">
        <f>IFERROR(INDEX(Instructions!$U$111:$U$222,MATCH(T32,Instructions!$T$111:$T$222,0)),0)</f>
        <v>0</v>
      </c>
      <c r="AD32" s="197"/>
      <c r="AE32" s="182" t="str">
        <f>WRproj!D36</f>
        <v>Tyler Lockett</v>
      </c>
      <c r="AF32" s="290" t="str">
        <f>WRproj!E36</f>
        <v>SEA</v>
      </c>
      <c r="AG32" s="183">
        <f>WRproj!F36</f>
        <v>199.90349000000001</v>
      </c>
      <c r="AH32" s="517">
        <f>IFERROR(IF(WRproj!H36="",WRproj!G36,WRproj!H36),0)</f>
        <v>7</v>
      </c>
      <c r="AI32" s="503">
        <f>INDEX(Draft!$BW:$BW,MATCH(AE32,Draft_Names_Master,0))</f>
        <v>0</v>
      </c>
      <c r="AJ32">
        <v>0.03</v>
      </c>
      <c r="AK32">
        <f>IFERROR(IF(INDEX(Instructions!$V$86:$V$105,MATCH('Draft Slayer Classic'!AE32,Instructions!$S$86:$S$105,0))&lt;=$E$25,1,0),0)</f>
        <v>0</v>
      </c>
      <c r="AL32">
        <f>IFERROR(INDEX(ADP!$A$7:$A$260,MATCH(AE32,ADP!$D$7:$D$260,0)),999+AJ32)</f>
        <v>64</v>
      </c>
      <c r="AM32">
        <f t="shared" si="2"/>
        <v>0.03</v>
      </c>
      <c r="AN32">
        <f>IFERROR(INDEX(Instructions!$U$111:$U$222,MATCH(AE32,Instructions!$T$111:$T$222,0)),0)</f>
        <v>0</v>
      </c>
      <c r="AO32" s="197"/>
      <c r="AP32" s="182" t="str">
        <f>TEproj!D36</f>
        <v>Jake Ferguson</v>
      </c>
      <c r="AQ32" s="290" t="str">
        <f>TEproj!E36</f>
        <v>DAL</v>
      </c>
      <c r="AR32" s="183">
        <f>TEproj!F36</f>
        <v>92.846400000000003</v>
      </c>
      <c r="AS32" s="517">
        <f>IFERROR(IF(TEproj!H36="",TEproj!G36,TEproj!H36),0)</f>
        <v>8</v>
      </c>
      <c r="AT32" s="504">
        <f>INDEX(Draft!$BW:$BW,MATCH(AP32,Draft_Names_Master,0))</f>
        <v>0</v>
      </c>
      <c r="AU32">
        <v>0.03</v>
      </c>
      <c r="AV32">
        <f>IFERROR(IF(INDEX(Instructions!$X$86:$X$105,MATCH('Draft Slayer Classic'!AP32,Instructions!$T$86:$T$105,0))&lt;=$E$25,1,0),0)</f>
        <v>0</v>
      </c>
      <c r="AW32">
        <f>IFERROR(INDEX(ADP!$A$7:$A$260,MATCH(AP32,ADP!$D$7:$D$260,0)),999+AU32)</f>
        <v>999.03</v>
      </c>
      <c r="AX32">
        <f t="shared" si="3"/>
        <v>0.03</v>
      </c>
      <c r="AY32">
        <f>IFERROR(INDEX(Instructions!$U$111:$U$222,MATCH(AP32,Instructions!$T$111:$T$222,0)),0)</f>
        <v>0</v>
      </c>
      <c r="AZ32" s="197"/>
      <c r="BA32" s="512" t="str">
        <f>DEFproj!D36</f>
        <v>AZ</v>
      </c>
      <c r="BB32" s="503">
        <f>INDEX(Draft!$BW:$BW,MATCH(BA32,Draft_Names_Master,0))</f>
        <v>0</v>
      </c>
      <c r="BC32">
        <v>0.03</v>
      </c>
      <c r="BD32">
        <f t="shared" si="4"/>
        <v>0.03</v>
      </c>
      <c r="BE32" s="197"/>
      <c r="BF32" s="182" t="str">
        <f>IF(Kproj!D36=0, "", Kproj!D36)</f>
        <v>Anders Carlson</v>
      </c>
      <c r="BG32" s="507" t="str">
        <f>INDEX(FFARawStatProjections!B:B,MATCH('Draft Slayer Classic'!BF32,FFARawStatProjections!A:A,0))</f>
        <v>GB</v>
      </c>
      <c r="BH32" s="503">
        <f>INDEX(Draft!$BW:$BW,MATCH(BF32,Draft_Names_Master,0))</f>
        <v>0</v>
      </c>
      <c r="BI32">
        <v>0.03</v>
      </c>
      <c r="BJ32">
        <f t="shared" si="5"/>
        <v>0.03</v>
      </c>
      <c r="BK32" s="203"/>
      <c r="BV32" t="str">
        <f>12&amp;9</f>
        <v>129</v>
      </c>
      <c r="BW32">
        <v>9</v>
      </c>
      <c r="BX32">
        <v>16</v>
      </c>
      <c r="BY32">
        <v>33</v>
      </c>
      <c r="BZ32">
        <v>40</v>
      </c>
      <c r="CA32">
        <v>57</v>
      </c>
      <c r="CB32">
        <v>64</v>
      </c>
      <c r="CC32">
        <v>81</v>
      </c>
      <c r="CD32">
        <v>88</v>
      </c>
      <c r="CE32">
        <v>105</v>
      </c>
      <c r="CF32">
        <v>112</v>
      </c>
      <c r="CG32">
        <v>129</v>
      </c>
      <c r="CH32">
        <v>136</v>
      </c>
      <c r="CI32">
        <v>153</v>
      </c>
      <c r="CJ32">
        <v>160</v>
      </c>
      <c r="CK32">
        <v>177</v>
      </c>
      <c r="CL32">
        <v>184</v>
      </c>
      <c r="CM32">
        <v>201</v>
      </c>
      <c r="CN32">
        <v>208</v>
      </c>
      <c r="CO32">
        <v>225</v>
      </c>
      <c r="CP32">
        <v>232</v>
      </c>
      <c r="CQ32">
        <v>249</v>
      </c>
      <c r="CR32">
        <v>256</v>
      </c>
      <c r="CS32">
        <v>273</v>
      </c>
      <c r="CT32">
        <v>280</v>
      </c>
      <c r="CU32">
        <v>297</v>
      </c>
      <c r="DE32">
        <v>30</v>
      </c>
      <c r="DF32" t="str">
        <f>IF(IFERROR(MATCH(FFARawStatProjections!A33,Draft!BY:BY,0),1)&lt;=1,IF(FFARawStatProjections!A33=0,"",FFARawStatProjections!A33),"")</f>
        <v>Baker Mayfield</v>
      </c>
    </row>
    <row r="33" spans="1:110" x14ac:dyDescent="0.25">
      <c r="A33" s="196"/>
      <c r="B33" s="169" t="str">
        <f>IFERROR( INDEX(FFARawStatProjections!C:C,MATCH(C33,FFARawStatProjections!A:A,0)), "")</f>
        <v/>
      </c>
      <c r="C33" s="150">
        <f>IFERROR(IF(INDEX(Draft!BY:BY,MATCH(G33,Draft!BX:BX,0))="",G33,(INDEX(Draft!BY:BY,MATCH(G33,Draft!BX:BX,0)))),"")</f>
        <v>50</v>
      </c>
      <c r="D33" s="150" t="str">
        <f>IFERROR(INDEX(FFARawStatProjections!B:B,MATCH(C33,FFARawStatProjections!A:A,0)),"")</f>
        <v/>
      </c>
      <c r="E33" s="170" t="str">
        <f>IFERROR(INDEX(FFARawStatProjections!D:D,MATCH(C33,FFARawStatProjections!A:A,0)),"")</f>
        <v/>
      </c>
      <c r="F33" s="207">
        <f>VALUE($E$22&amp;0&amp;5)</f>
        <v>205</v>
      </c>
      <c r="G33" s="207">
        <f>VLOOKUP($E$22&amp;0&amp;5, 'Draft Pick Order'!B:C, 2, FALSE)</f>
        <v>50</v>
      </c>
      <c r="H33" s="197"/>
      <c r="I33" s="180" t="str">
        <f>IF(QBproj!D37=0,"",QBproj!D37)</f>
        <v>Desmond Ridder</v>
      </c>
      <c r="J33" s="461" t="str">
        <f>QBproj!E37</f>
        <v>ATL</v>
      </c>
      <c r="K33" s="184">
        <f>QBproj!F37</f>
        <v>197.79231000000004</v>
      </c>
      <c r="L33" s="517">
        <f>IFERROR(IF(QBproj!H37="",QBproj!G37,QBproj!H37),0)</f>
        <v>8</v>
      </c>
      <c r="M33" s="503">
        <f>INDEX(Draft!$BW:$BW,MATCH(I33,Draft_Names_Master,0))</f>
        <v>0</v>
      </c>
      <c r="N33">
        <v>3.1E-2</v>
      </c>
      <c r="O33">
        <f>IFERROR(IF(INDEX(Instructions!$V$64:$V$83,MATCH('Draft Slayer Classic'!I33,Instructions!$S$64:$S$83,0))&lt;=$E$25,1,0),0)</f>
        <v>0</v>
      </c>
      <c r="P33">
        <f>IFERROR(INDEX(ADP!$A$7:$A$260,MATCH(I33,ADP!$D$7:$D$260,0)),999+N33)</f>
        <v>999.03099999999995</v>
      </c>
      <c r="Q33">
        <f t="shared" si="0"/>
        <v>3.1E-2</v>
      </c>
      <c r="R33">
        <f>IFERROR(INDEX(Instructions!$U$111:$U$222,MATCH(I33,Instructions!$T$111:$T$222,0)),0)</f>
        <v>0</v>
      </c>
      <c r="S33" s="197"/>
      <c r="T33" s="187" t="str">
        <f>RBproj!D37</f>
        <v>AJ Dillon</v>
      </c>
      <c r="U33" s="461" t="str">
        <f>RBproj!E37</f>
        <v>GB</v>
      </c>
      <c r="V33" s="184">
        <f>RBproj!F37</f>
        <v>159.44150999999999</v>
      </c>
      <c r="W33" s="517">
        <f>IFERROR(IF(RBproj!H37="",RBproj!G37,RBproj!H37),0)</f>
        <v>8</v>
      </c>
      <c r="X33" s="504">
        <f>INDEX(Draft!$BW:$BW,MATCH(T33,Draft_Names_Master,0))</f>
        <v>0</v>
      </c>
      <c r="Y33">
        <v>3.1E-2</v>
      </c>
      <c r="Z33">
        <f>IFERROR(IF(INDEX(Instructions!$X$64:$X$83,MATCH('Draft Slayer Classic'!T33,Instructions!$T$64:$T$83,0))&lt;=$E$25,1,0),0)</f>
        <v>0</v>
      </c>
      <c r="AA33">
        <f>IFERROR(INDEX(ADP!$A$7:$A$260,MATCH(T33,ADP!$D$7:$D$260,0)),999+Y33)</f>
        <v>87</v>
      </c>
      <c r="AB33">
        <f t="shared" si="1"/>
        <v>3.1E-2</v>
      </c>
      <c r="AC33">
        <f>IFERROR(INDEX(Instructions!$U$111:$U$222,MATCH(T33,Instructions!$T$111:$T$222,0)),0)</f>
        <v>0</v>
      </c>
      <c r="AD33" s="197"/>
      <c r="AE33" s="187" t="str">
        <f>WRproj!D37</f>
        <v>Diontae Johnson</v>
      </c>
      <c r="AF33" s="461" t="str">
        <f>WRproj!E37</f>
        <v>PIT</v>
      </c>
      <c r="AG33" s="184">
        <f>WRproj!F37</f>
        <v>198.48346000000001</v>
      </c>
      <c r="AH33" s="517">
        <f>IFERROR(IF(WRproj!H37="",WRproj!G37,WRproj!H37),0)</f>
        <v>7</v>
      </c>
      <c r="AI33" s="503">
        <f>INDEX(Draft!$BW:$BW,MATCH(AE33,Draft_Names_Master,0))</f>
        <v>0</v>
      </c>
      <c r="AJ33">
        <v>3.1E-2</v>
      </c>
      <c r="AK33">
        <f>IFERROR(IF(INDEX(Instructions!$V$86:$V$105,MATCH('Draft Slayer Classic'!AE33,Instructions!$S$86:$S$105,0))&lt;=$E$25,1,0),0)</f>
        <v>0</v>
      </c>
      <c r="AL33">
        <f>IFERROR(INDEX(ADP!$A$7:$A$260,MATCH(AE33,ADP!$D$7:$D$260,0)),999+AJ33)</f>
        <v>76</v>
      </c>
      <c r="AM33">
        <f t="shared" si="2"/>
        <v>3.1E-2</v>
      </c>
      <c r="AN33">
        <f>IFERROR(INDEX(Instructions!$U$111:$U$222,MATCH(AE33,Instructions!$T$111:$T$222,0)),0)</f>
        <v>0</v>
      </c>
      <c r="AO33" s="197"/>
      <c r="AP33" s="187" t="str">
        <f>TEproj!D37</f>
        <v>Michael Mayer</v>
      </c>
      <c r="AQ33" s="461" t="str">
        <f>TEproj!E37</f>
        <v>LV</v>
      </c>
      <c r="AR33" s="184">
        <f>TEproj!F37</f>
        <v>92.73639</v>
      </c>
      <c r="AS33" s="517">
        <f>IFERROR(IF(TEproj!H37="",TEproj!G37,TEproj!H37),0)</f>
        <v>8</v>
      </c>
      <c r="AT33" s="503">
        <f>INDEX(Draft!$BW:$BW,MATCH(AP33,Draft_Names_Master,0))</f>
        <v>0</v>
      </c>
      <c r="AU33">
        <v>3.1E-2</v>
      </c>
      <c r="AV33">
        <f>IFERROR(IF(INDEX(Instructions!$X$86:$X$105,MATCH('Draft Slayer Classic'!AP33,Instructions!$T$86:$T$105,0))&lt;=$E$25,1,0),0)</f>
        <v>0</v>
      </c>
      <c r="AW33">
        <f>IFERROR(INDEX(ADP!$A$7:$A$260,MATCH(AP33,ADP!$D$7:$D$260,0)),999+AU33)</f>
        <v>999.03099999999995</v>
      </c>
      <c r="AX33">
        <f t="shared" si="3"/>
        <v>3.1E-2</v>
      </c>
      <c r="AY33">
        <f>IFERROR(INDEX(Instructions!$U$111:$U$222,MATCH(AP33,Instructions!$T$111:$T$222,0)),0)</f>
        <v>0</v>
      </c>
      <c r="AZ33" s="197"/>
      <c r="BA33" s="513" t="str">
        <f>DEFproj!D37</f>
        <v>CHI</v>
      </c>
      <c r="BB33" s="504">
        <f>INDEX(Draft!$BW:$BW,MATCH(BA33,Draft_Names_Master,0))</f>
        <v>0</v>
      </c>
      <c r="BC33">
        <v>3.1E-2</v>
      </c>
      <c r="BD33">
        <f t="shared" si="4"/>
        <v>3.1E-2</v>
      </c>
      <c r="BE33" s="197"/>
      <c r="BF33" s="187" t="str">
        <f>IF(Kproj!D37=0, "", Kproj!D37)</f>
        <v>Kaimi Fairbairn</v>
      </c>
      <c r="BG33" s="508" t="str">
        <f>INDEX(FFARawStatProjections!B:B,MATCH('Draft Slayer Classic'!BF33,FFARawStatProjections!A:A,0))</f>
        <v>HOU</v>
      </c>
      <c r="BH33" s="504">
        <f>INDEX(Draft!$BW:$BW,MATCH(BF33,Draft_Names_Master,0))</f>
        <v>0</v>
      </c>
      <c r="BI33">
        <v>3.1E-2</v>
      </c>
      <c r="BJ33">
        <f t="shared" si="5"/>
        <v>3.1E-2</v>
      </c>
      <c r="BK33" s="203"/>
      <c r="BV33" t="str">
        <f>12&amp;10</f>
        <v>1210</v>
      </c>
      <c r="BW33">
        <v>10</v>
      </c>
      <c r="BX33">
        <v>15</v>
      </c>
      <c r="BY33">
        <v>34</v>
      </c>
      <c r="BZ33">
        <v>39</v>
      </c>
      <c r="CA33">
        <v>58</v>
      </c>
      <c r="CB33">
        <v>63</v>
      </c>
      <c r="CC33">
        <v>82</v>
      </c>
      <c r="CD33">
        <v>87</v>
      </c>
      <c r="CE33">
        <v>106</v>
      </c>
      <c r="CF33">
        <v>111</v>
      </c>
      <c r="CG33">
        <v>130</v>
      </c>
      <c r="CH33">
        <v>135</v>
      </c>
      <c r="CI33">
        <v>154</v>
      </c>
      <c r="CJ33">
        <v>159</v>
      </c>
      <c r="CK33">
        <v>178</v>
      </c>
      <c r="CL33">
        <v>183</v>
      </c>
      <c r="CM33">
        <v>202</v>
      </c>
      <c r="CN33">
        <v>207</v>
      </c>
      <c r="CO33">
        <v>226</v>
      </c>
      <c r="CP33">
        <v>231</v>
      </c>
      <c r="CQ33">
        <v>250</v>
      </c>
      <c r="CR33">
        <v>255</v>
      </c>
      <c r="CS33">
        <v>274</v>
      </c>
      <c r="CT33">
        <v>279</v>
      </c>
      <c r="CU33">
        <v>298</v>
      </c>
      <c r="DE33">
        <v>31</v>
      </c>
      <c r="DF33" t="str">
        <f>IF(IFERROR(MATCH(FFARawStatProjections!A34,Draft!BY:BY,0),1)&lt;=1,IF(FFARawStatProjections!A34=0,"",FFARawStatProjections!A34),"")</f>
        <v>Jacoby Brissett</v>
      </c>
    </row>
    <row r="34" spans="1:110" ht="15.75" thickBot="1" x14ac:dyDescent="0.3">
      <c r="A34" s="196"/>
      <c r="B34" s="167" t="str">
        <f>IFERROR( INDEX(FFARawStatProjections!C:C,MATCH(C34,FFARawStatProjections!A:A,0)), "")</f>
        <v/>
      </c>
      <c r="C34" s="156">
        <f>IFERROR(IF(INDEX(Draft!BY:BY,MATCH(G34,Draft!BX:BX,0))="",G34,(INDEX(Draft!BY:BY,MATCH(G34,Draft!BX:BX,0)))),"")</f>
        <v>71</v>
      </c>
      <c r="D34" s="156" t="str">
        <f>IFERROR(INDEX(FFARawStatProjections!B:B,MATCH(C34,FFARawStatProjections!A:A,0)),"")</f>
        <v/>
      </c>
      <c r="E34" s="168" t="str">
        <f>IFERROR(INDEX(FFARawStatProjections!D:D,MATCH(C34,FFARawStatProjections!A:A,0)),"")</f>
        <v/>
      </c>
      <c r="F34" s="207">
        <f>VALUE($E$22&amp;0&amp;6)</f>
        <v>206</v>
      </c>
      <c r="G34" s="207">
        <f>VLOOKUP($E$22&amp;0&amp;6, 'Draft Pick Order'!B:C, 2, FALSE)</f>
        <v>71</v>
      </c>
      <c r="H34" s="197"/>
      <c r="I34" s="182" t="str">
        <f>IF(QBproj!D38=0,"",QBproj!D38)</f>
        <v>Baker Mayfield</v>
      </c>
      <c r="J34" s="290" t="str">
        <f>QBproj!E38</f>
        <v>TB</v>
      </c>
      <c r="K34" s="183">
        <f>QBproj!F38</f>
        <v>191.23431999999997</v>
      </c>
      <c r="L34" s="517">
        <f>IFERROR(IF(QBproj!H38="",QBproj!G38,QBproj!H38),0)</f>
        <v>8</v>
      </c>
      <c r="M34" s="504">
        <f>INDEX(Draft!$BW:$BW,MATCH(I34,Draft_Names_Master,0))</f>
        <v>0</v>
      </c>
      <c r="N34">
        <v>3.2000000000000001E-2</v>
      </c>
      <c r="O34">
        <f>IFERROR(IF(INDEX(Instructions!$V$64:$V$83,MATCH('Draft Slayer Classic'!I34,Instructions!$S$64:$S$83,0))&lt;=$E$25,1,0),0)</f>
        <v>0</v>
      </c>
      <c r="P34">
        <f>IFERROR(INDEX(ADP!$A$7:$A$260,MATCH(I34,ADP!$D$7:$D$260,0)),999+N34)</f>
        <v>999.03200000000004</v>
      </c>
      <c r="Q34">
        <f t="shared" si="0"/>
        <v>3.2000000000000001E-2</v>
      </c>
      <c r="R34">
        <f>IFERROR(INDEX(Instructions!$U$111:$U$222,MATCH(I34,Instructions!$T$111:$T$222,0)),0)</f>
        <v>0</v>
      </c>
      <c r="S34" s="197"/>
      <c r="T34" s="182" t="str">
        <f>RBproj!D38</f>
        <v>Dalvin Cook</v>
      </c>
      <c r="U34" s="290" t="str">
        <f>RBproj!E38</f>
        <v>NYJ</v>
      </c>
      <c r="V34" s="183">
        <f>RBproj!F38</f>
        <v>155.33144999999999</v>
      </c>
      <c r="W34" s="517">
        <f>IFERROR(IF(RBproj!H38="",RBproj!G38,RBproj!H38),0)</f>
        <v>8</v>
      </c>
      <c r="X34" s="504">
        <f>INDEX(Draft!$BW:$BW,MATCH(T34,Draft_Names_Master,0))</f>
        <v>0</v>
      </c>
      <c r="Y34">
        <v>3.2000000000000001E-2</v>
      </c>
      <c r="Z34">
        <f>IFERROR(IF(INDEX(Instructions!$X$64:$X$83,MATCH('Draft Slayer Classic'!T34,Instructions!$T$64:$T$83,0))&lt;=$E$25,1,0),0)</f>
        <v>0</v>
      </c>
      <c r="AA34">
        <f>IFERROR(INDEX(ADP!$A$7:$A$260,MATCH(T34,ADP!$D$7:$D$260,0)),999+Y34)</f>
        <v>999.03200000000004</v>
      </c>
      <c r="AB34">
        <f t="shared" si="1"/>
        <v>3.2000000000000001E-2</v>
      </c>
      <c r="AC34">
        <f>IFERROR(INDEX(Instructions!$U$111:$U$222,MATCH(T34,Instructions!$T$111:$T$222,0)),0)</f>
        <v>0</v>
      </c>
      <c r="AD34" s="197"/>
      <c r="AE34" s="182" t="str">
        <f>WRproj!D38</f>
        <v>Marquise Brown</v>
      </c>
      <c r="AF34" s="290" t="str">
        <f>WRproj!E38</f>
        <v>AZ</v>
      </c>
      <c r="AG34" s="183">
        <f>WRproj!F38</f>
        <v>197.12344999999999</v>
      </c>
      <c r="AH34" s="517">
        <f>IFERROR(IF(WRproj!H38="",WRproj!G38,WRproj!H38),0)</f>
        <v>7</v>
      </c>
      <c r="AI34" s="503">
        <f>INDEX(Draft!$BW:$BW,MATCH(AE34,Draft_Names_Master,0))</f>
        <v>0</v>
      </c>
      <c r="AJ34">
        <v>3.2000000000000001E-2</v>
      </c>
      <c r="AK34">
        <f>IFERROR(IF(INDEX(Instructions!$V$86:$V$105,MATCH('Draft Slayer Classic'!AE34,Instructions!$S$86:$S$105,0))&lt;=$E$25,1,0),0)</f>
        <v>0</v>
      </c>
      <c r="AL34">
        <f>IFERROR(INDEX(ADP!$A$7:$A$260,MATCH(AE34,ADP!$D$7:$D$260,0)),999+AJ34)</f>
        <v>77</v>
      </c>
      <c r="AM34">
        <f t="shared" si="2"/>
        <v>3.2000000000000001E-2</v>
      </c>
      <c r="AN34">
        <f>IFERROR(INDEX(Instructions!$U$111:$U$222,MATCH(AE34,Instructions!$T$111:$T$222,0)),0)</f>
        <v>0</v>
      </c>
      <c r="AO34" s="197"/>
      <c r="AP34" s="182" t="str">
        <f>TEproj!D38</f>
        <v>Mike Gesicki</v>
      </c>
      <c r="AQ34" s="290" t="str">
        <f>TEproj!E38</f>
        <v>NE</v>
      </c>
      <c r="AR34" s="183">
        <f>TEproj!F38</f>
        <v>91.466380000000001</v>
      </c>
      <c r="AS34" s="517">
        <f>IFERROR(IF(TEproj!H38="",TEproj!G38,TEproj!H38),0)</f>
        <v>8</v>
      </c>
      <c r="AT34" s="504">
        <f>INDEX(Draft!$BW:$BW,MATCH(AP34,Draft_Names_Master,0))</f>
        <v>0</v>
      </c>
      <c r="AU34">
        <v>3.2000000000000001E-2</v>
      </c>
      <c r="AV34">
        <f>IFERROR(IF(INDEX(Instructions!$X$86:$X$105,MATCH('Draft Slayer Classic'!AP34,Instructions!$T$86:$T$105,0))&lt;=$E$25,1,0),0)</f>
        <v>0</v>
      </c>
      <c r="AW34">
        <f>IFERROR(INDEX(ADP!$A$7:$A$260,MATCH(AP34,ADP!$D$7:$D$260,0)),999+AU34)</f>
        <v>999.03200000000004</v>
      </c>
      <c r="AX34">
        <f t="shared" si="3"/>
        <v>3.2000000000000001E-2</v>
      </c>
      <c r="AY34">
        <f>IFERROR(INDEX(Instructions!$U$111:$U$222,MATCH(AP34,Instructions!$T$111:$T$222,0)),0)</f>
        <v>0</v>
      </c>
      <c r="AZ34" s="197"/>
      <c r="BA34" s="514" t="str">
        <f>DEFproj!D38</f>
        <v>LV</v>
      </c>
      <c r="BB34" s="505">
        <f>INDEX(Draft!$BW:$BW,MATCH(BA34,Draft_Names_Master,0))</f>
        <v>0</v>
      </c>
      <c r="BC34">
        <v>3.2000000000000001E-2</v>
      </c>
      <c r="BD34">
        <f t="shared" si="4"/>
        <v>3.2000000000000001E-2</v>
      </c>
      <c r="BE34" s="197"/>
      <c r="BF34" s="182" t="str">
        <f>IF(Kproj!D38=0, "", Kproj!D38)</f>
        <v>Chad Ryland</v>
      </c>
      <c r="BG34" s="507" t="str">
        <f>INDEX(FFARawStatProjections!B:B,MATCH('Draft Slayer Classic'!BF34,FFARawStatProjections!A:A,0))</f>
        <v>NE</v>
      </c>
      <c r="BH34" s="503">
        <f>INDEX(Draft!$BW:$BW,MATCH(BF34,Draft_Names_Master,0))</f>
        <v>0</v>
      </c>
      <c r="BI34">
        <v>3.2000000000000001E-2</v>
      </c>
      <c r="BJ34">
        <f t="shared" si="5"/>
        <v>3.2000000000000001E-2</v>
      </c>
      <c r="BK34" s="203"/>
      <c r="BV34" t="str">
        <f>12&amp;11</f>
        <v>1211</v>
      </c>
      <c r="BW34">
        <v>11</v>
      </c>
      <c r="BX34">
        <v>14</v>
      </c>
      <c r="BY34">
        <v>35</v>
      </c>
      <c r="BZ34">
        <v>38</v>
      </c>
      <c r="CA34">
        <v>59</v>
      </c>
      <c r="CB34">
        <v>62</v>
      </c>
      <c r="CC34">
        <v>83</v>
      </c>
      <c r="CD34">
        <v>86</v>
      </c>
      <c r="CE34">
        <v>107</v>
      </c>
      <c r="CF34">
        <v>110</v>
      </c>
      <c r="CG34">
        <v>131</v>
      </c>
      <c r="CH34">
        <v>134</v>
      </c>
      <c r="CI34">
        <v>155</v>
      </c>
      <c r="CJ34">
        <v>158</v>
      </c>
      <c r="CK34">
        <v>179</v>
      </c>
      <c r="CL34">
        <v>182</v>
      </c>
      <c r="CM34">
        <v>203</v>
      </c>
      <c r="CN34">
        <v>206</v>
      </c>
      <c r="CO34">
        <v>227</v>
      </c>
      <c r="CP34">
        <v>230</v>
      </c>
      <c r="CQ34">
        <v>251</v>
      </c>
      <c r="CR34">
        <v>254</v>
      </c>
      <c r="CS34">
        <v>275</v>
      </c>
      <c r="CT34">
        <v>278</v>
      </c>
      <c r="CU34">
        <v>299</v>
      </c>
      <c r="DE34">
        <v>32</v>
      </c>
      <c r="DF34" t="str">
        <f>IF(IFERROR(MATCH(FFARawStatProjections!A35,Draft!BY:BY,0),1)&lt;=1,IF(FFARawStatProjections!A35=0,"",FFARawStatProjections!A35),"")</f>
        <v>Kyle Trask</v>
      </c>
    </row>
    <row r="35" spans="1:110" x14ac:dyDescent="0.25">
      <c r="A35" s="196"/>
      <c r="B35" s="169" t="str">
        <f>IFERROR( INDEX(FFARawStatProjections!C:C,MATCH(C35,FFARawStatProjections!A:A,0)), "")</f>
        <v/>
      </c>
      <c r="C35" s="150">
        <f>IFERROR(IF(INDEX(Draft!BY:BY,MATCH(G35,Draft!BX:BX,0))="",G35,(INDEX(Draft!BY:BY,MATCH(G35,Draft!BX:BX,0)))),"")</f>
        <v>74</v>
      </c>
      <c r="D35" s="150" t="str">
        <f>IFERROR(INDEX(FFARawStatProjections!B:B,MATCH(C35,FFARawStatProjections!A:A,0)),"")</f>
        <v/>
      </c>
      <c r="E35" s="170" t="str">
        <f>IFERROR(INDEX(FFARawStatProjections!D:D,MATCH(C35,FFARawStatProjections!A:A,0)),"")</f>
        <v/>
      </c>
      <c r="F35" s="207">
        <f>VALUE($E$22&amp;0&amp;7)</f>
        <v>207</v>
      </c>
      <c r="G35" s="207">
        <f>VLOOKUP($E$22&amp;0&amp;7, 'Draft Pick Order'!B:C, 2, FALSE)</f>
        <v>74</v>
      </c>
      <c r="H35" s="197"/>
      <c r="I35" s="180" t="str">
        <f>IF(QBproj!D39=0,"",QBproj!D39)</f>
        <v>Jacoby Brissett</v>
      </c>
      <c r="J35" s="461" t="str">
        <f>QBproj!E39</f>
        <v>WAS</v>
      </c>
      <c r="K35" s="184">
        <f>QBproj!F39</f>
        <v>82.694330000000022</v>
      </c>
      <c r="L35" s="517">
        <f>IFERROR(IF(QBproj!H39="",QBproj!G39,QBproj!H39),0)</f>
        <v>8</v>
      </c>
      <c r="M35" s="503">
        <f>INDEX(Draft!$BW:$BW,MATCH(I35,Draft_Names_Master,0))</f>
        <v>0</v>
      </c>
      <c r="N35">
        <v>3.3000000000000002E-2</v>
      </c>
      <c r="O35">
        <f>IFERROR(IF(INDEX(Instructions!$V$64:$V$83,MATCH('Draft Slayer Classic'!I35,Instructions!$S$64:$S$83,0))&lt;=$E$25,1,0),0)</f>
        <v>0</v>
      </c>
      <c r="P35">
        <f>IFERROR(INDEX(ADP!$A$7:$A$260,MATCH(I35,ADP!$D$7:$D$260,0)),999+N35)</f>
        <v>999.03300000000002</v>
      </c>
      <c r="Q35">
        <f t="shared" si="0"/>
        <v>3.3000000000000002E-2</v>
      </c>
      <c r="R35">
        <f>IFERROR(INDEX(Instructions!$U$111:$U$222,MATCH(I35,Instructions!$T$111:$T$222,0)),0)</f>
        <v>0</v>
      </c>
      <c r="S35" s="197"/>
      <c r="T35" s="187" t="str">
        <f>RBproj!D39</f>
        <v>Khalil Herbert</v>
      </c>
      <c r="U35" s="461" t="str">
        <f>RBproj!E39</f>
        <v>CHI</v>
      </c>
      <c r="V35" s="184">
        <f>RBproj!F39</f>
        <v>154.04149000000001</v>
      </c>
      <c r="W35" s="517">
        <f>IFERROR(IF(RBproj!H39="",RBproj!G39,RBproj!H39),0)</f>
        <v>8</v>
      </c>
      <c r="X35" s="504">
        <f>INDEX(Draft!$BW:$BW,MATCH(T35,Draft_Names_Master,0))</f>
        <v>0</v>
      </c>
      <c r="Y35">
        <v>3.3000000000000002E-2</v>
      </c>
      <c r="Z35">
        <f>IFERROR(IF(INDEX(Instructions!$X$64:$X$83,MATCH('Draft Slayer Classic'!T35,Instructions!$T$64:$T$83,0))&lt;=$E$25,1,0),0)</f>
        <v>0</v>
      </c>
      <c r="AA35">
        <f>IFERROR(INDEX(ADP!$A$7:$A$260,MATCH(T35,ADP!$D$7:$D$260,0)),999+Y35)</f>
        <v>102</v>
      </c>
      <c r="AB35">
        <f t="shared" si="1"/>
        <v>3.3000000000000002E-2</v>
      </c>
      <c r="AC35">
        <f>IFERROR(INDEX(Instructions!$U$111:$U$222,MATCH(T35,Instructions!$T$111:$T$222,0)),0)</f>
        <v>0</v>
      </c>
      <c r="AD35" s="197"/>
      <c r="AE35" s="187" t="str">
        <f>WRproj!D39</f>
        <v>Brandon Aiyuk</v>
      </c>
      <c r="AF35" s="461" t="str">
        <f>WRproj!E39</f>
        <v>SF</v>
      </c>
      <c r="AG35" s="184">
        <f>WRproj!F39</f>
        <v>189.28342000000001</v>
      </c>
      <c r="AH35" s="517">
        <f>IFERROR(IF(WRproj!H39="",WRproj!G39,WRproj!H39),0)</f>
        <v>8</v>
      </c>
      <c r="AI35" s="503">
        <f>INDEX(Draft!$BW:$BW,MATCH(AE35,Draft_Names_Master,0))</f>
        <v>0</v>
      </c>
      <c r="AJ35">
        <v>3.3000000000000002E-2</v>
      </c>
      <c r="AK35">
        <f>IFERROR(IF(INDEX(Instructions!$V$86:$V$105,MATCH('Draft Slayer Classic'!AE35,Instructions!$S$86:$S$105,0))&lt;=$E$25,1,0),0)</f>
        <v>0</v>
      </c>
      <c r="AL35">
        <f>IFERROR(INDEX(ADP!$A$7:$A$260,MATCH(AE35,ADP!$D$7:$D$260,0)),999+AJ35)</f>
        <v>60</v>
      </c>
      <c r="AM35">
        <f t="shared" si="2"/>
        <v>3.3000000000000002E-2</v>
      </c>
      <c r="AN35">
        <f>IFERROR(INDEX(Instructions!$U$111:$U$222,MATCH(AE35,Instructions!$T$111:$T$222,0)),0)</f>
        <v>0</v>
      </c>
      <c r="AO35" s="197"/>
      <c r="AP35" s="187" t="str">
        <f>TEproj!D39</f>
        <v>Luke Musgrave</v>
      </c>
      <c r="AQ35" s="461" t="str">
        <f>TEproj!E39</f>
        <v>GB</v>
      </c>
      <c r="AR35" s="184">
        <f>TEproj!F39</f>
        <v>85.566420000000008</v>
      </c>
      <c r="AS35" s="517">
        <f>IFERROR(IF(TEproj!H39="",TEproj!G39,TEproj!H39),0)</f>
        <v>8</v>
      </c>
      <c r="AT35" s="503">
        <f>INDEX(Draft!$BW:$BW,MATCH(AP35,Draft_Names_Master,0))</f>
        <v>0</v>
      </c>
      <c r="AU35">
        <v>3.3000000000000002E-2</v>
      </c>
      <c r="AV35">
        <f>IFERROR(IF(INDEX(Instructions!$X$86:$X$105,MATCH('Draft Slayer Classic'!AP35,Instructions!$T$86:$T$105,0))&lt;=$E$25,1,0),0)</f>
        <v>0</v>
      </c>
      <c r="AW35">
        <f>IFERROR(INDEX(ADP!$A$7:$A$260,MATCH(AP35,ADP!$D$7:$D$260,0)),999+AU35)</f>
        <v>999.03300000000002</v>
      </c>
      <c r="AX35">
        <f t="shared" si="3"/>
        <v>3.3000000000000002E-2</v>
      </c>
      <c r="AY35">
        <f>IFERROR(INDEX(Instructions!$U$111:$U$222,MATCH(AP35,Instructions!$T$111:$T$222,0)),0)</f>
        <v>0</v>
      </c>
      <c r="AZ35" s="197"/>
      <c r="BA35" s="197"/>
      <c r="BB35" s="216"/>
      <c r="BE35" s="197"/>
      <c r="BF35" s="187" t="str">
        <f>IF(Kproj!D39=0, "", Kproj!D39)</f>
        <v>Tanner Brown</v>
      </c>
      <c r="BG35" s="508" t="str">
        <f>INDEX(FFARawStatProjections!B:B,MATCH('Draft Slayer Classic'!BF35,FFARawStatProjections!A:A,0))</f>
        <v>LAR</v>
      </c>
      <c r="BH35" s="504">
        <f>INDEX(Draft!$BW:$BW,MATCH(BF35,Draft_Names_Master,0))</f>
        <v>0</v>
      </c>
      <c r="BI35">
        <v>3.3000000000000002E-2</v>
      </c>
      <c r="BJ35">
        <f t="shared" si="5"/>
        <v>3.3000000000000002E-2</v>
      </c>
      <c r="BK35" s="203"/>
      <c r="BV35" t="str">
        <f>12&amp;12</f>
        <v>1212</v>
      </c>
      <c r="BW35">
        <v>12</v>
      </c>
      <c r="BX35">
        <v>13</v>
      </c>
      <c r="BY35">
        <v>36</v>
      </c>
      <c r="BZ35">
        <v>37</v>
      </c>
      <c r="CA35">
        <v>60</v>
      </c>
      <c r="CB35">
        <v>61</v>
      </c>
      <c r="CC35">
        <v>84</v>
      </c>
      <c r="CD35">
        <v>85</v>
      </c>
      <c r="CE35">
        <v>108</v>
      </c>
      <c r="CF35">
        <v>109</v>
      </c>
      <c r="CG35">
        <v>132</v>
      </c>
      <c r="CH35">
        <v>133</v>
      </c>
      <c r="CI35">
        <v>156</v>
      </c>
      <c r="CJ35">
        <v>157</v>
      </c>
      <c r="CK35">
        <v>180</v>
      </c>
      <c r="CL35">
        <v>181</v>
      </c>
      <c r="CM35">
        <v>204</v>
      </c>
      <c r="CN35">
        <v>205</v>
      </c>
      <c r="CO35">
        <v>228</v>
      </c>
      <c r="CP35">
        <v>229</v>
      </c>
      <c r="CQ35">
        <v>252</v>
      </c>
      <c r="CR35">
        <v>253</v>
      </c>
      <c r="CS35">
        <v>276</v>
      </c>
      <c r="CT35">
        <v>277</v>
      </c>
      <c r="CU35">
        <v>300</v>
      </c>
      <c r="DE35">
        <v>33</v>
      </c>
      <c r="DF35" t="str">
        <f>IF(IFERROR(MATCH(FFARawStatProjections!A36,Draft!BY:BY,0),1)&lt;=1,IF(FFARawStatProjections!A36=0,"",FFARawStatProjections!A36),"")</f>
        <v>Colt McCoy</v>
      </c>
    </row>
    <row r="36" spans="1:110" ht="15.75" thickBot="1" x14ac:dyDescent="0.3">
      <c r="A36" s="196"/>
      <c r="B36" s="167" t="str">
        <f>IFERROR( INDEX(FFARawStatProjections!C:C,MATCH(C36,FFARawStatProjections!A:A,0)), "")</f>
        <v/>
      </c>
      <c r="C36" s="156">
        <f>IFERROR(IF(INDEX(Draft!BY:BY,MATCH(G36,Draft!BX:BX,0))="",G36,(INDEX(Draft!BY:BY,MATCH(G36,Draft!BX:BX,0)))),"")</f>
        <v>95</v>
      </c>
      <c r="D36" s="156" t="str">
        <f>IFERROR(INDEX(FFARawStatProjections!B:B,MATCH(C36,FFARawStatProjections!A:A,0)),"")</f>
        <v/>
      </c>
      <c r="E36" s="168" t="str">
        <f>IFERROR(INDEX(FFARawStatProjections!D:D,MATCH(C36,FFARawStatProjections!A:A,0)),"")</f>
        <v/>
      </c>
      <c r="F36" s="207">
        <f>VALUE($E$22&amp;0&amp;8)</f>
        <v>208</v>
      </c>
      <c r="G36" s="207">
        <f>VLOOKUP($E$22&amp;0&amp;8, 'Draft Pick Order'!B:C, 2, FALSE)</f>
        <v>95</v>
      </c>
      <c r="H36" s="197"/>
      <c r="I36" s="182" t="str">
        <f>IF(QBproj!D40=0,"",QBproj!D40)</f>
        <v>Kyle Trask</v>
      </c>
      <c r="J36" s="290" t="str">
        <f>QBproj!E40</f>
        <v>TB</v>
      </c>
      <c r="K36" s="183">
        <f>QBproj!F40</f>
        <v>78.918340000000001</v>
      </c>
      <c r="L36" s="517">
        <f>IFERROR(IF(QBproj!H40="",QBproj!G40,QBproj!H40),0)</f>
        <v>8</v>
      </c>
      <c r="M36" s="504">
        <f>INDEX(Draft!$BW:$BW,MATCH(I36,Draft_Names_Master,0))</f>
        <v>0</v>
      </c>
      <c r="N36">
        <v>3.4000000000000002E-2</v>
      </c>
      <c r="O36">
        <f>IFERROR(IF(INDEX(Instructions!$V$64:$V$83,MATCH('Draft Slayer Classic'!I36,Instructions!$S$64:$S$83,0))&lt;=$E$25,1,0),0)</f>
        <v>0</v>
      </c>
      <c r="P36">
        <f>IFERROR(INDEX(ADP!$A$7:$A$260,MATCH(I36,ADP!$D$7:$D$260,0)),999+N36)</f>
        <v>999.03399999999999</v>
      </c>
      <c r="Q36">
        <f t="shared" si="0"/>
        <v>3.4000000000000002E-2</v>
      </c>
      <c r="R36">
        <f>IFERROR(INDEX(Instructions!$U$111:$U$222,MATCH(I36,Instructions!$T$111:$T$222,0)),0)</f>
        <v>0</v>
      </c>
      <c r="S36" s="197"/>
      <c r="T36" s="182" t="str">
        <f>RBproj!D40</f>
        <v>Antonio Gibson</v>
      </c>
      <c r="U36" s="290" t="str">
        <f>RBproj!E40</f>
        <v>WAS</v>
      </c>
      <c r="V36" s="183">
        <f>RBproj!F40</f>
        <v>148.61147000000003</v>
      </c>
      <c r="W36" s="517">
        <f>IFERROR(IF(RBproj!H40="",RBproj!G40,RBproj!H40),0)</f>
        <v>8</v>
      </c>
      <c r="X36" s="504">
        <f>INDEX(Draft!$BW:$BW,MATCH(T36,Draft_Names_Master,0))</f>
        <v>0</v>
      </c>
      <c r="Y36">
        <v>3.4000000000000002E-2</v>
      </c>
      <c r="Z36">
        <f>IFERROR(IF(INDEX(Instructions!$X$64:$X$83,MATCH('Draft Slayer Classic'!T36,Instructions!$T$64:$T$83,0))&lt;=$E$25,1,0),0)</f>
        <v>0</v>
      </c>
      <c r="AA36">
        <f>IFERROR(INDEX(ADP!$A$7:$A$260,MATCH(T36,ADP!$D$7:$D$260,0)),999+Y36)</f>
        <v>90</v>
      </c>
      <c r="AB36">
        <f t="shared" si="1"/>
        <v>3.4000000000000002E-2</v>
      </c>
      <c r="AC36">
        <f>IFERROR(INDEX(Instructions!$U$111:$U$222,MATCH(T36,Instructions!$T$111:$T$222,0)),0)</f>
        <v>0</v>
      </c>
      <c r="AD36" s="197"/>
      <c r="AE36" s="182" t="str">
        <f>WRproj!D40</f>
        <v>Michael Pittman</v>
      </c>
      <c r="AF36" s="290" t="str">
        <f>WRproj!E40</f>
        <v>IND</v>
      </c>
      <c r="AG36" s="183">
        <f>WRproj!F40</f>
        <v>188.27353000000002</v>
      </c>
      <c r="AH36" s="517">
        <f>IFERROR(IF(WRproj!H40="",WRproj!G40,WRproj!H40),0)</f>
        <v>8</v>
      </c>
      <c r="AI36" s="503">
        <f>INDEX(Draft!$BW:$BW,MATCH(AE36,Draft_Names_Master,0))</f>
        <v>0</v>
      </c>
      <c r="AJ36">
        <v>3.4000000000000002E-2</v>
      </c>
      <c r="AK36">
        <f>IFERROR(IF(INDEX(Instructions!$V$86:$V$105,MATCH('Draft Slayer Classic'!AE36,Instructions!$S$86:$S$105,0))&lt;=$E$25,1,0),0)</f>
        <v>0</v>
      </c>
      <c r="AL36">
        <f>IFERROR(INDEX(ADP!$A$7:$A$260,MATCH(AE36,ADP!$D$7:$D$260,0)),999+AJ36)</f>
        <v>79</v>
      </c>
      <c r="AM36">
        <f t="shared" si="2"/>
        <v>3.4000000000000002E-2</v>
      </c>
      <c r="AN36">
        <f>IFERROR(INDEX(Instructions!$U$111:$U$222,MATCH(AE36,Instructions!$T$111:$T$222,0)),0)</f>
        <v>0</v>
      </c>
      <c r="AO36" s="197"/>
      <c r="AP36" s="182" t="str">
        <f>TEproj!D40</f>
        <v>Trey McBride</v>
      </c>
      <c r="AQ36" s="290" t="str">
        <f>TEproj!E40</f>
        <v>AZ</v>
      </c>
      <c r="AR36" s="183">
        <f>TEproj!F40</f>
        <v>85.536429999999996</v>
      </c>
      <c r="AS36" s="517">
        <f>IFERROR(IF(TEproj!H40="",TEproj!G40,TEproj!H40),0)</f>
        <v>8</v>
      </c>
      <c r="AT36" s="504">
        <f>INDEX(Draft!$BW:$BW,MATCH(AP36,Draft_Names_Master,0))</f>
        <v>0</v>
      </c>
      <c r="AU36">
        <v>3.4000000000000002E-2</v>
      </c>
      <c r="AV36">
        <f>IFERROR(IF(INDEX(Instructions!$X$86:$X$105,MATCH('Draft Slayer Classic'!AP36,Instructions!$T$86:$T$105,0))&lt;=$E$25,1,0),0)</f>
        <v>0</v>
      </c>
      <c r="AW36">
        <f>IFERROR(INDEX(ADP!$A$7:$A$260,MATCH(AP36,ADP!$D$7:$D$260,0)),999+AU36)</f>
        <v>999.03399999999999</v>
      </c>
      <c r="AX36">
        <f t="shared" si="3"/>
        <v>3.4000000000000002E-2</v>
      </c>
      <c r="AY36">
        <f>IFERROR(INDEX(Instructions!$U$111:$U$222,MATCH(AP36,Instructions!$T$111:$T$222,0)),0)</f>
        <v>0</v>
      </c>
      <c r="AZ36" s="197"/>
      <c r="BA36" s="197"/>
      <c r="BB36" s="216"/>
      <c r="BE36" s="197"/>
      <c r="BF36" s="185" t="str">
        <f>IF(Kproj!D40=0, "", Kproj!D40)</f>
        <v>Joey Slye</v>
      </c>
      <c r="BG36" s="509" t="str">
        <f>INDEX(FFARawStatProjections!B:B,MATCH('Draft Slayer Classic'!BF36,FFARawStatProjections!A:A,0))</f>
        <v>WAS</v>
      </c>
      <c r="BH36" s="505">
        <f>INDEX(Draft!$BW:$BW,MATCH(BF36,Draft_Names_Master,0))</f>
        <v>0</v>
      </c>
      <c r="BI36">
        <v>3.4000000000000002E-2</v>
      </c>
      <c r="BJ36">
        <f t="shared" si="5"/>
        <v>3.4000000000000002E-2</v>
      </c>
      <c r="BK36" s="203"/>
      <c r="DE36">
        <v>34</v>
      </c>
      <c r="DF36" t="str">
        <f>IF(IFERROR(MATCH(FFARawStatProjections!A37,Draft!BY:BY,0),1)&lt;=1,IF(FFARawStatProjections!A37=0,"",FFARawStatProjections!A37),"")</f>
        <v>Will Levis</v>
      </c>
    </row>
    <row r="37" spans="1:110" x14ac:dyDescent="0.25">
      <c r="A37" s="196"/>
      <c r="B37" s="169" t="str">
        <f>IFERROR( INDEX(FFARawStatProjections!C:C,MATCH(C37,FFARawStatProjections!A:A,0)), "")</f>
        <v/>
      </c>
      <c r="C37" s="150">
        <f>IFERROR(IF(INDEX(Draft!BY:BY,MATCH(G37,Draft!BX:BX,0))="",G37,(INDEX(Draft!BY:BY,MATCH(G37,Draft!BX:BX,0)))),"")</f>
        <v>98</v>
      </c>
      <c r="D37" s="150" t="str">
        <f>IFERROR(INDEX(FFARawStatProjections!B:B,MATCH(C37,FFARawStatProjections!A:A,0)),"")</f>
        <v/>
      </c>
      <c r="E37" s="170" t="str">
        <f>IFERROR(INDEX(FFARawStatProjections!D:D,MATCH(C37,FFARawStatProjections!A:A,0)),"")</f>
        <v/>
      </c>
      <c r="F37" s="207">
        <f>VALUE($E$22&amp;0&amp;9)</f>
        <v>209</v>
      </c>
      <c r="G37" s="207">
        <f>VLOOKUP($E$22&amp;0&amp;9, 'Draft Pick Order'!B:C, 2, FALSE)</f>
        <v>98</v>
      </c>
      <c r="H37" s="197"/>
      <c r="I37" s="180" t="str">
        <f>IF(QBproj!D41=0,"",QBproj!D41)</f>
        <v>Colt McCoy</v>
      </c>
      <c r="J37" s="461" t="str">
        <f>QBproj!E41</f>
        <v>AZ</v>
      </c>
      <c r="K37" s="184">
        <f>QBproj!F41</f>
        <v>73.994349999999997</v>
      </c>
      <c r="L37" s="517">
        <f>IFERROR(IF(QBproj!H41="",QBproj!G41,QBproj!H41),0)</f>
        <v>8</v>
      </c>
      <c r="M37" s="503">
        <f>INDEX(Draft!$BW:$BW,MATCH(I37,Draft_Names_Master,0))</f>
        <v>0</v>
      </c>
      <c r="N37">
        <v>3.5000000000000003E-2</v>
      </c>
      <c r="O37">
        <f>IFERROR(IF(INDEX(Instructions!$V$64:$V$83,MATCH('Draft Slayer Classic'!I37,Instructions!$S$64:$S$83,0))&lt;=$E$25,1,0),0)</f>
        <v>0</v>
      </c>
      <c r="P37">
        <f>IFERROR(INDEX(ADP!$A$7:$A$260,MATCH(I37,ADP!$D$7:$D$260,0)),999+N37)</f>
        <v>999.03499999999997</v>
      </c>
      <c r="Q37">
        <f t="shared" si="0"/>
        <v>3.5000000000000003E-2</v>
      </c>
      <c r="R37">
        <f>IFERROR(INDEX(Instructions!$U$111:$U$222,MATCH(I37,Instructions!$T$111:$T$222,0)),0)</f>
        <v>0</v>
      </c>
      <c r="S37" s="197"/>
      <c r="T37" s="187" t="str">
        <f>RBproj!D41</f>
        <v>Brian Robinson</v>
      </c>
      <c r="U37" s="461" t="str">
        <f>RBproj!E41</f>
        <v>WAS</v>
      </c>
      <c r="V37" s="184">
        <f>RBproj!F41</f>
        <v>148.10150000000002</v>
      </c>
      <c r="W37" s="517">
        <f>IFERROR(IF(RBproj!H41="",RBproj!G41,RBproj!H41),0)</f>
        <v>8</v>
      </c>
      <c r="X37" s="504">
        <f>INDEX(Draft!$BW:$BW,MATCH(T37,Draft_Names_Master,0))</f>
        <v>0</v>
      </c>
      <c r="Y37">
        <v>3.5000000000000003E-2</v>
      </c>
      <c r="Z37">
        <f>IFERROR(IF(INDEX(Instructions!$X$64:$X$83,MATCH('Draft Slayer Classic'!T37,Instructions!$T$64:$T$83,0))&lt;=$E$25,1,0),0)</f>
        <v>0</v>
      </c>
      <c r="AA37">
        <f>IFERROR(INDEX(ADP!$A$7:$A$260,MATCH(T37,ADP!$D$7:$D$260,0)),999+Y37)</f>
        <v>82</v>
      </c>
      <c r="AB37">
        <f t="shared" si="1"/>
        <v>3.5000000000000003E-2</v>
      </c>
      <c r="AC37">
        <f>IFERROR(INDEX(Instructions!$U$111:$U$222,MATCH(T37,Instructions!$T$111:$T$222,0)),0)</f>
        <v>0</v>
      </c>
      <c r="AD37" s="197"/>
      <c r="AE37" s="187" t="str">
        <f>WRproj!D41</f>
        <v>Jahan Dotson</v>
      </c>
      <c r="AF37" s="461" t="str">
        <f>WRproj!E41</f>
        <v>WAS</v>
      </c>
      <c r="AG37" s="184">
        <f>WRproj!F41</f>
        <v>178.14348000000001</v>
      </c>
      <c r="AH37" s="517">
        <f>IFERROR(IF(WRproj!H41="",WRproj!G41,WRproj!H41),0)</f>
        <v>8</v>
      </c>
      <c r="AI37" s="503">
        <f>INDEX(Draft!$BW:$BW,MATCH(AE37,Draft_Names_Master,0))</f>
        <v>0</v>
      </c>
      <c r="AJ37">
        <v>3.5000000000000003E-2</v>
      </c>
      <c r="AK37">
        <f>IFERROR(IF(INDEX(Instructions!$V$86:$V$105,MATCH('Draft Slayer Classic'!AE37,Instructions!$S$86:$S$105,0))&lt;=$E$25,1,0),0)</f>
        <v>0</v>
      </c>
      <c r="AL37">
        <f>IFERROR(INDEX(ADP!$A$7:$A$260,MATCH(AE37,ADP!$D$7:$D$260,0)),999+AJ37)</f>
        <v>83</v>
      </c>
      <c r="AM37">
        <f t="shared" si="2"/>
        <v>3.5000000000000003E-2</v>
      </c>
      <c r="AN37">
        <f>IFERROR(INDEX(Instructions!$U$111:$U$222,MATCH(AE37,Instructions!$T$111:$T$222,0)),0)</f>
        <v>0</v>
      </c>
      <c r="AO37" s="197"/>
      <c r="AP37" s="187" t="str">
        <f>TEproj!D41</f>
        <v>Austin Hooper</v>
      </c>
      <c r="AQ37" s="461" t="str">
        <f>TEproj!E41</f>
        <v>LV</v>
      </c>
      <c r="AR37" s="184">
        <f>TEproj!F41</f>
        <v>68.266450000000006</v>
      </c>
      <c r="AS37" s="517">
        <f>IFERROR(IF(TEproj!H41="",TEproj!G41,TEproj!H41),0)</f>
        <v>8</v>
      </c>
      <c r="AT37" s="503">
        <f>INDEX(Draft!$BW:$BW,MATCH(AP37,Draft_Names_Master,0))</f>
        <v>0</v>
      </c>
      <c r="AU37">
        <v>3.5000000000000003E-2</v>
      </c>
      <c r="AV37">
        <f>IFERROR(IF(INDEX(Instructions!$X$86:$X$105,MATCH('Draft Slayer Classic'!AP37,Instructions!$T$86:$T$105,0))&lt;=$E$25,1,0),0)</f>
        <v>0</v>
      </c>
      <c r="AW37">
        <f>IFERROR(INDEX(ADP!$A$7:$A$260,MATCH(AP37,ADP!$D$7:$D$260,0)),999+AU37)</f>
        <v>999.03499999999997</v>
      </c>
      <c r="AX37">
        <f t="shared" si="3"/>
        <v>3.5000000000000003E-2</v>
      </c>
      <c r="AY37">
        <f>IFERROR(INDEX(Instructions!$U$111:$U$222,MATCH(AP37,Instructions!$T$111:$T$222,0)),0)</f>
        <v>0</v>
      </c>
      <c r="AZ37" s="197"/>
      <c r="BA37" s="197"/>
      <c r="BB37" s="216"/>
      <c r="BE37" s="197"/>
      <c r="BF37" s="197"/>
      <c r="BG37" s="216"/>
      <c r="BH37" s="216"/>
      <c r="BK37" s="203"/>
      <c r="BV37" t="str">
        <f>14&amp;1</f>
        <v>141</v>
      </c>
      <c r="BW37">
        <v>1</v>
      </c>
      <c r="BX37">
        <v>28</v>
      </c>
      <c r="BY37">
        <v>29</v>
      </c>
      <c r="BZ37">
        <v>56</v>
      </c>
      <c r="CA37">
        <v>57</v>
      </c>
      <c r="CB37">
        <v>84</v>
      </c>
      <c r="CC37">
        <v>85</v>
      </c>
      <c r="CD37">
        <v>112</v>
      </c>
      <c r="CE37">
        <v>113</v>
      </c>
      <c r="CF37">
        <v>140</v>
      </c>
      <c r="CG37">
        <v>141</v>
      </c>
      <c r="CH37">
        <v>168</v>
      </c>
      <c r="CI37">
        <v>169</v>
      </c>
      <c r="CJ37">
        <v>196</v>
      </c>
      <c r="CK37">
        <v>197</v>
      </c>
      <c r="CL37">
        <v>224</v>
      </c>
      <c r="CM37">
        <v>225</v>
      </c>
      <c r="CN37">
        <v>252</v>
      </c>
      <c r="CO37">
        <v>253</v>
      </c>
      <c r="CP37">
        <v>280</v>
      </c>
      <c r="CQ37">
        <v>281</v>
      </c>
      <c r="CR37">
        <v>308</v>
      </c>
      <c r="CS37">
        <v>309</v>
      </c>
      <c r="CT37">
        <v>336</v>
      </c>
      <c r="CU37">
        <v>337</v>
      </c>
      <c r="DE37">
        <v>35</v>
      </c>
      <c r="DF37" t="str">
        <f>IF(IFERROR(MATCH(FFARawStatProjections!A38,Draft!BY:BY,0),1)&lt;=1,IF(FFARawStatProjections!A38=0,"",FFARawStatProjections!A38),"")</f>
        <v>Trey Lance</v>
      </c>
    </row>
    <row r="38" spans="1:110" x14ac:dyDescent="0.25">
      <c r="A38" s="196"/>
      <c r="B38" s="167" t="str">
        <f>IFERROR( INDEX(FFARawStatProjections!C:C,MATCH(C38,FFARawStatProjections!A:A,0)), "")</f>
        <v/>
      </c>
      <c r="C38" s="156">
        <f>IFERROR(IF(INDEX(Draft!BY:BY,MATCH(G38,Draft!BX:BX,0))="",G38,(INDEX(Draft!BY:BY,MATCH(G38,Draft!BX:BX,0)))),"")</f>
        <v>119</v>
      </c>
      <c r="D38" s="156" t="str">
        <f>IFERROR(INDEX(FFARawStatProjections!B:B,MATCH(C38,FFARawStatProjections!A:A,0)),"")</f>
        <v/>
      </c>
      <c r="E38" s="168" t="str">
        <f>IFERROR(INDEX(FFARawStatProjections!D:D,MATCH(C38,FFARawStatProjections!A:A,0)),"")</f>
        <v/>
      </c>
      <c r="F38" s="207">
        <f>VALUE($E$22&amp;10)</f>
        <v>210</v>
      </c>
      <c r="G38" s="207">
        <f>VLOOKUP($E$22&amp;10, 'Draft Pick Order'!B:C, 2, FALSE)</f>
        <v>119</v>
      </c>
      <c r="H38" s="197"/>
      <c r="I38" s="182" t="str">
        <f>IF(QBproj!D42=0,"",QBproj!D42)</f>
        <v>Will Levis</v>
      </c>
      <c r="J38" s="290" t="str">
        <f>QBproj!E42</f>
        <v>TEN</v>
      </c>
      <c r="K38" s="183">
        <f>QBproj!F42</f>
        <v>56.708359999999999</v>
      </c>
      <c r="L38" s="517">
        <f>IFERROR(IF(QBproj!H42="",QBproj!G42,QBproj!H42),0)</f>
        <v>8</v>
      </c>
      <c r="M38" s="504">
        <f>INDEX(Draft!$BW:$BW,MATCH(I38,Draft_Names_Master,0))</f>
        <v>0</v>
      </c>
      <c r="N38">
        <v>3.5999999999999997E-2</v>
      </c>
      <c r="O38">
        <f>IFERROR(IF(INDEX(Instructions!$V$64:$V$83,MATCH('Draft Slayer Classic'!I38,Instructions!$S$64:$S$83,0))&lt;=$E$25,1,0),0)</f>
        <v>0</v>
      </c>
      <c r="P38">
        <f>IFERROR(INDEX(ADP!$A$7:$A$260,MATCH(I38,ADP!$D$7:$D$260,0)),999+N38)</f>
        <v>999.03599999999994</v>
      </c>
      <c r="Q38">
        <f t="shared" si="0"/>
        <v>3.5999999999999997E-2</v>
      </c>
      <c r="R38">
        <f>IFERROR(INDEX(Instructions!$U$111:$U$222,MATCH(I38,Instructions!$T$111:$T$222,0)),0)</f>
        <v>0</v>
      </c>
      <c r="S38" s="197"/>
      <c r="T38" s="182" t="str">
        <f>RBproj!D42</f>
        <v>Samaje Perine</v>
      </c>
      <c r="U38" s="290" t="str">
        <f>RBproj!E42</f>
        <v>DEN</v>
      </c>
      <c r="V38" s="183">
        <f>RBproj!F42</f>
        <v>145.00146000000001</v>
      </c>
      <c r="W38" s="517">
        <f>IFERROR(IF(RBproj!H42="",RBproj!G42,RBproj!H42),0)</f>
        <v>8</v>
      </c>
      <c r="X38" s="504">
        <f>INDEX(Draft!$BW:$BW,MATCH(T38,Draft_Names_Master,0))</f>
        <v>0</v>
      </c>
      <c r="Y38">
        <v>3.5999999999999997E-2</v>
      </c>
      <c r="Z38">
        <f>IFERROR(IF(INDEX(Instructions!$X$64:$X$83,MATCH('Draft Slayer Classic'!T38,Instructions!$T$64:$T$83,0))&lt;=$E$25,1,0),0)</f>
        <v>0</v>
      </c>
      <c r="AA38">
        <f>IFERROR(INDEX(ADP!$A$7:$A$260,MATCH(T38,ADP!$D$7:$D$260,0)),999+Y38)</f>
        <v>95</v>
      </c>
      <c r="AB38">
        <f t="shared" si="1"/>
        <v>3.5999999999999997E-2</v>
      </c>
      <c r="AC38">
        <f>IFERROR(INDEX(Instructions!$U$111:$U$222,MATCH(T38,Instructions!$T$111:$T$222,0)),0)</f>
        <v>0</v>
      </c>
      <c r="AD38" s="197"/>
      <c r="AE38" s="182" t="str">
        <f>WRproj!D42</f>
        <v>George Pickens</v>
      </c>
      <c r="AF38" s="290" t="str">
        <f>WRproj!E42</f>
        <v>PIT</v>
      </c>
      <c r="AG38" s="183">
        <f>WRproj!F42</f>
        <v>176.85357999999999</v>
      </c>
      <c r="AH38" s="517">
        <f>IFERROR(IF(WRproj!H42="",WRproj!G42,WRproj!H42),0)</f>
        <v>8</v>
      </c>
      <c r="AI38" s="503">
        <f>INDEX(Draft!$BW:$BW,MATCH(AE38,Draft_Names_Master,0))</f>
        <v>0</v>
      </c>
      <c r="AJ38">
        <v>3.5999999999999997E-2</v>
      </c>
      <c r="AK38">
        <f>IFERROR(IF(INDEX(Instructions!$V$86:$V$105,MATCH('Draft Slayer Classic'!AE38,Instructions!$S$86:$S$105,0))&lt;=$E$25,1,0),0)</f>
        <v>0</v>
      </c>
      <c r="AL38">
        <f>IFERROR(INDEX(ADP!$A$7:$A$260,MATCH(AE38,ADP!$D$7:$D$260,0)),999+AJ38)</f>
        <v>80</v>
      </c>
      <c r="AM38">
        <f t="shared" si="2"/>
        <v>3.5999999999999997E-2</v>
      </c>
      <c r="AN38">
        <f>IFERROR(INDEX(Instructions!$U$111:$U$222,MATCH(AE38,Instructions!$T$111:$T$222,0)),0)</f>
        <v>0</v>
      </c>
      <c r="AO38" s="197"/>
      <c r="AP38" s="182" t="str">
        <f>TEproj!D42</f>
        <v>Isaiah Likely</v>
      </c>
      <c r="AQ38" s="290" t="str">
        <f>TEproj!E42</f>
        <v>BAL</v>
      </c>
      <c r="AR38" s="183">
        <f>TEproj!F42</f>
        <v>66.076439999999991</v>
      </c>
      <c r="AS38" s="517">
        <f>IFERROR(IF(TEproj!H42="",TEproj!G42,TEproj!H42),0)</f>
        <v>8</v>
      </c>
      <c r="AT38" s="504">
        <f>INDEX(Draft!$BW:$BW,MATCH(AP38,Draft_Names_Master,0))</f>
        <v>0</v>
      </c>
      <c r="AU38">
        <v>3.5999999999999997E-2</v>
      </c>
      <c r="AV38">
        <f>IFERROR(IF(INDEX(Instructions!$X$86:$X$105,MATCH('Draft Slayer Classic'!AP38,Instructions!$T$86:$T$105,0))&lt;=$E$25,1,0),0)</f>
        <v>0</v>
      </c>
      <c r="AW38">
        <f>IFERROR(INDEX(ADP!$A$7:$A$260,MATCH(AP38,ADP!$D$7:$D$260,0)),999+AU38)</f>
        <v>999.03599999999994</v>
      </c>
      <c r="AX38">
        <f t="shared" si="3"/>
        <v>3.5999999999999997E-2</v>
      </c>
      <c r="AY38">
        <f>IFERROR(INDEX(Instructions!$U$111:$U$222,MATCH(AP38,Instructions!$T$111:$T$222,0)),0)</f>
        <v>0</v>
      </c>
      <c r="AZ38" s="197"/>
      <c r="BA38" s="197"/>
      <c r="BB38" s="216"/>
      <c r="BE38" s="197"/>
      <c r="BF38" s="197"/>
      <c r="BG38" s="216"/>
      <c r="BH38" s="216"/>
      <c r="BK38" s="203"/>
      <c r="BV38" t="str">
        <f>14&amp;2</f>
        <v>142</v>
      </c>
      <c r="BW38">
        <v>2</v>
      </c>
      <c r="BX38">
        <v>27</v>
      </c>
      <c r="BY38">
        <v>30</v>
      </c>
      <c r="BZ38">
        <v>55</v>
      </c>
      <c r="CA38">
        <v>58</v>
      </c>
      <c r="CB38">
        <v>83</v>
      </c>
      <c r="CC38">
        <v>86</v>
      </c>
      <c r="CD38">
        <v>111</v>
      </c>
      <c r="CE38">
        <v>114</v>
      </c>
      <c r="CF38">
        <v>139</v>
      </c>
      <c r="CG38">
        <v>142</v>
      </c>
      <c r="CH38">
        <v>167</v>
      </c>
      <c r="CI38">
        <v>170</v>
      </c>
      <c r="CJ38">
        <v>195</v>
      </c>
      <c r="CK38">
        <v>198</v>
      </c>
      <c r="CL38">
        <v>223</v>
      </c>
      <c r="CM38">
        <v>226</v>
      </c>
      <c r="CN38">
        <v>251</v>
      </c>
      <c r="CO38">
        <v>254</v>
      </c>
      <c r="CP38">
        <v>279</v>
      </c>
      <c r="CQ38">
        <v>282</v>
      </c>
      <c r="CR38">
        <v>307</v>
      </c>
      <c r="CS38">
        <v>310</v>
      </c>
      <c r="CT38">
        <v>335</v>
      </c>
      <c r="CU38">
        <v>338</v>
      </c>
      <c r="DE38">
        <v>36</v>
      </c>
      <c r="DF38" t="str">
        <f>IF(IFERROR(MATCH(FFARawStatProjections!A39,Draft!BY:BY,0),1)&lt;=1,IF(FFARawStatProjections!A39=0,"",FFARawStatProjections!A39),"")</f>
        <v>Brian Hoyer</v>
      </c>
    </row>
    <row r="39" spans="1:110" x14ac:dyDescent="0.25">
      <c r="A39" s="196"/>
      <c r="B39" s="169" t="str">
        <f>IFERROR( INDEX(FFARawStatProjections!C:C,MATCH(C39,FFARawStatProjections!A:A,0)), "")</f>
        <v/>
      </c>
      <c r="C39" s="150">
        <f>IFERROR(IF(INDEX(Draft!BY:BY,MATCH(G39,Draft!BX:BX,0))="",G39,(INDEX(Draft!BY:BY,MATCH(G39,Draft!BX:BX,0)))),"")</f>
        <v>122</v>
      </c>
      <c r="D39" s="150" t="str">
        <f>IFERROR(INDEX(FFARawStatProjections!B:B,MATCH(C39,FFARawStatProjections!A:A,0)),"")</f>
        <v/>
      </c>
      <c r="E39" s="170" t="str">
        <f>IFERROR(INDEX(FFARawStatProjections!D:D,MATCH(C39,FFARawStatProjections!A:A,0)),"")</f>
        <v/>
      </c>
      <c r="F39" s="207">
        <f>VALUE($E$22&amp;11)</f>
        <v>211</v>
      </c>
      <c r="G39" s="207">
        <f>VLOOKUP($E$22&amp;11, 'Draft Pick Order'!B:C, 2, FALSE)</f>
        <v>122</v>
      </c>
      <c r="H39" s="197"/>
      <c r="I39" s="180" t="str">
        <f>IF(QBproj!D43=0,"",QBproj!D43)</f>
        <v>Trey Lance</v>
      </c>
      <c r="J39" s="461" t="str">
        <f>QBproj!E43</f>
        <v>SF</v>
      </c>
      <c r="K39" s="184">
        <f>QBproj!F43</f>
        <v>54.02037</v>
      </c>
      <c r="L39" s="517">
        <f>IFERROR(IF(QBproj!H43="",QBproj!G43,QBproj!H43),0)</f>
        <v>8</v>
      </c>
      <c r="M39" s="503">
        <f>INDEX(Draft!$BW:$BW,MATCH(I39,Draft_Names_Master,0))</f>
        <v>0</v>
      </c>
      <c r="N39">
        <v>3.6999999999999998E-2</v>
      </c>
      <c r="O39">
        <f>IFERROR(IF(INDEX(Instructions!$V$64:$V$83,MATCH('Draft Slayer Classic'!I39,Instructions!$S$64:$S$83,0))&lt;=$E$25,1,0),0)</f>
        <v>0</v>
      </c>
      <c r="P39">
        <f>IFERROR(INDEX(ADP!$A$7:$A$260,MATCH(I39,ADP!$D$7:$D$260,0)),999+N39)</f>
        <v>999.03700000000003</v>
      </c>
      <c r="Q39">
        <f t="shared" si="0"/>
        <v>3.6999999999999998E-2</v>
      </c>
      <c r="R39">
        <f>IFERROR(INDEX(Instructions!$U$111:$U$222,MATCH(I39,Instructions!$T$111:$T$222,0)),0)</f>
        <v>0</v>
      </c>
      <c r="S39" s="197"/>
      <c r="T39" s="187" t="str">
        <f>RBproj!D43</f>
        <v>Jeff Wilson</v>
      </c>
      <c r="U39" s="461" t="str">
        <f>RBproj!E43</f>
        <v>MIA</v>
      </c>
      <c r="V39" s="184">
        <f>RBproj!F43</f>
        <v>134.85154000000003</v>
      </c>
      <c r="W39" s="517">
        <f>IFERROR(IF(RBproj!H43="",RBproj!G43,RBproj!H43),0)</f>
        <v>8</v>
      </c>
      <c r="X39" s="504">
        <f>INDEX(Draft!$BW:$BW,MATCH(T39,Draft_Names_Master,0))</f>
        <v>0</v>
      </c>
      <c r="Y39">
        <v>3.6999999999999998E-2</v>
      </c>
      <c r="Z39">
        <f>IFERROR(IF(INDEX(Instructions!$X$64:$X$83,MATCH('Draft Slayer Classic'!T39,Instructions!$T$64:$T$83,0))&lt;=$E$25,1,0),0)</f>
        <v>0</v>
      </c>
      <c r="AA39">
        <f>IFERROR(INDEX(ADP!$A$7:$A$260,MATCH(T39,ADP!$D$7:$D$260,0)),999+Y39)</f>
        <v>999.03700000000003</v>
      </c>
      <c r="AB39">
        <f t="shared" si="1"/>
        <v>3.6999999999999998E-2</v>
      </c>
      <c r="AC39">
        <f>IFERROR(INDEX(Instructions!$U$111:$U$222,MATCH(T39,Instructions!$T$111:$T$222,0)),0)</f>
        <v>0</v>
      </c>
      <c r="AD39" s="197"/>
      <c r="AE39" s="187" t="str">
        <f>WRproj!D43</f>
        <v>Gabe Davis</v>
      </c>
      <c r="AF39" s="461" t="str">
        <f>WRproj!E43</f>
        <v>BUF</v>
      </c>
      <c r="AG39" s="184">
        <f>WRproj!F43</f>
        <v>174.77350000000001</v>
      </c>
      <c r="AH39" s="517">
        <f>IFERROR(IF(WRproj!H43="",WRproj!G43,WRproj!H43),0)</f>
        <v>8</v>
      </c>
      <c r="AI39" s="503">
        <f>INDEX(Draft!$BW:$BW,MATCH(AE39,Draft_Names_Master,0))</f>
        <v>0</v>
      </c>
      <c r="AJ39">
        <v>3.6999999999999998E-2</v>
      </c>
      <c r="AK39">
        <f>IFERROR(IF(INDEX(Instructions!$V$86:$V$105,MATCH('Draft Slayer Classic'!AE39,Instructions!$S$86:$S$105,0))&lt;=$E$25,1,0),0)</f>
        <v>0</v>
      </c>
      <c r="AL39">
        <f>IFERROR(INDEX(ADP!$A$7:$A$260,MATCH(AE39,ADP!$D$7:$D$260,0)),999+AJ39)</f>
        <v>999.03700000000003</v>
      </c>
      <c r="AM39">
        <f t="shared" si="2"/>
        <v>3.6999999999999998E-2</v>
      </c>
      <c r="AN39">
        <f>IFERROR(INDEX(Instructions!$U$111:$U$222,MATCH(AE39,Instructions!$T$111:$T$222,0)),0)</f>
        <v>0</v>
      </c>
      <c r="AO39" s="197"/>
      <c r="AP39" s="187" t="str">
        <f>TEproj!D43</f>
        <v>Noah Gray</v>
      </c>
      <c r="AQ39" s="461" t="str">
        <f>TEproj!E43</f>
        <v>KC</v>
      </c>
      <c r="AR39" s="184">
        <f>TEproj!F43</f>
        <v>54.646459999999998</v>
      </c>
      <c r="AS39" s="517">
        <f>IFERROR(IF(TEproj!H43="",TEproj!G43,TEproj!H43),0)</f>
        <v>8</v>
      </c>
      <c r="AT39" s="503">
        <f>INDEX(Draft!$BW:$BW,MATCH(AP39,Draft_Names_Master,0))</f>
        <v>0</v>
      </c>
      <c r="AU39">
        <v>3.6999999999999998E-2</v>
      </c>
      <c r="AV39">
        <f>IFERROR(IF(INDEX(Instructions!$X$86:$X$105,MATCH('Draft Slayer Classic'!AP39,Instructions!$T$86:$T$105,0))&lt;=$E$25,1,0),0)</f>
        <v>0</v>
      </c>
      <c r="AW39">
        <f>IFERROR(INDEX(ADP!$A$7:$A$260,MATCH(AP39,ADP!$D$7:$D$260,0)),999+AU39)</f>
        <v>999.03700000000003</v>
      </c>
      <c r="AX39">
        <f t="shared" si="3"/>
        <v>3.6999999999999998E-2</v>
      </c>
      <c r="AY39">
        <f>IFERROR(INDEX(Instructions!$U$111:$U$222,MATCH(AP39,Instructions!$T$111:$T$222,0)),0)</f>
        <v>0</v>
      </c>
      <c r="AZ39" s="197"/>
      <c r="BA39" s="197"/>
      <c r="BB39" s="216"/>
      <c r="BE39" s="197"/>
      <c r="BF39" s="197"/>
      <c r="BG39" s="216"/>
      <c r="BH39" s="216"/>
      <c r="BK39" s="203"/>
      <c r="BV39" t="str">
        <f>14&amp;3</f>
        <v>143</v>
      </c>
      <c r="BW39">
        <v>3</v>
      </c>
      <c r="BX39">
        <v>26</v>
      </c>
      <c r="BY39">
        <v>31</v>
      </c>
      <c r="BZ39">
        <v>54</v>
      </c>
      <c r="CA39">
        <v>59</v>
      </c>
      <c r="CB39">
        <v>82</v>
      </c>
      <c r="CC39">
        <v>87</v>
      </c>
      <c r="CD39">
        <v>110</v>
      </c>
      <c r="CE39">
        <v>115</v>
      </c>
      <c r="CF39">
        <v>138</v>
      </c>
      <c r="CG39">
        <v>143</v>
      </c>
      <c r="CH39">
        <v>166</v>
      </c>
      <c r="CI39">
        <v>171</v>
      </c>
      <c r="CJ39">
        <v>194</v>
      </c>
      <c r="CK39">
        <v>199</v>
      </c>
      <c r="CL39">
        <v>222</v>
      </c>
      <c r="CM39">
        <v>227</v>
      </c>
      <c r="CN39">
        <v>250</v>
      </c>
      <c r="CO39">
        <v>255</v>
      </c>
      <c r="CP39">
        <v>278</v>
      </c>
      <c r="CQ39">
        <v>283</v>
      </c>
      <c r="CR39">
        <v>306</v>
      </c>
      <c r="CS39">
        <v>311</v>
      </c>
      <c r="CT39">
        <v>334</v>
      </c>
      <c r="CU39">
        <v>339</v>
      </c>
      <c r="DE39">
        <v>37</v>
      </c>
      <c r="DF39" t="str">
        <f>IF(IFERROR(MATCH(FFARawStatProjections!A40,Draft!BY:BY,0),1)&lt;=1,IF(FFARawStatProjections!A40=0,"",FFARawStatProjections!A40),"")</f>
        <v>Taylor Heinicke</v>
      </c>
    </row>
    <row r="40" spans="1:110" x14ac:dyDescent="0.25">
      <c r="A40" s="196"/>
      <c r="B40" s="167" t="str">
        <f>IFERROR( INDEX(FFARawStatProjections!C:C,MATCH(C40,FFARawStatProjections!A:A,0)), "")</f>
        <v/>
      </c>
      <c r="C40" s="156">
        <f>IFERROR(IF(INDEX(Draft!BY:BY,MATCH(G40,Draft!BX:BX,0))="",G40,(INDEX(Draft!BY:BY,MATCH(G40,Draft!BX:BX,0)))),"")</f>
        <v>143</v>
      </c>
      <c r="D40" s="156" t="str">
        <f>IFERROR(INDEX(FFARawStatProjections!B:B,MATCH(C40,FFARawStatProjections!A:A,0)),"")</f>
        <v/>
      </c>
      <c r="E40" s="168" t="str">
        <f>IFERROR(INDEX(FFARawStatProjections!D:D,MATCH(C40,FFARawStatProjections!A:A,0)),"")</f>
        <v/>
      </c>
      <c r="F40" s="207">
        <f>VALUE($E$22&amp;12)</f>
        <v>212</v>
      </c>
      <c r="G40" s="207">
        <f>VLOOKUP($E$22&amp;12, 'Draft Pick Order'!B:C, 2, FALSE)</f>
        <v>143</v>
      </c>
      <c r="H40" s="197"/>
      <c r="I40" s="182" t="str">
        <f>IF(QBproj!D44=0,"",QBproj!D44)</f>
        <v>Brian Hoyer</v>
      </c>
      <c r="J40" s="290" t="str">
        <f>QBproj!E44</f>
        <v>LV</v>
      </c>
      <c r="K40" s="183">
        <f>QBproj!F44</f>
        <v>46.162380000000006</v>
      </c>
      <c r="L40" s="517">
        <f>IFERROR(IF(QBproj!H44="",QBproj!G44,QBproj!H44),0)</f>
        <v>8</v>
      </c>
      <c r="M40" s="504">
        <f>INDEX(Draft!$BW:$BW,MATCH(I40,Draft_Names_Master,0))</f>
        <v>0</v>
      </c>
      <c r="N40">
        <v>3.7999999999999999E-2</v>
      </c>
      <c r="O40">
        <f>IFERROR(IF(INDEX(Instructions!$V$64:$V$83,MATCH('Draft Slayer Classic'!I40,Instructions!$S$64:$S$83,0))&lt;=$E$25,1,0),0)</f>
        <v>0</v>
      </c>
      <c r="P40">
        <f>IFERROR(INDEX(ADP!$A$7:$A$260,MATCH(I40,ADP!$D$7:$D$260,0)),999+N40)</f>
        <v>999.03800000000001</v>
      </c>
      <c r="Q40">
        <f t="shared" si="0"/>
        <v>3.7999999999999999E-2</v>
      </c>
      <c r="R40">
        <f>IFERROR(INDEX(Instructions!$U$111:$U$222,MATCH(I40,Instructions!$T$111:$T$222,0)),0)</f>
        <v>0</v>
      </c>
      <c r="S40" s="197"/>
      <c r="T40" s="182" t="str">
        <f>RBproj!D44</f>
        <v>Jamaal Williams</v>
      </c>
      <c r="U40" s="290" t="str">
        <f>RBproj!E44</f>
        <v>NO</v>
      </c>
      <c r="V40" s="183">
        <f>RBproj!F44</f>
        <v>126.37153000000001</v>
      </c>
      <c r="W40" s="517">
        <f>IFERROR(IF(RBproj!H44="",RBproj!G44,RBproj!H44),0)</f>
        <v>8</v>
      </c>
      <c r="X40" s="504">
        <f>INDEX(Draft!$BW:$BW,MATCH(T40,Draft_Names_Master,0))</f>
        <v>0</v>
      </c>
      <c r="Y40">
        <v>3.7999999999999999E-2</v>
      </c>
      <c r="Z40">
        <f>IFERROR(IF(INDEX(Instructions!$X$64:$X$83,MATCH('Draft Slayer Classic'!T40,Instructions!$T$64:$T$83,0))&lt;=$E$25,1,0),0)</f>
        <v>0</v>
      </c>
      <c r="AA40">
        <f>IFERROR(INDEX(ADP!$A$7:$A$260,MATCH(T40,ADP!$D$7:$D$260,0)),999+Y40)</f>
        <v>89</v>
      </c>
      <c r="AB40">
        <f t="shared" si="1"/>
        <v>3.7999999999999999E-2</v>
      </c>
      <c r="AC40">
        <f>IFERROR(INDEX(Instructions!$U$111:$U$222,MATCH(T40,Instructions!$T$111:$T$222,0)),0)</f>
        <v>0</v>
      </c>
      <c r="AD40" s="197"/>
      <c r="AE40" s="182" t="str">
        <f>WRproj!D44</f>
        <v>Jordan Addison</v>
      </c>
      <c r="AF40" s="290" t="str">
        <f>WRproj!E44</f>
        <v>MIN</v>
      </c>
      <c r="AG40" s="183">
        <f>WRproj!F44</f>
        <v>174.45352</v>
      </c>
      <c r="AH40" s="517">
        <f>IFERROR(IF(WRproj!H44="",WRproj!G44,WRproj!H44),0)</f>
        <v>8</v>
      </c>
      <c r="AI40" s="503">
        <f>INDEX(Draft!$BW:$BW,MATCH(AE40,Draft_Names_Master,0))</f>
        <v>0</v>
      </c>
      <c r="AJ40">
        <v>3.7999999999999999E-2</v>
      </c>
      <c r="AK40">
        <f>IFERROR(IF(INDEX(Instructions!$V$86:$V$105,MATCH('Draft Slayer Classic'!AE40,Instructions!$S$86:$S$105,0))&lt;=$E$25,1,0),0)</f>
        <v>0</v>
      </c>
      <c r="AL40">
        <f>IFERROR(INDEX(ADP!$A$7:$A$260,MATCH(AE40,ADP!$D$7:$D$260,0)),999+AJ40)</f>
        <v>88</v>
      </c>
      <c r="AM40">
        <f t="shared" si="2"/>
        <v>3.7999999999999999E-2</v>
      </c>
      <c r="AN40">
        <f>IFERROR(INDEX(Instructions!$U$111:$U$222,MATCH(AE40,Instructions!$T$111:$T$222,0)),0)</f>
        <v>0</v>
      </c>
      <c r="AO40" s="197"/>
      <c r="AP40" s="182" t="str">
        <f>TEproj!D44</f>
        <v>Luke Schoonmaker</v>
      </c>
      <c r="AQ40" s="290" t="str">
        <f>TEproj!E44</f>
        <v>DAL</v>
      </c>
      <c r="AR40" s="183">
        <f>TEproj!F44</f>
        <v>53.82647</v>
      </c>
      <c r="AS40" s="517">
        <f>IFERROR(IF(TEproj!H44="",TEproj!G44,TEproj!H44),0)</f>
        <v>8</v>
      </c>
      <c r="AT40" s="504">
        <f>INDEX(Draft!$BW:$BW,MATCH(AP40,Draft_Names_Master,0))</f>
        <v>0</v>
      </c>
      <c r="AU40">
        <v>3.7999999999999999E-2</v>
      </c>
      <c r="AV40">
        <f>IFERROR(IF(INDEX(Instructions!$X$86:$X$105,MATCH('Draft Slayer Classic'!AP40,Instructions!$T$86:$T$105,0))&lt;=$E$25,1,0),0)</f>
        <v>0</v>
      </c>
      <c r="AW40">
        <f>IFERROR(INDEX(ADP!$A$7:$A$260,MATCH(AP40,ADP!$D$7:$D$260,0)),999+AU40)</f>
        <v>999.03800000000001</v>
      </c>
      <c r="AX40">
        <f t="shared" si="3"/>
        <v>3.7999999999999999E-2</v>
      </c>
      <c r="AY40">
        <f>IFERROR(INDEX(Instructions!$U$111:$U$222,MATCH(AP40,Instructions!$T$111:$T$222,0)),0)</f>
        <v>0</v>
      </c>
      <c r="AZ40" s="197"/>
      <c r="BA40" s="197"/>
      <c r="BB40" s="216"/>
      <c r="BE40" s="197"/>
      <c r="BF40" s="197"/>
      <c r="BG40" s="216"/>
      <c r="BH40" s="216"/>
      <c r="BK40" s="203"/>
      <c r="BV40" t="str">
        <f>14&amp;4</f>
        <v>144</v>
      </c>
      <c r="BW40">
        <v>4</v>
      </c>
      <c r="BX40">
        <v>25</v>
      </c>
      <c r="BY40">
        <v>32</v>
      </c>
      <c r="BZ40">
        <v>53</v>
      </c>
      <c r="CA40">
        <v>60</v>
      </c>
      <c r="CB40">
        <v>81</v>
      </c>
      <c r="CC40">
        <v>88</v>
      </c>
      <c r="CD40">
        <v>109</v>
      </c>
      <c r="CE40">
        <v>116</v>
      </c>
      <c r="CF40">
        <v>137</v>
      </c>
      <c r="CG40">
        <v>144</v>
      </c>
      <c r="CH40">
        <v>165</v>
      </c>
      <c r="CI40">
        <v>172</v>
      </c>
      <c r="CJ40">
        <v>193</v>
      </c>
      <c r="CK40">
        <v>200</v>
      </c>
      <c r="CL40">
        <v>221</v>
      </c>
      <c r="CM40">
        <v>228</v>
      </c>
      <c r="CN40">
        <v>249</v>
      </c>
      <c r="CO40">
        <v>256</v>
      </c>
      <c r="CP40">
        <v>277</v>
      </c>
      <c r="CQ40">
        <v>284</v>
      </c>
      <c r="CR40">
        <v>305</v>
      </c>
      <c r="CS40">
        <v>312</v>
      </c>
      <c r="CT40">
        <v>333</v>
      </c>
      <c r="CU40">
        <v>340</v>
      </c>
      <c r="DE40">
        <v>38</v>
      </c>
      <c r="DF40" t="str">
        <f>IF(IFERROR(MATCH(FFARawStatProjections!A41,Draft!BY:BY,0),1)&lt;=1,IF(FFARawStatProjections!A41=0,"",FFARawStatProjections!A41),"")</f>
        <v>Gardner Minshew</v>
      </c>
    </row>
    <row r="41" spans="1:110" x14ac:dyDescent="0.25">
      <c r="A41" s="196"/>
      <c r="B41" s="169" t="str">
        <f>IFERROR( INDEX(FFARawStatProjections!C:C,MATCH(C41,FFARawStatProjections!A:A,0)), "")</f>
        <v/>
      </c>
      <c r="C41" s="150">
        <f>IFERROR(IF(INDEX(Draft!BY:BY,MATCH(G41,Draft!BX:BX,0))="",G41,(INDEX(Draft!BY:BY,MATCH(G41,Draft!BX:BX,0)))),"")</f>
        <v>146</v>
      </c>
      <c r="D41" s="150" t="str">
        <f>IFERROR(INDEX(FFARawStatProjections!B:B,MATCH(C41,FFARawStatProjections!A:A,0)),"")</f>
        <v/>
      </c>
      <c r="E41" s="170" t="str">
        <f>IFERROR(INDEX(FFARawStatProjections!D:D,MATCH(C41,FFARawStatProjections!A:A,0)),"")</f>
        <v/>
      </c>
      <c r="F41" s="207">
        <f>VALUE($E$22&amp;13)</f>
        <v>213</v>
      </c>
      <c r="G41" s="207">
        <f>VLOOKUP($E$22&amp;13, 'Draft Pick Order'!B:C, 2, FALSE)</f>
        <v>146</v>
      </c>
      <c r="H41" s="197"/>
      <c r="I41" s="180" t="str">
        <f>IF(QBproj!D45=0,"",QBproj!D45)</f>
        <v>Taylor Heinicke</v>
      </c>
      <c r="J41" s="461" t="str">
        <f>QBproj!E45</f>
        <v>ATL</v>
      </c>
      <c r="K41" s="184">
        <f>QBproj!F45</f>
        <v>45.796390000000002</v>
      </c>
      <c r="L41" s="517">
        <f>IFERROR(IF(QBproj!H45="",QBproj!G45,QBproj!H45),0)</f>
        <v>8</v>
      </c>
      <c r="M41" s="503">
        <f>INDEX(Draft!$BW:$BW,MATCH(I41,Draft_Names_Master,0))</f>
        <v>0</v>
      </c>
      <c r="N41">
        <v>3.9E-2</v>
      </c>
      <c r="O41">
        <f>IFERROR(IF(INDEX(Instructions!$V$64:$V$83,MATCH('Draft Slayer Classic'!I41,Instructions!$S$64:$S$83,0))&lt;=$E$25,1,0),0)</f>
        <v>0</v>
      </c>
      <c r="P41">
        <f>IFERROR(INDEX(ADP!$A$7:$A$260,MATCH(I41,ADP!$D$7:$D$260,0)),999+N41)</f>
        <v>999.03899999999999</v>
      </c>
      <c r="Q41">
        <f t="shared" si="0"/>
        <v>3.9E-2</v>
      </c>
      <c r="R41">
        <f>IFERROR(INDEX(Instructions!$U$111:$U$222,MATCH(I41,Instructions!$T$111:$T$222,0)),0)</f>
        <v>0</v>
      </c>
      <c r="S41" s="197"/>
      <c r="T41" s="187" t="str">
        <f>RBproj!D45</f>
        <v>Rashaad Penny</v>
      </c>
      <c r="U41" s="461" t="str">
        <f>RBproj!E45</f>
        <v>PHI</v>
      </c>
      <c r="V41" s="184">
        <f>RBproj!F45</f>
        <v>123.59157</v>
      </c>
      <c r="W41" s="517">
        <f>IFERROR(IF(RBproj!H45="",RBproj!G45,RBproj!H45),0)</f>
        <v>8</v>
      </c>
      <c r="X41" s="504">
        <f>INDEX(Draft!$BW:$BW,MATCH(T41,Draft_Names_Master,0))</f>
        <v>0</v>
      </c>
      <c r="Y41">
        <v>3.9E-2</v>
      </c>
      <c r="Z41">
        <f>IFERROR(IF(INDEX(Instructions!$X$64:$X$83,MATCH('Draft Slayer Classic'!T41,Instructions!$T$64:$T$83,0))&lt;=$E$25,1,0),0)</f>
        <v>0</v>
      </c>
      <c r="AA41">
        <f>IFERROR(INDEX(ADP!$A$7:$A$260,MATCH(T41,ADP!$D$7:$D$260,0)),999+Y41)</f>
        <v>86</v>
      </c>
      <c r="AB41">
        <f t="shared" si="1"/>
        <v>3.9E-2</v>
      </c>
      <c r="AC41">
        <f>IFERROR(INDEX(Instructions!$U$111:$U$222,MATCH(T41,Instructions!$T$111:$T$222,0)),0)</f>
        <v>0</v>
      </c>
      <c r="AD41" s="197"/>
      <c r="AE41" s="187" t="str">
        <f>WRproj!D45</f>
        <v>Brandin Cooks</v>
      </c>
      <c r="AF41" s="461" t="str">
        <f>WRproj!E45</f>
        <v>DAL</v>
      </c>
      <c r="AG41" s="184">
        <f>WRproj!F45</f>
        <v>173.95351000000002</v>
      </c>
      <c r="AH41" s="517">
        <f>IFERROR(IF(WRproj!H45="",WRproj!G45,WRproj!H45),0)</f>
        <v>8</v>
      </c>
      <c r="AI41" s="503">
        <f>INDEX(Draft!$BW:$BW,MATCH(AE41,Draft_Names_Master,0))</f>
        <v>0</v>
      </c>
      <c r="AJ41">
        <v>3.9E-2</v>
      </c>
      <c r="AK41">
        <f>IFERROR(IF(INDEX(Instructions!$V$86:$V$105,MATCH('Draft Slayer Classic'!AE41,Instructions!$S$86:$S$105,0))&lt;=$E$25,1,0),0)</f>
        <v>0</v>
      </c>
      <c r="AL41">
        <f>IFERROR(INDEX(ADP!$A$7:$A$260,MATCH(AE41,ADP!$D$7:$D$260,0)),999+AJ41)</f>
        <v>93</v>
      </c>
      <c r="AM41">
        <f t="shared" si="2"/>
        <v>3.9E-2</v>
      </c>
      <c r="AN41">
        <f>IFERROR(INDEX(Instructions!$U$111:$U$222,MATCH(AE41,Instructions!$T$111:$T$222,0)),0)</f>
        <v>0</v>
      </c>
      <c r="AO41" s="197"/>
      <c r="AP41" s="187" t="str">
        <f>TEproj!D45</f>
        <v>Will Dissly</v>
      </c>
      <c r="AQ41" s="461" t="str">
        <f>TEproj!E45</f>
        <v>SEA</v>
      </c>
      <c r="AR41" s="184">
        <f>TEproj!F45</f>
        <v>50.306509999999996</v>
      </c>
      <c r="AS41" s="517">
        <f>IFERROR(IF(TEproj!H45="",TEproj!G45,TEproj!H45),0)</f>
        <v>8</v>
      </c>
      <c r="AT41" s="503">
        <f>INDEX(Draft!$BW:$BW,MATCH(AP41,Draft_Names_Master,0))</f>
        <v>0</v>
      </c>
      <c r="AU41">
        <v>3.9E-2</v>
      </c>
      <c r="AV41">
        <f>IFERROR(IF(INDEX(Instructions!$X$86:$X$105,MATCH('Draft Slayer Classic'!AP41,Instructions!$T$86:$T$105,0))&lt;=$E$25,1,0),0)</f>
        <v>0</v>
      </c>
      <c r="AW41">
        <f>IFERROR(INDEX(ADP!$A$7:$A$260,MATCH(AP41,ADP!$D$7:$D$260,0)),999+AU41)</f>
        <v>999.03899999999999</v>
      </c>
      <c r="AX41">
        <f t="shared" si="3"/>
        <v>3.9E-2</v>
      </c>
      <c r="AY41">
        <f>IFERROR(INDEX(Instructions!$U$111:$U$222,MATCH(AP41,Instructions!$T$111:$T$222,0)),0)</f>
        <v>0</v>
      </c>
      <c r="AZ41" s="197"/>
      <c r="BA41" s="197"/>
      <c r="BB41" s="216"/>
      <c r="BE41" s="197"/>
      <c r="BF41" s="197"/>
      <c r="BG41" s="216"/>
      <c r="BH41" s="216"/>
      <c r="BK41" s="203"/>
      <c r="BV41" t="str">
        <f>14&amp;5</f>
        <v>145</v>
      </c>
      <c r="BW41">
        <v>5</v>
      </c>
      <c r="BX41">
        <v>24</v>
      </c>
      <c r="BY41">
        <v>33</v>
      </c>
      <c r="BZ41">
        <v>52</v>
      </c>
      <c r="CA41">
        <v>61</v>
      </c>
      <c r="CB41">
        <v>80</v>
      </c>
      <c r="CC41">
        <v>89</v>
      </c>
      <c r="CD41">
        <v>108</v>
      </c>
      <c r="CE41">
        <v>117</v>
      </c>
      <c r="CF41">
        <v>136</v>
      </c>
      <c r="CG41">
        <v>145</v>
      </c>
      <c r="CH41">
        <v>164</v>
      </c>
      <c r="CI41">
        <v>173</v>
      </c>
      <c r="CJ41">
        <v>192</v>
      </c>
      <c r="CK41">
        <v>201</v>
      </c>
      <c r="CL41">
        <v>220</v>
      </c>
      <c r="CM41">
        <v>229</v>
      </c>
      <c r="CN41">
        <v>248</v>
      </c>
      <c r="CO41">
        <v>257</v>
      </c>
      <c r="CP41">
        <v>276</v>
      </c>
      <c r="CQ41">
        <v>285</v>
      </c>
      <c r="CR41">
        <v>304</v>
      </c>
      <c r="CS41">
        <v>313</v>
      </c>
      <c r="CT41">
        <v>332</v>
      </c>
      <c r="CU41">
        <v>341</v>
      </c>
      <c r="DE41">
        <v>39</v>
      </c>
      <c r="DF41" t="str">
        <f>IF(IFERROR(MATCH(FFARawStatProjections!A42,Draft!BY:BY,0),1)&lt;=1,IF(FFARawStatProjections!A42=0,"",FFARawStatProjections!A42),"")</f>
        <v>Mike White</v>
      </c>
    </row>
    <row r="42" spans="1:110" x14ac:dyDescent="0.25">
      <c r="A42" s="196"/>
      <c r="B42" s="167" t="str">
        <f>IFERROR( INDEX(FFARawStatProjections!C:C,MATCH(C42,FFARawStatProjections!A:A,0)), "")</f>
        <v/>
      </c>
      <c r="C42" s="156">
        <f>IFERROR(IF(INDEX(Draft!BY:BY,MATCH(G42,Draft!BX:BX,0))="",G42,(INDEX(Draft!BY:BY,MATCH(G42,Draft!BX:BX,0)))),"")</f>
        <v>167</v>
      </c>
      <c r="D42" s="156" t="str">
        <f>IFERROR(INDEX(FFARawStatProjections!B:B,MATCH(C42,FFARawStatProjections!A:A,0)),"")</f>
        <v/>
      </c>
      <c r="E42" s="168" t="str">
        <f>IFERROR(INDEX(FFARawStatProjections!D:D,MATCH(C42,FFARawStatProjections!A:A,0)),"")</f>
        <v/>
      </c>
      <c r="F42" s="207">
        <f>VALUE($E$22&amp;14)</f>
        <v>214</v>
      </c>
      <c r="G42" s="207">
        <f>VLOOKUP($E$22&amp;14, 'Draft Pick Order'!B:C, 2, FALSE)</f>
        <v>167</v>
      </c>
      <c r="H42" s="197"/>
      <c r="I42" s="182" t="str">
        <f>IF(QBproj!D46=0,"",QBproj!D46)</f>
        <v>Gardner Minshew</v>
      </c>
      <c r="J42" s="290" t="str">
        <f>QBproj!E46</f>
        <v>IND</v>
      </c>
      <c r="K42" s="183">
        <f>QBproj!F46</f>
        <v>42.258400000000002</v>
      </c>
      <c r="L42" s="517">
        <f>IFERROR(IF(QBproj!H46="",QBproj!G46,QBproj!H46),0)</f>
        <v>8</v>
      </c>
      <c r="M42" s="504">
        <f>INDEX(Draft!$BW:$BW,MATCH(I42,Draft_Names_Master,0))</f>
        <v>0</v>
      </c>
      <c r="N42">
        <v>0.04</v>
      </c>
      <c r="O42">
        <f>IFERROR(IF(INDEX(Instructions!$V$64:$V$83,MATCH('Draft Slayer Classic'!I42,Instructions!$S$64:$S$83,0))&lt;=$E$25,1,0),0)</f>
        <v>0</v>
      </c>
      <c r="P42">
        <f>IFERROR(INDEX(ADP!$A$7:$A$260,MATCH(I42,ADP!$D$7:$D$260,0)),999+N42)</f>
        <v>999.04</v>
      </c>
      <c r="Q42">
        <f t="shared" si="0"/>
        <v>0.04</v>
      </c>
      <c r="R42">
        <f>IFERROR(INDEX(Instructions!$U$111:$U$222,MATCH(I42,Instructions!$T$111:$T$222,0)),0)</f>
        <v>0</v>
      </c>
      <c r="S42" s="197"/>
      <c r="T42" s="182" t="str">
        <f>RBproj!D46</f>
        <v>Raheem Mostert</v>
      </c>
      <c r="U42" s="290" t="str">
        <f>RBproj!E46</f>
        <v>MIA</v>
      </c>
      <c r="V42" s="183">
        <f>RBproj!F46</f>
        <v>122.27158000000001</v>
      </c>
      <c r="W42" s="517">
        <f>IFERROR(IF(RBproj!H46="",RBproj!G46,RBproj!H46),0)</f>
        <v>8</v>
      </c>
      <c r="X42" s="504">
        <f>INDEX(Draft!$BW:$BW,MATCH(T42,Draft_Names_Master,0))</f>
        <v>0</v>
      </c>
      <c r="Y42">
        <v>0.04</v>
      </c>
      <c r="Z42">
        <f>IFERROR(IF(INDEX(Instructions!$X$64:$X$83,MATCH('Draft Slayer Classic'!T42,Instructions!$T$64:$T$83,0))&lt;=$E$25,1,0),0)</f>
        <v>0</v>
      </c>
      <c r="AA42">
        <f>IFERROR(INDEX(ADP!$A$7:$A$260,MATCH(T42,ADP!$D$7:$D$260,0)),999+Y42)</f>
        <v>114</v>
      </c>
      <c r="AB42">
        <f t="shared" si="1"/>
        <v>0.04</v>
      </c>
      <c r="AC42">
        <f>IFERROR(INDEX(Instructions!$U$111:$U$222,MATCH(T42,Instructions!$T$111:$T$222,0)),0)</f>
        <v>0</v>
      </c>
      <c r="AD42" s="197"/>
      <c r="AE42" s="182" t="str">
        <f>WRproj!D46</f>
        <v>JuJu Smith-Schuster</v>
      </c>
      <c r="AF42" s="290" t="str">
        <f>WRproj!E46</f>
        <v>NE</v>
      </c>
      <c r="AG42" s="183">
        <f>WRproj!F46</f>
        <v>171.73347000000001</v>
      </c>
      <c r="AH42" s="517">
        <f>IFERROR(IF(WRproj!H46="",WRproj!G46,WRproj!H46),0)</f>
        <v>8</v>
      </c>
      <c r="AI42" s="503">
        <f>INDEX(Draft!$BW:$BW,MATCH(AE42,Draft_Names_Master,0))</f>
        <v>0</v>
      </c>
      <c r="AJ42">
        <v>0.04</v>
      </c>
      <c r="AK42">
        <f>IFERROR(IF(INDEX(Instructions!$V$86:$V$105,MATCH('Draft Slayer Classic'!AE42,Instructions!$S$86:$S$105,0))&lt;=$E$25,1,0),0)</f>
        <v>0</v>
      </c>
      <c r="AL42">
        <f>IFERROR(INDEX(ADP!$A$7:$A$260,MATCH(AE42,ADP!$D$7:$D$260,0)),999+AJ42)</f>
        <v>115</v>
      </c>
      <c r="AM42">
        <f t="shared" si="2"/>
        <v>0.04</v>
      </c>
      <c r="AN42">
        <f>IFERROR(INDEX(Instructions!$U$111:$U$222,MATCH(AE42,Instructions!$T$111:$T$222,0)),0)</f>
        <v>0</v>
      </c>
      <c r="AO42" s="197"/>
      <c r="AP42" s="182" t="str">
        <f>TEproj!D46</f>
        <v>Donald Parham</v>
      </c>
      <c r="AQ42" s="290" t="str">
        <f>TEproj!E46</f>
        <v>LAC</v>
      </c>
      <c r="AR42" s="183">
        <f>TEproj!F46</f>
        <v>48.876490000000004</v>
      </c>
      <c r="AS42" s="517">
        <f>IFERROR(IF(TEproj!H46="",TEproj!G46,TEproj!H46),0)</f>
        <v>8</v>
      </c>
      <c r="AT42" s="504">
        <f>INDEX(Draft!$BW:$BW,MATCH(AP42,Draft_Names_Master,0))</f>
        <v>0</v>
      </c>
      <c r="AU42">
        <v>0.04</v>
      </c>
      <c r="AV42">
        <f>IFERROR(IF(INDEX(Instructions!$X$86:$X$105,MATCH('Draft Slayer Classic'!AP42,Instructions!$T$86:$T$105,0))&lt;=$E$25,1,0),0)</f>
        <v>0</v>
      </c>
      <c r="AW42">
        <f>IFERROR(INDEX(ADP!$A$7:$A$260,MATCH(AP42,ADP!$D$7:$D$260,0)),999+AU42)</f>
        <v>999.04</v>
      </c>
      <c r="AX42">
        <f t="shared" si="3"/>
        <v>0.04</v>
      </c>
      <c r="AY42">
        <f>IFERROR(INDEX(Instructions!$U$111:$U$222,MATCH(AP42,Instructions!$T$111:$T$222,0)),0)</f>
        <v>0</v>
      </c>
      <c r="AZ42" s="197"/>
      <c r="BA42" s="197"/>
      <c r="BB42" s="216"/>
      <c r="BE42" s="197"/>
      <c r="BF42" s="197"/>
      <c r="BG42" s="216"/>
      <c r="BH42" s="216"/>
      <c r="BK42" s="203"/>
      <c r="BV42" t="str">
        <f>14&amp;6</f>
        <v>146</v>
      </c>
      <c r="BW42">
        <v>6</v>
      </c>
      <c r="BX42">
        <v>23</v>
      </c>
      <c r="BY42">
        <v>34</v>
      </c>
      <c r="BZ42">
        <v>51</v>
      </c>
      <c r="CA42">
        <v>62</v>
      </c>
      <c r="CB42">
        <v>79</v>
      </c>
      <c r="CC42">
        <v>90</v>
      </c>
      <c r="CD42">
        <v>107</v>
      </c>
      <c r="CE42">
        <v>118</v>
      </c>
      <c r="CF42">
        <v>135</v>
      </c>
      <c r="CG42">
        <v>146</v>
      </c>
      <c r="CH42">
        <v>163</v>
      </c>
      <c r="CI42">
        <v>174</v>
      </c>
      <c r="CJ42">
        <v>191</v>
      </c>
      <c r="CK42">
        <v>202</v>
      </c>
      <c r="CL42">
        <v>219</v>
      </c>
      <c r="CM42">
        <v>230</v>
      </c>
      <c r="CN42">
        <v>247</v>
      </c>
      <c r="CO42">
        <v>258</v>
      </c>
      <c r="CP42">
        <v>275</v>
      </c>
      <c r="CQ42">
        <v>286</v>
      </c>
      <c r="CR42">
        <v>303</v>
      </c>
      <c r="CS42">
        <v>314</v>
      </c>
      <c r="CT42">
        <v>331</v>
      </c>
      <c r="CU42">
        <v>342</v>
      </c>
      <c r="DE42">
        <v>40</v>
      </c>
      <c r="DF42" t="str">
        <f>IF(IFERROR(MATCH(FFARawStatProjections!A43,Draft!BY:BY,0),1)&lt;=1,IF(FFARawStatProjections!A43=0,"",FFARawStatProjections!A43),"")</f>
        <v>Bailey Zappe</v>
      </c>
    </row>
    <row r="43" spans="1:110" x14ac:dyDescent="0.25">
      <c r="A43" s="196"/>
      <c r="B43" s="169" t="str">
        <f>IFERROR( INDEX(FFARawStatProjections!C:C,MATCH(C43,FFARawStatProjections!A:A,0)), "")</f>
        <v/>
      </c>
      <c r="C43" s="150">
        <f>IFERROR(IF(INDEX(Draft!BY:BY,MATCH(G43,Draft!BX:BX,0))="",G43,(INDEX(Draft!BY:BY,MATCH(G43,Draft!BX:BX,0)))),"")</f>
        <v>170</v>
      </c>
      <c r="D43" s="150" t="str">
        <f>IFERROR(INDEX(FFARawStatProjections!B:B,MATCH(C43,FFARawStatProjections!A:A,0)),"")</f>
        <v/>
      </c>
      <c r="E43" s="170" t="str">
        <f>IFERROR(INDEX(FFARawStatProjections!D:D,MATCH(C43,FFARawStatProjections!A:A,0)),"")</f>
        <v/>
      </c>
      <c r="F43" s="207">
        <f>VALUE($E$22&amp;15)</f>
        <v>215</v>
      </c>
      <c r="G43" s="207">
        <f>VLOOKUP($E$22&amp;15, 'Draft Pick Order'!B:C, 2, FALSE)</f>
        <v>170</v>
      </c>
      <c r="H43" s="197"/>
      <c r="I43" s="180" t="str">
        <f>IF(QBproj!D47=0,"",QBproj!D47)</f>
        <v>Mike White</v>
      </c>
      <c r="J43" s="461" t="str">
        <f>QBproj!E47</f>
        <v>MIA</v>
      </c>
      <c r="K43" s="184">
        <f>QBproj!F47</f>
        <v>34.406410000000001</v>
      </c>
      <c r="L43" s="517">
        <f>IFERROR(IF(QBproj!H47="",QBproj!G47,QBproj!H47),0)</f>
        <v>8</v>
      </c>
      <c r="M43" s="503">
        <f>INDEX(Draft!$BW:$BW,MATCH(I43,Draft_Names_Master,0))</f>
        <v>0</v>
      </c>
      <c r="N43">
        <v>4.1000000000000002E-2</v>
      </c>
      <c r="O43">
        <f>IFERROR(IF(INDEX(Instructions!$V$64:$V$83,MATCH('Draft Slayer Classic'!I43,Instructions!$S$64:$S$83,0))&lt;=$E$25,1,0),0)</f>
        <v>0</v>
      </c>
      <c r="P43">
        <f>IFERROR(INDEX(ADP!$A$7:$A$260,MATCH(I43,ADP!$D$7:$D$260,0)),999+N43)</f>
        <v>999.04100000000005</v>
      </c>
      <c r="Q43">
        <f t="shared" si="0"/>
        <v>4.1000000000000002E-2</v>
      </c>
      <c r="R43">
        <f>IFERROR(INDEX(Instructions!$U$111:$U$222,MATCH(I43,Instructions!$T$111:$T$222,0)),0)</f>
        <v>0</v>
      </c>
      <c r="S43" s="197"/>
      <c r="T43" s="187" t="str">
        <f>RBproj!D47</f>
        <v>Zach Charbonnet</v>
      </c>
      <c r="U43" s="461" t="str">
        <f>RBproj!E47</f>
        <v>SEA</v>
      </c>
      <c r="V43" s="184">
        <f>RBproj!F47</f>
        <v>121.95167000000001</v>
      </c>
      <c r="W43" s="517">
        <f>IFERROR(IF(RBproj!H47="",RBproj!G47,RBproj!H47),0)</f>
        <v>8</v>
      </c>
      <c r="X43" s="504">
        <f>INDEX(Draft!$BW:$BW,MATCH(T43,Draft_Names_Master,0))</f>
        <v>0</v>
      </c>
      <c r="Y43">
        <v>4.1000000000000002E-2</v>
      </c>
      <c r="Z43">
        <f>IFERROR(IF(INDEX(Instructions!$X$64:$X$83,MATCH('Draft Slayer Classic'!T43,Instructions!$T$64:$T$83,0))&lt;=$E$25,1,0),0)</f>
        <v>0</v>
      </c>
      <c r="AA43">
        <f>IFERROR(INDEX(ADP!$A$7:$A$260,MATCH(T43,ADP!$D$7:$D$260,0)),999+Y43)</f>
        <v>99</v>
      </c>
      <c r="AB43">
        <f t="shared" si="1"/>
        <v>4.1000000000000002E-2</v>
      </c>
      <c r="AC43">
        <f>IFERROR(INDEX(Instructions!$U$111:$U$222,MATCH(T43,Instructions!$T$111:$T$222,0)),0)</f>
        <v>0</v>
      </c>
      <c r="AD43" s="197"/>
      <c r="AE43" s="187" t="str">
        <f>WRproj!D47</f>
        <v>Treylon Burks</v>
      </c>
      <c r="AF43" s="461" t="str">
        <f>WRproj!E47</f>
        <v>TEN</v>
      </c>
      <c r="AG43" s="184">
        <f>WRproj!F47</f>
        <v>171.25357</v>
      </c>
      <c r="AH43" s="517">
        <f>IFERROR(IF(WRproj!H47="",WRproj!G47,WRproj!H47),0)</f>
        <v>8</v>
      </c>
      <c r="AI43" s="503">
        <f>INDEX(Draft!$BW:$BW,MATCH(AE43,Draft_Names_Master,0))</f>
        <v>0</v>
      </c>
      <c r="AJ43">
        <v>4.1000000000000002E-2</v>
      </c>
      <c r="AK43">
        <f>IFERROR(IF(INDEX(Instructions!$V$86:$V$105,MATCH('Draft Slayer Classic'!AE43,Instructions!$S$86:$S$105,0))&lt;=$E$25,1,0),0)</f>
        <v>0</v>
      </c>
      <c r="AL43">
        <f>IFERROR(INDEX(ADP!$A$7:$A$260,MATCH(AE43,ADP!$D$7:$D$260,0)),999+AJ43)</f>
        <v>94</v>
      </c>
      <c r="AM43">
        <f t="shared" si="2"/>
        <v>4.1000000000000002E-2</v>
      </c>
      <c r="AN43">
        <f>IFERROR(INDEX(Instructions!$U$111:$U$222,MATCH(AE43,Instructions!$T$111:$T$222,0)),0)</f>
        <v>0</v>
      </c>
      <c r="AO43" s="197"/>
      <c r="AP43" s="187" t="str">
        <f>TEproj!D47</f>
        <v>Jonnu Smith</v>
      </c>
      <c r="AQ43" s="461" t="str">
        <f>TEproj!E47</f>
        <v>ATL</v>
      </c>
      <c r="AR43" s="184">
        <f>TEproj!F47</f>
        <v>48.136480000000006</v>
      </c>
      <c r="AS43" s="517">
        <f>IFERROR(IF(TEproj!H47="",TEproj!G47,TEproj!H47),0)</f>
        <v>8</v>
      </c>
      <c r="AT43" s="503">
        <f>INDEX(Draft!$BW:$BW,MATCH(AP43,Draft_Names_Master,0))</f>
        <v>0</v>
      </c>
      <c r="AU43">
        <v>4.1000000000000002E-2</v>
      </c>
      <c r="AV43">
        <f>IFERROR(IF(INDEX(Instructions!$X$86:$X$105,MATCH('Draft Slayer Classic'!AP43,Instructions!$T$86:$T$105,0))&lt;=$E$25,1,0),0)</f>
        <v>0</v>
      </c>
      <c r="AW43">
        <f>IFERROR(INDEX(ADP!$A$7:$A$260,MATCH(AP43,ADP!$D$7:$D$260,0)),999+AU43)</f>
        <v>999.04100000000005</v>
      </c>
      <c r="AX43">
        <f t="shared" si="3"/>
        <v>4.1000000000000002E-2</v>
      </c>
      <c r="AY43">
        <f>IFERROR(INDEX(Instructions!$U$111:$U$222,MATCH(AP43,Instructions!$T$111:$T$222,0)),0)</f>
        <v>0</v>
      </c>
      <c r="AZ43" s="197"/>
      <c r="BA43" s="197"/>
      <c r="BB43" s="216"/>
      <c r="BE43" s="197"/>
      <c r="BF43" s="197"/>
      <c r="BG43" s="216"/>
      <c r="BH43" s="216"/>
      <c r="BK43" s="203"/>
      <c r="BV43" t="str">
        <f>14&amp;7</f>
        <v>147</v>
      </c>
      <c r="BW43">
        <v>7</v>
      </c>
      <c r="BX43">
        <v>22</v>
      </c>
      <c r="BY43">
        <v>35</v>
      </c>
      <c r="BZ43">
        <v>50</v>
      </c>
      <c r="CA43">
        <v>63</v>
      </c>
      <c r="CB43">
        <v>78</v>
      </c>
      <c r="CC43">
        <v>91</v>
      </c>
      <c r="CD43">
        <v>106</v>
      </c>
      <c r="CE43">
        <v>119</v>
      </c>
      <c r="CF43">
        <v>134</v>
      </c>
      <c r="CG43">
        <v>147</v>
      </c>
      <c r="CH43">
        <v>162</v>
      </c>
      <c r="CI43">
        <v>175</v>
      </c>
      <c r="CJ43">
        <v>190</v>
      </c>
      <c r="CK43">
        <v>203</v>
      </c>
      <c r="CL43">
        <v>218</v>
      </c>
      <c r="CM43">
        <v>231</v>
      </c>
      <c r="CN43">
        <v>246</v>
      </c>
      <c r="CO43">
        <v>259</v>
      </c>
      <c r="CP43">
        <v>274</v>
      </c>
      <c r="CQ43">
        <v>287</v>
      </c>
      <c r="CR43">
        <v>302</v>
      </c>
      <c r="CS43">
        <v>315</v>
      </c>
      <c r="CT43">
        <v>330</v>
      </c>
      <c r="CU43">
        <v>343</v>
      </c>
      <c r="DE43">
        <v>41</v>
      </c>
      <c r="DF43" t="str">
        <f>IF(IFERROR(MATCH(FFARawStatProjections!A44,Draft!BY:BY,0),1)&lt;=1,IF(FFARawStatProjections!A44=0,"",FFARawStatProjections!A44),"")</f>
        <v>Clayton Tune</v>
      </c>
    </row>
    <row r="44" spans="1:110" x14ac:dyDescent="0.25">
      <c r="A44" s="196"/>
      <c r="B44" s="167" t="str">
        <f>IFERROR( INDEX(FFARawStatProjections!C:C,MATCH(C44,FFARawStatProjections!A:A,0)), "")</f>
        <v/>
      </c>
      <c r="C44" s="537">
        <f>IFERROR(IF(INDEX(Draft!BY:BY,MATCH(G44,Draft!BX:BX,0))="",G44,(INDEX(Draft!BY:BY,MATCH(G44,Draft!BX:BX,0)))),"")</f>
        <v>191</v>
      </c>
      <c r="D44" s="537" t="str">
        <f>IFERROR(INDEX(FFARawStatProjections!B:B,MATCH(C44,FFARawStatProjections!A:A,0)),"")</f>
        <v/>
      </c>
      <c r="E44" s="168" t="str">
        <f>IFERROR(INDEX(FFARawStatProjections!D:D,MATCH(C44,FFARawStatProjections!A:A,0)),"")</f>
        <v/>
      </c>
      <c r="F44" s="207">
        <f>VALUE($E$22&amp;16)</f>
        <v>216</v>
      </c>
      <c r="G44" s="207">
        <f>VLOOKUP($E$22&amp;16, 'Draft Pick Order'!B:C, 2, FALSE)</f>
        <v>191</v>
      </c>
      <c r="H44" s="197"/>
      <c r="I44" s="182" t="str">
        <f>IF(QBproj!D48=0,"",QBproj!D48)</f>
        <v>Bailey Zappe</v>
      </c>
      <c r="J44" s="290" t="str">
        <f>QBproj!E48</f>
        <v>NE</v>
      </c>
      <c r="K44" s="183">
        <f>QBproj!F48</f>
        <v>32.79242</v>
      </c>
      <c r="L44" s="517">
        <f>IFERROR(IF(QBproj!H48="",QBproj!G48,QBproj!H48),0)</f>
        <v>8</v>
      </c>
      <c r="M44" s="504">
        <f>INDEX(Draft!$BW:$BW,MATCH(I44,Draft_Names_Master,0))</f>
        <v>0</v>
      </c>
      <c r="N44">
        <v>4.2000000000000003E-2</v>
      </c>
      <c r="O44">
        <f>IFERROR(IF(INDEX(Instructions!$V$64:$V$83,MATCH('Draft Slayer Classic'!I44,Instructions!$S$64:$S$83,0))&lt;=$E$25,1,0),0)</f>
        <v>0</v>
      </c>
      <c r="P44">
        <f>IFERROR(INDEX(ADP!$A$7:$A$260,MATCH(I44,ADP!$D$7:$D$260,0)),999+N44)</f>
        <v>999.04200000000003</v>
      </c>
      <c r="Q44">
        <f t="shared" si="0"/>
        <v>4.2000000000000003E-2</v>
      </c>
      <c r="R44">
        <f>IFERROR(INDEX(Instructions!$U$111:$U$222,MATCH(I44,Instructions!$T$111:$T$222,0)),0)</f>
        <v>0</v>
      </c>
      <c r="S44" s="197"/>
      <c r="T44" s="182" t="str">
        <f>RBproj!D48</f>
        <v>Elijah Mitchell</v>
      </c>
      <c r="U44" s="290" t="str">
        <f>RBproj!E48</f>
        <v>SF</v>
      </c>
      <c r="V44" s="183">
        <f>RBproj!F48</f>
        <v>121.17152</v>
      </c>
      <c r="W44" s="517">
        <f>IFERROR(IF(RBproj!H48="",RBproj!G48,RBproj!H48),0)</f>
        <v>8</v>
      </c>
      <c r="X44" s="504">
        <f>INDEX(Draft!$BW:$BW,MATCH(T44,Draft_Names_Master,0))</f>
        <v>0</v>
      </c>
      <c r="Y44">
        <v>4.2000000000000003E-2</v>
      </c>
      <c r="Z44">
        <f>IFERROR(IF(INDEX(Instructions!$X$64:$X$83,MATCH('Draft Slayer Classic'!T44,Instructions!$T$64:$T$83,0))&lt;=$E$25,1,0),0)</f>
        <v>0</v>
      </c>
      <c r="AA44">
        <f>IFERROR(INDEX(ADP!$A$7:$A$260,MATCH(T44,ADP!$D$7:$D$260,0)),999+Y44)</f>
        <v>104</v>
      </c>
      <c r="AB44">
        <f t="shared" si="1"/>
        <v>4.2000000000000003E-2</v>
      </c>
      <c r="AC44">
        <f>IFERROR(INDEX(Instructions!$U$111:$U$222,MATCH(T44,Instructions!$T$111:$T$222,0)),0)</f>
        <v>0</v>
      </c>
      <c r="AD44" s="197"/>
      <c r="AE44" s="182" t="str">
        <f>WRproj!D48</f>
        <v>Jaxon Smith-Njigba</v>
      </c>
      <c r="AF44" s="290" t="str">
        <f>WRproj!E48</f>
        <v>SEA</v>
      </c>
      <c r="AG44" s="183">
        <f>WRproj!F48</f>
        <v>167.99355</v>
      </c>
      <c r="AH44" s="517">
        <f>IFERROR(IF(WRproj!H48="",WRproj!G48,WRproj!H48),0)</f>
        <v>8</v>
      </c>
      <c r="AI44" s="503">
        <f>INDEX(Draft!$BW:$BW,MATCH(AE44,Draft_Names_Master,0))</f>
        <v>0</v>
      </c>
      <c r="AJ44">
        <v>4.2000000000000003E-2</v>
      </c>
      <c r="AK44">
        <f>IFERROR(IF(INDEX(Instructions!$V$86:$V$105,MATCH('Draft Slayer Classic'!AE44,Instructions!$S$86:$S$105,0))&lt;=$E$25,1,0),0)</f>
        <v>0</v>
      </c>
      <c r="AL44">
        <f>IFERROR(INDEX(ADP!$A$7:$A$260,MATCH(AE44,ADP!$D$7:$D$260,0)),999+AJ44)</f>
        <v>91</v>
      </c>
      <c r="AM44">
        <f t="shared" si="2"/>
        <v>4.2000000000000003E-2</v>
      </c>
      <c r="AN44">
        <f>IFERROR(INDEX(Instructions!$U$111:$U$222,MATCH(AE44,Instructions!$T$111:$T$222,0)),0)</f>
        <v>0</v>
      </c>
      <c r="AO44" s="197"/>
      <c r="AP44" s="182" t="str">
        <f>TEproj!D48</f>
        <v>Foster Moreau</v>
      </c>
      <c r="AQ44" s="290" t="str">
        <f>TEproj!E48</f>
        <v>NO</v>
      </c>
      <c r="AR44" s="183">
        <f>TEproj!F48</f>
        <v>47.436529999999998</v>
      </c>
      <c r="AS44" s="517">
        <f>IFERROR(IF(TEproj!H48="",TEproj!G48,TEproj!H48),0)</f>
        <v>8</v>
      </c>
      <c r="AT44" s="504">
        <f>INDEX(Draft!$BW:$BW,MATCH(AP44,Draft_Names_Master,0))</f>
        <v>0</v>
      </c>
      <c r="AU44">
        <v>4.2000000000000003E-2</v>
      </c>
      <c r="AV44">
        <f>IFERROR(IF(INDEX(Instructions!$X$86:$X$105,MATCH('Draft Slayer Classic'!AP44,Instructions!$T$86:$T$105,0))&lt;=$E$25,1,0),0)</f>
        <v>0</v>
      </c>
      <c r="AW44">
        <f>IFERROR(INDEX(ADP!$A$7:$A$260,MATCH(AP44,ADP!$D$7:$D$260,0)),999+AU44)</f>
        <v>999.04200000000003</v>
      </c>
      <c r="AX44">
        <f t="shared" si="3"/>
        <v>4.2000000000000003E-2</v>
      </c>
      <c r="AY44">
        <f>IFERROR(INDEX(Instructions!$U$111:$U$222,MATCH(AP44,Instructions!$T$111:$T$222,0)),0)</f>
        <v>0</v>
      </c>
      <c r="AZ44" s="197"/>
      <c r="BA44" s="197"/>
      <c r="BB44" s="216"/>
      <c r="BE44" s="197"/>
      <c r="BF44" s="197"/>
      <c r="BG44" s="216"/>
      <c r="BH44" s="216"/>
      <c r="BK44" s="203"/>
      <c r="BV44" t="str">
        <f>14&amp;8</f>
        <v>148</v>
      </c>
      <c r="BW44">
        <v>8</v>
      </c>
      <c r="BX44">
        <v>21</v>
      </c>
      <c r="BY44">
        <v>36</v>
      </c>
      <c r="BZ44">
        <v>49</v>
      </c>
      <c r="CA44">
        <v>64</v>
      </c>
      <c r="CB44">
        <v>77</v>
      </c>
      <c r="CC44">
        <v>92</v>
      </c>
      <c r="CD44">
        <v>105</v>
      </c>
      <c r="CE44">
        <v>120</v>
      </c>
      <c r="CF44">
        <v>133</v>
      </c>
      <c r="CG44">
        <v>148</v>
      </c>
      <c r="CH44">
        <v>161</v>
      </c>
      <c r="CI44">
        <v>176</v>
      </c>
      <c r="CJ44">
        <v>189</v>
      </c>
      <c r="CK44">
        <v>204</v>
      </c>
      <c r="CL44">
        <v>217</v>
      </c>
      <c r="CM44">
        <v>232</v>
      </c>
      <c r="CN44">
        <v>245</v>
      </c>
      <c r="CO44">
        <v>260</v>
      </c>
      <c r="CP44">
        <v>273</v>
      </c>
      <c r="CQ44">
        <v>288</v>
      </c>
      <c r="CR44">
        <v>301</v>
      </c>
      <c r="CS44">
        <v>316</v>
      </c>
      <c r="CT44">
        <v>329</v>
      </c>
      <c r="CU44">
        <v>344</v>
      </c>
      <c r="DE44">
        <v>42</v>
      </c>
      <c r="DF44" t="str">
        <f>IF(IFERROR(MATCH(FFARawStatProjections!A45,Draft!BY:BY,0),1)&lt;=1,IF(FFARawStatProjections!A45=0,"",FFARawStatProjections!A45),"")</f>
        <v>Sam Darnold</v>
      </c>
    </row>
    <row r="45" spans="1:110" ht="15" customHeight="1" x14ac:dyDescent="0.25">
      <c r="A45" s="196"/>
      <c r="B45" s="169" t="str">
        <f>IFERROR( INDEX(FFARawStatProjections!C:C,MATCH(C45,FFARawStatProjections!A:A,0)), "")</f>
        <v/>
      </c>
      <c r="C45" s="539">
        <f>IFERROR(IF(INDEX(Draft!BY:BY,MATCH(G45,Draft!BX:BX,0))="",G45,(INDEX(Draft!BY:BY,MATCH(G45,Draft!BX:BX,0)))),"")</f>
        <v>194</v>
      </c>
      <c r="D45" s="539" t="str">
        <f>IFERROR(INDEX(FFARawStatProjections!B:B,MATCH(C45,FFARawStatProjections!A:A,0)),"")</f>
        <v/>
      </c>
      <c r="E45" s="170" t="str">
        <f>IFERROR(INDEX(FFARawStatProjections!D:D,MATCH(C45,FFARawStatProjections!A:A,0)),"")</f>
        <v/>
      </c>
      <c r="F45" s="207">
        <f>VALUE($E$22&amp;17)</f>
        <v>217</v>
      </c>
      <c r="G45" s="207">
        <f>VLOOKUP($E$22&amp;17, 'Draft Pick Order'!B:C, 2, FALSE)</f>
        <v>194</v>
      </c>
      <c r="H45" s="197"/>
      <c r="I45" s="180" t="str">
        <f>IF(QBproj!D49=0,"",QBproj!D49)</f>
        <v>Clayton Tune</v>
      </c>
      <c r="J45" s="461" t="str">
        <f>QBproj!E49</f>
        <v>AZ</v>
      </c>
      <c r="K45" s="184">
        <f>QBproj!F49</f>
        <v>32.288430000000005</v>
      </c>
      <c r="L45" s="517">
        <f>IFERROR(IF(QBproj!H49="",QBproj!G49,QBproj!H49),0)</f>
        <v>8</v>
      </c>
      <c r="M45" s="503">
        <f>INDEX(Draft!$BW:$BW,MATCH(I45,Draft_Names_Master,0))</f>
        <v>0</v>
      </c>
      <c r="N45">
        <v>4.2999999999999997E-2</v>
      </c>
      <c r="O45">
        <f>IFERROR(IF(INDEX(Instructions!$V$64:$V$83,MATCH('Draft Slayer Classic'!I45,Instructions!$S$64:$S$83,0))&lt;=$E$25,1,0),0)</f>
        <v>0</v>
      </c>
      <c r="P45">
        <f>IFERROR(INDEX(ADP!$A$7:$A$260,MATCH(I45,ADP!$D$7:$D$260,0)),999+N45)</f>
        <v>999.04300000000001</v>
      </c>
      <c r="Q45">
        <f t="shared" si="0"/>
        <v>4.2999999999999997E-2</v>
      </c>
      <c r="R45">
        <f>IFERROR(INDEX(Instructions!$U$111:$U$222,MATCH(I45,Instructions!$T$111:$T$222,0)),0)</f>
        <v>0</v>
      </c>
      <c r="S45" s="197"/>
      <c r="T45" s="187" t="str">
        <f>RBproj!D49</f>
        <v>Tyler Allgeier</v>
      </c>
      <c r="U45" s="461" t="str">
        <f>RBproj!E49</f>
        <v>ATL</v>
      </c>
      <c r="V45" s="184">
        <f>RBproj!F49</f>
        <v>116.11154999999999</v>
      </c>
      <c r="W45" s="517">
        <f>IFERROR(IF(RBproj!H49="",RBproj!G49,RBproj!H49),0)</f>
        <v>8</v>
      </c>
      <c r="X45" s="504">
        <f>INDEX(Draft!$BW:$BW,MATCH(T45,Draft_Names_Master,0))</f>
        <v>0</v>
      </c>
      <c r="Y45">
        <v>4.2999999999999997E-2</v>
      </c>
      <c r="Z45">
        <f>IFERROR(IF(INDEX(Instructions!$X$64:$X$83,MATCH('Draft Slayer Classic'!T45,Instructions!$T$64:$T$83,0))&lt;=$E$25,1,0),0)</f>
        <v>0</v>
      </c>
      <c r="AA45">
        <f>IFERROR(INDEX(ADP!$A$7:$A$260,MATCH(T45,ADP!$D$7:$D$260,0)),999+Y45)</f>
        <v>111</v>
      </c>
      <c r="AB45">
        <f t="shared" si="1"/>
        <v>4.2999999999999997E-2</v>
      </c>
      <c r="AC45">
        <f>IFERROR(INDEX(Instructions!$U$111:$U$222,MATCH(T45,Instructions!$T$111:$T$222,0)),0)</f>
        <v>0</v>
      </c>
      <c r="AD45" s="197"/>
      <c r="AE45" s="187" t="str">
        <f>WRproj!D49</f>
        <v>Michael Thomas</v>
      </c>
      <c r="AF45" s="461" t="str">
        <f>WRproj!E49</f>
        <v>NO</v>
      </c>
      <c r="AG45" s="184">
        <f>WRproj!F49</f>
        <v>167.52353999999997</v>
      </c>
      <c r="AH45" s="517">
        <f>IFERROR(IF(WRproj!H49="",WRproj!G49,WRproj!H49),0)</f>
        <v>8</v>
      </c>
      <c r="AI45" s="503">
        <f>INDEX(Draft!$BW:$BW,MATCH(AE45,Draft_Names_Master,0))</f>
        <v>0</v>
      </c>
      <c r="AJ45">
        <v>4.2999999999999997E-2</v>
      </c>
      <c r="AK45">
        <f>IFERROR(IF(INDEX(Instructions!$V$86:$V$105,MATCH('Draft Slayer Classic'!AE45,Instructions!$S$86:$S$105,0))&lt;=$E$25,1,0),0)</f>
        <v>0</v>
      </c>
      <c r="AL45">
        <f>IFERROR(INDEX(ADP!$A$7:$A$260,MATCH(AE45,ADP!$D$7:$D$260,0)),999+AJ45)</f>
        <v>110</v>
      </c>
      <c r="AM45">
        <f t="shared" si="2"/>
        <v>4.2999999999999997E-2</v>
      </c>
      <c r="AN45">
        <f>IFERROR(INDEX(Instructions!$U$111:$U$222,MATCH(AE45,Instructions!$T$111:$T$222,0)),0)</f>
        <v>0</v>
      </c>
      <c r="AO45" s="197"/>
      <c r="AP45" s="187" t="str">
        <f>TEproj!D49</f>
        <v>Robert Tonyan</v>
      </c>
      <c r="AQ45" s="461" t="str">
        <f>TEproj!E49</f>
        <v>CHI</v>
      </c>
      <c r="AR45" s="184">
        <f>TEproj!F49</f>
        <v>47.116500000000002</v>
      </c>
      <c r="AS45" s="517">
        <f>IFERROR(IF(TEproj!H49="",TEproj!G49,TEproj!H49),0)</f>
        <v>8</v>
      </c>
      <c r="AT45" s="503">
        <f>INDEX(Draft!$BW:$BW,MATCH(AP45,Draft_Names_Master,0))</f>
        <v>0</v>
      </c>
      <c r="AU45">
        <v>4.2999999999999997E-2</v>
      </c>
      <c r="AV45">
        <f>IFERROR(IF(INDEX(Instructions!$X$86:$X$105,MATCH('Draft Slayer Classic'!AP45,Instructions!$T$86:$T$105,0))&lt;=$E$25,1,0),0)</f>
        <v>0</v>
      </c>
      <c r="AW45">
        <f>IFERROR(INDEX(ADP!$A$7:$A$260,MATCH(AP45,ADP!$D$7:$D$260,0)),999+AU45)</f>
        <v>999.04300000000001</v>
      </c>
      <c r="AX45">
        <f t="shared" si="3"/>
        <v>4.2999999999999997E-2</v>
      </c>
      <c r="AY45">
        <f>IFERROR(INDEX(Instructions!$U$111:$U$222,MATCH(AP45,Instructions!$T$111:$T$222,0)),0)</f>
        <v>0</v>
      </c>
      <c r="AZ45" s="197"/>
      <c r="BA45" s="197"/>
      <c r="BB45" s="216"/>
      <c r="BE45" s="197"/>
      <c r="BF45" s="197"/>
      <c r="BG45" s="216"/>
      <c r="BH45" s="216"/>
      <c r="BK45" s="203"/>
      <c r="BV45" t="str">
        <f>14&amp;9</f>
        <v>149</v>
      </c>
      <c r="BW45">
        <v>9</v>
      </c>
      <c r="BX45">
        <v>20</v>
      </c>
      <c r="BY45">
        <v>37</v>
      </c>
      <c r="BZ45">
        <v>48</v>
      </c>
      <c r="CA45">
        <v>65</v>
      </c>
      <c r="CB45">
        <v>76</v>
      </c>
      <c r="CC45">
        <v>93</v>
      </c>
      <c r="CD45">
        <v>104</v>
      </c>
      <c r="CE45">
        <v>121</v>
      </c>
      <c r="CF45">
        <v>132</v>
      </c>
      <c r="CG45">
        <v>149</v>
      </c>
      <c r="CH45">
        <v>160</v>
      </c>
      <c r="CI45">
        <v>177</v>
      </c>
      <c r="CJ45">
        <v>188</v>
      </c>
      <c r="CK45">
        <v>205</v>
      </c>
      <c r="CL45">
        <v>216</v>
      </c>
      <c r="CM45">
        <v>233</v>
      </c>
      <c r="CN45">
        <v>244</v>
      </c>
      <c r="CO45">
        <v>261</v>
      </c>
      <c r="CP45">
        <v>272</v>
      </c>
      <c r="CQ45">
        <v>289</v>
      </c>
      <c r="CR45">
        <v>300</v>
      </c>
      <c r="CS45">
        <v>317</v>
      </c>
      <c r="CT45">
        <v>328</v>
      </c>
      <c r="CU45">
        <v>345</v>
      </c>
      <c r="DE45">
        <v>43</v>
      </c>
      <c r="DF45" t="str">
        <f>IF(IFERROR(MATCH(FFARawStatProjections!A46,Draft!BY:BY,0),1)&lt;=1,IF(FFARawStatProjections!A46=0,"",FFARawStatProjections!A46),"")</f>
        <v>Davis Mills</v>
      </c>
    </row>
    <row r="46" spans="1:110" x14ac:dyDescent="0.25">
      <c r="A46" s="196"/>
      <c r="B46" s="167" t="str">
        <f>IFERROR( INDEX(FFARawStatProjections!C:C,MATCH(C46,FFARawStatProjections!A:A,0)), "")</f>
        <v/>
      </c>
      <c r="C46" s="537">
        <f>IFERROR(IF(INDEX(Draft!BY:BY,MATCH(G46,Draft!BX:BX,0))="",G46,(INDEX(Draft!BY:BY,MATCH(G46,Draft!BX:BX,0)))),"")</f>
        <v>215</v>
      </c>
      <c r="D46" s="537" t="str">
        <f>IFERROR(INDEX(FFARawStatProjections!B:B,MATCH(C46,FFARawStatProjections!A:A,0)),"")</f>
        <v/>
      </c>
      <c r="E46" s="168" t="str">
        <f>IFERROR(INDEX(FFARawStatProjections!D:D,MATCH(C46,FFARawStatProjections!A:A,0)),"")</f>
        <v/>
      </c>
      <c r="F46" s="207">
        <f>VALUE($E$22&amp;18)</f>
        <v>218</v>
      </c>
      <c r="G46" s="207">
        <f>VLOOKUP($E$22&amp;18, 'Draft Pick Order'!B:C, 2, FALSE)</f>
        <v>215</v>
      </c>
      <c r="H46" s="197"/>
      <c r="I46" s="182" t="str">
        <f>IF(QBproj!D50=0,"",QBproj!D50)</f>
        <v>Sam Darnold</v>
      </c>
      <c r="J46" s="290" t="str">
        <f>QBproj!E50</f>
        <v>SF</v>
      </c>
      <c r="K46" s="183">
        <f>QBproj!F50</f>
        <v>28.948440000000002</v>
      </c>
      <c r="L46" s="517">
        <f>IFERROR(IF(QBproj!H50="",QBproj!G50,QBproj!H50),0)</f>
        <v>8</v>
      </c>
      <c r="M46" s="504">
        <f>INDEX(Draft!$BW:$BW,MATCH(I46,Draft_Names_Master,0))</f>
        <v>0</v>
      </c>
      <c r="N46">
        <v>4.3999999999999997E-2</v>
      </c>
      <c r="O46">
        <f>IFERROR(IF(INDEX(Instructions!$V$64:$V$83,MATCH('Draft Slayer Classic'!I46,Instructions!$S$64:$S$83,0))&lt;=$E$25,1,0),0)</f>
        <v>0</v>
      </c>
      <c r="P46">
        <f>IFERROR(INDEX(ADP!$A$7:$A$260,MATCH(I46,ADP!$D$7:$D$260,0)),999+N46)</f>
        <v>999.04399999999998</v>
      </c>
      <c r="Q46">
        <f t="shared" si="0"/>
        <v>4.3999999999999997E-2</v>
      </c>
      <c r="R46">
        <f>IFERROR(INDEX(Instructions!$U$111:$U$222,MATCH(I46,Instructions!$T$111:$T$222,0)),0)</f>
        <v>0</v>
      </c>
      <c r="S46" s="197"/>
      <c r="T46" s="182" t="str">
        <f>RBproj!D50</f>
        <v>Devin Singletary</v>
      </c>
      <c r="U46" s="290" t="str">
        <f>RBproj!E50</f>
        <v>HOU</v>
      </c>
      <c r="V46" s="183">
        <f>RBproj!F50</f>
        <v>115.05163</v>
      </c>
      <c r="W46" s="517">
        <f>IFERROR(IF(RBproj!H50="",RBproj!G50,RBproj!H50),0)</f>
        <v>8</v>
      </c>
      <c r="X46" s="504">
        <f>INDEX(Draft!$BW:$BW,MATCH(T46,Draft_Names_Master,0))</f>
        <v>0</v>
      </c>
      <c r="Y46">
        <v>4.3999999999999997E-2</v>
      </c>
      <c r="Z46">
        <f>IFERROR(IF(INDEX(Instructions!$X$64:$X$83,MATCH('Draft Slayer Classic'!T46,Instructions!$T$64:$T$83,0))&lt;=$E$25,1,0),0)</f>
        <v>0</v>
      </c>
      <c r="AA46">
        <f>IFERROR(INDEX(ADP!$A$7:$A$260,MATCH(T46,ADP!$D$7:$D$260,0)),999+Y46)</f>
        <v>126</v>
      </c>
      <c r="AB46">
        <f t="shared" si="1"/>
        <v>4.3999999999999997E-2</v>
      </c>
      <c r="AC46">
        <f>IFERROR(INDEX(Instructions!$U$111:$U$222,MATCH(T46,Instructions!$T$111:$T$222,0)),0)</f>
        <v>0</v>
      </c>
      <c r="AD46" s="197"/>
      <c r="AE46" s="182" t="str">
        <f>WRproj!D50</f>
        <v>Courtland Sutton</v>
      </c>
      <c r="AF46" s="290" t="str">
        <f>WRproj!E50</f>
        <v>DEN</v>
      </c>
      <c r="AG46" s="183">
        <f>WRproj!F50</f>
        <v>162.87356000000003</v>
      </c>
      <c r="AH46" s="517">
        <f>IFERROR(IF(WRproj!H50="",WRproj!G50,WRproj!H50),0)</f>
        <v>8</v>
      </c>
      <c r="AI46" s="503">
        <f>INDEX(Draft!$BW:$BW,MATCH(AE46,Draft_Names_Master,0))</f>
        <v>0</v>
      </c>
      <c r="AJ46">
        <v>4.3999999999999997E-2</v>
      </c>
      <c r="AK46">
        <f>IFERROR(IF(INDEX(Instructions!$V$86:$V$105,MATCH('Draft Slayer Classic'!AE46,Instructions!$S$86:$S$105,0))&lt;=$E$25,1,0),0)</f>
        <v>0</v>
      </c>
      <c r="AL46">
        <f>IFERROR(INDEX(ADP!$A$7:$A$260,MATCH(AE46,ADP!$D$7:$D$260,0)),999+AJ46)</f>
        <v>96</v>
      </c>
      <c r="AM46">
        <f t="shared" si="2"/>
        <v>4.3999999999999997E-2</v>
      </c>
      <c r="AN46">
        <f>IFERROR(INDEX(Instructions!$U$111:$U$222,MATCH(AE46,Instructions!$T$111:$T$222,0)),0)</f>
        <v>0</v>
      </c>
      <c r="AO46" s="197"/>
      <c r="AP46" s="182" t="str">
        <f>TEproj!D50</f>
        <v>Brock Wright</v>
      </c>
      <c r="AQ46" s="290" t="str">
        <f>TEproj!E50</f>
        <v>DET</v>
      </c>
      <c r="AR46" s="183">
        <f>TEproj!F50</f>
        <v>46.80659</v>
      </c>
      <c r="AS46" s="517">
        <f>IFERROR(IF(TEproj!H50="",TEproj!G50,TEproj!H50),0)</f>
        <v>8</v>
      </c>
      <c r="AT46" s="504">
        <f>INDEX(Draft!$BW:$BW,MATCH(AP46,Draft_Names_Master,0))</f>
        <v>0</v>
      </c>
      <c r="AU46">
        <v>4.3999999999999997E-2</v>
      </c>
      <c r="AV46">
        <f>IFERROR(IF(INDEX(Instructions!$X$86:$X$105,MATCH('Draft Slayer Classic'!AP46,Instructions!$T$86:$T$105,0))&lt;=$E$25,1,0),0)</f>
        <v>0</v>
      </c>
      <c r="AW46">
        <f>IFERROR(INDEX(ADP!$A$7:$A$260,MATCH(AP46,ADP!$D$7:$D$260,0)),999+AU46)</f>
        <v>999.04399999999998</v>
      </c>
      <c r="AX46">
        <f t="shared" si="3"/>
        <v>4.3999999999999997E-2</v>
      </c>
      <c r="AY46">
        <f>IFERROR(INDEX(Instructions!$U$111:$U$222,MATCH(AP46,Instructions!$T$111:$T$222,0)),0)</f>
        <v>0</v>
      </c>
      <c r="AZ46" s="197"/>
      <c r="BA46" s="197"/>
      <c r="BB46" s="216"/>
      <c r="BE46" s="197"/>
      <c r="BF46" s="197"/>
      <c r="BG46" s="216"/>
      <c r="BH46" s="216"/>
      <c r="BK46" s="203"/>
      <c r="BV46" t="str">
        <f>14&amp;10</f>
        <v>1410</v>
      </c>
      <c r="BW46">
        <v>10</v>
      </c>
      <c r="BX46">
        <v>19</v>
      </c>
      <c r="BY46">
        <v>38</v>
      </c>
      <c r="BZ46">
        <v>47</v>
      </c>
      <c r="CA46">
        <v>66</v>
      </c>
      <c r="CB46">
        <v>75</v>
      </c>
      <c r="CC46">
        <v>94</v>
      </c>
      <c r="CD46">
        <v>103</v>
      </c>
      <c r="CE46">
        <v>122</v>
      </c>
      <c r="CF46">
        <v>131</v>
      </c>
      <c r="CG46">
        <v>150</v>
      </c>
      <c r="CH46">
        <v>159</v>
      </c>
      <c r="CI46">
        <v>178</v>
      </c>
      <c r="CJ46">
        <v>187</v>
      </c>
      <c r="CK46">
        <v>206</v>
      </c>
      <c r="CL46">
        <v>215</v>
      </c>
      <c r="CM46">
        <v>234</v>
      </c>
      <c r="CN46">
        <v>243</v>
      </c>
      <c r="CO46">
        <v>262</v>
      </c>
      <c r="CP46">
        <v>271</v>
      </c>
      <c r="CQ46">
        <v>290</v>
      </c>
      <c r="CR46">
        <v>299</v>
      </c>
      <c r="CS46">
        <v>318</v>
      </c>
      <c r="CT46">
        <v>327</v>
      </c>
      <c r="CU46">
        <v>346</v>
      </c>
      <c r="DE46">
        <v>44</v>
      </c>
      <c r="DF46" t="str">
        <f>IF(IFERROR(MATCH(FFARawStatProjections!A47,Draft!BY:BY,0),1)&lt;=1,IF(FFARawStatProjections!A47=0,"",FFARawStatProjections!A47),"")</f>
        <v>Tyrod Taylor</v>
      </c>
    </row>
    <row r="47" spans="1:110" x14ac:dyDescent="0.25">
      <c r="A47" s="196"/>
      <c r="B47" s="169" t="str">
        <f>IFERROR( INDEX(FFARawStatProjections!C:C,MATCH(C47,FFARawStatProjections!A:A,0)), "")</f>
        <v/>
      </c>
      <c r="C47" s="150">
        <f>IFERROR(IF(INDEX(Draft!BY:BY,MATCH(G47,Draft!BX:BX,0))="",G47,(INDEX(Draft!BY:BY,MATCH(G47,Draft!BX:BX,0)))),"")</f>
        <v>218</v>
      </c>
      <c r="D47" s="150" t="str">
        <f>IFERROR(INDEX(FFARawStatProjections!B:B,MATCH(C47,FFARawStatProjections!A:A,0)),"")</f>
        <v/>
      </c>
      <c r="E47" s="170" t="str">
        <f>IFERROR(INDEX(FFARawStatProjections!D:D,MATCH(C47,FFARawStatProjections!A:A,0)),"")</f>
        <v/>
      </c>
      <c r="F47" s="207">
        <f>VALUE($E$22&amp;19)</f>
        <v>219</v>
      </c>
      <c r="G47" s="207">
        <f>VLOOKUP($E$22&amp;19, 'Draft Pick Order'!B:C, 2, FALSE)</f>
        <v>218</v>
      </c>
      <c r="H47" s="197"/>
      <c r="I47" s="180" t="str">
        <f>IF(QBproj!D51=0,"",QBproj!D51)</f>
        <v>Davis Mills</v>
      </c>
      <c r="J47" s="461" t="str">
        <f>QBproj!E51</f>
        <v>HOU</v>
      </c>
      <c r="K47" s="184">
        <f>QBproj!F51</f>
        <v>27.864450000000005</v>
      </c>
      <c r="L47" s="517">
        <f>IFERROR(IF(QBproj!H51="",QBproj!G51,QBproj!H51),0)</f>
        <v>8</v>
      </c>
      <c r="M47" s="503">
        <f>INDEX(Draft!$BW:$BW,MATCH(I47,Draft_Names_Master,0))</f>
        <v>0</v>
      </c>
      <c r="N47">
        <v>4.4999999999999998E-2</v>
      </c>
      <c r="O47">
        <f>IFERROR(IF(INDEX(Instructions!$V$64:$V$83,MATCH('Draft Slayer Classic'!I47,Instructions!$S$64:$S$83,0))&lt;=$E$25,1,0),0)</f>
        <v>0</v>
      </c>
      <c r="P47">
        <f>IFERROR(INDEX(ADP!$A$7:$A$260,MATCH(I47,ADP!$D$7:$D$260,0)),999+N47)</f>
        <v>999.04499999999996</v>
      </c>
      <c r="Q47">
        <f t="shared" si="0"/>
        <v>4.4999999999999998E-2</v>
      </c>
      <c r="R47">
        <f>IFERROR(INDEX(Instructions!$U$111:$U$222,MATCH(I47,Instructions!$T$111:$T$222,0)),0)</f>
        <v>0</v>
      </c>
      <c r="S47" s="197"/>
      <c r="T47" s="187" t="str">
        <f>RBproj!D51</f>
        <v>Ezekiel Elliott</v>
      </c>
      <c r="U47" s="461" t="str">
        <f>RBproj!E51</f>
        <v>NE</v>
      </c>
      <c r="V47" s="184">
        <f>RBproj!F51</f>
        <v>113.01155999999999</v>
      </c>
      <c r="W47" s="517">
        <f>IFERROR(IF(RBproj!H51="",RBproj!G51,RBproj!H51),0)</f>
        <v>8</v>
      </c>
      <c r="X47" s="504">
        <f>INDEX(Draft!$BW:$BW,MATCH(T47,Draft_Names_Master,0))</f>
        <v>0</v>
      </c>
      <c r="Y47">
        <v>4.4999999999999998E-2</v>
      </c>
      <c r="Z47">
        <f>IFERROR(IF(INDEX(Instructions!$X$64:$X$83,MATCH('Draft Slayer Classic'!T47,Instructions!$T$64:$T$83,0))&lt;=$E$25,1,0),0)</f>
        <v>0</v>
      </c>
      <c r="AA47">
        <f>IFERROR(INDEX(ADP!$A$7:$A$260,MATCH(T47,ADP!$D$7:$D$260,0)),999+Y47)</f>
        <v>999.04499999999996</v>
      </c>
      <c r="AB47">
        <f t="shared" si="1"/>
        <v>4.4999999999999998E-2</v>
      </c>
      <c r="AC47">
        <f>IFERROR(INDEX(Instructions!$U$111:$U$222,MATCH(T47,Instructions!$T$111:$T$222,0)),0)</f>
        <v>0</v>
      </c>
      <c r="AD47" s="197"/>
      <c r="AE47" s="187" t="str">
        <f>WRproj!D51</f>
        <v>Zay Flowers</v>
      </c>
      <c r="AF47" s="461" t="str">
        <f>WRproj!E51</f>
        <v>BAL</v>
      </c>
      <c r="AG47" s="184">
        <f>WRproj!F51</f>
        <v>161.22362000000001</v>
      </c>
      <c r="AH47" s="517">
        <f>IFERROR(IF(WRproj!H51="",WRproj!G51,WRproj!H51),0)</f>
        <v>8</v>
      </c>
      <c r="AI47" s="503">
        <f>INDEX(Draft!$BW:$BW,MATCH(AE47,Draft_Names_Master,0))</f>
        <v>0</v>
      </c>
      <c r="AJ47">
        <v>4.4999999999999998E-2</v>
      </c>
      <c r="AK47">
        <f>IFERROR(IF(INDEX(Instructions!$V$86:$V$105,MATCH('Draft Slayer Classic'!AE47,Instructions!$S$86:$S$105,0))&lt;=$E$25,1,0),0)</f>
        <v>0</v>
      </c>
      <c r="AL47">
        <f>IFERROR(INDEX(ADP!$A$7:$A$260,MATCH(AE47,ADP!$D$7:$D$260,0)),999+AJ47)</f>
        <v>108</v>
      </c>
      <c r="AM47">
        <f t="shared" si="2"/>
        <v>4.4999999999999998E-2</v>
      </c>
      <c r="AN47">
        <f>IFERROR(INDEX(Instructions!$U$111:$U$222,MATCH(AE47,Instructions!$T$111:$T$222,0)),0)</f>
        <v>0</v>
      </c>
      <c r="AO47" s="197"/>
      <c r="AP47" s="187" t="str">
        <f>TEproj!D51</f>
        <v>Adam Trautman</v>
      </c>
      <c r="AQ47" s="461" t="str">
        <f>TEproj!E51</f>
        <v>DEN</v>
      </c>
      <c r="AR47" s="184">
        <f>TEproj!F51</f>
        <v>46.676570000000005</v>
      </c>
      <c r="AS47" s="517">
        <f>IFERROR(IF(TEproj!H51="",TEproj!G51,TEproj!H51),0)</f>
        <v>8</v>
      </c>
      <c r="AT47" s="503">
        <f>INDEX(Draft!$BW:$BW,MATCH(AP47,Draft_Names_Master,0))</f>
        <v>0</v>
      </c>
      <c r="AU47">
        <v>4.4999999999999998E-2</v>
      </c>
      <c r="AV47">
        <f>IFERROR(IF(INDEX(Instructions!$X$86:$X$105,MATCH('Draft Slayer Classic'!AP47,Instructions!$T$86:$T$105,0))&lt;=$E$25,1,0),0)</f>
        <v>0</v>
      </c>
      <c r="AW47">
        <f>IFERROR(INDEX(ADP!$A$7:$A$260,MATCH(AP47,ADP!$D$7:$D$260,0)),999+AU47)</f>
        <v>999.04499999999996</v>
      </c>
      <c r="AX47">
        <f t="shared" si="3"/>
        <v>4.4999999999999998E-2</v>
      </c>
      <c r="AY47">
        <f>IFERROR(INDEX(Instructions!$U$111:$U$222,MATCH(AP47,Instructions!$T$111:$T$222,0)),0)</f>
        <v>0</v>
      </c>
      <c r="AZ47" s="197"/>
      <c r="BA47" s="197"/>
      <c r="BB47" s="216"/>
      <c r="BE47" s="197"/>
      <c r="BF47" s="216"/>
      <c r="BG47" s="216"/>
      <c r="BH47" s="216"/>
      <c r="BK47" s="203"/>
      <c r="BV47" t="str">
        <f>14&amp;11</f>
        <v>1411</v>
      </c>
      <c r="BW47">
        <v>11</v>
      </c>
      <c r="BX47">
        <v>18</v>
      </c>
      <c r="BY47">
        <v>39</v>
      </c>
      <c r="BZ47">
        <v>46</v>
      </c>
      <c r="CA47">
        <v>67</v>
      </c>
      <c r="CB47">
        <v>74</v>
      </c>
      <c r="CC47">
        <v>95</v>
      </c>
      <c r="CD47">
        <v>102</v>
      </c>
      <c r="CE47">
        <v>123</v>
      </c>
      <c r="CF47">
        <v>130</v>
      </c>
      <c r="CG47">
        <v>151</v>
      </c>
      <c r="CH47">
        <v>158</v>
      </c>
      <c r="CI47">
        <v>179</v>
      </c>
      <c r="CJ47">
        <v>186</v>
      </c>
      <c r="CK47">
        <v>207</v>
      </c>
      <c r="CL47">
        <v>214</v>
      </c>
      <c r="CM47">
        <v>235</v>
      </c>
      <c r="CN47">
        <v>242</v>
      </c>
      <c r="CO47">
        <v>263</v>
      </c>
      <c r="CP47">
        <v>270</v>
      </c>
      <c r="CQ47">
        <v>291</v>
      </c>
      <c r="CR47">
        <v>298</v>
      </c>
      <c r="CS47">
        <v>319</v>
      </c>
      <c r="CT47">
        <v>326</v>
      </c>
      <c r="CU47">
        <v>347</v>
      </c>
      <c r="DE47">
        <v>45</v>
      </c>
      <c r="DF47" t="str">
        <f>IF(IFERROR(MATCH(FFARawStatProjections!A48,Draft!BY:BY,0),1)&lt;=1,IF(FFARawStatProjections!A48=0,"",FFARawStatProjections!A48),"")</f>
        <v>Marcus Mariota</v>
      </c>
    </row>
    <row r="48" spans="1:110" x14ac:dyDescent="0.25">
      <c r="A48" s="196"/>
      <c r="B48" s="167" t="str">
        <f>IFERROR( INDEX(FFARawStatProjections!C:C,MATCH(C48,FFARawStatProjections!A:A,0)), "")</f>
        <v/>
      </c>
      <c r="C48" s="537">
        <f>IFERROR(IF(INDEX(Draft!BY:BY,MATCH(G48,Draft!BX:BX,0))="",G48,(INDEX(Draft!BY:BY,MATCH(G48,Draft!BX:BX,0)))),"")</f>
        <v>239</v>
      </c>
      <c r="D48" s="537" t="str">
        <f>IFERROR(INDEX(FFARawStatProjections!B:B,MATCH(C48,FFARawStatProjections!A:A,0)),"")</f>
        <v/>
      </c>
      <c r="E48" s="168" t="str">
        <f>IFERROR(INDEX(FFARawStatProjections!D:D,MATCH(C48,FFARawStatProjections!A:A,0)),"")</f>
        <v/>
      </c>
      <c r="F48" s="207">
        <f>VALUE($E$22&amp;20)</f>
        <v>220</v>
      </c>
      <c r="G48" s="207">
        <f>VLOOKUP($E$22&amp;20, 'Draft Pick Order'!B:C, 2, FALSE)</f>
        <v>239</v>
      </c>
      <c r="H48" s="197"/>
      <c r="I48" s="182" t="str">
        <f>IF(QBproj!D52=0,"",QBproj!D52)</f>
        <v>Brett Rypien</v>
      </c>
      <c r="J48" s="290" t="str">
        <f>QBproj!E52</f>
        <v>LAR</v>
      </c>
      <c r="K48" s="183">
        <f>QBproj!F52</f>
        <v>25.384480000000003</v>
      </c>
      <c r="L48" s="517">
        <f>IFERROR(IF(QBproj!H52="",QBproj!G52,QBproj!H52),0)</f>
        <v>8</v>
      </c>
      <c r="M48" s="504">
        <f>INDEX(Draft!$BW:$BW,MATCH(I48,Draft_Names_Master,0))</f>
        <v>0</v>
      </c>
      <c r="N48">
        <v>4.5999999999999999E-2</v>
      </c>
      <c r="O48">
        <f>IFERROR(IF(INDEX(Instructions!$V$64:$V$83,MATCH('Draft Slayer Classic'!I48,Instructions!$S$64:$S$83,0))&lt;=$E$25,1,0),0)</f>
        <v>0</v>
      </c>
      <c r="P48">
        <f>IFERROR(INDEX(ADP!$A$7:$A$260,MATCH(I48,ADP!$D$7:$D$260,0)),999+N48)</f>
        <v>999.04600000000005</v>
      </c>
      <c r="Q48">
        <f t="shared" si="0"/>
        <v>4.5999999999999999E-2</v>
      </c>
      <c r="R48">
        <f>IFERROR(INDEX(Instructions!$U$111:$U$222,MATCH(I48,Instructions!$T$111:$T$222,0)),0)</f>
        <v>0</v>
      </c>
      <c r="S48" s="197"/>
      <c r="T48" s="182" t="str">
        <f>RBproj!D52</f>
        <v>Jerick McKinnon</v>
      </c>
      <c r="U48" s="290" t="str">
        <f>RBproj!E52</f>
        <v>KC</v>
      </c>
      <c r="V48" s="183">
        <f>RBproj!F52</f>
        <v>110.99164</v>
      </c>
      <c r="W48" s="517">
        <f>IFERROR(IF(RBproj!H52="",RBproj!G52,RBproj!H52),0)</f>
        <v>8</v>
      </c>
      <c r="X48" s="504">
        <f>INDEX(Draft!$BW:$BW,MATCH(T48,Draft_Names_Master,0))</f>
        <v>0</v>
      </c>
      <c r="Y48">
        <v>4.5999999999999999E-2</v>
      </c>
      <c r="Z48">
        <f>IFERROR(IF(INDEX(Instructions!$X$64:$X$83,MATCH('Draft Slayer Classic'!T48,Instructions!$T$64:$T$83,0))&lt;=$E$25,1,0),0)</f>
        <v>0</v>
      </c>
      <c r="AA48">
        <f>IFERROR(INDEX(ADP!$A$7:$A$260,MATCH(T48,ADP!$D$7:$D$260,0)),999+Y48)</f>
        <v>122</v>
      </c>
      <c r="AB48">
        <f t="shared" si="1"/>
        <v>4.5999999999999999E-2</v>
      </c>
      <c r="AC48">
        <f>IFERROR(INDEX(Instructions!$U$111:$U$222,MATCH(T48,Instructions!$T$111:$T$222,0)),0)</f>
        <v>0</v>
      </c>
      <c r="AD48" s="197"/>
      <c r="AE48" s="182" t="str">
        <f>WRproj!D52</f>
        <v>Jakobi Meyers</v>
      </c>
      <c r="AF48" s="290" t="str">
        <f>WRproj!E52</f>
        <v>LV</v>
      </c>
      <c r="AG48" s="183">
        <f>WRproj!F52</f>
        <v>157.87358999999998</v>
      </c>
      <c r="AH48" s="517">
        <f>IFERROR(IF(WRproj!H52="",WRproj!G52,WRproj!H52),0)</f>
        <v>8</v>
      </c>
      <c r="AI48" s="503">
        <f>INDEX(Draft!$BW:$BW,MATCH(AE48,Draft_Names_Master,0))</f>
        <v>0</v>
      </c>
      <c r="AJ48">
        <v>4.5999999999999999E-2</v>
      </c>
      <c r="AK48">
        <f>IFERROR(IF(INDEX(Instructions!$V$86:$V$105,MATCH('Draft Slayer Classic'!AE48,Instructions!$S$86:$S$105,0))&lt;=$E$25,1,0),0)</f>
        <v>0</v>
      </c>
      <c r="AL48">
        <f>IFERROR(INDEX(ADP!$A$7:$A$260,MATCH(AE48,ADP!$D$7:$D$260,0)),999+AJ48)</f>
        <v>137</v>
      </c>
      <c r="AM48">
        <f t="shared" si="2"/>
        <v>4.5999999999999999E-2</v>
      </c>
      <c r="AN48">
        <f>IFERROR(INDEX(Instructions!$U$111:$U$222,MATCH(AE48,Instructions!$T$111:$T$222,0)),0)</f>
        <v>0</v>
      </c>
      <c r="AO48" s="197"/>
      <c r="AP48" s="182" t="str">
        <f>TEproj!D52</f>
        <v>Brenton Strange</v>
      </c>
      <c r="AQ48" s="290" t="str">
        <f>TEproj!E52</f>
        <v>JAC</v>
      </c>
      <c r="AR48" s="183">
        <f>TEproj!F52</f>
        <v>46.006520000000002</v>
      </c>
      <c r="AS48" s="517">
        <f>IFERROR(IF(TEproj!H52="",TEproj!G52,TEproj!H52),0)</f>
        <v>8</v>
      </c>
      <c r="AT48" s="504">
        <f>INDEX(Draft!$BW:$BW,MATCH(AP48,Draft_Names_Master,0))</f>
        <v>0</v>
      </c>
      <c r="AU48">
        <v>4.5999999999999999E-2</v>
      </c>
      <c r="AV48">
        <f>IFERROR(IF(INDEX(Instructions!$X$86:$X$105,MATCH('Draft Slayer Classic'!AP48,Instructions!$T$86:$T$105,0))&lt;=$E$25,1,0),0)</f>
        <v>0</v>
      </c>
      <c r="AW48">
        <f>IFERROR(INDEX(ADP!$A$7:$A$260,MATCH(AP48,ADP!$D$7:$D$260,0)),999+AU48)</f>
        <v>999.04600000000005</v>
      </c>
      <c r="AX48">
        <f t="shared" si="3"/>
        <v>4.5999999999999999E-2</v>
      </c>
      <c r="AY48">
        <f>IFERROR(INDEX(Instructions!$U$111:$U$222,MATCH(AP48,Instructions!$T$111:$T$222,0)),0)</f>
        <v>0</v>
      </c>
      <c r="AZ48" s="197"/>
      <c r="BA48" s="197"/>
      <c r="BB48" s="216"/>
      <c r="BE48" s="197"/>
      <c r="BF48" s="197"/>
      <c r="BG48" s="216"/>
      <c r="BH48" s="216"/>
      <c r="BK48" s="203"/>
      <c r="BV48" t="str">
        <f>14&amp;12</f>
        <v>1412</v>
      </c>
      <c r="BW48">
        <v>12</v>
      </c>
      <c r="BX48">
        <v>17</v>
      </c>
      <c r="BY48">
        <v>40</v>
      </c>
      <c r="BZ48">
        <v>45</v>
      </c>
      <c r="CA48">
        <v>68</v>
      </c>
      <c r="CB48">
        <v>73</v>
      </c>
      <c r="CC48">
        <v>96</v>
      </c>
      <c r="CD48">
        <v>101</v>
      </c>
      <c r="CE48">
        <v>124</v>
      </c>
      <c r="CF48">
        <v>129</v>
      </c>
      <c r="CG48">
        <v>152</v>
      </c>
      <c r="CH48">
        <v>157</v>
      </c>
      <c r="CI48">
        <v>180</v>
      </c>
      <c r="CJ48">
        <v>185</v>
      </c>
      <c r="CK48">
        <v>208</v>
      </c>
      <c r="CL48">
        <v>213</v>
      </c>
      <c r="CM48">
        <v>236</v>
      </c>
      <c r="CN48">
        <v>241</v>
      </c>
      <c r="CO48">
        <v>264</v>
      </c>
      <c r="CP48">
        <v>269</v>
      </c>
      <c r="CQ48">
        <v>292</v>
      </c>
      <c r="CR48">
        <v>297</v>
      </c>
      <c r="CS48">
        <v>320</v>
      </c>
      <c r="CT48">
        <v>325</v>
      </c>
      <c r="CU48">
        <v>348</v>
      </c>
      <c r="DE48">
        <v>46</v>
      </c>
      <c r="DF48" t="str">
        <f>IF(IFERROR(MATCH(FFARawStatProjections!A49,Draft!BY:BY,0),1)&lt;=1,IF(FFARawStatProjections!A49=0,"",FFARawStatProjections!A49),"")</f>
        <v>Brett Rypien</v>
      </c>
    </row>
    <row r="49" spans="1:110" x14ac:dyDescent="0.25">
      <c r="A49" s="196"/>
      <c r="B49" s="169" t="str">
        <f>IFERROR( INDEX(FFARawStatProjections!C:C,MATCH(C49,FFARawStatProjections!A:A,0)), "")</f>
        <v/>
      </c>
      <c r="C49" s="150">
        <f>IFERROR(IF(INDEX(Draft!BY:BY,MATCH(G49,Draft!BX:BX,0))="",G49,(INDEX(Draft!BY:BY,MATCH(G49,Draft!BX:BX,0)))),"")</f>
        <v>242</v>
      </c>
      <c r="D49" s="150" t="str">
        <f>IFERROR(INDEX(FFARawStatProjections!B:B,MATCH(C49,FFARawStatProjections!A:A,0)),"")</f>
        <v/>
      </c>
      <c r="E49" s="170" t="str">
        <f>IFERROR(INDEX(FFARawStatProjections!D:D,MATCH(C49,FFARawStatProjections!A:A,0)),"")</f>
        <v/>
      </c>
      <c r="F49" s="207">
        <f>VALUE($E$22&amp;21)</f>
        <v>221</v>
      </c>
      <c r="G49" s="207">
        <f>VLOOKUP($E$22&amp;21, 'Draft Pick Order'!B:C, 2, FALSE)</f>
        <v>242</v>
      </c>
      <c r="H49" s="197"/>
      <c r="I49" s="180" t="str">
        <f>IF(QBproj!D53=0,"",QBproj!D53)</f>
        <v>Tyrod Taylor</v>
      </c>
      <c r="J49" s="461" t="str">
        <f>QBproj!E53</f>
        <v>NYG</v>
      </c>
      <c r="K49" s="184">
        <f>QBproj!F53</f>
        <v>25.256460000000001</v>
      </c>
      <c r="L49" s="517">
        <f>IFERROR(IF(QBproj!H53="",QBproj!G53,QBproj!H53),0)</f>
        <v>8</v>
      </c>
      <c r="M49" s="503">
        <f>INDEX(Draft!$BW:$BW,MATCH(I49,Draft_Names_Master,0))</f>
        <v>0</v>
      </c>
      <c r="N49">
        <v>4.7E-2</v>
      </c>
      <c r="O49">
        <f>IFERROR(IF(INDEX(Instructions!$V$64:$V$83,MATCH('Draft Slayer Classic'!I49,Instructions!$S$64:$S$83,0))&lt;=$E$25,1,0),0)</f>
        <v>0</v>
      </c>
      <c r="P49">
        <f>IFERROR(INDEX(ADP!$A$7:$A$260,MATCH(I49,ADP!$D$7:$D$260,0)),999+N49)</f>
        <v>999.04700000000003</v>
      </c>
      <c r="Q49">
        <f t="shared" si="0"/>
        <v>4.7E-2</v>
      </c>
      <c r="R49">
        <f>IFERROR(INDEX(Instructions!$U$111:$U$222,MATCH(I49,Instructions!$T$111:$T$222,0)),0)</f>
        <v>0</v>
      </c>
      <c r="S49" s="197"/>
      <c r="T49" s="187" t="str">
        <f>RBproj!D53</f>
        <v>Damien Harris</v>
      </c>
      <c r="U49" s="461" t="str">
        <f>RBproj!E53</f>
        <v>BUF</v>
      </c>
      <c r="V49" s="184">
        <f>RBproj!F53</f>
        <v>110.62159</v>
      </c>
      <c r="W49" s="517">
        <f>IFERROR(IF(RBproj!H53="",RBproj!G53,RBproj!H53),0)</f>
        <v>8</v>
      </c>
      <c r="X49" s="504">
        <f>INDEX(Draft!$BW:$BW,MATCH(T49,Draft_Names_Master,0))</f>
        <v>0</v>
      </c>
      <c r="Y49">
        <v>4.7E-2</v>
      </c>
      <c r="Z49">
        <f>IFERROR(IF(INDEX(Instructions!$X$64:$X$83,MATCH('Draft Slayer Classic'!T49,Instructions!$T$64:$T$83,0))&lt;=$E$25,1,0),0)</f>
        <v>0</v>
      </c>
      <c r="AA49">
        <f>IFERROR(INDEX(ADP!$A$7:$A$260,MATCH(T49,ADP!$D$7:$D$260,0)),999+Y49)</f>
        <v>100</v>
      </c>
      <c r="AB49">
        <f t="shared" si="1"/>
        <v>4.7E-2</v>
      </c>
      <c r="AC49">
        <f>IFERROR(INDEX(Instructions!$U$111:$U$222,MATCH(T49,Instructions!$T$111:$T$222,0)),0)</f>
        <v>0</v>
      </c>
      <c r="AD49" s="197"/>
      <c r="AE49" s="187" t="str">
        <f>WRproj!D53</f>
        <v>Kadarius Toney</v>
      </c>
      <c r="AF49" s="461" t="str">
        <f>WRproj!E53</f>
        <v>KC</v>
      </c>
      <c r="AG49" s="184">
        <f>WRproj!F53</f>
        <v>155.68375</v>
      </c>
      <c r="AH49" s="517">
        <f>IFERROR(IF(WRproj!H53="",WRproj!G53,WRproj!H53),0)</f>
        <v>8</v>
      </c>
      <c r="AI49" s="503">
        <f>INDEX(Draft!$BW:$BW,MATCH(AE49,Draft_Names_Master,0))</f>
        <v>0</v>
      </c>
      <c r="AJ49">
        <v>4.7E-2</v>
      </c>
      <c r="AK49">
        <f>IFERROR(IF(INDEX(Instructions!$V$86:$V$105,MATCH('Draft Slayer Classic'!AE49,Instructions!$S$86:$S$105,0))&lt;=$E$25,1,0),0)</f>
        <v>0</v>
      </c>
      <c r="AL49">
        <f>IFERROR(INDEX(ADP!$A$7:$A$260,MATCH(AE49,ADP!$D$7:$D$260,0)),999+AJ49)</f>
        <v>101</v>
      </c>
      <c r="AM49">
        <f t="shared" si="2"/>
        <v>4.7E-2</v>
      </c>
      <c r="AN49">
        <f>IFERROR(INDEX(Instructions!$U$111:$U$222,MATCH(AE49,Instructions!$T$111:$T$222,0)),0)</f>
        <v>0</v>
      </c>
      <c r="AO49" s="197"/>
      <c r="AP49" s="187" t="str">
        <f>TEproj!D53</f>
        <v>Taysom Hill</v>
      </c>
      <c r="AQ49" s="461" t="str">
        <f>TEproj!E53</f>
        <v>NO</v>
      </c>
      <c r="AR49" s="184">
        <f>TEproj!F53</f>
        <v>45.986550000000001</v>
      </c>
      <c r="AS49" s="517">
        <f>IFERROR(IF(TEproj!H53="",TEproj!G53,TEproj!H53),0)</f>
        <v>8</v>
      </c>
      <c r="AT49" s="503">
        <f>INDEX(Draft!$BW:$BW,MATCH(AP49,Draft_Names_Master,0))</f>
        <v>0</v>
      </c>
      <c r="AU49">
        <v>4.7E-2</v>
      </c>
      <c r="AV49">
        <f>IFERROR(IF(INDEX(Instructions!$X$86:$X$105,MATCH('Draft Slayer Classic'!AP49,Instructions!$T$86:$T$105,0))&lt;=$E$25,1,0),0)</f>
        <v>0</v>
      </c>
      <c r="AW49">
        <f>IFERROR(INDEX(ADP!$A$7:$A$260,MATCH(AP49,ADP!$D$7:$D$260,0)),999+AU49)</f>
        <v>999.04700000000003</v>
      </c>
      <c r="AX49">
        <f t="shared" si="3"/>
        <v>4.7E-2</v>
      </c>
      <c r="AY49">
        <f>IFERROR(INDEX(Instructions!$U$111:$U$222,MATCH(AP49,Instructions!$T$111:$T$222,0)),0)</f>
        <v>0</v>
      </c>
      <c r="AZ49" s="197"/>
      <c r="BA49" s="197"/>
      <c r="BB49" s="216"/>
      <c r="BE49" s="197"/>
      <c r="BF49" s="197"/>
      <c r="BG49" s="216"/>
      <c r="BH49" s="216"/>
      <c r="BK49" s="203"/>
      <c r="BV49" t="str">
        <f>14&amp;13</f>
        <v>1413</v>
      </c>
      <c r="BW49">
        <v>13</v>
      </c>
      <c r="BX49">
        <v>16</v>
      </c>
      <c r="BY49">
        <v>41</v>
      </c>
      <c r="BZ49">
        <v>44</v>
      </c>
      <c r="CA49">
        <v>69</v>
      </c>
      <c r="CB49">
        <v>72</v>
      </c>
      <c r="CC49">
        <v>97</v>
      </c>
      <c r="CD49">
        <v>100</v>
      </c>
      <c r="CE49">
        <v>125</v>
      </c>
      <c r="CF49">
        <v>128</v>
      </c>
      <c r="CG49">
        <v>153</v>
      </c>
      <c r="CH49">
        <v>156</v>
      </c>
      <c r="CI49">
        <v>181</v>
      </c>
      <c r="CJ49">
        <v>184</v>
      </c>
      <c r="CK49">
        <v>209</v>
      </c>
      <c r="CL49">
        <v>212</v>
      </c>
      <c r="CM49">
        <v>237</v>
      </c>
      <c r="CN49">
        <v>240</v>
      </c>
      <c r="CO49">
        <v>265</v>
      </c>
      <c r="CP49">
        <v>268</v>
      </c>
      <c r="CQ49">
        <v>293</v>
      </c>
      <c r="CR49">
        <v>296</v>
      </c>
      <c r="CS49">
        <v>321</v>
      </c>
      <c r="CT49">
        <v>324</v>
      </c>
      <c r="CU49">
        <v>349</v>
      </c>
      <c r="DE49">
        <v>47</v>
      </c>
      <c r="DF49" t="str">
        <f>IF(IFERROR(MATCH(FFARawStatProjections!A50,Draft!BY:BY,0),1)&lt;=1,IF(FFARawStatProjections!A50=0,"",FFARawStatProjections!A50),"")</f>
        <v>Mitch Trubisky</v>
      </c>
    </row>
    <row r="50" spans="1:110" x14ac:dyDescent="0.25">
      <c r="A50" s="196"/>
      <c r="B50" s="167" t="str">
        <f>IFERROR( INDEX(FFARawStatProjections!C:C,MATCH(C50,FFARawStatProjections!A:A,0)), "")</f>
        <v/>
      </c>
      <c r="C50" s="537" t="str">
        <f>IFERROR(IF(INDEX(Draft!BY:BY,MATCH(G50,Draft!BX:BX,0))="",G50,(INDEX(Draft!BY:BY,MATCH(G50,Draft!BX:BX,0)))),"")</f>
        <v/>
      </c>
      <c r="D50" s="537" t="str">
        <f>IFERROR(INDEX(FFARawStatProjections!B:B,MATCH(C50,FFARawStatProjections!A:A,0)),"")</f>
        <v/>
      </c>
      <c r="E50" s="168" t="str">
        <f>IFERROR(INDEX(FFARawStatProjections!D:D,MATCH(C50,FFARawStatProjections!A:A,0)),"")</f>
        <v/>
      </c>
      <c r="F50" s="207">
        <f>VALUE($E$22&amp;22)</f>
        <v>222</v>
      </c>
      <c r="G50" s="207" t="e">
        <f>VLOOKUP($E$22&amp;22, 'Draft Pick Order'!B:C, 2, FALSE)</f>
        <v>#N/A</v>
      </c>
      <c r="H50" s="197"/>
      <c r="I50" s="182" t="str">
        <f>IF(QBproj!D54=0,"",QBproj!D54)</f>
        <v>Marcus Mariota</v>
      </c>
      <c r="J50" s="290" t="str">
        <f>QBproj!E54</f>
        <v>PHI</v>
      </c>
      <c r="K50" s="183">
        <f>QBproj!F54</f>
        <v>24.900469999999999</v>
      </c>
      <c r="L50" s="517">
        <f>IFERROR(IF(QBproj!H54="",QBproj!G54,QBproj!H54),0)</f>
        <v>8</v>
      </c>
      <c r="M50" s="504">
        <f>INDEX(Draft!$BW:$BW,MATCH(I50,Draft_Names_Master,0))</f>
        <v>0</v>
      </c>
      <c r="N50">
        <v>4.8000000000000001E-2</v>
      </c>
      <c r="O50">
        <f>IFERROR(IF(INDEX(Instructions!$V$64:$V$83,MATCH('Draft Slayer Classic'!I50,Instructions!$S$64:$S$83,0))&lt;=$E$25,1,0),0)</f>
        <v>0</v>
      </c>
      <c r="P50">
        <f>IFERROR(INDEX(ADP!$A$7:$A$260,MATCH(I50,ADP!$D$7:$D$260,0)),999+N50)</f>
        <v>999.048</v>
      </c>
      <c r="Q50">
        <f t="shared" si="0"/>
        <v>4.8000000000000001E-2</v>
      </c>
      <c r="R50">
        <f>IFERROR(INDEX(Instructions!$U$111:$U$222,MATCH(I50,Instructions!$T$111:$T$222,0)),0)</f>
        <v>0</v>
      </c>
      <c r="S50" s="197"/>
      <c r="T50" s="182" t="str">
        <f>RBproj!D54</f>
        <v>DeVon Achane</v>
      </c>
      <c r="U50" s="290" t="str">
        <f>RBproj!E54</f>
        <v>MIA</v>
      </c>
      <c r="V50" s="183">
        <f>RBproj!F54</f>
        <v>110.29165</v>
      </c>
      <c r="W50" s="517">
        <f>IFERROR(IF(RBproj!H54="",RBproj!G54,RBproj!H54),0)</f>
        <v>8</v>
      </c>
      <c r="X50" s="504">
        <f>INDEX(Draft!$BW:$BW,MATCH(T50,Draft_Names_Master,0))</f>
        <v>0</v>
      </c>
      <c r="Y50">
        <v>4.8000000000000001E-2</v>
      </c>
      <c r="Z50">
        <f>IFERROR(IF(INDEX(Instructions!$X$64:$X$83,MATCH('Draft Slayer Classic'!T50,Instructions!$T$64:$T$83,0))&lt;=$E$25,1,0),0)</f>
        <v>0</v>
      </c>
      <c r="AA50">
        <f>IFERROR(INDEX(ADP!$A$7:$A$260,MATCH(T50,ADP!$D$7:$D$260,0)),999+Y50)</f>
        <v>116</v>
      </c>
      <c r="AB50">
        <f t="shared" si="1"/>
        <v>4.8000000000000001E-2</v>
      </c>
      <c r="AC50">
        <f>IFERROR(INDEX(Instructions!$U$111:$U$222,MATCH(T50,Instructions!$T$111:$T$222,0)),0)</f>
        <v>0</v>
      </c>
      <c r="AD50" s="197"/>
      <c r="AE50" s="182" t="str">
        <f>WRproj!D54</f>
        <v>Nico Collins</v>
      </c>
      <c r="AF50" s="290" t="str">
        <f>WRproj!E54</f>
        <v>HOU</v>
      </c>
      <c r="AG50" s="183">
        <f>WRproj!F54</f>
        <v>155.42361000000002</v>
      </c>
      <c r="AH50" s="517">
        <f>IFERROR(IF(WRproj!H54="",WRproj!G54,WRproj!H54),0)</f>
        <v>8</v>
      </c>
      <c r="AI50" s="503">
        <f>INDEX(Draft!$BW:$BW,MATCH(AE50,Draft_Names_Master,0))</f>
        <v>0</v>
      </c>
      <c r="AJ50">
        <v>4.8000000000000001E-2</v>
      </c>
      <c r="AK50">
        <f>IFERROR(IF(INDEX(Instructions!$V$86:$V$105,MATCH('Draft Slayer Classic'!AE50,Instructions!$S$86:$S$105,0))&lt;=$E$25,1,0),0)</f>
        <v>0</v>
      </c>
      <c r="AL50">
        <f>IFERROR(INDEX(ADP!$A$7:$A$260,MATCH(AE50,ADP!$D$7:$D$260,0)),999+AJ50)</f>
        <v>129</v>
      </c>
      <c r="AM50">
        <f t="shared" si="2"/>
        <v>4.8000000000000001E-2</v>
      </c>
      <c r="AN50">
        <f>IFERROR(INDEX(Instructions!$U$111:$U$222,MATCH(AE50,Instructions!$T$111:$T$222,0)),0)</f>
        <v>0</v>
      </c>
      <c r="AO50" s="197"/>
      <c r="AP50" s="182" t="str">
        <f>TEproj!D54</f>
        <v>Durham Smythe</v>
      </c>
      <c r="AQ50" s="290" t="str">
        <f>TEproj!E54</f>
        <v>MIA</v>
      </c>
      <c r="AR50" s="183">
        <f>TEproj!F54</f>
        <v>45.6066</v>
      </c>
      <c r="AS50" s="517">
        <f>IFERROR(IF(TEproj!H54="",TEproj!G54,TEproj!H54),0)</f>
        <v>8</v>
      </c>
      <c r="AT50" s="504">
        <f>INDEX(Draft!$BW:$BW,MATCH(AP50,Draft_Names_Master,0))</f>
        <v>0</v>
      </c>
      <c r="AU50">
        <v>4.8000000000000001E-2</v>
      </c>
      <c r="AV50">
        <f>IFERROR(IF(INDEX(Instructions!$X$86:$X$105,MATCH('Draft Slayer Classic'!AP50,Instructions!$T$86:$T$105,0))&lt;=$E$25,1,0),0)</f>
        <v>0</v>
      </c>
      <c r="AW50">
        <f>IFERROR(INDEX(ADP!$A$7:$A$260,MATCH(AP50,ADP!$D$7:$D$260,0)),999+AU50)</f>
        <v>999.048</v>
      </c>
      <c r="AX50">
        <f t="shared" si="3"/>
        <v>4.8000000000000001E-2</v>
      </c>
      <c r="AY50">
        <f>IFERROR(INDEX(Instructions!$U$111:$U$222,MATCH(AP50,Instructions!$T$111:$T$222,0)),0)</f>
        <v>0</v>
      </c>
      <c r="AZ50" s="197"/>
      <c r="BA50" s="197"/>
      <c r="BB50" s="216"/>
      <c r="BE50" s="197"/>
      <c r="BF50" s="197"/>
      <c r="BG50" s="216"/>
      <c r="BH50" s="216"/>
      <c r="BK50" s="203"/>
      <c r="BV50" t="str">
        <f>14&amp;14</f>
        <v>1414</v>
      </c>
      <c r="BW50">
        <v>14</v>
      </c>
      <c r="BX50">
        <v>15</v>
      </c>
      <c r="BY50">
        <v>42</v>
      </c>
      <c r="BZ50">
        <v>43</v>
      </c>
      <c r="CA50">
        <v>70</v>
      </c>
      <c r="CB50">
        <v>71</v>
      </c>
      <c r="CC50">
        <v>98</v>
      </c>
      <c r="CD50">
        <v>99</v>
      </c>
      <c r="CE50">
        <v>126</v>
      </c>
      <c r="CF50">
        <v>127</v>
      </c>
      <c r="CG50">
        <v>154</v>
      </c>
      <c r="CH50">
        <v>155</v>
      </c>
      <c r="CI50">
        <v>182</v>
      </c>
      <c r="CJ50">
        <v>183</v>
      </c>
      <c r="CK50">
        <v>210</v>
      </c>
      <c r="CL50">
        <v>211</v>
      </c>
      <c r="CM50">
        <v>238</v>
      </c>
      <c r="CN50">
        <v>239</v>
      </c>
      <c r="CO50">
        <v>266</v>
      </c>
      <c r="CP50">
        <v>267</v>
      </c>
      <c r="CQ50">
        <v>294</v>
      </c>
      <c r="CR50">
        <v>295</v>
      </c>
      <c r="CS50">
        <v>322</v>
      </c>
      <c r="CT50">
        <v>323</v>
      </c>
      <c r="CU50">
        <v>350</v>
      </c>
      <c r="DE50">
        <v>48</v>
      </c>
      <c r="DF50" t="str">
        <f>IF(IFERROR(MATCH(FFARawStatProjections!A51,Draft!BY:BY,0),1)&lt;=1,IF(FFARawStatProjections!A51=0,"",FFARawStatProjections!A51),"")</f>
        <v>Tyler Huntley</v>
      </c>
    </row>
    <row r="51" spans="1:110" x14ac:dyDescent="0.25">
      <c r="A51" s="196"/>
      <c r="B51" s="169" t="str">
        <f>IFERROR( INDEX(FFARawStatProjections!C:C,MATCH(C51,FFARawStatProjections!A:A,0)), "")</f>
        <v/>
      </c>
      <c r="C51" s="150" t="str">
        <f>IFERROR(IF(INDEX(Draft!BY:BY,MATCH(G51,Draft!BX:BX,0))="",G51,(INDEX(Draft!BY:BY,MATCH(G51,Draft!BX:BX,0)))),"")</f>
        <v/>
      </c>
      <c r="D51" s="150" t="str">
        <f>IFERROR(INDEX(FFARawStatProjections!B:B,MATCH(C51,FFARawStatProjections!A:A,0)),"")</f>
        <v/>
      </c>
      <c r="E51" s="170" t="str">
        <f>IFERROR(INDEX(FFARawStatProjections!D:D,MATCH(C51,FFARawStatProjections!A:A,0)),"")</f>
        <v/>
      </c>
      <c r="F51" s="207">
        <f>VALUE($E$22&amp;23)</f>
        <v>223</v>
      </c>
      <c r="G51" s="207" t="e">
        <f>VLOOKUP($E$22&amp;23, 'Draft Pick Order'!B:C, 2, FALSE)</f>
        <v>#N/A</v>
      </c>
      <c r="H51" s="197"/>
      <c r="I51" s="180" t="str">
        <f>IF(QBproj!D55=0,"",QBproj!D55)</f>
        <v>Mitch Trubisky</v>
      </c>
      <c r="J51" s="461" t="str">
        <f>QBproj!E55</f>
        <v>PIT</v>
      </c>
      <c r="K51" s="184">
        <f>QBproj!F55</f>
        <v>24.154490000000003</v>
      </c>
      <c r="L51" s="517">
        <f>IFERROR(IF(QBproj!H55="",QBproj!G55,QBproj!H55),0)</f>
        <v>8</v>
      </c>
      <c r="M51" s="503">
        <f>INDEX(Draft!$BW:$BW,MATCH(I51,Draft_Names_Master,0))</f>
        <v>0</v>
      </c>
      <c r="N51">
        <v>4.9000000000000002E-2</v>
      </c>
      <c r="O51">
        <f>IFERROR(IF(INDEX(Instructions!$V$64:$V$83,MATCH('Draft Slayer Classic'!I51,Instructions!$S$64:$S$83,0))&lt;=$E$25,1,0),0)</f>
        <v>0</v>
      </c>
      <c r="P51">
        <f>IFERROR(INDEX(ADP!$A$7:$A$260,MATCH(I51,ADP!$D$7:$D$260,0)),999+N51)</f>
        <v>999.04899999999998</v>
      </c>
      <c r="Q51">
        <f t="shared" si="0"/>
        <v>4.9000000000000002E-2</v>
      </c>
      <c r="R51">
        <f>IFERROR(INDEX(Instructions!$U$111:$U$222,MATCH(I51,Instructions!$T$111:$T$222,0)),0)</f>
        <v>0</v>
      </c>
      <c r="S51" s="197"/>
      <c r="T51" s="187" t="str">
        <f>RBproj!D55</f>
        <v>Jaylen Warren</v>
      </c>
      <c r="U51" s="461" t="str">
        <f>RBproj!E55</f>
        <v>PIT</v>
      </c>
      <c r="V51" s="184">
        <f>RBproj!F55</f>
        <v>108.92161</v>
      </c>
      <c r="W51" s="517">
        <f>IFERROR(IF(RBproj!H55="",RBproj!G55,RBproj!H55),0)</f>
        <v>8</v>
      </c>
      <c r="X51" s="504">
        <f>INDEX(Draft!$BW:$BW,MATCH(T51,Draft_Names_Master,0))</f>
        <v>0</v>
      </c>
      <c r="Y51">
        <v>4.9000000000000002E-2</v>
      </c>
      <c r="Z51">
        <f>IFERROR(IF(INDEX(Instructions!$X$64:$X$83,MATCH('Draft Slayer Classic'!T51,Instructions!$T$64:$T$83,0))&lt;=$E$25,1,0),0)</f>
        <v>0</v>
      </c>
      <c r="AA51">
        <f>IFERROR(INDEX(ADP!$A$7:$A$260,MATCH(T51,ADP!$D$7:$D$260,0)),999+Y51)</f>
        <v>136</v>
      </c>
      <c r="AB51">
        <f t="shared" si="1"/>
        <v>4.9000000000000002E-2</v>
      </c>
      <c r="AC51">
        <f>IFERROR(INDEX(Instructions!$U$111:$U$222,MATCH(T51,Instructions!$T$111:$T$222,0)),0)</f>
        <v>0</v>
      </c>
      <c r="AD51" s="197"/>
      <c r="AE51" s="187" t="str">
        <f>WRproj!D55</f>
        <v>Tyler Boyd</v>
      </c>
      <c r="AF51" s="461" t="str">
        <f>WRproj!E55</f>
        <v>CIN</v>
      </c>
      <c r="AG51" s="184">
        <f>WRproj!F55</f>
        <v>153.58364999999998</v>
      </c>
      <c r="AH51" s="517">
        <f>IFERROR(IF(WRproj!H55="",WRproj!G55,WRproj!H55),0)</f>
        <v>8</v>
      </c>
      <c r="AI51" s="503">
        <f>INDEX(Draft!$BW:$BW,MATCH(AE51,Draft_Names_Master,0))</f>
        <v>0</v>
      </c>
      <c r="AJ51">
        <v>4.9000000000000002E-2</v>
      </c>
      <c r="AK51">
        <f>IFERROR(IF(INDEX(Instructions!$V$86:$V$105,MATCH('Draft Slayer Classic'!AE51,Instructions!$S$86:$S$105,0))&lt;=$E$25,1,0),0)</f>
        <v>0</v>
      </c>
      <c r="AL51">
        <f>IFERROR(INDEX(ADP!$A$7:$A$260,MATCH(AE51,ADP!$D$7:$D$260,0)),999+AJ51)</f>
        <v>141</v>
      </c>
      <c r="AM51">
        <f t="shared" si="2"/>
        <v>4.9000000000000002E-2</v>
      </c>
      <c r="AN51">
        <f>IFERROR(INDEX(Instructions!$U$111:$U$222,MATCH(AE51,Instructions!$T$111:$T$222,0)),0)</f>
        <v>0</v>
      </c>
      <c r="AO51" s="197"/>
      <c r="AP51" s="187" t="str">
        <f>TEproj!D55</f>
        <v>CJ Uzomah</v>
      </c>
      <c r="AQ51" s="461" t="str">
        <f>TEproj!E55</f>
        <v>NYJ</v>
      </c>
      <c r="AR51" s="184">
        <f>TEproj!F55</f>
        <v>45.416539999999998</v>
      </c>
      <c r="AS51" s="517">
        <f>IFERROR(IF(TEproj!H55="",TEproj!G55,TEproj!H55),0)</f>
        <v>8</v>
      </c>
      <c r="AT51" s="503">
        <f>INDEX(Draft!$BW:$BW,MATCH(AP51,Draft_Names_Master,0))</f>
        <v>0</v>
      </c>
      <c r="AU51">
        <v>4.9000000000000002E-2</v>
      </c>
      <c r="AV51">
        <f>IFERROR(IF(INDEX(Instructions!$X$86:$X$105,MATCH('Draft Slayer Classic'!AP51,Instructions!$T$86:$T$105,0))&lt;=$E$25,1,0),0)</f>
        <v>0</v>
      </c>
      <c r="AW51">
        <f>IFERROR(INDEX(ADP!$A$7:$A$260,MATCH(AP51,ADP!$D$7:$D$260,0)),999+AU51)</f>
        <v>999.04899999999998</v>
      </c>
      <c r="AX51">
        <f t="shared" si="3"/>
        <v>4.9000000000000002E-2</v>
      </c>
      <c r="AY51">
        <f>IFERROR(INDEX(Instructions!$U$111:$U$222,MATCH(AP51,Instructions!$T$111:$T$222,0)),0)</f>
        <v>0</v>
      </c>
      <c r="AZ51" s="197"/>
      <c r="BA51" s="197"/>
      <c r="BB51" s="216"/>
      <c r="BE51" s="197"/>
      <c r="BF51" s="197"/>
      <c r="BG51" s="216"/>
      <c r="BH51" s="216"/>
      <c r="BK51" s="203"/>
      <c r="DE51">
        <v>49</v>
      </c>
      <c r="DF51" t="str">
        <f>IF(IFERROR(MATCH(FFARawStatProjections!A52,Draft!BY:BY,0),1)&lt;=1,IF(FFARawStatProjections!A52=0,"",FFARawStatProjections!A52),"")</f>
        <v>Andy Dalton</v>
      </c>
    </row>
    <row r="52" spans="1:110" x14ac:dyDescent="0.25">
      <c r="A52" s="196"/>
      <c r="B52" s="167" t="str">
        <f>IFERROR( INDEX(FFARawStatProjections!C:C,MATCH(C52,FFARawStatProjections!A:A,0)), "")</f>
        <v/>
      </c>
      <c r="C52" s="537" t="str">
        <f>IFERROR(IF(INDEX(Draft!BY:BY,MATCH(G52,Draft!BX:BX,0))="",G52,(INDEX(Draft!BY:BY,MATCH(G52,Draft!BX:BX,0)))),"")</f>
        <v/>
      </c>
      <c r="D52" s="537" t="str">
        <f>IFERROR(INDEX(FFARawStatProjections!B:B,MATCH(C52,FFARawStatProjections!A:A,0)),"")</f>
        <v/>
      </c>
      <c r="E52" s="168" t="str">
        <f>IFERROR(INDEX(FFARawStatProjections!D:D,MATCH(C52,FFARawStatProjections!A:A,0)),"")</f>
        <v/>
      </c>
      <c r="F52" s="207">
        <f>VALUE($E$22&amp;24)</f>
        <v>224</v>
      </c>
      <c r="G52" s="207" t="e">
        <f>VLOOKUP($E$22&amp;24, 'Draft Pick Order'!B:C, 2, FALSE)</f>
        <v>#N/A</v>
      </c>
      <c r="H52" s="197"/>
      <c r="I52" s="182" t="str">
        <f>IF(QBproj!D56=0,"",QBproj!D56)</f>
        <v>Tyler Huntley</v>
      </c>
      <c r="J52" s="290" t="str">
        <f>QBproj!E56</f>
        <v>BAL</v>
      </c>
      <c r="K52" s="183">
        <f>QBproj!F56</f>
        <v>23.8325</v>
      </c>
      <c r="L52" s="517">
        <f>IFERROR(IF(QBproj!H56="",QBproj!G56,QBproj!H56),0)</f>
        <v>8</v>
      </c>
      <c r="M52" s="504">
        <f>INDEX(Draft!$BW:$BW,MATCH(I52,Draft_Names_Master,0))</f>
        <v>0</v>
      </c>
      <c r="N52">
        <v>0.05</v>
      </c>
      <c r="O52">
        <f>IFERROR(IF(INDEX(Instructions!$V$64:$V$83,MATCH('Draft Slayer Classic'!I52,Instructions!$S$64:$S$83,0))&lt;=$E$25,1,0),0)</f>
        <v>0</v>
      </c>
      <c r="P52">
        <f>IFERROR(INDEX(ADP!$A$7:$A$260,MATCH(I52,ADP!$D$7:$D$260,0)),999+N52)</f>
        <v>999.05</v>
      </c>
      <c r="Q52">
        <f t="shared" si="0"/>
        <v>0.05</v>
      </c>
      <c r="R52">
        <f>IFERROR(INDEX(Instructions!$U$111:$U$222,MATCH(I52,Instructions!$T$111:$T$222,0)),0)</f>
        <v>0</v>
      </c>
      <c r="S52" s="197"/>
      <c r="T52" s="182" t="str">
        <f>RBproj!D56</f>
        <v>Chuba Hubbard</v>
      </c>
      <c r="U52" s="290" t="str">
        <f>RBproj!E56</f>
        <v>CAR</v>
      </c>
      <c r="V52" s="183">
        <f>RBproj!F56</f>
        <v>107.15162000000001</v>
      </c>
      <c r="W52" s="517">
        <f>IFERROR(IF(RBproj!H56="",RBproj!G56,RBproj!H56),0)</f>
        <v>8</v>
      </c>
      <c r="X52" s="504">
        <f>INDEX(Draft!$BW:$BW,MATCH(T52,Draft_Names_Master,0))</f>
        <v>0</v>
      </c>
      <c r="Y52">
        <v>0.05</v>
      </c>
      <c r="Z52">
        <f>IFERROR(IF(INDEX(Instructions!$X$64:$X$83,MATCH('Draft Slayer Classic'!T52,Instructions!$T$64:$T$83,0))&lt;=$E$25,1,0),0)</f>
        <v>0</v>
      </c>
      <c r="AA52">
        <f>IFERROR(INDEX(ADP!$A$7:$A$260,MATCH(T52,ADP!$D$7:$D$260,0)),999+Y52)</f>
        <v>160</v>
      </c>
      <c r="AB52">
        <f t="shared" si="1"/>
        <v>0.05</v>
      </c>
      <c r="AC52">
        <f>IFERROR(INDEX(Instructions!$U$111:$U$222,MATCH(T52,Instructions!$T$111:$T$222,0)),0)</f>
        <v>0</v>
      </c>
      <c r="AD52" s="197"/>
      <c r="AE52" s="182" t="str">
        <f>WRproj!D56</f>
        <v>Odell Beckham</v>
      </c>
      <c r="AF52" s="290" t="str">
        <f>WRproj!E56</f>
        <v>BAL</v>
      </c>
      <c r="AG52" s="183">
        <f>WRproj!F56</f>
        <v>153.4736</v>
      </c>
      <c r="AH52" s="517">
        <f>IFERROR(IF(WRproj!H56="",WRproj!G56,WRproj!H56),0)</f>
        <v>8</v>
      </c>
      <c r="AI52" s="503">
        <f>INDEX(Draft!$BW:$BW,MATCH(AE52,Draft_Names_Master,0))</f>
        <v>0</v>
      </c>
      <c r="AJ52">
        <v>0.05</v>
      </c>
      <c r="AK52">
        <f>IFERROR(IF(INDEX(Instructions!$V$86:$V$105,MATCH('Draft Slayer Classic'!AE52,Instructions!$S$86:$S$105,0))&lt;=$E$25,1,0),0)</f>
        <v>0</v>
      </c>
      <c r="AL52">
        <f>IFERROR(INDEX(ADP!$A$7:$A$260,MATCH(AE52,ADP!$D$7:$D$260,0)),999+AJ52)</f>
        <v>118</v>
      </c>
      <c r="AM52">
        <f t="shared" si="2"/>
        <v>0.05</v>
      </c>
      <c r="AN52">
        <f>IFERROR(INDEX(Instructions!$U$111:$U$222,MATCH(AE52,Instructions!$T$111:$T$222,0)),0)</f>
        <v>0</v>
      </c>
      <c r="AO52" s="197"/>
      <c r="AP52" s="182" t="str">
        <f>TEproj!D56</f>
        <v>Kylen Granson</v>
      </c>
      <c r="AQ52" s="290" t="str">
        <f>TEproj!E56</f>
        <v>IND</v>
      </c>
      <c r="AR52" s="183">
        <f>TEproj!F56</f>
        <v>45.016560000000005</v>
      </c>
      <c r="AS52" s="517">
        <f>IFERROR(IF(TEproj!H56="",TEproj!G56,TEproj!H56),0)</f>
        <v>8</v>
      </c>
      <c r="AT52" s="504">
        <f>INDEX(Draft!$BW:$BW,MATCH(AP52,Draft_Names_Master,0))</f>
        <v>0</v>
      </c>
      <c r="AU52">
        <v>0.05</v>
      </c>
      <c r="AV52">
        <f>IFERROR(IF(INDEX(Instructions!$X$86:$X$105,MATCH('Draft Slayer Classic'!AP52,Instructions!$T$86:$T$105,0))&lt;=$E$25,1,0),0)</f>
        <v>0</v>
      </c>
      <c r="AW52">
        <f>IFERROR(INDEX(ADP!$A$7:$A$260,MATCH(AP52,ADP!$D$7:$D$260,0)),999+AU52)</f>
        <v>999.05</v>
      </c>
      <c r="AX52">
        <f t="shared" si="3"/>
        <v>0.05</v>
      </c>
      <c r="AY52">
        <f>IFERROR(INDEX(Instructions!$U$111:$U$222,MATCH(AP52,Instructions!$T$111:$T$222,0)),0)</f>
        <v>0</v>
      </c>
      <c r="AZ52" s="197"/>
      <c r="BA52" s="197"/>
      <c r="BB52" s="216"/>
      <c r="BE52" s="197"/>
      <c r="BF52" s="197"/>
      <c r="BG52" s="216"/>
      <c r="BH52" s="216"/>
      <c r="BK52" s="203"/>
      <c r="BV52" t="str">
        <f>16&amp;1</f>
        <v>161</v>
      </c>
      <c r="BW52">
        <v>1</v>
      </c>
      <c r="BX52">
        <v>32</v>
      </c>
      <c r="BY52">
        <v>33</v>
      </c>
      <c r="BZ52">
        <v>64</v>
      </c>
      <c r="CA52">
        <v>65</v>
      </c>
      <c r="CB52">
        <v>96</v>
      </c>
      <c r="CC52">
        <v>97</v>
      </c>
      <c r="CD52">
        <v>128</v>
      </c>
      <c r="CE52">
        <v>129</v>
      </c>
      <c r="CF52">
        <v>160</v>
      </c>
      <c r="CG52">
        <v>161</v>
      </c>
      <c r="CH52">
        <v>192</v>
      </c>
      <c r="CI52">
        <v>193</v>
      </c>
      <c r="CJ52">
        <v>224</v>
      </c>
      <c r="CK52">
        <v>225</v>
      </c>
      <c r="CL52">
        <v>256</v>
      </c>
      <c r="CM52">
        <v>257</v>
      </c>
      <c r="CN52">
        <v>288</v>
      </c>
      <c r="CO52">
        <v>289</v>
      </c>
      <c r="CP52">
        <v>320</v>
      </c>
      <c r="CQ52">
        <v>321</v>
      </c>
      <c r="CR52">
        <v>352</v>
      </c>
      <c r="CS52">
        <v>353</v>
      </c>
      <c r="CT52">
        <v>384</v>
      </c>
      <c r="CU52">
        <v>385</v>
      </c>
      <c r="DE52">
        <v>50</v>
      </c>
      <c r="DF52" t="str">
        <f>IF(IFERROR(MATCH(FFARawStatProjections!A53,Draft!BY:BY,0),1)&lt;=1,IF(FFARawStatProjections!A53=0,"",FFARawStatProjections!A53),"")</f>
        <v>Jarrett Stidham</v>
      </c>
    </row>
    <row r="53" spans="1:110" ht="15.75" thickBot="1" x14ac:dyDescent="0.3">
      <c r="A53" s="196"/>
      <c r="B53" s="336" t="str">
        <f>IFERROR( INDEX(FFARawStatProjections!C:C,MATCH(C53,FFARawStatProjections!A:A,0)), "")</f>
        <v/>
      </c>
      <c r="C53" s="538" t="str">
        <f>IFERROR(IF(INDEX(Draft!BY:BY,MATCH(G53,Draft!BX:BX,0))="",G53,(INDEX(Draft!BY:BY,MATCH(G53,Draft!BX:BX,0)))),"")</f>
        <v/>
      </c>
      <c r="D53" s="538" t="str">
        <f>IFERROR(INDEX(FFARawStatProjections!B:B,MATCH(C53,FFARawStatProjections!A:A,0)),"")</f>
        <v/>
      </c>
      <c r="E53" s="337" t="str">
        <f>IFERROR(INDEX(FFARawStatProjections!D:D,MATCH(C53,FFARawStatProjections!A:A,0)),"")</f>
        <v/>
      </c>
      <c r="F53" s="207">
        <f>VALUE($E$22&amp;25)</f>
        <v>225</v>
      </c>
      <c r="G53" s="207" t="e">
        <f>VLOOKUP($E$22&amp;25, 'Draft Pick Order'!B:C, 2, FALSE)</f>
        <v>#N/A</v>
      </c>
      <c r="H53" s="197"/>
      <c r="I53" s="180" t="str">
        <f>IF(QBproj!D57=0,"",QBproj!D57)</f>
        <v>Andy Dalton</v>
      </c>
      <c r="J53" s="461" t="str">
        <f>QBproj!E57</f>
        <v>CAR</v>
      </c>
      <c r="K53" s="184">
        <f>QBproj!F57</f>
        <v>23.274509999999999</v>
      </c>
      <c r="L53" s="517">
        <f>IFERROR(IF(QBproj!H57="",QBproj!G57,QBproj!H57),0)</f>
        <v>8</v>
      </c>
      <c r="M53" s="503">
        <f>INDEX(Draft!$BW:$BW,MATCH(I53,Draft_Names_Master,0))</f>
        <v>0</v>
      </c>
      <c r="N53">
        <v>5.0999999999999997E-2</v>
      </c>
      <c r="O53">
        <f>IFERROR(IF(INDEX(Instructions!$V$64:$V$83,MATCH('Draft Slayer Classic'!I53,Instructions!$S$64:$S$83,0))&lt;=$E$25,1,0),0)</f>
        <v>0</v>
      </c>
      <c r="P53">
        <f>IFERROR(INDEX(ADP!$A$7:$A$260,MATCH(I53,ADP!$D$7:$D$260,0)),999+N53)</f>
        <v>999.05100000000004</v>
      </c>
      <c r="Q53">
        <f t="shared" si="0"/>
        <v>5.0999999999999997E-2</v>
      </c>
      <c r="R53">
        <f>IFERROR(INDEX(Instructions!$U$111:$U$222,MATCH(I53,Instructions!$T$111:$T$222,0)),0)</f>
        <v>0</v>
      </c>
      <c r="S53" s="197"/>
      <c r="T53" s="187" t="str">
        <f>RBproj!D57</f>
        <v>DOnta Foreman</v>
      </c>
      <c r="U53" s="461" t="str">
        <f>RBproj!E57</f>
        <v>CHI</v>
      </c>
      <c r="V53" s="184">
        <f>RBproj!F57</f>
        <v>106.15165999999999</v>
      </c>
      <c r="W53" s="517">
        <f>IFERROR(IF(RBproj!H57="",RBproj!G57,RBproj!H57),0)</f>
        <v>8</v>
      </c>
      <c r="X53" s="504">
        <f>INDEX(Draft!$BW:$BW,MATCH(T53,Draft_Names_Master,0))</f>
        <v>0</v>
      </c>
      <c r="Y53">
        <v>5.0999999999999997E-2</v>
      </c>
      <c r="Z53">
        <f>IFERROR(IF(INDEX(Instructions!$X$64:$X$83,MATCH('Draft Slayer Classic'!T53,Instructions!$T$64:$T$83,0))&lt;=$E$25,1,0),0)</f>
        <v>0</v>
      </c>
      <c r="AA53">
        <f>IFERROR(INDEX(ADP!$A$7:$A$260,MATCH(T53,ADP!$D$7:$D$260,0)),999+Y53)</f>
        <v>121</v>
      </c>
      <c r="AB53">
        <f t="shared" si="1"/>
        <v>5.0999999999999997E-2</v>
      </c>
      <c r="AC53">
        <f>IFERROR(INDEX(Instructions!$U$111:$U$222,MATCH(T53,Instructions!$T$111:$T$222,0)),0)</f>
        <v>0</v>
      </c>
      <c r="AD53" s="197"/>
      <c r="AE53" s="187" t="str">
        <f>WRproj!D57</f>
        <v>Rondale Moore</v>
      </c>
      <c r="AF53" s="461" t="str">
        <f>WRproj!E57</f>
        <v>AZ</v>
      </c>
      <c r="AG53" s="184">
        <f>WRproj!F57</f>
        <v>150.60371000000001</v>
      </c>
      <c r="AH53" s="517">
        <f>IFERROR(IF(WRproj!H57="",WRproj!G57,WRproj!H57),0)</f>
        <v>8</v>
      </c>
      <c r="AI53" s="503">
        <f>INDEX(Draft!$BW:$BW,MATCH(AE53,Draft_Names_Master,0))</f>
        <v>0</v>
      </c>
      <c r="AJ53">
        <v>5.0999999999999997E-2</v>
      </c>
      <c r="AK53">
        <f>IFERROR(IF(INDEX(Instructions!$V$86:$V$105,MATCH('Draft Slayer Classic'!AE53,Instructions!$S$86:$S$105,0))&lt;=$E$25,1,0),0)</f>
        <v>0</v>
      </c>
      <c r="AL53">
        <f>IFERROR(INDEX(ADP!$A$7:$A$260,MATCH(AE53,ADP!$D$7:$D$260,0)),999+AJ53)</f>
        <v>143</v>
      </c>
      <c r="AM53">
        <f t="shared" si="2"/>
        <v>5.0999999999999997E-2</v>
      </c>
      <c r="AN53">
        <f>IFERROR(INDEX(Instructions!$U$111:$U$222,MATCH(AE53,Instructions!$T$111:$T$222,0)),0)</f>
        <v>0</v>
      </c>
      <c r="AO53" s="197"/>
      <c r="AP53" s="187" t="str">
        <f>TEproj!D57</f>
        <v>Josiah Deguara</v>
      </c>
      <c r="AQ53" s="461" t="str">
        <f>TEproj!E57</f>
        <v>GB</v>
      </c>
      <c r="AR53" s="184">
        <f>TEproj!F57</f>
        <v>43.736350000000002</v>
      </c>
      <c r="AS53" s="517">
        <f>IFERROR(IF(TEproj!H57="",TEproj!G57,TEproj!H57),0)</f>
        <v>8</v>
      </c>
      <c r="AT53" s="503">
        <f>INDEX(Draft!$BW:$BW,MATCH(AP53,Draft_Names_Master,0))</f>
        <v>0</v>
      </c>
      <c r="AU53">
        <v>5.0999999999999997E-2</v>
      </c>
      <c r="AV53">
        <f>IFERROR(IF(INDEX(Instructions!$X$86:$X$105,MATCH('Draft Slayer Classic'!AP53,Instructions!$T$86:$T$105,0))&lt;=$E$25,1,0),0)</f>
        <v>0</v>
      </c>
      <c r="AW53">
        <f>IFERROR(INDEX(ADP!$A$7:$A$260,MATCH(AP53,ADP!$D$7:$D$260,0)),999+AU53)</f>
        <v>999.05100000000004</v>
      </c>
      <c r="AX53">
        <f t="shared" si="3"/>
        <v>5.0999999999999997E-2</v>
      </c>
      <c r="AY53">
        <f>IFERROR(INDEX(Instructions!$U$111:$U$222,MATCH(AP53,Instructions!$T$111:$T$222,0)),0)</f>
        <v>0</v>
      </c>
      <c r="AZ53" s="197"/>
      <c r="BA53" s="197"/>
      <c r="BB53" s="216"/>
      <c r="BE53" s="197"/>
      <c r="BF53" s="197"/>
      <c r="BG53" s="216"/>
      <c r="BH53" s="216"/>
      <c r="BK53" s="203"/>
      <c r="BV53" t="str">
        <f>16&amp;2</f>
        <v>162</v>
      </c>
      <c r="BW53">
        <v>2</v>
      </c>
      <c r="BX53">
        <v>31</v>
      </c>
      <c r="BY53">
        <v>34</v>
      </c>
      <c r="BZ53">
        <v>63</v>
      </c>
      <c r="CA53">
        <v>66</v>
      </c>
      <c r="CB53">
        <v>95</v>
      </c>
      <c r="CC53">
        <v>98</v>
      </c>
      <c r="CD53">
        <v>127</v>
      </c>
      <c r="CE53">
        <v>130</v>
      </c>
      <c r="CF53">
        <v>159</v>
      </c>
      <c r="CG53">
        <v>162</v>
      </c>
      <c r="CH53">
        <v>191</v>
      </c>
      <c r="CI53">
        <v>194</v>
      </c>
      <c r="CJ53">
        <v>223</v>
      </c>
      <c r="CK53">
        <v>226</v>
      </c>
      <c r="CL53">
        <v>255</v>
      </c>
      <c r="CM53">
        <v>258</v>
      </c>
      <c r="CN53">
        <v>287</v>
      </c>
      <c r="CO53">
        <v>290</v>
      </c>
      <c r="CP53">
        <v>319</v>
      </c>
      <c r="CQ53">
        <v>322</v>
      </c>
      <c r="CR53">
        <v>351</v>
      </c>
      <c r="CS53">
        <v>354</v>
      </c>
      <c r="CT53">
        <v>383</v>
      </c>
      <c r="CU53">
        <v>386</v>
      </c>
      <c r="DE53">
        <v>51</v>
      </c>
      <c r="DF53" t="str">
        <f>IF(IFERROR(MATCH(FFARawStatProjections!A54,Draft!BY:BY,0),1)&lt;=1,IF(FFARawStatProjections!A54=0,"",FFARawStatProjections!A54),"")</f>
        <v>Sean Clifford</v>
      </c>
    </row>
    <row r="54" spans="1:110" ht="15.75" thickBot="1" x14ac:dyDescent="0.3">
      <c r="A54" s="196"/>
      <c r="B54" s="197"/>
      <c r="C54" s="197"/>
      <c r="D54" s="197"/>
      <c r="E54" s="197"/>
      <c r="F54" s="197"/>
      <c r="G54" s="197"/>
      <c r="H54" s="197"/>
      <c r="I54" s="182" t="str">
        <f>IF(QBproj!D58=0,"",QBproj!D58)</f>
        <v>Hendon Hooker</v>
      </c>
      <c r="J54" s="290" t="str">
        <f>QBproj!E58</f>
        <v>DET</v>
      </c>
      <c r="K54" s="183">
        <f>QBproj!F58</f>
        <v>23.062539999999998</v>
      </c>
      <c r="L54" s="517">
        <f>IFERROR(IF(QBproj!H58="",QBproj!G58,QBproj!H58),0)</f>
        <v>8</v>
      </c>
      <c r="M54" s="504">
        <f>INDEX(Draft!$BW:$BW,MATCH(I54,Draft_Names_Master,0))</f>
        <v>0</v>
      </c>
      <c r="N54">
        <v>5.1999999999999998E-2</v>
      </c>
      <c r="O54">
        <f>IFERROR(IF(INDEX(Instructions!$V$64:$V$83,MATCH('Draft Slayer Classic'!I54,Instructions!$S$64:$S$83,0))&lt;=$E$25,1,0),0)</f>
        <v>0</v>
      </c>
      <c r="P54">
        <f>IFERROR(INDEX(ADP!$A$7:$A$260,MATCH(I54,ADP!$D$7:$D$260,0)),999+N54)</f>
        <v>999.05200000000002</v>
      </c>
      <c r="Q54">
        <f t="shared" si="0"/>
        <v>5.1999999999999998E-2</v>
      </c>
      <c r="R54">
        <f>IFERROR(INDEX(Instructions!$U$111:$U$222,MATCH(I54,Instructions!$T$111:$T$222,0)),0)</f>
        <v>0</v>
      </c>
      <c r="S54" s="197"/>
      <c r="T54" s="182" t="str">
        <f>RBproj!D58</f>
        <v>Kenneth Gainwell</v>
      </c>
      <c r="U54" s="290" t="str">
        <f>RBproj!E58</f>
        <v>PHI</v>
      </c>
      <c r="V54" s="183">
        <f>RBproj!F58</f>
        <v>98.611599999999996</v>
      </c>
      <c r="W54" s="517">
        <f>IFERROR(IF(RBproj!H58="",RBproj!G58,RBproj!H58),0)</f>
        <v>8</v>
      </c>
      <c r="X54" s="504">
        <f>INDEX(Draft!$BW:$BW,MATCH(T54,Draft_Names_Master,0))</f>
        <v>0</v>
      </c>
      <c r="Y54">
        <v>5.1999999999999998E-2</v>
      </c>
      <c r="Z54">
        <f>IFERROR(IF(INDEX(Instructions!$X$64:$X$83,MATCH('Draft Slayer Classic'!T54,Instructions!$T$64:$T$83,0))&lt;=$E$25,1,0),0)</f>
        <v>0</v>
      </c>
      <c r="AA54">
        <f>IFERROR(INDEX(ADP!$A$7:$A$260,MATCH(T54,ADP!$D$7:$D$260,0)),999+Y54)</f>
        <v>120</v>
      </c>
      <c r="AB54">
        <f t="shared" si="1"/>
        <v>5.1999999999999998E-2</v>
      </c>
      <c r="AC54">
        <f>IFERROR(INDEX(Instructions!$U$111:$U$222,MATCH(T54,Instructions!$T$111:$T$222,0)),0)</f>
        <v>0</v>
      </c>
      <c r="AD54" s="197"/>
      <c r="AE54" s="182" t="str">
        <f>WRproj!D58</f>
        <v>Zay Jones</v>
      </c>
      <c r="AF54" s="290" t="str">
        <f>WRproj!E58</f>
        <v>JAC</v>
      </c>
      <c r="AG54" s="183">
        <f>WRproj!F58</f>
        <v>148.27362999999997</v>
      </c>
      <c r="AH54" s="517">
        <f>IFERROR(IF(WRproj!H58="",WRproj!G58,WRproj!H58),0)</f>
        <v>8</v>
      </c>
      <c r="AI54" s="503">
        <f>INDEX(Draft!$BW:$BW,MATCH(AE54,Draft_Names_Master,0))</f>
        <v>0</v>
      </c>
      <c r="AJ54">
        <v>5.1999999999999998E-2</v>
      </c>
      <c r="AK54">
        <f>IFERROR(IF(INDEX(Instructions!$V$86:$V$105,MATCH('Draft Slayer Classic'!AE54,Instructions!$S$86:$S$105,0))&lt;=$E$25,1,0),0)</f>
        <v>0</v>
      </c>
      <c r="AL54">
        <f>IFERROR(INDEX(ADP!$A$7:$A$260,MATCH(AE54,ADP!$D$7:$D$260,0)),999+AJ54)</f>
        <v>154</v>
      </c>
      <c r="AM54">
        <f t="shared" si="2"/>
        <v>5.1999999999999998E-2</v>
      </c>
      <c r="AN54">
        <f>IFERROR(INDEX(Instructions!$U$111:$U$222,MATCH(AE54,Instructions!$T$111:$T$222,0)),0)</f>
        <v>0</v>
      </c>
      <c r="AO54" s="197"/>
      <c r="AP54" s="182" t="str">
        <f>TEproj!D58</f>
        <v>Jordan Akins</v>
      </c>
      <c r="AQ54" s="290" t="str">
        <f>TEproj!E58</f>
        <v>CLE</v>
      </c>
      <c r="AR54" s="183">
        <f>TEproj!F58</f>
        <v>42.636580000000009</v>
      </c>
      <c r="AS54" s="517">
        <f>IFERROR(IF(TEproj!H58="",TEproj!G58,TEproj!H58),0)</f>
        <v>8</v>
      </c>
      <c r="AT54" s="504">
        <f>INDEX(Draft!$BW:$BW,MATCH(AP54,Draft_Names_Master,0))</f>
        <v>0</v>
      </c>
      <c r="AU54">
        <v>5.1999999999999998E-2</v>
      </c>
      <c r="AV54">
        <f>IFERROR(IF(INDEX(Instructions!$X$86:$X$105,MATCH('Draft Slayer Classic'!AP54,Instructions!$T$86:$T$105,0))&lt;=$E$25,1,0),0)</f>
        <v>0</v>
      </c>
      <c r="AW54">
        <f>IFERROR(INDEX(ADP!$A$7:$A$260,MATCH(AP54,ADP!$D$7:$D$260,0)),999+AU54)</f>
        <v>999.05200000000002</v>
      </c>
      <c r="AX54">
        <f t="shared" si="3"/>
        <v>5.1999999999999998E-2</v>
      </c>
      <c r="AY54">
        <f>IFERROR(INDEX(Instructions!$U$111:$U$222,MATCH(AP54,Instructions!$T$111:$T$222,0)),0)</f>
        <v>0</v>
      </c>
      <c r="AZ54" s="197"/>
      <c r="BA54" s="197"/>
      <c r="BB54" s="216"/>
      <c r="BE54" s="197"/>
      <c r="BF54" s="197"/>
      <c r="BG54" s="216"/>
      <c r="BH54" s="216"/>
      <c r="BK54" s="203"/>
      <c r="BV54" t="str">
        <f>16&amp;3</f>
        <v>163</v>
      </c>
      <c r="BW54">
        <v>3</v>
      </c>
      <c r="BX54">
        <v>30</v>
      </c>
      <c r="BY54">
        <v>35</v>
      </c>
      <c r="BZ54">
        <v>62</v>
      </c>
      <c r="CA54">
        <v>67</v>
      </c>
      <c r="CB54">
        <v>94</v>
      </c>
      <c r="CC54">
        <v>99</v>
      </c>
      <c r="CD54">
        <v>126</v>
      </c>
      <c r="CE54">
        <v>131</v>
      </c>
      <c r="CF54">
        <v>158</v>
      </c>
      <c r="CG54">
        <v>163</v>
      </c>
      <c r="CH54">
        <v>190</v>
      </c>
      <c r="CI54">
        <v>195</v>
      </c>
      <c r="CJ54">
        <v>222</v>
      </c>
      <c r="CK54">
        <v>227</v>
      </c>
      <c r="CL54">
        <v>254</v>
      </c>
      <c r="CM54">
        <v>259</v>
      </c>
      <c r="CN54">
        <v>286</v>
      </c>
      <c r="CO54">
        <v>291</v>
      </c>
      <c r="CP54">
        <v>318</v>
      </c>
      <c r="CQ54">
        <v>323</v>
      </c>
      <c r="CR54">
        <v>350</v>
      </c>
      <c r="CS54">
        <v>355</v>
      </c>
      <c r="CT54">
        <v>382</v>
      </c>
      <c r="CU54">
        <v>387</v>
      </c>
      <c r="DE54">
        <v>52</v>
      </c>
      <c r="DF54" t="str">
        <f>IF(IFERROR(MATCH(FFARawStatProjections!A55,Draft!BY:BY,0),1)&lt;=1,IF(FFARawStatProjections!A55=0,"",FFARawStatProjections!A55),"")</f>
        <v>Hendon Hooker</v>
      </c>
    </row>
    <row r="55" spans="1:110" ht="15.75" thickBot="1" x14ac:dyDescent="0.3">
      <c r="A55" s="196"/>
      <c r="B55" s="217" t="s">
        <v>915</v>
      </c>
      <c r="C55" s="218"/>
      <c r="D55" s="219" t="s">
        <v>916</v>
      </c>
      <c r="E55" s="220"/>
      <c r="F55" s="197"/>
      <c r="G55" s="197"/>
      <c r="H55" s="197"/>
      <c r="I55" s="180" t="str">
        <f>IF(QBproj!D59=0,"",QBproj!D59)</f>
        <v>Jarrett Stidham</v>
      </c>
      <c r="J55" s="461" t="str">
        <f>QBproj!E59</f>
        <v>DEN</v>
      </c>
      <c r="K55" s="184">
        <f>QBproj!F59</f>
        <v>22.154520000000005</v>
      </c>
      <c r="L55" s="517">
        <f>IFERROR(IF(QBproj!H59="",QBproj!G59,QBproj!H59),0)</f>
        <v>8</v>
      </c>
      <c r="M55" s="503">
        <f>INDEX(Draft!$BW:$BW,MATCH(I55,Draft_Names_Master,0))</f>
        <v>0</v>
      </c>
      <c r="N55">
        <v>5.2999999999999999E-2</v>
      </c>
      <c r="O55">
        <f>IFERROR(IF(INDEX(Instructions!$V$64:$V$83,MATCH('Draft Slayer Classic'!I55,Instructions!$S$64:$S$83,0))&lt;=$E$25,1,0),0)</f>
        <v>0</v>
      </c>
      <c r="P55">
        <f>IFERROR(INDEX(ADP!$A$7:$A$260,MATCH(I55,ADP!$D$7:$D$260,0)),999+N55)</f>
        <v>999.053</v>
      </c>
      <c r="Q55">
        <f t="shared" si="0"/>
        <v>5.2999999999999999E-2</v>
      </c>
      <c r="R55">
        <f>IFERROR(INDEX(Instructions!$U$111:$U$222,MATCH(I55,Instructions!$T$111:$T$222,0)),0)</f>
        <v>0</v>
      </c>
      <c r="S55" s="197"/>
      <c r="T55" s="187" t="str">
        <f>RBproj!D59</f>
        <v>Tank Bigsby</v>
      </c>
      <c r="U55" s="461" t="str">
        <f>RBproj!E59</f>
        <v>JAC</v>
      </c>
      <c r="V55" s="184">
        <f>RBproj!F59</f>
        <v>95.651690000000002</v>
      </c>
      <c r="W55" s="517">
        <f>IFERROR(IF(RBproj!H59="",RBproj!G59,RBproj!H59),0)</f>
        <v>8</v>
      </c>
      <c r="X55" s="504">
        <f>INDEX(Draft!$BW:$BW,MATCH(T55,Draft_Names_Master,0))</f>
        <v>0</v>
      </c>
      <c r="Y55">
        <v>5.2999999999999999E-2</v>
      </c>
      <c r="Z55">
        <f>IFERROR(IF(INDEX(Instructions!$X$64:$X$83,MATCH('Draft Slayer Classic'!T55,Instructions!$T$64:$T$83,0))&lt;=$E$25,1,0),0)</f>
        <v>0</v>
      </c>
      <c r="AA55">
        <f>IFERROR(INDEX(ADP!$A$7:$A$260,MATCH(T55,ADP!$D$7:$D$260,0)),999+Y55)</f>
        <v>144</v>
      </c>
      <c r="AB55">
        <f t="shared" si="1"/>
        <v>5.2999999999999999E-2</v>
      </c>
      <c r="AC55">
        <f>IFERROR(INDEX(Instructions!$U$111:$U$222,MATCH(T55,Instructions!$T$111:$T$222,0)),0)</f>
        <v>0</v>
      </c>
      <c r="AD55" s="197"/>
      <c r="AE55" s="187" t="str">
        <f>WRproj!D59</f>
        <v>Quentin Johnston</v>
      </c>
      <c r="AF55" s="461" t="str">
        <f>WRproj!E59</f>
        <v>LAC</v>
      </c>
      <c r="AG55" s="184">
        <f>WRproj!F59</f>
        <v>144.8837</v>
      </c>
      <c r="AH55" s="517">
        <f>IFERROR(IF(WRproj!H59="",WRproj!G59,WRproj!H59),0)</f>
        <v>8</v>
      </c>
      <c r="AI55" s="503">
        <f>INDEX(Draft!$BW:$BW,MATCH(AE55,Draft_Names_Master,0))</f>
        <v>0</v>
      </c>
      <c r="AJ55">
        <v>5.2999999999999999E-2</v>
      </c>
      <c r="AK55">
        <f>IFERROR(IF(INDEX(Instructions!$V$86:$V$105,MATCH('Draft Slayer Classic'!AE55,Instructions!$S$86:$S$105,0))&lt;=$E$25,1,0),0)</f>
        <v>0</v>
      </c>
      <c r="AL55">
        <f>IFERROR(INDEX(ADP!$A$7:$A$260,MATCH(AE55,ADP!$D$7:$D$260,0)),999+AJ55)</f>
        <v>98</v>
      </c>
      <c r="AM55">
        <f t="shared" si="2"/>
        <v>5.2999999999999999E-2</v>
      </c>
      <c r="AN55">
        <f>IFERROR(INDEX(Instructions!$U$111:$U$222,MATCH(AE55,Instructions!$T$111:$T$222,0)),0)</f>
        <v>0</v>
      </c>
      <c r="AO55" s="197"/>
      <c r="AP55" s="187" t="str">
        <f>TEproj!D59</f>
        <v>Harrison Bryant</v>
      </c>
      <c r="AQ55" s="461" t="str">
        <f>TEproj!E59</f>
        <v>CLE</v>
      </c>
      <c r="AR55" s="184">
        <f>TEproj!F59</f>
        <v>42.226610000000001</v>
      </c>
      <c r="AS55" s="517">
        <f>IFERROR(IF(TEproj!H59="",TEproj!G59,TEproj!H59),0)</f>
        <v>8</v>
      </c>
      <c r="AT55" s="503">
        <f>INDEX(Draft!$BW:$BW,MATCH(AP55,Draft_Names_Master,0))</f>
        <v>0</v>
      </c>
      <c r="AU55">
        <v>5.2999999999999999E-2</v>
      </c>
      <c r="AV55">
        <f>IFERROR(IF(INDEX(Instructions!$X$86:$X$105,MATCH('Draft Slayer Classic'!AP55,Instructions!$T$86:$T$105,0))&lt;=$E$25,1,0),0)</f>
        <v>0</v>
      </c>
      <c r="AW55">
        <f>IFERROR(INDEX(ADP!$A$7:$A$260,MATCH(AP55,ADP!$D$7:$D$260,0)),999+AU55)</f>
        <v>999.053</v>
      </c>
      <c r="AX55">
        <f t="shared" si="3"/>
        <v>5.2999999999999999E-2</v>
      </c>
      <c r="AY55">
        <f>IFERROR(INDEX(Instructions!$U$111:$U$222,MATCH(AP55,Instructions!$T$111:$T$222,0)),0)</f>
        <v>0</v>
      </c>
      <c r="AZ55" s="197"/>
      <c r="BA55" s="197"/>
      <c r="BB55" s="216"/>
      <c r="BE55" s="197"/>
      <c r="BF55" s="197"/>
      <c r="BG55" s="216"/>
      <c r="BH55" s="216"/>
      <c r="BK55" s="203"/>
      <c r="BV55" t="str">
        <f>16&amp;4</f>
        <v>164</v>
      </c>
      <c r="BW55">
        <v>4</v>
      </c>
      <c r="BX55">
        <v>29</v>
      </c>
      <c r="BY55">
        <v>36</v>
      </c>
      <c r="BZ55">
        <v>61</v>
      </c>
      <c r="CA55">
        <v>68</v>
      </c>
      <c r="CB55">
        <v>93</v>
      </c>
      <c r="CC55">
        <v>100</v>
      </c>
      <c r="CD55">
        <v>125</v>
      </c>
      <c r="CE55">
        <v>132</v>
      </c>
      <c r="CF55">
        <v>157</v>
      </c>
      <c r="CG55">
        <v>164</v>
      </c>
      <c r="CH55">
        <v>189</v>
      </c>
      <c r="CI55">
        <v>196</v>
      </c>
      <c r="CJ55">
        <v>221</v>
      </c>
      <c r="CK55">
        <v>228</v>
      </c>
      <c r="CL55">
        <v>253</v>
      </c>
      <c r="CM55">
        <v>260</v>
      </c>
      <c r="CN55">
        <v>285</v>
      </c>
      <c r="CO55">
        <v>292</v>
      </c>
      <c r="CP55">
        <v>317</v>
      </c>
      <c r="CQ55">
        <v>324</v>
      </c>
      <c r="CR55">
        <v>349</v>
      </c>
      <c r="CS55">
        <v>356</v>
      </c>
      <c r="CT55">
        <v>381</v>
      </c>
      <c r="CU55">
        <v>388</v>
      </c>
      <c r="DE55">
        <v>53</v>
      </c>
      <c r="DF55" t="str">
        <f>IF(IFERROR(MATCH(FFARawStatProjections!A56,Draft!BY:BY,0),1)&lt;=1,IF(FFARawStatProjections!A56=0,"",FFARawStatProjections!A56),"")</f>
        <v>Teddy Bridgewater</v>
      </c>
    </row>
    <row r="56" spans="1:110" x14ac:dyDescent="0.25">
      <c r="A56" s="196"/>
      <c r="B56" s="171" t="s">
        <v>1</v>
      </c>
      <c r="C56" s="172">
        <f>IFERROR(INDEX(ADP!Q:Q,$E$25+$E$26+5)-E56, "")</f>
        <v>0</v>
      </c>
      <c r="D56" s="172" t="s">
        <v>1</v>
      </c>
      <c r="E56" s="173">
        <f>COUNTIF(Q:Q, 1)</f>
        <v>0</v>
      </c>
      <c r="F56" s="197"/>
      <c r="G56" s="197"/>
      <c r="H56" s="197"/>
      <c r="I56" s="182" t="str">
        <f>IF(QBproj!D60=0,"",QBproj!D60)</f>
        <v>Sean Clifford</v>
      </c>
      <c r="J56" s="290" t="str">
        <f>QBproj!E60</f>
        <v>GB</v>
      </c>
      <c r="K56" s="183">
        <f>QBproj!F60</f>
        <v>21.972530000000003</v>
      </c>
      <c r="L56" s="517">
        <f>IFERROR(IF(QBproj!H60="",QBproj!G60,QBproj!H60),0)</f>
        <v>8</v>
      </c>
      <c r="M56" s="504">
        <f>INDEX(Draft!$BW:$BW,MATCH(I56,Draft_Names_Master,0))</f>
        <v>0</v>
      </c>
      <c r="N56">
        <v>5.3999999999999999E-2</v>
      </c>
      <c r="O56">
        <f>IFERROR(IF(INDEX(Instructions!$V$64:$V$83,MATCH('Draft Slayer Classic'!I56,Instructions!$S$64:$S$83,0))&lt;=$E$25,1,0),0)</f>
        <v>0</v>
      </c>
      <c r="P56">
        <f>IFERROR(INDEX(ADP!$A$7:$A$260,MATCH(I56,ADP!$D$7:$D$260,0)),999+N56)</f>
        <v>999.05399999999997</v>
      </c>
      <c r="Q56">
        <f t="shared" si="0"/>
        <v>5.3999999999999999E-2</v>
      </c>
      <c r="R56">
        <f>IFERROR(INDEX(Instructions!$U$111:$U$222,MATCH(I56,Instructions!$T$111:$T$222,0)),0)</f>
        <v>0</v>
      </c>
      <c r="S56" s="197"/>
      <c r="T56" s="182" t="str">
        <f>RBproj!D60</f>
        <v>Gus Edwards</v>
      </c>
      <c r="U56" s="290" t="str">
        <f>RBproj!E60</f>
        <v>BAL</v>
      </c>
      <c r="V56" s="183">
        <f>RBproj!F60</f>
        <v>93.208410000000001</v>
      </c>
      <c r="W56" s="517">
        <f>IFERROR(IF(RBproj!H60="",RBproj!G60,RBproj!H60),0)</f>
        <v>8</v>
      </c>
      <c r="X56" s="504">
        <f>INDEX(Draft!$BW:$BW,MATCH(T56,Draft_Names_Master,0))</f>
        <v>0</v>
      </c>
      <c r="Y56">
        <v>5.3999999999999999E-2</v>
      </c>
      <c r="Z56">
        <f>IFERROR(IF(INDEX(Instructions!$X$64:$X$83,MATCH('Draft Slayer Classic'!T56,Instructions!$T$64:$T$83,0))&lt;=$E$25,1,0),0)</f>
        <v>0</v>
      </c>
      <c r="AA56">
        <f>IFERROR(INDEX(ADP!$A$7:$A$260,MATCH(T56,ADP!$D$7:$D$260,0)),999+Y56)</f>
        <v>139</v>
      </c>
      <c r="AB56">
        <f t="shared" si="1"/>
        <v>5.3999999999999999E-2</v>
      </c>
      <c r="AC56">
        <f>IFERROR(INDEX(Instructions!$U$111:$U$222,MATCH(T56,Instructions!$T$111:$T$222,0)),0)</f>
        <v>0</v>
      </c>
      <c r="AD56" s="197"/>
      <c r="AE56" s="182" t="str">
        <f>WRproj!D60</f>
        <v>Darnell Mooney</v>
      </c>
      <c r="AF56" s="290" t="str">
        <f>WRproj!E60</f>
        <v>CHI</v>
      </c>
      <c r="AG56" s="183">
        <f>WRproj!F60</f>
        <v>144.51372000000001</v>
      </c>
      <c r="AH56" s="517">
        <f>IFERROR(IF(WRproj!H60="",WRproj!G60,WRproj!H60),0)</f>
        <v>8</v>
      </c>
      <c r="AI56" s="503">
        <f>INDEX(Draft!$BW:$BW,MATCH(AE56,Draft_Names_Master,0))</f>
        <v>0</v>
      </c>
      <c r="AJ56">
        <v>5.3999999999999999E-2</v>
      </c>
      <c r="AK56">
        <f>IFERROR(IF(INDEX(Instructions!$V$86:$V$105,MATCH('Draft Slayer Classic'!AE56,Instructions!$S$86:$S$105,0))&lt;=$E$25,1,0),0)</f>
        <v>0</v>
      </c>
      <c r="AL56">
        <f>IFERROR(INDEX(ADP!$A$7:$A$260,MATCH(AE56,ADP!$D$7:$D$260,0)),999+AJ56)</f>
        <v>125</v>
      </c>
      <c r="AM56">
        <f t="shared" si="2"/>
        <v>5.3999999999999999E-2</v>
      </c>
      <c r="AN56">
        <f>IFERROR(INDEX(Instructions!$U$111:$U$222,MATCH(AE56,Instructions!$T$111:$T$222,0)),0)</f>
        <v>0</v>
      </c>
      <c r="AO56" s="197"/>
      <c r="AP56" s="182" t="str">
        <f>TEproj!D60</f>
        <v>Jimmy Graham</v>
      </c>
      <c r="AQ56" s="290" t="str">
        <f>TEproj!E60</f>
        <v>NO</v>
      </c>
      <c r="AR56" s="183">
        <f>TEproj!F60</f>
        <v>38.966630000000002</v>
      </c>
      <c r="AS56" s="517">
        <f>IFERROR(IF(TEproj!H60="",TEproj!G60,TEproj!H60),0)</f>
        <v>8</v>
      </c>
      <c r="AT56" s="504">
        <f>INDEX(Draft!$BW:$BW,MATCH(AP56,Draft_Names_Master,0))</f>
        <v>0</v>
      </c>
      <c r="AU56">
        <v>5.3999999999999999E-2</v>
      </c>
      <c r="AV56">
        <f>IFERROR(IF(INDEX(Instructions!$X$86:$X$105,MATCH('Draft Slayer Classic'!AP56,Instructions!$T$86:$T$105,0))&lt;=$E$25,1,0),0)</f>
        <v>0</v>
      </c>
      <c r="AW56">
        <f>IFERROR(INDEX(ADP!$A$7:$A$260,MATCH(AP56,ADP!$D$7:$D$260,0)),999+AU56)</f>
        <v>999.05399999999997</v>
      </c>
      <c r="AX56">
        <f t="shared" si="3"/>
        <v>5.3999999999999999E-2</v>
      </c>
      <c r="AY56">
        <f>IFERROR(INDEX(Instructions!$U$111:$U$222,MATCH(AP56,Instructions!$T$111:$T$222,0)),0)</f>
        <v>0</v>
      </c>
      <c r="AZ56" s="197"/>
      <c r="BA56" s="197"/>
      <c r="BB56" s="216"/>
      <c r="BE56" s="197"/>
      <c r="BF56" s="197"/>
      <c r="BG56" s="216"/>
      <c r="BH56" s="216"/>
      <c r="BK56" s="203"/>
      <c r="BV56" t="str">
        <f>16&amp;5</f>
        <v>165</v>
      </c>
      <c r="BW56">
        <v>5</v>
      </c>
      <c r="BX56">
        <v>28</v>
      </c>
      <c r="BY56">
        <v>37</v>
      </c>
      <c r="BZ56">
        <v>60</v>
      </c>
      <c r="CA56">
        <v>69</v>
      </c>
      <c r="CB56">
        <v>92</v>
      </c>
      <c r="CC56">
        <v>101</v>
      </c>
      <c r="CD56">
        <v>124</v>
      </c>
      <c r="CE56">
        <v>133</v>
      </c>
      <c r="CF56">
        <v>156</v>
      </c>
      <c r="CG56">
        <v>165</v>
      </c>
      <c r="CH56">
        <v>188</v>
      </c>
      <c r="CI56">
        <v>197</v>
      </c>
      <c r="CJ56">
        <v>220</v>
      </c>
      <c r="CK56">
        <v>229</v>
      </c>
      <c r="CL56">
        <v>252</v>
      </c>
      <c r="CM56">
        <v>261</v>
      </c>
      <c r="CN56">
        <v>284</v>
      </c>
      <c r="CO56">
        <v>293</v>
      </c>
      <c r="CP56">
        <v>316</v>
      </c>
      <c r="CQ56">
        <v>325</v>
      </c>
      <c r="CR56">
        <v>348</v>
      </c>
      <c r="CS56">
        <v>357</v>
      </c>
      <c r="CT56">
        <v>380</v>
      </c>
      <c r="CU56">
        <v>389</v>
      </c>
      <c r="DE56">
        <v>54</v>
      </c>
      <c r="DF56" t="str">
        <f>IF(IFERROR(MATCH(FFARawStatProjections!A57,Draft!BY:BY,0),1)&lt;=1,IF(FFARawStatProjections!A57=0,"",FFARawStatProjections!A57),"")</f>
        <v>Blaine Gabbert</v>
      </c>
    </row>
    <row r="57" spans="1:110" ht="15.75" thickBot="1" x14ac:dyDescent="0.3">
      <c r="A57" s="196"/>
      <c r="B57" s="174" t="s">
        <v>3</v>
      </c>
      <c r="C57" s="175">
        <f>IFERROR(INDEX(ADP!R:R,$E$25+$E$26+5)-E57, "")</f>
        <v>0</v>
      </c>
      <c r="D57" s="175" t="s">
        <v>3</v>
      </c>
      <c r="E57" s="176">
        <f>COUNTIF(AB:AB, 1)</f>
        <v>0</v>
      </c>
      <c r="F57" s="197"/>
      <c r="G57" s="197"/>
      <c r="H57" s="197"/>
      <c r="I57" s="520" t="str">
        <f>IF(QBproj!D61=0,"",QBproj!D61)</f>
        <v>Blaine Gabbert</v>
      </c>
      <c r="J57" s="462" t="str">
        <f>QBproj!E61</f>
        <v>KC</v>
      </c>
      <c r="K57" s="189">
        <f>QBproj!F61</f>
        <v>20.420560000000002</v>
      </c>
      <c r="L57" s="518">
        <f>IFERROR(IF(QBproj!H61="",QBproj!G61,QBproj!H61),0)</f>
        <v>8</v>
      </c>
      <c r="M57" s="503">
        <f>INDEX(Draft!$BW:$BW,MATCH(I57,Draft_Names_Master,0))</f>
        <v>0</v>
      </c>
      <c r="N57">
        <v>5.5E-2</v>
      </c>
      <c r="O57">
        <f>IFERROR(IF(INDEX(Instructions!$V$64:$V$83,MATCH('Draft Slayer Classic'!I57,Instructions!$S$64:$S$83,0))&lt;=$E$25,1,0),0)</f>
        <v>0</v>
      </c>
      <c r="P57">
        <f>IFERROR(INDEX(ADP!$A$7:$A$260,MATCH(I57,ADP!$D$7:$D$260,0)),999+N57)</f>
        <v>999.05499999999995</v>
      </c>
      <c r="Q57">
        <f t="shared" si="0"/>
        <v>5.5E-2</v>
      </c>
      <c r="R57">
        <f>IFERROR(INDEX(Instructions!$U$111:$U$222,MATCH(I57,Instructions!$T$111:$T$222,0)),0)</f>
        <v>0</v>
      </c>
      <c r="S57" s="197"/>
      <c r="T57" s="187" t="str">
        <f>RBproj!D61</f>
        <v>Kareem Hunt</v>
      </c>
      <c r="U57" s="461" t="str">
        <f>RBproj!E61</f>
        <v>FA</v>
      </c>
      <c r="V57" s="184">
        <f>RBproj!F61</f>
        <v>89.471680000000006</v>
      </c>
      <c r="W57" s="517">
        <f>IFERROR(IF(RBproj!H61="",RBproj!G61,RBproj!H61),0)</f>
        <v>8</v>
      </c>
      <c r="X57" s="504">
        <f>INDEX(Draft!$BW:$BW,MATCH(T57,Draft_Names_Master,0))</f>
        <v>0</v>
      </c>
      <c r="Y57">
        <v>5.5E-2</v>
      </c>
      <c r="Z57">
        <f>IFERROR(IF(INDEX(Instructions!$X$64:$X$83,MATCH('Draft Slayer Classic'!T57,Instructions!$T$64:$T$83,0))&lt;=$E$25,1,0),0)</f>
        <v>0</v>
      </c>
      <c r="AA57">
        <f>IFERROR(INDEX(ADP!$A$7:$A$260,MATCH(T57,ADP!$D$7:$D$260,0)),999+Y57)</f>
        <v>999.05499999999995</v>
      </c>
      <c r="AB57">
        <f t="shared" si="1"/>
        <v>5.5E-2</v>
      </c>
      <c r="AC57">
        <f>IFERROR(INDEX(Instructions!$U$111:$U$222,MATCH(T57,Instructions!$T$111:$T$222,0)),0)</f>
        <v>0</v>
      </c>
      <c r="AD57" s="197"/>
      <c r="AE57" s="187" t="str">
        <f>WRproj!D61</f>
        <v>DJ Chark</v>
      </c>
      <c r="AF57" s="461" t="str">
        <f>WRproj!E61</f>
        <v>CAR</v>
      </c>
      <c r="AG57" s="184">
        <f>WRproj!F61</f>
        <v>143.95366999999999</v>
      </c>
      <c r="AH57" s="517">
        <f>IFERROR(IF(WRproj!H61="",WRproj!G61,WRproj!H61),0)</f>
        <v>8</v>
      </c>
      <c r="AI57" s="503">
        <f>INDEX(Draft!$BW:$BW,MATCH(AE57,Draft_Names_Master,0))</f>
        <v>0</v>
      </c>
      <c r="AJ57">
        <v>5.5E-2</v>
      </c>
      <c r="AK57">
        <f>IFERROR(IF(INDEX(Instructions!$V$86:$V$105,MATCH('Draft Slayer Classic'!AE57,Instructions!$S$86:$S$105,0))&lt;=$E$25,1,0),0)</f>
        <v>0</v>
      </c>
      <c r="AL57">
        <f>IFERROR(INDEX(ADP!$A$7:$A$260,MATCH(AE57,ADP!$D$7:$D$260,0)),999+AJ57)</f>
        <v>999.05499999999995</v>
      </c>
      <c r="AM57">
        <f t="shared" si="2"/>
        <v>5.5E-2</v>
      </c>
      <c r="AN57">
        <f>IFERROR(INDEX(Instructions!$U$111:$U$222,MATCH(AE57,Instructions!$T$111:$T$222,0)),0)</f>
        <v>0</v>
      </c>
      <c r="AO57" s="197"/>
      <c r="AP57" s="187" t="str">
        <f>TEproj!D61</f>
        <v>Mo Alie-Cox</v>
      </c>
      <c r="AQ57" s="461" t="str">
        <f>TEproj!E61</f>
        <v>IND</v>
      </c>
      <c r="AR57" s="184">
        <f>TEproj!F61</f>
        <v>38.416649999999997</v>
      </c>
      <c r="AS57" s="517">
        <f>IFERROR(IF(TEproj!H61="",TEproj!G61,TEproj!H61),0)</f>
        <v>8</v>
      </c>
      <c r="AT57" s="503">
        <f>INDEX(Draft!$BW:$BW,MATCH(AP57,Draft_Names_Master,0))</f>
        <v>0</v>
      </c>
      <c r="AU57">
        <v>5.5E-2</v>
      </c>
      <c r="AV57">
        <f>IFERROR(IF(INDEX(Instructions!$X$86:$X$105,MATCH('Draft Slayer Classic'!AP57,Instructions!$T$86:$T$105,0))&lt;=$E$25,1,0),0)</f>
        <v>0</v>
      </c>
      <c r="AW57">
        <f>IFERROR(INDEX(ADP!$A$7:$A$260,MATCH(AP57,ADP!$D$7:$D$260,0)),999+AU57)</f>
        <v>999.05499999999995</v>
      </c>
      <c r="AX57">
        <f t="shared" si="3"/>
        <v>5.5E-2</v>
      </c>
      <c r="AY57">
        <f>IFERROR(INDEX(Instructions!$U$111:$U$222,MATCH(AP57,Instructions!$T$111:$T$222,0)),0)</f>
        <v>0</v>
      </c>
      <c r="AZ57" s="197"/>
      <c r="BA57" s="197"/>
      <c r="BB57" s="216"/>
      <c r="BE57" s="197"/>
      <c r="BF57" s="197"/>
      <c r="BG57" s="216"/>
      <c r="BH57" s="216"/>
      <c r="BK57" s="203"/>
      <c r="BV57" t="str">
        <f>16&amp;6</f>
        <v>166</v>
      </c>
      <c r="BW57">
        <v>6</v>
      </c>
      <c r="BX57">
        <v>27</v>
      </c>
      <c r="BY57">
        <v>38</v>
      </c>
      <c r="BZ57">
        <v>59</v>
      </c>
      <c r="CA57">
        <v>70</v>
      </c>
      <c r="CB57">
        <v>91</v>
      </c>
      <c r="CC57">
        <v>102</v>
      </c>
      <c r="CD57">
        <v>123</v>
      </c>
      <c r="CE57">
        <v>134</v>
      </c>
      <c r="CF57">
        <v>155</v>
      </c>
      <c r="CG57">
        <v>166</v>
      </c>
      <c r="CH57">
        <v>187</v>
      </c>
      <c r="CI57">
        <v>198</v>
      </c>
      <c r="CJ57">
        <v>219</v>
      </c>
      <c r="CK57">
        <v>230</v>
      </c>
      <c r="CL57">
        <v>251</v>
      </c>
      <c r="CM57">
        <v>262</v>
      </c>
      <c r="CN57">
        <v>283</v>
      </c>
      <c r="CO57">
        <v>294</v>
      </c>
      <c r="CP57">
        <v>315</v>
      </c>
      <c r="CQ57">
        <v>326</v>
      </c>
      <c r="CR57">
        <v>347</v>
      </c>
      <c r="CS57">
        <v>358</v>
      </c>
      <c r="CT57">
        <v>379</v>
      </c>
      <c r="CU57">
        <v>390</v>
      </c>
      <c r="DE57">
        <v>55</v>
      </c>
      <c r="DF57" t="str">
        <f>IF(IFERROR(MATCH(FFARawStatProjections!A58,Draft!BY:BY,0),1)&lt;=1,IF(FFARawStatProjections!A58=0,"",FFARawStatProjections!A58),"")</f>
        <v>Jameis Winston</v>
      </c>
    </row>
    <row r="58" spans="1:110" x14ac:dyDescent="0.25">
      <c r="A58" s="196"/>
      <c r="B58" s="171" t="s">
        <v>6</v>
      </c>
      <c r="C58" s="172">
        <f>IFERROR(INDEX(ADP!S:S,$E$25+$E$26+5)-E58, "")</f>
        <v>1</v>
      </c>
      <c r="D58" s="172" t="s">
        <v>6</v>
      </c>
      <c r="E58" s="173">
        <f>COUNTIF(AM:AM, 1)</f>
        <v>0</v>
      </c>
      <c r="F58" s="197"/>
      <c r="G58" s="197"/>
      <c r="H58" s="197"/>
      <c r="I58" s="222"/>
      <c r="J58" s="216"/>
      <c r="K58" s="216"/>
      <c r="L58" s="216"/>
      <c r="M58" s="216"/>
      <c r="S58" s="197"/>
      <c r="T58" s="182" t="str">
        <f>RBproj!D62</f>
        <v>Chase Edmonds</v>
      </c>
      <c r="U58" s="290" t="str">
        <f>RBproj!E62</f>
        <v>TB</v>
      </c>
      <c r="V58" s="183">
        <f>RBproj!F62</f>
        <v>87.861710000000016</v>
      </c>
      <c r="W58" s="517">
        <f>IFERROR(IF(RBproj!H62="",RBproj!G62,RBproj!H62),0)</f>
        <v>8</v>
      </c>
      <c r="X58" s="504">
        <f>INDEX(Draft!$BW:$BW,MATCH(T58,Draft_Names_Master,0))</f>
        <v>0</v>
      </c>
      <c r="Y58">
        <v>5.6000000000000001E-2</v>
      </c>
      <c r="Z58">
        <f>IFERROR(IF(INDEX(Instructions!$X$64:$X$83,MATCH('Draft Slayer Classic'!T58,Instructions!$T$64:$T$83,0))&lt;=$E$25,1,0),0)</f>
        <v>0</v>
      </c>
      <c r="AA58">
        <f>IFERROR(INDEX(ADP!$A$7:$A$260,MATCH(T58,ADP!$D$7:$D$260,0)),999+Y58)</f>
        <v>999.05600000000004</v>
      </c>
      <c r="AB58">
        <f t="shared" si="1"/>
        <v>5.6000000000000001E-2</v>
      </c>
      <c r="AC58">
        <f>IFERROR(INDEX(Instructions!$U$111:$U$222,MATCH(T58,Instructions!$T$111:$T$222,0)),0)</f>
        <v>0</v>
      </c>
      <c r="AD58" s="197"/>
      <c r="AE58" s="182" t="str">
        <f>WRproj!D62</f>
        <v>Michael Gallup</v>
      </c>
      <c r="AF58" s="290" t="str">
        <f>WRproj!E62</f>
        <v>DAL</v>
      </c>
      <c r="AG58" s="183">
        <f>WRproj!F62</f>
        <v>143.57369</v>
      </c>
      <c r="AH58" s="517">
        <f>IFERROR(IF(WRproj!H62="",WRproj!G62,WRproj!H62),0)</f>
        <v>8</v>
      </c>
      <c r="AI58" s="503">
        <f>INDEX(Draft!$BW:$BW,MATCH(AE58,Draft_Names_Master,0))</f>
        <v>0</v>
      </c>
      <c r="AJ58">
        <v>5.6000000000000001E-2</v>
      </c>
      <c r="AK58">
        <f>IFERROR(IF(INDEX(Instructions!$V$86:$V$105,MATCH('Draft Slayer Classic'!AE58,Instructions!$S$86:$S$105,0))&lt;=$E$25,1,0),0)</f>
        <v>0</v>
      </c>
      <c r="AL58">
        <f>IFERROR(INDEX(ADP!$A$7:$A$260,MATCH(AE58,ADP!$D$7:$D$260,0)),999+AJ58)</f>
        <v>165</v>
      </c>
      <c r="AM58">
        <f t="shared" si="2"/>
        <v>5.6000000000000001E-2</v>
      </c>
      <c r="AN58">
        <f>IFERROR(INDEX(Instructions!$U$111:$U$222,MATCH(AE58,Instructions!$T$111:$T$222,0)),0)</f>
        <v>0</v>
      </c>
      <c r="AO58" s="197"/>
      <c r="AP58" s="182" t="str">
        <f>TEproj!D62</f>
        <v>Tommy Tremble</v>
      </c>
      <c r="AQ58" s="290" t="str">
        <f>TEproj!E62</f>
        <v>CAR</v>
      </c>
      <c r="AR58" s="183">
        <f>TEproj!F62</f>
        <v>38.356659999999991</v>
      </c>
      <c r="AS58" s="517">
        <f>IFERROR(IF(TEproj!H62="",TEproj!G62,TEproj!H62),0)</f>
        <v>8</v>
      </c>
      <c r="AT58" s="504">
        <f>INDEX(Draft!$BW:$BW,MATCH(AP58,Draft_Names_Master,0))</f>
        <v>0</v>
      </c>
      <c r="AU58">
        <v>5.6000000000000001E-2</v>
      </c>
      <c r="AV58">
        <f>IFERROR(IF(INDEX(Instructions!$X$86:$X$105,MATCH('Draft Slayer Classic'!AP58,Instructions!$T$86:$T$105,0))&lt;=$E$25,1,0),0)</f>
        <v>0</v>
      </c>
      <c r="AW58">
        <f>IFERROR(INDEX(ADP!$A$7:$A$260,MATCH(AP58,ADP!$D$7:$D$260,0)),999+AU58)</f>
        <v>999.05600000000004</v>
      </c>
      <c r="AX58">
        <f t="shared" si="3"/>
        <v>5.6000000000000001E-2</v>
      </c>
      <c r="AY58">
        <f>IFERROR(INDEX(Instructions!$U$111:$U$222,MATCH(AP58,Instructions!$T$111:$T$222,0)),0)</f>
        <v>0</v>
      </c>
      <c r="AZ58" s="197"/>
      <c r="BA58" s="197"/>
      <c r="BB58" s="216"/>
      <c r="BE58" s="197"/>
      <c r="BF58" s="197"/>
      <c r="BG58" s="216"/>
      <c r="BH58" s="216"/>
      <c r="BK58" s="203"/>
      <c r="BV58" t="str">
        <f>16&amp;7</f>
        <v>167</v>
      </c>
      <c r="BW58">
        <v>7</v>
      </c>
      <c r="BX58">
        <v>26</v>
      </c>
      <c r="BY58">
        <v>39</v>
      </c>
      <c r="BZ58">
        <v>58</v>
      </c>
      <c r="CA58">
        <v>71</v>
      </c>
      <c r="CB58">
        <v>90</v>
      </c>
      <c r="CC58">
        <v>103</v>
      </c>
      <c r="CD58">
        <v>122</v>
      </c>
      <c r="CE58">
        <v>135</v>
      </c>
      <c r="CF58">
        <v>154</v>
      </c>
      <c r="CG58">
        <v>167</v>
      </c>
      <c r="CH58">
        <v>186</v>
      </c>
      <c r="CI58">
        <v>199</v>
      </c>
      <c r="CJ58">
        <v>218</v>
      </c>
      <c r="CK58">
        <v>231</v>
      </c>
      <c r="CL58">
        <v>250</v>
      </c>
      <c r="CM58">
        <v>263</v>
      </c>
      <c r="CN58">
        <v>282</v>
      </c>
      <c r="CO58">
        <v>295</v>
      </c>
      <c r="CP58">
        <v>314</v>
      </c>
      <c r="CQ58">
        <v>327</v>
      </c>
      <c r="CR58">
        <v>346</v>
      </c>
      <c r="CS58">
        <v>359</v>
      </c>
      <c r="CT58">
        <v>378</v>
      </c>
      <c r="CU58">
        <v>391</v>
      </c>
      <c r="DE58">
        <v>56</v>
      </c>
      <c r="DF58" t="str">
        <f>IF(IFERROR(MATCH(FFARawStatProjections!A59,Draft!BY:BY,0),1)&lt;=1,IF(FFARawStatProjections!A59=0,"",FFARawStatProjections!A59),"")</f>
        <v>Trevor Siemian</v>
      </c>
    </row>
    <row r="59" spans="1:110" x14ac:dyDescent="0.25">
      <c r="A59" s="196"/>
      <c r="B59" s="174" t="s">
        <v>7</v>
      </c>
      <c r="C59" s="175">
        <f>IFERROR(INDEX(ADP!T:T,$E$25+$E$26+5)-E59, "")</f>
        <v>0</v>
      </c>
      <c r="D59" s="175" t="s">
        <v>7</v>
      </c>
      <c r="E59" s="176">
        <f>COUNTIF(AX:AX, 1)</f>
        <v>0</v>
      </c>
      <c r="F59" s="197"/>
      <c r="G59" s="197"/>
      <c r="H59" s="197"/>
      <c r="I59" s="222"/>
      <c r="J59" s="216"/>
      <c r="K59" s="216"/>
      <c r="L59" s="216"/>
      <c r="M59" s="216"/>
      <c r="S59" s="197"/>
      <c r="T59" s="187" t="str">
        <f>RBproj!D63</f>
        <v>Roschon Johnson</v>
      </c>
      <c r="U59" s="461" t="str">
        <f>RBproj!E63</f>
        <v>CHI</v>
      </c>
      <c r="V59" s="184">
        <f>RBproj!F63</f>
        <v>85.471720000000005</v>
      </c>
      <c r="W59" s="517">
        <f>IFERROR(IF(RBproj!H63="",RBproj!G63,RBproj!H63),0)</f>
        <v>8</v>
      </c>
      <c r="X59" s="504">
        <f>INDEX(Draft!$BW:$BW,MATCH(T59,Draft_Names_Master,0))</f>
        <v>0</v>
      </c>
      <c r="Y59">
        <v>5.7000000000000002E-2</v>
      </c>
      <c r="Z59">
        <f>IFERROR(IF(INDEX(Instructions!$X$64:$X$83,MATCH('Draft Slayer Classic'!T59,Instructions!$T$64:$T$83,0))&lt;=$E$25,1,0),0)</f>
        <v>0</v>
      </c>
      <c r="AA59">
        <f>IFERROR(INDEX(ADP!$A$7:$A$260,MATCH(T59,ADP!$D$7:$D$260,0)),999+Y59)</f>
        <v>178</v>
      </c>
      <c r="AB59">
        <f t="shared" si="1"/>
        <v>5.7000000000000002E-2</v>
      </c>
      <c r="AC59">
        <f>IFERROR(INDEX(Instructions!$U$111:$U$222,MATCH(T59,Instructions!$T$111:$T$222,0)),0)</f>
        <v>0</v>
      </c>
      <c r="AD59" s="197"/>
      <c r="AE59" s="187" t="str">
        <f>WRproj!D63</f>
        <v>Allen Lazard</v>
      </c>
      <c r="AF59" s="461" t="str">
        <f>WRproj!E63</f>
        <v>NYJ</v>
      </c>
      <c r="AG59" s="184">
        <f>WRproj!F63</f>
        <v>143.30367999999999</v>
      </c>
      <c r="AH59" s="517">
        <f>IFERROR(IF(WRproj!H63="",WRproj!G63,WRproj!H63),0)</f>
        <v>8</v>
      </c>
      <c r="AI59" s="503">
        <f>INDEX(Draft!$BW:$BW,MATCH(AE59,Draft_Names_Master,0))</f>
        <v>0</v>
      </c>
      <c r="AJ59">
        <v>5.7000000000000002E-2</v>
      </c>
      <c r="AK59">
        <f>IFERROR(IF(INDEX(Instructions!$V$86:$V$105,MATCH('Draft Slayer Classic'!AE59,Instructions!$S$86:$S$105,0))&lt;=$E$25,1,0),0)</f>
        <v>0</v>
      </c>
      <c r="AL59">
        <f>IFERROR(INDEX(ADP!$A$7:$A$260,MATCH(AE59,ADP!$D$7:$D$260,0)),999+AJ59)</f>
        <v>128</v>
      </c>
      <c r="AM59">
        <f t="shared" si="2"/>
        <v>5.7000000000000002E-2</v>
      </c>
      <c r="AN59">
        <f>IFERROR(INDEX(Instructions!$U$111:$U$222,MATCH(AE59,Instructions!$T$111:$T$222,0)),0)</f>
        <v>0</v>
      </c>
      <c r="AO59" s="197"/>
      <c r="AP59" s="187" t="str">
        <f>TEproj!D63</f>
        <v>Josh Oliver</v>
      </c>
      <c r="AQ59" s="461" t="str">
        <f>TEproj!E63</f>
        <v>MIN</v>
      </c>
      <c r="AR59" s="184">
        <f>TEproj!F63</f>
        <v>38.326689999999999</v>
      </c>
      <c r="AS59" s="517">
        <f>IFERROR(IF(TEproj!H63="",TEproj!G63,TEproj!H63),0)</f>
        <v>8</v>
      </c>
      <c r="AT59" s="503">
        <f>INDEX(Draft!$BW:$BW,MATCH(AP59,Draft_Names_Master,0))</f>
        <v>0</v>
      </c>
      <c r="AU59">
        <v>5.7000000000000002E-2</v>
      </c>
      <c r="AV59">
        <f>IFERROR(IF(INDEX(Instructions!$X$86:$X$105,MATCH('Draft Slayer Classic'!AP59,Instructions!$T$86:$T$105,0))&lt;=$E$25,1,0),0)</f>
        <v>0</v>
      </c>
      <c r="AW59">
        <f>IFERROR(INDEX(ADP!$A$7:$A$260,MATCH(AP59,ADP!$D$7:$D$260,0)),999+AU59)</f>
        <v>999.05700000000002</v>
      </c>
      <c r="AX59">
        <f t="shared" si="3"/>
        <v>5.7000000000000002E-2</v>
      </c>
      <c r="AY59">
        <f>IFERROR(INDEX(Instructions!$U$111:$U$222,MATCH(AP59,Instructions!$T$111:$T$222,0)),0)</f>
        <v>0</v>
      </c>
      <c r="AZ59" s="197"/>
      <c r="BA59" s="197"/>
      <c r="BB59" s="216"/>
      <c r="BE59" s="197"/>
      <c r="BF59" s="197"/>
      <c r="BG59" s="216"/>
      <c r="BH59" s="216"/>
      <c r="BK59" s="203"/>
      <c r="BV59" t="str">
        <f>16&amp;8</f>
        <v>168</v>
      </c>
      <c r="BW59">
        <v>8</v>
      </c>
      <c r="BX59">
        <v>25</v>
      </c>
      <c r="BY59">
        <v>40</v>
      </c>
      <c r="BZ59">
        <v>57</v>
      </c>
      <c r="CA59">
        <v>72</v>
      </c>
      <c r="CB59">
        <v>89</v>
      </c>
      <c r="CC59">
        <v>104</v>
      </c>
      <c r="CD59">
        <v>121</v>
      </c>
      <c r="CE59">
        <v>136</v>
      </c>
      <c r="CF59">
        <v>153</v>
      </c>
      <c r="CG59">
        <v>168</v>
      </c>
      <c r="CH59">
        <v>185</v>
      </c>
      <c r="CI59">
        <v>200</v>
      </c>
      <c r="CJ59">
        <v>217</v>
      </c>
      <c r="CK59">
        <v>232</v>
      </c>
      <c r="CL59">
        <v>249</v>
      </c>
      <c r="CM59">
        <v>264</v>
      </c>
      <c r="CN59">
        <v>281</v>
      </c>
      <c r="CO59">
        <v>296</v>
      </c>
      <c r="CP59">
        <v>313</v>
      </c>
      <c r="CQ59">
        <v>328</v>
      </c>
      <c r="CR59">
        <v>345</v>
      </c>
      <c r="CS59">
        <v>360</v>
      </c>
      <c r="CT59">
        <v>377</v>
      </c>
      <c r="CU59">
        <v>392</v>
      </c>
      <c r="DE59">
        <v>57</v>
      </c>
      <c r="DF59" t="str">
        <f>IF(IFERROR(MATCH(FFARawStatProjections!A60,Draft!BY:BY,0),1)&lt;=1,IF(FFARawStatProjections!A60=0,"",FFARawStatProjections!A60),"")</f>
        <v>PJ Walker</v>
      </c>
    </row>
    <row r="60" spans="1:110" x14ac:dyDescent="0.25">
      <c r="A60" s="196"/>
      <c r="B60" s="171" t="s">
        <v>160</v>
      </c>
      <c r="C60" s="172">
        <f>IFERROR(INDEX(ADP!U:U,$E$25+$E$26+5)-E60, "")</f>
        <v>0</v>
      </c>
      <c r="D60" s="172" t="s">
        <v>160</v>
      </c>
      <c r="E60" s="173">
        <f>COUNTIF(BD:BD, 1)</f>
        <v>0</v>
      </c>
      <c r="F60" s="197"/>
      <c r="G60" s="197"/>
      <c r="H60" s="197"/>
      <c r="I60" s="222"/>
      <c r="J60" s="216"/>
      <c r="K60" s="216"/>
      <c r="L60" s="216"/>
      <c r="M60" s="216"/>
      <c r="S60" s="197"/>
      <c r="T60" s="182" t="str">
        <f>RBproj!D64</f>
        <v>Cordarrelle Patterson</v>
      </c>
      <c r="U60" s="290" t="str">
        <f>RBproj!E64</f>
        <v>ATL</v>
      </c>
      <c r="V60" s="183">
        <f>RBproj!F64</f>
        <v>82.8917</v>
      </c>
      <c r="W60" s="517">
        <f>IFERROR(IF(RBproj!H64="",RBproj!G64,RBproj!H64),0)</f>
        <v>8</v>
      </c>
      <c r="X60" s="504">
        <f>INDEX(Draft!$BW:$BW,MATCH(T60,Draft_Names_Master,0))</f>
        <v>0</v>
      </c>
      <c r="Y60">
        <v>5.8000000000000003E-2</v>
      </c>
      <c r="Z60">
        <f>IFERROR(IF(INDEX(Instructions!$X$64:$X$83,MATCH('Draft Slayer Classic'!T60,Instructions!$T$64:$T$83,0))&lt;=$E$25,1,0),0)</f>
        <v>0</v>
      </c>
      <c r="AA60">
        <f>IFERROR(INDEX(ADP!$A$7:$A$260,MATCH(T60,ADP!$D$7:$D$260,0)),999+Y60)</f>
        <v>130</v>
      </c>
      <c r="AB60">
        <f t="shared" si="1"/>
        <v>5.8000000000000003E-2</v>
      </c>
      <c r="AC60">
        <f>IFERROR(INDEX(Instructions!$U$111:$U$222,MATCH(T60,Instructions!$T$111:$T$222,0)),0)</f>
        <v>0</v>
      </c>
      <c r="AD60" s="197"/>
      <c r="AE60" s="182" t="str">
        <f>WRproj!D64</f>
        <v>Adam Thielen</v>
      </c>
      <c r="AF60" s="290" t="str">
        <f>WRproj!E64</f>
        <v>CAR</v>
      </c>
      <c r="AG60" s="183">
        <f>WRproj!F64</f>
        <v>143.14375999999999</v>
      </c>
      <c r="AH60" s="517">
        <f>IFERROR(IF(WRproj!H64="",WRproj!G64,WRproj!H64),0)</f>
        <v>8</v>
      </c>
      <c r="AI60" s="503">
        <f>INDEX(Draft!$BW:$BW,MATCH(AE60,Draft_Names_Master,0))</f>
        <v>0</v>
      </c>
      <c r="AJ60">
        <v>5.8000000000000003E-2</v>
      </c>
      <c r="AK60">
        <f>IFERROR(IF(INDEX(Instructions!$V$86:$V$105,MATCH('Draft Slayer Classic'!AE60,Instructions!$S$86:$S$105,0))&lt;=$E$25,1,0),0)</f>
        <v>0</v>
      </c>
      <c r="AL60">
        <f>IFERROR(INDEX(ADP!$A$7:$A$260,MATCH(AE60,ADP!$D$7:$D$260,0)),999+AJ60)</f>
        <v>132</v>
      </c>
      <c r="AM60">
        <f t="shared" si="2"/>
        <v>5.8000000000000003E-2</v>
      </c>
      <c r="AN60">
        <f>IFERROR(INDEX(Instructions!$U$111:$U$222,MATCH(AE60,Instructions!$T$111:$T$222,0)),0)</f>
        <v>0</v>
      </c>
      <c r="AO60" s="197"/>
      <c r="AP60" s="182" t="str">
        <f>TEproj!D64</f>
        <v>Tucker Kraft</v>
      </c>
      <c r="AQ60" s="290" t="str">
        <f>TEproj!E64</f>
        <v>GB</v>
      </c>
      <c r="AR60" s="183">
        <f>TEproj!F64</f>
        <v>37.406640000000003</v>
      </c>
      <c r="AS60" s="517">
        <f>IFERROR(IF(TEproj!H64="",TEproj!G64,TEproj!H64),0)</f>
        <v>8</v>
      </c>
      <c r="AT60" s="504">
        <f>INDEX(Draft!$BW:$BW,MATCH(AP60,Draft_Names_Master,0))</f>
        <v>0</v>
      </c>
      <c r="AU60">
        <v>5.8000000000000003E-2</v>
      </c>
      <c r="AV60">
        <f>IFERROR(IF(INDEX(Instructions!$X$86:$X$105,MATCH('Draft Slayer Classic'!AP60,Instructions!$T$86:$T$105,0))&lt;=$E$25,1,0),0)</f>
        <v>0</v>
      </c>
      <c r="AW60">
        <f>IFERROR(INDEX(ADP!$A$7:$A$260,MATCH(AP60,ADP!$D$7:$D$260,0)),999+AU60)</f>
        <v>999.05799999999999</v>
      </c>
      <c r="AX60">
        <f t="shared" si="3"/>
        <v>5.8000000000000003E-2</v>
      </c>
      <c r="AY60">
        <f>IFERROR(INDEX(Instructions!$U$111:$U$222,MATCH(AP60,Instructions!$T$111:$T$222,0)),0)</f>
        <v>0</v>
      </c>
      <c r="AZ60" s="197"/>
      <c r="BA60" s="197"/>
      <c r="BB60" s="216"/>
      <c r="BE60" s="197"/>
      <c r="BF60" s="197"/>
      <c r="BG60" s="216"/>
      <c r="BH60" s="216"/>
      <c r="BK60" s="203"/>
      <c r="BV60" t="str">
        <f>16&amp;9</f>
        <v>169</v>
      </c>
      <c r="BW60">
        <v>9</v>
      </c>
      <c r="BX60">
        <v>24</v>
      </c>
      <c r="BY60">
        <v>41</v>
      </c>
      <c r="BZ60">
        <v>56</v>
      </c>
      <c r="CA60">
        <v>73</v>
      </c>
      <c r="CB60">
        <v>88</v>
      </c>
      <c r="CC60">
        <v>105</v>
      </c>
      <c r="CD60">
        <v>120</v>
      </c>
      <c r="CE60">
        <v>137</v>
      </c>
      <c r="CF60">
        <v>152</v>
      </c>
      <c r="CG60">
        <v>169</v>
      </c>
      <c r="CH60">
        <v>184</v>
      </c>
      <c r="CI60">
        <v>201</v>
      </c>
      <c r="CJ60">
        <v>216</v>
      </c>
      <c r="CK60">
        <v>233</v>
      </c>
      <c r="CL60">
        <v>248</v>
      </c>
      <c r="CM60">
        <v>265</v>
      </c>
      <c r="CN60">
        <v>280</v>
      </c>
      <c r="CO60">
        <v>297</v>
      </c>
      <c r="CP60">
        <v>312</v>
      </c>
      <c r="CQ60">
        <v>329</v>
      </c>
      <c r="CR60">
        <v>344</v>
      </c>
      <c r="CS60">
        <v>361</v>
      </c>
      <c r="CT60">
        <v>376</v>
      </c>
      <c r="CU60">
        <v>393</v>
      </c>
      <c r="DE60">
        <v>58</v>
      </c>
      <c r="DF60" t="str">
        <f>IF(IFERROR(MATCH(FFARawStatProjections!A61,Draft!BY:BY,0),1)&lt;=1,IF(FFARawStatProjections!A61=0,"",FFARawStatProjections!A61),"")</f>
        <v>Joshua Dobbs</v>
      </c>
    </row>
    <row r="61" spans="1:110" ht="15.75" thickBot="1" x14ac:dyDescent="0.3">
      <c r="A61" s="196"/>
      <c r="B61" s="177" t="s">
        <v>11</v>
      </c>
      <c r="C61" s="178">
        <f>IFERROR(INDEX(ADP!V:V,$E$25+$E$26+5)-E61, "")</f>
        <v>0</v>
      </c>
      <c r="D61" s="178" t="s">
        <v>11</v>
      </c>
      <c r="E61" s="179">
        <f>COUNTIF(BJ:BJ, 1)</f>
        <v>0</v>
      </c>
      <c r="F61" s="197"/>
      <c r="G61" s="197"/>
      <c r="H61" s="197"/>
      <c r="I61" s="222"/>
      <c r="J61" s="216"/>
      <c r="K61" s="216"/>
      <c r="L61" s="216"/>
      <c r="M61" s="216"/>
      <c r="S61" s="197"/>
      <c r="T61" s="187" t="str">
        <f>RBproj!D65</f>
        <v>Joshua Kelley</v>
      </c>
      <c r="U61" s="461" t="str">
        <f>RBproj!E65</f>
        <v>LAC</v>
      </c>
      <c r="V61" s="184">
        <f>RBproj!F65</f>
        <v>78.831729999999993</v>
      </c>
      <c r="W61" s="517">
        <f>IFERROR(IF(RBproj!H65="",RBproj!G65,RBproj!H65),0)</f>
        <v>8</v>
      </c>
      <c r="X61" s="504">
        <f>INDEX(Draft!$BW:$BW,MATCH(T61,Draft_Names_Master,0))</f>
        <v>0</v>
      </c>
      <c r="Y61">
        <v>5.8999999999999997E-2</v>
      </c>
      <c r="Z61">
        <f>IFERROR(IF(INDEX(Instructions!$X$64:$X$83,MATCH('Draft Slayer Classic'!T61,Instructions!$T$64:$T$83,0))&lt;=$E$25,1,0),0)</f>
        <v>0</v>
      </c>
      <c r="AA61">
        <f>IFERROR(INDEX(ADP!$A$7:$A$260,MATCH(T61,ADP!$D$7:$D$260,0)),999+Y61)</f>
        <v>999.05899999999997</v>
      </c>
      <c r="AB61">
        <f t="shared" si="1"/>
        <v>5.8999999999999997E-2</v>
      </c>
      <c r="AC61">
        <f>IFERROR(INDEX(Instructions!$U$111:$U$222,MATCH(T61,Instructions!$T$111:$T$222,0)),0)</f>
        <v>0</v>
      </c>
      <c r="AD61" s="197"/>
      <c r="AE61" s="187" t="str">
        <f>WRproj!D65</f>
        <v>Skyy Moore</v>
      </c>
      <c r="AF61" s="461" t="str">
        <f>WRproj!E65</f>
        <v>KC</v>
      </c>
      <c r="AG61" s="184">
        <f>WRproj!F65</f>
        <v>142.97382999999999</v>
      </c>
      <c r="AH61" s="517">
        <f>IFERROR(IF(WRproj!H65="",WRproj!G65,WRproj!H65),0)</f>
        <v>8</v>
      </c>
      <c r="AI61" s="503">
        <f>INDEX(Draft!$BW:$BW,MATCH(AE61,Draft_Names_Master,0))</f>
        <v>0</v>
      </c>
      <c r="AJ61">
        <v>5.8999999999999997E-2</v>
      </c>
      <c r="AK61">
        <f>IFERROR(IF(INDEX(Instructions!$V$86:$V$105,MATCH('Draft Slayer Classic'!AE61,Instructions!$S$86:$S$105,0))&lt;=$E$25,1,0),0)</f>
        <v>0</v>
      </c>
      <c r="AL61">
        <f>IFERROR(INDEX(ADP!$A$7:$A$260,MATCH(AE61,ADP!$D$7:$D$260,0)),999+AJ61)</f>
        <v>124</v>
      </c>
      <c r="AM61">
        <f t="shared" si="2"/>
        <v>5.8999999999999997E-2</v>
      </c>
      <c r="AN61">
        <f>IFERROR(INDEX(Instructions!$U$111:$U$222,MATCH(AE61,Instructions!$T$111:$T$222,0)),0)</f>
        <v>0</v>
      </c>
      <c r="AO61" s="197"/>
      <c r="AP61" s="187" t="str">
        <f>TEproj!D65</f>
        <v>Ian Thomas</v>
      </c>
      <c r="AQ61" s="461" t="str">
        <f>TEproj!E65</f>
        <v>CAR</v>
      </c>
      <c r="AR61" s="184">
        <f>TEproj!F65</f>
        <v>37.216619999999999</v>
      </c>
      <c r="AS61" s="517">
        <f>IFERROR(IF(TEproj!H65="",TEproj!G65,TEproj!H65),0)</f>
        <v>8</v>
      </c>
      <c r="AT61" s="503">
        <f>INDEX(Draft!$BW:$BW,MATCH(AP61,Draft_Names_Master,0))</f>
        <v>0</v>
      </c>
      <c r="AU61">
        <v>5.8999999999999997E-2</v>
      </c>
      <c r="AV61">
        <f>IFERROR(IF(INDEX(Instructions!$X$86:$X$105,MATCH('Draft Slayer Classic'!AP61,Instructions!$T$86:$T$105,0))&lt;=$E$25,1,0),0)</f>
        <v>0</v>
      </c>
      <c r="AW61">
        <f>IFERROR(INDEX(ADP!$A$7:$A$260,MATCH(AP61,ADP!$D$7:$D$260,0)),999+AU61)</f>
        <v>999.05899999999997</v>
      </c>
      <c r="AX61">
        <f t="shared" si="3"/>
        <v>5.8999999999999997E-2</v>
      </c>
      <c r="AY61">
        <f>IFERROR(INDEX(Instructions!$U$111:$U$222,MATCH(AP61,Instructions!$T$111:$T$222,0)),0)</f>
        <v>0</v>
      </c>
      <c r="AZ61" s="197"/>
      <c r="BA61" s="197"/>
      <c r="BB61" s="216"/>
      <c r="BE61" s="197"/>
      <c r="BF61" s="197"/>
      <c r="BG61" s="216"/>
      <c r="BH61" s="216"/>
      <c r="BK61" s="203"/>
      <c r="BV61" t="str">
        <f>16&amp;10</f>
        <v>1610</v>
      </c>
      <c r="BW61">
        <v>10</v>
      </c>
      <c r="BX61">
        <v>23</v>
      </c>
      <c r="BY61">
        <v>42</v>
      </c>
      <c r="BZ61">
        <v>55</v>
      </c>
      <c r="CA61">
        <v>74</v>
      </c>
      <c r="CB61">
        <v>87</v>
      </c>
      <c r="CC61">
        <v>106</v>
      </c>
      <c r="CD61">
        <v>119</v>
      </c>
      <c r="CE61">
        <v>138</v>
      </c>
      <c r="CF61">
        <v>151</v>
      </c>
      <c r="CG61">
        <v>170</v>
      </c>
      <c r="CH61">
        <v>183</v>
      </c>
      <c r="CI61">
        <v>202</v>
      </c>
      <c r="CJ61">
        <v>215</v>
      </c>
      <c r="CK61">
        <v>234</v>
      </c>
      <c r="CL61">
        <v>247</v>
      </c>
      <c r="CM61">
        <v>266</v>
      </c>
      <c r="CN61">
        <v>279</v>
      </c>
      <c r="CO61">
        <v>298</v>
      </c>
      <c r="CP61">
        <v>311</v>
      </c>
      <c r="CQ61">
        <v>330</v>
      </c>
      <c r="CR61">
        <v>343</v>
      </c>
      <c r="CS61">
        <v>362</v>
      </c>
      <c r="CT61">
        <v>375</v>
      </c>
      <c r="CU61">
        <v>394</v>
      </c>
      <c r="DE61">
        <v>59</v>
      </c>
      <c r="DF61" t="str">
        <f>IF(IFERROR(MATCH(FFARawStatProjections!A62,Draft!BY:BY,0),1)&lt;=1,IF(FFARawStatProjections!A62=0,"",FFARawStatProjections!A62),"")</f>
        <v>Nick Mullens</v>
      </c>
    </row>
    <row r="62" spans="1:110" x14ac:dyDescent="0.25">
      <c r="A62" s="196"/>
      <c r="B62" s="197"/>
      <c r="C62" s="197"/>
      <c r="D62" s="197"/>
      <c r="E62" s="197"/>
      <c r="F62" s="197"/>
      <c r="G62" s="197"/>
      <c r="H62" s="197"/>
      <c r="I62" s="222"/>
      <c r="J62" s="216"/>
      <c r="K62" s="216"/>
      <c r="L62" s="216"/>
      <c r="M62" s="216"/>
      <c r="S62" s="197"/>
      <c r="T62" s="182" t="str">
        <f>RBproj!D66</f>
        <v>Tyjae Spears</v>
      </c>
      <c r="U62" s="290" t="str">
        <f>RBproj!E66</f>
        <v>TEN</v>
      </c>
      <c r="V62" s="183">
        <f>RBproj!F66</f>
        <v>78.811750000000004</v>
      </c>
      <c r="W62" s="517">
        <f>IFERROR(IF(RBproj!H66="",RBproj!G66,RBproj!H66),0)</f>
        <v>8</v>
      </c>
      <c r="X62" s="504">
        <f>INDEX(Draft!$BW:$BW,MATCH(T62,Draft_Names_Master,0))</f>
        <v>0</v>
      </c>
      <c r="Y62">
        <v>0.06</v>
      </c>
      <c r="Z62">
        <f>IFERROR(IF(INDEX(Instructions!$X$64:$X$83,MATCH('Draft Slayer Classic'!T62,Instructions!$T$64:$T$83,0))&lt;=$E$25,1,0),0)</f>
        <v>0</v>
      </c>
      <c r="AA62">
        <f>IFERROR(INDEX(ADP!$A$7:$A$260,MATCH(T62,ADP!$D$7:$D$260,0)),999+Y62)</f>
        <v>999.06</v>
      </c>
      <c r="AB62">
        <f t="shared" si="1"/>
        <v>0.06</v>
      </c>
      <c r="AC62">
        <f>IFERROR(INDEX(Instructions!$U$111:$U$222,MATCH(T62,Instructions!$T$111:$T$222,0)),0)</f>
        <v>0</v>
      </c>
      <c r="AD62" s="197"/>
      <c r="AE62" s="182" t="str">
        <f>WRproj!D66</f>
        <v>Romeo Doubs</v>
      </c>
      <c r="AF62" s="290" t="str">
        <f>WRproj!E66</f>
        <v>GB</v>
      </c>
      <c r="AG62" s="183">
        <f>WRproj!F66</f>
        <v>141.86373999999998</v>
      </c>
      <c r="AH62" s="517">
        <f>IFERROR(IF(WRproj!H66="",WRproj!G66,WRproj!H66),0)</f>
        <v>8</v>
      </c>
      <c r="AI62" s="503">
        <f>INDEX(Draft!$BW:$BW,MATCH(AE62,Draft_Names_Master,0))</f>
        <v>0</v>
      </c>
      <c r="AJ62">
        <v>0.06</v>
      </c>
      <c r="AK62">
        <f>IFERROR(IF(INDEX(Instructions!$V$86:$V$105,MATCH('Draft Slayer Classic'!AE62,Instructions!$S$86:$S$105,0))&lt;=$E$25,1,0),0)</f>
        <v>0</v>
      </c>
      <c r="AL62">
        <f>IFERROR(INDEX(ADP!$A$7:$A$260,MATCH(AE62,ADP!$D$7:$D$260,0)),999+AJ62)</f>
        <v>156</v>
      </c>
      <c r="AM62">
        <f t="shared" si="2"/>
        <v>0.06</v>
      </c>
      <c r="AN62">
        <f>IFERROR(INDEX(Instructions!$U$111:$U$222,MATCH(AE62,Instructions!$T$111:$T$222,0)),0)</f>
        <v>0</v>
      </c>
      <c r="AO62" s="197"/>
      <c r="AP62" s="182" t="str">
        <f>TEproj!D66</f>
        <v>Colby Parkinson</v>
      </c>
      <c r="AQ62" s="290" t="str">
        <f>TEproj!E66</f>
        <v>SEA</v>
      </c>
      <c r="AR62" s="183">
        <f>TEproj!F66</f>
        <v>37.106859999999998</v>
      </c>
      <c r="AS62" s="517">
        <f>IFERROR(IF(TEproj!H66="",TEproj!G66,TEproj!H66),0)</f>
        <v>8</v>
      </c>
      <c r="AT62" s="504">
        <f>INDEX(Draft!$BW:$BW,MATCH(AP62,Draft_Names_Master,0))</f>
        <v>0</v>
      </c>
      <c r="AU62">
        <v>0.06</v>
      </c>
      <c r="AV62">
        <f>IFERROR(IF(INDEX(Instructions!$X$86:$X$105,MATCH('Draft Slayer Classic'!AP62,Instructions!$T$86:$T$105,0))&lt;=$E$25,1,0),0)</f>
        <v>0</v>
      </c>
      <c r="AW62">
        <f>IFERROR(INDEX(ADP!$A$7:$A$260,MATCH(AP62,ADP!$D$7:$D$260,0)),999+AU62)</f>
        <v>999.06</v>
      </c>
      <c r="AX62">
        <f t="shared" si="3"/>
        <v>0.06</v>
      </c>
      <c r="AY62">
        <f>IFERROR(INDEX(Instructions!$U$111:$U$222,MATCH(AP62,Instructions!$T$111:$T$222,0)),0)</f>
        <v>0</v>
      </c>
      <c r="AZ62" s="197"/>
      <c r="BA62" s="197"/>
      <c r="BB62" s="216"/>
      <c r="BE62" s="197"/>
      <c r="BF62" s="197"/>
      <c r="BG62" s="216"/>
      <c r="BH62" s="216"/>
      <c r="BK62" s="203"/>
      <c r="BV62" t="str">
        <f>16&amp;11</f>
        <v>1611</v>
      </c>
      <c r="BW62">
        <v>11</v>
      </c>
      <c r="BX62">
        <v>22</v>
      </c>
      <c r="BY62">
        <v>43</v>
      </c>
      <c r="BZ62">
        <v>54</v>
      </c>
      <c r="CA62">
        <v>75</v>
      </c>
      <c r="CB62">
        <v>86</v>
      </c>
      <c r="CC62">
        <v>107</v>
      </c>
      <c r="CD62">
        <v>118</v>
      </c>
      <c r="CE62">
        <v>139</v>
      </c>
      <c r="CF62">
        <v>150</v>
      </c>
      <c r="CG62">
        <v>171</v>
      </c>
      <c r="CH62">
        <v>182</v>
      </c>
      <c r="CI62">
        <v>203</v>
      </c>
      <c r="CJ62">
        <v>214</v>
      </c>
      <c r="CK62">
        <v>235</v>
      </c>
      <c r="CL62">
        <v>246</v>
      </c>
      <c r="CM62">
        <v>267</v>
      </c>
      <c r="CN62">
        <v>278</v>
      </c>
      <c r="CO62">
        <v>299</v>
      </c>
      <c r="CP62">
        <v>310</v>
      </c>
      <c r="CQ62">
        <v>331</v>
      </c>
      <c r="CR62">
        <v>342</v>
      </c>
      <c r="CS62">
        <v>363</v>
      </c>
      <c r="CT62">
        <v>374</v>
      </c>
      <c r="CU62">
        <v>395</v>
      </c>
      <c r="DE62">
        <v>60</v>
      </c>
      <c r="DF62" t="str">
        <f>IF(IFERROR(MATCH(FFARawStatProjections!A63,Draft!BY:BY,0),1)&lt;=1,IF(FFARawStatProjections!A63=0,"",FFARawStatProjections!A63),"")</f>
        <v>Zach Wilson</v>
      </c>
    </row>
    <row r="63" spans="1:110" x14ac:dyDescent="0.25">
      <c r="A63" s="196"/>
      <c r="B63" s="197"/>
      <c r="C63" s="197"/>
      <c r="D63" s="197"/>
      <c r="E63" s="197"/>
      <c r="F63" s="197"/>
      <c r="G63" s="197"/>
      <c r="H63" s="197"/>
      <c r="I63" s="222"/>
      <c r="J63" s="216"/>
      <c r="K63" s="216"/>
      <c r="L63" s="216"/>
      <c r="M63" s="216"/>
      <c r="S63" s="197"/>
      <c r="T63" s="187" t="str">
        <f>RBproj!D67</f>
        <v>Clyde Edwards-Helaire</v>
      </c>
      <c r="U63" s="461" t="str">
        <f>RBproj!E67</f>
        <v>KC</v>
      </c>
      <c r="V63" s="184">
        <f>RBproj!F67</f>
        <v>75.251739999999998</v>
      </c>
      <c r="W63" s="517">
        <f>IFERROR(IF(RBproj!H67="",RBproj!G67,RBproj!H67),0)</f>
        <v>8</v>
      </c>
      <c r="X63" s="504">
        <f>INDEX(Draft!$BW:$BW,MATCH(T63,Draft_Names_Master,0))</f>
        <v>0</v>
      </c>
      <c r="Y63">
        <v>6.0999999999999999E-2</v>
      </c>
      <c r="Z63">
        <f>IFERROR(IF(INDEX(Instructions!$X$64:$X$83,MATCH('Draft Slayer Classic'!T63,Instructions!$T$64:$T$83,0))&lt;=$E$25,1,0),0)</f>
        <v>0</v>
      </c>
      <c r="AA63">
        <f>IFERROR(INDEX(ADP!$A$7:$A$260,MATCH(T63,ADP!$D$7:$D$260,0)),999+Y63)</f>
        <v>134</v>
      </c>
      <c r="AB63">
        <f t="shared" si="1"/>
        <v>6.0999999999999999E-2</v>
      </c>
      <c r="AC63">
        <f>IFERROR(INDEX(Instructions!$U$111:$U$222,MATCH(T63,Instructions!$T$111:$T$222,0)),0)</f>
        <v>0</v>
      </c>
      <c r="AD63" s="197"/>
      <c r="AE63" s="187" t="str">
        <f>WRproj!D67</f>
        <v>Marquez Valdes-Scantling</v>
      </c>
      <c r="AF63" s="461" t="str">
        <f>WRproj!E67</f>
        <v>KC</v>
      </c>
      <c r="AG63" s="184">
        <f>WRproj!F67</f>
        <v>141.56363999999999</v>
      </c>
      <c r="AH63" s="517">
        <f>IFERROR(IF(WRproj!H67="",WRproj!G67,WRproj!H67),0)</f>
        <v>8</v>
      </c>
      <c r="AI63" s="503">
        <f>INDEX(Draft!$BW:$BW,MATCH(AE63,Draft_Names_Master,0))</f>
        <v>0</v>
      </c>
      <c r="AJ63">
        <v>6.0999999999999999E-2</v>
      </c>
      <c r="AK63">
        <f>IFERROR(IF(INDEX(Instructions!$V$86:$V$105,MATCH('Draft Slayer Classic'!AE63,Instructions!$S$86:$S$105,0))&lt;=$E$25,1,0),0)</f>
        <v>0</v>
      </c>
      <c r="AL63">
        <f>IFERROR(INDEX(ADP!$A$7:$A$260,MATCH(AE63,ADP!$D$7:$D$260,0)),999+AJ63)</f>
        <v>184</v>
      </c>
      <c r="AM63">
        <f t="shared" si="2"/>
        <v>6.0999999999999999E-2</v>
      </c>
      <c r="AN63">
        <f>IFERROR(INDEX(Instructions!$U$111:$U$222,MATCH(AE63,Instructions!$T$111:$T$222,0)),0)</f>
        <v>0</v>
      </c>
      <c r="AO63" s="197"/>
      <c r="AP63" s="187" t="str">
        <f>TEproj!D67</f>
        <v>Daniel Bellinger</v>
      </c>
      <c r="AQ63" s="461" t="str">
        <f>TEproj!E67</f>
        <v>NYG</v>
      </c>
      <c r="AR63" s="184">
        <f>TEproj!F67</f>
        <v>35.156680000000009</v>
      </c>
      <c r="AS63" s="517">
        <f>IFERROR(IF(TEproj!H67="",TEproj!G67,TEproj!H67),0)</f>
        <v>8</v>
      </c>
      <c r="AT63" s="503">
        <f>INDEX(Draft!$BW:$BW,MATCH(AP63,Draft_Names_Master,0))</f>
        <v>0</v>
      </c>
      <c r="AU63">
        <v>6.0999999999999999E-2</v>
      </c>
      <c r="AV63">
        <f>IFERROR(IF(INDEX(Instructions!$X$86:$X$105,MATCH('Draft Slayer Classic'!AP63,Instructions!$T$86:$T$105,0))&lt;=$E$25,1,0),0)</f>
        <v>0</v>
      </c>
      <c r="AW63">
        <f>IFERROR(INDEX(ADP!$A$7:$A$260,MATCH(AP63,ADP!$D$7:$D$260,0)),999+AU63)</f>
        <v>999.06100000000004</v>
      </c>
      <c r="AX63">
        <f t="shared" si="3"/>
        <v>6.0999999999999999E-2</v>
      </c>
      <c r="AY63">
        <f>IFERROR(INDEX(Instructions!$U$111:$U$222,MATCH(AP63,Instructions!$T$111:$T$222,0)),0)</f>
        <v>0</v>
      </c>
      <c r="AZ63" s="197"/>
      <c r="BA63" s="197"/>
      <c r="BB63" s="216"/>
      <c r="BE63" s="197"/>
      <c r="BF63" s="197"/>
      <c r="BG63" s="216"/>
      <c r="BH63" s="216"/>
      <c r="BK63" s="203"/>
      <c r="BV63" t="str">
        <f>16&amp;12</f>
        <v>1612</v>
      </c>
      <c r="BW63">
        <v>12</v>
      </c>
      <c r="BX63">
        <v>21</v>
      </c>
      <c r="BY63">
        <v>44</v>
      </c>
      <c r="BZ63">
        <v>53</v>
      </c>
      <c r="CA63">
        <v>76</v>
      </c>
      <c r="CB63">
        <v>85</v>
      </c>
      <c r="CC63">
        <v>108</v>
      </c>
      <c r="CD63">
        <v>117</v>
      </c>
      <c r="CE63">
        <v>140</v>
      </c>
      <c r="CF63">
        <v>149</v>
      </c>
      <c r="CG63">
        <v>172</v>
      </c>
      <c r="CH63">
        <v>181</v>
      </c>
      <c r="CI63">
        <v>204</v>
      </c>
      <c r="CJ63">
        <v>213</v>
      </c>
      <c r="CK63">
        <v>236</v>
      </c>
      <c r="CL63">
        <v>245</v>
      </c>
      <c r="CM63">
        <v>268</v>
      </c>
      <c r="CN63">
        <v>277</v>
      </c>
      <c r="CO63">
        <v>300</v>
      </c>
      <c r="CP63">
        <v>309</v>
      </c>
      <c r="CQ63">
        <v>332</v>
      </c>
      <c r="CR63">
        <v>341</v>
      </c>
      <c r="CS63">
        <v>364</v>
      </c>
      <c r="CT63">
        <v>373</v>
      </c>
      <c r="CU63">
        <v>396</v>
      </c>
      <c r="DE63">
        <v>61</v>
      </c>
      <c r="DF63" t="str">
        <f>IF(IFERROR(MATCH(FFARawStatProjections!A64,Draft!BY:BY,0),1)&lt;=1,IF(FFARawStatProjections!A64=0,"",FFARawStatProjections!A64),"")</f>
        <v>Stetson Bennett</v>
      </c>
    </row>
    <row r="64" spans="1:110" x14ac:dyDescent="0.25">
      <c r="A64" s="196"/>
      <c r="B64" s="197"/>
      <c r="C64" s="197"/>
      <c r="D64" s="197"/>
      <c r="E64" s="197"/>
      <c r="F64" s="197"/>
      <c r="G64" s="197"/>
      <c r="H64" s="197"/>
      <c r="I64" s="222"/>
      <c r="J64" s="216"/>
      <c r="K64" s="216"/>
      <c r="L64" s="216"/>
      <c r="M64" s="216"/>
      <c r="S64" s="197"/>
      <c r="T64" s="182" t="str">
        <f>RBproj!D68</f>
        <v>Ty Chandler</v>
      </c>
      <c r="U64" s="290" t="str">
        <f>RBproj!E68</f>
        <v>MIN</v>
      </c>
      <c r="V64" s="183">
        <f>RBproj!F68</f>
        <v>74.601779999999991</v>
      </c>
      <c r="W64" s="517">
        <f>IFERROR(IF(RBproj!H68="",RBproj!G68,RBproj!H68),0)</f>
        <v>8</v>
      </c>
      <c r="X64" s="504">
        <f>INDEX(Draft!$BW:$BW,MATCH(T64,Draft_Names_Master,0))</f>
        <v>0</v>
      </c>
      <c r="Y64">
        <v>6.2E-2</v>
      </c>
      <c r="Z64">
        <f>IFERROR(IF(INDEX(Instructions!$X$64:$X$83,MATCH('Draft Slayer Classic'!T64,Instructions!$T$64:$T$83,0))&lt;=$E$25,1,0),0)</f>
        <v>0</v>
      </c>
      <c r="AA64">
        <f>IFERROR(INDEX(ADP!$A$7:$A$260,MATCH(T64,ADP!$D$7:$D$260,0)),999+Y64)</f>
        <v>999.06200000000001</v>
      </c>
      <c r="AB64">
        <f t="shared" si="1"/>
        <v>6.2E-2</v>
      </c>
      <c r="AC64">
        <f>IFERROR(INDEX(Instructions!$U$111:$U$222,MATCH(T64,Instructions!$T$111:$T$222,0)),0)</f>
        <v>0</v>
      </c>
      <c r="AD64" s="197"/>
      <c r="AE64" s="182" t="str">
        <f>WRproj!D68</f>
        <v>Hunter Renfrow</v>
      </c>
      <c r="AF64" s="290" t="str">
        <f>WRproj!E68</f>
        <v>LV</v>
      </c>
      <c r="AG64" s="183">
        <f>WRproj!F68</f>
        <v>136.60366000000002</v>
      </c>
      <c r="AH64" s="517">
        <f>IFERROR(IF(WRproj!H68="",WRproj!G68,WRproj!H68),0)</f>
        <v>8</v>
      </c>
      <c r="AI64" s="503">
        <f>INDEX(Draft!$BW:$BW,MATCH(AE64,Draft_Names_Master,0))</f>
        <v>0</v>
      </c>
      <c r="AJ64">
        <v>6.2E-2</v>
      </c>
      <c r="AK64">
        <f>IFERROR(IF(INDEX(Instructions!$V$86:$V$105,MATCH('Draft Slayer Classic'!AE64,Instructions!$S$86:$S$105,0))&lt;=$E$25,1,0),0)</f>
        <v>0</v>
      </c>
      <c r="AL64">
        <f>IFERROR(INDEX(ADP!$A$7:$A$260,MATCH(AE64,ADP!$D$7:$D$260,0)),999+AJ64)</f>
        <v>150</v>
      </c>
      <c r="AM64">
        <f t="shared" si="2"/>
        <v>6.2E-2</v>
      </c>
      <c r="AN64">
        <f>IFERROR(INDEX(Instructions!$U$111:$U$222,MATCH(AE64,Instructions!$T$111:$T$222,0)),0)</f>
        <v>0</v>
      </c>
      <c r="AO64" s="197"/>
      <c r="AP64" s="182" t="str">
        <f>TEproj!D68</f>
        <v>Darnell Washington</v>
      </c>
      <c r="AQ64" s="290" t="str">
        <f>TEproj!E68</f>
        <v>PIT</v>
      </c>
      <c r="AR64" s="183">
        <f>TEproj!F68</f>
        <v>34.576729999999998</v>
      </c>
      <c r="AS64" s="517">
        <f>IFERROR(IF(TEproj!H68="",TEproj!G68,TEproj!H68),0)</f>
        <v>8</v>
      </c>
      <c r="AT64" s="504">
        <f>INDEX(Draft!$BW:$BW,MATCH(AP64,Draft_Names_Master,0))</f>
        <v>0</v>
      </c>
      <c r="AU64">
        <v>6.2E-2</v>
      </c>
      <c r="AV64">
        <f>IFERROR(IF(INDEX(Instructions!$X$86:$X$105,MATCH('Draft Slayer Classic'!AP64,Instructions!$T$86:$T$105,0))&lt;=$E$25,1,0),0)</f>
        <v>0</v>
      </c>
      <c r="AW64">
        <f>IFERROR(INDEX(ADP!$A$7:$A$260,MATCH(AP64,ADP!$D$7:$D$260,0)),999+AU64)</f>
        <v>999.06200000000001</v>
      </c>
      <c r="AX64">
        <f t="shared" si="3"/>
        <v>6.2E-2</v>
      </c>
      <c r="AY64">
        <f>IFERROR(INDEX(Instructions!$U$111:$U$222,MATCH(AP64,Instructions!$T$111:$T$222,0)),0)</f>
        <v>0</v>
      </c>
      <c r="AZ64" s="197"/>
      <c r="BA64" s="197"/>
      <c r="BB64" s="216"/>
      <c r="BE64" s="197"/>
      <c r="BF64" s="197"/>
      <c r="BG64" s="216"/>
      <c r="BH64" s="216"/>
      <c r="BK64" s="203"/>
      <c r="BV64" t="str">
        <f>16&amp;13</f>
        <v>1613</v>
      </c>
      <c r="BW64">
        <v>13</v>
      </c>
      <c r="BX64">
        <v>20</v>
      </c>
      <c r="BY64">
        <v>45</v>
      </c>
      <c r="BZ64">
        <v>52</v>
      </c>
      <c r="CA64">
        <v>77</v>
      </c>
      <c r="CB64">
        <v>84</v>
      </c>
      <c r="CC64">
        <v>109</v>
      </c>
      <c r="CD64">
        <v>116</v>
      </c>
      <c r="CE64">
        <v>141</v>
      </c>
      <c r="CF64">
        <v>148</v>
      </c>
      <c r="CG64">
        <v>173</v>
      </c>
      <c r="CH64">
        <v>180</v>
      </c>
      <c r="CI64">
        <v>205</v>
      </c>
      <c r="CJ64">
        <v>212</v>
      </c>
      <c r="CK64">
        <v>237</v>
      </c>
      <c r="CL64">
        <v>244</v>
      </c>
      <c r="CM64">
        <v>269</v>
      </c>
      <c r="CN64">
        <v>276</v>
      </c>
      <c r="CO64">
        <v>301</v>
      </c>
      <c r="CP64">
        <v>308</v>
      </c>
      <c r="CQ64">
        <v>333</v>
      </c>
      <c r="CR64">
        <v>340</v>
      </c>
      <c r="CS64">
        <v>365</v>
      </c>
      <c r="CT64">
        <v>372</v>
      </c>
      <c r="CU64">
        <v>397</v>
      </c>
      <c r="DE64">
        <v>62</v>
      </c>
      <c r="DF64" t="str">
        <f>IF(IFERROR(MATCH(FFARawStatProjections!A65,Draft!BY:BY,0),1)&lt;=1,IF(FFARawStatProjections!A65=0,"",FFARawStatProjections!A65),"")</f>
        <v>Easton Stick</v>
      </c>
    </row>
    <row r="65" spans="1:110" x14ac:dyDescent="0.25">
      <c r="A65" s="196"/>
      <c r="B65" s="197"/>
      <c r="C65" s="197"/>
      <c r="D65" s="197"/>
      <c r="E65" s="197"/>
      <c r="F65" s="197"/>
      <c r="G65" s="197"/>
      <c r="H65" s="197"/>
      <c r="I65" s="222"/>
      <c r="J65" s="216"/>
      <c r="K65" s="216"/>
      <c r="L65" s="216"/>
      <c r="M65" s="216"/>
      <c r="S65" s="197"/>
      <c r="T65" s="187" t="str">
        <f>RBproj!D69</f>
        <v>Kyren Williams</v>
      </c>
      <c r="U65" s="461" t="str">
        <f>RBproj!E69</f>
        <v>LAR</v>
      </c>
      <c r="V65" s="184">
        <f>RBproj!F69</f>
        <v>73.65176000000001</v>
      </c>
      <c r="W65" s="517">
        <f>IFERROR(IF(RBproj!H69="",RBproj!G69,RBproj!H69),0)</f>
        <v>8</v>
      </c>
      <c r="X65" s="504">
        <f>INDEX(Draft!$BW:$BW,MATCH(T65,Draft_Names_Master,0))</f>
        <v>0</v>
      </c>
      <c r="Y65">
        <v>6.3E-2</v>
      </c>
      <c r="Z65">
        <f>IFERROR(IF(INDEX(Instructions!$X$64:$X$83,MATCH('Draft Slayer Classic'!T65,Instructions!$T$64:$T$83,0))&lt;=$E$25,1,0),0)</f>
        <v>0</v>
      </c>
      <c r="AA65">
        <f>IFERROR(INDEX(ADP!$A$7:$A$260,MATCH(T65,ADP!$D$7:$D$260,0)),999+Y65)</f>
        <v>999.06299999999999</v>
      </c>
      <c r="AB65">
        <f t="shared" si="1"/>
        <v>6.3E-2</v>
      </c>
      <c r="AC65">
        <f>IFERROR(INDEX(Instructions!$U$111:$U$222,MATCH(T65,Instructions!$T$111:$T$222,0)),0)</f>
        <v>0</v>
      </c>
      <c r="AD65" s="197"/>
      <c r="AE65" s="187" t="str">
        <f>WRproj!D69</f>
        <v>DeVante Parker</v>
      </c>
      <c r="AF65" s="461" t="str">
        <f>WRproj!E69</f>
        <v>NE</v>
      </c>
      <c r="AG65" s="184">
        <f>WRproj!F69</f>
        <v>135.07377</v>
      </c>
      <c r="AH65" s="517">
        <f>IFERROR(IF(WRproj!H69="",WRproj!G69,WRproj!H69),0)</f>
        <v>8</v>
      </c>
      <c r="AI65" s="503">
        <f>INDEX(Draft!$BW:$BW,MATCH(AE65,Draft_Names_Master,0))</f>
        <v>0</v>
      </c>
      <c r="AJ65">
        <v>6.3E-2</v>
      </c>
      <c r="AK65">
        <f>IFERROR(IF(INDEX(Instructions!$V$86:$V$105,MATCH('Draft Slayer Classic'!AE65,Instructions!$S$86:$S$105,0))&lt;=$E$25,1,0),0)</f>
        <v>0</v>
      </c>
      <c r="AL65">
        <f>IFERROR(INDEX(ADP!$A$7:$A$260,MATCH(AE65,ADP!$D$7:$D$260,0)),999+AJ65)</f>
        <v>999.06299999999999</v>
      </c>
      <c r="AM65">
        <f t="shared" si="2"/>
        <v>6.3E-2</v>
      </c>
      <c r="AN65">
        <f>IFERROR(INDEX(Instructions!$U$111:$U$222,MATCH(AE65,Instructions!$T$111:$T$222,0)),0)</f>
        <v>0</v>
      </c>
      <c r="AO65" s="197"/>
      <c r="AP65" s="187" t="str">
        <f>TEproj!D69</f>
        <v>Brevin Jordan</v>
      </c>
      <c r="AQ65" s="461" t="str">
        <f>TEproj!E69</f>
        <v>HOU</v>
      </c>
      <c r="AR65" s="184">
        <f>TEproj!F69</f>
        <v>34.446709999999996</v>
      </c>
      <c r="AS65" s="517">
        <f>IFERROR(IF(TEproj!H69="",TEproj!G69,TEproj!H69),0)</f>
        <v>8</v>
      </c>
      <c r="AT65" s="503">
        <f>INDEX(Draft!$BW:$BW,MATCH(AP65,Draft_Names_Master,0))</f>
        <v>0</v>
      </c>
      <c r="AU65">
        <v>6.3E-2</v>
      </c>
      <c r="AV65">
        <f>IFERROR(IF(INDEX(Instructions!$X$86:$X$105,MATCH('Draft Slayer Classic'!AP65,Instructions!$T$86:$T$105,0))&lt;=$E$25,1,0),0)</f>
        <v>0</v>
      </c>
      <c r="AW65">
        <f>IFERROR(INDEX(ADP!$A$7:$A$260,MATCH(AP65,ADP!$D$7:$D$260,0)),999+AU65)</f>
        <v>999.06299999999999</v>
      </c>
      <c r="AX65">
        <f t="shared" si="3"/>
        <v>6.3E-2</v>
      </c>
      <c r="AY65">
        <f>IFERROR(INDEX(Instructions!$U$111:$U$222,MATCH(AP65,Instructions!$T$111:$T$222,0)),0)</f>
        <v>0</v>
      </c>
      <c r="AZ65" s="197"/>
      <c r="BA65" s="197"/>
      <c r="BB65" s="216"/>
      <c r="BE65" s="197"/>
      <c r="BF65" s="197"/>
      <c r="BG65" s="216"/>
      <c r="BH65" s="216"/>
      <c r="BK65" s="203"/>
      <c r="BV65" t="str">
        <f>16&amp;14</f>
        <v>1614</v>
      </c>
      <c r="BW65">
        <v>14</v>
      </c>
      <c r="BX65">
        <v>19</v>
      </c>
      <c r="BY65">
        <v>46</v>
      </c>
      <c r="BZ65">
        <v>51</v>
      </c>
      <c r="CA65">
        <v>78</v>
      </c>
      <c r="CB65">
        <v>83</v>
      </c>
      <c r="CC65">
        <v>110</v>
      </c>
      <c r="CD65">
        <v>115</v>
      </c>
      <c r="CE65">
        <v>142</v>
      </c>
      <c r="CF65">
        <v>147</v>
      </c>
      <c r="CG65">
        <v>174</v>
      </c>
      <c r="CH65">
        <v>179</v>
      </c>
      <c r="CI65">
        <v>206</v>
      </c>
      <c r="CJ65">
        <v>211</v>
      </c>
      <c r="CK65">
        <v>238</v>
      </c>
      <c r="CL65">
        <v>243</v>
      </c>
      <c r="CM65">
        <v>270</v>
      </c>
      <c r="CN65">
        <v>275</v>
      </c>
      <c r="CO65">
        <v>302</v>
      </c>
      <c r="CP65">
        <v>307</v>
      </c>
      <c r="CQ65">
        <v>334</v>
      </c>
      <c r="CR65">
        <v>339</v>
      </c>
      <c r="CS65">
        <v>366</v>
      </c>
      <c r="CT65">
        <v>371</v>
      </c>
      <c r="CU65">
        <v>398</v>
      </c>
      <c r="DE65">
        <v>63</v>
      </c>
      <c r="DF65" t="str">
        <f>IF(IFERROR(MATCH(FFARawStatProjections!A66,Draft!BY:BY,0),1)&lt;=1,IF(FFARawStatProjections!A66=0,"",FFARawStatProjections!A66),"")</f>
        <v>CJ Beathard</v>
      </c>
    </row>
    <row r="66" spans="1:110" x14ac:dyDescent="0.25">
      <c r="A66" s="196"/>
      <c r="B66" s="197"/>
      <c r="C66" s="197"/>
      <c r="D66" s="197"/>
      <c r="E66" s="197"/>
      <c r="F66" s="197"/>
      <c r="G66" s="197"/>
      <c r="H66" s="197"/>
      <c r="I66" s="222"/>
      <c r="J66" s="216"/>
      <c r="K66" s="216"/>
      <c r="L66" s="216"/>
      <c r="M66" s="216"/>
      <c r="S66" s="197"/>
      <c r="T66" s="182" t="str">
        <f>RBproj!D70</f>
        <v>Chase Brown</v>
      </c>
      <c r="U66" s="290" t="str">
        <f>RBproj!E70</f>
        <v>CIN</v>
      </c>
      <c r="V66" s="183">
        <f>RBproj!F70</f>
        <v>73.321789999999993</v>
      </c>
      <c r="W66" s="517">
        <f>IFERROR(IF(RBproj!H70="",RBproj!G70,RBproj!H70),0)</f>
        <v>8</v>
      </c>
      <c r="X66" s="504">
        <f>INDEX(Draft!$BW:$BW,MATCH(T66,Draft_Names_Master,0))</f>
        <v>0</v>
      </c>
      <c r="Y66">
        <v>6.4000000000000001E-2</v>
      </c>
      <c r="Z66">
        <f>IFERROR(IF(INDEX(Instructions!$X$64:$X$83,MATCH('Draft Slayer Classic'!T66,Instructions!$T$64:$T$83,0))&lt;=$E$25,1,0),0)</f>
        <v>0</v>
      </c>
      <c r="AA66">
        <f>IFERROR(INDEX(ADP!$A$7:$A$260,MATCH(T66,ADP!$D$7:$D$260,0)),999+Y66)</f>
        <v>999.06399999999996</v>
      </c>
      <c r="AB66">
        <f t="shared" si="1"/>
        <v>6.4000000000000001E-2</v>
      </c>
      <c r="AC66">
        <f>IFERROR(INDEX(Instructions!$U$111:$U$222,MATCH(T66,Instructions!$T$111:$T$222,0)),0)</f>
        <v>0</v>
      </c>
      <c r="AD66" s="197"/>
      <c r="AE66" s="182" t="str">
        <f>WRproj!D70</f>
        <v>Jonathan Mingo</v>
      </c>
      <c r="AF66" s="290" t="str">
        <f>WRproj!E70</f>
        <v>CAR</v>
      </c>
      <c r="AG66" s="183">
        <f>WRproj!F70</f>
        <v>134.48373000000001</v>
      </c>
      <c r="AH66" s="517">
        <f>IFERROR(IF(WRproj!H70="",WRproj!G70,WRproj!H70),0)</f>
        <v>8</v>
      </c>
      <c r="AI66" s="503">
        <f>INDEX(Draft!$BW:$BW,MATCH(AE66,Draft_Names_Master,0))</f>
        <v>0</v>
      </c>
      <c r="AJ66">
        <v>6.4000000000000001E-2</v>
      </c>
      <c r="AK66">
        <f>IFERROR(IF(INDEX(Instructions!$V$86:$V$105,MATCH('Draft Slayer Classic'!AE66,Instructions!$S$86:$S$105,0))&lt;=$E$25,1,0),0)</f>
        <v>0</v>
      </c>
      <c r="AL66">
        <f>IFERROR(INDEX(ADP!$A$7:$A$260,MATCH(AE66,ADP!$D$7:$D$260,0)),999+AJ66)</f>
        <v>999.06399999999996</v>
      </c>
      <c r="AM66">
        <f t="shared" si="2"/>
        <v>6.4000000000000001E-2</v>
      </c>
      <c r="AN66">
        <f>IFERROR(INDEX(Instructions!$U$111:$U$222,MATCH(AE66,Instructions!$T$111:$T$222,0)),0)</f>
        <v>0</v>
      </c>
      <c r="AO66" s="197"/>
      <c r="AP66" s="182" t="str">
        <f>TEproj!D70</f>
        <v>Elijah Higgins</v>
      </c>
      <c r="AQ66" s="290" t="str">
        <f>TEproj!E70</f>
        <v>MIA</v>
      </c>
      <c r="AR66" s="183">
        <f>TEproj!F70</f>
        <v>33.926700000000004</v>
      </c>
      <c r="AS66" s="517">
        <f>IFERROR(IF(TEproj!H70="",TEproj!G70,TEproj!H70),0)</f>
        <v>8</v>
      </c>
      <c r="AT66" s="504">
        <f>INDEX(Draft!$BW:$BW,MATCH(AP66,Draft_Names_Master,0))</f>
        <v>0</v>
      </c>
      <c r="AU66">
        <v>6.4000000000000001E-2</v>
      </c>
      <c r="AV66">
        <f>IFERROR(IF(INDEX(Instructions!$X$86:$X$105,MATCH('Draft Slayer Classic'!AP66,Instructions!$T$86:$T$105,0))&lt;=$E$25,1,0),0)</f>
        <v>0</v>
      </c>
      <c r="AW66">
        <f>IFERROR(INDEX(ADP!$A$7:$A$260,MATCH(AP66,ADP!$D$7:$D$260,0)),999+AU66)</f>
        <v>999.06399999999996</v>
      </c>
      <c r="AX66">
        <f t="shared" si="3"/>
        <v>6.4000000000000001E-2</v>
      </c>
      <c r="AY66">
        <f>IFERROR(INDEX(Instructions!$U$111:$U$222,MATCH(AP66,Instructions!$T$111:$T$222,0)),0)</f>
        <v>0</v>
      </c>
      <c r="AZ66" s="197"/>
      <c r="BA66" s="197"/>
      <c r="BB66" s="216"/>
      <c r="BE66" s="197"/>
      <c r="BF66" s="197"/>
      <c r="BG66" s="216"/>
      <c r="BH66" s="216"/>
      <c r="BK66" s="203"/>
      <c r="BV66" t="str">
        <f>16&amp;15</f>
        <v>1615</v>
      </c>
      <c r="BW66">
        <v>15</v>
      </c>
      <c r="BX66">
        <v>18</v>
      </c>
      <c r="BY66">
        <v>47</v>
      </c>
      <c r="BZ66">
        <v>50</v>
      </c>
      <c r="CA66">
        <v>79</v>
      </c>
      <c r="CB66">
        <v>82</v>
      </c>
      <c r="CC66">
        <v>111</v>
      </c>
      <c r="CD66">
        <v>114</v>
      </c>
      <c r="CE66">
        <v>143</v>
      </c>
      <c r="CF66">
        <v>146</v>
      </c>
      <c r="CG66">
        <v>175</v>
      </c>
      <c r="CH66">
        <v>178</v>
      </c>
      <c r="CI66">
        <v>207</v>
      </c>
      <c r="CJ66">
        <v>210</v>
      </c>
      <c r="CK66">
        <v>239</v>
      </c>
      <c r="CL66">
        <v>242</v>
      </c>
      <c r="CM66">
        <v>271</v>
      </c>
      <c r="CN66">
        <v>274</v>
      </c>
      <c r="CO66">
        <v>303</v>
      </c>
      <c r="CP66">
        <v>306</v>
      </c>
      <c r="CQ66">
        <v>335</v>
      </c>
      <c r="CR66">
        <v>338</v>
      </c>
      <c r="CS66">
        <v>367</v>
      </c>
      <c r="CT66">
        <v>370</v>
      </c>
      <c r="CU66">
        <v>399</v>
      </c>
      <c r="DE66">
        <v>64</v>
      </c>
      <c r="DF66" t="str">
        <f>IF(IFERROR(MATCH(FFARawStatProjections!A67,Draft!BY:BY,0),1)&lt;=1,IF(FFARawStatProjections!A67=0,"",FFARawStatProjections!A67),"")</f>
        <v>Drew Lock</v>
      </c>
    </row>
    <row r="67" spans="1:110" x14ac:dyDescent="0.25">
      <c r="A67" s="196"/>
      <c r="B67" s="197"/>
      <c r="C67" s="197"/>
      <c r="D67" s="197"/>
      <c r="E67" s="197"/>
      <c r="F67" s="197"/>
      <c r="G67" s="197"/>
      <c r="H67" s="197"/>
      <c r="I67" s="222"/>
      <c r="J67" s="216"/>
      <c r="K67" s="216"/>
      <c r="L67" s="216"/>
      <c r="M67" s="216"/>
      <c r="S67" s="197"/>
      <c r="T67" s="187" t="str">
        <f>RBproj!D71</f>
        <v>Jerome Ford</v>
      </c>
      <c r="U67" s="461" t="str">
        <f>RBproj!E71</f>
        <v>CLE</v>
      </c>
      <c r="V67" s="184">
        <f>RBproj!F71</f>
        <v>68.91176999999999</v>
      </c>
      <c r="W67" s="517">
        <f>IFERROR(IF(RBproj!H71="",RBproj!G71,RBproj!H71),0)</f>
        <v>8</v>
      </c>
      <c r="X67" s="504">
        <f>INDEX(Draft!$BW:$BW,MATCH(T67,Draft_Names_Master,0))</f>
        <v>0</v>
      </c>
      <c r="Y67">
        <v>6.5000000000000002E-2</v>
      </c>
      <c r="Z67">
        <f>IFERROR(IF(INDEX(Instructions!$X$64:$X$83,MATCH('Draft Slayer Classic'!T67,Instructions!$T$64:$T$83,0))&lt;=$E$25,1,0),0)</f>
        <v>0</v>
      </c>
      <c r="AA67">
        <f>IFERROR(INDEX(ADP!$A$7:$A$260,MATCH(T67,ADP!$D$7:$D$260,0)),999+Y67)</f>
        <v>173</v>
      </c>
      <c r="AB67">
        <f t="shared" si="1"/>
        <v>6.5000000000000002E-2</v>
      </c>
      <c r="AC67">
        <f>IFERROR(INDEX(Instructions!$U$111:$U$222,MATCH(T67,Instructions!$T$111:$T$222,0)),0)</f>
        <v>0</v>
      </c>
      <c r="AD67" s="197"/>
      <c r="AE67" s="187" t="str">
        <f>WRproj!D71</f>
        <v>Curtis Samuel</v>
      </c>
      <c r="AF67" s="461" t="str">
        <f>WRproj!E71</f>
        <v>WAS</v>
      </c>
      <c r="AG67" s="184">
        <f>WRproj!F71</f>
        <v>134.37378000000001</v>
      </c>
      <c r="AH67" s="517">
        <f>IFERROR(IF(WRproj!H71="",WRproj!G71,WRproj!H71),0)</f>
        <v>8</v>
      </c>
      <c r="AI67" s="503">
        <f>INDEX(Draft!$BW:$BW,MATCH(AE67,Draft_Names_Master,0))</f>
        <v>0</v>
      </c>
      <c r="AJ67">
        <v>6.5000000000000002E-2</v>
      </c>
      <c r="AK67">
        <f>IFERROR(IF(INDEX(Instructions!$V$86:$V$105,MATCH('Draft Slayer Classic'!AE67,Instructions!$S$86:$S$105,0))&lt;=$E$25,1,0),0)</f>
        <v>0</v>
      </c>
      <c r="AL67">
        <f>IFERROR(INDEX(ADP!$A$7:$A$260,MATCH(AE67,ADP!$D$7:$D$260,0)),999+AJ67)</f>
        <v>999.06500000000005</v>
      </c>
      <c r="AM67">
        <f t="shared" si="2"/>
        <v>6.5000000000000002E-2</v>
      </c>
      <c r="AN67">
        <f>IFERROR(INDEX(Instructions!$U$111:$U$222,MATCH(AE67,Instructions!$T$111:$T$222,0)),0)</f>
        <v>0</v>
      </c>
      <c r="AO67" s="197"/>
      <c r="AP67" s="187" t="str">
        <f>TEproj!D71</f>
        <v>Teagan Quitoriano</v>
      </c>
      <c r="AQ67" s="461" t="str">
        <f>TEproj!E71</f>
        <v>HOU</v>
      </c>
      <c r="AR67" s="184">
        <f>TEproj!F71</f>
        <v>33.206720000000004</v>
      </c>
      <c r="AS67" s="517">
        <f>IFERROR(IF(TEproj!H71="",TEproj!G71,TEproj!H71),0)</f>
        <v>8</v>
      </c>
      <c r="AT67" s="503">
        <f>INDEX(Draft!$BW:$BW,MATCH(AP67,Draft_Names_Master,0))</f>
        <v>0</v>
      </c>
      <c r="AU67">
        <v>6.5000000000000002E-2</v>
      </c>
      <c r="AV67">
        <f>IFERROR(IF(INDEX(Instructions!$X$86:$X$105,MATCH('Draft Slayer Classic'!AP67,Instructions!$T$86:$T$105,0))&lt;=$E$25,1,0),0)</f>
        <v>0</v>
      </c>
      <c r="AW67">
        <f>IFERROR(INDEX(ADP!$A$7:$A$260,MATCH(AP67,ADP!$D$7:$D$260,0)),999+AU67)</f>
        <v>999.06500000000005</v>
      </c>
      <c r="AX67">
        <f t="shared" si="3"/>
        <v>6.5000000000000002E-2</v>
      </c>
      <c r="AY67">
        <f>IFERROR(INDEX(Instructions!$U$111:$U$222,MATCH(AP67,Instructions!$T$111:$T$222,0)),0)</f>
        <v>0</v>
      </c>
      <c r="AZ67" s="197"/>
      <c r="BA67" s="197"/>
      <c r="BB67" s="216"/>
      <c r="BE67" s="197"/>
      <c r="BF67" s="197"/>
      <c r="BG67" s="216"/>
      <c r="BH67" s="216"/>
      <c r="BK67" s="203"/>
      <c r="BV67" t="str">
        <f>16&amp;16</f>
        <v>1616</v>
      </c>
      <c r="BW67">
        <v>16</v>
      </c>
      <c r="BX67">
        <v>17</v>
      </c>
      <c r="BY67">
        <v>48</v>
      </c>
      <c r="BZ67">
        <v>49</v>
      </c>
      <c r="CA67">
        <v>80</v>
      </c>
      <c r="CB67">
        <v>81</v>
      </c>
      <c r="CC67">
        <v>112</v>
      </c>
      <c r="CD67">
        <v>113</v>
      </c>
      <c r="CE67">
        <v>144</v>
      </c>
      <c r="CF67">
        <v>145</v>
      </c>
      <c r="CG67">
        <v>176</v>
      </c>
      <c r="CH67">
        <v>177</v>
      </c>
      <c r="CI67">
        <v>208</v>
      </c>
      <c r="CJ67">
        <v>209</v>
      </c>
      <c r="CK67">
        <v>240</v>
      </c>
      <c r="CL67">
        <v>241</v>
      </c>
      <c r="CM67">
        <v>272</v>
      </c>
      <c r="CN67">
        <v>273</v>
      </c>
      <c r="CO67">
        <v>304</v>
      </c>
      <c r="CP67">
        <v>305</v>
      </c>
      <c r="CQ67">
        <v>336</v>
      </c>
      <c r="CR67">
        <v>337</v>
      </c>
      <c r="CS67">
        <v>368</v>
      </c>
      <c r="CT67">
        <v>369</v>
      </c>
      <c r="CU67">
        <v>400</v>
      </c>
      <c r="DE67">
        <v>65</v>
      </c>
      <c r="DF67" t="str">
        <f>IF(IFERROR(MATCH(FFARawStatProjections!A68,Draft!BY:BY,0),1)&lt;=1,IF(FFARawStatProjections!A68=0,"",FFARawStatProjections!A68),"")</f>
        <v>Cooper Rush</v>
      </c>
    </row>
    <row r="68" spans="1:110" x14ac:dyDescent="0.25">
      <c r="A68" s="196"/>
      <c r="B68" s="197"/>
      <c r="C68" s="197"/>
      <c r="D68" s="197"/>
      <c r="E68" s="197"/>
      <c r="F68" s="197"/>
      <c r="G68" s="197"/>
      <c r="H68" s="197"/>
      <c r="I68" s="222"/>
      <c r="J68" s="216"/>
      <c r="K68" s="221"/>
      <c r="L68" s="216"/>
      <c r="M68" s="216"/>
      <c r="S68" s="197"/>
      <c r="T68" s="182" t="str">
        <f>RBproj!D72</f>
        <v>Kendre Miller</v>
      </c>
      <c r="U68" s="290" t="str">
        <f>RBproj!E72</f>
        <v>NO</v>
      </c>
      <c r="V68" s="183">
        <f>RBproj!F72</f>
        <v>65.381810000000002</v>
      </c>
      <c r="W68" s="517">
        <f>IFERROR(IF(RBproj!H72="",RBproj!G72,RBproj!H72),0)</f>
        <v>8</v>
      </c>
      <c r="X68" s="504">
        <f>INDEX(Draft!$BW:$BW,MATCH(T68,Draft_Names_Master,0))</f>
        <v>0</v>
      </c>
      <c r="Y68">
        <v>6.6000000000000003E-2</v>
      </c>
      <c r="Z68">
        <f>IFERROR(IF(INDEX(Instructions!$X$64:$X$83,MATCH('Draft Slayer Classic'!T68,Instructions!$T$64:$T$83,0))&lt;=$E$25,1,0),0)</f>
        <v>0</v>
      </c>
      <c r="AA68">
        <f>IFERROR(INDEX(ADP!$A$7:$A$260,MATCH(T68,ADP!$D$7:$D$260,0)),999+Y68)</f>
        <v>999.06600000000003</v>
      </c>
      <c r="AB68">
        <f t="shared" ref="AB68:AB131" si="6">IFERROR(IF(AND(AC68&gt;0,X68=0),AC68,IF(X68=0,Y68,1)),999)</f>
        <v>6.6000000000000003E-2</v>
      </c>
      <c r="AC68">
        <f>IFERROR(INDEX(Instructions!$U$111:$U$222,MATCH(T68,Instructions!$T$111:$T$222,0)),0)</f>
        <v>0</v>
      </c>
      <c r="AD68" s="197"/>
      <c r="AE68" s="182" t="str">
        <f>WRproj!D72</f>
        <v>KJ Osborn</v>
      </c>
      <c r="AF68" s="290" t="str">
        <f>WRproj!E72</f>
        <v>MIN</v>
      </c>
      <c r="AG68" s="183">
        <f>WRproj!F72</f>
        <v>131.77382</v>
      </c>
      <c r="AH68" s="517">
        <f>IFERROR(IF(WRproj!H72="",WRproj!G72,WRproj!H72),0)</f>
        <v>8</v>
      </c>
      <c r="AI68" s="503">
        <f>INDEX(Draft!$BW:$BW,MATCH(AE68,Draft_Names_Master,0))</f>
        <v>0</v>
      </c>
      <c r="AJ68">
        <v>6.6000000000000003E-2</v>
      </c>
      <c r="AK68">
        <f>IFERROR(IF(INDEX(Instructions!$V$86:$V$105,MATCH('Draft Slayer Classic'!AE68,Instructions!$S$86:$S$105,0))&lt;=$E$25,1,0),0)</f>
        <v>0</v>
      </c>
      <c r="AL68">
        <f>IFERROR(INDEX(ADP!$A$7:$A$260,MATCH(AE68,ADP!$D$7:$D$260,0)),999+AJ68)</f>
        <v>179</v>
      </c>
      <c r="AM68">
        <f t="shared" ref="AM68:AM131" si="7">IFERROR(IF(AND(AN68&gt;0,AI68=0),AN68,IF(AI68=0,AJ68,1)),999)</f>
        <v>6.6000000000000003E-2</v>
      </c>
      <c r="AN68">
        <f>IFERROR(INDEX(Instructions!$U$111:$U$222,MATCH(AE68,Instructions!$T$111:$T$222,0)),0)</f>
        <v>0</v>
      </c>
      <c r="AO68" s="197"/>
      <c r="AP68" s="182" t="str">
        <f>TEproj!D72</f>
        <v>Geoff Swaim</v>
      </c>
      <c r="AQ68" s="290" t="str">
        <f>TEproj!E72</f>
        <v>AZ</v>
      </c>
      <c r="AR68" s="183">
        <f>TEproj!F72</f>
        <v>32.546669999999999</v>
      </c>
      <c r="AS68" s="517">
        <f>IFERROR(IF(TEproj!H72="",TEproj!G72,TEproj!H72),0)</f>
        <v>8</v>
      </c>
      <c r="AT68" s="504">
        <f>INDEX(Draft!$BW:$BW,MATCH(AP68,Draft_Names_Master,0))</f>
        <v>0</v>
      </c>
      <c r="AU68">
        <v>6.6000000000000003E-2</v>
      </c>
      <c r="AV68">
        <f>IFERROR(IF(INDEX(Instructions!$X$86:$X$105,MATCH('Draft Slayer Classic'!AP68,Instructions!$T$86:$T$105,0))&lt;=$E$25,1,0),0)</f>
        <v>0</v>
      </c>
      <c r="AW68">
        <f>IFERROR(INDEX(ADP!$A$7:$A$260,MATCH(AP68,ADP!$D$7:$D$260,0)),999+AU68)</f>
        <v>999.06600000000003</v>
      </c>
      <c r="AX68">
        <f t="shared" ref="AX68:AX85" si="8">IFERROR(IF(AND(AY68&gt;0,AT68=0),AY68,IF(AT68=0,AU68,1)),999)</f>
        <v>6.6000000000000003E-2</v>
      </c>
      <c r="AY68">
        <f>IFERROR(INDEX(Instructions!$U$111:$U$222,MATCH(AP68,Instructions!$T$111:$T$222,0)),0)</f>
        <v>0</v>
      </c>
      <c r="AZ68" s="197"/>
      <c r="BA68" s="197"/>
      <c r="BB68" s="216"/>
      <c r="BE68" s="197"/>
      <c r="BF68" s="197"/>
      <c r="BG68" s="216"/>
      <c r="BH68" s="216"/>
      <c r="BK68" s="203"/>
      <c r="DE68">
        <v>66</v>
      </c>
      <c r="DF68" t="str">
        <f>IF(IFERROR(MATCH(FFARawStatProjections!A69,Draft!BY:BY,0),1)&lt;=1,IF(FFARawStatProjections!A69=0,"",FFARawStatProjections!A69),"")</f>
        <v>David Blough</v>
      </c>
    </row>
    <row r="69" spans="1:110" x14ac:dyDescent="0.25">
      <c r="A69" s="196"/>
      <c r="B69" s="197"/>
      <c r="C69" s="197"/>
      <c r="D69" s="197"/>
      <c r="E69" s="197"/>
      <c r="F69" s="197"/>
      <c r="G69" s="197"/>
      <c r="H69" s="197"/>
      <c r="I69" s="222"/>
      <c r="J69" s="216"/>
      <c r="K69" s="216"/>
      <c r="L69" s="216"/>
      <c r="M69" s="216"/>
      <c r="S69" s="197"/>
      <c r="T69" s="187" t="str">
        <f>RBproj!D73</f>
        <v>Keaontay Ingram</v>
      </c>
      <c r="U69" s="461" t="str">
        <f>RBproj!E73</f>
        <v>AZ</v>
      </c>
      <c r="V69" s="184">
        <f>RBproj!F73</f>
        <v>64.781819999999996</v>
      </c>
      <c r="W69" s="517">
        <f>IFERROR(IF(RBproj!H73="",RBproj!G73,RBproj!H73),0)</f>
        <v>8</v>
      </c>
      <c r="X69" s="504">
        <f>INDEX(Draft!$BW:$BW,MATCH(T69,Draft_Names_Master,0))</f>
        <v>0</v>
      </c>
      <c r="Y69">
        <v>6.7000000000000004E-2</v>
      </c>
      <c r="Z69">
        <f>IFERROR(IF(INDEX(Instructions!$X$64:$X$83,MATCH('Draft Slayer Classic'!T69,Instructions!$T$64:$T$83,0))&lt;=$E$25,1,0),0)</f>
        <v>0</v>
      </c>
      <c r="AA69">
        <f>IFERROR(INDEX(ADP!$A$7:$A$260,MATCH(T69,ADP!$D$7:$D$260,0)),999+Y69)</f>
        <v>999.06700000000001</v>
      </c>
      <c r="AB69">
        <f t="shared" si="6"/>
        <v>6.7000000000000004E-2</v>
      </c>
      <c r="AC69">
        <f>IFERROR(INDEX(Instructions!$U$111:$U$222,MATCH(T69,Instructions!$T$111:$T$222,0)),0)</f>
        <v>0</v>
      </c>
      <c r="AD69" s="197"/>
      <c r="AE69" s="187" t="str">
        <f>WRproj!D73</f>
        <v>Van Jefferson</v>
      </c>
      <c r="AF69" s="461" t="str">
        <f>WRproj!E73</f>
        <v>LAR</v>
      </c>
      <c r="AG69" s="184">
        <f>WRproj!F73</f>
        <v>129.12384</v>
      </c>
      <c r="AH69" s="517">
        <f>IFERROR(IF(WRproj!H73="",WRproj!G73,WRproj!H73),0)</f>
        <v>8</v>
      </c>
      <c r="AI69" s="503">
        <f>INDEX(Draft!$BW:$BW,MATCH(AE69,Draft_Names_Master,0))</f>
        <v>0</v>
      </c>
      <c r="AJ69">
        <v>6.7000000000000004E-2</v>
      </c>
      <c r="AK69">
        <f>IFERROR(IF(INDEX(Instructions!$V$86:$V$105,MATCH('Draft Slayer Classic'!AE69,Instructions!$S$86:$S$105,0))&lt;=$E$25,1,0),0)</f>
        <v>0</v>
      </c>
      <c r="AL69">
        <f>IFERROR(INDEX(ADP!$A$7:$A$260,MATCH(AE69,ADP!$D$7:$D$260,0)),999+AJ69)</f>
        <v>999.06700000000001</v>
      </c>
      <c r="AM69">
        <f t="shared" si="7"/>
        <v>6.7000000000000004E-2</v>
      </c>
      <c r="AN69">
        <f>IFERROR(INDEX(Instructions!$U$111:$U$222,MATCH(AE69,Instructions!$T$111:$T$222,0)),0)</f>
        <v>0</v>
      </c>
      <c r="AO69" s="197"/>
      <c r="AP69" s="187" t="str">
        <f>TEproj!D73</f>
        <v>Eric Saubert</v>
      </c>
      <c r="AQ69" s="461" t="str">
        <f>TEproj!E73</f>
        <v>MIA</v>
      </c>
      <c r="AR69" s="184">
        <f>TEproj!F73</f>
        <v>32.136790000000005</v>
      </c>
      <c r="AS69" s="517">
        <f>IFERROR(IF(TEproj!H73="",TEproj!G73,TEproj!H73),0)</f>
        <v>8</v>
      </c>
      <c r="AT69" s="503">
        <f>INDEX(Draft!$BW:$BW,MATCH(AP69,Draft_Names_Master,0))</f>
        <v>0</v>
      </c>
      <c r="AU69">
        <v>6.7000000000000004E-2</v>
      </c>
      <c r="AV69">
        <f>IFERROR(IF(INDEX(Instructions!$X$86:$X$105,MATCH('Draft Slayer Classic'!AP69,Instructions!$T$86:$T$105,0))&lt;=$E$25,1,0),0)</f>
        <v>0</v>
      </c>
      <c r="AW69">
        <f>IFERROR(INDEX(ADP!$A$7:$A$260,MATCH(AP69,ADP!$D$7:$D$260,0)),999+AU69)</f>
        <v>999.06700000000001</v>
      </c>
      <c r="AX69">
        <f t="shared" si="8"/>
        <v>6.7000000000000004E-2</v>
      </c>
      <c r="AY69">
        <f>IFERROR(INDEX(Instructions!$U$111:$U$222,MATCH(AP69,Instructions!$T$111:$T$222,0)),0)</f>
        <v>0</v>
      </c>
      <c r="AZ69" s="197"/>
      <c r="BA69" s="197"/>
      <c r="BB69" s="216"/>
      <c r="BE69" s="197"/>
      <c r="BF69" s="197"/>
      <c r="BG69" s="216"/>
      <c r="BH69" s="216"/>
      <c r="BK69" s="203"/>
      <c r="DE69">
        <v>67</v>
      </c>
      <c r="DF69" t="str">
        <f>IF(IFERROR(MATCH(FFARawStatProjections!A70,Draft!BY:BY,0),1)&lt;=1,IF(FFARawStatProjections!A70=0,"",FFARawStatProjections!A70),"")</f>
        <v>Kyle Allen</v>
      </c>
    </row>
    <row r="70" spans="1:110" x14ac:dyDescent="0.25">
      <c r="A70" s="196"/>
      <c r="B70" s="197"/>
      <c r="C70" s="197"/>
      <c r="D70" s="197"/>
      <c r="E70" s="197"/>
      <c r="F70" s="197"/>
      <c r="G70" s="197"/>
      <c r="H70" s="197"/>
      <c r="I70" s="222"/>
      <c r="J70" s="216"/>
      <c r="K70" s="216"/>
      <c r="L70" s="216"/>
      <c r="M70" s="216"/>
      <c r="S70" s="197"/>
      <c r="T70" s="182" t="str">
        <f>RBproj!D74</f>
        <v>Ronald Jones</v>
      </c>
      <c r="U70" s="290" t="str">
        <f>RBproj!E74</f>
        <v>DAL</v>
      </c>
      <c r="V70" s="183">
        <f>RBproj!F74</f>
        <v>60.331800000000008</v>
      </c>
      <c r="W70" s="517">
        <f>IFERROR(IF(RBproj!H74="",RBproj!G74,RBproj!H74),0)</f>
        <v>8</v>
      </c>
      <c r="X70" s="504">
        <f>INDEX(Draft!$BW:$BW,MATCH(T70,Draft_Names_Master,0))</f>
        <v>0</v>
      </c>
      <c r="Y70">
        <v>6.8000000000000005E-2</v>
      </c>
      <c r="Z70">
        <f>IFERROR(IF(INDEX(Instructions!$X$64:$X$83,MATCH('Draft Slayer Classic'!T70,Instructions!$T$64:$T$83,0))&lt;=$E$25,1,0),0)</f>
        <v>0</v>
      </c>
      <c r="AA70">
        <f>IFERROR(INDEX(ADP!$A$7:$A$260,MATCH(T70,ADP!$D$7:$D$260,0)),999+Y70)</f>
        <v>999.06799999999998</v>
      </c>
      <c r="AB70">
        <f t="shared" si="6"/>
        <v>6.8000000000000005E-2</v>
      </c>
      <c r="AC70">
        <f>IFERROR(INDEX(Instructions!$U$111:$U$222,MATCH(T70,Instructions!$T$111:$T$222,0)),0)</f>
        <v>0</v>
      </c>
      <c r="AD70" s="197"/>
      <c r="AE70" s="182" t="str">
        <f>WRproj!D74</f>
        <v>Donovan Peoples-Jones</v>
      </c>
      <c r="AF70" s="290" t="str">
        <f>WRproj!E74</f>
        <v>CLE</v>
      </c>
      <c r="AG70" s="183">
        <f>WRproj!F74</f>
        <v>128.52381000000003</v>
      </c>
      <c r="AH70" s="517">
        <f>IFERROR(IF(WRproj!H74="",WRproj!G74,WRproj!H74),0)</f>
        <v>8</v>
      </c>
      <c r="AI70" s="503">
        <f>INDEX(Draft!$BW:$BW,MATCH(AE70,Draft_Names_Master,0))</f>
        <v>0</v>
      </c>
      <c r="AJ70">
        <v>6.8000000000000005E-2</v>
      </c>
      <c r="AK70">
        <f>IFERROR(IF(INDEX(Instructions!$V$86:$V$105,MATCH('Draft Slayer Classic'!AE70,Instructions!$S$86:$S$105,0))&lt;=$E$25,1,0),0)</f>
        <v>0</v>
      </c>
      <c r="AL70">
        <f>IFERROR(INDEX(ADP!$A$7:$A$260,MATCH(AE70,ADP!$D$7:$D$260,0)),999+AJ70)</f>
        <v>170</v>
      </c>
      <c r="AM70">
        <f t="shared" si="7"/>
        <v>6.8000000000000005E-2</v>
      </c>
      <c r="AN70">
        <f>IFERROR(INDEX(Instructions!$U$111:$U$222,MATCH(AE70,Instructions!$T$111:$T$222,0)),0)</f>
        <v>0</v>
      </c>
      <c r="AO70" s="197"/>
      <c r="AP70" s="182" t="str">
        <f>TEproj!D74</f>
        <v>Lawrence Cager</v>
      </c>
      <c r="AQ70" s="290" t="str">
        <f>TEproj!E74</f>
        <v>NYG</v>
      </c>
      <c r="AR70" s="183">
        <f>TEproj!F74</f>
        <v>31.18693</v>
      </c>
      <c r="AS70" s="517">
        <f>IFERROR(IF(TEproj!H74="",TEproj!G74,TEproj!H74),0)</f>
        <v>8</v>
      </c>
      <c r="AT70" s="504">
        <f>INDEX(Draft!$BW:$BW,MATCH(AP70,Draft_Names_Master,0))</f>
        <v>0</v>
      </c>
      <c r="AU70">
        <v>6.8000000000000005E-2</v>
      </c>
      <c r="AV70">
        <f>IFERROR(IF(INDEX(Instructions!$X$86:$X$105,MATCH('Draft Slayer Classic'!AP70,Instructions!$T$86:$T$105,0))&lt;=$E$25,1,0),0)</f>
        <v>0</v>
      </c>
      <c r="AW70">
        <f>IFERROR(INDEX(ADP!$A$7:$A$260,MATCH(AP70,ADP!$D$7:$D$260,0)),999+AU70)</f>
        <v>999.06799999999998</v>
      </c>
      <c r="AX70">
        <f t="shared" si="8"/>
        <v>6.8000000000000005E-2</v>
      </c>
      <c r="AY70">
        <f>IFERROR(INDEX(Instructions!$U$111:$U$222,MATCH(AP70,Instructions!$T$111:$T$222,0)),0)</f>
        <v>0</v>
      </c>
      <c r="AZ70" s="197"/>
      <c r="BA70" s="197"/>
      <c r="BB70" s="216"/>
      <c r="BE70" s="197"/>
      <c r="BF70" s="197"/>
      <c r="BG70" s="216"/>
      <c r="BH70" s="216"/>
      <c r="BK70" s="203"/>
      <c r="DE70">
        <v>68</v>
      </c>
      <c r="DF70" t="str">
        <f>IF(IFERROR(MATCH(FFARawStatProjections!A71,Draft!BY:BY,0),1)&lt;=1,IF(FFARawStatProjections!A71=0,"",FFARawStatProjections!A71),"")</f>
        <v>Aidan OConnell</v>
      </c>
    </row>
    <row r="71" spans="1:110" x14ac:dyDescent="0.25">
      <c r="A71" s="196"/>
      <c r="B71" s="197"/>
      <c r="C71" s="197"/>
      <c r="D71" s="197"/>
      <c r="E71" s="197"/>
      <c r="F71" s="197"/>
      <c r="G71" s="197"/>
      <c r="H71" s="197"/>
      <c r="I71" s="222"/>
      <c r="J71" s="216"/>
      <c r="K71" s="216"/>
      <c r="L71" s="216"/>
      <c r="M71" s="216"/>
      <c r="S71" s="197"/>
      <c r="T71" s="187" t="str">
        <f>RBproj!D75</f>
        <v>Matt Breida</v>
      </c>
      <c r="U71" s="461" t="str">
        <f>RBproj!E75</f>
        <v>NYG</v>
      </c>
      <c r="V71" s="184">
        <f>RBproj!F75</f>
        <v>59.961849999999998</v>
      </c>
      <c r="W71" s="517">
        <f>IFERROR(IF(RBproj!H75="",RBproj!G75,RBproj!H75),0)</f>
        <v>8</v>
      </c>
      <c r="X71" s="504">
        <f>INDEX(Draft!$BW:$BW,MATCH(T71,Draft_Names_Master,0))</f>
        <v>0</v>
      </c>
      <c r="Y71">
        <v>6.9000000000000006E-2</v>
      </c>
      <c r="Z71">
        <f>IFERROR(IF(INDEX(Instructions!$X$64:$X$83,MATCH('Draft Slayer Classic'!T71,Instructions!$T$64:$T$83,0))&lt;=$E$25,1,0),0)</f>
        <v>0</v>
      </c>
      <c r="AA71">
        <f>IFERROR(INDEX(ADP!$A$7:$A$260,MATCH(T71,ADP!$D$7:$D$260,0)),999+Y71)</f>
        <v>999.06899999999996</v>
      </c>
      <c r="AB71">
        <f t="shared" si="6"/>
        <v>6.9000000000000006E-2</v>
      </c>
      <c r="AC71">
        <f>IFERROR(INDEX(Instructions!$U$111:$U$222,MATCH(T71,Instructions!$T$111:$T$222,0)),0)</f>
        <v>0</v>
      </c>
      <c r="AD71" s="197"/>
      <c r="AE71" s="187" t="str">
        <f>WRproj!D75</f>
        <v>Elijah Moore</v>
      </c>
      <c r="AF71" s="461" t="str">
        <f>WRproj!E75</f>
        <v>CLE</v>
      </c>
      <c r="AG71" s="184">
        <f>WRproj!F75</f>
        <v>127.9238</v>
      </c>
      <c r="AH71" s="517">
        <f>IFERROR(IF(WRproj!H75="",WRproj!G75,WRproj!H75),0)</f>
        <v>8</v>
      </c>
      <c r="AI71" s="503">
        <f>INDEX(Draft!$BW:$BW,MATCH(AE71,Draft_Names_Master,0))</f>
        <v>0</v>
      </c>
      <c r="AJ71">
        <v>6.9000000000000006E-2</v>
      </c>
      <c r="AK71">
        <f>IFERROR(IF(INDEX(Instructions!$V$86:$V$105,MATCH('Draft Slayer Classic'!AE71,Instructions!$S$86:$S$105,0))&lt;=$E$25,1,0),0)</f>
        <v>0</v>
      </c>
      <c r="AL71">
        <f>IFERROR(INDEX(ADP!$A$7:$A$260,MATCH(AE71,ADP!$D$7:$D$260,0)),999+AJ71)</f>
        <v>106</v>
      </c>
      <c r="AM71">
        <f t="shared" si="7"/>
        <v>6.9000000000000006E-2</v>
      </c>
      <c r="AN71">
        <f>IFERROR(INDEX(Instructions!$U$111:$U$222,MATCH(AE71,Instructions!$T$111:$T$222,0)),0)</f>
        <v>0</v>
      </c>
      <c r="AO71" s="197"/>
      <c r="AP71" s="187" t="str">
        <f>TEproj!D75</f>
        <v>Charlie Kolar</v>
      </c>
      <c r="AQ71" s="461" t="str">
        <f>TEproj!E75</f>
        <v>BAL</v>
      </c>
      <c r="AR71" s="184">
        <f>TEproj!F75</f>
        <v>30.906739999999999</v>
      </c>
      <c r="AS71" s="517">
        <f>IFERROR(IF(TEproj!H75="",TEproj!G75,TEproj!H75),0)</f>
        <v>8</v>
      </c>
      <c r="AT71" s="503">
        <f>INDEX(Draft!$BW:$BW,MATCH(AP71,Draft_Names_Master,0))</f>
        <v>0</v>
      </c>
      <c r="AU71">
        <v>6.9000000000000006E-2</v>
      </c>
      <c r="AV71">
        <f>IFERROR(IF(INDEX(Instructions!$X$86:$X$105,MATCH('Draft Slayer Classic'!AP71,Instructions!$T$86:$T$105,0))&lt;=$E$25,1,0),0)</f>
        <v>0</v>
      </c>
      <c r="AW71">
        <f>IFERROR(INDEX(ADP!$A$7:$A$260,MATCH(AP71,ADP!$D$7:$D$260,0)),999+AU71)</f>
        <v>999.06899999999996</v>
      </c>
      <c r="AX71">
        <f t="shared" si="8"/>
        <v>6.9000000000000006E-2</v>
      </c>
      <c r="AY71">
        <f>IFERROR(INDEX(Instructions!$U$111:$U$222,MATCH(AP71,Instructions!$T$111:$T$222,0)),0)</f>
        <v>0</v>
      </c>
      <c r="AZ71" s="197"/>
      <c r="BA71" s="197"/>
      <c r="BB71" s="216"/>
      <c r="BE71" s="197"/>
      <c r="BF71" s="197"/>
      <c r="BG71" s="216"/>
      <c r="BH71" s="216"/>
      <c r="BK71" s="203"/>
      <c r="DE71">
        <v>69</v>
      </c>
      <c r="DF71" t="str">
        <f>IF(IFERROR(MATCH(FFARawStatProjections!A72,Draft!BY:BY,0),1)&lt;=1,IF(FFARawStatProjections!A72=0,"",FFARawStatProjections!A72),"")</f>
        <v>Matt Barkley</v>
      </c>
    </row>
    <row r="72" spans="1:110" x14ac:dyDescent="0.25">
      <c r="A72" s="196"/>
      <c r="B72" s="197"/>
      <c r="C72" s="197"/>
      <c r="D72" s="197"/>
      <c r="E72" s="197"/>
      <c r="F72" s="197"/>
      <c r="G72" s="197"/>
      <c r="H72" s="197"/>
      <c r="I72" s="222"/>
      <c r="J72" s="216"/>
      <c r="K72" s="216"/>
      <c r="L72" s="216"/>
      <c r="M72" s="216"/>
      <c r="S72" s="197"/>
      <c r="T72" s="182" t="str">
        <f>RBproj!D76</f>
        <v>Latavius Murray</v>
      </c>
      <c r="U72" s="290" t="str">
        <f>RBproj!E76</f>
        <v>BUF</v>
      </c>
      <c r="V72" s="183">
        <f>RBproj!F76</f>
        <v>58.521839999999997</v>
      </c>
      <c r="W72" s="517">
        <f>IFERROR(IF(RBproj!H76="",RBproj!G76,RBproj!H76),0)</f>
        <v>8</v>
      </c>
      <c r="X72" s="504">
        <f>INDEX(Draft!$BW:$BW,MATCH(T72,Draft_Names_Master,0))</f>
        <v>0</v>
      </c>
      <c r="Y72">
        <v>7.0000000000000007E-2</v>
      </c>
      <c r="Z72">
        <f>IFERROR(IF(INDEX(Instructions!$X$64:$X$83,MATCH('Draft Slayer Classic'!T72,Instructions!$T$64:$T$83,0))&lt;=$E$25,1,0),0)</f>
        <v>0</v>
      </c>
      <c r="AA72">
        <f>IFERROR(INDEX(ADP!$A$7:$A$260,MATCH(T72,ADP!$D$7:$D$260,0)),999+Y72)</f>
        <v>999.07</v>
      </c>
      <c r="AB72">
        <f t="shared" si="6"/>
        <v>7.0000000000000007E-2</v>
      </c>
      <c r="AC72">
        <f>IFERROR(INDEX(Instructions!$U$111:$U$222,MATCH(T72,Instructions!$T$111:$T$222,0)),0)</f>
        <v>0</v>
      </c>
      <c r="AD72" s="197"/>
      <c r="AE72" s="182" t="str">
        <f>WRproj!D76</f>
        <v>Jayden Reed</v>
      </c>
      <c r="AF72" s="290" t="str">
        <f>WRproj!E76</f>
        <v>GB</v>
      </c>
      <c r="AG72" s="183">
        <f>WRproj!F76</f>
        <v>127.74379</v>
      </c>
      <c r="AH72" s="517">
        <f>IFERROR(IF(WRproj!H76="",WRproj!G76,WRproj!H76),0)</f>
        <v>8</v>
      </c>
      <c r="AI72" s="503">
        <f>INDEX(Draft!$BW:$BW,MATCH(AE72,Draft_Names_Master,0))</f>
        <v>0</v>
      </c>
      <c r="AJ72">
        <v>7.0000000000000007E-2</v>
      </c>
      <c r="AK72">
        <f>IFERROR(IF(INDEX(Instructions!$V$86:$V$105,MATCH('Draft Slayer Classic'!AE72,Instructions!$S$86:$S$105,0))&lt;=$E$25,1,0),0)</f>
        <v>0</v>
      </c>
      <c r="AL72">
        <f>IFERROR(INDEX(ADP!$A$7:$A$260,MATCH(AE72,ADP!$D$7:$D$260,0)),999+AJ72)</f>
        <v>999.07</v>
      </c>
      <c r="AM72">
        <f t="shared" si="7"/>
        <v>7.0000000000000007E-2</v>
      </c>
      <c r="AN72">
        <f>IFERROR(INDEX(Instructions!$U$111:$U$222,MATCH(AE72,Instructions!$T$111:$T$222,0)),0)</f>
        <v>0</v>
      </c>
      <c r="AO72" s="197"/>
      <c r="AP72" s="182" t="str">
        <f>TEproj!D76</f>
        <v>Brycen Hopkins</v>
      </c>
      <c r="AQ72" s="290" t="str">
        <f>TEproj!E76</f>
        <v>LAR</v>
      </c>
      <c r="AR72" s="183">
        <f>TEproj!F76</f>
        <v>30.726759999999999</v>
      </c>
      <c r="AS72" s="517">
        <f>IFERROR(IF(TEproj!H76="",TEproj!G76,TEproj!H76),0)</f>
        <v>8</v>
      </c>
      <c r="AT72" s="504">
        <f>INDEX(Draft!$BW:$BW,MATCH(AP72,Draft_Names_Master,0))</f>
        <v>0</v>
      </c>
      <c r="AU72">
        <v>7.0000000000000007E-2</v>
      </c>
      <c r="AV72">
        <f>IFERROR(IF(INDEX(Instructions!$X$86:$X$105,MATCH('Draft Slayer Classic'!AP72,Instructions!$T$86:$T$105,0))&lt;=$E$25,1,0),0)</f>
        <v>0</v>
      </c>
      <c r="AW72">
        <f>IFERROR(INDEX(ADP!$A$7:$A$260,MATCH(AP72,ADP!$D$7:$D$260,0)),999+AU72)</f>
        <v>999.07</v>
      </c>
      <c r="AX72">
        <f t="shared" si="8"/>
        <v>7.0000000000000007E-2</v>
      </c>
      <c r="AY72">
        <f>IFERROR(INDEX(Instructions!$U$111:$U$222,MATCH(AP72,Instructions!$T$111:$T$222,0)),0)</f>
        <v>0</v>
      </c>
      <c r="AZ72" s="197"/>
      <c r="BA72" s="197"/>
      <c r="BB72" s="216"/>
      <c r="BE72" s="197"/>
      <c r="BF72" s="197"/>
      <c r="BG72" s="216"/>
      <c r="BH72" s="216"/>
      <c r="BK72" s="203"/>
      <c r="DE72">
        <v>70</v>
      </c>
      <c r="DF72" t="str">
        <f>IF(IFERROR(MATCH(FFARawStatProjections!A73,Draft!BY:BY,0),1)&lt;=1,IF(FFARawStatProjections!A73=0,"",FFARawStatProjections!A73),"")</f>
        <v>Malik Willis</v>
      </c>
    </row>
    <row r="73" spans="1:110" x14ac:dyDescent="0.25">
      <c r="A73" s="196"/>
      <c r="B73" s="197"/>
      <c r="C73" s="197"/>
      <c r="D73" s="197"/>
      <c r="E73" s="197"/>
      <c r="F73" s="197"/>
      <c r="G73" s="197"/>
      <c r="H73" s="197"/>
      <c r="I73" s="222"/>
      <c r="J73" s="216"/>
      <c r="K73" s="216"/>
      <c r="L73" s="216"/>
      <c r="M73" s="216"/>
      <c r="S73" s="197"/>
      <c r="T73" s="187" t="str">
        <f>RBproj!D77</f>
        <v>Israel Abanikanda</v>
      </c>
      <c r="U73" s="461" t="str">
        <f>RBproj!E77</f>
        <v>NYJ</v>
      </c>
      <c r="V73" s="184">
        <f>RBproj!F77</f>
        <v>56.991919999999993</v>
      </c>
      <c r="W73" s="517">
        <f>IFERROR(IF(RBproj!H77="",RBproj!G77,RBproj!H77),0)</f>
        <v>8</v>
      </c>
      <c r="X73" s="504">
        <f>INDEX(Draft!$BW:$BW,MATCH(T73,Draft_Names_Master,0))</f>
        <v>0</v>
      </c>
      <c r="Y73">
        <v>7.0999999999999994E-2</v>
      </c>
      <c r="Z73">
        <f>IFERROR(IF(INDEX(Instructions!$X$64:$X$83,MATCH('Draft Slayer Classic'!T73,Instructions!$T$64:$T$83,0))&lt;=$E$25,1,0),0)</f>
        <v>0</v>
      </c>
      <c r="AA73">
        <f>IFERROR(INDEX(ADP!$A$7:$A$260,MATCH(T73,ADP!$D$7:$D$260,0)),999+Y73)</f>
        <v>999.07100000000003</v>
      </c>
      <c r="AB73">
        <f t="shared" si="6"/>
        <v>7.0999999999999994E-2</v>
      </c>
      <c r="AC73">
        <f>IFERROR(INDEX(Instructions!$U$111:$U$222,MATCH(T73,Instructions!$T$111:$T$222,0)),0)</f>
        <v>0</v>
      </c>
      <c r="AD73" s="197"/>
      <c r="AE73" s="187" t="str">
        <f>WRproj!D77</f>
        <v>Isaiah Hodgins</v>
      </c>
      <c r="AF73" s="461" t="str">
        <f>WRproj!E77</f>
        <v>NYG</v>
      </c>
      <c r="AG73" s="184">
        <f>WRproj!F77</f>
        <v>127.27387</v>
      </c>
      <c r="AH73" s="517">
        <f>IFERROR(IF(WRproj!H77="",WRproj!G77,WRproj!H77),0)</f>
        <v>8</v>
      </c>
      <c r="AI73" s="503">
        <f>INDEX(Draft!$BW:$BW,MATCH(AE73,Draft_Names_Master,0))</f>
        <v>0</v>
      </c>
      <c r="AJ73">
        <v>7.0999999999999994E-2</v>
      </c>
      <c r="AK73">
        <f>IFERROR(IF(INDEX(Instructions!$V$86:$V$105,MATCH('Draft Slayer Classic'!AE73,Instructions!$S$86:$S$105,0))&lt;=$E$25,1,0),0)</f>
        <v>0</v>
      </c>
      <c r="AL73">
        <f>IFERROR(INDEX(ADP!$A$7:$A$260,MATCH(AE73,ADP!$D$7:$D$260,0)),999+AJ73)</f>
        <v>999.07100000000003</v>
      </c>
      <c r="AM73">
        <f t="shared" si="7"/>
        <v>7.0999999999999994E-2</v>
      </c>
      <c r="AN73">
        <f>IFERROR(INDEX(Instructions!$U$111:$U$222,MATCH(AE73,Instructions!$T$111:$T$222,0)),0)</f>
        <v>0</v>
      </c>
      <c r="AO73" s="197"/>
      <c r="AP73" s="187" t="str">
        <f>TEproj!D77</f>
        <v>Albert Okwuegbunam</v>
      </c>
      <c r="AQ73" s="461" t="str">
        <f>TEproj!E77</f>
        <v>DEN</v>
      </c>
      <c r="AR73" s="184">
        <f>TEproj!F77</f>
        <v>30.656850000000002</v>
      </c>
      <c r="AS73" s="517">
        <f>IFERROR(IF(TEproj!H77="",TEproj!G77,TEproj!H77),0)</f>
        <v>8</v>
      </c>
      <c r="AT73" s="503">
        <f>INDEX(Draft!$BW:$BW,MATCH(AP73,Draft_Names_Master,0))</f>
        <v>0</v>
      </c>
      <c r="AU73">
        <v>7.0999999999999994E-2</v>
      </c>
      <c r="AV73">
        <f>IFERROR(IF(INDEX(Instructions!$X$86:$X$105,MATCH('Draft Slayer Classic'!AP73,Instructions!$T$86:$T$105,0))&lt;=$E$25,1,0),0)</f>
        <v>0</v>
      </c>
      <c r="AW73">
        <f>IFERROR(INDEX(ADP!$A$7:$A$260,MATCH(AP73,ADP!$D$7:$D$260,0)),999+AU73)</f>
        <v>999.07100000000003</v>
      </c>
      <c r="AX73">
        <f t="shared" si="8"/>
        <v>7.0999999999999994E-2</v>
      </c>
      <c r="AY73">
        <f>IFERROR(INDEX(Instructions!$U$111:$U$222,MATCH(AP73,Instructions!$T$111:$T$222,0)),0)</f>
        <v>0</v>
      </c>
      <c r="AZ73" s="197"/>
      <c r="BA73" s="197"/>
      <c r="BB73" s="216"/>
      <c r="BE73" s="197"/>
      <c r="BF73" s="197"/>
      <c r="BG73" s="216"/>
      <c r="BH73" s="216"/>
      <c r="BK73" s="203"/>
      <c r="DE73">
        <v>71</v>
      </c>
      <c r="DF73" t="str">
        <f>IF(IFERROR(MATCH(FFARawStatProjections!A74,Draft!BY:BY,0),1)&lt;=1,IF(FFARawStatProjections!A74=0,"",FFARawStatProjections!A74),"")</f>
        <v>Dorian Thompson-Robinson</v>
      </c>
    </row>
    <row r="74" spans="1:110" x14ac:dyDescent="0.25">
      <c r="A74" s="196"/>
      <c r="B74" s="197"/>
      <c r="C74" s="197"/>
      <c r="D74" s="197"/>
      <c r="E74" s="197"/>
      <c r="F74" s="197"/>
      <c r="G74" s="197"/>
      <c r="H74" s="197"/>
      <c r="I74" s="222"/>
      <c r="J74" s="216"/>
      <c r="K74" s="216"/>
      <c r="L74" s="216"/>
      <c r="M74" s="216"/>
      <c r="S74" s="197"/>
      <c r="T74" s="182" t="str">
        <f>RBproj!D78</f>
        <v>Isaiah Spiller</v>
      </c>
      <c r="U74" s="290" t="str">
        <f>RBproj!E78</f>
        <v>LAC</v>
      </c>
      <c r="V74" s="183">
        <f>RBproj!F78</f>
        <v>54.371910000000007</v>
      </c>
      <c r="W74" s="517">
        <f>IFERROR(IF(RBproj!H78="",RBproj!G78,RBproj!H78),0)</f>
        <v>8</v>
      </c>
      <c r="X74" s="504">
        <f>INDEX(Draft!$BW:$BW,MATCH(T74,Draft_Names_Master,0))</f>
        <v>0</v>
      </c>
      <c r="Y74">
        <v>7.1999999999999995E-2</v>
      </c>
      <c r="Z74">
        <f>IFERROR(IF(INDEX(Instructions!$X$64:$X$83,MATCH('Draft Slayer Classic'!T74,Instructions!$T$64:$T$83,0))&lt;=$E$25,1,0),0)</f>
        <v>0</v>
      </c>
      <c r="AA74">
        <f>IFERROR(INDEX(ADP!$A$7:$A$260,MATCH(T74,ADP!$D$7:$D$260,0)),999+Y74)</f>
        <v>999.072</v>
      </c>
      <c r="AB74">
        <f t="shared" si="6"/>
        <v>7.1999999999999995E-2</v>
      </c>
      <c r="AC74">
        <f>IFERROR(INDEX(Instructions!$U$111:$U$222,MATCH(T74,Instructions!$T$111:$T$222,0)),0)</f>
        <v>0</v>
      </c>
      <c r="AD74" s="197"/>
      <c r="AE74" s="182" t="str">
        <f>WRproj!D78</f>
        <v>Rashod Bateman</v>
      </c>
      <c r="AF74" s="290" t="str">
        <f>WRproj!E78</f>
        <v>BAL</v>
      </c>
      <c r="AG74" s="183">
        <f>WRproj!F78</f>
        <v>124.59400000000002</v>
      </c>
      <c r="AH74" s="517">
        <f>IFERROR(IF(WRproj!H78="",WRproj!G78,WRproj!H78),0)</f>
        <v>8</v>
      </c>
      <c r="AI74" s="503">
        <f>INDEX(Draft!$BW:$BW,MATCH(AE74,Draft_Names_Master,0))</f>
        <v>0</v>
      </c>
      <c r="AJ74">
        <v>7.1999999999999995E-2</v>
      </c>
      <c r="AK74">
        <f>IFERROR(IF(INDEX(Instructions!$V$86:$V$105,MATCH('Draft Slayer Classic'!AE74,Instructions!$S$86:$S$105,0))&lt;=$E$25,1,0),0)</f>
        <v>0</v>
      </c>
      <c r="AL74">
        <f>IFERROR(INDEX(ADP!$A$7:$A$260,MATCH(AE74,ADP!$D$7:$D$260,0)),999+AJ74)</f>
        <v>109</v>
      </c>
      <c r="AM74">
        <f t="shared" si="7"/>
        <v>7.1999999999999995E-2</v>
      </c>
      <c r="AN74">
        <f>IFERROR(INDEX(Instructions!$U$111:$U$222,MATCH(AE74,Instructions!$T$111:$T$222,0)),0)</f>
        <v>0</v>
      </c>
      <c r="AO74" s="197"/>
      <c r="AP74" s="182" t="str">
        <f>TEproj!D78</f>
        <v>Payne Durham</v>
      </c>
      <c r="AQ74" s="290" t="str">
        <f>TEproj!E78</f>
        <v>TB</v>
      </c>
      <c r="AR74" s="183">
        <f>TEproj!F78</f>
        <v>30.366769999999999</v>
      </c>
      <c r="AS74" s="517">
        <f>IFERROR(IF(TEproj!H78="",TEproj!G78,TEproj!H78),0)</f>
        <v>8</v>
      </c>
      <c r="AT74" s="504">
        <f>INDEX(Draft!$BW:$BW,MATCH(AP74,Draft_Names_Master,0))</f>
        <v>0</v>
      </c>
      <c r="AU74">
        <v>7.1999999999999995E-2</v>
      </c>
      <c r="AV74">
        <f>IFERROR(IF(INDEX(Instructions!$X$86:$X$105,MATCH('Draft Slayer Classic'!AP74,Instructions!$T$86:$T$105,0))&lt;=$E$25,1,0),0)</f>
        <v>0</v>
      </c>
      <c r="AW74">
        <f>IFERROR(INDEX(ADP!$A$7:$A$260,MATCH(AP74,ADP!$D$7:$D$260,0)),999+AU74)</f>
        <v>999.072</v>
      </c>
      <c r="AX74">
        <f t="shared" si="8"/>
        <v>7.1999999999999995E-2</v>
      </c>
      <c r="AY74">
        <f>IFERROR(INDEX(Instructions!$U$111:$U$222,MATCH(AP74,Instructions!$T$111:$T$222,0)),0)</f>
        <v>0</v>
      </c>
      <c r="AZ74" s="197"/>
      <c r="BA74" s="197"/>
      <c r="BB74" s="216"/>
      <c r="BE74" s="197"/>
      <c r="BF74" s="197"/>
      <c r="BG74" s="216"/>
      <c r="BH74" s="216"/>
      <c r="BK74" s="203"/>
      <c r="DE74">
        <v>72</v>
      </c>
      <c r="DF74" t="str">
        <f>IF(IFERROR(MATCH(FFARawStatProjections!A75,Draft!BY:BY,0),1)&lt;=1,IF(FFARawStatProjections!A75=0,"",FFARawStatProjections!A75),"")</f>
        <v>Max Duggan</v>
      </c>
    </row>
    <row r="75" spans="1:110" x14ac:dyDescent="0.25">
      <c r="A75" s="196"/>
      <c r="B75" s="197"/>
      <c r="C75" s="197"/>
      <c r="D75" s="197"/>
      <c r="E75" s="197"/>
      <c r="F75" s="197"/>
      <c r="G75" s="197"/>
      <c r="H75" s="197"/>
      <c r="I75" s="222"/>
      <c r="J75" s="216"/>
      <c r="K75" s="216"/>
      <c r="L75" s="216"/>
      <c r="M75" s="216"/>
      <c r="S75" s="197"/>
      <c r="T75" s="187" t="str">
        <f>RBproj!D79</f>
        <v>Abram Smith</v>
      </c>
      <c r="U75" s="461" t="str">
        <f>RBproj!E79</f>
        <v>MIN</v>
      </c>
      <c r="V75" s="184">
        <f>RBproj!F79</f>
        <v>54.141860000000001</v>
      </c>
      <c r="W75" s="517">
        <f>IFERROR(IF(RBproj!H79="",RBproj!G79,RBproj!H79),0)</f>
        <v>8</v>
      </c>
      <c r="X75" s="504">
        <f>INDEX(Draft!$BW:$BW,MATCH(T75,Draft_Names_Master,0))</f>
        <v>0</v>
      </c>
      <c r="Y75">
        <v>7.2999999999999995E-2</v>
      </c>
      <c r="Z75">
        <f>IFERROR(IF(INDEX(Instructions!$X$64:$X$83,MATCH('Draft Slayer Classic'!T75,Instructions!$T$64:$T$83,0))&lt;=$E$25,1,0),0)</f>
        <v>0</v>
      </c>
      <c r="AA75">
        <f>IFERROR(INDEX(ADP!$A$7:$A$260,MATCH(T75,ADP!$D$7:$D$260,0)),999+Y75)</f>
        <v>999.07299999999998</v>
      </c>
      <c r="AB75">
        <f t="shared" si="6"/>
        <v>7.2999999999999995E-2</v>
      </c>
      <c r="AC75">
        <f>IFERROR(INDEX(Instructions!$U$111:$U$222,MATCH(T75,Instructions!$T$111:$T$222,0)),0)</f>
        <v>0</v>
      </c>
      <c r="AD75" s="197"/>
      <c r="AE75" s="187" t="str">
        <f>WRproj!D79</f>
        <v>Jameson Williams</v>
      </c>
      <c r="AF75" s="461" t="str">
        <f>WRproj!E79</f>
        <v>DET</v>
      </c>
      <c r="AG75" s="184">
        <f>WRproj!F79</f>
        <v>124.07390000000001</v>
      </c>
      <c r="AH75" s="517">
        <f>IFERROR(IF(WRproj!H79="",WRproj!G79,WRproj!H79),0)</f>
        <v>8</v>
      </c>
      <c r="AI75" s="503">
        <f>INDEX(Draft!$BW:$BW,MATCH(AE75,Draft_Names_Master,0))</f>
        <v>0</v>
      </c>
      <c r="AJ75">
        <v>7.2999999999999995E-2</v>
      </c>
      <c r="AK75">
        <f>IFERROR(IF(INDEX(Instructions!$V$86:$V$105,MATCH('Draft Slayer Classic'!AE75,Instructions!$S$86:$S$105,0))&lt;=$E$25,1,0),0)</f>
        <v>0</v>
      </c>
      <c r="AL75">
        <f>IFERROR(INDEX(ADP!$A$7:$A$260,MATCH(AE75,ADP!$D$7:$D$260,0)),999+AJ75)</f>
        <v>117</v>
      </c>
      <c r="AM75">
        <f t="shared" si="7"/>
        <v>7.2999999999999995E-2</v>
      </c>
      <c r="AN75">
        <f>IFERROR(INDEX(Instructions!$U$111:$U$222,MATCH(AE75,Instructions!$T$111:$T$222,0)),0)</f>
        <v>0</v>
      </c>
      <c r="AO75" s="197"/>
      <c r="AP75" s="187" t="str">
        <f>TEproj!D79</f>
        <v>John Bates</v>
      </c>
      <c r="AQ75" s="461" t="str">
        <f>TEproj!E79</f>
        <v>WAS</v>
      </c>
      <c r="AR75" s="184">
        <f>TEproj!F79</f>
        <v>30.256810000000002</v>
      </c>
      <c r="AS75" s="517">
        <f>IFERROR(IF(TEproj!H79="",TEproj!G79,TEproj!H79),0)</f>
        <v>8</v>
      </c>
      <c r="AT75" s="503">
        <f>INDEX(Draft!$BW:$BW,MATCH(AP75,Draft_Names_Master,0))</f>
        <v>0</v>
      </c>
      <c r="AU75">
        <v>7.2999999999999995E-2</v>
      </c>
      <c r="AV75">
        <f>IFERROR(IF(INDEX(Instructions!$X$86:$X$105,MATCH('Draft Slayer Classic'!AP75,Instructions!$T$86:$T$105,0))&lt;=$E$25,1,0),0)</f>
        <v>0</v>
      </c>
      <c r="AW75">
        <f>IFERROR(INDEX(ADP!$A$7:$A$260,MATCH(AP75,ADP!$D$7:$D$260,0)),999+AU75)</f>
        <v>999.07299999999998</v>
      </c>
      <c r="AX75">
        <f t="shared" si="8"/>
        <v>7.2999999999999995E-2</v>
      </c>
      <c r="AY75">
        <f>IFERROR(INDEX(Instructions!$U$111:$U$222,MATCH(AP75,Instructions!$T$111:$T$222,0)),0)</f>
        <v>0</v>
      </c>
      <c r="AZ75" s="197"/>
      <c r="BA75" s="197"/>
      <c r="BB75" s="216"/>
      <c r="BE75" s="197"/>
      <c r="BF75" s="197"/>
      <c r="BG75" s="216"/>
      <c r="BH75" s="216"/>
      <c r="BK75" s="203"/>
      <c r="DE75">
        <v>73</v>
      </c>
      <c r="DF75" t="str">
        <f>IF(IFERROR(MATCH(FFARawStatProjections!A76,Draft!BY:BY,0),1)&lt;=1,IF(FFARawStatProjections!A76=0,"",FFARawStatProjections!A76),"")</f>
        <v>Jaren Hall</v>
      </c>
    </row>
    <row r="76" spans="1:110" x14ac:dyDescent="0.25">
      <c r="A76" s="196"/>
      <c r="B76" s="197"/>
      <c r="C76" s="197"/>
      <c r="D76" s="197"/>
      <c r="E76" s="197"/>
      <c r="F76" s="197"/>
      <c r="G76" s="197"/>
      <c r="H76" s="197"/>
      <c r="I76" s="222"/>
      <c r="J76" s="216"/>
      <c r="K76" s="216"/>
      <c r="L76" s="216"/>
      <c r="M76" s="216"/>
      <c r="S76" s="197"/>
      <c r="T76" s="182" t="str">
        <f>RBproj!D80</f>
        <v>Zamir White</v>
      </c>
      <c r="U76" s="290" t="str">
        <f>RBproj!E80</f>
        <v>LV</v>
      </c>
      <c r="V76" s="183">
        <f>RBproj!F80</f>
        <v>53.7819</v>
      </c>
      <c r="W76" s="517">
        <f>IFERROR(IF(RBproj!H80="",RBproj!G80,RBproj!H80),0)</f>
        <v>8</v>
      </c>
      <c r="X76" s="504">
        <f>INDEX(Draft!$BW:$BW,MATCH(T76,Draft_Names_Master,0))</f>
        <v>0</v>
      </c>
      <c r="Y76">
        <v>7.3999999999999996E-2</v>
      </c>
      <c r="Z76">
        <f>IFERROR(IF(INDEX(Instructions!$X$64:$X$83,MATCH('Draft Slayer Classic'!T76,Instructions!$T$64:$T$83,0))&lt;=$E$25,1,0),0)</f>
        <v>0</v>
      </c>
      <c r="AA76">
        <f>IFERROR(INDEX(ADP!$A$7:$A$260,MATCH(T76,ADP!$D$7:$D$260,0)),999+Y76)</f>
        <v>133</v>
      </c>
      <c r="AB76">
        <f t="shared" si="6"/>
        <v>7.3999999999999996E-2</v>
      </c>
      <c r="AC76">
        <f>IFERROR(INDEX(Instructions!$U$111:$U$222,MATCH(T76,Instructions!$T$111:$T$222,0)),0)</f>
        <v>0</v>
      </c>
      <c r="AD76" s="197"/>
      <c r="AE76" s="182" t="str">
        <f>WRproj!D80</f>
        <v>Robert Woods</v>
      </c>
      <c r="AF76" s="290" t="str">
        <f>WRproj!E80</f>
        <v>HOU</v>
      </c>
      <c r="AG76" s="183">
        <f>WRproj!F80</f>
        <v>119.40387999999999</v>
      </c>
      <c r="AH76" s="517">
        <f>IFERROR(IF(WRproj!H80="",WRproj!G80,WRproj!H80),0)</f>
        <v>8</v>
      </c>
      <c r="AI76" s="503">
        <f>INDEX(Draft!$BW:$BW,MATCH(AE76,Draft_Names_Master,0))</f>
        <v>0</v>
      </c>
      <c r="AJ76">
        <v>7.3999999999999996E-2</v>
      </c>
      <c r="AK76">
        <f>IFERROR(IF(INDEX(Instructions!$V$86:$V$105,MATCH('Draft Slayer Classic'!AE76,Instructions!$S$86:$S$105,0))&lt;=$E$25,1,0),0)</f>
        <v>0</v>
      </c>
      <c r="AL76">
        <f>IFERROR(INDEX(ADP!$A$7:$A$260,MATCH(AE76,ADP!$D$7:$D$260,0)),999+AJ76)</f>
        <v>999.07399999999996</v>
      </c>
      <c r="AM76">
        <f t="shared" si="7"/>
        <v>7.3999999999999996E-2</v>
      </c>
      <c r="AN76">
        <f>IFERROR(INDEX(Instructions!$U$111:$U$222,MATCH(AE76,Instructions!$T$111:$T$222,0)),0)</f>
        <v>0</v>
      </c>
      <c r="AO76" s="197"/>
      <c r="AP76" s="182" t="str">
        <f>TEproj!D80</f>
        <v>Davis Allen</v>
      </c>
      <c r="AQ76" s="290" t="str">
        <f>TEproj!E80</f>
        <v>LAR</v>
      </c>
      <c r="AR76" s="183">
        <f>TEproj!F80</f>
        <v>28.61675</v>
      </c>
      <c r="AS76" s="517">
        <f>IFERROR(IF(TEproj!H80="",TEproj!G80,TEproj!H80),0)</f>
        <v>8</v>
      </c>
      <c r="AT76" s="504">
        <f>INDEX(Draft!$BW:$BW,MATCH(AP76,Draft_Names_Master,0))</f>
        <v>0</v>
      </c>
      <c r="AU76">
        <v>7.3999999999999996E-2</v>
      </c>
      <c r="AV76">
        <f>IFERROR(IF(INDEX(Instructions!$X$86:$X$105,MATCH('Draft Slayer Classic'!AP76,Instructions!$T$86:$T$105,0))&lt;=$E$25,1,0),0)</f>
        <v>0</v>
      </c>
      <c r="AW76">
        <f>IFERROR(INDEX(ADP!$A$7:$A$260,MATCH(AP76,ADP!$D$7:$D$260,0)),999+AU76)</f>
        <v>999.07399999999996</v>
      </c>
      <c r="AX76">
        <f t="shared" si="8"/>
        <v>7.3999999999999996E-2</v>
      </c>
      <c r="AY76">
        <f>IFERROR(INDEX(Instructions!$U$111:$U$222,MATCH(AP76,Instructions!$T$111:$T$222,0)),0)</f>
        <v>0</v>
      </c>
      <c r="AZ76" s="197"/>
      <c r="BA76" s="197"/>
      <c r="BB76" s="216"/>
      <c r="BE76" s="197"/>
      <c r="BF76" s="197"/>
      <c r="BG76" s="216"/>
      <c r="BH76" s="216"/>
      <c r="BK76" s="203"/>
      <c r="DE76">
        <v>74</v>
      </c>
      <c r="DF76" t="str">
        <f>IF(IFERROR(MATCH(FFARawStatProjections!A77,Draft!BY:BY,0),1)&lt;=1,IF(FFARawStatProjections!A77=0,"",FFARawStatProjections!A77),"")</f>
        <v>Tanner McKee</v>
      </c>
    </row>
    <row r="77" spans="1:110" x14ac:dyDescent="0.25">
      <c r="A77" s="196"/>
      <c r="B77" s="197"/>
      <c r="C77" s="197"/>
      <c r="D77" s="197"/>
      <c r="E77" s="197"/>
      <c r="F77" s="197"/>
      <c r="G77" s="197"/>
      <c r="H77" s="197"/>
      <c r="I77" s="222"/>
      <c r="J77" s="216"/>
      <c r="K77" s="216"/>
      <c r="L77" s="216"/>
      <c r="M77" s="216"/>
      <c r="S77" s="197"/>
      <c r="T77" s="187" t="str">
        <f>RBproj!D81</f>
        <v>Deuce Vaughn</v>
      </c>
      <c r="U77" s="461" t="str">
        <f>RBproj!E81</f>
        <v>DAL</v>
      </c>
      <c r="V77" s="184">
        <f>RBproj!F81</f>
        <v>53.761869999999995</v>
      </c>
      <c r="W77" s="517">
        <f>IFERROR(IF(RBproj!H81="",RBproj!G81,RBproj!H81),0)</f>
        <v>8</v>
      </c>
      <c r="X77" s="504">
        <f>INDEX(Draft!$BW:$BW,MATCH(T77,Draft_Names_Master,0))</f>
        <v>0</v>
      </c>
      <c r="Y77">
        <v>7.4999999999999997E-2</v>
      </c>
      <c r="Z77">
        <f>IFERROR(IF(INDEX(Instructions!$X$64:$X$83,MATCH('Draft Slayer Classic'!T77,Instructions!$T$64:$T$83,0))&lt;=$E$25,1,0),0)</f>
        <v>0</v>
      </c>
      <c r="AA77">
        <f>IFERROR(INDEX(ADP!$A$7:$A$260,MATCH(T77,ADP!$D$7:$D$260,0)),999+Y77)</f>
        <v>999.07500000000005</v>
      </c>
      <c r="AB77">
        <f t="shared" si="6"/>
        <v>7.4999999999999997E-2</v>
      </c>
      <c r="AC77">
        <f>IFERROR(INDEX(Instructions!$U$111:$U$222,MATCH(T77,Instructions!$T$111:$T$222,0)),0)</f>
        <v>0</v>
      </c>
      <c r="AD77" s="197"/>
      <c r="AE77" s="187" t="str">
        <f>WRproj!D81</f>
        <v>Rashid Shaheed</v>
      </c>
      <c r="AF77" s="461" t="str">
        <f>WRproj!E81</f>
        <v>NO</v>
      </c>
      <c r="AG77" s="184">
        <f>WRproj!F81</f>
        <v>118.57385000000001</v>
      </c>
      <c r="AH77" s="517">
        <f>IFERROR(IF(WRproj!H81="",WRproj!G81,WRproj!H81),0)</f>
        <v>8</v>
      </c>
      <c r="AI77" s="503">
        <f>INDEX(Draft!$BW:$BW,MATCH(AE77,Draft_Names_Master,0))</f>
        <v>0</v>
      </c>
      <c r="AJ77">
        <v>7.4999999999999997E-2</v>
      </c>
      <c r="AK77">
        <f>IFERROR(IF(INDEX(Instructions!$V$86:$V$105,MATCH('Draft Slayer Classic'!AE77,Instructions!$S$86:$S$105,0))&lt;=$E$25,1,0),0)</f>
        <v>0</v>
      </c>
      <c r="AL77">
        <f>IFERROR(INDEX(ADP!$A$7:$A$260,MATCH(AE77,ADP!$D$7:$D$260,0)),999+AJ77)</f>
        <v>999.07500000000005</v>
      </c>
      <c r="AM77">
        <f t="shared" si="7"/>
        <v>7.4999999999999997E-2</v>
      </c>
      <c r="AN77">
        <f>IFERROR(INDEX(Instructions!$U$111:$U$222,MATCH(AE77,Instructions!$T$111:$T$222,0)),0)</f>
        <v>0</v>
      </c>
      <c r="AO77" s="197"/>
      <c r="AP77" s="187" t="str">
        <f>TEproj!D81</f>
        <v>Peyton Hendershot</v>
      </c>
      <c r="AQ77" s="461" t="str">
        <f>TEproj!E81</f>
        <v>DAL</v>
      </c>
      <c r="AR77" s="184">
        <f>TEproj!F81</f>
        <v>28.346830000000004</v>
      </c>
      <c r="AS77" s="517">
        <f>IFERROR(IF(TEproj!H81="",TEproj!G81,TEproj!H81),0)</f>
        <v>8</v>
      </c>
      <c r="AT77" s="503">
        <f>INDEX(Draft!$BW:$BW,MATCH(AP77,Draft_Names_Master,0))</f>
        <v>0</v>
      </c>
      <c r="AU77">
        <v>7.4999999999999997E-2</v>
      </c>
      <c r="AV77">
        <f>IFERROR(IF(INDEX(Instructions!$X$86:$X$105,MATCH('Draft Slayer Classic'!AP77,Instructions!$T$86:$T$105,0))&lt;=$E$25,1,0),0)</f>
        <v>0</v>
      </c>
      <c r="AW77">
        <f>IFERROR(INDEX(ADP!$A$7:$A$260,MATCH(AP77,ADP!$D$7:$D$260,0)),999+AU77)</f>
        <v>999.07500000000005</v>
      </c>
      <c r="AX77">
        <f t="shared" si="8"/>
        <v>7.4999999999999997E-2</v>
      </c>
      <c r="AY77">
        <f>IFERROR(INDEX(Instructions!$U$111:$U$222,MATCH(AP77,Instructions!$T$111:$T$222,0)),0)</f>
        <v>0</v>
      </c>
      <c r="AZ77" s="197"/>
      <c r="BA77" s="197"/>
      <c r="BB77" s="216"/>
      <c r="BE77" s="197"/>
      <c r="BF77" s="197"/>
      <c r="BG77" s="216"/>
      <c r="BH77" s="216"/>
      <c r="BK77" s="203"/>
      <c r="DE77">
        <v>75</v>
      </c>
      <c r="DF77" t="str">
        <f>IF(IFERROR(MATCH(FFARawStatProjections!A78,Draft!BY:BY,0),1)&lt;=1,IF(FFARawStatProjections!A78=0,"",FFARawStatProjections!A78),"")</f>
        <v>Skylar Thompson</v>
      </c>
    </row>
    <row r="78" spans="1:110" x14ac:dyDescent="0.25">
      <c r="A78" s="196"/>
      <c r="B78" s="197"/>
      <c r="C78" s="197"/>
      <c r="D78" s="197"/>
      <c r="E78" s="197"/>
      <c r="F78" s="197"/>
      <c r="G78" s="197"/>
      <c r="H78" s="197"/>
      <c r="I78" s="222"/>
      <c r="J78" s="216"/>
      <c r="K78" s="216"/>
      <c r="L78" s="216"/>
      <c r="M78" s="216"/>
      <c r="S78" s="197"/>
      <c r="T78" s="182" t="str">
        <f>RBproj!D82</f>
        <v>Zach Evans</v>
      </c>
      <c r="U78" s="290" t="str">
        <f>RBproj!E82</f>
        <v>LAR</v>
      </c>
      <c r="V78" s="183">
        <f>RBproj!F82</f>
        <v>53.161880000000004</v>
      </c>
      <c r="W78" s="517">
        <f>IFERROR(IF(RBproj!H82="",RBproj!G82,RBproj!H82),0)</f>
        <v>8</v>
      </c>
      <c r="X78" s="504">
        <f>INDEX(Draft!$BW:$BW,MATCH(T78,Draft_Names_Master,0))</f>
        <v>0</v>
      </c>
      <c r="Y78">
        <v>7.5999999999999998E-2</v>
      </c>
      <c r="Z78">
        <f>IFERROR(IF(INDEX(Instructions!$X$64:$X$83,MATCH('Draft Slayer Classic'!T78,Instructions!$T$64:$T$83,0))&lt;=$E$25,1,0),0)</f>
        <v>0</v>
      </c>
      <c r="AA78">
        <f>IFERROR(INDEX(ADP!$A$7:$A$260,MATCH(T78,ADP!$D$7:$D$260,0)),999+Y78)</f>
        <v>999.07600000000002</v>
      </c>
      <c r="AB78">
        <f t="shared" si="6"/>
        <v>7.5999999999999998E-2</v>
      </c>
      <c r="AC78">
        <f>IFERROR(INDEX(Instructions!$U$111:$U$222,MATCH(T78,Instructions!$T$111:$T$222,0)),0)</f>
        <v>0</v>
      </c>
      <c r="AD78" s="197"/>
      <c r="AE78" s="182" t="str">
        <f>WRproj!D82</f>
        <v>Russell Gage</v>
      </c>
      <c r="AF78" s="290" t="str">
        <f>WRproj!E82</f>
        <v>TB</v>
      </c>
      <c r="AG78" s="183">
        <f>WRproj!F82</f>
        <v>116.27386000000001</v>
      </c>
      <c r="AH78" s="517">
        <f>IFERROR(IF(WRproj!H82="",WRproj!G82,WRproj!H82),0)</f>
        <v>8</v>
      </c>
      <c r="AI78" s="503">
        <f>INDEX(Draft!$BW:$BW,MATCH(AE78,Draft_Names_Master,0))</f>
        <v>0</v>
      </c>
      <c r="AJ78">
        <v>7.5999999999999998E-2</v>
      </c>
      <c r="AK78">
        <f>IFERROR(IF(INDEX(Instructions!$V$86:$V$105,MATCH('Draft Slayer Classic'!AE78,Instructions!$S$86:$S$105,0))&lt;=$E$25,1,0),0)</f>
        <v>0</v>
      </c>
      <c r="AL78">
        <f>IFERROR(INDEX(ADP!$A$7:$A$260,MATCH(AE78,ADP!$D$7:$D$260,0)),999+AJ78)</f>
        <v>999.07600000000002</v>
      </c>
      <c r="AM78">
        <f t="shared" si="7"/>
        <v>7.5999999999999998E-2</v>
      </c>
      <c r="AN78">
        <f>IFERROR(INDEX(Instructions!$U$111:$U$222,MATCH(AE78,Instructions!$T$111:$T$222,0)),0)</f>
        <v>0</v>
      </c>
      <c r="AO78" s="197"/>
      <c r="AP78" s="182" t="str">
        <f>TEproj!D82</f>
        <v>Cameron Latu</v>
      </c>
      <c r="AQ78" s="290" t="str">
        <f>TEproj!E82</f>
        <v>SF</v>
      </c>
      <c r="AR78" s="183">
        <f>TEproj!F82</f>
        <v>27.30678</v>
      </c>
      <c r="AS78" s="517">
        <f>IFERROR(IF(TEproj!H82="",TEproj!G82,TEproj!H82),0)</f>
        <v>8</v>
      </c>
      <c r="AT78" s="504">
        <f>INDEX(Draft!$BW:$BW,MATCH(AP78,Draft_Names_Master,0))</f>
        <v>0</v>
      </c>
      <c r="AU78">
        <v>7.5999999999999998E-2</v>
      </c>
      <c r="AV78">
        <f>IFERROR(IF(INDEX(Instructions!$X$86:$X$105,MATCH('Draft Slayer Classic'!AP78,Instructions!$T$86:$T$105,0))&lt;=$E$25,1,0),0)</f>
        <v>0</v>
      </c>
      <c r="AW78">
        <f>IFERROR(INDEX(ADP!$A$7:$A$260,MATCH(AP78,ADP!$D$7:$D$260,0)),999+AU78)</f>
        <v>999.07600000000002</v>
      </c>
      <c r="AX78">
        <f t="shared" si="8"/>
        <v>7.5999999999999998E-2</v>
      </c>
      <c r="AY78">
        <f>IFERROR(INDEX(Instructions!$U$111:$U$222,MATCH(AP78,Instructions!$T$111:$T$222,0)),0)</f>
        <v>0</v>
      </c>
      <c r="AZ78" s="197"/>
      <c r="BA78" s="197"/>
      <c r="BB78" s="216"/>
      <c r="BE78" s="197"/>
      <c r="BF78" s="197"/>
      <c r="BG78" s="216"/>
      <c r="BH78" s="216"/>
      <c r="BK78" s="203"/>
      <c r="DE78">
        <v>76</v>
      </c>
      <c r="DF78" t="str">
        <f>IF(IFERROR(MATCH(FFARawStatProjections!A79,Draft!BY:BY,0),1)&lt;=1,IF(FFARawStatProjections!A79=0,"",FFARawStatProjections!A79),"")</f>
        <v>Case Keenum</v>
      </c>
    </row>
    <row r="79" spans="1:110" x14ac:dyDescent="0.25">
      <c r="A79" s="196"/>
      <c r="B79" s="197"/>
      <c r="C79" s="197"/>
      <c r="D79" s="197"/>
      <c r="E79" s="197"/>
      <c r="F79" s="197"/>
      <c r="G79" s="197"/>
      <c r="H79" s="197"/>
      <c r="I79" s="222"/>
      <c r="J79" s="216"/>
      <c r="K79" s="216"/>
      <c r="L79" s="216"/>
      <c r="M79" s="216"/>
      <c r="S79" s="197"/>
      <c r="T79" s="187" t="str">
        <f>RBproj!D83</f>
        <v>Kenyan Drake</v>
      </c>
      <c r="U79" s="461" t="str">
        <f>RBproj!E83</f>
        <v>IND</v>
      </c>
      <c r="V79" s="184">
        <f>RBproj!F83</f>
        <v>52.341890000000006</v>
      </c>
      <c r="W79" s="517">
        <f>IFERROR(IF(RBproj!H83="",RBproj!G83,RBproj!H83),0)</f>
        <v>8</v>
      </c>
      <c r="X79" s="504">
        <f>INDEX(Draft!$BW:$BW,MATCH(T79,Draft_Names_Master,0))</f>
        <v>0</v>
      </c>
      <c r="Y79">
        <v>7.6999999999999999E-2</v>
      </c>
      <c r="Z79">
        <f>IFERROR(IF(INDEX(Instructions!$X$64:$X$83,MATCH('Draft Slayer Classic'!T79,Instructions!$T$64:$T$83,0))&lt;=$E$25,1,0),0)</f>
        <v>0</v>
      </c>
      <c r="AA79">
        <f>IFERROR(INDEX(ADP!$A$7:$A$260,MATCH(T79,ADP!$D$7:$D$260,0)),999+Y79)</f>
        <v>999.077</v>
      </c>
      <c r="AB79">
        <f t="shared" si="6"/>
        <v>7.6999999999999999E-2</v>
      </c>
      <c r="AC79">
        <f>IFERROR(INDEX(Instructions!$U$111:$U$222,MATCH(T79,Instructions!$T$111:$T$222,0)),0)</f>
        <v>0</v>
      </c>
      <c r="AD79" s="197"/>
      <c r="AE79" s="187" t="str">
        <f>WRproj!D83</f>
        <v>Alec Pierce</v>
      </c>
      <c r="AF79" s="461" t="str">
        <f>WRproj!E83</f>
        <v>IND</v>
      </c>
      <c r="AG79" s="184">
        <f>WRproj!F83</f>
        <v>113.36389</v>
      </c>
      <c r="AH79" s="517">
        <f>IFERROR(IF(WRproj!H83="",WRproj!G83,WRproj!H83),0)</f>
        <v>8</v>
      </c>
      <c r="AI79" s="503">
        <f>INDEX(Draft!$BW:$BW,MATCH(AE79,Draft_Names_Master,0))</f>
        <v>0</v>
      </c>
      <c r="AJ79">
        <v>7.6999999999999999E-2</v>
      </c>
      <c r="AK79">
        <f>IFERROR(IF(INDEX(Instructions!$V$86:$V$105,MATCH('Draft Slayer Classic'!AE79,Instructions!$S$86:$S$105,0))&lt;=$E$25,1,0),0)</f>
        <v>0</v>
      </c>
      <c r="AL79">
        <f>IFERROR(INDEX(ADP!$A$7:$A$260,MATCH(AE79,ADP!$D$7:$D$260,0)),999+AJ79)</f>
        <v>187</v>
      </c>
      <c r="AM79">
        <f t="shared" si="7"/>
        <v>7.6999999999999999E-2</v>
      </c>
      <c r="AN79">
        <f>IFERROR(INDEX(Instructions!$U$111:$U$222,MATCH(AE79,Instructions!$T$111:$T$222,0)),0)</f>
        <v>0</v>
      </c>
      <c r="AO79" s="197"/>
      <c r="AP79" s="187" t="str">
        <f>TEproj!D83</f>
        <v>Hunter Long</v>
      </c>
      <c r="AQ79" s="461" t="str">
        <f>TEproj!E83</f>
        <v>LAR</v>
      </c>
      <c r="AR79" s="184">
        <f>TEproj!F83</f>
        <v>27.066840000000003</v>
      </c>
      <c r="AS79" s="517">
        <f>IFERROR(IF(TEproj!H83="",TEproj!G83,TEproj!H83),0)</f>
        <v>8</v>
      </c>
      <c r="AT79" s="503">
        <f>INDEX(Draft!$BW:$BW,MATCH(AP79,Draft_Names_Master,0))</f>
        <v>0</v>
      </c>
      <c r="AU79">
        <v>7.6999999999999999E-2</v>
      </c>
      <c r="AV79">
        <f>IFERROR(IF(INDEX(Instructions!$X$86:$X$105,MATCH('Draft Slayer Classic'!AP79,Instructions!$T$86:$T$105,0))&lt;=$E$25,1,0),0)</f>
        <v>0</v>
      </c>
      <c r="AW79">
        <f>IFERROR(INDEX(ADP!$A$7:$A$260,MATCH(AP79,ADP!$D$7:$D$260,0)),999+AU79)</f>
        <v>999.077</v>
      </c>
      <c r="AX79">
        <f t="shared" si="8"/>
        <v>7.6999999999999999E-2</v>
      </c>
      <c r="AY79">
        <f>IFERROR(INDEX(Instructions!$U$111:$U$222,MATCH(AP79,Instructions!$T$111:$T$222,0)),0)</f>
        <v>0</v>
      </c>
      <c r="AZ79" s="197"/>
      <c r="BA79" s="197"/>
      <c r="BB79" s="216"/>
      <c r="BE79" s="197"/>
      <c r="BF79" s="197"/>
      <c r="BG79" s="216"/>
      <c r="BH79" s="216"/>
      <c r="BK79" s="203"/>
      <c r="DE79">
        <v>77</v>
      </c>
      <c r="DF79" t="str">
        <f>IF(IFERROR(MATCH(FFARawStatProjections!A80,Draft!BY:BY,0),1)&lt;=1,IF(FFARawStatProjections!A80=0,"",FFARawStatProjections!A80),"")</f>
        <v>Matt Corral</v>
      </c>
    </row>
    <row r="80" spans="1:110" x14ac:dyDescent="0.25">
      <c r="A80" s="196"/>
      <c r="B80" s="197"/>
      <c r="C80" s="197"/>
      <c r="D80" s="197"/>
      <c r="E80" s="197"/>
      <c r="F80" s="197"/>
      <c r="G80" s="197"/>
      <c r="H80" s="197"/>
      <c r="I80" s="222"/>
      <c r="J80" s="216"/>
      <c r="K80" s="216"/>
      <c r="L80" s="216"/>
      <c r="M80" s="216"/>
      <c r="S80" s="197"/>
      <c r="T80" s="182" t="str">
        <f>RBproj!D84</f>
        <v>Zack Moss</v>
      </c>
      <c r="U80" s="290" t="str">
        <f>RBproj!E84</f>
        <v>IND</v>
      </c>
      <c r="V80" s="183">
        <f>RBproj!F84</f>
        <v>51.781930000000003</v>
      </c>
      <c r="W80" s="517">
        <f>IFERROR(IF(RBproj!H84="",RBproj!G84,RBproj!H84),0)</f>
        <v>8</v>
      </c>
      <c r="X80" s="504">
        <f>INDEX(Draft!$BW:$BW,MATCH(T80,Draft_Names_Master,0))</f>
        <v>0</v>
      </c>
      <c r="Y80">
        <v>7.8E-2</v>
      </c>
      <c r="Z80">
        <f>IFERROR(IF(INDEX(Instructions!$X$64:$X$83,MATCH('Draft Slayer Classic'!T80,Instructions!$T$64:$T$83,0))&lt;=$E$25,1,0),0)</f>
        <v>0</v>
      </c>
      <c r="AA80">
        <f>IFERROR(INDEX(ADP!$A$7:$A$260,MATCH(T80,ADP!$D$7:$D$260,0)),999+Y80)</f>
        <v>999.07799999999997</v>
      </c>
      <c r="AB80">
        <f t="shared" si="6"/>
        <v>7.8E-2</v>
      </c>
      <c r="AC80">
        <f>IFERROR(INDEX(Instructions!$U$111:$U$222,MATCH(T80,Instructions!$T$111:$T$222,0)),0)</f>
        <v>0</v>
      </c>
      <c r="AD80" s="197"/>
      <c r="AE80" s="182" t="str">
        <f>WRproj!D84</f>
        <v>John Metchie</v>
      </c>
      <c r="AF80" s="290" t="str">
        <f>WRproj!E84</f>
        <v>HOU</v>
      </c>
      <c r="AG80" s="183">
        <f>WRproj!F84</f>
        <v>112.47391</v>
      </c>
      <c r="AH80" s="517">
        <f>IFERROR(IF(WRproj!H84="",WRproj!G84,WRproj!H84),0)</f>
        <v>8</v>
      </c>
      <c r="AI80" s="503">
        <f>INDEX(Draft!$BW:$BW,MATCH(AE80,Draft_Names_Master,0))</f>
        <v>0</v>
      </c>
      <c r="AJ80">
        <v>7.8E-2</v>
      </c>
      <c r="AK80">
        <f>IFERROR(IF(INDEX(Instructions!$V$86:$V$105,MATCH('Draft Slayer Classic'!AE80,Instructions!$S$86:$S$105,0))&lt;=$E$25,1,0),0)</f>
        <v>0</v>
      </c>
      <c r="AL80">
        <f>IFERROR(INDEX(ADP!$A$7:$A$260,MATCH(AE80,ADP!$D$7:$D$260,0)),999+AJ80)</f>
        <v>176</v>
      </c>
      <c r="AM80">
        <f t="shared" si="7"/>
        <v>7.8E-2</v>
      </c>
      <c r="AN80">
        <f>IFERROR(INDEX(Instructions!$U$111:$U$222,MATCH(AE80,Instructions!$T$111:$T$222,0)),0)</f>
        <v>0</v>
      </c>
      <c r="AO80" s="197"/>
      <c r="AP80" s="182" t="str">
        <f>TEproj!D84</f>
        <v>Ko Kieft</v>
      </c>
      <c r="AQ80" s="290" t="str">
        <f>TEproj!E84</f>
        <v>TB</v>
      </c>
      <c r="AR80" s="183">
        <f>TEproj!F84</f>
        <v>26.546879999999998</v>
      </c>
      <c r="AS80" s="517">
        <f>IFERROR(IF(TEproj!H84="",TEproj!G84,TEproj!H84),0)</f>
        <v>8</v>
      </c>
      <c r="AT80" s="504">
        <f>INDEX(Draft!$BW:$BW,MATCH(AP80,Draft_Names_Master,0))</f>
        <v>0</v>
      </c>
      <c r="AU80">
        <v>7.8E-2</v>
      </c>
      <c r="AV80">
        <f>IFERROR(IF(INDEX(Instructions!$X$86:$X$105,MATCH('Draft Slayer Classic'!AP80,Instructions!$T$86:$T$105,0))&lt;=$E$25,1,0),0)</f>
        <v>0</v>
      </c>
      <c r="AW80">
        <f>IFERROR(INDEX(ADP!$A$7:$A$260,MATCH(AP80,ADP!$D$7:$D$260,0)),999+AU80)</f>
        <v>999.07799999999997</v>
      </c>
      <c r="AX80">
        <f t="shared" si="8"/>
        <v>7.8E-2</v>
      </c>
      <c r="AY80">
        <f>IFERROR(INDEX(Instructions!$U$111:$U$222,MATCH(AP80,Instructions!$T$111:$T$222,0)),0)</f>
        <v>0</v>
      </c>
      <c r="AZ80" s="197"/>
      <c r="BA80" s="197"/>
      <c r="BB80" s="216"/>
      <c r="BE80" s="197"/>
      <c r="BF80" s="197"/>
      <c r="BG80" s="216"/>
      <c r="BH80" s="216"/>
      <c r="BK80" s="203"/>
      <c r="DE80">
        <v>78</v>
      </c>
      <c r="DF80" t="str">
        <f>IF(IFERROR(MATCH(FFARawStatProjections!A81,Draft!BY:BY,0),1)&lt;=1,IF(FFARawStatProjections!A81=0,"",FFARawStatProjections!A81),"")</f>
        <v>Mason Rudolph</v>
      </c>
    </row>
    <row r="81" spans="1:110" x14ac:dyDescent="0.25">
      <c r="A81" s="196"/>
      <c r="B81" s="197"/>
      <c r="C81" s="197"/>
      <c r="D81" s="197"/>
      <c r="E81" s="197"/>
      <c r="F81" s="197"/>
      <c r="G81" s="197"/>
      <c r="H81" s="197"/>
      <c r="I81" s="222"/>
      <c r="J81" s="216"/>
      <c r="K81" s="216"/>
      <c r="L81" s="216"/>
      <c r="M81" s="216"/>
      <c r="S81" s="197"/>
      <c r="T81" s="187" t="str">
        <f>RBproj!D85</f>
        <v>Corey Clement</v>
      </c>
      <c r="U81" s="461" t="str">
        <f>RBproj!E85</f>
        <v>AZ</v>
      </c>
      <c r="V81" s="184">
        <f>RBproj!F85</f>
        <v>50.721829999999997</v>
      </c>
      <c r="W81" s="517">
        <f>IFERROR(IF(RBproj!H85="",RBproj!G85,RBproj!H85),0)</f>
        <v>8</v>
      </c>
      <c r="X81" s="504">
        <f>INDEX(Draft!$BW:$BW,MATCH(T81,Draft_Names_Master,0))</f>
        <v>0</v>
      </c>
      <c r="Y81">
        <v>7.9000000000000001E-2</v>
      </c>
      <c r="Z81">
        <f>IFERROR(IF(INDEX(Instructions!$X$64:$X$83,MATCH('Draft Slayer Classic'!T81,Instructions!$T$64:$T$83,0))&lt;=$E$25,1,0),0)</f>
        <v>0</v>
      </c>
      <c r="AA81">
        <f>IFERROR(INDEX(ADP!$A$7:$A$260,MATCH(T81,ADP!$D$7:$D$260,0)),999+Y81)</f>
        <v>999.07899999999995</v>
      </c>
      <c r="AB81">
        <f t="shared" si="6"/>
        <v>7.9000000000000001E-2</v>
      </c>
      <c r="AC81">
        <f>IFERROR(INDEX(Instructions!$U$111:$U$222,MATCH(T81,Instructions!$T$111:$T$222,0)),0)</f>
        <v>0</v>
      </c>
      <c r="AD81" s="197"/>
      <c r="AE81" s="187" t="str">
        <f>WRproj!D85</f>
        <v>Mecole Hardman</v>
      </c>
      <c r="AF81" s="461" t="str">
        <f>WRproj!E85</f>
        <v>NYJ</v>
      </c>
      <c r="AG81" s="184">
        <f>WRproj!F85</f>
        <v>110.21396999999999</v>
      </c>
      <c r="AH81" s="517">
        <f>IFERROR(IF(WRproj!H85="",WRproj!G85,WRproj!H85),0)</f>
        <v>8</v>
      </c>
      <c r="AI81" s="503">
        <f>INDEX(Draft!$BW:$BW,MATCH(AE81,Draft_Names_Master,0))</f>
        <v>0</v>
      </c>
      <c r="AJ81">
        <v>7.9000000000000001E-2</v>
      </c>
      <c r="AK81">
        <f>IFERROR(IF(INDEX(Instructions!$V$86:$V$105,MATCH('Draft Slayer Classic'!AE81,Instructions!$S$86:$S$105,0))&lt;=$E$25,1,0),0)</f>
        <v>0</v>
      </c>
      <c r="AL81">
        <f>IFERROR(INDEX(ADP!$A$7:$A$260,MATCH(AE81,ADP!$D$7:$D$260,0)),999+AJ81)</f>
        <v>999.07899999999995</v>
      </c>
      <c r="AM81">
        <f t="shared" si="7"/>
        <v>7.9000000000000001E-2</v>
      </c>
      <c r="AN81">
        <f>IFERROR(INDEX(Instructions!$U$111:$U$222,MATCH(AE81,Instructions!$T$111:$T$222,0)),0)</f>
        <v>0</v>
      </c>
      <c r="AO81" s="197"/>
      <c r="AP81" s="187" t="str">
        <f>TEproj!D85</f>
        <v>Dan Arnold</v>
      </c>
      <c r="AQ81" s="461" t="str">
        <f>TEproj!E85</f>
        <v>PHI</v>
      </c>
      <c r="AR81" s="184">
        <f>TEproj!F85</f>
        <v>26.4968</v>
      </c>
      <c r="AS81" s="517">
        <f>IFERROR(IF(TEproj!H85="",TEproj!G85,TEproj!H85),0)</f>
        <v>8</v>
      </c>
      <c r="AT81" s="503">
        <f>INDEX(Draft!$BW:$BW,MATCH(AP81,Draft_Names_Master,0))</f>
        <v>0</v>
      </c>
      <c r="AU81">
        <v>7.9000000000000001E-2</v>
      </c>
      <c r="AV81">
        <f>IFERROR(IF(INDEX(Instructions!$X$86:$X$105,MATCH('Draft Slayer Classic'!AP81,Instructions!$T$86:$T$105,0))&lt;=$E$25,1,0),0)</f>
        <v>0</v>
      </c>
      <c r="AW81">
        <f>IFERROR(INDEX(ADP!$A$7:$A$260,MATCH(AP81,ADP!$D$7:$D$260,0)),999+AU81)</f>
        <v>999.07899999999995</v>
      </c>
      <c r="AX81">
        <f t="shared" si="8"/>
        <v>7.9000000000000001E-2</v>
      </c>
      <c r="AY81">
        <f>IFERROR(INDEX(Instructions!$U$111:$U$222,MATCH(AP81,Instructions!$T$111:$T$222,0)),0)</f>
        <v>0</v>
      </c>
      <c r="AZ81" s="197"/>
      <c r="BA81" s="197"/>
      <c r="BB81" s="216"/>
      <c r="BE81" s="197"/>
      <c r="BF81" s="197"/>
      <c r="BG81" s="216"/>
      <c r="BH81" s="216"/>
      <c r="BK81" s="203"/>
      <c r="DE81">
        <v>79</v>
      </c>
      <c r="DF81" t="str">
        <f>IF(IFERROR(MATCH(FFARawStatProjections!A82,Draft!BY:BY,0),1)&lt;=1,IF(FFARawStatProjections!A82=0,"",FFARawStatProjections!A82),"")</f>
        <v>Jake Haener</v>
      </c>
    </row>
    <row r="82" spans="1:110" x14ac:dyDescent="0.25">
      <c r="A82" s="196"/>
      <c r="B82" s="197"/>
      <c r="C82" s="197"/>
      <c r="D82" s="197"/>
      <c r="E82" s="197"/>
      <c r="F82" s="197"/>
      <c r="G82" s="197"/>
      <c r="H82" s="197"/>
      <c r="I82" s="222"/>
      <c r="J82" s="216"/>
      <c r="K82" s="216"/>
      <c r="L82" s="216"/>
      <c r="M82" s="216"/>
      <c r="S82" s="197"/>
      <c r="T82" s="182" t="str">
        <f>RBproj!D86</f>
        <v>JaMycal Hasty</v>
      </c>
      <c r="U82" s="290" t="str">
        <f>RBproj!E86</f>
        <v>JAC</v>
      </c>
      <c r="V82" s="183">
        <f>RBproj!F86</f>
        <v>48.771950000000004</v>
      </c>
      <c r="W82" s="517">
        <f>IFERROR(IF(RBproj!H86="",RBproj!G86,RBproj!H86),0)</f>
        <v>8</v>
      </c>
      <c r="X82" s="504">
        <f>INDEX(Draft!$BW:$BW,MATCH(T82,Draft_Names_Master,0))</f>
        <v>0</v>
      </c>
      <c r="Y82">
        <v>0.08</v>
      </c>
      <c r="Z82">
        <f>IFERROR(IF(INDEX(Instructions!$X$64:$X$83,MATCH('Draft Slayer Classic'!T82,Instructions!$T$64:$T$83,0))&lt;=$E$25,1,0),0)</f>
        <v>0</v>
      </c>
      <c r="AA82">
        <f>IFERROR(INDEX(ADP!$A$7:$A$260,MATCH(T82,ADP!$D$7:$D$260,0)),999+Y82)</f>
        <v>999.08</v>
      </c>
      <c r="AB82">
        <f t="shared" si="6"/>
        <v>0.08</v>
      </c>
      <c r="AC82">
        <f>IFERROR(INDEX(Instructions!$U$111:$U$222,MATCH(T82,Instructions!$T$111:$T$222,0)),0)</f>
        <v>0</v>
      </c>
      <c r="AD82" s="197"/>
      <c r="AE82" s="182" t="str">
        <f>WRproj!D86</f>
        <v>Mack Hollins</v>
      </c>
      <c r="AF82" s="290" t="str">
        <f>WRproj!E86</f>
        <v>ATL</v>
      </c>
      <c r="AG82" s="183">
        <f>WRproj!F86</f>
        <v>107.65393</v>
      </c>
      <c r="AH82" s="517">
        <f>IFERROR(IF(WRproj!H86="",WRproj!G86,WRproj!H86),0)</f>
        <v>8</v>
      </c>
      <c r="AI82" s="503">
        <f>INDEX(Draft!$BW:$BW,MATCH(AE82,Draft_Names_Master,0))</f>
        <v>0</v>
      </c>
      <c r="AJ82">
        <v>0.08</v>
      </c>
      <c r="AK82">
        <f>IFERROR(IF(INDEX(Instructions!$V$86:$V$105,MATCH('Draft Slayer Classic'!AE82,Instructions!$S$86:$S$105,0))&lt;=$E$25,1,0),0)</f>
        <v>0</v>
      </c>
      <c r="AL82">
        <f>IFERROR(INDEX(ADP!$A$7:$A$260,MATCH(AE82,ADP!$D$7:$D$260,0)),999+AJ82)</f>
        <v>999.08</v>
      </c>
      <c r="AM82">
        <f t="shared" si="7"/>
        <v>0.08</v>
      </c>
      <c r="AN82">
        <f>IFERROR(INDEX(Instructions!$U$111:$U$222,MATCH(AE82,Instructions!$T$111:$T$222,0)),0)</f>
        <v>0</v>
      </c>
      <c r="AO82" s="197"/>
      <c r="AP82" s="182" t="str">
        <f>TEproj!D86</f>
        <v>Blake Bell</v>
      </c>
      <c r="AQ82" s="290" t="str">
        <f>TEproj!E86</f>
        <v>KC</v>
      </c>
      <c r="AR82" s="183">
        <f>TEproj!F86</f>
        <v>25.8169</v>
      </c>
      <c r="AS82" s="517">
        <f>IFERROR(IF(TEproj!H86="",TEproj!G86,TEproj!H86),0)</f>
        <v>8</v>
      </c>
      <c r="AT82" s="504">
        <f>INDEX(Draft!$BW:$BW,MATCH(AP82,Draft_Names_Master,0))</f>
        <v>0</v>
      </c>
      <c r="AU82">
        <v>0.08</v>
      </c>
      <c r="AV82">
        <f>IFERROR(IF(INDEX(Instructions!$X$86:$X$105,MATCH('Draft Slayer Classic'!AP82,Instructions!$T$86:$T$105,0))&lt;=$E$25,1,0),0)</f>
        <v>0</v>
      </c>
      <c r="AW82">
        <f>IFERROR(INDEX(ADP!$A$7:$A$260,MATCH(AP82,ADP!$D$7:$D$260,0)),999+AU82)</f>
        <v>999.08</v>
      </c>
      <c r="AX82">
        <f t="shared" si="8"/>
        <v>0.08</v>
      </c>
      <c r="AY82">
        <f>IFERROR(INDEX(Instructions!$U$111:$U$222,MATCH(AP82,Instructions!$T$111:$T$222,0)),0)</f>
        <v>0</v>
      </c>
      <c r="AZ82" s="197"/>
      <c r="BA82" s="197"/>
      <c r="BB82" s="216"/>
      <c r="BE82" s="197"/>
      <c r="BF82" s="197"/>
      <c r="BG82" s="216"/>
      <c r="BH82" s="216"/>
      <c r="BK82" s="203"/>
      <c r="DE82">
        <v>80</v>
      </c>
      <c r="DF82" t="str">
        <f>IF(IFERROR(MATCH(FFARawStatProjections!A83,Draft!BY:BY,0),1)&lt;=1,IF(FFARawStatProjections!A83=0,"",FFARawStatProjections!A83),"")</f>
        <v>Shane Buechele</v>
      </c>
    </row>
    <row r="83" spans="1:110" x14ac:dyDescent="0.25">
      <c r="A83" s="196"/>
      <c r="B83" s="197"/>
      <c r="C83" s="197"/>
      <c r="D83" s="197"/>
      <c r="E83" s="197"/>
      <c r="F83" s="197"/>
      <c r="G83" s="197"/>
      <c r="H83" s="197"/>
      <c r="I83" s="222"/>
      <c r="J83" s="216"/>
      <c r="K83" s="216"/>
      <c r="L83" s="216"/>
      <c r="M83" s="216"/>
      <c r="S83" s="197"/>
      <c r="T83" s="187" t="str">
        <f>RBproj!D87</f>
        <v>Eric Gray</v>
      </c>
      <c r="U83" s="461" t="str">
        <f>RBproj!E87</f>
        <v>NYG</v>
      </c>
      <c r="V83" s="184">
        <f>RBproj!F87</f>
        <v>48.162009999999995</v>
      </c>
      <c r="W83" s="517">
        <f>IFERROR(IF(RBproj!H87="",RBproj!G87,RBproj!H87),0)</f>
        <v>8</v>
      </c>
      <c r="X83" s="504">
        <f>INDEX(Draft!$BW:$BW,MATCH(T83,Draft_Names_Master,0))</f>
        <v>0</v>
      </c>
      <c r="Y83">
        <v>8.1000000000000003E-2</v>
      </c>
      <c r="Z83">
        <f>IFERROR(IF(INDEX(Instructions!$X$64:$X$83,MATCH('Draft Slayer Classic'!T83,Instructions!$T$64:$T$83,0))&lt;=$E$25,1,0),0)</f>
        <v>0</v>
      </c>
      <c r="AA83">
        <f>IFERROR(INDEX(ADP!$A$7:$A$260,MATCH(T83,ADP!$D$7:$D$260,0)),999+Y83)</f>
        <v>999.08100000000002</v>
      </c>
      <c r="AB83">
        <f t="shared" si="6"/>
        <v>8.1000000000000003E-2</v>
      </c>
      <c r="AC83">
        <f>IFERROR(INDEX(Instructions!$U$111:$U$222,MATCH(T83,Instructions!$T$111:$T$222,0)),0)</f>
        <v>0</v>
      </c>
      <c r="AD83" s="197"/>
      <c r="AE83" s="187" t="str">
        <f>WRproj!D87</f>
        <v>Chase Claypool</v>
      </c>
      <c r="AF83" s="461" t="str">
        <f>WRproj!E87</f>
        <v>CHI</v>
      </c>
      <c r="AG83" s="184">
        <f>WRproj!F87</f>
        <v>106.95395000000001</v>
      </c>
      <c r="AH83" s="517">
        <f>IFERROR(IF(WRproj!H87="",WRproj!G87,WRproj!H87),0)</f>
        <v>8</v>
      </c>
      <c r="AI83" s="503">
        <f>INDEX(Draft!$BW:$BW,MATCH(AE83,Draft_Names_Master,0))</f>
        <v>0</v>
      </c>
      <c r="AJ83">
        <v>8.1000000000000003E-2</v>
      </c>
      <c r="AK83">
        <f>IFERROR(IF(INDEX(Instructions!$V$86:$V$105,MATCH('Draft Slayer Classic'!AE83,Instructions!$S$86:$S$105,0))&lt;=$E$25,1,0),0)</f>
        <v>0</v>
      </c>
      <c r="AL83">
        <f>IFERROR(INDEX(ADP!$A$7:$A$260,MATCH(AE83,ADP!$D$7:$D$260,0)),999+AJ83)</f>
        <v>182</v>
      </c>
      <c r="AM83">
        <f t="shared" si="7"/>
        <v>8.1000000000000003E-2</v>
      </c>
      <c r="AN83">
        <f>IFERROR(INDEX(Instructions!$U$111:$U$222,MATCH(AE83,Instructions!$T$111:$T$222,0)),0)</f>
        <v>0</v>
      </c>
      <c r="AO83" s="197"/>
      <c r="AP83" s="187" t="str">
        <f>TEproj!D87</f>
        <v>Tre McKitty</v>
      </c>
      <c r="AQ83" s="461" t="str">
        <f>TEproj!E87</f>
        <v>LAC</v>
      </c>
      <c r="AR83" s="184">
        <f>TEproj!F87</f>
        <v>25.22682</v>
      </c>
      <c r="AS83" s="517">
        <f>IFERROR(IF(TEproj!H87="",TEproj!G87,TEproj!H87),0)</f>
        <v>8</v>
      </c>
      <c r="AT83" s="503">
        <f>INDEX(Draft!$BW:$BW,MATCH(AP83,Draft_Names_Master,0))</f>
        <v>0</v>
      </c>
      <c r="AU83">
        <v>8.1000000000000003E-2</v>
      </c>
      <c r="AV83">
        <f>IFERROR(IF(INDEX(Instructions!$X$86:$X$105,MATCH('Draft Slayer Classic'!AP83,Instructions!$T$86:$T$105,0))&lt;=$E$25,1,0),0)</f>
        <v>0</v>
      </c>
      <c r="AW83">
        <f>IFERROR(INDEX(ADP!$A$7:$A$260,MATCH(AP83,ADP!$D$7:$D$260,0)),999+AU83)</f>
        <v>999.08100000000002</v>
      </c>
      <c r="AX83">
        <f t="shared" si="8"/>
        <v>8.1000000000000003E-2</v>
      </c>
      <c r="AY83">
        <f>IFERROR(INDEX(Instructions!$U$111:$U$222,MATCH(AP83,Instructions!$T$111:$T$222,0)),0)</f>
        <v>0</v>
      </c>
      <c r="AZ83" s="197"/>
      <c r="BA83" s="197"/>
      <c r="BB83" s="216"/>
      <c r="BE83" s="197"/>
      <c r="BF83" s="197"/>
      <c r="BG83" s="216"/>
      <c r="BH83" s="216"/>
      <c r="BK83" s="203"/>
      <c r="DE83">
        <v>81</v>
      </c>
      <c r="DF83" t="str">
        <f>IF(IFERROR(MATCH(FFARawStatProjections!A84,Draft!BY:BY,0),1)&lt;=1,IF(FFARawStatProjections!A84=0,"",FFARawStatProjections!A84),"")</f>
        <v>Nate Sudfeld</v>
      </c>
    </row>
    <row r="84" spans="1:110" x14ac:dyDescent="0.25">
      <c r="A84" s="196"/>
      <c r="B84" s="197"/>
      <c r="C84" s="197"/>
      <c r="D84" s="197"/>
      <c r="E84" s="197"/>
      <c r="F84" s="197"/>
      <c r="G84" s="197"/>
      <c r="H84" s="197"/>
      <c r="I84" s="222"/>
      <c r="J84" s="216"/>
      <c r="K84" s="216"/>
      <c r="L84" s="216"/>
      <c r="M84" s="216"/>
      <c r="S84" s="197"/>
      <c r="T84" s="182" t="str">
        <f>RBproj!D88</f>
        <v>Ameer Abdullah</v>
      </c>
      <c r="U84" s="290" t="str">
        <f>RBproj!E88</f>
        <v>LV</v>
      </c>
      <c r="V84" s="183">
        <f>RBproj!F88</f>
        <v>45.921939999999999</v>
      </c>
      <c r="W84" s="517">
        <f>IFERROR(IF(RBproj!H88="",RBproj!G88,RBproj!H88),0)</f>
        <v>8</v>
      </c>
      <c r="X84" s="504">
        <f>INDEX(Draft!$BW:$BW,MATCH(T84,Draft_Names_Master,0))</f>
        <v>0</v>
      </c>
      <c r="Y84">
        <v>8.2000000000000003E-2</v>
      </c>
      <c r="Z84">
        <f>IFERROR(IF(INDEX(Instructions!$X$64:$X$83,MATCH('Draft Slayer Classic'!T84,Instructions!$T$64:$T$83,0))&lt;=$E$25,1,0),0)</f>
        <v>0</v>
      </c>
      <c r="AA84">
        <f>IFERROR(INDEX(ADP!$A$7:$A$260,MATCH(T84,ADP!$D$7:$D$260,0)),999+Y84)</f>
        <v>999.08199999999999</v>
      </c>
      <c r="AB84">
        <f t="shared" si="6"/>
        <v>8.2000000000000003E-2</v>
      </c>
      <c r="AC84">
        <f>IFERROR(INDEX(Instructions!$U$111:$U$222,MATCH(T84,Instructions!$T$111:$T$222,0)),0)</f>
        <v>0</v>
      </c>
      <c r="AD84" s="197"/>
      <c r="AE84" s="182" t="str">
        <f>WRproj!D88</f>
        <v>Marvin Jones</v>
      </c>
      <c r="AF84" s="290" t="str">
        <f>WRproj!E88</f>
        <v>DET</v>
      </c>
      <c r="AG84" s="183">
        <f>WRproj!F88</f>
        <v>106.67392</v>
      </c>
      <c r="AH84" s="517">
        <f>IFERROR(IF(WRproj!H88="",WRproj!G88,WRproj!H88),0)</f>
        <v>8</v>
      </c>
      <c r="AI84" s="503">
        <f>INDEX(Draft!$BW:$BW,MATCH(AE84,Draft_Names_Master,0))</f>
        <v>0</v>
      </c>
      <c r="AJ84">
        <v>8.2000000000000003E-2</v>
      </c>
      <c r="AK84">
        <f>IFERROR(IF(INDEX(Instructions!$V$86:$V$105,MATCH('Draft Slayer Classic'!AE84,Instructions!$S$86:$S$105,0))&lt;=$E$25,1,0),0)</f>
        <v>0</v>
      </c>
      <c r="AL84">
        <f>IFERROR(INDEX(ADP!$A$7:$A$260,MATCH(AE84,ADP!$D$7:$D$260,0)),999+AJ84)</f>
        <v>999.08199999999999</v>
      </c>
      <c r="AM84">
        <f t="shared" si="7"/>
        <v>8.2000000000000003E-2</v>
      </c>
      <c r="AN84">
        <f>IFERROR(INDEX(Instructions!$U$111:$U$222,MATCH(AE84,Instructions!$T$111:$T$222,0)),0)</f>
        <v>0</v>
      </c>
      <c r="AO84" s="197"/>
      <c r="AP84" s="182" t="str">
        <f>TEproj!D88</f>
        <v>Andrew Ogletree</v>
      </c>
      <c r="AQ84" s="290" t="str">
        <f>TEproj!E88</f>
        <v>IND</v>
      </c>
      <c r="AR84" s="183">
        <f>TEproj!F88</f>
        <v>24.806910000000002</v>
      </c>
      <c r="AS84" s="517">
        <f>IFERROR(IF(TEproj!H88="",TEproj!G88,TEproj!H88),0)</f>
        <v>8</v>
      </c>
      <c r="AT84" s="504">
        <f>INDEX(Draft!$BW:$BW,MATCH(AP84,Draft_Names_Master,0))</f>
        <v>0</v>
      </c>
      <c r="AU84">
        <v>8.2000000000000003E-2</v>
      </c>
      <c r="AV84">
        <f>IFERROR(IF(INDEX(Instructions!$X$86:$X$105,MATCH('Draft Slayer Classic'!AP84,Instructions!$T$86:$T$105,0))&lt;=$E$25,1,0),0)</f>
        <v>0</v>
      </c>
      <c r="AW84">
        <f>IFERROR(INDEX(ADP!$A$7:$A$260,MATCH(AP84,ADP!$D$7:$D$260,0)),999+AU84)</f>
        <v>999.08199999999999</v>
      </c>
      <c r="AX84">
        <f t="shared" si="8"/>
        <v>8.2000000000000003E-2</v>
      </c>
      <c r="AY84">
        <f>IFERROR(INDEX(Instructions!$U$111:$U$222,MATCH(AP84,Instructions!$T$111:$T$222,0)),0)</f>
        <v>0</v>
      </c>
      <c r="AZ84" s="197"/>
      <c r="BA84" s="197"/>
      <c r="BB84" s="216"/>
      <c r="BE84" s="197"/>
      <c r="BF84" s="197"/>
      <c r="BG84" s="216"/>
      <c r="BH84" s="216"/>
      <c r="BK84" s="203"/>
      <c r="DE84">
        <v>82</v>
      </c>
      <c r="DF84" t="str">
        <f>IF(IFERROR(MATCH(FFARawStatProjections!A85,Draft!BY:BY,0),1)&lt;=1,IF(FFARawStatProjections!A85=0,"",FFARawStatProjections!A85),"")</f>
        <v>Tommy DeVito</v>
      </c>
    </row>
    <row r="85" spans="1:110" ht="15.75" thickBot="1" x14ac:dyDescent="0.3">
      <c r="A85" s="196"/>
      <c r="B85" s="197"/>
      <c r="C85" s="197"/>
      <c r="D85" s="197"/>
      <c r="E85" s="197"/>
      <c r="F85" s="197"/>
      <c r="G85" s="197"/>
      <c r="H85" s="197"/>
      <c r="I85" s="222"/>
      <c r="J85" s="216"/>
      <c r="K85" s="216"/>
      <c r="L85" s="216"/>
      <c r="M85" s="216"/>
      <c r="S85" s="197"/>
      <c r="T85" s="187" t="str">
        <f>RBproj!D89</f>
        <v>KeShawn Vaughn</v>
      </c>
      <c r="U85" s="461" t="str">
        <f>RBproj!E89</f>
        <v>TB</v>
      </c>
      <c r="V85" s="184">
        <f>RBproj!F89</f>
        <v>44.842140000000001</v>
      </c>
      <c r="W85" s="517">
        <f>IFERROR(IF(RBproj!H89="",RBproj!G89,RBproj!H89),0)</f>
        <v>8</v>
      </c>
      <c r="X85" s="504">
        <f>INDEX(Draft!$BW:$BW,MATCH(T85,Draft_Names_Master,0))</f>
        <v>0</v>
      </c>
      <c r="Y85">
        <v>8.3000000000000004E-2</v>
      </c>
      <c r="Z85">
        <f>IFERROR(IF(INDEX(Instructions!$X$64:$X$83,MATCH('Draft Slayer Classic'!T85,Instructions!$T$64:$T$83,0))&lt;=$E$25,1,0),0)</f>
        <v>0</v>
      </c>
      <c r="AA85">
        <f>IFERROR(INDEX(ADP!$A$7:$A$260,MATCH(T85,ADP!$D$7:$D$260,0)),999+Y85)</f>
        <v>999.08299999999997</v>
      </c>
      <c r="AB85">
        <f t="shared" si="6"/>
        <v>8.3000000000000004E-2</v>
      </c>
      <c r="AC85">
        <f>IFERROR(INDEX(Instructions!$U$111:$U$222,MATCH(T85,Instructions!$T$111:$T$222,0)),0)</f>
        <v>0</v>
      </c>
      <c r="AD85" s="197"/>
      <c r="AE85" s="187" t="str">
        <f>WRproj!D89</f>
        <v>Darius Slayton</v>
      </c>
      <c r="AF85" s="461" t="str">
        <f>WRproj!E89</f>
        <v>NYG</v>
      </c>
      <c r="AG85" s="184">
        <f>WRproj!F89</f>
        <v>105.24396000000002</v>
      </c>
      <c r="AH85" s="517">
        <f>IFERROR(IF(WRproj!H89="",WRproj!G89,WRproj!H89),0)</f>
        <v>8</v>
      </c>
      <c r="AI85" s="503">
        <f>INDEX(Draft!$BW:$BW,MATCH(AE85,Draft_Names_Master,0))</f>
        <v>0</v>
      </c>
      <c r="AJ85">
        <v>8.3000000000000004E-2</v>
      </c>
      <c r="AK85">
        <f>IFERROR(IF(INDEX(Instructions!$V$86:$V$105,MATCH('Draft Slayer Classic'!AE85,Instructions!$S$86:$S$105,0))&lt;=$E$25,1,0),0)</f>
        <v>0</v>
      </c>
      <c r="AL85">
        <f>IFERROR(INDEX(ADP!$A$7:$A$260,MATCH(AE85,ADP!$D$7:$D$260,0)),999+AJ85)</f>
        <v>999.08299999999997</v>
      </c>
      <c r="AM85">
        <f t="shared" si="7"/>
        <v>8.3000000000000004E-2</v>
      </c>
      <c r="AN85">
        <f>IFERROR(INDEX(Instructions!$U$111:$U$222,MATCH(AE85,Instructions!$T$111:$T$222,0)),0)</f>
        <v>0</v>
      </c>
      <c r="AO85" s="197"/>
      <c r="AP85" s="188" t="str">
        <f>TEproj!D89</f>
        <v>James Mitchell</v>
      </c>
      <c r="AQ85" s="462" t="str">
        <f>TEproj!E89</f>
        <v>DET</v>
      </c>
      <c r="AR85" s="189">
        <f>TEproj!F89</f>
        <v>24.076889999999999</v>
      </c>
      <c r="AS85" s="518">
        <f>IFERROR(IF(TEproj!H89="",TEproj!G89,TEproj!H89),0)</f>
        <v>8</v>
      </c>
      <c r="AT85" s="505">
        <f>INDEX(Draft!$BW:$BW,MATCH(AP85,Draft_Names_Master,0))</f>
        <v>0</v>
      </c>
      <c r="AU85">
        <v>8.3000000000000004E-2</v>
      </c>
      <c r="AV85">
        <f>IFERROR(IF(INDEX(Instructions!$X$86:$X$105,MATCH('Draft Slayer Classic'!AP85,Instructions!$T$86:$T$105,0))&lt;=$E$25,1,0),0)</f>
        <v>0</v>
      </c>
      <c r="AW85">
        <f>IFERROR(INDEX(ADP!$A$7:$A$260,MATCH(AP85,ADP!$D$7:$D$260,0)),999+AU85)</f>
        <v>999.08299999999997</v>
      </c>
      <c r="AX85">
        <f t="shared" si="8"/>
        <v>8.3000000000000004E-2</v>
      </c>
      <c r="AY85">
        <f>IFERROR(INDEX(Instructions!$U$111:$U$222,MATCH(AP85,Instructions!$T$111:$T$222,0)),0)</f>
        <v>0</v>
      </c>
      <c r="AZ85" s="197"/>
      <c r="BA85" s="197"/>
      <c r="BB85" s="216"/>
      <c r="BE85" s="197"/>
      <c r="BF85" s="197"/>
      <c r="BG85" s="216"/>
      <c r="BH85" s="216"/>
      <c r="BK85" s="203"/>
      <c r="DE85">
        <v>83</v>
      </c>
      <c r="DF85" t="str">
        <f>IF(IFERROR(MATCH(FFARawStatProjections!A86,Draft!BY:BY,0),1)&lt;=1,IF(FFARawStatProjections!A86=0,"",FFARawStatProjections!A86),"")</f>
        <v>Will Grier</v>
      </c>
    </row>
    <row r="86" spans="1:110" x14ac:dyDescent="0.25">
      <c r="A86" s="196"/>
      <c r="B86" s="197"/>
      <c r="C86" s="197"/>
      <c r="D86" s="197"/>
      <c r="E86" s="197"/>
      <c r="F86" s="197"/>
      <c r="G86" s="197"/>
      <c r="H86" s="197"/>
      <c r="I86" s="222"/>
      <c r="J86" s="216"/>
      <c r="K86" s="216"/>
      <c r="L86" s="216"/>
      <c r="M86" s="216"/>
      <c r="S86" s="197"/>
      <c r="T86" s="182" t="str">
        <f>RBproj!D90</f>
        <v>Michael Carter</v>
      </c>
      <c r="U86" s="290" t="str">
        <f>RBproj!E90</f>
        <v>NYJ</v>
      </c>
      <c r="V86" s="183">
        <f>RBproj!F90</f>
        <v>44.331980000000001</v>
      </c>
      <c r="W86" s="517">
        <f>IFERROR(IF(RBproj!H90="",RBproj!G90,RBproj!H90),0)</f>
        <v>8</v>
      </c>
      <c r="X86" s="504">
        <f>INDEX(Draft!$BW:$BW,MATCH(T86,Draft_Names_Master,0))</f>
        <v>0</v>
      </c>
      <c r="Y86">
        <v>8.4000000000000005E-2</v>
      </c>
      <c r="Z86">
        <f>IFERROR(IF(INDEX(Instructions!$X$64:$X$83,MATCH('Draft Slayer Classic'!T86,Instructions!$T$64:$T$83,0))&lt;=$E$25,1,0),0)</f>
        <v>0</v>
      </c>
      <c r="AA86">
        <f>IFERROR(INDEX(ADP!$A$7:$A$260,MATCH(T86,ADP!$D$7:$D$260,0)),999+Y86)</f>
        <v>999.08399999999995</v>
      </c>
      <c r="AB86">
        <f t="shared" si="6"/>
        <v>8.4000000000000005E-2</v>
      </c>
      <c r="AC86">
        <f>IFERROR(INDEX(Instructions!$U$111:$U$222,MATCH(T86,Instructions!$T$111:$T$222,0)),0)</f>
        <v>0</v>
      </c>
      <c r="AD86" s="197"/>
      <c r="AE86" s="182" t="str">
        <f>WRproj!D90</f>
        <v>Corey Davis</v>
      </c>
      <c r="AF86" s="290" t="str">
        <f>WRproj!E90</f>
        <v>NYJ</v>
      </c>
      <c r="AG86" s="183">
        <f>WRproj!F90</f>
        <v>105.04399000000001</v>
      </c>
      <c r="AH86" s="517">
        <f>IFERROR(IF(WRproj!H90="",WRproj!G90,WRproj!H90),0)</f>
        <v>8</v>
      </c>
      <c r="AI86" s="503">
        <f>INDEX(Draft!$BW:$BW,MATCH(AE86,Draft_Names_Master,0))</f>
        <v>0</v>
      </c>
      <c r="AJ86">
        <v>8.4000000000000005E-2</v>
      </c>
      <c r="AK86">
        <f>IFERROR(IF(INDEX(Instructions!$V$86:$V$105,MATCH('Draft Slayer Classic'!AE86,Instructions!$S$86:$S$105,0))&lt;=$E$25,1,0),0)</f>
        <v>0</v>
      </c>
      <c r="AL86">
        <f>IFERROR(INDEX(ADP!$A$7:$A$260,MATCH(AE86,ADP!$D$7:$D$260,0)),999+AJ86)</f>
        <v>999.08399999999995</v>
      </c>
      <c r="AM86">
        <f t="shared" si="7"/>
        <v>8.4000000000000005E-2</v>
      </c>
      <c r="AN86">
        <f>IFERROR(INDEX(Instructions!$U$111:$U$222,MATCH(AE86,Instructions!$T$111:$T$222,0)),0)</f>
        <v>0</v>
      </c>
      <c r="AO86" s="197"/>
      <c r="AP86" s="197"/>
      <c r="AQ86" s="216"/>
      <c r="AR86" s="216"/>
      <c r="AS86" s="216"/>
      <c r="AT86" s="216"/>
      <c r="AZ86" s="197"/>
      <c r="BA86" s="197"/>
      <c r="BB86" s="216"/>
      <c r="BE86" s="197"/>
      <c r="BF86" s="197"/>
      <c r="BG86" s="216"/>
      <c r="BH86" s="216"/>
      <c r="BK86" s="203"/>
      <c r="DE86">
        <v>84</v>
      </c>
      <c r="DF86" t="str">
        <f>IF(IFERROR(MATCH(FFARawStatProjections!A87,Draft!BY:BY,0),1)&lt;=1,IF(FFARawStatProjections!A87=0,"",FFARawStatProjections!A87),"")</f>
        <v>Josh Johnson</v>
      </c>
    </row>
    <row r="87" spans="1:110" x14ac:dyDescent="0.25">
      <c r="A87" s="196"/>
      <c r="B87" s="197"/>
      <c r="C87" s="197"/>
      <c r="D87" s="197"/>
      <c r="E87" s="197"/>
      <c r="F87" s="197"/>
      <c r="G87" s="197"/>
      <c r="H87" s="197"/>
      <c r="I87" s="222"/>
      <c r="J87" s="216"/>
      <c r="K87" s="216"/>
      <c r="L87" s="216"/>
      <c r="M87" s="216"/>
      <c r="S87" s="197"/>
      <c r="T87" s="187" t="str">
        <f>RBproj!D91</f>
        <v>Melvin Gordon</v>
      </c>
      <c r="U87" s="461" t="str">
        <f>RBproj!E91</f>
        <v>BAL</v>
      </c>
      <c r="V87" s="184">
        <f>RBproj!F91</f>
        <v>43.511989999999997</v>
      </c>
      <c r="W87" s="517">
        <f>IFERROR(IF(RBproj!H91="",RBproj!G91,RBproj!H91),0)</f>
        <v>8</v>
      </c>
      <c r="X87" s="504">
        <f>INDEX(Draft!$BW:$BW,MATCH(T87,Draft_Names_Master,0))</f>
        <v>0</v>
      </c>
      <c r="Y87">
        <v>8.5000000000000006E-2</v>
      </c>
      <c r="Z87">
        <f>IFERROR(IF(INDEX(Instructions!$X$64:$X$83,MATCH('Draft Slayer Classic'!T87,Instructions!$T$64:$T$83,0))&lt;=$E$25,1,0),0)</f>
        <v>0</v>
      </c>
      <c r="AA87">
        <f>IFERROR(INDEX(ADP!$A$7:$A$260,MATCH(T87,ADP!$D$7:$D$260,0)),999+Y87)</f>
        <v>999.08500000000004</v>
      </c>
      <c r="AB87">
        <f t="shared" si="6"/>
        <v>8.5000000000000006E-2</v>
      </c>
      <c r="AC87">
        <f>IFERROR(INDEX(Instructions!$U$111:$U$222,MATCH(T87,Instructions!$T$111:$T$222,0)),0)</f>
        <v>0</v>
      </c>
      <c r="AD87" s="197"/>
      <c r="AE87" s="187" t="str">
        <f>WRproj!D91</f>
        <v>Allen Robinson</v>
      </c>
      <c r="AF87" s="461" t="str">
        <f>WRproj!E91</f>
        <v>PIT</v>
      </c>
      <c r="AG87" s="184">
        <f>WRproj!F91</f>
        <v>104.69394000000001</v>
      </c>
      <c r="AH87" s="517">
        <f>IFERROR(IF(WRproj!H91="",WRproj!G91,WRproj!H91),0)</f>
        <v>8</v>
      </c>
      <c r="AI87" s="503">
        <f>INDEX(Draft!$BW:$BW,MATCH(AE87,Draft_Names_Master,0))</f>
        <v>0</v>
      </c>
      <c r="AJ87">
        <v>8.5000000000000006E-2</v>
      </c>
      <c r="AK87">
        <f>IFERROR(IF(INDEX(Instructions!$V$86:$V$105,MATCH('Draft Slayer Classic'!AE87,Instructions!$S$86:$S$105,0))&lt;=$E$25,1,0),0)</f>
        <v>0</v>
      </c>
      <c r="AL87">
        <f>IFERROR(INDEX(ADP!$A$7:$A$260,MATCH(AE87,ADP!$D$7:$D$260,0)),999+AJ87)</f>
        <v>183</v>
      </c>
      <c r="AM87">
        <f t="shared" si="7"/>
        <v>8.5000000000000006E-2</v>
      </c>
      <c r="AN87">
        <f>IFERROR(INDEX(Instructions!$U$111:$U$222,MATCH(AE87,Instructions!$T$111:$T$222,0)),0)</f>
        <v>0</v>
      </c>
      <c r="AO87" s="197"/>
      <c r="AP87" s="197"/>
      <c r="AQ87" s="216"/>
      <c r="AR87" s="216"/>
      <c r="AS87" s="216"/>
      <c r="AT87" s="216"/>
      <c r="AZ87" s="197"/>
      <c r="BA87" s="197"/>
      <c r="BB87" s="216"/>
      <c r="BE87" s="197"/>
      <c r="BF87" s="197"/>
      <c r="BG87" s="216"/>
      <c r="BH87" s="216"/>
      <c r="BK87" s="203"/>
      <c r="DE87">
        <v>85</v>
      </c>
      <c r="DF87" t="str">
        <f>IF(IFERROR(MATCH(FFARawStatProjections!A88,Draft!BY:BY,0),1)&lt;=1,IF(FFARawStatProjections!A88=0,"",FFARawStatProjections!A88),"")</f>
        <v/>
      </c>
    </row>
    <row r="88" spans="1:110" x14ac:dyDescent="0.25">
      <c r="A88" s="196"/>
      <c r="B88" s="197"/>
      <c r="C88" s="197"/>
      <c r="D88" s="197"/>
      <c r="E88" s="197"/>
      <c r="F88" s="197"/>
      <c r="G88" s="197"/>
      <c r="H88" s="197"/>
      <c r="I88" s="222"/>
      <c r="J88" s="216"/>
      <c r="K88" s="216"/>
      <c r="L88" s="216"/>
      <c r="M88" s="216"/>
      <c r="S88" s="197"/>
      <c r="T88" s="182" t="str">
        <f>RBproj!D92</f>
        <v>Hassan Haskins</v>
      </c>
      <c r="U88" s="290" t="str">
        <f>RBproj!E92</f>
        <v>TEN</v>
      </c>
      <c r="V88" s="183">
        <f>RBproj!F92</f>
        <v>42.49203</v>
      </c>
      <c r="W88" s="517">
        <f>IFERROR(IF(RBproj!H92="",RBproj!G92,RBproj!H92),0)</f>
        <v>8</v>
      </c>
      <c r="X88" s="504">
        <f>INDEX(Draft!$BW:$BW,MATCH(T88,Draft_Names_Master,0))</f>
        <v>0</v>
      </c>
      <c r="Y88">
        <v>8.5999999999999993E-2</v>
      </c>
      <c r="Z88">
        <f>IFERROR(IF(INDEX(Instructions!$X$64:$X$83,MATCH('Draft Slayer Classic'!T88,Instructions!$T$64:$T$83,0))&lt;=$E$25,1,0),0)</f>
        <v>0</v>
      </c>
      <c r="AA88">
        <f>IFERROR(INDEX(ADP!$A$7:$A$260,MATCH(T88,ADP!$D$7:$D$260,0)),999+Y88)</f>
        <v>999.08600000000001</v>
      </c>
      <c r="AB88">
        <f t="shared" si="6"/>
        <v>8.5999999999999993E-2</v>
      </c>
      <c r="AC88">
        <f>IFERROR(INDEX(Instructions!$U$111:$U$222,MATCH(T88,Instructions!$T$111:$T$222,0)),0)</f>
        <v>0</v>
      </c>
      <c r="AD88" s="197"/>
      <c r="AE88" s="182" t="str">
        <f>WRproj!D92</f>
        <v>Rashee Rice</v>
      </c>
      <c r="AF88" s="290" t="str">
        <f>WRproj!E92</f>
        <v>KC</v>
      </c>
      <c r="AG88" s="183">
        <f>WRproj!F92</f>
        <v>103.05400999999999</v>
      </c>
      <c r="AH88" s="517">
        <f>IFERROR(IF(WRproj!H92="",WRproj!G92,WRproj!H92),0)</f>
        <v>8</v>
      </c>
      <c r="AI88" s="503">
        <f>INDEX(Draft!$BW:$BW,MATCH(AE88,Draft_Names_Master,0))</f>
        <v>0</v>
      </c>
      <c r="AJ88">
        <v>8.5999999999999993E-2</v>
      </c>
      <c r="AK88">
        <f>IFERROR(IF(INDEX(Instructions!$V$86:$V$105,MATCH('Draft Slayer Classic'!AE88,Instructions!$S$86:$S$105,0))&lt;=$E$25,1,0),0)</f>
        <v>0</v>
      </c>
      <c r="AL88">
        <f>IFERROR(INDEX(ADP!$A$7:$A$260,MATCH(AE88,ADP!$D$7:$D$260,0)),999+AJ88)</f>
        <v>999.08600000000001</v>
      </c>
      <c r="AM88">
        <f t="shared" si="7"/>
        <v>8.5999999999999993E-2</v>
      </c>
      <c r="AN88">
        <f>IFERROR(INDEX(Instructions!$U$111:$U$222,MATCH(AE88,Instructions!$T$111:$T$222,0)),0)</f>
        <v>0</v>
      </c>
      <c r="AO88" s="197"/>
      <c r="AP88" s="197"/>
      <c r="AQ88" s="216"/>
      <c r="AR88" s="216"/>
      <c r="AS88" s="216"/>
      <c r="AT88" s="216"/>
      <c r="AZ88" s="197"/>
      <c r="BA88" s="197"/>
      <c r="BB88" s="216"/>
      <c r="BE88" s="197"/>
      <c r="BF88" s="197"/>
      <c r="BG88" s="216"/>
      <c r="BH88" s="216"/>
      <c r="BK88" s="203"/>
      <c r="DE88">
        <v>86</v>
      </c>
      <c r="DF88" t="str">
        <f>IF(IFERROR(MATCH(FFARawStatProjections!A89,Draft!BY:BY,0),1)&lt;=1,IF(FFARawStatProjections!A89=0,"",FFARawStatProjections!A89),"")</f>
        <v/>
      </c>
    </row>
    <row r="89" spans="1:110" x14ac:dyDescent="0.25">
      <c r="A89" s="196"/>
      <c r="B89" s="197"/>
      <c r="C89" s="197"/>
      <c r="D89" s="197"/>
      <c r="E89" s="197"/>
      <c r="F89" s="197"/>
      <c r="G89" s="197"/>
      <c r="H89" s="197"/>
      <c r="I89" s="222"/>
      <c r="J89" s="216"/>
      <c r="K89" s="216"/>
      <c r="L89" s="216"/>
      <c r="M89" s="216"/>
      <c r="S89" s="197"/>
      <c r="T89" s="187" t="str">
        <f>RBproj!D93</f>
        <v>Deon Jackson</v>
      </c>
      <c r="U89" s="461" t="str">
        <f>RBproj!E93</f>
        <v>IND</v>
      </c>
      <c r="V89" s="184">
        <f>RBproj!F93</f>
        <v>42.151960000000003</v>
      </c>
      <c r="W89" s="517">
        <f>IFERROR(IF(RBproj!H93="",RBproj!G93,RBproj!H93),0)</f>
        <v>8</v>
      </c>
      <c r="X89" s="504">
        <f>INDEX(Draft!$BW:$BW,MATCH(T89,Draft_Names_Master,0))</f>
        <v>0</v>
      </c>
      <c r="Y89">
        <v>8.6999999999999994E-2</v>
      </c>
      <c r="Z89">
        <f>IFERROR(IF(INDEX(Instructions!$X$64:$X$83,MATCH('Draft Slayer Classic'!T89,Instructions!$T$64:$T$83,0))&lt;=$E$25,1,0),0)</f>
        <v>0</v>
      </c>
      <c r="AA89">
        <f>IFERROR(INDEX(ADP!$A$7:$A$260,MATCH(T89,ADP!$D$7:$D$260,0)),999+Y89)</f>
        <v>999.08699999999999</v>
      </c>
      <c r="AB89">
        <f t="shared" si="6"/>
        <v>8.6999999999999994E-2</v>
      </c>
      <c r="AC89">
        <f>IFERROR(INDEX(Instructions!$U$111:$U$222,MATCH(T89,Instructions!$T$111:$T$222,0)),0)</f>
        <v>0</v>
      </c>
      <c r="AD89" s="197"/>
      <c r="AE89" s="187" t="str">
        <f>WRproj!D93</f>
        <v>Parris Campbell</v>
      </c>
      <c r="AF89" s="461" t="str">
        <f>WRproj!E93</f>
        <v>NYG</v>
      </c>
      <c r="AG89" s="184">
        <f>WRproj!F93</f>
        <v>100.95398</v>
      </c>
      <c r="AH89" s="517">
        <f>IFERROR(IF(WRproj!H93="",WRproj!G93,WRproj!H93),0)</f>
        <v>8</v>
      </c>
      <c r="AI89" s="503">
        <f>INDEX(Draft!$BW:$BW,MATCH(AE89,Draft_Names_Master,0))</f>
        <v>0</v>
      </c>
      <c r="AJ89">
        <v>8.6999999999999994E-2</v>
      </c>
      <c r="AK89">
        <f>IFERROR(IF(INDEX(Instructions!$V$86:$V$105,MATCH('Draft Slayer Classic'!AE89,Instructions!$S$86:$S$105,0))&lt;=$E$25,1,0),0)</f>
        <v>0</v>
      </c>
      <c r="AL89">
        <f>IFERROR(INDEX(ADP!$A$7:$A$260,MATCH(AE89,ADP!$D$7:$D$260,0)),999+AJ89)</f>
        <v>999.08699999999999</v>
      </c>
      <c r="AM89">
        <f t="shared" si="7"/>
        <v>8.6999999999999994E-2</v>
      </c>
      <c r="AN89">
        <f>IFERROR(INDEX(Instructions!$U$111:$U$222,MATCH(AE89,Instructions!$T$111:$T$222,0)),0)</f>
        <v>0</v>
      </c>
      <c r="AO89" s="197"/>
      <c r="AP89" s="197"/>
      <c r="AQ89" s="216"/>
      <c r="AR89" s="216"/>
      <c r="AS89" s="216"/>
      <c r="AT89" s="216"/>
      <c r="AZ89" s="197"/>
      <c r="BA89" s="197"/>
      <c r="BB89" s="216"/>
      <c r="BE89" s="197"/>
      <c r="BF89" s="197"/>
      <c r="BG89" s="216"/>
      <c r="BH89" s="216"/>
      <c r="BK89" s="203"/>
      <c r="DE89">
        <v>87</v>
      </c>
      <c r="DF89" t="str">
        <f>IF(IFERROR(MATCH(FFARawStatProjections!A90,Draft!BY:BY,0),1)&lt;=1,IF(FFARawStatProjections!A90=0,"",FFARawStatProjections!A90),"")</f>
        <v/>
      </c>
    </row>
    <row r="90" spans="1:110" x14ac:dyDescent="0.25">
      <c r="A90" s="196"/>
      <c r="B90" s="197"/>
      <c r="C90" s="197"/>
      <c r="D90" s="197"/>
      <c r="E90" s="197"/>
      <c r="F90" s="197"/>
      <c r="G90" s="197"/>
      <c r="H90" s="197"/>
      <c r="I90" s="222"/>
      <c r="J90" s="216"/>
      <c r="K90" s="216"/>
      <c r="L90" s="216"/>
      <c r="M90" s="216"/>
      <c r="S90" s="197"/>
      <c r="T90" s="182" t="str">
        <f>RBproj!D94</f>
        <v>Trayveon Williams</v>
      </c>
      <c r="U90" s="290" t="str">
        <f>RBproj!E94</f>
        <v>CIN</v>
      </c>
      <c r="V90" s="183">
        <f>RBproj!F94</f>
        <v>39.832049999999995</v>
      </c>
      <c r="W90" s="517">
        <f>IFERROR(IF(RBproj!H94="",RBproj!G94,RBproj!H94),0)</f>
        <v>8</v>
      </c>
      <c r="X90" s="504">
        <f>INDEX(Draft!$BW:$BW,MATCH(T90,Draft_Names_Master,0))</f>
        <v>0</v>
      </c>
      <c r="Y90">
        <v>8.7999999999999995E-2</v>
      </c>
      <c r="Z90">
        <f>IFERROR(IF(INDEX(Instructions!$X$64:$X$83,MATCH('Draft Slayer Classic'!T90,Instructions!$T$64:$T$83,0))&lt;=$E$25,1,0),0)</f>
        <v>0</v>
      </c>
      <c r="AA90">
        <f>IFERROR(INDEX(ADP!$A$7:$A$260,MATCH(T90,ADP!$D$7:$D$260,0)),999+Y90)</f>
        <v>999.08799999999997</v>
      </c>
      <c r="AB90">
        <f t="shared" si="6"/>
        <v>8.7999999999999995E-2</v>
      </c>
      <c r="AC90">
        <f>IFERROR(INDEX(Instructions!$U$111:$U$222,MATCH(T90,Instructions!$T$111:$T$222,0)),0)</f>
        <v>0</v>
      </c>
      <c r="AD90" s="197"/>
      <c r="AE90" s="182" t="str">
        <f>WRproj!D94</f>
        <v>Khalil Shakir</v>
      </c>
      <c r="AF90" s="290" t="str">
        <f>WRproj!E94</f>
        <v>BUF</v>
      </c>
      <c r="AG90" s="183">
        <f>WRproj!F94</f>
        <v>90.264020000000002</v>
      </c>
      <c r="AH90" s="517">
        <f>IFERROR(IF(WRproj!H94="",WRproj!G94,WRproj!H94),0)</f>
        <v>8</v>
      </c>
      <c r="AI90" s="503">
        <f>INDEX(Draft!$BW:$BW,MATCH(AE90,Draft_Names_Master,0))</f>
        <v>0</v>
      </c>
      <c r="AJ90">
        <v>8.7999999999999995E-2</v>
      </c>
      <c r="AK90">
        <f>IFERROR(IF(INDEX(Instructions!$V$86:$V$105,MATCH('Draft Slayer Classic'!AE90,Instructions!$S$86:$S$105,0))&lt;=$E$25,1,0),0)</f>
        <v>0</v>
      </c>
      <c r="AL90">
        <f>IFERROR(INDEX(ADP!$A$7:$A$260,MATCH(AE90,ADP!$D$7:$D$260,0)),999+AJ90)</f>
        <v>999.08799999999997</v>
      </c>
      <c r="AM90">
        <f t="shared" si="7"/>
        <v>8.7999999999999995E-2</v>
      </c>
      <c r="AN90">
        <f>IFERROR(INDEX(Instructions!$U$111:$U$222,MATCH(AE90,Instructions!$T$111:$T$222,0)),0)</f>
        <v>0</v>
      </c>
      <c r="AO90" s="197"/>
      <c r="AP90" s="197"/>
      <c r="AQ90" s="216"/>
      <c r="AR90" s="216"/>
      <c r="AS90" s="216"/>
      <c r="AT90" s="216"/>
      <c r="AZ90" s="197"/>
      <c r="BA90" s="197"/>
      <c r="BB90" s="216"/>
      <c r="BE90" s="197"/>
      <c r="BF90" s="197"/>
      <c r="BG90" s="216"/>
      <c r="BH90" s="216"/>
      <c r="BK90" s="203"/>
      <c r="DE90">
        <v>88</v>
      </c>
      <c r="DF90" t="str">
        <f>IF(IFERROR(MATCH(FFARawStatProjections!A91,Draft!BY:BY,0),1)&lt;=1,IF(FFARawStatProjections!A91=0,"",FFARawStatProjections!A91),"")</f>
        <v/>
      </c>
    </row>
    <row r="91" spans="1:110" x14ac:dyDescent="0.25">
      <c r="A91" s="196"/>
      <c r="B91" s="197"/>
      <c r="C91" s="197"/>
      <c r="D91" s="197"/>
      <c r="E91" s="197"/>
      <c r="F91" s="197"/>
      <c r="G91" s="197"/>
      <c r="H91" s="197"/>
      <c r="I91" s="222"/>
      <c r="J91" s="216"/>
      <c r="K91" s="216"/>
      <c r="L91" s="216"/>
      <c r="M91" s="216"/>
      <c r="S91" s="197"/>
      <c r="T91" s="187" t="str">
        <f>RBproj!D95</f>
        <v>Jordan Mason</v>
      </c>
      <c r="U91" s="461" t="str">
        <f>RBproj!E95</f>
        <v>SF</v>
      </c>
      <c r="V91" s="184">
        <f>RBproj!F95</f>
        <v>38.782020000000003</v>
      </c>
      <c r="W91" s="517">
        <f>IFERROR(IF(RBproj!H95="",RBproj!G95,RBproj!H95),0)</f>
        <v>8</v>
      </c>
      <c r="X91" s="504">
        <f>INDEX(Draft!$BW:$BW,MATCH(T91,Draft_Names_Master,0))</f>
        <v>0</v>
      </c>
      <c r="Y91">
        <v>8.8999999999999996E-2</v>
      </c>
      <c r="Z91">
        <f>IFERROR(IF(INDEX(Instructions!$X$64:$X$83,MATCH('Draft Slayer Classic'!T91,Instructions!$T$64:$T$83,0))&lt;=$E$25,1,0),0)</f>
        <v>0</v>
      </c>
      <c r="AA91">
        <f>IFERROR(INDEX(ADP!$A$7:$A$260,MATCH(T91,ADP!$D$7:$D$260,0)),999+Y91)</f>
        <v>999.08900000000006</v>
      </c>
      <c r="AB91">
        <f t="shared" si="6"/>
        <v>8.8999999999999996E-2</v>
      </c>
      <c r="AC91">
        <f>IFERROR(INDEX(Instructions!$U$111:$U$222,MATCH(T91,Instructions!$T$111:$T$222,0)),0)</f>
        <v>0</v>
      </c>
      <c r="AD91" s="197"/>
      <c r="AE91" s="187" t="str">
        <f>WRproj!D95</f>
        <v>WanDale Robinson</v>
      </c>
      <c r="AF91" s="461" t="str">
        <f>WRproj!E95</f>
        <v>NYG</v>
      </c>
      <c r="AG91" s="184">
        <f>WRproj!F95</f>
        <v>90.204059999999984</v>
      </c>
      <c r="AH91" s="517">
        <f>IFERROR(IF(WRproj!H95="",WRproj!G95,WRproj!H95),0)</f>
        <v>8</v>
      </c>
      <c r="AI91" s="503">
        <f>INDEX(Draft!$BW:$BW,MATCH(AE91,Draft_Names_Master,0))</f>
        <v>0</v>
      </c>
      <c r="AJ91">
        <v>8.8999999999999996E-2</v>
      </c>
      <c r="AK91">
        <f>IFERROR(IF(INDEX(Instructions!$V$86:$V$105,MATCH('Draft Slayer Classic'!AE91,Instructions!$S$86:$S$105,0))&lt;=$E$25,1,0),0)</f>
        <v>0</v>
      </c>
      <c r="AL91">
        <f>IFERROR(INDEX(ADP!$A$7:$A$260,MATCH(AE91,ADP!$D$7:$D$260,0)),999+AJ91)</f>
        <v>999.08900000000006</v>
      </c>
      <c r="AM91">
        <f t="shared" si="7"/>
        <v>8.8999999999999996E-2</v>
      </c>
      <c r="AN91">
        <f>IFERROR(INDEX(Instructions!$U$111:$U$222,MATCH(AE91,Instructions!$T$111:$T$222,0)),0)</f>
        <v>0</v>
      </c>
      <c r="AO91" s="197"/>
      <c r="AP91" s="197"/>
      <c r="AQ91" s="216"/>
      <c r="AR91" s="216"/>
      <c r="AS91" s="216"/>
      <c r="AT91" s="216"/>
      <c r="AZ91" s="197"/>
      <c r="BA91" s="197"/>
      <c r="BB91" s="216"/>
      <c r="BE91" s="197"/>
      <c r="BF91" s="197"/>
      <c r="BG91" s="216"/>
      <c r="BH91" s="216"/>
      <c r="BK91" s="203"/>
      <c r="DE91">
        <v>89</v>
      </c>
      <c r="DF91" t="str">
        <f>IF(IFERROR(MATCH(FFARawStatProjections!A92,Draft!BY:BY,0),1)&lt;=1,IF(FFARawStatProjections!A92=0,"",FFARawStatProjections!A92),"")</f>
        <v/>
      </c>
    </row>
    <row r="92" spans="1:110" x14ac:dyDescent="0.25">
      <c r="A92" s="196"/>
      <c r="B92" s="197"/>
      <c r="C92" s="197"/>
      <c r="D92" s="197"/>
      <c r="E92" s="197"/>
      <c r="F92" s="197"/>
      <c r="G92" s="197"/>
      <c r="H92" s="197"/>
      <c r="I92" s="222"/>
      <c r="J92" s="216"/>
      <c r="K92" s="216"/>
      <c r="L92" s="216"/>
      <c r="M92" s="216"/>
      <c r="S92" s="197"/>
      <c r="T92" s="182" t="str">
        <f>RBproj!D96</f>
        <v>Raheem Blackshear</v>
      </c>
      <c r="U92" s="290" t="str">
        <f>RBproj!E96</f>
        <v>CAR</v>
      </c>
      <c r="V92" s="183">
        <f>RBproj!F96</f>
        <v>37.142040000000001</v>
      </c>
      <c r="W92" s="517">
        <f>IFERROR(IF(RBproj!H96="",RBproj!G96,RBproj!H96),0)</f>
        <v>8</v>
      </c>
      <c r="X92" s="504">
        <f>INDEX(Draft!$BW:$BW,MATCH(T92,Draft_Names_Master,0))</f>
        <v>0</v>
      </c>
      <c r="Y92">
        <v>0.09</v>
      </c>
      <c r="Z92">
        <f>IFERROR(IF(INDEX(Instructions!$X$64:$X$83,MATCH('Draft Slayer Classic'!T92,Instructions!$T$64:$T$83,0))&lt;=$E$25,1,0),0)</f>
        <v>0</v>
      </c>
      <c r="AA92">
        <f>IFERROR(INDEX(ADP!$A$7:$A$260,MATCH(T92,ADP!$D$7:$D$260,0)),999+Y92)</f>
        <v>999.09</v>
      </c>
      <c r="AB92">
        <f t="shared" si="6"/>
        <v>0.09</v>
      </c>
      <c r="AC92">
        <f>IFERROR(INDEX(Instructions!$U$111:$U$222,MATCH(T92,Instructions!$T$111:$T$222,0)),0)</f>
        <v>0</v>
      </c>
      <c r="AD92" s="197"/>
      <c r="AE92" s="182" t="str">
        <f>WRproj!D96</f>
        <v>Kendrick Bourne</v>
      </c>
      <c r="AF92" s="290" t="str">
        <f>WRproj!E96</f>
        <v>NE</v>
      </c>
      <c r="AG92" s="183">
        <f>WRproj!F96</f>
        <v>89.574050000000014</v>
      </c>
      <c r="AH92" s="517">
        <f>IFERROR(IF(WRproj!H96="",WRproj!G96,WRproj!H96),0)</f>
        <v>8</v>
      </c>
      <c r="AI92" s="503">
        <f>INDEX(Draft!$BW:$BW,MATCH(AE92,Draft_Names_Master,0))</f>
        <v>0</v>
      </c>
      <c r="AJ92">
        <v>0.09</v>
      </c>
      <c r="AK92">
        <f>IFERROR(IF(INDEX(Instructions!$V$86:$V$105,MATCH('Draft Slayer Classic'!AE92,Instructions!$S$86:$S$105,0))&lt;=$E$25,1,0),0)</f>
        <v>0</v>
      </c>
      <c r="AL92">
        <f>IFERROR(INDEX(ADP!$A$7:$A$260,MATCH(AE92,ADP!$D$7:$D$260,0)),999+AJ92)</f>
        <v>999.09</v>
      </c>
      <c r="AM92">
        <f t="shared" si="7"/>
        <v>0.09</v>
      </c>
      <c r="AN92">
        <f>IFERROR(INDEX(Instructions!$U$111:$U$222,MATCH(AE92,Instructions!$T$111:$T$222,0)),0)</f>
        <v>0</v>
      </c>
      <c r="AO92" s="197"/>
      <c r="AP92" s="216"/>
      <c r="AQ92" s="216"/>
      <c r="AR92" s="221"/>
      <c r="AS92" s="221"/>
      <c r="AT92" s="216"/>
      <c r="AZ92" s="197"/>
      <c r="BA92" s="197"/>
      <c r="BB92" s="216"/>
      <c r="BE92" s="197"/>
      <c r="BF92" s="197"/>
      <c r="BG92" s="216"/>
      <c r="BH92" s="216"/>
      <c r="BK92" s="203"/>
      <c r="DE92">
        <v>90</v>
      </c>
      <c r="DF92" t="str">
        <f>IF(IFERROR(MATCH(FFARawStatProjections!A93,Draft!BY:BY,0),1)&lt;=1,IF(FFARawStatProjections!A93=0,"",FFARawStatProjections!A93),"")</f>
        <v/>
      </c>
    </row>
    <row r="93" spans="1:110" x14ac:dyDescent="0.25">
      <c r="A93" s="196"/>
      <c r="B93" s="197"/>
      <c r="C93" s="197"/>
      <c r="D93" s="197"/>
      <c r="E93" s="197"/>
      <c r="F93" s="197"/>
      <c r="G93" s="197"/>
      <c r="H93" s="197"/>
      <c r="I93" s="222"/>
      <c r="J93" s="216"/>
      <c r="K93" s="216"/>
      <c r="L93" s="216"/>
      <c r="M93" s="216"/>
      <c r="S93" s="197"/>
      <c r="T93" s="187" t="str">
        <f>RBproj!D97</f>
        <v>Pierre Strong</v>
      </c>
      <c r="U93" s="461" t="str">
        <f>RBproj!E97</f>
        <v>NE</v>
      </c>
      <c r="V93" s="184">
        <f>RBproj!F97</f>
        <v>36.141970000000001</v>
      </c>
      <c r="W93" s="517">
        <f>IFERROR(IF(RBproj!H97="",RBproj!G97,RBproj!H97),0)</f>
        <v>8</v>
      </c>
      <c r="X93" s="504">
        <f>INDEX(Draft!$BW:$BW,MATCH(T93,Draft_Names_Master,0))</f>
        <v>0</v>
      </c>
      <c r="Y93">
        <v>9.0999999999999998E-2</v>
      </c>
      <c r="Z93">
        <f>IFERROR(IF(INDEX(Instructions!$X$64:$X$83,MATCH('Draft Slayer Classic'!T93,Instructions!$T$64:$T$83,0))&lt;=$E$25,1,0),0)</f>
        <v>0</v>
      </c>
      <c r="AA93">
        <f>IFERROR(INDEX(ADP!$A$7:$A$260,MATCH(T93,ADP!$D$7:$D$260,0)),999+Y93)</f>
        <v>999.09100000000001</v>
      </c>
      <c r="AB93">
        <f t="shared" si="6"/>
        <v>9.0999999999999998E-2</v>
      </c>
      <c r="AC93">
        <f>IFERROR(INDEX(Instructions!$U$111:$U$222,MATCH(T93,Instructions!$T$111:$T$222,0)),0)</f>
        <v>0</v>
      </c>
      <c r="AD93" s="197"/>
      <c r="AE93" s="187" t="str">
        <f>WRproj!D97</f>
        <v>Joshua Palmer</v>
      </c>
      <c r="AF93" s="461" t="str">
        <f>WRproj!E97</f>
        <v>LAC</v>
      </c>
      <c r="AG93" s="184">
        <f>WRproj!F97</f>
        <v>87.834040000000016</v>
      </c>
      <c r="AH93" s="517">
        <f>IFERROR(IF(WRproj!H97="",WRproj!G97,WRproj!H97),0)</f>
        <v>8</v>
      </c>
      <c r="AI93" s="503">
        <f>INDEX(Draft!$BW:$BW,MATCH(AE93,Draft_Names_Master,0))</f>
        <v>0</v>
      </c>
      <c r="AJ93">
        <v>9.0999999999999998E-2</v>
      </c>
      <c r="AK93">
        <f>IFERROR(IF(INDEX(Instructions!$V$86:$V$105,MATCH('Draft Slayer Classic'!AE93,Instructions!$S$86:$S$105,0))&lt;=$E$25,1,0),0)</f>
        <v>0</v>
      </c>
      <c r="AL93">
        <f>IFERROR(INDEX(ADP!$A$7:$A$260,MATCH(AE93,ADP!$D$7:$D$260,0)),999+AJ93)</f>
        <v>999.09100000000001</v>
      </c>
      <c r="AM93">
        <f t="shared" si="7"/>
        <v>9.0999999999999998E-2</v>
      </c>
      <c r="AN93">
        <f>IFERROR(INDEX(Instructions!$U$111:$U$222,MATCH(AE93,Instructions!$T$111:$T$222,0)),0)</f>
        <v>0</v>
      </c>
      <c r="AO93" s="197"/>
      <c r="AP93" s="216"/>
      <c r="AQ93" s="216"/>
      <c r="AR93" s="216"/>
      <c r="AS93" s="216"/>
      <c r="AT93" s="216"/>
      <c r="AZ93" s="197"/>
      <c r="BA93" s="197"/>
      <c r="BB93" s="216"/>
      <c r="BE93" s="197"/>
      <c r="BF93" s="197"/>
      <c r="BG93" s="216"/>
      <c r="BH93" s="216"/>
      <c r="BK93" s="203"/>
      <c r="DE93">
        <v>91</v>
      </c>
      <c r="DF93" t="str">
        <f>IF(IFERROR(MATCH(FFARawStatProjections!A94,Draft!BY:BY,0),1)&lt;=1,IF(FFARawStatProjections!A94=0,"",FFARawStatProjections!A94),"")</f>
        <v/>
      </c>
    </row>
    <row r="94" spans="1:110" x14ac:dyDescent="0.25">
      <c r="A94" s="196"/>
      <c r="B94" s="197"/>
      <c r="C94" s="197"/>
      <c r="D94" s="197"/>
      <c r="E94" s="197"/>
      <c r="F94" s="197"/>
      <c r="G94" s="197"/>
      <c r="H94" s="197"/>
      <c r="I94" s="222"/>
      <c r="J94" s="216"/>
      <c r="K94" s="216"/>
      <c r="L94" s="216"/>
      <c r="M94" s="216"/>
      <c r="S94" s="197"/>
      <c r="T94" s="182" t="str">
        <f>RBproj!D98</f>
        <v>Chris Rodriguez</v>
      </c>
      <c r="U94" s="290" t="str">
        <f>RBproj!E98</f>
        <v>WAS</v>
      </c>
      <c r="V94" s="183">
        <f>RBproj!F98</f>
        <v>35.772130000000004</v>
      </c>
      <c r="W94" s="517">
        <f>IFERROR(IF(RBproj!H98="",RBproj!G98,RBproj!H98),0)</f>
        <v>8</v>
      </c>
      <c r="X94" s="504">
        <f>INDEX(Draft!$BW:$BW,MATCH(T94,Draft_Names_Master,0))</f>
        <v>0</v>
      </c>
      <c r="Y94">
        <v>9.1999999999999998E-2</v>
      </c>
      <c r="Z94">
        <f>IFERROR(IF(INDEX(Instructions!$X$64:$X$83,MATCH('Draft Slayer Classic'!T94,Instructions!$T$64:$T$83,0))&lt;=$E$25,1,0),0)</f>
        <v>0</v>
      </c>
      <c r="AA94">
        <f>IFERROR(INDEX(ADP!$A$7:$A$260,MATCH(T94,ADP!$D$7:$D$260,0)),999+Y94)</f>
        <v>999.09199999999998</v>
      </c>
      <c r="AB94">
        <f t="shared" si="6"/>
        <v>9.1999999999999998E-2</v>
      </c>
      <c r="AC94">
        <f>IFERROR(INDEX(Instructions!$U$111:$U$222,MATCH(T94,Instructions!$T$111:$T$222,0)),0)</f>
        <v>0</v>
      </c>
      <c r="AD94" s="197"/>
      <c r="AE94" s="182" t="str">
        <f>WRproj!D98</f>
        <v>Tyquan Thornton</v>
      </c>
      <c r="AF94" s="290" t="str">
        <f>WRproj!E98</f>
        <v>NE</v>
      </c>
      <c r="AG94" s="183">
        <f>WRproj!F98</f>
        <v>87.604110000000006</v>
      </c>
      <c r="AH94" s="517">
        <f>IFERROR(IF(WRproj!H98="",WRproj!G98,WRproj!H98),0)</f>
        <v>8</v>
      </c>
      <c r="AI94" s="503">
        <f>INDEX(Draft!$BW:$BW,MATCH(AE94,Draft_Names_Master,0))</f>
        <v>0</v>
      </c>
      <c r="AJ94">
        <v>9.1999999999999998E-2</v>
      </c>
      <c r="AK94">
        <f>IFERROR(IF(INDEX(Instructions!$V$86:$V$105,MATCH('Draft Slayer Classic'!AE94,Instructions!$S$86:$S$105,0))&lt;=$E$25,1,0),0)</f>
        <v>0</v>
      </c>
      <c r="AL94">
        <f>IFERROR(INDEX(ADP!$A$7:$A$260,MATCH(AE94,ADP!$D$7:$D$260,0)),999+AJ94)</f>
        <v>999.09199999999998</v>
      </c>
      <c r="AM94">
        <f t="shared" si="7"/>
        <v>9.1999999999999998E-2</v>
      </c>
      <c r="AN94">
        <f>IFERROR(INDEX(Instructions!$U$111:$U$222,MATCH(AE94,Instructions!$T$111:$T$222,0)),0)</f>
        <v>0</v>
      </c>
      <c r="AO94" s="197"/>
      <c r="AP94" s="216"/>
      <c r="AQ94" s="216"/>
      <c r="AR94" s="216"/>
      <c r="AS94" s="216"/>
      <c r="AT94" s="216"/>
      <c r="AZ94" s="197"/>
      <c r="BA94" s="197"/>
      <c r="BB94" s="216"/>
      <c r="BE94" s="197"/>
      <c r="BF94" s="197"/>
      <c r="BG94" s="216"/>
      <c r="BH94" s="216"/>
      <c r="BK94" s="203"/>
      <c r="DE94">
        <v>92</v>
      </c>
      <c r="DF94" t="str">
        <f>IF(IFERROR(MATCH(FFARawStatProjections!A95,Draft!BY:BY,0),1)&lt;=1,IF(FFARawStatProjections!A95=0,"",FFARawStatProjections!A95),"")</f>
        <v/>
      </c>
    </row>
    <row r="95" spans="1:110" x14ac:dyDescent="0.25">
      <c r="A95" s="196"/>
      <c r="B95" s="197"/>
      <c r="C95" s="197"/>
      <c r="D95" s="197"/>
      <c r="E95" s="197"/>
      <c r="F95" s="197"/>
      <c r="G95" s="197"/>
      <c r="H95" s="197"/>
      <c r="I95" s="222"/>
      <c r="J95" s="216"/>
      <c r="K95" s="216"/>
      <c r="L95" s="216"/>
      <c r="M95" s="216"/>
      <c r="S95" s="197"/>
      <c r="T95" s="187" t="str">
        <f>RBproj!D99</f>
        <v>Sean Tucker</v>
      </c>
      <c r="U95" s="461" t="str">
        <f>RBproj!E99</f>
        <v>TB</v>
      </c>
      <c r="V95" s="184">
        <f>RBproj!F99</f>
        <v>35.742120000000007</v>
      </c>
      <c r="W95" s="517">
        <f>IFERROR(IF(RBproj!H99="",RBproj!G99,RBproj!H99),0)</f>
        <v>8</v>
      </c>
      <c r="X95" s="504">
        <f>INDEX(Draft!$BW:$BW,MATCH(T95,Draft_Names_Master,0))</f>
        <v>0</v>
      </c>
      <c r="Y95">
        <v>9.2999999999999999E-2</v>
      </c>
      <c r="Z95">
        <f>IFERROR(IF(INDEX(Instructions!$X$64:$X$83,MATCH('Draft Slayer Classic'!T95,Instructions!$T$64:$T$83,0))&lt;=$E$25,1,0),0)</f>
        <v>0</v>
      </c>
      <c r="AA95">
        <f>IFERROR(INDEX(ADP!$A$7:$A$260,MATCH(T95,ADP!$D$7:$D$260,0)),999+Y95)</f>
        <v>999.09299999999996</v>
      </c>
      <c r="AB95">
        <f t="shared" si="6"/>
        <v>9.2999999999999999E-2</v>
      </c>
      <c r="AC95">
        <f>IFERROR(INDEX(Instructions!$U$111:$U$222,MATCH(T95,Instructions!$T$111:$T$222,0)),0)</f>
        <v>0</v>
      </c>
      <c r="AD95" s="197"/>
      <c r="AE95" s="187" t="str">
        <f>WRproj!D99</f>
        <v>Ben Skowronek</v>
      </c>
      <c r="AF95" s="461" t="str">
        <f>WRproj!E99</f>
        <v>LAR</v>
      </c>
      <c r="AG95" s="184">
        <f>WRproj!F99</f>
        <v>87.484129999999993</v>
      </c>
      <c r="AH95" s="517">
        <f>IFERROR(IF(WRproj!H99="",WRproj!G99,WRproj!H99),0)</f>
        <v>8</v>
      </c>
      <c r="AI95" s="503">
        <f>INDEX(Draft!$BW:$BW,MATCH(AE95,Draft_Names_Master,0))</f>
        <v>0</v>
      </c>
      <c r="AJ95">
        <v>9.2999999999999999E-2</v>
      </c>
      <c r="AK95">
        <f>IFERROR(IF(INDEX(Instructions!$V$86:$V$105,MATCH('Draft Slayer Classic'!AE95,Instructions!$S$86:$S$105,0))&lt;=$E$25,1,0),0)</f>
        <v>0</v>
      </c>
      <c r="AL95">
        <f>IFERROR(INDEX(ADP!$A$7:$A$260,MATCH(AE95,ADP!$D$7:$D$260,0)),999+AJ95)</f>
        <v>999.09299999999996</v>
      </c>
      <c r="AM95">
        <f t="shared" si="7"/>
        <v>9.2999999999999999E-2</v>
      </c>
      <c r="AN95">
        <f>IFERROR(INDEX(Instructions!$U$111:$U$222,MATCH(AE95,Instructions!$T$111:$T$222,0)),0)</f>
        <v>0</v>
      </c>
      <c r="AO95" s="197"/>
      <c r="AP95" s="216"/>
      <c r="AQ95" s="216"/>
      <c r="AR95" s="216"/>
      <c r="AS95" s="216"/>
      <c r="AT95" s="216"/>
      <c r="AZ95" s="197"/>
      <c r="BA95" s="197"/>
      <c r="BB95" s="216"/>
      <c r="BE95" s="197"/>
      <c r="BF95" s="197"/>
      <c r="BG95" s="216"/>
      <c r="BH95" s="216"/>
      <c r="BK95" s="203"/>
      <c r="DE95">
        <v>93</v>
      </c>
      <c r="DF95" t="str">
        <f>IF(IFERROR(MATCH(FFARawStatProjections!A96,Draft!BY:BY,0),1)&lt;=1,IF(FFARawStatProjections!A96=0,"",FFARawStatProjections!A96),"")</f>
        <v/>
      </c>
    </row>
    <row r="96" spans="1:110" x14ac:dyDescent="0.25">
      <c r="A96" s="196"/>
      <c r="B96" s="197"/>
      <c r="C96" s="197"/>
      <c r="D96" s="197"/>
      <c r="E96" s="197"/>
      <c r="F96" s="197"/>
      <c r="G96" s="197"/>
      <c r="H96" s="197"/>
      <c r="I96" s="222"/>
      <c r="J96" s="216"/>
      <c r="K96" s="216"/>
      <c r="L96" s="216"/>
      <c r="M96" s="216"/>
      <c r="S96" s="197"/>
      <c r="T96" s="182" t="str">
        <f>RBproj!D100</f>
        <v>DeeJay Dallas</v>
      </c>
      <c r="U96" s="290" t="str">
        <f>RBproj!E100</f>
        <v>SEA</v>
      </c>
      <c r="V96" s="183">
        <f>RBproj!F100</f>
        <v>35.692</v>
      </c>
      <c r="W96" s="517">
        <f>IFERROR(IF(RBproj!H100="",RBproj!G100,RBproj!H100),0)</f>
        <v>8</v>
      </c>
      <c r="X96" s="504">
        <f>INDEX(Draft!$BW:$BW,MATCH(T96,Draft_Names_Master,0))</f>
        <v>0</v>
      </c>
      <c r="Y96">
        <v>9.4E-2</v>
      </c>
      <c r="Z96">
        <f>IFERROR(IF(INDEX(Instructions!$X$64:$X$83,MATCH('Draft Slayer Classic'!T96,Instructions!$T$64:$T$83,0))&lt;=$E$25,1,0),0)</f>
        <v>0</v>
      </c>
      <c r="AA96">
        <f>IFERROR(INDEX(ADP!$A$7:$A$260,MATCH(T96,ADP!$D$7:$D$260,0)),999+Y96)</f>
        <v>999.09400000000005</v>
      </c>
      <c r="AB96">
        <f t="shared" si="6"/>
        <v>9.4E-2</v>
      </c>
      <c r="AC96">
        <f>IFERROR(INDEX(Instructions!$U$111:$U$222,MATCH(T96,Instructions!$T$111:$T$222,0)),0)</f>
        <v>0</v>
      </c>
      <c r="AD96" s="197"/>
      <c r="AE96" s="182" t="str">
        <f>WRproj!D100</f>
        <v>Greg Dortch</v>
      </c>
      <c r="AF96" s="290" t="str">
        <f>WRproj!E100</f>
        <v>AZ</v>
      </c>
      <c r="AG96" s="183">
        <f>WRproj!F100</f>
        <v>85.984030000000004</v>
      </c>
      <c r="AH96" s="517">
        <f>IFERROR(IF(WRproj!H100="",WRproj!G100,WRproj!H100),0)</f>
        <v>8</v>
      </c>
      <c r="AI96" s="503">
        <f>INDEX(Draft!$BW:$BW,MATCH(AE96,Draft_Names_Master,0))</f>
        <v>0</v>
      </c>
      <c r="AJ96">
        <v>9.4E-2</v>
      </c>
      <c r="AK96">
        <f>IFERROR(IF(INDEX(Instructions!$V$86:$V$105,MATCH('Draft Slayer Classic'!AE96,Instructions!$S$86:$S$105,0))&lt;=$E$25,1,0),0)</f>
        <v>0</v>
      </c>
      <c r="AL96">
        <f>IFERROR(INDEX(ADP!$A$7:$A$260,MATCH(AE96,ADP!$D$7:$D$260,0)),999+AJ96)</f>
        <v>999.09400000000005</v>
      </c>
      <c r="AM96">
        <f t="shared" si="7"/>
        <v>9.4E-2</v>
      </c>
      <c r="AN96">
        <f>IFERROR(INDEX(Instructions!$U$111:$U$222,MATCH(AE96,Instructions!$T$111:$T$222,0)),0)</f>
        <v>0</v>
      </c>
      <c r="AO96" s="197"/>
      <c r="AP96" s="216"/>
      <c r="AQ96" s="216"/>
      <c r="AR96" s="216"/>
      <c r="AS96" s="216"/>
      <c r="AT96" s="216"/>
      <c r="AZ96" s="197"/>
      <c r="BA96" s="197"/>
      <c r="BB96" s="216"/>
      <c r="BE96" s="197"/>
      <c r="BF96" s="197"/>
      <c r="BG96" s="216"/>
      <c r="BH96" s="216"/>
      <c r="BK96" s="203"/>
      <c r="DE96">
        <v>94</v>
      </c>
      <c r="DF96" t="str">
        <f>IF(IFERROR(MATCH(FFARawStatProjections!A97,Draft!BY:BY,0),1)&lt;=1,IF(FFARawStatProjections!A97=0,"",FFARawStatProjections!A97),"")</f>
        <v/>
      </c>
    </row>
    <row r="97" spans="1:110" x14ac:dyDescent="0.25">
      <c r="A97" s="196"/>
      <c r="B97" s="197"/>
      <c r="C97" s="197"/>
      <c r="D97" s="197"/>
      <c r="E97" s="197"/>
      <c r="F97" s="197"/>
      <c r="G97" s="197"/>
      <c r="H97" s="197"/>
      <c r="I97" s="222"/>
      <c r="J97" s="216"/>
      <c r="K97" s="216"/>
      <c r="L97" s="216"/>
      <c r="M97" s="216"/>
      <c r="S97" s="197"/>
      <c r="T97" s="187" t="str">
        <f>RBproj!D101</f>
        <v>Chris Evans</v>
      </c>
      <c r="U97" s="461" t="str">
        <f>RBproj!E101</f>
        <v>CIN</v>
      </c>
      <c r="V97" s="184">
        <f>RBproj!F101</f>
        <v>35.24221</v>
      </c>
      <c r="W97" s="517">
        <f>IFERROR(IF(RBproj!H101="",RBproj!G101,RBproj!H101),0)</f>
        <v>8</v>
      </c>
      <c r="X97" s="504">
        <f>INDEX(Draft!$BW:$BW,MATCH(T97,Draft_Names_Master,0))</f>
        <v>0</v>
      </c>
      <c r="Y97">
        <v>9.5000000000000001E-2</v>
      </c>
      <c r="Z97">
        <f>IFERROR(IF(INDEX(Instructions!$X$64:$X$83,MATCH('Draft Slayer Classic'!T97,Instructions!$T$64:$T$83,0))&lt;=$E$25,1,0),0)</f>
        <v>0</v>
      </c>
      <c r="AA97">
        <f>IFERROR(INDEX(ADP!$A$7:$A$260,MATCH(T97,ADP!$D$7:$D$260,0)),999+Y97)</f>
        <v>999.09500000000003</v>
      </c>
      <c r="AB97">
        <f t="shared" si="6"/>
        <v>9.5000000000000001E-2</v>
      </c>
      <c r="AC97">
        <f>IFERROR(INDEX(Instructions!$U$111:$U$222,MATCH(T97,Instructions!$T$111:$T$222,0)),0)</f>
        <v>0</v>
      </c>
      <c r="AD97" s="197"/>
      <c r="AE97" s="187" t="str">
        <f>WRproj!D101</f>
        <v>Nick Westbrook-Ikhine</v>
      </c>
      <c r="AF97" s="461" t="str">
        <f>WRproj!E101</f>
        <v>TEN</v>
      </c>
      <c r="AG97" s="184">
        <f>WRproj!F101</f>
        <v>82.184070000000006</v>
      </c>
      <c r="AH97" s="517">
        <f>IFERROR(IF(WRproj!H101="",WRproj!G101,WRproj!H101),0)</f>
        <v>8</v>
      </c>
      <c r="AI97" s="503">
        <f>INDEX(Draft!$BW:$BW,MATCH(AE97,Draft_Names_Master,0))</f>
        <v>0</v>
      </c>
      <c r="AJ97">
        <v>9.5000000000000001E-2</v>
      </c>
      <c r="AK97">
        <f>IFERROR(IF(INDEX(Instructions!$V$86:$V$105,MATCH('Draft Slayer Classic'!AE97,Instructions!$S$86:$S$105,0))&lt;=$E$25,1,0),0)</f>
        <v>0</v>
      </c>
      <c r="AL97">
        <f>IFERROR(INDEX(ADP!$A$7:$A$260,MATCH(AE97,ADP!$D$7:$D$260,0)),999+AJ97)</f>
        <v>999.09500000000003</v>
      </c>
      <c r="AM97">
        <f t="shared" si="7"/>
        <v>9.5000000000000001E-2</v>
      </c>
      <c r="AN97">
        <f>IFERROR(INDEX(Instructions!$U$111:$U$222,MATCH(AE97,Instructions!$T$111:$T$222,0)),0)</f>
        <v>0</v>
      </c>
      <c r="AO97" s="197"/>
      <c r="AP97" s="216"/>
      <c r="AQ97" s="216"/>
      <c r="AR97" s="216"/>
      <c r="AS97" s="216"/>
      <c r="AT97" s="216"/>
      <c r="AZ97" s="197"/>
      <c r="BA97" s="197"/>
      <c r="BB97" s="216"/>
      <c r="BE97" s="197"/>
      <c r="BF97" s="197"/>
      <c r="BG97" s="216"/>
      <c r="BH97" s="216"/>
      <c r="BK97" s="203"/>
      <c r="DE97">
        <v>95</v>
      </c>
      <c r="DF97" t="str">
        <f>IF(IFERROR(MATCH(FFARawStatProjections!A98,Draft!BY:BY,0),1)&lt;=1,IF(FFARawStatProjections!A98=0,"",FFARawStatProjections!A98),"")</f>
        <v/>
      </c>
    </row>
    <row r="98" spans="1:110" x14ac:dyDescent="0.25">
      <c r="A98" s="196"/>
      <c r="B98" s="197"/>
      <c r="C98" s="197"/>
      <c r="D98" s="197"/>
      <c r="E98" s="197"/>
      <c r="F98" s="197"/>
      <c r="G98" s="197"/>
      <c r="H98" s="197"/>
      <c r="I98" s="222"/>
      <c r="J98" s="216"/>
      <c r="K98" s="216"/>
      <c r="L98" s="216"/>
      <c r="M98" s="216"/>
      <c r="S98" s="197"/>
      <c r="T98" s="182" t="str">
        <f>RBproj!D102</f>
        <v>Kene Nwangwu</v>
      </c>
      <c r="U98" s="290" t="str">
        <f>RBproj!E102</f>
        <v>MIN</v>
      </c>
      <c r="V98" s="183">
        <f>RBproj!F102</f>
        <v>34.302079999999997</v>
      </c>
      <c r="W98" s="517">
        <f>IFERROR(IF(RBproj!H102="",RBproj!G102,RBproj!H102),0)</f>
        <v>8</v>
      </c>
      <c r="X98" s="504">
        <f>INDEX(Draft!$BW:$BW,MATCH(T98,Draft_Names_Master,0))</f>
        <v>0</v>
      </c>
      <c r="Y98">
        <v>9.6000000000000002E-2</v>
      </c>
      <c r="Z98">
        <f>IFERROR(IF(INDEX(Instructions!$X$64:$X$83,MATCH('Draft Slayer Classic'!T98,Instructions!$T$64:$T$83,0))&lt;=$E$25,1,0),0)</f>
        <v>0</v>
      </c>
      <c r="AA98">
        <f>IFERROR(INDEX(ADP!$A$7:$A$260,MATCH(T98,ADP!$D$7:$D$260,0)),999+Y98)</f>
        <v>999.096</v>
      </c>
      <c r="AB98">
        <f t="shared" si="6"/>
        <v>9.6000000000000002E-2</v>
      </c>
      <c r="AC98">
        <f>IFERROR(INDEX(Instructions!$U$111:$U$222,MATCH(T98,Instructions!$T$111:$T$222,0)),0)</f>
        <v>0</v>
      </c>
      <c r="AD98" s="197"/>
      <c r="AE98" s="182" t="str">
        <f>WRproj!D102</f>
        <v>Josh Reynolds</v>
      </c>
      <c r="AF98" s="290" t="str">
        <f>WRproj!E102</f>
        <v>DET</v>
      </c>
      <c r="AG98" s="183">
        <f>WRproj!F102</f>
        <v>82.034080000000017</v>
      </c>
      <c r="AH98" s="517">
        <f>IFERROR(IF(WRproj!H102="",WRproj!G102,WRproj!H102),0)</f>
        <v>8</v>
      </c>
      <c r="AI98" s="503">
        <f>INDEX(Draft!$BW:$BW,MATCH(AE98,Draft_Names_Master,0))</f>
        <v>0</v>
      </c>
      <c r="AJ98">
        <v>9.6000000000000002E-2</v>
      </c>
      <c r="AK98">
        <f>IFERROR(IF(INDEX(Instructions!$V$86:$V$105,MATCH('Draft Slayer Classic'!AE98,Instructions!$S$86:$S$105,0))&lt;=$E$25,1,0),0)</f>
        <v>0</v>
      </c>
      <c r="AL98">
        <f>IFERROR(INDEX(ADP!$A$7:$A$260,MATCH(AE98,ADP!$D$7:$D$260,0)),999+AJ98)</f>
        <v>999.096</v>
      </c>
      <c r="AM98">
        <f t="shared" si="7"/>
        <v>9.6000000000000002E-2</v>
      </c>
      <c r="AN98">
        <f>IFERROR(INDEX(Instructions!$U$111:$U$222,MATCH(AE98,Instructions!$T$111:$T$222,0)),0)</f>
        <v>0</v>
      </c>
      <c r="AO98" s="197"/>
      <c r="AP98" s="216"/>
      <c r="AQ98" s="216"/>
      <c r="AR98" s="216"/>
      <c r="AS98" s="216"/>
      <c r="AT98" s="216"/>
      <c r="AZ98" s="197"/>
      <c r="BA98" s="197"/>
      <c r="BB98" s="216"/>
      <c r="BE98" s="197"/>
      <c r="BF98" s="197"/>
      <c r="BG98" s="216"/>
      <c r="BH98" s="216"/>
      <c r="BK98" s="203"/>
      <c r="DE98">
        <v>96</v>
      </c>
      <c r="DF98" t="str">
        <f>IF(IFERROR(MATCH(FFARawStatProjections!A99,Draft!BY:BY,0),1)&lt;=1,IF(FFARawStatProjections!A99=0,"",FFARawStatProjections!A99),"")</f>
        <v/>
      </c>
    </row>
    <row r="99" spans="1:110" x14ac:dyDescent="0.25">
      <c r="A99" s="196"/>
      <c r="B99" s="197"/>
      <c r="C99" s="197"/>
      <c r="D99" s="197"/>
      <c r="E99" s="197"/>
      <c r="F99" s="197"/>
      <c r="G99" s="197"/>
      <c r="H99" s="197"/>
      <c r="I99" s="222"/>
      <c r="J99" s="216"/>
      <c r="K99" s="216"/>
      <c r="L99" s="216"/>
      <c r="M99" s="216"/>
      <c r="S99" s="197"/>
      <c r="T99" s="187" t="str">
        <f>RBproj!D103</f>
        <v>Rico Dowdle</v>
      </c>
      <c r="U99" s="461" t="str">
        <f>RBproj!E103</f>
        <v>DAL</v>
      </c>
      <c r="V99" s="184">
        <f>RBproj!F103</f>
        <v>34.292090000000002</v>
      </c>
      <c r="W99" s="517">
        <f>IFERROR(IF(RBproj!H103="",RBproj!G103,RBproj!H103),0)</f>
        <v>8</v>
      </c>
      <c r="X99" s="504">
        <f>INDEX(Draft!$BW:$BW,MATCH(T99,Draft_Names_Master,0))</f>
        <v>0</v>
      </c>
      <c r="Y99">
        <v>9.7000000000000003E-2</v>
      </c>
      <c r="Z99">
        <f>IFERROR(IF(INDEX(Instructions!$X$64:$X$83,MATCH('Draft Slayer Classic'!T99,Instructions!$T$64:$T$83,0))&lt;=$E$25,1,0),0)</f>
        <v>0</v>
      </c>
      <c r="AA99">
        <f>IFERROR(INDEX(ADP!$A$7:$A$260,MATCH(T99,ADP!$D$7:$D$260,0)),999+Y99)</f>
        <v>999.09699999999998</v>
      </c>
      <c r="AB99">
        <f t="shared" si="6"/>
        <v>9.7000000000000003E-2</v>
      </c>
      <c r="AC99">
        <f>IFERROR(INDEX(Instructions!$U$111:$U$222,MATCH(T99,Instructions!$T$111:$T$222,0)),0)</f>
        <v>0</v>
      </c>
      <c r="AD99" s="197"/>
      <c r="AE99" s="187" t="str">
        <f>WRproj!D103</f>
        <v>Jalin Hyatt</v>
      </c>
      <c r="AF99" s="461" t="str">
        <f>WRproj!E103</f>
        <v>NYG</v>
      </c>
      <c r="AG99" s="184">
        <f>WRproj!F103</f>
        <v>80.924140000000008</v>
      </c>
      <c r="AH99" s="517">
        <f>IFERROR(IF(WRproj!H103="",WRproj!G103,WRproj!H103),0)</f>
        <v>8</v>
      </c>
      <c r="AI99" s="503">
        <f>INDEX(Draft!$BW:$BW,MATCH(AE99,Draft_Names_Master,0))</f>
        <v>0</v>
      </c>
      <c r="AJ99">
        <v>9.7000000000000003E-2</v>
      </c>
      <c r="AK99">
        <f>IFERROR(IF(INDEX(Instructions!$V$86:$V$105,MATCH('Draft Slayer Classic'!AE99,Instructions!$S$86:$S$105,0))&lt;=$E$25,1,0),0)</f>
        <v>0</v>
      </c>
      <c r="AL99">
        <f>IFERROR(INDEX(ADP!$A$7:$A$260,MATCH(AE99,ADP!$D$7:$D$260,0)),999+AJ99)</f>
        <v>177</v>
      </c>
      <c r="AM99">
        <f t="shared" si="7"/>
        <v>9.7000000000000003E-2</v>
      </c>
      <c r="AN99">
        <f>IFERROR(INDEX(Instructions!$U$111:$U$222,MATCH(AE99,Instructions!$T$111:$T$222,0)),0)</f>
        <v>0</v>
      </c>
      <c r="AO99" s="197"/>
      <c r="AP99" s="216"/>
      <c r="AQ99" s="216"/>
      <c r="AR99" s="216"/>
      <c r="AS99" s="216"/>
      <c r="AT99" s="216"/>
      <c r="AZ99" s="197"/>
      <c r="BA99" s="197"/>
      <c r="BB99" s="216"/>
      <c r="BE99" s="197"/>
      <c r="BF99" s="197"/>
      <c r="BG99" s="216"/>
      <c r="BH99" s="216"/>
      <c r="BK99" s="203"/>
      <c r="DE99">
        <v>97</v>
      </c>
      <c r="DF99" t="str">
        <f>IF(IFERROR(MATCH(FFARawStatProjections!A100,Draft!BY:BY,0),1)&lt;=1,IF(FFARawStatProjections!A100=0,"",FFARawStatProjections!A100),"")</f>
        <v/>
      </c>
    </row>
    <row r="100" spans="1:110" x14ac:dyDescent="0.25">
      <c r="A100" s="196"/>
      <c r="B100" s="197"/>
      <c r="C100" s="197"/>
      <c r="D100" s="197"/>
      <c r="E100" s="197"/>
      <c r="F100" s="197"/>
      <c r="G100" s="197"/>
      <c r="H100" s="197"/>
      <c r="I100" s="222"/>
      <c r="J100" s="216"/>
      <c r="K100" s="216"/>
      <c r="L100" s="216"/>
      <c r="M100" s="216"/>
      <c r="S100" s="197"/>
      <c r="T100" s="182" t="str">
        <f>RBproj!D104</f>
        <v>Evan Hull</v>
      </c>
      <c r="U100" s="290" t="str">
        <f>RBproj!E104</f>
        <v>IND</v>
      </c>
      <c r="V100" s="183">
        <f>RBproj!F104</f>
        <v>33.75206</v>
      </c>
      <c r="W100" s="517">
        <f>IFERROR(IF(RBproj!H104="",RBproj!G104,RBproj!H104),0)</f>
        <v>8</v>
      </c>
      <c r="X100" s="504">
        <f>INDEX(Draft!$BW:$BW,MATCH(T100,Draft_Names_Master,0))</f>
        <v>0</v>
      </c>
      <c r="Y100">
        <v>9.8000000000000004E-2</v>
      </c>
      <c r="Z100">
        <f>IFERROR(IF(INDEX(Instructions!$X$64:$X$83,MATCH('Draft Slayer Classic'!T100,Instructions!$T$64:$T$83,0))&lt;=$E$25,1,0),0)</f>
        <v>0</v>
      </c>
      <c r="AA100">
        <f>IFERROR(INDEX(ADP!$A$7:$A$260,MATCH(T100,ADP!$D$7:$D$260,0)),999+Y100)</f>
        <v>999.09799999999996</v>
      </c>
      <c r="AB100">
        <f t="shared" si="6"/>
        <v>9.8000000000000004E-2</v>
      </c>
      <c r="AC100">
        <f>IFERROR(INDEX(Instructions!$U$111:$U$222,MATCH(T100,Instructions!$T$111:$T$222,0)),0)</f>
        <v>0</v>
      </c>
      <c r="AD100" s="197"/>
      <c r="AE100" s="182" t="str">
        <f>WRproj!D104</f>
        <v>Marvin Mims</v>
      </c>
      <c r="AF100" s="290" t="str">
        <f>WRproj!E104</f>
        <v>DEN</v>
      </c>
      <c r="AG100" s="183">
        <f>WRproj!F104</f>
        <v>80.454099999999983</v>
      </c>
      <c r="AH100" s="517">
        <f>IFERROR(IF(WRproj!H104="",WRproj!G104,WRproj!H104),0)</f>
        <v>8</v>
      </c>
      <c r="AI100" s="503">
        <f>INDEX(Draft!$BW:$BW,MATCH(AE100,Draft_Names_Master,0))</f>
        <v>0</v>
      </c>
      <c r="AJ100">
        <v>9.8000000000000004E-2</v>
      </c>
      <c r="AK100">
        <f>IFERROR(IF(INDEX(Instructions!$V$86:$V$105,MATCH('Draft Slayer Classic'!AE100,Instructions!$S$86:$S$105,0))&lt;=$E$25,1,0),0)</f>
        <v>0</v>
      </c>
      <c r="AL100">
        <f>IFERROR(INDEX(ADP!$A$7:$A$260,MATCH(AE100,ADP!$D$7:$D$260,0)),999+AJ100)</f>
        <v>999.09799999999996</v>
      </c>
      <c r="AM100">
        <f t="shared" si="7"/>
        <v>9.8000000000000004E-2</v>
      </c>
      <c r="AN100">
        <f>IFERROR(INDEX(Instructions!$U$111:$U$222,MATCH(AE100,Instructions!$T$111:$T$222,0)),0)</f>
        <v>0</v>
      </c>
      <c r="AO100" s="197"/>
      <c r="AP100" s="216"/>
      <c r="AQ100" s="216"/>
      <c r="AR100" s="216"/>
      <c r="AS100" s="216"/>
      <c r="AT100" s="216"/>
      <c r="AZ100" s="197"/>
      <c r="BA100" s="197"/>
      <c r="BB100" s="216"/>
      <c r="BE100" s="197"/>
      <c r="BF100" s="197"/>
      <c r="BG100" s="216"/>
      <c r="BH100" s="216"/>
      <c r="BK100" s="203"/>
      <c r="DE100">
        <v>98</v>
      </c>
      <c r="DF100" t="str">
        <f>IF(IFERROR(MATCH(FFARawStatProjections!A101,Draft!BY:BY,0),1)&lt;=1,IF(FFARawStatProjections!A101=0,"",FFARawStatProjections!A101),"")</f>
        <v/>
      </c>
    </row>
    <row r="101" spans="1:110" x14ac:dyDescent="0.25">
      <c r="A101" s="196"/>
      <c r="B101" s="197"/>
      <c r="C101" s="197"/>
      <c r="D101" s="197"/>
      <c r="E101" s="197"/>
      <c r="F101" s="197"/>
      <c r="G101" s="197"/>
      <c r="H101" s="197"/>
      <c r="I101" s="222"/>
      <c r="J101" s="216"/>
      <c r="K101" s="216"/>
      <c r="L101" s="216"/>
      <c r="M101" s="216"/>
      <c r="S101" s="197"/>
      <c r="T101" s="187" t="str">
        <f>RBproj!D105</f>
        <v>Craig Reynolds</v>
      </c>
      <c r="U101" s="461" t="str">
        <f>RBproj!E105</f>
        <v>DET</v>
      </c>
      <c r="V101" s="184">
        <f>RBproj!F105</f>
        <v>33.302149999999997</v>
      </c>
      <c r="W101" s="517">
        <f>IFERROR(IF(RBproj!H105="",RBproj!G105,RBproj!H105),0)</f>
        <v>8</v>
      </c>
      <c r="X101" s="504">
        <f>INDEX(Draft!$BW:$BW,MATCH(T101,Draft_Names_Master,0))</f>
        <v>0</v>
      </c>
      <c r="Y101">
        <v>9.9000000000000005E-2</v>
      </c>
      <c r="Z101">
        <f>IFERROR(IF(INDEX(Instructions!$X$64:$X$83,MATCH('Draft Slayer Classic'!T101,Instructions!$T$64:$T$83,0))&lt;=$E$25,1,0),0)</f>
        <v>0</v>
      </c>
      <c r="AA101">
        <f>IFERROR(INDEX(ADP!$A$7:$A$260,MATCH(T101,ADP!$D$7:$D$260,0)),999+Y101)</f>
        <v>999.09900000000005</v>
      </c>
      <c r="AB101">
        <f t="shared" si="6"/>
        <v>9.9000000000000005E-2</v>
      </c>
      <c r="AC101">
        <f>IFERROR(INDEX(Instructions!$U$111:$U$222,MATCH(T101,Instructions!$T$111:$T$222,0)),0)</f>
        <v>0</v>
      </c>
      <c r="AD101" s="197"/>
      <c r="AE101" s="187" t="str">
        <f>WRproj!D105</f>
        <v>Michael Wilson</v>
      </c>
      <c r="AF101" s="461" t="str">
        <f>WRproj!E105</f>
        <v>AZ</v>
      </c>
      <c r="AG101" s="184">
        <f>WRproj!F105</f>
        <v>79.024090000000001</v>
      </c>
      <c r="AH101" s="517">
        <f>IFERROR(IF(WRproj!H105="",WRproj!G105,WRproj!H105),0)</f>
        <v>8</v>
      </c>
      <c r="AI101" s="503">
        <f>INDEX(Draft!$BW:$BW,MATCH(AE101,Draft_Names_Master,0))</f>
        <v>0</v>
      </c>
      <c r="AJ101">
        <v>9.9000000000000005E-2</v>
      </c>
      <c r="AK101">
        <f>IFERROR(IF(INDEX(Instructions!$V$86:$V$105,MATCH('Draft Slayer Classic'!AE101,Instructions!$S$86:$S$105,0))&lt;=$E$25,1,0),0)</f>
        <v>0</v>
      </c>
      <c r="AL101">
        <f>IFERROR(INDEX(ADP!$A$7:$A$260,MATCH(AE101,ADP!$D$7:$D$260,0)),999+AJ101)</f>
        <v>999.09900000000005</v>
      </c>
      <c r="AM101">
        <f t="shared" si="7"/>
        <v>9.9000000000000005E-2</v>
      </c>
      <c r="AN101">
        <f>IFERROR(INDEX(Instructions!$U$111:$U$222,MATCH(AE101,Instructions!$T$111:$T$222,0)),0)</f>
        <v>0</v>
      </c>
      <c r="AO101" s="197"/>
      <c r="AP101" s="216"/>
      <c r="AQ101" s="216"/>
      <c r="AR101" s="216"/>
      <c r="AS101" s="216"/>
      <c r="AT101" s="216"/>
      <c r="AZ101" s="197"/>
      <c r="BA101" s="197"/>
      <c r="BB101" s="216"/>
      <c r="BE101" s="197"/>
      <c r="BF101" s="197"/>
      <c r="BG101" s="216"/>
      <c r="BH101" s="216"/>
      <c r="BK101" s="203"/>
      <c r="DE101">
        <v>99</v>
      </c>
      <c r="DF101" t="str">
        <f>IF(IFERROR(MATCH(FFARawStatProjections!A102,Draft!BY:BY,0),1)&lt;=1,IF(FFARawStatProjections!A102=0,"",FFARawStatProjections!A102),"")</f>
        <v/>
      </c>
    </row>
    <row r="102" spans="1:110" x14ac:dyDescent="0.25">
      <c r="A102" s="196"/>
      <c r="B102" s="197"/>
      <c r="C102" s="197"/>
      <c r="D102" s="197"/>
      <c r="E102" s="197"/>
      <c r="F102" s="197"/>
      <c r="G102" s="197"/>
      <c r="H102" s="197"/>
      <c r="I102" s="222"/>
      <c r="J102" s="216"/>
      <c r="K102" s="216"/>
      <c r="L102" s="216"/>
      <c r="M102" s="216"/>
      <c r="S102" s="197"/>
      <c r="T102" s="182" t="str">
        <f>RBproj!D106</f>
        <v>Malik Davis</v>
      </c>
      <c r="U102" s="290" t="str">
        <f>RBproj!E106</f>
        <v>DAL</v>
      </c>
      <c r="V102" s="183">
        <f>RBproj!F106</f>
        <v>32.892070000000004</v>
      </c>
      <c r="W102" s="517">
        <f>IFERROR(IF(RBproj!H106="",RBproj!G106,RBproj!H106),0)</f>
        <v>8</v>
      </c>
      <c r="X102" s="504">
        <f>INDEX(Draft!$BW:$BW,MATCH(T102,Draft_Names_Master,0))</f>
        <v>0</v>
      </c>
      <c r="Y102">
        <v>0.1</v>
      </c>
      <c r="Z102">
        <f>IFERROR(IF(INDEX(Instructions!$X$64:$X$83,MATCH('Draft Slayer Classic'!T102,Instructions!$T$64:$T$83,0))&lt;=$E$25,1,0),0)</f>
        <v>0</v>
      </c>
      <c r="AA102">
        <f>IFERROR(INDEX(ADP!$A$7:$A$260,MATCH(T102,ADP!$D$7:$D$260,0)),999+Y102)</f>
        <v>999.1</v>
      </c>
      <c r="AB102">
        <f t="shared" si="6"/>
        <v>0.1</v>
      </c>
      <c r="AC102">
        <f>IFERROR(INDEX(Instructions!$U$111:$U$222,MATCH(T102,Instructions!$T$111:$T$222,0)),0)</f>
        <v>0</v>
      </c>
      <c r="AD102" s="197"/>
      <c r="AE102" s="182" t="str">
        <f>WRproj!D106</f>
        <v>Terrace Marshall</v>
      </c>
      <c r="AF102" s="290" t="str">
        <f>WRproj!E106</f>
        <v>CAR</v>
      </c>
      <c r="AG102" s="183">
        <f>WRproj!F106</f>
        <v>74.344189999999998</v>
      </c>
      <c r="AH102" s="517">
        <f>IFERROR(IF(WRproj!H106="",WRproj!G106,WRproj!H106),0)</f>
        <v>8</v>
      </c>
      <c r="AI102" s="503">
        <f>INDEX(Draft!$BW:$BW,MATCH(AE102,Draft_Names_Master,0))</f>
        <v>0</v>
      </c>
      <c r="AJ102">
        <v>0.1</v>
      </c>
      <c r="AK102">
        <f>IFERROR(IF(INDEX(Instructions!$V$86:$V$105,MATCH('Draft Slayer Classic'!AE102,Instructions!$S$86:$S$105,0))&lt;=$E$25,1,0),0)</f>
        <v>0</v>
      </c>
      <c r="AL102">
        <f>IFERROR(INDEX(ADP!$A$7:$A$260,MATCH(AE102,ADP!$D$7:$D$260,0)),999+AJ102)</f>
        <v>999.1</v>
      </c>
      <c r="AM102">
        <f t="shared" si="7"/>
        <v>0.1</v>
      </c>
      <c r="AN102">
        <f>IFERROR(INDEX(Instructions!$U$111:$U$222,MATCH(AE102,Instructions!$T$111:$T$222,0)),0)</f>
        <v>0</v>
      </c>
      <c r="AO102" s="197"/>
      <c r="AP102" s="216"/>
      <c r="AQ102" s="216"/>
      <c r="AR102" s="216"/>
      <c r="AS102" s="216"/>
      <c r="AT102" s="216"/>
      <c r="AZ102" s="197"/>
      <c r="BA102" s="197"/>
      <c r="BB102" s="216"/>
      <c r="BE102" s="197"/>
      <c r="BF102" s="197"/>
      <c r="BG102" s="216"/>
      <c r="BH102" s="216"/>
      <c r="BK102" s="203"/>
      <c r="DE102">
        <v>100</v>
      </c>
      <c r="DF102" t="str">
        <f>IF(IFERROR(MATCH(FFARawStatProjections!A103,Draft!BY:BY,0),1)&lt;=1,IF(FFARawStatProjections!A103=0,"",FFARawStatProjections!A103),"")</f>
        <v/>
      </c>
    </row>
    <row r="103" spans="1:110" x14ac:dyDescent="0.25">
      <c r="A103" s="196"/>
      <c r="B103" s="197"/>
      <c r="C103" s="197"/>
      <c r="D103" s="197"/>
      <c r="E103" s="197"/>
      <c r="F103" s="197"/>
      <c r="G103" s="197"/>
      <c r="H103" s="197"/>
      <c r="I103" s="222"/>
      <c r="J103" s="216"/>
      <c r="K103" s="216"/>
      <c r="L103" s="216"/>
      <c r="M103" s="216"/>
      <c r="S103" s="197"/>
      <c r="T103" s="187" t="str">
        <f>RBproj!D107</f>
        <v>DeWayne McBride</v>
      </c>
      <c r="U103" s="461" t="str">
        <f>RBproj!E107</f>
        <v>MIN</v>
      </c>
      <c r="V103" s="184">
        <f>RBproj!F107</f>
        <v>32.832259999999998</v>
      </c>
      <c r="W103" s="517">
        <f>IFERROR(IF(RBproj!H107="",RBproj!G107,RBproj!H107),0)</f>
        <v>8</v>
      </c>
      <c r="X103" s="504">
        <f>INDEX(Draft!$BW:$BW,MATCH(T103,Draft_Names_Master,0))</f>
        <v>0</v>
      </c>
      <c r="Y103">
        <v>0.10100000000000001</v>
      </c>
      <c r="Z103">
        <f>IFERROR(IF(INDEX(Instructions!$X$64:$X$83,MATCH('Draft Slayer Classic'!T103,Instructions!$T$64:$T$83,0))&lt;=$E$25,1,0),0)</f>
        <v>0</v>
      </c>
      <c r="AA103">
        <f>IFERROR(INDEX(ADP!$A$7:$A$260,MATCH(T103,ADP!$D$7:$D$260,0)),999+Y103)</f>
        <v>999.101</v>
      </c>
      <c r="AB103">
        <f t="shared" si="6"/>
        <v>0.10100000000000001</v>
      </c>
      <c r="AC103">
        <f>IFERROR(INDEX(Instructions!$U$111:$U$222,MATCH(T103,Instructions!$T$111:$T$222,0)),0)</f>
        <v>0</v>
      </c>
      <c r="AD103" s="197"/>
      <c r="AE103" s="187" t="str">
        <f>WRproj!D107</f>
        <v>Tutu Atwell</v>
      </c>
      <c r="AF103" s="461" t="str">
        <f>WRproj!E107</f>
        <v>LAR</v>
      </c>
      <c r="AG103" s="184">
        <f>WRproj!F107</f>
        <v>73.984120000000004</v>
      </c>
      <c r="AH103" s="517">
        <f>IFERROR(IF(WRproj!H107="",WRproj!G107,WRproj!H107),0)</f>
        <v>8</v>
      </c>
      <c r="AI103" s="503">
        <f>INDEX(Draft!$BW:$BW,MATCH(AE103,Draft_Names_Master,0))</f>
        <v>0</v>
      </c>
      <c r="AJ103">
        <v>0.10100000000000001</v>
      </c>
      <c r="AK103">
        <f>IFERROR(IF(INDEX(Instructions!$V$86:$V$105,MATCH('Draft Slayer Classic'!AE103,Instructions!$S$86:$S$105,0))&lt;=$E$25,1,0),0)</f>
        <v>0</v>
      </c>
      <c r="AL103">
        <f>IFERROR(INDEX(ADP!$A$7:$A$260,MATCH(AE103,ADP!$D$7:$D$260,0)),999+AJ103)</f>
        <v>999.101</v>
      </c>
      <c r="AM103">
        <f t="shared" si="7"/>
        <v>0.10100000000000001</v>
      </c>
      <c r="AN103">
        <f>IFERROR(INDEX(Instructions!$U$111:$U$222,MATCH(AE103,Instructions!$T$111:$T$222,0)),0)</f>
        <v>0</v>
      </c>
      <c r="AO103" s="197"/>
      <c r="AP103" s="216"/>
      <c r="AQ103" s="216"/>
      <c r="AR103" s="216"/>
      <c r="AS103" s="216"/>
      <c r="AT103" s="216"/>
      <c r="AZ103" s="197"/>
      <c r="BA103" s="197"/>
      <c r="BB103" s="216"/>
      <c r="BE103" s="197"/>
      <c r="BF103" s="197"/>
      <c r="BG103" s="216"/>
      <c r="BH103" s="216"/>
      <c r="BK103" s="203"/>
      <c r="DE103">
        <v>101</v>
      </c>
      <c r="DF103" t="str">
        <f>IF(IFERROR(MATCH(FFARawStatProjections!A104,Draft!BY:BY,0),1)&lt;=1,IF(FFARawStatProjections!A104=0,"",FFARawStatProjections!A104),"")</f>
        <v/>
      </c>
    </row>
    <row r="104" spans="1:110" x14ac:dyDescent="0.25">
      <c r="A104" s="196"/>
      <c r="B104" s="197"/>
      <c r="C104" s="197"/>
      <c r="D104" s="197"/>
      <c r="E104" s="197"/>
      <c r="F104" s="197"/>
      <c r="G104" s="197"/>
      <c r="H104" s="197"/>
      <c r="I104" s="222"/>
      <c r="J104" s="216"/>
      <c r="K104" s="216"/>
      <c r="L104" s="216"/>
      <c r="M104" s="216"/>
      <c r="S104" s="197"/>
      <c r="T104" s="182" t="str">
        <f>RBproj!D108</f>
        <v>Ty Montgomery</v>
      </c>
      <c r="U104" s="290" t="str">
        <f>RBproj!E108</f>
        <v>NE</v>
      </c>
      <c r="V104" s="183">
        <f>RBproj!F108</f>
        <v>31.302180000000003</v>
      </c>
      <c r="W104" s="517">
        <f>IFERROR(IF(RBproj!H108="",RBproj!G108,RBproj!H108),0)</f>
        <v>8</v>
      </c>
      <c r="X104" s="504">
        <f>INDEX(Draft!$BW:$BW,MATCH(T104,Draft_Names_Master,0))</f>
        <v>0</v>
      </c>
      <c r="Y104">
        <v>0.10199999999999999</v>
      </c>
      <c r="Z104">
        <f>IFERROR(IF(INDEX(Instructions!$X$64:$X$83,MATCH('Draft Slayer Classic'!T104,Instructions!$T$64:$T$83,0))&lt;=$E$25,1,0),0)</f>
        <v>0</v>
      </c>
      <c r="AA104">
        <f>IFERROR(INDEX(ADP!$A$7:$A$260,MATCH(T104,ADP!$D$7:$D$260,0)),999+Y104)</f>
        <v>999.10199999999998</v>
      </c>
      <c r="AB104">
        <f t="shared" si="6"/>
        <v>0.10199999999999999</v>
      </c>
      <c r="AC104">
        <f>IFERROR(INDEX(Instructions!$U$111:$U$222,MATCH(T104,Instructions!$T$111:$T$222,0)),0)</f>
        <v>0</v>
      </c>
      <c r="AD104" s="197"/>
      <c r="AE104" s="182" t="str">
        <f>WRproj!D108</f>
        <v>Sterling Shepard</v>
      </c>
      <c r="AF104" s="290" t="str">
        <f>WRproj!E108</f>
        <v>NYG</v>
      </c>
      <c r="AG104" s="183">
        <f>WRproj!F108</f>
        <v>73.734160000000003</v>
      </c>
      <c r="AH104" s="517">
        <f>IFERROR(IF(WRproj!H108="",WRproj!G108,WRproj!H108),0)</f>
        <v>8</v>
      </c>
      <c r="AI104" s="503">
        <f>INDEX(Draft!$BW:$BW,MATCH(AE104,Draft_Names_Master,0))</f>
        <v>0</v>
      </c>
      <c r="AJ104">
        <v>0.10199999999999999</v>
      </c>
      <c r="AK104">
        <f>IFERROR(IF(INDEX(Instructions!$V$86:$V$105,MATCH('Draft Slayer Classic'!AE104,Instructions!$S$86:$S$105,0))&lt;=$E$25,1,0),0)</f>
        <v>0</v>
      </c>
      <c r="AL104">
        <f>IFERROR(INDEX(ADP!$A$7:$A$260,MATCH(AE104,ADP!$D$7:$D$260,0)),999+AJ104)</f>
        <v>999.10199999999998</v>
      </c>
      <c r="AM104">
        <f t="shared" si="7"/>
        <v>0.10199999999999999</v>
      </c>
      <c r="AN104">
        <f>IFERROR(INDEX(Instructions!$U$111:$U$222,MATCH(AE104,Instructions!$T$111:$T$222,0)),0)</f>
        <v>0</v>
      </c>
      <c r="AO104" s="197"/>
      <c r="AP104" s="216"/>
      <c r="AQ104" s="216"/>
      <c r="AR104" s="216"/>
      <c r="AS104" s="216"/>
      <c r="AT104" s="216"/>
      <c r="AZ104" s="197"/>
      <c r="BA104" s="197"/>
      <c r="BB104" s="216"/>
      <c r="BE104" s="197"/>
      <c r="BF104" s="197"/>
      <c r="BG104" s="216"/>
      <c r="BH104" s="216"/>
      <c r="BK104" s="203"/>
      <c r="DE104">
        <v>102</v>
      </c>
      <c r="DF104" t="str">
        <f>IF(IFERROR(MATCH(FFARawStatProjections!A105,Draft!BY:BY,0),1)&lt;=1,IF(FFARawStatProjections!A105=0,"",FFARawStatProjections!A105),"")</f>
        <v/>
      </c>
    </row>
    <row r="105" spans="1:110" x14ac:dyDescent="0.25">
      <c r="A105" s="196"/>
      <c r="B105" s="197"/>
      <c r="C105" s="197"/>
      <c r="D105" s="197"/>
      <c r="E105" s="197"/>
      <c r="F105" s="197"/>
      <c r="G105" s="197"/>
      <c r="H105" s="197"/>
      <c r="I105" s="222"/>
      <c r="J105" s="216"/>
      <c r="K105" s="216"/>
      <c r="L105" s="216"/>
      <c r="M105" s="216"/>
      <c r="S105" s="197"/>
      <c r="T105" s="187" t="str">
        <f>RBproj!D109</f>
        <v>Anthony McFarland</v>
      </c>
      <c r="U105" s="461" t="str">
        <f>RBproj!E109</f>
        <v>PIT</v>
      </c>
      <c r="V105" s="184">
        <f>RBproj!F109</f>
        <v>30.442100000000003</v>
      </c>
      <c r="W105" s="517">
        <f>IFERROR(IF(RBproj!H109="",RBproj!G109,RBproj!H109),0)</f>
        <v>8</v>
      </c>
      <c r="X105" s="504">
        <f>INDEX(Draft!$BW:$BW,MATCH(T105,Draft_Names_Master,0))</f>
        <v>0</v>
      </c>
      <c r="Y105">
        <v>0.10299999999999999</v>
      </c>
      <c r="Z105">
        <f>IFERROR(IF(INDEX(Instructions!$X$64:$X$83,MATCH('Draft Slayer Classic'!T105,Instructions!$T$64:$T$83,0))&lt;=$E$25,1,0),0)</f>
        <v>0</v>
      </c>
      <c r="AA105">
        <f>IFERROR(INDEX(ADP!$A$7:$A$260,MATCH(T105,ADP!$D$7:$D$260,0)),999+Y105)</f>
        <v>999.10299999999995</v>
      </c>
      <c r="AB105">
        <f t="shared" si="6"/>
        <v>0.10299999999999999</v>
      </c>
      <c r="AC105">
        <f>IFERROR(INDEX(Instructions!$U$111:$U$222,MATCH(T105,Instructions!$T$111:$T$222,0)),0)</f>
        <v>0</v>
      </c>
      <c r="AD105" s="197"/>
      <c r="AE105" s="187" t="str">
        <f>WRproj!D109</f>
        <v>Robbie Chosen</v>
      </c>
      <c r="AF105" s="461" t="str">
        <f>WRproj!E109</f>
        <v>MIA</v>
      </c>
      <c r="AG105" s="184">
        <f>WRproj!F109</f>
        <v>72.724260000000001</v>
      </c>
      <c r="AH105" s="517">
        <f>IFERROR(IF(WRproj!H109="",WRproj!G109,WRproj!H109),0)</f>
        <v>8</v>
      </c>
      <c r="AI105" s="503">
        <f>INDEX(Draft!$BW:$BW,MATCH(AE105,Draft_Names_Master,0))</f>
        <v>0</v>
      </c>
      <c r="AJ105">
        <v>0.10299999999999999</v>
      </c>
      <c r="AK105">
        <f>IFERROR(IF(INDEX(Instructions!$V$86:$V$105,MATCH('Draft Slayer Classic'!AE105,Instructions!$S$86:$S$105,0))&lt;=$E$25,1,0),0)</f>
        <v>0</v>
      </c>
      <c r="AL105">
        <f>IFERROR(INDEX(ADP!$A$7:$A$260,MATCH(AE105,ADP!$D$7:$D$260,0)),999+AJ105)</f>
        <v>999.10299999999995</v>
      </c>
      <c r="AM105">
        <f t="shared" si="7"/>
        <v>0.10299999999999999</v>
      </c>
      <c r="AN105">
        <f>IFERROR(INDEX(Instructions!$U$111:$U$222,MATCH(AE105,Instructions!$T$111:$T$222,0)),0)</f>
        <v>0</v>
      </c>
      <c r="AO105" s="197"/>
      <c r="AP105" s="216"/>
      <c r="AQ105" s="216"/>
      <c r="AR105" s="216"/>
      <c r="AS105" s="216"/>
      <c r="AT105" s="216"/>
      <c r="AZ105" s="197"/>
      <c r="BA105" s="197"/>
      <c r="BB105" s="216"/>
      <c r="BE105" s="197"/>
      <c r="BF105" s="197"/>
      <c r="BG105" s="216"/>
      <c r="BH105" s="216"/>
      <c r="BK105" s="203"/>
      <c r="DE105">
        <v>103</v>
      </c>
      <c r="DF105" t="str">
        <f>IF(IFERROR(MATCH(FFARawStatProjections!A106,Draft!BY:BY,0),1)&lt;=1,IF(FFARawStatProjections!A106=0,"",FFARawStatProjections!A106),"")</f>
        <v/>
      </c>
    </row>
    <row r="106" spans="1:110" x14ac:dyDescent="0.25">
      <c r="A106" s="196"/>
      <c r="B106" s="197"/>
      <c r="C106" s="197"/>
      <c r="D106" s="197"/>
      <c r="E106" s="197"/>
      <c r="F106" s="197"/>
      <c r="G106" s="197"/>
      <c r="H106" s="197"/>
      <c r="I106" s="222"/>
      <c r="J106" s="216"/>
      <c r="K106" s="216"/>
      <c r="L106" s="216"/>
      <c r="M106" s="216"/>
      <c r="S106" s="197"/>
      <c r="T106" s="182" t="str">
        <f>RBproj!D110</f>
        <v>Boston Scott</v>
      </c>
      <c r="U106" s="290" t="str">
        <f>RBproj!E110</f>
        <v>PHI</v>
      </c>
      <c r="V106" s="183">
        <f>RBproj!F110</f>
        <v>29.92211</v>
      </c>
      <c r="W106" s="517">
        <f>IFERROR(IF(RBproj!H110="",RBproj!G110,RBproj!H110),0)</f>
        <v>8</v>
      </c>
      <c r="X106" s="504">
        <f>INDEX(Draft!$BW:$BW,MATCH(T106,Draft_Names_Master,0))</f>
        <v>0</v>
      </c>
      <c r="Y106">
        <v>0.104</v>
      </c>
      <c r="Z106">
        <f>IFERROR(IF(INDEX(Instructions!$X$64:$X$83,MATCH('Draft Slayer Classic'!T106,Instructions!$T$64:$T$83,0))&lt;=$E$25,1,0),0)</f>
        <v>0</v>
      </c>
      <c r="AA106">
        <f>IFERROR(INDEX(ADP!$A$7:$A$260,MATCH(T106,ADP!$D$7:$D$260,0)),999+Y106)</f>
        <v>999.10400000000004</v>
      </c>
      <c r="AB106">
        <f t="shared" si="6"/>
        <v>0.104</v>
      </c>
      <c r="AC106">
        <f>IFERROR(INDEX(Instructions!$U$111:$U$222,MATCH(T106,Instructions!$T$111:$T$222,0)),0)</f>
        <v>0</v>
      </c>
      <c r="AD106" s="197"/>
      <c r="AE106" s="182" t="str">
        <f>WRproj!D110</f>
        <v>Richie James</v>
      </c>
      <c r="AF106" s="290" t="str">
        <f>WRproj!E110</f>
        <v>KC</v>
      </c>
      <c r="AG106" s="183">
        <f>WRproj!F110</f>
        <v>71.664150000000006</v>
      </c>
      <c r="AH106" s="517">
        <f>IFERROR(IF(WRproj!H110="",WRproj!G110,WRproj!H110),0)</f>
        <v>8</v>
      </c>
      <c r="AI106" s="503">
        <f>INDEX(Draft!$BW:$BW,MATCH(AE106,Draft_Names_Master,0))</f>
        <v>0</v>
      </c>
      <c r="AJ106">
        <v>0.104</v>
      </c>
      <c r="AK106">
        <f>IFERROR(IF(INDEX(Instructions!$V$86:$V$105,MATCH('Draft Slayer Classic'!AE106,Instructions!$S$86:$S$105,0))&lt;=$E$25,1,0),0)</f>
        <v>0</v>
      </c>
      <c r="AL106">
        <f>IFERROR(INDEX(ADP!$A$7:$A$260,MATCH(AE106,ADP!$D$7:$D$260,0)),999+AJ106)</f>
        <v>999.10400000000004</v>
      </c>
      <c r="AM106">
        <f t="shared" si="7"/>
        <v>0.104</v>
      </c>
      <c r="AN106">
        <f>IFERROR(INDEX(Instructions!$U$111:$U$222,MATCH(AE106,Instructions!$T$111:$T$222,0)),0)</f>
        <v>0</v>
      </c>
      <c r="AO106" s="197"/>
      <c r="AP106" s="216"/>
      <c r="AQ106" s="216"/>
      <c r="AR106" s="216"/>
      <c r="AS106" s="216"/>
      <c r="AT106" s="216"/>
      <c r="AZ106" s="197"/>
      <c r="BA106" s="197"/>
      <c r="BB106" s="216"/>
      <c r="BE106" s="197"/>
      <c r="BF106" s="197"/>
      <c r="BG106" s="216"/>
      <c r="BH106" s="216"/>
      <c r="BK106" s="203"/>
      <c r="DE106">
        <v>104</v>
      </c>
      <c r="DF106" t="str">
        <f>IF(IFERROR(MATCH(FFARawStatProjections!A107,Draft!BY:BY,0),1)&lt;=1,IF(FFARawStatProjections!A107=0,"",FFARawStatProjections!A107),"")</f>
        <v/>
      </c>
    </row>
    <row r="107" spans="1:110" x14ac:dyDescent="0.25">
      <c r="A107" s="196"/>
      <c r="B107" s="197"/>
      <c r="C107" s="197"/>
      <c r="D107" s="197"/>
      <c r="E107" s="197"/>
      <c r="F107" s="197"/>
      <c r="G107" s="197"/>
      <c r="H107" s="197"/>
      <c r="I107" s="222"/>
      <c r="J107" s="216"/>
      <c r="K107" s="216"/>
      <c r="L107" s="216"/>
      <c r="M107" s="216"/>
      <c r="S107" s="197"/>
      <c r="T107" s="187" t="str">
        <f>RBproj!D111</f>
        <v>Kyle Juszczyk</v>
      </c>
      <c r="U107" s="461" t="str">
        <f>RBproj!E111</f>
        <v>SF</v>
      </c>
      <c r="V107" s="184">
        <f>RBproj!F111</f>
        <v>28.972190000000001</v>
      </c>
      <c r="W107" s="517">
        <f>IFERROR(IF(RBproj!H111="",RBproj!G111,RBproj!H111),0)</f>
        <v>8</v>
      </c>
      <c r="X107" s="504">
        <f>INDEX(Draft!$BW:$BW,MATCH(T107,Draft_Names_Master,0))</f>
        <v>0</v>
      </c>
      <c r="Y107">
        <v>0.105</v>
      </c>
      <c r="Z107">
        <f>IFERROR(IF(INDEX(Instructions!$X$64:$X$83,MATCH('Draft Slayer Classic'!T107,Instructions!$T$64:$T$83,0))&lt;=$E$25,1,0),0)</f>
        <v>0</v>
      </c>
      <c r="AA107">
        <f>IFERROR(INDEX(ADP!$A$7:$A$260,MATCH(T107,ADP!$D$7:$D$260,0)),999+Y107)</f>
        <v>999.10500000000002</v>
      </c>
      <c r="AB107">
        <f t="shared" si="6"/>
        <v>0.105</v>
      </c>
      <c r="AC107">
        <f>IFERROR(INDEX(Instructions!$U$111:$U$222,MATCH(T107,Instructions!$T$111:$T$222,0)),0)</f>
        <v>0</v>
      </c>
      <c r="AD107" s="197"/>
      <c r="AE107" s="187" t="str">
        <f>WRproj!D111</f>
        <v>Trey Palmer</v>
      </c>
      <c r="AF107" s="461" t="str">
        <f>WRproj!E111</f>
        <v>TB</v>
      </c>
      <c r="AG107" s="184">
        <f>WRproj!F111</f>
        <v>69.984210000000004</v>
      </c>
      <c r="AH107" s="517">
        <f>IFERROR(IF(WRproj!H111="",WRproj!G111,WRproj!H111),0)</f>
        <v>8</v>
      </c>
      <c r="AI107" s="503">
        <f>INDEX(Draft!$BW:$BW,MATCH(AE107,Draft_Names_Master,0))</f>
        <v>0</v>
      </c>
      <c r="AJ107">
        <v>0.105</v>
      </c>
      <c r="AK107">
        <f>IFERROR(IF(INDEX(Instructions!$V$86:$V$105,MATCH('Draft Slayer Classic'!AE107,Instructions!$S$86:$S$105,0))&lt;=$E$25,1,0),0)</f>
        <v>0</v>
      </c>
      <c r="AL107">
        <f>IFERROR(INDEX(ADP!$A$7:$A$260,MATCH(AE107,ADP!$D$7:$D$260,0)),999+AJ107)</f>
        <v>999.10500000000002</v>
      </c>
      <c r="AM107">
        <f t="shared" si="7"/>
        <v>0.105</v>
      </c>
      <c r="AN107">
        <f>IFERROR(INDEX(Instructions!$U$111:$U$222,MATCH(AE107,Instructions!$T$111:$T$222,0)),0)</f>
        <v>0</v>
      </c>
      <c r="AO107" s="197"/>
      <c r="AP107" s="216"/>
      <c r="AQ107" s="216"/>
      <c r="AR107" s="216"/>
      <c r="AS107" s="216"/>
      <c r="AT107" s="216"/>
      <c r="AZ107" s="197"/>
      <c r="BA107" s="197"/>
      <c r="BB107" s="216"/>
      <c r="BE107" s="197"/>
      <c r="BF107" s="197"/>
      <c r="BG107" s="216"/>
      <c r="BH107" s="216"/>
      <c r="BK107" s="203"/>
      <c r="DE107">
        <v>105</v>
      </c>
      <c r="DF107" t="str">
        <f>IF(IFERROR(MATCH(FFARawStatProjections!A108,Draft!BY:BY,0),1)&lt;=1,IF(FFARawStatProjections!A108=0,"",FFARawStatProjections!A108),"")</f>
        <v/>
      </c>
    </row>
    <row r="108" spans="1:110" x14ac:dyDescent="0.25">
      <c r="A108" s="196"/>
      <c r="B108" s="197"/>
      <c r="C108" s="197"/>
      <c r="D108" s="197"/>
      <c r="E108" s="197"/>
      <c r="F108" s="197"/>
      <c r="G108" s="197"/>
      <c r="H108" s="197"/>
      <c r="I108" s="222"/>
      <c r="J108" s="216"/>
      <c r="K108" s="216"/>
      <c r="L108" s="216"/>
      <c r="M108" s="216"/>
      <c r="S108" s="197"/>
      <c r="T108" s="182" t="str">
        <f>RBproj!D112</f>
        <v>Zonovan Knight</v>
      </c>
      <c r="U108" s="290" t="str">
        <f>RBproj!E112</f>
        <v>NYJ</v>
      </c>
      <c r="V108" s="183">
        <f>RBproj!F112</f>
        <v>28.782160000000005</v>
      </c>
      <c r="W108" s="517">
        <f>IFERROR(IF(RBproj!H112="",RBproj!G112,RBproj!H112),0)</f>
        <v>8</v>
      </c>
      <c r="X108" s="504">
        <f>INDEX(Draft!$BW:$BW,MATCH(T108,Draft_Names_Master,0))</f>
        <v>0</v>
      </c>
      <c r="Y108">
        <v>0.106</v>
      </c>
      <c r="Z108">
        <f>IFERROR(IF(INDEX(Instructions!$X$64:$X$83,MATCH('Draft Slayer Classic'!T108,Instructions!$T$64:$T$83,0))&lt;=$E$25,1,0),0)</f>
        <v>0</v>
      </c>
      <c r="AA108">
        <f>IFERROR(INDEX(ADP!$A$7:$A$260,MATCH(T108,ADP!$D$7:$D$260,0)),999+Y108)</f>
        <v>999.10599999999999</v>
      </c>
      <c r="AB108">
        <f t="shared" si="6"/>
        <v>0.106</v>
      </c>
      <c r="AC108">
        <f>IFERROR(INDEX(Instructions!$U$111:$U$222,MATCH(T108,Instructions!$T$111:$T$222,0)),0)</f>
        <v>0</v>
      </c>
      <c r="AD108" s="197"/>
      <c r="AE108" s="182" t="str">
        <f>WRproj!D112</f>
        <v>Josh Downs</v>
      </c>
      <c r="AF108" s="290" t="str">
        <f>WRproj!E112</f>
        <v>IND</v>
      </c>
      <c r="AG108" s="183">
        <f>WRproj!F112</f>
        <v>69.394179999999992</v>
      </c>
      <c r="AH108" s="517">
        <f>IFERROR(IF(WRproj!H112="",WRproj!G112,WRproj!H112),0)</f>
        <v>8</v>
      </c>
      <c r="AI108" s="503">
        <f>INDEX(Draft!$BW:$BW,MATCH(AE108,Draft_Names_Master,0))</f>
        <v>0</v>
      </c>
      <c r="AJ108">
        <v>0.106</v>
      </c>
      <c r="AK108">
        <f>IFERROR(IF(INDEX(Instructions!$V$86:$V$105,MATCH('Draft Slayer Classic'!AE108,Instructions!$S$86:$S$105,0))&lt;=$E$25,1,0),0)</f>
        <v>0</v>
      </c>
      <c r="AL108">
        <f>IFERROR(INDEX(ADP!$A$7:$A$260,MATCH(AE108,ADP!$D$7:$D$260,0)),999+AJ108)</f>
        <v>999.10599999999999</v>
      </c>
      <c r="AM108">
        <f t="shared" si="7"/>
        <v>0.106</v>
      </c>
      <c r="AN108">
        <f>IFERROR(INDEX(Instructions!$U$111:$U$222,MATCH(AE108,Instructions!$T$111:$T$222,0)),0)</f>
        <v>0</v>
      </c>
      <c r="AO108" s="197"/>
      <c r="AP108" s="216"/>
      <c r="AQ108" s="216"/>
      <c r="AR108" s="216"/>
      <c r="AS108" s="216"/>
      <c r="AT108" s="216"/>
      <c r="AZ108" s="197"/>
      <c r="BA108" s="197"/>
      <c r="BB108" s="216"/>
      <c r="BE108" s="197"/>
      <c r="BF108" s="197"/>
      <c r="BG108" s="216"/>
      <c r="BH108" s="216"/>
      <c r="BK108" s="203"/>
      <c r="DE108">
        <v>106</v>
      </c>
      <c r="DF108" t="str">
        <f>IF(IFERROR(MATCH(FFARawStatProjections!A109,Draft!BY:BY,0),1)&lt;=1,IF(FFARawStatProjections!A109=0,"",FFARawStatProjections!A109),"")</f>
        <v/>
      </c>
    </row>
    <row r="109" spans="1:110" x14ac:dyDescent="0.25">
      <c r="A109" s="196"/>
      <c r="B109" s="197"/>
      <c r="C109" s="197"/>
      <c r="D109" s="197"/>
      <c r="E109" s="197"/>
      <c r="F109" s="197"/>
      <c r="G109" s="197"/>
      <c r="H109" s="197"/>
      <c r="I109" s="222"/>
      <c r="J109" s="216"/>
      <c r="K109" s="216"/>
      <c r="L109" s="216"/>
      <c r="M109" s="216"/>
      <c r="S109" s="197"/>
      <c r="T109" s="187" t="str">
        <f>RBproj!D113</f>
        <v>Sincere McCormick</v>
      </c>
      <c r="U109" s="461" t="str">
        <f>RBproj!E113</f>
        <v>LV</v>
      </c>
      <c r="V109" s="184">
        <f>RBproj!F113</f>
        <v>28.38223</v>
      </c>
      <c r="W109" s="517">
        <f>IFERROR(IF(RBproj!H113="",RBproj!G113,RBproj!H113),0)</f>
        <v>8</v>
      </c>
      <c r="X109" s="504">
        <f>INDEX(Draft!$BW:$BW,MATCH(T109,Draft_Names_Master,0))</f>
        <v>0</v>
      </c>
      <c r="Y109">
        <v>0.107</v>
      </c>
      <c r="Z109">
        <f>IFERROR(IF(INDEX(Instructions!$X$64:$X$83,MATCH('Draft Slayer Classic'!T109,Instructions!$T$64:$T$83,0))&lt;=$E$25,1,0),0)</f>
        <v>0</v>
      </c>
      <c r="AA109">
        <f>IFERROR(INDEX(ADP!$A$7:$A$260,MATCH(T109,ADP!$D$7:$D$260,0)),999+Y109)</f>
        <v>999.10699999999997</v>
      </c>
      <c r="AB109">
        <f t="shared" si="6"/>
        <v>0.107</v>
      </c>
      <c r="AC109">
        <f>IFERROR(INDEX(Instructions!$U$111:$U$222,MATCH(T109,Instructions!$T$111:$T$222,0)),0)</f>
        <v>0</v>
      </c>
      <c r="AD109" s="197"/>
      <c r="AE109" s="187" t="str">
        <f>WRproj!D113</f>
        <v>Tank Dell</v>
      </c>
      <c r="AF109" s="461" t="str">
        <f>WRproj!E113</f>
        <v>HOU</v>
      </c>
      <c r="AG109" s="184">
        <f>WRproj!F113</f>
        <v>68.824170000000009</v>
      </c>
      <c r="AH109" s="517">
        <f>IFERROR(IF(WRproj!H113="",WRproj!G113,WRproj!H113),0)</f>
        <v>8</v>
      </c>
      <c r="AI109" s="503">
        <f>INDEX(Draft!$BW:$BW,MATCH(AE109,Draft_Names_Master,0))</f>
        <v>0</v>
      </c>
      <c r="AJ109">
        <v>0.107</v>
      </c>
      <c r="AK109">
        <f>IFERROR(IF(INDEX(Instructions!$V$86:$V$105,MATCH('Draft Slayer Classic'!AE109,Instructions!$S$86:$S$105,0))&lt;=$E$25,1,0),0)</f>
        <v>0</v>
      </c>
      <c r="AL109">
        <f>IFERROR(INDEX(ADP!$A$7:$A$260,MATCH(AE109,ADP!$D$7:$D$260,0)),999+AJ109)</f>
        <v>999.10699999999997</v>
      </c>
      <c r="AM109">
        <f t="shared" si="7"/>
        <v>0.107</v>
      </c>
      <c r="AN109">
        <f>IFERROR(INDEX(Instructions!$U$111:$U$222,MATCH(AE109,Instructions!$T$111:$T$222,0)),0)</f>
        <v>0</v>
      </c>
      <c r="AO109" s="197"/>
      <c r="AP109" s="216"/>
      <c r="AQ109" s="216"/>
      <c r="AR109" s="216"/>
      <c r="AS109" s="216"/>
      <c r="AT109" s="216"/>
      <c r="AZ109" s="197"/>
      <c r="BA109" s="197"/>
      <c r="BB109" s="216"/>
      <c r="BE109" s="197"/>
      <c r="BF109" s="197"/>
      <c r="BG109" s="216"/>
      <c r="BH109" s="216"/>
      <c r="BK109" s="203"/>
      <c r="DE109">
        <v>107</v>
      </c>
      <c r="DF109" t="str">
        <f>IF(IFERROR(MATCH(FFARawStatProjections!A110,Draft!BY:BY,0),1)&lt;=1,IF(FFARawStatProjections!A110=0,"",FFARawStatProjections!A110),"")</f>
        <v/>
      </c>
    </row>
    <row r="110" spans="1:110" x14ac:dyDescent="0.25">
      <c r="A110" s="196"/>
      <c r="B110" s="197"/>
      <c r="C110" s="197"/>
      <c r="D110" s="197"/>
      <c r="E110" s="197"/>
      <c r="F110" s="197"/>
      <c r="G110" s="197"/>
      <c r="H110" s="197"/>
      <c r="I110" s="222"/>
      <c r="J110" s="216"/>
      <c r="K110" s="216"/>
      <c r="L110" s="216"/>
      <c r="M110" s="216"/>
      <c r="S110" s="197"/>
      <c r="T110" s="182" t="str">
        <f>RBproj!D114</f>
        <v>Kenny McIntosh</v>
      </c>
      <c r="U110" s="290" t="str">
        <f>RBproj!E114</f>
        <v>SEA</v>
      </c>
      <c r="V110" s="183">
        <f>RBproj!F114</f>
        <v>27.642310000000005</v>
      </c>
      <c r="W110" s="517">
        <f>IFERROR(IF(RBproj!H114="",RBproj!G114,RBproj!H114),0)</f>
        <v>8</v>
      </c>
      <c r="X110" s="504">
        <f>INDEX(Draft!$BW:$BW,MATCH(T110,Draft_Names_Master,0))</f>
        <v>0</v>
      </c>
      <c r="Y110">
        <v>0.108</v>
      </c>
      <c r="Z110">
        <f>IFERROR(IF(INDEX(Instructions!$X$64:$X$83,MATCH('Draft Slayer Classic'!T110,Instructions!$T$64:$T$83,0))&lt;=$E$25,1,0),0)</f>
        <v>0</v>
      </c>
      <c r="AA110">
        <f>IFERROR(INDEX(ADP!$A$7:$A$260,MATCH(T110,ADP!$D$7:$D$260,0)),999+Y110)</f>
        <v>999.10799999999995</v>
      </c>
      <c r="AB110">
        <f t="shared" si="6"/>
        <v>0.108</v>
      </c>
      <c r="AC110">
        <f>IFERROR(INDEX(Instructions!$U$111:$U$222,MATCH(T110,Instructions!$T$111:$T$222,0)),0)</f>
        <v>0</v>
      </c>
      <c r="AD110" s="197"/>
      <c r="AE110" s="182" t="str">
        <f>WRproj!D114</f>
        <v>Cedric Tillman</v>
      </c>
      <c r="AF110" s="290" t="str">
        <f>WRproj!E114</f>
        <v>CLE</v>
      </c>
      <c r="AG110" s="183">
        <f>WRproj!F114</f>
        <v>66.774199999999979</v>
      </c>
      <c r="AH110" s="517">
        <f>IFERROR(IF(WRproj!H114="",WRproj!G114,WRproj!H114),0)</f>
        <v>8</v>
      </c>
      <c r="AI110" s="503">
        <f>INDEX(Draft!$BW:$BW,MATCH(AE110,Draft_Names_Master,0))</f>
        <v>0</v>
      </c>
      <c r="AJ110">
        <v>0.108</v>
      </c>
      <c r="AK110">
        <f>IFERROR(IF(INDEX(Instructions!$V$86:$V$105,MATCH('Draft Slayer Classic'!AE110,Instructions!$S$86:$S$105,0))&lt;=$E$25,1,0),0)</f>
        <v>0</v>
      </c>
      <c r="AL110">
        <f>IFERROR(INDEX(ADP!$A$7:$A$260,MATCH(AE110,ADP!$D$7:$D$260,0)),999+AJ110)</f>
        <v>999.10799999999995</v>
      </c>
      <c r="AM110">
        <f t="shared" si="7"/>
        <v>0.108</v>
      </c>
      <c r="AN110">
        <f>IFERROR(INDEX(Instructions!$U$111:$U$222,MATCH(AE110,Instructions!$T$111:$T$222,0)),0)</f>
        <v>0</v>
      </c>
      <c r="AO110" s="197"/>
      <c r="AP110" s="216"/>
      <c r="AQ110" s="216"/>
      <c r="AR110" s="216"/>
      <c r="AS110" s="216"/>
      <c r="AT110" s="216"/>
      <c r="AZ110" s="197"/>
      <c r="BA110" s="197"/>
      <c r="BB110" s="216"/>
      <c r="BE110" s="197"/>
      <c r="BF110" s="197"/>
      <c r="BG110" s="216"/>
      <c r="BH110" s="216"/>
      <c r="BK110" s="203"/>
      <c r="DE110">
        <v>108</v>
      </c>
      <c r="DF110" t="str">
        <f>IF(IFERROR(MATCH(FFARawStatProjections!A111,Draft!BY:BY,0),1)&lt;=1,IF(FFARawStatProjections!A111=0,"",FFARawStatProjections!A111),"")</f>
        <v/>
      </c>
    </row>
    <row r="111" spans="1:110" x14ac:dyDescent="0.25">
      <c r="A111" s="196"/>
      <c r="B111" s="197"/>
      <c r="C111" s="197"/>
      <c r="D111" s="197"/>
      <c r="E111" s="197"/>
      <c r="F111" s="197"/>
      <c r="G111" s="197"/>
      <c r="H111" s="197"/>
      <c r="I111" s="222"/>
      <c r="J111" s="216"/>
      <c r="K111" s="216"/>
      <c r="L111" s="216"/>
      <c r="M111" s="216"/>
      <c r="S111" s="197"/>
      <c r="T111" s="187" t="str">
        <f>RBproj!D115</f>
        <v>Travis Homer</v>
      </c>
      <c r="U111" s="461" t="str">
        <f>RBproj!E115</f>
        <v>CHI</v>
      </c>
      <c r="V111" s="184">
        <f>RBproj!F115</f>
        <v>27.50217</v>
      </c>
      <c r="W111" s="517">
        <f>IFERROR(IF(RBproj!H115="",RBproj!G115,RBproj!H115),0)</f>
        <v>8</v>
      </c>
      <c r="X111" s="504">
        <f>INDEX(Draft!$BW:$BW,MATCH(T111,Draft_Names_Master,0))</f>
        <v>0</v>
      </c>
      <c r="Y111">
        <v>0.109</v>
      </c>
      <c r="Z111">
        <f>IFERROR(IF(INDEX(Instructions!$X$64:$X$83,MATCH('Draft Slayer Classic'!T111,Instructions!$T$64:$T$83,0))&lt;=$E$25,1,0),0)</f>
        <v>0</v>
      </c>
      <c r="AA111">
        <f>IFERROR(INDEX(ADP!$A$7:$A$260,MATCH(T111,ADP!$D$7:$D$260,0)),999+Y111)</f>
        <v>999.10900000000004</v>
      </c>
      <c r="AB111">
        <f t="shared" si="6"/>
        <v>0.109</v>
      </c>
      <c r="AC111">
        <f>IFERROR(INDEX(Instructions!$U$111:$U$222,MATCH(T111,Instructions!$T$111:$T$222,0)),0)</f>
        <v>0</v>
      </c>
      <c r="AD111" s="197"/>
      <c r="AE111" s="187" t="str">
        <f>WRproj!D115</f>
        <v>Isaiah McKenzie</v>
      </c>
      <c r="AF111" s="461" t="str">
        <f>WRproj!E115</f>
        <v>IND</v>
      </c>
      <c r="AG111" s="184">
        <f>WRproj!F115</f>
        <v>66.134239999999991</v>
      </c>
      <c r="AH111" s="517">
        <f>IFERROR(IF(WRproj!H115="",WRproj!G115,WRproj!H115),0)</f>
        <v>8</v>
      </c>
      <c r="AI111" s="503">
        <f>INDEX(Draft!$BW:$BW,MATCH(AE111,Draft_Names_Master,0))</f>
        <v>0</v>
      </c>
      <c r="AJ111">
        <v>0.109</v>
      </c>
      <c r="AK111">
        <f>IFERROR(IF(INDEX(Instructions!$V$86:$V$105,MATCH('Draft Slayer Classic'!AE111,Instructions!$S$86:$S$105,0))&lt;=$E$25,1,0),0)</f>
        <v>0</v>
      </c>
      <c r="AL111">
        <f>IFERROR(INDEX(ADP!$A$7:$A$260,MATCH(AE111,ADP!$D$7:$D$260,0)),999+AJ111)</f>
        <v>999.10900000000004</v>
      </c>
      <c r="AM111">
        <f t="shared" si="7"/>
        <v>0.109</v>
      </c>
      <c r="AN111">
        <f>IFERROR(INDEX(Instructions!$U$111:$U$222,MATCH(AE111,Instructions!$T$111:$T$222,0)),0)</f>
        <v>0</v>
      </c>
      <c r="AO111" s="197"/>
      <c r="AP111" s="216"/>
      <c r="AQ111" s="216"/>
      <c r="AR111" s="216"/>
      <c r="AS111" s="216"/>
      <c r="AT111" s="216"/>
      <c r="AZ111" s="197"/>
      <c r="BA111" s="197"/>
      <c r="BB111" s="216"/>
      <c r="BE111" s="197"/>
      <c r="BF111" s="197"/>
      <c r="BG111" s="216"/>
      <c r="BH111" s="216"/>
      <c r="BK111" s="203"/>
      <c r="DE111">
        <v>109</v>
      </c>
      <c r="DF111" t="str">
        <f>IF(IFERROR(MATCH(FFARawStatProjections!A112,Draft!BY:BY,0),1)&lt;=1,IF(FFARawStatProjections!A112=0,"",FFARawStatProjections!A112),"")</f>
        <v/>
      </c>
    </row>
    <row r="112" spans="1:110" x14ac:dyDescent="0.25">
      <c r="A112" s="196"/>
      <c r="B112" s="197"/>
      <c r="C112" s="197"/>
      <c r="D112" s="197"/>
      <c r="E112" s="197"/>
      <c r="F112" s="197"/>
      <c r="G112" s="197"/>
      <c r="H112" s="197"/>
      <c r="I112" s="222"/>
      <c r="J112" s="216"/>
      <c r="K112" s="216"/>
      <c r="L112" s="216"/>
      <c r="M112" s="216"/>
      <c r="S112" s="197"/>
      <c r="T112" s="182" t="str">
        <f>RBproj!D116</f>
        <v>Deneric Prince</v>
      </c>
      <c r="U112" s="290" t="str">
        <f>RBproj!E116</f>
        <v>KC</v>
      </c>
      <c r="V112" s="183">
        <f>RBproj!F116</f>
        <v>27.452330000000003</v>
      </c>
      <c r="W112" s="517">
        <f>IFERROR(IF(RBproj!H116="",RBproj!G116,RBproj!H116),0)</f>
        <v>8</v>
      </c>
      <c r="X112" s="504">
        <f>INDEX(Draft!$BW:$BW,MATCH(T112,Draft_Names_Master,0))</f>
        <v>0</v>
      </c>
      <c r="Y112">
        <v>0.11</v>
      </c>
      <c r="Z112">
        <f>IFERROR(IF(INDEX(Instructions!$X$64:$X$83,MATCH('Draft Slayer Classic'!T112,Instructions!$T$64:$T$83,0))&lt;=$E$25,1,0),0)</f>
        <v>0</v>
      </c>
      <c r="AA112">
        <f>IFERROR(INDEX(ADP!$A$7:$A$260,MATCH(T112,ADP!$D$7:$D$260,0)),999+Y112)</f>
        <v>999.11</v>
      </c>
      <c r="AB112">
        <f t="shared" si="6"/>
        <v>0.11</v>
      </c>
      <c r="AC112">
        <f>IFERROR(INDEX(Instructions!$U$111:$U$222,MATCH(T112,Instructions!$T$111:$T$222,0)),0)</f>
        <v>0</v>
      </c>
      <c r="AD112" s="197"/>
      <c r="AE112" s="182" t="str">
        <f>WRproj!D116</f>
        <v>Braxton Berrios</v>
      </c>
      <c r="AF112" s="290" t="str">
        <f>WRproj!E116</f>
        <v>MIA</v>
      </c>
      <c r="AG112" s="183">
        <f>WRproj!F116</f>
        <v>65.914270000000002</v>
      </c>
      <c r="AH112" s="517">
        <f>IFERROR(IF(WRproj!H116="",WRproj!G116,WRproj!H116),0)</f>
        <v>8</v>
      </c>
      <c r="AI112" s="503">
        <f>INDEX(Draft!$BW:$BW,MATCH(AE112,Draft_Names_Master,0))</f>
        <v>0</v>
      </c>
      <c r="AJ112">
        <v>0.11</v>
      </c>
      <c r="AK112">
        <f>IFERROR(IF(INDEX(Instructions!$V$86:$V$105,MATCH('Draft Slayer Classic'!AE112,Instructions!$S$86:$S$105,0))&lt;=$E$25,1,0),0)</f>
        <v>0</v>
      </c>
      <c r="AL112">
        <f>IFERROR(INDEX(ADP!$A$7:$A$260,MATCH(AE112,ADP!$D$7:$D$260,0)),999+AJ112)</f>
        <v>999.11</v>
      </c>
      <c r="AM112">
        <f t="shared" si="7"/>
        <v>0.11</v>
      </c>
      <c r="AN112">
        <f>IFERROR(INDEX(Instructions!$U$111:$U$222,MATCH(AE112,Instructions!$T$111:$T$222,0)),0)</f>
        <v>0</v>
      </c>
      <c r="AO112" s="197"/>
      <c r="AP112" s="216"/>
      <c r="AQ112" s="216"/>
      <c r="AR112" s="216"/>
      <c r="AS112" s="216"/>
      <c r="AT112" s="216"/>
      <c r="AZ112" s="197"/>
      <c r="BA112" s="197"/>
      <c r="BB112" s="216"/>
      <c r="BE112" s="197"/>
      <c r="BF112" s="197"/>
      <c r="BG112" s="216"/>
      <c r="BH112" s="216"/>
      <c r="BK112" s="203"/>
      <c r="DE112">
        <v>110</v>
      </c>
      <c r="DF112" t="str">
        <f>IF(IFERROR(MATCH(FFARawStatProjections!A113,Draft!BY:BY,0),1)&lt;=1,IF(FFARawStatProjections!A113=0,"",FFARawStatProjections!A113),"")</f>
        <v/>
      </c>
    </row>
    <row r="113" spans="1:110" x14ac:dyDescent="0.25">
      <c r="A113" s="196"/>
      <c r="B113" s="197"/>
      <c r="C113" s="197"/>
      <c r="D113" s="197"/>
      <c r="E113" s="197"/>
      <c r="F113" s="197"/>
      <c r="G113" s="197"/>
      <c r="H113" s="197"/>
      <c r="I113" s="222"/>
      <c r="J113" s="216"/>
      <c r="K113" s="216"/>
      <c r="L113" s="216"/>
      <c r="M113" s="216"/>
      <c r="S113" s="197"/>
      <c r="T113" s="187" t="str">
        <f>RBproj!D117</f>
        <v>Patrick Taylor</v>
      </c>
      <c r="U113" s="461" t="str">
        <f>RBproj!E117</f>
        <v>GB</v>
      </c>
      <c r="V113" s="184">
        <f>RBproj!F117</f>
        <v>27.312320000000003</v>
      </c>
      <c r="W113" s="517">
        <f>IFERROR(IF(RBproj!H117="",RBproj!G117,RBproj!H117),0)</f>
        <v>8</v>
      </c>
      <c r="X113" s="504">
        <f>INDEX(Draft!$BW:$BW,MATCH(T113,Draft_Names_Master,0))</f>
        <v>0</v>
      </c>
      <c r="Y113">
        <v>0.111</v>
      </c>
      <c r="Z113">
        <f>IFERROR(IF(INDEX(Instructions!$X$64:$X$83,MATCH('Draft Slayer Classic'!T113,Instructions!$T$64:$T$83,0))&lt;=$E$25,1,0),0)</f>
        <v>0</v>
      </c>
      <c r="AA113">
        <f>IFERROR(INDEX(ADP!$A$7:$A$260,MATCH(T113,ADP!$D$7:$D$260,0)),999+Y113)</f>
        <v>999.11099999999999</v>
      </c>
      <c r="AB113">
        <f t="shared" si="6"/>
        <v>0.111</v>
      </c>
      <c r="AC113">
        <f>IFERROR(INDEX(Instructions!$U$111:$U$222,MATCH(T113,Instructions!$T$111:$T$222,0)),0)</f>
        <v>0</v>
      </c>
      <c r="AD113" s="197"/>
      <c r="AE113" s="187" t="str">
        <f>WRproj!D117</f>
        <v>Laviska Shenault</v>
      </c>
      <c r="AF113" s="461" t="str">
        <f>WRproj!E117</f>
        <v>CAR</v>
      </c>
      <c r="AG113" s="184">
        <f>WRproj!F117</f>
        <v>62.684229999999999</v>
      </c>
      <c r="AH113" s="517">
        <f>IFERROR(IF(WRproj!H117="",WRproj!G117,WRproj!H117),0)</f>
        <v>8</v>
      </c>
      <c r="AI113" s="503">
        <f>INDEX(Draft!$BW:$BW,MATCH(AE113,Draft_Names_Master,0))</f>
        <v>0</v>
      </c>
      <c r="AJ113">
        <v>0.111</v>
      </c>
      <c r="AK113">
        <f>IFERROR(IF(INDEX(Instructions!$V$86:$V$105,MATCH('Draft Slayer Classic'!AE113,Instructions!$S$86:$S$105,0))&lt;=$E$25,1,0),0)</f>
        <v>0</v>
      </c>
      <c r="AL113">
        <f>IFERROR(INDEX(ADP!$A$7:$A$260,MATCH(AE113,ADP!$D$7:$D$260,0)),999+AJ113)</f>
        <v>999.11099999999999</v>
      </c>
      <c r="AM113">
        <f t="shared" si="7"/>
        <v>0.111</v>
      </c>
      <c r="AN113">
        <f>IFERROR(INDEX(Instructions!$U$111:$U$222,MATCH(AE113,Instructions!$T$111:$T$222,0)),0)</f>
        <v>0</v>
      </c>
      <c r="AO113" s="197"/>
      <c r="AP113" s="216"/>
      <c r="AQ113" s="216"/>
      <c r="AR113" s="216"/>
      <c r="AS113" s="216"/>
      <c r="AT113" s="216"/>
      <c r="AZ113" s="197"/>
      <c r="BA113" s="197"/>
      <c r="BB113" s="216"/>
      <c r="BE113" s="197"/>
      <c r="BF113" s="197"/>
      <c r="BG113" s="216"/>
      <c r="BH113" s="216"/>
      <c r="BK113" s="203"/>
      <c r="DE113">
        <v>111</v>
      </c>
      <c r="DF113" t="str">
        <f>IF(IFERROR(MATCH(FFARawStatProjections!A114,Draft!BY:BY,0),1)&lt;=1,IF(FFARawStatProjections!A114=0,"",FFARawStatProjections!A114),"")</f>
        <v/>
      </c>
    </row>
    <row r="114" spans="1:110" x14ac:dyDescent="0.25">
      <c r="A114" s="196"/>
      <c r="B114" s="197"/>
      <c r="C114" s="197"/>
      <c r="D114" s="197"/>
      <c r="E114" s="197"/>
      <c r="F114" s="197"/>
      <c r="G114" s="197"/>
      <c r="H114" s="197"/>
      <c r="I114" s="222"/>
      <c r="J114" s="216"/>
      <c r="K114" s="216"/>
      <c r="L114" s="216"/>
      <c r="M114" s="216"/>
      <c r="S114" s="197"/>
      <c r="T114" s="182" t="str">
        <f>RBproj!D118</f>
        <v>DErnest Johnson</v>
      </c>
      <c r="U114" s="290" t="str">
        <f>RBproj!E118</f>
        <v>JAC</v>
      </c>
      <c r="V114" s="183">
        <f>RBproj!F118</f>
        <v>26.6022</v>
      </c>
      <c r="W114" s="517">
        <f>IFERROR(IF(RBproj!H118="",RBproj!G118,RBproj!H118),0)</f>
        <v>8</v>
      </c>
      <c r="X114" s="504">
        <f>INDEX(Draft!$BW:$BW,MATCH(T114,Draft_Names_Master,0))</f>
        <v>0</v>
      </c>
      <c r="Y114">
        <v>0.112</v>
      </c>
      <c r="Z114">
        <f>IFERROR(IF(INDEX(Instructions!$X$64:$X$83,MATCH('Draft Slayer Classic'!T114,Instructions!$T$64:$T$83,0))&lt;=$E$25,1,0),0)</f>
        <v>0</v>
      </c>
      <c r="AA114">
        <f>IFERROR(INDEX(ADP!$A$7:$A$260,MATCH(T114,ADP!$D$7:$D$260,0)),999+Y114)</f>
        <v>999.11199999999997</v>
      </c>
      <c r="AB114">
        <f t="shared" si="6"/>
        <v>0.112</v>
      </c>
      <c r="AC114">
        <f>IFERROR(INDEX(Instructions!$U$111:$U$222,MATCH(T114,Instructions!$T$111:$T$222,0)),0)</f>
        <v>0</v>
      </c>
      <c r="AD114" s="197"/>
      <c r="AE114" s="182" t="str">
        <f>WRproj!D118</f>
        <v>Amari Rodgers</v>
      </c>
      <c r="AF114" s="290" t="str">
        <f>WRproj!E118</f>
        <v>IND</v>
      </c>
      <c r="AG114" s="183">
        <f>WRproj!F118</f>
        <v>62.404220000000002</v>
      </c>
      <c r="AH114" s="517">
        <f>IFERROR(IF(WRproj!H118="",WRproj!G118,WRproj!H118),0)</f>
        <v>8</v>
      </c>
      <c r="AI114" s="503">
        <f>INDEX(Draft!$BW:$BW,MATCH(AE114,Draft_Names_Master,0))</f>
        <v>0</v>
      </c>
      <c r="AJ114">
        <v>0.112</v>
      </c>
      <c r="AK114">
        <f>IFERROR(IF(INDEX(Instructions!$V$86:$V$105,MATCH('Draft Slayer Classic'!AE114,Instructions!$S$86:$S$105,0))&lt;=$E$25,1,0),0)</f>
        <v>0</v>
      </c>
      <c r="AL114">
        <f>IFERROR(INDEX(ADP!$A$7:$A$260,MATCH(AE114,ADP!$D$7:$D$260,0)),999+AJ114)</f>
        <v>999.11199999999997</v>
      </c>
      <c r="AM114">
        <f t="shared" si="7"/>
        <v>0.112</v>
      </c>
      <c r="AN114">
        <f>IFERROR(INDEX(Instructions!$U$111:$U$222,MATCH(AE114,Instructions!$T$111:$T$222,0)),0)</f>
        <v>0</v>
      </c>
      <c r="AO114" s="197"/>
      <c r="AP114" s="216"/>
      <c r="AQ114" s="216"/>
      <c r="AR114" s="216"/>
      <c r="AS114" s="216"/>
      <c r="AT114" s="216"/>
      <c r="AZ114" s="197"/>
      <c r="BA114" s="197"/>
      <c r="BB114" s="216"/>
      <c r="BE114" s="197"/>
      <c r="BF114" s="197"/>
      <c r="BG114" s="216"/>
      <c r="BH114" s="216"/>
      <c r="BK114" s="203"/>
      <c r="DE114">
        <v>112</v>
      </c>
      <c r="DF114" t="str">
        <f>IF(IFERROR(MATCH(FFARawStatProjections!A115,Draft!BY:BY,0),1)&lt;=1,IF(FFARawStatProjections!A115=0,"",FFARawStatProjections!A115),"")</f>
        <v/>
      </c>
    </row>
    <row r="115" spans="1:110" x14ac:dyDescent="0.25">
      <c r="A115" s="196"/>
      <c r="B115" s="197"/>
      <c r="C115" s="197"/>
      <c r="D115" s="197"/>
      <c r="E115" s="197"/>
      <c r="F115" s="197"/>
      <c r="G115" s="197"/>
      <c r="H115" s="197"/>
      <c r="I115" s="222"/>
      <c r="J115" s="216"/>
      <c r="K115" s="216"/>
      <c r="L115" s="216"/>
      <c r="M115" s="216"/>
      <c r="S115" s="197"/>
      <c r="T115" s="187" t="str">
        <f>RBproj!D119</f>
        <v>Tyler Badie</v>
      </c>
      <c r="U115" s="461" t="str">
        <f>RBproj!E119</f>
        <v>DEN</v>
      </c>
      <c r="V115" s="184">
        <f>RBproj!F119</f>
        <v>26.102250000000002</v>
      </c>
      <c r="W115" s="517">
        <f>IFERROR(IF(RBproj!H119="",RBproj!G119,RBproj!H119),0)</f>
        <v>8</v>
      </c>
      <c r="X115" s="504">
        <f>INDEX(Draft!$BW:$BW,MATCH(T115,Draft_Names_Master,0))</f>
        <v>0</v>
      </c>
      <c r="Y115">
        <v>0.113</v>
      </c>
      <c r="Z115">
        <f>IFERROR(IF(INDEX(Instructions!$X$64:$X$83,MATCH('Draft Slayer Classic'!T115,Instructions!$T$64:$T$83,0))&lt;=$E$25,1,0),0)</f>
        <v>0</v>
      </c>
      <c r="AA115">
        <f>IFERROR(INDEX(ADP!$A$7:$A$260,MATCH(T115,ADP!$D$7:$D$260,0)),999+Y115)</f>
        <v>999.11300000000006</v>
      </c>
      <c r="AB115">
        <f t="shared" si="6"/>
        <v>0.113</v>
      </c>
      <c r="AC115">
        <f>IFERROR(INDEX(Instructions!$U$111:$U$222,MATCH(T115,Instructions!$T$111:$T$222,0)),0)</f>
        <v>0</v>
      </c>
      <c r="AD115" s="197"/>
      <c r="AE115" s="187" t="str">
        <f>WRproj!D119</f>
        <v>Quez Watkins</v>
      </c>
      <c r="AF115" s="461" t="str">
        <f>WRproj!E119</f>
        <v>PHI</v>
      </c>
      <c r="AG115" s="184">
        <f>WRproj!F119</f>
        <v>59.514280000000007</v>
      </c>
      <c r="AH115" s="517">
        <f>IFERROR(IF(WRproj!H119="",WRproj!G119,WRproj!H119),0)</f>
        <v>8</v>
      </c>
      <c r="AI115" s="503">
        <f>INDEX(Draft!$BW:$BW,MATCH(AE115,Draft_Names_Master,0))</f>
        <v>0</v>
      </c>
      <c r="AJ115">
        <v>0.113</v>
      </c>
      <c r="AK115">
        <f>IFERROR(IF(INDEX(Instructions!$V$86:$V$105,MATCH('Draft Slayer Classic'!AE115,Instructions!$S$86:$S$105,0))&lt;=$E$25,1,0),0)</f>
        <v>0</v>
      </c>
      <c r="AL115">
        <f>IFERROR(INDEX(ADP!$A$7:$A$260,MATCH(AE115,ADP!$D$7:$D$260,0)),999+AJ115)</f>
        <v>999.11300000000006</v>
      </c>
      <c r="AM115">
        <f t="shared" si="7"/>
        <v>0.113</v>
      </c>
      <c r="AN115">
        <f>IFERROR(INDEX(Instructions!$U$111:$U$222,MATCH(AE115,Instructions!$T$111:$T$222,0)),0)</f>
        <v>0</v>
      </c>
      <c r="AO115" s="197"/>
      <c r="AP115" s="216"/>
      <c r="AQ115" s="216"/>
      <c r="AR115" s="216"/>
      <c r="AS115" s="216"/>
      <c r="AT115" s="216"/>
      <c r="AZ115" s="197"/>
      <c r="BA115" s="197"/>
      <c r="BB115" s="216"/>
      <c r="BE115" s="197"/>
      <c r="BF115" s="197"/>
      <c r="BG115" s="216"/>
      <c r="BH115" s="216"/>
      <c r="BK115" s="203"/>
      <c r="DE115">
        <v>113</v>
      </c>
      <c r="DF115" t="str">
        <f>IF(IFERROR(MATCH(FFARawStatProjections!A116,Draft!BY:BY,0),1)&lt;=1,IF(FFARawStatProjections!A116=0,"",FFARawStatProjections!A116),"")</f>
        <v/>
      </c>
    </row>
    <row r="116" spans="1:110" x14ac:dyDescent="0.25">
      <c r="A116" s="196"/>
      <c r="B116" s="197"/>
      <c r="C116" s="197"/>
      <c r="D116" s="197"/>
      <c r="E116" s="197"/>
      <c r="F116" s="197"/>
      <c r="G116" s="197"/>
      <c r="H116" s="197"/>
      <c r="I116" s="222"/>
      <c r="J116" s="216"/>
      <c r="K116" s="216"/>
      <c r="L116" s="216"/>
      <c r="M116" s="216"/>
      <c r="S116" s="197"/>
      <c r="T116" s="182" t="str">
        <f>RBproj!D120</f>
        <v>Dare Ogunbowale</v>
      </c>
      <c r="U116" s="290" t="str">
        <f>RBproj!E120</f>
        <v>HOU</v>
      </c>
      <c r="V116" s="183">
        <f>RBproj!F120</f>
        <v>26.04224</v>
      </c>
      <c r="W116" s="517">
        <f>IFERROR(IF(RBproj!H120="",RBproj!G120,RBproj!H120),0)</f>
        <v>8</v>
      </c>
      <c r="X116" s="504">
        <f>INDEX(Draft!$BW:$BW,MATCH(T116,Draft_Names_Master,0))</f>
        <v>0</v>
      </c>
      <c r="Y116">
        <v>0.114</v>
      </c>
      <c r="Z116">
        <f>IFERROR(IF(INDEX(Instructions!$X$64:$X$83,MATCH('Draft Slayer Classic'!T116,Instructions!$T$64:$T$83,0))&lt;=$E$25,1,0),0)</f>
        <v>0</v>
      </c>
      <c r="AA116">
        <f>IFERROR(INDEX(ADP!$A$7:$A$260,MATCH(T116,ADP!$D$7:$D$260,0)),999+Y116)</f>
        <v>999.11400000000003</v>
      </c>
      <c r="AB116">
        <f t="shared" si="6"/>
        <v>0.114</v>
      </c>
      <c r="AC116">
        <f>IFERROR(INDEX(Instructions!$U$111:$U$222,MATCH(T116,Instructions!$T$111:$T$222,0)),0)</f>
        <v>0</v>
      </c>
      <c r="AD116" s="197"/>
      <c r="AE116" s="182" t="str">
        <f>WRproj!D120</f>
        <v>Jauan Jennings</v>
      </c>
      <c r="AF116" s="290" t="str">
        <f>WRproj!E120</f>
        <v>SF</v>
      </c>
      <c r="AG116" s="183">
        <f>WRproj!F120</f>
        <v>57.554310000000001</v>
      </c>
      <c r="AH116" s="517">
        <f>IFERROR(IF(WRproj!H120="",WRproj!G120,WRproj!H120),0)</f>
        <v>8</v>
      </c>
      <c r="AI116" s="503">
        <f>INDEX(Draft!$BW:$BW,MATCH(AE116,Draft_Names_Master,0))</f>
        <v>0</v>
      </c>
      <c r="AJ116">
        <v>0.114</v>
      </c>
      <c r="AK116">
        <f>IFERROR(IF(INDEX(Instructions!$V$86:$V$105,MATCH('Draft Slayer Classic'!AE116,Instructions!$S$86:$S$105,0))&lt;=$E$25,1,0),0)</f>
        <v>0</v>
      </c>
      <c r="AL116">
        <f>IFERROR(INDEX(ADP!$A$7:$A$260,MATCH(AE116,ADP!$D$7:$D$260,0)),999+AJ116)</f>
        <v>999.11400000000003</v>
      </c>
      <c r="AM116">
        <f t="shared" si="7"/>
        <v>0.114</v>
      </c>
      <c r="AN116">
        <f>IFERROR(INDEX(Instructions!$U$111:$U$222,MATCH(AE116,Instructions!$T$111:$T$222,0)),0)</f>
        <v>0</v>
      </c>
      <c r="AO116" s="197"/>
      <c r="AP116" s="216"/>
      <c r="AQ116" s="216"/>
      <c r="AR116" s="216"/>
      <c r="AS116" s="216"/>
      <c r="AT116" s="216"/>
      <c r="AZ116" s="197"/>
      <c r="BA116" s="197"/>
      <c r="BB116" s="216"/>
      <c r="BE116" s="197"/>
      <c r="BF116" s="197"/>
      <c r="BG116" s="216"/>
      <c r="BH116" s="216"/>
      <c r="BK116" s="203"/>
      <c r="DE116">
        <v>114</v>
      </c>
      <c r="DF116" t="str">
        <f>IF(IFERROR(MATCH(FFARawStatProjections!A117,Draft!BY:BY,0),1)&lt;=1,IF(FFARawStatProjections!A117=0,"",FFARawStatProjections!A117),"")</f>
        <v>Christian McCaffrey</v>
      </c>
    </row>
    <row r="117" spans="1:110" x14ac:dyDescent="0.25">
      <c r="A117" s="196"/>
      <c r="B117" s="197"/>
      <c r="C117" s="197"/>
      <c r="D117" s="197"/>
      <c r="E117" s="197"/>
      <c r="F117" s="197"/>
      <c r="G117" s="197"/>
      <c r="H117" s="197"/>
      <c r="I117" s="222"/>
      <c r="J117" s="216"/>
      <c r="K117" s="216"/>
      <c r="L117" s="216"/>
      <c r="M117" s="216"/>
      <c r="S117" s="197"/>
      <c r="T117" s="187" t="str">
        <f>RBproj!D121</f>
        <v>Demetric Felton</v>
      </c>
      <c r="U117" s="461" t="str">
        <f>RBproj!E121</f>
        <v>CLE</v>
      </c>
      <c r="V117" s="184">
        <f>RBproj!F121</f>
        <v>25.372220000000002</v>
      </c>
      <c r="W117" s="517">
        <f>IFERROR(IF(RBproj!H121="",RBproj!G121,RBproj!H121),0)</f>
        <v>8</v>
      </c>
      <c r="X117" s="504">
        <f>INDEX(Draft!$BW:$BW,MATCH(T117,Draft_Names_Master,0))</f>
        <v>0</v>
      </c>
      <c r="Y117">
        <v>0.115</v>
      </c>
      <c r="Z117">
        <f>IFERROR(IF(INDEX(Instructions!$X$64:$X$83,MATCH('Draft Slayer Classic'!T117,Instructions!$T$64:$T$83,0))&lt;=$E$25,1,0),0)</f>
        <v>0</v>
      </c>
      <c r="AA117">
        <f>IFERROR(INDEX(ADP!$A$7:$A$260,MATCH(T117,ADP!$D$7:$D$260,0)),999+Y117)</f>
        <v>999.11500000000001</v>
      </c>
      <c r="AB117">
        <f t="shared" si="6"/>
        <v>0.115</v>
      </c>
      <c r="AC117">
        <f>IFERROR(INDEX(Instructions!$U$111:$U$222,MATCH(T117,Instructions!$T$111:$T$222,0)),0)</f>
        <v>0</v>
      </c>
      <c r="AD117" s="197"/>
      <c r="AE117" s="187" t="str">
        <f>WRproj!D121</f>
        <v>Chris Moore</v>
      </c>
      <c r="AF117" s="461" t="str">
        <f>WRproj!E121</f>
        <v>TEN</v>
      </c>
      <c r="AG117" s="184">
        <f>WRproj!F121</f>
        <v>56.964289999999998</v>
      </c>
      <c r="AH117" s="517">
        <f>IFERROR(IF(WRproj!H121="",WRproj!G121,WRproj!H121),0)</f>
        <v>8</v>
      </c>
      <c r="AI117" s="503">
        <f>INDEX(Draft!$BW:$BW,MATCH(AE117,Draft_Names_Master,0))</f>
        <v>0</v>
      </c>
      <c r="AJ117">
        <v>0.115</v>
      </c>
      <c r="AK117">
        <f>IFERROR(IF(INDEX(Instructions!$V$86:$V$105,MATCH('Draft Slayer Classic'!AE117,Instructions!$S$86:$S$105,0))&lt;=$E$25,1,0),0)</f>
        <v>0</v>
      </c>
      <c r="AL117">
        <f>IFERROR(INDEX(ADP!$A$7:$A$260,MATCH(AE117,ADP!$D$7:$D$260,0)),999+AJ117)</f>
        <v>999.11500000000001</v>
      </c>
      <c r="AM117">
        <f t="shared" si="7"/>
        <v>0.115</v>
      </c>
      <c r="AN117">
        <f>IFERROR(INDEX(Instructions!$U$111:$U$222,MATCH(AE117,Instructions!$T$111:$T$222,0)),0)</f>
        <v>0</v>
      </c>
      <c r="AO117" s="197"/>
      <c r="AP117" s="216"/>
      <c r="AQ117" s="216"/>
      <c r="AR117" s="216"/>
      <c r="AS117" s="216"/>
      <c r="AT117" s="216"/>
      <c r="AZ117" s="197"/>
      <c r="BA117" s="197"/>
      <c r="BB117" s="216"/>
      <c r="BE117" s="197"/>
      <c r="BF117" s="197"/>
      <c r="BG117" s="216"/>
      <c r="BH117" s="216"/>
      <c r="BK117" s="203"/>
      <c r="DE117">
        <v>115</v>
      </c>
      <c r="DF117" t="str">
        <f>IF(IFERROR(MATCH(FFARawStatProjections!A118,Draft!BY:BY,0),1)&lt;=1,IF(FFARawStatProjections!A118=0,"",FFARawStatProjections!A118),"")</f>
        <v>Austin Ekeler</v>
      </c>
    </row>
    <row r="118" spans="1:110" x14ac:dyDescent="0.25">
      <c r="A118" s="196"/>
      <c r="B118" s="197"/>
      <c r="C118" s="197"/>
      <c r="D118" s="197"/>
      <c r="E118" s="197"/>
      <c r="F118" s="197"/>
      <c r="G118" s="197"/>
      <c r="H118" s="197"/>
      <c r="I118" s="222"/>
      <c r="J118" s="216"/>
      <c r="K118" s="216"/>
      <c r="L118" s="216"/>
      <c r="M118" s="216"/>
      <c r="S118" s="197"/>
      <c r="T118" s="182" t="str">
        <f>RBproj!D122</f>
        <v>James Robinson</v>
      </c>
      <c r="U118" s="290" t="str">
        <f>RBproj!E122</f>
        <v>NYG</v>
      </c>
      <c r="V118" s="183">
        <f>RBproj!F122</f>
        <v>24.21228</v>
      </c>
      <c r="W118" s="517">
        <f>IFERROR(IF(RBproj!H122="",RBproj!G122,RBproj!H122),0)</f>
        <v>8</v>
      </c>
      <c r="X118" s="504">
        <f>INDEX(Draft!$BW:$BW,MATCH(T118,Draft_Names_Master,0))</f>
        <v>0</v>
      </c>
      <c r="Y118">
        <v>0.11600000000000001</v>
      </c>
      <c r="Z118">
        <f>IFERROR(IF(INDEX(Instructions!$X$64:$X$83,MATCH('Draft Slayer Classic'!T118,Instructions!$T$64:$T$83,0))&lt;=$E$25,1,0),0)</f>
        <v>0</v>
      </c>
      <c r="AA118">
        <f>IFERROR(INDEX(ADP!$A$7:$A$260,MATCH(T118,ADP!$D$7:$D$260,0)),999+Y118)</f>
        <v>180</v>
      </c>
      <c r="AB118">
        <f t="shared" si="6"/>
        <v>0.11600000000000001</v>
      </c>
      <c r="AC118">
        <f>IFERROR(INDEX(Instructions!$U$111:$U$222,MATCH(T118,Instructions!$T$111:$T$222,0)),0)</f>
        <v>0</v>
      </c>
      <c r="AD118" s="197"/>
      <c r="AE118" s="182" t="str">
        <f>WRproj!D122</f>
        <v>Kayshon Boutte</v>
      </c>
      <c r="AF118" s="290" t="str">
        <f>WRproj!E122</f>
        <v>NE</v>
      </c>
      <c r="AG118" s="183">
        <f>WRproj!F122</f>
        <v>50.744340000000001</v>
      </c>
      <c r="AH118" s="517">
        <f>IFERROR(IF(WRproj!H122="",WRproj!G122,WRproj!H122),0)</f>
        <v>8</v>
      </c>
      <c r="AI118" s="503">
        <f>INDEX(Draft!$BW:$BW,MATCH(AE118,Draft_Names_Master,0))</f>
        <v>0</v>
      </c>
      <c r="AJ118">
        <v>0.11600000000000001</v>
      </c>
      <c r="AK118">
        <f>IFERROR(IF(INDEX(Instructions!$V$86:$V$105,MATCH('Draft Slayer Classic'!AE118,Instructions!$S$86:$S$105,0))&lt;=$E$25,1,0),0)</f>
        <v>0</v>
      </c>
      <c r="AL118">
        <f>IFERROR(INDEX(ADP!$A$7:$A$260,MATCH(AE118,ADP!$D$7:$D$260,0)),999+AJ118)</f>
        <v>999.11599999999999</v>
      </c>
      <c r="AM118">
        <f t="shared" si="7"/>
        <v>0.11600000000000001</v>
      </c>
      <c r="AN118">
        <f>IFERROR(INDEX(Instructions!$U$111:$U$222,MATCH(AE118,Instructions!$T$111:$T$222,0)),0)</f>
        <v>0</v>
      </c>
      <c r="AO118" s="197"/>
      <c r="AP118" s="216"/>
      <c r="AQ118" s="216"/>
      <c r="AR118" s="216"/>
      <c r="AS118" s="216"/>
      <c r="AT118" s="216"/>
      <c r="AZ118" s="197"/>
      <c r="BA118" s="197"/>
      <c r="BB118" s="216"/>
      <c r="BE118" s="197"/>
      <c r="BF118" s="197"/>
      <c r="BG118" s="216"/>
      <c r="BH118" s="216"/>
      <c r="BK118" s="203"/>
      <c r="DE118">
        <v>116</v>
      </c>
      <c r="DF118" t="str">
        <f>IF(IFERROR(MATCH(FFARawStatProjections!A119,Draft!BY:BY,0),1)&lt;=1,IF(FFARawStatProjections!A119=0,"",FFARawStatProjections!A119),"")</f>
        <v>Nick Chubb</v>
      </c>
    </row>
    <row r="119" spans="1:110" x14ac:dyDescent="0.25">
      <c r="A119" s="196"/>
      <c r="B119" s="197"/>
      <c r="C119" s="197"/>
      <c r="D119" s="197"/>
      <c r="E119" s="197"/>
      <c r="F119" s="197"/>
      <c r="G119" s="197"/>
      <c r="H119" s="197"/>
      <c r="I119" s="222"/>
      <c r="J119" s="216"/>
      <c r="K119" s="216"/>
      <c r="L119" s="216"/>
      <c r="M119" s="216"/>
      <c r="S119" s="197"/>
      <c r="T119" s="187" t="str">
        <f>RBproj!D123</f>
        <v>Gary Brightwell</v>
      </c>
      <c r="U119" s="461" t="str">
        <f>RBproj!E123</f>
        <v>NYG</v>
      </c>
      <c r="V119" s="184">
        <f>RBproj!F123</f>
        <v>24.08229</v>
      </c>
      <c r="W119" s="517">
        <f>IFERROR(IF(RBproj!H123="",RBproj!G123,RBproj!H123),0)</f>
        <v>8</v>
      </c>
      <c r="X119" s="504">
        <f>INDEX(Draft!$BW:$BW,MATCH(T119,Draft_Names_Master,0))</f>
        <v>0</v>
      </c>
      <c r="Y119">
        <v>0.11700000000000001</v>
      </c>
      <c r="Z119">
        <f>IFERROR(IF(INDEX(Instructions!$X$64:$X$83,MATCH('Draft Slayer Classic'!T119,Instructions!$T$64:$T$83,0))&lt;=$E$25,1,0),0)</f>
        <v>0</v>
      </c>
      <c r="AA119">
        <f>IFERROR(INDEX(ADP!$A$7:$A$260,MATCH(T119,ADP!$D$7:$D$260,0)),999+Y119)</f>
        <v>999.11699999999996</v>
      </c>
      <c r="AB119">
        <f t="shared" si="6"/>
        <v>0.11700000000000001</v>
      </c>
      <c r="AC119">
        <f>IFERROR(INDEX(Instructions!$U$111:$U$222,MATCH(T119,Instructions!$T$111:$T$222,0)),0)</f>
        <v>0</v>
      </c>
      <c r="AD119" s="197"/>
      <c r="AE119" s="187" t="str">
        <f>WRproj!D123</f>
        <v>Kalif Raymond</v>
      </c>
      <c r="AF119" s="461" t="str">
        <f>WRproj!E123</f>
        <v>DET</v>
      </c>
      <c r="AG119" s="184">
        <f>WRproj!F123</f>
        <v>50.444320000000005</v>
      </c>
      <c r="AH119" s="517">
        <f>IFERROR(IF(WRproj!H123="",WRproj!G123,WRproj!H123),0)</f>
        <v>8</v>
      </c>
      <c r="AI119" s="503">
        <f>INDEX(Draft!$BW:$BW,MATCH(AE119,Draft_Names_Master,0))</f>
        <v>0</v>
      </c>
      <c r="AJ119">
        <v>0.11700000000000001</v>
      </c>
      <c r="AK119">
        <f>IFERROR(IF(INDEX(Instructions!$V$86:$V$105,MATCH('Draft Slayer Classic'!AE119,Instructions!$S$86:$S$105,0))&lt;=$E$25,1,0),0)</f>
        <v>0</v>
      </c>
      <c r="AL119">
        <f>IFERROR(INDEX(ADP!$A$7:$A$260,MATCH(AE119,ADP!$D$7:$D$260,0)),999+AJ119)</f>
        <v>999.11699999999996</v>
      </c>
      <c r="AM119">
        <f t="shared" si="7"/>
        <v>0.11700000000000001</v>
      </c>
      <c r="AN119">
        <f>IFERROR(INDEX(Instructions!$U$111:$U$222,MATCH(AE119,Instructions!$T$111:$T$222,0)),0)</f>
        <v>0</v>
      </c>
      <c r="AO119" s="197"/>
      <c r="AP119" s="216"/>
      <c r="AQ119" s="216"/>
      <c r="AR119" s="216"/>
      <c r="AS119" s="216"/>
      <c r="AT119" s="216"/>
      <c r="AZ119" s="197"/>
      <c r="BA119" s="197"/>
      <c r="BB119" s="216"/>
      <c r="BE119" s="197"/>
      <c r="BF119" s="197"/>
      <c r="BG119" s="216"/>
      <c r="BH119" s="216"/>
      <c r="BK119" s="203"/>
      <c r="DE119">
        <v>117</v>
      </c>
      <c r="DF119" t="str">
        <f>IF(IFERROR(MATCH(FFARawStatProjections!A120,Draft!BY:BY,0),1)&lt;=1,IF(FFARawStatProjections!A120=0,"",FFARawStatProjections!A120),"")</f>
        <v>Derrick Henry</v>
      </c>
    </row>
    <row r="120" spans="1:110" x14ac:dyDescent="0.25">
      <c r="A120" s="196"/>
      <c r="B120" s="197"/>
      <c r="C120" s="197"/>
      <c r="D120" s="197"/>
      <c r="E120" s="197"/>
      <c r="F120" s="197"/>
      <c r="G120" s="197"/>
      <c r="H120" s="197"/>
      <c r="I120" s="222"/>
      <c r="J120" s="216"/>
      <c r="K120" s="216"/>
      <c r="L120" s="216"/>
      <c r="M120" s="216"/>
      <c r="S120" s="197"/>
      <c r="T120" s="182" t="str">
        <f>RBproj!D124</f>
        <v>Kevin Harris</v>
      </c>
      <c r="U120" s="290" t="str">
        <f>RBproj!E124</f>
        <v>NE</v>
      </c>
      <c r="V120" s="183">
        <f>RBproj!F124</f>
        <v>23.48237</v>
      </c>
      <c r="W120" s="517">
        <f>IFERROR(IF(RBproj!H124="",RBproj!G124,RBproj!H124),0)</f>
        <v>8</v>
      </c>
      <c r="X120" s="504">
        <f>INDEX(Draft!$BW:$BW,MATCH(T120,Draft_Names_Master,0))</f>
        <v>0</v>
      </c>
      <c r="Y120">
        <v>0.11799999999999999</v>
      </c>
      <c r="Z120">
        <f>IFERROR(IF(INDEX(Instructions!$X$64:$X$83,MATCH('Draft Slayer Classic'!T120,Instructions!$T$64:$T$83,0))&lt;=$E$25,1,0),0)</f>
        <v>0</v>
      </c>
      <c r="AA120">
        <f>IFERROR(INDEX(ADP!$A$7:$A$260,MATCH(T120,ADP!$D$7:$D$260,0)),999+Y120)</f>
        <v>999.11800000000005</v>
      </c>
      <c r="AB120">
        <f t="shared" si="6"/>
        <v>0.11799999999999999</v>
      </c>
      <c r="AC120">
        <f>IFERROR(INDEX(Instructions!$U$111:$U$222,MATCH(T120,Instructions!$T$111:$T$222,0)),0)</f>
        <v>0</v>
      </c>
      <c r="AD120" s="197"/>
      <c r="AE120" s="182" t="str">
        <f>WRproj!D124</f>
        <v>Puka Nacua</v>
      </c>
      <c r="AF120" s="290" t="str">
        <f>WRproj!E124</f>
        <v>LAR</v>
      </c>
      <c r="AG120" s="183">
        <f>WRproj!F124</f>
        <v>48.914300000000004</v>
      </c>
      <c r="AH120" s="517">
        <f>IFERROR(IF(WRproj!H124="",WRproj!G124,WRproj!H124),0)</f>
        <v>8</v>
      </c>
      <c r="AI120" s="503">
        <f>INDEX(Draft!$BW:$BW,MATCH(AE120,Draft_Names_Master,0))</f>
        <v>0</v>
      </c>
      <c r="AJ120">
        <v>0.11799999999999999</v>
      </c>
      <c r="AK120">
        <f>IFERROR(IF(INDEX(Instructions!$V$86:$V$105,MATCH('Draft Slayer Classic'!AE120,Instructions!$S$86:$S$105,0))&lt;=$E$25,1,0),0)</f>
        <v>0</v>
      </c>
      <c r="AL120">
        <f>IFERROR(INDEX(ADP!$A$7:$A$260,MATCH(AE120,ADP!$D$7:$D$260,0)),999+AJ120)</f>
        <v>999.11800000000005</v>
      </c>
      <c r="AM120">
        <f t="shared" si="7"/>
        <v>0.11799999999999999</v>
      </c>
      <c r="AN120">
        <f>IFERROR(INDEX(Instructions!$U$111:$U$222,MATCH(AE120,Instructions!$T$111:$T$222,0)),0)</f>
        <v>0</v>
      </c>
      <c r="AO120" s="197"/>
      <c r="AP120" s="216"/>
      <c r="AQ120" s="216"/>
      <c r="AR120" s="216"/>
      <c r="AS120" s="216"/>
      <c r="AT120" s="216"/>
      <c r="AZ120" s="197"/>
      <c r="BA120" s="197"/>
      <c r="BB120" s="216"/>
      <c r="BE120" s="197"/>
      <c r="BF120" s="197"/>
      <c r="BG120" s="216"/>
      <c r="BH120" s="216"/>
      <c r="BK120" s="203"/>
      <c r="DE120">
        <v>118</v>
      </c>
      <c r="DF120" t="str">
        <f>IF(IFERROR(MATCH(FFARawStatProjections!A121,Draft!BY:BY,0),1)&lt;=1,IF(FFARawStatProjections!A121=0,"",FFARawStatProjections!A121),"")</f>
        <v>Josh Jacobs</v>
      </c>
    </row>
    <row r="121" spans="1:110" x14ac:dyDescent="0.25">
      <c r="A121" s="196"/>
      <c r="B121" s="197"/>
      <c r="C121" s="197"/>
      <c r="D121" s="197"/>
      <c r="E121" s="197"/>
      <c r="F121" s="197"/>
      <c r="G121" s="197"/>
      <c r="H121" s="197"/>
      <c r="I121" s="222"/>
      <c r="J121" s="216"/>
      <c r="K121" s="216"/>
      <c r="L121" s="216"/>
      <c r="M121" s="216"/>
      <c r="S121" s="197"/>
      <c r="T121" s="187" t="str">
        <f>RBproj!D125</f>
        <v>John Kelly</v>
      </c>
      <c r="U121" s="461" t="str">
        <f>RBproj!E125</f>
        <v>CLE</v>
      </c>
      <c r="V121" s="184">
        <f>RBproj!F125</f>
        <v>23.082349999999998</v>
      </c>
      <c r="W121" s="517">
        <f>IFERROR(IF(RBproj!H125="",RBproj!G125,RBproj!H125),0)</f>
        <v>8</v>
      </c>
      <c r="X121" s="504">
        <f>INDEX(Draft!$BW:$BW,MATCH(T121,Draft_Names_Master,0))</f>
        <v>0</v>
      </c>
      <c r="Y121">
        <v>0.11899999999999999</v>
      </c>
      <c r="Z121">
        <f>IFERROR(IF(INDEX(Instructions!$X$64:$X$83,MATCH('Draft Slayer Classic'!T121,Instructions!$T$64:$T$83,0))&lt;=$E$25,1,0),0)</f>
        <v>0</v>
      </c>
      <c r="AA121">
        <f>IFERROR(INDEX(ADP!$A$7:$A$260,MATCH(T121,ADP!$D$7:$D$260,0)),999+Y121)</f>
        <v>999.11900000000003</v>
      </c>
      <c r="AB121">
        <f t="shared" si="6"/>
        <v>0.11899999999999999</v>
      </c>
      <c r="AC121">
        <f>IFERROR(INDEX(Instructions!$U$111:$U$222,MATCH(T121,Instructions!$T$111:$T$222,0)),0)</f>
        <v>0</v>
      </c>
      <c r="AD121" s="197"/>
      <c r="AE121" s="187" t="str">
        <f>WRproj!D125</f>
        <v>Demarcus Robinson</v>
      </c>
      <c r="AF121" s="461" t="str">
        <f>WRproj!E125</f>
        <v>LAR</v>
      </c>
      <c r="AG121" s="184">
        <f>WRproj!F125</f>
        <v>47.944330000000008</v>
      </c>
      <c r="AH121" s="517">
        <f>IFERROR(IF(WRproj!H125="",WRproj!G125,WRproj!H125),0)</f>
        <v>8</v>
      </c>
      <c r="AI121" s="503">
        <f>INDEX(Draft!$BW:$BW,MATCH(AE121,Draft_Names_Master,0))</f>
        <v>0</v>
      </c>
      <c r="AJ121">
        <v>0.11899999999999999</v>
      </c>
      <c r="AK121">
        <f>IFERROR(IF(INDEX(Instructions!$V$86:$V$105,MATCH('Draft Slayer Classic'!AE121,Instructions!$S$86:$S$105,0))&lt;=$E$25,1,0),0)</f>
        <v>0</v>
      </c>
      <c r="AL121">
        <f>IFERROR(INDEX(ADP!$A$7:$A$260,MATCH(AE121,ADP!$D$7:$D$260,0)),999+AJ121)</f>
        <v>999.11900000000003</v>
      </c>
      <c r="AM121">
        <f t="shared" si="7"/>
        <v>0.11899999999999999</v>
      </c>
      <c r="AN121">
        <f>IFERROR(INDEX(Instructions!$U$111:$U$222,MATCH(AE121,Instructions!$T$111:$T$222,0)),0)</f>
        <v>0</v>
      </c>
      <c r="AO121" s="197"/>
      <c r="AP121" s="216"/>
      <c r="AQ121" s="216"/>
      <c r="AR121" s="216"/>
      <c r="AS121" s="216"/>
      <c r="AT121" s="216"/>
      <c r="AZ121" s="197"/>
      <c r="BA121" s="197"/>
      <c r="BB121" s="216"/>
      <c r="BE121" s="197"/>
      <c r="BF121" s="197"/>
      <c r="BG121" s="216"/>
      <c r="BH121" s="216"/>
      <c r="BK121" s="203"/>
      <c r="DE121">
        <v>119</v>
      </c>
      <c r="DF121" t="str">
        <f>IF(IFERROR(MATCH(FFARawStatProjections!A122,Draft!BY:BY,0),1)&lt;=1,IF(FFARawStatProjections!A122=0,"",FFARawStatProjections!A122),"")</f>
        <v>Bijan Robinson</v>
      </c>
    </row>
    <row r="122" spans="1:110" x14ac:dyDescent="0.25">
      <c r="A122" s="196"/>
      <c r="B122" s="197"/>
      <c r="C122" s="197"/>
      <c r="D122" s="197"/>
      <c r="E122" s="197"/>
      <c r="F122" s="197"/>
      <c r="G122" s="197"/>
      <c r="H122" s="197"/>
      <c r="I122" s="222"/>
      <c r="J122" s="216"/>
      <c r="K122" s="216"/>
      <c r="L122" s="216"/>
      <c r="M122" s="216"/>
      <c r="S122" s="197"/>
      <c r="T122" s="182" t="str">
        <f>RBproj!D126</f>
        <v>Damien Williams</v>
      </c>
      <c r="U122" s="290" t="str">
        <f>RBproj!E126</f>
        <v>LV</v>
      </c>
      <c r="V122" s="183">
        <f>RBproj!F126</f>
        <v>22.862269999999999</v>
      </c>
      <c r="W122" s="517">
        <f>IFERROR(IF(RBproj!H126="",RBproj!G126,RBproj!H126),0)</f>
        <v>8</v>
      </c>
      <c r="X122" s="504">
        <f>INDEX(Draft!$BW:$BW,MATCH(T122,Draft_Names_Master,0))</f>
        <v>0</v>
      </c>
      <c r="Y122">
        <v>0.12</v>
      </c>
      <c r="Z122">
        <f>IFERROR(IF(INDEX(Instructions!$X$64:$X$83,MATCH('Draft Slayer Classic'!T122,Instructions!$T$64:$T$83,0))&lt;=$E$25,1,0),0)</f>
        <v>0</v>
      </c>
      <c r="AA122">
        <f>IFERROR(INDEX(ADP!$A$7:$A$260,MATCH(T122,ADP!$D$7:$D$260,0)),999+Y122)</f>
        <v>999.12</v>
      </c>
      <c r="AB122">
        <f t="shared" si="6"/>
        <v>0.12</v>
      </c>
      <c r="AC122">
        <f>IFERROR(INDEX(Instructions!$U$111:$U$222,MATCH(T122,Instructions!$T$111:$T$222,0)),0)</f>
        <v>0</v>
      </c>
      <c r="AD122" s="197"/>
      <c r="AE122" s="182" t="str">
        <f>WRproj!D126</f>
        <v>Marquez Callaway</v>
      </c>
      <c r="AF122" s="290" t="str">
        <f>WRproj!E126</f>
        <v>DEN</v>
      </c>
      <c r="AG122" s="183">
        <f>WRproj!F126</f>
        <v>47.074350000000003</v>
      </c>
      <c r="AH122" s="517">
        <f>IFERROR(IF(WRproj!H126="",WRproj!G126,WRproj!H126),0)</f>
        <v>8</v>
      </c>
      <c r="AI122" s="503">
        <f>INDEX(Draft!$BW:$BW,MATCH(AE122,Draft_Names_Master,0))</f>
        <v>0</v>
      </c>
      <c r="AJ122">
        <v>0.12</v>
      </c>
      <c r="AK122">
        <f>IFERROR(IF(INDEX(Instructions!$V$86:$V$105,MATCH('Draft Slayer Classic'!AE122,Instructions!$S$86:$S$105,0))&lt;=$E$25,1,0),0)</f>
        <v>0</v>
      </c>
      <c r="AL122">
        <f>IFERROR(INDEX(ADP!$A$7:$A$260,MATCH(AE122,ADP!$D$7:$D$260,0)),999+AJ122)</f>
        <v>999.12</v>
      </c>
      <c r="AM122">
        <f t="shared" si="7"/>
        <v>0.12</v>
      </c>
      <c r="AN122">
        <f>IFERROR(INDEX(Instructions!$U$111:$U$222,MATCH(AE122,Instructions!$T$111:$T$222,0)),0)</f>
        <v>0</v>
      </c>
      <c r="AO122" s="197"/>
      <c r="AP122" s="216"/>
      <c r="AQ122" s="216"/>
      <c r="AR122" s="216"/>
      <c r="AS122" s="216"/>
      <c r="AT122" s="216"/>
      <c r="AZ122" s="197"/>
      <c r="BA122" s="197"/>
      <c r="BB122" s="216"/>
      <c r="BE122" s="197"/>
      <c r="BF122" s="197"/>
      <c r="BG122" s="216"/>
      <c r="BH122" s="216"/>
      <c r="BK122" s="203"/>
      <c r="DE122">
        <v>120</v>
      </c>
      <c r="DF122" t="str">
        <f>IF(IFERROR(MATCH(FFARawStatProjections!A123,Draft!BY:BY,0),1)&lt;=1,IF(FFARawStatProjections!A123=0,"",FFARawStatProjections!A123),"")</f>
        <v>Tony Pollard</v>
      </c>
    </row>
    <row r="123" spans="1:110" x14ac:dyDescent="0.25">
      <c r="A123" s="196"/>
      <c r="B123" s="197"/>
      <c r="C123" s="197"/>
      <c r="D123" s="197"/>
      <c r="E123" s="197"/>
      <c r="F123" s="197"/>
      <c r="G123" s="197"/>
      <c r="H123" s="197"/>
      <c r="I123" s="222"/>
      <c r="J123" s="216"/>
      <c r="K123" s="216"/>
      <c r="L123" s="216"/>
      <c r="M123" s="216"/>
      <c r="S123" s="197"/>
      <c r="T123" s="187" t="str">
        <f>RBproj!D127</f>
        <v>Tony Jones</v>
      </c>
      <c r="U123" s="461" t="str">
        <f>RBproj!E127</f>
        <v>DEN</v>
      </c>
      <c r="V123" s="184">
        <f>RBproj!F127</f>
        <v>22.772360000000003</v>
      </c>
      <c r="W123" s="517">
        <f>IFERROR(IF(RBproj!H127="",RBproj!G127,RBproj!H127),0)</f>
        <v>8</v>
      </c>
      <c r="X123" s="504">
        <f>INDEX(Draft!$BW:$BW,MATCH(T123,Draft_Names_Master,0))</f>
        <v>0</v>
      </c>
      <c r="Y123">
        <v>0.121</v>
      </c>
      <c r="Z123">
        <f>IFERROR(IF(INDEX(Instructions!$X$64:$X$83,MATCH('Draft Slayer Classic'!T123,Instructions!$T$64:$T$83,0))&lt;=$E$25,1,0),0)</f>
        <v>0</v>
      </c>
      <c r="AA123">
        <f>IFERROR(INDEX(ADP!$A$7:$A$260,MATCH(T123,ADP!$D$7:$D$260,0)),999+Y123)</f>
        <v>999.12099999999998</v>
      </c>
      <c r="AB123">
        <f t="shared" si="6"/>
        <v>0.121</v>
      </c>
      <c r="AC123">
        <f>IFERROR(INDEX(Instructions!$U$111:$U$222,MATCH(T123,Instructions!$T$111:$T$222,0)),0)</f>
        <v>0</v>
      </c>
      <c r="AD123" s="197"/>
      <c r="AE123" s="187" t="str">
        <f>WRproj!D127</f>
        <v>Olamide Zaccheaus</v>
      </c>
      <c r="AF123" s="461" t="str">
        <f>WRproj!E127</f>
        <v>PHI</v>
      </c>
      <c r="AG123" s="184">
        <f>WRproj!F127</f>
        <v>45.564410000000009</v>
      </c>
      <c r="AH123" s="517">
        <f>IFERROR(IF(WRproj!H127="",WRproj!G127,WRproj!H127),0)</f>
        <v>8</v>
      </c>
      <c r="AI123" s="503">
        <f>INDEX(Draft!$BW:$BW,MATCH(AE123,Draft_Names_Master,0))</f>
        <v>0</v>
      </c>
      <c r="AJ123">
        <v>0.121</v>
      </c>
      <c r="AK123">
        <f>IFERROR(IF(INDEX(Instructions!$V$86:$V$105,MATCH('Draft Slayer Classic'!AE123,Instructions!$S$86:$S$105,0))&lt;=$E$25,1,0),0)</f>
        <v>0</v>
      </c>
      <c r="AL123">
        <f>IFERROR(INDEX(ADP!$A$7:$A$260,MATCH(AE123,ADP!$D$7:$D$260,0)),999+AJ123)</f>
        <v>999.12099999999998</v>
      </c>
      <c r="AM123">
        <f t="shared" si="7"/>
        <v>0.121</v>
      </c>
      <c r="AN123">
        <f>IFERROR(INDEX(Instructions!$U$111:$U$222,MATCH(AE123,Instructions!$T$111:$T$222,0)),0)</f>
        <v>0</v>
      </c>
      <c r="AO123" s="197"/>
      <c r="AP123" s="216"/>
      <c r="AQ123" s="216"/>
      <c r="AR123" s="216"/>
      <c r="AS123" s="216"/>
      <c r="AT123" s="216"/>
      <c r="AZ123" s="197"/>
      <c r="BA123" s="197"/>
      <c r="BB123" s="216"/>
      <c r="BE123" s="197"/>
      <c r="BF123" s="197"/>
      <c r="BG123" s="216"/>
      <c r="BH123" s="216"/>
      <c r="BK123" s="203"/>
      <c r="DE123">
        <v>121</v>
      </c>
      <c r="DF123" t="str">
        <f>IF(IFERROR(MATCH(FFARawStatProjections!A124,Draft!BY:BY,0),1)&lt;=1,IF(FFARawStatProjections!A124=0,"",FFARawStatProjections!A124),"")</f>
        <v>Saquon Barkley</v>
      </c>
    </row>
    <row r="124" spans="1:110" x14ac:dyDescent="0.25">
      <c r="A124" s="196"/>
      <c r="B124" s="197"/>
      <c r="C124" s="197"/>
      <c r="D124" s="197"/>
      <c r="E124" s="197"/>
      <c r="F124" s="197"/>
      <c r="G124" s="197"/>
      <c r="H124" s="197"/>
      <c r="I124" s="222"/>
      <c r="J124" s="216"/>
      <c r="K124" s="216"/>
      <c r="L124" s="216"/>
      <c r="M124" s="216"/>
      <c r="S124" s="197"/>
      <c r="T124" s="182" t="str">
        <f>RBproj!D128</f>
        <v>Darrel Williams</v>
      </c>
      <c r="U124" s="290" t="str">
        <f>RBproj!E128</f>
        <v>NO</v>
      </c>
      <c r="V124" s="183">
        <f>RBproj!F128</f>
        <v>21.652560000000001</v>
      </c>
      <c r="W124" s="517">
        <f>IFERROR(IF(RBproj!H128="",RBproj!G128,RBproj!H128),0)</f>
        <v>8</v>
      </c>
      <c r="X124" s="504">
        <f>INDEX(Draft!$BW:$BW,MATCH(T124,Draft_Names_Master,0))</f>
        <v>0</v>
      </c>
      <c r="Y124">
        <v>0.122</v>
      </c>
      <c r="Z124">
        <f>IFERROR(IF(INDEX(Instructions!$X$64:$X$83,MATCH('Draft Slayer Classic'!T124,Instructions!$T$64:$T$83,0))&lt;=$E$25,1,0),0)</f>
        <v>0</v>
      </c>
      <c r="AA124">
        <f>IFERROR(INDEX(ADP!$A$7:$A$260,MATCH(T124,ADP!$D$7:$D$260,0)),999+Y124)</f>
        <v>999.12199999999996</v>
      </c>
      <c r="AB124">
        <f t="shared" si="6"/>
        <v>0.122</v>
      </c>
      <c r="AC124">
        <f>IFERROR(INDEX(Instructions!$U$111:$U$222,MATCH(T124,Instructions!$T$111:$T$222,0)),0)</f>
        <v>0</v>
      </c>
      <c r="AD124" s="197"/>
      <c r="AE124" s="182" t="str">
        <f>WRproj!D128</f>
        <v>David Moore</v>
      </c>
      <c r="AF124" s="290" t="str">
        <f>WRproj!E128</f>
        <v>TB</v>
      </c>
      <c r="AG124" s="183">
        <f>WRproj!F128</f>
        <v>44.814480000000003</v>
      </c>
      <c r="AH124" s="517">
        <f>IFERROR(IF(WRproj!H128="",WRproj!G128,WRproj!H128),0)</f>
        <v>8</v>
      </c>
      <c r="AI124" s="503">
        <f>INDEX(Draft!$BW:$BW,MATCH(AE124,Draft_Names_Master,0))</f>
        <v>0</v>
      </c>
      <c r="AJ124">
        <v>0.122</v>
      </c>
      <c r="AK124">
        <f>IFERROR(IF(INDEX(Instructions!$V$86:$V$105,MATCH('Draft Slayer Classic'!AE124,Instructions!$S$86:$S$105,0))&lt;=$E$25,1,0),0)</f>
        <v>0</v>
      </c>
      <c r="AL124">
        <f>IFERROR(INDEX(ADP!$A$7:$A$260,MATCH(AE124,ADP!$D$7:$D$260,0)),999+AJ124)</f>
        <v>999.12199999999996</v>
      </c>
      <c r="AM124">
        <f t="shared" si="7"/>
        <v>0.122</v>
      </c>
      <c r="AN124">
        <f>IFERROR(INDEX(Instructions!$U$111:$U$222,MATCH(AE124,Instructions!$T$111:$T$222,0)),0)</f>
        <v>0</v>
      </c>
      <c r="AO124" s="197"/>
      <c r="AP124" s="216"/>
      <c r="AQ124" s="216"/>
      <c r="AR124" s="216"/>
      <c r="AS124" s="216"/>
      <c r="AT124" s="216"/>
      <c r="AZ124" s="197"/>
      <c r="BA124" s="197"/>
      <c r="BB124" s="216"/>
      <c r="BE124" s="197"/>
      <c r="BF124" s="197"/>
      <c r="BG124" s="216"/>
      <c r="BH124" s="216"/>
      <c r="BK124" s="203"/>
      <c r="DE124">
        <v>122</v>
      </c>
      <c r="DF124" t="str">
        <f>IF(IFERROR(MATCH(FFARawStatProjections!A125,Draft!BY:BY,0),1)&lt;=1,IF(FFARawStatProjections!A125=0,"",FFARawStatProjections!A125),"")</f>
        <v>Jonathan Taylor</v>
      </c>
    </row>
    <row r="125" spans="1:110" x14ac:dyDescent="0.25">
      <c r="A125" s="196"/>
      <c r="B125" s="197"/>
      <c r="C125" s="197"/>
      <c r="D125" s="197"/>
      <c r="E125" s="197"/>
      <c r="F125" s="197"/>
      <c r="G125" s="197"/>
      <c r="H125" s="197"/>
      <c r="I125" s="222"/>
      <c r="J125" s="216"/>
      <c r="K125" s="216"/>
      <c r="L125" s="216"/>
      <c r="M125" s="216"/>
      <c r="S125" s="197"/>
      <c r="T125" s="187" t="str">
        <f>RBproj!D129</f>
        <v>Myles Gaskin</v>
      </c>
      <c r="U125" s="461" t="str">
        <f>RBproj!E129</f>
        <v>MIA</v>
      </c>
      <c r="V125" s="184">
        <f>RBproj!F129</f>
        <v>21.642500000000002</v>
      </c>
      <c r="W125" s="517">
        <f>IFERROR(IF(RBproj!H129="",RBproj!G129,RBproj!H129),0)</f>
        <v>8</v>
      </c>
      <c r="X125" s="504">
        <f>INDEX(Draft!$BW:$BW,MATCH(T125,Draft_Names_Master,0))</f>
        <v>0</v>
      </c>
      <c r="Y125">
        <v>0.123</v>
      </c>
      <c r="Z125">
        <f>IFERROR(IF(INDEX(Instructions!$X$64:$X$83,MATCH('Draft Slayer Classic'!T125,Instructions!$T$64:$T$83,0))&lt;=$E$25,1,0),0)</f>
        <v>0</v>
      </c>
      <c r="AA125">
        <f>IFERROR(INDEX(ADP!$A$7:$A$260,MATCH(T125,ADP!$D$7:$D$260,0)),999+Y125)</f>
        <v>999.12300000000005</v>
      </c>
      <c r="AB125">
        <f t="shared" si="6"/>
        <v>0.123</v>
      </c>
      <c r="AC125">
        <f>IFERROR(INDEX(Instructions!$U$111:$U$222,MATCH(T125,Instructions!$T$111:$T$222,0)),0)</f>
        <v>0</v>
      </c>
      <c r="AD125" s="197"/>
      <c r="AE125" s="187" t="str">
        <f>WRproj!D129</f>
        <v>Trent Sherfield</v>
      </c>
      <c r="AF125" s="461" t="str">
        <f>WRproj!E129</f>
        <v>BUF</v>
      </c>
      <c r="AG125" s="184">
        <f>WRproj!F129</f>
        <v>43.904370000000007</v>
      </c>
      <c r="AH125" s="517">
        <f>IFERROR(IF(WRproj!H129="",WRproj!G129,WRproj!H129),0)</f>
        <v>8</v>
      </c>
      <c r="AI125" s="503">
        <f>INDEX(Draft!$BW:$BW,MATCH(AE125,Draft_Names_Master,0))</f>
        <v>0</v>
      </c>
      <c r="AJ125">
        <v>0.123</v>
      </c>
      <c r="AK125">
        <f>IFERROR(IF(INDEX(Instructions!$V$86:$V$105,MATCH('Draft Slayer Classic'!AE125,Instructions!$S$86:$S$105,0))&lt;=$E$25,1,0),0)</f>
        <v>0</v>
      </c>
      <c r="AL125">
        <f>IFERROR(INDEX(ADP!$A$7:$A$260,MATCH(AE125,ADP!$D$7:$D$260,0)),999+AJ125)</f>
        <v>999.12300000000005</v>
      </c>
      <c r="AM125">
        <f t="shared" si="7"/>
        <v>0.123</v>
      </c>
      <c r="AN125">
        <f>IFERROR(INDEX(Instructions!$U$111:$U$222,MATCH(AE125,Instructions!$T$111:$T$222,0)),0)</f>
        <v>0</v>
      </c>
      <c r="AO125" s="197"/>
      <c r="AP125" s="216"/>
      <c r="AQ125" s="216"/>
      <c r="AR125" s="216"/>
      <c r="AS125" s="216"/>
      <c r="AT125" s="216"/>
      <c r="AZ125" s="197"/>
      <c r="BA125" s="197"/>
      <c r="BB125" s="216"/>
      <c r="BE125" s="197"/>
      <c r="BF125" s="197"/>
      <c r="BG125" s="216"/>
      <c r="BH125" s="216"/>
      <c r="BK125" s="203"/>
      <c r="DE125">
        <v>123</v>
      </c>
      <c r="DF125" t="str">
        <f>IF(IFERROR(MATCH(FFARawStatProjections!A126,Draft!BY:BY,0),1)&lt;=1,IF(FFARawStatProjections!A126=0,"",FFARawStatProjections!A126),"")</f>
        <v>Joe Mixon</v>
      </c>
    </row>
    <row r="126" spans="1:110" x14ac:dyDescent="0.25">
      <c r="A126" s="196"/>
      <c r="B126" s="197"/>
      <c r="C126" s="197"/>
      <c r="D126" s="197"/>
      <c r="E126" s="197"/>
      <c r="F126" s="197"/>
      <c r="G126" s="197"/>
      <c r="H126" s="197"/>
      <c r="I126" s="222"/>
      <c r="J126" s="216"/>
      <c r="K126" s="216"/>
      <c r="L126" s="216"/>
      <c r="M126" s="216"/>
      <c r="S126" s="197"/>
      <c r="T126" s="182" t="str">
        <f>RBproj!D130</f>
        <v>Tyrion Davis-Price</v>
      </c>
      <c r="U126" s="290" t="str">
        <f>RBproj!E130</f>
        <v>SF</v>
      </c>
      <c r="V126" s="183">
        <f>RBproj!F130</f>
        <v>21.272440000000003</v>
      </c>
      <c r="W126" s="517">
        <f>IFERROR(IF(RBproj!H130="",RBproj!G130,RBproj!H130),0)</f>
        <v>8</v>
      </c>
      <c r="X126" s="504">
        <f>INDEX(Draft!$BW:$BW,MATCH(T126,Draft_Names_Master,0))</f>
        <v>0</v>
      </c>
      <c r="Y126">
        <v>0.124</v>
      </c>
      <c r="Z126">
        <f>IFERROR(IF(INDEX(Instructions!$X$64:$X$83,MATCH('Draft Slayer Classic'!T126,Instructions!$T$64:$T$83,0))&lt;=$E$25,1,0),0)</f>
        <v>0</v>
      </c>
      <c r="AA126">
        <f>IFERROR(INDEX(ADP!$A$7:$A$260,MATCH(T126,ADP!$D$7:$D$260,0)),999+Y126)</f>
        <v>999.12400000000002</v>
      </c>
      <c r="AB126">
        <f t="shared" si="6"/>
        <v>0.124</v>
      </c>
      <c r="AC126">
        <f>IFERROR(INDEX(Instructions!$U$111:$U$222,MATCH(T126,Instructions!$T$111:$T$222,0)),0)</f>
        <v>0</v>
      </c>
      <c r="AD126" s="197"/>
      <c r="AE126" s="182" t="str">
        <f>WRproj!D130</f>
        <v>Kyle Philips</v>
      </c>
      <c r="AF126" s="290" t="str">
        <f>WRproj!E130</f>
        <v>TEN</v>
      </c>
      <c r="AG126" s="183">
        <f>WRproj!F130</f>
        <v>43.524379999999994</v>
      </c>
      <c r="AH126" s="517">
        <f>IFERROR(IF(WRproj!H130="",WRproj!G130,WRproj!H130),0)</f>
        <v>8</v>
      </c>
      <c r="AI126" s="503">
        <f>INDEX(Draft!$BW:$BW,MATCH(AE126,Draft_Names_Master,0))</f>
        <v>0</v>
      </c>
      <c r="AJ126">
        <v>0.124</v>
      </c>
      <c r="AK126">
        <f>IFERROR(IF(INDEX(Instructions!$V$86:$V$105,MATCH('Draft Slayer Classic'!AE126,Instructions!$S$86:$S$105,0))&lt;=$E$25,1,0),0)</f>
        <v>0</v>
      </c>
      <c r="AL126">
        <f>IFERROR(INDEX(ADP!$A$7:$A$260,MATCH(AE126,ADP!$D$7:$D$260,0)),999+AJ126)</f>
        <v>999.12400000000002</v>
      </c>
      <c r="AM126">
        <f t="shared" si="7"/>
        <v>0.124</v>
      </c>
      <c r="AN126">
        <f>IFERROR(INDEX(Instructions!$U$111:$U$222,MATCH(AE126,Instructions!$T$111:$T$222,0)),0)</f>
        <v>0</v>
      </c>
      <c r="AO126" s="197"/>
      <c r="AP126" s="216"/>
      <c r="AQ126" s="216"/>
      <c r="AR126" s="216"/>
      <c r="AS126" s="216"/>
      <c r="AT126" s="216"/>
      <c r="AZ126" s="197"/>
      <c r="BA126" s="197"/>
      <c r="BB126" s="216"/>
      <c r="BE126" s="197"/>
      <c r="BF126" s="197"/>
      <c r="BG126" s="216"/>
      <c r="BH126" s="216"/>
      <c r="BK126" s="203"/>
      <c r="DE126">
        <v>124</v>
      </c>
      <c r="DF126" t="str">
        <f>IF(IFERROR(MATCH(FFARawStatProjections!A127,Draft!BY:BY,0),1)&lt;=1,IF(FFARawStatProjections!A127=0,"",FFARawStatProjections!A127),"")</f>
        <v>Aaron Jones</v>
      </c>
    </row>
    <row r="127" spans="1:110" x14ac:dyDescent="0.25">
      <c r="A127" s="196"/>
      <c r="B127" s="197"/>
      <c r="C127" s="197"/>
      <c r="D127" s="197"/>
      <c r="E127" s="197"/>
      <c r="F127" s="197"/>
      <c r="G127" s="197"/>
      <c r="H127" s="197"/>
      <c r="I127" s="222"/>
      <c r="J127" s="216"/>
      <c r="K127" s="216"/>
      <c r="L127" s="216"/>
      <c r="M127" s="216"/>
      <c r="S127" s="197"/>
      <c r="T127" s="187" t="str">
        <f>RBproj!D131</f>
        <v>Salvon Ahmed</v>
      </c>
      <c r="U127" s="461" t="str">
        <f>RBproj!E131</f>
        <v>MIA</v>
      </c>
      <c r="V127" s="184">
        <f>RBproj!F131</f>
        <v>21.032389999999999</v>
      </c>
      <c r="W127" s="517">
        <f>IFERROR(IF(RBproj!H131="",RBproj!G131,RBproj!H131),0)</f>
        <v>8</v>
      </c>
      <c r="X127" s="504">
        <f>INDEX(Draft!$BW:$BW,MATCH(T127,Draft_Names_Master,0))</f>
        <v>0</v>
      </c>
      <c r="Y127">
        <v>0.125</v>
      </c>
      <c r="Z127">
        <f>IFERROR(IF(INDEX(Instructions!$X$64:$X$83,MATCH('Draft Slayer Classic'!T127,Instructions!$T$64:$T$83,0))&lt;=$E$25,1,0),0)</f>
        <v>0</v>
      </c>
      <c r="AA127">
        <f>IFERROR(INDEX(ADP!$A$7:$A$260,MATCH(T127,ADP!$D$7:$D$260,0)),999+Y127)</f>
        <v>999.125</v>
      </c>
      <c r="AB127">
        <f t="shared" si="6"/>
        <v>0.125</v>
      </c>
      <c r="AC127">
        <f>IFERROR(INDEX(Instructions!$U$111:$U$222,MATCH(T127,Instructions!$T$111:$T$222,0)),0)</f>
        <v>0</v>
      </c>
      <c r="AD127" s="197"/>
      <c r="AE127" s="187" t="str">
        <f>WRproj!D131</f>
        <v>Randall Cobb</v>
      </c>
      <c r="AF127" s="461" t="str">
        <f>WRproj!E131</f>
        <v>NYJ</v>
      </c>
      <c r="AG127" s="184">
        <f>WRproj!F131</f>
        <v>43.474359999999997</v>
      </c>
      <c r="AH127" s="517">
        <f>IFERROR(IF(WRproj!H131="",WRproj!G131,WRproj!H131),0)</f>
        <v>8</v>
      </c>
      <c r="AI127" s="503">
        <f>INDEX(Draft!$BW:$BW,MATCH(AE127,Draft_Names_Master,0))</f>
        <v>0</v>
      </c>
      <c r="AJ127">
        <v>0.125</v>
      </c>
      <c r="AK127">
        <f>IFERROR(IF(INDEX(Instructions!$V$86:$V$105,MATCH('Draft Slayer Classic'!AE127,Instructions!$S$86:$S$105,0))&lt;=$E$25,1,0),0)</f>
        <v>0</v>
      </c>
      <c r="AL127">
        <f>IFERROR(INDEX(ADP!$A$7:$A$260,MATCH(AE127,ADP!$D$7:$D$260,0)),999+AJ127)</f>
        <v>999.125</v>
      </c>
      <c r="AM127">
        <f t="shared" si="7"/>
        <v>0.125</v>
      </c>
      <c r="AN127">
        <f>IFERROR(INDEX(Instructions!$U$111:$U$222,MATCH(AE127,Instructions!$T$111:$T$222,0)),0)</f>
        <v>0</v>
      </c>
      <c r="AO127" s="197"/>
      <c r="AP127" s="216"/>
      <c r="AQ127" s="216"/>
      <c r="AR127" s="216"/>
      <c r="AS127" s="216"/>
      <c r="AT127" s="216"/>
      <c r="AZ127" s="197"/>
      <c r="BA127" s="197"/>
      <c r="BB127" s="216"/>
      <c r="BE127" s="197"/>
      <c r="BF127" s="197"/>
      <c r="BG127" s="216"/>
      <c r="BH127" s="216"/>
      <c r="BK127" s="203"/>
      <c r="DE127">
        <v>125</v>
      </c>
      <c r="DF127" t="str">
        <f>IF(IFERROR(MATCH(FFARawStatProjections!A128,Draft!BY:BY,0),1)&lt;=1,IF(FFARawStatProjections!A128=0,"",FFARawStatProjections!A128),"")</f>
        <v>Najee Harris</v>
      </c>
    </row>
    <row r="128" spans="1:110" x14ac:dyDescent="0.25">
      <c r="A128" s="196"/>
      <c r="B128" s="197"/>
      <c r="C128" s="197"/>
      <c r="D128" s="197"/>
      <c r="E128" s="197"/>
      <c r="F128" s="197"/>
      <c r="G128" s="197"/>
      <c r="H128" s="197"/>
      <c r="I128" s="222"/>
      <c r="J128" s="216"/>
      <c r="K128" s="216"/>
      <c r="L128" s="216"/>
      <c r="M128" s="216"/>
      <c r="S128" s="197"/>
      <c r="T128" s="182" t="str">
        <f>RBproj!D132</f>
        <v>Justice Hill</v>
      </c>
      <c r="U128" s="290" t="str">
        <f>RBproj!E132</f>
        <v>BAL</v>
      </c>
      <c r="V128" s="183">
        <f>RBproj!F132</f>
        <v>20.682490000000001</v>
      </c>
      <c r="W128" s="517">
        <f>IFERROR(IF(RBproj!H132="",RBproj!G132,RBproj!H132),0)</f>
        <v>8</v>
      </c>
      <c r="X128" s="504">
        <f>INDEX(Draft!$BW:$BW,MATCH(T128,Draft_Names_Master,0))</f>
        <v>0</v>
      </c>
      <c r="Y128">
        <v>0.126</v>
      </c>
      <c r="Z128">
        <f>IFERROR(IF(INDEX(Instructions!$X$64:$X$83,MATCH('Draft Slayer Classic'!T128,Instructions!$T$64:$T$83,0))&lt;=$E$25,1,0),0)</f>
        <v>0</v>
      </c>
      <c r="AA128">
        <f>IFERROR(INDEX(ADP!$A$7:$A$260,MATCH(T128,ADP!$D$7:$D$260,0)),999+Y128)</f>
        <v>999.12599999999998</v>
      </c>
      <c r="AB128">
        <f t="shared" si="6"/>
        <v>0.126</v>
      </c>
      <c r="AC128">
        <f>IFERROR(INDEX(Instructions!$U$111:$U$222,MATCH(T128,Instructions!$T$111:$T$222,0)),0)</f>
        <v>0</v>
      </c>
      <c r="AD128" s="197"/>
      <c r="AE128" s="182" t="str">
        <f>WRproj!D132</f>
        <v>Jamal Agnew</v>
      </c>
      <c r="AF128" s="290" t="str">
        <f>WRproj!E132</f>
        <v>JAC</v>
      </c>
      <c r="AG128" s="183">
        <f>WRproj!F132</f>
        <v>42.314390000000003</v>
      </c>
      <c r="AH128" s="517">
        <f>IFERROR(IF(WRproj!H132="",WRproj!G132,WRproj!H132),0)</f>
        <v>8</v>
      </c>
      <c r="AI128" s="503">
        <f>INDEX(Draft!$BW:$BW,MATCH(AE128,Draft_Names_Master,0))</f>
        <v>0</v>
      </c>
      <c r="AJ128">
        <v>0.126</v>
      </c>
      <c r="AK128">
        <f>IFERROR(IF(INDEX(Instructions!$V$86:$V$105,MATCH('Draft Slayer Classic'!AE128,Instructions!$S$86:$S$105,0))&lt;=$E$25,1,0),0)</f>
        <v>0</v>
      </c>
      <c r="AL128">
        <f>IFERROR(INDEX(ADP!$A$7:$A$260,MATCH(AE128,ADP!$D$7:$D$260,0)),999+AJ128)</f>
        <v>999.12599999999998</v>
      </c>
      <c r="AM128">
        <f t="shared" si="7"/>
        <v>0.126</v>
      </c>
      <c r="AN128">
        <f>IFERROR(INDEX(Instructions!$U$111:$U$222,MATCH(AE128,Instructions!$T$111:$T$222,0)),0)</f>
        <v>0</v>
      </c>
      <c r="AO128" s="197"/>
      <c r="AP128" s="216"/>
      <c r="AQ128" s="216"/>
      <c r="AR128" s="216"/>
      <c r="AS128" s="216"/>
      <c r="AT128" s="216"/>
      <c r="AZ128" s="197"/>
      <c r="BA128" s="197"/>
      <c r="BB128" s="216"/>
      <c r="BE128" s="197"/>
      <c r="BF128" s="197"/>
      <c r="BG128" s="216"/>
      <c r="BH128" s="216"/>
      <c r="BK128" s="203"/>
      <c r="DE128">
        <v>126</v>
      </c>
      <c r="DF128" t="str">
        <f>IF(IFERROR(MATCH(FFARawStatProjections!A129,Draft!BY:BY,0),1)&lt;=1,IF(FFARawStatProjections!A129=0,"",FFARawStatProjections!A129),"")</f>
        <v>Travis Etienne</v>
      </c>
    </row>
    <row r="129" spans="1:110" x14ac:dyDescent="0.25">
      <c r="A129" s="196"/>
      <c r="B129" s="197"/>
      <c r="C129" s="197"/>
      <c r="D129" s="197"/>
      <c r="E129" s="197"/>
      <c r="F129" s="197"/>
      <c r="G129" s="197"/>
      <c r="H129" s="197"/>
      <c r="I129" s="222"/>
      <c r="J129" s="216"/>
      <c r="K129" s="216"/>
      <c r="L129" s="216"/>
      <c r="M129" s="216"/>
      <c r="S129" s="197"/>
      <c r="T129" s="187" t="str">
        <f>RBproj!D133</f>
        <v>Brandon Bolden</v>
      </c>
      <c r="U129" s="461" t="str">
        <f>RBproj!E133</f>
        <v>LV</v>
      </c>
      <c r="V129" s="184">
        <f>RBproj!F133</f>
        <v>20.462420000000002</v>
      </c>
      <c r="W129" s="517">
        <f>IFERROR(IF(RBproj!H133="",RBproj!G133,RBproj!H133),0)</f>
        <v>8</v>
      </c>
      <c r="X129" s="504">
        <f>INDEX(Draft!$BW:$BW,MATCH(T129,Draft_Names_Master,0))</f>
        <v>0</v>
      </c>
      <c r="Y129">
        <v>0.127</v>
      </c>
      <c r="Z129">
        <f>IFERROR(IF(INDEX(Instructions!$X$64:$X$83,MATCH('Draft Slayer Classic'!T129,Instructions!$T$64:$T$83,0))&lt;=$E$25,1,0),0)</f>
        <v>0</v>
      </c>
      <c r="AA129">
        <f>IFERROR(INDEX(ADP!$A$7:$A$260,MATCH(T129,ADP!$D$7:$D$260,0)),999+Y129)</f>
        <v>999.12699999999995</v>
      </c>
      <c r="AB129">
        <f t="shared" si="6"/>
        <v>0.127</v>
      </c>
      <c r="AC129">
        <f>IFERROR(INDEX(Instructions!$U$111:$U$222,MATCH(T129,Instructions!$T$111:$T$222,0)),0)</f>
        <v>0</v>
      </c>
      <c r="AD129" s="197"/>
      <c r="AE129" s="187" t="str">
        <f>WRproj!D133</f>
        <v>Charlie Jones</v>
      </c>
      <c r="AF129" s="461" t="str">
        <f>WRproj!E133</f>
        <v>CIN</v>
      </c>
      <c r="AG129" s="184">
        <f>WRproj!F133</f>
        <v>42.234249999999996</v>
      </c>
      <c r="AH129" s="517">
        <f>IFERROR(IF(WRproj!H133="",WRproj!G133,WRproj!H133),0)</f>
        <v>8</v>
      </c>
      <c r="AI129" s="503">
        <f>INDEX(Draft!$BW:$BW,MATCH(AE129,Draft_Names_Master,0))</f>
        <v>0</v>
      </c>
      <c r="AJ129">
        <v>0.127</v>
      </c>
      <c r="AK129">
        <f>IFERROR(IF(INDEX(Instructions!$V$86:$V$105,MATCH('Draft Slayer Classic'!AE129,Instructions!$S$86:$S$105,0))&lt;=$E$25,1,0),0)</f>
        <v>0</v>
      </c>
      <c r="AL129">
        <f>IFERROR(INDEX(ADP!$A$7:$A$260,MATCH(AE129,ADP!$D$7:$D$260,0)),999+AJ129)</f>
        <v>999.12699999999995</v>
      </c>
      <c r="AM129">
        <f t="shared" si="7"/>
        <v>0.127</v>
      </c>
      <c r="AN129">
        <f>IFERROR(INDEX(Instructions!$U$111:$U$222,MATCH(AE129,Instructions!$T$111:$T$222,0)),0)</f>
        <v>0</v>
      </c>
      <c r="AO129" s="197"/>
      <c r="AP129" s="216"/>
      <c r="AQ129" s="216"/>
      <c r="AR129" s="216"/>
      <c r="AS129" s="216"/>
      <c r="AT129" s="216"/>
      <c r="AZ129" s="197"/>
      <c r="BA129" s="197"/>
      <c r="BB129" s="216"/>
      <c r="BE129" s="197"/>
      <c r="BF129" s="197"/>
      <c r="BG129" s="216"/>
      <c r="BH129" s="216"/>
      <c r="BK129" s="203"/>
      <c r="DE129">
        <v>127</v>
      </c>
      <c r="DF129" t="str">
        <f>IF(IFERROR(MATCH(FFARawStatProjections!A130,Draft!BY:BY,0),1)&lt;=1,IF(FFARawStatProjections!A130=0,"",FFARawStatProjections!A130),"")</f>
        <v>Alexander Mattison</v>
      </c>
    </row>
    <row r="130" spans="1:110" x14ac:dyDescent="0.25">
      <c r="A130" s="196"/>
      <c r="B130" s="197"/>
      <c r="C130" s="197"/>
      <c r="D130" s="197"/>
      <c r="E130" s="197"/>
      <c r="F130" s="197"/>
      <c r="G130" s="197"/>
      <c r="H130" s="197"/>
      <c r="I130" s="222"/>
      <c r="J130" s="216"/>
      <c r="K130" s="216"/>
      <c r="L130" s="216"/>
      <c r="M130" s="216"/>
      <c r="S130" s="197"/>
      <c r="T130" s="182" t="str">
        <f>RBproj!D134</f>
        <v>Jonathan Williams</v>
      </c>
      <c r="U130" s="290" t="str">
        <f>RBproj!E134</f>
        <v>WAS</v>
      </c>
      <c r="V130" s="183">
        <f>RBproj!F134</f>
        <v>20.42238</v>
      </c>
      <c r="W130" s="517">
        <f>IFERROR(IF(RBproj!H134="",RBproj!G134,RBproj!H134),0)</f>
        <v>8</v>
      </c>
      <c r="X130" s="504">
        <f>INDEX(Draft!$BW:$BW,MATCH(T130,Draft_Names_Master,0))</f>
        <v>0</v>
      </c>
      <c r="Y130">
        <v>0.128</v>
      </c>
      <c r="Z130">
        <f>IFERROR(IF(INDEX(Instructions!$X$64:$X$83,MATCH('Draft Slayer Classic'!T130,Instructions!$T$64:$T$83,0))&lt;=$E$25,1,0),0)</f>
        <v>0</v>
      </c>
      <c r="AA130">
        <f>IFERROR(INDEX(ADP!$A$7:$A$260,MATCH(T130,ADP!$D$7:$D$260,0)),999+Y130)</f>
        <v>999.12800000000004</v>
      </c>
      <c r="AB130">
        <f t="shared" si="6"/>
        <v>0.128</v>
      </c>
      <c r="AC130">
        <f>IFERROR(INDEX(Instructions!$U$111:$U$222,MATCH(T130,Instructions!$T$111:$T$222,0)),0)</f>
        <v>0</v>
      </c>
      <c r="AD130" s="197"/>
      <c r="AE130" s="182" t="str">
        <f>WRproj!D134</f>
        <v>Demario Douglas</v>
      </c>
      <c r="AF130" s="290" t="str">
        <f>WRproj!E134</f>
        <v>NE</v>
      </c>
      <c r="AG130" s="183">
        <f>WRproj!F134</f>
        <v>41.604420000000012</v>
      </c>
      <c r="AH130" s="517">
        <f>IFERROR(IF(WRproj!H134="",WRproj!G134,WRproj!H134),0)</f>
        <v>8</v>
      </c>
      <c r="AI130" s="503">
        <f>INDEX(Draft!$BW:$BW,MATCH(AE130,Draft_Names_Master,0))</f>
        <v>0</v>
      </c>
      <c r="AJ130">
        <v>0.128</v>
      </c>
      <c r="AK130">
        <f>IFERROR(IF(INDEX(Instructions!$V$86:$V$105,MATCH('Draft Slayer Classic'!AE130,Instructions!$S$86:$S$105,0))&lt;=$E$25,1,0),0)</f>
        <v>0</v>
      </c>
      <c r="AL130">
        <f>IFERROR(INDEX(ADP!$A$7:$A$260,MATCH(AE130,ADP!$D$7:$D$260,0)),999+AJ130)</f>
        <v>999.12800000000004</v>
      </c>
      <c r="AM130">
        <f t="shared" si="7"/>
        <v>0.128</v>
      </c>
      <c r="AN130">
        <f>IFERROR(INDEX(Instructions!$U$111:$U$222,MATCH(AE130,Instructions!$T$111:$T$222,0)),0)</f>
        <v>0</v>
      </c>
      <c r="AO130" s="197"/>
      <c r="AP130" s="216"/>
      <c r="AQ130" s="216"/>
      <c r="AR130" s="216"/>
      <c r="AS130" s="216"/>
      <c r="AT130" s="216"/>
      <c r="AZ130" s="197"/>
      <c r="BA130" s="197"/>
      <c r="BB130" s="216"/>
      <c r="BE130" s="197"/>
      <c r="BF130" s="197"/>
      <c r="BG130" s="216"/>
      <c r="BH130" s="216"/>
      <c r="BK130" s="203"/>
      <c r="DE130">
        <v>128</v>
      </c>
      <c r="DF130" t="str">
        <f>IF(IFERROR(MATCH(FFARawStatProjections!A131,Draft!BY:BY,0),1)&lt;=1,IF(FFARawStatProjections!A131=0,"",FFARawStatProjections!A131),"")</f>
        <v>Kenneth Walker</v>
      </c>
    </row>
    <row r="131" spans="1:110" x14ac:dyDescent="0.25">
      <c r="A131" s="196"/>
      <c r="B131" s="197"/>
      <c r="C131" s="197"/>
      <c r="D131" s="197"/>
      <c r="E131" s="197"/>
      <c r="F131" s="197"/>
      <c r="G131" s="197"/>
      <c r="H131" s="197"/>
      <c r="I131" s="222"/>
      <c r="J131" s="216"/>
      <c r="K131" s="216"/>
      <c r="L131" s="216"/>
      <c r="M131" s="216"/>
      <c r="S131" s="197"/>
      <c r="T131" s="187" t="str">
        <f>RBproj!D135</f>
        <v>Lew Nichols</v>
      </c>
      <c r="U131" s="461" t="str">
        <f>RBproj!E135</f>
        <v>GB</v>
      </c>
      <c r="V131" s="184">
        <f>RBproj!F135</f>
        <v>20.33257</v>
      </c>
      <c r="W131" s="517">
        <f>IFERROR(IF(RBproj!H135="",RBproj!G135,RBproj!H135),0)</f>
        <v>8</v>
      </c>
      <c r="X131" s="504">
        <f>INDEX(Draft!$BW:$BW,MATCH(T131,Draft_Names_Master,0))</f>
        <v>0</v>
      </c>
      <c r="Y131">
        <v>0.129</v>
      </c>
      <c r="Z131">
        <f>IFERROR(IF(INDEX(Instructions!$X$64:$X$83,MATCH('Draft Slayer Classic'!T131,Instructions!$T$64:$T$83,0))&lt;=$E$25,1,0),0)</f>
        <v>0</v>
      </c>
      <c r="AA131">
        <f>IFERROR(INDEX(ADP!$A$7:$A$260,MATCH(T131,ADP!$D$7:$D$260,0)),999+Y131)</f>
        <v>999.12900000000002</v>
      </c>
      <c r="AB131">
        <f t="shared" si="6"/>
        <v>0.129</v>
      </c>
      <c r="AC131">
        <f>IFERROR(INDEX(Instructions!$U$111:$U$222,MATCH(T131,Instructions!$T$111:$T$222,0)),0)</f>
        <v>0</v>
      </c>
      <c r="AD131" s="197"/>
      <c r="AE131" s="187" t="str">
        <f>WRproj!D135</f>
        <v>Cedrick Wilson</v>
      </c>
      <c r="AF131" s="461" t="str">
        <f>WRproj!E135</f>
        <v>MIA</v>
      </c>
      <c r="AG131" s="184">
        <f>WRproj!F135</f>
        <v>40.624440000000007</v>
      </c>
      <c r="AH131" s="517">
        <f>IFERROR(IF(WRproj!H135="",WRproj!G135,WRproj!H135),0)</f>
        <v>8</v>
      </c>
      <c r="AI131" s="503">
        <f>INDEX(Draft!$BW:$BW,MATCH(AE131,Draft_Names_Master,0))</f>
        <v>0</v>
      </c>
      <c r="AJ131">
        <v>0.129</v>
      </c>
      <c r="AK131">
        <f>IFERROR(IF(INDEX(Instructions!$V$86:$V$105,MATCH('Draft Slayer Classic'!AE131,Instructions!$S$86:$S$105,0))&lt;=$E$25,1,0),0)</f>
        <v>0</v>
      </c>
      <c r="AL131">
        <f>IFERROR(INDEX(ADP!$A$7:$A$260,MATCH(AE131,ADP!$D$7:$D$260,0)),999+AJ131)</f>
        <v>999.12900000000002</v>
      </c>
      <c r="AM131">
        <f t="shared" si="7"/>
        <v>0.129</v>
      </c>
      <c r="AN131">
        <f>IFERROR(INDEX(Instructions!$U$111:$U$222,MATCH(AE131,Instructions!$T$111:$T$222,0)),0)</f>
        <v>0</v>
      </c>
      <c r="AO131" s="197"/>
      <c r="AP131" s="216"/>
      <c r="AQ131" s="216"/>
      <c r="AR131" s="216"/>
      <c r="AS131" s="216"/>
      <c r="AT131" s="216"/>
      <c r="AZ131" s="197"/>
      <c r="BA131" s="197"/>
      <c r="BB131" s="216"/>
      <c r="BE131" s="197"/>
      <c r="BF131" s="197"/>
      <c r="BG131" s="216"/>
      <c r="BH131" s="216"/>
      <c r="BK131" s="203"/>
      <c r="DE131">
        <v>129</v>
      </c>
      <c r="DF131" t="str">
        <f>IF(IFERROR(MATCH(FFARawStatProjections!A132,Draft!BY:BY,0),1)&lt;=1,IF(FFARawStatProjections!A132=0,"",FFARawStatProjections!A132),"")</f>
        <v>Rhamondre Stevenson</v>
      </c>
    </row>
    <row r="132" spans="1:110" x14ac:dyDescent="0.25">
      <c r="A132" s="196"/>
      <c r="B132" s="197"/>
      <c r="C132" s="197"/>
      <c r="D132" s="197"/>
      <c r="E132" s="197"/>
      <c r="F132" s="197"/>
      <c r="G132" s="197"/>
      <c r="H132" s="197"/>
      <c r="I132" s="222"/>
      <c r="J132" s="216"/>
      <c r="K132" s="216"/>
      <c r="L132" s="216"/>
      <c r="M132" s="216"/>
      <c r="S132" s="197"/>
      <c r="T132" s="182" t="str">
        <f>RBproj!D136</f>
        <v>Reggie Gilliam</v>
      </c>
      <c r="U132" s="290" t="str">
        <f>RBproj!E136</f>
        <v>BUF</v>
      </c>
      <c r="V132" s="183">
        <f>RBproj!F136</f>
        <v>19.992340000000002</v>
      </c>
      <c r="W132" s="517">
        <f>IFERROR(IF(RBproj!H136="",RBproj!G136,RBproj!H136),0)</f>
        <v>8</v>
      </c>
      <c r="X132" s="504">
        <f>INDEX(Draft!$BW:$BW,MATCH(T132,Draft_Names_Master,0))</f>
        <v>0</v>
      </c>
      <c r="Y132">
        <v>0.13</v>
      </c>
      <c r="Z132">
        <f>IFERROR(IF(INDEX(Instructions!$X$64:$X$83,MATCH('Draft Slayer Classic'!T132,Instructions!$T$64:$T$83,0))&lt;=$E$25,1,0),0)</f>
        <v>0</v>
      </c>
      <c r="AA132">
        <f>IFERROR(INDEX(ADP!$A$7:$A$260,MATCH(T132,ADP!$D$7:$D$260,0)),999+Y132)</f>
        <v>999.13</v>
      </c>
      <c r="AB132">
        <f t="shared" ref="AB132:AB135" si="9">IFERROR(IF(AND(AC132&gt;0,X132=0),AC132,IF(X132=0,Y132,1)),999)</f>
        <v>0.13</v>
      </c>
      <c r="AC132">
        <f>IFERROR(INDEX(Instructions!$U$111:$U$222,MATCH(T132,Instructions!$T$111:$T$222,0)),0)</f>
        <v>0</v>
      </c>
      <c r="AD132" s="197"/>
      <c r="AE132" s="182" t="str">
        <f>WRproj!D136</f>
        <v>Marquise Goodwin</v>
      </c>
      <c r="AF132" s="290" t="str">
        <f>WRproj!E136</f>
        <v>CLE</v>
      </c>
      <c r="AG132" s="183">
        <f>WRproj!F136</f>
        <v>40.1145</v>
      </c>
      <c r="AH132" s="517">
        <f>IFERROR(IF(WRproj!H136="",WRproj!G136,WRproj!H136),0)</f>
        <v>8</v>
      </c>
      <c r="AI132" s="503">
        <f>INDEX(Draft!$BW:$BW,MATCH(AE132,Draft_Names_Master,0))</f>
        <v>0</v>
      </c>
      <c r="AJ132">
        <v>0.13</v>
      </c>
      <c r="AK132">
        <f>IFERROR(IF(INDEX(Instructions!$V$86:$V$105,MATCH('Draft Slayer Classic'!AE132,Instructions!$S$86:$S$105,0))&lt;=$E$25,1,0),0)</f>
        <v>0</v>
      </c>
      <c r="AL132">
        <f>IFERROR(INDEX(ADP!$A$7:$A$260,MATCH(AE132,ADP!$D$7:$D$260,0)),999+AJ132)</f>
        <v>999.13</v>
      </c>
      <c r="AM132">
        <f t="shared" ref="AM132:AM177" si="10">IFERROR(IF(AND(AN132&gt;0,AI132=0),AN132,IF(AI132=0,AJ132,1)),999)</f>
        <v>0.13</v>
      </c>
      <c r="AN132">
        <f>IFERROR(INDEX(Instructions!$U$111:$U$222,MATCH(AE132,Instructions!$T$111:$T$222,0)),0)</f>
        <v>0</v>
      </c>
      <c r="AO132" s="197"/>
      <c r="AP132" s="216"/>
      <c r="AQ132" s="216"/>
      <c r="AR132" s="216"/>
      <c r="AS132" s="216"/>
      <c r="AT132" s="216"/>
      <c r="AZ132" s="197"/>
      <c r="BA132" s="197"/>
      <c r="BB132" s="216"/>
      <c r="BE132" s="197"/>
      <c r="BF132" s="197"/>
      <c r="BG132" s="216"/>
      <c r="BH132" s="216"/>
      <c r="BK132" s="203"/>
      <c r="DE132">
        <v>130</v>
      </c>
      <c r="DF132" t="str">
        <f>IF(IFERROR(MATCH(FFARawStatProjections!A133,Draft!BY:BY,0),1)&lt;=1,IF(FFARawStatProjections!A133=0,"",FFARawStatProjections!A133),"")</f>
        <v>James Conner</v>
      </c>
    </row>
    <row r="133" spans="1:110" x14ac:dyDescent="0.25">
      <c r="A133" s="196"/>
      <c r="B133" s="197"/>
      <c r="C133" s="197"/>
      <c r="D133" s="197"/>
      <c r="E133" s="197"/>
      <c r="F133" s="197"/>
      <c r="G133" s="197"/>
      <c r="H133" s="197"/>
      <c r="I133" s="222"/>
      <c r="J133" s="216"/>
      <c r="K133" s="216"/>
      <c r="L133" s="216"/>
      <c r="M133" s="216"/>
      <c r="S133" s="197"/>
      <c r="T133" s="187" t="str">
        <f>RBproj!D137</f>
        <v>Kirk Merritt</v>
      </c>
      <c r="U133" s="461" t="str">
        <f>RBproj!E137</f>
        <v>NO</v>
      </c>
      <c r="V133" s="184">
        <f>RBproj!F137</f>
        <v>19.80247</v>
      </c>
      <c r="W133" s="517">
        <f>IFERROR(IF(RBproj!H137="",RBproj!G137,RBproj!H137),0)</f>
        <v>8</v>
      </c>
      <c r="X133" s="504">
        <f>INDEX(Draft!$BW:$BW,MATCH(T133,Draft_Names_Master,0))</f>
        <v>0</v>
      </c>
      <c r="Y133">
        <v>0.13100000000000001</v>
      </c>
      <c r="Z133">
        <f>IFERROR(IF(INDEX(Instructions!$X$64:$X$83,MATCH('Draft Slayer Classic'!T133,Instructions!$T$64:$T$83,0))&lt;=$E$25,1,0),0)</f>
        <v>0</v>
      </c>
      <c r="AA133">
        <f>IFERROR(INDEX(ADP!$A$7:$A$260,MATCH(T133,ADP!$D$7:$D$260,0)),999+Y133)</f>
        <v>999.13099999999997</v>
      </c>
      <c r="AB133">
        <f t="shared" si="9"/>
        <v>0.13100000000000001</v>
      </c>
      <c r="AC133">
        <f>IFERROR(INDEX(Instructions!$U$111:$U$222,MATCH(T133,Instructions!$T$111:$T$222,0)),0)</f>
        <v>0</v>
      </c>
      <c r="AD133" s="197"/>
      <c r="AE133" s="187" t="str">
        <f>WRproj!D137</f>
        <v>Noah Brown</v>
      </c>
      <c r="AF133" s="461" t="str">
        <f>WRproj!E137</f>
        <v>HOU</v>
      </c>
      <c r="AG133" s="184">
        <f>WRproj!F137</f>
        <v>39.384450000000001</v>
      </c>
      <c r="AH133" s="517">
        <f>IFERROR(IF(WRproj!H137="",WRproj!G137,WRproj!H137),0)</f>
        <v>8</v>
      </c>
      <c r="AI133" s="503">
        <f>INDEX(Draft!$BW:$BW,MATCH(AE133,Draft_Names_Master,0))</f>
        <v>0</v>
      </c>
      <c r="AJ133">
        <v>0.13100000000000001</v>
      </c>
      <c r="AK133">
        <f>IFERROR(IF(INDEX(Instructions!$V$86:$V$105,MATCH('Draft Slayer Classic'!AE133,Instructions!$S$86:$S$105,0))&lt;=$E$25,1,0),0)</f>
        <v>0</v>
      </c>
      <c r="AL133">
        <f>IFERROR(INDEX(ADP!$A$7:$A$260,MATCH(AE133,ADP!$D$7:$D$260,0)),999+AJ133)</f>
        <v>999.13099999999997</v>
      </c>
      <c r="AM133">
        <f t="shared" si="10"/>
        <v>0.13100000000000001</v>
      </c>
      <c r="AN133">
        <f>IFERROR(INDEX(Instructions!$U$111:$U$222,MATCH(AE133,Instructions!$T$111:$T$222,0)),0)</f>
        <v>0</v>
      </c>
      <c r="AO133" s="197"/>
      <c r="AP133" s="216"/>
      <c r="AQ133" s="216"/>
      <c r="AR133" s="216"/>
      <c r="AS133" s="216"/>
      <c r="AT133" s="216"/>
      <c r="AZ133" s="197"/>
      <c r="BA133" s="197"/>
      <c r="BB133" s="216"/>
      <c r="BE133" s="197"/>
      <c r="BF133" s="197"/>
      <c r="BG133" s="216"/>
      <c r="BH133" s="216"/>
      <c r="BK133" s="203"/>
      <c r="DE133">
        <v>131</v>
      </c>
      <c r="DF133" t="str">
        <f>IF(IFERROR(MATCH(FFARawStatProjections!A134,Draft!BY:BY,0),1)&lt;=1,IF(FFARawStatProjections!A134=0,"",FFARawStatProjections!A134),"")</f>
        <v>Dameon Pierce</v>
      </c>
    </row>
    <row r="134" spans="1:110" x14ac:dyDescent="0.25">
      <c r="A134" s="196"/>
      <c r="B134" s="197"/>
      <c r="C134" s="197"/>
      <c r="D134" s="197"/>
      <c r="E134" s="197"/>
      <c r="F134" s="197"/>
      <c r="G134" s="197"/>
      <c r="H134" s="197"/>
      <c r="I134" s="222"/>
      <c r="J134" s="216"/>
      <c r="K134" s="216"/>
      <c r="L134" s="216"/>
      <c r="M134" s="216"/>
      <c r="S134" s="197"/>
      <c r="T134" s="182" t="str">
        <f>RBproj!D138</f>
        <v>Elijah Dotson</v>
      </c>
      <c r="U134" s="290" t="str">
        <f>RBproj!E138</f>
        <v>LAC</v>
      </c>
      <c r="V134" s="183">
        <f>RBproj!F138</f>
        <v>19.242410000000003</v>
      </c>
      <c r="W134" s="517">
        <f>IFERROR(IF(RBproj!H138="",RBproj!G138,RBproj!H138),0)</f>
        <v>8</v>
      </c>
      <c r="X134" s="504">
        <f>INDEX(Draft!$BW:$BW,MATCH(T134,Draft_Names_Master,0))</f>
        <v>0</v>
      </c>
      <c r="Y134">
        <v>0.13200000000000001</v>
      </c>
      <c r="Z134">
        <f>IFERROR(IF(INDEX(Instructions!$X$64:$X$83,MATCH('Draft Slayer Classic'!T134,Instructions!$T$64:$T$83,0))&lt;=$E$25,1,0),0)</f>
        <v>0</v>
      </c>
      <c r="AA134">
        <f>IFERROR(INDEX(ADP!$A$7:$A$260,MATCH(T134,ADP!$D$7:$D$260,0)),999+Y134)</f>
        <v>999.13199999999995</v>
      </c>
      <c r="AB134">
        <f t="shared" si="9"/>
        <v>0.13200000000000001</v>
      </c>
      <c r="AC134">
        <f>IFERROR(INDEX(Instructions!$U$111:$U$222,MATCH(T134,Instructions!$T$111:$T$222,0)),0)</f>
        <v>0</v>
      </c>
      <c r="AD134" s="197"/>
      <c r="AE134" s="182" t="str">
        <f>WRproj!D138</f>
        <v>Dontayvion Wicks</v>
      </c>
      <c r="AF134" s="290" t="str">
        <f>WRproj!E138</f>
        <v>GB</v>
      </c>
      <c r="AG134" s="183">
        <f>WRproj!F138</f>
        <v>38.534399999999998</v>
      </c>
      <c r="AH134" s="517">
        <f>IFERROR(IF(WRproj!H138="",WRproj!G138,WRproj!H138),0)</f>
        <v>8</v>
      </c>
      <c r="AI134" s="503">
        <f>INDEX(Draft!$BW:$BW,MATCH(AE134,Draft_Names_Master,0))</f>
        <v>0</v>
      </c>
      <c r="AJ134">
        <v>0.13200000000000001</v>
      </c>
      <c r="AK134">
        <f>IFERROR(IF(INDEX(Instructions!$V$86:$V$105,MATCH('Draft Slayer Classic'!AE134,Instructions!$S$86:$S$105,0))&lt;=$E$25,1,0),0)</f>
        <v>0</v>
      </c>
      <c r="AL134">
        <f>IFERROR(INDEX(ADP!$A$7:$A$260,MATCH(AE134,ADP!$D$7:$D$260,0)),999+AJ134)</f>
        <v>999.13199999999995</v>
      </c>
      <c r="AM134">
        <f t="shared" si="10"/>
        <v>0.13200000000000001</v>
      </c>
      <c r="AN134">
        <f>IFERROR(INDEX(Instructions!$U$111:$U$222,MATCH(AE134,Instructions!$T$111:$T$222,0)),0)</f>
        <v>0</v>
      </c>
      <c r="AO134" s="197"/>
      <c r="AP134" s="197"/>
      <c r="AQ134" s="216"/>
      <c r="AR134" s="216"/>
      <c r="AS134" s="216"/>
      <c r="AT134" s="216"/>
      <c r="AZ134" s="197"/>
      <c r="BA134" s="197"/>
      <c r="BB134" s="216"/>
      <c r="BE134" s="197"/>
      <c r="BF134" s="197"/>
      <c r="BG134" s="216"/>
      <c r="BH134" s="216"/>
      <c r="BK134" s="203"/>
      <c r="DE134">
        <v>132</v>
      </c>
      <c r="DF134" t="str">
        <f>IF(IFERROR(MATCH(FFARawStatProjections!A135,Draft!BY:BY,0),1)&lt;=1,IF(FFARawStatProjections!A135=0,"",FFARawStatProjections!A135),"")</f>
        <v>Jahmyr Gibbs</v>
      </c>
    </row>
    <row r="135" spans="1:110" ht="15.75" thickBot="1" x14ac:dyDescent="0.3">
      <c r="A135" s="196"/>
      <c r="B135" s="197"/>
      <c r="C135" s="197"/>
      <c r="D135" s="197"/>
      <c r="E135" s="197"/>
      <c r="F135" s="197"/>
      <c r="G135" s="197"/>
      <c r="H135" s="197"/>
      <c r="I135" s="222"/>
      <c r="J135" s="216"/>
      <c r="K135" s="216"/>
      <c r="L135" s="216"/>
      <c r="M135" s="216"/>
      <c r="S135" s="197"/>
      <c r="T135" s="188" t="str">
        <f>RBproj!D139</f>
        <v>Mohamed Ibrahim</v>
      </c>
      <c r="U135" s="462" t="str">
        <f>RBproj!E139</f>
        <v>DET</v>
      </c>
      <c r="V135" s="189">
        <f>RBproj!F139</f>
        <v>19.082429999999999</v>
      </c>
      <c r="W135" s="518">
        <f>IFERROR(IF(RBproj!H139="",RBproj!G139,RBproj!H139),0)</f>
        <v>8</v>
      </c>
      <c r="X135" s="505">
        <f>INDEX(Draft!$BW:$BW,MATCH(T135,Draft_Names_Master,0))</f>
        <v>0</v>
      </c>
      <c r="Y135">
        <v>0.13300000000000001</v>
      </c>
      <c r="Z135">
        <f>IFERROR(IF(INDEX(Instructions!$X$64:$X$83,MATCH('Draft Slayer Classic'!T135,Instructions!$T$64:$T$83,0))&lt;=$E$25,1,0),0)</f>
        <v>0</v>
      </c>
      <c r="AA135">
        <f>IFERROR(INDEX(ADP!$A$7:$A$260,MATCH(T135,ADP!$D$7:$D$260,0)),999+Y135)</f>
        <v>999.13300000000004</v>
      </c>
      <c r="AB135">
        <f t="shared" si="9"/>
        <v>0.13300000000000001</v>
      </c>
      <c r="AC135">
        <f>IFERROR(INDEX(Instructions!$U$111:$U$222,MATCH(T135,Instructions!$T$111:$T$222,0)),0)</f>
        <v>0</v>
      </c>
      <c r="AD135" s="197"/>
      <c r="AE135" s="187" t="str">
        <f>WRproj!D139</f>
        <v>Samori Toure</v>
      </c>
      <c r="AF135" s="461" t="str">
        <f>WRproj!E139</f>
        <v>GB</v>
      </c>
      <c r="AG135" s="184">
        <f>WRproj!F139</f>
        <v>38.404469999999996</v>
      </c>
      <c r="AH135" s="517">
        <f>IFERROR(IF(WRproj!H139="",WRproj!G139,WRproj!H139),0)</f>
        <v>8</v>
      </c>
      <c r="AI135" s="503">
        <f>INDEX(Draft!$BW:$BW,MATCH(AE135,Draft_Names_Master,0))</f>
        <v>0</v>
      </c>
      <c r="AJ135">
        <v>0.13300000000000001</v>
      </c>
      <c r="AK135">
        <f>IFERROR(IF(INDEX(Instructions!$V$86:$V$105,MATCH('Draft Slayer Classic'!AE135,Instructions!$S$86:$S$105,0))&lt;=$E$25,1,0),0)</f>
        <v>0</v>
      </c>
      <c r="AL135">
        <f>IFERROR(INDEX(ADP!$A$7:$A$260,MATCH(AE135,ADP!$D$7:$D$260,0)),999+AJ135)</f>
        <v>999.13300000000004</v>
      </c>
      <c r="AM135">
        <f t="shared" si="10"/>
        <v>0.13300000000000001</v>
      </c>
      <c r="AN135">
        <f>IFERROR(INDEX(Instructions!$U$111:$U$222,MATCH(AE135,Instructions!$T$111:$T$222,0)),0)</f>
        <v>0</v>
      </c>
      <c r="AO135" s="197"/>
      <c r="AP135" s="197"/>
      <c r="AQ135" s="216"/>
      <c r="AR135" s="216"/>
      <c r="AS135" s="216"/>
      <c r="AT135" s="216"/>
      <c r="AZ135" s="197"/>
      <c r="BA135" s="197"/>
      <c r="BB135" s="216"/>
      <c r="BE135" s="197"/>
      <c r="BF135" s="197"/>
      <c r="BG135" s="216"/>
      <c r="BH135" s="216"/>
      <c r="BK135" s="203"/>
      <c r="DE135">
        <v>133</v>
      </c>
      <c r="DF135" t="str">
        <f>IF(IFERROR(MATCH(FFARawStatProjections!A136,Draft!BY:BY,0),1)&lt;=1,IF(FFARawStatProjections!A136=0,"",FFARawStatProjections!A136),"")</f>
        <v>Miles Sanders</v>
      </c>
    </row>
    <row r="136" spans="1:110" x14ac:dyDescent="0.25">
      <c r="A136" s="196"/>
      <c r="B136" s="197"/>
      <c r="C136" s="197"/>
      <c r="D136" s="197"/>
      <c r="E136" s="197"/>
      <c r="F136" s="197"/>
      <c r="G136" s="197"/>
      <c r="H136" s="197"/>
      <c r="I136" s="222"/>
      <c r="J136" s="216"/>
      <c r="K136" s="216"/>
      <c r="L136" s="216"/>
      <c r="M136" s="216"/>
      <c r="S136" s="197"/>
      <c r="T136" s="216"/>
      <c r="U136" s="216"/>
      <c r="V136" s="216"/>
      <c r="W136" s="216"/>
      <c r="X136" s="216"/>
      <c r="AD136" s="197"/>
      <c r="AE136" s="182" t="str">
        <f>WRproj!D140</f>
        <v>Cade Johnson</v>
      </c>
      <c r="AF136" s="290" t="str">
        <f>WRproj!E140</f>
        <v>SEA</v>
      </c>
      <c r="AG136" s="183">
        <f>WRproj!F140</f>
        <v>38.174460000000003</v>
      </c>
      <c r="AH136" s="517">
        <f>IFERROR(IF(WRproj!H140="",WRproj!G140,WRproj!H140),0)</f>
        <v>8</v>
      </c>
      <c r="AI136" s="503">
        <f>INDEX(Draft!$BW:$BW,MATCH(AE136,Draft_Names_Master,0))</f>
        <v>0</v>
      </c>
      <c r="AJ136">
        <v>0.13400000000000001</v>
      </c>
      <c r="AK136">
        <f>IFERROR(IF(INDEX(Instructions!$V$86:$V$105,MATCH('Draft Slayer Classic'!AE136,Instructions!$S$86:$S$105,0))&lt;=$E$25,1,0),0)</f>
        <v>0</v>
      </c>
      <c r="AL136">
        <f>IFERROR(INDEX(ADP!$A$7:$A$260,MATCH(AE136,ADP!$D$7:$D$260,0)),999+AJ136)</f>
        <v>999.13400000000001</v>
      </c>
      <c r="AM136">
        <f t="shared" si="10"/>
        <v>0.13400000000000001</v>
      </c>
      <c r="AN136">
        <f>IFERROR(INDEX(Instructions!$U$111:$U$222,MATCH(AE136,Instructions!$T$111:$T$222,0)),0)</f>
        <v>0</v>
      </c>
      <c r="AO136" s="197"/>
      <c r="AP136" s="197"/>
      <c r="AQ136" s="216"/>
      <c r="AR136" s="216"/>
      <c r="AS136" s="216"/>
      <c r="AT136" s="216"/>
      <c r="AZ136" s="197"/>
      <c r="BA136" s="197"/>
      <c r="BB136" s="216"/>
      <c r="BE136" s="197"/>
      <c r="BF136" s="197"/>
      <c r="BG136" s="216"/>
      <c r="BH136" s="216"/>
      <c r="BK136" s="203"/>
      <c r="DE136">
        <v>134</v>
      </c>
      <c r="DF136" t="str">
        <f>IF(IFERROR(MATCH(FFARawStatProjections!A137,Draft!BY:BY,0),1)&lt;=1,IF(FFARawStatProjections!A137=0,"",FFARawStatProjections!A137),"")</f>
        <v>Breece Hall</v>
      </c>
    </row>
    <row r="137" spans="1:110" x14ac:dyDescent="0.25">
      <c r="A137" s="196"/>
      <c r="B137" s="197"/>
      <c r="C137" s="197"/>
      <c r="D137" s="197"/>
      <c r="E137" s="197"/>
      <c r="F137" s="197"/>
      <c r="G137" s="197"/>
      <c r="H137" s="197"/>
      <c r="I137" s="222"/>
      <c r="J137" s="216"/>
      <c r="K137" s="216"/>
      <c r="L137" s="216"/>
      <c r="M137" s="216"/>
      <c r="S137" s="197"/>
      <c r="T137" s="216"/>
      <c r="U137" s="216"/>
      <c r="V137" s="216"/>
      <c r="W137" s="216"/>
      <c r="X137" s="216"/>
      <c r="AD137" s="197"/>
      <c r="AE137" s="187" t="str">
        <f>WRproj!D141</f>
        <v>Trenton Irwin</v>
      </c>
      <c r="AF137" s="461" t="str">
        <f>WRproj!E141</f>
        <v>CIN</v>
      </c>
      <c r="AG137" s="184">
        <f>WRproj!F141</f>
        <v>37.555</v>
      </c>
      <c r="AH137" s="517">
        <f>IFERROR(IF(WRproj!H141="",WRproj!G141,WRproj!H141),0)</f>
        <v>8</v>
      </c>
      <c r="AI137" s="503">
        <f>INDEX(Draft!$BW:$BW,MATCH(AE137,Draft_Names_Master,0))</f>
        <v>0</v>
      </c>
      <c r="AJ137">
        <v>0.13500000000000001</v>
      </c>
      <c r="AK137">
        <f>IFERROR(IF(INDEX(Instructions!$V$86:$V$105,MATCH('Draft Slayer Classic'!AE137,Instructions!$S$86:$S$105,0))&lt;=$E$25,1,0),0)</f>
        <v>0</v>
      </c>
      <c r="AL137">
        <f>IFERROR(INDEX(ADP!$A$7:$A$260,MATCH(AE137,ADP!$D$7:$D$260,0)),999+AJ137)</f>
        <v>999.13499999999999</v>
      </c>
      <c r="AM137">
        <f t="shared" si="10"/>
        <v>0.13500000000000001</v>
      </c>
      <c r="AN137">
        <f>IFERROR(INDEX(Instructions!$U$111:$U$222,MATCH(AE137,Instructions!$T$111:$T$222,0)),0)</f>
        <v>0</v>
      </c>
      <c r="AO137" s="197"/>
      <c r="AP137" s="197"/>
      <c r="AQ137" s="216"/>
      <c r="AR137" s="216"/>
      <c r="AS137" s="216"/>
      <c r="AT137" s="216"/>
      <c r="AZ137" s="197"/>
      <c r="BA137" s="197"/>
      <c r="BB137" s="216"/>
      <c r="BE137" s="197"/>
      <c r="BF137" s="197"/>
      <c r="BG137" s="216"/>
      <c r="BH137" s="216"/>
      <c r="BK137" s="203"/>
      <c r="DE137">
        <v>135</v>
      </c>
      <c r="DF137" t="str">
        <f>IF(IFERROR(MATCH(FFARawStatProjections!A138,Draft!BY:BY,0),1)&lt;=1,IF(FFARawStatProjections!A138=0,"",FFARawStatProjections!A138),"")</f>
        <v>Cam Akers</v>
      </c>
    </row>
    <row r="138" spans="1:110" x14ac:dyDescent="0.25">
      <c r="A138" s="196"/>
      <c r="B138" s="197"/>
      <c r="C138" s="197"/>
      <c r="D138" s="197"/>
      <c r="E138" s="197"/>
      <c r="F138" s="197"/>
      <c r="G138" s="197"/>
      <c r="H138" s="197"/>
      <c r="I138" s="222"/>
      <c r="J138" s="216"/>
      <c r="K138" s="216"/>
      <c r="L138" s="216"/>
      <c r="M138" s="216"/>
      <c r="S138" s="197"/>
      <c r="T138" s="216"/>
      <c r="U138" s="216"/>
      <c r="V138" s="216"/>
      <c r="W138" s="216"/>
      <c r="X138" s="216"/>
      <c r="AD138" s="197"/>
      <c r="AE138" s="182" t="str">
        <f>WRproj!D142</f>
        <v>Deven Thompkins</v>
      </c>
      <c r="AF138" s="290" t="str">
        <f>WRproj!E142</f>
        <v>TB</v>
      </c>
      <c r="AG138" s="183">
        <f>WRproj!F142</f>
        <v>37.33455</v>
      </c>
      <c r="AH138" s="517">
        <f>IFERROR(IF(WRproj!H142="",WRproj!G142,WRproj!H142),0)</f>
        <v>8</v>
      </c>
      <c r="AI138" s="503">
        <f>INDEX(Draft!$BW:$BW,MATCH(AE138,Draft_Names_Master,0))</f>
        <v>0</v>
      </c>
      <c r="AJ138">
        <v>0.13600000000000001</v>
      </c>
      <c r="AK138">
        <f>IFERROR(IF(INDEX(Instructions!$V$86:$V$105,MATCH('Draft Slayer Classic'!AE138,Instructions!$S$86:$S$105,0))&lt;=$E$25,1,0),0)</f>
        <v>0</v>
      </c>
      <c r="AL138">
        <f>IFERROR(INDEX(ADP!$A$7:$A$260,MATCH(AE138,ADP!$D$7:$D$260,0)),999+AJ138)</f>
        <v>999.13599999999997</v>
      </c>
      <c r="AM138">
        <f t="shared" si="10"/>
        <v>0.13600000000000001</v>
      </c>
      <c r="AN138">
        <f>IFERROR(INDEX(Instructions!$U$111:$U$222,MATCH(AE138,Instructions!$T$111:$T$222,0)),0)</f>
        <v>0</v>
      </c>
      <c r="AO138" s="197"/>
      <c r="AP138" s="197"/>
      <c r="AQ138" s="216"/>
      <c r="AR138" s="216"/>
      <c r="AS138" s="216"/>
      <c r="AT138" s="216"/>
      <c r="AZ138" s="197"/>
      <c r="BA138" s="197"/>
      <c r="BB138" s="216"/>
      <c r="BE138" s="197"/>
      <c r="BF138" s="197"/>
      <c r="BG138" s="216"/>
      <c r="BH138" s="216"/>
      <c r="BK138" s="203"/>
      <c r="DE138">
        <v>136</v>
      </c>
      <c r="DF138" t="str">
        <f>IF(IFERROR(MATCH(FFARawStatProjections!A139,Draft!BY:BY,0),1)&lt;=1,IF(FFARawStatProjections!A139=0,"",FFARawStatProjections!A139),"")</f>
        <v>JK Dobbins</v>
      </c>
    </row>
    <row r="139" spans="1:110" x14ac:dyDescent="0.25">
      <c r="A139" s="196"/>
      <c r="B139" s="197"/>
      <c r="C139" s="197"/>
      <c r="D139" s="197"/>
      <c r="E139" s="197"/>
      <c r="F139" s="197"/>
      <c r="G139" s="197"/>
      <c r="H139" s="197"/>
      <c r="I139" s="222"/>
      <c r="J139" s="216"/>
      <c r="K139" s="216"/>
      <c r="L139" s="216"/>
      <c r="M139" s="216"/>
      <c r="S139" s="197"/>
      <c r="T139" s="216"/>
      <c r="U139" s="216"/>
      <c r="V139" s="216"/>
      <c r="W139" s="216"/>
      <c r="X139" s="216"/>
      <c r="AD139" s="197"/>
      <c r="AE139" s="187" t="str">
        <f>WRproj!D143</f>
        <v>Zach Pascal</v>
      </c>
      <c r="AF139" s="461" t="str">
        <f>WRproj!E143</f>
        <v>AZ</v>
      </c>
      <c r="AG139" s="184">
        <f>WRproj!F143</f>
        <v>36.314570000000003</v>
      </c>
      <c r="AH139" s="517">
        <f>IFERROR(IF(WRproj!H143="",WRproj!G143,WRproj!H143),0)</f>
        <v>8</v>
      </c>
      <c r="AI139" s="503">
        <f>INDEX(Draft!$BW:$BW,MATCH(AE139,Draft_Names_Master,0))</f>
        <v>0</v>
      </c>
      <c r="AJ139">
        <v>0.13700000000000001</v>
      </c>
      <c r="AK139">
        <f>IFERROR(IF(INDEX(Instructions!$V$86:$V$105,MATCH('Draft Slayer Classic'!AE139,Instructions!$S$86:$S$105,0))&lt;=$E$25,1,0),0)</f>
        <v>0</v>
      </c>
      <c r="AL139">
        <f>IFERROR(INDEX(ADP!$A$7:$A$260,MATCH(AE139,ADP!$D$7:$D$260,0)),999+AJ139)</f>
        <v>999.13699999999994</v>
      </c>
      <c r="AM139">
        <f t="shared" si="10"/>
        <v>0.13700000000000001</v>
      </c>
      <c r="AN139">
        <f>IFERROR(INDEX(Instructions!$U$111:$U$222,MATCH(AE139,Instructions!$T$111:$T$222,0)),0)</f>
        <v>0</v>
      </c>
      <c r="AO139" s="197"/>
      <c r="AP139" s="197"/>
      <c r="AQ139" s="216"/>
      <c r="AR139" s="216"/>
      <c r="AS139" s="216"/>
      <c r="AT139" s="216"/>
      <c r="AZ139" s="197"/>
      <c r="BA139" s="197"/>
      <c r="BB139" s="216"/>
      <c r="BE139" s="197"/>
      <c r="BF139" s="197"/>
      <c r="BG139" s="216"/>
      <c r="BH139" s="216"/>
      <c r="BK139" s="203"/>
      <c r="DE139">
        <v>137</v>
      </c>
      <c r="DF139" t="str">
        <f>IF(IFERROR(MATCH(FFARawStatProjections!A140,Draft!BY:BY,0),1)&lt;=1,IF(FFARawStatProjections!A140=0,"",FFARawStatProjections!A140),"")</f>
        <v>Isiah Pacheco</v>
      </c>
    </row>
    <row r="140" spans="1:110" x14ac:dyDescent="0.25">
      <c r="A140" s="196"/>
      <c r="B140" s="197"/>
      <c r="C140" s="197"/>
      <c r="D140" s="197"/>
      <c r="E140" s="197"/>
      <c r="F140" s="197"/>
      <c r="G140" s="197"/>
      <c r="H140" s="197"/>
      <c r="I140" s="222"/>
      <c r="J140" s="216"/>
      <c r="K140" s="216"/>
      <c r="L140" s="216"/>
      <c r="M140" s="216"/>
      <c r="S140" s="197"/>
      <c r="T140" s="216"/>
      <c r="U140" s="216"/>
      <c r="V140" s="216"/>
      <c r="W140" s="216"/>
      <c r="X140" s="216"/>
      <c r="AD140" s="197"/>
      <c r="AE140" s="182" t="str">
        <f>WRproj!D144</f>
        <v>Demetric Felton</v>
      </c>
      <c r="AF140" s="290" t="str">
        <f>WRproj!E144</f>
        <v>CLE</v>
      </c>
      <c r="AG140" s="183">
        <f>WRproj!F144</f>
        <v>34.754510000000003</v>
      </c>
      <c r="AH140" s="517">
        <f>IFERROR(IF(WRproj!H144="",WRproj!G144,WRproj!H144),0)</f>
        <v>8</v>
      </c>
      <c r="AI140" s="503">
        <f>INDEX(Draft!$BW:$BW,MATCH(AE140,Draft_Names_Master,0))</f>
        <v>0</v>
      </c>
      <c r="AJ140">
        <v>0.13800000000000001</v>
      </c>
      <c r="AK140">
        <f>IFERROR(IF(INDEX(Instructions!$V$86:$V$105,MATCH('Draft Slayer Classic'!AE140,Instructions!$S$86:$S$105,0))&lt;=$E$25,1,0),0)</f>
        <v>0</v>
      </c>
      <c r="AL140">
        <f>IFERROR(INDEX(ADP!$A$7:$A$260,MATCH(AE140,ADP!$D$7:$D$260,0)),999+AJ140)</f>
        <v>999.13800000000003</v>
      </c>
      <c r="AM140">
        <f t="shared" si="10"/>
        <v>0.13800000000000001</v>
      </c>
      <c r="AN140">
        <f>IFERROR(INDEX(Instructions!$U$111:$U$222,MATCH(AE140,Instructions!$T$111:$T$222,0)),0)</f>
        <v>0</v>
      </c>
      <c r="AO140" s="197"/>
      <c r="AP140" s="197"/>
      <c r="AQ140" s="216"/>
      <c r="AR140" s="216"/>
      <c r="AS140" s="216"/>
      <c r="AT140" s="216"/>
      <c r="AZ140" s="197"/>
      <c r="BA140" s="197"/>
      <c r="BB140" s="216"/>
      <c r="BE140" s="197"/>
      <c r="BF140" s="197"/>
      <c r="BG140" s="216"/>
      <c r="BH140" s="216"/>
      <c r="BK140" s="203"/>
      <c r="DE140">
        <v>138</v>
      </c>
      <c r="DF140" t="str">
        <f>IF(IFERROR(MATCH(FFARawStatProjections!A141,Draft!BY:BY,0),1)&lt;=1,IF(FFARawStatProjections!A141=0,"",FFARawStatProjections!A141),"")</f>
        <v>Rachaad White</v>
      </c>
    </row>
    <row r="141" spans="1:110" x14ac:dyDescent="0.25">
      <c r="A141" s="196"/>
      <c r="B141" s="197"/>
      <c r="C141" s="197"/>
      <c r="D141" s="197"/>
      <c r="E141" s="197"/>
      <c r="F141" s="197"/>
      <c r="G141" s="197"/>
      <c r="H141" s="197"/>
      <c r="I141" s="222"/>
      <c r="J141" s="216"/>
      <c r="K141" s="216"/>
      <c r="L141" s="216"/>
      <c r="M141" s="216"/>
      <c r="S141" s="197"/>
      <c r="T141" s="216"/>
      <c r="U141" s="216"/>
      <c r="V141" s="216"/>
      <c r="W141" s="216"/>
      <c r="X141" s="216"/>
      <c r="AD141" s="197"/>
      <c r="AE141" s="187" t="str">
        <f>WRproj!D145</f>
        <v>KhaDarel Hodge</v>
      </c>
      <c r="AF141" s="461" t="str">
        <f>WRproj!E145</f>
        <v>ATL</v>
      </c>
      <c r="AG141" s="184">
        <f>WRproj!F145</f>
        <v>34.044579999999996</v>
      </c>
      <c r="AH141" s="517">
        <f>IFERROR(IF(WRproj!H145="",WRproj!G145,WRproj!H145),0)</f>
        <v>8</v>
      </c>
      <c r="AI141" s="503">
        <f>INDEX(Draft!$BW:$BW,MATCH(AE141,Draft_Names_Master,0))</f>
        <v>0</v>
      </c>
      <c r="AJ141">
        <v>0.13900000000000001</v>
      </c>
      <c r="AK141">
        <f>IFERROR(IF(INDEX(Instructions!$V$86:$V$105,MATCH('Draft Slayer Classic'!AE141,Instructions!$S$86:$S$105,0))&lt;=$E$25,1,0),0)</f>
        <v>0</v>
      </c>
      <c r="AL141">
        <f>IFERROR(INDEX(ADP!$A$7:$A$260,MATCH(AE141,ADP!$D$7:$D$260,0)),999+AJ141)</f>
        <v>999.13900000000001</v>
      </c>
      <c r="AM141">
        <f t="shared" si="10"/>
        <v>0.13900000000000001</v>
      </c>
      <c r="AN141">
        <f>IFERROR(INDEX(Instructions!$U$111:$U$222,MATCH(AE141,Instructions!$T$111:$T$222,0)),0)</f>
        <v>0</v>
      </c>
      <c r="AO141" s="197"/>
      <c r="AP141" s="197"/>
      <c r="AQ141" s="216"/>
      <c r="AR141" s="216"/>
      <c r="AS141" s="216"/>
      <c r="AT141" s="216"/>
      <c r="AZ141" s="197"/>
      <c r="BA141" s="197"/>
      <c r="BB141" s="216"/>
      <c r="BE141" s="197"/>
      <c r="BF141" s="197"/>
      <c r="BG141" s="216"/>
      <c r="BH141" s="216"/>
      <c r="BK141" s="203"/>
      <c r="DE141">
        <v>139</v>
      </c>
      <c r="DF141" t="str">
        <f>IF(IFERROR(MATCH(FFARawStatProjections!A142,Draft!BY:BY,0),1)&lt;=1,IF(FFARawStatProjections!A142=0,"",FFARawStatProjections!A142),"")</f>
        <v>David Montgomery</v>
      </c>
    </row>
    <row r="142" spans="1:110" x14ac:dyDescent="0.25">
      <c r="A142" s="196"/>
      <c r="B142" s="197"/>
      <c r="C142" s="197"/>
      <c r="D142" s="197"/>
      <c r="E142" s="197"/>
      <c r="F142" s="197"/>
      <c r="G142" s="197"/>
      <c r="H142" s="197"/>
      <c r="I142" s="222"/>
      <c r="J142" s="216"/>
      <c r="K142" s="216"/>
      <c r="L142" s="216"/>
      <c r="M142" s="216"/>
      <c r="S142" s="197"/>
      <c r="T142" s="216"/>
      <c r="U142" s="216"/>
      <c r="V142" s="216"/>
      <c r="W142" s="216"/>
      <c r="X142" s="216"/>
      <c r="AD142" s="197"/>
      <c r="AE142" s="182" t="str">
        <f>WRproj!D146</f>
        <v>Justin Watson</v>
      </c>
      <c r="AF142" s="290" t="str">
        <f>WRproj!E146</f>
        <v>KC</v>
      </c>
      <c r="AG142" s="183">
        <f>WRproj!F146</f>
        <v>32.764560000000003</v>
      </c>
      <c r="AH142" s="517">
        <f>IFERROR(IF(WRproj!H146="",WRproj!G146,WRproj!H146),0)</f>
        <v>8</v>
      </c>
      <c r="AI142" s="503">
        <f>INDEX(Draft!$BW:$BW,MATCH(AE142,Draft_Names_Master,0))</f>
        <v>0</v>
      </c>
      <c r="AJ142">
        <v>0.14000000000000001</v>
      </c>
      <c r="AK142">
        <f>IFERROR(IF(INDEX(Instructions!$V$86:$V$105,MATCH('Draft Slayer Classic'!AE142,Instructions!$S$86:$S$105,0))&lt;=$E$25,1,0),0)</f>
        <v>0</v>
      </c>
      <c r="AL142">
        <f>IFERROR(INDEX(ADP!$A$7:$A$260,MATCH(AE142,ADP!$D$7:$D$260,0)),999+AJ142)</f>
        <v>999.14</v>
      </c>
      <c r="AM142">
        <f t="shared" si="10"/>
        <v>0.14000000000000001</v>
      </c>
      <c r="AN142">
        <f>IFERROR(INDEX(Instructions!$U$111:$U$222,MATCH(AE142,Instructions!$T$111:$T$222,0)),0)</f>
        <v>0</v>
      </c>
      <c r="AO142" s="197"/>
      <c r="AP142" s="197"/>
      <c r="AQ142" s="216"/>
      <c r="AR142" s="216"/>
      <c r="AS142" s="216"/>
      <c r="AT142" s="216"/>
      <c r="AZ142" s="197"/>
      <c r="BA142" s="197"/>
      <c r="BB142" s="216"/>
      <c r="BE142" s="197"/>
      <c r="BF142" s="197"/>
      <c r="BG142" s="216"/>
      <c r="BH142" s="216"/>
      <c r="BK142" s="203"/>
      <c r="DE142">
        <v>140</v>
      </c>
      <c r="DF142" t="str">
        <f>IF(IFERROR(MATCH(FFARawStatProjections!A143,Draft!BY:BY,0),1)&lt;=1,IF(FFARawStatProjections!A143=0,"",FFARawStatProjections!A143),"")</f>
        <v>Javonte Williams</v>
      </c>
    </row>
    <row r="143" spans="1:110" x14ac:dyDescent="0.25">
      <c r="A143" s="196"/>
      <c r="B143" s="197"/>
      <c r="C143" s="197"/>
      <c r="D143" s="197"/>
      <c r="E143" s="197"/>
      <c r="F143" s="197"/>
      <c r="G143" s="197"/>
      <c r="H143" s="197"/>
      <c r="I143" s="222"/>
      <c r="J143" s="216"/>
      <c r="K143" s="216"/>
      <c r="L143" s="216"/>
      <c r="M143" s="216"/>
      <c r="S143" s="197"/>
      <c r="T143" s="216"/>
      <c r="U143" s="216"/>
      <c r="V143" s="216"/>
      <c r="W143" s="216"/>
      <c r="X143" s="216"/>
      <c r="AD143" s="197"/>
      <c r="AE143" s="187" t="str">
        <f>WRproj!D147</f>
        <v>Dyami Brown</v>
      </c>
      <c r="AF143" s="461" t="str">
        <f>WRproj!E147</f>
        <v>WAS</v>
      </c>
      <c r="AG143" s="184">
        <f>WRproj!F147</f>
        <v>32.144590000000001</v>
      </c>
      <c r="AH143" s="517">
        <f>IFERROR(IF(WRproj!H147="",WRproj!G147,WRproj!H147),0)</f>
        <v>8</v>
      </c>
      <c r="AI143" s="503">
        <f>INDEX(Draft!$BW:$BW,MATCH(AE143,Draft_Names_Master,0))</f>
        <v>0</v>
      </c>
      <c r="AJ143">
        <v>0.14099999999999999</v>
      </c>
      <c r="AK143">
        <f>IFERROR(IF(INDEX(Instructions!$V$86:$V$105,MATCH('Draft Slayer Classic'!AE143,Instructions!$S$86:$S$105,0))&lt;=$E$25,1,0),0)</f>
        <v>0</v>
      </c>
      <c r="AL143">
        <f>IFERROR(INDEX(ADP!$A$7:$A$260,MATCH(AE143,ADP!$D$7:$D$260,0)),999+AJ143)</f>
        <v>999.14099999999996</v>
      </c>
      <c r="AM143">
        <f t="shared" si="10"/>
        <v>0.14099999999999999</v>
      </c>
      <c r="AN143">
        <f>IFERROR(INDEX(Instructions!$U$111:$U$222,MATCH(AE143,Instructions!$T$111:$T$222,0)),0)</f>
        <v>0</v>
      </c>
      <c r="AO143" s="197"/>
      <c r="AP143" s="197"/>
      <c r="AQ143" s="216"/>
      <c r="AR143" s="216"/>
      <c r="AS143" s="216"/>
      <c r="AT143" s="216"/>
      <c r="AZ143" s="197"/>
      <c r="BA143" s="197"/>
      <c r="BB143" s="216"/>
      <c r="BE143" s="197"/>
      <c r="BF143" s="197"/>
      <c r="BG143" s="216"/>
      <c r="BH143" s="216"/>
      <c r="BK143" s="203"/>
      <c r="DE143">
        <v>141</v>
      </c>
      <c r="DF143" t="str">
        <f>IF(IFERROR(MATCH(FFARawStatProjections!A144,Draft!BY:BY,0),1)&lt;=1,IF(FFARawStatProjections!A144=0,"",FFARawStatProjections!A144),"")</f>
        <v>James Cook</v>
      </c>
    </row>
    <row r="144" spans="1:110" x14ac:dyDescent="0.25">
      <c r="A144" s="196"/>
      <c r="B144" s="197"/>
      <c r="C144" s="197"/>
      <c r="D144" s="197"/>
      <c r="E144" s="197"/>
      <c r="F144" s="197"/>
      <c r="G144" s="197"/>
      <c r="H144" s="197"/>
      <c r="I144" s="222"/>
      <c r="J144" s="216"/>
      <c r="K144" s="216"/>
      <c r="L144" s="216"/>
      <c r="M144" s="216"/>
      <c r="S144" s="197"/>
      <c r="T144" s="216"/>
      <c r="U144" s="216"/>
      <c r="V144" s="216"/>
      <c r="W144" s="216"/>
      <c r="X144" s="216"/>
      <c r="AD144" s="197"/>
      <c r="AE144" s="182" t="str">
        <f>WRproj!D148</f>
        <v>Justyn Ross</v>
      </c>
      <c r="AF144" s="290" t="str">
        <f>WRproj!E148</f>
        <v>KC</v>
      </c>
      <c r="AG144" s="183">
        <f>WRproj!F148</f>
        <v>31.564609999999998</v>
      </c>
      <c r="AH144" s="517">
        <f>IFERROR(IF(WRproj!H148="",WRproj!G148,WRproj!H148),0)</f>
        <v>8</v>
      </c>
      <c r="AI144" s="503">
        <f>INDEX(Draft!$BW:$BW,MATCH(AE144,Draft_Names_Master,0))</f>
        <v>0</v>
      </c>
      <c r="AJ144">
        <v>0.14199999999999999</v>
      </c>
      <c r="AK144">
        <f>IFERROR(IF(INDEX(Instructions!$V$86:$V$105,MATCH('Draft Slayer Classic'!AE144,Instructions!$S$86:$S$105,0))&lt;=$E$25,1,0),0)</f>
        <v>0</v>
      </c>
      <c r="AL144">
        <f>IFERROR(INDEX(ADP!$A$7:$A$260,MATCH(AE144,ADP!$D$7:$D$260,0)),999+AJ144)</f>
        <v>193</v>
      </c>
      <c r="AM144">
        <f t="shared" si="10"/>
        <v>0.14199999999999999</v>
      </c>
      <c r="AN144">
        <f>IFERROR(INDEX(Instructions!$U$111:$U$222,MATCH(AE144,Instructions!$T$111:$T$222,0)),0)</f>
        <v>0</v>
      </c>
      <c r="AO144" s="197"/>
      <c r="AP144" s="197"/>
      <c r="AQ144" s="216"/>
      <c r="AR144" s="216"/>
      <c r="AS144" s="216"/>
      <c r="AT144" s="216"/>
      <c r="AZ144" s="197"/>
      <c r="BA144" s="197"/>
      <c r="BB144" s="216"/>
      <c r="BE144" s="197"/>
      <c r="BF144" s="197"/>
      <c r="BG144" s="216"/>
      <c r="BH144" s="216"/>
      <c r="BK144" s="203"/>
      <c r="DE144">
        <v>142</v>
      </c>
      <c r="DF144" t="str">
        <f>IF(IFERROR(MATCH(FFARawStatProjections!A145,Draft!BY:BY,0),1)&lt;=1,IF(FFARawStatProjections!A145=0,"",FFARawStatProjections!A145),"")</f>
        <v>Alvin Kamara</v>
      </c>
    </row>
    <row r="145" spans="1:110" x14ac:dyDescent="0.25">
      <c r="A145" s="196"/>
      <c r="B145" s="197"/>
      <c r="C145" s="197"/>
      <c r="D145" s="197"/>
      <c r="E145" s="197"/>
      <c r="F145" s="197"/>
      <c r="G145" s="197"/>
      <c r="H145" s="197"/>
      <c r="I145" s="222"/>
      <c r="J145" s="216"/>
      <c r="K145" s="216"/>
      <c r="L145" s="216"/>
      <c r="M145" s="216"/>
      <c r="S145" s="197"/>
      <c r="T145" s="216"/>
      <c r="U145" s="216"/>
      <c r="V145" s="216"/>
      <c r="W145" s="216"/>
      <c r="X145" s="216"/>
      <c r="AD145" s="197"/>
      <c r="AE145" s="187" t="str">
        <f>WRproj!D149</f>
        <v>AT Perry</v>
      </c>
      <c r="AF145" s="461" t="str">
        <f>WRproj!E149</f>
        <v>NO</v>
      </c>
      <c r="AG145" s="184">
        <f>WRproj!F149</f>
        <v>31.554660000000002</v>
      </c>
      <c r="AH145" s="517">
        <f>IFERROR(IF(WRproj!H149="",WRproj!G149,WRproj!H149),0)</f>
        <v>8</v>
      </c>
      <c r="AI145" s="503">
        <f>INDEX(Draft!$BW:$BW,MATCH(AE145,Draft_Names_Master,0))</f>
        <v>0</v>
      </c>
      <c r="AJ145">
        <v>0.14299999999999999</v>
      </c>
      <c r="AK145">
        <f>IFERROR(IF(INDEX(Instructions!$V$86:$V$105,MATCH('Draft Slayer Classic'!AE145,Instructions!$S$86:$S$105,0))&lt;=$E$25,1,0),0)</f>
        <v>0</v>
      </c>
      <c r="AL145">
        <f>IFERROR(INDEX(ADP!$A$7:$A$260,MATCH(AE145,ADP!$D$7:$D$260,0)),999+AJ145)</f>
        <v>999.14300000000003</v>
      </c>
      <c r="AM145">
        <f t="shared" si="10"/>
        <v>0.14299999999999999</v>
      </c>
      <c r="AN145">
        <f>IFERROR(INDEX(Instructions!$U$111:$U$222,MATCH(AE145,Instructions!$T$111:$T$222,0)),0)</f>
        <v>0</v>
      </c>
      <c r="AO145" s="197"/>
      <c r="AP145" s="197"/>
      <c r="AQ145" s="216"/>
      <c r="AR145" s="216"/>
      <c r="AS145" s="216"/>
      <c r="AT145" s="216"/>
      <c r="AZ145" s="197"/>
      <c r="BA145" s="197"/>
      <c r="BB145" s="216"/>
      <c r="BE145" s="197"/>
      <c r="BF145" s="197"/>
      <c r="BG145" s="216"/>
      <c r="BH145" s="216"/>
      <c r="BK145" s="203"/>
      <c r="DE145">
        <v>143</v>
      </c>
      <c r="DF145" t="str">
        <f>IF(IFERROR(MATCH(FFARawStatProjections!A146,Draft!BY:BY,0),1)&lt;=1,IF(FFARawStatProjections!A146=0,"",FFARawStatProjections!A146),"")</f>
        <v>AJ Dillon</v>
      </c>
    </row>
    <row r="146" spans="1:110" x14ac:dyDescent="0.25">
      <c r="A146" s="196"/>
      <c r="B146" s="197"/>
      <c r="C146" s="197"/>
      <c r="D146" s="197"/>
      <c r="E146" s="197"/>
      <c r="F146" s="197"/>
      <c r="G146" s="197"/>
      <c r="H146" s="197"/>
      <c r="I146" s="222"/>
      <c r="J146" s="216"/>
      <c r="K146" s="216"/>
      <c r="L146" s="216"/>
      <c r="M146" s="216"/>
      <c r="S146" s="197"/>
      <c r="T146" s="216"/>
      <c r="U146" s="216"/>
      <c r="V146" s="221"/>
      <c r="W146" s="216"/>
      <c r="X146" s="216"/>
      <c r="AD146" s="197"/>
      <c r="AE146" s="182" t="str">
        <f>WRproj!D150</f>
        <v>Calvin Austin</v>
      </c>
      <c r="AF146" s="290" t="str">
        <f>WRproj!E150</f>
        <v>PIT</v>
      </c>
      <c r="AG146" s="183">
        <f>WRproj!F150</f>
        <v>30.05452</v>
      </c>
      <c r="AH146" s="517">
        <f>IFERROR(IF(WRproj!H150="",WRproj!G150,WRproj!H150),0)</f>
        <v>8</v>
      </c>
      <c r="AI146" s="503">
        <f>INDEX(Draft!$BW:$BW,MATCH(AE146,Draft_Names_Master,0))</f>
        <v>0</v>
      </c>
      <c r="AJ146">
        <v>0.14399999999999999</v>
      </c>
      <c r="AK146">
        <f>IFERROR(IF(INDEX(Instructions!$V$86:$V$105,MATCH('Draft Slayer Classic'!AE146,Instructions!$S$86:$S$105,0))&lt;=$E$25,1,0),0)</f>
        <v>0</v>
      </c>
      <c r="AL146">
        <f>IFERROR(INDEX(ADP!$A$7:$A$260,MATCH(AE146,ADP!$D$7:$D$260,0)),999+AJ146)</f>
        <v>999.14400000000001</v>
      </c>
      <c r="AM146">
        <f t="shared" si="10"/>
        <v>0.14399999999999999</v>
      </c>
      <c r="AN146">
        <f>IFERROR(INDEX(Instructions!$U$111:$U$222,MATCH(AE146,Instructions!$T$111:$T$222,0)),0)</f>
        <v>0</v>
      </c>
      <c r="AO146" s="197"/>
      <c r="AP146" s="197"/>
      <c r="AQ146" s="216"/>
      <c r="AR146" s="216"/>
      <c r="AS146" s="216"/>
      <c r="AT146" s="216"/>
      <c r="AZ146" s="197"/>
      <c r="BA146" s="197"/>
      <c r="BB146" s="216"/>
      <c r="BE146" s="197"/>
      <c r="BF146" s="197"/>
      <c r="BG146" s="216"/>
      <c r="BH146" s="216"/>
      <c r="BK146" s="203"/>
      <c r="DE146">
        <v>144</v>
      </c>
      <c r="DF146" t="str">
        <f>IF(IFERROR(MATCH(FFARawStatProjections!A147,Draft!BY:BY,0),1)&lt;=1,IF(FFARawStatProjections!A147=0,"",FFARawStatProjections!A147),"")</f>
        <v>Brian Robinson</v>
      </c>
    </row>
    <row r="147" spans="1:110" x14ac:dyDescent="0.25">
      <c r="A147" s="196"/>
      <c r="B147" s="197"/>
      <c r="C147" s="197"/>
      <c r="D147" s="197"/>
      <c r="E147" s="197"/>
      <c r="F147" s="197"/>
      <c r="G147" s="197"/>
      <c r="H147" s="197"/>
      <c r="I147" s="222"/>
      <c r="J147" s="216"/>
      <c r="K147" s="216"/>
      <c r="L147" s="216"/>
      <c r="M147" s="216"/>
      <c r="S147" s="197"/>
      <c r="T147" s="216"/>
      <c r="U147" s="216"/>
      <c r="V147" s="216"/>
      <c r="W147" s="216"/>
      <c r="X147" s="216"/>
      <c r="AD147" s="197"/>
      <c r="AE147" s="187" t="str">
        <f>WRproj!D151</f>
        <v>David Bell</v>
      </c>
      <c r="AF147" s="461" t="str">
        <f>WRproj!E151</f>
        <v>CLE</v>
      </c>
      <c r="AG147" s="184">
        <f>WRproj!F151</f>
        <v>29.964600000000001</v>
      </c>
      <c r="AH147" s="517">
        <f>IFERROR(IF(WRproj!H151="",WRproj!G151,WRproj!H151),0)</f>
        <v>8</v>
      </c>
      <c r="AI147" s="503">
        <f>INDEX(Draft!$BW:$BW,MATCH(AE147,Draft_Names_Master,0))</f>
        <v>0</v>
      </c>
      <c r="AJ147">
        <v>0.14499999999999999</v>
      </c>
      <c r="AK147">
        <f>IFERROR(IF(INDEX(Instructions!$V$86:$V$105,MATCH('Draft Slayer Classic'!AE147,Instructions!$S$86:$S$105,0))&lt;=$E$25,1,0),0)</f>
        <v>0</v>
      </c>
      <c r="AL147">
        <f>IFERROR(INDEX(ADP!$A$7:$A$260,MATCH(AE147,ADP!$D$7:$D$260,0)),999+AJ147)</f>
        <v>999.14499999999998</v>
      </c>
      <c r="AM147">
        <f t="shared" si="10"/>
        <v>0.14499999999999999</v>
      </c>
      <c r="AN147">
        <f>IFERROR(INDEX(Instructions!$U$111:$U$222,MATCH(AE147,Instructions!$T$111:$T$222,0)),0)</f>
        <v>0</v>
      </c>
      <c r="AO147" s="197"/>
      <c r="AP147" s="197"/>
      <c r="AQ147" s="216"/>
      <c r="AR147" s="216"/>
      <c r="AS147" s="216"/>
      <c r="AT147" s="216"/>
      <c r="AZ147" s="197"/>
      <c r="BA147" s="197"/>
      <c r="BB147" s="216"/>
      <c r="BE147" s="197"/>
      <c r="BF147" s="197"/>
      <c r="BG147" s="216"/>
      <c r="BH147" s="216"/>
      <c r="BK147" s="203"/>
      <c r="DE147">
        <v>145</v>
      </c>
      <c r="DF147" t="str">
        <f>IF(IFERROR(MATCH(FFARawStatProjections!A148,Draft!BY:BY,0),1)&lt;=1,IF(FFARawStatProjections!A148=0,"",FFARawStatProjections!A148),"")</f>
        <v>Khalil Herbert</v>
      </c>
    </row>
    <row r="148" spans="1:110" x14ac:dyDescent="0.25">
      <c r="A148" s="196"/>
      <c r="B148" s="197"/>
      <c r="C148" s="197"/>
      <c r="D148" s="197"/>
      <c r="E148" s="197"/>
      <c r="F148" s="197"/>
      <c r="G148" s="197"/>
      <c r="H148" s="197"/>
      <c r="I148" s="222"/>
      <c r="J148" s="216"/>
      <c r="K148" s="216"/>
      <c r="L148" s="216"/>
      <c r="M148" s="216"/>
      <c r="S148" s="197"/>
      <c r="T148" s="216"/>
      <c r="U148" s="216"/>
      <c r="V148" s="216"/>
      <c r="W148" s="216"/>
      <c r="X148" s="216"/>
      <c r="AD148" s="197"/>
      <c r="AE148" s="182" t="str">
        <f>WRproj!D152</f>
        <v>Parker Washington</v>
      </c>
      <c r="AF148" s="290" t="str">
        <f>WRproj!E152</f>
        <v>JAC</v>
      </c>
      <c r="AG148" s="183">
        <f>WRproj!F152</f>
        <v>29.324629999999999</v>
      </c>
      <c r="AH148" s="517">
        <f>IFERROR(IF(WRproj!H152="",WRproj!G152,WRproj!H152),0)</f>
        <v>8</v>
      </c>
      <c r="AI148" s="503">
        <f>INDEX(Draft!$BW:$BW,MATCH(AE148,Draft_Names_Master,0))</f>
        <v>0</v>
      </c>
      <c r="AJ148">
        <v>0.14599999999999999</v>
      </c>
      <c r="AK148">
        <f>IFERROR(IF(INDEX(Instructions!$V$86:$V$105,MATCH('Draft Slayer Classic'!AE148,Instructions!$S$86:$S$105,0))&lt;=$E$25,1,0),0)</f>
        <v>0</v>
      </c>
      <c r="AL148">
        <f>IFERROR(INDEX(ADP!$A$7:$A$260,MATCH(AE148,ADP!$D$7:$D$260,0)),999+AJ148)</f>
        <v>999.14599999999996</v>
      </c>
      <c r="AM148">
        <f t="shared" si="10"/>
        <v>0.14599999999999999</v>
      </c>
      <c r="AN148">
        <f>IFERROR(INDEX(Instructions!$U$111:$U$222,MATCH(AE148,Instructions!$T$111:$T$222,0)),0)</f>
        <v>0</v>
      </c>
      <c r="AO148" s="197"/>
      <c r="AP148" s="197"/>
      <c r="AQ148" s="216"/>
      <c r="AR148" s="216"/>
      <c r="AS148" s="216"/>
      <c r="AT148" s="216"/>
      <c r="AZ148" s="197"/>
      <c r="BA148" s="197"/>
      <c r="BB148" s="216"/>
      <c r="BE148" s="197"/>
      <c r="BF148" s="197"/>
      <c r="BG148" s="216"/>
      <c r="BH148" s="216"/>
      <c r="BK148" s="203"/>
      <c r="DE148">
        <v>146</v>
      </c>
      <c r="DF148" t="str">
        <f>IF(IFERROR(MATCH(FFARawStatProjections!A149,Draft!BY:BY,0),1)&lt;=1,IF(FFARawStatProjections!A149=0,"",FFARawStatProjections!A149),"")</f>
        <v>DAndre Swift</v>
      </c>
    </row>
    <row r="149" spans="1:110" x14ac:dyDescent="0.25">
      <c r="A149" s="196"/>
      <c r="B149" s="197"/>
      <c r="C149" s="197"/>
      <c r="D149" s="197"/>
      <c r="E149" s="197"/>
      <c r="F149" s="197"/>
      <c r="G149" s="197"/>
      <c r="H149" s="197"/>
      <c r="I149" s="222"/>
      <c r="J149" s="216"/>
      <c r="K149" s="216"/>
      <c r="L149" s="216"/>
      <c r="M149" s="216"/>
      <c r="S149" s="197"/>
      <c r="T149" s="216"/>
      <c r="U149" s="216"/>
      <c r="V149" s="216"/>
      <c r="W149" s="216"/>
      <c r="X149" s="216"/>
      <c r="AD149" s="197"/>
      <c r="AE149" s="187" t="str">
        <f>WRproj!D153</f>
        <v>Devin Duvernay</v>
      </c>
      <c r="AF149" s="461" t="str">
        <f>WRproj!E153</f>
        <v>BAL</v>
      </c>
      <c r="AG149" s="184">
        <f>WRproj!F153</f>
        <v>28.67465</v>
      </c>
      <c r="AH149" s="517">
        <f>IFERROR(IF(WRproj!H153="",WRproj!G153,WRproj!H153),0)</f>
        <v>8</v>
      </c>
      <c r="AI149" s="503">
        <f>INDEX(Draft!$BW:$BW,MATCH(AE149,Draft_Names_Master,0))</f>
        <v>0</v>
      </c>
      <c r="AJ149">
        <v>0.14699999999999999</v>
      </c>
      <c r="AK149">
        <f>IFERROR(IF(INDEX(Instructions!$V$86:$V$105,MATCH('Draft Slayer Classic'!AE149,Instructions!$S$86:$S$105,0))&lt;=$E$25,1,0),0)</f>
        <v>0</v>
      </c>
      <c r="AL149">
        <f>IFERROR(INDEX(ADP!$A$7:$A$260,MATCH(AE149,ADP!$D$7:$D$260,0)),999+AJ149)</f>
        <v>999.14700000000005</v>
      </c>
      <c r="AM149">
        <f t="shared" si="10"/>
        <v>0.14699999999999999</v>
      </c>
      <c r="AN149">
        <f>IFERROR(INDEX(Instructions!$U$111:$U$222,MATCH(AE149,Instructions!$T$111:$T$222,0)),0)</f>
        <v>0</v>
      </c>
      <c r="AO149" s="197"/>
      <c r="AP149" s="197"/>
      <c r="AQ149" s="216"/>
      <c r="AR149" s="216"/>
      <c r="AS149" s="216"/>
      <c r="AT149" s="216"/>
      <c r="AZ149" s="197"/>
      <c r="BA149" s="197"/>
      <c r="BB149" s="216"/>
      <c r="BE149" s="197"/>
      <c r="BF149" s="197"/>
      <c r="BG149" s="216"/>
      <c r="BH149" s="216"/>
      <c r="BK149" s="203"/>
      <c r="DE149">
        <v>147</v>
      </c>
      <c r="DF149" t="str">
        <f>IF(IFERROR(MATCH(FFARawStatProjections!A150,Draft!BY:BY,0),1)&lt;=1,IF(FFARawStatProjections!A150=0,"",FFARawStatProjections!A150),"")</f>
        <v>Dalvin Cook</v>
      </c>
    </row>
    <row r="150" spans="1:110" x14ac:dyDescent="0.25">
      <c r="A150" s="196"/>
      <c r="B150" s="197"/>
      <c r="C150" s="197"/>
      <c r="D150" s="197"/>
      <c r="E150" s="197"/>
      <c r="F150" s="197"/>
      <c r="G150" s="197"/>
      <c r="H150" s="197"/>
      <c r="I150" s="222"/>
      <c r="J150" s="216"/>
      <c r="K150" s="216"/>
      <c r="L150" s="216"/>
      <c r="M150" s="216"/>
      <c r="S150" s="197"/>
      <c r="T150" s="216"/>
      <c r="U150" s="216"/>
      <c r="V150" s="216"/>
      <c r="W150" s="216"/>
      <c r="X150" s="216"/>
      <c r="AD150" s="197"/>
      <c r="AE150" s="182" t="str">
        <f>WRproj!D154</f>
        <v>Deonte Harty</v>
      </c>
      <c r="AF150" s="290" t="str">
        <f>WRproj!E154</f>
        <v>BUF</v>
      </c>
      <c r="AG150" s="183">
        <f>WRproj!F154</f>
        <v>28.334620000000005</v>
      </c>
      <c r="AH150" s="517">
        <f>IFERROR(IF(WRproj!H154="",WRproj!G154,WRproj!H154),0)</f>
        <v>8</v>
      </c>
      <c r="AI150" s="503">
        <f>INDEX(Draft!$BW:$BW,MATCH(AE150,Draft_Names_Master,0))</f>
        <v>0</v>
      </c>
      <c r="AJ150">
        <v>0.14799999999999999</v>
      </c>
      <c r="AK150">
        <f>IFERROR(IF(INDEX(Instructions!$V$86:$V$105,MATCH('Draft Slayer Classic'!AE150,Instructions!$S$86:$S$105,0))&lt;=$E$25,1,0),0)</f>
        <v>0</v>
      </c>
      <c r="AL150">
        <f>IFERROR(INDEX(ADP!$A$7:$A$260,MATCH(AE150,ADP!$D$7:$D$260,0)),999+AJ150)</f>
        <v>999.14800000000002</v>
      </c>
      <c r="AM150">
        <f t="shared" si="10"/>
        <v>0.14799999999999999</v>
      </c>
      <c r="AN150">
        <f>IFERROR(INDEX(Instructions!$U$111:$U$222,MATCH(AE150,Instructions!$T$111:$T$222,0)),0)</f>
        <v>0</v>
      </c>
      <c r="AO150" s="197"/>
      <c r="AP150" s="197"/>
      <c r="AQ150" s="216"/>
      <c r="AR150" s="216"/>
      <c r="AS150" s="216"/>
      <c r="AT150" s="216"/>
      <c r="AZ150" s="197"/>
      <c r="BA150" s="197"/>
      <c r="BB150" s="216"/>
      <c r="BE150" s="197"/>
      <c r="BF150" s="197"/>
      <c r="BG150" s="216"/>
      <c r="BH150" s="216"/>
      <c r="BK150" s="203"/>
      <c r="DE150">
        <v>148</v>
      </c>
      <c r="DF150" t="str">
        <f>IF(IFERROR(MATCH(FFARawStatProjections!A151,Draft!BY:BY,0),1)&lt;=1,IF(FFARawStatProjections!A151=0,"",FFARawStatProjections!A151),"")</f>
        <v>Samaje Perine</v>
      </c>
    </row>
    <row r="151" spans="1:110" x14ac:dyDescent="0.25">
      <c r="A151" s="196"/>
      <c r="B151" s="197"/>
      <c r="C151" s="197"/>
      <c r="D151" s="197"/>
      <c r="E151" s="197"/>
      <c r="F151" s="197"/>
      <c r="G151" s="197"/>
      <c r="H151" s="197"/>
      <c r="I151" s="222"/>
      <c r="J151" s="216"/>
      <c r="K151" s="216"/>
      <c r="L151" s="216"/>
      <c r="M151" s="216"/>
      <c r="S151" s="197"/>
      <c r="T151" s="216"/>
      <c r="U151" s="216"/>
      <c r="V151" s="216"/>
      <c r="W151" s="216"/>
      <c r="X151" s="216"/>
      <c r="AD151" s="197"/>
      <c r="AE151" s="187" t="str">
        <f>WRproj!D155</f>
        <v>Tre Nixon</v>
      </c>
      <c r="AF151" s="461" t="str">
        <f>WRproj!E155</f>
        <v>NE</v>
      </c>
      <c r="AG151" s="184">
        <f>WRproj!F155</f>
        <v>28.024690000000003</v>
      </c>
      <c r="AH151" s="517">
        <f>IFERROR(IF(WRproj!H155="",WRproj!G155,WRproj!H155),0)</f>
        <v>8</v>
      </c>
      <c r="AI151" s="503">
        <f>INDEX(Draft!$BW:$BW,MATCH(AE151,Draft_Names_Master,0))</f>
        <v>0</v>
      </c>
      <c r="AJ151">
        <v>0.14899999999999999</v>
      </c>
      <c r="AK151">
        <f>IFERROR(IF(INDEX(Instructions!$V$86:$V$105,MATCH('Draft Slayer Classic'!AE151,Instructions!$S$86:$S$105,0))&lt;=$E$25,1,0),0)</f>
        <v>0</v>
      </c>
      <c r="AL151">
        <f>IFERROR(INDEX(ADP!$A$7:$A$260,MATCH(AE151,ADP!$D$7:$D$260,0)),999+AJ151)</f>
        <v>999.149</v>
      </c>
      <c r="AM151">
        <f t="shared" si="10"/>
        <v>0.14899999999999999</v>
      </c>
      <c r="AN151">
        <f>IFERROR(INDEX(Instructions!$U$111:$U$222,MATCH(AE151,Instructions!$T$111:$T$222,0)),0)</f>
        <v>0</v>
      </c>
      <c r="AO151" s="197"/>
      <c r="AP151" s="197"/>
      <c r="AQ151" s="216"/>
      <c r="AR151" s="216"/>
      <c r="AS151" s="216"/>
      <c r="AT151" s="216"/>
      <c r="AZ151" s="197"/>
      <c r="BA151" s="197"/>
      <c r="BB151" s="216"/>
      <c r="BE151" s="197"/>
      <c r="BF151" s="197"/>
      <c r="BG151" s="216"/>
      <c r="BH151" s="216"/>
      <c r="BK151" s="203"/>
      <c r="DE151">
        <v>149</v>
      </c>
      <c r="DF151" t="str">
        <f>IF(IFERROR(MATCH(FFARawStatProjections!A152,Draft!BY:BY,0),1)&lt;=1,IF(FFARawStatProjections!A152=0,"",FFARawStatProjections!A152),"")</f>
        <v>Antonio Gibson</v>
      </c>
    </row>
    <row r="152" spans="1:110" x14ac:dyDescent="0.25">
      <c r="A152" s="196"/>
      <c r="B152" s="197"/>
      <c r="C152" s="197"/>
      <c r="D152" s="197"/>
      <c r="E152" s="197"/>
      <c r="F152" s="197"/>
      <c r="G152" s="197"/>
      <c r="H152" s="197"/>
      <c r="I152" s="222"/>
      <c r="J152" s="216"/>
      <c r="K152" s="216"/>
      <c r="L152" s="216"/>
      <c r="M152" s="216"/>
      <c r="S152" s="197"/>
      <c r="T152" s="216"/>
      <c r="U152" s="216"/>
      <c r="V152" s="216"/>
      <c r="W152" s="216"/>
      <c r="X152" s="216"/>
      <c r="AD152" s="197"/>
      <c r="AE152" s="182" t="str">
        <f>WRproj!D156</f>
        <v>Jalen Guyton</v>
      </c>
      <c r="AF152" s="290" t="str">
        <f>WRproj!E156</f>
        <v>LAC</v>
      </c>
      <c r="AG152" s="183">
        <f>WRproj!F156</f>
        <v>27.69454</v>
      </c>
      <c r="AH152" s="517">
        <f>IFERROR(IF(WRproj!H156="",WRproj!G156,WRproj!H156),0)</f>
        <v>8</v>
      </c>
      <c r="AI152" s="503">
        <f>INDEX(Draft!$BW:$BW,MATCH(AE152,Draft_Names_Master,0))</f>
        <v>0</v>
      </c>
      <c r="AJ152">
        <v>0.15</v>
      </c>
      <c r="AK152">
        <f>IFERROR(IF(INDEX(Instructions!$V$86:$V$105,MATCH('Draft Slayer Classic'!AE152,Instructions!$S$86:$S$105,0))&lt;=$E$25,1,0),0)</f>
        <v>0</v>
      </c>
      <c r="AL152">
        <f>IFERROR(INDEX(ADP!$A$7:$A$260,MATCH(AE152,ADP!$D$7:$D$260,0)),999+AJ152)</f>
        <v>999.15</v>
      </c>
      <c r="AM152">
        <f t="shared" si="10"/>
        <v>0.15</v>
      </c>
      <c r="AN152">
        <f>IFERROR(INDEX(Instructions!$U$111:$U$222,MATCH(AE152,Instructions!$T$111:$T$222,0)),0)</f>
        <v>0</v>
      </c>
      <c r="AO152" s="197"/>
      <c r="AP152" s="197"/>
      <c r="AQ152" s="216"/>
      <c r="AR152" s="216"/>
      <c r="AS152" s="216"/>
      <c r="AT152" s="216"/>
      <c r="AZ152" s="197"/>
      <c r="BA152" s="197"/>
      <c r="BB152" s="216"/>
      <c r="BE152" s="197"/>
      <c r="BF152" s="197"/>
      <c r="BG152" s="216"/>
      <c r="BH152" s="216"/>
      <c r="BK152" s="203"/>
      <c r="DE152">
        <v>150</v>
      </c>
      <c r="DF152" t="str">
        <f>IF(IFERROR(MATCH(FFARawStatProjections!A153,Draft!BY:BY,0),1)&lt;=1,IF(FFARawStatProjections!A153=0,"",FFARawStatProjections!A153),"")</f>
        <v>Rashaad Penny</v>
      </c>
    </row>
    <row r="153" spans="1:110" x14ac:dyDescent="0.25">
      <c r="A153" s="196"/>
      <c r="B153" s="197"/>
      <c r="C153" s="197"/>
      <c r="D153" s="197"/>
      <c r="E153" s="197"/>
      <c r="F153" s="197"/>
      <c r="G153" s="197"/>
      <c r="H153" s="197"/>
      <c r="I153" s="222"/>
      <c r="J153" s="216"/>
      <c r="K153" s="216"/>
      <c r="L153" s="216"/>
      <c r="M153" s="216"/>
      <c r="S153" s="197"/>
      <c r="T153" s="216"/>
      <c r="U153" s="216"/>
      <c r="V153" s="216"/>
      <c r="W153" s="216"/>
      <c r="X153" s="216"/>
      <c r="AD153" s="197"/>
      <c r="AE153" s="187" t="str">
        <f>WRproj!D157</f>
        <v>Britain Covey</v>
      </c>
      <c r="AF153" s="461" t="str">
        <f>WRproj!E157</f>
        <v>PHI</v>
      </c>
      <c r="AG153" s="184">
        <f>WRproj!F157</f>
        <v>27.514640000000004</v>
      </c>
      <c r="AH153" s="517">
        <f>IFERROR(IF(WRproj!H157="",WRproj!G157,WRproj!H157),0)</f>
        <v>8</v>
      </c>
      <c r="AI153" s="503">
        <f>INDEX(Draft!$BW:$BW,MATCH(AE153,Draft_Names_Master,0))</f>
        <v>0</v>
      </c>
      <c r="AJ153">
        <v>0.151</v>
      </c>
      <c r="AK153">
        <f>IFERROR(IF(INDEX(Instructions!$V$86:$V$105,MATCH('Draft Slayer Classic'!AE153,Instructions!$S$86:$S$105,0))&lt;=$E$25,1,0),0)</f>
        <v>0</v>
      </c>
      <c r="AL153">
        <f>IFERROR(INDEX(ADP!$A$7:$A$260,MATCH(AE153,ADP!$D$7:$D$260,0)),999+AJ153)</f>
        <v>999.15099999999995</v>
      </c>
      <c r="AM153">
        <f t="shared" si="10"/>
        <v>0.151</v>
      </c>
      <c r="AN153">
        <f>IFERROR(INDEX(Instructions!$U$111:$U$222,MATCH(AE153,Instructions!$T$111:$T$222,0)),0)</f>
        <v>0</v>
      </c>
      <c r="AO153" s="197"/>
      <c r="AP153" s="197"/>
      <c r="AQ153" s="216"/>
      <c r="AR153" s="216"/>
      <c r="AS153" s="216"/>
      <c r="AT153" s="216"/>
      <c r="AZ153" s="197"/>
      <c r="BA153" s="197"/>
      <c r="BB153" s="216"/>
      <c r="BE153" s="197"/>
      <c r="BF153" s="197"/>
      <c r="BG153" s="216"/>
      <c r="BH153" s="216"/>
      <c r="BK153" s="203"/>
      <c r="DE153">
        <v>151</v>
      </c>
      <c r="DF153" t="str">
        <f>IF(IFERROR(MATCH(FFARawStatProjections!A154,Draft!BY:BY,0),1)&lt;=1,IF(FFARawStatProjections!A154=0,"",FFARawStatProjections!A154),"")</f>
        <v>Jamaal Williams</v>
      </c>
    </row>
    <row r="154" spans="1:110" x14ac:dyDescent="0.25">
      <c r="A154" s="196"/>
      <c r="B154" s="197"/>
      <c r="C154" s="197"/>
      <c r="D154" s="197"/>
      <c r="E154" s="197"/>
      <c r="F154" s="197"/>
      <c r="G154" s="197"/>
      <c r="H154" s="197"/>
      <c r="I154" s="222"/>
      <c r="J154" s="216"/>
      <c r="K154" s="216"/>
      <c r="L154" s="216"/>
      <c r="M154" s="216"/>
      <c r="S154" s="197"/>
      <c r="T154" s="216"/>
      <c r="U154" s="216"/>
      <c r="V154" s="216"/>
      <c r="W154" s="216"/>
      <c r="X154" s="216"/>
      <c r="AD154" s="197"/>
      <c r="AE154" s="182" t="str">
        <f>WRproj!D158</f>
        <v>Xavier Hutchinson</v>
      </c>
      <c r="AF154" s="290" t="str">
        <f>WRproj!E158</f>
        <v>HOU</v>
      </c>
      <c r="AG154" s="183">
        <f>WRproj!F158</f>
        <v>25.664430000000003</v>
      </c>
      <c r="AH154" s="517">
        <f>IFERROR(IF(WRproj!H158="",WRproj!G158,WRproj!H158),0)</f>
        <v>8</v>
      </c>
      <c r="AI154" s="503">
        <f>INDEX(Draft!$BW:$BW,MATCH(AE154,Draft_Names_Master,0))</f>
        <v>0</v>
      </c>
      <c r="AJ154">
        <v>0.152</v>
      </c>
      <c r="AK154">
        <f>IFERROR(IF(INDEX(Instructions!$V$86:$V$105,MATCH('Draft Slayer Classic'!AE154,Instructions!$S$86:$S$105,0))&lt;=$E$25,1,0),0)</f>
        <v>0</v>
      </c>
      <c r="AL154">
        <f>IFERROR(INDEX(ADP!$A$7:$A$260,MATCH(AE154,ADP!$D$7:$D$260,0)),999+AJ154)</f>
        <v>999.15200000000004</v>
      </c>
      <c r="AM154">
        <f t="shared" si="10"/>
        <v>0.152</v>
      </c>
      <c r="AN154">
        <f>IFERROR(INDEX(Instructions!$U$111:$U$222,MATCH(AE154,Instructions!$T$111:$T$222,0)),0)</f>
        <v>0</v>
      </c>
      <c r="AO154" s="197"/>
      <c r="AP154" s="197"/>
      <c r="AQ154" s="216"/>
      <c r="AR154" s="216"/>
      <c r="AS154" s="216"/>
      <c r="AT154" s="216"/>
      <c r="AZ154" s="197"/>
      <c r="BA154" s="197"/>
      <c r="BB154" s="216"/>
      <c r="BE154" s="197"/>
      <c r="BF154" s="197"/>
      <c r="BG154" s="216"/>
      <c r="BH154" s="216"/>
      <c r="BK154" s="203"/>
      <c r="DE154">
        <v>152</v>
      </c>
      <c r="DF154" t="str">
        <f>IF(IFERROR(MATCH(FFARawStatProjections!A155,Draft!BY:BY,0),1)&lt;=1,IF(FFARawStatProjections!A155=0,"",FFARawStatProjections!A155),"")</f>
        <v>Jeff Wilson</v>
      </c>
    </row>
    <row r="155" spans="1:110" x14ac:dyDescent="0.25">
      <c r="A155" s="196"/>
      <c r="B155" s="197"/>
      <c r="C155" s="197"/>
      <c r="D155" s="197"/>
      <c r="E155" s="197"/>
      <c r="F155" s="197"/>
      <c r="G155" s="197"/>
      <c r="H155" s="197"/>
      <c r="I155" s="222"/>
      <c r="J155" s="216"/>
      <c r="K155" s="216"/>
      <c r="L155" s="216"/>
      <c r="M155" s="216"/>
      <c r="S155" s="197"/>
      <c r="T155" s="216"/>
      <c r="U155" s="216"/>
      <c r="V155" s="216"/>
      <c r="W155" s="216"/>
      <c r="X155" s="216"/>
      <c r="AD155" s="197"/>
      <c r="AE155" s="187" t="str">
        <f>WRproj!D159</f>
        <v>Brandon Powell</v>
      </c>
      <c r="AF155" s="461" t="str">
        <f>WRproj!E159</f>
        <v>MIN</v>
      </c>
      <c r="AG155" s="184">
        <f>WRproj!F159</f>
        <v>25.64472</v>
      </c>
      <c r="AH155" s="517">
        <f>IFERROR(IF(WRproj!H159="",WRproj!G159,WRproj!H159),0)</f>
        <v>8</v>
      </c>
      <c r="AI155" s="503">
        <f>INDEX(Draft!$BW:$BW,MATCH(AE155,Draft_Names_Master,0))</f>
        <v>0</v>
      </c>
      <c r="AJ155">
        <v>0.153</v>
      </c>
      <c r="AK155">
        <f>IFERROR(IF(INDEX(Instructions!$V$86:$V$105,MATCH('Draft Slayer Classic'!AE155,Instructions!$S$86:$S$105,0))&lt;=$E$25,1,0),0)</f>
        <v>0</v>
      </c>
      <c r="AL155">
        <f>IFERROR(INDEX(ADP!$A$7:$A$260,MATCH(AE155,ADP!$D$7:$D$260,0)),999+AJ155)</f>
        <v>999.15300000000002</v>
      </c>
      <c r="AM155">
        <f t="shared" si="10"/>
        <v>0.153</v>
      </c>
      <c r="AN155">
        <f>IFERROR(INDEX(Instructions!$U$111:$U$222,MATCH(AE155,Instructions!$T$111:$T$222,0)),0)</f>
        <v>0</v>
      </c>
      <c r="AO155" s="197"/>
      <c r="AP155" s="197"/>
      <c r="AQ155" s="216"/>
      <c r="AR155" s="216"/>
      <c r="AS155" s="216"/>
      <c r="AT155" s="216"/>
      <c r="AZ155" s="197"/>
      <c r="BA155" s="197"/>
      <c r="BB155" s="216"/>
      <c r="BE155" s="197"/>
      <c r="BF155" s="197"/>
      <c r="BG155" s="216"/>
      <c r="BH155" s="216"/>
      <c r="BK155" s="203"/>
      <c r="DE155">
        <v>153</v>
      </c>
      <c r="DF155" t="str">
        <f>IF(IFERROR(MATCH(FFARawStatProjections!A156,Draft!BY:BY,0),1)&lt;=1,IF(FFARawStatProjections!A156=0,"",FFARawStatProjections!A156),"")</f>
        <v>Elijah Mitchell</v>
      </c>
    </row>
    <row r="156" spans="1:110" x14ac:dyDescent="0.25">
      <c r="A156" s="196"/>
      <c r="B156" s="197"/>
      <c r="C156" s="197"/>
      <c r="D156" s="197"/>
      <c r="E156" s="197"/>
      <c r="F156" s="197"/>
      <c r="G156" s="197"/>
      <c r="H156" s="197"/>
      <c r="I156" s="222"/>
      <c r="J156" s="216"/>
      <c r="K156" s="216"/>
      <c r="L156" s="216"/>
      <c r="M156" s="216"/>
      <c r="S156" s="197"/>
      <c r="T156" s="216"/>
      <c r="U156" s="216"/>
      <c r="V156" s="216"/>
      <c r="W156" s="216"/>
      <c r="X156" s="216"/>
      <c r="AD156" s="197"/>
      <c r="AE156" s="182" t="str">
        <f>WRproj!D160</f>
        <v>Tyler Scott</v>
      </c>
      <c r="AF156" s="290" t="str">
        <f>WRproj!E160</f>
        <v>CHI</v>
      </c>
      <c r="AG156" s="183">
        <f>WRproj!F160</f>
        <v>24.954750000000004</v>
      </c>
      <c r="AH156" s="517">
        <f>IFERROR(IF(WRproj!H160="",WRproj!G160,WRproj!H160),0)</f>
        <v>8</v>
      </c>
      <c r="AI156" s="503">
        <f>INDEX(Draft!$BW:$BW,MATCH(AE156,Draft_Names_Master,0))</f>
        <v>0</v>
      </c>
      <c r="AJ156">
        <v>0.154</v>
      </c>
      <c r="AK156">
        <f>IFERROR(IF(INDEX(Instructions!$V$86:$V$105,MATCH('Draft Slayer Classic'!AE156,Instructions!$S$86:$S$105,0))&lt;=$E$25,1,0),0)</f>
        <v>0</v>
      </c>
      <c r="AL156">
        <f>IFERROR(INDEX(ADP!$A$7:$A$260,MATCH(AE156,ADP!$D$7:$D$260,0)),999+AJ156)</f>
        <v>999.154</v>
      </c>
      <c r="AM156">
        <f t="shared" si="10"/>
        <v>0.154</v>
      </c>
      <c r="AN156">
        <f>IFERROR(INDEX(Instructions!$U$111:$U$222,MATCH(AE156,Instructions!$T$111:$T$222,0)),0)</f>
        <v>0</v>
      </c>
      <c r="AO156" s="197"/>
      <c r="AP156" s="197"/>
      <c r="AQ156" s="216"/>
      <c r="AR156" s="216"/>
      <c r="AS156" s="216"/>
      <c r="AT156" s="216"/>
      <c r="AZ156" s="197"/>
      <c r="BA156" s="197"/>
      <c r="BB156" s="216"/>
      <c r="BE156" s="197"/>
      <c r="BF156" s="197"/>
      <c r="BG156" s="216"/>
      <c r="BH156" s="216"/>
      <c r="BK156" s="203"/>
      <c r="DE156">
        <v>154</v>
      </c>
      <c r="DF156" t="str">
        <f>IF(IFERROR(MATCH(FFARawStatProjections!A157,Draft!BY:BY,0),1)&lt;=1,IF(FFARawStatProjections!A157=0,"",FFARawStatProjections!A157),"")</f>
        <v>Tyler Allgeier</v>
      </c>
    </row>
    <row r="157" spans="1:110" x14ac:dyDescent="0.25">
      <c r="A157" s="196"/>
      <c r="B157" s="197"/>
      <c r="C157" s="197"/>
      <c r="D157" s="197"/>
      <c r="E157" s="197"/>
      <c r="F157" s="197"/>
      <c r="G157" s="197"/>
      <c r="H157" s="197"/>
      <c r="I157" s="222"/>
      <c r="J157" s="216"/>
      <c r="K157" s="216"/>
      <c r="L157" s="216"/>
      <c r="M157" s="216"/>
      <c r="S157" s="197"/>
      <c r="T157" s="216"/>
      <c r="U157" s="216"/>
      <c r="V157" s="216"/>
      <c r="W157" s="216"/>
      <c r="X157" s="216"/>
      <c r="AD157" s="197"/>
      <c r="AE157" s="187" t="str">
        <f>WRproj!D161</f>
        <v>Bryan Edwards</v>
      </c>
      <c r="AF157" s="461" t="str">
        <f>WRproj!E161</f>
        <v>NO</v>
      </c>
      <c r="AG157" s="184">
        <f>WRproj!F161</f>
        <v>24.704670000000004</v>
      </c>
      <c r="AH157" s="517">
        <f>IFERROR(IF(WRproj!H161="",WRproj!G161,WRproj!H161),0)</f>
        <v>8</v>
      </c>
      <c r="AI157" s="503">
        <f>INDEX(Draft!$BW:$BW,MATCH(AE157,Draft_Names_Master,0))</f>
        <v>0</v>
      </c>
      <c r="AJ157">
        <v>0.155</v>
      </c>
      <c r="AK157">
        <f>IFERROR(IF(INDEX(Instructions!$V$86:$V$105,MATCH('Draft Slayer Classic'!AE157,Instructions!$S$86:$S$105,0))&lt;=$E$25,1,0),0)</f>
        <v>0</v>
      </c>
      <c r="AL157">
        <f>IFERROR(INDEX(ADP!$A$7:$A$260,MATCH(AE157,ADP!$D$7:$D$260,0)),999+AJ157)</f>
        <v>999.15499999999997</v>
      </c>
      <c r="AM157">
        <f t="shared" si="10"/>
        <v>0.155</v>
      </c>
      <c r="AN157">
        <f>IFERROR(INDEX(Instructions!$U$111:$U$222,MATCH(AE157,Instructions!$T$111:$T$222,0)),0)</f>
        <v>0</v>
      </c>
      <c r="AO157" s="197"/>
      <c r="AP157" s="197"/>
      <c r="AQ157" s="216"/>
      <c r="AR157" s="216"/>
      <c r="AS157" s="216"/>
      <c r="AT157" s="216"/>
      <c r="AZ157" s="197"/>
      <c r="BA157" s="197"/>
      <c r="BB157" s="216"/>
      <c r="BE157" s="197"/>
      <c r="BF157" s="197"/>
      <c r="BG157" s="216"/>
      <c r="BH157" s="216"/>
      <c r="BK157" s="203"/>
      <c r="DE157">
        <v>155</v>
      </c>
      <c r="DF157" t="str">
        <f>IF(IFERROR(MATCH(FFARawStatProjections!A158,Draft!BY:BY,0),1)&lt;=1,IF(FFARawStatProjections!A158=0,"",FFARawStatProjections!A158),"")</f>
        <v>Raheem Mostert</v>
      </c>
    </row>
    <row r="158" spans="1:110" x14ac:dyDescent="0.25">
      <c r="A158" s="196"/>
      <c r="B158" s="197"/>
      <c r="C158" s="197"/>
      <c r="D158" s="197"/>
      <c r="E158" s="197"/>
      <c r="F158" s="197"/>
      <c r="G158" s="197"/>
      <c r="H158" s="197"/>
      <c r="I158" s="222"/>
      <c r="J158" s="216"/>
      <c r="K158" s="216"/>
      <c r="L158" s="216"/>
      <c r="M158" s="216"/>
      <c r="S158" s="197"/>
      <c r="T158" s="216"/>
      <c r="U158" s="216"/>
      <c r="V158" s="216"/>
      <c r="W158" s="216"/>
      <c r="X158" s="216"/>
      <c r="AD158" s="197"/>
      <c r="AE158" s="182" t="str">
        <f>WRproj!D162</f>
        <v>Cole Beasley</v>
      </c>
      <c r="AF158" s="290" t="str">
        <f>WRproj!E162</f>
        <v>NYG</v>
      </c>
      <c r="AG158" s="183">
        <f>WRproj!F162</f>
        <v>24.034679999999998</v>
      </c>
      <c r="AH158" s="517">
        <f>IFERROR(IF(WRproj!H162="",WRproj!G162,WRproj!H162),0)</f>
        <v>8</v>
      </c>
      <c r="AI158" s="503">
        <f>INDEX(Draft!$BW:$BW,MATCH(AE158,Draft_Names_Master,0))</f>
        <v>0</v>
      </c>
      <c r="AJ158">
        <v>0.156</v>
      </c>
      <c r="AK158">
        <f>IFERROR(IF(INDEX(Instructions!$V$86:$V$105,MATCH('Draft Slayer Classic'!AE158,Instructions!$S$86:$S$105,0))&lt;=$E$25,1,0),0)</f>
        <v>0</v>
      </c>
      <c r="AL158">
        <f>IFERROR(INDEX(ADP!$A$7:$A$260,MATCH(AE158,ADP!$D$7:$D$260,0)),999+AJ158)</f>
        <v>999.15599999999995</v>
      </c>
      <c r="AM158">
        <f t="shared" si="10"/>
        <v>0.156</v>
      </c>
      <c r="AN158">
        <f>IFERROR(INDEX(Instructions!$U$111:$U$222,MATCH(AE158,Instructions!$T$111:$T$222,0)),0)</f>
        <v>0</v>
      </c>
      <c r="AO158" s="197"/>
      <c r="AP158" s="197"/>
      <c r="AQ158" s="216"/>
      <c r="AR158" s="216"/>
      <c r="AS158" s="216"/>
      <c r="AT158" s="216"/>
      <c r="AZ158" s="197"/>
      <c r="BA158" s="197"/>
      <c r="BB158" s="216"/>
      <c r="BE158" s="197"/>
      <c r="BF158" s="197"/>
      <c r="BG158" s="216"/>
      <c r="BH158" s="216"/>
      <c r="BK158" s="203"/>
      <c r="DE158">
        <v>156</v>
      </c>
      <c r="DF158" t="str">
        <f>IF(IFERROR(MATCH(FFARawStatProjections!A159,Draft!BY:BY,0),1)&lt;=1,IF(FFARawStatProjections!A159=0,"",FFARawStatProjections!A159),"")</f>
        <v>Zach Charbonnet</v>
      </c>
    </row>
    <row r="159" spans="1:110" x14ac:dyDescent="0.25">
      <c r="A159" s="196"/>
      <c r="B159" s="197"/>
      <c r="C159" s="197"/>
      <c r="D159" s="197"/>
      <c r="E159" s="197"/>
      <c r="F159" s="197"/>
      <c r="G159" s="197"/>
      <c r="H159" s="197"/>
      <c r="I159" s="222"/>
      <c r="J159" s="216"/>
      <c r="K159" s="216"/>
      <c r="L159" s="216"/>
      <c r="M159" s="216"/>
      <c r="S159" s="197"/>
      <c r="T159" s="216"/>
      <c r="U159" s="216"/>
      <c r="V159" s="216"/>
      <c r="W159" s="216"/>
      <c r="X159" s="216"/>
      <c r="AD159" s="197"/>
      <c r="AE159" s="187" t="str">
        <f>WRproj!D163</f>
        <v>Steven Sims</v>
      </c>
      <c r="AF159" s="461" t="str">
        <f>WRproj!E163</f>
        <v>HOU</v>
      </c>
      <c r="AG159" s="184">
        <f>WRproj!F163</f>
        <v>23.164490000000001</v>
      </c>
      <c r="AH159" s="517">
        <f>IFERROR(IF(WRproj!H163="",WRproj!G163,WRproj!H163),0)</f>
        <v>8</v>
      </c>
      <c r="AI159" s="503">
        <f>INDEX(Draft!$BW:$BW,MATCH(AE159,Draft_Names_Master,0))</f>
        <v>0</v>
      </c>
      <c r="AJ159">
        <v>0.157</v>
      </c>
      <c r="AK159">
        <f>IFERROR(IF(INDEX(Instructions!$V$86:$V$105,MATCH('Draft Slayer Classic'!AE159,Instructions!$S$86:$S$105,0))&lt;=$E$25,1,0),0)</f>
        <v>0</v>
      </c>
      <c r="AL159">
        <f>IFERROR(INDEX(ADP!$A$7:$A$260,MATCH(AE159,ADP!$D$7:$D$260,0)),999+AJ159)</f>
        <v>999.15700000000004</v>
      </c>
      <c r="AM159">
        <f t="shared" si="10"/>
        <v>0.157</v>
      </c>
      <c r="AN159">
        <f>IFERROR(INDEX(Instructions!$U$111:$U$222,MATCH(AE159,Instructions!$T$111:$T$222,0)),0)</f>
        <v>0</v>
      </c>
      <c r="AO159" s="197"/>
      <c r="AP159" s="197"/>
      <c r="AQ159" s="216"/>
      <c r="AR159" s="216"/>
      <c r="AS159" s="216"/>
      <c r="AT159" s="216"/>
      <c r="AZ159" s="197"/>
      <c r="BA159" s="197"/>
      <c r="BB159" s="216"/>
      <c r="BE159" s="197"/>
      <c r="BF159" s="197"/>
      <c r="BG159" s="216"/>
      <c r="BH159" s="216"/>
      <c r="BK159" s="203"/>
      <c r="DE159">
        <v>157</v>
      </c>
      <c r="DF159" t="str">
        <f>IF(IFERROR(MATCH(FFARawStatProjections!A160,Draft!BY:BY,0),1)&lt;=1,IF(FFARawStatProjections!A160=0,"",FFARawStatProjections!A160),"")</f>
        <v>Ezekiel Elliott</v>
      </c>
    </row>
    <row r="160" spans="1:110" x14ac:dyDescent="0.25">
      <c r="A160" s="196"/>
      <c r="B160" s="197"/>
      <c r="C160" s="197"/>
      <c r="D160" s="197"/>
      <c r="E160" s="197"/>
      <c r="F160" s="197"/>
      <c r="G160" s="197"/>
      <c r="H160" s="197"/>
      <c r="I160" s="222"/>
      <c r="J160" s="216"/>
      <c r="K160" s="216"/>
      <c r="L160" s="216"/>
      <c r="M160" s="216"/>
      <c r="S160" s="197"/>
      <c r="T160" s="216"/>
      <c r="U160" s="216"/>
      <c r="V160" s="216"/>
      <c r="W160" s="216"/>
      <c r="X160" s="216"/>
      <c r="AD160" s="197"/>
      <c r="AE160" s="182" t="str">
        <f>WRproj!D164</f>
        <v>Jalen Nailor</v>
      </c>
      <c r="AF160" s="290" t="str">
        <f>WRproj!E164</f>
        <v>MIN</v>
      </c>
      <c r="AG160" s="183">
        <f>WRproj!F164</f>
        <v>23.064730000000001</v>
      </c>
      <c r="AH160" s="517">
        <f>IFERROR(IF(WRproj!H164="",WRproj!G164,WRproj!H164),0)</f>
        <v>8</v>
      </c>
      <c r="AI160" s="503">
        <f>INDEX(Draft!$BW:$BW,MATCH(AE160,Draft_Names_Master,0))</f>
        <v>0</v>
      </c>
      <c r="AJ160">
        <v>0.158</v>
      </c>
      <c r="AK160">
        <f>IFERROR(IF(INDEX(Instructions!$V$86:$V$105,MATCH('Draft Slayer Classic'!AE160,Instructions!$S$86:$S$105,0))&lt;=$E$25,1,0),0)</f>
        <v>0</v>
      </c>
      <c r="AL160">
        <f>IFERROR(INDEX(ADP!$A$7:$A$260,MATCH(AE160,ADP!$D$7:$D$260,0)),999+AJ160)</f>
        <v>999.15800000000002</v>
      </c>
      <c r="AM160">
        <f t="shared" si="10"/>
        <v>0.158</v>
      </c>
      <c r="AN160">
        <f>IFERROR(INDEX(Instructions!$U$111:$U$222,MATCH(AE160,Instructions!$T$111:$T$222,0)),0)</f>
        <v>0</v>
      </c>
      <c r="AO160" s="197"/>
      <c r="AP160" s="197"/>
      <c r="AQ160" s="216"/>
      <c r="AR160" s="216"/>
      <c r="AS160" s="216"/>
      <c r="AT160" s="216"/>
      <c r="AZ160" s="197"/>
      <c r="BA160" s="197"/>
      <c r="BB160" s="216"/>
      <c r="BE160" s="197"/>
      <c r="BF160" s="197"/>
      <c r="BG160" s="216"/>
      <c r="BH160" s="216"/>
      <c r="BK160" s="203"/>
      <c r="DE160">
        <v>158</v>
      </c>
      <c r="DF160" t="str">
        <f>IF(IFERROR(MATCH(FFARawStatProjections!A161,Draft!BY:BY,0),1)&lt;=1,IF(FFARawStatProjections!A161=0,"",FFARawStatProjections!A161),"")</f>
        <v>DOnta Foreman</v>
      </c>
    </row>
    <row r="161" spans="1:110" x14ac:dyDescent="0.25">
      <c r="A161" s="196"/>
      <c r="B161" s="197"/>
      <c r="C161" s="197"/>
      <c r="D161" s="197"/>
      <c r="E161" s="197"/>
      <c r="F161" s="197"/>
      <c r="G161" s="197"/>
      <c r="H161" s="197"/>
      <c r="I161" s="222"/>
      <c r="J161" s="216"/>
      <c r="K161" s="216"/>
      <c r="L161" s="216"/>
      <c r="M161" s="216"/>
      <c r="S161" s="197"/>
      <c r="T161" s="216"/>
      <c r="U161" s="216"/>
      <c r="V161" s="216"/>
      <c r="W161" s="216"/>
      <c r="X161" s="216"/>
      <c r="AD161" s="197"/>
      <c r="AE161" s="187" t="str">
        <f>WRproj!D165</f>
        <v>Jalen Tolbert</v>
      </c>
      <c r="AF161" s="461" t="str">
        <f>WRproj!E165</f>
        <v>DAL</v>
      </c>
      <c r="AG161" s="184">
        <f>WRproj!F165</f>
        <v>22.82471</v>
      </c>
      <c r="AH161" s="517">
        <f>IFERROR(IF(WRproj!H165="",WRproj!G165,WRproj!H165),0)</f>
        <v>8</v>
      </c>
      <c r="AI161" s="503">
        <f>INDEX(Draft!$BW:$BW,MATCH(AE161,Draft_Names_Master,0))</f>
        <v>0</v>
      </c>
      <c r="AJ161">
        <v>0.159</v>
      </c>
      <c r="AK161">
        <f>IFERROR(IF(INDEX(Instructions!$V$86:$V$105,MATCH('Draft Slayer Classic'!AE161,Instructions!$S$86:$S$105,0))&lt;=$E$25,1,0),0)</f>
        <v>0</v>
      </c>
      <c r="AL161">
        <f>IFERROR(INDEX(ADP!$A$7:$A$260,MATCH(AE161,ADP!$D$7:$D$260,0)),999+AJ161)</f>
        <v>999.15899999999999</v>
      </c>
      <c r="AM161">
        <f t="shared" si="10"/>
        <v>0.159</v>
      </c>
      <c r="AN161">
        <f>IFERROR(INDEX(Instructions!$U$111:$U$222,MATCH(AE161,Instructions!$T$111:$T$222,0)),0)</f>
        <v>0</v>
      </c>
      <c r="AO161" s="197"/>
      <c r="AP161" s="197"/>
      <c r="AQ161" s="216"/>
      <c r="AR161" s="216"/>
      <c r="AS161" s="216"/>
      <c r="AT161" s="216"/>
      <c r="AZ161" s="197"/>
      <c r="BA161" s="197"/>
      <c r="BB161" s="216"/>
      <c r="BE161" s="197"/>
      <c r="BF161" s="197"/>
      <c r="BG161" s="216"/>
      <c r="BH161" s="216"/>
      <c r="BK161" s="203"/>
      <c r="DE161">
        <v>159</v>
      </c>
      <c r="DF161" t="str">
        <f>IF(IFERROR(MATCH(FFARawStatProjections!A162,Draft!BY:BY,0),1)&lt;=1,IF(FFARawStatProjections!A162=0,"",FFARawStatProjections!A162),"")</f>
        <v>Damien Harris</v>
      </c>
    </row>
    <row r="162" spans="1:110" x14ac:dyDescent="0.25">
      <c r="A162" s="196"/>
      <c r="B162" s="197"/>
      <c r="C162" s="197"/>
      <c r="D162" s="197"/>
      <c r="E162" s="197"/>
      <c r="F162" s="197"/>
      <c r="G162" s="197"/>
      <c r="H162" s="197"/>
      <c r="I162" s="222"/>
      <c r="J162" s="216"/>
      <c r="K162" s="216"/>
      <c r="L162" s="216"/>
      <c r="M162" s="216"/>
      <c r="S162" s="197"/>
      <c r="T162" s="216"/>
      <c r="U162" s="216"/>
      <c r="V162" s="216"/>
      <c r="W162" s="216"/>
      <c r="X162" s="216"/>
      <c r="AD162" s="197"/>
      <c r="AE162" s="182" t="str">
        <f>WRproj!D166</f>
        <v>Equanimeous St Brown</v>
      </c>
      <c r="AF162" s="290" t="str">
        <f>WRproj!E166</f>
        <v>CHI</v>
      </c>
      <c r="AG162" s="183">
        <f>WRproj!F166</f>
        <v>22.64479</v>
      </c>
      <c r="AH162" s="517">
        <f>IFERROR(IF(WRproj!H166="",WRproj!G166,WRproj!H166),0)</f>
        <v>8</v>
      </c>
      <c r="AI162" s="503">
        <f>INDEX(Draft!$BW:$BW,MATCH(AE162,Draft_Names_Master,0))</f>
        <v>0</v>
      </c>
      <c r="AJ162">
        <v>0.16</v>
      </c>
      <c r="AK162">
        <f>IFERROR(IF(INDEX(Instructions!$V$86:$V$105,MATCH('Draft Slayer Classic'!AE162,Instructions!$S$86:$S$105,0))&lt;=$E$25,1,0),0)</f>
        <v>0</v>
      </c>
      <c r="AL162">
        <f>IFERROR(INDEX(ADP!$A$7:$A$260,MATCH(AE162,ADP!$D$7:$D$260,0)),999+AJ162)</f>
        <v>999.16</v>
      </c>
      <c r="AM162">
        <f t="shared" si="10"/>
        <v>0.16</v>
      </c>
      <c r="AN162">
        <f>IFERROR(INDEX(Instructions!$U$111:$U$222,MATCH(AE162,Instructions!$T$111:$T$222,0)),0)</f>
        <v>0</v>
      </c>
      <c r="AO162" s="197"/>
      <c r="AP162" s="197"/>
      <c r="AQ162" s="216"/>
      <c r="AR162" s="216"/>
      <c r="AS162" s="216"/>
      <c r="AT162" s="216"/>
      <c r="AZ162" s="197"/>
      <c r="BA162" s="197"/>
      <c r="BB162" s="216"/>
      <c r="BE162" s="197"/>
      <c r="BF162" s="197"/>
      <c r="BG162" s="216"/>
      <c r="BH162" s="216"/>
      <c r="BK162" s="203"/>
      <c r="DE162">
        <v>160</v>
      </c>
      <c r="DF162" t="str">
        <f>IF(IFERROR(MATCH(FFARawStatProjections!A163,Draft!BY:BY,0),1)&lt;=1,IF(FFARawStatProjections!A163=0,"",FFARawStatProjections!A163),"")</f>
        <v>Chuba Hubbard</v>
      </c>
    </row>
    <row r="163" spans="1:110" x14ac:dyDescent="0.25">
      <c r="A163" s="196"/>
      <c r="B163" s="197"/>
      <c r="C163" s="197"/>
      <c r="D163" s="197"/>
      <c r="E163" s="197"/>
      <c r="F163" s="197"/>
      <c r="G163" s="197"/>
      <c r="H163" s="197"/>
      <c r="I163" s="222"/>
      <c r="J163" s="216"/>
      <c r="K163" s="216"/>
      <c r="L163" s="216"/>
      <c r="M163" s="216"/>
      <c r="S163" s="197"/>
      <c r="T163" s="216"/>
      <c r="U163" s="216"/>
      <c r="V163" s="216"/>
      <c r="W163" s="216"/>
      <c r="X163" s="216"/>
      <c r="AD163" s="197"/>
      <c r="AE163" s="187" t="str">
        <f>WRproj!D167</f>
        <v>DeAndre Carter</v>
      </c>
      <c r="AF163" s="461" t="str">
        <f>WRproj!E167</f>
        <v>LV</v>
      </c>
      <c r="AG163" s="184">
        <f>WRproj!F167</f>
        <v>22.385650000000002</v>
      </c>
      <c r="AH163" s="517">
        <f>IFERROR(IF(WRproj!H167="",WRproj!G167,WRproj!H167),0)</f>
        <v>8</v>
      </c>
      <c r="AI163" s="503">
        <f>INDEX(Draft!$BW:$BW,MATCH(AE163,Draft_Names_Master,0))</f>
        <v>0</v>
      </c>
      <c r="AJ163">
        <v>0.161</v>
      </c>
      <c r="AK163">
        <f>IFERROR(IF(INDEX(Instructions!$V$86:$V$105,MATCH('Draft Slayer Classic'!AE163,Instructions!$S$86:$S$105,0))&lt;=$E$25,1,0),0)</f>
        <v>0</v>
      </c>
      <c r="AL163">
        <f>IFERROR(INDEX(ADP!$A$7:$A$260,MATCH(AE163,ADP!$D$7:$D$260,0)),999+AJ163)</f>
        <v>999.16099999999994</v>
      </c>
      <c r="AM163">
        <f t="shared" si="10"/>
        <v>0.161</v>
      </c>
      <c r="AN163">
        <f>IFERROR(INDEX(Instructions!$U$111:$U$222,MATCH(AE163,Instructions!$T$111:$T$222,0)),0)</f>
        <v>0</v>
      </c>
      <c r="AO163" s="197"/>
      <c r="AP163" s="197"/>
      <c r="AQ163" s="216"/>
      <c r="AR163" s="216"/>
      <c r="AS163" s="216"/>
      <c r="AT163" s="216"/>
      <c r="AZ163" s="197"/>
      <c r="BA163" s="197"/>
      <c r="BB163" s="216"/>
      <c r="BE163" s="197"/>
      <c r="BF163" s="197"/>
      <c r="BG163" s="216"/>
      <c r="BH163" s="216"/>
      <c r="BK163" s="203"/>
      <c r="DE163">
        <v>161</v>
      </c>
      <c r="DF163" t="str">
        <f>IF(IFERROR(MATCH(FFARawStatProjections!A164,Draft!BY:BY,0),1)&lt;=1,IF(FFARawStatProjections!A164=0,"",FFARawStatProjections!A164),"")</f>
        <v>Devin Singletary</v>
      </c>
    </row>
    <row r="164" spans="1:110" x14ac:dyDescent="0.25">
      <c r="A164" s="196"/>
      <c r="B164" s="197"/>
      <c r="C164" s="197"/>
      <c r="D164" s="197"/>
      <c r="E164" s="197"/>
      <c r="F164" s="197"/>
      <c r="G164" s="197"/>
      <c r="H164" s="197"/>
      <c r="I164" s="222"/>
      <c r="J164" s="216"/>
      <c r="K164" s="216"/>
      <c r="L164" s="216"/>
      <c r="M164" s="216"/>
      <c r="S164" s="197"/>
      <c r="T164" s="216"/>
      <c r="U164" s="216"/>
      <c r="V164" s="216"/>
      <c r="W164" s="216"/>
      <c r="X164" s="216"/>
      <c r="AD164" s="197"/>
      <c r="AE164" s="182" t="str">
        <f>WRproj!D168</f>
        <v>TreQuan Smith</v>
      </c>
      <c r="AF164" s="290" t="str">
        <f>WRproj!E168</f>
        <v>NO</v>
      </c>
      <c r="AG164" s="183">
        <f>WRproj!F168</f>
        <v>22.354849999999999</v>
      </c>
      <c r="AH164" s="517">
        <f>IFERROR(IF(WRproj!H168="",WRproj!G168,WRproj!H168),0)</f>
        <v>8</v>
      </c>
      <c r="AI164" s="503">
        <f>INDEX(Draft!$BW:$BW,MATCH(AE164,Draft_Names_Master,0))</f>
        <v>0</v>
      </c>
      <c r="AJ164">
        <v>0.16200000000000001</v>
      </c>
      <c r="AK164">
        <f>IFERROR(IF(INDEX(Instructions!$V$86:$V$105,MATCH('Draft Slayer Classic'!AE164,Instructions!$S$86:$S$105,0))&lt;=$E$25,1,0),0)</f>
        <v>0</v>
      </c>
      <c r="AL164">
        <f>IFERROR(INDEX(ADP!$A$7:$A$260,MATCH(AE164,ADP!$D$7:$D$260,0)),999+AJ164)</f>
        <v>999.16200000000003</v>
      </c>
      <c r="AM164">
        <f t="shared" si="10"/>
        <v>0.16200000000000001</v>
      </c>
      <c r="AN164">
        <f>IFERROR(INDEX(Instructions!$U$111:$U$222,MATCH(AE164,Instructions!$T$111:$T$222,0)),0)</f>
        <v>0</v>
      </c>
      <c r="AO164" s="197"/>
      <c r="AP164" s="197"/>
      <c r="AQ164" s="216"/>
      <c r="AR164" s="216"/>
      <c r="AS164" s="216"/>
      <c r="AT164" s="216"/>
      <c r="AZ164" s="197"/>
      <c r="BA164" s="197"/>
      <c r="BB164" s="216"/>
      <c r="BE164" s="197"/>
      <c r="BF164" s="197"/>
      <c r="BG164" s="216"/>
      <c r="BH164" s="216"/>
      <c r="BK164" s="203"/>
      <c r="DE164">
        <v>162</v>
      </c>
      <c r="DF164" t="str">
        <f>IF(IFERROR(MATCH(FFARawStatProjections!A165,Draft!BY:BY,0),1)&lt;=1,IF(FFARawStatProjections!A165=0,"",FFARawStatProjections!A165),"")</f>
        <v>DeVon Achane</v>
      </c>
    </row>
    <row r="165" spans="1:110" x14ac:dyDescent="0.25">
      <c r="A165" s="196"/>
      <c r="B165" s="197"/>
      <c r="C165" s="197"/>
      <c r="D165" s="197"/>
      <c r="E165" s="197"/>
      <c r="F165" s="197"/>
      <c r="G165" s="197"/>
      <c r="H165" s="197"/>
      <c r="I165" s="222"/>
      <c r="J165" s="216"/>
      <c r="K165" s="216"/>
      <c r="L165" s="216"/>
      <c r="M165" s="216"/>
      <c r="S165" s="197"/>
      <c r="T165" s="216"/>
      <c r="U165" s="216"/>
      <c r="V165" s="216"/>
      <c r="W165" s="216"/>
      <c r="X165" s="216"/>
      <c r="AD165" s="197"/>
      <c r="AE165" s="187" t="str">
        <f>WRproj!D169</f>
        <v>Kirk Merritt</v>
      </c>
      <c r="AF165" s="461" t="str">
        <f>WRproj!E169</f>
        <v>NO</v>
      </c>
      <c r="AG165" s="184">
        <f>WRproj!F169</f>
        <v>22.204800000000002</v>
      </c>
      <c r="AH165" s="517">
        <f>IFERROR(IF(WRproj!H169="",WRproj!G169,WRproj!H169),0)</f>
        <v>8</v>
      </c>
      <c r="AI165" s="503">
        <f>INDEX(Draft!$BW:$BW,MATCH(AE165,Draft_Names_Master,0))</f>
        <v>0</v>
      </c>
      <c r="AJ165">
        <v>0.16300000000000001</v>
      </c>
      <c r="AK165">
        <f>IFERROR(IF(INDEX(Instructions!$V$86:$V$105,MATCH('Draft Slayer Classic'!AE165,Instructions!$S$86:$S$105,0))&lt;=$E$25,1,0),0)</f>
        <v>0</v>
      </c>
      <c r="AL165">
        <f>IFERROR(INDEX(ADP!$A$7:$A$260,MATCH(AE165,ADP!$D$7:$D$260,0)),999+AJ165)</f>
        <v>999.16300000000001</v>
      </c>
      <c r="AM165">
        <f t="shared" si="10"/>
        <v>0.16300000000000001</v>
      </c>
      <c r="AN165">
        <f>IFERROR(INDEX(Instructions!$U$111:$U$222,MATCH(AE165,Instructions!$T$111:$T$222,0)),0)</f>
        <v>0</v>
      </c>
      <c r="AO165" s="197"/>
      <c r="AP165" s="197"/>
      <c r="AQ165" s="216"/>
      <c r="AR165" s="216"/>
      <c r="AS165" s="216"/>
      <c r="AT165" s="216"/>
      <c r="AZ165" s="197"/>
      <c r="BA165" s="197"/>
      <c r="BB165" s="216"/>
      <c r="BE165" s="197"/>
      <c r="BF165" s="197"/>
      <c r="BG165" s="216"/>
      <c r="BH165" s="216"/>
      <c r="BK165" s="203"/>
      <c r="DE165">
        <v>163</v>
      </c>
      <c r="DF165" t="str">
        <f>IF(IFERROR(MATCH(FFARawStatProjections!A166,Draft!BY:BY,0),1)&lt;=1,IF(FFARawStatProjections!A166=0,"",FFARawStatProjections!A166),"")</f>
        <v>Jaylen Warren</v>
      </c>
    </row>
    <row r="166" spans="1:110" x14ac:dyDescent="0.25">
      <c r="A166" s="196"/>
      <c r="B166" s="197"/>
      <c r="C166" s="197"/>
      <c r="D166" s="197"/>
      <c r="E166" s="197"/>
      <c r="F166" s="197"/>
      <c r="G166" s="197"/>
      <c r="H166" s="197"/>
      <c r="I166" s="222"/>
      <c r="J166" s="216"/>
      <c r="K166" s="216"/>
      <c r="L166" s="216"/>
      <c r="M166" s="216"/>
      <c r="S166" s="197"/>
      <c r="T166" s="216"/>
      <c r="U166" s="216"/>
      <c r="V166" s="216"/>
      <c r="W166" s="216"/>
      <c r="X166" s="216"/>
      <c r="AD166" s="197"/>
      <c r="AE166" s="182" t="str">
        <f>WRproj!D170</f>
        <v>Penny Hart</v>
      </c>
      <c r="AF166" s="290" t="str">
        <f>WRproj!E170</f>
        <v>ATL</v>
      </c>
      <c r="AG166" s="183">
        <f>WRproj!F170</f>
        <v>22.184760000000001</v>
      </c>
      <c r="AH166" s="517">
        <f>IFERROR(IF(WRproj!H170="",WRproj!G170,WRproj!H170),0)</f>
        <v>8</v>
      </c>
      <c r="AI166" s="503">
        <f>INDEX(Draft!$BW:$BW,MATCH(AE166,Draft_Names_Master,0))</f>
        <v>0</v>
      </c>
      <c r="AJ166">
        <v>0.16400000000000001</v>
      </c>
      <c r="AK166">
        <f>IFERROR(IF(INDEX(Instructions!$V$86:$V$105,MATCH('Draft Slayer Classic'!AE166,Instructions!$S$86:$S$105,0))&lt;=$E$25,1,0),0)</f>
        <v>0</v>
      </c>
      <c r="AL166">
        <f>IFERROR(INDEX(ADP!$A$7:$A$260,MATCH(AE166,ADP!$D$7:$D$260,0)),999+AJ166)</f>
        <v>999.16399999999999</v>
      </c>
      <c r="AM166">
        <f t="shared" si="10"/>
        <v>0.16400000000000001</v>
      </c>
      <c r="AN166">
        <f>IFERROR(INDEX(Instructions!$U$111:$U$222,MATCH(AE166,Instructions!$T$111:$T$222,0)),0)</f>
        <v>0</v>
      </c>
      <c r="AO166" s="197"/>
      <c r="AP166" s="197"/>
      <c r="AQ166" s="216"/>
      <c r="AR166" s="216"/>
      <c r="AS166" s="216"/>
      <c r="AT166" s="216"/>
      <c r="AZ166" s="197"/>
      <c r="BA166" s="197"/>
      <c r="BB166" s="216"/>
      <c r="BE166" s="197"/>
      <c r="BF166" s="197"/>
      <c r="BG166" s="216"/>
      <c r="BH166" s="216"/>
      <c r="BK166" s="203"/>
      <c r="DE166">
        <v>164</v>
      </c>
      <c r="DF166" t="str">
        <f>IF(IFERROR(MATCH(FFARawStatProjections!A167,Draft!BY:BY,0),1)&lt;=1,IF(FFARawStatProjections!A167=0,"",FFARawStatProjections!A167),"")</f>
        <v>Kenneth Gainwell</v>
      </c>
    </row>
    <row r="167" spans="1:110" x14ac:dyDescent="0.25">
      <c r="A167" s="196"/>
      <c r="B167" s="197"/>
      <c r="C167" s="197"/>
      <c r="D167" s="197"/>
      <c r="E167" s="197"/>
      <c r="F167" s="197"/>
      <c r="G167" s="197"/>
      <c r="H167" s="197"/>
      <c r="I167" s="222"/>
      <c r="J167" s="216"/>
      <c r="K167" s="216"/>
      <c r="L167" s="216"/>
      <c r="M167" s="216"/>
      <c r="S167" s="197"/>
      <c r="T167" s="216"/>
      <c r="U167" s="216"/>
      <c r="V167" s="216"/>
      <c r="W167" s="216"/>
      <c r="X167" s="216"/>
      <c r="AD167" s="197"/>
      <c r="AE167" s="187" t="str">
        <f>WRproj!D171</f>
        <v>Kendall Hinton</v>
      </c>
      <c r="AF167" s="461" t="str">
        <f>WRproj!E171</f>
        <v>DEN</v>
      </c>
      <c r="AG167" s="184">
        <f>WRproj!F171</f>
        <v>21.95478</v>
      </c>
      <c r="AH167" s="517">
        <f>IFERROR(IF(WRproj!H171="",WRproj!G171,WRproj!H171),0)</f>
        <v>8</v>
      </c>
      <c r="AI167" s="503">
        <f>INDEX(Draft!$BW:$BW,MATCH(AE167,Draft_Names_Master,0))</f>
        <v>0</v>
      </c>
      <c r="AJ167">
        <v>0.16500000000000001</v>
      </c>
      <c r="AK167">
        <f>IFERROR(IF(INDEX(Instructions!$V$86:$V$105,MATCH('Draft Slayer Classic'!AE167,Instructions!$S$86:$S$105,0))&lt;=$E$25,1,0),0)</f>
        <v>0</v>
      </c>
      <c r="AL167">
        <f>IFERROR(INDEX(ADP!$A$7:$A$260,MATCH(AE167,ADP!$D$7:$D$260,0)),999+AJ167)</f>
        <v>999.16499999999996</v>
      </c>
      <c r="AM167">
        <f t="shared" si="10"/>
        <v>0.16500000000000001</v>
      </c>
      <c r="AN167">
        <f>IFERROR(INDEX(Instructions!$U$111:$U$222,MATCH(AE167,Instructions!$T$111:$T$222,0)),0)</f>
        <v>0</v>
      </c>
      <c r="AO167" s="197"/>
      <c r="AP167" s="197"/>
      <c r="AQ167" s="216"/>
      <c r="AR167" s="216"/>
      <c r="AS167" s="216"/>
      <c r="AT167" s="216"/>
      <c r="AZ167" s="197"/>
      <c r="BA167" s="197"/>
      <c r="BB167" s="216"/>
      <c r="BE167" s="197"/>
      <c r="BF167" s="197"/>
      <c r="BG167" s="216"/>
      <c r="BH167" s="216"/>
      <c r="BK167" s="203"/>
      <c r="DE167">
        <v>165</v>
      </c>
      <c r="DF167" t="str">
        <f>IF(IFERROR(MATCH(FFARawStatProjections!A168,Draft!BY:BY,0),1)&lt;=1,IF(FFARawStatProjections!A168=0,"",FFARawStatProjections!A168),"")</f>
        <v>Jerick McKinnon</v>
      </c>
    </row>
    <row r="168" spans="1:110" x14ac:dyDescent="0.25">
      <c r="A168" s="196"/>
      <c r="B168" s="197"/>
      <c r="C168" s="197"/>
      <c r="D168" s="197"/>
      <c r="E168" s="197"/>
      <c r="F168" s="197"/>
      <c r="G168" s="197"/>
      <c r="H168" s="197"/>
      <c r="I168" s="222"/>
      <c r="J168" s="216"/>
      <c r="K168" s="216"/>
      <c r="L168" s="216"/>
      <c r="M168" s="216"/>
      <c r="S168" s="197"/>
      <c r="T168" s="216"/>
      <c r="U168" s="216"/>
      <c r="V168" s="216"/>
      <c r="W168" s="216"/>
      <c r="X168" s="216"/>
      <c r="AD168" s="197"/>
      <c r="AE168" s="182" t="str">
        <f>WRproj!D172</f>
        <v>Nelson Agholor</v>
      </c>
      <c r="AF168" s="290" t="str">
        <f>WRproj!E172</f>
        <v>BAL</v>
      </c>
      <c r="AG168" s="183">
        <f>WRproj!F172</f>
        <v>21.904530000000001</v>
      </c>
      <c r="AH168" s="517">
        <f>IFERROR(IF(WRproj!H172="",WRproj!G172,WRproj!H172),0)</f>
        <v>8</v>
      </c>
      <c r="AI168" s="503">
        <f>INDEX(Draft!$BW:$BW,MATCH(AE168,Draft_Names_Master,0))</f>
        <v>0</v>
      </c>
      <c r="AJ168">
        <v>0.16600000000000001</v>
      </c>
      <c r="AK168">
        <f>IFERROR(IF(INDEX(Instructions!$V$86:$V$105,MATCH('Draft Slayer Classic'!AE168,Instructions!$S$86:$S$105,0))&lt;=$E$25,1,0),0)</f>
        <v>0</v>
      </c>
      <c r="AL168">
        <f>IFERROR(INDEX(ADP!$A$7:$A$260,MATCH(AE168,ADP!$D$7:$D$260,0)),999+AJ168)</f>
        <v>999.16600000000005</v>
      </c>
      <c r="AM168">
        <f t="shared" si="10"/>
        <v>0.16600000000000001</v>
      </c>
      <c r="AN168">
        <f>IFERROR(INDEX(Instructions!$U$111:$U$222,MATCH(AE168,Instructions!$T$111:$T$222,0)),0)</f>
        <v>0</v>
      </c>
      <c r="AO168" s="197"/>
      <c r="AP168" s="197"/>
      <c r="AQ168" s="216"/>
      <c r="AR168" s="216"/>
      <c r="AS168" s="216"/>
      <c r="AT168" s="216"/>
      <c r="AZ168" s="197"/>
      <c r="BA168" s="197"/>
      <c r="BB168" s="216"/>
      <c r="BE168" s="197"/>
      <c r="BF168" s="197"/>
      <c r="BG168" s="216"/>
      <c r="BH168" s="216"/>
      <c r="BK168" s="203"/>
      <c r="DE168">
        <v>166</v>
      </c>
      <c r="DF168" t="str">
        <f>IF(IFERROR(MATCH(FFARawStatProjections!A169,Draft!BY:BY,0),1)&lt;=1,IF(FFARawStatProjections!A169=0,"",FFARawStatProjections!A169),"")</f>
        <v>Gus Edwards</v>
      </c>
    </row>
    <row r="169" spans="1:110" x14ac:dyDescent="0.25">
      <c r="A169" s="196"/>
      <c r="B169" s="197"/>
      <c r="C169" s="197"/>
      <c r="D169" s="197"/>
      <c r="E169" s="197"/>
      <c r="F169" s="197"/>
      <c r="G169" s="197"/>
      <c r="H169" s="197"/>
      <c r="I169" s="222"/>
      <c r="J169" s="216"/>
      <c r="K169" s="216"/>
      <c r="L169" s="216"/>
      <c r="M169" s="216"/>
      <c r="S169" s="197"/>
      <c r="T169" s="216"/>
      <c r="U169" s="216"/>
      <c r="V169" s="216"/>
      <c r="W169" s="216"/>
      <c r="X169" s="216"/>
      <c r="AD169" s="197"/>
      <c r="AE169" s="187" t="str">
        <f>WRproj!D173</f>
        <v>Jamison Crowder</v>
      </c>
      <c r="AF169" s="461" t="str">
        <f>WRproj!E173</f>
        <v>NYG</v>
      </c>
      <c r="AG169" s="184">
        <f>WRproj!F173</f>
        <v>21.664810000000003</v>
      </c>
      <c r="AH169" s="517">
        <f>IFERROR(IF(WRproj!H173="",WRproj!G173,WRproj!H173),0)</f>
        <v>8</v>
      </c>
      <c r="AI169" s="503">
        <f>INDEX(Draft!$BW:$BW,MATCH(AE169,Draft_Names_Master,0))</f>
        <v>0</v>
      </c>
      <c r="AJ169">
        <v>0.16700000000000001</v>
      </c>
      <c r="AK169">
        <f>IFERROR(IF(INDEX(Instructions!$V$86:$V$105,MATCH('Draft Slayer Classic'!AE169,Instructions!$S$86:$S$105,0))&lt;=$E$25,1,0),0)</f>
        <v>0</v>
      </c>
      <c r="AL169">
        <f>IFERROR(INDEX(ADP!$A$7:$A$260,MATCH(AE169,ADP!$D$7:$D$260,0)),999+AJ169)</f>
        <v>999.16700000000003</v>
      </c>
      <c r="AM169">
        <f t="shared" si="10"/>
        <v>0.16700000000000001</v>
      </c>
      <c r="AN169">
        <f>IFERROR(INDEX(Instructions!$U$111:$U$222,MATCH(AE169,Instructions!$T$111:$T$222,0)),0)</f>
        <v>0</v>
      </c>
      <c r="AO169" s="197"/>
      <c r="AP169" s="197"/>
      <c r="AQ169" s="216"/>
      <c r="AR169" s="216"/>
      <c r="AS169" s="216"/>
      <c r="AT169" s="216"/>
      <c r="AZ169" s="197"/>
      <c r="BA169" s="197"/>
      <c r="BB169" s="216"/>
      <c r="BE169" s="197"/>
      <c r="BF169" s="197"/>
      <c r="BG169" s="216"/>
      <c r="BH169" s="216"/>
      <c r="BK169" s="203"/>
      <c r="DE169">
        <v>167</v>
      </c>
      <c r="DF169" t="str">
        <f>IF(IFERROR(MATCH(FFARawStatProjections!A170,Draft!BY:BY,0),1)&lt;=1,IF(FFARawStatProjections!A170=0,"",FFARawStatProjections!A170),"")</f>
        <v>Tank Bigsby</v>
      </c>
    </row>
    <row r="170" spans="1:110" x14ac:dyDescent="0.25">
      <c r="A170" s="196"/>
      <c r="B170" s="197"/>
      <c r="C170" s="197"/>
      <c r="D170" s="197"/>
      <c r="E170" s="197"/>
      <c r="F170" s="197"/>
      <c r="G170" s="197"/>
      <c r="H170" s="197"/>
      <c r="I170" s="222"/>
      <c r="J170" s="216"/>
      <c r="K170" s="216"/>
      <c r="L170" s="216"/>
      <c r="M170" s="216"/>
      <c r="S170" s="197"/>
      <c r="T170" s="216"/>
      <c r="U170" s="216"/>
      <c r="V170" s="216"/>
      <c r="W170" s="216"/>
      <c r="X170" s="216"/>
      <c r="AD170" s="197"/>
      <c r="AE170" s="182" t="str">
        <f>WRproj!D174</f>
        <v>Dee Eskridge</v>
      </c>
      <c r="AF170" s="290" t="str">
        <f>WRproj!E174</f>
        <v>SEA</v>
      </c>
      <c r="AG170" s="183">
        <f>WRproj!F174</f>
        <v>20.974820000000001</v>
      </c>
      <c r="AH170" s="517">
        <f>IFERROR(IF(WRproj!H174="",WRproj!G174,WRproj!H174),0)</f>
        <v>8</v>
      </c>
      <c r="AI170" s="503">
        <f>INDEX(Draft!$BW:$BW,MATCH(AE170,Draft_Names_Master,0))</f>
        <v>0</v>
      </c>
      <c r="AJ170">
        <v>0.16800000000000001</v>
      </c>
      <c r="AK170">
        <f>IFERROR(IF(INDEX(Instructions!$V$86:$V$105,MATCH('Draft Slayer Classic'!AE170,Instructions!$S$86:$S$105,0))&lt;=$E$25,1,0),0)</f>
        <v>0</v>
      </c>
      <c r="AL170">
        <f>IFERROR(INDEX(ADP!$A$7:$A$260,MATCH(AE170,ADP!$D$7:$D$260,0)),999+AJ170)</f>
        <v>999.16800000000001</v>
      </c>
      <c r="AM170">
        <f t="shared" si="10"/>
        <v>0.16800000000000001</v>
      </c>
      <c r="AN170">
        <f>IFERROR(INDEX(Instructions!$U$111:$U$222,MATCH(AE170,Instructions!$T$111:$T$222,0)),0)</f>
        <v>0</v>
      </c>
      <c r="AO170" s="197"/>
      <c r="AP170" s="197"/>
      <c r="AQ170" s="216"/>
      <c r="AR170" s="216"/>
      <c r="AS170" s="216"/>
      <c r="AT170" s="216"/>
      <c r="AZ170" s="197"/>
      <c r="BA170" s="197"/>
      <c r="BB170" s="216"/>
      <c r="BE170" s="197"/>
      <c r="BF170" s="197"/>
      <c r="BG170" s="216"/>
      <c r="BH170" s="216"/>
      <c r="BK170" s="203"/>
      <c r="DE170">
        <v>168</v>
      </c>
      <c r="DF170" t="str">
        <f>IF(IFERROR(MATCH(FFARawStatProjections!A171,Draft!BY:BY,0),1)&lt;=1,IF(FFARawStatProjections!A171=0,"",FFARawStatProjections!A171),"")</f>
        <v>Roschon Johnson</v>
      </c>
    </row>
    <row r="171" spans="1:110" x14ac:dyDescent="0.25">
      <c r="A171" s="196"/>
      <c r="B171" s="197"/>
      <c r="C171" s="197"/>
      <c r="D171" s="197"/>
      <c r="E171" s="197"/>
      <c r="F171" s="197"/>
      <c r="G171" s="197"/>
      <c r="H171" s="197"/>
      <c r="I171" s="222"/>
      <c r="J171" s="216"/>
      <c r="K171" s="216"/>
      <c r="L171" s="216"/>
      <c r="M171" s="216"/>
      <c r="S171" s="197"/>
      <c r="T171" s="216"/>
      <c r="U171" s="216"/>
      <c r="V171" s="216"/>
      <c r="W171" s="216"/>
      <c r="X171" s="216"/>
      <c r="AD171" s="197"/>
      <c r="AE171" s="187" t="str">
        <f>WRproj!D175</f>
        <v>Derius Davis</v>
      </c>
      <c r="AF171" s="461" t="str">
        <f>WRproj!E175</f>
        <v>LAC</v>
      </c>
      <c r="AG171" s="184">
        <f>WRproj!F175</f>
        <v>20.034740000000003</v>
      </c>
      <c r="AH171" s="517">
        <f>IFERROR(IF(WRproj!H175="",WRproj!G175,WRproj!H175),0)</f>
        <v>8</v>
      </c>
      <c r="AI171" s="503">
        <f>INDEX(Draft!$BW:$BW,MATCH(AE171,Draft_Names_Master,0))</f>
        <v>0</v>
      </c>
      <c r="AJ171">
        <v>0.16900000000000001</v>
      </c>
      <c r="AK171">
        <f>IFERROR(IF(INDEX(Instructions!$V$86:$V$105,MATCH('Draft Slayer Classic'!AE171,Instructions!$S$86:$S$105,0))&lt;=$E$25,1,0),0)</f>
        <v>0</v>
      </c>
      <c r="AL171">
        <f>IFERROR(INDEX(ADP!$A$7:$A$260,MATCH(AE171,ADP!$D$7:$D$260,0)),999+AJ171)</f>
        <v>999.16899999999998</v>
      </c>
      <c r="AM171">
        <f t="shared" si="10"/>
        <v>0.16900000000000001</v>
      </c>
      <c r="AN171">
        <f>IFERROR(INDEX(Instructions!$U$111:$U$222,MATCH(AE171,Instructions!$T$111:$T$222,0)),0)</f>
        <v>0</v>
      </c>
      <c r="AO171" s="197"/>
      <c r="AP171" s="197"/>
      <c r="AQ171" s="216"/>
      <c r="AR171" s="216"/>
      <c r="AS171" s="216"/>
      <c r="AT171" s="216"/>
      <c r="AZ171" s="197"/>
      <c r="BA171" s="197"/>
      <c r="BB171" s="216"/>
      <c r="BE171" s="197"/>
      <c r="BF171" s="197"/>
      <c r="BG171" s="216"/>
      <c r="BH171" s="216"/>
      <c r="BK171" s="203"/>
      <c r="DE171">
        <v>169</v>
      </c>
      <c r="DF171" t="str">
        <f>IF(IFERROR(MATCH(FFARawStatProjections!A172,Draft!BY:BY,0),1)&lt;=1,IF(FFARawStatProjections!A172=0,"",FFARawStatProjections!A172),"")</f>
        <v>Chase Edmonds</v>
      </c>
    </row>
    <row r="172" spans="1:110" x14ac:dyDescent="0.25">
      <c r="A172" s="196"/>
      <c r="B172" s="197"/>
      <c r="C172" s="197"/>
      <c r="D172" s="197"/>
      <c r="E172" s="197"/>
      <c r="F172" s="197"/>
      <c r="G172" s="197"/>
      <c r="H172" s="197"/>
      <c r="I172" s="222"/>
      <c r="J172" s="216"/>
      <c r="K172" s="216"/>
      <c r="L172" s="216"/>
      <c r="M172" s="216"/>
      <c r="S172" s="197"/>
      <c r="T172" s="216"/>
      <c r="U172" s="216"/>
      <c r="V172" s="216"/>
      <c r="W172" s="216"/>
      <c r="X172" s="216"/>
      <c r="AD172" s="197"/>
      <c r="AE172" s="182" t="str">
        <f>WRproj!D176</f>
        <v>Phillip Dorsett</v>
      </c>
      <c r="AF172" s="290" t="str">
        <f>WRproj!E176</f>
        <v>LV</v>
      </c>
      <c r="AG172" s="183">
        <f>WRproj!F176</f>
        <v>19.274699999999999</v>
      </c>
      <c r="AH172" s="517">
        <f>IFERROR(IF(WRproj!H176="",WRproj!G176,WRproj!H176),0)</f>
        <v>8</v>
      </c>
      <c r="AI172" s="503">
        <f>INDEX(Draft!$BW:$BW,MATCH(AE172,Draft_Names_Master,0))</f>
        <v>0</v>
      </c>
      <c r="AJ172">
        <v>0.17</v>
      </c>
      <c r="AK172">
        <f>IFERROR(IF(INDEX(Instructions!$V$86:$V$105,MATCH('Draft Slayer Classic'!AE172,Instructions!$S$86:$S$105,0))&lt;=$E$25,1,0),0)</f>
        <v>0</v>
      </c>
      <c r="AL172">
        <f>IFERROR(INDEX(ADP!$A$7:$A$260,MATCH(AE172,ADP!$D$7:$D$260,0)),999+AJ172)</f>
        <v>999.17</v>
      </c>
      <c r="AM172">
        <f t="shared" si="10"/>
        <v>0.17</v>
      </c>
      <c r="AN172">
        <f>IFERROR(INDEX(Instructions!$U$111:$U$222,MATCH(AE172,Instructions!$T$111:$T$222,0)),0)</f>
        <v>0</v>
      </c>
      <c r="AO172" s="197"/>
      <c r="AP172" s="197"/>
      <c r="AQ172" s="216"/>
      <c r="AR172" s="216"/>
      <c r="AS172" s="216"/>
      <c r="AT172" s="216"/>
      <c r="AZ172" s="197"/>
      <c r="BA172" s="197"/>
      <c r="BB172" s="216"/>
      <c r="BE172" s="197"/>
      <c r="BF172" s="197"/>
      <c r="BG172" s="216"/>
      <c r="BH172" s="216"/>
      <c r="BK172" s="203"/>
      <c r="DE172">
        <v>170</v>
      </c>
      <c r="DF172" t="str">
        <f>IF(IFERROR(MATCH(FFARawStatProjections!A173,Draft!BY:BY,0),1)&lt;=1,IF(FFARawStatProjections!A173=0,"",FFARawStatProjections!A173),"")</f>
        <v>Cordarrelle Patterson</v>
      </c>
    </row>
    <row r="173" spans="1:110" x14ac:dyDescent="0.25">
      <c r="A173" s="196"/>
      <c r="B173" s="197"/>
      <c r="C173" s="197"/>
      <c r="D173" s="197"/>
      <c r="E173" s="197"/>
      <c r="F173" s="197"/>
      <c r="G173" s="197"/>
      <c r="H173" s="197"/>
      <c r="I173" s="222"/>
      <c r="J173" s="216"/>
      <c r="K173" s="216"/>
      <c r="L173" s="216"/>
      <c r="M173" s="216"/>
      <c r="S173" s="197"/>
      <c r="T173" s="216"/>
      <c r="U173" s="216"/>
      <c r="V173" s="216"/>
      <c r="W173" s="216"/>
      <c r="X173" s="216"/>
      <c r="AD173" s="197"/>
      <c r="AE173" s="187" t="str">
        <f>WRproj!D177</f>
        <v>Velus Jones</v>
      </c>
      <c r="AF173" s="461" t="str">
        <f>WRproj!E177</f>
        <v>CHI</v>
      </c>
      <c r="AG173" s="184">
        <f>WRproj!F177</f>
        <v>19.124829999999999</v>
      </c>
      <c r="AH173" s="517">
        <f>IFERROR(IF(WRproj!H177="",WRproj!G177,WRproj!H177),0)</f>
        <v>8</v>
      </c>
      <c r="AI173" s="503">
        <f>INDEX(Draft!$BW:$BW,MATCH(AE173,Draft_Names_Master,0))</f>
        <v>0</v>
      </c>
      <c r="AJ173">
        <v>0.17100000000000001</v>
      </c>
      <c r="AK173">
        <f>IFERROR(IF(INDEX(Instructions!$V$86:$V$105,MATCH('Draft Slayer Classic'!AE173,Instructions!$S$86:$S$105,0))&lt;=$E$25,1,0),0)</f>
        <v>0</v>
      </c>
      <c r="AL173">
        <f>IFERROR(INDEX(ADP!$A$7:$A$260,MATCH(AE173,ADP!$D$7:$D$260,0)),999+AJ173)</f>
        <v>999.17100000000005</v>
      </c>
      <c r="AM173">
        <f t="shared" si="10"/>
        <v>0.17100000000000001</v>
      </c>
      <c r="AN173">
        <f>IFERROR(INDEX(Instructions!$U$111:$U$222,MATCH(AE173,Instructions!$T$111:$T$222,0)),0)</f>
        <v>0</v>
      </c>
      <c r="AO173" s="197"/>
      <c r="AP173" s="197"/>
      <c r="AQ173" s="216"/>
      <c r="AR173" s="216"/>
      <c r="AS173" s="216"/>
      <c r="AT173" s="216"/>
      <c r="AZ173" s="197"/>
      <c r="BA173" s="197"/>
      <c r="BB173" s="216"/>
      <c r="BE173" s="197"/>
      <c r="BF173" s="197"/>
      <c r="BG173" s="216"/>
      <c r="BH173" s="216"/>
      <c r="BK173" s="203"/>
      <c r="DE173">
        <v>171</v>
      </c>
      <c r="DF173" t="str">
        <f>IF(IFERROR(MATCH(FFARawStatProjections!A174,Draft!BY:BY,0),1)&lt;=1,IF(FFARawStatProjections!A174=0,"",FFARawStatProjections!A174),"")</f>
        <v>Joshua Kelley</v>
      </c>
    </row>
    <row r="174" spans="1:110" x14ac:dyDescent="0.25">
      <c r="A174" s="196"/>
      <c r="B174" s="197"/>
      <c r="C174" s="197"/>
      <c r="D174" s="197"/>
      <c r="E174" s="197"/>
      <c r="F174" s="197"/>
      <c r="G174" s="197"/>
      <c r="H174" s="197"/>
      <c r="I174" s="222"/>
      <c r="J174" s="216"/>
      <c r="K174" s="216"/>
      <c r="L174" s="216"/>
      <c r="M174" s="216"/>
      <c r="S174" s="197"/>
      <c r="T174" s="216"/>
      <c r="U174" s="216"/>
      <c r="V174" s="216"/>
      <c r="W174" s="216"/>
      <c r="X174" s="216"/>
      <c r="AD174" s="197"/>
      <c r="AE174" s="182" t="str">
        <f>WRproj!D178</f>
        <v>Scott Miller</v>
      </c>
      <c r="AF174" s="290" t="str">
        <f>WRproj!E178</f>
        <v>ATL</v>
      </c>
      <c r="AG174" s="183">
        <f>WRproj!F178</f>
        <v>18.754840000000005</v>
      </c>
      <c r="AH174" s="517">
        <f>IFERROR(IF(WRproj!H178="",WRproj!G178,WRproj!H178),0)</f>
        <v>8</v>
      </c>
      <c r="AI174" s="503">
        <f>INDEX(Draft!$BW:$BW,MATCH(AE174,Draft_Names_Master,0))</f>
        <v>0</v>
      </c>
      <c r="AJ174">
        <v>0.17199999999999999</v>
      </c>
      <c r="AK174">
        <f>IFERROR(IF(INDEX(Instructions!$V$86:$V$105,MATCH('Draft Slayer Classic'!AE174,Instructions!$S$86:$S$105,0))&lt;=$E$25,1,0),0)</f>
        <v>0</v>
      </c>
      <c r="AL174">
        <f>IFERROR(INDEX(ADP!$A$7:$A$260,MATCH(AE174,ADP!$D$7:$D$260,0)),999+AJ174)</f>
        <v>999.17200000000003</v>
      </c>
      <c r="AM174">
        <f t="shared" si="10"/>
        <v>0.17199999999999999</v>
      </c>
      <c r="AN174">
        <f>IFERROR(INDEX(Instructions!$U$111:$U$222,MATCH(AE174,Instructions!$T$111:$T$222,0)),0)</f>
        <v>0</v>
      </c>
      <c r="AO174" s="197"/>
      <c r="AP174" s="197"/>
      <c r="AQ174" s="216"/>
      <c r="AR174" s="216"/>
      <c r="AS174" s="216"/>
      <c r="AT174" s="216"/>
      <c r="AZ174" s="197"/>
      <c r="BA174" s="197"/>
      <c r="BB174" s="216"/>
      <c r="BE174" s="197"/>
      <c r="BF174" s="197"/>
      <c r="BG174" s="216"/>
      <c r="BH174" s="216"/>
      <c r="BK174" s="203"/>
      <c r="DE174">
        <v>172</v>
      </c>
      <c r="DF174" t="str">
        <f>IF(IFERROR(MATCH(FFARawStatProjections!A175,Draft!BY:BY,0),1)&lt;=1,IF(FFARawStatProjections!A175=0,"",FFARawStatProjections!A175),"")</f>
        <v>Clyde Edwards-Helaire</v>
      </c>
    </row>
    <row r="175" spans="1:110" x14ac:dyDescent="0.25">
      <c r="A175" s="196"/>
      <c r="B175" s="197"/>
      <c r="C175" s="197"/>
      <c r="D175" s="197"/>
      <c r="E175" s="197"/>
      <c r="F175" s="197"/>
      <c r="G175" s="197"/>
      <c r="H175" s="197"/>
      <c r="I175" s="222"/>
      <c r="J175" s="216"/>
      <c r="K175" s="216"/>
      <c r="L175" s="216"/>
      <c r="M175" s="216"/>
      <c r="S175" s="197"/>
      <c r="T175" s="216"/>
      <c r="U175" s="216"/>
      <c r="V175" s="216"/>
      <c r="W175" s="216"/>
      <c r="X175" s="216"/>
      <c r="AD175" s="197"/>
      <c r="AE175" s="187" t="str">
        <f>WRproj!D179</f>
        <v>Shi Smith</v>
      </c>
      <c r="AF175" s="461" t="str">
        <f>WRproj!E179</f>
        <v>CAR</v>
      </c>
      <c r="AG175" s="184">
        <f>WRproj!F179</f>
        <v>18.70477</v>
      </c>
      <c r="AH175" s="517">
        <f>IFERROR(IF(WRproj!H179="",WRproj!G179,WRproj!H179),0)</f>
        <v>8</v>
      </c>
      <c r="AI175" s="503">
        <f>INDEX(Draft!$BW:$BW,MATCH(AE175,Draft_Names_Master,0))</f>
        <v>0</v>
      </c>
      <c r="AJ175">
        <v>0.17299999999999999</v>
      </c>
      <c r="AK175">
        <f>IFERROR(IF(INDEX(Instructions!$V$86:$V$105,MATCH('Draft Slayer Classic'!AE175,Instructions!$S$86:$S$105,0))&lt;=$E$25,1,0),0)</f>
        <v>0</v>
      </c>
      <c r="AL175">
        <f>IFERROR(INDEX(ADP!$A$7:$A$260,MATCH(AE175,ADP!$D$7:$D$260,0)),999+AJ175)</f>
        <v>999.173</v>
      </c>
      <c r="AM175">
        <f t="shared" si="10"/>
        <v>0.17299999999999999</v>
      </c>
      <c r="AN175">
        <f>IFERROR(INDEX(Instructions!$U$111:$U$222,MATCH(AE175,Instructions!$T$111:$T$222,0)),0)</f>
        <v>0</v>
      </c>
      <c r="AO175" s="197"/>
      <c r="AP175" s="197"/>
      <c r="AQ175" s="216"/>
      <c r="AR175" s="216"/>
      <c r="AS175" s="216"/>
      <c r="AT175" s="216"/>
      <c r="AZ175" s="197"/>
      <c r="BA175" s="197"/>
      <c r="BB175" s="216"/>
      <c r="BE175" s="197"/>
      <c r="BF175" s="197"/>
      <c r="BG175" s="216"/>
      <c r="BH175" s="216"/>
      <c r="BK175" s="203"/>
      <c r="DE175">
        <v>173</v>
      </c>
      <c r="DF175" t="str">
        <f>IF(IFERROR(MATCH(FFARawStatProjections!A176,Draft!BY:BY,0),1)&lt;=1,IF(FFARawStatProjections!A176=0,"",FFARawStatProjections!A176),"")</f>
        <v>Tyjae Spears</v>
      </c>
    </row>
    <row r="176" spans="1:110" x14ac:dyDescent="0.25">
      <c r="A176" s="196"/>
      <c r="B176" s="197"/>
      <c r="C176" s="197"/>
      <c r="D176" s="197"/>
      <c r="E176" s="197"/>
      <c r="F176" s="197"/>
      <c r="G176" s="197"/>
      <c r="H176" s="197"/>
      <c r="I176" s="222"/>
      <c r="J176" s="216"/>
      <c r="K176" s="216"/>
      <c r="L176" s="216"/>
      <c r="M176" s="216"/>
      <c r="S176" s="197"/>
      <c r="T176" s="216"/>
      <c r="U176" s="216"/>
      <c r="V176" s="216"/>
      <c r="W176" s="216"/>
      <c r="X176" s="216"/>
      <c r="AD176" s="197"/>
      <c r="AE176" s="182" t="str">
        <f>WRproj!D180</f>
        <v>Denzel Mims</v>
      </c>
      <c r="AF176" s="290" t="str">
        <f>WRproj!E180</f>
        <v>DET</v>
      </c>
      <c r="AG176" s="183">
        <f>WRproj!F180</f>
        <v>16.914899999999999</v>
      </c>
      <c r="AH176" s="517">
        <f>IFERROR(IF(WRproj!H180="",WRproj!G180,WRproj!H180),0)</f>
        <v>8</v>
      </c>
      <c r="AI176" s="503">
        <f>INDEX(Draft!$BW:$BW,MATCH(AE176,Draft_Names_Master,0))</f>
        <v>0</v>
      </c>
      <c r="AJ176">
        <v>0.17399999999999999</v>
      </c>
      <c r="AK176">
        <f>IFERROR(IF(INDEX(Instructions!$V$86:$V$105,MATCH('Draft Slayer Classic'!AE176,Instructions!$S$86:$S$105,0))&lt;=$E$25,1,0),0)</f>
        <v>0</v>
      </c>
      <c r="AL176">
        <f>IFERROR(INDEX(ADP!$A$7:$A$260,MATCH(AE176,ADP!$D$7:$D$260,0)),999+AJ176)</f>
        <v>999.17399999999998</v>
      </c>
      <c r="AM176">
        <f t="shared" si="10"/>
        <v>0.17399999999999999</v>
      </c>
      <c r="AN176">
        <f>IFERROR(INDEX(Instructions!$U$111:$U$222,MATCH(AE176,Instructions!$T$111:$T$222,0)),0)</f>
        <v>0</v>
      </c>
      <c r="AO176" s="197"/>
      <c r="AP176" s="197"/>
      <c r="AQ176" s="216"/>
      <c r="AR176" s="216"/>
      <c r="AS176" s="216"/>
      <c r="AT176" s="216"/>
      <c r="AZ176" s="197"/>
      <c r="BA176" s="197"/>
      <c r="BB176" s="216"/>
      <c r="BE176" s="197"/>
      <c r="BF176" s="197"/>
      <c r="BG176" s="216"/>
      <c r="BH176" s="216"/>
      <c r="BK176" s="203"/>
      <c r="DE176">
        <v>174</v>
      </c>
      <c r="DF176" t="str">
        <f>IF(IFERROR(MATCH(FFARawStatProjections!A177,Draft!BY:BY,0),1)&lt;=1,IF(FFARawStatProjections!A177=0,"",FFARawStatProjections!A177),"")</f>
        <v>Ty Chandler</v>
      </c>
    </row>
    <row r="177" spans="1:110" ht="15.75" thickBot="1" x14ac:dyDescent="0.3">
      <c r="A177" s="196"/>
      <c r="B177" s="197"/>
      <c r="C177" s="197"/>
      <c r="D177" s="197"/>
      <c r="E177" s="197"/>
      <c r="F177" s="197"/>
      <c r="G177" s="197"/>
      <c r="H177" s="197"/>
      <c r="I177" s="222"/>
      <c r="J177" s="216"/>
      <c r="K177" s="216"/>
      <c r="L177" s="216"/>
      <c r="M177" s="216"/>
      <c r="S177" s="197"/>
      <c r="T177" s="216"/>
      <c r="U177" s="216"/>
      <c r="V177" s="216"/>
      <c r="W177" s="216"/>
      <c r="X177" s="216"/>
      <c r="AD177" s="197"/>
      <c r="AE177" s="188" t="str">
        <f>WRproj!D181</f>
        <v>Justin Shorter</v>
      </c>
      <c r="AF177" s="462" t="str">
        <f>WRproj!E181</f>
        <v>BUF</v>
      </c>
      <c r="AG177" s="189">
        <f>WRproj!F181</f>
        <v>16.894970000000001</v>
      </c>
      <c r="AH177" s="518">
        <f>IFERROR(IF(WRproj!H181="",WRproj!G181,WRproj!H181),0)</f>
        <v>8</v>
      </c>
      <c r="AI177" s="519">
        <f>INDEX(Draft!$BW:$BW,MATCH(AE177,Draft_Names_Master,0))</f>
        <v>0</v>
      </c>
      <c r="AJ177">
        <v>0.17499999999999999</v>
      </c>
      <c r="AK177">
        <f>IFERROR(IF(INDEX(Instructions!$V$86:$V$105,MATCH('Draft Slayer Classic'!AE177,Instructions!$S$86:$S$105,0))&lt;=$E$25,1,0),0)</f>
        <v>0</v>
      </c>
      <c r="AL177">
        <f>IFERROR(INDEX(ADP!$A$7:$A$260,MATCH(AE177,ADP!$D$7:$D$260,0)),999+AJ177)</f>
        <v>999.17499999999995</v>
      </c>
      <c r="AM177">
        <f t="shared" si="10"/>
        <v>0.17499999999999999</v>
      </c>
      <c r="AN177">
        <f>IFERROR(INDEX(Instructions!$U$111:$U$222,MATCH(AE177,Instructions!$T$111:$T$222,0)),0)</f>
        <v>0</v>
      </c>
      <c r="AO177" s="197"/>
      <c r="AP177" s="197"/>
      <c r="AQ177" s="216"/>
      <c r="AR177" s="216"/>
      <c r="AS177" s="216"/>
      <c r="AT177" s="216"/>
      <c r="AZ177" s="197"/>
      <c r="BA177" s="197"/>
      <c r="BB177" s="216"/>
      <c r="BE177" s="197"/>
      <c r="BF177" s="197"/>
      <c r="BG177" s="216"/>
      <c r="BH177" s="216"/>
      <c r="BK177" s="203"/>
      <c r="DE177">
        <v>175</v>
      </c>
      <c r="DF177" t="str">
        <f>IF(IFERROR(MATCH(FFARawStatProjections!A178,Draft!BY:BY,0),1)&lt;=1,IF(FFARawStatProjections!A178=0,"",FFARawStatProjections!A178),"")</f>
        <v>Jerome Ford</v>
      </c>
    </row>
    <row r="178" spans="1:110" x14ac:dyDescent="0.25">
      <c r="A178" s="196"/>
      <c r="B178" s="197"/>
      <c r="C178" s="197"/>
      <c r="D178" s="197"/>
      <c r="E178" s="197"/>
      <c r="F178" s="197"/>
      <c r="G178" s="197"/>
      <c r="H178" s="197"/>
      <c r="I178" s="222"/>
      <c r="J178" s="216"/>
      <c r="K178" s="216"/>
      <c r="L178" s="216"/>
      <c r="M178" s="216"/>
      <c r="S178" s="197"/>
      <c r="T178" s="216"/>
      <c r="U178" s="216"/>
      <c r="V178" s="216"/>
      <c r="W178" s="216"/>
      <c r="X178" s="216"/>
      <c r="AD178" s="197"/>
      <c r="AE178" s="216"/>
      <c r="AF178" s="216"/>
      <c r="AG178" s="216"/>
      <c r="AH178" s="216"/>
      <c r="AI178" s="216"/>
      <c r="AO178" s="197"/>
      <c r="AP178" s="197"/>
      <c r="AQ178" s="216"/>
      <c r="AR178" s="216"/>
      <c r="AS178" s="216"/>
      <c r="AT178" s="216"/>
      <c r="AZ178" s="197"/>
      <c r="BA178" s="197"/>
      <c r="BB178" s="216"/>
      <c r="BE178" s="197"/>
      <c r="BF178" s="197"/>
      <c r="BG178" s="216"/>
      <c r="BH178" s="216"/>
      <c r="BK178" s="203"/>
      <c r="DE178">
        <v>176</v>
      </c>
      <c r="DF178" t="str">
        <f>IF(IFERROR(MATCH(FFARawStatProjections!A179,Draft!BY:BY,0),1)&lt;=1,IF(FFARawStatProjections!A179=0,"",FFARawStatProjections!A179),"")</f>
        <v>Kyren Williams</v>
      </c>
    </row>
    <row r="179" spans="1:110" x14ac:dyDescent="0.25">
      <c r="DE179">
        <v>177</v>
      </c>
      <c r="DF179" t="str">
        <f>IF(IFERROR(MATCH(FFARawStatProjections!A180,Draft!BY:BY,0),1)&lt;=1,IF(FFARawStatProjections!A180=0,"",FFARawStatProjections!A180),"")</f>
        <v>Chase Brown</v>
      </c>
    </row>
    <row r="180" spans="1:110" x14ac:dyDescent="0.25">
      <c r="DE180">
        <v>178</v>
      </c>
      <c r="DF180" t="str">
        <f>IF(IFERROR(MATCH(FFARawStatProjections!A181,Draft!BY:BY,0),1)&lt;=1,IF(FFARawStatProjections!A181=0,"",FFARawStatProjections!A181),"")</f>
        <v>Ronald Jones</v>
      </c>
    </row>
    <row r="181" spans="1:110" x14ac:dyDescent="0.25">
      <c r="DE181">
        <v>179</v>
      </c>
      <c r="DF181" t="str">
        <f>IF(IFERROR(MATCH(FFARawStatProjections!A182,Draft!BY:BY,0),1)&lt;=1,IF(FFARawStatProjections!A182=0,"",FFARawStatProjections!A182),"")</f>
        <v>Kendre Miller</v>
      </c>
    </row>
    <row r="182" spans="1:110" x14ac:dyDescent="0.25">
      <c r="DE182">
        <v>180</v>
      </c>
      <c r="DF182" t="str">
        <f>IF(IFERROR(MATCH(FFARawStatProjections!A183,Draft!BY:BY,0),1)&lt;=1,IF(FFARawStatProjections!A183=0,"",FFARawStatProjections!A183),"")</f>
        <v>Keaontay Ingram</v>
      </c>
    </row>
    <row r="183" spans="1:110" x14ac:dyDescent="0.25">
      <c r="DE183">
        <v>181</v>
      </c>
      <c r="DF183" t="str">
        <f>IF(IFERROR(MATCH(FFARawStatProjections!A184,Draft!BY:BY,0),1)&lt;=1,IF(FFARawStatProjections!A184=0,"",FFARawStatProjections!A184),"")</f>
        <v>Israel Abanikanda</v>
      </c>
    </row>
    <row r="184" spans="1:110" x14ac:dyDescent="0.25">
      <c r="DE184">
        <v>182</v>
      </c>
      <c r="DF184" t="str">
        <f>IF(IFERROR(MATCH(FFARawStatProjections!A185,Draft!BY:BY,0),1)&lt;=1,IF(FFARawStatProjections!A185=0,"",FFARawStatProjections!A185),"")</f>
        <v>Latavius Murray</v>
      </c>
    </row>
    <row r="185" spans="1:110" x14ac:dyDescent="0.25">
      <c r="DE185">
        <v>183</v>
      </c>
      <c r="DF185" t="str">
        <f>IF(IFERROR(MATCH(FFARawStatProjections!A186,Draft!BY:BY,0),1)&lt;=1,IF(FFARawStatProjections!A186=0,"",FFARawStatProjections!A186),"")</f>
        <v>Matt Breida</v>
      </c>
    </row>
    <row r="186" spans="1:110" x14ac:dyDescent="0.25">
      <c r="DE186">
        <v>184</v>
      </c>
      <c r="DF186" t="str">
        <f>IF(IFERROR(MATCH(FFARawStatProjections!A187,Draft!BY:BY,0),1)&lt;=1,IF(FFARawStatProjections!A187=0,"",FFARawStatProjections!A187),"")</f>
        <v>Isaiah Spiller</v>
      </c>
    </row>
    <row r="187" spans="1:110" x14ac:dyDescent="0.25">
      <c r="DE187">
        <v>185</v>
      </c>
      <c r="DF187" t="str">
        <f>IF(IFERROR(MATCH(FFARawStatProjections!A188,Draft!BY:BY,0),1)&lt;=1,IF(FFARawStatProjections!A188=0,"",FFARawStatProjections!A188),"")</f>
        <v>Zamir White</v>
      </c>
    </row>
    <row r="188" spans="1:110" x14ac:dyDescent="0.25">
      <c r="DE188">
        <v>186</v>
      </c>
      <c r="DF188" t="str">
        <f>IF(IFERROR(MATCH(FFARawStatProjections!A189,Draft!BY:BY,0),1)&lt;=1,IF(FFARawStatProjections!A189=0,"",FFARawStatProjections!A189),"")</f>
        <v>Zach Evans</v>
      </c>
    </row>
    <row r="189" spans="1:110" x14ac:dyDescent="0.25">
      <c r="DE189">
        <v>187</v>
      </c>
      <c r="DF189" t="str">
        <f>IF(IFERROR(MATCH(FFARawStatProjections!A190,Draft!BY:BY,0),1)&lt;=1,IF(FFARawStatProjections!A190=0,"",FFARawStatProjections!A190),"")</f>
        <v>Zack Moss</v>
      </c>
    </row>
    <row r="190" spans="1:110" x14ac:dyDescent="0.25">
      <c r="DE190">
        <v>188</v>
      </c>
      <c r="DF190" t="str">
        <f>IF(IFERROR(MATCH(FFARawStatProjections!A191,Draft!BY:BY,0),1)&lt;=1,IF(FFARawStatProjections!A191=0,"",FFARawStatProjections!A191),"")</f>
        <v>Deuce Vaughn</v>
      </c>
    </row>
    <row r="191" spans="1:110" x14ac:dyDescent="0.25">
      <c r="DE191">
        <v>189</v>
      </c>
      <c r="DF191" t="str">
        <f>IF(IFERROR(MATCH(FFARawStatProjections!A192,Draft!BY:BY,0),1)&lt;=1,IF(FFARawStatProjections!A192=0,"",FFARawStatProjections!A192),"")</f>
        <v>Kenyan Drake</v>
      </c>
    </row>
    <row r="192" spans="1:110" x14ac:dyDescent="0.25">
      <c r="DE192">
        <v>190</v>
      </c>
      <c r="DF192" t="str">
        <f>IF(IFERROR(MATCH(FFARawStatProjections!A193,Draft!BY:BY,0),1)&lt;=1,IF(FFARawStatProjections!A193=0,"",FFARawStatProjections!A193),"")</f>
        <v>Abram Smith</v>
      </c>
    </row>
    <row r="193" spans="109:110" x14ac:dyDescent="0.25">
      <c r="DE193">
        <v>191</v>
      </c>
      <c r="DF193" t="str">
        <f>IF(IFERROR(MATCH(FFARawStatProjections!A194,Draft!BY:BY,0),1)&lt;=1,IF(FFARawStatProjections!A194=0,"",FFARawStatProjections!A194),"")</f>
        <v>Corey Clement</v>
      </c>
    </row>
    <row r="194" spans="109:110" x14ac:dyDescent="0.25">
      <c r="DE194">
        <v>192</v>
      </c>
      <c r="DF194" t="str">
        <f>IF(IFERROR(MATCH(FFARawStatProjections!A195,Draft!BY:BY,0),1)&lt;=1,IF(FFARawStatProjections!A195=0,"",FFARawStatProjections!A195),"")</f>
        <v>Eric Gray</v>
      </c>
    </row>
    <row r="195" spans="109:110" x14ac:dyDescent="0.25">
      <c r="DE195">
        <v>193</v>
      </c>
      <c r="DF195" t="str">
        <f>IF(IFERROR(MATCH(FFARawStatProjections!A196,Draft!BY:BY,0),1)&lt;=1,IF(FFARawStatProjections!A196=0,"",FFARawStatProjections!A196),"")</f>
        <v>JaMycal Hasty</v>
      </c>
    </row>
    <row r="196" spans="109:110" x14ac:dyDescent="0.25">
      <c r="DE196">
        <v>194</v>
      </c>
      <c r="DF196" t="str">
        <f>IF(IFERROR(MATCH(FFARawStatProjections!A197,Draft!BY:BY,0),1)&lt;=1,IF(FFARawStatProjections!A197=0,"",FFARawStatProjections!A197),"")</f>
        <v>KeShawn Vaughn</v>
      </c>
    </row>
    <row r="197" spans="109:110" x14ac:dyDescent="0.25">
      <c r="DE197">
        <v>195</v>
      </c>
      <c r="DF197" t="str">
        <f>IF(IFERROR(MATCH(FFARawStatProjections!A198,Draft!BY:BY,0),1)&lt;=1,IF(FFARawStatProjections!A198=0,"",FFARawStatProjections!A198),"")</f>
        <v>Jordan Mason</v>
      </c>
    </row>
    <row r="198" spans="109:110" x14ac:dyDescent="0.25">
      <c r="DE198">
        <v>196</v>
      </c>
      <c r="DF198" t="str">
        <f>IF(IFERROR(MATCH(FFARawStatProjections!A199,Draft!BY:BY,0),1)&lt;=1,IF(FFARawStatProjections!A199=0,"",FFARawStatProjections!A199),"")</f>
        <v>Michael Carter</v>
      </c>
    </row>
    <row r="199" spans="109:110" x14ac:dyDescent="0.25">
      <c r="DE199">
        <v>197</v>
      </c>
      <c r="DF199" t="str">
        <f>IF(IFERROR(MATCH(FFARawStatProjections!A200,Draft!BY:BY,0),1)&lt;=1,IF(FFARawStatProjections!A200=0,"",FFARawStatProjections!A200),"")</f>
        <v>Melvin Gordon</v>
      </c>
    </row>
    <row r="200" spans="109:110" x14ac:dyDescent="0.25">
      <c r="DE200">
        <v>198</v>
      </c>
      <c r="DF200" t="str">
        <f>IF(IFERROR(MATCH(FFARawStatProjections!A201,Draft!BY:BY,0),1)&lt;=1,IF(FFARawStatProjections!A201=0,"",FFARawStatProjections!A201),"")</f>
        <v>Pierre Strong</v>
      </c>
    </row>
    <row r="201" spans="109:110" x14ac:dyDescent="0.25">
      <c r="DE201">
        <v>199</v>
      </c>
      <c r="DF201" t="str">
        <f>IF(IFERROR(MATCH(FFARawStatProjections!A202,Draft!BY:BY,0),1)&lt;=1,IF(FFARawStatProjections!A202=0,"",FFARawStatProjections!A202),"")</f>
        <v>Ameer Abdullah</v>
      </c>
    </row>
    <row r="202" spans="109:110" x14ac:dyDescent="0.25">
      <c r="DE202">
        <v>200</v>
      </c>
      <c r="DF202" t="str">
        <f>IF(IFERROR(MATCH(FFARawStatProjections!A203,Draft!BY:BY,0),1)&lt;=1,IF(FFARawStatProjections!A203=0,"",FFARawStatProjections!A203),"")</f>
        <v>Trayveon Williams</v>
      </c>
    </row>
    <row r="203" spans="109:110" x14ac:dyDescent="0.25">
      <c r="DE203">
        <v>201</v>
      </c>
      <c r="DF203" t="str">
        <f>IF(IFERROR(MATCH(FFARawStatProjections!A204,Draft!BY:BY,0),1)&lt;=1,IF(FFARawStatProjections!A204=0,"",FFARawStatProjections!A204),"")</f>
        <v>Hassan Haskins</v>
      </c>
    </row>
    <row r="204" spans="109:110" x14ac:dyDescent="0.25">
      <c r="DE204">
        <v>202</v>
      </c>
      <c r="DF204" t="str">
        <f>IF(IFERROR(MATCH(FFARawStatProjections!A205,Draft!BY:BY,0),1)&lt;=1,IF(FFARawStatProjections!A205=0,"",FFARawStatProjections!A205),"")</f>
        <v>Chris Rodriguez</v>
      </c>
    </row>
    <row r="205" spans="109:110" x14ac:dyDescent="0.25">
      <c r="DE205">
        <v>203</v>
      </c>
      <c r="DF205" t="str">
        <f>IF(IFERROR(MATCH(FFARawStatProjections!A206,Draft!BY:BY,0),1)&lt;=1,IF(FFARawStatProjections!A206=0,"",FFARawStatProjections!A206),"")</f>
        <v>Raheem Blackshear</v>
      </c>
    </row>
    <row r="206" spans="109:110" x14ac:dyDescent="0.25">
      <c r="DE206">
        <v>204</v>
      </c>
      <c r="DF206" t="str">
        <f>IF(IFERROR(MATCH(FFARawStatProjections!A207,Draft!BY:BY,0),1)&lt;=1,IF(FFARawStatProjections!A207=0,"",FFARawStatProjections!A207),"")</f>
        <v>Rico Dowdle</v>
      </c>
    </row>
    <row r="207" spans="109:110" x14ac:dyDescent="0.25">
      <c r="DE207">
        <v>205</v>
      </c>
      <c r="DF207" t="str">
        <f>IF(IFERROR(MATCH(FFARawStatProjections!A208,Draft!BY:BY,0),1)&lt;=1,IF(FFARawStatProjections!A208=0,"",FFARawStatProjections!A208),"")</f>
        <v>Evan Hull</v>
      </c>
    </row>
    <row r="208" spans="109:110" x14ac:dyDescent="0.25">
      <c r="DE208">
        <v>206</v>
      </c>
      <c r="DF208" t="str">
        <f>IF(IFERROR(MATCH(FFARawStatProjections!A209,Draft!BY:BY,0),1)&lt;=1,IF(FFARawStatProjections!A209=0,"",FFARawStatProjections!A209),"")</f>
        <v>Sean Tucker</v>
      </c>
    </row>
    <row r="209" spans="109:110" x14ac:dyDescent="0.25">
      <c r="DE209">
        <v>207</v>
      </c>
      <c r="DF209" t="str">
        <f>IF(IFERROR(MATCH(FFARawStatProjections!A210,Draft!BY:BY,0),1)&lt;=1,IF(FFARawStatProjections!A210=0,"",FFARawStatProjections!A210),"")</f>
        <v>Kene Nwangwu</v>
      </c>
    </row>
    <row r="210" spans="109:110" x14ac:dyDescent="0.25">
      <c r="DE210">
        <v>208</v>
      </c>
      <c r="DF210" t="str">
        <f>IF(IFERROR(MATCH(FFARawStatProjections!A211,Draft!BY:BY,0),1)&lt;=1,IF(FFARawStatProjections!A211=0,"",FFARawStatProjections!A211),"")</f>
        <v>Malik Davis</v>
      </c>
    </row>
    <row r="211" spans="109:110" x14ac:dyDescent="0.25">
      <c r="DE211">
        <v>209</v>
      </c>
      <c r="DF211" t="str">
        <f>IF(IFERROR(MATCH(FFARawStatProjections!A212,Draft!BY:BY,0),1)&lt;=1,IF(FFARawStatProjections!A212=0,"",FFARawStatProjections!A212),"")</f>
        <v>DeWayne McBride</v>
      </c>
    </row>
    <row r="212" spans="109:110" x14ac:dyDescent="0.25">
      <c r="DE212">
        <v>210</v>
      </c>
      <c r="DF212" t="str">
        <f>IF(IFERROR(MATCH(FFARawStatProjections!A213,Draft!BY:BY,0),1)&lt;=1,IF(FFARawStatProjections!A213=0,"",FFARawStatProjections!A213),"")</f>
        <v>DeeJay Dallas</v>
      </c>
    </row>
    <row r="213" spans="109:110" x14ac:dyDescent="0.25">
      <c r="DE213">
        <v>211</v>
      </c>
      <c r="DF213" t="str">
        <f>IF(IFERROR(MATCH(FFARawStatProjections!A214,Draft!BY:BY,0),1)&lt;=1,IF(FFARawStatProjections!A214=0,"",FFARawStatProjections!A214),"")</f>
        <v>Chris Evans</v>
      </c>
    </row>
    <row r="214" spans="109:110" x14ac:dyDescent="0.25">
      <c r="DE214">
        <v>212</v>
      </c>
      <c r="DF214" t="str">
        <f>IF(IFERROR(MATCH(FFARawStatProjections!A215,Draft!BY:BY,0),1)&lt;=1,IF(FFARawStatProjections!A215=0,"",FFARawStatProjections!A215),"")</f>
        <v>Deon Jackson</v>
      </c>
    </row>
    <row r="215" spans="109:110" x14ac:dyDescent="0.25">
      <c r="DE215">
        <v>213</v>
      </c>
      <c r="DF215" t="str">
        <f>IF(IFERROR(MATCH(FFARawStatProjections!A216,Draft!BY:BY,0),1)&lt;=1,IF(FFARawStatProjections!A216=0,"",FFARawStatProjections!A216),"")</f>
        <v>Craig Reynolds</v>
      </c>
    </row>
    <row r="216" spans="109:110" x14ac:dyDescent="0.25">
      <c r="DE216">
        <v>214</v>
      </c>
      <c r="DF216" t="str">
        <f>IF(IFERROR(MATCH(FFARawStatProjections!A217,Draft!BY:BY,0),1)&lt;=1,IF(FFARawStatProjections!A217=0,"",FFARawStatProjections!A217),"")</f>
        <v>Boston Scott</v>
      </c>
    </row>
    <row r="217" spans="109:110" x14ac:dyDescent="0.25">
      <c r="DE217">
        <v>215</v>
      </c>
      <c r="DF217" t="str">
        <f>IF(IFERROR(MATCH(FFARawStatProjections!A218,Draft!BY:BY,0),1)&lt;=1,IF(FFARawStatProjections!A218=0,"",FFARawStatProjections!A218),"")</f>
        <v>Sincere McCormick</v>
      </c>
    </row>
    <row r="218" spans="109:110" x14ac:dyDescent="0.25">
      <c r="DE218">
        <v>216</v>
      </c>
      <c r="DF218" t="str">
        <f>IF(IFERROR(MATCH(FFARawStatProjections!A219,Draft!BY:BY,0),1)&lt;=1,IF(FFARawStatProjections!A219=0,"",FFARawStatProjections!A219),"")</f>
        <v>Anthony McFarland</v>
      </c>
    </row>
    <row r="219" spans="109:110" x14ac:dyDescent="0.25">
      <c r="DE219">
        <v>217</v>
      </c>
      <c r="DF219" t="str">
        <f>IF(IFERROR(MATCH(FFARawStatProjections!A220,Draft!BY:BY,0),1)&lt;=1,IF(FFARawStatProjections!A220=0,"",FFARawStatProjections!A220),"")</f>
        <v>Zonovan Knight</v>
      </c>
    </row>
    <row r="220" spans="109:110" x14ac:dyDescent="0.25">
      <c r="DE220">
        <v>218</v>
      </c>
      <c r="DF220" t="str">
        <f>IF(IFERROR(MATCH(FFARawStatProjections!A221,Draft!BY:BY,0),1)&lt;=1,IF(FFARawStatProjections!A221=0,"",FFARawStatProjections!A221),"")</f>
        <v>Kenny McIntosh</v>
      </c>
    </row>
    <row r="221" spans="109:110" x14ac:dyDescent="0.25">
      <c r="DE221">
        <v>219</v>
      </c>
      <c r="DF221" t="str">
        <f>IF(IFERROR(MATCH(FFARawStatProjections!A222,Draft!BY:BY,0),1)&lt;=1,IF(FFARawStatProjections!A222=0,"",FFARawStatProjections!A222),"")</f>
        <v>Ty Montgomery</v>
      </c>
    </row>
    <row r="222" spans="109:110" x14ac:dyDescent="0.25">
      <c r="DE222">
        <v>220</v>
      </c>
      <c r="DF222" t="str">
        <f>IF(IFERROR(MATCH(FFARawStatProjections!A223,Draft!BY:BY,0),1)&lt;=1,IF(FFARawStatProjections!A223=0,"",FFARawStatProjections!A223),"")</f>
        <v>DErnest Johnson</v>
      </c>
    </row>
    <row r="223" spans="109:110" x14ac:dyDescent="0.25">
      <c r="DE223">
        <v>221</v>
      </c>
      <c r="DF223" t="str">
        <f>IF(IFERROR(MATCH(FFARawStatProjections!A224,Draft!BY:BY,0),1)&lt;=1,IF(FFARawStatProjections!A224=0,"",FFARawStatProjections!A224),"")</f>
        <v>Travis Homer</v>
      </c>
    </row>
    <row r="224" spans="109:110" x14ac:dyDescent="0.25">
      <c r="DE224">
        <v>222</v>
      </c>
      <c r="DF224" t="str">
        <f>IF(IFERROR(MATCH(FFARawStatProjections!A225,Draft!BY:BY,0),1)&lt;=1,IF(FFARawStatProjections!A225=0,"",FFARawStatProjections!A225),"")</f>
        <v>Deneric Prince</v>
      </c>
    </row>
    <row r="225" spans="109:110" x14ac:dyDescent="0.25">
      <c r="DE225">
        <v>223</v>
      </c>
      <c r="DF225" t="str">
        <f>IF(IFERROR(MATCH(FFARawStatProjections!A226,Draft!BY:BY,0),1)&lt;=1,IF(FFARawStatProjections!A226=0,"",FFARawStatProjections!A226),"")</f>
        <v>Patrick Taylor</v>
      </c>
    </row>
    <row r="226" spans="109:110" x14ac:dyDescent="0.25">
      <c r="DE226">
        <v>224</v>
      </c>
      <c r="DF226" t="str">
        <f>IF(IFERROR(MATCH(FFARawStatProjections!A227,Draft!BY:BY,0),1)&lt;=1,IF(FFARawStatProjections!A227=0,"",FFARawStatProjections!A227),"")</f>
        <v>Kyle Juszczyk</v>
      </c>
    </row>
    <row r="227" spans="109:110" x14ac:dyDescent="0.25">
      <c r="DE227">
        <v>225</v>
      </c>
      <c r="DF227" t="str">
        <f>IF(IFERROR(MATCH(FFARawStatProjections!A228,Draft!BY:BY,0),1)&lt;=1,IF(FFARawStatProjections!A228=0,"",FFARawStatProjections!A228),"")</f>
        <v>Kevin Harris</v>
      </c>
    </row>
    <row r="228" spans="109:110" x14ac:dyDescent="0.25">
      <c r="DE228">
        <v>226</v>
      </c>
      <c r="DF228" t="str">
        <f>IF(IFERROR(MATCH(FFARawStatProjections!A229,Draft!BY:BY,0),1)&lt;=1,IF(FFARawStatProjections!A229=0,"",FFARawStatProjections!A229),"")</f>
        <v>James Robinson</v>
      </c>
    </row>
    <row r="229" spans="109:110" x14ac:dyDescent="0.25">
      <c r="DE229">
        <v>227</v>
      </c>
      <c r="DF229" t="str">
        <f>IF(IFERROR(MATCH(FFARawStatProjections!A230,Draft!BY:BY,0),1)&lt;=1,IF(FFARawStatProjections!A230=0,"",FFARawStatProjections!A230),"")</f>
        <v>Gary Brightwell</v>
      </c>
    </row>
    <row r="230" spans="109:110" x14ac:dyDescent="0.25">
      <c r="DE230">
        <v>228</v>
      </c>
      <c r="DF230" t="str">
        <f>IF(IFERROR(MATCH(FFARawStatProjections!A231,Draft!BY:BY,0),1)&lt;=1,IF(FFARawStatProjections!A231=0,"",FFARawStatProjections!A231),"")</f>
        <v>Darrel Williams</v>
      </c>
    </row>
    <row r="231" spans="109:110" x14ac:dyDescent="0.25">
      <c r="DE231">
        <v>229</v>
      </c>
      <c r="DF231" t="str">
        <f>IF(IFERROR(MATCH(FFARawStatProjections!A232,Draft!BY:BY,0),1)&lt;=1,IF(FFARawStatProjections!A232=0,"",FFARawStatProjections!A232),"")</f>
        <v>Tyler Badie</v>
      </c>
    </row>
    <row r="232" spans="109:110" x14ac:dyDescent="0.25">
      <c r="DE232">
        <v>230</v>
      </c>
      <c r="DF232" t="str">
        <f>IF(IFERROR(MATCH(FFARawStatProjections!A233,Draft!BY:BY,0),1)&lt;=1,IF(FFARawStatProjections!A233=0,"",FFARawStatProjections!A233),"")</f>
        <v>Dare Ogunbowale</v>
      </c>
    </row>
    <row r="233" spans="109:110" x14ac:dyDescent="0.25">
      <c r="DE233">
        <v>231</v>
      </c>
      <c r="DF233" t="str">
        <f>IF(IFERROR(MATCH(FFARawStatProjections!A234,Draft!BY:BY,0),1)&lt;=1,IF(FFARawStatProjections!A234=0,"",FFARawStatProjections!A234),"")</f>
        <v>Demetric Felton</v>
      </c>
    </row>
    <row r="234" spans="109:110" x14ac:dyDescent="0.25">
      <c r="DE234">
        <v>232</v>
      </c>
      <c r="DF234" t="str">
        <f>IF(IFERROR(MATCH(FFARawStatProjections!A235,Draft!BY:BY,0),1)&lt;=1,IF(FFARawStatProjections!A235=0,"",FFARawStatProjections!A235),"")</f>
        <v>Tyrion Davis-Price</v>
      </c>
    </row>
    <row r="235" spans="109:110" x14ac:dyDescent="0.25">
      <c r="DE235">
        <v>233</v>
      </c>
      <c r="DF235" t="str">
        <f>IF(IFERROR(MATCH(FFARawStatProjections!A236,Draft!BY:BY,0),1)&lt;=1,IF(FFARawStatProjections!A236=0,"",FFARawStatProjections!A236),"")</f>
        <v>John Kelly</v>
      </c>
    </row>
    <row r="236" spans="109:110" x14ac:dyDescent="0.25">
      <c r="DE236">
        <v>234</v>
      </c>
      <c r="DF236" t="str">
        <f>IF(IFERROR(MATCH(FFARawStatProjections!A237,Draft!BY:BY,0),1)&lt;=1,IF(FFARawStatProjections!A237=0,"",FFARawStatProjections!A237),"")</f>
        <v>Tony Jones</v>
      </c>
    </row>
    <row r="237" spans="109:110" x14ac:dyDescent="0.25">
      <c r="DE237">
        <v>235</v>
      </c>
      <c r="DF237" t="str">
        <f>IF(IFERROR(MATCH(FFARawStatProjections!A238,Draft!BY:BY,0),1)&lt;=1,IF(FFARawStatProjections!A238=0,"",FFARawStatProjections!A238),"")</f>
        <v>Damien Williams</v>
      </c>
    </row>
    <row r="238" spans="109:110" x14ac:dyDescent="0.25">
      <c r="DE238">
        <v>236</v>
      </c>
      <c r="DF238" t="str">
        <f>IF(IFERROR(MATCH(FFARawStatProjections!A239,Draft!BY:BY,0),1)&lt;=1,IF(FFARawStatProjections!A239=0,"",FFARawStatProjections!A239),"")</f>
        <v>Salvon Ahmed</v>
      </c>
    </row>
    <row r="239" spans="109:110" x14ac:dyDescent="0.25">
      <c r="DE239">
        <v>237</v>
      </c>
      <c r="DF239" t="str">
        <f>IF(IFERROR(MATCH(FFARawStatProjections!A240,Draft!BY:BY,0),1)&lt;=1,IF(FFARawStatProjections!A240=0,"",FFARawStatProjections!A240),"")</f>
        <v>Myles Gaskin</v>
      </c>
    </row>
    <row r="240" spans="109:110" x14ac:dyDescent="0.25">
      <c r="DE240">
        <v>238</v>
      </c>
      <c r="DF240" t="str">
        <f>IF(IFERROR(MATCH(FFARawStatProjections!A241,Draft!BY:BY,0),1)&lt;=1,IF(FFARawStatProjections!A241=0,"",FFARawStatProjections!A241),"")</f>
        <v>Jonathan Williams</v>
      </c>
    </row>
    <row r="241" spans="109:110" x14ac:dyDescent="0.25">
      <c r="DE241">
        <v>239</v>
      </c>
      <c r="DF241" t="str">
        <f>IF(IFERROR(MATCH(FFARawStatProjections!A242,Draft!BY:BY,0),1)&lt;=1,IF(FFARawStatProjections!A242=0,"",FFARawStatProjections!A242),"")</f>
        <v>Lew Nichols</v>
      </c>
    </row>
    <row r="242" spans="109:110" x14ac:dyDescent="0.25">
      <c r="DE242">
        <v>240</v>
      </c>
      <c r="DF242" t="str">
        <f>IF(IFERROR(MATCH(FFARawStatProjections!A243,Draft!BY:BY,0),1)&lt;=1,IF(FFARawStatProjections!A243=0,"",FFARawStatProjections!A243),"")</f>
        <v>Brandon Bolden</v>
      </c>
    </row>
    <row r="243" spans="109:110" x14ac:dyDescent="0.25">
      <c r="DE243">
        <v>241</v>
      </c>
      <c r="DF243" t="str">
        <f>IF(IFERROR(MATCH(FFARawStatProjections!A244,Draft!BY:BY,0),1)&lt;=1,IF(FFARawStatProjections!A244=0,"",FFARawStatProjections!A244),"")</f>
        <v>Elijah Dotson</v>
      </c>
    </row>
    <row r="244" spans="109:110" x14ac:dyDescent="0.25">
      <c r="DE244">
        <v>242</v>
      </c>
      <c r="DF244" t="str">
        <f>IF(IFERROR(MATCH(FFARawStatProjections!A245,Draft!BY:BY,0),1)&lt;=1,IF(FFARawStatProjections!A245=0,"",FFARawStatProjections!A245),"")</f>
        <v>Justice Hill</v>
      </c>
    </row>
    <row r="245" spans="109:110" x14ac:dyDescent="0.25">
      <c r="DE245">
        <v>243</v>
      </c>
      <c r="DF245" t="str">
        <f>IF(IFERROR(MATCH(FFARawStatProjections!A246,Draft!BY:BY,0),1)&lt;=1,IF(FFARawStatProjections!A246=0,"",FFARawStatProjections!A246),"")</f>
        <v>Keaton Mitchell</v>
      </c>
    </row>
    <row r="246" spans="109:110" x14ac:dyDescent="0.25">
      <c r="DE246">
        <v>244</v>
      </c>
      <c r="DF246" t="str">
        <f>IF(IFERROR(MATCH(FFARawStatProjections!A247,Draft!BY:BY,0),1)&lt;=1,IF(FFARawStatProjections!A247=0,"",FFARawStatProjections!A247),"")</f>
        <v>Snoop Conner</v>
      </c>
    </row>
    <row r="247" spans="109:110" x14ac:dyDescent="0.25">
      <c r="DE247">
        <v>245</v>
      </c>
      <c r="DF247" t="str">
        <f>IF(IFERROR(MATCH(FFARawStatProjections!A248,Draft!BY:BY,0),1)&lt;=1,IF(FFARawStatProjections!A248=0,"",FFARawStatProjections!A248),"")</f>
        <v>Mohamed Ibrahim</v>
      </c>
    </row>
    <row r="248" spans="109:110" x14ac:dyDescent="0.25">
      <c r="DE248">
        <v>246</v>
      </c>
      <c r="DF248" t="str">
        <f>IF(IFERROR(MATCH(FFARawStatProjections!A249,Draft!BY:BY,0),1)&lt;=1,IF(FFARawStatProjections!A249=0,"",FFARawStatProjections!A249),"")</f>
        <v>JJ Taylor</v>
      </c>
    </row>
    <row r="249" spans="109:110" x14ac:dyDescent="0.25">
      <c r="DE249">
        <v>247</v>
      </c>
      <c r="DF249" t="str">
        <f>IF(IFERROR(MATCH(FFARawStatProjections!A250,Draft!BY:BY,0),1)&lt;=1,IF(FFARawStatProjections!A250=0,"",FFARawStatProjections!A250),"")</f>
        <v>Kirk Merritt</v>
      </c>
    </row>
    <row r="250" spans="109:110" x14ac:dyDescent="0.25">
      <c r="DE250">
        <v>248</v>
      </c>
      <c r="DF250" t="str">
        <f>IF(IFERROR(MATCH(FFARawStatProjections!A251,Draft!BY:BY,0),1)&lt;=1,IF(FFARawStatProjections!A251=0,"",FFARawStatProjections!A251),"")</f>
        <v>Reggie Gilliam</v>
      </c>
    </row>
    <row r="251" spans="109:110" x14ac:dyDescent="0.25">
      <c r="DE251">
        <v>249</v>
      </c>
      <c r="DF251" t="str">
        <f>IF(IFERROR(MATCH(FFARawStatProjections!A252,Draft!BY:BY,0),1)&lt;=1,IF(FFARawStatProjections!A252=0,"",FFARawStatProjections!A252),"")</f>
        <v>Trey Sermon</v>
      </c>
    </row>
    <row r="252" spans="109:110" x14ac:dyDescent="0.25">
      <c r="DE252">
        <v>250</v>
      </c>
      <c r="DF252" t="str">
        <f>IF(IFERROR(MATCH(FFARawStatProjections!A253,Draft!BY:BY,0),1)&lt;=1,IF(FFARawStatProjections!A253=0,"",FFARawStatProjections!A253),"")</f>
        <v>Mike Boone</v>
      </c>
    </row>
    <row r="253" spans="109:110" x14ac:dyDescent="0.25">
      <c r="DE253">
        <v>251</v>
      </c>
      <c r="DF253" t="str">
        <f>IF(IFERROR(MATCH(FFARawStatProjections!A254,Draft!BY:BY,0),1)&lt;=1,IF(FFARawStatProjections!A254=0,"",FFARawStatProjections!A254),"")</f>
        <v>TySon Williams</v>
      </c>
    </row>
    <row r="254" spans="109:110" x14ac:dyDescent="0.25">
      <c r="DE254">
        <v>252</v>
      </c>
      <c r="DF254" t="str">
        <f>IF(IFERROR(MATCH(FFARawStatProjections!A255,Draft!BY:BY,0),1)&lt;=1,IF(FFARawStatProjections!A255=0,"",FFARawStatProjections!A255),"")</f>
        <v>Royce Freeman</v>
      </c>
    </row>
    <row r="255" spans="109:110" x14ac:dyDescent="0.25">
      <c r="DE255">
        <v>253</v>
      </c>
      <c r="DF255" t="str">
        <f>IF(IFERROR(MATCH(FFARawStatProjections!A256,Draft!BY:BY,0),1)&lt;=1,IF(FFARawStatProjections!A256=0,"",FFARawStatProjections!A256),"")</f>
        <v>Brittain Brown</v>
      </c>
    </row>
    <row r="256" spans="109:110" x14ac:dyDescent="0.25">
      <c r="DE256">
        <v>254</v>
      </c>
      <c r="DF256" t="str">
        <f>IF(IFERROR(MATCH(FFARawStatProjections!A257,Draft!BY:BY,0),1)&lt;=1,IF(FFARawStatProjections!A257=0,"",FFARawStatProjections!A257),"")</f>
        <v>Alec Ingold</v>
      </c>
    </row>
    <row r="257" spans="109:110" x14ac:dyDescent="0.25">
      <c r="DE257">
        <v>255</v>
      </c>
      <c r="DF257" t="str">
        <f>IF(IFERROR(MATCH(FFARawStatProjections!A258,Draft!BY:BY,0),1)&lt;=1,IF(FFARawStatProjections!A258=0,"",FFARawStatProjections!A258),"")</f>
        <v>Darrynton Evans</v>
      </c>
    </row>
    <row r="258" spans="109:110" x14ac:dyDescent="0.25">
      <c r="DE258">
        <v>256</v>
      </c>
      <c r="DF258" t="str">
        <f>IF(IFERROR(MATCH(FFARawStatProjections!A259,Draft!BY:BY,0),1)&lt;=1,IF(FFARawStatProjections!A259=0,"",FFARawStatProjections!A259),"")</f>
        <v>Zander Horvath</v>
      </c>
    </row>
    <row r="259" spans="109:110" x14ac:dyDescent="0.25">
      <c r="DE259">
        <v>257</v>
      </c>
      <c r="DF259" t="str">
        <f>IF(IFERROR(MATCH(FFARawStatProjections!A260,Draft!BY:BY,0),1)&lt;=1,IF(FFARawStatProjections!A260=0,"",FFARawStatProjections!A260),"")</f>
        <v>Julius Chestnut</v>
      </c>
    </row>
    <row r="260" spans="109:110" x14ac:dyDescent="0.25">
      <c r="DE260">
        <v>258</v>
      </c>
      <c r="DF260" t="str">
        <f>IF(IFERROR(MATCH(FFARawStatProjections!A261,Draft!BY:BY,0),1)&lt;=1,IF(FFARawStatProjections!A261=0,"",FFARawStatProjections!A261),"")</f>
        <v>Ty Johnson</v>
      </c>
    </row>
    <row r="261" spans="109:110" x14ac:dyDescent="0.25">
      <c r="DE261">
        <v>259</v>
      </c>
      <c r="DF261" t="str">
        <f>IF(IFERROR(MATCH(FFARawStatProjections!A262,Draft!BY:BY,0),1)&lt;=1,IF(FFARawStatProjections!A262=0,"",FFARawStatProjections!A262),"")</f>
        <v>Trestan Ebner</v>
      </c>
    </row>
    <row r="262" spans="109:110" x14ac:dyDescent="0.25">
      <c r="DE262">
        <v>260</v>
      </c>
      <c r="DF262" t="str">
        <f>IF(IFERROR(MATCH(FFARawStatProjections!A263,Draft!BY:BY,0),1)&lt;=1,IF(FFARawStatProjections!A263=0,"",FFARawStatProjections!A263),"")</f>
        <v>Jaleel McLaughlin</v>
      </c>
    </row>
    <row r="263" spans="109:110" x14ac:dyDescent="0.25">
      <c r="DE263">
        <v>261</v>
      </c>
      <c r="DF263" t="str">
        <f>IF(IFERROR(MATCH(FFARawStatProjections!A264,Draft!BY:BY,0),1)&lt;=1,IF(FFARawStatProjections!A264=0,"",FFARawStatProjections!A264),"")</f>
        <v>CJ Ham</v>
      </c>
    </row>
    <row r="264" spans="109:110" x14ac:dyDescent="0.25">
      <c r="DE264">
        <v>262</v>
      </c>
      <c r="DF264" t="str">
        <f>IF(IFERROR(MATCH(FFARawStatProjections!A265,Draft!BY:BY,0),1)&lt;=1,IF(FFARawStatProjections!A265=0,"",FFARawStatProjections!A265),"")</f>
        <v>LaMical Perine</v>
      </c>
    </row>
    <row r="265" spans="109:110" x14ac:dyDescent="0.25">
      <c r="DE265">
        <v>263</v>
      </c>
      <c r="DF265" t="str">
        <f>IF(IFERROR(MATCH(FFARawStatProjections!A266,Draft!BY:BY,0),1)&lt;=1,IF(FFARawStatProjections!A266=0,"",FFARawStatProjections!A266),"")</f>
        <v>Jermar Jefferson</v>
      </c>
    </row>
    <row r="266" spans="109:110" x14ac:dyDescent="0.25">
      <c r="DE266">
        <v>264</v>
      </c>
      <c r="DF266" t="str">
        <f>IF(IFERROR(MATCH(FFARawStatProjections!A267,Draft!BY:BY,0),1)&lt;=1,IF(FFARawStatProjections!A267=0,"",FFARawStatProjections!A267),"")</f>
        <v>Ronnie Rivers</v>
      </c>
    </row>
    <row r="267" spans="109:110" x14ac:dyDescent="0.25">
      <c r="DE267">
        <v>265</v>
      </c>
      <c r="DF267" t="str">
        <f>IF(IFERROR(MATCH(FFARawStatProjections!A268,Draft!BY:BY,0),1)&lt;=1,IF(FFARawStatProjections!A268=0,"",FFARawStatProjections!A268),"")</f>
        <v>Jake Funk</v>
      </c>
    </row>
    <row r="268" spans="109:110" x14ac:dyDescent="0.25">
      <c r="DE268">
        <v>266</v>
      </c>
      <c r="DF268" t="str">
        <f>IF(IFERROR(MATCH(FFARawStatProjections!A269,Draft!BY:BY,0),1)&lt;=1,IF(FFARawStatProjections!A269=0,"",FFARawStatProjections!A269),"")</f>
        <v>Hunter Luepke</v>
      </c>
    </row>
    <row r="269" spans="109:110" x14ac:dyDescent="0.25">
      <c r="DE269">
        <v>267</v>
      </c>
      <c r="DF269" t="str">
        <f>IF(IFERROR(MATCH(FFARawStatProjections!A270,Draft!BY:BY,0),1)&lt;=1,IF(FFARawStatProjections!A270=0,"",FFARawStatProjections!A270),"")</f>
        <v>Patrick Ricard</v>
      </c>
    </row>
    <row r="270" spans="109:110" x14ac:dyDescent="0.25">
      <c r="DE270">
        <v>268</v>
      </c>
      <c r="DF270" t="str">
        <f>IF(IFERROR(MATCH(FFARawStatProjections!A271,Draft!BY:BY,0),1)&lt;=1,IF(FFARawStatProjections!A271=0,"",FFARawStatProjections!A271),"")</f>
        <v>Godwin Igwebuike</v>
      </c>
    </row>
    <row r="271" spans="109:110" x14ac:dyDescent="0.25">
      <c r="DE271">
        <v>269</v>
      </c>
      <c r="DF271" t="str">
        <f>IF(IFERROR(MATCH(FFARawStatProjections!A272,Draft!BY:BY,0),1)&lt;=1,IF(FFARawStatProjections!A272=0,"",FFARawStatProjections!A272),"")</f>
        <v>Jonathan Ward</v>
      </c>
    </row>
    <row r="272" spans="109:110" x14ac:dyDescent="0.25">
      <c r="DE272">
        <v>270</v>
      </c>
      <c r="DF272" t="str">
        <f>IF(IFERROR(MATCH(FFARawStatProjections!A273,Draft!BY:BY,0),1)&lt;=1,IF(FFARawStatProjections!A273=0,"",FFARawStatProjections!A273),"")</f>
        <v>Qadree Ollison</v>
      </c>
    </row>
    <row r="273" spans="109:110" x14ac:dyDescent="0.25">
      <c r="DE273">
        <v>271</v>
      </c>
      <c r="DF273" t="str">
        <f>IF(IFERROR(MATCH(FFARawStatProjections!A274,Draft!BY:BY,0),1)&lt;=1,IF(FFARawStatProjections!A274=0,"",FFARawStatProjections!A274),"")</f>
        <v>Giovanni Ricci</v>
      </c>
    </row>
    <row r="274" spans="109:110" x14ac:dyDescent="0.25">
      <c r="DE274">
        <v>272</v>
      </c>
      <c r="DF274" t="str">
        <f>IF(IFERROR(MATCH(FFARawStatProjections!A275,Draft!BY:BY,0),1)&lt;=1,IF(FFARawStatProjections!A275=0,"",FFARawStatProjections!A275),"")</f>
        <v>Patrick Laird</v>
      </c>
    </row>
    <row r="275" spans="109:110" x14ac:dyDescent="0.25">
      <c r="DE275">
        <v>273</v>
      </c>
      <c r="DF275" t="str">
        <f>IF(IFERROR(MATCH(FFARawStatProjections!A276,Draft!BY:BY,0),1)&lt;=1,IF(FFARawStatProjections!A276=0,"",FFARawStatProjections!A276),"")</f>
        <v>Spencer Brown</v>
      </c>
    </row>
    <row r="276" spans="109:110" x14ac:dyDescent="0.25">
      <c r="DE276">
        <v>274</v>
      </c>
      <c r="DF276" t="str">
        <f>IF(IFERROR(MATCH(FFARawStatProjections!A277,Draft!BY:BY,0),1)&lt;=1,IF(FFARawStatProjections!A277=0,"",FFARawStatProjections!A277),"")</f>
        <v>Jason Cabinda</v>
      </c>
    </row>
    <row r="277" spans="109:110" x14ac:dyDescent="0.25">
      <c r="DE277">
        <v>275</v>
      </c>
      <c r="DF277" t="str">
        <f>IF(IFERROR(MATCH(FFARawStatProjections!A278,Draft!BY:BY,0),1)&lt;=1,IF(FFARawStatProjections!A278=0,"",FFARawStatProjections!A278),"")</f>
        <v>Jaret Patterson</v>
      </c>
    </row>
    <row r="278" spans="109:110" x14ac:dyDescent="0.25">
      <c r="DE278">
        <v>276</v>
      </c>
      <c r="DF278" t="str">
        <f>IF(IFERROR(MATCH(FFARawStatProjections!A279,Draft!BY:BY,0),1)&lt;=1,IF(FFARawStatProjections!A279=0,"",FFARawStatProjections!A279),"")</f>
        <v>Nate McCrary</v>
      </c>
    </row>
    <row r="279" spans="109:110" x14ac:dyDescent="0.25">
      <c r="DE279">
        <v>277</v>
      </c>
      <c r="DF279" t="str">
        <f>IF(IFERROR(MATCH(FFARawStatProjections!A280,Draft!BY:BY,0),1)&lt;=1,IF(FFARawStatProjections!A280=0,"",FFARawStatProjections!A280),"")</f>
        <v>Avery Williams</v>
      </c>
    </row>
    <row r="280" spans="109:110" x14ac:dyDescent="0.25">
      <c r="DE280">
        <v>278</v>
      </c>
      <c r="DF280" t="str">
        <f>IF(IFERROR(MATCH(FFARawStatProjections!A281,Draft!BY:BY,0),1)&lt;=1,IF(FFARawStatProjections!A281=0,"",FFARawStatProjections!A281),"")</f>
        <v>Larry Rountree</v>
      </c>
    </row>
    <row r="281" spans="109:110" x14ac:dyDescent="0.25">
      <c r="DE281">
        <v>279</v>
      </c>
      <c r="DF281" t="str">
        <f>IF(IFERROR(MATCH(FFARawStatProjections!A282,Draft!BY:BY,0),1)&lt;=1,IF(FFARawStatProjections!A282=0,"",FFARawStatProjections!A282),"")</f>
        <v>Gerrid Doaks</v>
      </c>
    </row>
    <row r="282" spans="109:110" x14ac:dyDescent="0.25">
      <c r="DE282">
        <v>280</v>
      </c>
      <c r="DF282" t="str">
        <f>IF(IFERROR(MATCH(FFARawStatProjections!A283,Draft!BY:BY,0),1)&lt;=1,IF(FFARawStatProjections!A283=0,"",FFARawStatProjections!A283),"")</f>
        <v>Michael Burton</v>
      </c>
    </row>
    <row r="283" spans="109:110" x14ac:dyDescent="0.25">
      <c r="DE283">
        <v>281</v>
      </c>
      <c r="DF283" t="str">
        <f>IF(IFERROR(MATCH(FFARawStatProjections!A284,Draft!BY:BY,0),1)&lt;=1,IF(FFARawStatProjections!A284=0,"",FFARawStatProjections!A284),"")</f>
        <v>Adam Prentice</v>
      </c>
    </row>
    <row r="284" spans="109:110" x14ac:dyDescent="0.25">
      <c r="DE284">
        <v>282</v>
      </c>
      <c r="DF284" t="str">
        <f>IF(IFERROR(MATCH(FFARawStatProjections!A285,Draft!BY:BY,0),1)&lt;=1,IF(FFARawStatProjections!A285=0,"",FFARawStatProjections!A285),"")</f>
        <v>Henry Pearson</v>
      </c>
    </row>
    <row r="285" spans="109:110" x14ac:dyDescent="0.25">
      <c r="DE285">
        <v>283</v>
      </c>
      <c r="DF285" t="str">
        <f>IF(IFERROR(MATCH(FFARawStatProjections!A286,Draft!BY:BY,0),1)&lt;=1,IF(FFARawStatProjections!A286=0,"",FFARawStatProjections!A286),"")</f>
        <v>Jason Huntley</v>
      </c>
    </row>
    <row r="286" spans="109:110" x14ac:dyDescent="0.25">
      <c r="DE286">
        <v>284</v>
      </c>
      <c r="DF286" t="str">
        <f>IF(IFERROR(MATCH(FFARawStatProjections!A287,Draft!BY:BY,0),1)&lt;=1,IF(FFARawStatProjections!A287=0,"",FFARawStatProjections!A287),"")</f>
        <v>Khari Blasingame</v>
      </c>
    </row>
    <row r="287" spans="109:110" x14ac:dyDescent="0.25">
      <c r="DE287">
        <v>285</v>
      </c>
      <c r="DF287" t="str">
        <f>IF(IFERROR(MATCH(FFARawStatProjections!A288,Draft!BY:BY,0),1)&lt;=1,IF(FFARawStatProjections!A288=0,"",FFARawStatProjections!A288),"")</f>
        <v>Jack Colletto</v>
      </c>
    </row>
    <row r="288" spans="109:110" x14ac:dyDescent="0.25">
      <c r="DE288">
        <v>286</v>
      </c>
      <c r="DF288" t="str">
        <f>IF(IFERROR(MATCH(FFARawStatProjections!A289,Draft!BY:BY,0),1)&lt;=1,IF(FFARawStatProjections!A289=0,"",FFARawStatProjections!A289),"")</f>
        <v>Keith Smith</v>
      </c>
    </row>
    <row r="289" spans="109:110" x14ac:dyDescent="0.25">
      <c r="DE289">
        <v>287</v>
      </c>
      <c r="DF289" t="str">
        <f>IF(IFERROR(MATCH(FFARawStatProjections!A290,Draft!BY:BY,0),1)&lt;=1,IF(FFARawStatProjections!A290=0,"",FFARawStatProjections!A290),"")</f>
        <v>Jakob Johnson</v>
      </c>
    </row>
    <row r="290" spans="109:110" x14ac:dyDescent="0.25">
      <c r="DE290">
        <v>288</v>
      </c>
      <c r="DF290" t="str">
        <f>IF(IFERROR(MATCH(FFARawStatProjections!A291,Draft!BY:BY,0),1)&lt;=1,IF(FFARawStatProjections!A291=0,"",FFARawStatProjections!A291),"")</f>
        <v>Ellis Merriweather</v>
      </c>
    </row>
    <row r="291" spans="109:110" x14ac:dyDescent="0.25">
      <c r="DE291">
        <v>289</v>
      </c>
      <c r="DF291" t="str">
        <f>IF(IFERROR(MATCH(FFARawStatProjections!A292,Draft!BY:BY,0),1)&lt;=1,IF(FFARawStatProjections!A292=0,"",FFARawStatProjections!A292),"")</f>
        <v>Tyler Goodson</v>
      </c>
    </row>
    <row r="292" spans="109:110" x14ac:dyDescent="0.25">
      <c r="DE292">
        <v>290</v>
      </c>
      <c r="DF292" t="str">
        <f>IF(IFERROR(MATCH(FFARawStatProjections!A293,Draft!BY:BY,0),1)&lt;=1,IF(FFARawStatProjections!A293=0,"",FFARawStatProjections!A293),"")</f>
        <v>Dwayne Washington</v>
      </c>
    </row>
    <row r="293" spans="109:110" x14ac:dyDescent="0.25">
      <c r="DE293">
        <v>291</v>
      </c>
      <c r="DF293" t="str">
        <f>IF(IFERROR(MATCH(FFARawStatProjections!A294,Draft!BY:BY,0),1)&lt;=1,IF(FFARawStatProjections!A294=0,"",FFARawStatProjections!A294),"")</f>
        <v>Clint Ratkovich</v>
      </c>
    </row>
    <row r="294" spans="109:110" x14ac:dyDescent="0.25">
      <c r="DE294">
        <v>292</v>
      </c>
      <c r="DF294" t="str">
        <f>IF(IFERROR(MATCH(FFARawStatProjections!A295,Draft!BY:BY,0),1)&lt;=1,IF(FFARawStatProjections!A295=0,"",FFARawStatProjections!A295),"")</f>
        <v>Nick Bellore</v>
      </c>
    </row>
    <row r="295" spans="109:110" x14ac:dyDescent="0.25">
      <c r="DE295">
        <v>293</v>
      </c>
      <c r="DF295" t="str">
        <f>IF(IFERROR(MATCH(FFARawStatProjections!A296,Draft!BY:BY,0),1)&lt;=1,IF(FFARawStatProjections!A296=0,"",FFARawStatProjections!A296),"")</f>
        <v/>
      </c>
    </row>
    <row r="296" spans="109:110" x14ac:dyDescent="0.25">
      <c r="DE296">
        <v>294</v>
      </c>
      <c r="DF296" t="str">
        <f>IF(IFERROR(MATCH(FFARawStatProjections!A297,Draft!BY:BY,0),1)&lt;=1,IF(FFARawStatProjections!A297=0,"",FFARawStatProjections!A297),"")</f>
        <v/>
      </c>
    </row>
    <row r="297" spans="109:110" x14ac:dyDescent="0.25">
      <c r="DE297">
        <v>295</v>
      </c>
      <c r="DF297" t="str">
        <f>IF(IFERROR(MATCH(FFARawStatProjections!A298,Draft!BY:BY,0),1)&lt;=1,IF(FFARawStatProjections!A298=0,"",FFARawStatProjections!A298),"")</f>
        <v/>
      </c>
    </row>
    <row r="298" spans="109:110" x14ac:dyDescent="0.25">
      <c r="DE298">
        <v>296</v>
      </c>
      <c r="DF298" t="str">
        <f>IF(IFERROR(MATCH(FFARawStatProjections!A299,Draft!BY:BY,0),1)&lt;=1,IF(FFARawStatProjections!A299=0,"",FFARawStatProjections!A299),"")</f>
        <v/>
      </c>
    </row>
    <row r="299" spans="109:110" x14ac:dyDescent="0.25">
      <c r="DE299">
        <v>297</v>
      </c>
      <c r="DF299" t="str">
        <f>IF(IFERROR(MATCH(FFARawStatProjections!A300,Draft!BY:BY,0),1)&lt;=1,IF(FFARawStatProjections!A300=0,"",FFARawStatProjections!A300),"")</f>
        <v/>
      </c>
    </row>
    <row r="300" spans="109:110" x14ac:dyDescent="0.25">
      <c r="DE300">
        <v>298</v>
      </c>
      <c r="DF300" t="str">
        <f>IF(IFERROR(MATCH(FFARawStatProjections!A301,Draft!BY:BY,0),1)&lt;=1,IF(FFARawStatProjections!A301=0,"",FFARawStatProjections!A301),"")</f>
        <v/>
      </c>
    </row>
    <row r="301" spans="109:110" x14ac:dyDescent="0.25">
      <c r="DE301">
        <v>299</v>
      </c>
      <c r="DF301" t="str">
        <f>IF(IFERROR(MATCH(FFARawStatProjections!A302,Draft!BY:BY,0),1)&lt;=1,IF(FFARawStatProjections!A302=0,"",FFARawStatProjections!A302),"")</f>
        <v/>
      </c>
    </row>
    <row r="302" spans="109:110" x14ac:dyDescent="0.25">
      <c r="DE302">
        <v>300</v>
      </c>
      <c r="DF302" t="str">
        <f>IF(IFERROR(MATCH(FFARawStatProjections!A303,Draft!BY:BY,0),1)&lt;=1,IF(FFARawStatProjections!A303=0,"",FFARawStatProjections!A303),"")</f>
        <v/>
      </c>
    </row>
    <row r="303" spans="109:110" x14ac:dyDescent="0.25">
      <c r="DE303">
        <v>301</v>
      </c>
      <c r="DF303" t="str">
        <f>IF(IFERROR(MATCH(FFARawStatProjections!A304,Draft!BY:BY,0),1)&lt;=1,IF(FFARawStatProjections!A304=0,"",FFARawStatProjections!A304),"")</f>
        <v/>
      </c>
    </row>
    <row r="304" spans="109:110" x14ac:dyDescent="0.25">
      <c r="DE304">
        <v>302</v>
      </c>
      <c r="DF304" t="str">
        <f>IF(IFERROR(MATCH(FFARawStatProjections!A305,Draft!BY:BY,0),1)&lt;=1,IF(FFARawStatProjections!A305=0,"",FFARawStatProjections!A305),"")</f>
        <v/>
      </c>
    </row>
    <row r="305" spans="109:110" x14ac:dyDescent="0.25">
      <c r="DE305">
        <v>303</v>
      </c>
      <c r="DF305" t="str">
        <f>IF(IFERROR(MATCH(FFARawStatProjections!A306,Draft!BY:BY,0),1)&lt;=1,IF(FFARawStatProjections!A306=0,"",FFARawStatProjections!A306),"")</f>
        <v/>
      </c>
    </row>
    <row r="306" spans="109:110" x14ac:dyDescent="0.25">
      <c r="DE306">
        <v>304</v>
      </c>
      <c r="DF306" t="str">
        <f>IF(IFERROR(MATCH(FFARawStatProjections!A307,Draft!BY:BY,0),1)&lt;=1,IF(FFARawStatProjections!A307=0,"",FFARawStatProjections!A307),"")</f>
        <v/>
      </c>
    </row>
    <row r="307" spans="109:110" x14ac:dyDescent="0.25">
      <c r="DE307">
        <v>305</v>
      </c>
      <c r="DF307" t="str">
        <f>IF(IFERROR(MATCH(FFARawStatProjections!A308,Draft!BY:BY,0),1)&lt;=1,IF(FFARawStatProjections!A308=0,"",FFARawStatProjections!A308),"")</f>
        <v/>
      </c>
    </row>
    <row r="308" spans="109:110" x14ac:dyDescent="0.25">
      <c r="DE308">
        <v>306</v>
      </c>
      <c r="DF308" t="str">
        <f>IF(IFERROR(MATCH(FFARawStatProjections!A309,Draft!BY:BY,0),1)&lt;=1,IF(FFARawStatProjections!A309=0,"",FFARawStatProjections!A309),"")</f>
        <v/>
      </c>
    </row>
    <row r="309" spans="109:110" x14ac:dyDescent="0.25">
      <c r="DE309">
        <v>307</v>
      </c>
      <c r="DF309" t="str">
        <f>IF(IFERROR(MATCH(FFARawStatProjections!A310,Draft!BY:BY,0),1)&lt;=1,IF(FFARawStatProjections!A310=0,"",FFARawStatProjections!A310),"")</f>
        <v/>
      </c>
    </row>
    <row r="310" spans="109:110" x14ac:dyDescent="0.25">
      <c r="DE310">
        <v>308</v>
      </c>
      <c r="DF310" t="str">
        <f>IF(IFERROR(MATCH(FFARawStatProjections!A311,Draft!BY:BY,0),1)&lt;=1,IF(FFARawStatProjections!A311=0,"",FFARawStatProjections!A311),"")</f>
        <v/>
      </c>
    </row>
    <row r="311" spans="109:110" x14ac:dyDescent="0.25">
      <c r="DE311">
        <v>309</v>
      </c>
      <c r="DF311" t="str">
        <f>IF(IFERROR(MATCH(FFARawStatProjections!A312,Draft!BY:BY,0),1)&lt;=1,IF(FFARawStatProjections!A312=0,"",FFARawStatProjections!A312),"")</f>
        <v/>
      </c>
    </row>
    <row r="312" spans="109:110" x14ac:dyDescent="0.25">
      <c r="DE312">
        <v>310</v>
      </c>
      <c r="DF312" t="str">
        <f>IF(IFERROR(MATCH(FFARawStatProjections!A313,Draft!BY:BY,0),1)&lt;=1,IF(FFARawStatProjections!A313=0,"",FFARawStatProjections!A313),"")</f>
        <v/>
      </c>
    </row>
    <row r="313" spans="109:110" x14ac:dyDescent="0.25">
      <c r="DE313">
        <v>311</v>
      </c>
      <c r="DF313" t="str">
        <f>IF(IFERROR(MATCH(FFARawStatProjections!A314,Draft!BY:BY,0),1)&lt;=1,IF(FFARawStatProjections!A314=0,"",FFARawStatProjections!A314),"")</f>
        <v/>
      </c>
    </row>
    <row r="314" spans="109:110" x14ac:dyDescent="0.25">
      <c r="DE314">
        <v>312</v>
      </c>
      <c r="DF314" t="str">
        <f>IF(IFERROR(MATCH(FFARawStatProjections!A315,Draft!BY:BY,0),1)&lt;=1,IF(FFARawStatProjections!A315=0,"",FFARawStatProjections!A315),"")</f>
        <v>Playe</v>
      </c>
    </row>
    <row r="315" spans="109:110" x14ac:dyDescent="0.25">
      <c r="DE315">
        <v>313</v>
      </c>
      <c r="DF315" t="str">
        <f>IF(IFERROR(MATCH(FFARawStatProjections!A316,Draft!BY:BY,0),1)&lt;=1,IF(FFARawStatProjections!A316=0,"",FFARawStatProjections!A316),"")</f>
        <v>Justin Jefferson</v>
      </c>
    </row>
    <row r="316" spans="109:110" x14ac:dyDescent="0.25">
      <c r="DE316">
        <v>314</v>
      </c>
      <c r="DF316" t="str">
        <f>IF(IFERROR(MATCH(FFARawStatProjections!A317,Draft!BY:BY,0),1)&lt;=1,IF(FFARawStatProjections!A317=0,"",FFARawStatProjections!A317),"")</f>
        <v>JaMarr Chase</v>
      </c>
    </row>
    <row r="317" spans="109:110" x14ac:dyDescent="0.25">
      <c r="DE317">
        <v>315</v>
      </c>
      <c r="DF317" t="str">
        <f>IF(IFERROR(MATCH(FFARawStatProjections!A318,Draft!BY:BY,0),1)&lt;=1,IF(FFARawStatProjections!A318=0,"",FFARawStatProjections!A318),"")</f>
        <v>Cooper Kupp</v>
      </c>
    </row>
    <row r="318" spans="109:110" x14ac:dyDescent="0.25">
      <c r="DE318">
        <v>316</v>
      </c>
      <c r="DF318" t="str">
        <f>IF(IFERROR(MATCH(FFARawStatProjections!A319,Draft!BY:BY,0),1)&lt;=1,IF(FFARawStatProjections!A319=0,"",FFARawStatProjections!A319),"")</f>
        <v>Tyreek Hill</v>
      </c>
    </row>
    <row r="319" spans="109:110" x14ac:dyDescent="0.25">
      <c r="DE319">
        <v>317</v>
      </c>
      <c r="DF319" t="str">
        <f>IF(IFERROR(MATCH(FFARawStatProjections!A320,Draft!BY:BY,0),1)&lt;=1,IF(FFARawStatProjections!A320=0,"",FFARawStatProjections!A320),"")</f>
        <v>CeeDee Lamb</v>
      </c>
    </row>
    <row r="320" spans="109:110" x14ac:dyDescent="0.25">
      <c r="DE320">
        <v>318</v>
      </c>
      <c r="DF320" t="str">
        <f>IF(IFERROR(MATCH(FFARawStatProjections!A321,Draft!BY:BY,0),1)&lt;=1,IF(FFARawStatProjections!A321=0,"",FFARawStatProjections!A321),"")</f>
        <v>Davante Adams</v>
      </c>
    </row>
    <row r="321" spans="109:110" x14ac:dyDescent="0.25">
      <c r="DE321">
        <v>319</v>
      </c>
      <c r="DF321" t="str">
        <f>IF(IFERROR(MATCH(FFARawStatProjections!A322,Draft!BY:BY,0),1)&lt;=1,IF(FFARawStatProjections!A322=0,"",FFARawStatProjections!A322),"")</f>
        <v>Stefon Diggs</v>
      </c>
    </row>
    <row r="322" spans="109:110" x14ac:dyDescent="0.25">
      <c r="DE322">
        <v>320</v>
      </c>
      <c r="DF322" t="str">
        <f>IF(IFERROR(MATCH(FFARawStatProjections!A323,Draft!BY:BY,0),1)&lt;=1,IF(FFARawStatProjections!A323=0,"",FFARawStatProjections!A323),"")</f>
        <v>AJ Brown</v>
      </c>
    </row>
    <row r="323" spans="109:110" x14ac:dyDescent="0.25">
      <c r="DE323">
        <v>321</v>
      </c>
      <c r="DF323" t="str">
        <f>IF(IFERROR(MATCH(FFARawStatProjections!A324,Draft!BY:BY,0),1)&lt;=1,IF(FFARawStatProjections!A324=0,"",FFARawStatProjections!A324),"")</f>
        <v>Amon-Ra St Brown</v>
      </c>
    </row>
    <row r="324" spans="109:110" x14ac:dyDescent="0.25">
      <c r="DE324">
        <v>322</v>
      </c>
      <c r="DF324" t="str">
        <f>IF(IFERROR(MATCH(FFARawStatProjections!A325,Draft!BY:BY,0),1)&lt;=1,IF(FFARawStatProjections!A325=0,"",FFARawStatProjections!A325),"")</f>
        <v>Jaylen Waddle</v>
      </c>
    </row>
    <row r="325" spans="109:110" x14ac:dyDescent="0.25">
      <c r="DE325">
        <v>323</v>
      </c>
      <c r="DF325" t="str">
        <f>IF(IFERROR(MATCH(FFARawStatProjections!A326,Draft!BY:BY,0),1)&lt;=1,IF(FFARawStatProjections!A326=0,"",FFARawStatProjections!A326),"")</f>
        <v>Garrett Wilson</v>
      </c>
    </row>
    <row r="326" spans="109:110" x14ac:dyDescent="0.25">
      <c r="DE326">
        <v>324</v>
      </c>
      <c r="DF326" t="str">
        <f>IF(IFERROR(MATCH(FFARawStatProjections!A327,Draft!BY:BY,0),1)&lt;=1,IF(FFARawStatProjections!A327=0,"",FFARawStatProjections!A327),"")</f>
        <v>Deebo Samuel</v>
      </c>
    </row>
    <row r="327" spans="109:110" x14ac:dyDescent="0.25">
      <c r="DE327">
        <v>325</v>
      </c>
      <c r="DF327" t="str">
        <f>IF(IFERROR(MATCH(FFARawStatProjections!A328,Draft!BY:BY,0),1)&lt;=1,IF(FFARawStatProjections!A328=0,"",FFARawStatProjections!A328),"")</f>
        <v>Tee Higgins</v>
      </c>
    </row>
    <row r="328" spans="109:110" x14ac:dyDescent="0.25">
      <c r="DE328">
        <v>326</v>
      </c>
      <c r="DF328" t="str">
        <f>IF(IFERROR(MATCH(FFARawStatProjections!A329,Draft!BY:BY,0),1)&lt;=1,IF(FFARawStatProjections!A329=0,"",FFARawStatProjections!A329),"")</f>
        <v>Chris Olave</v>
      </c>
    </row>
    <row r="329" spans="109:110" x14ac:dyDescent="0.25">
      <c r="DE329">
        <v>327</v>
      </c>
      <c r="DF329" t="str">
        <f>IF(IFERROR(MATCH(FFARawStatProjections!A330,Draft!BY:BY,0),1)&lt;=1,IF(FFARawStatProjections!A330=0,"",FFARawStatProjections!A330),"")</f>
        <v>Amari Cooper</v>
      </c>
    </row>
    <row r="330" spans="109:110" x14ac:dyDescent="0.25">
      <c r="DE330">
        <v>328</v>
      </c>
      <c r="DF330" t="str">
        <f>IF(IFERROR(MATCH(FFARawStatProjections!A331,Draft!BY:BY,0),1)&lt;=1,IF(FFARawStatProjections!A331=0,"",FFARawStatProjections!A331),"")</f>
        <v>Christian Watson</v>
      </c>
    </row>
    <row r="331" spans="109:110" x14ac:dyDescent="0.25">
      <c r="DE331">
        <v>329</v>
      </c>
      <c r="DF331" t="str">
        <f>IF(IFERROR(MATCH(FFARawStatProjections!A332,Draft!BY:BY,0),1)&lt;=1,IF(FFARawStatProjections!A332=0,"",FFARawStatProjections!A332),"")</f>
        <v>DK Metcalf</v>
      </c>
    </row>
    <row r="332" spans="109:110" x14ac:dyDescent="0.25">
      <c r="DE332">
        <v>330</v>
      </c>
      <c r="DF332" t="str">
        <f>IF(IFERROR(MATCH(FFARawStatProjections!A333,Draft!BY:BY,0),1)&lt;=1,IF(FFARawStatProjections!A333=0,"",FFARawStatProjections!A333),"")</f>
        <v>DeVonta Smith</v>
      </c>
    </row>
    <row r="333" spans="109:110" x14ac:dyDescent="0.25">
      <c r="DE333">
        <v>331</v>
      </c>
      <c r="DF333" t="str">
        <f>IF(IFERROR(MATCH(FFARawStatProjections!A334,Draft!BY:BY,0),1)&lt;=1,IF(FFARawStatProjections!A334=0,"",FFARawStatProjections!A334),"")</f>
        <v>Calvin Ridley</v>
      </c>
    </row>
    <row r="334" spans="109:110" x14ac:dyDescent="0.25">
      <c r="DE334">
        <v>332</v>
      </c>
      <c r="DF334" t="str">
        <f>IF(IFERROR(MATCH(FFARawStatProjections!A335,Draft!BY:BY,0),1)&lt;=1,IF(FFARawStatProjections!A335=0,"",FFARawStatProjections!A335),"")</f>
        <v>Jerry Jeudy</v>
      </c>
    </row>
    <row r="335" spans="109:110" x14ac:dyDescent="0.25">
      <c r="DE335">
        <v>333</v>
      </c>
      <c r="DF335" t="str">
        <f>IF(IFERROR(MATCH(FFARawStatProjections!A336,Draft!BY:BY,0),1)&lt;=1,IF(FFARawStatProjections!A336=0,"",FFARawStatProjections!A336),"")</f>
        <v>DJ Moore</v>
      </c>
    </row>
    <row r="336" spans="109:110" x14ac:dyDescent="0.25">
      <c r="DE336">
        <v>334</v>
      </c>
      <c r="DF336" t="str">
        <f>IF(IFERROR(MATCH(FFARawStatProjections!A337,Draft!BY:BY,0),1)&lt;=1,IF(FFARawStatProjections!A337=0,"",FFARawStatProjections!A337),"")</f>
        <v>Terry McLaurin</v>
      </c>
    </row>
    <row r="337" spans="109:110" x14ac:dyDescent="0.25">
      <c r="DE337">
        <v>335</v>
      </c>
      <c r="DF337" t="str">
        <f>IF(IFERROR(MATCH(FFARawStatProjections!A338,Draft!BY:BY,0),1)&lt;=1,IF(FFARawStatProjections!A338=0,"",FFARawStatProjections!A338),"")</f>
        <v>Mike Williams</v>
      </c>
    </row>
    <row r="338" spans="109:110" x14ac:dyDescent="0.25">
      <c r="DE338">
        <v>336</v>
      </c>
      <c r="DF338" t="str">
        <f>IF(IFERROR(MATCH(FFARawStatProjections!A339,Draft!BY:BY,0),1)&lt;=1,IF(FFARawStatProjections!A339=0,"",FFARawStatProjections!A339),"")</f>
        <v>Mike Evans</v>
      </c>
    </row>
    <row r="339" spans="109:110" x14ac:dyDescent="0.25">
      <c r="DE339">
        <v>337</v>
      </c>
      <c r="DF339" t="str">
        <f>IF(IFERROR(MATCH(FFARawStatProjections!A340,Draft!BY:BY,0),1)&lt;=1,IF(FFARawStatProjections!A340=0,"",FFARawStatProjections!A340),"")</f>
        <v>Keenan Allen</v>
      </c>
    </row>
    <row r="340" spans="109:110" x14ac:dyDescent="0.25">
      <c r="DE340">
        <v>338</v>
      </c>
      <c r="DF340" t="str">
        <f>IF(IFERROR(MATCH(FFARawStatProjections!A341,Draft!BY:BY,0),1)&lt;=1,IF(FFARawStatProjections!A341=0,"",FFARawStatProjections!A341),"")</f>
        <v>DeAndre Hopkins</v>
      </c>
    </row>
    <row r="341" spans="109:110" x14ac:dyDescent="0.25">
      <c r="DE341">
        <v>339</v>
      </c>
      <c r="DF341" t="str">
        <f>IF(IFERROR(MATCH(FFARawStatProjections!A342,Draft!BY:BY,0),1)&lt;=1,IF(FFARawStatProjections!A342=0,"",FFARawStatProjections!A342),"")</f>
        <v>Christian Kirk</v>
      </c>
    </row>
    <row r="342" spans="109:110" x14ac:dyDescent="0.25">
      <c r="DE342">
        <v>340</v>
      </c>
      <c r="DF342" t="str">
        <f>IF(IFERROR(MATCH(FFARawStatProjections!A343,Draft!BY:BY,0),1)&lt;=1,IF(FFARawStatProjections!A343=0,"",FFARawStatProjections!A343),"")</f>
        <v>Brandon Aiyuk</v>
      </c>
    </row>
    <row r="343" spans="109:110" x14ac:dyDescent="0.25">
      <c r="DE343">
        <v>341</v>
      </c>
      <c r="DF343" t="str">
        <f>IF(IFERROR(MATCH(FFARawStatProjections!A344,Draft!BY:BY,0),1)&lt;=1,IF(FFARawStatProjections!A344=0,"",FFARawStatProjections!A344),"")</f>
        <v>Drake London</v>
      </c>
    </row>
    <row r="344" spans="109:110" x14ac:dyDescent="0.25">
      <c r="DE344">
        <v>342</v>
      </c>
      <c r="DF344" t="str">
        <f>IF(IFERROR(MATCH(FFARawStatProjections!A345,Draft!BY:BY,0),1)&lt;=1,IF(FFARawStatProjections!A345=0,"",FFARawStatProjections!A345),"")</f>
        <v>Chris Godwin</v>
      </c>
    </row>
    <row r="345" spans="109:110" x14ac:dyDescent="0.25">
      <c r="DE345">
        <v>343</v>
      </c>
      <c r="DF345" t="str">
        <f>IF(IFERROR(MATCH(FFARawStatProjections!A346,Draft!BY:BY,0),1)&lt;=1,IF(FFARawStatProjections!A346=0,"",FFARawStatProjections!A346),"")</f>
        <v>Tyler Lockett</v>
      </c>
    </row>
    <row r="346" spans="109:110" x14ac:dyDescent="0.25">
      <c r="DE346">
        <v>344</v>
      </c>
      <c r="DF346" t="str">
        <f>IF(IFERROR(MATCH(FFARawStatProjections!A347,Draft!BY:BY,0),1)&lt;=1,IF(FFARawStatProjections!A347=0,"",FFARawStatProjections!A347),"")</f>
        <v>Marquise Brown</v>
      </c>
    </row>
    <row r="347" spans="109:110" x14ac:dyDescent="0.25">
      <c r="DE347">
        <v>345</v>
      </c>
      <c r="DF347" t="str">
        <f>IF(IFERROR(MATCH(FFARawStatProjections!A348,Draft!BY:BY,0),1)&lt;=1,IF(FFARawStatProjections!A348=0,"",FFARawStatProjections!A348),"")</f>
        <v>Gabe Davis</v>
      </c>
    </row>
    <row r="348" spans="109:110" x14ac:dyDescent="0.25">
      <c r="DE348">
        <v>346</v>
      </c>
      <c r="DF348" t="str">
        <f>IF(IFERROR(MATCH(FFARawStatProjections!A349,Draft!BY:BY,0),1)&lt;=1,IF(FFARawStatProjections!A349=0,"",FFARawStatProjections!A349),"")</f>
        <v>Jahan Dotson</v>
      </c>
    </row>
    <row r="349" spans="109:110" x14ac:dyDescent="0.25">
      <c r="DE349">
        <v>347</v>
      </c>
      <c r="DF349" t="str">
        <f>IF(IFERROR(MATCH(FFARawStatProjections!A350,Draft!BY:BY,0),1)&lt;=1,IF(FFARawStatProjections!A350=0,"",FFARawStatProjections!A350),"")</f>
        <v>Diontae Johnson</v>
      </c>
    </row>
    <row r="350" spans="109:110" x14ac:dyDescent="0.25">
      <c r="DE350">
        <v>348</v>
      </c>
      <c r="DF350" t="str">
        <f>IF(IFERROR(MATCH(FFARawStatProjections!A351,Draft!BY:BY,0),1)&lt;=1,IF(FFARawStatProjections!A351=0,"",FFARawStatProjections!A351),"")</f>
        <v>George Pickens</v>
      </c>
    </row>
    <row r="351" spans="109:110" x14ac:dyDescent="0.25">
      <c r="DE351">
        <v>349</v>
      </c>
      <c r="DF351" t="str">
        <f>IF(IFERROR(MATCH(FFARawStatProjections!A352,Draft!BY:BY,0),1)&lt;=1,IF(FFARawStatProjections!A352=0,"",FFARawStatProjections!A352),"")</f>
        <v>Brandin Cooks</v>
      </c>
    </row>
    <row r="352" spans="109:110" x14ac:dyDescent="0.25">
      <c r="DE352">
        <v>350</v>
      </c>
      <c r="DF352" t="str">
        <f>IF(IFERROR(MATCH(FFARawStatProjections!A353,Draft!BY:BY,0),1)&lt;=1,IF(FFARawStatProjections!A353=0,"",FFARawStatProjections!A353),"")</f>
        <v>Jordan Addison</v>
      </c>
    </row>
    <row r="353" spans="109:110" x14ac:dyDescent="0.25">
      <c r="DE353">
        <v>351</v>
      </c>
      <c r="DF353" t="str">
        <f>IF(IFERROR(MATCH(FFARawStatProjections!A354,Draft!BY:BY,0),1)&lt;=1,IF(FFARawStatProjections!A354=0,"",FFARawStatProjections!A354),"")</f>
        <v>Michael Pittman</v>
      </c>
    </row>
    <row r="354" spans="109:110" x14ac:dyDescent="0.25">
      <c r="DE354">
        <v>352</v>
      </c>
      <c r="DF354" t="str">
        <f>IF(IFERROR(MATCH(FFARawStatProjections!A355,Draft!BY:BY,0),1)&lt;=1,IF(FFARawStatProjections!A355=0,"",FFARawStatProjections!A355),"")</f>
        <v>Treylon Burks</v>
      </c>
    </row>
    <row r="355" spans="109:110" x14ac:dyDescent="0.25">
      <c r="DE355">
        <v>353</v>
      </c>
      <c r="DF355" t="str">
        <f>IF(IFERROR(MATCH(FFARawStatProjections!A356,Draft!BY:BY,0),1)&lt;=1,IF(FFARawStatProjections!A356=0,"",FFARawStatProjections!A356),"")</f>
        <v>Jaxon Smith-Njigba</v>
      </c>
    </row>
    <row r="356" spans="109:110" x14ac:dyDescent="0.25">
      <c r="DE356">
        <v>354</v>
      </c>
      <c r="DF356" t="str">
        <f>IF(IFERROR(MATCH(FFARawStatProjections!A357,Draft!BY:BY,0),1)&lt;=1,IF(FFARawStatProjections!A357=0,"",FFARawStatProjections!A357),"")</f>
        <v>Courtland Sutton</v>
      </c>
    </row>
    <row r="357" spans="109:110" x14ac:dyDescent="0.25">
      <c r="DE357">
        <v>355</v>
      </c>
      <c r="DF357" t="str">
        <f>IF(IFERROR(MATCH(FFARawStatProjections!A358,Draft!BY:BY,0),1)&lt;=1,IF(FFARawStatProjections!A358=0,"",FFARawStatProjections!A358),"")</f>
        <v>Michael Thomas</v>
      </c>
    </row>
    <row r="358" spans="109:110" x14ac:dyDescent="0.25">
      <c r="DE358">
        <v>356</v>
      </c>
      <c r="DF358" t="str">
        <f>IF(IFERROR(MATCH(FFARawStatProjections!A359,Draft!BY:BY,0),1)&lt;=1,IF(FFARawStatProjections!A359=0,"",FFARawStatProjections!A359),"")</f>
        <v>JuJu Smith-Schuster</v>
      </c>
    </row>
    <row r="359" spans="109:110" x14ac:dyDescent="0.25">
      <c r="DE359">
        <v>357</v>
      </c>
      <c r="DF359" t="str">
        <f>IF(IFERROR(MATCH(FFARawStatProjections!A360,Draft!BY:BY,0),1)&lt;=1,IF(FFARawStatProjections!A360=0,"",FFARawStatProjections!A360),"")</f>
        <v>Zay Flowers</v>
      </c>
    </row>
    <row r="360" spans="109:110" x14ac:dyDescent="0.25">
      <c r="DE360">
        <v>358</v>
      </c>
      <c r="DF360" t="str">
        <f>IF(IFERROR(MATCH(FFARawStatProjections!A361,Draft!BY:BY,0),1)&lt;=1,IF(FFARawStatProjections!A361=0,"",FFARawStatProjections!A361),"")</f>
        <v>Kadarius Toney</v>
      </c>
    </row>
    <row r="361" spans="109:110" x14ac:dyDescent="0.25">
      <c r="DE361">
        <v>359</v>
      </c>
      <c r="DF361" t="str">
        <f>IF(IFERROR(MATCH(FFARawStatProjections!A362,Draft!BY:BY,0),1)&lt;=1,IF(FFARawStatProjections!A362=0,"",FFARawStatProjections!A362),"")</f>
        <v>Nico Collins</v>
      </c>
    </row>
    <row r="362" spans="109:110" x14ac:dyDescent="0.25">
      <c r="DE362">
        <v>360</v>
      </c>
      <c r="DF362" t="str">
        <f>IF(IFERROR(MATCH(FFARawStatProjections!A363,Draft!BY:BY,0),1)&lt;=1,IF(FFARawStatProjections!A363=0,"",FFARawStatProjections!A363),"")</f>
        <v>Jakobi Meyers</v>
      </c>
    </row>
    <row r="363" spans="109:110" x14ac:dyDescent="0.25">
      <c r="DE363">
        <v>361</v>
      </c>
      <c r="DF363" t="str">
        <f>IF(IFERROR(MATCH(FFARawStatProjections!A364,Draft!BY:BY,0),1)&lt;=1,IF(FFARawStatProjections!A364=0,"",FFARawStatProjections!A364),"")</f>
        <v>Odell Beckham</v>
      </c>
    </row>
    <row r="364" spans="109:110" x14ac:dyDescent="0.25">
      <c r="DE364">
        <v>362</v>
      </c>
      <c r="DF364" t="str">
        <f>IF(IFERROR(MATCH(FFARawStatProjections!A365,Draft!BY:BY,0),1)&lt;=1,IF(FFARawStatProjections!A365=0,"",FFARawStatProjections!A365),"")</f>
        <v>DJ Chark</v>
      </c>
    </row>
    <row r="365" spans="109:110" x14ac:dyDescent="0.25">
      <c r="DE365">
        <v>363</v>
      </c>
      <c r="DF365" t="str">
        <f>IF(IFERROR(MATCH(FFARawStatProjections!A366,Draft!BY:BY,0),1)&lt;=1,IF(FFARawStatProjections!A366=0,"",FFARawStatProjections!A366),"")</f>
        <v>Tyler Boyd</v>
      </c>
    </row>
    <row r="366" spans="109:110" x14ac:dyDescent="0.25">
      <c r="DE366">
        <v>364</v>
      </c>
      <c r="DF366" t="str">
        <f>IF(IFERROR(MATCH(FFARawStatProjections!A367,Draft!BY:BY,0),1)&lt;=1,IF(FFARawStatProjections!A367=0,"",FFARawStatProjections!A367),"")</f>
        <v>Marquez Valdes-Scantling</v>
      </c>
    </row>
    <row r="367" spans="109:110" x14ac:dyDescent="0.25">
      <c r="DE367">
        <v>365</v>
      </c>
      <c r="DF367" t="str">
        <f>IF(IFERROR(MATCH(FFARawStatProjections!A368,Draft!BY:BY,0),1)&lt;=1,IF(FFARawStatProjections!A368=0,"",FFARawStatProjections!A368),"")</f>
        <v>Quentin Johnston</v>
      </c>
    </row>
    <row r="368" spans="109:110" x14ac:dyDescent="0.25">
      <c r="DE368">
        <v>366</v>
      </c>
      <c r="DF368" t="str">
        <f>IF(IFERROR(MATCH(FFARawStatProjections!A369,Draft!BY:BY,0),1)&lt;=1,IF(FFARawStatProjections!A369=0,"",FFARawStatProjections!A369),"")</f>
        <v>Michael Gallup</v>
      </c>
    </row>
    <row r="369" spans="109:110" x14ac:dyDescent="0.25">
      <c r="DE369">
        <v>367</v>
      </c>
      <c r="DF369" t="str">
        <f>IF(IFERROR(MATCH(FFARawStatProjections!A370,Draft!BY:BY,0),1)&lt;=1,IF(FFARawStatProjections!A370=0,"",FFARawStatProjections!A370),"")</f>
        <v>Allen Lazard</v>
      </c>
    </row>
    <row r="370" spans="109:110" x14ac:dyDescent="0.25">
      <c r="DE370">
        <v>368</v>
      </c>
      <c r="DF370" t="str">
        <f>IF(IFERROR(MATCH(FFARawStatProjections!A371,Draft!BY:BY,0),1)&lt;=1,IF(FFARawStatProjections!A371=0,"",FFARawStatProjections!A371),"")</f>
        <v>Darnell Mooney</v>
      </c>
    </row>
    <row r="371" spans="109:110" x14ac:dyDescent="0.25">
      <c r="DE371">
        <v>369</v>
      </c>
      <c r="DF371" t="str">
        <f>IF(IFERROR(MATCH(FFARawStatProjections!A372,Draft!BY:BY,0),1)&lt;=1,IF(FFARawStatProjections!A372=0,"",FFARawStatProjections!A372),"")</f>
        <v>Zay Jones</v>
      </c>
    </row>
    <row r="372" spans="109:110" x14ac:dyDescent="0.25">
      <c r="DE372">
        <v>370</v>
      </c>
      <c r="DF372" t="str">
        <f>IF(IFERROR(MATCH(FFARawStatProjections!A373,Draft!BY:BY,0),1)&lt;=1,IF(FFARawStatProjections!A373=0,"",FFARawStatProjections!A373),"")</f>
        <v>Adam Thielen</v>
      </c>
    </row>
    <row r="373" spans="109:110" x14ac:dyDescent="0.25">
      <c r="DE373">
        <v>371</v>
      </c>
      <c r="DF373" t="str">
        <f>IF(IFERROR(MATCH(FFARawStatProjections!A374,Draft!BY:BY,0),1)&lt;=1,IF(FFARawStatProjections!A374=0,"",FFARawStatProjections!A374),"")</f>
        <v>DeVante Parker</v>
      </c>
    </row>
    <row r="374" spans="109:110" x14ac:dyDescent="0.25">
      <c r="DE374">
        <v>372</v>
      </c>
      <c r="DF374" t="str">
        <f>IF(IFERROR(MATCH(FFARawStatProjections!A375,Draft!BY:BY,0),1)&lt;=1,IF(FFARawStatProjections!A375=0,"",FFARawStatProjections!A375),"")</f>
        <v>Skyy Moore</v>
      </c>
    </row>
    <row r="375" spans="109:110" x14ac:dyDescent="0.25">
      <c r="DE375">
        <v>373</v>
      </c>
      <c r="DF375" t="str">
        <f>IF(IFERROR(MATCH(FFARawStatProjections!A376,Draft!BY:BY,0),1)&lt;=1,IF(FFARawStatProjections!A376=0,"",FFARawStatProjections!A376),"")</f>
        <v>Rondale Moore</v>
      </c>
    </row>
    <row r="376" spans="109:110" x14ac:dyDescent="0.25">
      <c r="DE376">
        <v>374</v>
      </c>
      <c r="DF376" t="str">
        <f>IF(IFERROR(MATCH(FFARawStatProjections!A377,Draft!BY:BY,0),1)&lt;=1,IF(FFARawStatProjections!A377=0,"",FFARawStatProjections!A377),"")</f>
        <v>Romeo Doubs</v>
      </c>
    </row>
    <row r="377" spans="109:110" x14ac:dyDescent="0.25">
      <c r="DE377">
        <v>375</v>
      </c>
      <c r="DF377" t="str">
        <f>IF(IFERROR(MATCH(FFARawStatProjections!A378,Draft!BY:BY,0),1)&lt;=1,IF(FFARawStatProjections!A378=0,"",FFARawStatProjections!A378),"")</f>
        <v>Jonathan Mingo</v>
      </c>
    </row>
    <row r="378" spans="109:110" x14ac:dyDescent="0.25">
      <c r="DE378">
        <v>376</v>
      </c>
      <c r="DF378" t="str">
        <f>IF(IFERROR(MATCH(FFARawStatProjections!A379,Draft!BY:BY,0),1)&lt;=1,IF(FFARawStatProjections!A379=0,"",FFARawStatProjections!A379),"")</f>
        <v>Curtis Samuel</v>
      </c>
    </row>
    <row r="379" spans="109:110" x14ac:dyDescent="0.25">
      <c r="DE379">
        <v>377</v>
      </c>
      <c r="DF379" t="str">
        <f>IF(IFERROR(MATCH(FFARawStatProjections!A380,Draft!BY:BY,0),1)&lt;=1,IF(FFARawStatProjections!A380=0,"",FFARawStatProjections!A380),"")</f>
        <v>Van Jefferson</v>
      </c>
    </row>
    <row r="380" spans="109:110" x14ac:dyDescent="0.25">
      <c r="DE380">
        <v>378</v>
      </c>
      <c r="DF380" t="str">
        <f>IF(IFERROR(MATCH(FFARawStatProjections!A381,Draft!BY:BY,0),1)&lt;=1,IF(FFARawStatProjections!A381=0,"",FFARawStatProjections!A381),"")</f>
        <v>Elijah Moore</v>
      </c>
    </row>
    <row r="381" spans="109:110" x14ac:dyDescent="0.25">
      <c r="DE381">
        <v>379</v>
      </c>
      <c r="DF381" t="str">
        <f>IF(IFERROR(MATCH(FFARawStatProjections!A382,Draft!BY:BY,0),1)&lt;=1,IF(FFARawStatProjections!A382=0,"",FFARawStatProjections!A382),"")</f>
        <v>Donovan Peoples-Jones</v>
      </c>
    </row>
    <row r="382" spans="109:110" x14ac:dyDescent="0.25">
      <c r="DE382">
        <v>380</v>
      </c>
      <c r="DF382" t="str">
        <f>IF(IFERROR(MATCH(FFARawStatProjections!A383,Draft!BY:BY,0),1)&lt;=1,IF(FFARawStatProjections!A383=0,"",FFARawStatProjections!A383),"")</f>
        <v>KJ Osborn</v>
      </c>
    </row>
    <row r="383" spans="109:110" x14ac:dyDescent="0.25">
      <c r="DE383">
        <v>381</v>
      </c>
      <c r="DF383" t="str">
        <f>IF(IFERROR(MATCH(FFARawStatProjections!A384,Draft!BY:BY,0),1)&lt;=1,IF(FFARawStatProjections!A384=0,"",FFARawStatProjections!A384),"")</f>
        <v>Hunter Renfrow</v>
      </c>
    </row>
    <row r="384" spans="109:110" x14ac:dyDescent="0.25">
      <c r="DE384">
        <v>382</v>
      </c>
      <c r="DF384" t="str">
        <f>IF(IFERROR(MATCH(FFARawStatProjections!A385,Draft!BY:BY,0),1)&lt;=1,IF(FFARawStatProjections!A385=0,"",FFARawStatProjections!A385),"")</f>
        <v>Jayden Reed</v>
      </c>
    </row>
    <row r="385" spans="109:110" x14ac:dyDescent="0.25">
      <c r="DE385">
        <v>383</v>
      </c>
      <c r="DF385" t="str">
        <f>IF(IFERROR(MATCH(FFARawStatProjections!A386,Draft!BY:BY,0),1)&lt;=1,IF(FFARawStatProjections!A386=0,"",FFARawStatProjections!A386),"")</f>
        <v>Jameson Williams</v>
      </c>
    </row>
    <row r="386" spans="109:110" x14ac:dyDescent="0.25">
      <c r="DE386">
        <v>384</v>
      </c>
      <c r="DF386" t="str">
        <f>IF(IFERROR(MATCH(FFARawStatProjections!A387,Draft!BY:BY,0),1)&lt;=1,IF(FFARawStatProjections!A387=0,"",FFARawStatProjections!A387),"")</f>
        <v>Rashid Shaheed</v>
      </c>
    </row>
    <row r="387" spans="109:110" x14ac:dyDescent="0.25">
      <c r="DE387">
        <v>385</v>
      </c>
      <c r="DF387" t="str">
        <f>IF(IFERROR(MATCH(FFARawStatProjections!A388,Draft!BY:BY,0),1)&lt;=1,IF(FFARawStatProjections!A388=0,"",FFARawStatProjections!A388),"")</f>
        <v>Isaiah Hodgins</v>
      </c>
    </row>
    <row r="388" spans="109:110" x14ac:dyDescent="0.25">
      <c r="DE388">
        <v>386</v>
      </c>
      <c r="DF388" t="str">
        <f>IF(IFERROR(MATCH(FFARawStatProjections!A389,Draft!BY:BY,0),1)&lt;=1,IF(FFARawStatProjections!A389=0,"",FFARawStatProjections!A389),"")</f>
        <v>Rashod Bateman</v>
      </c>
    </row>
    <row r="389" spans="109:110" x14ac:dyDescent="0.25">
      <c r="DE389">
        <v>387</v>
      </c>
      <c r="DF389" t="str">
        <f>IF(IFERROR(MATCH(FFARawStatProjections!A390,Draft!BY:BY,0),1)&lt;=1,IF(FFARawStatProjections!A390=0,"",FFARawStatProjections!A390),"")</f>
        <v>Alec Pierce</v>
      </c>
    </row>
    <row r="390" spans="109:110" x14ac:dyDescent="0.25">
      <c r="DE390">
        <v>388</v>
      </c>
      <c r="DF390" t="str">
        <f>IF(IFERROR(MATCH(FFARawStatProjections!A391,Draft!BY:BY,0),1)&lt;=1,IF(FFARawStatProjections!A391=0,"",FFARawStatProjections!A391),"")</f>
        <v>Robert Woods</v>
      </c>
    </row>
    <row r="391" spans="109:110" x14ac:dyDescent="0.25">
      <c r="DE391">
        <v>389</v>
      </c>
      <c r="DF391" t="str">
        <f>IF(IFERROR(MATCH(FFARawStatProjections!A392,Draft!BY:BY,0),1)&lt;=1,IF(FFARawStatProjections!A392=0,"",FFARawStatProjections!A392),"")</f>
        <v>John Metchie</v>
      </c>
    </row>
    <row r="392" spans="109:110" x14ac:dyDescent="0.25">
      <c r="DE392">
        <v>390</v>
      </c>
      <c r="DF392" t="str">
        <f>IF(IFERROR(MATCH(FFARawStatProjections!A393,Draft!BY:BY,0),1)&lt;=1,IF(FFARawStatProjections!A393=0,"",FFARawStatProjections!A393),"")</f>
        <v>Chase Claypool</v>
      </c>
    </row>
    <row r="393" spans="109:110" x14ac:dyDescent="0.25">
      <c r="DE393">
        <v>391</v>
      </c>
      <c r="DF393" t="str">
        <f>IF(IFERROR(MATCH(FFARawStatProjections!A394,Draft!BY:BY,0),1)&lt;=1,IF(FFARawStatProjections!A394=0,"",FFARawStatProjections!A394),"")</f>
        <v>Mecole Hardman</v>
      </c>
    </row>
    <row r="394" spans="109:110" x14ac:dyDescent="0.25">
      <c r="DE394">
        <v>392</v>
      </c>
      <c r="DF394" t="str">
        <f>IF(IFERROR(MATCH(FFARawStatProjections!A395,Draft!BY:BY,0),1)&lt;=1,IF(FFARawStatProjections!A395=0,"",FFARawStatProjections!A395),"")</f>
        <v>Corey Davis</v>
      </c>
    </row>
    <row r="395" spans="109:110" x14ac:dyDescent="0.25">
      <c r="DE395">
        <v>393</v>
      </c>
      <c r="DF395" t="str">
        <f>IF(IFERROR(MATCH(FFARawStatProjections!A396,Draft!BY:BY,0),1)&lt;=1,IF(FFARawStatProjections!A396=0,"",FFARawStatProjections!A396),"")</f>
        <v>Marvin Jones</v>
      </c>
    </row>
    <row r="396" spans="109:110" x14ac:dyDescent="0.25">
      <c r="DE396">
        <v>394</v>
      </c>
      <c r="DF396" t="str">
        <f>IF(IFERROR(MATCH(FFARawStatProjections!A397,Draft!BY:BY,0),1)&lt;=1,IF(FFARawStatProjections!A397=0,"",FFARawStatProjections!A397),"")</f>
        <v>Darius Slayton</v>
      </c>
    </row>
    <row r="397" spans="109:110" x14ac:dyDescent="0.25">
      <c r="DE397">
        <v>395</v>
      </c>
      <c r="DF397" t="str">
        <f>IF(IFERROR(MATCH(FFARawStatProjections!A398,Draft!BY:BY,0),1)&lt;=1,IF(FFARawStatProjections!A398=0,"",FFARawStatProjections!A398),"")</f>
        <v>Mack Hollins</v>
      </c>
    </row>
    <row r="398" spans="109:110" x14ac:dyDescent="0.25">
      <c r="DE398">
        <v>396</v>
      </c>
      <c r="DF398" t="str">
        <f>IF(IFERROR(MATCH(FFARawStatProjections!A399,Draft!BY:BY,0),1)&lt;=1,IF(FFARawStatProjections!A399=0,"",FFARawStatProjections!A399),"")</f>
        <v>Rashee Rice</v>
      </c>
    </row>
    <row r="399" spans="109:110" x14ac:dyDescent="0.25">
      <c r="DE399">
        <v>397</v>
      </c>
      <c r="DF399" t="str">
        <f>IF(IFERROR(MATCH(FFARawStatProjections!A400,Draft!BY:BY,0),1)&lt;=1,IF(FFARawStatProjections!A400=0,"",FFARawStatProjections!A400),"")</f>
        <v>Allen Robinson</v>
      </c>
    </row>
    <row r="400" spans="109:110" x14ac:dyDescent="0.25">
      <c r="DE400">
        <v>398</v>
      </c>
      <c r="DF400" t="str">
        <f>IF(IFERROR(MATCH(FFARawStatProjections!A401,Draft!BY:BY,0),1)&lt;=1,IF(FFARawStatProjections!A401=0,"",FFARawStatProjections!A401),"")</f>
        <v>Russell Gage</v>
      </c>
    </row>
    <row r="401" spans="109:110" x14ac:dyDescent="0.25">
      <c r="DE401">
        <v>399</v>
      </c>
      <c r="DF401" t="str">
        <f>IF(IFERROR(MATCH(FFARawStatProjections!A402,Draft!BY:BY,0),1)&lt;=1,IF(FFARawStatProjections!A402=0,"",FFARawStatProjections!A402),"")</f>
        <v>Parris Campbell</v>
      </c>
    </row>
    <row r="402" spans="109:110" x14ac:dyDescent="0.25">
      <c r="DE402">
        <v>400</v>
      </c>
      <c r="DF402" t="str">
        <f>IF(IFERROR(MATCH(FFARawStatProjections!A403,Draft!BY:BY,0),1)&lt;=1,IF(FFARawStatProjections!A403=0,"",FFARawStatProjections!A403),"")</f>
        <v>Khalil Shakir</v>
      </c>
    </row>
    <row r="403" spans="109:110" x14ac:dyDescent="0.25">
      <c r="DE403">
        <v>401</v>
      </c>
      <c r="DF403" t="str">
        <f>IF(IFERROR(MATCH(FFARawStatProjections!A404,Draft!BY:BY,0),1)&lt;=1,IF(FFARawStatProjections!A404=0,"",FFARawStatProjections!A404),"")</f>
        <v>Tyquan Thornton</v>
      </c>
    </row>
    <row r="404" spans="109:110" x14ac:dyDescent="0.25">
      <c r="DE404">
        <v>402</v>
      </c>
      <c r="DF404" t="str">
        <f>IF(IFERROR(MATCH(FFARawStatProjections!A405,Draft!BY:BY,0),1)&lt;=1,IF(FFARawStatProjections!A405=0,"",FFARawStatProjections!A405),"")</f>
        <v>Kendrick Bourne</v>
      </c>
    </row>
    <row r="405" spans="109:110" x14ac:dyDescent="0.25">
      <c r="DE405">
        <v>403</v>
      </c>
      <c r="DF405" t="str">
        <f>IF(IFERROR(MATCH(FFARawStatProjections!A406,Draft!BY:BY,0),1)&lt;=1,IF(FFARawStatProjections!A406=0,"",FFARawStatProjections!A406),"")</f>
        <v>Joshua Palmer</v>
      </c>
    </row>
    <row r="406" spans="109:110" x14ac:dyDescent="0.25">
      <c r="DE406">
        <v>404</v>
      </c>
      <c r="DF406" t="str">
        <f>IF(IFERROR(MATCH(FFARawStatProjections!A407,Draft!BY:BY,0),1)&lt;=1,IF(FFARawStatProjections!A407=0,"",FFARawStatProjections!A407),"")</f>
        <v>WanDale Robinson</v>
      </c>
    </row>
    <row r="407" spans="109:110" x14ac:dyDescent="0.25">
      <c r="DE407">
        <v>405</v>
      </c>
      <c r="DF407" t="str">
        <f>IF(IFERROR(MATCH(FFARawStatProjections!A408,Draft!BY:BY,0),1)&lt;=1,IF(FFARawStatProjections!A408=0,"",FFARawStatProjections!A408),"")</f>
        <v>Nick Westbrook-Ikhine</v>
      </c>
    </row>
    <row r="408" spans="109:110" x14ac:dyDescent="0.25">
      <c r="DE408">
        <v>406</v>
      </c>
      <c r="DF408" t="str">
        <f>IF(IFERROR(MATCH(FFARawStatProjections!A409,Draft!BY:BY,0),1)&lt;=1,IF(FFARawStatProjections!A409=0,"",FFARawStatProjections!A409),"")</f>
        <v>Josh Reynolds</v>
      </c>
    </row>
    <row r="409" spans="109:110" x14ac:dyDescent="0.25">
      <c r="DE409">
        <v>407</v>
      </c>
      <c r="DF409" t="str">
        <f>IF(IFERROR(MATCH(FFARawStatProjections!A410,Draft!BY:BY,0),1)&lt;=1,IF(FFARawStatProjections!A410=0,"",FFARawStatProjections!A410),"")</f>
        <v>Marvin Mims</v>
      </c>
    </row>
    <row r="410" spans="109:110" x14ac:dyDescent="0.25">
      <c r="DE410">
        <v>408</v>
      </c>
      <c r="DF410" t="str">
        <f>IF(IFERROR(MATCH(FFARawStatProjections!A411,Draft!BY:BY,0),1)&lt;=1,IF(FFARawStatProjections!A411=0,"",FFARawStatProjections!A411),"")</f>
        <v>Jalin Hyatt</v>
      </c>
    </row>
    <row r="411" spans="109:110" x14ac:dyDescent="0.25">
      <c r="DE411">
        <v>409</v>
      </c>
      <c r="DF411" t="str">
        <f>IF(IFERROR(MATCH(FFARawStatProjections!A412,Draft!BY:BY,0),1)&lt;=1,IF(FFARawStatProjections!A412=0,"",FFARawStatProjections!A412),"")</f>
        <v>Ben Skowronek</v>
      </c>
    </row>
    <row r="412" spans="109:110" x14ac:dyDescent="0.25">
      <c r="DE412">
        <v>410</v>
      </c>
      <c r="DF412" t="str">
        <f>IF(IFERROR(MATCH(FFARawStatProjections!A413,Draft!BY:BY,0),1)&lt;=1,IF(FFARawStatProjections!A413=0,"",FFARawStatProjections!A413),"")</f>
        <v>Terrace Marshall</v>
      </c>
    </row>
    <row r="413" spans="109:110" x14ac:dyDescent="0.25">
      <c r="DE413">
        <v>411</v>
      </c>
      <c r="DF413" t="str">
        <f>IF(IFERROR(MATCH(FFARawStatProjections!A414,Draft!BY:BY,0),1)&lt;=1,IF(FFARawStatProjections!A414=0,"",FFARawStatProjections!A414),"")</f>
        <v>Greg Dortch</v>
      </c>
    </row>
    <row r="414" spans="109:110" x14ac:dyDescent="0.25">
      <c r="DE414">
        <v>412</v>
      </c>
      <c r="DF414" t="str">
        <f>IF(IFERROR(MATCH(FFARawStatProjections!A415,Draft!BY:BY,0),1)&lt;=1,IF(FFARawStatProjections!A415=0,"",FFARawStatProjections!A415),"")</f>
        <v>Michael Wilson</v>
      </c>
    </row>
    <row r="415" spans="109:110" x14ac:dyDescent="0.25">
      <c r="DE415">
        <v>413</v>
      </c>
      <c r="DF415" t="str">
        <f>IF(IFERROR(MATCH(FFARawStatProjections!A416,Draft!BY:BY,0),1)&lt;=1,IF(FFARawStatProjections!A416=0,"",FFARawStatProjections!A416),"")</f>
        <v>Tutu Atwell</v>
      </c>
    </row>
    <row r="416" spans="109:110" x14ac:dyDescent="0.25">
      <c r="DE416">
        <v>414</v>
      </c>
      <c r="DF416" t="str">
        <f>IF(IFERROR(MATCH(FFARawStatProjections!A417,Draft!BY:BY,0),1)&lt;=1,IF(FFARawStatProjections!A417=0,"",FFARawStatProjections!A417),"")</f>
        <v>Sterling Shepard</v>
      </c>
    </row>
    <row r="417" spans="109:110" x14ac:dyDescent="0.25">
      <c r="DE417">
        <v>415</v>
      </c>
      <c r="DF417" t="str">
        <f>IF(IFERROR(MATCH(FFARawStatProjections!A418,Draft!BY:BY,0),1)&lt;=1,IF(FFARawStatProjections!A418=0,"",FFARawStatProjections!A418),"")</f>
        <v>Josh Downs</v>
      </c>
    </row>
    <row r="418" spans="109:110" x14ac:dyDescent="0.25">
      <c r="DE418">
        <v>416</v>
      </c>
      <c r="DF418" t="str">
        <f>IF(IFERROR(MATCH(FFARawStatProjections!A419,Draft!BY:BY,0),1)&lt;=1,IF(FFARawStatProjections!A419=0,"",FFARawStatProjections!A419),"")</f>
        <v>Tank Dell</v>
      </c>
    </row>
    <row r="419" spans="109:110" x14ac:dyDescent="0.25">
      <c r="DE419">
        <v>417</v>
      </c>
      <c r="DF419" t="str">
        <f>IF(IFERROR(MATCH(FFARawStatProjections!A420,Draft!BY:BY,0),1)&lt;=1,IF(FFARawStatProjections!A420=0,"",FFARawStatProjections!A420),"")</f>
        <v>Robbie Chosen</v>
      </c>
    </row>
    <row r="420" spans="109:110" x14ac:dyDescent="0.25">
      <c r="DE420">
        <v>418</v>
      </c>
      <c r="DF420" t="str">
        <f>IF(IFERROR(MATCH(FFARawStatProjections!A421,Draft!BY:BY,0),1)&lt;=1,IF(FFARawStatProjections!A421=0,"",FFARawStatProjections!A421),"")</f>
        <v>Cedric Tillman</v>
      </c>
    </row>
    <row r="421" spans="109:110" x14ac:dyDescent="0.25">
      <c r="DE421">
        <v>419</v>
      </c>
      <c r="DF421" t="str">
        <f>IF(IFERROR(MATCH(FFARawStatProjections!A422,Draft!BY:BY,0),1)&lt;=1,IF(FFARawStatProjections!A422=0,"",FFARawStatProjections!A422),"")</f>
        <v>Richie James</v>
      </c>
    </row>
    <row r="422" spans="109:110" x14ac:dyDescent="0.25">
      <c r="DE422">
        <v>420</v>
      </c>
      <c r="DF422" t="str">
        <f>IF(IFERROR(MATCH(FFARawStatProjections!A423,Draft!BY:BY,0),1)&lt;=1,IF(FFARawStatProjections!A423=0,"",FFARawStatProjections!A423),"")</f>
        <v>Laviska Shenault</v>
      </c>
    </row>
    <row r="423" spans="109:110" x14ac:dyDescent="0.25">
      <c r="DE423">
        <v>421</v>
      </c>
      <c r="DF423" t="str">
        <f>IF(IFERROR(MATCH(FFARawStatProjections!A424,Draft!BY:BY,0),1)&lt;=1,IF(FFARawStatProjections!A424=0,"",FFARawStatProjections!A424),"")</f>
        <v>Amari Rodgers</v>
      </c>
    </row>
    <row r="424" spans="109:110" x14ac:dyDescent="0.25">
      <c r="DE424">
        <v>422</v>
      </c>
      <c r="DF424" t="str">
        <f>IF(IFERROR(MATCH(FFARawStatProjections!A425,Draft!BY:BY,0),1)&lt;=1,IF(FFARawStatProjections!A425=0,"",FFARawStatProjections!A425),"")</f>
        <v>Isaiah McKenzie</v>
      </c>
    </row>
    <row r="425" spans="109:110" x14ac:dyDescent="0.25">
      <c r="DE425">
        <v>423</v>
      </c>
      <c r="DF425" t="str">
        <f>IF(IFERROR(MATCH(FFARawStatProjections!A426,Draft!BY:BY,0),1)&lt;=1,IF(FFARawStatProjections!A426=0,"",FFARawStatProjections!A426),"")</f>
        <v>Kayshon Boutte</v>
      </c>
    </row>
    <row r="426" spans="109:110" x14ac:dyDescent="0.25">
      <c r="DE426">
        <v>424</v>
      </c>
      <c r="DF426" t="str">
        <f>IF(IFERROR(MATCH(FFARawStatProjections!A427,Draft!BY:BY,0),1)&lt;=1,IF(FFARawStatProjections!A427=0,"",FFARawStatProjections!A427),"")</f>
        <v>Trey Palmer</v>
      </c>
    </row>
    <row r="427" spans="109:110" x14ac:dyDescent="0.25">
      <c r="DE427">
        <v>425</v>
      </c>
      <c r="DF427" t="str">
        <f>IF(IFERROR(MATCH(FFARawStatProjections!A428,Draft!BY:BY,0),1)&lt;=1,IF(FFARawStatProjections!A428=0,"",FFARawStatProjections!A428),"")</f>
        <v>Braxton Berrios</v>
      </c>
    </row>
    <row r="428" spans="109:110" x14ac:dyDescent="0.25">
      <c r="DE428">
        <v>426</v>
      </c>
      <c r="DF428" t="str">
        <f>IF(IFERROR(MATCH(FFARawStatProjections!A429,Draft!BY:BY,0),1)&lt;=1,IF(FFARawStatProjections!A429=0,"",FFARawStatProjections!A429),"")</f>
        <v>Quez Watkins</v>
      </c>
    </row>
    <row r="429" spans="109:110" x14ac:dyDescent="0.25">
      <c r="DE429">
        <v>427</v>
      </c>
      <c r="DF429" t="str">
        <f>IF(IFERROR(MATCH(FFARawStatProjections!A430,Draft!BY:BY,0),1)&lt;=1,IF(FFARawStatProjections!A430=0,"",FFARawStatProjections!A430),"")</f>
        <v>Jauan Jennings</v>
      </c>
    </row>
    <row r="430" spans="109:110" x14ac:dyDescent="0.25">
      <c r="DE430">
        <v>428</v>
      </c>
      <c r="DF430" t="str">
        <f>IF(IFERROR(MATCH(FFARawStatProjections!A431,Draft!BY:BY,0),1)&lt;=1,IF(FFARawStatProjections!A431=0,"",FFARawStatProjections!A431),"")</f>
        <v>Puka Nacua</v>
      </c>
    </row>
    <row r="431" spans="109:110" x14ac:dyDescent="0.25">
      <c r="DE431">
        <v>429</v>
      </c>
      <c r="DF431" t="str">
        <f>IF(IFERROR(MATCH(FFARawStatProjections!A432,Draft!BY:BY,0),1)&lt;=1,IF(FFARawStatProjections!A432=0,"",FFARawStatProjections!A432),"")</f>
        <v>Chris Moore</v>
      </c>
    </row>
    <row r="432" spans="109:110" x14ac:dyDescent="0.25">
      <c r="DE432">
        <v>430</v>
      </c>
      <c r="DF432" t="str">
        <f>IF(IFERROR(MATCH(FFARawStatProjections!A433,Draft!BY:BY,0),1)&lt;=1,IF(FFARawStatProjections!A433=0,"",FFARawStatProjections!A433),"")</f>
        <v>Kalif Raymond</v>
      </c>
    </row>
    <row r="433" spans="109:110" x14ac:dyDescent="0.25">
      <c r="DE433">
        <v>431</v>
      </c>
      <c r="DF433" t="str">
        <f>IF(IFERROR(MATCH(FFARawStatProjections!A434,Draft!BY:BY,0),1)&lt;=1,IF(FFARawStatProjections!A434=0,"",FFARawStatProjections!A434),"")</f>
        <v>Marquez Callaway</v>
      </c>
    </row>
    <row r="434" spans="109:110" x14ac:dyDescent="0.25">
      <c r="DE434">
        <v>432</v>
      </c>
      <c r="DF434" t="str">
        <f>IF(IFERROR(MATCH(FFARawStatProjections!A435,Draft!BY:BY,0),1)&lt;=1,IF(FFARawStatProjections!A435=0,"",FFARawStatProjections!A435),"")</f>
        <v>Demarcus Robinson</v>
      </c>
    </row>
    <row r="435" spans="109:110" x14ac:dyDescent="0.25">
      <c r="DE435">
        <v>433</v>
      </c>
      <c r="DF435" t="str">
        <f>IF(IFERROR(MATCH(FFARawStatProjections!A436,Draft!BY:BY,0),1)&lt;=1,IF(FFARawStatProjections!A436=0,"",FFARawStatProjections!A436),"")</f>
        <v>Olamide Zaccheaus</v>
      </c>
    </row>
    <row r="436" spans="109:110" x14ac:dyDescent="0.25">
      <c r="DE436">
        <v>434</v>
      </c>
      <c r="DF436" t="str">
        <f>IF(IFERROR(MATCH(FFARawStatProjections!A437,Draft!BY:BY,0),1)&lt;=1,IF(FFARawStatProjections!A437=0,"",FFARawStatProjections!A437),"")</f>
        <v>Trent Sherfield</v>
      </c>
    </row>
    <row r="437" spans="109:110" x14ac:dyDescent="0.25">
      <c r="DE437">
        <v>435</v>
      </c>
      <c r="DF437" t="str">
        <f>IF(IFERROR(MATCH(FFARawStatProjections!A438,Draft!BY:BY,0),1)&lt;=1,IF(FFARawStatProjections!A438=0,"",FFARawStatProjections!A438),"")</f>
        <v>Kyle Philips</v>
      </c>
    </row>
    <row r="438" spans="109:110" x14ac:dyDescent="0.25">
      <c r="DE438">
        <v>436</v>
      </c>
      <c r="DF438" t="str">
        <f>IF(IFERROR(MATCH(FFARawStatProjections!A439,Draft!BY:BY,0),1)&lt;=1,IF(FFARawStatProjections!A439=0,"",FFARawStatProjections!A439),"")</f>
        <v>Randall Cobb</v>
      </c>
    </row>
    <row r="439" spans="109:110" x14ac:dyDescent="0.25">
      <c r="DE439">
        <v>437</v>
      </c>
      <c r="DF439" t="str">
        <f>IF(IFERROR(MATCH(FFARawStatProjections!A440,Draft!BY:BY,0),1)&lt;=1,IF(FFARawStatProjections!A440=0,"",FFARawStatProjections!A440),"")</f>
        <v>Jamal Agnew</v>
      </c>
    </row>
    <row r="440" spans="109:110" x14ac:dyDescent="0.25">
      <c r="DE440">
        <v>438</v>
      </c>
      <c r="DF440" t="str">
        <f>IF(IFERROR(MATCH(FFARawStatProjections!A441,Draft!BY:BY,0),1)&lt;=1,IF(FFARawStatProjections!A441=0,"",FFARawStatProjections!A441),"")</f>
        <v>Marquise Goodwin</v>
      </c>
    </row>
    <row r="441" spans="109:110" x14ac:dyDescent="0.25">
      <c r="DE441">
        <v>439</v>
      </c>
      <c r="DF441" t="str">
        <f>IF(IFERROR(MATCH(FFARawStatProjections!A442,Draft!BY:BY,0),1)&lt;=1,IF(FFARawStatProjections!A442=0,"",FFARawStatProjections!A442),"")</f>
        <v>David Moore</v>
      </c>
    </row>
    <row r="442" spans="109:110" x14ac:dyDescent="0.25">
      <c r="DE442">
        <v>440</v>
      </c>
      <c r="DF442" t="str">
        <f>IF(IFERROR(MATCH(FFARawStatProjections!A443,Draft!BY:BY,0),1)&lt;=1,IF(FFARawStatProjections!A443=0,"",FFARawStatProjections!A443),"")</f>
        <v>Charlie Jones</v>
      </c>
    </row>
    <row r="443" spans="109:110" x14ac:dyDescent="0.25">
      <c r="DE443">
        <v>441</v>
      </c>
      <c r="DF443" t="str">
        <f>IF(IFERROR(MATCH(FFARawStatProjections!A444,Draft!BY:BY,0),1)&lt;=1,IF(FFARawStatProjections!A444=0,"",FFARawStatProjections!A444),"")</f>
        <v>AT Perry</v>
      </c>
    </row>
    <row r="444" spans="109:110" x14ac:dyDescent="0.25">
      <c r="DE444">
        <v>442</v>
      </c>
      <c r="DF444" t="str">
        <f>IF(IFERROR(MATCH(FFARawStatProjections!A445,Draft!BY:BY,0),1)&lt;=1,IF(FFARawStatProjections!A445=0,"",FFARawStatProjections!A445),"")</f>
        <v>Cedrick Wilson</v>
      </c>
    </row>
    <row r="445" spans="109:110" x14ac:dyDescent="0.25">
      <c r="DE445">
        <v>443</v>
      </c>
      <c r="DF445" t="str">
        <f>IF(IFERROR(MATCH(FFARawStatProjections!A446,Draft!BY:BY,0),1)&lt;=1,IF(FFARawStatProjections!A446=0,"",FFARawStatProjections!A446),"")</f>
        <v>Noah Brown</v>
      </c>
    </row>
    <row r="446" spans="109:110" x14ac:dyDescent="0.25">
      <c r="DE446">
        <v>444</v>
      </c>
      <c r="DF446" t="str">
        <f>IF(IFERROR(MATCH(FFARawStatProjections!A447,Draft!BY:BY,0),1)&lt;=1,IF(FFARawStatProjections!A447=0,"",FFARawStatProjections!A447),"")</f>
        <v>Cade Johnson</v>
      </c>
    </row>
    <row r="447" spans="109:110" x14ac:dyDescent="0.25">
      <c r="DE447">
        <v>445</v>
      </c>
      <c r="DF447" t="str">
        <f>IF(IFERROR(MATCH(FFARawStatProjections!A448,Draft!BY:BY,0),1)&lt;=1,IF(FFARawStatProjections!A448=0,"",FFARawStatProjections!A448),"")</f>
        <v>Samori Toure</v>
      </c>
    </row>
    <row r="448" spans="109:110" x14ac:dyDescent="0.25">
      <c r="DE448">
        <v>446</v>
      </c>
      <c r="DF448" t="str">
        <f>IF(IFERROR(MATCH(FFARawStatProjections!A449,Draft!BY:BY,0),1)&lt;=1,IF(FFARawStatProjections!A449=0,"",FFARawStatProjections!A449),"")</f>
        <v>Demario Douglas</v>
      </c>
    </row>
    <row r="449" spans="109:110" x14ac:dyDescent="0.25">
      <c r="DE449">
        <v>447</v>
      </c>
      <c r="DF449" t="str">
        <f>IF(IFERROR(MATCH(FFARawStatProjections!A450,Draft!BY:BY,0),1)&lt;=1,IF(FFARawStatProjections!A450=0,"",FFARawStatProjections!A450),"")</f>
        <v>Xavier Hutchinson</v>
      </c>
    </row>
    <row r="450" spans="109:110" x14ac:dyDescent="0.25">
      <c r="DE450">
        <v>448</v>
      </c>
      <c r="DF450" t="str">
        <f>IF(IFERROR(MATCH(FFARawStatProjections!A451,Draft!BY:BY,0),1)&lt;=1,IF(FFARawStatProjections!A451=0,"",FFARawStatProjections!A451),"")</f>
        <v>Dontayvion Wicks</v>
      </c>
    </row>
    <row r="451" spans="109:110" x14ac:dyDescent="0.25">
      <c r="DE451">
        <v>449</v>
      </c>
      <c r="DF451" t="str">
        <f>IF(IFERROR(MATCH(FFARawStatProjections!A452,Draft!BY:BY,0),1)&lt;=1,IF(FFARawStatProjections!A452=0,"",FFARawStatProjections!A452),"")</f>
        <v>Deven Thompkins</v>
      </c>
    </row>
    <row r="452" spans="109:110" x14ac:dyDescent="0.25">
      <c r="DE452">
        <v>450</v>
      </c>
      <c r="DF452" t="str">
        <f>IF(IFERROR(MATCH(FFARawStatProjections!A453,Draft!BY:BY,0),1)&lt;=1,IF(FFARawStatProjections!A453=0,"",FFARawStatProjections!A453),"")</f>
        <v>Justyn Ross</v>
      </c>
    </row>
    <row r="453" spans="109:110" x14ac:dyDescent="0.25">
      <c r="DE453">
        <v>451</v>
      </c>
      <c r="DF453" t="str">
        <f>IF(IFERROR(MATCH(FFARawStatProjections!A454,Draft!BY:BY,0),1)&lt;=1,IF(FFARawStatProjections!A454=0,"",FFARawStatProjections!A454),"")</f>
        <v>Tyler Scott</v>
      </c>
    </row>
    <row r="454" spans="109:110" x14ac:dyDescent="0.25">
      <c r="DE454">
        <v>452</v>
      </c>
      <c r="DF454" t="str">
        <f>IF(IFERROR(MATCH(FFARawStatProjections!A455,Draft!BY:BY,0),1)&lt;=1,IF(FFARawStatProjections!A455=0,"",FFARawStatProjections!A455),"")</f>
        <v>Devin Duvernay</v>
      </c>
    </row>
    <row r="455" spans="109:110" x14ac:dyDescent="0.25">
      <c r="DE455">
        <v>453</v>
      </c>
      <c r="DF455" t="str">
        <f>IF(IFERROR(MATCH(FFARawStatProjections!A456,Draft!BY:BY,0),1)&lt;=1,IF(FFARawStatProjections!A456=0,"",FFARawStatProjections!A456),"")</f>
        <v>Trenton Irwin</v>
      </c>
    </row>
    <row r="456" spans="109:110" x14ac:dyDescent="0.25">
      <c r="DE456">
        <v>454</v>
      </c>
      <c r="DF456" t="str">
        <f>IF(IFERROR(MATCH(FFARawStatProjections!A457,Draft!BY:BY,0),1)&lt;=1,IF(FFARawStatProjections!A457=0,"",FFARawStatProjections!A457),"")</f>
        <v>Justin Watson</v>
      </c>
    </row>
    <row r="457" spans="109:110" x14ac:dyDescent="0.25">
      <c r="DE457">
        <v>455</v>
      </c>
      <c r="DF457" t="str">
        <f>IF(IFERROR(MATCH(FFARawStatProjections!A458,Draft!BY:BY,0),1)&lt;=1,IF(FFARawStatProjections!A458=0,"",FFARawStatProjections!A458),"")</f>
        <v>Zach Pascal</v>
      </c>
    </row>
    <row r="458" spans="109:110" x14ac:dyDescent="0.25">
      <c r="DE458">
        <v>456</v>
      </c>
      <c r="DF458" t="str">
        <f>IF(IFERROR(MATCH(FFARawStatProjections!A459,Draft!BY:BY,0),1)&lt;=1,IF(FFARawStatProjections!A459=0,"",FFARawStatProjections!A459),"")</f>
        <v>KhaDarel Hodge</v>
      </c>
    </row>
    <row r="459" spans="109:110" x14ac:dyDescent="0.25">
      <c r="DE459">
        <v>457</v>
      </c>
      <c r="DF459" t="str">
        <f>IF(IFERROR(MATCH(FFARawStatProjections!A460,Draft!BY:BY,0),1)&lt;=1,IF(FFARawStatProjections!A460=0,"",FFARawStatProjections!A460),"")</f>
        <v>Dyami Brown</v>
      </c>
    </row>
    <row r="460" spans="109:110" x14ac:dyDescent="0.25">
      <c r="DE460">
        <v>458</v>
      </c>
      <c r="DF460" t="str">
        <f>IF(IFERROR(MATCH(FFARawStatProjections!A461,Draft!BY:BY,0),1)&lt;=1,IF(FFARawStatProjections!A461=0,"",FFARawStatProjections!A461),"")</f>
        <v>David Bell</v>
      </c>
    </row>
    <row r="461" spans="109:110" x14ac:dyDescent="0.25">
      <c r="DE461">
        <v>459</v>
      </c>
      <c r="DF461" t="str">
        <f>IF(IFERROR(MATCH(FFARawStatProjections!A462,Draft!BY:BY,0),1)&lt;=1,IF(FFARawStatProjections!A462=0,"",FFARawStatProjections!A462),"")</f>
        <v>Calvin Austin</v>
      </c>
    </row>
    <row r="462" spans="109:110" x14ac:dyDescent="0.25">
      <c r="DE462">
        <v>460</v>
      </c>
      <c r="DF462" t="str">
        <f>IF(IFERROR(MATCH(FFARawStatProjections!A463,Draft!BY:BY,0),1)&lt;=1,IF(FFARawStatProjections!A463=0,"",FFARawStatProjections!A463),"")</f>
        <v>Tre Nixon</v>
      </c>
    </row>
    <row r="463" spans="109:110" x14ac:dyDescent="0.25">
      <c r="DE463">
        <v>461</v>
      </c>
      <c r="DF463" t="str">
        <f>IF(IFERROR(MATCH(FFARawStatProjections!A464,Draft!BY:BY,0),1)&lt;=1,IF(FFARawStatProjections!A464=0,"",FFARawStatProjections!A464),"")</f>
        <v>Deonte Harty</v>
      </c>
    </row>
    <row r="464" spans="109:110" x14ac:dyDescent="0.25">
      <c r="DE464">
        <v>462</v>
      </c>
      <c r="DF464" t="str">
        <f>IF(IFERROR(MATCH(FFARawStatProjections!A465,Draft!BY:BY,0),1)&lt;=1,IF(FFARawStatProjections!A465=0,"",FFARawStatProjections!A465),"")</f>
        <v>Britain Covey</v>
      </c>
    </row>
    <row r="465" spans="109:110" x14ac:dyDescent="0.25">
      <c r="DE465">
        <v>463</v>
      </c>
      <c r="DF465" t="str">
        <f>IF(IFERROR(MATCH(FFARawStatProjections!A466,Draft!BY:BY,0),1)&lt;=1,IF(FFARawStatProjections!A466=0,"",FFARawStatProjections!A466),"")</f>
        <v>Jalen Guyton</v>
      </c>
    </row>
    <row r="466" spans="109:110" x14ac:dyDescent="0.25">
      <c r="DE466">
        <v>464</v>
      </c>
      <c r="DF466" t="str">
        <f>IF(IFERROR(MATCH(FFARawStatProjections!A467,Draft!BY:BY,0),1)&lt;=1,IF(FFARawStatProjections!A467=0,"",FFARawStatProjections!A467),"")</f>
        <v>Parker Washington</v>
      </c>
    </row>
    <row r="467" spans="109:110" x14ac:dyDescent="0.25">
      <c r="DE467">
        <v>465</v>
      </c>
      <c r="DF467" t="str">
        <f>IF(IFERROR(MATCH(FFARawStatProjections!A468,Draft!BY:BY,0),1)&lt;=1,IF(FFARawStatProjections!A468=0,"",FFARawStatProjections!A468),"")</f>
        <v>Bryan Edwards</v>
      </c>
    </row>
    <row r="468" spans="109:110" x14ac:dyDescent="0.25">
      <c r="DE468">
        <v>466</v>
      </c>
      <c r="DF468" t="str">
        <f>IF(IFERROR(MATCH(FFARawStatProjections!A469,Draft!BY:BY,0),1)&lt;=1,IF(FFARawStatProjections!A469=0,"",FFARawStatProjections!A469),"")</f>
        <v>Steven Sims</v>
      </c>
    </row>
    <row r="469" spans="109:110" x14ac:dyDescent="0.25">
      <c r="DE469">
        <v>467</v>
      </c>
      <c r="DF469" t="str">
        <f>IF(IFERROR(MATCH(FFARawStatProjections!A470,Draft!BY:BY,0),1)&lt;=1,IF(FFARawStatProjections!A470=0,"",FFARawStatProjections!A470),"")</f>
        <v>Brandon Powell</v>
      </c>
    </row>
    <row r="470" spans="109:110" x14ac:dyDescent="0.25">
      <c r="DE470">
        <v>468</v>
      </c>
      <c r="DF470" t="str">
        <f>IF(IFERROR(MATCH(FFARawStatProjections!A471,Draft!BY:BY,0),1)&lt;=1,IF(FFARawStatProjections!A471=0,"",FFARawStatProjections!A471),"")</f>
        <v>Jamison Crowder</v>
      </c>
    </row>
    <row r="471" spans="109:110" x14ac:dyDescent="0.25">
      <c r="DE471">
        <v>469</v>
      </c>
      <c r="DF471" t="str">
        <f>IF(IFERROR(MATCH(FFARawStatProjections!A472,Draft!BY:BY,0),1)&lt;=1,IF(FFARawStatProjections!A472=0,"",FFARawStatProjections!A472),"")</f>
        <v>Jalen Tolbert</v>
      </c>
    </row>
    <row r="472" spans="109:110" x14ac:dyDescent="0.25">
      <c r="DE472">
        <v>470</v>
      </c>
      <c r="DF472" t="str">
        <f>IF(IFERROR(MATCH(FFARawStatProjections!A473,Draft!BY:BY,0),1)&lt;=1,IF(FFARawStatProjections!A473=0,"",FFARawStatProjections!A473),"")</f>
        <v>Cole Beasley</v>
      </c>
    </row>
    <row r="473" spans="109:110" x14ac:dyDescent="0.25">
      <c r="DE473">
        <v>471</v>
      </c>
      <c r="DF473" t="str">
        <f>IF(IFERROR(MATCH(FFARawStatProjections!A474,Draft!BY:BY,0),1)&lt;=1,IF(FFARawStatProjections!A474=0,"",FFARawStatProjections!A474),"")</f>
        <v>Equanimeous St Brown</v>
      </c>
    </row>
    <row r="474" spans="109:110" x14ac:dyDescent="0.25">
      <c r="DE474">
        <v>472</v>
      </c>
      <c r="DF474" t="str">
        <f>IF(IFERROR(MATCH(FFARawStatProjections!A475,Draft!BY:BY,0),1)&lt;=1,IF(FFARawStatProjections!A475=0,"",FFARawStatProjections!A475),"")</f>
        <v>Nelson Agholor</v>
      </c>
    </row>
    <row r="475" spans="109:110" x14ac:dyDescent="0.25">
      <c r="DE475">
        <v>473</v>
      </c>
      <c r="DF475" t="str">
        <f>IF(IFERROR(MATCH(FFARawStatProjections!A476,Draft!BY:BY,0),1)&lt;=1,IF(FFARawStatProjections!A476=0,"",FFARawStatProjections!A476),"")</f>
        <v>Jalen Nailor</v>
      </c>
    </row>
    <row r="476" spans="109:110" x14ac:dyDescent="0.25">
      <c r="DE476">
        <v>474</v>
      </c>
      <c r="DF476" t="str">
        <f>IF(IFERROR(MATCH(FFARawStatProjections!A477,Draft!BY:BY,0),1)&lt;=1,IF(FFARawStatProjections!A477=0,"",FFARawStatProjections!A477),"")</f>
        <v>TreQuan Smith</v>
      </c>
    </row>
    <row r="477" spans="109:110" x14ac:dyDescent="0.25">
      <c r="DE477">
        <v>475</v>
      </c>
      <c r="DF477" t="str">
        <f>IF(IFERROR(MATCH(FFARawStatProjections!A478,Draft!BY:BY,0),1)&lt;=1,IF(FFARawStatProjections!A478=0,"",FFARawStatProjections!A478),"")</f>
        <v>Velus Jones</v>
      </c>
    </row>
    <row r="478" spans="109:110" x14ac:dyDescent="0.25">
      <c r="DE478">
        <v>476</v>
      </c>
      <c r="DF478" t="str">
        <f>IF(IFERROR(MATCH(FFARawStatProjections!A479,Draft!BY:BY,0),1)&lt;=1,IF(FFARawStatProjections!A479=0,"",FFARawStatProjections!A479),"")</f>
        <v>Kendall Hinton</v>
      </c>
    </row>
    <row r="479" spans="109:110" x14ac:dyDescent="0.25">
      <c r="DE479">
        <v>477</v>
      </c>
      <c r="DF479" t="str">
        <f>IF(IFERROR(MATCH(FFARawStatProjections!A480,Draft!BY:BY,0),1)&lt;=1,IF(FFARawStatProjections!A480=0,"",FFARawStatProjections!A480),"")</f>
        <v>DeAndre Carter</v>
      </c>
    </row>
    <row r="480" spans="109:110" x14ac:dyDescent="0.25">
      <c r="DE480">
        <v>478</v>
      </c>
      <c r="DF480" t="str">
        <f>IF(IFERROR(MATCH(FFARawStatProjections!A481,Draft!BY:BY,0),1)&lt;=1,IF(FFARawStatProjections!A481=0,"",FFARawStatProjections!A481),"")</f>
        <v>Penny Hart</v>
      </c>
    </row>
    <row r="481" spans="109:110" x14ac:dyDescent="0.25">
      <c r="DE481">
        <v>479</v>
      </c>
      <c r="DF481" t="str">
        <f>IF(IFERROR(MATCH(FFARawStatProjections!A482,Draft!BY:BY,0),1)&lt;=1,IF(FFARawStatProjections!A482=0,"",FFARawStatProjections!A482),"")</f>
        <v>Dee Eskridge</v>
      </c>
    </row>
    <row r="482" spans="109:110" x14ac:dyDescent="0.25">
      <c r="DE482">
        <v>480</v>
      </c>
      <c r="DF482" t="str">
        <f>IF(IFERROR(MATCH(FFARawStatProjections!A483,Draft!BY:BY,0),1)&lt;=1,IF(FFARawStatProjections!A483=0,"",FFARawStatProjections!A483),"")</f>
        <v>Phillip Dorsett</v>
      </c>
    </row>
    <row r="483" spans="109:110" x14ac:dyDescent="0.25">
      <c r="DE483">
        <v>481</v>
      </c>
      <c r="DF483" t="str">
        <f>IF(IFERROR(MATCH(FFARawStatProjections!A484,Draft!BY:BY,0),1)&lt;=1,IF(FFARawStatProjections!A484=0,"",FFARawStatProjections!A484),"")</f>
        <v>Scott Miller</v>
      </c>
    </row>
    <row r="484" spans="109:110" x14ac:dyDescent="0.25">
      <c r="DE484">
        <v>482</v>
      </c>
      <c r="DF484" t="str">
        <f>IF(IFERROR(MATCH(FFARawStatProjections!A485,Draft!BY:BY,0),1)&lt;=1,IF(FFARawStatProjections!A485=0,"",FFARawStatProjections!A485),"")</f>
        <v>Shi Smith</v>
      </c>
    </row>
    <row r="485" spans="109:110" x14ac:dyDescent="0.25">
      <c r="DE485">
        <v>483</v>
      </c>
      <c r="DF485" t="str">
        <f>IF(IFERROR(MATCH(FFARawStatProjections!A486,Draft!BY:BY,0),1)&lt;=1,IF(FFARawStatProjections!A486=0,"",FFARawStatProjections!A486),"")</f>
        <v>Derius Davis</v>
      </c>
    </row>
    <row r="486" spans="109:110" x14ac:dyDescent="0.25">
      <c r="DE486">
        <v>484</v>
      </c>
      <c r="DF486" t="str">
        <f>IF(IFERROR(MATCH(FFARawStatProjections!A487,Draft!BY:BY,0),1)&lt;=1,IF(FFARawStatProjections!A487=0,"",FFARawStatProjections!A487),"")</f>
        <v>Denzel Mims</v>
      </c>
    </row>
    <row r="487" spans="109:110" x14ac:dyDescent="0.25">
      <c r="DE487">
        <v>485</v>
      </c>
      <c r="DF487" t="str">
        <f>IF(IFERROR(MATCH(FFARawStatProjections!A488,Draft!BY:BY,0),1)&lt;=1,IF(FFARawStatProjections!A488=0,"",FFARawStatProjections!A488),"")</f>
        <v>Andrei Iosivas</v>
      </c>
    </row>
    <row r="488" spans="109:110" x14ac:dyDescent="0.25">
      <c r="DE488">
        <v>486</v>
      </c>
      <c r="DF488" t="str">
        <f>IF(IFERROR(MATCH(FFARawStatProjections!A489,Draft!BY:BY,0),1)&lt;=1,IF(FFARawStatProjections!A489=0,"",FFARawStatProjections!A489),"")</f>
        <v>Gunner Olszewski</v>
      </c>
    </row>
    <row r="489" spans="109:110" x14ac:dyDescent="0.25">
      <c r="DE489">
        <v>487</v>
      </c>
      <c r="DF489" t="str">
        <f>IF(IFERROR(MATCH(FFARawStatProjections!A490,Draft!BY:BY,0),1)&lt;=1,IF(FFARawStatProjections!A490=0,"",FFARawStatProjections!A490),"")</f>
        <v>Kaylon Geiger</v>
      </c>
    </row>
    <row r="490" spans="109:110" x14ac:dyDescent="0.25">
      <c r="DE490">
        <v>488</v>
      </c>
      <c r="DF490" t="str">
        <f>IF(IFERROR(MATCH(FFARawStatProjections!A491,Draft!BY:BY,0),1)&lt;=1,IF(FFARawStatProjections!A491=0,"",FFARawStatProjections!A491),"")</f>
        <v>Justin Shorter</v>
      </c>
    </row>
    <row r="491" spans="109:110" x14ac:dyDescent="0.25">
      <c r="DE491">
        <v>489</v>
      </c>
      <c r="DF491" t="str">
        <f>IF(IFERROR(MATCH(FFARawStatProjections!A492,Draft!BY:BY,0),1)&lt;=1,IF(FFARawStatProjections!A492=0,"",FFARawStatProjections!A492),"")</f>
        <v>Joseph Ngata</v>
      </c>
    </row>
    <row r="492" spans="109:110" x14ac:dyDescent="0.25">
      <c r="DE492">
        <v>490</v>
      </c>
      <c r="DF492" t="str">
        <f>IF(IFERROR(MATCH(FFARawStatProjections!A493,Draft!BY:BY,0),1)&lt;=1,IF(FFARawStatProjections!A493=0,"",FFARawStatProjections!A493),"")</f>
        <v>Tre Tucker</v>
      </c>
    </row>
    <row r="493" spans="109:110" x14ac:dyDescent="0.25">
      <c r="DE493">
        <v>491</v>
      </c>
      <c r="DF493" t="str">
        <f>IF(IFERROR(MATCH(FFARawStatProjections!A494,Draft!BY:BY,0),1)&lt;=1,IF(FFARawStatProjections!A494=0,"",FFARawStatProjections!A494),"")</f>
        <v>Jalen Reagor</v>
      </c>
    </row>
    <row r="494" spans="109:110" x14ac:dyDescent="0.25">
      <c r="DE494">
        <v>492</v>
      </c>
      <c r="DF494" t="str">
        <f>IF(IFERROR(MATCH(FFARawStatProjections!A495,Draft!BY:BY,0),1)&lt;=1,IF(FFARawStatProjections!A495=0,"",FFARawStatProjections!A495),"")</f>
        <v>Jakeem Grant</v>
      </c>
    </row>
    <row r="495" spans="109:110" x14ac:dyDescent="0.25">
      <c r="DE495">
        <v>493</v>
      </c>
      <c r="DF495" t="str">
        <f>IF(IFERROR(MATCH(FFARawStatProjections!A496,Draft!BY:BY,0),1)&lt;=1,IF(FFARawStatProjections!A496=0,"",FFARawStatProjections!A496),"")</f>
        <v>Ray-Ray McCloud</v>
      </c>
    </row>
    <row r="496" spans="109:110" x14ac:dyDescent="0.25">
      <c r="DE496">
        <v>494</v>
      </c>
      <c r="DF496" t="str">
        <f>IF(IFERROR(MATCH(FFARawStatProjections!A497,Draft!BY:BY,0),1)&lt;=1,IF(FFARawStatProjections!A497=0,"",FFARawStatProjections!A497),"")</f>
        <v>KaVontae Turpin</v>
      </c>
    </row>
    <row r="497" spans="109:110" x14ac:dyDescent="0.25">
      <c r="DE497">
        <v>495</v>
      </c>
      <c r="DF497" t="str">
        <f>IF(IFERROR(MATCH(FFARawStatProjections!A498,Draft!BY:BY,0),1)&lt;=1,IF(FFARawStatProjections!A498=0,"",FFARawStatProjections!A498),"")</f>
        <v>Dareke Young</v>
      </c>
    </row>
    <row r="498" spans="109:110" x14ac:dyDescent="0.25">
      <c r="DE498">
        <v>496</v>
      </c>
      <c r="DF498" t="str">
        <f>IF(IFERROR(MATCH(FFARawStatProjections!A499,Draft!BY:BY,0),1)&lt;=1,IF(FFARawStatProjections!A499=0,"",FFARawStatProjections!A499),"")</f>
        <v>Ashton Dulin</v>
      </c>
    </row>
    <row r="499" spans="109:110" x14ac:dyDescent="0.25">
      <c r="DE499">
        <v>497</v>
      </c>
      <c r="DF499" t="str">
        <f>IF(IFERROR(MATCH(FFARawStatProjections!A500,Draft!BY:BY,0),1)&lt;=1,IF(FFARawStatProjections!A500=0,"",FFARawStatProjections!A500),"")</f>
        <v>Ronnie Bell</v>
      </c>
    </row>
    <row r="500" spans="109:110" x14ac:dyDescent="0.25">
      <c r="DE500">
        <v>498</v>
      </c>
      <c r="DF500" t="str">
        <f>IF(IFERROR(MATCH(FFARawStatProjections!A501,Draft!BY:BY,0),1)&lt;=1,IF(FFARawStatProjections!A501=0,"",FFARawStatProjections!A501),"")</f>
        <v>Demetric Felton</v>
      </c>
    </row>
    <row r="501" spans="109:110" x14ac:dyDescent="0.25">
      <c r="DE501">
        <v>499</v>
      </c>
      <c r="DF501" t="str">
        <f>IF(IFERROR(MATCH(FFARawStatProjections!A502,Draft!BY:BY,0),1)&lt;=1,IF(FFARawStatProjections!A502=0,"",FFARawStatProjections!A502),"")</f>
        <v>Lance McCutcheon</v>
      </c>
    </row>
    <row r="502" spans="109:110" x14ac:dyDescent="0.25">
      <c r="DE502">
        <v>500</v>
      </c>
      <c r="DF502" t="str">
        <f>IF(IFERROR(MATCH(FFARawStatProjections!A503,Draft!BY:BY,0),1)&lt;=1,IF(FFARawStatProjections!A503=0,"",FFARawStatProjections!A503),"")</f>
        <v>Darrius Shepherd</v>
      </c>
    </row>
    <row r="503" spans="109:110" x14ac:dyDescent="0.25">
      <c r="DE503">
        <v>501</v>
      </c>
      <c r="DF503" t="str">
        <f>IF(IFERROR(MATCH(FFARawStatProjections!A504,Draft!BY:BY,0),1)&lt;=1,IF(FFARawStatProjections!A504=0,"",FFARawStatProjections!A504),"")</f>
        <v>Dante Pettis</v>
      </c>
    </row>
    <row r="504" spans="109:110" x14ac:dyDescent="0.25">
      <c r="DE504">
        <v>502</v>
      </c>
      <c r="DF504" t="str">
        <f>IF(IFERROR(MATCH(FFARawStatProjections!A505,Draft!BY:BY,0),1)&lt;=1,IF(FFARawStatProjections!A505=0,"",FFARawStatProjections!A505),"")</f>
        <v>Byron Pringle</v>
      </c>
    </row>
    <row r="505" spans="109:110" x14ac:dyDescent="0.25">
      <c r="DE505">
        <v>503</v>
      </c>
      <c r="DF505" t="str">
        <f>IF(IFERROR(MATCH(FFARawStatProjections!A506,Draft!BY:BY,0),1)&lt;=1,IF(FFARawStatProjections!A506=0,"",FFARawStatProjections!A506),"")</f>
        <v>Rakim Jarrett</v>
      </c>
    </row>
    <row r="506" spans="109:110" x14ac:dyDescent="0.25">
      <c r="DE506">
        <v>504</v>
      </c>
      <c r="DF506" t="str">
        <f>IF(IFERROR(MATCH(FFARawStatProjections!A507,Draft!BY:BY,0),1)&lt;=1,IF(FFARawStatProjections!A507=0,"",FFARawStatProjections!A507),"")</f>
        <v>Cody Thompson</v>
      </c>
    </row>
    <row r="507" spans="109:110" x14ac:dyDescent="0.25">
      <c r="DE507">
        <v>505</v>
      </c>
      <c r="DF507" t="str">
        <f>IF(IFERROR(MATCH(FFARawStatProjections!A508,Draft!BY:BY,0),1)&lt;=1,IF(FFARawStatProjections!A508=0,"",FFARawStatProjections!A508),"")</f>
        <v>Kevin Austin</v>
      </c>
    </row>
    <row r="508" spans="109:110" x14ac:dyDescent="0.25">
      <c r="DE508">
        <v>506</v>
      </c>
      <c r="DF508" t="str">
        <f>IF(IFERROR(MATCH(FFARawStatProjections!A509,Draft!BY:BY,0),1)&lt;=1,IF(FFARawStatProjections!A509=0,"",FFARawStatProjections!A509),"")</f>
        <v>Erik Ezukanma</v>
      </c>
    </row>
    <row r="509" spans="109:110" x14ac:dyDescent="0.25">
      <c r="DE509">
        <v>507</v>
      </c>
      <c r="DF509" t="str">
        <f>IF(IFERROR(MATCH(FFARawStatProjections!A510,Draft!BY:BY,0),1)&lt;=1,IF(FFARawStatProjections!A510=0,"",FFARawStatProjections!A510),"")</f>
        <v>Danny Gray</v>
      </c>
    </row>
    <row r="510" spans="109:110" x14ac:dyDescent="0.25">
      <c r="DE510">
        <v>508</v>
      </c>
      <c r="DF510" t="str">
        <f>IF(IFERROR(MATCH(FFARawStatProjections!A511,Draft!BY:BY,0),1)&lt;=1,IF(FFARawStatProjections!A511=0,"",FFARawStatProjections!A511),"")</f>
        <v>Maurice Alexander</v>
      </c>
    </row>
    <row r="511" spans="109:110" x14ac:dyDescent="0.25">
      <c r="DE511">
        <v>509</v>
      </c>
      <c r="DF511" t="str">
        <f>IF(IFERROR(MATCH(FFARawStatProjections!A512,Draft!BY:BY,0),1)&lt;=1,IF(FFARawStatProjections!A512=0,"",FFARawStatProjections!A512),"")</f>
        <v>Montrell Washington</v>
      </c>
    </row>
    <row r="512" spans="109:110" x14ac:dyDescent="0.25">
      <c r="DE512">
        <v>510</v>
      </c>
      <c r="DF512" t="str">
        <f>IF(IFERROR(MATCH(FFARawStatProjections!A513,Draft!BY:BY,0),1)&lt;=1,IF(FFARawStatProjections!A513=0,"",FFARawStatProjections!A513),"")</f>
        <v>Matthew Slater</v>
      </c>
    </row>
    <row r="513" spans="109:110" x14ac:dyDescent="0.25">
      <c r="DE513">
        <v>511</v>
      </c>
      <c r="DF513" t="str">
        <f>IF(IFERROR(MATCH(FFARawStatProjections!A514,Draft!BY:BY,0),1)&lt;=1,IF(FFARawStatProjections!A514=0,"",FFARawStatProjections!A514),"")</f>
        <v>Joe Reed</v>
      </c>
    </row>
    <row r="514" spans="109:110" x14ac:dyDescent="0.25">
      <c r="DE514">
        <v>512</v>
      </c>
      <c r="DF514" t="str">
        <f>IF(IFERROR(MATCH(FFARawStatProjections!A515,Draft!BY:BY,0),1)&lt;=1,IF(FFARawStatProjections!A515=0,"",FFARawStatProjections!A515),"")</f>
        <v>Andy Isabella</v>
      </c>
    </row>
    <row r="515" spans="109:110" x14ac:dyDescent="0.25">
      <c r="DE515">
        <v>513</v>
      </c>
      <c r="DF515" t="str">
        <f>IF(IFERROR(MATCH(FFARawStatProjections!A516,Draft!BY:BY,0),1)&lt;=1,IF(FFARawStatProjections!A516=0,"",FFARawStatProjections!A516),"")</f>
        <v>Trinity Benson</v>
      </c>
    </row>
    <row r="516" spans="109:110" x14ac:dyDescent="0.25">
      <c r="DE516">
        <v>514</v>
      </c>
      <c r="DF516" t="str">
        <f>IF(IFERROR(MATCH(FFARawStatProjections!A517,Draft!BY:BY,0),1)&lt;=1,IF(FFARawStatProjections!A517=0,"",FFARawStatProjections!A517),"")</f>
        <v>River Cracraft</v>
      </c>
    </row>
    <row r="517" spans="109:110" x14ac:dyDescent="0.25">
      <c r="DE517">
        <v>515</v>
      </c>
      <c r="DF517" t="str">
        <f>IF(IFERROR(MATCH(FFARawStatProjections!A518,Draft!BY:BY,0),1)&lt;=1,IF(FFARawStatProjections!A518=0,"",FFARawStatProjections!A518),"")</f>
        <v>Isaiah Coulter</v>
      </c>
    </row>
    <row r="518" spans="109:110" x14ac:dyDescent="0.25">
      <c r="DE518">
        <v>516</v>
      </c>
      <c r="DF518" t="str">
        <f>IF(IFERROR(MATCH(FFARawStatProjections!A519,Draft!BY:BY,0),1)&lt;=1,IF(FFARawStatProjections!A519=0,"",FFARawStatProjections!A519),"")</f>
        <v>Dezmon Patmon</v>
      </c>
    </row>
    <row r="519" spans="109:110" x14ac:dyDescent="0.25">
      <c r="DE519">
        <v>517</v>
      </c>
      <c r="DF519" t="str">
        <f>IF(IFERROR(MATCH(FFARawStatProjections!A520,Draft!BY:BY,0),1)&lt;=1,IF(FFARawStatProjections!A520=0,"",FFARawStatProjections!A520),"")</f>
        <v>Bo Melton</v>
      </c>
    </row>
    <row r="520" spans="109:110" x14ac:dyDescent="0.25">
      <c r="DE520">
        <v>518</v>
      </c>
      <c r="DF520" t="str">
        <f>IF(IFERROR(MATCH(FFARawStatProjections!A521,Draft!BY:BY,0),1)&lt;=1,IF(FFARawStatProjections!A521=0,"",FFARawStatProjections!A521),"")</f>
        <v>Jason Moore</v>
      </c>
    </row>
    <row r="521" spans="109:110" x14ac:dyDescent="0.25">
      <c r="DE521">
        <v>519</v>
      </c>
      <c r="DF521" t="str">
        <f>IF(IFERROR(MATCH(FFARawStatProjections!A522,Draft!BY:BY,0),1)&lt;=1,IF(FFARawStatProjections!A522=0,"",FFARawStatProjections!A522),"")</f>
        <v>Simi Fehoko</v>
      </c>
    </row>
    <row r="522" spans="109:110" x14ac:dyDescent="0.25">
      <c r="DE522">
        <v>520</v>
      </c>
      <c r="DF522" t="str">
        <f>IF(IFERROR(MATCH(FFARawStatProjections!A523,Draft!BY:BY,0),1)&lt;=1,IF(FFARawStatProjections!A523=0,"",FFARawStatProjections!A523),"")</f>
        <v>Dennis Houston</v>
      </c>
    </row>
    <row r="523" spans="109:110" x14ac:dyDescent="0.25">
      <c r="DE523">
        <v>521</v>
      </c>
      <c r="DF523" t="str">
        <f>IF(IFERROR(MATCH(FFARawStatProjections!A524,Draft!BY:BY,0),1)&lt;=1,IF(FFARawStatProjections!A524=0,"",FFARawStatProjections!A524),"")</f>
        <v>Cody Chrest</v>
      </c>
    </row>
    <row r="524" spans="109:110" x14ac:dyDescent="0.25">
      <c r="DE524">
        <v>522</v>
      </c>
      <c r="DF524" t="str">
        <f>IF(IFERROR(MATCH(FFARawStatProjections!A525,Draft!BY:BY,0),1)&lt;=1,IF(FFARawStatProjections!A525=0,"",FFARawStatProjections!A525),"")</f>
        <v>Stanley Morgan</v>
      </c>
    </row>
    <row r="525" spans="109:110" x14ac:dyDescent="0.25">
      <c r="DE525">
        <v>523</v>
      </c>
      <c r="DF525" t="str">
        <f>IF(IFERROR(MATCH(FFARawStatProjections!A526,Draft!BY:BY,0),1)&lt;=1,IF(FFARawStatProjections!A526=0,"",FFARawStatProjections!A526),"")</f>
        <v>Seth Williams</v>
      </c>
    </row>
    <row r="526" spans="109:110" x14ac:dyDescent="0.25">
      <c r="DE526">
        <v>524</v>
      </c>
      <c r="DF526" t="str">
        <f>IF(IFERROR(MATCH(FFARawStatProjections!A527,Draft!BY:BY,0),1)&lt;=1,IF(FFARawStatProjections!A527=0,"",FFARawStatProjections!A527),"")</f>
        <v>Jacob Harris</v>
      </c>
    </row>
    <row r="527" spans="109:110" x14ac:dyDescent="0.25">
      <c r="DE527">
        <v>525</v>
      </c>
      <c r="DF527" t="str">
        <f>IF(IFERROR(MATCH(FFARawStatProjections!A528,Draft!BY:BY,0),1)&lt;=1,IF(FFARawStatProjections!A528=0,"",FFARawStatProjections!A528),"")</f>
        <v>Easop Winston</v>
      </c>
    </row>
    <row r="528" spans="109:110" x14ac:dyDescent="0.25">
      <c r="DE528">
        <v>526</v>
      </c>
      <c r="DF528" t="str">
        <f>IF(IFERROR(MATCH(FFARawStatProjections!A529,Draft!BY:BY,0),1)&lt;=1,IF(FFARawStatProjections!A529=0,"",FFARawStatProjections!A529),"")</f>
        <v>KeeSean Johnson</v>
      </c>
    </row>
    <row r="529" spans="109:110" x14ac:dyDescent="0.25">
      <c r="DE529">
        <v>527</v>
      </c>
      <c r="DF529" t="str">
        <f>IF(IFERROR(MATCH(FFARawStatProjections!A530,Draft!BY:BY,0),1)&lt;=1,IF(FFARawStatProjections!A530=0,"",FFARawStatProjections!A530),"")</f>
        <v>Jalen Virgil</v>
      </c>
    </row>
    <row r="530" spans="109:110" x14ac:dyDescent="0.25">
      <c r="DE530">
        <v>528</v>
      </c>
      <c r="DF530" t="str">
        <f>IF(IFERROR(MATCH(FFARawStatProjections!A531,Draft!BY:BY,0),1)&lt;=1,IF(FFARawStatProjections!A531=0,"",FFARawStatProjections!A531),"")</f>
        <v>Tim Jones</v>
      </c>
    </row>
    <row r="531" spans="109:110" x14ac:dyDescent="0.25">
      <c r="DE531">
        <v>529</v>
      </c>
      <c r="DF531" t="str">
        <f>IF(IFERROR(MATCH(FFARawStatProjections!A532,Draft!BY:BY,0),1)&lt;=1,IF(FFARawStatProjections!A532=0,"",FFARawStatProjections!A532),"")</f>
        <v>Keelan Doss</v>
      </c>
    </row>
    <row r="532" spans="109:110" x14ac:dyDescent="0.25">
      <c r="DE532">
        <v>530</v>
      </c>
      <c r="DF532" t="str">
        <f>IF(IFERROR(MATCH(FFARawStatProjections!A533,Draft!BY:BY,0),1)&lt;=1,IF(FFARawStatProjections!A533=0,"",FFARawStatProjections!A533),"")</f>
        <v>Brandon Johnson</v>
      </c>
    </row>
    <row r="533" spans="109:110" x14ac:dyDescent="0.25">
      <c r="DE533">
        <v>531</v>
      </c>
      <c r="DF533" t="str">
        <f>IF(IFERROR(MATCH(FFARawStatProjections!A534,Draft!BY:BY,0),1)&lt;=1,IF(FFARawStatProjections!A534=0,"",FFARawStatProjections!A534),"")</f>
        <v>Jaelon Darden</v>
      </c>
    </row>
    <row r="534" spans="109:110" x14ac:dyDescent="0.25">
      <c r="DE534">
        <v>532</v>
      </c>
      <c r="DF534" t="str">
        <f>IF(IFERROR(MATCH(FFARawStatProjections!A535,Draft!BY:BY,0),1)&lt;=1,IF(FFARawStatProjections!A535=0,"",FFARawStatProjections!A535),"")</f>
        <v>Andre Baccellia</v>
      </c>
    </row>
    <row r="535" spans="109:110" x14ac:dyDescent="0.25">
      <c r="DE535">
        <v>533</v>
      </c>
      <c r="DF535" t="str">
        <f>IF(IFERROR(MATCH(FFARawStatProjections!A536,Draft!BY:BY,0),1)&lt;=1,IF(FFARawStatProjections!A536=0,"",FFARawStatProjections!A536),"")</f>
        <v>Austin Trammell</v>
      </c>
    </row>
    <row r="536" spans="109:110" x14ac:dyDescent="0.25">
      <c r="DE536">
        <v>534</v>
      </c>
      <c r="DF536" t="str">
        <f>IF(IFERROR(MATCH(FFARawStatProjections!A537,Draft!BY:BY,0),1)&lt;=1,IF(FFARawStatProjections!A537=0,"",FFARawStatProjections!A537),"")</f>
        <v>Dax Milne</v>
      </c>
    </row>
    <row r="537" spans="109:110" x14ac:dyDescent="0.25">
      <c r="DE537">
        <v>535</v>
      </c>
      <c r="DF537" t="str">
        <f>IF(IFERROR(MATCH(FFARawStatProjections!A538,Draft!BY:BY,0),1)&lt;=1,IF(FFARawStatProjections!A538=0,"",FFARawStatProjections!A538),"")</f>
        <v>CJ Saunders</v>
      </c>
    </row>
    <row r="538" spans="109:110" x14ac:dyDescent="0.25">
      <c r="DE538">
        <v>536</v>
      </c>
      <c r="DF538" t="str">
        <f>IF(IFERROR(MATCH(FFARawStatProjections!A539,Draft!BY:BY,0),1)&lt;=1,IF(FFARawStatProjections!A539=0,"",FFARawStatProjections!A539),"")</f>
        <v>Trent Taylor</v>
      </c>
    </row>
    <row r="539" spans="109:110" x14ac:dyDescent="0.25">
      <c r="DE539">
        <v>537</v>
      </c>
      <c r="DF539" t="str">
        <f>IF(IFERROR(MATCH(FFARawStatProjections!A540,Draft!BY:BY,0),1)&lt;=1,IF(FFARawStatProjections!A540=0,"",FFARawStatProjections!A540),"")</f>
        <v>Kawaan Baker</v>
      </c>
    </row>
    <row r="540" spans="109:110" x14ac:dyDescent="0.25">
      <c r="DE540">
        <v>538</v>
      </c>
      <c r="DF540" t="str">
        <f>IF(IFERROR(MATCH(FFARawStatProjections!A541,Draft!BY:BY,0),1)&lt;=1,IF(FFARawStatProjections!A541=0,"",FFARawStatProjections!A541),"")</f>
        <v>Cam Sims</v>
      </c>
    </row>
    <row r="541" spans="109:110" x14ac:dyDescent="0.25">
      <c r="DE541">
        <v>539</v>
      </c>
      <c r="DF541" t="str">
        <f>IF(IFERROR(MATCH(FFARawStatProjections!A542,Draft!BY:BY,0),1)&lt;=1,IF(FFARawStatProjections!A542=0,"",FFARawStatProjections!A542),"")</f>
        <v>Keke Coutee</v>
      </c>
    </row>
    <row r="542" spans="109:110" x14ac:dyDescent="0.25">
      <c r="DE542">
        <v>540</v>
      </c>
      <c r="DF542" t="str">
        <f>IF(IFERROR(MATCH(FFARawStatProjections!A543,Draft!BY:BY,0),1)&lt;=1,IF(FFARawStatProjections!A543=0,"",FFARawStatProjections!A543),"")</f>
        <v>Dez Fitzpatrick</v>
      </c>
    </row>
    <row r="543" spans="109:110" x14ac:dyDescent="0.25">
      <c r="DE543">
        <v>541</v>
      </c>
      <c r="DF543" t="str">
        <f>IF(IFERROR(MATCH(FFARawStatProjections!A544,Draft!BY:BY,0),1)&lt;=1,IF(FFARawStatProjections!A544=0,"",FFARawStatProjections!A544),"")</f>
        <v>Keelan Cole</v>
      </c>
    </row>
    <row r="544" spans="109:110" x14ac:dyDescent="0.25">
      <c r="DE544">
        <v>542</v>
      </c>
      <c r="DF544" t="str">
        <f>IF(IFERROR(MATCH(FFARawStatProjections!A545,Draft!BY:BY,0),1)&lt;=1,IF(FFARawStatProjections!A545=0,"",FFARawStatProjections!A545),"")</f>
        <v>Michael Woods</v>
      </c>
    </row>
    <row r="545" spans="109:110" x14ac:dyDescent="0.25">
      <c r="DE545">
        <v>543</v>
      </c>
      <c r="DF545" t="str">
        <f>IF(IFERROR(MATCH(FFARawStatProjections!A546,Draft!BY:BY,0),1)&lt;=1,IF(FFARawStatProjections!A546=0,"",FFARawStatProjections!A546),"")</f>
        <v>Mason Kinsey</v>
      </c>
    </row>
    <row r="546" spans="109:110" x14ac:dyDescent="0.25">
      <c r="DE546">
        <v>544</v>
      </c>
      <c r="DF546" t="str">
        <f>IF(IFERROR(MATCH(FFARawStatProjections!A547,Draft!BY:BY,0),1)&lt;=1,IF(FFARawStatProjections!A547=0,"",FFARawStatProjections!A547),"")</f>
        <v>Bryce Ford-Wheaton</v>
      </c>
    </row>
    <row r="547" spans="109:110" x14ac:dyDescent="0.25">
      <c r="DE547">
        <v>545</v>
      </c>
      <c r="DF547" t="str">
        <f>IF(IFERROR(MATCH(FFARawStatProjections!A548,Draft!BY:BY,0),1)&lt;=1,IF(FFARawStatProjections!A548=0,"",FFARawStatProjections!A548),"")</f>
        <v>Racey McMath</v>
      </c>
    </row>
    <row r="548" spans="109:110" x14ac:dyDescent="0.25">
      <c r="DE548">
        <v>546</v>
      </c>
      <c r="DF548" t="str">
        <f>IF(IFERROR(MATCH(FFARawStatProjections!A549,Draft!BY:BY,0),1)&lt;=1,IF(FFARawStatProjections!A549=0,"",FFARawStatProjections!A549),"")</f>
        <v>NKeal Harry</v>
      </c>
    </row>
    <row r="549" spans="109:110" x14ac:dyDescent="0.25">
      <c r="DE549">
        <v>547</v>
      </c>
      <c r="DF549" t="str">
        <f>IF(IFERROR(MATCH(FFARawStatProjections!A550,Draft!BY:BY,0),1)&lt;=1,IF(FFARawStatProjections!A550=0,"",FFARawStatProjections!A550),"")</f>
        <v>Tylan Wallace</v>
      </c>
    </row>
    <row r="550" spans="109:110" x14ac:dyDescent="0.25">
      <c r="DE550">
        <v>548</v>
      </c>
      <c r="DF550" t="str">
        <f>IF(IFERROR(MATCH(FFARawStatProjections!A551,Draft!BY:BY,0),1)&lt;=1,IF(FFARawStatProjections!A551=0,"",FFARawStatProjections!A551),"")</f>
        <v>Chris Conley</v>
      </c>
    </row>
    <row r="551" spans="109:110" x14ac:dyDescent="0.25">
      <c r="DE551">
        <v>549</v>
      </c>
      <c r="DF551" t="str">
        <f>IF(IFERROR(MATCH(FFARawStatProjections!A552,Draft!BY:BY,0),1)&lt;=1,IF(FFARawStatProjections!A552=0,"",FFARawStatProjections!A552),"")</f>
        <v>Jalen Camp</v>
      </c>
    </row>
    <row r="552" spans="109:110" x14ac:dyDescent="0.25">
      <c r="DE552">
        <v>550</v>
      </c>
      <c r="DF552" t="str">
        <f>IF(IFERROR(MATCH(FFARawStatProjections!A553,Draft!BY:BY,0),1)&lt;=1,IF(FFARawStatProjections!A553=0,"",FFARawStatProjections!A553),"")</f>
        <v>Vyncint Smith</v>
      </c>
    </row>
    <row r="553" spans="109:110" x14ac:dyDescent="0.25">
      <c r="DE553">
        <v>551</v>
      </c>
      <c r="DF553" t="str">
        <f>IF(IFERROR(MATCH(FFARawStatProjections!A554,Draft!BY:BY,0),1)&lt;=1,IF(FFARawStatProjections!A554=0,"",FFARawStatProjections!A554),"")</f>
        <v>Mike Strachan</v>
      </c>
    </row>
    <row r="554" spans="109:110" x14ac:dyDescent="0.25">
      <c r="DE554">
        <v>552</v>
      </c>
      <c r="DF554" t="str">
        <f>IF(IFERROR(MATCH(FFARawStatProjections!A555,Draft!BY:BY,0),1)&lt;=1,IF(FFARawStatProjections!A555=0,"",FFARawStatProjections!A555),"")</f>
        <v>Anthony Schwartz</v>
      </c>
    </row>
    <row r="555" spans="109:110" x14ac:dyDescent="0.25">
      <c r="DE555">
        <v>553</v>
      </c>
      <c r="DF555" t="str">
        <f>IF(IFERROR(MATCH(FFARawStatProjections!A556,Draft!BY:BY,0),1)&lt;=1,IF(FFARawStatProjections!A556=0,"",FFARawStatProjections!A556),"")</f>
        <v>Josh Ali</v>
      </c>
    </row>
    <row r="556" spans="109:110" x14ac:dyDescent="0.25">
      <c r="DE556">
        <v>554</v>
      </c>
      <c r="DF556" t="str">
        <f>IF(IFERROR(MATCH(FFARawStatProjections!A557,Draft!BY:BY,0),1)&lt;=1,IF(FFARawStatProjections!A557=0,"",FFARawStatProjections!A557),"")</f>
        <v>James Proche</v>
      </c>
    </row>
    <row r="557" spans="109:110" x14ac:dyDescent="0.25">
      <c r="DE557">
        <v>555</v>
      </c>
      <c r="DF557" t="str">
        <f>IF(IFERROR(MATCH(FFARawStatProjections!A558,Draft!BY:BY,0),1)&lt;=1,IF(FFARawStatProjections!A558=0,"",FFARawStatProjections!A558),"")</f>
        <v>Daurice Fountain</v>
      </c>
    </row>
    <row r="558" spans="109:110" x14ac:dyDescent="0.25">
      <c r="DE558">
        <v>556</v>
      </c>
      <c r="DF558" t="str">
        <f>IF(IFERROR(MATCH(FFARawStatProjections!A559,Draft!BY:BY,0),1)&lt;=1,IF(FFARawStatProjections!A559=0,"",FFARawStatProjections!A559),"")</f>
        <v>Greg Ward</v>
      </c>
    </row>
    <row r="559" spans="109:110" x14ac:dyDescent="0.25">
      <c r="DE559">
        <v>557</v>
      </c>
      <c r="DF559" t="str">
        <f>IF(IFERROR(MATCH(FFARawStatProjections!A560,Draft!BY:BY,0),1)&lt;=1,IF(FFARawStatProjections!A560=0,"",FFARawStatProjections!A560),"")</f>
        <v>Nsimba Webster</v>
      </c>
    </row>
    <row r="560" spans="109:110" x14ac:dyDescent="0.25">
      <c r="DE560">
        <v>558</v>
      </c>
      <c r="DF560" t="str">
        <f>IF(IFERROR(MATCH(FFARawStatProjections!A561,Draft!BY:BY,0),1)&lt;=1,IF(FFARawStatProjections!A561=0,"",FFARawStatProjections!A561),"")</f>
        <v>Keith Kirkwood</v>
      </c>
    </row>
    <row r="561" spans="109:110" x14ac:dyDescent="0.25">
      <c r="DE561">
        <v>559</v>
      </c>
      <c r="DF561" t="str">
        <f>IF(IFERROR(MATCH(FFARawStatProjections!A562,Draft!BY:BY,0),1)&lt;=1,IF(FFARawStatProjections!A562=0,"",FFARawStatProjections!A562),"")</f>
        <v>Miles Boykin</v>
      </c>
    </row>
    <row r="562" spans="109:110" x14ac:dyDescent="0.25">
      <c r="DE562">
        <v>560</v>
      </c>
      <c r="DF562" t="str">
        <f>IF(IFERROR(MATCH(FFARawStatProjections!A563,Draft!BY:BY,0),1)&lt;=1,IF(FFARawStatProjections!A563=0,"",FFARawStatProjections!A563),"")</f>
        <v>Alex Erickson</v>
      </c>
    </row>
    <row r="563" spans="109:110" x14ac:dyDescent="0.25">
      <c r="DE563">
        <v>561</v>
      </c>
      <c r="DF563" t="str">
        <f>IF(IFERROR(MATCH(FFARawStatProjections!A564,Draft!BY:BY,0),1)&lt;=1,IF(FFARawStatProjections!A564=0,"",FFARawStatProjections!A564),"")</f>
        <v>Breshad Perriman</v>
      </c>
    </row>
    <row r="564" spans="109:110" x14ac:dyDescent="0.25">
      <c r="DE564">
        <v>562</v>
      </c>
      <c r="DF564" t="str">
        <f>IF(IFERROR(MATCH(FFARawStatProjections!A565,Draft!BY:BY,0),1)&lt;=1,IF(FFARawStatProjections!A565=0,"",FFARawStatProjections!A565),"")</f>
        <v>Jason Brownlee</v>
      </c>
    </row>
    <row r="565" spans="109:110" x14ac:dyDescent="0.25">
      <c r="DE565">
        <v>563</v>
      </c>
      <c r="DF565" t="str">
        <f>IF(IFERROR(MATCH(FFARawStatProjections!A566,Draft!BY:BY,0),1)&lt;=1,IF(FFARawStatProjections!A566=0,"",FFARawStatProjections!A566),"")</f>
        <v>Kirk Merritt</v>
      </c>
    </row>
    <row r="566" spans="109:110" x14ac:dyDescent="0.25">
      <c r="DE566">
        <v>564</v>
      </c>
      <c r="DF566" t="str">
        <f>IF(IFERROR(MATCH(FFARawStatProjections!A567,Draft!BY:BY,0),1)&lt;=1,IF(FFARawStatProjections!A567=0,"",FFARawStatProjections!A567),"")</f>
        <v/>
      </c>
    </row>
    <row r="567" spans="109:110" x14ac:dyDescent="0.25">
      <c r="DE567">
        <v>565</v>
      </c>
      <c r="DF567" t="str">
        <f>IF(IFERROR(MATCH(FFARawStatProjections!A568,Draft!BY:BY,0),1)&lt;=1,IF(FFARawStatProjections!A568=0,"",FFARawStatProjections!A568),"")</f>
        <v/>
      </c>
    </row>
    <row r="568" spans="109:110" x14ac:dyDescent="0.25">
      <c r="DE568">
        <v>566</v>
      </c>
      <c r="DF568" t="str">
        <f>IF(IFERROR(MATCH(FFARawStatProjections!A569,Draft!BY:BY,0),1)&lt;=1,IF(FFARawStatProjections!A569=0,"",FFARawStatProjections!A569),"")</f>
        <v/>
      </c>
    </row>
    <row r="569" spans="109:110" x14ac:dyDescent="0.25">
      <c r="DE569">
        <v>567</v>
      </c>
      <c r="DF569" t="str">
        <f>IF(IFERROR(MATCH(FFARawStatProjections!A570,Draft!BY:BY,0),1)&lt;=1,IF(FFARawStatProjections!A570=0,"",FFARawStatProjections!A570),"")</f>
        <v/>
      </c>
    </row>
    <row r="570" spans="109:110" x14ac:dyDescent="0.25">
      <c r="DE570">
        <v>568</v>
      </c>
      <c r="DF570" t="str">
        <f>IF(IFERROR(MATCH(FFARawStatProjections!A571,Draft!BY:BY,0),1)&lt;=1,IF(FFARawStatProjections!A571=0,"",FFARawStatProjections!A571),"")</f>
        <v/>
      </c>
    </row>
    <row r="571" spans="109:110" x14ac:dyDescent="0.25">
      <c r="DE571">
        <v>569</v>
      </c>
      <c r="DF571" t="str">
        <f>IF(IFERROR(MATCH(FFARawStatProjections!A572,Draft!BY:BY,0),1)&lt;=1,IF(FFARawStatProjections!A572=0,"",FFARawStatProjections!A572),"")</f>
        <v/>
      </c>
    </row>
    <row r="572" spans="109:110" x14ac:dyDescent="0.25">
      <c r="DE572">
        <v>570</v>
      </c>
      <c r="DF572" t="str">
        <f>IF(IFERROR(MATCH(FFARawStatProjections!A573,Draft!BY:BY,0),1)&lt;=1,IF(FFARawStatProjections!A573=0,"",FFARawStatProjections!A573),"")</f>
        <v/>
      </c>
    </row>
    <row r="573" spans="109:110" x14ac:dyDescent="0.25">
      <c r="DE573">
        <v>571</v>
      </c>
      <c r="DF573" t="str">
        <f>IF(IFERROR(MATCH(FFARawStatProjections!A574,Draft!BY:BY,0),1)&lt;=1,IF(FFARawStatProjections!A574=0,"",FFARawStatProjections!A574),"")</f>
        <v/>
      </c>
    </row>
    <row r="574" spans="109:110" x14ac:dyDescent="0.25">
      <c r="DE574">
        <v>572</v>
      </c>
      <c r="DF574" t="str">
        <f>IF(IFERROR(MATCH(FFARawStatProjections!A575,Draft!BY:BY,0),1)&lt;=1,IF(FFARawStatProjections!A575=0,"",FFARawStatProjections!A575),"")</f>
        <v/>
      </c>
    </row>
    <row r="575" spans="109:110" x14ac:dyDescent="0.25">
      <c r="DE575">
        <v>573</v>
      </c>
      <c r="DF575" t="str">
        <f>IF(IFERROR(MATCH(FFARawStatProjections!A576,Draft!BY:BY,0),1)&lt;=1,IF(FFARawStatProjections!A576=0,"",FFARawStatProjections!A576),"")</f>
        <v/>
      </c>
    </row>
    <row r="576" spans="109:110" x14ac:dyDescent="0.25">
      <c r="DE576">
        <v>574</v>
      </c>
      <c r="DF576" t="str">
        <f>IF(IFERROR(MATCH(FFARawStatProjections!A577,Draft!BY:BY,0),1)&lt;=1,IF(FFARawStatProjections!A577=0,"",FFARawStatProjections!A577),"")</f>
        <v/>
      </c>
    </row>
    <row r="577" spans="109:110" x14ac:dyDescent="0.25">
      <c r="DE577">
        <v>575</v>
      </c>
      <c r="DF577" t="str">
        <f>IF(IFERROR(MATCH(FFARawStatProjections!A578,Draft!BY:BY,0),1)&lt;=1,IF(FFARawStatProjections!A578=0,"",FFARawStatProjections!A578),"")</f>
        <v/>
      </c>
    </row>
    <row r="578" spans="109:110" x14ac:dyDescent="0.25">
      <c r="DE578">
        <v>576</v>
      </c>
      <c r="DF578" t="str">
        <f>IF(IFERROR(MATCH(FFARawStatProjections!A579,Draft!BY:BY,0),1)&lt;=1,IF(FFARawStatProjections!A579=0,"",FFARawStatProjections!A579),"")</f>
        <v/>
      </c>
    </row>
    <row r="579" spans="109:110" x14ac:dyDescent="0.25">
      <c r="DE579">
        <v>577</v>
      </c>
      <c r="DF579" t="str">
        <f>IF(IFERROR(MATCH(FFARawStatProjections!A580,Draft!BY:BY,0),1)&lt;=1,IF(FFARawStatProjections!A580=0,"",FFARawStatProjections!A580),"")</f>
        <v/>
      </c>
    </row>
    <row r="580" spans="109:110" x14ac:dyDescent="0.25">
      <c r="DE580">
        <v>578</v>
      </c>
      <c r="DF580" t="str">
        <f>IF(IFERROR(MATCH(FFARawStatProjections!A581,Draft!BY:BY,0),1)&lt;=1,IF(FFARawStatProjections!A581=0,"",FFARawStatProjections!A581),"")</f>
        <v/>
      </c>
    </row>
    <row r="581" spans="109:110" x14ac:dyDescent="0.25">
      <c r="DE581">
        <v>579</v>
      </c>
      <c r="DF581" t="str">
        <f>IF(IFERROR(MATCH(FFARawStatProjections!A582,Draft!BY:BY,0),1)&lt;=1,IF(FFARawStatProjections!A582=0,"",FFARawStatProjections!A582),"")</f>
        <v/>
      </c>
    </row>
    <row r="582" spans="109:110" x14ac:dyDescent="0.25">
      <c r="DE582">
        <v>580</v>
      </c>
      <c r="DF582" t="str">
        <f>IF(IFERROR(MATCH(FFARawStatProjections!A583,Draft!BY:BY,0),1)&lt;=1,IF(FFARawStatProjections!A583=0,"",FFARawStatProjections!A583),"")</f>
        <v/>
      </c>
    </row>
    <row r="583" spans="109:110" x14ac:dyDescent="0.25">
      <c r="DE583">
        <v>581</v>
      </c>
      <c r="DF583" t="str">
        <f>IF(IFERROR(MATCH(FFARawStatProjections!A584,Draft!BY:BY,0),1)&lt;=1,IF(FFARawStatProjections!A584=0,"",FFARawStatProjections!A584),"")</f>
        <v/>
      </c>
    </row>
    <row r="584" spans="109:110" x14ac:dyDescent="0.25">
      <c r="DE584">
        <v>582</v>
      </c>
      <c r="DF584" t="str">
        <f>IF(IFERROR(MATCH(FFARawStatProjections!A585,Draft!BY:BY,0),1)&lt;=1,IF(FFARawStatProjections!A585=0,"",FFARawStatProjections!A585),"")</f>
        <v/>
      </c>
    </row>
    <row r="585" spans="109:110" x14ac:dyDescent="0.25">
      <c r="DE585">
        <v>583</v>
      </c>
      <c r="DF585" t="str">
        <f>IF(IFERROR(MATCH(FFARawStatProjections!A586,Draft!BY:BY,0),1)&lt;=1,IF(FFARawStatProjections!A586=0,"",FFARawStatProjections!A586),"")</f>
        <v/>
      </c>
    </row>
    <row r="586" spans="109:110" x14ac:dyDescent="0.25">
      <c r="DE586">
        <v>584</v>
      </c>
      <c r="DF586" t="str">
        <f>IF(IFERROR(MATCH(FFARawStatProjections!A587,Draft!BY:BY,0),1)&lt;=1,IF(FFARawStatProjections!A587=0,"",FFARawStatProjections!A587),"")</f>
        <v/>
      </c>
    </row>
    <row r="587" spans="109:110" x14ac:dyDescent="0.25">
      <c r="DE587">
        <v>585</v>
      </c>
      <c r="DF587" t="str">
        <f>IF(IFERROR(MATCH(FFARawStatProjections!A588,Draft!BY:BY,0),1)&lt;=1,IF(FFARawStatProjections!A588=0,"",FFARawStatProjections!A588),"")</f>
        <v/>
      </c>
    </row>
    <row r="588" spans="109:110" x14ac:dyDescent="0.25">
      <c r="DE588">
        <v>586</v>
      </c>
      <c r="DF588" t="str">
        <f>IF(IFERROR(MATCH(FFARawStatProjections!A589,Draft!BY:BY,0),1)&lt;=1,IF(FFARawStatProjections!A589=0,"",FFARawStatProjections!A589),"")</f>
        <v/>
      </c>
    </row>
    <row r="589" spans="109:110" x14ac:dyDescent="0.25">
      <c r="DE589">
        <v>587</v>
      </c>
      <c r="DF589" t="str">
        <f>IF(IFERROR(MATCH(FFARawStatProjections!A590,Draft!BY:BY,0),1)&lt;=1,IF(FFARawStatProjections!A590=0,"",FFARawStatProjections!A590),"")</f>
        <v/>
      </c>
    </row>
    <row r="590" spans="109:110" x14ac:dyDescent="0.25">
      <c r="DE590">
        <v>588</v>
      </c>
      <c r="DF590" t="str">
        <f>IF(IFERROR(MATCH(FFARawStatProjections!A591,Draft!BY:BY,0),1)&lt;=1,IF(FFARawStatProjections!A591=0,"",FFARawStatProjections!A591),"")</f>
        <v/>
      </c>
    </row>
    <row r="591" spans="109:110" x14ac:dyDescent="0.25">
      <c r="DE591">
        <v>589</v>
      </c>
      <c r="DF591" t="str">
        <f>IF(IFERROR(MATCH(FFARawStatProjections!A592,Draft!BY:BY,0),1)&lt;=1,IF(FFARawStatProjections!A592=0,"",FFARawStatProjections!A592),"")</f>
        <v/>
      </c>
    </row>
    <row r="592" spans="109:110" x14ac:dyDescent="0.25">
      <c r="DE592">
        <v>590</v>
      </c>
      <c r="DF592" t="str">
        <f>IF(IFERROR(MATCH(FFARawStatProjections!A593,Draft!BY:BY,0),1)&lt;=1,IF(FFARawStatProjections!A593=0,"",FFARawStatProjections!A593),"")</f>
        <v/>
      </c>
    </row>
    <row r="593" spans="109:110" x14ac:dyDescent="0.25">
      <c r="DE593">
        <v>591</v>
      </c>
      <c r="DF593" t="str">
        <f>IF(IFERROR(MATCH(FFARawStatProjections!A594,Draft!BY:BY,0),1)&lt;=1,IF(FFARawStatProjections!A594=0,"",FFARawStatProjections!A594),"")</f>
        <v/>
      </c>
    </row>
    <row r="594" spans="109:110" x14ac:dyDescent="0.25">
      <c r="DE594">
        <v>592</v>
      </c>
      <c r="DF594" t="str">
        <f>IF(IFERROR(MATCH(FFARawStatProjections!A595,Draft!BY:BY,0),1)&lt;=1,IF(FFARawStatProjections!A595=0,"",FFARawStatProjections!A595),"")</f>
        <v/>
      </c>
    </row>
    <row r="595" spans="109:110" x14ac:dyDescent="0.25">
      <c r="DE595">
        <v>593</v>
      </c>
      <c r="DF595" t="str">
        <f>IF(IFERROR(MATCH(FFARawStatProjections!A596,Draft!BY:BY,0),1)&lt;=1,IF(FFARawStatProjections!A596=0,"",FFARawStatProjections!A596),"")</f>
        <v/>
      </c>
    </row>
    <row r="596" spans="109:110" x14ac:dyDescent="0.25">
      <c r="DE596">
        <v>594</v>
      </c>
      <c r="DF596" t="str">
        <f>IF(IFERROR(MATCH(FFARawStatProjections!A597,Draft!BY:BY,0),1)&lt;=1,IF(FFARawStatProjections!A597=0,"",FFARawStatProjections!A597),"")</f>
        <v/>
      </c>
    </row>
    <row r="597" spans="109:110" x14ac:dyDescent="0.25">
      <c r="DE597">
        <v>595</v>
      </c>
      <c r="DF597" t="str">
        <f>IF(IFERROR(MATCH(FFARawStatProjections!A598,Draft!BY:BY,0),1)&lt;=1,IF(FFARawStatProjections!A598=0,"",FFARawStatProjections!A598),"")</f>
        <v/>
      </c>
    </row>
    <row r="598" spans="109:110" x14ac:dyDescent="0.25">
      <c r="DE598">
        <v>596</v>
      </c>
      <c r="DF598" t="str">
        <f>IF(IFERROR(MATCH(FFARawStatProjections!A599,Draft!BY:BY,0),1)&lt;=1,IF(FFARawStatProjections!A599=0,"",FFARawStatProjections!A599),"")</f>
        <v/>
      </c>
    </row>
    <row r="599" spans="109:110" x14ac:dyDescent="0.25">
      <c r="DE599">
        <v>597</v>
      </c>
      <c r="DF599" t="str">
        <f>IF(IFERROR(MATCH(FFARawStatProjections!A600,Draft!BY:BY,0),1)&lt;=1,IF(FFARawStatProjections!A600=0,"",FFARawStatProjections!A600),"")</f>
        <v/>
      </c>
    </row>
    <row r="600" spans="109:110" x14ac:dyDescent="0.25">
      <c r="DE600">
        <v>598</v>
      </c>
      <c r="DF600" t="str">
        <f>IF(IFERROR(MATCH(FFARawStatProjections!A601,Draft!BY:BY,0),1)&lt;=1,IF(FFARawStatProjections!A601=0,"",FFARawStatProjections!A601),"")</f>
        <v/>
      </c>
    </row>
    <row r="601" spans="109:110" x14ac:dyDescent="0.25">
      <c r="DE601">
        <v>599</v>
      </c>
      <c r="DF601" t="str">
        <f>IF(IFERROR(MATCH(FFARawStatProjections!A602,Draft!BY:BY,0),1)&lt;=1,IF(FFARawStatProjections!A602=0,"",FFARawStatProjections!A602),"")</f>
        <v/>
      </c>
    </row>
    <row r="602" spans="109:110" x14ac:dyDescent="0.25">
      <c r="DE602">
        <v>600</v>
      </c>
      <c r="DF602" t="str">
        <f>IF(IFERROR(MATCH(FFARawStatProjections!A603,Draft!BY:BY,0),1)&lt;=1,IF(FFARawStatProjections!A603=0,"",FFARawStatProjections!A603),"")</f>
        <v/>
      </c>
    </row>
    <row r="603" spans="109:110" x14ac:dyDescent="0.25">
      <c r="DE603">
        <v>601</v>
      </c>
      <c r="DF603" t="str">
        <f>IF(IFERROR(MATCH(FFARawStatProjections!A604,Draft!BY:BY,0),1)&lt;=1,IF(FFARawStatProjections!A604=0,"",FFARawStatProjections!A604),"")</f>
        <v/>
      </c>
    </row>
    <row r="604" spans="109:110" x14ac:dyDescent="0.25">
      <c r="DE604">
        <v>602</v>
      </c>
      <c r="DF604" t="str">
        <f>IF(IFERROR(MATCH(FFARawStatProjections!A605,Draft!BY:BY,0),1)&lt;=1,IF(FFARawStatProjections!A605=0,"",FFARawStatProjections!A605),"")</f>
        <v/>
      </c>
    </row>
    <row r="605" spans="109:110" x14ac:dyDescent="0.25">
      <c r="DE605">
        <v>603</v>
      </c>
      <c r="DF605" t="str">
        <f>IF(IFERROR(MATCH(FFARawStatProjections!A606,Draft!BY:BY,0),1)&lt;=1,IF(FFARawStatProjections!A606=0,"",FFARawStatProjections!A606),"")</f>
        <v/>
      </c>
    </row>
    <row r="606" spans="109:110" x14ac:dyDescent="0.25">
      <c r="DE606">
        <v>604</v>
      </c>
      <c r="DF606" t="str">
        <f>IF(IFERROR(MATCH(FFARawStatProjections!A607,Draft!BY:BY,0),1)&lt;=1,IF(FFARawStatProjections!A607=0,"",FFARawStatProjections!A607),"")</f>
        <v/>
      </c>
    </row>
    <row r="607" spans="109:110" x14ac:dyDescent="0.25">
      <c r="DE607">
        <v>605</v>
      </c>
      <c r="DF607" t="str">
        <f>IF(IFERROR(MATCH(FFARawStatProjections!A608,Draft!BY:BY,0),1)&lt;=1,IF(FFARawStatProjections!A608=0,"",FFARawStatProjections!A608),"")</f>
        <v/>
      </c>
    </row>
    <row r="608" spans="109:110" x14ac:dyDescent="0.25">
      <c r="DE608">
        <v>606</v>
      </c>
      <c r="DF608" t="str">
        <f>IF(IFERROR(MATCH(FFARawStatProjections!A609,Draft!BY:BY,0),1)&lt;=1,IF(FFARawStatProjections!A609=0,"",FFARawStatProjections!A609),"")</f>
        <v/>
      </c>
    </row>
    <row r="609" spans="109:110" x14ac:dyDescent="0.25">
      <c r="DE609">
        <v>607</v>
      </c>
      <c r="DF609" t="str">
        <f>IF(IFERROR(MATCH(FFARawStatProjections!A610,Draft!BY:BY,0),1)&lt;=1,IF(FFARawStatProjections!A610=0,"",FFARawStatProjections!A610),"")</f>
        <v>Travis Kelce</v>
      </c>
    </row>
    <row r="610" spans="109:110" x14ac:dyDescent="0.25">
      <c r="DE610">
        <v>608</v>
      </c>
      <c r="DF610" t="str">
        <f>IF(IFERROR(MATCH(FFARawStatProjections!A611,Draft!BY:BY,0),1)&lt;=1,IF(FFARawStatProjections!A611=0,"",FFARawStatProjections!A611),"")</f>
        <v>Mark Andrews</v>
      </c>
    </row>
    <row r="611" spans="109:110" x14ac:dyDescent="0.25">
      <c r="DE611">
        <v>609</v>
      </c>
      <c r="DF611" t="str">
        <f>IF(IFERROR(MATCH(FFARawStatProjections!A612,Draft!BY:BY,0),1)&lt;=1,IF(FFARawStatProjections!A612=0,"",FFARawStatProjections!A612),"")</f>
        <v>TJ Hockenson</v>
      </c>
    </row>
    <row r="612" spans="109:110" x14ac:dyDescent="0.25">
      <c r="DE612">
        <v>610</v>
      </c>
      <c r="DF612" t="str">
        <f>IF(IFERROR(MATCH(FFARawStatProjections!A613,Draft!BY:BY,0),1)&lt;=1,IF(FFARawStatProjections!A613=0,"",FFARawStatProjections!A613),"")</f>
        <v>George Kittle</v>
      </c>
    </row>
    <row r="613" spans="109:110" x14ac:dyDescent="0.25">
      <c r="DE613">
        <v>611</v>
      </c>
      <c r="DF613" t="str">
        <f>IF(IFERROR(MATCH(FFARawStatProjections!A614,Draft!BY:BY,0),1)&lt;=1,IF(FFARawStatProjections!A614=0,"",FFARawStatProjections!A614),"")</f>
        <v>Darren Waller</v>
      </c>
    </row>
    <row r="614" spans="109:110" x14ac:dyDescent="0.25">
      <c r="DE614">
        <v>612</v>
      </c>
      <c r="DF614" t="str">
        <f>IF(IFERROR(MATCH(FFARawStatProjections!A615,Draft!BY:BY,0),1)&lt;=1,IF(FFARawStatProjections!A615=0,"",FFARawStatProjections!A615),"")</f>
        <v>Kyle Pitts</v>
      </c>
    </row>
    <row r="615" spans="109:110" x14ac:dyDescent="0.25">
      <c r="DE615">
        <v>613</v>
      </c>
      <c r="DF615" t="str">
        <f>IF(IFERROR(MATCH(FFARawStatProjections!A616,Draft!BY:BY,0),1)&lt;=1,IF(FFARawStatProjections!A616=0,"",FFARawStatProjections!A616),"")</f>
        <v>Dallas Goedert</v>
      </c>
    </row>
    <row r="616" spans="109:110" x14ac:dyDescent="0.25">
      <c r="DE616">
        <v>614</v>
      </c>
      <c r="DF616" t="str">
        <f>IF(IFERROR(MATCH(FFARawStatProjections!A617,Draft!BY:BY,0),1)&lt;=1,IF(FFARawStatProjections!A617=0,"",FFARawStatProjections!A617),"")</f>
        <v>Patrick Freiermuth</v>
      </c>
    </row>
    <row r="617" spans="109:110" x14ac:dyDescent="0.25">
      <c r="DE617">
        <v>615</v>
      </c>
      <c r="DF617" t="str">
        <f>IF(IFERROR(MATCH(FFARawStatProjections!A618,Draft!BY:BY,0),1)&lt;=1,IF(FFARawStatProjections!A618=0,"",FFARawStatProjections!A618),"")</f>
        <v>Evan Engram</v>
      </c>
    </row>
    <row r="618" spans="109:110" x14ac:dyDescent="0.25">
      <c r="DE618">
        <v>616</v>
      </c>
      <c r="DF618" t="str">
        <f>IF(IFERROR(MATCH(FFARawStatProjections!A619,Draft!BY:BY,0),1)&lt;=1,IF(FFARawStatProjections!A619=0,"",FFARawStatProjections!A619),"")</f>
        <v>David Njoku</v>
      </c>
    </row>
    <row r="619" spans="109:110" x14ac:dyDescent="0.25">
      <c r="DE619">
        <v>617</v>
      </c>
      <c r="DF619" t="str">
        <f>IF(IFERROR(MATCH(FFARawStatProjections!A620,Draft!BY:BY,0),1)&lt;=1,IF(FFARawStatProjections!A620=0,"",FFARawStatProjections!A620),"")</f>
        <v>Chigoziem Okonkwo</v>
      </c>
    </row>
    <row r="620" spans="109:110" x14ac:dyDescent="0.25">
      <c r="DE620">
        <v>618</v>
      </c>
      <c r="DF620" t="str">
        <f>IF(IFERROR(MATCH(FFARawStatProjections!A621,Draft!BY:BY,0),1)&lt;=1,IF(FFARawStatProjections!A621=0,"",FFARawStatProjections!A621),"")</f>
        <v>Dalton Schultz</v>
      </c>
    </row>
    <row r="621" spans="109:110" x14ac:dyDescent="0.25">
      <c r="DE621">
        <v>619</v>
      </c>
      <c r="DF621" t="str">
        <f>IF(IFERROR(MATCH(FFARawStatProjections!A622,Draft!BY:BY,0),1)&lt;=1,IF(FFARawStatProjections!A622=0,"",FFARawStatProjections!A622),"")</f>
        <v>Tyler Higbee</v>
      </c>
    </row>
    <row r="622" spans="109:110" x14ac:dyDescent="0.25">
      <c r="DE622">
        <v>620</v>
      </c>
      <c r="DF622" t="str">
        <f>IF(IFERROR(MATCH(FFARawStatProjections!A623,Draft!BY:BY,0),1)&lt;=1,IF(FFARawStatProjections!A623=0,"",FFARawStatProjections!A623),"")</f>
        <v>Greg Dulcich</v>
      </c>
    </row>
    <row r="623" spans="109:110" x14ac:dyDescent="0.25">
      <c r="DE623">
        <v>621</v>
      </c>
      <c r="DF623" t="str">
        <f>IF(IFERROR(MATCH(FFARawStatProjections!A624,Draft!BY:BY,0),1)&lt;=1,IF(FFARawStatProjections!A624=0,"",FFARawStatProjections!A624),"")</f>
        <v>Cole Kmet</v>
      </c>
    </row>
    <row r="624" spans="109:110" x14ac:dyDescent="0.25">
      <c r="DE624">
        <v>622</v>
      </c>
      <c r="DF624" t="str">
        <f>IF(IFERROR(MATCH(FFARawStatProjections!A625,Draft!BY:BY,0),1)&lt;=1,IF(FFARawStatProjections!A625=0,"",FFARawStatProjections!A625),"")</f>
        <v>Gerald Everett</v>
      </c>
    </row>
    <row r="625" spans="109:110" x14ac:dyDescent="0.25">
      <c r="DE625">
        <v>623</v>
      </c>
      <c r="DF625" t="str">
        <f>IF(IFERROR(MATCH(FFARawStatProjections!A626,Draft!BY:BY,0),1)&lt;=1,IF(FFARawStatProjections!A626=0,"",FFARawStatProjections!A626),"")</f>
        <v>Juwan Johnson</v>
      </c>
    </row>
    <row r="626" spans="109:110" x14ac:dyDescent="0.25">
      <c r="DE626">
        <v>624</v>
      </c>
      <c r="DF626" t="str">
        <f>IF(IFERROR(MATCH(FFARawStatProjections!A627,Draft!BY:BY,0),1)&lt;=1,IF(FFARawStatProjections!A627=0,"",FFARawStatProjections!A627),"")</f>
        <v>Dalton Kincaid</v>
      </c>
    </row>
    <row r="627" spans="109:110" x14ac:dyDescent="0.25">
      <c r="DE627">
        <v>625</v>
      </c>
      <c r="DF627" t="str">
        <f>IF(IFERROR(MATCH(FFARawStatProjections!A628,Draft!BY:BY,0),1)&lt;=1,IF(FFARawStatProjections!A628=0,"",FFARawStatProjections!A628),"")</f>
        <v>Sam LaPorta</v>
      </c>
    </row>
    <row r="628" spans="109:110" x14ac:dyDescent="0.25">
      <c r="DE628">
        <v>626</v>
      </c>
      <c r="DF628" t="str">
        <f>IF(IFERROR(MATCH(FFARawStatProjections!A629,Draft!BY:BY,0),1)&lt;=1,IF(FFARawStatProjections!A629=0,"",FFARawStatProjections!A629),"")</f>
        <v>Hunter Henry</v>
      </c>
    </row>
    <row r="629" spans="109:110" x14ac:dyDescent="0.25">
      <c r="DE629">
        <v>627</v>
      </c>
      <c r="DF629" t="str">
        <f>IF(IFERROR(MATCH(FFARawStatProjections!A630,Draft!BY:BY,0),1)&lt;=1,IF(FFARawStatProjections!A630=0,"",FFARawStatProjections!A630),"")</f>
        <v>Irv Smith</v>
      </c>
    </row>
    <row r="630" spans="109:110" x14ac:dyDescent="0.25">
      <c r="DE630">
        <v>628</v>
      </c>
      <c r="DF630" t="str">
        <f>IF(IFERROR(MATCH(FFARawStatProjections!A631,Draft!BY:BY,0),1)&lt;=1,IF(FFARawStatProjections!A631=0,"",FFARawStatProjections!A631),"")</f>
        <v>Noah Fant</v>
      </c>
    </row>
    <row r="631" spans="109:110" x14ac:dyDescent="0.25">
      <c r="DE631">
        <v>629</v>
      </c>
      <c r="DF631" t="str">
        <f>IF(IFERROR(MATCH(FFARawStatProjections!A632,Draft!BY:BY,0),1)&lt;=1,IF(FFARawStatProjections!A632=0,"",FFARawStatProjections!A632),"")</f>
        <v>Dawson Knox</v>
      </c>
    </row>
    <row r="632" spans="109:110" x14ac:dyDescent="0.25">
      <c r="DE632">
        <v>630</v>
      </c>
      <c r="DF632" t="str">
        <f>IF(IFERROR(MATCH(FFARawStatProjections!A633,Draft!BY:BY,0),1)&lt;=1,IF(FFARawStatProjections!A633=0,"",FFARawStatProjections!A633),"")</f>
        <v>Hayden Hurst</v>
      </c>
    </row>
    <row r="633" spans="109:110" x14ac:dyDescent="0.25">
      <c r="DE633">
        <v>631</v>
      </c>
      <c r="DF633" t="str">
        <f>IF(IFERROR(MATCH(FFARawStatProjections!A634,Draft!BY:BY,0),1)&lt;=1,IF(FFARawStatProjections!A634=0,"",FFARawStatProjections!A634),"")</f>
        <v>Zach Ertz</v>
      </c>
    </row>
    <row r="634" spans="109:110" x14ac:dyDescent="0.25">
      <c r="DE634">
        <v>632</v>
      </c>
      <c r="DF634" t="str">
        <f>IF(IFERROR(MATCH(FFARawStatProjections!A635,Draft!BY:BY,0),1)&lt;=1,IF(FFARawStatProjections!A635=0,"",FFARawStatProjections!A635),"")</f>
        <v>Jelani Woods</v>
      </c>
    </row>
    <row r="635" spans="109:110" x14ac:dyDescent="0.25">
      <c r="DE635">
        <v>633</v>
      </c>
      <c r="DF635" t="str">
        <f>IF(IFERROR(MATCH(FFARawStatProjections!A636,Draft!BY:BY,0),1)&lt;=1,IF(FFARawStatProjections!A636=0,"",FFARawStatProjections!A636),"")</f>
        <v>Taysom Hill</v>
      </c>
    </row>
    <row r="636" spans="109:110" x14ac:dyDescent="0.25">
      <c r="DE636">
        <v>634</v>
      </c>
      <c r="DF636" t="str">
        <f>IF(IFERROR(MATCH(FFARawStatProjections!A637,Draft!BY:BY,0),1)&lt;=1,IF(FFARawStatProjections!A637=0,"",FFARawStatProjections!A637),"")</f>
        <v>Cade Otton</v>
      </c>
    </row>
    <row r="637" spans="109:110" x14ac:dyDescent="0.25">
      <c r="DE637">
        <v>635</v>
      </c>
      <c r="DF637" t="str">
        <f>IF(IFERROR(MATCH(FFARawStatProjections!A638,Draft!BY:BY,0),1)&lt;=1,IF(FFARawStatProjections!A638=0,"",FFARawStatProjections!A638),"")</f>
        <v>Tyler Conklin</v>
      </c>
    </row>
    <row r="638" spans="109:110" x14ac:dyDescent="0.25">
      <c r="DE638">
        <v>636</v>
      </c>
      <c r="DF638" t="str">
        <f>IF(IFERROR(MATCH(FFARawStatProjections!A639,Draft!BY:BY,0),1)&lt;=1,IF(FFARawStatProjections!A639=0,"",FFARawStatProjections!A639),"")</f>
        <v>Mike Gesicki</v>
      </c>
    </row>
    <row r="639" spans="109:110" x14ac:dyDescent="0.25">
      <c r="DE639">
        <v>637</v>
      </c>
      <c r="DF639" t="str">
        <f>IF(IFERROR(MATCH(FFARawStatProjections!A640,Draft!BY:BY,0),1)&lt;=1,IF(FFARawStatProjections!A640=0,"",FFARawStatProjections!A640),"")</f>
        <v>Jake Ferguson</v>
      </c>
    </row>
    <row r="640" spans="109:110" x14ac:dyDescent="0.25">
      <c r="DE640">
        <v>638</v>
      </c>
      <c r="DF640" t="str">
        <f>IF(IFERROR(MATCH(FFARawStatProjections!A641,Draft!BY:BY,0),1)&lt;=1,IF(FFARawStatProjections!A641=0,"",FFARawStatProjections!A641),"")</f>
        <v>Michael Mayer</v>
      </c>
    </row>
    <row r="641" spans="109:110" x14ac:dyDescent="0.25">
      <c r="DE641">
        <v>639</v>
      </c>
      <c r="DF641" t="str">
        <f>IF(IFERROR(MATCH(FFARawStatProjections!A642,Draft!BY:BY,0),1)&lt;=1,IF(FFARawStatProjections!A642=0,"",FFARawStatProjections!A642),"")</f>
        <v>Logan Thomas</v>
      </c>
    </row>
    <row r="642" spans="109:110" x14ac:dyDescent="0.25">
      <c r="DE642">
        <v>640</v>
      </c>
      <c r="DF642" t="str">
        <f>IF(IFERROR(MATCH(FFARawStatProjections!A643,Draft!BY:BY,0),1)&lt;=1,IF(FFARawStatProjections!A643=0,"",FFARawStatProjections!A643),"")</f>
        <v>Luke Musgrave</v>
      </c>
    </row>
    <row r="643" spans="109:110" x14ac:dyDescent="0.25">
      <c r="DE643">
        <v>641</v>
      </c>
      <c r="DF643" t="str">
        <f>IF(IFERROR(MATCH(FFARawStatProjections!A644,Draft!BY:BY,0),1)&lt;=1,IF(FFARawStatProjections!A644=0,"",FFARawStatProjections!A644),"")</f>
        <v>Trey McBride</v>
      </c>
    </row>
    <row r="644" spans="109:110" x14ac:dyDescent="0.25">
      <c r="DE644">
        <v>642</v>
      </c>
      <c r="DF644" t="str">
        <f>IF(IFERROR(MATCH(FFARawStatProjections!A645,Draft!BY:BY,0),1)&lt;=1,IF(FFARawStatProjections!A645=0,"",FFARawStatProjections!A645),"")</f>
        <v>Isaiah Likely</v>
      </c>
    </row>
    <row r="645" spans="109:110" x14ac:dyDescent="0.25">
      <c r="DE645">
        <v>643</v>
      </c>
      <c r="DF645" t="str">
        <f>IF(IFERROR(MATCH(FFARawStatProjections!A646,Draft!BY:BY,0),1)&lt;=1,IF(FFARawStatProjections!A646=0,"",FFARawStatProjections!A646),"")</f>
        <v>Austin Hooper</v>
      </c>
    </row>
    <row r="646" spans="109:110" x14ac:dyDescent="0.25">
      <c r="DE646">
        <v>644</v>
      </c>
      <c r="DF646" t="str">
        <f>IF(IFERROR(MATCH(FFARawStatProjections!A647,Draft!BY:BY,0),1)&lt;=1,IF(FFARawStatProjections!A647=0,"",FFARawStatProjections!A647),"")</f>
        <v>Noah Gray</v>
      </c>
    </row>
    <row r="647" spans="109:110" x14ac:dyDescent="0.25">
      <c r="DE647">
        <v>645</v>
      </c>
      <c r="DF647" t="str">
        <f>IF(IFERROR(MATCH(FFARawStatProjections!A648,Draft!BY:BY,0),1)&lt;=1,IF(FFARawStatProjections!A648=0,"",FFARawStatProjections!A648),"")</f>
        <v>Luke Schoonmaker</v>
      </c>
    </row>
    <row r="648" spans="109:110" x14ac:dyDescent="0.25">
      <c r="DE648">
        <v>646</v>
      </c>
      <c r="DF648" t="str">
        <f>IF(IFERROR(MATCH(FFARawStatProjections!A649,Draft!BY:BY,0),1)&lt;=1,IF(FFARawStatProjections!A649=0,"",FFARawStatProjections!A649),"")</f>
        <v>Donald Parham</v>
      </c>
    </row>
    <row r="649" spans="109:110" x14ac:dyDescent="0.25">
      <c r="DE649">
        <v>647</v>
      </c>
      <c r="DF649" t="str">
        <f>IF(IFERROR(MATCH(FFARawStatProjections!A650,Draft!BY:BY,0),1)&lt;=1,IF(FFARawStatProjections!A650=0,"",FFARawStatProjections!A650),"")</f>
        <v>Jonnu Smith</v>
      </c>
    </row>
    <row r="650" spans="109:110" x14ac:dyDescent="0.25">
      <c r="DE650">
        <v>648</v>
      </c>
      <c r="DF650" t="str">
        <f>IF(IFERROR(MATCH(FFARawStatProjections!A651,Draft!BY:BY,0),1)&lt;=1,IF(FFARawStatProjections!A651=0,"",FFARawStatProjections!A651),"")</f>
        <v>Foster Moreau</v>
      </c>
    </row>
    <row r="651" spans="109:110" x14ac:dyDescent="0.25">
      <c r="DE651">
        <v>649</v>
      </c>
      <c r="DF651" t="str">
        <f>IF(IFERROR(MATCH(FFARawStatProjections!A652,Draft!BY:BY,0),1)&lt;=1,IF(FFARawStatProjections!A652=0,"",FFARawStatProjections!A652),"")</f>
        <v>Will Dissly</v>
      </c>
    </row>
    <row r="652" spans="109:110" x14ac:dyDescent="0.25">
      <c r="DE652">
        <v>650</v>
      </c>
      <c r="DF652" t="str">
        <f>IF(IFERROR(MATCH(FFARawStatProjections!A653,Draft!BY:BY,0),1)&lt;=1,IF(FFARawStatProjections!A653=0,"",FFARawStatProjections!A653),"")</f>
        <v>Brock Wright</v>
      </c>
    </row>
    <row r="653" spans="109:110" x14ac:dyDescent="0.25">
      <c r="DE653">
        <v>651</v>
      </c>
      <c r="DF653" t="str">
        <f>IF(IFERROR(MATCH(FFARawStatProjections!A654,Draft!BY:BY,0),1)&lt;=1,IF(FFARawStatProjections!A654=0,"",FFARawStatProjections!A654),"")</f>
        <v>Robert Tonyan</v>
      </c>
    </row>
    <row r="654" spans="109:110" x14ac:dyDescent="0.25">
      <c r="DE654">
        <v>652</v>
      </c>
      <c r="DF654" t="str">
        <f>IF(IFERROR(MATCH(FFARawStatProjections!A655,Draft!BY:BY,0),1)&lt;=1,IF(FFARawStatProjections!A655=0,"",FFARawStatProjections!A655),"")</f>
        <v>CJ Uzomah</v>
      </c>
    </row>
    <row r="655" spans="109:110" x14ac:dyDescent="0.25">
      <c r="DE655">
        <v>653</v>
      </c>
      <c r="DF655" t="str">
        <f>IF(IFERROR(MATCH(FFARawStatProjections!A656,Draft!BY:BY,0),1)&lt;=1,IF(FFARawStatProjections!A656=0,"",FFARawStatProjections!A656),"")</f>
        <v>Adam Trautman</v>
      </c>
    </row>
    <row r="656" spans="109:110" x14ac:dyDescent="0.25">
      <c r="DE656">
        <v>654</v>
      </c>
      <c r="DF656" t="str">
        <f>IF(IFERROR(MATCH(FFARawStatProjections!A657,Draft!BY:BY,0),1)&lt;=1,IF(FFARawStatProjections!A657=0,"",FFARawStatProjections!A657),"")</f>
        <v>Kylen Granson</v>
      </c>
    </row>
    <row r="657" spans="109:110" x14ac:dyDescent="0.25">
      <c r="DE657">
        <v>655</v>
      </c>
      <c r="DF657" t="str">
        <f>IF(IFERROR(MATCH(FFARawStatProjections!A658,Draft!BY:BY,0),1)&lt;=1,IF(FFARawStatProjections!A658=0,"",FFARawStatProjections!A658),"")</f>
        <v>Durham Smythe</v>
      </c>
    </row>
    <row r="658" spans="109:110" x14ac:dyDescent="0.25">
      <c r="DE658">
        <v>656</v>
      </c>
      <c r="DF658" t="str">
        <f>IF(IFERROR(MATCH(FFARawStatProjections!A659,Draft!BY:BY,0),1)&lt;=1,IF(FFARawStatProjections!A659=0,"",FFARawStatProjections!A659),"")</f>
        <v>Jordan Akins</v>
      </c>
    </row>
    <row r="659" spans="109:110" x14ac:dyDescent="0.25">
      <c r="DE659">
        <v>657</v>
      </c>
      <c r="DF659" t="str">
        <f>IF(IFERROR(MATCH(FFARawStatProjections!A660,Draft!BY:BY,0),1)&lt;=1,IF(FFARawStatProjections!A660=0,"",FFARawStatProjections!A660),"")</f>
        <v>Brenton Strange</v>
      </c>
    </row>
    <row r="660" spans="109:110" x14ac:dyDescent="0.25">
      <c r="DE660">
        <v>658</v>
      </c>
      <c r="DF660" t="str">
        <f>IF(IFERROR(MATCH(FFARawStatProjections!A661,Draft!BY:BY,0),1)&lt;=1,IF(FFARawStatProjections!A661=0,"",FFARawStatProjections!A661),"")</f>
        <v>Josiah Deguara</v>
      </c>
    </row>
    <row r="661" spans="109:110" x14ac:dyDescent="0.25">
      <c r="DE661">
        <v>659</v>
      </c>
      <c r="DF661" t="str">
        <f>IF(IFERROR(MATCH(FFARawStatProjections!A662,Draft!BY:BY,0),1)&lt;=1,IF(FFARawStatProjections!A662=0,"",FFARawStatProjections!A662),"")</f>
        <v>Harrison Bryant</v>
      </c>
    </row>
    <row r="662" spans="109:110" x14ac:dyDescent="0.25">
      <c r="DE662">
        <v>660</v>
      </c>
      <c r="DF662" t="str">
        <f>IF(IFERROR(MATCH(FFARawStatProjections!A663,Draft!BY:BY,0),1)&lt;=1,IF(FFARawStatProjections!A663=0,"",FFARawStatProjections!A663),"")</f>
        <v>Mo Alie-Cox</v>
      </c>
    </row>
    <row r="663" spans="109:110" x14ac:dyDescent="0.25">
      <c r="DE663">
        <v>661</v>
      </c>
      <c r="DF663" t="str">
        <f>IF(IFERROR(MATCH(FFARawStatProjections!A664,Draft!BY:BY,0),1)&lt;=1,IF(FFARawStatProjections!A664=0,"",FFARawStatProjections!A664),"")</f>
        <v>Jimmy Graham</v>
      </c>
    </row>
    <row r="664" spans="109:110" x14ac:dyDescent="0.25">
      <c r="DE664">
        <v>662</v>
      </c>
      <c r="DF664" t="str">
        <f>IF(IFERROR(MATCH(FFARawStatProjections!A665,Draft!BY:BY,0),1)&lt;=1,IF(FFARawStatProjections!A665=0,"",FFARawStatProjections!A665),"")</f>
        <v>Tucker Kraft</v>
      </c>
    </row>
    <row r="665" spans="109:110" x14ac:dyDescent="0.25">
      <c r="DE665">
        <v>663</v>
      </c>
      <c r="DF665" t="str">
        <f>IF(IFERROR(MATCH(FFARawStatProjections!A666,Draft!BY:BY,0),1)&lt;=1,IF(FFARawStatProjections!A666=0,"",FFARawStatProjections!A666),"")</f>
        <v>Josh Oliver</v>
      </c>
    </row>
    <row r="666" spans="109:110" x14ac:dyDescent="0.25">
      <c r="DE666">
        <v>664</v>
      </c>
      <c r="DF666" t="str">
        <f>IF(IFERROR(MATCH(FFARawStatProjections!A667,Draft!BY:BY,0),1)&lt;=1,IF(FFARawStatProjections!A667=0,"",FFARawStatProjections!A667),"")</f>
        <v>Tommy Tremble</v>
      </c>
    </row>
    <row r="667" spans="109:110" x14ac:dyDescent="0.25">
      <c r="DE667">
        <v>665</v>
      </c>
      <c r="DF667" t="str">
        <f>IF(IFERROR(MATCH(FFARawStatProjections!A668,Draft!BY:BY,0),1)&lt;=1,IF(FFARawStatProjections!A668=0,"",FFARawStatProjections!A668),"")</f>
        <v>Elijah Higgins</v>
      </c>
    </row>
    <row r="668" spans="109:110" x14ac:dyDescent="0.25">
      <c r="DE668">
        <v>666</v>
      </c>
      <c r="DF668" t="str">
        <f>IF(IFERROR(MATCH(FFARawStatProjections!A669,Draft!BY:BY,0),1)&lt;=1,IF(FFARawStatProjections!A669=0,"",FFARawStatProjections!A669),"")</f>
        <v>Colby Parkinson</v>
      </c>
    </row>
    <row r="669" spans="109:110" x14ac:dyDescent="0.25">
      <c r="DE669">
        <v>667</v>
      </c>
      <c r="DF669" t="str">
        <f>IF(IFERROR(MATCH(FFARawStatProjections!A670,Draft!BY:BY,0),1)&lt;=1,IF(FFARawStatProjections!A670=0,"",FFARawStatProjections!A670),"")</f>
        <v>Ian Thomas</v>
      </c>
    </row>
    <row r="670" spans="109:110" x14ac:dyDescent="0.25">
      <c r="DE670">
        <v>668</v>
      </c>
      <c r="DF670" t="str">
        <f>IF(IFERROR(MATCH(FFARawStatProjections!A671,Draft!BY:BY,0),1)&lt;=1,IF(FFARawStatProjections!A671=0,"",FFARawStatProjections!A671),"")</f>
        <v>Brevin Jordan</v>
      </c>
    </row>
    <row r="671" spans="109:110" x14ac:dyDescent="0.25">
      <c r="DE671">
        <v>669</v>
      </c>
      <c r="DF671" t="str">
        <f>IF(IFERROR(MATCH(FFARawStatProjections!A672,Draft!BY:BY,0),1)&lt;=1,IF(FFARawStatProjections!A672=0,"",FFARawStatProjections!A672),"")</f>
        <v>Darnell Washington</v>
      </c>
    </row>
    <row r="672" spans="109:110" x14ac:dyDescent="0.25">
      <c r="DE672">
        <v>670</v>
      </c>
      <c r="DF672" t="str">
        <f>IF(IFERROR(MATCH(FFARawStatProjections!A673,Draft!BY:BY,0),1)&lt;=1,IF(FFARawStatProjections!A673=0,"",FFARawStatProjections!A673),"")</f>
        <v>Teagan Quitoriano</v>
      </c>
    </row>
    <row r="673" spans="109:110" x14ac:dyDescent="0.25">
      <c r="DE673">
        <v>671</v>
      </c>
      <c r="DF673" t="str">
        <f>IF(IFERROR(MATCH(FFARawStatProjections!A674,Draft!BY:BY,0),1)&lt;=1,IF(FFARawStatProjections!A674=0,"",FFARawStatProjections!A674),"")</f>
        <v>Daniel Bellinger</v>
      </c>
    </row>
    <row r="674" spans="109:110" x14ac:dyDescent="0.25">
      <c r="DE674">
        <v>672</v>
      </c>
      <c r="DF674" t="str">
        <f>IF(IFERROR(MATCH(FFARawStatProjections!A675,Draft!BY:BY,0),1)&lt;=1,IF(FFARawStatProjections!A675=0,"",FFARawStatProjections!A675),"")</f>
        <v>Lawrence Cager</v>
      </c>
    </row>
    <row r="675" spans="109:110" x14ac:dyDescent="0.25">
      <c r="DE675">
        <v>673</v>
      </c>
      <c r="DF675" t="str">
        <f>IF(IFERROR(MATCH(FFARawStatProjections!A676,Draft!BY:BY,0),1)&lt;=1,IF(FFARawStatProjections!A676=0,"",FFARawStatProjections!A676),"")</f>
        <v>Albert Okwuegbunam</v>
      </c>
    </row>
    <row r="676" spans="109:110" x14ac:dyDescent="0.25">
      <c r="DE676">
        <v>674</v>
      </c>
      <c r="DF676" t="str">
        <f>IF(IFERROR(MATCH(FFARawStatProjections!A677,Draft!BY:BY,0),1)&lt;=1,IF(FFARawStatProjections!A677=0,"",FFARawStatProjections!A677),"")</f>
        <v>Charlie Kolar</v>
      </c>
    </row>
    <row r="677" spans="109:110" x14ac:dyDescent="0.25">
      <c r="DE677">
        <v>675</v>
      </c>
      <c r="DF677" t="str">
        <f>IF(IFERROR(MATCH(FFARawStatProjections!A678,Draft!BY:BY,0),1)&lt;=1,IF(FFARawStatProjections!A678=0,"",FFARawStatProjections!A678),"")</f>
        <v>Brycen Hopkins</v>
      </c>
    </row>
    <row r="678" spans="109:110" x14ac:dyDescent="0.25">
      <c r="DE678">
        <v>676</v>
      </c>
      <c r="DF678" t="str">
        <f>IF(IFERROR(MATCH(FFARawStatProjections!A679,Draft!BY:BY,0),1)&lt;=1,IF(FFARawStatProjections!A679=0,"",FFARawStatProjections!A679),"")</f>
        <v>Peyton Hendershot</v>
      </c>
    </row>
    <row r="679" spans="109:110" x14ac:dyDescent="0.25">
      <c r="DE679">
        <v>677</v>
      </c>
      <c r="DF679" t="str">
        <f>IF(IFERROR(MATCH(FFARawStatProjections!A680,Draft!BY:BY,0),1)&lt;=1,IF(FFARawStatProjections!A680=0,"",FFARawStatProjections!A680),"")</f>
        <v>Eric Saubert</v>
      </c>
    </row>
    <row r="680" spans="109:110" x14ac:dyDescent="0.25">
      <c r="DE680">
        <v>678</v>
      </c>
      <c r="DF680" t="str">
        <f>IF(IFERROR(MATCH(FFARawStatProjections!A681,Draft!BY:BY,0),1)&lt;=1,IF(FFARawStatProjections!A681=0,"",FFARawStatProjections!A681),"")</f>
        <v>Blake Bell</v>
      </c>
    </row>
    <row r="681" spans="109:110" x14ac:dyDescent="0.25">
      <c r="DE681">
        <v>679</v>
      </c>
      <c r="DF681" t="str">
        <f>IF(IFERROR(MATCH(FFARawStatProjections!A682,Draft!BY:BY,0),1)&lt;=1,IF(FFARawStatProjections!A682=0,"",FFARawStatProjections!A682),"")</f>
        <v>John Bates</v>
      </c>
    </row>
    <row r="682" spans="109:110" x14ac:dyDescent="0.25">
      <c r="DE682">
        <v>680</v>
      </c>
      <c r="DF682" t="str">
        <f>IF(IFERROR(MATCH(FFARawStatProjections!A683,Draft!BY:BY,0),1)&lt;=1,IF(FFARawStatProjections!A683=0,"",FFARawStatProjections!A683),"")</f>
        <v>Dan Arnold</v>
      </c>
    </row>
    <row r="683" spans="109:110" x14ac:dyDescent="0.25">
      <c r="DE683">
        <v>681</v>
      </c>
      <c r="DF683" t="str">
        <f>IF(IFERROR(MATCH(FFARawStatProjections!A684,Draft!BY:BY,0),1)&lt;=1,IF(FFARawStatProjections!A684=0,"",FFARawStatProjections!A684),"")</f>
        <v>Cameron Latu</v>
      </c>
    </row>
    <row r="684" spans="109:110" x14ac:dyDescent="0.25">
      <c r="DE684">
        <v>682</v>
      </c>
      <c r="DF684" t="str">
        <f>IF(IFERROR(MATCH(FFARawStatProjections!A685,Draft!BY:BY,0),1)&lt;=1,IF(FFARawStatProjections!A685=0,"",FFARawStatProjections!A685),"")</f>
        <v>Hunter Long</v>
      </c>
    </row>
    <row r="685" spans="109:110" x14ac:dyDescent="0.25">
      <c r="DE685">
        <v>683</v>
      </c>
      <c r="DF685" t="str">
        <f>IF(IFERROR(MATCH(FFARawStatProjections!A686,Draft!BY:BY,0),1)&lt;=1,IF(FFARawStatProjections!A686=0,"",FFARawStatProjections!A686),"")</f>
        <v>Payne Durham</v>
      </c>
    </row>
    <row r="686" spans="109:110" x14ac:dyDescent="0.25">
      <c r="DE686">
        <v>684</v>
      </c>
      <c r="DF686" t="str">
        <f>IF(IFERROR(MATCH(FFARawStatProjections!A687,Draft!BY:BY,0),1)&lt;=1,IF(FFARawStatProjections!A687=0,"",FFARawStatProjections!A687),"")</f>
        <v>Geoff Swaim</v>
      </c>
    </row>
    <row r="687" spans="109:110" x14ac:dyDescent="0.25">
      <c r="DE687">
        <v>685</v>
      </c>
      <c r="DF687" t="str">
        <f>IF(IFERROR(MATCH(FFARawStatProjections!A688,Draft!BY:BY,0),1)&lt;=1,IF(FFARawStatProjections!A688=0,"",FFARawStatProjections!A688),"")</f>
        <v>Connor Heyward</v>
      </c>
    </row>
    <row r="688" spans="109:110" x14ac:dyDescent="0.25">
      <c r="DE688">
        <v>686</v>
      </c>
      <c r="DF688" t="str">
        <f>IF(IFERROR(MATCH(FFARawStatProjections!A689,Draft!BY:BY,0),1)&lt;=1,IF(FFARawStatProjections!A689=0,"",FFARawStatProjections!A689),"")</f>
        <v>Ko Kieft</v>
      </c>
    </row>
    <row r="689" spans="109:110" x14ac:dyDescent="0.25">
      <c r="DE689">
        <v>687</v>
      </c>
      <c r="DF689" t="str">
        <f>IF(IFERROR(MATCH(FFARawStatProjections!A690,Draft!BY:BY,0),1)&lt;=1,IF(FFARawStatProjections!A690=0,"",FFARawStatProjections!A690),"")</f>
        <v>James Mitchell</v>
      </c>
    </row>
    <row r="690" spans="109:110" x14ac:dyDescent="0.25">
      <c r="DE690">
        <v>688</v>
      </c>
      <c r="DF690" t="str">
        <f>IF(IFERROR(MATCH(FFARawStatProjections!A691,Draft!BY:BY,0),1)&lt;=1,IF(FFARawStatProjections!A691=0,"",FFARawStatProjections!A691),"")</f>
        <v>Tre McKitty</v>
      </c>
    </row>
    <row r="691" spans="109:110" x14ac:dyDescent="0.25">
      <c r="DE691">
        <v>689</v>
      </c>
      <c r="DF691" t="str">
        <f>IF(IFERROR(MATCH(FFARawStatProjections!A692,Draft!BY:BY,0),1)&lt;=1,IF(FFARawStatProjections!A692=0,"",FFARawStatProjections!A692),"")</f>
        <v>Andrew Ogletree</v>
      </c>
    </row>
    <row r="692" spans="109:110" x14ac:dyDescent="0.25">
      <c r="DE692">
        <v>690</v>
      </c>
      <c r="DF692" t="str">
        <f>IF(IFERROR(MATCH(FFARawStatProjections!A693,Draft!BY:BY,0),1)&lt;=1,IF(FFARawStatProjections!A693=0,"",FFARawStatProjections!A693),"")</f>
        <v>Josh Whyle</v>
      </c>
    </row>
    <row r="693" spans="109:110" x14ac:dyDescent="0.25">
      <c r="DE693">
        <v>691</v>
      </c>
      <c r="DF693" t="str">
        <f>IF(IFERROR(MATCH(FFARawStatProjections!A694,Draft!BY:BY,0),1)&lt;=1,IF(FFARawStatProjections!A694=0,"",FFARawStatProjections!A694),"")</f>
        <v>Davis Allen</v>
      </c>
    </row>
    <row r="694" spans="109:110" x14ac:dyDescent="0.25">
      <c r="DE694">
        <v>692</v>
      </c>
      <c r="DF694" t="str">
        <f>IF(IFERROR(MATCH(FFARawStatProjections!A695,Draft!BY:BY,0),1)&lt;=1,IF(FFARawStatProjections!A695=0,"",FFARawStatProjections!A695),"")</f>
        <v>Andrew Beck</v>
      </c>
    </row>
    <row r="695" spans="109:110" x14ac:dyDescent="0.25">
      <c r="DE695">
        <v>693</v>
      </c>
      <c r="DF695" t="str">
        <f>IF(IFERROR(MATCH(FFARawStatProjections!A696,Draft!BY:BY,0),1)&lt;=1,IF(FFARawStatProjections!A696=0,"",FFARawStatProjections!A696),"")</f>
        <v>Zack Kuntz</v>
      </c>
    </row>
    <row r="696" spans="109:110" x14ac:dyDescent="0.25">
      <c r="DE696">
        <v>694</v>
      </c>
      <c r="DF696" t="str">
        <f>IF(IFERROR(MATCH(FFARawStatProjections!A697,Draft!BY:BY,0),1)&lt;=1,IF(FFARawStatProjections!A697=0,"",FFARawStatProjections!A697),"")</f>
        <v>Tyler Kroft</v>
      </c>
    </row>
    <row r="697" spans="109:110" x14ac:dyDescent="0.25">
      <c r="DE697">
        <v>695</v>
      </c>
      <c r="DF697" t="str">
        <f>IF(IFERROR(MATCH(FFARawStatProjections!A698,Draft!BY:BY,0),1)&lt;=1,IF(FFARawStatProjections!A698=0,"",FFARawStatProjections!A698),"")</f>
        <v>Jeremy Ruckert</v>
      </c>
    </row>
    <row r="698" spans="109:110" x14ac:dyDescent="0.25">
      <c r="DE698">
        <v>696</v>
      </c>
      <c r="DF698" t="str">
        <f>IF(IFERROR(MATCH(FFARawStatProjections!A699,Draft!BY:BY,0),1)&lt;=1,IF(FFARawStatProjections!A699=0,"",FFARawStatProjections!A699),"")</f>
        <v>Jack Stoll</v>
      </c>
    </row>
    <row r="699" spans="109:110" x14ac:dyDescent="0.25">
      <c r="DE699">
        <v>697</v>
      </c>
      <c r="DF699" t="str">
        <f>IF(IFERROR(MATCH(FFARawStatProjections!A700,Draft!BY:BY,0),1)&lt;=1,IF(FFARawStatProjections!A700=0,"",FFARawStatProjections!A700),"")</f>
        <v>Zach Gentry</v>
      </c>
    </row>
    <row r="700" spans="109:110" x14ac:dyDescent="0.25">
      <c r="DE700">
        <v>698</v>
      </c>
      <c r="DF700" t="str">
        <f>IF(IFERROR(MATCH(FFARawStatProjections!A701,Draft!BY:BY,0),1)&lt;=1,IF(FFARawStatProjections!A701=0,"",FFARawStatProjections!A701),"")</f>
        <v>Marcedes Lewis</v>
      </c>
    </row>
    <row r="701" spans="109:110" x14ac:dyDescent="0.25">
      <c r="DE701">
        <v>699</v>
      </c>
      <c r="DF701" t="str">
        <f>IF(IFERROR(MATCH(FFARawStatProjections!A702,Draft!BY:BY,0),1)&lt;=1,IF(FFARawStatProjections!A702=0,"",FFARawStatProjections!A702),"")</f>
        <v>Stephen Sullivan</v>
      </c>
    </row>
    <row r="702" spans="109:110" x14ac:dyDescent="0.25">
      <c r="DE702">
        <v>700</v>
      </c>
      <c r="DF702" t="str">
        <f>IF(IFERROR(MATCH(FFARawStatProjections!A703,Draft!BY:BY,0),1)&lt;=1,IF(FFARawStatProjections!A703=0,"",FFARawStatProjections!A703),"")</f>
        <v>Cole Turner</v>
      </c>
    </row>
    <row r="703" spans="109:110" x14ac:dyDescent="0.25">
      <c r="DE703">
        <v>701</v>
      </c>
      <c r="DF703" t="str">
        <f>IF(IFERROR(MATCH(FFARawStatProjections!A704,Draft!BY:BY,0),1)&lt;=1,IF(FFARawStatProjections!A704=0,"",FFARawStatProjections!A704),"")</f>
        <v>Jody Fortson</v>
      </c>
    </row>
    <row r="704" spans="109:110" x14ac:dyDescent="0.25">
      <c r="DE704">
        <v>702</v>
      </c>
      <c r="DF704" t="str">
        <f>IF(IFERROR(MATCH(FFARawStatProjections!A705,Draft!BY:BY,0),1)&lt;=1,IF(FFARawStatProjections!A705=0,"",FFARawStatProjections!A705),"")</f>
        <v>Tanner Hudson</v>
      </c>
    </row>
    <row r="705" spans="109:110" x14ac:dyDescent="0.25">
      <c r="DE705">
        <v>703</v>
      </c>
      <c r="DF705" t="str">
        <f>IF(IFERROR(MATCH(FFARawStatProjections!A706,Draft!BY:BY,0),1)&lt;=1,IF(FFARawStatProjections!A706=0,"",FFARawStatProjections!A706),"")</f>
        <v>Will Mallory</v>
      </c>
    </row>
    <row r="706" spans="109:110" x14ac:dyDescent="0.25">
      <c r="DE706">
        <v>704</v>
      </c>
      <c r="DF706" t="str">
        <f>IF(IFERROR(MATCH(FFARawStatProjections!A707,Draft!BY:BY,0),1)&lt;=1,IF(FFARawStatProjections!A707=0,"",FFARawStatProjections!A707),"")</f>
        <v>Ross Dwelley</v>
      </c>
    </row>
    <row r="707" spans="109:110" x14ac:dyDescent="0.25">
      <c r="DE707">
        <v>705</v>
      </c>
      <c r="DF707" t="str">
        <f>IF(IFERROR(MATCH(FFARawStatProjections!A708,Draft!BY:BY,0),1)&lt;=1,IF(FFARawStatProjections!A708=0,"",FFARawStatProjections!A708),"")</f>
        <v>Drew Sample</v>
      </c>
    </row>
    <row r="708" spans="109:110" x14ac:dyDescent="0.25">
      <c r="DE708">
        <v>706</v>
      </c>
      <c r="DF708" t="str">
        <f>IF(IFERROR(MATCH(FFARawStatProjections!A709,Draft!BY:BY,0),1)&lt;=1,IF(FFARawStatProjections!A709=0,"",FFARawStatProjections!A709),"")</f>
        <v>Trevon Wesco</v>
      </c>
    </row>
    <row r="709" spans="109:110" x14ac:dyDescent="0.25">
      <c r="DE709">
        <v>707</v>
      </c>
      <c r="DF709" t="str">
        <f>IF(IFERROR(MATCH(FFARawStatProjections!A710,Draft!BY:BY,0),1)&lt;=1,IF(FFARawStatProjections!A710=0,"",FFARawStatProjections!A710),"")</f>
        <v>Reggie Gilliam</v>
      </c>
    </row>
    <row r="710" spans="109:110" x14ac:dyDescent="0.25">
      <c r="DE710">
        <v>708</v>
      </c>
      <c r="DF710" t="str">
        <f>IF(IFERROR(MATCH(FFARawStatProjections!A711,Draft!BY:BY,0),1)&lt;=1,IF(FFARawStatProjections!A711=0,"",FFARawStatProjections!A711),"")</f>
        <v>Quintin Morris</v>
      </c>
    </row>
    <row r="711" spans="109:110" x14ac:dyDescent="0.25">
      <c r="DE711">
        <v>709</v>
      </c>
      <c r="DF711" t="str">
        <f>IF(IFERROR(MATCH(FFARawStatProjections!A712,Draft!BY:BY,0),1)&lt;=1,IF(FFARawStatProjections!A712=0,"",FFARawStatProjections!A712),"")</f>
        <v>Armani Rogers</v>
      </c>
    </row>
    <row r="712" spans="109:110" x14ac:dyDescent="0.25">
      <c r="DE712">
        <v>710</v>
      </c>
      <c r="DF712" t="str">
        <f>IF(IFERROR(MATCH(FFARawStatProjections!A713,Draft!BY:BY,0),1)&lt;=1,IF(FFARawStatProjections!A713=0,"",FFARawStatProjections!A713),"")</f>
        <v>Luke Farrell</v>
      </c>
    </row>
    <row r="713" spans="109:110" x14ac:dyDescent="0.25">
      <c r="DE713">
        <v>711</v>
      </c>
      <c r="DF713" t="str">
        <f>IF(IFERROR(MATCH(FFARawStatProjections!A714,Draft!BY:BY,0),1)&lt;=1,IF(FFARawStatProjections!A714=0,"",FFARawStatProjections!A714),"")</f>
        <v>Johnny Mundt</v>
      </c>
    </row>
    <row r="714" spans="109:110" x14ac:dyDescent="0.25">
      <c r="DE714">
        <v>712</v>
      </c>
      <c r="DF714" t="str">
        <f>IF(IFERROR(MATCH(FFARawStatProjections!A715,Draft!BY:BY,0),1)&lt;=1,IF(FFARawStatProjections!A715=0,"",FFARawStatProjections!A715),"")</f>
        <v>Curtis Hodges</v>
      </c>
    </row>
    <row r="715" spans="109:110" x14ac:dyDescent="0.25">
      <c r="DE715">
        <v>713</v>
      </c>
      <c r="DF715" t="str">
        <f>IF(IFERROR(MATCH(FFARawStatProjections!A716,Draft!BY:BY,0),1)&lt;=1,IF(FFARawStatProjections!A716=0,"",FFARawStatProjections!A716),"")</f>
        <v>Kevin Rader</v>
      </c>
    </row>
    <row r="716" spans="109:110" x14ac:dyDescent="0.25">
      <c r="DE716">
        <v>714</v>
      </c>
      <c r="DF716" t="str">
        <f>IF(IFERROR(MATCH(FFARawStatProjections!A717,Draft!BY:BY,0),1)&lt;=1,IF(FFARawStatProjections!A717=0,"",FFARawStatProjections!A717),"")</f>
        <v>Jesper Horsted</v>
      </c>
    </row>
    <row r="717" spans="109:110" x14ac:dyDescent="0.25">
      <c r="DE717">
        <v>715</v>
      </c>
      <c r="DF717" t="str">
        <f>IF(IFERROR(MATCH(FFARawStatProjections!A718,Draft!BY:BY,0),1)&lt;=1,IF(FFARawStatProjections!A718=0,"",FFARawStatProjections!A718),"")</f>
        <v>Stone Smartt</v>
      </c>
    </row>
    <row r="718" spans="109:110" x14ac:dyDescent="0.25">
      <c r="DE718">
        <v>716</v>
      </c>
      <c r="DF718" t="str">
        <f>IF(IFERROR(MATCH(FFARawStatProjections!A719,Draft!BY:BY,0),1)&lt;=1,IF(FFARawStatProjections!A719=0,"",FFARawStatProjections!A719),"")</f>
        <v>Devin Asiasi</v>
      </c>
    </row>
    <row r="719" spans="109:110" x14ac:dyDescent="0.25">
      <c r="DE719">
        <v>717</v>
      </c>
      <c r="DF719" t="str">
        <f>IF(IFERROR(MATCH(FFARawStatProjections!A720,Draft!BY:BY,0),1)&lt;=1,IF(FFARawStatProjections!A720=0,"",FFARawStatProjections!A720),"")</f>
        <v>Mitchell Wilcox</v>
      </c>
    </row>
    <row r="720" spans="109:110" x14ac:dyDescent="0.25">
      <c r="DE720">
        <v>718</v>
      </c>
      <c r="DF720" t="str">
        <f>IF(IFERROR(MATCH(FFARawStatProjections!A721,Draft!BY:BY,0),1)&lt;=1,IF(FFARawStatProjections!A721=0,"",FFARawStatProjections!A721),"")</f>
        <v>Shane Zylstra</v>
      </c>
    </row>
    <row r="721" spans="109:110" x14ac:dyDescent="0.25">
      <c r="DE721">
        <v>719</v>
      </c>
      <c r="DF721" t="str">
        <f>IF(IFERROR(MATCH(FFARawStatProjections!A722,Draft!BY:BY,0),1)&lt;=1,IF(FFARawStatProjections!A722=0,"",FFARawStatProjections!A722),"")</f>
        <v>Grant Calcaterra</v>
      </c>
    </row>
    <row r="722" spans="109:110" x14ac:dyDescent="0.25">
      <c r="DE722">
        <v>720</v>
      </c>
      <c r="DF722" t="str">
        <f>IF(IFERROR(MATCH(FFARawStatProjections!A723,Draft!BY:BY,0),1)&lt;=1,IF(FFARawStatProjections!A723=0,"",FFARawStatProjections!A723),"")</f>
        <v>Chris Manhertz</v>
      </c>
    </row>
    <row r="723" spans="109:110" x14ac:dyDescent="0.25">
      <c r="DE723">
        <v>721</v>
      </c>
      <c r="DF723" t="str">
        <f>IF(IFERROR(MATCH(FFARawStatProjections!A724,Draft!BY:BY,0),1)&lt;=1,IF(FFARawStatProjections!A724=0,"",FFARawStatProjections!A724),"")</f>
        <v>Anthony Firkser</v>
      </c>
    </row>
    <row r="724" spans="109:110" x14ac:dyDescent="0.25">
      <c r="DE724">
        <v>722</v>
      </c>
      <c r="DF724" t="str">
        <f>IF(IFERROR(MATCH(FFARawStatProjections!A725,Draft!BY:BY,0),1)&lt;=1,IF(FFARawStatProjections!A725=0,"",FFARawStatProjections!A725),"")</f>
        <v>Eric Tomlinson</v>
      </c>
    </row>
    <row r="725" spans="109:110" x14ac:dyDescent="0.25">
      <c r="DE725">
        <v>723</v>
      </c>
      <c r="DF725" t="str">
        <f>IF(IFERROR(MATCH(FFARawStatProjections!A726,Draft!BY:BY,0),1)&lt;=1,IF(FFARawStatProjections!A726=0,"",FFARawStatProjections!A726),"")</f>
        <v>Charlie Woerner</v>
      </c>
    </row>
    <row r="726" spans="109:110" x14ac:dyDescent="0.25">
      <c r="DE726">
        <v>724</v>
      </c>
      <c r="DF726" t="str">
        <f>IF(IFERROR(MATCH(FFARawStatProjections!A727,Draft!BY:BY,0),1)&lt;=1,IF(FFARawStatProjections!A727=0,"",FFARawStatProjections!A727),"")</f>
        <v>Nick Vannett</v>
      </c>
    </row>
    <row r="727" spans="109:110" x14ac:dyDescent="0.25">
      <c r="DE727">
        <v>725</v>
      </c>
      <c r="DF727" t="str">
        <f>IF(IFERROR(MATCH(FFARawStatProjections!A728,Draft!BY:BY,0),1)&lt;=1,IF(FFARawStatProjections!A728=0,"",FFARawStatProjections!A728),"")</f>
        <v>MyCole Pruitt</v>
      </c>
    </row>
    <row r="728" spans="109:110" x14ac:dyDescent="0.25">
      <c r="DE728">
        <v>726</v>
      </c>
      <c r="DF728" t="str">
        <f>IF(IFERROR(MATCH(FFARawStatProjections!A729,Draft!BY:BY,0),1)&lt;=1,IF(FFARawStatProjections!A729=0,"",FFARawStatProjections!A729),"")</f>
        <v>Kendall Blanton</v>
      </c>
    </row>
    <row r="729" spans="109:110" x14ac:dyDescent="0.25">
      <c r="DE729">
        <v>727</v>
      </c>
      <c r="DF729" t="str">
        <f>IF(IFERROR(MATCH(FFARawStatProjections!A730,Draft!BY:BY,0),1)&lt;=1,IF(FFARawStatProjections!A730=0,"",FFARawStatProjections!A730),"")</f>
        <v>Noah Togiai</v>
      </c>
    </row>
    <row r="730" spans="109:110" x14ac:dyDescent="0.25">
      <c r="DE730">
        <v>728</v>
      </c>
      <c r="DF730" t="str">
        <f>IF(IFERROR(MATCH(FFARawStatProjections!A731,Draft!BY:BY,0),1)&lt;=1,IF(FFARawStatProjections!A731=0,"",FFARawStatProjections!A731),"")</f>
        <v>David Wells</v>
      </c>
    </row>
    <row r="731" spans="109:110" x14ac:dyDescent="0.25">
      <c r="DE731">
        <v>729</v>
      </c>
      <c r="DF731" t="str">
        <f>IF(IFERROR(MATCH(FFARawStatProjections!A732,Draft!BY:BY,0),1)&lt;=1,IF(FFARawStatProjections!A732=0,"",FFARawStatProjections!A732),"")</f>
        <v>Dominique Dafney</v>
      </c>
    </row>
    <row r="732" spans="109:110" x14ac:dyDescent="0.25">
      <c r="DE732">
        <v>730</v>
      </c>
      <c r="DF732" t="str">
        <f>IF(IFERROR(MATCH(FFARawStatProjections!A733,Draft!BY:BY,0),1)&lt;=1,IF(FFARawStatProjections!A733=0,"",FFARawStatProjections!A733),"")</f>
        <v>Giovanni Ricci</v>
      </c>
    </row>
    <row r="733" spans="109:110" x14ac:dyDescent="0.25">
      <c r="DE733">
        <v>731</v>
      </c>
      <c r="DF733" t="str">
        <f>IF(IFERROR(MATCH(FFARawStatProjections!A734,Draft!BY:BY,0),1)&lt;=1,IF(FFARawStatProjections!A734=0,"",FFARawStatProjections!A734),"")</f>
        <v>Tanner Conner</v>
      </c>
    </row>
    <row r="734" spans="109:110" x14ac:dyDescent="0.25">
      <c r="DE734">
        <v>732</v>
      </c>
      <c r="DF734" t="str">
        <f>IF(IFERROR(MATCH(FFARawStatProjections!A735,Draft!BY:BY,0),1)&lt;=1,IF(FFARawStatProjections!A735=0,"",FFARawStatProjections!A735),"")</f>
        <v>Tyler Davis</v>
      </c>
    </row>
    <row r="735" spans="109:110" x14ac:dyDescent="0.25">
      <c r="DE735">
        <v>733</v>
      </c>
      <c r="DF735" t="str">
        <f>IF(IFERROR(MATCH(FFARawStatProjections!A736,Draft!BY:BY,0),1)&lt;=1,IF(FFARawStatProjections!A736=0,"",FFARawStatProjections!A736),"")</f>
        <v>Tyree Jackson</v>
      </c>
    </row>
    <row r="736" spans="109:110" x14ac:dyDescent="0.25">
      <c r="DE736">
        <v>734</v>
      </c>
      <c r="DF736" t="str">
        <f>IF(IFERROR(MATCH(FFARawStatProjections!A737,Draft!BY:BY,0),1)&lt;=1,IF(FFARawStatProjections!A737=0,"",FFARawStatProjections!A737),"")</f>
        <v>Mason Schreck</v>
      </c>
    </row>
    <row r="737" spans="109:110" x14ac:dyDescent="0.25">
      <c r="DE737">
        <v>735</v>
      </c>
      <c r="DF737" t="str">
        <f>IF(IFERROR(MATCH(FFARawStatProjections!A738,Draft!BY:BY,0),1)&lt;=1,IF(FFARawStatProjections!A738=0,"",FFARawStatProjections!A738),"")</f>
        <v>Dalton Keene</v>
      </c>
    </row>
    <row r="738" spans="109:110" x14ac:dyDescent="0.25">
      <c r="DE738">
        <v>736</v>
      </c>
      <c r="DF738" t="str">
        <f>IF(IFERROR(MATCH(FFARawStatProjections!A739,Draft!BY:BY,0),1)&lt;=1,IF(FFARawStatProjections!A739=0,"",FFARawStatProjections!A739),"")</f>
        <v>Tommy Sweeney</v>
      </c>
    </row>
    <row r="739" spans="109:110" x14ac:dyDescent="0.25">
      <c r="DE739">
        <v>737</v>
      </c>
      <c r="DF739" t="str">
        <f>IF(IFERROR(MATCH(FFARawStatProjections!A740,Draft!BY:BY,0),1)&lt;=1,IF(FFARawStatProjections!A740=0,"",FFARawStatProjections!A740),"")</f>
        <v>Parker Hesse</v>
      </c>
    </row>
    <row r="740" spans="109:110" x14ac:dyDescent="0.25">
      <c r="DE740">
        <v>738</v>
      </c>
      <c r="DF740" t="str">
        <f>IF(IFERROR(MATCH(FFARawStatProjections!A741,Draft!BY:BY,0),1)&lt;=1,IF(FFARawStatProjections!A741=0,"",FFARawStatProjections!A741),"")</f>
        <v>Pharaoh Brown</v>
      </c>
    </row>
    <row r="741" spans="109:110" x14ac:dyDescent="0.25">
      <c r="DE741">
        <v>739</v>
      </c>
      <c r="DF741" t="str">
        <f>IF(IFERROR(MATCH(FFARawStatProjections!A742,Draft!BY:BY,0),1)&lt;=1,IF(FFARawStatProjections!A742=0,"",FFARawStatProjections!A742),"")</f>
        <v>Chris Myarick</v>
      </c>
    </row>
    <row r="742" spans="109:110" x14ac:dyDescent="0.25">
      <c r="DE742">
        <v>740</v>
      </c>
      <c r="DF742" t="str">
        <f>IF(IFERROR(MATCH(FFARawStatProjections!A743,Draft!BY:BY,0),1)&lt;=1,IF(FFARawStatProjections!A743=0,"",FFARawStatProjections!A743),"")</f>
        <v>Tyler Mabry</v>
      </c>
    </row>
    <row r="743" spans="109:110" x14ac:dyDescent="0.25">
      <c r="DE743">
        <v>741</v>
      </c>
      <c r="DF743" t="str">
        <f>IF(IFERROR(MATCH(FFARawStatProjections!A744,Draft!BY:BY,0),1)&lt;=1,IF(FFARawStatProjections!A744=0,"",FFARawStatProjections!A744),"")</f>
        <v>Feleipe Franks</v>
      </c>
    </row>
    <row r="744" spans="109:110" x14ac:dyDescent="0.25">
      <c r="DE744">
        <v>742</v>
      </c>
      <c r="DF744" t="str">
        <f>IF(IFERROR(MATCH(FFARawStatProjections!A745,Draft!BY:BY,0),1)&lt;=1,IF(FFARawStatProjections!A745=0,"",FFARawStatProjections!A745),"")</f>
        <v>Kaden Smith</v>
      </c>
    </row>
    <row r="745" spans="109:110" x14ac:dyDescent="0.25">
      <c r="DE745">
        <v>743</v>
      </c>
      <c r="DF745" t="str">
        <f>IF(IFERROR(MATCH(FFARawStatProjections!A746,Draft!BY:BY,0),1)&lt;=1,IF(FFARawStatProjections!A746=0,"",FFARawStatProjections!A746),"")</f>
        <v>Matt Sokol</v>
      </c>
    </row>
    <row r="746" spans="109:110" x14ac:dyDescent="0.25">
      <c r="DE746">
        <v>744</v>
      </c>
      <c r="DF746" t="str">
        <f>IF(IFERROR(MATCH(FFARawStatProjections!A747,Draft!BY:BY,0),1)&lt;=1,IF(FFARawStatProjections!A747=0,"",FFARawStatProjections!A747),"")</f>
        <v>Jacob Hollister</v>
      </c>
    </row>
    <row r="747" spans="109:110" x14ac:dyDescent="0.25">
      <c r="DE747">
        <v>745</v>
      </c>
      <c r="DF747" t="str">
        <f>IF(IFERROR(MATCH(FFARawStatProjections!A748,Draft!BY:BY,0),1)&lt;=1,IF(FFARawStatProjections!A748=0,"",FFARawStatProjections!A748),"")</f>
        <v>Sean McKeon</v>
      </c>
    </row>
    <row r="748" spans="109:110" x14ac:dyDescent="0.25">
      <c r="DE748">
        <v>746</v>
      </c>
      <c r="DF748" t="str">
        <f>IF(IFERROR(MATCH(FFARawStatProjections!A749,Draft!BY:BY,0),1)&lt;=1,IF(FFARawStatProjections!A749=0,"",FFARawStatProjections!A749),"")</f>
        <v>Hunter Kampmoyer</v>
      </c>
    </row>
    <row r="749" spans="109:110" x14ac:dyDescent="0.25">
      <c r="DE749">
        <v>747</v>
      </c>
      <c r="DF749" t="str">
        <f>IF(IFERROR(MATCH(FFARawStatProjections!A750,Draft!BY:BY,0),1)&lt;=1,IF(FFARawStatProjections!A750=0,"",FFARawStatProjections!A750),"")</f>
        <v>Ben Mason</v>
      </c>
    </row>
    <row r="750" spans="109:110" x14ac:dyDescent="0.25">
      <c r="DE750">
        <v>748</v>
      </c>
      <c r="DF750" t="str">
        <f>IF(IFERROR(MATCH(FFARawStatProjections!A751,Draft!BY:BY,0),1)&lt;=1,IF(FFARawStatProjections!A751=0,"",FFARawStatProjections!A751),"")</f>
        <v/>
      </c>
    </row>
    <row r="751" spans="109:110" x14ac:dyDescent="0.25">
      <c r="DE751">
        <v>749</v>
      </c>
      <c r="DF751" t="str">
        <f>IF(IFERROR(MATCH(FFARawStatProjections!A752,Draft!BY:BY,0),1)&lt;=1,IF(FFARawStatProjections!A752=0,"",FFARawStatProjections!A752),"")</f>
        <v/>
      </c>
    </row>
    <row r="752" spans="109:110" x14ac:dyDescent="0.25">
      <c r="DE752">
        <v>750</v>
      </c>
      <c r="DF752" t="str">
        <f>IF(IFERROR(MATCH(FFARawStatProjections!A753,Draft!BY:BY,0),1)&lt;=1,IF(FFARawStatProjections!A753=0,"",FFARawStatProjections!A753),"")</f>
        <v/>
      </c>
    </row>
    <row r="753" spans="109:110" x14ac:dyDescent="0.25">
      <c r="DE753">
        <v>751</v>
      </c>
      <c r="DF753" t="str">
        <f>IF(IFERROR(MATCH(FFARawStatProjections!A754,Draft!BY:BY,0),1)&lt;=1,IF(FFARawStatProjections!A754=0,"",FFARawStatProjections!A754),"")</f>
        <v/>
      </c>
    </row>
    <row r="754" spans="109:110" x14ac:dyDescent="0.25">
      <c r="DE754">
        <v>752</v>
      </c>
      <c r="DF754" t="str">
        <f>IF(IFERROR(MATCH(FFARawStatProjections!A755,Draft!BY:BY,0),1)&lt;=1,IF(FFARawStatProjections!A755=0,"",FFARawStatProjections!A755),"")</f>
        <v/>
      </c>
    </row>
    <row r="755" spans="109:110" x14ac:dyDescent="0.25">
      <c r="DE755">
        <v>753</v>
      </c>
      <c r="DF755" t="str">
        <f>IF(IFERROR(MATCH(FFARawStatProjections!A756,Draft!BY:BY,0),1)&lt;=1,IF(FFARawStatProjections!A756=0,"",FFARawStatProjections!A756),"")</f>
        <v/>
      </c>
    </row>
    <row r="756" spans="109:110" x14ac:dyDescent="0.25">
      <c r="DE756">
        <v>754</v>
      </c>
      <c r="DF756" t="str">
        <f>IF(IFERROR(MATCH(FFARawStatProjections!A757,Draft!BY:BY,0),1)&lt;=1,IF(FFARawStatProjections!A757=0,"",FFARawStatProjections!A757),"")</f>
        <v/>
      </c>
    </row>
    <row r="757" spans="109:110" x14ac:dyDescent="0.25">
      <c r="DE757">
        <v>755</v>
      </c>
      <c r="DF757" t="str">
        <f>IF(IFERROR(MATCH(FFARawStatProjections!A758,Draft!BY:BY,0),1)&lt;=1,IF(FFARawStatProjections!A758=0,"",FFARawStatProjections!A758),"")</f>
        <v/>
      </c>
    </row>
    <row r="758" spans="109:110" x14ac:dyDescent="0.25">
      <c r="DE758">
        <v>756</v>
      </c>
      <c r="DF758" t="str">
        <f>IF(IFERROR(MATCH(FFARawStatProjections!A759,Draft!BY:BY,0),1)&lt;=1,IF(FFARawStatProjections!A759=0,"",FFARawStatProjections!A759),"")</f>
        <v/>
      </c>
    </row>
    <row r="759" spans="109:110" x14ac:dyDescent="0.25">
      <c r="DE759">
        <v>757</v>
      </c>
      <c r="DF759" t="str">
        <f>IF(IFERROR(MATCH(FFARawStatProjections!A760,Draft!BY:BY,0),1)&lt;=1,IF(FFARawStatProjections!A760=0,"",FFARawStatProjections!A760),"")</f>
        <v/>
      </c>
    </row>
    <row r="760" spans="109:110" x14ac:dyDescent="0.25">
      <c r="DE760">
        <v>758</v>
      </c>
      <c r="DF760" t="str">
        <f>IF(IFERROR(MATCH(FFARawStatProjections!A761,Draft!BY:BY,0),1)&lt;=1,IF(FFARawStatProjections!A761=0,"",FFARawStatProjections!A761),"")</f>
        <v/>
      </c>
    </row>
    <row r="761" spans="109:110" x14ac:dyDescent="0.25">
      <c r="DE761">
        <v>759</v>
      </c>
      <c r="DF761" t="str">
        <f>IF(IFERROR(MATCH(FFARawStatProjections!A762,Draft!BY:BY,0),1)&lt;=1,IF(FFARawStatProjections!A762=0,"",FFARawStatProjections!A762),"")</f>
        <v/>
      </c>
    </row>
    <row r="762" spans="109:110" x14ac:dyDescent="0.25">
      <c r="DE762">
        <v>760</v>
      </c>
      <c r="DF762" t="str">
        <f>IF(IFERROR(MATCH(FFARawStatProjections!A763,Draft!BY:BY,0),1)&lt;=1,IF(FFARawStatProjections!A763=0,"",FFARawStatProjections!A763),"")</f>
        <v/>
      </c>
    </row>
    <row r="763" spans="109:110" x14ac:dyDescent="0.25">
      <c r="DE763">
        <v>761</v>
      </c>
      <c r="DF763" t="str">
        <f>IF(IFERROR(MATCH(FFARawStatProjections!A764,Draft!BY:BY,0),1)&lt;=1,IF(FFARawStatProjections!A764=0,"",FFARawStatProjections!A764),"")</f>
        <v/>
      </c>
    </row>
    <row r="764" spans="109:110" x14ac:dyDescent="0.25">
      <c r="DE764">
        <v>762</v>
      </c>
      <c r="DF764" t="str">
        <f>IF(IFERROR(MATCH(FFARawStatProjections!A765,Draft!BY:BY,0),1)&lt;=1,IF(FFARawStatProjections!A765=0,"",FFARawStatProjections!A765),"")</f>
        <v/>
      </c>
    </row>
    <row r="765" spans="109:110" x14ac:dyDescent="0.25">
      <c r="DE765">
        <v>763</v>
      </c>
      <c r="DF765" t="str">
        <f>IF(IFERROR(MATCH(FFARawStatProjections!A766,Draft!BY:BY,0),1)&lt;=1,IF(FFARawStatProjections!A766=0,"",FFARawStatProjections!A766),"")</f>
        <v/>
      </c>
    </row>
    <row r="766" spans="109:110" x14ac:dyDescent="0.25">
      <c r="DE766">
        <v>764</v>
      </c>
      <c r="DF766" t="str">
        <f>IF(IFERROR(MATCH(FFARawStatProjections!A767,Draft!BY:BY,0),1)&lt;=1,IF(FFARawStatProjections!A767=0,"",FFARawStatProjections!A767),"")</f>
        <v>Zane Gonzalez</v>
      </c>
    </row>
    <row r="767" spans="109:110" x14ac:dyDescent="0.25">
      <c r="DE767">
        <v>765</v>
      </c>
      <c r="DF767" t="str">
        <f>IF(IFERROR(MATCH(FFARawStatProjections!A768,Draft!BY:BY,0),1)&lt;=1,IF(FFARawStatProjections!A768=0,"",FFARawStatProjections!A768),"")</f>
        <v>Greg Joseph</v>
      </c>
    </row>
    <row r="768" spans="109:110" x14ac:dyDescent="0.25">
      <c r="DE768">
        <v>766</v>
      </c>
      <c r="DF768" t="str">
        <f>IF(IFERROR(MATCH(FFARawStatProjections!A769,Draft!BY:BY,0),1)&lt;=1,IF(FFARawStatProjections!A769=0,"",FFARawStatProjections!A769),"")</f>
        <v>Justin Tucker</v>
      </c>
    </row>
    <row r="769" spans="109:110" x14ac:dyDescent="0.25">
      <c r="DE769">
        <v>767</v>
      </c>
      <c r="DF769" t="str">
        <f>IF(IFERROR(MATCH(FFARawStatProjections!A770,Draft!BY:BY,0),1)&lt;=1,IF(FFARawStatProjections!A770=0,"",FFARawStatProjections!A770),"")</f>
        <v>Jason Myers</v>
      </c>
    </row>
    <row r="770" spans="109:110" x14ac:dyDescent="0.25">
      <c r="DE770">
        <v>768</v>
      </c>
      <c r="DF770" t="str">
        <f>IF(IFERROR(MATCH(FFARawStatProjections!A771,Draft!BY:BY,0),1)&lt;=1,IF(FFARawStatProjections!A771=0,"",FFARawStatProjections!A771),"")</f>
        <v>Harrison Butker</v>
      </c>
    </row>
    <row r="771" spans="109:110" x14ac:dyDescent="0.25">
      <c r="DE771">
        <v>769</v>
      </c>
      <c r="DF771" t="str">
        <f>IF(IFERROR(MATCH(FFARawStatProjections!A772,Draft!BY:BY,0),1)&lt;=1,IF(FFARawStatProjections!A772=0,"",FFARawStatProjections!A772),"")</f>
        <v>Evan McPherson</v>
      </c>
    </row>
    <row r="772" spans="109:110" x14ac:dyDescent="0.25">
      <c r="DE772">
        <v>770</v>
      </c>
      <c r="DF772" t="str">
        <f>IF(IFERROR(MATCH(FFARawStatProjections!A773,Draft!BY:BY,0),1)&lt;=1,IF(FFARawStatProjections!A773=0,"",FFARawStatProjections!A773),"")</f>
        <v>Tyler Bass</v>
      </c>
    </row>
    <row r="773" spans="109:110" x14ac:dyDescent="0.25">
      <c r="DE773">
        <v>771</v>
      </c>
      <c r="DF773" t="str">
        <f>IF(IFERROR(MATCH(FFARawStatProjections!A774,Draft!BY:BY,0),1)&lt;=1,IF(FFARawStatProjections!A774=0,"",FFARawStatProjections!A774),"")</f>
        <v>Daniel Carlson</v>
      </c>
    </row>
    <row r="774" spans="109:110" x14ac:dyDescent="0.25">
      <c r="DE774">
        <v>772</v>
      </c>
      <c r="DF774" t="str">
        <f>IF(IFERROR(MATCH(FFARawStatProjections!A775,Draft!BY:BY,0),1)&lt;=1,IF(FFARawStatProjections!A775=0,"",FFARawStatProjections!A775),"")</f>
        <v>Jake Elliott</v>
      </c>
    </row>
    <row r="775" spans="109:110" x14ac:dyDescent="0.25">
      <c r="DE775">
        <v>773</v>
      </c>
      <c r="DF775" t="str">
        <f>IF(IFERROR(MATCH(FFARawStatProjections!A776,Draft!BY:BY,0),1)&lt;=1,IF(FFARawStatProjections!A776=0,"",FFARawStatProjections!A776),"")</f>
        <v>Younghoe Koo</v>
      </c>
    </row>
    <row r="776" spans="109:110" x14ac:dyDescent="0.25">
      <c r="DE776">
        <v>774</v>
      </c>
      <c r="DF776" t="str">
        <f>IF(IFERROR(MATCH(FFARawStatProjections!A777,Draft!BY:BY,0),1)&lt;=1,IF(FFARawStatProjections!A777=0,"",FFARawStatProjections!A777),"")</f>
        <v>Graham Gano</v>
      </c>
    </row>
    <row r="777" spans="109:110" x14ac:dyDescent="0.25">
      <c r="DE777">
        <v>775</v>
      </c>
      <c r="DF777" t="str">
        <f>IF(IFERROR(MATCH(FFARawStatProjections!A778,Draft!BY:BY,0),1)&lt;=1,IF(FFARawStatProjections!A778=0,"",FFARawStatProjections!A778),"")</f>
        <v>Riley Patterson</v>
      </c>
    </row>
    <row r="778" spans="109:110" x14ac:dyDescent="0.25">
      <c r="DE778">
        <v>776</v>
      </c>
      <c r="DF778" t="str">
        <f>IF(IFERROR(MATCH(FFARawStatProjections!A779,Draft!BY:BY,0),1)&lt;=1,IF(FFARawStatProjections!A779=0,"",FFARawStatProjections!A779),"")</f>
        <v>Brandon McManus</v>
      </c>
    </row>
    <row r="779" spans="109:110" x14ac:dyDescent="0.25">
      <c r="DE779">
        <v>777</v>
      </c>
      <c r="DF779" t="str">
        <f>IF(IFERROR(MATCH(FFARawStatProjections!A780,Draft!BY:BY,0),1)&lt;=1,IF(FFARawStatProjections!A780=0,"",FFARawStatProjections!A780),"")</f>
        <v>Cameron Dicker</v>
      </c>
    </row>
    <row r="780" spans="109:110" x14ac:dyDescent="0.25">
      <c r="DE780">
        <v>778</v>
      </c>
      <c r="DF780" t="str">
        <f>IF(IFERROR(MATCH(FFARawStatProjections!A781,Draft!BY:BY,0),1)&lt;=1,IF(FFARawStatProjections!A781=0,"",FFARawStatProjections!A781),"")</f>
        <v>Jason Sanders</v>
      </c>
    </row>
    <row r="781" spans="109:110" x14ac:dyDescent="0.25">
      <c r="DE781">
        <v>779</v>
      </c>
      <c r="DF781" t="str">
        <f>IF(IFERROR(MATCH(FFARawStatProjections!A782,Draft!BY:BY,0),1)&lt;=1,IF(FFARawStatProjections!A782=0,"",FFARawStatProjections!A782),"")</f>
        <v>Cairo Santos</v>
      </c>
    </row>
    <row r="782" spans="109:110" x14ac:dyDescent="0.25">
      <c r="DE782">
        <v>780</v>
      </c>
      <c r="DF782" t="str">
        <f>IF(IFERROR(MATCH(FFARawStatProjections!A783,Draft!BY:BY,0),1)&lt;=1,IF(FFARawStatProjections!A783=0,"",FFARawStatProjections!A783),"")</f>
        <v>Jake Moody</v>
      </c>
    </row>
    <row r="783" spans="109:110" x14ac:dyDescent="0.25">
      <c r="DE783">
        <v>781</v>
      </c>
      <c r="DF783" t="str">
        <f>IF(IFERROR(MATCH(FFARawStatProjections!A784,Draft!BY:BY,0),1)&lt;=1,IF(FFARawStatProjections!A784=0,"",FFARawStatProjections!A784),"")</f>
        <v>Chase McLaughlin</v>
      </c>
    </row>
    <row r="784" spans="109:110" x14ac:dyDescent="0.25">
      <c r="DE784">
        <v>782</v>
      </c>
      <c r="DF784" t="str">
        <f>IF(IFERROR(MATCH(FFARawStatProjections!A785,Draft!BY:BY,0),1)&lt;=1,IF(FFARawStatProjections!A785=0,"",FFARawStatProjections!A785),"")</f>
        <v>Nick Folk</v>
      </c>
    </row>
    <row r="785" spans="109:110" x14ac:dyDescent="0.25">
      <c r="DE785">
        <v>783</v>
      </c>
      <c r="DF785" t="str">
        <f>IF(IFERROR(MATCH(FFARawStatProjections!A786,Draft!BY:BY,0),1)&lt;=1,IF(FFARawStatProjections!A786=0,"",FFARawStatProjections!A786),"")</f>
        <v>Wil Lutz</v>
      </c>
    </row>
    <row r="786" spans="109:110" x14ac:dyDescent="0.25">
      <c r="DE786">
        <v>784</v>
      </c>
      <c r="DF786" t="str">
        <f>IF(IFERROR(MATCH(FFARawStatProjections!A787,Draft!BY:BY,0),1)&lt;=1,IF(FFARawStatProjections!A787=0,"",FFARawStatProjections!A787),"")</f>
        <v>Eddy Pineiro</v>
      </c>
    </row>
    <row r="787" spans="109:110" x14ac:dyDescent="0.25">
      <c r="DE787">
        <v>785</v>
      </c>
      <c r="DF787" t="str">
        <f>IF(IFERROR(MATCH(FFARawStatProjections!A788,Draft!BY:BY,0),1)&lt;=1,IF(FFARawStatProjections!A788=0,"",FFARawStatProjections!A788),"")</f>
        <v>Chris Boswell</v>
      </c>
    </row>
    <row r="788" spans="109:110" x14ac:dyDescent="0.25">
      <c r="DE788">
        <v>786</v>
      </c>
      <c r="DF788" t="str">
        <f>IF(IFERROR(MATCH(FFARawStatProjections!A789,Draft!BY:BY,0),1)&lt;=1,IF(FFARawStatProjections!A789=0,"",FFARawStatProjections!A789),"")</f>
        <v>Greg Zuerlein</v>
      </c>
    </row>
    <row r="789" spans="109:110" x14ac:dyDescent="0.25">
      <c r="DE789">
        <v>787</v>
      </c>
      <c r="DF789" t="str">
        <f>IF(IFERROR(MATCH(FFARawStatProjections!A790,Draft!BY:BY,0),1)&lt;=1,IF(FFARawStatProjections!A790=0,"",FFARawStatProjections!A790),"")</f>
        <v>Brett Maher</v>
      </c>
    </row>
    <row r="790" spans="109:110" x14ac:dyDescent="0.25">
      <c r="DE790">
        <v>788</v>
      </c>
      <c r="DF790" t="str">
        <f>IF(IFERROR(MATCH(FFARawStatProjections!A791,Draft!BY:BY,0),1)&lt;=1,IF(FFARawStatProjections!A791=0,"",FFARawStatProjections!A791),"")</f>
        <v>Cade York</v>
      </c>
    </row>
    <row r="791" spans="109:110" x14ac:dyDescent="0.25">
      <c r="DE791">
        <v>789</v>
      </c>
      <c r="DF791" t="str">
        <f>IF(IFERROR(MATCH(FFARawStatProjections!A792,Draft!BY:BY,0),1)&lt;=1,IF(FFARawStatProjections!A792=0,"",FFARawStatProjections!A792),"")</f>
        <v>Dustin Hopkins</v>
      </c>
    </row>
    <row r="792" spans="109:110" x14ac:dyDescent="0.25">
      <c r="DE792">
        <v>790</v>
      </c>
      <c r="DF792" t="str">
        <f>IF(IFERROR(MATCH(FFARawStatProjections!A793,Draft!BY:BY,0),1)&lt;=1,IF(FFARawStatProjections!A793=0,"",FFARawStatProjections!A793),"")</f>
        <v>Matt Gay</v>
      </c>
    </row>
    <row r="793" spans="109:110" x14ac:dyDescent="0.25">
      <c r="DE793">
        <v>791</v>
      </c>
      <c r="DF793" t="str">
        <f>IF(IFERROR(MATCH(FFARawStatProjections!A794,Draft!BY:BY,0),1)&lt;=1,IF(FFARawStatProjections!A794=0,"",FFARawStatProjections!A794),"")</f>
        <v>Brandon Aubrey</v>
      </c>
    </row>
    <row r="794" spans="109:110" x14ac:dyDescent="0.25">
      <c r="DE794">
        <v>792</v>
      </c>
      <c r="DF794" t="str">
        <f>IF(IFERROR(MATCH(FFARawStatProjections!A795,Draft!BY:BY,0),1)&lt;=1,IF(FFARawStatProjections!A795=0,"",FFARawStatProjections!A795),"")</f>
        <v>Matt Prater</v>
      </c>
    </row>
    <row r="795" spans="109:110" x14ac:dyDescent="0.25">
      <c r="DE795">
        <v>793</v>
      </c>
      <c r="DF795" t="str">
        <f>IF(IFERROR(MATCH(FFARawStatProjections!A796,Draft!BY:BY,0),1)&lt;=1,IF(FFARawStatProjections!A796=0,"",FFARawStatProjections!A796),"")</f>
        <v>Anders Carlson</v>
      </c>
    </row>
    <row r="796" spans="109:110" x14ac:dyDescent="0.25">
      <c r="DE796">
        <v>794</v>
      </c>
      <c r="DF796" t="str">
        <f>IF(IFERROR(MATCH(FFARawStatProjections!A797,Draft!BY:BY,0),1)&lt;=1,IF(FFARawStatProjections!A797=0,"",FFARawStatProjections!A797),"")</f>
        <v>Kaimi Fairbairn</v>
      </c>
    </row>
    <row r="797" spans="109:110" x14ac:dyDescent="0.25">
      <c r="DE797">
        <v>795</v>
      </c>
      <c r="DF797" t="str">
        <f>IF(IFERROR(MATCH(FFARawStatProjections!A798,Draft!BY:BY,0),1)&lt;=1,IF(FFARawStatProjections!A798=0,"",FFARawStatProjections!A798),"")</f>
        <v>Chad Ryland</v>
      </c>
    </row>
    <row r="798" spans="109:110" x14ac:dyDescent="0.25">
      <c r="DE798">
        <v>796</v>
      </c>
      <c r="DF798" t="str">
        <f>IF(IFERROR(MATCH(FFARawStatProjections!A799,Draft!BY:BY,0),1)&lt;=1,IF(FFARawStatProjections!A799=0,"",FFARawStatProjections!A799),"")</f>
        <v>Tanner Brown</v>
      </c>
    </row>
    <row r="799" spans="109:110" x14ac:dyDescent="0.25">
      <c r="DE799">
        <v>797</v>
      </c>
      <c r="DF799" t="str">
        <f>IF(IFERROR(MATCH(FFARawStatProjections!A800,Draft!BY:BY,0),1)&lt;=1,IF(FFARawStatProjections!A800=0,"",FFARawStatProjections!A800),"")</f>
        <v>Joey Slye</v>
      </c>
    </row>
    <row r="800" spans="109:110" x14ac:dyDescent="0.25">
      <c r="DE800">
        <v>798</v>
      </c>
      <c r="DF800" t="str">
        <f>IF(IFERROR(MATCH(FFARawStatProjections!A801,Draft!BY:BY,0),1)&lt;=1,IF(FFARawStatProjections!A801=0,"",FFARawStatProjections!A801),"")</f>
        <v>Caleb Shudak</v>
      </c>
    </row>
    <row r="801" spans="109:110" x14ac:dyDescent="0.25">
      <c r="DE801">
        <v>799</v>
      </c>
      <c r="DF801" t="str">
        <f>IF(IFERROR(MATCH(FFARawStatProjections!A802,Draft!BY:BY,0),1)&lt;=1,IF(FFARawStatProjections!A802=0,"",FFARawStatProjections!A802),"")</f>
        <v/>
      </c>
    </row>
    <row r="802" spans="109:110" x14ac:dyDescent="0.25">
      <c r="DE802">
        <v>800</v>
      </c>
      <c r="DF802" t="str">
        <f>IF(IFERROR(MATCH(FFARawStatProjections!A803,Draft!BY:BY,0),1)&lt;=1,IF(FFARawStatProjections!A803=0,"",FFARawStatProjections!A803),"")</f>
        <v/>
      </c>
    </row>
    <row r="803" spans="109:110" x14ac:dyDescent="0.25">
      <c r="DE803">
        <v>801</v>
      </c>
      <c r="DF803" t="str">
        <f>IF(IFERROR(MATCH(FFARawStatProjections!A804,Draft!BY:BY,0),1)&lt;=1,IF(FFARawStatProjections!A804=0,"",FFARawStatProjections!A804),"")</f>
        <v/>
      </c>
    </row>
    <row r="804" spans="109:110" x14ac:dyDescent="0.25">
      <c r="DE804">
        <v>802</v>
      </c>
      <c r="DF804" t="str">
        <f>IF(IFERROR(MATCH(FFARawStatProjections!A805,Draft!BY:BY,0),1)&lt;=1,IF(FFARawStatProjections!A805=0,"",FFARawStatProjections!A805),"")</f>
        <v>DAL</v>
      </c>
    </row>
    <row r="805" spans="109:110" x14ac:dyDescent="0.25">
      <c r="DE805">
        <v>803</v>
      </c>
      <c r="DF805" t="str">
        <f>IF(IFERROR(MATCH(FFARawStatProjections!A806,Draft!BY:BY,0),1)&lt;=1,IF(FFARawStatProjections!A806=0,"",FFARawStatProjections!A806),"")</f>
        <v>PHI</v>
      </c>
    </row>
    <row r="806" spans="109:110" x14ac:dyDescent="0.25">
      <c r="DE806">
        <v>804</v>
      </c>
      <c r="DF806" t="str">
        <f>IF(IFERROR(MATCH(FFARawStatProjections!A807,Draft!BY:BY,0),1)&lt;=1,IF(FFARawStatProjections!A807=0,"",FFARawStatProjections!A807),"")</f>
        <v>NE</v>
      </c>
    </row>
    <row r="807" spans="109:110" x14ac:dyDescent="0.25">
      <c r="DE807">
        <v>805</v>
      </c>
      <c r="DF807" t="str">
        <f>IF(IFERROR(MATCH(FFARawStatProjections!A808,Draft!BY:BY,0),1)&lt;=1,IF(FFARawStatProjections!A808=0,"",FFARawStatProjections!A808),"")</f>
        <v>PIT</v>
      </c>
    </row>
    <row r="808" spans="109:110" x14ac:dyDescent="0.25">
      <c r="DE808">
        <v>806</v>
      </c>
      <c r="DF808" t="str">
        <f>IF(IFERROR(MATCH(FFARawStatProjections!A809,Draft!BY:BY,0),1)&lt;=1,IF(FFARawStatProjections!A809=0,"",FFARawStatProjections!A809),"")</f>
        <v>IND</v>
      </c>
    </row>
    <row r="809" spans="109:110" x14ac:dyDescent="0.25">
      <c r="DE809">
        <v>807</v>
      </c>
      <c r="DF809" t="str">
        <f>IF(IFERROR(MATCH(FFARawStatProjections!A810,Draft!BY:BY,0),1)&lt;=1,IF(FFARawStatProjections!A810=0,"",FFARawStatProjections!A810),"")</f>
        <v>CLE</v>
      </c>
    </row>
    <row r="810" spans="109:110" x14ac:dyDescent="0.25">
      <c r="DE810">
        <v>808</v>
      </c>
      <c r="DF810" t="str">
        <f>IF(IFERROR(MATCH(FFARawStatProjections!A811,Draft!BY:BY,0),1)&lt;=1,IF(FFARawStatProjections!A811=0,"",FFARawStatProjections!A811),"")</f>
        <v>KC</v>
      </c>
    </row>
    <row r="811" spans="109:110" x14ac:dyDescent="0.25">
      <c r="DE811">
        <v>809</v>
      </c>
      <c r="DF811" t="str">
        <f>IF(IFERROR(MATCH(FFARawStatProjections!A812,Draft!BY:BY,0),1)&lt;=1,IF(FFARawStatProjections!A812=0,"",FFARawStatProjections!A812),"")</f>
        <v>SF</v>
      </c>
    </row>
    <row r="812" spans="109:110" x14ac:dyDescent="0.25">
      <c r="DE812">
        <v>810</v>
      </c>
      <c r="DF812" t="str">
        <f>IF(IFERROR(MATCH(FFARawStatProjections!A813,Draft!BY:BY,0),1)&lt;=1,IF(FFARawStatProjections!A813=0,"",FFARawStatProjections!A813),"")</f>
        <v>WAS</v>
      </c>
    </row>
    <row r="813" spans="109:110" x14ac:dyDescent="0.25">
      <c r="DE813">
        <v>811</v>
      </c>
      <c r="DF813" t="str">
        <f>IF(IFERROR(MATCH(FFARawStatProjections!A814,Draft!BY:BY,0),1)&lt;=1,IF(FFARawStatProjections!A814=0,"",FFARawStatProjections!A814),"")</f>
        <v>MIA</v>
      </c>
    </row>
    <row r="814" spans="109:110" x14ac:dyDescent="0.25">
      <c r="DE814">
        <v>812</v>
      </c>
      <c r="DF814" t="str">
        <f>IF(IFERROR(MATCH(FFARawStatProjections!A815,Draft!BY:BY,0),1)&lt;=1,IF(FFARawStatProjections!A815=0,"",FFARawStatProjections!A815),"")</f>
        <v>NO</v>
      </c>
    </row>
    <row r="815" spans="109:110" x14ac:dyDescent="0.25">
      <c r="DE815">
        <v>813</v>
      </c>
      <c r="DF815" t="str">
        <f>IF(IFERROR(MATCH(FFARawStatProjections!A816,Draft!BY:BY,0),1)&lt;=1,IF(FFARawStatProjections!A816=0,"",FFARawStatProjections!A816),"")</f>
        <v>BUF</v>
      </c>
    </row>
    <row r="816" spans="109:110" x14ac:dyDescent="0.25">
      <c r="DE816">
        <v>814</v>
      </c>
      <c r="DF816" t="str">
        <f>IF(IFERROR(MATCH(FFARawStatProjections!A817,Draft!BY:BY,0),1)&lt;=1,IF(FFARawStatProjections!A817=0,"",FFARawStatProjections!A817),"")</f>
        <v>GB</v>
      </c>
    </row>
    <row r="817" spans="109:110" x14ac:dyDescent="0.25">
      <c r="DE817">
        <v>815</v>
      </c>
      <c r="DF817" t="str">
        <f>IF(IFERROR(MATCH(FFARawStatProjections!A818,Draft!BY:BY,0),1)&lt;=1,IF(FFARawStatProjections!A818=0,"",FFARawStatProjections!A818),"")</f>
        <v>NYJ</v>
      </c>
    </row>
    <row r="818" spans="109:110" x14ac:dyDescent="0.25">
      <c r="DE818">
        <v>816</v>
      </c>
      <c r="DF818" t="str">
        <f>IF(IFERROR(MATCH(FFARawStatProjections!A819,Draft!BY:BY,0),1)&lt;=1,IF(FFARawStatProjections!A819=0,"",FFARawStatProjections!A819),"")</f>
        <v>SEA</v>
      </c>
    </row>
    <row r="819" spans="109:110" x14ac:dyDescent="0.25">
      <c r="DE819">
        <v>817</v>
      </c>
      <c r="DF819" t="str">
        <f>IF(IFERROR(MATCH(FFARawStatProjections!A820,Draft!BY:BY,0),1)&lt;=1,IF(FFARawStatProjections!A820=0,"",FFARawStatProjections!A820),"")</f>
        <v>LAC</v>
      </c>
    </row>
    <row r="820" spans="109:110" x14ac:dyDescent="0.25">
      <c r="DE820">
        <v>818</v>
      </c>
      <c r="DF820" t="str">
        <f>IF(IFERROR(MATCH(FFARawStatProjections!A821,Draft!BY:BY,0),1)&lt;=1,IF(FFARawStatProjections!A821=0,"",FFARawStatProjections!A821),"")</f>
        <v>DET</v>
      </c>
    </row>
    <row r="821" spans="109:110" x14ac:dyDescent="0.25">
      <c r="DE821">
        <v>819</v>
      </c>
      <c r="DF821" t="str">
        <f>IF(IFERROR(MATCH(FFARawStatProjections!A822,Draft!BY:BY,0),1)&lt;=1,IF(FFARawStatProjections!A822=0,"",FFARawStatProjections!A822),"")</f>
        <v>HOU</v>
      </c>
    </row>
    <row r="822" spans="109:110" x14ac:dyDescent="0.25">
      <c r="DE822">
        <v>820</v>
      </c>
      <c r="DF822" t="str">
        <f>IF(IFERROR(MATCH(FFARawStatProjections!A823,Draft!BY:BY,0),1)&lt;=1,IF(FFARawStatProjections!A823=0,"",FFARawStatProjections!A823),"")</f>
        <v>MIN</v>
      </c>
    </row>
    <row r="823" spans="109:110" x14ac:dyDescent="0.25">
      <c r="DE823">
        <v>821</v>
      </c>
      <c r="DF823" t="str">
        <f>IF(IFERROR(MATCH(FFARawStatProjections!A824,Draft!BY:BY,0),1)&lt;=1,IF(FFARawStatProjections!A824=0,"",FFARawStatProjections!A824),"")</f>
        <v>BAL</v>
      </c>
    </row>
    <row r="824" spans="109:110" x14ac:dyDescent="0.25">
      <c r="DE824">
        <v>822</v>
      </c>
      <c r="DF824" t="str">
        <f>IF(IFERROR(MATCH(FFARawStatProjections!A825,Draft!BY:BY,0),1)&lt;=1,IF(FFARawStatProjections!A825=0,"",FFARawStatProjections!A825),"")</f>
        <v>TB</v>
      </c>
    </row>
    <row r="825" spans="109:110" x14ac:dyDescent="0.25">
      <c r="DE825">
        <v>823</v>
      </c>
      <c r="DF825" t="str">
        <f>IF(IFERROR(MATCH(FFARawStatProjections!A826,Draft!BY:BY,0),1)&lt;=1,IF(FFARawStatProjections!A826=0,"",FFARawStatProjections!A826),"")</f>
        <v>JAC</v>
      </c>
    </row>
    <row r="826" spans="109:110" x14ac:dyDescent="0.25">
      <c r="DE826">
        <v>824</v>
      </c>
      <c r="DF826" t="str">
        <f>IF(IFERROR(MATCH(FFARawStatProjections!A827,Draft!BY:BY,0),1)&lt;=1,IF(FFARawStatProjections!A827=0,"",FFARawStatProjections!A827),"")</f>
        <v>NYG</v>
      </c>
    </row>
    <row r="827" spans="109:110" x14ac:dyDescent="0.25">
      <c r="DE827">
        <v>825</v>
      </c>
      <c r="DF827" t="str">
        <f>IF(IFERROR(MATCH(FFARawStatProjections!A828,Draft!BY:BY,0),1)&lt;=1,IF(FFARawStatProjections!A828=0,"",FFARawStatProjections!A828),"")</f>
        <v>LAR</v>
      </c>
    </row>
    <row r="828" spans="109:110" x14ac:dyDescent="0.25">
      <c r="DE828">
        <v>826</v>
      </c>
      <c r="DF828" t="str">
        <f>IF(IFERROR(MATCH(FFARawStatProjections!A829,Draft!BY:BY,0),1)&lt;=1,IF(FFARawStatProjections!A829=0,"",FFARawStatProjections!A829),"")</f>
        <v>TEN</v>
      </c>
    </row>
    <row r="829" spans="109:110" x14ac:dyDescent="0.25">
      <c r="DE829">
        <v>827</v>
      </c>
      <c r="DF829" t="str">
        <f>IF(IFERROR(MATCH(FFARawStatProjections!A830,Draft!BY:BY,0),1)&lt;=1,IF(FFARawStatProjections!A830=0,"",FFARawStatProjections!A830),"")</f>
        <v>CIN</v>
      </c>
    </row>
    <row r="830" spans="109:110" x14ac:dyDescent="0.25">
      <c r="DE830">
        <v>828</v>
      </c>
      <c r="DF830" t="str">
        <f>IF(IFERROR(MATCH(FFARawStatProjections!A831,Draft!BY:BY,0),1)&lt;=1,IF(FFARawStatProjections!A831=0,"",FFARawStatProjections!A831),"")</f>
        <v>CAR</v>
      </c>
    </row>
    <row r="831" spans="109:110" x14ac:dyDescent="0.25">
      <c r="DE831">
        <v>829</v>
      </c>
      <c r="DF831" t="str">
        <f>IF(IFERROR(MATCH(FFARawStatProjections!A832,Draft!BY:BY,0),1)&lt;=1,IF(FFARawStatProjections!A832=0,"",FFARawStatProjections!A832),"")</f>
        <v>DEN</v>
      </c>
    </row>
    <row r="832" spans="109:110" x14ac:dyDescent="0.25">
      <c r="DE832">
        <v>830</v>
      </c>
      <c r="DF832" t="str">
        <f>IF(IFERROR(MATCH(FFARawStatProjections!A833,Draft!BY:BY,0),1)&lt;=1,IF(FFARawStatProjections!A833=0,"",FFARawStatProjections!A833),"")</f>
        <v>ATL</v>
      </c>
    </row>
    <row r="833" spans="109:110" x14ac:dyDescent="0.25">
      <c r="DE833">
        <v>831</v>
      </c>
      <c r="DF833" t="str">
        <f>IF(IFERROR(MATCH(FFARawStatProjections!A834,Draft!BY:BY,0),1)&lt;=1,IF(FFARawStatProjections!A834=0,"",FFARawStatProjections!A834),"")</f>
        <v>AZ</v>
      </c>
    </row>
    <row r="834" spans="109:110" x14ac:dyDescent="0.25">
      <c r="DE834">
        <v>832</v>
      </c>
      <c r="DF834" t="str">
        <f>IF(IFERROR(MATCH(FFARawStatProjections!A835,Draft!BY:BY,0),1)&lt;=1,IF(FFARawStatProjections!A835=0,"",FFARawStatProjections!A835),"")</f>
        <v>CHI</v>
      </c>
    </row>
    <row r="835" spans="109:110" x14ac:dyDescent="0.25">
      <c r="DE835">
        <v>833</v>
      </c>
      <c r="DF835" t="str">
        <f>IF(IFERROR(MATCH(FFARawStatProjections!A836,Draft!BY:BY,0),1)&lt;=1,IF(FFARawStatProjections!A836=0,"",FFARawStatProjections!A836),"")</f>
        <v>LV</v>
      </c>
    </row>
    <row r="836" spans="109:110" x14ac:dyDescent="0.25">
      <c r="DE836">
        <v>834</v>
      </c>
      <c r="DF836" t="str">
        <f>IF(IFERROR(MATCH(FFARawStatProjections!A837,Draft!BY:BY,0),1)&lt;=1,IF(FFARawStatProjections!A837=0,"",FFARawStatProjections!A837),"")</f>
        <v/>
      </c>
    </row>
    <row r="837" spans="109:110" x14ac:dyDescent="0.25">
      <c r="DE837">
        <v>835</v>
      </c>
      <c r="DF837" t="str">
        <f>IF(IFERROR(MATCH(FFARawStatProjections!A838,Draft!BY:BY,0),1)&lt;=1,IF(FFARawStatProjections!A838=0,"",FFARawStatProjections!A838),"")</f>
        <v/>
      </c>
    </row>
    <row r="838" spans="109:110" x14ac:dyDescent="0.25">
      <c r="DE838">
        <v>836</v>
      </c>
      <c r="DF838" t="str">
        <f>IF(IFERROR(MATCH(FFARawStatProjections!A839,Draft!BY:BY,0),1)&lt;=1,IF(FFARawStatProjections!A839=0,"",FFARawStatProjections!A839),"")</f>
        <v/>
      </c>
    </row>
    <row r="839" spans="109:110" x14ac:dyDescent="0.25">
      <c r="DE839">
        <v>837</v>
      </c>
      <c r="DF839" t="str">
        <f>IF(IFERROR(MATCH(FFARawStatProjections!A840,Draft!BY:BY,0),1)&lt;=1,IF(FFARawStatProjections!A840=0,"",FFARawStatProjections!A840),"")</f>
        <v/>
      </c>
    </row>
    <row r="840" spans="109:110" x14ac:dyDescent="0.25">
      <c r="DE840">
        <v>838</v>
      </c>
      <c r="DF840" t="str">
        <f>IF(IFERROR(MATCH(FFARawStatProjections!A841,Draft!BY:BY,0),1)&lt;=1,IF(FFARawStatProjections!A841=0,"",FFARawStatProjections!A841),"")</f>
        <v>Will Fuller</v>
      </c>
    </row>
    <row r="841" spans="109:110" x14ac:dyDescent="0.25">
      <c r="DE841">
        <v>839</v>
      </c>
      <c r="DF841" t="str">
        <f>IF(IFERROR(MATCH(FFARawStatProjections!A842,Draft!BY:BY,0),1)&lt;=1,IF(FFARawStatProjections!A842=0,"",FFARawStatProjections!A842),"")</f>
        <v>Kareem Hunt</v>
      </c>
    </row>
    <row r="842" spans="109:110" x14ac:dyDescent="0.25">
      <c r="DE842">
        <v>840</v>
      </c>
      <c r="DF842" t="str">
        <f>IF(IFERROR(MATCH(FFARawStatProjections!A843,Draft!BY:BY,0),1)&lt;=1,IF(FFARawStatProjections!A843=0,"",FFARawStatProjections!A843),"")</f>
        <v/>
      </c>
    </row>
    <row r="843" spans="109:110" x14ac:dyDescent="0.25">
      <c r="DE843">
        <v>841</v>
      </c>
      <c r="DF843" t="str">
        <f>IF(IFERROR(MATCH(FFARawStatProjections!A844,Draft!BY:BY,0),1)&lt;=1,IF(FFARawStatProjections!A844=0,"",FFARawStatProjections!A844),"")</f>
        <v/>
      </c>
    </row>
    <row r="844" spans="109:110" x14ac:dyDescent="0.25">
      <c r="DE844">
        <v>842</v>
      </c>
      <c r="DF844" t="str">
        <f>IF(IFERROR(MATCH(FFARawStatProjections!A845,Draft!BY:BY,0),1)&lt;=1,IF(FFARawStatProjections!A845=0,"",FFARawStatProjections!A845),"")</f>
        <v/>
      </c>
    </row>
    <row r="845" spans="109:110" x14ac:dyDescent="0.25">
      <c r="DE845">
        <v>843</v>
      </c>
      <c r="DF845" t="str">
        <f>IF(IFERROR(MATCH(FFARawStatProjections!A846,Draft!BY:BY,0),1)&lt;=1,IF(FFARawStatProjections!A846=0,"",FFARawStatProjections!A846),"")</f>
        <v/>
      </c>
    </row>
    <row r="846" spans="109:110" x14ac:dyDescent="0.25">
      <c r="DE846">
        <v>844</v>
      </c>
      <c r="DF846" t="str">
        <f>IF(IFERROR(MATCH(FFARawStatProjections!A847,Draft!BY:BY,0),1)&lt;=1,IF(FFARawStatProjections!A847=0,"",FFARawStatProjections!A847),"")</f>
        <v/>
      </c>
    </row>
    <row r="847" spans="109:110" x14ac:dyDescent="0.25">
      <c r="DE847">
        <v>845</v>
      </c>
      <c r="DF847" t="str">
        <f>IF(IFERROR(MATCH(FFARawStatProjections!A848,Draft!BY:BY,0),1)&lt;=1,IF(FFARawStatProjections!A848=0,"",FFARawStatProjections!A848),"")</f>
        <v/>
      </c>
    </row>
    <row r="848" spans="109:110" x14ac:dyDescent="0.25">
      <c r="DE848">
        <v>846</v>
      </c>
      <c r="DF848" t="str">
        <f>IF(IFERROR(MATCH(FFARawStatProjections!A849,Draft!BY:BY,0),1)&lt;=1,IF(FFARawStatProjections!A849=0,"",FFARawStatProjections!A849),"")</f>
        <v/>
      </c>
    </row>
    <row r="849" spans="109:110" x14ac:dyDescent="0.25">
      <c r="DE849">
        <v>847</v>
      </c>
      <c r="DF849" t="str">
        <f>IF(IFERROR(MATCH(FFARawStatProjections!A850,Draft!BY:BY,0),1)&lt;=1,IF(FFARawStatProjections!A850=0,"",FFARawStatProjections!A850),"")</f>
        <v/>
      </c>
    </row>
    <row r="850" spans="109:110" x14ac:dyDescent="0.25">
      <c r="DE850">
        <v>848</v>
      </c>
      <c r="DF850" t="str">
        <f>IF(IFERROR(MATCH(FFARawStatProjections!A851,Draft!BY:BY,0),1)&lt;=1,IF(FFARawStatProjections!A851=0,"",FFARawStatProjections!A851),"")</f>
        <v/>
      </c>
    </row>
    <row r="851" spans="109:110" x14ac:dyDescent="0.25">
      <c r="DE851">
        <v>849</v>
      </c>
      <c r="DF851" t="str">
        <f>IF(IFERROR(MATCH(FFARawStatProjections!A852,Draft!BY:BY,0),1)&lt;=1,IF(FFARawStatProjections!A852=0,"",FFARawStatProjections!A852),"")</f>
        <v/>
      </c>
    </row>
    <row r="852" spans="109:110" x14ac:dyDescent="0.25">
      <c r="DE852">
        <v>850</v>
      </c>
      <c r="DF852" t="str">
        <f>IF(IFERROR(MATCH(FFARawStatProjections!A853,Draft!BY:BY,0),1)&lt;=1,IF(FFARawStatProjections!A853=0,"",FFARawStatProjections!A853),"")</f>
        <v/>
      </c>
    </row>
    <row r="853" spans="109:110" x14ac:dyDescent="0.25">
      <c r="DE853">
        <v>851</v>
      </c>
      <c r="DF853" t="str">
        <f>IF(IFERROR(MATCH(FFARawStatProjections!A854,Draft!BY:BY,0),1)&lt;=1,IF(FFARawStatProjections!A854=0,"",FFARawStatProjections!A854),"")</f>
        <v/>
      </c>
    </row>
    <row r="854" spans="109:110" x14ac:dyDescent="0.25">
      <c r="DE854">
        <v>852</v>
      </c>
      <c r="DF854" t="str">
        <f>IF(IFERROR(MATCH(FFARawStatProjections!A855,Draft!BY:BY,0),1)&lt;=1,IF(FFARawStatProjections!A855=0,"",FFARawStatProjections!A855),"")</f>
        <v/>
      </c>
    </row>
    <row r="855" spans="109:110" x14ac:dyDescent="0.25">
      <c r="DE855">
        <v>853</v>
      </c>
      <c r="DF855" t="str">
        <f>IF(IFERROR(MATCH(FFARawStatProjections!A856,Draft!BY:BY,0),1)&lt;=1,IF(FFARawStatProjections!A856=0,"",FFARawStatProjections!A856),"")</f>
        <v/>
      </c>
    </row>
    <row r="856" spans="109:110" x14ac:dyDescent="0.25">
      <c r="DE856">
        <v>854</v>
      </c>
      <c r="DF856" t="str">
        <f>IF(IFERROR(MATCH(FFARawStatProjections!A857,Draft!BY:BY,0),1)&lt;=1,IF(FFARawStatProjections!A857=0,"",FFARawStatProjections!A857),"")</f>
        <v/>
      </c>
    </row>
    <row r="857" spans="109:110" x14ac:dyDescent="0.25">
      <c r="DE857">
        <v>855</v>
      </c>
      <c r="DF857" t="str">
        <f>IF(IFERROR(MATCH(FFARawStatProjections!A858,Draft!BY:BY,0),1)&lt;=1,IF(FFARawStatProjections!A858=0,"",FFARawStatProjections!A858),"")</f>
        <v/>
      </c>
    </row>
    <row r="858" spans="109:110" x14ac:dyDescent="0.25">
      <c r="DE858">
        <v>856</v>
      </c>
      <c r="DF858" t="str">
        <f>IF(IFERROR(MATCH(FFARawStatProjections!A859,Draft!BY:BY,0),1)&lt;=1,IF(FFARawStatProjections!A859=0,"",FFARawStatProjections!A859),"")</f>
        <v/>
      </c>
    </row>
    <row r="859" spans="109:110" x14ac:dyDescent="0.25">
      <c r="DE859">
        <v>857</v>
      </c>
      <c r="DF859" t="str">
        <f>IF(IFERROR(MATCH(FFARawStatProjections!A860,Draft!BY:BY,0),1)&lt;=1,IF(FFARawStatProjections!A860=0,"",FFARawStatProjections!A860),"")</f>
        <v/>
      </c>
    </row>
    <row r="860" spans="109:110" x14ac:dyDescent="0.25">
      <c r="DE860">
        <v>858</v>
      </c>
      <c r="DF860" t="str">
        <f>IF(IFERROR(MATCH(FFARawStatProjections!A861,Draft!BY:BY,0),1)&lt;=1,IF(FFARawStatProjections!A861=0,"",FFARawStatProjections!A861),"")</f>
        <v/>
      </c>
    </row>
    <row r="861" spans="109:110" x14ac:dyDescent="0.25">
      <c r="DE861">
        <v>859</v>
      </c>
      <c r="DF861" t="str">
        <f>IF(IFERROR(MATCH(FFARawStatProjections!A862,Draft!BY:BY,0),1)&lt;=1,IF(FFARawStatProjections!A862=0,"",FFARawStatProjections!A862),"")</f>
        <v/>
      </c>
    </row>
    <row r="862" spans="109:110" x14ac:dyDescent="0.25">
      <c r="DE862">
        <v>860</v>
      </c>
      <c r="DF862" t="str">
        <f>IF(IFERROR(MATCH(FFARawStatProjections!A863,Draft!BY:BY,0),1)&lt;=1,IF(FFARawStatProjections!A863=0,"",FFARawStatProjections!A863),"")</f>
        <v/>
      </c>
    </row>
    <row r="863" spans="109:110" x14ac:dyDescent="0.25">
      <c r="DE863">
        <v>861</v>
      </c>
      <c r="DF863" t="str">
        <f>IF(IFERROR(MATCH(FFARawStatProjections!A864,Draft!BY:BY,0),1)&lt;=1,IF(FFARawStatProjections!A864=0,"",FFARawStatProjections!A864),"")</f>
        <v/>
      </c>
    </row>
    <row r="864" spans="109:110" x14ac:dyDescent="0.25">
      <c r="DE864">
        <v>862</v>
      </c>
      <c r="DF864" t="str">
        <f>IF(IFERROR(MATCH(FFARawStatProjections!A865,Draft!BY:BY,0),1)&lt;=1,IF(FFARawStatProjections!A865=0,"",FFARawStatProjections!A865),"")</f>
        <v/>
      </c>
    </row>
    <row r="865" spans="109:110" x14ac:dyDescent="0.25">
      <c r="DE865">
        <v>863</v>
      </c>
      <c r="DF865" t="str">
        <f>IF(IFERROR(MATCH(FFARawStatProjections!A866,Draft!BY:BY,0),1)&lt;=1,IF(FFARawStatProjections!A866=0,"",FFARawStatProjections!A866),"")</f>
        <v/>
      </c>
    </row>
    <row r="866" spans="109:110" x14ac:dyDescent="0.25">
      <c r="DE866">
        <v>864</v>
      </c>
      <c r="DF866" t="str">
        <f>IF(IFERROR(MATCH(FFARawStatProjections!A867,Draft!BY:BY,0),1)&lt;=1,IF(FFARawStatProjections!A867=0,"",FFARawStatProjections!A867),"")</f>
        <v/>
      </c>
    </row>
    <row r="867" spans="109:110" x14ac:dyDescent="0.25">
      <c r="DE867">
        <v>865</v>
      </c>
      <c r="DF867" t="str">
        <f>IF(IFERROR(MATCH(FFARawStatProjections!A868,Draft!BY:BY,0),1)&lt;=1,IF(FFARawStatProjections!A868=0,"",FFARawStatProjections!A868),"")</f>
        <v/>
      </c>
    </row>
    <row r="868" spans="109:110" x14ac:dyDescent="0.25">
      <c r="DE868">
        <v>866</v>
      </c>
      <c r="DF868" t="str">
        <f>IF(IFERROR(MATCH(FFARawStatProjections!A869,Draft!BY:BY,0),1)&lt;=1,IF(FFARawStatProjections!A869=0,"",FFARawStatProjections!A869),"")</f>
        <v/>
      </c>
    </row>
    <row r="869" spans="109:110" x14ac:dyDescent="0.25">
      <c r="DE869">
        <v>867</v>
      </c>
      <c r="DF869" t="str">
        <f>IF(IFERROR(MATCH(FFARawStatProjections!A870,Draft!BY:BY,0),1)&lt;=1,IF(FFARawStatProjections!A870=0,"",FFARawStatProjections!A870),"")</f>
        <v/>
      </c>
    </row>
    <row r="870" spans="109:110" x14ac:dyDescent="0.25">
      <c r="DE870">
        <v>868</v>
      </c>
      <c r="DF870" t="str">
        <f>IF(IFERROR(MATCH(FFARawStatProjections!A871,Draft!BY:BY,0),1)&lt;=1,IF(FFARawStatProjections!A871=0,"",FFARawStatProjections!A871),"")</f>
        <v/>
      </c>
    </row>
    <row r="871" spans="109:110" x14ac:dyDescent="0.25">
      <c r="DE871">
        <v>869</v>
      </c>
      <c r="DF871" t="str">
        <f>IF(IFERROR(MATCH(FFARawStatProjections!A872,Draft!BY:BY,0),1)&lt;=1,IF(FFARawStatProjections!A872=0,"",FFARawStatProjections!A872),"")</f>
        <v/>
      </c>
    </row>
    <row r="872" spans="109:110" x14ac:dyDescent="0.25">
      <c r="DE872">
        <v>870</v>
      </c>
      <c r="DF872" t="str">
        <f>IF(IFERROR(MATCH(FFARawStatProjections!A873,Draft!BY:BY,0),1)&lt;=1,IF(FFARawStatProjections!A873=0,"",FFARawStatProjections!A873),"")</f>
        <v/>
      </c>
    </row>
    <row r="873" spans="109:110" x14ac:dyDescent="0.25">
      <c r="DE873">
        <v>871</v>
      </c>
      <c r="DF873" t="str">
        <f>IF(IFERROR(MATCH(FFARawStatProjections!A874,Draft!BY:BY,0),1)&lt;=1,IF(FFARawStatProjections!A874=0,"",FFARawStatProjections!A874),"")</f>
        <v/>
      </c>
    </row>
    <row r="874" spans="109:110" x14ac:dyDescent="0.25">
      <c r="DE874">
        <v>872</v>
      </c>
      <c r="DF874" t="str">
        <f>IF(IFERROR(MATCH(FFARawStatProjections!A875,Draft!BY:BY,0),1)&lt;=1,IF(FFARawStatProjections!A875=0,"",FFARawStatProjections!A875),"")</f>
        <v/>
      </c>
    </row>
    <row r="875" spans="109:110" x14ac:dyDescent="0.25">
      <c r="DE875">
        <v>873</v>
      </c>
      <c r="DF875" t="str">
        <f>IF(IFERROR(MATCH(FFARawStatProjections!A876,Draft!BY:BY,0),1)&lt;=1,IF(FFARawStatProjections!A876=0,"",FFARawStatProjections!A876),"")</f>
        <v/>
      </c>
    </row>
    <row r="876" spans="109:110" x14ac:dyDescent="0.25">
      <c r="DE876">
        <v>874</v>
      </c>
      <c r="DF876" t="str">
        <f>IF(IFERROR(MATCH(FFARawStatProjections!A877,Draft!BY:BY,0),1)&lt;=1,IF(FFARawStatProjections!A877=0,"",FFARawStatProjections!A877),"")</f>
        <v/>
      </c>
    </row>
    <row r="877" spans="109:110" x14ac:dyDescent="0.25">
      <c r="DE877">
        <v>875</v>
      </c>
      <c r="DF877" t="str">
        <f>IF(IFERROR(MATCH(FFARawStatProjections!A878,Draft!BY:BY,0),1)&lt;=1,IF(FFARawStatProjections!A878=0,"",FFARawStatProjections!A878),"")</f>
        <v/>
      </c>
    </row>
    <row r="878" spans="109:110" x14ac:dyDescent="0.25">
      <c r="DE878">
        <v>876</v>
      </c>
      <c r="DF878" t="str">
        <f>IF(IFERROR(MATCH(FFARawStatProjections!A879,Draft!BY:BY,0),1)&lt;=1,IF(FFARawStatProjections!A879=0,"",FFARawStatProjections!A879),"")</f>
        <v/>
      </c>
    </row>
    <row r="879" spans="109:110" x14ac:dyDescent="0.25">
      <c r="DE879">
        <v>877</v>
      </c>
      <c r="DF879" t="str">
        <f>IF(IFERROR(MATCH(FFARawStatProjections!A880,Draft!BY:BY,0),1)&lt;=1,IF(FFARawStatProjections!A880=0,"",FFARawStatProjections!A880),"")</f>
        <v/>
      </c>
    </row>
    <row r="880" spans="109:110" x14ac:dyDescent="0.25">
      <c r="DE880">
        <v>878</v>
      </c>
      <c r="DF880" t="str">
        <f>IF(IFERROR(MATCH(FFARawStatProjections!A881,Draft!BY:BY,0),1)&lt;=1,IF(FFARawStatProjections!A881=0,"",FFARawStatProjections!A881),"")</f>
        <v/>
      </c>
    </row>
    <row r="881" spans="109:110" x14ac:dyDescent="0.25">
      <c r="DE881">
        <v>879</v>
      </c>
      <c r="DF881" t="str">
        <f>IF(IFERROR(MATCH(FFARawStatProjections!A882,Draft!BY:BY,0),1)&lt;=1,IF(FFARawStatProjections!A882=0,"",FFARawStatProjections!A882),"")</f>
        <v/>
      </c>
    </row>
    <row r="882" spans="109:110" x14ac:dyDescent="0.25">
      <c r="DE882">
        <v>880</v>
      </c>
      <c r="DF882" t="str">
        <f>IF(IFERROR(MATCH(FFARawStatProjections!A883,Draft!BY:BY,0),1)&lt;=1,IF(FFARawStatProjections!A883=0,"",FFARawStatProjections!A883),"")</f>
        <v/>
      </c>
    </row>
    <row r="883" spans="109:110" x14ac:dyDescent="0.25">
      <c r="DE883">
        <v>881</v>
      </c>
      <c r="DF883" t="str">
        <f>IF(IFERROR(MATCH(FFARawStatProjections!A884,Draft!BY:BY,0),1)&lt;=1,IF(FFARawStatProjections!A884=0,"",FFARawStatProjections!A884),"")</f>
        <v/>
      </c>
    </row>
    <row r="884" spans="109:110" x14ac:dyDescent="0.25">
      <c r="DE884">
        <v>882</v>
      </c>
      <c r="DF884" t="str">
        <f>IF(IFERROR(MATCH(FFARawStatProjections!A885,Draft!BY:BY,0),1)&lt;=1,IF(FFARawStatProjections!A885=0,"",FFARawStatProjections!A885),"")</f>
        <v/>
      </c>
    </row>
    <row r="885" spans="109:110" x14ac:dyDescent="0.25">
      <c r="DE885">
        <v>883</v>
      </c>
      <c r="DF885" t="str">
        <f>IF(IFERROR(MATCH(FFARawStatProjections!A886,Draft!BY:BY,0),1)&lt;=1,IF(FFARawStatProjections!A886=0,"",FFARawStatProjections!A886),"")</f>
        <v/>
      </c>
    </row>
    <row r="886" spans="109:110" x14ac:dyDescent="0.25">
      <c r="DE886">
        <v>884</v>
      </c>
      <c r="DF886" t="str">
        <f>IF(IFERROR(MATCH(FFARawStatProjections!A887,Draft!BY:BY,0),1)&lt;=1,IF(FFARawStatProjections!A887=0,"",FFARawStatProjections!A887),"")</f>
        <v/>
      </c>
    </row>
    <row r="887" spans="109:110" x14ac:dyDescent="0.25">
      <c r="DE887">
        <v>885</v>
      </c>
      <c r="DF887" t="str">
        <f>IF(IFERROR(MATCH(FFARawStatProjections!A888,Draft!BY:BY,0),1)&lt;=1,IF(FFARawStatProjections!A888=0,"",FFARawStatProjections!A888),"")</f>
        <v/>
      </c>
    </row>
    <row r="888" spans="109:110" x14ac:dyDescent="0.25">
      <c r="DE888">
        <v>886</v>
      </c>
      <c r="DF888" t="str">
        <f>IF(IFERROR(MATCH(FFARawStatProjections!A889,Draft!BY:BY,0),1)&lt;=1,IF(FFARawStatProjections!A889=0,"",FFARawStatProjections!A889),"")</f>
        <v/>
      </c>
    </row>
    <row r="889" spans="109:110" x14ac:dyDescent="0.25">
      <c r="DE889">
        <v>887</v>
      </c>
      <c r="DF889" t="str">
        <f>IF(IFERROR(MATCH(FFARawStatProjections!A890,Draft!BY:BY,0),1)&lt;=1,IF(FFARawStatProjections!A890=0,"",FFARawStatProjections!A890),"")</f>
        <v/>
      </c>
    </row>
    <row r="890" spans="109:110" x14ac:dyDescent="0.25">
      <c r="DE890">
        <v>888</v>
      </c>
      <c r="DF890" t="str">
        <f>IF(IFERROR(MATCH(FFARawStatProjections!A891,Draft!BY:BY,0),1)&lt;=1,IF(FFARawStatProjections!A891=0,"",FFARawStatProjections!A891),"")</f>
        <v/>
      </c>
    </row>
    <row r="891" spans="109:110" x14ac:dyDescent="0.25">
      <c r="DE891">
        <v>889</v>
      </c>
      <c r="DF891" t="str">
        <f>IF(IFERROR(MATCH(FFARawStatProjections!A892,Draft!BY:BY,0),1)&lt;=1,IF(FFARawStatProjections!A892=0,"",FFARawStatProjections!A892),"")</f>
        <v/>
      </c>
    </row>
    <row r="892" spans="109:110" x14ac:dyDescent="0.25">
      <c r="DE892">
        <v>890</v>
      </c>
      <c r="DF892" t="str">
        <f>IF(IFERROR(MATCH(FFARawStatProjections!A893,Draft!BY:BY,0),1)&lt;=1,IF(FFARawStatProjections!A893=0,"",FFARawStatProjections!A893),"")</f>
        <v/>
      </c>
    </row>
    <row r="893" spans="109:110" x14ac:dyDescent="0.25">
      <c r="DE893">
        <v>891</v>
      </c>
      <c r="DF893" t="str">
        <f>IF(IFERROR(MATCH(FFARawStatProjections!A894,Draft!BY:BY,0),1)&lt;=1,IF(FFARawStatProjections!A894=0,"",FFARawStatProjections!A894),"")</f>
        <v/>
      </c>
    </row>
    <row r="894" spans="109:110" x14ac:dyDescent="0.25">
      <c r="DE894">
        <v>892</v>
      </c>
      <c r="DF894" t="str">
        <f>IF(IFERROR(MATCH(FFARawStatProjections!A895,Draft!BY:BY,0),1)&lt;=1,IF(FFARawStatProjections!A895=0,"",FFARawStatProjections!A895),"")</f>
        <v/>
      </c>
    </row>
    <row r="895" spans="109:110" x14ac:dyDescent="0.25">
      <c r="DE895">
        <v>893</v>
      </c>
      <c r="DF895" t="str">
        <f>IF(IFERROR(MATCH(FFARawStatProjections!A896,Draft!BY:BY,0),1)&lt;=1,IF(FFARawStatProjections!A896=0,"",FFARawStatProjections!A896),"")</f>
        <v/>
      </c>
    </row>
    <row r="896" spans="109:110" x14ac:dyDescent="0.25">
      <c r="DE896">
        <v>894</v>
      </c>
      <c r="DF896" t="str">
        <f>IF(IFERROR(MATCH(FFARawStatProjections!A897,Draft!BY:BY,0),1)&lt;=1,IF(FFARawStatProjections!A897=0,"",FFARawStatProjections!A897),"")</f>
        <v/>
      </c>
    </row>
    <row r="897" spans="109:110" x14ac:dyDescent="0.25">
      <c r="DE897">
        <v>895</v>
      </c>
      <c r="DF897" t="str">
        <f>IF(IFERROR(MATCH(FFARawStatProjections!A898,Draft!BY:BY,0),1)&lt;=1,IF(FFARawStatProjections!A898=0,"",FFARawStatProjections!A898),"")</f>
        <v/>
      </c>
    </row>
    <row r="898" spans="109:110" x14ac:dyDescent="0.25">
      <c r="DE898">
        <v>896</v>
      </c>
      <c r="DF898" t="str">
        <f>IF(IFERROR(MATCH(FFARawStatProjections!A899,Draft!BY:BY,0),1)&lt;=1,IF(FFARawStatProjections!A899=0,"",FFARawStatProjections!A899),"")</f>
        <v/>
      </c>
    </row>
    <row r="899" spans="109:110" x14ac:dyDescent="0.25">
      <c r="DE899">
        <v>897</v>
      </c>
      <c r="DF899" t="str">
        <f>IF(IFERROR(MATCH(FFARawStatProjections!A900,Draft!BY:BY,0),1)&lt;=1,IF(FFARawStatProjections!A900=0,"",FFARawStatProjections!A900),"")</f>
        <v/>
      </c>
    </row>
    <row r="900" spans="109:110" x14ac:dyDescent="0.25">
      <c r="DE900">
        <v>898</v>
      </c>
      <c r="DF900" t="str">
        <f>IF(IFERROR(MATCH(FFARawStatProjections!A901,Draft!BY:BY,0),1)&lt;=1,IF(FFARawStatProjections!A901=0,"",FFARawStatProjections!A901),"")</f>
        <v/>
      </c>
    </row>
    <row r="901" spans="109:110" x14ac:dyDescent="0.25">
      <c r="DE901">
        <v>899</v>
      </c>
      <c r="DF901" t="str">
        <f>IF(IFERROR(MATCH(FFARawStatProjections!A902,Draft!BY:BY,0),1)&lt;=1,IF(FFARawStatProjections!A902=0,"",FFARawStatProjections!A902),"")</f>
        <v/>
      </c>
    </row>
    <row r="902" spans="109:110" x14ac:dyDescent="0.25">
      <c r="DE902">
        <v>900</v>
      </c>
      <c r="DF902" t="str">
        <f>IF(IFERROR(MATCH(FFARawStatProjections!A903,Draft!BY:BY,0),1)&lt;=1,IF(FFARawStatProjections!A903=0,"",FFARawStatProjections!A903),"")</f>
        <v/>
      </c>
    </row>
    <row r="903" spans="109:110" x14ac:dyDescent="0.25">
      <c r="DE903">
        <v>901</v>
      </c>
      <c r="DF903" t="str">
        <f>IF(IFERROR(MATCH(FFARawStatProjections!A904,Draft!BY:BY,0),1)&lt;=1,IF(FFARawStatProjections!A904=0,"",FFARawStatProjections!A904),"")</f>
        <v/>
      </c>
    </row>
    <row r="904" spans="109:110" x14ac:dyDescent="0.25">
      <c r="DE904">
        <v>902</v>
      </c>
      <c r="DF904" t="str">
        <f>IF(IFERROR(MATCH(FFARawStatProjections!A905,Draft!BY:BY,0),1)&lt;=1,IF(FFARawStatProjections!A905=0,"",FFARawStatProjections!A905),"")</f>
        <v/>
      </c>
    </row>
    <row r="905" spans="109:110" x14ac:dyDescent="0.25">
      <c r="DE905">
        <v>903</v>
      </c>
      <c r="DF905" t="str">
        <f>IF(IFERROR(MATCH(FFARawStatProjections!A906,Draft!BY:BY,0),1)&lt;=1,IF(FFARawStatProjections!A906=0,"",FFARawStatProjections!A906),"")</f>
        <v/>
      </c>
    </row>
    <row r="906" spans="109:110" x14ac:dyDescent="0.25">
      <c r="DE906">
        <v>904</v>
      </c>
      <c r="DF906" t="str">
        <f>IF(IFERROR(MATCH(FFARawStatProjections!A907,Draft!BY:BY,0),1)&lt;=1,IF(FFARawStatProjections!A907=0,"",FFARawStatProjections!A907),"")</f>
        <v/>
      </c>
    </row>
    <row r="907" spans="109:110" x14ac:dyDescent="0.25">
      <c r="DE907">
        <v>905</v>
      </c>
      <c r="DF907" t="str">
        <f>IF(IFERROR(MATCH(FFARawStatProjections!A908,Draft!BY:BY,0),1)&lt;=1,IF(FFARawStatProjections!A908=0,"",FFARawStatProjections!A908),"")</f>
        <v/>
      </c>
    </row>
    <row r="908" spans="109:110" x14ac:dyDescent="0.25">
      <c r="DE908">
        <v>906</v>
      </c>
      <c r="DF908" t="str">
        <f>IF(IFERROR(MATCH(FFARawStatProjections!A909,Draft!BY:BY,0),1)&lt;=1,IF(FFARawStatProjections!A909=0,"",FFARawStatProjections!A909),"")</f>
        <v/>
      </c>
    </row>
    <row r="909" spans="109:110" x14ac:dyDescent="0.25">
      <c r="DE909">
        <v>907</v>
      </c>
      <c r="DF909" t="str">
        <f>IF(IFERROR(MATCH(FFARawStatProjections!A910,Draft!BY:BY,0),1)&lt;=1,IF(FFARawStatProjections!A910=0,"",FFARawStatProjections!A910),"")</f>
        <v/>
      </c>
    </row>
    <row r="910" spans="109:110" x14ac:dyDescent="0.25">
      <c r="DE910">
        <v>908</v>
      </c>
      <c r="DF910" t="str">
        <f>IF(IFERROR(MATCH(FFARawStatProjections!A911,Draft!BY:BY,0),1)&lt;=1,IF(FFARawStatProjections!A911=0,"",FFARawStatProjections!A911),"")</f>
        <v/>
      </c>
    </row>
    <row r="911" spans="109:110" x14ac:dyDescent="0.25">
      <c r="DE911">
        <v>909</v>
      </c>
      <c r="DF911" t="str">
        <f>IF(IFERROR(MATCH(FFARawStatProjections!A912,Draft!BY:BY,0),1)&lt;=1,IF(FFARawStatProjections!A912=0,"",FFARawStatProjections!A912),"")</f>
        <v/>
      </c>
    </row>
    <row r="912" spans="109:110" x14ac:dyDescent="0.25">
      <c r="DE912">
        <v>910</v>
      </c>
      <c r="DF912" t="str">
        <f>IF(IFERROR(MATCH(FFARawStatProjections!A913,Draft!BY:BY,0),1)&lt;=1,IF(FFARawStatProjections!A913=0,"",FFARawStatProjections!A913),"")</f>
        <v/>
      </c>
    </row>
    <row r="913" spans="109:110" x14ac:dyDescent="0.25">
      <c r="DE913">
        <v>911</v>
      </c>
      <c r="DF913" t="str">
        <f>IF(IFERROR(MATCH(FFARawStatProjections!A914,Draft!BY:BY,0),1)&lt;=1,IF(FFARawStatProjections!A914=0,"",FFARawStatProjections!A914),"")</f>
        <v/>
      </c>
    </row>
    <row r="914" spans="109:110" x14ac:dyDescent="0.25">
      <c r="DE914">
        <v>912</v>
      </c>
      <c r="DF914" t="str">
        <f>IF(IFERROR(MATCH(FFARawStatProjections!A915,Draft!BY:BY,0),1)&lt;=1,IF(FFARawStatProjections!A915=0,"",FFARawStatProjections!A915),"")</f>
        <v/>
      </c>
    </row>
    <row r="915" spans="109:110" x14ac:dyDescent="0.25">
      <c r="DE915">
        <v>913</v>
      </c>
      <c r="DF915" t="str">
        <f>IF(IFERROR(MATCH(FFARawStatProjections!A916,Draft!BY:BY,0),1)&lt;=1,IF(FFARawStatProjections!A916=0,"",FFARawStatProjections!A916),"")</f>
        <v/>
      </c>
    </row>
    <row r="916" spans="109:110" x14ac:dyDescent="0.25">
      <c r="DE916">
        <v>914</v>
      </c>
      <c r="DF916" t="str">
        <f>IF(IFERROR(MATCH(FFARawStatProjections!A917,Draft!BY:BY,0),1)&lt;=1,IF(FFARawStatProjections!A917=0,"",FFARawStatProjections!A917),"")</f>
        <v/>
      </c>
    </row>
    <row r="917" spans="109:110" x14ac:dyDescent="0.25">
      <c r="DE917">
        <v>915</v>
      </c>
      <c r="DF917" t="str">
        <f>IF(IFERROR(MATCH(FFARawStatProjections!A918,Draft!BY:BY,0),1)&lt;=1,IF(FFARawStatProjections!A918=0,"",FFARawStatProjections!A918),"")</f>
        <v/>
      </c>
    </row>
    <row r="918" spans="109:110" x14ac:dyDescent="0.25">
      <c r="DE918">
        <v>916</v>
      </c>
      <c r="DF918" t="str">
        <f>IF(IFERROR(MATCH(FFARawStatProjections!A919,Draft!BY:BY,0),1)&lt;=1,IF(FFARawStatProjections!A919=0,"",FFARawStatProjections!A919),"")</f>
        <v/>
      </c>
    </row>
    <row r="919" spans="109:110" x14ac:dyDescent="0.25">
      <c r="DE919">
        <v>917</v>
      </c>
      <c r="DF919" t="str">
        <f>IF(IFERROR(MATCH(FFARawStatProjections!A920,Draft!BY:BY,0),1)&lt;=1,IF(FFARawStatProjections!A920=0,"",FFARawStatProjections!A920),"")</f>
        <v/>
      </c>
    </row>
    <row r="920" spans="109:110" x14ac:dyDescent="0.25">
      <c r="DE920">
        <v>918</v>
      </c>
      <c r="DF920" t="str">
        <f>IF(IFERROR(MATCH(FFARawStatProjections!A921,Draft!BY:BY,0),1)&lt;=1,IF(FFARawStatProjections!A921=0,"",FFARawStatProjections!A921),"")</f>
        <v/>
      </c>
    </row>
    <row r="921" spans="109:110" x14ac:dyDescent="0.25">
      <c r="DE921">
        <v>919</v>
      </c>
      <c r="DF921" t="str">
        <f>IF(IFERROR(MATCH(FFARawStatProjections!A922,Draft!BY:BY,0),1)&lt;=1,IF(FFARawStatProjections!A922=0,"",FFARawStatProjections!A922),"")</f>
        <v/>
      </c>
    </row>
    <row r="922" spans="109:110" x14ac:dyDescent="0.25">
      <c r="DE922">
        <v>920</v>
      </c>
      <c r="DF922" t="str">
        <f>IF(IFERROR(MATCH(FFARawStatProjections!A923,Draft!BY:BY,0),1)&lt;=1,IF(FFARawStatProjections!A923=0,"",FFARawStatProjections!A923),"")</f>
        <v/>
      </c>
    </row>
    <row r="923" spans="109:110" x14ac:dyDescent="0.25">
      <c r="DE923">
        <v>921</v>
      </c>
      <c r="DF923" t="str">
        <f>IF(IFERROR(MATCH(FFARawStatProjections!A924,Draft!BY:BY,0),1)&lt;=1,IF(FFARawStatProjections!A924=0,"",FFARawStatProjections!A924),"")</f>
        <v/>
      </c>
    </row>
    <row r="924" spans="109:110" x14ac:dyDescent="0.25">
      <c r="DE924">
        <v>922</v>
      </c>
      <c r="DF924" t="str">
        <f>IF(IFERROR(MATCH(FFARawStatProjections!A925,Draft!BY:BY,0),1)&lt;=1,IF(FFARawStatProjections!A925=0,"",FFARawStatProjections!A925),"")</f>
        <v/>
      </c>
    </row>
    <row r="925" spans="109:110" x14ac:dyDescent="0.25">
      <c r="DE925">
        <v>923</v>
      </c>
      <c r="DF925" t="str">
        <f>IF(IFERROR(MATCH(FFARawStatProjections!A926,Draft!BY:BY,0),1)&lt;=1,IF(FFARawStatProjections!A926=0,"",FFARawStatProjections!A926),"")</f>
        <v/>
      </c>
    </row>
    <row r="926" spans="109:110" x14ac:dyDescent="0.25">
      <c r="DE926">
        <v>924</v>
      </c>
      <c r="DF926" t="str">
        <f>IF(IFERROR(MATCH(FFARawStatProjections!A927,Draft!BY:BY,0),1)&lt;=1,IF(FFARawStatProjections!A927=0,"",FFARawStatProjections!A927),"")</f>
        <v/>
      </c>
    </row>
    <row r="927" spans="109:110" x14ac:dyDescent="0.25">
      <c r="DE927">
        <v>925</v>
      </c>
      <c r="DF927" t="str">
        <f>IF(IFERROR(MATCH(FFARawStatProjections!A928,Draft!BY:BY,0),1)&lt;=1,IF(FFARawStatProjections!A928=0,"",FFARawStatProjections!A928),"")</f>
        <v/>
      </c>
    </row>
    <row r="928" spans="109:110" x14ac:dyDescent="0.25">
      <c r="DE928">
        <v>926</v>
      </c>
      <c r="DF928" t="str">
        <f>IF(IFERROR(MATCH(FFARawStatProjections!A929,Draft!BY:BY,0),1)&lt;=1,IF(FFARawStatProjections!A929=0,"",FFARawStatProjections!A929),"")</f>
        <v/>
      </c>
    </row>
    <row r="929" spans="109:110" x14ac:dyDescent="0.25">
      <c r="DE929">
        <v>927</v>
      </c>
      <c r="DF929" t="str">
        <f>IF(IFERROR(MATCH(FFARawStatProjections!A930,Draft!BY:BY,0),1)&lt;=1,IF(FFARawStatProjections!A930=0,"",FFARawStatProjections!A930),"")</f>
        <v/>
      </c>
    </row>
    <row r="930" spans="109:110" x14ac:dyDescent="0.25">
      <c r="DE930">
        <v>928</v>
      </c>
      <c r="DF930" t="str">
        <f>IF(IFERROR(MATCH(FFARawStatProjections!A931,Draft!BY:BY,0),1)&lt;=1,IF(FFARawStatProjections!A931=0,"",FFARawStatProjections!A931),"")</f>
        <v/>
      </c>
    </row>
    <row r="931" spans="109:110" x14ac:dyDescent="0.25">
      <c r="DE931">
        <v>929</v>
      </c>
      <c r="DF931" t="str">
        <f>IF(IFERROR(MATCH(FFARawStatProjections!A932,Draft!BY:BY,0),1)&lt;=1,IF(FFARawStatProjections!A932=0,"",FFARawStatProjections!A932),"")</f>
        <v/>
      </c>
    </row>
    <row r="932" spans="109:110" x14ac:dyDescent="0.25">
      <c r="DE932">
        <v>930</v>
      </c>
      <c r="DF932" t="str">
        <f>IF(IFERROR(MATCH(FFARawStatProjections!A933,Draft!BY:BY,0),1)&lt;=1,IF(FFARawStatProjections!A933=0,"",FFARawStatProjections!A933),"")</f>
        <v/>
      </c>
    </row>
    <row r="933" spans="109:110" x14ac:dyDescent="0.25">
      <c r="DE933">
        <v>931</v>
      </c>
      <c r="DF933" t="str">
        <f>IF(IFERROR(MATCH(FFARawStatProjections!A934,Draft!BY:BY,0),1)&lt;=1,IF(FFARawStatProjections!A934=0,"",FFARawStatProjections!A934),"")</f>
        <v/>
      </c>
    </row>
    <row r="934" spans="109:110" x14ac:dyDescent="0.25">
      <c r="DE934">
        <v>932</v>
      </c>
      <c r="DF934" t="str">
        <f>IF(IFERROR(MATCH(FFARawStatProjections!A935,Draft!BY:BY,0),1)&lt;=1,IF(FFARawStatProjections!A935=0,"",FFARawStatProjections!A935),"")</f>
        <v/>
      </c>
    </row>
    <row r="935" spans="109:110" x14ac:dyDescent="0.25">
      <c r="DE935">
        <v>933</v>
      </c>
      <c r="DF935" t="str">
        <f>IF(IFERROR(MATCH(FFARawStatProjections!A936,Draft!BY:BY,0),1)&lt;=1,IF(FFARawStatProjections!A936=0,"",FFARawStatProjections!A936),"")</f>
        <v/>
      </c>
    </row>
    <row r="936" spans="109:110" x14ac:dyDescent="0.25">
      <c r="DE936">
        <v>934</v>
      </c>
      <c r="DF936" t="str">
        <f>IF(IFERROR(MATCH(FFARawStatProjections!A937,Draft!BY:BY,0),1)&lt;=1,IF(FFARawStatProjections!A937=0,"",FFARawStatProjections!A937),"")</f>
        <v/>
      </c>
    </row>
    <row r="937" spans="109:110" x14ac:dyDescent="0.25">
      <c r="DE937">
        <v>935</v>
      </c>
      <c r="DF937" t="str">
        <f>IF(IFERROR(MATCH(FFARawStatProjections!A938,Draft!BY:BY,0),1)&lt;=1,IF(FFARawStatProjections!A938=0,"",FFARawStatProjections!A938),"")</f>
        <v/>
      </c>
    </row>
    <row r="938" spans="109:110" x14ac:dyDescent="0.25">
      <c r="DE938">
        <v>936</v>
      </c>
      <c r="DF938" t="str">
        <f>IF(IFERROR(MATCH(FFARawStatProjections!A939,Draft!BY:BY,0),1)&lt;=1,IF(FFARawStatProjections!A939=0,"",FFARawStatProjections!A939),"")</f>
        <v/>
      </c>
    </row>
    <row r="939" spans="109:110" x14ac:dyDescent="0.25">
      <c r="DE939">
        <v>937</v>
      </c>
      <c r="DF939" t="str">
        <f>IF(IFERROR(MATCH(FFARawStatProjections!A940,Draft!BY:BY,0),1)&lt;=1,IF(FFARawStatProjections!A940=0,"",FFARawStatProjections!A940),"")</f>
        <v/>
      </c>
    </row>
    <row r="940" spans="109:110" x14ac:dyDescent="0.25">
      <c r="DE940">
        <v>938</v>
      </c>
      <c r="DF940" t="str">
        <f>IF(IFERROR(MATCH(FFARawStatProjections!A941,Draft!BY:BY,0),1)&lt;=1,IF(FFARawStatProjections!A941=0,"",FFARawStatProjections!A941),"")</f>
        <v/>
      </c>
    </row>
    <row r="941" spans="109:110" x14ac:dyDescent="0.25">
      <c r="DE941">
        <v>939</v>
      </c>
      <c r="DF941" t="str">
        <f>IF(IFERROR(MATCH(FFARawStatProjections!A942,Draft!BY:BY,0),1)&lt;=1,IF(FFARawStatProjections!A942=0,"",FFARawStatProjections!A942),"")</f>
        <v/>
      </c>
    </row>
    <row r="942" spans="109:110" x14ac:dyDescent="0.25">
      <c r="DE942">
        <v>940</v>
      </c>
      <c r="DF942" t="str">
        <f>IF(IFERROR(MATCH(FFARawStatProjections!A943,Draft!BY:BY,0),1)&lt;=1,IF(FFARawStatProjections!A943=0,"",FFARawStatProjections!A943),"")</f>
        <v/>
      </c>
    </row>
    <row r="943" spans="109:110" x14ac:dyDescent="0.25">
      <c r="DE943">
        <v>941</v>
      </c>
      <c r="DF943" t="str">
        <f>IF(IFERROR(MATCH(FFARawStatProjections!A944,Draft!BY:BY,0),1)&lt;=1,IF(FFARawStatProjections!A944=0,"",FFARawStatProjections!A944),"")</f>
        <v/>
      </c>
    </row>
    <row r="944" spans="109:110" x14ac:dyDescent="0.25">
      <c r="DE944">
        <v>942</v>
      </c>
      <c r="DF944" t="str">
        <f>IF(IFERROR(MATCH(FFARawStatProjections!A945,Draft!BY:BY,0),1)&lt;=1,IF(FFARawStatProjections!A945=0,"",FFARawStatProjections!A945),"")</f>
        <v/>
      </c>
    </row>
    <row r="945" spans="109:110" x14ac:dyDescent="0.25">
      <c r="DE945">
        <v>943</v>
      </c>
      <c r="DF945" t="str">
        <f>IF(IFERROR(MATCH(FFARawStatProjections!A946,Draft!BY:BY,0),1)&lt;=1,IF(FFARawStatProjections!A946=0,"",FFARawStatProjections!A946),"")</f>
        <v/>
      </c>
    </row>
    <row r="946" spans="109:110" x14ac:dyDescent="0.25">
      <c r="DE946">
        <v>944</v>
      </c>
      <c r="DF946" t="str">
        <f>IF(IFERROR(MATCH(FFARawStatProjections!A947,Draft!BY:BY,0),1)&lt;=1,IF(FFARawStatProjections!A947=0,"",FFARawStatProjections!A947),"")</f>
        <v/>
      </c>
    </row>
    <row r="947" spans="109:110" x14ac:dyDescent="0.25">
      <c r="DE947">
        <v>945</v>
      </c>
      <c r="DF947" t="str">
        <f>IF(IFERROR(MATCH(FFARawStatProjections!A948,Draft!BY:BY,0),1)&lt;=1,IF(FFARawStatProjections!A948=0,"",FFARawStatProjections!A948),"")</f>
        <v/>
      </c>
    </row>
    <row r="948" spans="109:110" x14ac:dyDescent="0.25">
      <c r="DE948">
        <v>946</v>
      </c>
      <c r="DF948" t="str">
        <f>IF(IFERROR(MATCH(FFARawStatProjections!A949,Draft!BY:BY,0),1)&lt;=1,IF(FFARawStatProjections!A949=0,"",FFARawStatProjections!A949),"")</f>
        <v/>
      </c>
    </row>
    <row r="949" spans="109:110" x14ac:dyDescent="0.25">
      <c r="DE949">
        <v>947</v>
      </c>
      <c r="DF949" t="str">
        <f>IF(IFERROR(MATCH(FFARawStatProjections!A950,Draft!BY:BY,0),1)&lt;=1,IF(FFARawStatProjections!A950=0,"",FFARawStatProjections!A950),"")</f>
        <v/>
      </c>
    </row>
    <row r="950" spans="109:110" x14ac:dyDescent="0.25">
      <c r="DE950">
        <v>948</v>
      </c>
      <c r="DF950" t="str">
        <f>IF(IFERROR(MATCH(FFARawStatProjections!A951,Draft!BY:BY,0),1)&lt;=1,IF(FFARawStatProjections!A951=0,"",FFARawStatProjections!A951),"")</f>
        <v/>
      </c>
    </row>
    <row r="951" spans="109:110" x14ac:dyDescent="0.25">
      <c r="DE951">
        <v>949</v>
      </c>
      <c r="DF951" t="str">
        <f>IF(IFERROR(MATCH(FFARawStatProjections!A952,Draft!BY:BY,0),1)&lt;=1,IF(FFARawStatProjections!A952=0,"",FFARawStatProjections!A952),"")</f>
        <v/>
      </c>
    </row>
    <row r="952" spans="109:110" x14ac:dyDescent="0.25">
      <c r="DE952">
        <v>950</v>
      </c>
      <c r="DF952" t="str">
        <f>IF(IFERROR(MATCH(FFARawStatProjections!A953,Draft!BY:BY,0),1)&lt;=1,IF(FFARawStatProjections!A953=0,"",FFARawStatProjections!A953),"")</f>
        <v/>
      </c>
    </row>
    <row r="953" spans="109:110" x14ac:dyDescent="0.25">
      <c r="DE953">
        <v>951</v>
      </c>
      <c r="DF953" t="str">
        <f>IF(IFERROR(MATCH(FFARawStatProjections!A954,Draft!BY:BY,0),1)&lt;=1,IF(FFARawStatProjections!A954=0,"",FFARawStatProjections!A954),"")</f>
        <v/>
      </c>
    </row>
    <row r="954" spans="109:110" x14ac:dyDescent="0.25">
      <c r="DE954">
        <v>952</v>
      </c>
      <c r="DF954" t="str">
        <f>IF(IFERROR(MATCH(FFARawStatProjections!A955,Draft!BY:BY,0),1)&lt;=1,IF(FFARawStatProjections!A955=0,"",FFARawStatProjections!A955),"")</f>
        <v/>
      </c>
    </row>
    <row r="955" spans="109:110" x14ac:dyDescent="0.25">
      <c r="DE955">
        <v>953</v>
      </c>
      <c r="DF955" t="str">
        <f>IF(IFERROR(MATCH(FFARawStatProjections!A956,Draft!BY:BY,0),1)&lt;=1,IF(FFARawStatProjections!A956=0,"",FFARawStatProjections!A956),"")</f>
        <v/>
      </c>
    </row>
    <row r="956" spans="109:110" x14ac:dyDescent="0.25">
      <c r="DE956">
        <v>954</v>
      </c>
      <c r="DF956" t="str">
        <f>IF(IFERROR(MATCH(FFARawStatProjections!A957,Draft!BY:BY,0),1)&lt;=1,IF(FFARawStatProjections!A957=0,"",FFARawStatProjections!A957),"")</f>
        <v/>
      </c>
    </row>
    <row r="957" spans="109:110" x14ac:dyDescent="0.25">
      <c r="DE957">
        <v>955</v>
      </c>
      <c r="DF957" t="str">
        <f>IF(IFERROR(MATCH(FFARawStatProjections!A958,Draft!BY:BY,0),1)&lt;=1,IF(FFARawStatProjections!A958=0,"",FFARawStatProjections!A958),"")</f>
        <v/>
      </c>
    </row>
    <row r="958" spans="109:110" x14ac:dyDescent="0.25">
      <c r="DE958">
        <v>956</v>
      </c>
      <c r="DF958" t="str">
        <f>IF(IFERROR(MATCH(FFARawStatProjections!A959,Draft!BY:BY,0),1)&lt;=1,IF(FFARawStatProjections!A959=0,"",FFARawStatProjections!A959),"")</f>
        <v/>
      </c>
    </row>
    <row r="959" spans="109:110" x14ac:dyDescent="0.25">
      <c r="DE959">
        <v>957</v>
      </c>
      <c r="DF959" t="str">
        <f>IF(IFERROR(MATCH(FFARawStatProjections!A960,Draft!BY:BY,0),1)&lt;=1,IF(FFARawStatProjections!A960=0,"",FFARawStatProjections!A960),"")</f>
        <v/>
      </c>
    </row>
    <row r="960" spans="109:110" x14ac:dyDescent="0.25">
      <c r="DE960">
        <v>958</v>
      </c>
      <c r="DF960" t="str">
        <f>IF(IFERROR(MATCH(FFARawStatProjections!A961,Draft!BY:BY,0),1)&lt;=1,IF(FFARawStatProjections!A961=0,"",FFARawStatProjections!A961),"")</f>
        <v/>
      </c>
    </row>
    <row r="961" spans="109:110" x14ac:dyDescent="0.25">
      <c r="DE961">
        <v>959</v>
      </c>
      <c r="DF961" t="str">
        <f>IF(IFERROR(MATCH(FFARawStatProjections!A962,Draft!BY:BY,0),1)&lt;=1,IF(FFARawStatProjections!A962=0,"",FFARawStatProjections!A962),"")</f>
        <v/>
      </c>
    </row>
    <row r="962" spans="109:110" x14ac:dyDescent="0.25">
      <c r="DE962">
        <v>960</v>
      </c>
      <c r="DF962" t="str">
        <f>IF(IFERROR(MATCH(FFARawStatProjections!A963,Draft!BY:BY,0),1)&lt;=1,IF(FFARawStatProjections!A963=0,"",FFARawStatProjections!A963),"")</f>
        <v/>
      </c>
    </row>
    <row r="963" spans="109:110" x14ac:dyDescent="0.25">
      <c r="DE963">
        <v>961</v>
      </c>
      <c r="DF963" t="str">
        <f>IF(IFERROR(MATCH(FFARawStatProjections!A964,Draft!BY:BY,0),1)&lt;=1,IF(FFARawStatProjections!A964=0,"",FFARawStatProjections!A964),"")</f>
        <v/>
      </c>
    </row>
    <row r="964" spans="109:110" x14ac:dyDescent="0.25">
      <c r="DE964">
        <v>962</v>
      </c>
      <c r="DF964" t="str">
        <f>IF(IFERROR(MATCH(FFARawStatProjections!A965,Draft!BY:BY,0),1)&lt;=1,IF(FFARawStatProjections!A965=0,"",FFARawStatProjections!A965),"")</f>
        <v/>
      </c>
    </row>
    <row r="965" spans="109:110" x14ac:dyDescent="0.25">
      <c r="DE965">
        <v>963</v>
      </c>
      <c r="DF965" t="str">
        <f>IF(IFERROR(MATCH(FFARawStatProjections!A966,Draft!BY:BY,0),1)&lt;=1,IF(FFARawStatProjections!A966=0,"",FFARawStatProjections!A966),"")</f>
        <v/>
      </c>
    </row>
    <row r="966" spans="109:110" x14ac:dyDescent="0.25">
      <c r="DE966">
        <v>964</v>
      </c>
      <c r="DF966" t="str">
        <f>IF(IFERROR(MATCH(FFARawStatProjections!A967,Draft!BY:BY,0),1)&lt;=1,IF(FFARawStatProjections!A967=0,"",FFARawStatProjections!A967),"")</f>
        <v/>
      </c>
    </row>
    <row r="967" spans="109:110" x14ac:dyDescent="0.25">
      <c r="DE967">
        <v>965</v>
      </c>
      <c r="DF967" t="str">
        <f>IF(IFERROR(MATCH(FFARawStatProjections!A968,Draft!BY:BY,0),1)&lt;=1,IF(FFARawStatProjections!A968=0,"",FFARawStatProjections!A968),"")</f>
        <v/>
      </c>
    </row>
    <row r="968" spans="109:110" x14ac:dyDescent="0.25">
      <c r="DE968">
        <v>966</v>
      </c>
      <c r="DF968" t="str">
        <f>IF(IFERROR(MATCH(FFARawStatProjections!A969,Draft!BY:BY,0),1)&lt;=1,IF(FFARawStatProjections!A969=0,"",FFARawStatProjections!A969),"")</f>
        <v/>
      </c>
    </row>
    <row r="969" spans="109:110" x14ac:dyDescent="0.25">
      <c r="DE969">
        <v>967</v>
      </c>
      <c r="DF969" t="str">
        <f>IF(IFERROR(MATCH(FFARawStatProjections!A970,Draft!BY:BY,0),1)&lt;=1,IF(FFARawStatProjections!A970=0,"",FFARawStatProjections!A970),"")</f>
        <v/>
      </c>
    </row>
    <row r="970" spans="109:110" x14ac:dyDescent="0.25">
      <c r="DE970">
        <v>968</v>
      </c>
      <c r="DF970" t="str">
        <f>IF(IFERROR(MATCH(FFARawStatProjections!A971,Draft!BY:BY,0),1)&lt;=1,IF(FFARawStatProjections!A971=0,"",FFARawStatProjections!A971),"")</f>
        <v/>
      </c>
    </row>
    <row r="971" spans="109:110" x14ac:dyDescent="0.25">
      <c r="DE971">
        <v>969</v>
      </c>
      <c r="DF971" t="str">
        <f>IF(IFERROR(MATCH(FFARawStatProjections!A972,Draft!BY:BY,0),1)&lt;=1,IF(FFARawStatProjections!A972=0,"",FFARawStatProjections!A972),"")</f>
        <v/>
      </c>
    </row>
    <row r="972" spans="109:110" x14ac:dyDescent="0.25">
      <c r="DE972">
        <v>970</v>
      </c>
      <c r="DF972" t="str">
        <f>IF(IFERROR(MATCH(FFARawStatProjections!A973,Draft!BY:BY,0),1)&lt;=1,IF(FFARawStatProjections!A973=0,"",FFARawStatProjections!A973),"")</f>
        <v/>
      </c>
    </row>
    <row r="973" spans="109:110" x14ac:dyDescent="0.25">
      <c r="DE973">
        <v>971</v>
      </c>
      <c r="DF973" t="str">
        <f>IF(IFERROR(MATCH(FFARawStatProjections!A974,Draft!BY:BY,0),1)&lt;=1,IF(FFARawStatProjections!A974=0,"",FFARawStatProjections!A974),"")</f>
        <v/>
      </c>
    </row>
    <row r="974" spans="109:110" x14ac:dyDescent="0.25">
      <c r="DE974">
        <v>972</v>
      </c>
      <c r="DF974" t="str">
        <f>IF(IFERROR(MATCH(FFARawStatProjections!A975,Draft!BY:BY,0),1)&lt;=1,IF(FFARawStatProjections!A975=0,"",FFARawStatProjections!A975),"")</f>
        <v/>
      </c>
    </row>
    <row r="975" spans="109:110" x14ac:dyDescent="0.25">
      <c r="DE975">
        <v>973</v>
      </c>
      <c r="DF975" t="str">
        <f>IF(IFERROR(MATCH(FFARawStatProjections!A976,Draft!BY:BY,0),1)&lt;=1,IF(FFARawStatProjections!A976=0,"",FFARawStatProjections!A976),"")</f>
        <v/>
      </c>
    </row>
    <row r="976" spans="109:110" x14ac:dyDescent="0.25">
      <c r="DE976">
        <v>974</v>
      </c>
      <c r="DF976" t="str">
        <f>IF(IFERROR(MATCH(FFARawStatProjections!A977,Draft!BY:BY,0),1)&lt;=1,IF(FFARawStatProjections!A977=0,"",FFARawStatProjections!A977),"")</f>
        <v/>
      </c>
    </row>
    <row r="977" spans="109:110" x14ac:dyDescent="0.25">
      <c r="DE977">
        <v>975</v>
      </c>
      <c r="DF977" t="str">
        <f>IF(IFERROR(MATCH(FFARawStatProjections!A978,Draft!BY:BY,0),1)&lt;=1,IF(FFARawStatProjections!A978=0,"",FFARawStatProjections!A978),"")</f>
        <v/>
      </c>
    </row>
    <row r="978" spans="109:110" x14ac:dyDescent="0.25">
      <c r="DE978">
        <v>976</v>
      </c>
      <c r="DF978" t="str">
        <f>IF(IFERROR(MATCH(FFARawStatProjections!A979,Draft!BY:BY,0),1)&lt;=1,IF(FFARawStatProjections!A979=0,"",FFARawStatProjections!A979),"")</f>
        <v/>
      </c>
    </row>
    <row r="979" spans="109:110" x14ac:dyDescent="0.25">
      <c r="DE979">
        <v>977</v>
      </c>
      <c r="DF979" t="str">
        <f>IF(IFERROR(MATCH(FFARawStatProjections!A980,Draft!BY:BY,0),1)&lt;=1,IF(FFARawStatProjections!A980=0,"",FFARawStatProjections!A980),"")</f>
        <v/>
      </c>
    </row>
    <row r="980" spans="109:110" x14ac:dyDescent="0.25">
      <c r="DE980">
        <v>978</v>
      </c>
      <c r="DF980" t="str">
        <f>IF(IFERROR(MATCH(FFARawStatProjections!A981,Draft!BY:BY,0),1)&lt;=1,IF(FFARawStatProjections!A981=0,"",FFARawStatProjections!A981),"")</f>
        <v/>
      </c>
    </row>
    <row r="981" spans="109:110" x14ac:dyDescent="0.25">
      <c r="DE981">
        <v>979</v>
      </c>
      <c r="DF981" t="str">
        <f>IF(IFERROR(MATCH(FFARawStatProjections!A982,Draft!BY:BY,0),1)&lt;=1,IF(FFARawStatProjections!A982=0,"",FFARawStatProjections!A982),"")</f>
        <v/>
      </c>
    </row>
    <row r="982" spans="109:110" x14ac:dyDescent="0.25">
      <c r="DE982">
        <v>980</v>
      </c>
      <c r="DF982" t="str">
        <f>IF(IFERROR(MATCH(FFARawStatProjections!A983,Draft!BY:BY,0),1)&lt;=1,IF(FFARawStatProjections!A983=0,"",FFARawStatProjections!A983),"")</f>
        <v/>
      </c>
    </row>
    <row r="983" spans="109:110" x14ac:dyDescent="0.25">
      <c r="DE983">
        <v>981</v>
      </c>
      <c r="DF983" t="str">
        <f>IF(IFERROR(MATCH(FFARawStatProjections!A984,Draft!BY:BY,0),1)&lt;=1,IF(FFARawStatProjections!A984=0,"",FFARawStatProjections!A984),"")</f>
        <v/>
      </c>
    </row>
    <row r="984" spans="109:110" x14ac:dyDescent="0.25">
      <c r="DE984">
        <v>982</v>
      </c>
      <c r="DF984" t="str">
        <f>IF(IFERROR(MATCH(FFARawStatProjections!A985,Draft!BY:BY,0),1)&lt;=1,IF(FFARawStatProjections!A985=0,"",FFARawStatProjections!A985),"")</f>
        <v/>
      </c>
    </row>
    <row r="985" spans="109:110" x14ac:dyDescent="0.25">
      <c r="DE985">
        <v>983</v>
      </c>
      <c r="DF985" t="str">
        <f>IF(IFERROR(MATCH(FFARawStatProjections!A986,Draft!BY:BY,0),1)&lt;=1,IF(FFARawStatProjections!A986=0,"",FFARawStatProjections!A986),"")</f>
        <v/>
      </c>
    </row>
    <row r="986" spans="109:110" x14ac:dyDescent="0.25">
      <c r="DE986">
        <v>984</v>
      </c>
      <c r="DF986" t="str">
        <f>IF(IFERROR(MATCH(FFARawStatProjections!A987,Draft!BY:BY,0),1)&lt;=1,IF(FFARawStatProjections!A987=0,"",FFARawStatProjections!A987),"")</f>
        <v/>
      </c>
    </row>
    <row r="987" spans="109:110" x14ac:dyDescent="0.25">
      <c r="DE987">
        <v>985</v>
      </c>
      <c r="DF987" t="str">
        <f>IF(IFERROR(MATCH(FFARawStatProjections!A988,Draft!BY:BY,0),1)&lt;=1,IF(FFARawStatProjections!A988=0,"",FFARawStatProjections!A988),"")</f>
        <v/>
      </c>
    </row>
    <row r="988" spans="109:110" x14ac:dyDescent="0.25">
      <c r="DE988">
        <v>986</v>
      </c>
      <c r="DF988" t="str">
        <f>IF(IFERROR(MATCH(FFARawStatProjections!A989,Draft!BY:BY,0),1)&lt;=1,IF(FFARawStatProjections!A989=0,"",FFARawStatProjections!A989),"")</f>
        <v/>
      </c>
    </row>
    <row r="989" spans="109:110" x14ac:dyDescent="0.25">
      <c r="DE989">
        <v>987</v>
      </c>
      <c r="DF989" t="str">
        <f>IF(IFERROR(MATCH(FFARawStatProjections!A990,Draft!BY:BY,0),1)&lt;=1,IF(FFARawStatProjections!A990=0,"",FFARawStatProjections!A990),"")</f>
        <v/>
      </c>
    </row>
    <row r="990" spans="109:110" x14ac:dyDescent="0.25">
      <c r="DE990">
        <v>988</v>
      </c>
      <c r="DF990" t="str">
        <f>IF(IFERROR(MATCH(FFARawStatProjections!A991,Draft!BY:BY,0),1)&lt;=1,IF(FFARawStatProjections!A991=0,"",FFARawStatProjections!A991),"")</f>
        <v/>
      </c>
    </row>
    <row r="991" spans="109:110" x14ac:dyDescent="0.25">
      <c r="DE991">
        <v>989</v>
      </c>
      <c r="DF991" t="str">
        <f>IF(IFERROR(MATCH(FFARawStatProjections!A992,Draft!BY:BY,0),1)&lt;=1,IF(FFARawStatProjections!A992=0,"",FFARawStatProjections!A992),"")</f>
        <v/>
      </c>
    </row>
    <row r="992" spans="109:110" x14ac:dyDescent="0.25">
      <c r="DE992">
        <v>990</v>
      </c>
      <c r="DF992" t="str">
        <f>IF(IFERROR(MATCH(FFARawStatProjections!A993,Draft!BY:BY,0),1)&lt;=1,IF(FFARawStatProjections!A993=0,"",FFARawStatProjections!A993),"")</f>
        <v/>
      </c>
    </row>
    <row r="993" spans="109:110" x14ac:dyDescent="0.25">
      <c r="DE993">
        <v>991</v>
      </c>
      <c r="DF993" t="str">
        <f>IF(IFERROR(MATCH(FFARawStatProjections!A994,Draft!BY:BY,0),1)&lt;=1,IF(FFARawStatProjections!A994=0,"",FFARawStatProjections!A994),"")</f>
        <v/>
      </c>
    </row>
    <row r="994" spans="109:110" x14ac:dyDescent="0.25">
      <c r="DE994">
        <v>992</v>
      </c>
      <c r="DF994" t="str">
        <f>IF(IFERROR(MATCH(FFARawStatProjections!A995,Draft!BY:BY,0),1)&lt;=1,IF(FFARawStatProjections!A995=0,"",FFARawStatProjections!A995),"")</f>
        <v/>
      </c>
    </row>
    <row r="995" spans="109:110" x14ac:dyDescent="0.25">
      <c r="DE995">
        <v>993</v>
      </c>
      <c r="DF995" t="str">
        <f>IF(IFERROR(MATCH(FFARawStatProjections!A996,Draft!BY:BY,0),1)&lt;=1,IF(FFARawStatProjections!A996=0,"",FFARawStatProjections!A996),"")</f>
        <v/>
      </c>
    </row>
    <row r="996" spans="109:110" x14ac:dyDescent="0.25">
      <c r="DE996">
        <v>994</v>
      </c>
      <c r="DF996" t="str">
        <f>IF(IFERROR(MATCH(FFARawStatProjections!A997,Draft!BY:BY,0),1)&lt;=1,IF(FFARawStatProjections!A997=0,"",FFARawStatProjections!A997),"")</f>
        <v/>
      </c>
    </row>
    <row r="997" spans="109:110" x14ac:dyDescent="0.25">
      <c r="DE997">
        <v>995</v>
      </c>
      <c r="DF997" t="str">
        <f>IF(IFERROR(MATCH(FFARawStatProjections!A998,Draft!BY:BY,0),1)&lt;=1,IF(FFARawStatProjections!A998=0,"",FFARawStatProjections!A998),"")</f>
        <v/>
      </c>
    </row>
    <row r="998" spans="109:110" x14ac:dyDescent="0.25">
      <c r="DE998">
        <v>996</v>
      </c>
      <c r="DF998" t="str">
        <f>IF(IFERROR(MATCH(FFARawStatProjections!A999,Draft!BY:BY,0),1)&lt;=1,IF(FFARawStatProjections!A999=0,"",FFARawStatProjections!A999),"")</f>
        <v/>
      </c>
    </row>
    <row r="999" spans="109:110" x14ac:dyDescent="0.25">
      <c r="DE999">
        <v>997</v>
      </c>
      <c r="DF999" t="str">
        <f>IF(IFERROR(MATCH(FFARawStatProjections!A1000,Draft!BY:BY,0),1)&lt;=1,IF(FFARawStatProjections!A1000=0,"",FFARawStatProjections!A1000),"")</f>
        <v/>
      </c>
    </row>
    <row r="1000" spans="109:110" x14ac:dyDescent="0.25">
      <c r="DE1000">
        <v>998</v>
      </c>
      <c r="DF1000" t="str">
        <f>IF(IFERROR(MATCH(FFARawStatProjections!A1001,Draft!BY:BY,0),1)&lt;=1,IF(FFARawStatProjections!A1001=0,"",FFARawStatProjections!A1001),"")</f>
        <v/>
      </c>
    </row>
  </sheetData>
  <sheetProtection sheet="1" objects="1" scenarios="1"/>
  <sortState xmlns:xlrd2="http://schemas.microsoft.com/office/spreadsheetml/2017/richdata2" ref="BZ52:BZ67">
    <sortCondition descending="1" ref="BZ52:BZ67"/>
  </sortState>
  <dataConsolidate link="1"/>
  <customSheetViews>
    <customSheetView guid="{3F8A0846-2F87-40BF-8ED6-1DE413C2FC1A}" scale="88" hiddenRows="1" hiddenColumns="1">
      <pane xSplit="8" topLeftCell="I1" activePane="topRight" state="frozen"/>
      <selection pane="topRight" activeCell="I5" sqref="I5"/>
      <pageMargins left="0.7" right="0.7" top="0.75" bottom="0.75" header="0.3" footer="0.3"/>
      <pageSetup orientation="portrait" horizontalDpi="300" verticalDpi="0" r:id="rId1"/>
    </customSheetView>
    <customSheetView guid="{11E3893E-1244-4BD8-8481-55AC844C97C9}" scale="88" hiddenRows="1" hiddenColumns="1">
      <pane xSplit="8" topLeftCell="I1" activePane="topRight" state="frozen"/>
      <selection pane="topRight" activeCell="P3" sqref="P3"/>
      <pageMargins left="0.7" right="0.7" top="0.75" bottom="0.75" header="0.3" footer="0.3"/>
      <pageSetup orientation="portrait" horizontalDpi="300" verticalDpi="0" r:id="rId2"/>
    </customSheetView>
  </customSheetViews>
  <mergeCells count="21">
    <mergeCell ref="B12:E12"/>
    <mergeCell ref="B26:D26"/>
    <mergeCell ref="B28:E28"/>
    <mergeCell ref="B20:E20"/>
    <mergeCell ref="B22:D22"/>
    <mergeCell ref="B23:D23"/>
    <mergeCell ref="B25:D25"/>
    <mergeCell ref="B24:D24"/>
    <mergeCell ref="B21:D21"/>
    <mergeCell ref="B9:B10"/>
    <mergeCell ref="E9:E10"/>
    <mergeCell ref="C3:D4"/>
    <mergeCell ref="B3:B4"/>
    <mergeCell ref="E3:E4"/>
    <mergeCell ref="B5:B6"/>
    <mergeCell ref="E5:E6"/>
    <mergeCell ref="B7:B8"/>
    <mergeCell ref="E7:E8"/>
    <mergeCell ref="C5:D6"/>
    <mergeCell ref="C7:D8"/>
    <mergeCell ref="C9:D10"/>
  </mergeCells>
  <conditionalFormatting sqref="BA3:BB85">
    <cfRule type="expression" dxfId="41" priority="71">
      <formula>$BD3=1</formula>
    </cfRule>
  </conditionalFormatting>
  <conditionalFormatting sqref="C30 C32 C34 C36 C38 C40 C42 C44 C46 C48 C50 C52">
    <cfRule type="cellIs" dxfId="40" priority="37" operator="between">
      <formula>0</formula>
      <formula>250</formula>
    </cfRule>
  </conditionalFormatting>
  <conditionalFormatting sqref="C29 C37 C35 C33 C31 C39 C41 C43 C45 C47 C49 C51 C53">
    <cfRule type="cellIs" dxfId="39" priority="39" operator="between">
      <formula>0</formula>
      <formula>500</formula>
    </cfRule>
  </conditionalFormatting>
  <conditionalFormatting sqref="BF3:BH36">
    <cfRule type="expression" dxfId="38" priority="72">
      <formula>$BJ3=1</formula>
    </cfRule>
  </conditionalFormatting>
  <conditionalFormatting sqref="L3:L57">
    <cfRule type="colorScale" priority="262">
      <colorScale>
        <cfvo type="num" val="0"/>
        <cfvo type="num" val="6"/>
        <color rgb="FF63BE7B"/>
        <color theme="0"/>
      </colorScale>
    </cfRule>
  </conditionalFormatting>
  <conditionalFormatting sqref="W3:W135">
    <cfRule type="colorScale" priority="264">
      <colorScale>
        <cfvo type="num" val="0"/>
        <cfvo type="num" val="6"/>
        <color rgb="FF63BE7B"/>
        <color theme="0"/>
      </colorScale>
    </cfRule>
  </conditionalFormatting>
  <conditionalFormatting sqref="AH3:AH177">
    <cfRule type="colorScale" priority="4825">
      <colorScale>
        <cfvo type="num" val="0"/>
        <cfvo type="num" val="6"/>
        <color rgb="FF63BE7B"/>
        <color theme="0"/>
      </colorScale>
    </cfRule>
  </conditionalFormatting>
  <conditionalFormatting sqref="AS3:AS85">
    <cfRule type="colorScale" priority="4827">
      <colorScale>
        <cfvo type="num" val="0"/>
        <cfvo type="num" val="6"/>
        <color rgb="FF63BE7B"/>
        <color theme="0"/>
      </colorScale>
    </cfRule>
  </conditionalFormatting>
  <conditionalFormatting sqref="I3:J57 L3:L57">
    <cfRule type="expression" dxfId="37" priority="4" stopIfTrue="1">
      <formula>$R3=$E$25</formula>
    </cfRule>
    <cfRule type="expression" dxfId="36" priority="8">
      <formula>OR($M3&gt;0,$R3&gt;0)</formula>
    </cfRule>
    <cfRule type="expression" dxfId="35" priority="21">
      <formula>$O3=1</formula>
    </cfRule>
  </conditionalFormatting>
  <conditionalFormatting sqref="T3:U135 W3:W135">
    <cfRule type="expression" dxfId="34" priority="3" stopIfTrue="1">
      <formula>$AC3=$E$25</formula>
    </cfRule>
    <cfRule type="expression" dxfId="33" priority="7">
      <formula>OR($X3&gt;0,$AC3&gt;0)</formula>
    </cfRule>
    <cfRule type="expression" dxfId="32" priority="20">
      <formula>$Z3=1</formula>
    </cfRule>
  </conditionalFormatting>
  <conditionalFormatting sqref="AE3:AF177 AH3:AH177">
    <cfRule type="expression" dxfId="31" priority="2" stopIfTrue="1">
      <formula>$AN3=$E$25</formula>
    </cfRule>
    <cfRule type="expression" dxfId="30" priority="6">
      <formula>OR($AI3&gt;0,$AN3&gt;0)</formula>
    </cfRule>
  </conditionalFormatting>
  <conditionalFormatting sqref="AP3:AQ85 AS3:AS85">
    <cfRule type="expression" dxfId="29" priority="5">
      <formula>OR($AT3&gt;0,$AY3&gt;0)</formula>
    </cfRule>
  </conditionalFormatting>
  <conditionalFormatting sqref="B3:E4">
    <cfRule type="expression" dxfId="28" priority="13">
      <formula>$G$3=1</formula>
    </cfRule>
    <cfRule type="expression" dxfId="27" priority="17">
      <formula>$F$4="QB"</formula>
    </cfRule>
  </conditionalFormatting>
  <conditionalFormatting sqref="B5:E6">
    <cfRule type="expression" dxfId="26" priority="12">
      <formula>$G$5=1</formula>
    </cfRule>
    <cfRule type="expression" dxfId="25" priority="16">
      <formula>$F$4="RB"</formula>
    </cfRule>
  </conditionalFormatting>
  <conditionalFormatting sqref="B7:E8">
    <cfRule type="expression" dxfId="24" priority="11">
      <formula>$G$7=1</formula>
    </cfRule>
    <cfRule type="expression" dxfId="23" priority="15">
      <formula>$F$4="WR"</formula>
    </cfRule>
  </conditionalFormatting>
  <conditionalFormatting sqref="B9:E10">
    <cfRule type="expression" dxfId="22" priority="10">
      <formula>$G$9=1</formula>
    </cfRule>
    <cfRule type="expression" dxfId="21" priority="14">
      <formula>$F$4="TE"</formula>
    </cfRule>
  </conditionalFormatting>
  <conditionalFormatting sqref="AE3:AF177 AH3:AH177">
    <cfRule type="expression" dxfId="20" priority="19">
      <formula>$AK3=1</formula>
    </cfRule>
  </conditionalFormatting>
  <conditionalFormatting sqref="AS3:AS85 AP3:AQ85">
    <cfRule type="expression" dxfId="19" priority="1" stopIfTrue="1">
      <formula>$AY3=$E$25</formula>
    </cfRule>
    <cfRule type="expression" dxfId="18" priority="18">
      <formula>$AV3=1</formula>
    </cfRule>
  </conditionalFormatting>
  <pageMargins left="0.7" right="0.7" top="0.75" bottom="0.75" header="0.3" footer="0.3"/>
  <pageSetup orientation="portrait" horizontalDpi="300" r:id="rId3"/>
  <ignoredErrors>
    <ignoredError sqref="E24" formulaRange="1"/>
  </ignoredErrors>
  <drawing r:id="rId4"/>
  <legacyDrawing r:id="rId5"/>
  <mc:AlternateContent xmlns:mc="http://schemas.openxmlformats.org/markup-compatibility/2006">
    <mc:Choice Requires="x14">
      <controls>
        <mc:AlternateContent xmlns:mc="http://schemas.openxmlformats.org/markup-compatibility/2006">
          <mc:Choice Requires="x14">
            <control shapeId="3086" r:id="rId6" name="Button 14">
              <controlPr defaultSize="0" print="0" autoFill="0" autoPict="0" macro="[0]!Draft_Reset">
                <anchor moveWithCells="1">
                  <from>
                    <xdr:col>2</xdr:col>
                    <xdr:colOff>504825</xdr:colOff>
                    <xdr:row>62</xdr:row>
                    <xdr:rowOff>28575</xdr:rowOff>
                  </from>
                  <to>
                    <xdr:col>2</xdr:col>
                    <xdr:colOff>1152525</xdr:colOff>
                    <xdr:row>63</xdr:row>
                    <xdr:rowOff>104775</xdr:rowOff>
                  </to>
                </anchor>
              </controlPr>
            </control>
          </mc:Choice>
        </mc:AlternateContent>
        <mc:AlternateContent xmlns:mc="http://schemas.openxmlformats.org/markup-compatibility/2006">
          <mc:Choice Requires="x14">
            <control shapeId="3087" r:id="rId7" name="Button 15">
              <controlPr defaultSize="0" print="0" autoFill="0" autoPict="0" macro="[0]!UndoDraftSlayer">
                <anchor moveWithCells="1" sizeWithCells="1">
                  <from>
                    <xdr:col>2</xdr:col>
                    <xdr:colOff>161925</xdr:colOff>
                    <xdr:row>0</xdr:row>
                    <xdr:rowOff>0</xdr:rowOff>
                  </from>
                  <to>
                    <xdr:col>3</xdr:col>
                    <xdr:colOff>323850</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rgb="FFBDEEFF"/>
  </sheetPr>
  <dimension ref="A1:AH65"/>
  <sheetViews>
    <sheetView zoomScale="116" zoomScaleNormal="116" workbookViewId="0">
      <pane xSplit="2" ySplit="2" topLeftCell="C3" activePane="bottomRight" state="frozen"/>
      <selection pane="topRight" activeCell="C1" sqref="C1"/>
      <selection pane="bottomLeft" activeCell="A3" sqref="A3"/>
      <selection pane="bottomRight"/>
    </sheetView>
  </sheetViews>
  <sheetFormatPr defaultColWidth="0" defaultRowHeight="15" zeroHeight="1" x14ac:dyDescent="0.25"/>
  <cols>
    <col min="1" max="1" width="11" customWidth="1"/>
    <col min="2" max="2" width="4.5703125" hidden="1" customWidth="1"/>
    <col min="3" max="3" width="18" customWidth="1"/>
    <col min="4" max="4" width="4.5703125" hidden="1" customWidth="1"/>
    <col min="5" max="5" width="18" customWidth="1"/>
    <col min="6" max="6" width="4.5703125" hidden="1" customWidth="1"/>
    <col min="7" max="7" width="18" customWidth="1"/>
    <col min="8" max="8" width="4.5703125" hidden="1" customWidth="1"/>
    <col min="9" max="9" width="18" customWidth="1"/>
    <col min="10" max="10" width="4.5703125" hidden="1" customWidth="1"/>
    <col min="11" max="11" width="18" customWidth="1"/>
    <col min="12" max="12" width="4.5703125" hidden="1" customWidth="1"/>
    <col min="13" max="13" width="18" customWidth="1"/>
    <col min="14" max="14" width="4.5703125" hidden="1" customWidth="1"/>
    <col min="15" max="15" width="18" customWidth="1"/>
    <col min="16" max="16" width="4.5703125" hidden="1" customWidth="1"/>
    <col min="17" max="17" width="18" customWidth="1"/>
    <col min="18" max="18" width="4.5703125" hidden="1" customWidth="1"/>
    <col min="19" max="19" width="18" customWidth="1"/>
    <col min="20" max="20" width="4.5703125" hidden="1" customWidth="1"/>
    <col min="21" max="21" width="18" customWidth="1"/>
    <col min="22" max="22" width="4.5703125" hidden="1" customWidth="1"/>
    <col min="23" max="23" width="18" customWidth="1"/>
    <col min="24" max="24" width="4.5703125" hidden="1" customWidth="1"/>
    <col min="25" max="25" width="18" customWidth="1"/>
    <col min="26" max="26" width="4" hidden="1" customWidth="1"/>
    <col min="27" max="27" width="18" hidden="1" customWidth="1"/>
    <col min="28" max="28" width="4" hidden="1" customWidth="1"/>
    <col min="29" max="29" width="18" hidden="1" customWidth="1"/>
    <col min="30" max="30" width="4" hidden="1" customWidth="1"/>
    <col min="31" max="31" width="18" hidden="1" customWidth="1"/>
    <col min="32" max="32" width="4" hidden="1" customWidth="1"/>
    <col min="33" max="33" width="18" hidden="1" customWidth="1"/>
    <col min="34" max="34" width="2.140625" customWidth="1"/>
    <col min="35" max="16384" width="9.140625" hidden="1"/>
  </cols>
  <sheetData>
    <row r="1" spans="1:34" ht="9.75" customHeight="1" thickBot="1" x14ac:dyDescent="0.3">
      <c r="A1" s="340"/>
      <c r="C1" s="307"/>
      <c r="E1" s="307"/>
      <c r="G1" s="307"/>
      <c r="I1" s="307"/>
      <c r="K1" s="307"/>
      <c r="M1" s="307"/>
      <c r="O1" s="307"/>
      <c r="Q1" s="307"/>
      <c r="S1" s="307"/>
      <c r="U1" s="307"/>
      <c r="W1" s="307"/>
      <c r="Y1" s="307"/>
      <c r="AA1" s="307"/>
      <c r="AC1" s="307"/>
      <c r="AE1" s="307"/>
      <c r="AG1" s="307"/>
      <c r="AH1" s="338"/>
    </row>
    <row r="2" spans="1:34" ht="45.75" customHeight="1" thickBot="1" x14ac:dyDescent="0.3">
      <c r="A2" s="413"/>
      <c r="C2" s="414" t="str">
        <f>Instructions!F42</f>
        <v>Trumbo</v>
      </c>
      <c r="E2" s="415" t="str">
        <f>Instructions!F43</f>
        <v>Camden</v>
      </c>
      <c r="G2" s="414" t="str">
        <f>Instructions!F44</f>
        <v>Cam</v>
      </c>
      <c r="I2" s="415" t="str">
        <f>Instructions!F45</f>
        <v>Miles</v>
      </c>
      <c r="K2" s="414" t="str">
        <f>Instructions!F46</f>
        <v>Con</v>
      </c>
      <c r="M2" s="415" t="str">
        <f>Instructions!F47</f>
        <v>Devin</v>
      </c>
      <c r="O2" s="414" t="str">
        <f>Instructions!F48</f>
        <v>Bui</v>
      </c>
      <c r="Q2" s="415" t="str">
        <f>Instructions!F49</f>
        <v>Luke</v>
      </c>
      <c r="S2" s="414" t="str">
        <f>Instructions!F50</f>
        <v>Dan</v>
      </c>
      <c r="U2" s="416" t="str">
        <f>Instructions!F51</f>
        <v>Josh</v>
      </c>
      <c r="W2" s="414" t="str">
        <f>Instructions!F52</f>
        <v>Big R</v>
      </c>
      <c r="Y2" s="416" t="str">
        <f>Instructions!F53</f>
        <v>Zack</v>
      </c>
      <c r="AA2" s="414" t="str">
        <f>Instructions!F54</f>
        <v>[TEAM 13]</v>
      </c>
      <c r="AC2" s="416" t="str">
        <f>Instructions!F55</f>
        <v>[TEAM 14]</v>
      </c>
      <c r="AE2" s="414" t="str">
        <f>Instructions!F56</f>
        <v>[TEAM 15]</v>
      </c>
      <c r="AG2" s="416" t="str">
        <f>Instructions!F57</f>
        <v>[TEAM 16]</v>
      </c>
      <c r="AH2" s="417"/>
    </row>
    <row r="3" spans="1:34" ht="15" customHeight="1" x14ac:dyDescent="0.25">
      <c r="A3" s="686">
        <v>1</v>
      </c>
      <c r="C3" s="309" t="str">
        <f>IFERROR(INDEX(Draft!BZ:BZ,MATCH(B4,Draft!BX:BX)), "")</f>
        <v/>
      </c>
      <c r="E3" s="308" t="str">
        <f>IFERROR(INDEX(Draft!BZ:BZ,MATCH(D4,Draft!BX:BX)), "")</f>
        <v/>
      </c>
      <c r="G3" s="309" t="str">
        <f>IFERROR(INDEX(Draft!BZ:BZ,MATCH(F4,Draft!BX:BX)), "")</f>
        <v/>
      </c>
      <c r="I3" s="308" t="str">
        <f>IFERROR(INDEX(Draft!BZ:BZ,MATCH(H4,Draft!BX:BX)), "")</f>
        <v/>
      </c>
      <c r="K3" s="309" t="str">
        <f>IFERROR(INDEX(Draft!BZ:BZ,MATCH(J4,Draft!BX:BX)), "")</f>
        <v/>
      </c>
      <c r="M3" s="308" t="str">
        <f>IFERROR(INDEX(Draft!BZ:BZ,MATCH(L4,Draft!BX:BX)), "")</f>
        <v/>
      </c>
      <c r="O3" s="309" t="str">
        <f>IFERROR(INDEX(Draft!BZ:BZ,MATCH(N4,Draft!BX:BX)), "")</f>
        <v/>
      </c>
      <c r="Q3" s="308" t="str">
        <f>IFERROR(INDEX(Draft!BZ:BZ,MATCH(P4,Draft!BX:BX)), "")</f>
        <v/>
      </c>
      <c r="S3" s="309" t="str">
        <f>IFERROR(INDEX(Draft!BZ:BZ,MATCH(R4,Draft!BX:BX)), "")</f>
        <v/>
      </c>
      <c r="U3" s="308" t="str">
        <f>IFERROR(INDEX(Draft!BZ:BZ,MATCH(T4,Draft!BX:BX)), "")</f>
        <v/>
      </c>
      <c r="W3" s="309" t="str">
        <f>IFERROR(INDEX(Draft!BZ:BZ,MATCH(V4,Draft!BX:BX)), "")</f>
        <v/>
      </c>
      <c r="Y3" s="308" t="str">
        <f>IFERROR(INDEX(Draft!BZ:BZ,MATCH(X4,Draft!BX:BX)), "")</f>
        <v/>
      </c>
      <c r="AA3" s="309" t="str">
        <f>IFERROR(INDEX(Draft!BZ:BZ,MATCH(Z4,Draft!BX:BX)), "")</f>
        <v/>
      </c>
      <c r="AC3" s="308" t="str">
        <f>IFERROR(INDEX(Draft!BZ:BZ,MATCH(AB4,Draft!BX:BX)), "")</f>
        <v/>
      </c>
      <c r="AE3" s="309" t="str">
        <f>IFERROR(INDEX(Draft!BZ:BZ,MATCH(AD4,Draft!BX:BX)), "")</f>
        <v/>
      </c>
      <c r="AG3" s="308" t="str">
        <f>IFERROR(INDEX(Draft!BZ:BZ,MATCH(AF4,Draft!BX:BX)), "")</f>
        <v/>
      </c>
      <c r="AH3" s="338"/>
    </row>
    <row r="4" spans="1:34" ht="30" customHeight="1" thickBot="1" x14ac:dyDescent="0.3">
      <c r="A4" s="686"/>
      <c r="B4">
        <f>IFERROR(INDEX( 'Draft Pick Order'!$BF:$BF,MATCH(C$2&amp;1,'Draft Pick Order'!$Y:$Y,0)),"")</f>
        <v>1</v>
      </c>
      <c r="C4" s="311">
        <f>IFERROR(IF(INDEX(Draft!BY:BY,MATCH(B4,Draft!BX:BX))="", B4, INDEX(Draft!BY:BY,MATCH(B4,Draft!BX:BX))),"")</f>
        <v>1</v>
      </c>
      <c r="D4">
        <f>IFERROR(INDEX( 'Draft Pick Order'!$BF:$BF,MATCH(E$2&amp;1,'Draft Pick Order'!$Y:$Y,0)),"")</f>
        <v>2</v>
      </c>
      <c r="E4" s="310">
        <f>IFERROR(IF(INDEX(Draft!BY:BY,MATCH(D4,Draft!BX:BX))="", D4, INDEX(Draft!BY:BY,MATCH(D4,Draft!BX:BX))),"")</f>
        <v>2</v>
      </c>
      <c r="F4">
        <f>IFERROR(INDEX( 'Draft Pick Order'!$BF:$BF,MATCH(G$2&amp;1,'Draft Pick Order'!$Y:$Y,0)),"")</f>
        <v>3</v>
      </c>
      <c r="G4" s="311">
        <f>IFERROR(IF(INDEX(Draft!BY:BY,MATCH(F4,Draft!BX:BX))="", F4, INDEX(Draft!BY:BY,MATCH(F4,Draft!BX:BX))),"")</f>
        <v>3</v>
      </c>
      <c r="H4">
        <f>IFERROR(INDEX( 'Draft Pick Order'!$BF:$BF,MATCH(I$2&amp;1,'Draft Pick Order'!$Y:$Y,0)),"")</f>
        <v>4</v>
      </c>
      <c r="I4" s="310">
        <f>IFERROR(IF(INDEX(Draft!BY:BY,MATCH(H4,Draft!BX:BX))="", H4, INDEX(Draft!BY:BY,MATCH(H4,Draft!BX:BX))),"")</f>
        <v>4</v>
      </c>
      <c r="J4">
        <f>IFERROR(INDEX( 'Draft Pick Order'!$BF:$BF,MATCH(K$2&amp;1,'Draft Pick Order'!$Y:$Y,0)),"")</f>
        <v>5</v>
      </c>
      <c r="K4" s="311">
        <f>IFERROR(IF(INDEX(Draft!BY:BY,MATCH(J4,Draft!BX:BX))="", J4, INDEX(Draft!BY:BY,MATCH(J4,Draft!BX:BX))),"")</f>
        <v>5</v>
      </c>
      <c r="L4">
        <f>IFERROR(INDEX( 'Draft Pick Order'!$BF:$BF,MATCH(M$2&amp;1,'Draft Pick Order'!$Y:$Y,0)),"")</f>
        <v>6</v>
      </c>
      <c r="M4" s="310">
        <f>IFERROR(IF(INDEX(Draft!BY:BY,MATCH(L4,Draft!BX:BX))="", L4, INDEX(Draft!BY:BY,MATCH(L4,Draft!BX:BX))),"")</f>
        <v>6</v>
      </c>
      <c r="N4">
        <f>IFERROR(INDEX( 'Draft Pick Order'!$BF:$BF,MATCH(O$2&amp;1,'Draft Pick Order'!$Y:$Y,0)),"")</f>
        <v>7</v>
      </c>
      <c r="O4" s="311">
        <f>IFERROR(IF(INDEX(Draft!BY:BY,MATCH(N4,Draft!BX:BX))="", N4, INDEX(Draft!BY:BY,MATCH(N4,Draft!BX:BX))),"")</f>
        <v>7</v>
      </c>
      <c r="P4">
        <f>IFERROR(INDEX( 'Draft Pick Order'!$BF:$BF,MATCH(Q$2&amp;1,'Draft Pick Order'!$Y:$Y,0)),"")</f>
        <v>8</v>
      </c>
      <c r="Q4" s="310">
        <f>IFERROR(IF(INDEX(Draft!BY:BY,MATCH(P4,Draft!BX:BX))="", P4, INDEX(Draft!BY:BY,MATCH(P4,Draft!BX:BX))),"")</f>
        <v>8</v>
      </c>
      <c r="R4">
        <f>IFERROR(INDEX( 'Draft Pick Order'!$BF:$BF,MATCH(S$2&amp;1,'Draft Pick Order'!$Y:$Y,0)),"")</f>
        <v>9</v>
      </c>
      <c r="S4" s="311">
        <f>IFERROR(IF(INDEX(Draft!BY:BY,MATCH(R4,Draft!BX:BX))="", R4, INDEX(Draft!BY:BY,MATCH(R4,Draft!BX:BX))),"")</f>
        <v>9</v>
      </c>
      <c r="T4">
        <f>IFERROR(INDEX( 'Draft Pick Order'!$BF:$BF,MATCH(U$2&amp;1,'Draft Pick Order'!$Y:$Y,0)),"")</f>
        <v>10</v>
      </c>
      <c r="U4" s="310">
        <f>IFERROR(IF(INDEX(Draft!BY:BY,MATCH(T4,Draft!BX:BX))="", T4, INDEX(Draft!BY:BY,MATCH(T4,Draft!BX:BX))),"")</f>
        <v>10</v>
      </c>
      <c r="V4">
        <f>IFERROR(INDEX( 'Draft Pick Order'!$BF:$BF,MATCH(W$2&amp;1,'Draft Pick Order'!$Y:$Y,0)),"")</f>
        <v>11</v>
      </c>
      <c r="W4" s="311">
        <f>IFERROR(IF(INDEX(Draft!BY:BY,MATCH(V4,Draft!BX:BX))="", V4, INDEX(Draft!BY:BY,MATCH(V4,Draft!BX:BX))),"")</f>
        <v>11</v>
      </c>
      <c r="X4">
        <f>IFERROR(INDEX( 'Draft Pick Order'!$BF:$BF,MATCH(Y$2&amp;1,'Draft Pick Order'!$Y:$Y,0)),"")</f>
        <v>12</v>
      </c>
      <c r="Y4" s="310">
        <f>IFERROR(IF(INDEX(Draft!BY:BY,MATCH(X4,Draft!BX:BX))="", X4, INDEX(Draft!BY:BY,MATCH(X4,Draft!BX:BX))),"")</f>
        <v>12</v>
      </c>
      <c r="Z4" t="str">
        <f>IFERROR(INDEX( 'Draft Pick Order'!$BF:$BF,MATCH(AA$2&amp;1,'Draft Pick Order'!$Y:$Y,0)),"")</f>
        <v/>
      </c>
      <c r="AA4" s="311" t="str">
        <f>IFERROR(IF(INDEX(Draft!BY:BY,MATCH(Z4,Draft!BX:BX))="", Z4, INDEX(Draft!BY:BY,MATCH(Z4,Draft!BX:BX))),"")</f>
        <v/>
      </c>
      <c r="AB4" t="str">
        <f>IFERROR(INDEX( 'Draft Pick Order'!$BF:$BF,MATCH(AC$2&amp;1,'Draft Pick Order'!$Y:$Y,0)),"")</f>
        <v/>
      </c>
      <c r="AC4" s="310" t="str">
        <f>IFERROR(IF(INDEX(Draft!BY:BY,MATCH(AB4,Draft!BX:BX))="", AB4, INDEX(Draft!BY:BY,MATCH(AB4,Draft!BX:BX))),"")</f>
        <v/>
      </c>
      <c r="AD4" t="str">
        <f>IFERROR(INDEX( 'Draft Pick Order'!$BF:$BF,MATCH(AE$2&amp;1,'Draft Pick Order'!$Y:$Y,0)),"")</f>
        <v/>
      </c>
      <c r="AE4" s="311" t="str">
        <f>IFERROR(IF(INDEX(Draft!BY:BY,MATCH(AD4,Draft!BX:BX))="", AD4, INDEX(Draft!BY:BY,MATCH(AD4,Draft!BX:BX))),"")</f>
        <v/>
      </c>
      <c r="AF4" t="str">
        <f>IFERROR(INDEX( 'Draft Pick Order'!$BF:$BF,MATCH(AG$2&amp;1,'Draft Pick Order'!$Y:$Y,0)),"")</f>
        <v/>
      </c>
      <c r="AG4" s="310" t="str">
        <f>IFERROR(IF(INDEX(Draft!BY:BY,MATCH(AF4,Draft!BX:BX))="", AF4, INDEX(Draft!BY:BY,MATCH(AF4,Draft!BX:BX))),"")</f>
        <v/>
      </c>
      <c r="AH4" s="338"/>
    </row>
    <row r="5" spans="1:34" ht="15" customHeight="1" x14ac:dyDescent="0.25">
      <c r="A5" s="686">
        <v>2</v>
      </c>
      <c r="C5" s="309" t="str">
        <f>IFERROR(INDEX(Draft!BZ:BZ,MATCH(B6,Draft!BX:BX)), "")</f>
        <v/>
      </c>
      <c r="E5" s="308" t="str">
        <f>IFERROR(INDEX(Draft!BZ:BZ,MATCH(D6,Draft!BX:BX)), "")</f>
        <v/>
      </c>
      <c r="G5" s="309" t="str">
        <f>IFERROR(INDEX(Draft!BZ:BZ,MATCH(F6,Draft!BX:BX)), "")</f>
        <v/>
      </c>
      <c r="I5" s="308" t="str">
        <f>IFERROR(INDEX(Draft!BZ:BZ,MATCH(H6,Draft!BX:BX)), "")</f>
        <v/>
      </c>
      <c r="K5" s="309" t="str">
        <f>IFERROR(INDEX(Draft!BZ:BZ,MATCH(J6,Draft!BX:BX)), "")</f>
        <v/>
      </c>
      <c r="M5" s="308" t="str">
        <f>IFERROR(INDEX(Draft!BZ:BZ,MATCH(L6,Draft!BX:BX)), "")</f>
        <v/>
      </c>
      <c r="O5" s="309" t="str">
        <f>IFERROR(INDEX(Draft!BZ:BZ,MATCH(N6,Draft!BX:BX)), "")</f>
        <v/>
      </c>
      <c r="Q5" s="308" t="str">
        <f>IFERROR(INDEX(Draft!BZ:BZ,MATCH(P6,Draft!BX:BX)), "")</f>
        <v/>
      </c>
      <c r="S5" s="309" t="str">
        <f>IFERROR(INDEX(Draft!BZ:BZ,MATCH(R6,Draft!BX:BX)), "")</f>
        <v/>
      </c>
      <c r="U5" s="308" t="str">
        <f>IFERROR(INDEX(Draft!BZ:BZ,MATCH(T6,Draft!BX:BX)), "")</f>
        <v/>
      </c>
      <c r="W5" s="309" t="str">
        <f>IFERROR(INDEX(Draft!BZ:BZ,MATCH(V6,Draft!BX:BX)), "")</f>
        <v/>
      </c>
      <c r="Y5" s="308" t="str">
        <f>IFERROR(INDEX(Draft!BZ:BZ,MATCH(X6,Draft!BX:BX)), "")</f>
        <v/>
      </c>
      <c r="AA5" s="309" t="str">
        <f>IFERROR(INDEX(Draft!BZ:BZ,MATCH(Z6,Draft!BX:BX)), "")</f>
        <v/>
      </c>
      <c r="AC5" s="308" t="str">
        <f>IFERROR(INDEX(Draft!BZ:BZ,MATCH(AB6,Draft!BX:BX)), "")</f>
        <v/>
      </c>
      <c r="AE5" s="309" t="str">
        <f>IFERROR(INDEX(Draft!BZ:BZ,MATCH(AD6,Draft!BX:BX)), "")</f>
        <v/>
      </c>
      <c r="AG5" s="308" t="str">
        <f>IFERROR(INDEX(Draft!BZ:BZ,MATCH(AF6,Draft!BX:BX)), "")</f>
        <v/>
      </c>
      <c r="AH5" s="338"/>
    </row>
    <row r="6" spans="1:34" ht="30" customHeight="1" thickBot="1" x14ac:dyDescent="0.3">
      <c r="A6" s="686"/>
      <c r="B6">
        <f>IFERROR(INDEX( 'Draft Pick Order'!$BF:$BF,MATCH(C$2&amp;2,'Draft Pick Order'!$Y:$Y,0)),"")</f>
        <v>24</v>
      </c>
      <c r="C6" s="311">
        <f>IFERROR(IF(INDEX(Draft!BY:BY,MATCH(B6,Draft!BX:BX))="", B6, INDEX(Draft!BY:BY,MATCH(B6,Draft!BX:BX))),"")</f>
        <v>24</v>
      </c>
      <c r="D6">
        <f>IFERROR(INDEX( 'Draft Pick Order'!$BF:$BF,MATCH(E$2&amp;2,'Draft Pick Order'!$Y:$Y,0)),"")</f>
        <v>23</v>
      </c>
      <c r="E6" s="310">
        <f>IFERROR(IF(INDEX(Draft!BY:BY,MATCH(D6,Draft!BX:BX))="", D6, INDEX(Draft!BY:BY,MATCH(D6,Draft!BX:BX))),"")</f>
        <v>23</v>
      </c>
      <c r="F6">
        <f>IFERROR(INDEX( 'Draft Pick Order'!$BF:$BF,MATCH(G$2&amp;2,'Draft Pick Order'!$Y:$Y,0)),"")</f>
        <v>22</v>
      </c>
      <c r="G6" s="311">
        <f>IFERROR(IF(INDEX(Draft!BY:BY,MATCH(F6,Draft!BX:BX))="", F6, INDEX(Draft!BY:BY,MATCH(F6,Draft!BX:BX))),"")</f>
        <v>22</v>
      </c>
      <c r="H6">
        <f>IFERROR(INDEX( 'Draft Pick Order'!$BF:$BF,MATCH(I$2&amp;2,'Draft Pick Order'!$Y:$Y,0)),"")</f>
        <v>21</v>
      </c>
      <c r="I6" s="310">
        <f>IFERROR(IF(INDEX(Draft!BY:BY,MATCH(H6,Draft!BX:BX))="", H6, INDEX(Draft!BY:BY,MATCH(H6,Draft!BX:BX))),"")</f>
        <v>21</v>
      </c>
      <c r="J6">
        <f>IFERROR(INDEX( 'Draft Pick Order'!$BF:$BF,MATCH(K$2&amp;2,'Draft Pick Order'!$Y:$Y,0)),"")</f>
        <v>20</v>
      </c>
      <c r="K6" s="311">
        <f>IFERROR(IF(INDEX(Draft!BY:BY,MATCH(J6,Draft!BX:BX))="", J6, INDEX(Draft!BY:BY,MATCH(J6,Draft!BX:BX))),"")</f>
        <v>20</v>
      </c>
      <c r="L6">
        <f>IFERROR(INDEX( 'Draft Pick Order'!$BF:$BF,MATCH(M$2&amp;2,'Draft Pick Order'!$Y:$Y,0)),"")</f>
        <v>19</v>
      </c>
      <c r="M6" s="310">
        <f>IFERROR(IF(INDEX(Draft!BY:BY,MATCH(L6,Draft!BX:BX))="", L6, INDEX(Draft!BY:BY,MATCH(L6,Draft!BX:BX))),"")</f>
        <v>19</v>
      </c>
      <c r="N6">
        <f>IFERROR(INDEX( 'Draft Pick Order'!$BF:$BF,MATCH(O$2&amp;2,'Draft Pick Order'!$Y:$Y,0)),"")</f>
        <v>18</v>
      </c>
      <c r="O6" s="311">
        <f>IFERROR(IF(INDEX(Draft!BY:BY,MATCH(N6,Draft!BX:BX))="", N6, INDEX(Draft!BY:BY,MATCH(N6,Draft!BX:BX))),"")</f>
        <v>18</v>
      </c>
      <c r="P6">
        <f>IFERROR(INDEX( 'Draft Pick Order'!$BF:$BF,MATCH(Q$2&amp;2,'Draft Pick Order'!$Y:$Y,0)),"")</f>
        <v>17</v>
      </c>
      <c r="Q6" s="310">
        <f>IFERROR(IF(INDEX(Draft!BY:BY,MATCH(P6,Draft!BX:BX))="", P6, INDEX(Draft!BY:BY,MATCH(P6,Draft!BX:BX))),"")</f>
        <v>17</v>
      </c>
      <c r="R6">
        <f>IFERROR(INDEX( 'Draft Pick Order'!$BF:$BF,MATCH(S$2&amp;2,'Draft Pick Order'!$Y:$Y,0)),"")</f>
        <v>16</v>
      </c>
      <c r="S6" s="311">
        <f>IFERROR(IF(INDEX(Draft!BY:BY,MATCH(R6,Draft!BX:BX))="", R6, INDEX(Draft!BY:BY,MATCH(R6,Draft!BX:BX))),"")</f>
        <v>16</v>
      </c>
      <c r="T6">
        <f>IFERROR(INDEX( 'Draft Pick Order'!$BF:$BF,MATCH(U$2&amp;2,'Draft Pick Order'!$Y:$Y,0)),"")</f>
        <v>15</v>
      </c>
      <c r="U6" s="310">
        <f>IFERROR(IF(INDEX(Draft!BY:BY,MATCH(T6,Draft!BX:BX))="", T6, INDEX(Draft!BY:BY,MATCH(T6,Draft!BX:BX))),"")</f>
        <v>15</v>
      </c>
      <c r="V6">
        <f>IFERROR(INDEX( 'Draft Pick Order'!$BF:$BF,MATCH(W$2&amp;2,'Draft Pick Order'!$Y:$Y,0)),"")</f>
        <v>14</v>
      </c>
      <c r="W6" s="311">
        <f>IFERROR(IF(INDEX(Draft!BY:BY,MATCH(V6,Draft!BX:BX))="", V6, INDEX(Draft!BY:BY,MATCH(V6,Draft!BX:BX))),"")</f>
        <v>14</v>
      </c>
      <c r="X6">
        <f>IFERROR(INDEX( 'Draft Pick Order'!$BF:$BF,MATCH(Y$2&amp;2,'Draft Pick Order'!$Y:$Y,0)),"")</f>
        <v>13</v>
      </c>
      <c r="Y6" s="310">
        <f>IFERROR(IF(INDEX(Draft!BY:BY,MATCH(X6,Draft!BX:BX))="", X6, INDEX(Draft!BY:BY,MATCH(X6,Draft!BX:BX))),"")</f>
        <v>13</v>
      </c>
      <c r="Z6" t="str">
        <f>IFERROR(INDEX( 'Draft Pick Order'!$BF:$BF,MATCH(AA$2&amp;2,'Draft Pick Order'!$Y:$Y,0)),"")</f>
        <v/>
      </c>
      <c r="AA6" s="311" t="str">
        <f>IFERROR(IF(INDEX(Draft!BY:BY,MATCH(Z6,Draft!BX:BX))="", Z6, INDEX(Draft!BY:BY,MATCH(Z6,Draft!BX:BX))),"")</f>
        <v/>
      </c>
      <c r="AB6" t="str">
        <f>IFERROR(INDEX( 'Draft Pick Order'!$BF:$BF,MATCH(AC$2&amp;2,'Draft Pick Order'!$Y:$Y,0)),"")</f>
        <v/>
      </c>
      <c r="AC6" s="310" t="str">
        <f>IFERROR(IF(INDEX(Draft!BY:BY,MATCH(AB6,Draft!BX:BX))="", AB6, INDEX(Draft!BY:BY,MATCH(AB6,Draft!BX:BX))),"")</f>
        <v/>
      </c>
      <c r="AD6" t="str">
        <f>IFERROR(INDEX( 'Draft Pick Order'!$BF:$BF,MATCH(AE$2&amp;2,'Draft Pick Order'!$Y:$Y,0)),"")</f>
        <v/>
      </c>
      <c r="AE6" s="311" t="str">
        <f>IFERROR(IF(INDEX(Draft!BY:BY,MATCH(AD6,Draft!BX:BX))="", AD6, INDEX(Draft!BY:BY,MATCH(AD6,Draft!BX:BX))),"")</f>
        <v/>
      </c>
      <c r="AF6" t="str">
        <f>IFERROR(INDEX( 'Draft Pick Order'!$BF:$BF,MATCH(AG$2&amp;2,'Draft Pick Order'!$Y:$Y,0)),"")</f>
        <v/>
      </c>
      <c r="AG6" s="310" t="str">
        <f>IFERROR(IF(INDEX(Draft!BY:BY,MATCH(AF6,Draft!BX:BX))="", AF6, INDEX(Draft!BY:BY,MATCH(AF6,Draft!BX:BX))),"")</f>
        <v/>
      </c>
      <c r="AH6" s="338"/>
    </row>
    <row r="7" spans="1:34" ht="15" customHeight="1" x14ac:dyDescent="0.25">
      <c r="A7" s="686">
        <v>3</v>
      </c>
      <c r="C7" s="309" t="str">
        <f>IFERROR(INDEX(Draft!BZ:BZ,MATCH(B8,Draft!BX:BX)), "")</f>
        <v/>
      </c>
      <c r="E7" s="308" t="str">
        <f>IFERROR(INDEX(Draft!BZ:BZ,MATCH(D8,Draft!BX:BX)), "")</f>
        <v/>
      </c>
      <c r="G7" s="309" t="str">
        <f>IFERROR(INDEX(Draft!BZ:BZ,MATCH(F8,Draft!BX:BX)), "")</f>
        <v/>
      </c>
      <c r="I7" s="308" t="str">
        <f>IFERROR(INDEX(Draft!BZ:BZ,MATCH(H8,Draft!BX:BX)), "")</f>
        <v/>
      </c>
      <c r="K7" s="309" t="str">
        <f>IFERROR(INDEX(Draft!BZ:BZ,MATCH(J8,Draft!BX:BX)), "")</f>
        <v/>
      </c>
      <c r="M7" s="308" t="str">
        <f>IFERROR(INDEX(Draft!BZ:BZ,MATCH(L8,Draft!BX:BX)), "")</f>
        <v/>
      </c>
      <c r="O7" s="309" t="str">
        <f>IFERROR(INDEX(Draft!BZ:BZ,MATCH(N8,Draft!BX:BX)), "")</f>
        <v/>
      </c>
      <c r="Q7" s="308" t="str">
        <f>IFERROR(INDEX(Draft!BZ:BZ,MATCH(P8,Draft!BX:BX)), "")</f>
        <v/>
      </c>
      <c r="S7" s="309" t="str">
        <f>IFERROR(INDEX(Draft!BZ:BZ,MATCH(R8,Draft!BX:BX)), "")</f>
        <v/>
      </c>
      <c r="U7" s="308" t="str">
        <f>IFERROR(INDEX(Draft!BZ:BZ,MATCH(T8,Draft!BX:BX)), "")</f>
        <v/>
      </c>
      <c r="W7" s="309" t="str">
        <f>IFERROR(INDEX(Draft!BZ:BZ,MATCH(V8,Draft!BX:BX)), "")</f>
        <v/>
      </c>
      <c r="Y7" s="308" t="str">
        <f>IFERROR(INDEX(Draft!BZ:BZ,MATCH(X8,Draft!BX:BX)), "")</f>
        <v/>
      </c>
      <c r="AA7" s="309" t="str">
        <f>IFERROR(INDEX(Draft!BZ:BZ,MATCH(Z8,Draft!BX:BX)), "")</f>
        <v/>
      </c>
      <c r="AC7" s="308" t="str">
        <f>IFERROR(INDEX(Draft!BZ:BZ,MATCH(AB8,Draft!BX:BX)), "")</f>
        <v/>
      </c>
      <c r="AE7" s="309" t="str">
        <f>IFERROR(INDEX(Draft!BZ:BZ,MATCH(AD8,Draft!BX:BX)), "")</f>
        <v/>
      </c>
      <c r="AG7" s="308" t="str">
        <f>IFERROR(INDEX(Draft!BZ:BZ,MATCH(AF8,Draft!BX:BX)), "")</f>
        <v/>
      </c>
      <c r="AH7" s="338"/>
    </row>
    <row r="8" spans="1:34" ht="30" customHeight="1" thickBot="1" x14ac:dyDescent="0.3">
      <c r="A8" s="686"/>
      <c r="B8">
        <f>IFERROR(INDEX( 'Draft Pick Order'!$BF:$BF,MATCH(C$2&amp;3,'Draft Pick Order'!$Y:$Y,0)),"")</f>
        <v>25</v>
      </c>
      <c r="C8" s="311">
        <f>IFERROR(IF(INDEX(Draft!BY:BY,MATCH(B8,Draft!BX:BX))="", B8, INDEX(Draft!BY:BY,MATCH(B8,Draft!BX:BX))),"")</f>
        <v>25</v>
      </c>
      <c r="D8">
        <f>IFERROR(INDEX( 'Draft Pick Order'!$BF:$BF,MATCH(E$2&amp;3,'Draft Pick Order'!$Y:$Y,0)),"")</f>
        <v>26</v>
      </c>
      <c r="E8" s="310">
        <f>IFERROR(IF(INDEX(Draft!BY:BY,MATCH(D8,Draft!BX:BX))="", D8, INDEX(Draft!BY:BY,MATCH(D8,Draft!BX:BX))),"")</f>
        <v>26</v>
      </c>
      <c r="F8">
        <f>IFERROR(INDEX( 'Draft Pick Order'!$BF:$BF,MATCH(G$2&amp;3,'Draft Pick Order'!$Y:$Y,0)),"")</f>
        <v>27</v>
      </c>
      <c r="G8" s="311">
        <f>IFERROR(IF(INDEX(Draft!BY:BY,MATCH(F8,Draft!BX:BX))="", F8, INDEX(Draft!BY:BY,MATCH(F8,Draft!BX:BX))),"")</f>
        <v>27</v>
      </c>
      <c r="H8">
        <f>IFERROR(INDEX( 'Draft Pick Order'!$BF:$BF,MATCH(I$2&amp;3,'Draft Pick Order'!$Y:$Y,0)),"")</f>
        <v>28</v>
      </c>
      <c r="I8" s="310">
        <f>IFERROR(IF(INDEX(Draft!BY:BY,MATCH(H8,Draft!BX:BX))="", H8, INDEX(Draft!BY:BY,MATCH(H8,Draft!BX:BX))),"")</f>
        <v>28</v>
      </c>
      <c r="J8">
        <f>IFERROR(INDEX( 'Draft Pick Order'!$BF:$BF,MATCH(K$2&amp;3,'Draft Pick Order'!$Y:$Y,0)),"")</f>
        <v>29</v>
      </c>
      <c r="K8" s="311">
        <f>IFERROR(IF(INDEX(Draft!BY:BY,MATCH(J8,Draft!BX:BX))="", J8, INDEX(Draft!BY:BY,MATCH(J8,Draft!BX:BX))),"")</f>
        <v>29</v>
      </c>
      <c r="L8">
        <f>IFERROR(INDEX( 'Draft Pick Order'!$BF:$BF,MATCH(M$2&amp;3,'Draft Pick Order'!$Y:$Y,0)),"")</f>
        <v>30</v>
      </c>
      <c r="M8" s="310">
        <f>IFERROR(IF(INDEX(Draft!BY:BY,MATCH(L8,Draft!BX:BX))="", L8, INDEX(Draft!BY:BY,MATCH(L8,Draft!BX:BX))),"")</f>
        <v>30</v>
      </c>
      <c r="N8">
        <f>IFERROR(INDEX( 'Draft Pick Order'!$BF:$BF,MATCH(O$2&amp;3,'Draft Pick Order'!$Y:$Y,0)),"")</f>
        <v>31</v>
      </c>
      <c r="O8" s="311">
        <f>IFERROR(IF(INDEX(Draft!BY:BY,MATCH(N8,Draft!BX:BX))="", N8, INDEX(Draft!BY:BY,MATCH(N8,Draft!BX:BX))),"")</f>
        <v>31</v>
      </c>
      <c r="P8">
        <f>IFERROR(INDEX( 'Draft Pick Order'!$BF:$BF,MATCH(Q$2&amp;3,'Draft Pick Order'!$Y:$Y,0)),"")</f>
        <v>32</v>
      </c>
      <c r="Q8" s="310">
        <f>IFERROR(IF(INDEX(Draft!BY:BY,MATCH(P8,Draft!BX:BX))="", P8, INDEX(Draft!BY:BY,MATCH(P8,Draft!BX:BX))),"")</f>
        <v>32</v>
      </c>
      <c r="R8">
        <f>IFERROR(INDEX( 'Draft Pick Order'!$BF:$BF,MATCH(S$2&amp;3,'Draft Pick Order'!$Y:$Y,0)),"")</f>
        <v>33</v>
      </c>
      <c r="S8" s="311">
        <f>IFERROR(IF(INDEX(Draft!BY:BY,MATCH(R8,Draft!BX:BX))="", R8, INDEX(Draft!BY:BY,MATCH(R8,Draft!BX:BX))),"")</f>
        <v>33</v>
      </c>
      <c r="T8">
        <f>IFERROR(INDEX( 'Draft Pick Order'!$BF:$BF,MATCH(U$2&amp;3,'Draft Pick Order'!$Y:$Y,0)),"")</f>
        <v>34</v>
      </c>
      <c r="U8" s="310">
        <f>IFERROR(IF(INDEX(Draft!BY:BY,MATCH(T8,Draft!BX:BX))="", T8, INDEX(Draft!BY:BY,MATCH(T8,Draft!BX:BX))),"")</f>
        <v>34</v>
      </c>
      <c r="V8">
        <f>IFERROR(INDEX( 'Draft Pick Order'!$BF:$BF,MATCH(W$2&amp;3,'Draft Pick Order'!$Y:$Y,0)),"")</f>
        <v>35</v>
      </c>
      <c r="W8" s="311">
        <f>IFERROR(IF(INDEX(Draft!BY:BY,MATCH(V8,Draft!BX:BX))="", V8, INDEX(Draft!BY:BY,MATCH(V8,Draft!BX:BX))),"")</f>
        <v>35</v>
      </c>
      <c r="X8">
        <f>IFERROR(INDEX( 'Draft Pick Order'!$BF:$BF,MATCH(Y$2&amp;3,'Draft Pick Order'!$Y:$Y,0)),"")</f>
        <v>36</v>
      </c>
      <c r="Y8" s="310">
        <f>IFERROR(IF(INDEX(Draft!BY:BY,MATCH(X8,Draft!BX:BX))="", X8, INDEX(Draft!BY:BY,MATCH(X8,Draft!BX:BX))),"")</f>
        <v>36</v>
      </c>
      <c r="Z8" t="str">
        <f>IFERROR(INDEX( 'Draft Pick Order'!$BF:$BF,MATCH(AA$2&amp;3,'Draft Pick Order'!$Y:$Y,0)),"")</f>
        <v/>
      </c>
      <c r="AA8" s="311" t="str">
        <f>IFERROR(IF(INDEX(Draft!BY:BY,MATCH(Z8,Draft!BX:BX))="", Z8, INDEX(Draft!BY:BY,MATCH(Z8,Draft!BX:BX))),"")</f>
        <v/>
      </c>
      <c r="AB8" t="str">
        <f>IFERROR(INDEX( 'Draft Pick Order'!$BF:$BF,MATCH(AC$2&amp;3,'Draft Pick Order'!$Y:$Y,0)),"")</f>
        <v/>
      </c>
      <c r="AC8" s="310" t="str">
        <f>IFERROR(IF(INDEX(Draft!BY:BY,MATCH(AB8,Draft!BX:BX))="", AB8, INDEX(Draft!BY:BY,MATCH(AB8,Draft!BX:BX))),"")</f>
        <v/>
      </c>
      <c r="AD8" t="str">
        <f>IFERROR(INDEX( 'Draft Pick Order'!$BF:$BF,MATCH(AE$2&amp;3,'Draft Pick Order'!$Y:$Y,0)),"")</f>
        <v/>
      </c>
      <c r="AE8" s="311" t="str">
        <f>IFERROR(IF(INDEX(Draft!BY:BY,MATCH(AD8,Draft!BX:BX))="", AD8, INDEX(Draft!BY:BY,MATCH(AD8,Draft!BX:BX))),"")</f>
        <v/>
      </c>
      <c r="AF8" t="str">
        <f>IFERROR(INDEX( 'Draft Pick Order'!$BF:$BF,MATCH(AG$2&amp;3,'Draft Pick Order'!$Y:$Y,0)),"")</f>
        <v/>
      </c>
      <c r="AG8" s="310" t="str">
        <f>IFERROR(IF(INDEX(Draft!BY:BY,MATCH(AF8,Draft!BX:BX))="", AF8, INDEX(Draft!BY:BY,MATCH(AF8,Draft!BX:BX))),"")</f>
        <v/>
      </c>
      <c r="AH8" s="338"/>
    </row>
    <row r="9" spans="1:34" ht="15" customHeight="1" x14ac:dyDescent="0.25">
      <c r="A9" s="686">
        <v>4</v>
      </c>
      <c r="C9" s="309" t="str">
        <f>IFERROR(INDEX(Draft!BZ:BZ,MATCH(B10,Draft!BX:BX)), "")</f>
        <v/>
      </c>
      <c r="E9" s="308" t="str">
        <f>IFERROR(INDEX(Draft!BZ:BZ,MATCH(D10,Draft!BX:BX)), "")</f>
        <v/>
      </c>
      <c r="G9" s="309" t="str">
        <f>IFERROR(INDEX(Draft!BZ:BZ,MATCH(F10,Draft!BX:BX)), "")</f>
        <v/>
      </c>
      <c r="I9" s="308" t="str">
        <f>IFERROR(INDEX(Draft!BZ:BZ,MATCH(H10,Draft!BX:BX)), "")</f>
        <v/>
      </c>
      <c r="K9" s="309" t="str">
        <f>IFERROR(INDEX(Draft!BZ:BZ,MATCH(J10,Draft!BX:BX)), "")</f>
        <v/>
      </c>
      <c r="M9" s="308" t="str">
        <f>IFERROR(INDEX(Draft!BZ:BZ,MATCH(L10,Draft!BX:BX)), "")</f>
        <v/>
      </c>
      <c r="O9" s="309" t="str">
        <f>IFERROR(INDEX(Draft!BZ:BZ,MATCH(N10,Draft!BX:BX)), "")</f>
        <v/>
      </c>
      <c r="Q9" s="308" t="str">
        <f>IFERROR(INDEX(Draft!BZ:BZ,MATCH(P10,Draft!BX:BX)), "")</f>
        <v/>
      </c>
      <c r="S9" s="309" t="str">
        <f>IFERROR(INDEX(Draft!BZ:BZ,MATCH(R10,Draft!BX:BX)), "")</f>
        <v/>
      </c>
      <c r="U9" s="308" t="str">
        <f>IFERROR(INDEX(Draft!BZ:BZ,MATCH(T10,Draft!BX:BX)), "")</f>
        <v/>
      </c>
      <c r="W9" s="309" t="str">
        <f>IFERROR(INDEX(Draft!BZ:BZ,MATCH(V10,Draft!BX:BX)), "")</f>
        <v/>
      </c>
      <c r="Y9" s="308" t="str">
        <f>IFERROR(INDEX(Draft!BZ:BZ,MATCH(X10,Draft!BX:BX)), "")</f>
        <v/>
      </c>
      <c r="AA9" s="309" t="str">
        <f>IFERROR(INDEX(Draft!BZ:BZ,MATCH(Z10,Draft!BX:BX)), "")</f>
        <v/>
      </c>
      <c r="AC9" s="308" t="str">
        <f>IFERROR(INDEX(Draft!BZ:BZ,MATCH(AB10,Draft!BX:BX)), "")</f>
        <v/>
      </c>
      <c r="AE9" s="309" t="str">
        <f>IFERROR(INDEX(Draft!BZ:BZ,MATCH(AD10,Draft!BX:BX)), "")</f>
        <v/>
      </c>
      <c r="AG9" s="308" t="str">
        <f>IFERROR(INDEX(Draft!BZ:BZ,MATCH(AF10,Draft!BX:BX)), "")</f>
        <v/>
      </c>
      <c r="AH9" s="338"/>
    </row>
    <row r="10" spans="1:34" ht="30" customHeight="1" thickBot="1" x14ac:dyDescent="0.3">
      <c r="A10" s="686"/>
      <c r="B10">
        <f>IFERROR(INDEX( 'Draft Pick Order'!$BF:$BF,MATCH(C$2&amp;4,'Draft Pick Order'!$Y:$Y,0)),"")</f>
        <v>48</v>
      </c>
      <c r="C10" s="311">
        <f>IFERROR(IF(INDEX(Draft!BY:BY,MATCH(B10,Draft!BX:BX))="", B10, INDEX(Draft!BY:BY,MATCH(B10,Draft!BX:BX))),"")</f>
        <v>48</v>
      </c>
      <c r="D10">
        <f>IFERROR(INDEX( 'Draft Pick Order'!$BF:$BF,MATCH(E$2&amp;4,'Draft Pick Order'!$Y:$Y,0)),"")</f>
        <v>47</v>
      </c>
      <c r="E10" s="310">
        <f>IFERROR(IF(INDEX(Draft!BY:BY,MATCH(D10,Draft!BX:BX))="", D10, INDEX(Draft!BY:BY,MATCH(D10,Draft!BX:BX))),"")</f>
        <v>47</v>
      </c>
      <c r="F10">
        <f>IFERROR(INDEX( 'Draft Pick Order'!$BF:$BF,MATCH(G$2&amp;4,'Draft Pick Order'!$Y:$Y,0)),"")</f>
        <v>46</v>
      </c>
      <c r="G10" s="311">
        <f>IFERROR(IF(INDEX(Draft!BY:BY,MATCH(F10,Draft!BX:BX))="", F10, INDEX(Draft!BY:BY,MATCH(F10,Draft!BX:BX))),"")</f>
        <v>46</v>
      </c>
      <c r="H10">
        <f>IFERROR(INDEX( 'Draft Pick Order'!$BF:$BF,MATCH(I$2&amp;4,'Draft Pick Order'!$Y:$Y,0)),"")</f>
        <v>45</v>
      </c>
      <c r="I10" s="310">
        <f>IFERROR(IF(INDEX(Draft!BY:BY,MATCH(H10,Draft!BX:BX))="", H10, INDEX(Draft!BY:BY,MATCH(H10,Draft!BX:BX))),"")</f>
        <v>45</v>
      </c>
      <c r="J10">
        <f>IFERROR(INDEX( 'Draft Pick Order'!$BF:$BF,MATCH(K$2&amp;4,'Draft Pick Order'!$Y:$Y,0)),"")</f>
        <v>44</v>
      </c>
      <c r="K10" s="311">
        <f>IFERROR(IF(INDEX(Draft!BY:BY,MATCH(J10,Draft!BX:BX))="", J10, INDEX(Draft!BY:BY,MATCH(J10,Draft!BX:BX))),"")</f>
        <v>44</v>
      </c>
      <c r="L10">
        <f>IFERROR(INDEX( 'Draft Pick Order'!$BF:$BF,MATCH(M$2&amp;4,'Draft Pick Order'!$Y:$Y,0)),"")</f>
        <v>43</v>
      </c>
      <c r="M10" s="310">
        <f>IFERROR(IF(INDEX(Draft!BY:BY,MATCH(L10,Draft!BX:BX))="", L10, INDEX(Draft!BY:BY,MATCH(L10,Draft!BX:BX))),"")</f>
        <v>43</v>
      </c>
      <c r="N10">
        <f>IFERROR(INDEX( 'Draft Pick Order'!$BF:$BF,MATCH(O$2&amp;4,'Draft Pick Order'!$Y:$Y,0)),"")</f>
        <v>42</v>
      </c>
      <c r="O10" s="311">
        <f>IFERROR(IF(INDEX(Draft!BY:BY,MATCH(N10,Draft!BX:BX))="", N10, INDEX(Draft!BY:BY,MATCH(N10,Draft!BX:BX))),"")</f>
        <v>42</v>
      </c>
      <c r="P10">
        <f>IFERROR(INDEX( 'Draft Pick Order'!$BF:$BF,MATCH(Q$2&amp;4,'Draft Pick Order'!$Y:$Y,0)),"")</f>
        <v>41</v>
      </c>
      <c r="Q10" s="310">
        <f>IFERROR(IF(INDEX(Draft!BY:BY,MATCH(P10,Draft!BX:BX))="", P10, INDEX(Draft!BY:BY,MATCH(P10,Draft!BX:BX))),"")</f>
        <v>41</v>
      </c>
      <c r="R10">
        <f>IFERROR(INDEX( 'Draft Pick Order'!$BF:$BF,MATCH(S$2&amp;4,'Draft Pick Order'!$Y:$Y,0)),"")</f>
        <v>40</v>
      </c>
      <c r="S10" s="311">
        <f>IFERROR(IF(INDEX(Draft!BY:BY,MATCH(R10,Draft!BX:BX))="", R10, INDEX(Draft!BY:BY,MATCH(R10,Draft!BX:BX))),"")</f>
        <v>40</v>
      </c>
      <c r="T10">
        <f>IFERROR(INDEX( 'Draft Pick Order'!$BF:$BF,MATCH(U$2&amp;4,'Draft Pick Order'!$Y:$Y,0)),"")</f>
        <v>39</v>
      </c>
      <c r="U10" s="310">
        <f>IFERROR(IF(INDEX(Draft!BY:BY,MATCH(T10,Draft!BX:BX))="", T10, INDEX(Draft!BY:BY,MATCH(T10,Draft!BX:BX))),"")</f>
        <v>39</v>
      </c>
      <c r="V10">
        <f>IFERROR(INDEX( 'Draft Pick Order'!$BF:$BF,MATCH(W$2&amp;4,'Draft Pick Order'!$Y:$Y,0)),"")</f>
        <v>38</v>
      </c>
      <c r="W10" s="311">
        <f>IFERROR(IF(INDEX(Draft!BY:BY,MATCH(V10,Draft!BX:BX))="", V10, INDEX(Draft!BY:BY,MATCH(V10,Draft!BX:BX))),"")</f>
        <v>38</v>
      </c>
      <c r="X10">
        <f>IFERROR(INDEX( 'Draft Pick Order'!$BF:$BF,MATCH(Y$2&amp;4,'Draft Pick Order'!$Y:$Y,0)),"")</f>
        <v>37</v>
      </c>
      <c r="Y10" s="310">
        <f>IFERROR(IF(INDEX(Draft!BY:BY,MATCH(X10,Draft!BX:BX))="", X10, INDEX(Draft!BY:BY,MATCH(X10,Draft!BX:BX))),"")</f>
        <v>37</v>
      </c>
      <c r="Z10" t="str">
        <f>IFERROR(INDEX( 'Draft Pick Order'!$BF:$BF,MATCH(AA$2&amp;4,'Draft Pick Order'!$Y:$Y,0)),"")</f>
        <v/>
      </c>
      <c r="AA10" s="311" t="str">
        <f>IFERROR(IF(INDEX(Draft!BY:BY,MATCH(Z10,Draft!BX:BX))="", Z10, INDEX(Draft!BY:BY,MATCH(Z10,Draft!BX:BX))),"")</f>
        <v/>
      </c>
      <c r="AB10" t="str">
        <f>IFERROR(INDEX( 'Draft Pick Order'!$BF:$BF,MATCH(AC$2&amp;4,'Draft Pick Order'!$Y:$Y,0)),"")</f>
        <v/>
      </c>
      <c r="AC10" s="310" t="str">
        <f>IFERROR(IF(INDEX(Draft!BY:BY,MATCH(AB10,Draft!BX:BX))="", AB10, INDEX(Draft!BY:BY,MATCH(AB10,Draft!BX:BX))),"")</f>
        <v/>
      </c>
      <c r="AD10" t="str">
        <f>IFERROR(INDEX( 'Draft Pick Order'!$BF:$BF,MATCH(AE$2&amp;4,'Draft Pick Order'!$Y:$Y,0)),"")</f>
        <v/>
      </c>
      <c r="AE10" s="311" t="str">
        <f>IFERROR(IF(INDEX(Draft!BY:BY,MATCH(AD10,Draft!BX:BX))="", AD10, INDEX(Draft!BY:BY,MATCH(AD10,Draft!BX:BX))),"")</f>
        <v/>
      </c>
      <c r="AF10" t="str">
        <f>IFERROR(INDEX( 'Draft Pick Order'!$BF:$BF,MATCH(AG$2&amp;4,'Draft Pick Order'!$Y:$Y,0)),"")</f>
        <v/>
      </c>
      <c r="AG10" s="310" t="str">
        <f>IFERROR(IF(INDEX(Draft!BY:BY,MATCH(AF10,Draft!BX:BX))="", AF10, INDEX(Draft!BY:BY,MATCH(AF10,Draft!BX:BX))),"")</f>
        <v/>
      </c>
      <c r="AH10" s="338"/>
    </row>
    <row r="11" spans="1:34" ht="15" customHeight="1" x14ac:dyDescent="0.25">
      <c r="A11" s="686">
        <v>5</v>
      </c>
      <c r="C11" s="309" t="str">
        <f>IFERROR(INDEX(Draft!BZ:BZ,MATCH(B12,Draft!BX:BX)), "")</f>
        <v/>
      </c>
      <c r="E11" s="308" t="str">
        <f>IFERROR(INDEX(Draft!BZ:BZ,MATCH(D12,Draft!BX:BX)), "")</f>
        <v/>
      </c>
      <c r="G11" s="309" t="str">
        <f>IFERROR(INDEX(Draft!BZ:BZ,MATCH(F12,Draft!BX:BX)), "")</f>
        <v/>
      </c>
      <c r="I11" s="308" t="str">
        <f>IFERROR(INDEX(Draft!BZ:BZ,MATCH(H12,Draft!BX:BX)), "")</f>
        <v/>
      </c>
      <c r="K11" s="309" t="str">
        <f>IFERROR(INDEX(Draft!BZ:BZ,MATCH(J12,Draft!BX:BX)), "")</f>
        <v/>
      </c>
      <c r="M11" s="308" t="str">
        <f>IFERROR(INDEX(Draft!BZ:BZ,MATCH(L12,Draft!BX:BX)), "")</f>
        <v/>
      </c>
      <c r="O11" s="309" t="str">
        <f>IFERROR(INDEX(Draft!BZ:BZ,MATCH(N12,Draft!BX:BX)), "")</f>
        <v/>
      </c>
      <c r="Q11" s="308" t="str">
        <f>IFERROR(INDEX(Draft!BZ:BZ,MATCH(P12,Draft!BX:BX)), "")</f>
        <v/>
      </c>
      <c r="S11" s="309" t="str">
        <f>IFERROR(INDEX(Draft!BZ:BZ,MATCH(R12,Draft!BX:BX)), "")</f>
        <v/>
      </c>
      <c r="U11" s="308" t="str">
        <f>IFERROR(INDEX(Draft!BZ:BZ,MATCH(T12,Draft!BX:BX)), "")</f>
        <v/>
      </c>
      <c r="W11" s="309" t="str">
        <f>IFERROR(INDEX(Draft!BZ:BZ,MATCH(V12,Draft!BX:BX)), "")</f>
        <v/>
      </c>
      <c r="Y11" s="308" t="str">
        <f>IFERROR(INDEX(Draft!BZ:BZ,MATCH(X12,Draft!BX:BX)), "")</f>
        <v/>
      </c>
      <c r="AA11" s="309" t="str">
        <f>IFERROR(INDEX(Draft!BZ:BZ,MATCH(Z12,Draft!BX:BX)), "")</f>
        <v/>
      </c>
      <c r="AC11" s="308" t="str">
        <f>IFERROR(INDEX(Draft!BZ:BZ,MATCH(AB12,Draft!BX:BX)), "")</f>
        <v/>
      </c>
      <c r="AE11" s="309" t="str">
        <f>IFERROR(INDEX(Draft!BZ:BZ,MATCH(AD12,Draft!BX:BX)), "")</f>
        <v/>
      </c>
      <c r="AG11" s="308" t="str">
        <f>IFERROR(INDEX(Draft!BZ:BZ,MATCH(AF12,Draft!BX:BX)), "")</f>
        <v/>
      </c>
      <c r="AH11" s="338"/>
    </row>
    <row r="12" spans="1:34" ht="30" customHeight="1" thickBot="1" x14ac:dyDescent="0.3">
      <c r="A12" s="686"/>
      <c r="B12">
        <f>IFERROR(INDEX( 'Draft Pick Order'!$BF:$BF,MATCH(C$2&amp;5,'Draft Pick Order'!$Y:$Y,0)),"")</f>
        <v>49</v>
      </c>
      <c r="C12" s="311">
        <f>IFERROR(IF(INDEX(Draft!BY:BY,MATCH(B12,Draft!BX:BX))="", B12, INDEX(Draft!BY:BY,MATCH(B12,Draft!BX:BX))),"")</f>
        <v>49</v>
      </c>
      <c r="D12">
        <f>IFERROR(INDEX( 'Draft Pick Order'!$BF:$BF,MATCH(E$2&amp;5,'Draft Pick Order'!$Y:$Y,0)),"")</f>
        <v>50</v>
      </c>
      <c r="E12" s="310">
        <f>IFERROR(IF(INDEX(Draft!BY:BY,MATCH(D12,Draft!BX:BX))="", D12, INDEX(Draft!BY:BY,MATCH(D12,Draft!BX:BX))),"")</f>
        <v>50</v>
      </c>
      <c r="F12">
        <f>IFERROR(INDEX( 'Draft Pick Order'!$BF:$BF,MATCH(G$2&amp;5,'Draft Pick Order'!$Y:$Y,0)),"")</f>
        <v>51</v>
      </c>
      <c r="G12" s="311">
        <f>IFERROR(IF(INDEX(Draft!BY:BY,MATCH(F12,Draft!BX:BX))="", F12, INDEX(Draft!BY:BY,MATCH(F12,Draft!BX:BX))),"")</f>
        <v>51</v>
      </c>
      <c r="H12">
        <f>IFERROR(INDEX( 'Draft Pick Order'!$BF:$BF,MATCH(I$2&amp;5,'Draft Pick Order'!$Y:$Y,0)),"")</f>
        <v>52</v>
      </c>
      <c r="I12" s="310">
        <f>IFERROR(IF(INDEX(Draft!BY:BY,MATCH(H12,Draft!BX:BX))="", H12, INDEX(Draft!BY:BY,MATCH(H12,Draft!BX:BX))),"")</f>
        <v>52</v>
      </c>
      <c r="J12">
        <f>IFERROR(INDEX( 'Draft Pick Order'!$BF:$BF,MATCH(K$2&amp;5,'Draft Pick Order'!$Y:$Y,0)),"")</f>
        <v>53</v>
      </c>
      <c r="K12" s="311">
        <f>IFERROR(IF(INDEX(Draft!BY:BY,MATCH(J12,Draft!BX:BX))="", J12, INDEX(Draft!BY:BY,MATCH(J12,Draft!BX:BX))),"")</f>
        <v>53</v>
      </c>
      <c r="L12">
        <f>IFERROR(INDEX( 'Draft Pick Order'!$BF:$BF,MATCH(M$2&amp;5,'Draft Pick Order'!$Y:$Y,0)),"")</f>
        <v>54</v>
      </c>
      <c r="M12" s="310">
        <f>IFERROR(IF(INDEX(Draft!BY:BY,MATCH(L12,Draft!BX:BX))="", L12, INDEX(Draft!BY:BY,MATCH(L12,Draft!BX:BX))),"")</f>
        <v>54</v>
      </c>
      <c r="N12">
        <f>IFERROR(INDEX( 'Draft Pick Order'!$BF:$BF,MATCH(O$2&amp;5,'Draft Pick Order'!$Y:$Y,0)),"")</f>
        <v>55</v>
      </c>
      <c r="O12" s="311">
        <f>IFERROR(IF(INDEX(Draft!BY:BY,MATCH(N12,Draft!BX:BX))="", N12, INDEX(Draft!BY:BY,MATCH(N12,Draft!BX:BX))),"")</f>
        <v>55</v>
      </c>
      <c r="P12">
        <f>IFERROR(INDEX( 'Draft Pick Order'!$BF:$BF,MATCH(Q$2&amp;5,'Draft Pick Order'!$Y:$Y,0)),"")</f>
        <v>56</v>
      </c>
      <c r="Q12" s="310">
        <f>IFERROR(IF(INDEX(Draft!BY:BY,MATCH(P12,Draft!BX:BX))="", P12, INDEX(Draft!BY:BY,MATCH(P12,Draft!BX:BX))),"")</f>
        <v>56</v>
      </c>
      <c r="R12">
        <f>IFERROR(INDEX( 'Draft Pick Order'!$BF:$BF,MATCH(S$2&amp;5,'Draft Pick Order'!$Y:$Y,0)),"")</f>
        <v>57</v>
      </c>
      <c r="S12" s="311">
        <f>IFERROR(IF(INDEX(Draft!BY:BY,MATCH(R12,Draft!BX:BX))="", R12, INDEX(Draft!BY:BY,MATCH(R12,Draft!BX:BX))),"")</f>
        <v>57</v>
      </c>
      <c r="T12">
        <f>IFERROR(INDEX( 'Draft Pick Order'!$BF:$BF,MATCH(U$2&amp;5,'Draft Pick Order'!$Y:$Y,0)),"")</f>
        <v>58</v>
      </c>
      <c r="U12" s="310">
        <f>IFERROR(IF(INDEX(Draft!BY:BY,MATCH(T12,Draft!BX:BX))="", T12, INDEX(Draft!BY:BY,MATCH(T12,Draft!BX:BX))),"")</f>
        <v>58</v>
      </c>
      <c r="V12">
        <f>IFERROR(INDEX( 'Draft Pick Order'!$BF:$BF,MATCH(W$2&amp;5,'Draft Pick Order'!$Y:$Y,0)),"")</f>
        <v>59</v>
      </c>
      <c r="W12" s="311">
        <f>IFERROR(IF(INDEX(Draft!BY:BY,MATCH(V12,Draft!BX:BX))="", V12, INDEX(Draft!BY:BY,MATCH(V12,Draft!BX:BX))),"")</f>
        <v>59</v>
      </c>
      <c r="X12">
        <f>IFERROR(INDEX( 'Draft Pick Order'!$BF:$BF,MATCH(Y$2&amp;5,'Draft Pick Order'!$Y:$Y,0)),"")</f>
        <v>60</v>
      </c>
      <c r="Y12" s="310">
        <f>IFERROR(IF(INDEX(Draft!BY:BY,MATCH(X12,Draft!BX:BX))="", X12, INDEX(Draft!BY:BY,MATCH(X12,Draft!BX:BX))),"")</f>
        <v>60</v>
      </c>
      <c r="Z12" t="str">
        <f>IFERROR(INDEX( 'Draft Pick Order'!$BF:$BF,MATCH(AA$2&amp;5,'Draft Pick Order'!$Y:$Y,0)),"")</f>
        <v/>
      </c>
      <c r="AA12" s="311" t="str">
        <f>IFERROR(IF(INDEX(Draft!BY:BY,MATCH(Z12,Draft!BX:BX))="", Z12, INDEX(Draft!BY:BY,MATCH(Z12,Draft!BX:BX))),"")</f>
        <v/>
      </c>
      <c r="AB12" t="str">
        <f>IFERROR(INDEX( 'Draft Pick Order'!$BF:$BF,MATCH(AC$2&amp;5,'Draft Pick Order'!$Y:$Y,0)),"")</f>
        <v/>
      </c>
      <c r="AC12" s="310" t="str">
        <f>IFERROR(IF(INDEX(Draft!BY:BY,MATCH(AB12,Draft!BX:BX))="", AB12, INDEX(Draft!BY:BY,MATCH(AB12,Draft!BX:BX))),"")</f>
        <v/>
      </c>
      <c r="AD12" t="str">
        <f>IFERROR(INDEX( 'Draft Pick Order'!$BF:$BF,MATCH(AE$2&amp;5,'Draft Pick Order'!$Y:$Y,0)),"")</f>
        <v/>
      </c>
      <c r="AE12" s="311" t="str">
        <f>IFERROR(IF(INDEX(Draft!BY:BY,MATCH(AD12,Draft!BX:BX))="", AD12, INDEX(Draft!BY:BY,MATCH(AD12,Draft!BX:BX))),"")</f>
        <v/>
      </c>
      <c r="AF12" t="str">
        <f>IFERROR(INDEX( 'Draft Pick Order'!$BF:$BF,MATCH(AG$2&amp;5,'Draft Pick Order'!$Y:$Y,0)),"")</f>
        <v/>
      </c>
      <c r="AG12" s="310" t="str">
        <f>IFERROR(IF(INDEX(Draft!BY:BY,MATCH(AF12,Draft!BX:BX))="", AF12, INDEX(Draft!BY:BY,MATCH(AF12,Draft!BX:BX))),"")</f>
        <v/>
      </c>
      <c r="AH12" s="338"/>
    </row>
    <row r="13" spans="1:34" ht="15" customHeight="1" x14ac:dyDescent="0.25">
      <c r="A13" s="686">
        <v>6</v>
      </c>
      <c r="C13" s="309" t="str">
        <f>IFERROR(INDEX(Draft!BZ:BZ,MATCH(B14,Draft!BX:BX)), "")</f>
        <v/>
      </c>
      <c r="E13" s="308" t="str">
        <f>IFERROR(INDEX(Draft!BZ:BZ,MATCH(D14,Draft!BX:BX)), "")</f>
        <v/>
      </c>
      <c r="G13" s="309" t="str">
        <f>IFERROR(INDEX(Draft!BZ:BZ,MATCH(F14,Draft!BX:BX)), "")</f>
        <v/>
      </c>
      <c r="I13" s="308" t="str">
        <f>IFERROR(INDEX(Draft!BZ:BZ,MATCH(H14,Draft!BX:BX)), "")</f>
        <v/>
      </c>
      <c r="K13" s="309" t="str">
        <f>IFERROR(INDEX(Draft!BZ:BZ,MATCH(J14,Draft!BX:BX)), "")</f>
        <v/>
      </c>
      <c r="M13" s="308" t="str">
        <f>IFERROR(INDEX(Draft!BZ:BZ,MATCH(L14,Draft!BX:BX)), "")</f>
        <v/>
      </c>
      <c r="O13" s="309" t="str">
        <f>IFERROR(INDEX(Draft!BZ:BZ,MATCH(N14,Draft!BX:BX)), "")</f>
        <v/>
      </c>
      <c r="Q13" s="308" t="str">
        <f>IFERROR(INDEX(Draft!BZ:BZ,MATCH(P14,Draft!BX:BX)), "")</f>
        <v/>
      </c>
      <c r="S13" s="309" t="str">
        <f>IFERROR(INDEX(Draft!BZ:BZ,MATCH(R14,Draft!BX:BX)), "")</f>
        <v/>
      </c>
      <c r="U13" s="308" t="str">
        <f>IFERROR(INDEX(Draft!BZ:BZ,MATCH(T14,Draft!BX:BX)), "")</f>
        <v/>
      </c>
      <c r="W13" s="309" t="str">
        <f>IFERROR(INDEX(Draft!BZ:BZ,MATCH(V14,Draft!BX:BX)), "")</f>
        <v/>
      </c>
      <c r="Y13" s="308" t="str">
        <f>IFERROR(INDEX(Draft!BZ:BZ,MATCH(X14,Draft!BX:BX)), "")</f>
        <v/>
      </c>
      <c r="AA13" s="309" t="str">
        <f>IFERROR(INDEX(Draft!BZ:BZ,MATCH(Z14,Draft!BX:BX)), "")</f>
        <v/>
      </c>
      <c r="AC13" s="308" t="str">
        <f>IFERROR(INDEX(Draft!BZ:BZ,MATCH(AB14,Draft!BX:BX)), "")</f>
        <v/>
      </c>
      <c r="AE13" s="309" t="str">
        <f>IFERROR(INDEX(Draft!BZ:BZ,MATCH(AD14,Draft!BX:BX)), "")</f>
        <v/>
      </c>
      <c r="AG13" s="308" t="str">
        <f>IFERROR(INDEX(Draft!BZ:BZ,MATCH(AF14,Draft!BX:BX)), "")</f>
        <v/>
      </c>
      <c r="AH13" s="338"/>
    </row>
    <row r="14" spans="1:34" ht="30" customHeight="1" thickBot="1" x14ac:dyDescent="0.3">
      <c r="A14" s="686"/>
      <c r="B14">
        <f>IFERROR(INDEX( 'Draft Pick Order'!$BF:$BF,MATCH(C$2&amp;6,'Draft Pick Order'!$Y:$Y,0)),"")</f>
        <v>72</v>
      </c>
      <c r="C14" s="311">
        <f>IFERROR(IF(INDEX(Draft!BY:BY,MATCH(B14,Draft!BX:BX))="", B14, INDEX(Draft!BY:BY,MATCH(B14,Draft!BX:BX))),"")</f>
        <v>72</v>
      </c>
      <c r="D14">
        <f>IFERROR(INDEX( 'Draft Pick Order'!$BF:$BF,MATCH(E$2&amp;6,'Draft Pick Order'!$Y:$Y,0)),"")</f>
        <v>71</v>
      </c>
      <c r="E14" s="310">
        <f>IFERROR(IF(INDEX(Draft!BY:BY,MATCH(D14,Draft!BX:BX))="", D14, INDEX(Draft!BY:BY,MATCH(D14,Draft!BX:BX))),"")</f>
        <v>71</v>
      </c>
      <c r="F14">
        <f>IFERROR(INDEX( 'Draft Pick Order'!$BF:$BF,MATCH(G$2&amp;6,'Draft Pick Order'!$Y:$Y,0)),"")</f>
        <v>70</v>
      </c>
      <c r="G14" s="311">
        <f>IFERROR(IF(INDEX(Draft!BY:BY,MATCH(F14,Draft!BX:BX))="", F14, INDEX(Draft!BY:BY,MATCH(F14,Draft!BX:BX))),"")</f>
        <v>70</v>
      </c>
      <c r="H14">
        <f>IFERROR(INDEX( 'Draft Pick Order'!$BF:$BF,MATCH(I$2&amp;6,'Draft Pick Order'!$Y:$Y,0)),"")</f>
        <v>69</v>
      </c>
      <c r="I14" s="310">
        <f>IFERROR(IF(INDEX(Draft!BY:BY,MATCH(H14,Draft!BX:BX))="", H14, INDEX(Draft!BY:BY,MATCH(H14,Draft!BX:BX))),"")</f>
        <v>69</v>
      </c>
      <c r="J14">
        <f>IFERROR(INDEX( 'Draft Pick Order'!$BF:$BF,MATCH(K$2&amp;6,'Draft Pick Order'!$Y:$Y,0)),"")</f>
        <v>68</v>
      </c>
      <c r="K14" s="311">
        <f>IFERROR(IF(INDEX(Draft!BY:BY,MATCH(J14,Draft!BX:BX))="", J14, INDEX(Draft!BY:BY,MATCH(J14,Draft!BX:BX))),"")</f>
        <v>68</v>
      </c>
      <c r="L14">
        <f>IFERROR(INDEX( 'Draft Pick Order'!$BF:$BF,MATCH(M$2&amp;6,'Draft Pick Order'!$Y:$Y,0)),"")</f>
        <v>67</v>
      </c>
      <c r="M14" s="310">
        <f>IFERROR(IF(INDEX(Draft!BY:BY,MATCH(L14,Draft!BX:BX))="", L14, INDEX(Draft!BY:BY,MATCH(L14,Draft!BX:BX))),"")</f>
        <v>67</v>
      </c>
      <c r="N14">
        <f>IFERROR(INDEX( 'Draft Pick Order'!$BF:$BF,MATCH(O$2&amp;6,'Draft Pick Order'!$Y:$Y,0)),"")</f>
        <v>66</v>
      </c>
      <c r="O14" s="311">
        <f>IFERROR(IF(INDEX(Draft!BY:BY,MATCH(N14,Draft!BX:BX))="", N14, INDEX(Draft!BY:BY,MATCH(N14,Draft!BX:BX))),"")</f>
        <v>66</v>
      </c>
      <c r="P14">
        <f>IFERROR(INDEX( 'Draft Pick Order'!$BF:$BF,MATCH(Q$2&amp;6,'Draft Pick Order'!$Y:$Y,0)),"")</f>
        <v>65</v>
      </c>
      <c r="Q14" s="310">
        <f>IFERROR(IF(INDEX(Draft!BY:BY,MATCH(P14,Draft!BX:BX))="", P14, INDEX(Draft!BY:BY,MATCH(P14,Draft!BX:BX))),"")</f>
        <v>65</v>
      </c>
      <c r="R14">
        <f>IFERROR(INDEX( 'Draft Pick Order'!$BF:$BF,MATCH(S$2&amp;6,'Draft Pick Order'!$Y:$Y,0)),"")</f>
        <v>64</v>
      </c>
      <c r="S14" s="311">
        <f>IFERROR(IF(INDEX(Draft!BY:BY,MATCH(R14,Draft!BX:BX))="", R14, INDEX(Draft!BY:BY,MATCH(R14,Draft!BX:BX))),"")</f>
        <v>64</v>
      </c>
      <c r="T14">
        <f>IFERROR(INDEX( 'Draft Pick Order'!$BF:$BF,MATCH(U$2&amp;6,'Draft Pick Order'!$Y:$Y,0)),"")</f>
        <v>63</v>
      </c>
      <c r="U14" s="310">
        <f>IFERROR(IF(INDEX(Draft!BY:BY,MATCH(T14,Draft!BX:BX))="", T14, INDEX(Draft!BY:BY,MATCH(T14,Draft!BX:BX))),"")</f>
        <v>63</v>
      </c>
      <c r="V14">
        <f>IFERROR(INDEX( 'Draft Pick Order'!$BF:$BF,MATCH(W$2&amp;6,'Draft Pick Order'!$Y:$Y,0)),"")</f>
        <v>62</v>
      </c>
      <c r="W14" s="311">
        <f>IFERROR(IF(INDEX(Draft!BY:BY,MATCH(V14,Draft!BX:BX))="", V14, INDEX(Draft!BY:BY,MATCH(V14,Draft!BX:BX))),"")</f>
        <v>62</v>
      </c>
      <c r="X14">
        <f>IFERROR(INDEX( 'Draft Pick Order'!$BF:$BF,MATCH(Y$2&amp;6,'Draft Pick Order'!$Y:$Y,0)),"")</f>
        <v>61</v>
      </c>
      <c r="Y14" s="310">
        <f>IFERROR(IF(INDEX(Draft!BY:BY,MATCH(X14,Draft!BX:BX))="", X14, INDEX(Draft!BY:BY,MATCH(X14,Draft!BX:BX))),"")</f>
        <v>61</v>
      </c>
      <c r="Z14" t="str">
        <f>IFERROR(INDEX( 'Draft Pick Order'!$BF:$BF,MATCH(AA$2&amp;6,'Draft Pick Order'!$Y:$Y,0)),"")</f>
        <v/>
      </c>
      <c r="AA14" s="311" t="str">
        <f>IFERROR(IF(INDEX(Draft!BY:BY,MATCH(Z14,Draft!BX:BX))="", Z14, INDEX(Draft!BY:BY,MATCH(Z14,Draft!BX:BX))),"")</f>
        <v/>
      </c>
      <c r="AB14" t="str">
        <f>IFERROR(INDEX( 'Draft Pick Order'!$BF:$BF,MATCH(AC$2&amp;6,'Draft Pick Order'!$Y:$Y,0)),"")</f>
        <v/>
      </c>
      <c r="AC14" s="310" t="str">
        <f>IFERROR(IF(INDEX(Draft!BY:BY,MATCH(AB14,Draft!BX:BX))="", AB14, INDEX(Draft!BY:BY,MATCH(AB14,Draft!BX:BX))),"")</f>
        <v/>
      </c>
      <c r="AD14" t="str">
        <f>IFERROR(INDEX( 'Draft Pick Order'!$BF:$BF,MATCH(AE$2&amp;6,'Draft Pick Order'!$Y:$Y,0)),"")</f>
        <v/>
      </c>
      <c r="AE14" s="311" t="str">
        <f>IFERROR(IF(INDEX(Draft!BY:BY,MATCH(AD14,Draft!BX:BX))="", AD14, INDEX(Draft!BY:BY,MATCH(AD14,Draft!BX:BX))),"")</f>
        <v/>
      </c>
      <c r="AF14" t="str">
        <f>IFERROR(INDEX( 'Draft Pick Order'!$BF:$BF,MATCH(AG$2&amp;6,'Draft Pick Order'!$Y:$Y,0)),"")</f>
        <v/>
      </c>
      <c r="AG14" s="310" t="str">
        <f>IFERROR(IF(INDEX(Draft!BY:BY,MATCH(AF14,Draft!BX:BX))="", AF14, INDEX(Draft!BY:BY,MATCH(AF14,Draft!BX:BX))),"")</f>
        <v/>
      </c>
      <c r="AH14" s="338"/>
    </row>
    <row r="15" spans="1:34" ht="15" customHeight="1" x14ac:dyDescent="0.25">
      <c r="A15" s="686">
        <v>7</v>
      </c>
      <c r="C15" s="309" t="str">
        <f>IFERROR(INDEX(Draft!BZ:BZ,MATCH(B16,Draft!BX:BX)), "")</f>
        <v/>
      </c>
      <c r="E15" s="308" t="str">
        <f>IFERROR(INDEX(Draft!BZ:BZ,MATCH(D16,Draft!BX:BX)), "")</f>
        <v/>
      </c>
      <c r="G15" s="309" t="str">
        <f>IFERROR(INDEX(Draft!BZ:BZ,MATCH(F16,Draft!BX:BX)), "")</f>
        <v/>
      </c>
      <c r="I15" s="308" t="str">
        <f>IFERROR(INDEX(Draft!BZ:BZ,MATCH(H16,Draft!BX:BX)), "")</f>
        <v/>
      </c>
      <c r="K15" s="309" t="str">
        <f>IFERROR(INDEX(Draft!BZ:BZ,MATCH(J16,Draft!BX:BX)), "")</f>
        <v/>
      </c>
      <c r="M15" s="308" t="str">
        <f>IFERROR(INDEX(Draft!BZ:BZ,MATCH(L16,Draft!BX:BX)), "")</f>
        <v/>
      </c>
      <c r="O15" s="309" t="str">
        <f>IFERROR(INDEX(Draft!BZ:BZ,MATCH(N16,Draft!BX:BX)), "")</f>
        <v/>
      </c>
      <c r="Q15" s="308" t="str">
        <f>IFERROR(INDEX(Draft!BZ:BZ,MATCH(P16,Draft!BX:BX)), "")</f>
        <v/>
      </c>
      <c r="S15" s="309" t="str">
        <f>IFERROR(INDEX(Draft!BZ:BZ,MATCH(R16,Draft!BX:BX)), "")</f>
        <v/>
      </c>
      <c r="U15" s="308" t="str">
        <f>IFERROR(INDEX(Draft!BZ:BZ,MATCH(T16,Draft!BX:BX)), "")</f>
        <v/>
      </c>
      <c r="W15" s="309" t="str">
        <f>IFERROR(INDEX(Draft!BZ:BZ,MATCH(V16,Draft!BX:BX)), "")</f>
        <v/>
      </c>
      <c r="Y15" s="308" t="str">
        <f>IFERROR(INDEX(Draft!BZ:BZ,MATCH(X16,Draft!BX:BX)), "")</f>
        <v/>
      </c>
      <c r="AA15" s="309" t="str">
        <f>IFERROR(INDEX(Draft!BZ:BZ,MATCH(Z16,Draft!BX:BX)), "")</f>
        <v/>
      </c>
      <c r="AC15" s="308" t="str">
        <f>IFERROR(INDEX(Draft!BZ:BZ,MATCH(AB16,Draft!BX:BX)), "")</f>
        <v/>
      </c>
      <c r="AE15" s="309" t="str">
        <f>IFERROR(INDEX(Draft!BZ:BZ,MATCH(AD16,Draft!BX:BX)), "")</f>
        <v/>
      </c>
      <c r="AG15" s="308" t="str">
        <f>IFERROR(INDEX(Draft!BZ:BZ,MATCH(AF16,Draft!BX:BX)), "")</f>
        <v/>
      </c>
      <c r="AH15" s="338"/>
    </row>
    <row r="16" spans="1:34" ht="30" customHeight="1" thickBot="1" x14ac:dyDescent="0.3">
      <c r="A16" s="686"/>
      <c r="B16">
        <f>IFERROR(INDEX( 'Draft Pick Order'!$BF:$BF,MATCH(C$2&amp;7,'Draft Pick Order'!$Y:$Y,0)),"")</f>
        <v>73</v>
      </c>
      <c r="C16" s="311">
        <f>IFERROR(IF(INDEX(Draft!BY:BY,MATCH(B16,Draft!BX:BX))="", B16, INDEX(Draft!BY:BY,MATCH(B16,Draft!BX:BX))),"")</f>
        <v>73</v>
      </c>
      <c r="D16">
        <f>IFERROR(INDEX( 'Draft Pick Order'!$BF:$BF,MATCH(E$2&amp;7,'Draft Pick Order'!$Y:$Y,0)),"")</f>
        <v>74</v>
      </c>
      <c r="E16" s="310">
        <f>IFERROR(IF(INDEX(Draft!BY:BY,MATCH(D16,Draft!BX:BX))="", D16, INDEX(Draft!BY:BY,MATCH(D16,Draft!BX:BX))),"")</f>
        <v>74</v>
      </c>
      <c r="F16">
        <f>IFERROR(INDEX( 'Draft Pick Order'!$BF:$BF,MATCH(G$2&amp;7,'Draft Pick Order'!$Y:$Y,0)),"")</f>
        <v>75</v>
      </c>
      <c r="G16" s="311">
        <f>IFERROR(IF(INDEX(Draft!BY:BY,MATCH(F16,Draft!BX:BX))="", F16, INDEX(Draft!BY:BY,MATCH(F16,Draft!BX:BX))),"")</f>
        <v>75</v>
      </c>
      <c r="H16">
        <f>IFERROR(INDEX( 'Draft Pick Order'!$BF:$BF,MATCH(I$2&amp;7,'Draft Pick Order'!$Y:$Y,0)),"")</f>
        <v>76</v>
      </c>
      <c r="I16" s="310">
        <f>IFERROR(IF(INDEX(Draft!BY:BY,MATCH(H16,Draft!BX:BX))="", H16, INDEX(Draft!BY:BY,MATCH(H16,Draft!BX:BX))),"")</f>
        <v>76</v>
      </c>
      <c r="J16">
        <f>IFERROR(INDEX( 'Draft Pick Order'!$BF:$BF,MATCH(K$2&amp;7,'Draft Pick Order'!$Y:$Y,0)),"")</f>
        <v>77</v>
      </c>
      <c r="K16" s="311">
        <f>IFERROR(IF(INDEX(Draft!BY:BY,MATCH(J16,Draft!BX:BX))="", J16, INDEX(Draft!BY:BY,MATCH(J16,Draft!BX:BX))),"")</f>
        <v>77</v>
      </c>
      <c r="L16">
        <f>IFERROR(INDEX( 'Draft Pick Order'!$BF:$BF,MATCH(M$2&amp;7,'Draft Pick Order'!$Y:$Y,0)),"")</f>
        <v>78</v>
      </c>
      <c r="M16" s="310">
        <f>IFERROR(IF(INDEX(Draft!BY:BY,MATCH(L16,Draft!BX:BX))="", L16, INDEX(Draft!BY:BY,MATCH(L16,Draft!BX:BX))),"")</f>
        <v>78</v>
      </c>
      <c r="N16">
        <f>IFERROR(INDEX( 'Draft Pick Order'!$BF:$BF,MATCH(O$2&amp;7,'Draft Pick Order'!$Y:$Y,0)),"")</f>
        <v>79</v>
      </c>
      <c r="O16" s="311">
        <f>IFERROR(IF(INDEX(Draft!BY:BY,MATCH(N16,Draft!BX:BX))="", N16, INDEX(Draft!BY:BY,MATCH(N16,Draft!BX:BX))),"")</f>
        <v>79</v>
      </c>
      <c r="P16">
        <f>IFERROR(INDEX( 'Draft Pick Order'!$BF:$BF,MATCH(Q$2&amp;7,'Draft Pick Order'!$Y:$Y,0)),"")</f>
        <v>80</v>
      </c>
      <c r="Q16" s="310">
        <f>IFERROR(IF(INDEX(Draft!BY:BY,MATCH(P16,Draft!BX:BX))="", P16, INDEX(Draft!BY:BY,MATCH(P16,Draft!BX:BX))),"")</f>
        <v>80</v>
      </c>
      <c r="R16">
        <f>IFERROR(INDEX( 'Draft Pick Order'!$BF:$BF,MATCH(S$2&amp;7,'Draft Pick Order'!$Y:$Y,0)),"")</f>
        <v>81</v>
      </c>
      <c r="S16" s="311">
        <f>IFERROR(IF(INDEX(Draft!BY:BY,MATCH(R16,Draft!BX:BX))="", R16, INDEX(Draft!BY:BY,MATCH(R16,Draft!BX:BX))),"")</f>
        <v>81</v>
      </c>
      <c r="T16">
        <f>IFERROR(INDEX( 'Draft Pick Order'!$BF:$BF,MATCH(U$2&amp;7,'Draft Pick Order'!$Y:$Y,0)),"")</f>
        <v>82</v>
      </c>
      <c r="U16" s="310">
        <f>IFERROR(IF(INDEX(Draft!BY:BY,MATCH(T16,Draft!BX:BX))="", T16, INDEX(Draft!BY:BY,MATCH(T16,Draft!BX:BX))),"")</f>
        <v>82</v>
      </c>
      <c r="V16">
        <f>IFERROR(INDEX( 'Draft Pick Order'!$BF:$BF,MATCH(W$2&amp;7,'Draft Pick Order'!$Y:$Y,0)),"")</f>
        <v>83</v>
      </c>
      <c r="W16" s="311">
        <f>IFERROR(IF(INDEX(Draft!BY:BY,MATCH(V16,Draft!BX:BX))="", V16, INDEX(Draft!BY:BY,MATCH(V16,Draft!BX:BX))),"")</f>
        <v>83</v>
      </c>
      <c r="X16">
        <f>IFERROR(INDEX( 'Draft Pick Order'!$BF:$BF,MATCH(Y$2&amp;7,'Draft Pick Order'!$Y:$Y,0)),"")</f>
        <v>84</v>
      </c>
      <c r="Y16" s="310">
        <f>IFERROR(IF(INDEX(Draft!BY:BY,MATCH(X16,Draft!BX:BX))="", X16, INDEX(Draft!BY:BY,MATCH(X16,Draft!BX:BX))),"")</f>
        <v>84</v>
      </c>
      <c r="Z16" t="str">
        <f>IFERROR(INDEX( 'Draft Pick Order'!$BF:$BF,MATCH(AA$2&amp;7,'Draft Pick Order'!$Y:$Y,0)),"")</f>
        <v/>
      </c>
      <c r="AA16" s="311" t="str">
        <f>IFERROR(IF(INDEX(Draft!BY:BY,MATCH(Z16,Draft!BX:BX))="", Z16, INDEX(Draft!BY:BY,MATCH(Z16,Draft!BX:BX))),"")</f>
        <v/>
      </c>
      <c r="AB16" t="str">
        <f>IFERROR(INDEX( 'Draft Pick Order'!$BF:$BF,MATCH(AC$2&amp;7,'Draft Pick Order'!$Y:$Y,0)),"")</f>
        <v/>
      </c>
      <c r="AC16" s="310" t="str">
        <f>IFERROR(IF(INDEX(Draft!BY:BY,MATCH(AB16,Draft!BX:BX))="", AB16, INDEX(Draft!BY:BY,MATCH(AB16,Draft!BX:BX))),"")</f>
        <v/>
      </c>
      <c r="AD16" t="str">
        <f>IFERROR(INDEX( 'Draft Pick Order'!$BF:$BF,MATCH(AE$2&amp;7,'Draft Pick Order'!$Y:$Y,0)),"")</f>
        <v/>
      </c>
      <c r="AE16" s="311" t="str">
        <f>IFERROR(IF(INDEX(Draft!BY:BY,MATCH(AD16,Draft!BX:BX))="", AD16, INDEX(Draft!BY:BY,MATCH(AD16,Draft!BX:BX))),"")</f>
        <v/>
      </c>
      <c r="AF16" t="str">
        <f>IFERROR(INDEX( 'Draft Pick Order'!$BF:$BF,MATCH(AG$2&amp;7,'Draft Pick Order'!$Y:$Y,0)),"")</f>
        <v/>
      </c>
      <c r="AG16" s="310" t="str">
        <f>IFERROR(IF(INDEX(Draft!BY:BY,MATCH(AF16,Draft!BX:BX))="", AF16, INDEX(Draft!BY:BY,MATCH(AF16,Draft!BX:BX))),"")</f>
        <v/>
      </c>
      <c r="AH16" s="338"/>
    </row>
    <row r="17" spans="1:34" ht="15" customHeight="1" x14ac:dyDescent="0.25">
      <c r="A17" s="686">
        <v>8</v>
      </c>
      <c r="C17" s="309" t="str">
        <f>IFERROR(INDEX(Draft!BZ:BZ,MATCH(B18,Draft!BX:BX)), "")</f>
        <v/>
      </c>
      <c r="E17" s="308" t="str">
        <f>IFERROR(INDEX(Draft!BZ:BZ,MATCH(D18,Draft!BX:BX)), "")</f>
        <v/>
      </c>
      <c r="G17" s="309" t="str">
        <f>IFERROR(INDEX(Draft!BZ:BZ,MATCH(F18,Draft!BX:BX)), "")</f>
        <v/>
      </c>
      <c r="I17" s="308" t="str">
        <f>IFERROR(INDEX(Draft!BZ:BZ,MATCH(H18,Draft!BX:BX)), "")</f>
        <v/>
      </c>
      <c r="K17" s="309" t="str">
        <f>IFERROR(INDEX(Draft!BZ:BZ,MATCH(J18,Draft!BX:BX)), "")</f>
        <v/>
      </c>
      <c r="M17" s="308" t="str">
        <f>IFERROR(INDEX(Draft!BZ:BZ,MATCH(L18,Draft!BX:BX)), "")</f>
        <v/>
      </c>
      <c r="O17" s="309" t="str">
        <f>IFERROR(INDEX(Draft!BZ:BZ,MATCH(N18,Draft!BX:BX)), "")</f>
        <v/>
      </c>
      <c r="Q17" s="308" t="str">
        <f>IFERROR(INDEX(Draft!BZ:BZ,MATCH(P18,Draft!BX:BX)), "")</f>
        <v/>
      </c>
      <c r="S17" s="309" t="str">
        <f>IFERROR(INDEX(Draft!BZ:BZ,MATCH(R18,Draft!BX:BX)), "")</f>
        <v/>
      </c>
      <c r="U17" s="308" t="str">
        <f>IFERROR(INDEX(Draft!BZ:BZ,MATCH(T18,Draft!BX:BX)), "")</f>
        <v/>
      </c>
      <c r="W17" s="309" t="str">
        <f>IFERROR(INDEX(Draft!BZ:BZ,MATCH(V18,Draft!BX:BX)), "")</f>
        <v/>
      </c>
      <c r="Y17" s="308" t="str">
        <f>IFERROR(INDEX(Draft!BZ:BZ,MATCH(X18,Draft!BX:BX)), "")</f>
        <v/>
      </c>
      <c r="AA17" s="309" t="str">
        <f>IFERROR(INDEX(Draft!BZ:BZ,MATCH(Z18,Draft!BX:BX)), "")</f>
        <v/>
      </c>
      <c r="AC17" s="308" t="str">
        <f>IFERROR(INDEX(Draft!BZ:BZ,MATCH(AB18,Draft!BX:BX)), "")</f>
        <v/>
      </c>
      <c r="AE17" s="309" t="str">
        <f>IFERROR(INDEX(Draft!BZ:BZ,MATCH(AD18,Draft!BX:BX)), "")</f>
        <v/>
      </c>
      <c r="AG17" s="308" t="str">
        <f>IFERROR(INDEX(Draft!BZ:BZ,MATCH(AF18,Draft!BX:BX)), "")</f>
        <v/>
      </c>
      <c r="AH17" s="338"/>
    </row>
    <row r="18" spans="1:34" ht="30" customHeight="1" thickBot="1" x14ac:dyDescent="0.3">
      <c r="A18" s="686"/>
      <c r="B18">
        <f>IFERROR(INDEX( 'Draft Pick Order'!$BF:$BF,MATCH(C$2&amp;8,'Draft Pick Order'!$Y:$Y,0)),"")</f>
        <v>96</v>
      </c>
      <c r="C18" s="311">
        <f>IFERROR(IF(INDEX(Draft!BY:BY,MATCH(B18,Draft!BX:BX))="", B18, INDEX(Draft!BY:BY,MATCH(B18,Draft!BX:BX))),"")</f>
        <v>96</v>
      </c>
      <c r="D18">
        <f>IFERROR(INDEX( 'Draft Pick Order'!$BF:$BF,MATCH(E$2&amp;8,'Draft Pick Order'!$Y:$Y,0)),"")</f>
        <v>95</v>
      </c>
      <c r="E18" s="310">
        <f>IFERROR(IF(INDEX(Draft!BY:BY,MATCH(D18,Draft!BX:BX))="", D18, INDEX(Draft!BY:BY,MATCH(D18,Draft!BX:BX))),"")</f>
        <v>95</v>
      </c>
      <c r="F18">
        <f>IFERROR(INDEX( 'Draft Pick Order'!$BF:$BF,MATCH(G$2&amp;8,'Draft Pick Order'!$Y:$Y,0)),"")</f>
        <v>94</v>
      </c>
      <c r="G18" s="311">
        <f>IFERROR(IF(INDEX(Draft!BY:BY,MATCH(F18,Draft!BX:BX))="", F18, INDEX(Draft!BY:BY,MATCH(F18,Draft!BX:BX))),"")</f>
        <v>94</v>
      </c>
      <c r="H18">
        <f>IFERROR(INDEX( 'Draft Pick Order'!$BF:$BF,MATCH(I$2&amp;8,'Draft Pick Order'!$Y:$Y,0)),"")</f>
        <v>93</v>
      </c>
      <c r="I18" s="310">
        <f>IFERROR(IF(INDEX(Draft!BY:BY,MATCH(H18,Draft!BX:BX))="", H18, INDEX(Draft!BY:BY,MATCH(H18,Draft!BX:BX))),"")</f>
        <v>93</v>
      </c>
      <c r="J18">
        <f>IFERROR(INDEX( 'Draft Pick Order'!$BF:$BF,MATCH(K$2&amp;8,'Draft Pick Order'!$Y:$Y,0)),"")</f>
        <v>92</v>
      </c>
      <c r="K18" s="311">
        <f>IFERROR(IF(INDEX(Draft!BY:BY,MATCH(J18,Draft!BX:BX))="", J18, INDEX(Draft!BY:BY,MATCH(J18,Draft!BX:BX))),"")</f>
        <v>92</v>
      </c>
      <c r="L18">
        <f>IFERROR(INDEX( 'Draft Pick Order'!$BF:$BF,MATCH(M$2&amp;8,'Draft Pick Order'!$Y:$Y,0)),"")</f>
        <v>91</v>
      </c>
      <c r="M18" s="310">
        <f>IFERROR(IF(INDEX(Draft!BY:BY,MATCH(L18,Draft!BX:BX))="", L18, INDEX(Draft!BY:BY,MATCH(L18,Draft!BX:BX))),"")</f>
        <v>91</v>
      </c>
      <c r="N18">
        <f>IFERROR(INDEX( 'Draft Pick Order'!$BF:$BF,MATCH(O$2&amp;8,'Draft Pick Order'!$Y:$Y,0)),"")</f>
        <v>90</v>
      </c>
      <c r="O18" s="311">
        <f>IFERROR(IF(INDEX(Draft!BY:BY,MATCH(N18,Draft!BX:BX))="", N18, INDEX(Draft!BY:BY,MATCH(N18,Draft!BX:BX))),"")</f>
        <v>90</v>
      </c>
      <c r="P18">
        <f>IFERROR(INDEX( 'Draft Pick Order'!$BF:$BF,MATCH(Q$2&amp;8,'Draft Pick Order'!$Y:$Y,0)),"")</f>
        <v>89</v>
      </c>
      <c r="Q18" s="310">
        <f>IFERROR(IF(INDEX(Draft!BY:BY,MATCH(P18,Draft!BX:BX))="", P18, INDEX(Draft!BY:BY,MATCH(P18,Draft!BX:BX))),"")</f>
        <v>89</v>
      </c>
      <c r="R18">
        <f>IFERROR(INDEX( 'Draft Pick Order'!$BF:$BF,MATCH(S$2&amp;8,'Draft Pick Order'!$Y:$Y,0)),"")</f>
        <v>88</v>
      </c>
      <c r="S18" s="311">
        <f>IFERROR(IF(INDEX(Draft!BY:BY,MATCH(R18,Draft!BX:BX))="", R18, INDEX(Draft!BY:BY,MATCH(R18,Draft!BX:BX))),"")</f>
        <v>88</v>
      </c>
      <c r="T18">
        <f>IFERROR(INDEX( 'Draft Pick Order'!$BF:$BF,MATCH(U$2&amp;8,'Draft Pick Order'!$Y:$Y,0)),"")</f>
        <v>87</v>
      </c>
      <c r="U18" s="310">
        <f>IFERROR(IF(INDEX(Draft!BY:BY,MATCH(T18,Draft!BX:BX))="", T18, INDEX(Draft!BY:BY,MATCH(T18,Draft!BX:BX))),"")</f>
        <v>87</v>
      </c>
      <c r="V18">
        <f>IFERROR(INDEX( 'Draft Pick Order'!$BF:$BF,MATCH(W$2&amp;8,'Draft Pick Order'!$Y:$Y,0)),"")</f>
        <v>86</v>
      </c>
      <c r="W18" s="311">
        <f>IFERROR(IF(INDEX(Draft!BY:BY,MATCH(V18,Draft!BX:BX))="", V18, INDEX(Draft!BY:BY,MATCH(V18,Draft!BX:BX))),"")</f>
        <v>86</v>
      </c>
      <c r="X18">
        <f>IFERROR(INDEX( 'Draft Pick Order'!$BF:$BF,MATCH(Y$2&amp;8,'Draft Pick Order'!$Y:$Y,0)),"")</f>
        <v>85</v>
      </c>
      <c r="Y18" s="310">
        <f>IFERROR(IF(INDEX(Draft!BY:BY,MATCH(X18,Draft!BX:BX))="", X18, INDEX(Draft!BY:BY,MATCH(X18,Draft!BX:BX))),"")</f>
        <v>85</v>
      </c>
      <c r="Z18" t="str">
        <f>IFERROR(INDEX( 'Draft Pick Order'!$BF:$BF,MATCH(AA$2&amp;8,'Draft Pick Order'!$Y:$Y,0)),"")</f>
        <v/>
      </c>
      <c r="AA18" s="311" t="str">
        <f>IFERROR(IF(INDEX(Draft!BY:BY,MATCH(Z18,Draft!BX:BX))="", Z18, INDEX(Draft!BY:BY,MATCH(Z18,Draft!BX:BX))),"")</f>
        <v/>
      </c>
      <c r="AB18" t="str">
        <f>IFERROR(INDEX( 'Draft Pick Order'!$BF:$BF,MATCH(AC$2&amp;8,'Draft Pick Order'!$Y:$Y,0)),"")</f>
        <v/>
      </c>
      <c r="AC18" s="310" t="str">
        <f>IFERROR(IF(INDEX(Draft!BY:BY,MATCH(AB18,Draft!BX:BX))="", AB18, INDEX(Draft!BY:BY,MATCH(AB18,Draft!BX:BX))),"")</f>
        <v/>
      </c>
      <c r="AD18" t="str">
        <f>IFERROR(INDEX( 'Draft Pick Order'!$BF:$BF,MATCH(AE$2&amp;8,'Draft Pick Order'!$Y:$Y,0)),"")</f>
        <v/>
      </c>
      <c r="AE18" s="311" t="str">
        <f>IFERROR(IF(INDEX(Draft!BY:BY,MATCH(AD18,Draft!BX:BX))="", AD18, INDEX(Draft!BY:BY,MATCH(AD18,Draft!BX:BX))),"")</f>
        <v/>
      </c>
      <c r="AF18" t="str">
        <f>IFERROR(INDEX( 'Draft Pick Order'!$BF:$BF,MATCH(AG$2&amp;8,'Draft Pick Order'!$Y:$Y,0)),"")</f>
        <v/>
      </c>
      <c r="AG18" s="310" t="str">
        <f>IFERROR(IF(INDEX(Draft!BY:BY,MATCH(AF18,Draft!BX:BX))="", AF18, INDEX(Draft!BY:BY,MATCH(AF18,Draft!BX:BX))),"")</f>
        <v/>
      </c>
      <c r="AH18" s="338"/>
    </row>
    <row r="19" spans="1:34" ht="15" customHeight="1" x14ac:dyDescent="0.25">
      <c r="A19" s="686">
        <v>9</v>
      </c>
      <c r="C19" s="309" t="str">
        <f>IFERROR(INDEX(Draft!BZ:BZ,MATCH(B20,Draft!BX:BX)), "")</f>
        <v/>
      </c>
      <c r="E19" s="308" t="str">
        <f>IFERROR(INDEX(Draft!BZ:BZ,MATCH(D20,Draft!BX:BX)), "")</f>
        <v/>
      </c>
      <c r="G19" s="309" t="str">
        <f>IFERROR(INDEX(Draft!BZ:BZ,MATCH(F20,Draft!BX:BX)), "")</f>
        <v/>
      </c>
      <c r="I19" s="308" t="str">
        <f>IFERROR(INDEX(Draft!BZ:BZ,MATCH(H20,Draft!BX:BX)), "")</f>
        <v/>
      </c>
      <c r="K19" s="309" t="str">
        <f>IFERROR(INDEX(Draft!BZ:BZ,MATCH(J20,Draft!BX:BX)), "")</f>
        <v/>
      </c>
      <c r="M19" s="308" t="str">
        <f>IFERROR(INDEX(Draft!BZ:BZ,MATCH(L20,Draft!BX:BX)), "")</f>
        <v/>
      </c>
      <c r="O19" s="309" t="str">
        <f>IFERROR(INDEX(Draft!BZ:BZ,MATCH(N20,Draft!BX:BX)), "")</f>
        <v/>
      </c>
      <c r="Q19" s="308" t="str">
        <f>IFERROR(INDEX(Draft!BZ:BZ,MATCH(P20,Draft!BX:BX)), "")</f>
        <v/>
      </c>
      <c r="S19" s="309" t="str">
        <f>IFERROR(INDEX(Draft!BZ:BZ,MATCH(R20,Draft!BX:BX)), "")</f>
        <v/>
      </c>
      <c r="U19" s="308" t="str">
        <f>IFERROR(INDEX(Draft!BZ:BZ,MATCH(T20,Draft!BX:BX)), "")</f>
        <v/>
      </c>
      <c r="W19" s="309" t="str">
        <f>IFERROR(INDEX(Draft!BZ:BZ,MATCH(V20,Draft!BX:BX)), "")</f>
        <v/>
      </c>
      <c r="Y19" s="308" t="str">
        <f>IFERROR(INDEX(Draft!BZ:BZ,MATCH(X20,Draft!BX:BX)), "")</f>
        <v/>
      </c>
      <c r="AA19" s="309" t="str">
        <f>IFERROR(INDEX(Draft!BZ:BZ,MATCH(Z20,Draft!BX:BX)), "")</f>
        <v/>
      </c>
      <c r="AC19" s="308" t="str">
        <f>IFERROR(INDEX(Draft!BZ:BZ,MATCH(AB20,Draft!BX:BX)), "")</f>
        <v/>
      </c>
      <c r="AE19" s="309" t="str">
        <f>IFERROR(INDEX(Draft!BZ:BZ,MATCH(AD20,Draft!BX:BX)), "")</f>
        <v/>
      </c>
      <c r="AG19" s="308" t="str">
        <f>IFERROR(INDEX(Draft!BZ:BZ,MATCH(AF20,Draft!BX:BX)), "")</f>
        <v/>
      </c>
      <c r="AH19" s="338"/>
    </row>
    <row r="20" spans="1:34" ht="30" customHeight="1" thickBot="1" x14ac:dyDescent="0.3">
      <c r="A20" s="686"/>
      <c r="B20">
        <f>IFERROR(INDEX( 'Draft Pick Order'!$BF:$BF,MATCH(C$2&amp;9,'Draft Pick Order'!$Y:$Y,0)),"")</f>
        <v>97</v>
      </c>
      <c r="C20" s="311">
        <f>IFERROR(IF(INDEX(Draft!BY:BY,MATCH(B20,Draft!BX:BX))="", B20, INDEX(Draft!BY:BY,MATCH(B20,Draft!BX:BX))),"")</f>
        <v>97</v>
      </c>
      <c r="D20">
        <f>IFERROR(INDEX( 'Draft Pick Order'!$BF:$BF,MATCH(E$2&amp;9,'Draft Pick Order'!$Y:$Y,0)),"")</f>
        <v>98</v>
      </c>
      <c r="E20" s="310">
        <f>IFERROR(IF(INDEX(Draft!BY:BY,MATCH(D20,Draft!BX:BX))="", D20, INDEX(Draft!BY:BY,MATCH(D20,Draft!BX:BX))),"")</f>
        <v>98</v>
      </c>
      <c r="F20">
        <f>IFERROR(INDEX( 'Draft Pick Order'!$BF:$BF,MATCH(G$2&amp;9,'Draft Pick Order'!$Y:$Y,0)),"")</f>
        <v>99</v>
      </c>
      <c r="G20" s="311">
        <f>IFERROR(IF(INDEX(Draft!BY:BY,MATCH(F20,Draft!BX:BX))="", F20, INDEX(Draft!BY:BY,MATCH(F20,Draft!BX:BX))),"")</f>
        <v>99</v>
      </c>
      <c r="H20">
        <f>IFERROR(INDEX( 'Draft Pick Order'!$BF:$BF,MATCH(I$2&amp;9,'Draft Pick Order'!$Y:$Y,0)),"")</f>
        <v>100</v>
      </c>
      <c r="I20" s="310">
        <f>IFERROR(IF(INDEX(Draft!BY:BY,MATCH(H20,Draft!BX:BX))="", H20, INDEX(Draft!BY:BY,MATCH(H20,Draft!BX:BX))),"")</f>
        <v>100</v>
      </c>
      <c r="J20">
        <f>IFERROR(INDEX( 'Draft Pick Order'!$BF:$BF,MATCH(K$2&amp;9,'Draft Pick Order'!$Y:$Y,0)),"")</f>
        <v>101</v>
      </c>
      <c r="K20" s="311">
        <f>IFERROR(IF(INDEX(Draft!BY:BY,MATCH(J20,Draft!BX:BX))="", J20, INDEX(Draft!BY:BY,MATCH(J20,Draft!BX:BX))),"")</f>
        <v>101</v>
      </c>
      <c r="L20">
        <f>IFERROR(INDEX( 'Draft Pick Order'!$BF:$BF,MATCH(M$2&amp;9,'Draft Pick Order'!$Y:$Y,0)),"")</f>
        <v>102</v>
      </c>
      <c r="M20" s="310">
        <f>IFERROR(IF(INDEX(Draft!BY:BY,MATCH(L20,Draft!BX:BX))="", L20, INDEX(Draft!BY:BY,MATCH(L20,Draft!BX:BX))),"")</f>
        <v>102</v>
      </c>
      <c r="N20">
        <f>IFERROR(INDEX( 'Draft Pick Order'!$BF:$BF,MATCH(O$2&amp;9,'Draft Pick Order'!$Y:$Y,0)),"")</f>
        <v>103</v>
      </c>
      <c r="O20" s="311">
        <f>IFERROR(IF(INDEX(Draft!BY:BY,MATCH(N20,Draft!BX:BX))="", N20, INDEX(Draft!BY:BY,MATCH(N20,Draft!BX:BX))),"")</f>
        <v>103</v>
      </c>
      <c r="P20">
        <f>IFERROR(INDEX( 'Draft Pick Order'!$BF:$BF,MATCH(Q$2&amp;9,'Draft Pick Order'!$Y:$Y,0)),"")</f>
        <v>104</v>
      </c>
      <c r="Q20" s="310">
        <f>IFERROR(IF(INDEX(Draft!BY:BY,MATCH(P20,Draft!BX:BX))="", P20, INDEX(Draft!BY:BY,MATCH(P20,Draft!BX:BX))),"")</f>
        <v>104</v>
      </c>
      <c r="R20">
        <f>IFERROR(INDEX( 'Draft Pick Order'!$BF:$BF,MATCH(S$2&amp;9,'Draft Pick Order'!$Y:$Y,0)),"")</f>
        <v>105</v>
      </c>
      <c r="S20" s="311">
        <f>IFERROR(IF(INDEX(Draft!BY:BY,MATCH(R20,Draft!BX:BX))="", R20, INDEX(Draft!BY:BY,MATCH(R20,Draft!BX:BX))),"")</f>
        <v>105</v>
      </c>
      <c r="T20">
        <f>IFERROR(INDEX( 'Draft Pick Order'!$BF:$BF,MATCH(U$2&amp;9,'Draft Pick Order'!$Y:$Y,0)),"")</f>
        <v>106</v>
      </c>
      <c r="U20" s="310">
        <f>IFERROR(IF(INDEX(Draft!BY:BY,MATCH(T20,Draft!BX:BX))="", T20, INDEX(Draft!BY:BY,MATCH(T20,Draft!BX:BX))),"")</f>
        <v>106</v>
      </c>
      <c r="V20">
        <f>IFERROR(INDEX( 'Draft Pick Order'!$BF:$BF,MATCH(W$2&amp;9,'Draft Pick Order'!$Y:$Y,0)),"")</f>
        <v>107</v>
      </c>
      <c r="W20" s="311">
        <f>IFERROR(IF(INDEX(Draft!BY:BY,MATCH(V20,Draft!BX:BX))="", V20, INDEX(Draft!BY:BY,MATCH(V20,Draft!BX:BX))),"")</f>
        <v>107</v>
      </c>
      <c r="X20">
        <f>IFERROR(INDEX( 'Draft Pick Order'!$BF:$BF,MATCH(Y$2&amp;9,'Draft Pick Order'!$Y:$Y,0)),"")</f>
        <v>108</v>
      </c>
      <c r="Y20" s="310">
        <f>IFERROR(IF(INDEX(Draft!BY:BY,MATCH(X20,Draft!BX:BX))="", X20, INDEX(Draft!BY:BY,MATCH(X20,Draft!BX:BX))),"")</f>
        <v>108</v>
      </c>
      <c r="Z20" t="str">
        <f>IFERROR(INDEX( 'Draft Pick Order'!$BF:$BF,MATCH(AA$2&amp;9,'Draft Pick Order'!$Y:$Y,0)),"")</f>
        <v/>
      </c>
      <c r="AA20" s="311" t="str">
        <f>IFERROR(IF(INDEX(Draft!BY:BY,MATCH(Z20,Draft!BX:BX))="", Z20, INDEX(Draft!BY:BY,MATCH(Z20,Draft!BX:BX))),"")</f>
        <v/>
      </c>
      <c r="AB20" t="str">
        <f>IFERROR(INDEX( 'Draft Pick Order'!$BF:$BF,MATCH(AC$2&amp;9,'Draft Pick Order'!$Y:$Y,0)),"")</f>
        <v/>
      </c>
      <c r="AC20" s="310" t="str">
        <f>IFERROR(IF(INDEX(Draft!BY:BY,MATCH(AB20,Draft!BX:BX))="", AB20, INDEX(Draft!BY:BY,MATCH(AB20,Draft!BX:BX))),"")</f>
        <v/>
      </c>
      <c r="AD20" t="str">
        <f>IFERROR(INDEX( 'Draft Pick Order'!$BF:$BF,MATCH(AE$2&amp;9,'Draft Pick Order'!$Y:$Y,0)),"")</f>
        <v/>
      </c>
      <c r="AE20" s="311" t="str">
        <f>IFERROR(IF(INDEX(Draft!BY:BY,MATCH(AD20,Draft!BX:BX))="", AD20, INDEX(Draft!BY:BY,MATCH(AD20,Draft!BX:BX))),"")</f>
        <v/>
      </c>
      <c r="AF20" t="str">
        <f>IFERROR(INDEX( 'Draft Pick Order'!$BF:$BF,MATCH(AG$2&amp;9,'Draft Pick Order'!$Y:$Y,0)),"")</f>
        <v/>
      </c>
      <c r="AG20" s="310" t="str">
        <f>IFERROR(IF(INDEX(Draft!BY:BY,MATCH(AF20,Draft!BX:BX))="", AF20, INDEX(Draft!BY:BY,MATCH(AF20,Draft!BX:BX))),"")</f>
        <v/>
      </c>
      <c r="AH20" s="338"/>
    </row>
    <row r="21" spans="1:34" ht="15" customHeight="1" x14ac:dyDescent="0.25">
      <c r="A21" s="686">
        <v>10</v>
      </c>
      <c r="C21" s="309" t="str">
        <f>IFERROR(INDEX(Draft!BZ:BZ,MATCH(B22,Draft!BX:BX)), "")</f>
        <v/>
      </c>
      <c r="E21" s="308" t="str">
        <f>IFERROR(INDEX(Draft!BZ:BZ,MATCH(D22,Draft!BX:BX)), "")</f>
        <v/>
      </c>
      <c r="G21" s="309" t="str">
        <f>IFERROR(INDEX(Draft!BZ:BZ,MATCH(F22,Draft!BX:BX)), "")</f>
        <v/>
      </c>
      <c r="I21" s="308" t="str">
        <f>IFERROR(INDEX(Draft!BZ:BZ,MATCH(H22,Draft!BX:BX)), "")</f>
        <v/>
      </c>
      <c r="K21" s="309" t="str">
        <f>IFERROR(INDEX(Draft!BZ:BZ,MATCH(J22,Draft!BX:BX)), "")</f>
        <v/>
      </c>
      <c r="M21" s="308" t="str">
        <f>IFERROR(INDEX(Draft!BZ:BZ,MATCH(L22,Draft!BX:BX)), "")</f>
        <v/>
      </c>
      <c r="O21" s="309" t="str">
        <f>IFERROR(INDEX(Draft!BZ:BZ,MATCH(N22,Draft!BX:BX)), "")</f>
        <v/>
      </c>
      <c r="Q21" s="308" t="str">
        <f>IFERROR(INDEX(Draft!BZ:BZ,MATCH(P22,Draft!BX:BX)), "")</f>
        <v/>
      </c>
      <c r="S21" s="309" t="str">
        <f>IFERROR(INDEX(Draft!BZ:BZ,MATCH(R22,Draft!BX:BX)), "")</f>
        <v/>
      </c>
      <c r="U21" s="308" t="str">
        <f>IFERROR(INDEX(Draft!BZ:BZ,MATCH(T22,Draft!BX:BX)), "")</f>
        <v/>
      </c>
      <c r="W21" s="309" t="str">
        <f>IFERROR(INDEX(Draft!BZ:BZ,MATCH(V22,Draft!BX:BX)), "")</f>
        <v/>
      </c>
      <c r="Y21" s="308" t="str">
        <f>IFERROR(INDEX(Draft!BZ:BZ,MATCH(X22,Draft!BX:BX)), "")</f>
        <v/>
      </c>
      <c r="AA21" s="309" t="str">
        <f>IFERROR(INDEX(Draft!BZ:BZ,MATCH(Z22,Draft!BX:BX)), "")</f>
        <v/>
      </c>
      <c r="AC21" s="308" t="str">
        <f>IFERROR(INDEX(Draft!BZ:BZ,MATCH(AB22,Draft!BX:BX)), "")</f>
        <v/>
      </c>
      <c r="AE21" s="309" t="str">
        <f>IFERROR(INDEX(Draft!BZ:BZ,MATCH(AD22,Draft!BX:BX)), "")</f>
        <v/>
      </c>
      <c r="AG21" s="308" t="str">
        <f>IFERROR(INDEX(Draft!BZ:BZ,MATCH(AF22,Draft!BX:BX)), "")</f>
        <v/>
      </c>
      <c r="AH21" s="338"/>
    </row>
    <row r="22" spans="1:34" ht="30" customHeight="1" thickBot="1" x14ac:dyDescent="0.3">
      <c r="A22" s="686"/>
      <c r="B22">
        <f>IFERROR(INDEX( 'Draft Pick Order'!$BF:$BF,MATCH(C$2&amp;10,'Draft Pick Order'!$Y:$Y,0)),"")</f>
        <v>120</v>
      </c>
      <c r="C22" s="311">
        <f>IFERROR(IF(INDEX(Draft!BY:BY,MATCH(B22,Draft!BX:BX))="", B22, INDEX(Draft!BY:BY,MATCH(B22,Draft!BX:BX))),"")</f>
        <v>120</v>
      </c>
      <c r="D22">
        <f>IFERROR(INDEX( 'Draft Pick Order'!$BF:$BF,MATCH(E$2&amp;10,'Draft Pick Order'!$Y:$Y,0)),"")</f>
        <v>119</v>
      </c>
      <c r="E22" s="310">
        <f>IFERROR(IF(INDEX(Draft!BY:BY,MATCH(D22,Draft!BX:BX))="", D22, INDEX(Draft!BY:BY,MATCH(D22,Draft!BX:BX))),"")</f>
        <v>119</v>
      </c>
      <c r="F22">
        <f>IFERROR(INDEX( 'Draft Pick Order'!$BF:$BF,MATCH(G$2&amp;10,'Draft Pick Order'!$Y:$Y,0)),"")</f>
        <v>118</v>
      </c>
      <c r="G22" s="311">
        <f>IFERROR(IF(INDEX(Draft!BY:BY,MATCH(F22,Draft!BX:BX))="", F22, INDEX(Draft!BY:BY,MATCH(F22,Draft!BX:BX))),"")</f>
        <v>118</v>
      </c>
      <c r="H22">
        <f>IFERROR(INDEX( 'Draft Pick Order'!$BF:$BF,MATCH(I$2&amp;10,'Draft Pick Order'!$Y:$Y,0)),"")</f>
        <v>117</v>
      </c>
      <c r="I22" s="310">
        <f>IFERROR(IF(INDEX(Draft!BY:BY,MATCH(H22,Draft!BX:BX))="", H22, INDEX(Draft!BY:BY,MATCH(H22,Draft!BX:BX))),"")</f>
        <v>117</v>
      </c>
      <c r="J22">
        <f>IFERROR(INDEX( 'Draft Pick Order'!$BF:$BF,MATCH(K$2&amp;10,'Draft Pick Order'!$Y:$Y,0)),"")</f>
        <v>116</v>
      </c>
      <c r="K22" s="311">
        <f>IFERROR(IF(INDEX(Draft!BY:BY,MATCH(J22,Draft!BX:BX))="", J22, INDEX(Draft!BY:BY,MATCH(J22,Draft!BX:BX))),"")</f>
        <v>116</v>
      </c>
      <c r="L22">
        <f>IFERROR(INDEX( 'Draft Pick Order'!$BF:$BF,MATCH(M$2&amp;10,'Draft Pick Order'!$Y:$Y,0)),"")</f>
        <v>115</v>
      </c>
      <c r="M22" s="310">
        <f>IFERROR(IF(INDEX(Draft!BY:BY,MATCH(L22,Draft!BX:BX))="", L22, INDEX(Draft!BY:BY,MATCH(L22,Draft!BX:BX))),"")</f>
        <v>115</v>
      </c>
      <c r="N22">
        <f>IFERROR(INDEX( 'Draft Pick Order'!$BF:$BF,MATCH(O$2&amp;10,'Draft Pick Order'!$Y:$Y,0)),"")</f>
        <v>114</v>
      </c>
      <c r="O22" s="311">
        <f>IFERROR(IF(INDEX(Draft!BY:BY,MATCH(N22,Draft!BX:BX))="", N22, INDEX(Draft!BY:BY,MATCH(N22,Draft!BX:BX))),"")</f>
        <v>114</v>
      </c>
      <c r="P22">
        <f>IFERROR(INDEX( 'Draft Pick Order'!$BF:$BF,MATCH(Q$2&amp;10,'Draft Pick Order'!$Y:$Y,0)),"")</f>
        <v>113</v>
      </c>
      <c r="Q22" s="310">
        <f>IFERROR(IF(INDEX(Draft!BY:BY,MATCH(P22,Draft!BX:BX))="", P22, INDEX(Draft!BY:BY,MATCH(P22,Draft!BX:BX))),"")</f>
        <v>113</v>
      </c>
      <c r="R22">
        <f>IFERROR(INDEX( 'Draft Pick Order'!$BF:$BF,MATCH(S$2&amp;10,'Draft Pick Order'!$Y:$Y,0)),"")</f>
        <v>112</v>
      </c>
      <c r="S22" s="311">
        <f>IFERROR(IF(INDEX(Draft!BY:BY,MATCH(R22,Draft!BX:BX))="", R22, INDEX(Draft!BY:BY,MATCH(R22,Draft!BX:BX))),"")</f>
        <v>112</v>
      </c>
      <c r="T22">
        <f>IFERROR(INDEX( 'Draft Pick Order'!$BF:$BF,MATCH(U$2&amp;10,'Draft Pick Order'!$Y:$Y,0)),"")</f>
        <v>111</v>
      </c>
      <c r="U22" s="310">
        <f>IFERROR(IF(INDEX(Draft!BY:BY,MATCH(T22,Draft!BX:BX))="", T22, INDEX(Draft!BY:BY,MATCH(T22,Draft!BX:BX))),"")</f>
        <v>111</v>
      </c>
      <c r="V22">
        <f>IFERROR(INDEX( 'Draft Pick Order'!$BF:$BF,MATCH(W$2&amp;10,'Draft Pick Order'!$Y:$Y,0)),"")</f>
        <v>110</v>
      </c>
      <c r="W22" s="311">
        <f>IFERROR(IF(INDEX(Draft!BY:BY,MATCH(V22,Draft!BX:BX))="", V22, INDEX(Draft!BY:BY,MATCH(V22,Draft!BX:BX))),"")</f>
        <v>110</v>
      </c>
      <c r="X22">
        <f>IFERROR(INDEX( 'Draft Pick Order'!$BF:$BF,MATCH(Y$2&amp;10,'Draft Pick Order'!$Y:$Y,0)),"")</f>
        <v>109</v>
      </c>
      <c r="Y22" s="310">
        <f>IFERROR(IF(INDEX(Draft!BY:BY,MATCH(X22,Draft!BX:BX))="", X22, INDEX(Draft!BY:BY,MATCH(X22,Draft!BX:BX))),"")</f>
        <v>109</v>
      </c>
      <c r="Z22" t="str">
        <f>IFERROR(INDEX( 'Draft Pick Order'!$BF:$BF,MATCH(AA$2&amp;10,'Draft Pick Order'!$Y:$Y,0)),"")</f>
        <v/>
      </c>
      <c r="AA22" s="311" t="str">
        <f>IFERROR(IF(INDEX(Draft!BY:BY,MATCH(Z22,Draft!BX:BX))="", Z22, INDEX(Draft!BY:BY,MATCH(Z22,Draft!BX:BX))),"")</f>
        <v/>
      </c>
      <c r="AB22" t="str">
        <f>IFERROR(INDEX( 'Draft Pick Order'!$BF:$BF,MATCH(AC$2&amp;10,'Draft Pick Order'!$Y:$Y,0)),"")</f>
        <v/>
      </c>
      <c r="AC22" s="310" t="str">
        <f>IFERROR(IF(INDEX(Draft!BY:BY,MATCH(AB22,Draft!BX:BX))="", AB22, INDEX(Draft!BY:BY,MATCH(AB22,Draft!BX:BX))),"")</f>
        <v/>
      </c>
      <c r="AD22" t="str">
        <f>IFERROR(INDEX( 'Draft Pick Order'!$BF:$BF,MATCH(AE$2&amp;10,'Draft Pick Order'!$Y:$Y,0)),"")</f>
        <v/>
      </c>
      <c r="AE22" s="311" t="str">
        <f>IFERROR(IF(INDEX(Draft!BY:BY,MATCH(AD22,Draft!BX:BX))="", AD22, INDEX(Draft!BY:BY,MATCH(AD22,Draft!BX:BX))),"")</f>
        <v/>
      </c>
      <c r="AF22" t="str">
        <f>IFERROR(INDEX( 'Draft Pick Order'!$BF:$BF,MATCH(AG$2&amp;10,'Draft Pick Order'!$Y:$Y,0)),"")</f>
        <v/>
      </c>
      <c r="AG22" s="310" t="str">
        <f>IFERROR(IF(INDEX(Draft!BY:BY,MATCH(AF22,Draft!BX:BX))="", AF22, INDEX(Draft!BY:BY,MATCH(AF22,Draft!BX:BX))),"")</f>
        <v/>
      </c>
      <c r="AH22" s="338"/>
    </row>
    <row r="23" spans="1:34" ht="15" customHeight="1" x14ac:dyDescent="0.25">
      <c r="A23" s="686">
        <v>11</v>
      </c>
      <c r="C23" s="309" t="str">
        <f>IFERROR(INDEX(Draft!BZ:BZ,MATCH(B24,Draft!BX:BX)), "")</f>
        <v/>
      </c>
      <c r="E23" s="308" t="str">
        <f>IFERROR(INDEX(Draft!BZ:BZ,MATCH(D24,Draft!BX:BX)), "")</f>
        <v/>
      </c>
      <c r="G23" s="309" t="str">
        <f>IFERROR(INDEX(Draft!BZ:BZ,MATCH(F24,Draft!BX:BX)), "")</f>
        <v/>
      </c>
      <c r="I23" s="308" t="str">
        <f>IFERROR(INDEX(Draft!BZ:BZ,MATCH(H24,Draft!BX:BX)), "")</f>
        <v/>
      </c>
      <c r="K23" s="309" t="str">
        <f>IFERROR(INDEX(Draft!BZ:BZ,MATCH(J24,Draft!BX:BX)), "")</f>
        <v/>
      </c>
      <c r="M23" s="308" t="str">
        <f>IFERROR(INDEX(Draft!BZ:BZ,MATCH(L24,Draft!BX:BX)), "")</f>
        <v/>
      </c>
      <c r="O23" s="309" t="str">
        <f>IFERROR(INDEX(Draft!BZ:BZ,MATCH(N24,Draft!BX:BX)), "")</f>
        <v/>
      </c>
      <c r="Q23" s="308" t="str">
        <f>IFERROR(INDEX(Draft!BZ:BZ,MATCH(P24,Draft!BX:BX)), "")</f>
        <v/>
      </c>
      <c r="S23" s="309" t="str">
        <f>IFERROR(INDEX(Draft!BZ:BZ,MATCH(R24,Draft!BX:BX)), "")</f>
        <v/>
      </c>
      <c r="U23" s="308" t="str">
        <f>IFERROR(INDEX(Draft!BZ:BZ,MATCH(T24,Draft!BX:BX)), "")</f>
        <v/>
      </c>
      <c r="W23" s="309" t="str">
        <f>IFERROR(INDEX(Draft!BZ:BZ,MATCH(V24,Draft!BX:BX)), "")</f>
        <v/>
      </c>
      <c r="Y23" s="308" t="str">
        <f>IFERROR(INDEX(Draft!BZ:BZ,MATCH(X24,Draft!BX:BX)), "")</f>
        <v/>
      </c>
      <c r="AA23" s="309" t="str">
        <f>IFERROR(INDEX(Draft!BZ:BZ,MATCH(Z24,Draft!BX:BX)), "")</f>
        <v/>
      </c>
      <c r="AC23" s="308" t="str">
        <f>IFERROR(INDEX(Draft!BZ:BZ,MATCH(AB24,Draft!BX:BX)), "")</f>
        <v/>
      </c>
      <c r="AE23" s="309" t="str">
        <f>IFERROR(INDEX(Draft!BZ:BZ,MATCH(AD24,Draft!BX:BX)), "")</f>
        <v/>
      </c>
      <c r="AG23" s="308" t="str">
        <f>IFERROR(INDEX(Draft!BZ:BZ,MATCH(AF24,Draft!BX:BX)), "")</f>
        <v/>
      </c>
      <c r="AH23" s="338"/>
    </row>
    <row r="24" spans="1:34" ht="30" customHeight="1" thickBot="1" x14ac:dyDescent="0.3">
      <c r="A24" s="686"/>
      <c r="B24">
        <f>IFERROR(INDEX( 'Draft Pick Order'!$BF:$BF,MATCH(C$2&amp;11,'Draft Pick Order'!$Y:$Y,0)),"")</f>
        <v>121</v>
      </c>
      <c r="C24" s="311">
        <f>IFERROR(IF(INDEX(Draft!BY:BY,MATCH(B24,Draft!BX:BX))="", B24, INDEX(Draft!BY:BY,MATCH(B24,Draft!BX:BX))),"")</f>
        <v>121</v>
      </c>
      <c r="D24">
        <f>IFERROR(INDEX( 'Draft Pick Order'!$BF:$BF,MATCH(E$2&amp;11,'Draft Pick Order'!$Y:$Y,0)),"")</f>
        <v>122</v>
      </c>
      <c r="E24" s="310">
        <f>IFERROR(IF(INDEX(Draft!BY:BY,MATCH(D24,Draft!BX:BX))="", D24, INDEX(Draft!BY:BY,MATCH(D24,Draft!BX:BX))),"")</f>
        <v>122</v>
      </c>
      <c r="F24">
        <f>IFERROR(INDEX( 'Draft Pick Order'!$BF:$BF,MATCH(G$2&amp;11,'Draft Pick Order'!$Y:$Y,0)),"")</f>
        <v>123</v>
      </c>
      <c r="G24" s="311">
        <f>IFERROR(IF(INDEX(Draft!BY:BY,MATCH(F24,Draft!BX:BX))="", F24, INDEX(Draft!BY:BY,MATCH(F24,Draft!BX:BX))),"")</f>
        <v>123</v>
      </c>
      <c r="H24">
        <f>IFERROR(INDEX( 'Draft Pick Order'!$BF:$BF,MATCH(I$2&amp;11,'Draft Pick Order'!$Y:$Y,0)),"")</f>
        <v>124</v>
      </c>
      <c r="I24" s="310">
        <f>IFERROR(IF(INDEX(Draft!BY:BY,MATCH(H24,Draft!BX:BX))="", H24, INDEX(Draft!BY:BY,MATCH(H24,Draft!BX:BX))),"")</f>
        <v>124</v>
      </c>
      <c r="J24">
        <f>IFERROR(INDEX( 'Draft Pick Order'!$BF:$BF,MATCH(K$2&amp;11,'Draft Pick Order'!$Y:$Y,0)),"")</f>
        <v>125</v>
      </c>
      <c r="K24" s="311">
        <f>IFERROR(IF(INDEX(Draft!BY:BY,MATCH(J24,Draft!BX:BX))="", J24, INDEX(Draft!BY:BY,MATCH(J24,Draft!BX:BX))),"")</f>
        <v>125</v>
      </c>
      <c r="L24">
        <f>IFERROR(INDEX( 'Draft Pick Order'!$BF:$BF,MATCH(M$2&amp;11,'Draft Pick Order'!$Y:$Y,0)),"")</f>
        <v>126</v>
      </c>
      <c r="M24" s="310">
        <f>IFERROR(IF(INDEX(Draft!BY:BY,MATCH(L24,Draft!BX:BX))="", L24, INDEX(Draft!BY:BY,MATCH(L24,Draft!BX:BX))),"")</f>
        <v>126</v>
      </c>
      <c r="N24">
        <f>IFERROR(INDEX( 'Draft Pick Order'!$BF:$BF,MATCH(O$2&amp;11,'Draft Pick Order'!$Y:$Y,0)),"")</f>
        <v>127</v>
      </c>
      <c r="O24" s="311">
        <f>IFERROR(IF(INDEX(Draft!BY:BY,MATCH(N24,Draft!BX:BX))="", N24, INDEX(Draft!BY:BY,MATCH(N24,Draft!BX:BX))),"")</f>
        <v>127</v>
      </c>
      <c r="P24">
        <f>IFERROR(INDEX( 'Draft Pick Order'!$BF:$BF,MATCH(Q$2&amp;11,'Draft Pick Order'!$Y:$Y,0)),"")</f>
        <v>128</v>
      </c>
      <c r="Q24" s="310">
        <f>IFERROR(IF(INDEX(Draft!BY:BY,MATCH(P24,Draft!BX:BX))="", P24, INDEX(Draft!BY:BY,MATCH(P24,Draft!BX:BX))),"")</f>
        <v>128</v>
      </c>
      <c r="R24">
        <f>IFERROR(INDEX( 'Draft Pick Order'!$BF:$BF,MATCH(S$2&amp;11,'Draft Pick Order'!$Y:$Y,0)),"")</f>
        <v>129</v>
      </c>
      <c r="S24" s="311">
        <f>IFERROR(IF(INDEX(Draft!BY:BY,MATCH(R24,Draft!BX:BX))="", R24, INDEX(Draft!BY:BY,MATCH(R24,Draft!BX:BX))),"")</f>
        <v>129</v>
      </c>
      <c r="T24">
        <f>IFERROR(INDEX( 'Draft Pick Order'!$BF:$BF,MATCH(U$2&amp;11,'Draft Pick Order'!$Y:$Y,0)),"")</f>
        <v>130</v>
      </c>
      <c r="U24" s="310">
        <f>IFERROR(IF(INDEX(Draft!BY:BY,MATCH(T24,Draft!BX:BX))="", T24, INDEX(Draft!BY:BY,MATCH(T24,Draft!BX:BX))),"")</f>
        <v>130</v>
      </c>
      <c r="V24">
        <f>IFERROR(INDEX( 'Draft Pick Order'!$BF:$BF,MATCH(W$2&amp;11,'Draft Pick Order'!$Y:$Y,0)),"")</f>
        <v>131</v>
      </c>
      <c r="W24" s="311">
        <f>IFERROR(IF(INDEX(Draft!BY:BY,MATCH(V24,Draft!BX:BX))="", V24, INDEX(Draft!BY:BY,MATCH(V24,Draft!BX:BX))),"")</f>
        <v>131</v>
      </c>
      <c r="X24">
        <f>IFERROR(INDEX( 'Draft Pick Order'!$BF:$BF,MATCH(Y$2&amp;11,'Draft Pick Order'!$Y:$Y,0)),"")</f>
        <v>132</v>
      </c>
      <c r="Y24" s="310">
        <f>IFERROR(IF(INDEX(Draft!BY:BY,MATCH(X24,Draft!BX:BX))="", X24, INDEX(Draft!BY:BY,MATCH(X24,Draft!BX:BX))),"")</f>
        <v>132</v>
      </c>
      <c r="Z24" t="str">
        <f>IFERROR(INDEX( 'Draft Pick Order'!$BF:$BF,MATCH(AA$2&amp;11,'Draft Pick Order'!$Y:$Y,0)),"")</f>
        <v/>
      </c>
      <c r="AA24" s="311" t="str">
        <f>IFERROR(IF(INDEX(Draft!BY:BY,MATCH(Z24,Draft!BX:BX))="", Z24, INDEX(Draft!BY:BY,MATCH(Z24,Draft!BX:BX))),"")</f>
        <v/>
      </c>
      <c r="AB24" t="str">
        <f>IFERROR(INDEX( 'Draft Pick Order'!$BF:$BF,MATCH(AC$2&amp;11,'Draft Pick Order'!$Y:$Y,0)),"")</f>
        <v/>
      </c>
      <c r="AC24" s="310" t="str">
        <f>IFERROR(IF(INDEX(Draft!BY:BY,MATCH(AB24,Draft!BX:BX))="", AB24, INDEX(Draft!BY:BY,MATCH(AB24,Draft!BX:BX))),"")</f>
        <v/>
      </c>
      <c r="AD24" t="str">
        <f>IFERROR(INDEX( 'Draft Pick Order'!$BF:$BF,MATCH(AE$2&amp;11,'Draft Pick Order'!$Y:$Y,0)),"")</f>
        <v/>
      </c>
      <c r="AE24" s="311" t="str">
        <f>IFERROR(IF(INDEX(Draft!BY:BY,MATCH(AD24,Draft!BX:BX))="", AD24, INDEX(Draft!BY:BY,MATCH(AD24,Draft!BX:BX))),"")</f>
        <v/>
      </c>
      <c r="AF24" t="str">
        <f>IFERROR(INDEX( 'Draft Pick Order'!$BF:$BF,MATCH(AG$2&amp;11,'Draft Pick Order'!$Y:$Y,0)),"")</f>
        <v/>
      </c>
      <c r="AG24" s="310" t="str">
        <f>IFERROR(IF(INDEX(Draft!BY:BY,MATCH(AF24,Draft!BX:BX))="", AF24, INDEX(Draft!BY:BY,MATCH(AF24,Draft!BX:BX))),"")</f>
        <v/>
      </c>
      <c r="AH24" s="338"/>
    </row>
    <row r="25" spans="1:34" x14ac:dyDescent="0.25">
      <c r="A25" s="686">
        <v>12</v>
      </c>
      <c r="C25" s="309" t="str">
        <f>IFERROR(INDEX(Draft!BZ:BZ,MATCH(B26,Draft!BX:BX)), "")</f>
        <v/>
      </c>
      <c r="E25" s="308" t="str">
        <f>IFERROR(INDEX(Draft!BZ:BZ,MATCH(D26,Draft!BX:BX)), "")</f>
        <v/>
      </c>
      <c r="G25" s="309" t="str">
        <f>IFERROR(INDEX(Draft!BZ:BZ,MATCH(F26,Draft!BX:BX)), "")</f>
        <v/>
      </c>
      <c r="I25" s="308" t="str">
        <f>IFERROR(INDEX(Draft!BZ:BZ,MATCH(H26,Draft!BX:BX)), "")</f>
        <v/>
      </c>
      <c r="K25" s="309" t="str">
        <f>IFERROR(INDEX(Draft!BZ:BZ,MATCH(J26,Draft!BX:BX)), "")</f>
        <v/>
      </c>
      <c r="M25" s="308" t="str">
        <f>IFERROR(INDEX(Draft!BZ:BZ,MATCH(L26,Draft!BX:BX)), "")</f>
        <v/>
      </c>
      <c r="O25" s="309" t="str">
        <f>IFERROR(INDEX(Draft!BZ:BZ,MATCH(N26,Draft!BX:BX)), "")</f>
        <v/>
      </c>
      <c r="Q25" s="308" t="str">
        <f>IFERROR(INDEX(Draft!BZ:BZ,MATCH(P26,Draft!BX:BX)), "")</f>
        <v/>
      </c>
      <c r="S25" s="309" t="str">
        <f>IFERROR(INDEX(Draft!BZ:BZ,MATCH(R26,Draft!BX:BX)), "")</f>
        <v/>
      </c>
      <c r="U25" s="308" t="str">
        <f>IFERROR(INDEX(Draft!BZ:BZ,MATCH(T26,Draft!BX:BX)), "")</f>
        <v/>
      </c>
      <c r="W25" s="309" t="str">
        <f>IFERROR(INDEX(Draft!BZ:BZ,MATCH(V26,Draft!BX:BX)), "")</f>
        <v/>
      </c>
      <c r="Y25" s="308" t="str">
        <f>IFERROR(INDEX(Draft!BZ:BZ,MATCH(X26,Draft!BX:BX)), "")</f>
        <v/>
      </c>
      <c r="AA25" s="309" t="str">
        <f>IFERROR(INDEX(Draft!BZ:BZ,MATCH(Z26,Draft!BX:BX)), "")</f>
        <v/>
      </c>
      <c r="AC25" s="308" t="str">
        <f>IFERROR(INDEX(Draft!BZ:BZ,MATCH(AB26,Draft!BX:BX)), "")</f>
        <v/>
      </c>
      <c r="AE25" s="309" t="str">
        <f>IFERROR(INDEX(Draft!BZ:BZ,MATCH(AD26,Draft!BX:BX)), "")</f>
        <v/>
      </c>
      <c r="AG25" s="308" t="str">
        <f>IFERROR(INDEX(Draft!BZ:BZ,MATCH(AF26,Draft!BX:BX)), "")</f>
        <v/>
      </c>
      <c r="AH25" s="338"/>
    </row>
    <row r="26" spans="1:34" ht="30" customHeight="1" thickBot="1" x14ac:dyDescent="0.3">
      <c r="A26" s="686"/>
      <c r="B26">
        <f>IFERROR(INDEX( 'Draft Pick Order'!$BF:$BF,MATCH(C$2&amp;12,'Draft Pick Order'!$Y:$Y,0)),"")</f>
        <v>144</v>
      </c>
      <c r="C26" s="311">
        <f>IFERROR(IF(INDEX(Draft!BY:BY,MATCH(B26,Draft!BX:BX))="", B26, INDEX(Draft!BY:BY,MATCH(B26,Draft!BX:BX))),"")</f>
        <v>144</v>
      </c>
      <c r="D26">
        <f>IFERROR(INDEX( 'Draft Pick Order'!$BF:$BF,MATCH(E$2&amp;12,'Draft Pick Order'!$Y:$Y,0)),"")</f>
        <v>143</v>
      </c>
      <c r="E26" s="310">
        <f>IFERROR(IF(INDEX(Draft!BY:BY,MATCH(D26,Draft!BX:BX))="", D26, INDEX(Draft!BY:BY,MATCH(D26,Draft!BX:BX))),"")</f>
        <v>143</v>
      </c>
      <c r="F26">
        <f>IFERROR(INDEX( 'Draft Pick Order'!$BF:$BF,MATCH(G$2&amp;12,'Draft Pick Order'!$Y:$Y,0)),"")</f>
        <v>142</v>
      </c>
      <c r="G26" s="311">
        <f>IFERROR(IF(INDEX(Draft!BY:BY,MATCH(F26,Draft!BX:BX))="", F26, INDEX(Draft!BY:BY,MATCH(F26,Draft!BX:BX))),"")</f>
        <v>142</v>
      </c>
      <c r="H26">
        <f>IFERROR(INDEX( 'Draft Pick Order'!$BF:$BF,MATCH(I$2&amp;12,'Draft Pick Order'!$Y:$Y,0)),"")</f>
        <v>141</v>
      </c>
      <c r="I26" s="310">
        <f>IFERROR(IF(INDEX(Draft!BY:BY,MATCH(H26,Draft!BX:BX))="", H26, INDEX(Draft!BY:BY,MATCH(H26,Draft!BX:BX))),"")</f>
        <v>141</v>
      </c>
      <c r="J26">
        <f>IFERROR(INDEX( 'Draft Pick Order'!$BF:$BF,MATCH(K$2&amp;12,'Draft Pick Order'!$Y:$Y,0)),"")</f>
        <v>140</v>
      </c>
      <c r="K26" s="311">
        <f>IFERROR(IF(INDEX(Draft!BY:BY,MATCH(J26,Draft!BX:BX))="", J26, INDEX(Draft!BY:BY,MATCH(J26,Draft!BX:BX))),"")</f>
        <v>140</v>
      </c>
      <c r="L26">
        <f>IFERROR(INDEX( 'Draft Pick Order'!$BF:$BF,MATCH(M$2&amp;12,'Draft Pick Order'!$Y:$Y,0)),"")</f>
        <v>139</v>
      </c>
      <c r="M26" s="310">
        <f>IFERROR(IF(INDEX(Draft!BY:BY,MATCH(L26,Draft!BX:BX))="", L26, INDEX(Draft!BY:BY,MATCH(L26,Draft!BX:BX))),"")</f>
        <v>139</v>
      </c>
      <c r="N26">
        <f>IFERROR(INDEX( 'Draft Pick Order'!$BF:$BF,MATCH(O$2&amp;12,'Draft Pick Order'!$Y:$Y,0)),"")</f>
        <v>138</v>
      </c>
      <c r="O26" s="311">
        <f>IFERROR(IF(INDEX(Draft!BY:BY,MATCH(N26,Draft!BX:BX))="", N26, INDEX(Draft!BY:BY,MATCH(N26,Draft!BX:BX))),"")</f>
        <v>138</v>
      </c>
      <c r="P26">
        <f>IFERROR(INDEX( 'Draft Pick Order'!$BF:$BF,MATCH(Q$2&amp;12,'Draft Pick Order'!$Y:$Y,0)),"")</f>
        <v>137</v>
      </c>
      <c r="Q26" s="310">
        <f>IFERROR(IF(INDEX(Draft!BY:BY,MATCH(P26,Draft!BX:BX))="", P26, INDEX(Draft!BY:BY,MATCH(P26,Draft!BX:BX))),"")</f>
        <v>137</v>
      </c>
      <c r="R26">
        <f>IFERROR(INDEX( 'Draft Pick Order'!$BF:$BF,MATCH(S$2&amp;12,'Draft Pick Order'!$Y:$Y,0)),"")</f>
        <v>136</v>
      </c>
      <c r="S26" s="311">
        <f>IFERROR(IF(INDEX(Draft!BY:BY,MATCH(R26,Draft!BX:BX))="", R26, INDEX(Draft!BY:BY,MATCH(R26,Draft!BX:BX))),"")</f>
        <v>136</v>
      </c>
      <c r="T26">
        <f>IFERROR(INDEX( 'Draft Pick Order'!$BF:$BF,MATCH(U$2&amp;12,'Draft Pick Order'!$Y:$Y,0)),"")</f>
        <v>135</v>
      </c>
      <c r="U26" s="310">
        <f>IFERROR(IF(INDEX(Draft!BY:BY,MATCH(T26,Draft!BX:BX))="", T26, INDEX(Draft!BY:BY,MATCH(T26,Draft!BX:BX))),"")</f>
        <v>135</v>
      </c>
      <c r="V26">
        <f>IFERROR(INDEX( 'Draft Pick Order'!$BF:$BF,MATCH(W$2&amp;12,'Draft Pick Order'!$Y:$Y,0)),"")</f>
        <v>134</v>
      </c>
      <c r="W26" s="311">
        <f>IFERROR(IF(INDEX(Draft!BY:BY,MATCH(V26,Draft!BX:BX))="", V26, INDEX(Draft!BY:BY,MATCH(V26,Draft!BX:BX))),"")</f>
        <v>134</v>
      </c>
      <c r="X26">
        <f>IFERROR(INDEX( 'Draft Pick Order'!$BF:$BF,MATCH(Y$2&amp;12,'Draft Pick Order'!$Y:$Y,0)),"")</f>
        <v>133</v>
      </c>
      <c r="Y26" s="310">
        <f>IFERROR(IF(INDEX(Draft!BY:BY,MATCH(X26,Draft!BX:BX))="", X26, INDEX(Draft!BY:BY,MATCH(X26,Draft!BX:BX))),"")</f>
        <v>133</v>
      </c>
      <c r="Z26" t="str">
        <f>IFERROR(INDEX( 'Draft Pick Order'!$BF:$BF,MATCH(AA$2&amp;12,'Draft Pick Order'!$Y:$Y,0)),"")</f>
        <v/>
      </c>
      <c r="AA26" s="311" t="str">
        <f>IFERROR(IF(INDEX(Draft!BY:BY,MATCH(Z26,Draft!BX:BX))="", Z26, INDEX(Draft!BY:BY,MATCH(Z26,Draft!BX:BX))),"")</f>
        <v/>
      </c>
      <c r="AB26" t="str">
        <f>IFERROR(INDEX( 'Draft Pick Order'!$BF:$BF,MATCH(AC$2&amp;12,'Draft Pick Order'!$Y:$Y,0)),"")</f>
        <v/>
      </c>
      <c r="AC26" s="310" t="str">
        <f>IFERROR(IF(INDEX(Draft!BY:BY,MATCH(AB26,Draft!BX:BX))="", AB26, INDEX(Draft!BY:BY,MATCH(AB26,Draft!BX:BX))),"")</f>
        <v/>
      </c>
      <c r="AD26" t="str">
        <f>IFERROR(INDEX( 'Draft Pick Order'!$BF:$BF,MATCH(AE$2&amp;12,'Draft Pick Order'!$Y:$Y,0)),"")</f>
        <v/>
      </c>
      <c r="AE26" s="311" t="str">
        <f>IFERROR(IF(INDEX(Draft!BY:BY,MATCH(AD26,Draft!BX:BX))="", AD26, INDEX(Draft!BY:BY,MATCH(AD26,Draft!BX:BX))),"")</f>
        <v/>
      </c>
      <c r="AF26" t="str">
        <f>IFERROR(INDEX( 'Draft Pick Order'!$BF:$BF,MATCH(AG$2&amp;12,'Draft Pick Order'!$Y:$Y,0)),"")</f>
        <v/>
      </c>
      <c r="AG26" s="310" t="str">
        <f>IFERROR(IF(INDEX(Draft!BY:BY,MATCH(AF26,Draft!BX:BX))="", AF26, INDEX(Draft!BY:BY,MATCH(AF26,Draft!BX:BX))),"")</f>
        <v/>
      </c>
      <c r="AH26" s="338"/>
    </row>
    <row r="27" spans="1:34" ht="15" customHeight="1" x14ac:dyDescent="0.25">
      <c r="A27" s="686">
        <v>13</v>
      </c>
      <c r="C27" s="309" t="str">
        <f>IFERROR(INDEX(Draft!BZ:BZ,MATCH(B28,Draft!BX:BX)), "")</f>
        <v/>
      </c>
      <c r="E27" s="308" t="str">
        <f>IFERROR(INDEX(Draft!BZ:BZ,MATCH(D28,Draft!BX:BX)), "")</f>
        <v/>
      </c>
      <c r="G27" s="309" t="str">
        <f>IFERROR(INDEX(Draft!BZ:BZ,MATCH(F28,Draft!BX:BX)), "")</f>
        <v/>
      </c>
      <c r="I27" s="308" t="str">
        <f>IFERROR(INDEX(Draft!BZ:BZ,MATCH(H28,Draft!BX:BX)), "")</f>
        <v/>
      </c>
      <c r="K27" s="309" t="str">
        <f>IFERROR(INDEX(Draft!BZ:BZ,MATCH(J28,Draft!BX:BX)), "")</f>
        <v/>
      </c>
      <c r="M27" s="308" t="str">
        <f>IFERROR(INDEX(Draft!BZ:BZ,MATCH(L28,Draft!BX:BX)), "")</f>
        <v/>
      </c>
      <c r="O27" s="309" t="str">
        <f>IFERROR(INDEX(Draft!BZ:BZ,MATCH(N28,Draft!BX:BX)), "")</f>
        <v/>
      </c>
      <c r="Q27" s="308" t="str">
        <f>IFERROR(INDEX(Draft!BZ:BZ,MATCH(P28,Draft!BX:BX)), "")</f>
        <v/>
      </c>
      <c r="S27" s="309" t="str">
        <f>IFERROR(INDEX(Draft!BZ:BZ,MATCH(R28,Draft!BX:BX)), "")</f>
        <v/>
      </c>
      <c r="U27" s="308" t="str">
        <f>IFERROR(INDEX(Draft!BZ:BZ,MATCH(T28,Draft!BX:BX)), "")</f>
        <v/>
      </c>
      <c r="W27" s="309" t="str">
        <f>IFERROR(INDEX(Draft!BZ:BZ,MATCH(V28,Draft!BX:BX)), "")</f>
        <v/>
      </c>
      <c r="Y27" s="308" t="str">
        <f>IFERROR(INDEX(Draft!BZ:BZ,MATCH(X28,Draft!BX:BX)), "")</f>
        <v/>
      </c>
      <c r="AA27" s="309" t="str">
        <f>IFERROR(INDEX(Draft!BZ:BZ,MATCH(Z28,Draft!BX:BX)), "")</f>
        <v/>
      </c>
      <c r="AC27" s="308" t="str">
        <f>IFERROR(INDEX(Draft!BZ:BZ,MATCH(AB28,Draft!BX:BX)), "")</f>
        <v/>
      </c>
      <c r="AE27" s="309" t="str">
        <f>IFERROR(INDEX(Draft!BZ:BZ,MATCH(AD28,Draft!BX:BX)), "")</f>
        <v/>
      </c>
      <c r="AG27" s="308" t="str">
        <f>IFERROR(INDEX(Draft!BZ:BZ,MATCH(AF28,Draft!BX:BX)), "")</f>
        <v/>
      </c>
      <c r="AH27" s="338"/>
    </row>
    <row r="28" spans="1:34" ht="30" customHeight="1" thickBot="1" x14ac:dyDescent="0.3">
      <c r="A28" s="686"/>
      <c r="B28">
        <f>IFERROR(INDEX( 'Draft Pick Order'!$BF:$BF,MATCH(C$2&amp;13,'Draft Pick Order'!$Y:$Y,0)),"")</f>
        <v>145</v>
      </c>
      <c r="C28" s="311">
        <f>IFERROR(IF(INDEX(Draft!BY:BY,MATCH(B28,Draft!BX:BX))="", B28, INDEX(Draft!BY:BY,MATCH(B28,Draft!BX:BX))),"")</f>
        <v>145</v>
      </c>
      <c r="D28">
        <f>IFERROR(INDEX( 'Draft Pick Order'!$BF:$BF,MATCH(E$2&amp;13,'Draft Pick Order'!$Y:$Y,0)),"")</f>
        <v>146</v>
      </c>
      <c r="E28" s="310">
        <f>IFERROR(IF(INDEX(Draft!BY:BY,MATCH(D28,Draft!BX:BX))="", D28, INDEX(Draft!BY:BY,MATCH(D28,Draft!BX:BX))),"")</f>
        <v>146</v>
      </c>
      <c r="F28">
        <f>IFERROR(INDEX( 'Draft Pick Order'!$BF:$BF,MATCH(G$2&amp;13,'Draft Pick Order'!$Y:$Y,0)),"")</f>
        <v>147</v>
      </c>
      <c r="G28" s="311">
        <f>IFERROR(IF(INDEX(Draft!BY:BY,MATCH(F28,Draft!BX:BX))="", F28, INDEX(Draft!BY:BY,MATCH(F28,Draft!BX:BX))),"")</f>
        <v>147</v>
      </c>
      <c r="H28">
        <f>IFERROR(INDEX( 'Draft Pick Order'!$BF:$BF,MATCH(I$2&amp;13,'Draft Pick Order'!$Y:$Y,0)),"")</f>
        <v>148</v>
      </c>
      <c r="I28" s="310">
        <f>IFERROR(IF(INDEX(Draft!BY:BY,MATCH(H28,Draft!BX:BX))="", H28, INDEX(Draft!BY:BY,MATCH(H28,Draft!BX:BX))),"")</f>
        <v>148</v>
      </c>
      <c r="J28">
        <f>IFERROR(INDEX( 'Draft Pick Order'!$BF:$BF,MATCH(K$2&amp;13,'Draft Pick Order'!$Y:$Y,0)),"")</f>
        <v>149</v>
      </c>
      <c r="K28" s="311">
        <f>IFERROR(IF(INDEX(Draft!BY:BY,MATCH(J28,Draft!BX:BX))="", J28, INDEX(Draft!BY:BY,MATCH(J28,Draft!BX:BX))),"")</f>
        <v>149</v>
      </c>
      <c r="L28">
        <f>IFERROR(INDEX( 'Draft Pick Order'!$BF:$BF,MATCH(M$2&amp;13,'Draft Pick Order'!$Y:$Y,0)),"")</f>
        <v>150</v>
      </c>
      <c r="M28" s="310">
        <f>IFERROR(IF(INDEX(Draft!BY:BY,MATCH(L28,Draft!BX:BX))="", L28, INDEX(Draft!BY:BY,MATCH(L28,Draft!BX:BX))),"")</f>
        <v>150</v>
      </c>
      <c r="N28">
        <f>IFERROR(INDEX( 'Draft Pick Order'!$BF:$BF,MATCH(O$2&amp;13,'Draft Pick Order'!$Y:$Y,0)),"")</f>
        <v>151</v>
      </c>
      <c r="O28" s="311">
        <f>IFERROR(IF(INDEX(Draft!BY:BY,MATCH(N28,Draft!BX:BX))="", N28, INDEX(Draft!BY:BY,MATCH(N28,Draft!BX:BX))),"")</f>
        <v>151</v>
      </c>
      <c r="P28">
        <f>IFERROR(INDEX( 'Draft Pick Order'!$BF:$BF,MATCH(Q$2&amp;13,'Draft Pick Order'!$Y:$Y,0)),"")</f>
        <v>152</v>
      </c>
      <c r="Q28" s="310">
        <f>IFERROR(IF(INDEX(Draft!BY:BY,MATCH(P28,Draft!BX:BX))="", P28, INDEX(Draft!BY:BY,MATCH(P28,Draft!BX:BX))),"")</f>
        <v>152</v>
      </c>
      <c r="R28">
        <f>IFERROR(INDEX( 'Draft Pick Order'!$BF:$BF,MATCH(S$2&amp;13,'Draft Pick Order'!$Y:$Y,0)),"")</f>
        <v>153</v>
      </c>
      <c r="S28" s="311">
        <f>IFERROR(IF(INDEX(Draft!BY:BY,MATCH(R28,Draft!BX:BX))="", R28, INDEX(Draft!BY:BY,MATCH(R28,Draft!BX:BX))),"")</f>
        <v>153</v>
      </c>
      <c r="T28">
        <f>IFERROR(INDEX( 'Draft Pick Order'!$BF:$BF,MATCH(U$2&amp;13,'Draft Pick Order'!$Y:$Y,0)),"")</f>
        <v>154</v>
      </c>
      <c r="U28" s="310">
        <f>IFERROR(IF(INDEX(Draft!BY:BY,MATCH(T28,Draft!BX:BX))="", T28, INDEX(Draft!BY:BY,MATCH(T28,Draft!BX:BX))),"")</f>
        <v>154</v>
      </c>
      <c r="V28">
        <f>IFERROR(INDEX( 'Draft Pick Order'!$BF:$BF,MATCH(W$2&amp;13,'Draft Pick Order'!$Y:$Y,0)),"")</f>
        <v>155</v>
      </c>
      <c r="W28" s="311">
        <f>IFERROR(IF(INDEX(Draft!BY:BY,MATCH(V28,Draft!BX:BX))="", V28, INDEX(Draft!BY:BY,MATCH(V28,Draft!BX:BX))),"")</f>
        <v>155</v>
      </c>
      <c r="X28">
        <f>IFERROR(INDEX( 'Draft Pick Order'!$BF:$BF,MATCH(Y$2&amp;13,'Draft Pick Order'!$Y:$Y,0)),"")</f>
        <v>156</v>
      </c>
      <c r="Y28" s="310">
        <f>IFERROR(IF(INDEX(Draft!BY:BY,MATCH(X28,Draft!BX:BX))="", X28, INDEX(Draft!BY:BY,MATCH(X28,Draft!BX:BX))),"")</f>
        <v>156</v>
      </c>
      <c r="Z28" t="str">
        <f>IFERROR(INDEX( 'Draft Pick Order'!$BF:$BF,MATCH(AA$2&amp;13,'Draft Pick Order'!$Y:$Y,0)),"")</f>
        <v/>
      </c>
      <c r="AA28" s="311" t="str">
        <f>IFERROR(IF(INDEX(Draft!BY:BY,MATCH(Z28,Draft!BX:BX))="", Z28, INDEX(Draft!BY:BY,MATCH(Z28,Draft!BX:BX))),"")</f>
        <v/>
      </c>
      <c r="AB28" t="str">
        <f>IFERROR(INDEX( 'Draft Pick Order'!$BF:$BF,MATCH(AC$2&amp;13,'Draft Pick Order'!$Y:$Y,0)),"")</f>
        <v/>
      </c>
      <c r="AC28" s="310" t="str">
        <f>IFERROR(IF(INDEX(Draft!BY:BY,MATCH(AB28,Draft!BX:BX))="", AB28, INDEX(Draft!BY:BY,MATCH(AB28,Draft!BX:BX))),"")</f>
        <v/>
      </c>
      <c r="AD28" t="str">
        <f>IFERROR(INDEX( 'Draft Pick Order'!$BF:$BF,MATCH(AE$2&amp;13,'Draft Pick Order'!$Y:$Y,0)),"")</f>
        <v/>
      </c>
      <c r="AE28" s="311" t="str">
        <f>IFERROR(IF(INDEX(Draft!BY:BY,MATCH(AD28,Draft!BX:BX))="", AD28, INDEX(Draft!BY:BY,MATCH(AD28,Draft!BX:BX))),"")</f>
        <v/>
      </c>
      <c r="AF28" t="str">
        <f>IFERROR(INDEX( 'Draft Pick Order'!$BF:$BF,MATCH(AG$2&amp;13,'Draft Pick Order'!$Y:$Y,0)),"")</f>
        <v/>
      </c>
      <c r="AG28" s="310" t="str">
        <f>IFERROR(IF(INDEX(Draft!BY:BY,MATCH(AF28,Draft!BX:BX))="", AF28, INDEX(Draft!BY:BY,MATCH(AF28,Draft!BX:BX))),"")</f>
        <v/>
      </c>
      <c r="AH28" s="338"/>
    </row>
    <row r="29" spans="1:34" ht="15" customHeight="1" x14ac:dyDescent="0.25">
      <c r="A29" s="686">
        <v>14</v>
      </c>
      <c r="C29" s="309" t="str">
        <f>IFERROR(INDEX(Draft!BZ:BZ,MATCH(B30,Draft!BX:BX)), "")</f>
        <v/>
      </c>
      <c r="E29" s="308" t="str">
        <f>IFERROR(INDEX(Draft!BZ:BZ,MATCH(D30,Draft!BX:BX)), "")</f>
        <v/>
      </c>
      <c r="G29" s="309" t="str">
        <f>IFERROR(INDEX(Draft!BZ:BZ,MATCH(F30,Draft!BX:BX)), "")</f>
        <v/>
      </c>
      <c r="I29" s="308" t="str">
        <f>IFERROR(INDEX(Draft!BZ:BZ,MATCH(H30,Draft!BX:BX)), "")</f>
        <v/>
      </c>
      <c r="K29" s="309" t="str">
        <f>IFERROR(INDEX(Draft!BZ:BZ,MATCH(J30,Draft!BX:BX)), "")</f>
        <v/>
      </c>
      <c r="M29" s="308" t="str">
        <f>IFERROR(INDEX(Draft!BZ:BZ,MATCH(L30,Draft!BX:BX)), "")</f>
        <v/>
      </c>
      <c r="O29" s="309" t="str">
        <f>IFERROR(INDEX(Draft!BZ:BZ,MATCH(N30,Draft!BX:BX)), "")</f>
        <v/>
      </c>
      <c r="Q29" s="308" t="str">
        <f>IFERROR(INDEX(Draft!BZ:BZ,MATCH(P30,Draft!BX:BX)), "")</f>
        <v/>
      </c>
      <c r="S29" s="309" t="str">
        <f>IFERROR(INDEX(Draft!BZ:BZ,MATCH(R30,Draft!BX:BX)), "")</f>
        <v/>
      </c>
      <c r="U29" s="308" t="str">
        <f>IFERROR(INDEX(Draft!BZ:BZ,MATCH(T30,Draft!BX:BX)), "")</f>
        <v/>
      </c>
      <c r="W29" s="309" t="str">
        <f>IFERROR(INDEX(Draft!BZ:BZ,MATCH(V30,Draft!BX:BX)), "")</f>
        <v/>
      </c>
      <c r="Y29" s="308" t="str">
        <f>IFERROR(INDEX(Draft!BZ:BZ,MATCH(X30,Draft!BX:BX)), "")</f>
        <v/>
      </c>
      <c r="AA29" s="309" t="str">
        <f>IFERROR(INDEX(Draft!BZ:BZ,MATCH(Z30,Draft!BX:BX)), "")</f>
        <v/>
      </c>
      <c r="AC29" s="308" t="str">
        <f>IFERROR(INDEX(Draft!BZ:BZ,MATCH(AB30,Draft!BX:BX)), "")</f>
        <v/>
      </c>
      <c r="AE29" s="309" t="str">
        <f>IFERROR(INDEX(Draft!BZ:BZ,MATCH(AD30,Draft!BX:BX)), "")</f>
        <v/>
      </c>
      <c r="AG29" s="308" t="str">
        <f>IFERROR(INDEX(Draft!BZ:BZ,MATCH(AF30,Draft!BX:BX)), "")</f>
        <v/>
      </c>
      <c r="AH29" s="338"/>
    </row>
    <row r="30" spans="1:34" ht="30" customHeight="1" thickBot="1" x14ac:dyDescent="0.3">
      <c r="A30" s="686"/>
      <c r="B30">
        <f>IFERROR(INDEX( 'Draft Pick Order'!$BF:$BF,MATCH(C$2&amp;14,'Draft Pick Order'!$Y:$Y,0)),"")</f>
        <v>168</v>
      </c>
      <c r="C30" s="311">
        <f>IFERROR(IF(INDEX(Draft!BY:BY,MATCH(B30,Draft!BX:BX))="", B30, INDEX(Draft!BY:BY,MATCH(B30,Draft!BX:BX))),"")</f>
        <v>168</v>
      </c>
      <c r="D30">
        <f>IFERROR(INDEX( 'Draft Pick Order'!$BF:$BF,MATCH(E$2&amp;14,'Draft Pick Order'!$Y:$Y,0)),"")</f>
        <v>167</v>
      </c>
      <c r="E30" s="310">
        <f>IFERROR(IF(INDEX(Draft!BY:BY,MATCH(D30,Draft!BX:BX))="", D30, INDEX(Draft!BY:BY,MATCH(D30,Draft!BX:BX))),"")</f>
        <v>167</v>
      </c>
      <c r="F30">
        <f>IFERROR(INDEX( 'Draft Pick Order'!$BF:$BF,MATCH(G$2&amp;14,'Draft Pick Order'!$Y:$Y,0)),"")</f>
        <v>166</v>
      </c>
      <c r="G30" s="311">
        <f>IFERROR(IF(INDEX(Draft!BY:BY,MATCH(F30,Draft!BX:BX))="", F30, INDEX(Draft!BY:BY,MATCH(F30,Draft!BX:BX))),"")</f>
        <v>166</v>
      </c>
      <c r="H30">
        <f>IFERROR(INDEX( 'Draft Pick Order'!$BF:$BF,MATCH(I$2&amp;14,'Draft Pick Order'!$Y:$Y,0)),"")</f>
        <v>165</v>
      </c>
      <c r="I30" s="310">
        <f>IFERROR(IF(INDEX(Draft!BY:BY,MATCH(H30,Draft!BX:BX))="", H30, INDEX(Draft!BY:BY,MATCH(H30,Draft!BX:BX))),"")</f>
        <v>165</v>
      </c>
      <c r="J30">
        <f>IFERROR(INDEX( 'Draft Pick Order'!$BF:$BF,MATCH(K$2&amp;14,'Draft Pick Order'!$Y:$Y,0)),"")</f>
        <v>164</v>
      </c>
      <c r="K30" s="311">
        <f>IFERROR(IF(INDEX(Draft!BY:BY,MATCH(J30,Draft!BX:BX))="", J30, INDEX(Draft!BY:BY,MATCH(J30,Draft!BX:BX))),"")</f>
        <v>164</v>
      </c>
      <c r="L30">
        <f>IFERROR(INDEX( 'Draft Pick Order'!$BF:$BF,MATCH(M$2&amp;14,'Draft Pick Order'!$Y:$Y,0)),"")</f>
        <v>163</v>
      </c>
      <c r="M30" s="310">
        <f>IFERROR(IF(INDEX(Draft!BY:BY,MATCH(L30,Draft!BX:BX))="", L30, INDEX(Draft!BY:BY,MATCH(L30,Draft!BX:BX))),"")</f>
        <v>163</v>
      </c>
      <c r="N30">
        <f>IFERROR(INDEX( 'Draft Pick Order'!$BF:$BF,MATCH(O$2&amp;14,'Draft Pick Order'!$Y:$Y,0)),"")</f>
        <v>162</v>
      </c>
      <c r="O30" s="311">
        <f>IFERROR(IF(INDEX(Draft!BY:BY,MATCH(N30,Draft!BX:BX))="", N30, INDEX(Draft!BY:BY,MATCH(N30,Draft!BX:BX))),"")</f>
        <v>162</v>
      </c>
      <c r="P30">
        <f>IFERROR(INDEX( 'Draft Pick Order'!$BF:$BF,MATCH(Q$2&amp;14,'Draft Pick Order'!$Y:$Y,0)),"")</f>
        <v>161</v>
      </c>
      <c r="Q30" s="310">
        <f>IFERROR(IF(INDEX(Draft!BY:BY,MATCH(P30,Draft!BX:BX))="", P30, INDEX(Draft!BY:BY,MATCH(P30,Draft!BX:BX))),"")</f>
        <v>161</v>
      </c>
      <c r="R30">
        <f>IFERROR(INDEX( 'Draft Pick Order'!$BF:$BF,MATCH(S$2&amp;14,'Draft Pick Order'!$Y:$Y,0)),"")</f>
        <v>160</v>
      </c>
      <c r="S30" s="311">
        <f>IFERROR(IF(INDEX(Draft!BY:BY,MATCH(R30,Draft!BX:BX))="", R30, INDEX(Draft!BY:BY,MATCH(R30,Draft!BX:BX))),"")</f>
        <v>160</v>
      </c>
      <c r="T30">
        <f>IFERROR(INDEX( 'Draft Pick Order'!$BF:$BF,MATCH(U$2&amp;14,'Draft Pick Order'!$Y:$Y,0)),"")</f>
        <v>159</v>
      </c>
      <c r="U30" s="310">
        <f>IFERROR(IF(INDEX(Draft!BY:BY,MATCH(T30,Draft!BX:BX))="", T30, INDEX(Draft!BY:BY,MATCH(T30,Draft!BX:BX))),"")</f>
        <v>159</v>
      </c>
      <c r="V30">
        <f>IFERROR(INDEX( 'Draft Pick Order'!$BF:$BF,MATCH(W$2&amp;14,'Draft Pick Order'!$Y:$Y,0)),"")</f>
        <v>158</v>
      </c>
      <c r="W30" s="311">
        <f>IFERROR(IF(INDEX(Draft!BY:BY,MATCH(V30,Draft!BX:BX))="", V30, INDEX(Draft!BY:BY,MATCH(V30,Draft!BX:BX))),"")</f>
        <v>158</v>
      </c>
      <c r="X30">
        <f>IFERROR(INDEX( 'Draft Pick Order'!$BF:$BF,MATCH(Y$2&amp;14,'Draft Pick Order'!$Y:$Y,0)),"")</f>
        <v>157</v>
      </c>
      <c r="Y30" s="310">
        <f>IFERROR(IF(INDEX(Draft!BY:BY,MATCH(X30,Draft!BX:BX))="", X30, INDEX(Draft!BY:BY,MATCH(X30,Draft!BX:BX))),"")</f>
        <v>157</v>
      </c>
      <c r="Z30" t="str">
        <f>IFERROR(INDEX( 'Draft Pick Order'!$BF:$BF,MATCH(AA$2&amp;14,'Draft Pick Order'!$Y:$Y,0)),"")</f>
        <v/>
      </c>
      <c r="AA30" s="311" t="str">
        <f>IFERROR(IF(INDEX(Draft!BY:BY,MATCH(Z30,Draft!BX:BX))="", Z30, INDEX(Draft!BY:BY,MATCH(Z30,Draft!BX:BX))),"")</f>
        <v/>
      </c>
      <c r="AB30" t="str">
        <f>IFERROR(INDEX( 'Draft Pick Order'!$BF:$BF,MATCH(AC$2&amp;14,'Draft Pick Order'!$Y:$Y,0)),"")</f>
        <v/>
      </c>
      <c r="AC30" s="310" t="str">
        <f>IFERROR(IF(INDEX(Draft!BY:BY,MATCH(AB30,Draft!BX:BX))="", AB30, INDEX(Draft!BY:BY,MATCH(AB30,Draft!BX:BX))),"")</f>
        <v/>
      </c>
      <c r="AD30" t="str">
        <f>IFERROR(INDEX( 'Draft Pick Order'!$BF:$BF,MATCH(AE$2&amp;14,'Draft Pick Order'!$Y:$Y,0)),"")</f>
        <v/>
      </c>
      <c r="AE30" s="311" t="str">
        <f>IFERROR(IF(INDEX(Draft!BY:BY,MATCH(AD30,Draft!BX:BX))="", AD30, INDEX(Draft!BY:BY,MATCH(AD30,Draft!BX:BX))),"")</f>
        <v/>
      </c>
      <c r="AF30" t="str">
        <f>IFERROR(INDEX( 'Draft Pick Order'!$BF:$BF,MATCH(AG$2&amp;14,'Draft Pick Order'!$Y:$Y,0)),"")</f>
        <v/>
      </c>
      <c r="AG30" s="310" t="str">
        <f>IFERROR(IF(INDEX(Draft!BY:BY,MATCH(AF30,Draft!BX:BX))="", AF30, INDEX(Draft!BY:BY,MATCH(AF30,Draft!BX:BX))),"")</f>
        <v/>
      </c>
      <c r="AH30" s="338"/>
    </row>
    <row r="31" spans="1:34" ht="15" customHeight="1" x14ac:dyDescent="0.25">
      <c r="A31" s="686">
        <v>15</v>
      </c>
      <c r="C31" s="309" t="str">
        <f>IFERROR(INDEX(Draft!BZ:BZ,MATCH(B32,Draft!BX:BX)), "")</f>
        <v/>
      </c>
      <c r="E31" s="308" t="str">
        <f>IFERROR(INDEX(Draft!BZ:BZ,MATCH(D32,Draft!BX:BX)), "")</f>
        <v/>
      </c>
      <c r="G31" s="309" t="str">
        <f>IFERROR(INDEX(Draft!BZ:BZ,MATCH(F32,Draft!BX:BX)), "")</f>
        <v/>
      </c>
      <c r="I31" s="308" t="str">
        <f>IFERROR(INDEX(Draft!BZ:BZ,MATCH(H32,Draft!BX:BX)), "")</f>
        <v/>
      </c>
      <c r="K31" s="309" t="str">
        <f>IFERROR(INDEX(Draft!BZ:BZ,MATCH(J32,Draft!BX:BX)), "")</f>
        <v/>
      </c>
      <c r="M31" s="312" t="str">
        <f>IFERROR(INDEX(Draft!BZ:BZ,MATCH(L32,Draft!BX:BX)), "")</f>
        <v/>
      </c>
      <c r="O31" s="309" t="str">
        <f>IFERROR(INDEX(Draft!BZ:BZ,MATCH(N32,Draft!BX:BX)), "")</f>
        <v/>
      </c>
      <c r="Q31" s="308" t="str">
        <f>IFERROR(INDEX(Draft!BZ:BZ,MATCH(P32,Draft!BX:BX)), "")</f>
        <v/>
      </c>
      <c r="S31" s="309" t="str">
        <f>IFERROR(INDEX(Draft!BZ:BZ,MATCH(R32,Draft!BX:BX)), "")</f>
        <v/>
      </c>
      <c r="U31" s="308" t="str">
        <f>IFERROR(INDEX(Draft!BZ:BZ,MATCH(T32,Draft!BX:BX)), "")</f>
        <v/>
      </c>
      <c r="W31" s="309" t="str">
        <f>IFERROR(INDEX(Draft!BZ:BZ,MATCH(V32,Draft!BX:BX)), "")</f>
        <v/>
      </c>
      <c r="Y31" s="308" t="str">
        <f>IFERROR(INDEX(Draft!BZ:BZ,MATCH(X32,Draft!BX:BX)), "")</f>
        <v/>
      </c>
      <c r="AA31" s="309" t="str">
        <f>IFERROR(INDEX(Draft!BZ:BZ,MATCH(Z32,Draft!BX:BX)), "")</f>
        <v/>
      </c>
      <c r="AC31" s="308" t="str">
        <f>IFERROR(INDEX(Draft!BZ:BZ,MATCH(AB32,Draft!BX:BX)), "")</f>
        <v/>
      </c>
      <c r="AE31" s="309" t="str">
        <f>IFERROR(INDEX(Draft!BZ:BZ,MATCH(AD32,Draft!BX:BX)), "")</f>
        <v/>
      </c>
      <c r="AG31" s="308" t="str">
        <f>IFERROR(INDEX(Draft!BZ:BZ,MATCH(AF32,Draft!BX:BX)), "")</f>
        <v/>
      </c>
      <c r="AH31" s="338"/>
    </row>
    <row r="32" spans="1:34" ht="30" customHeight="1" thickBot="1" x14ac:dyDescent="0.3">
      <c r="A32" s="686"/>
      <c r="B32">
        <f>IFERROR(INDEX( 'Draft Pick Order'!$BF:$BF,MATCH(C$2&amp;15,'Draft Pick Order'!$Y:$Y,0)),"")</f>
        <v>169</v>
      </c>
      <c r="C32" s="311">
        <f>IFERROR(IF(INDEX(Draft!BY:BY,MATCH(B32,Draft!BX:BX))="", B32, INDEX(Draft!BY:BY,MATCH(B32,Draft!BX:BX))),"")</f>
        <v>169</v>
      </c>
      <c r="D32">
        <f>IFERROR(INDEX( 'Draft Pick Order'!$BF:$BF,MATCH(E$2&amp;15,'Draft Pick Order'!$Y:$Y,0)),"")</f>
        <v>170</v>
      </c>
      <c r="E32" s="310">
        <f>IFERROR(IF(INDEX(Draft!BY:BY,MATCH(D32,Draft!BX:BX))="", D32, INDEX(Draft!BY:BY,MATCH(D32,Draft!BX:BX))),"")</f>
        <v>170</v>
      </c>
      <c r="F32">
        <f>IFERROR(INDEX( 'Draft Pick Order'!$BF:$BF,MATCH(G$2&amp;15,'Draft Pick Order'!$Y:$Y,0)),"")</f>
        <v>171</v>
      </c>
      <c r="G32" s="311">
        <f>IFERROR(IF(INDEX(Draft!BY:BY,MATCH(F32,Draft!BX:BX))="", F32, INDEX(Draft!BY:BY,MATCH(F32,Draft!BX:BX))),"")</f>
        <v>171</v>
      </c>
      <c r="H32">
        <f>IFERROR(INDEX( 'Draft Pick Order'!$BF:$BF,MATCH(I$2&amp;15,'Draft Pick Order'!$Y:$Y,0)),"")</f>
        <v>172</v>
      </c>
      <c r="I32" s="310">
        <f>IFERROR(IF(INDEX(Draft!BY:BY,MATCH(H32,Draft!BX:BX))="", H32, INDEX(Draft!BY:BY,MATCH(H32,Draft!BX:BX))),"")</f>
        <v>172</v>
      </c>
      <c r="J32">
        <f>IFERROR(INDEX( 'Draft Pick Order'!$BF:$BF,MATCH(K$2&amp;15,'Draft Pick Order'!$Y:$Y,0)),"")</f>
        <v>173</v>
      </c>
      <c r="K32" s="311">
        <f>IFERROR(IF(INDEX(Draft!BY:BY,MATCH(J32,Draft!BX:BX))="", J32, INDEX(Draft!BY:BY,MATCH(J32,Draft!BX:BX))),"")</f>
        <v>173</v>
      </c>
      <c r="L32">
        <f>IFERROR(INDEX( 'Draft Pick Order'!$BF:$BF,MATCH(M$2&amp;15,'Draft Pick Order'!$Y:$Y,0)),"")</f>
        <v>174</v>
      </c>
      <c r="M32" s="310">
        <f>IFERROR(IF(INDEX(Draft!BY:BY,MATCH(L32,Draft!BX:BX))="", L32, INDEX(Draft!BY:BY,MATCH(L32,Draft!BX:BX))),"")</f>
        <v>174</v>
      </c>
      <c r="N32">
        <f>IFERROR(INDEX( 'Draft Pick Order'!$BF:$BF,MATCH(O$2&amp;15,'Draft Pick Order'!$Y:$Y,0)),"")</f>
        <v>175</v>
      </c>
      <c r="O32" s="311">
        <f>IFERROR(IF(INDEX(Draft!BY:BY,MATCH(N32,Draft!BX:BX))="", N32, INDEX(Draft!BY:BY,MATCH(N32,Draft!BX:BX))),"")</f>
        <v>175</v>
      </c>
      <c r="P32">
        <f>IFERROR(INDEX( 'Draft Pick Order'!$BF:$BF,MATCH(Q$2&amp;15,'Draft Pick Order'!$Y:$Y,0)),"")</f>
        <v>176</v>
      </c>
      <c r="Q32" s="310">
        <f>IFERROR(IF(INDEX(Draft!BY:BY,MATCH(P32,Draft!BX:BX))="", P32, INDEX(Draft!BY:BY,MATCH(P32,Draft!BX:BX))),"")</f>
        <v>176</v>
      </c>
      <c r="R32">
        <f>IFERROR(INDEX( 'Draft Pick Order'!$BF:$BF,MATCH(S$2&amp;15,'Draft Pick Order'!$Y:$Y,0)),"")</f>
        <v>177</v>
      </c>
      <c r="S32" s="311">
        <f>IFERROR(IF(INDEX(Draft!BY:BY,MATCH(R32,Draft!BX:BX))="", R32, INDEX(Draft!BY:BY,MATCH(R32,Draft!BX:BX))),"")</f>
        <v>177</v>
      </c>
      <c r="T32">
        <f>IFERROR(INDEX( 'Draft Pick Order'!$BF:$BF,MATCH(U$2&amp;15,'Draft Pick Order'!$Y:$Y,0)),"")</f>
        <v>178</v>
      </c>
      <c r="U32" s="310">
        <f>IFERROR(IF(INDEX(Draft!BY:BY,MATCH(T32,Draft!BX:BX))="", T32, INDEX(Draft!BY:BY,MATCH(T32,Draft!BX:BX))),"")</f>
        <v>178</v>
      </c>
      <c r="V32">
        <f>IFERROR(INDEX( 'Draft Pick Order'!$BF:$BF,MATCH(W$2&amp;15,'Draft Pick Order'!$Y:$Y,0)),"")</f>
        <v>179</v>
      </c>
      <c r="W32" s="311">
        <f>IFERROR(IF(INDEX(Draft!BY:BY,MATCH(V32,Draft!BX:BX))="", V32, INDEX(Draft!BY:BY,MATCH(V32,Draft!BX:BX))),"")</f>
        <v>179</v>
      </c>
      <c r="X32">
        <f>IFERROR(INDEX( 'Draft Pick Order'!$BF:$BF,MATCH(Y$2&amp;15,'Draft Pick Order'!$Y:$Y,0)),"")</f>
        <v>180</v>
      </c>
      <c r="Y32" s="310">
        <f>IFERROR(IF(INDEX(Draft!BY:BY,MATCH(X32,Draft!BX:BX))="", X32, INDEX(Draft!BY:BY,MATCH(X32,Draft!BX:BX))),"")</f>
        <v>180</v>
      </c>
      <c r="Z32" t="str">
        <f>IFERROR(INDEX( 'Draft Pick Order'!$BF:$BF,MATCH(AA$2&amp;15,'Draft Pick Order'!$Y:$Y,0)),"")</f>
        <v/>
      </c>
      <c r="AA32" s="311" t="str">
        <f>IFERROR(IF(INDEX(Draft!BY:BY,MATCH(Z32,Draft!BX:BX))="", Z32, INDEX(Draft!BY:BY,MATCH(Z32,Draft!BX:BX))),"")</f>
        <v/>
      </c>
      <c r="AB32" t="str">
        <f>IFERROR(INDEX( 'Draft Pick Order'!$BF:$BF,MATCH(AC$2&amp;15,'Draft Pick Order'!$Y:$Y,0)),"")</f>
        <v/>
      </c>
      <c r="AC32" s="310" t="str">
        <f>IFERROR(IF(INDEX(Draft!BY:BY,MATCH(AB32,Draft!BX:BX))="", AB32, INDEX(Draft!BY:BY,MATCH(AB32,Draft!BX:BX))),"")</f>
        <v/>
      </c>
      <c r="AD32" t="str">
        <f>IFERROR(INDEX( 'Draft Pick Order'!$BF:$BF,MATCH(AE$2&amp;15,'Draft Pick Order'!$Y:$Y,0)),"")</f>
        <v/>
      </c>
      <c r="AE32" s="311" t="str">
        <f>IFERROR(IF(INDEX(Draft!BY:BY,MATCH(AD32,Draft!BX:BX))="", AD32, INDEX(Draft!BY:BY,MATCH(AD32,Draft!BX:BX))),"")</f>
        <v/>
      </c>
      <c r="AF32" t="str">
        <f>IFERROR(INDEX( 'Draft Pick Order'!$BF:$BF,MATCH(AG$2&amp;15,'Draft Pick Order'!$Y:$Y,0)),"")</f>
        <v/>
      </c>
      <c r="AG32" s="310" t="str">
        <f>IFERROR(IF(INDEX(Draft!BY:BY,MATCH(AF32,Draft!BX:BX))="", AF32, INDEX(Draft!BY:BY,MATCH(AF32,Draft!BX:BX))),"")</f>
        <v/>
      </c>
      <c r="AH32" s="338"/>
    </row>
    <row r="33" spans="1:34" ht="15" customHeight="1" x14ac:dyDescent="0.25">
      <c r="A33" s="686">
        <v>16</v>
      </c>
      <c r="C33" s="309" t="str">
        <f>IFERROR(INDEX(Draft!BZ:BZ,MATCH(B34,Draft!BX:BX)), "")</f>
        <v/>
      </c>
      <c r="E33" s="308" t="str">
        <f>IFERROR(INDEX(Draft!BZ:BZ,MATCH(D34,Draft!BX:BX)), "")</f>
        <v/>
      </c>
      <c r="G33" s="309" t="str">
        <f>IFERROR(INDEX(Draft!BZ:BZ,MATCH(F34,Draft!BX:BX)), "")</f>
        <v/>
      </c>
      <c r="I33" s="308" t="str">
        <f>IFERROR(INDEX(Draft!BZ:BZ,MATCH(H34,Draft!BX:BX)), "")</f>
        <v/>
      </c>
      <c r="K33" s="309" t="str">
        <f>IFERROR(INDEX(Draft!BZ:BZ,MATCH(J34,Draft!BX:BX)), "")</f>
        <v/>
      </c>
      <c r="M33" s="312" t="str">
        <f>IFERROR(INDEX(Draft!BZ:BZ,MATCH(L34,Draft!BX:BX)), "")</f>
        <v/>
      </c>
      <c r="O33" s="309" t="str">
        <f>IFERROR(INDEX(Draft!BZ:BZ,MATCH(N34,Draft!BX:BX)), "")</f>
        <v/>
      </c>
      <c r="Q33" s="308" t="str">
        <f>IFERROR(INDEX(Draft!BZ:BZ,MATCH(P34,Draft!BX:BX)), "")</f>
        <v/>
      </c>
      <c r="S33" s="309" t="str">
        <f>IFERROR(INDEX(Draft!BZ:BZ,MATCH(R34,Draft!BX:BX)), "")</f>
        <v/>
      </c>
      <c r="U33" s="308" t="str">
        <f>IFERROR(INDEX(Draft!BZ:BZ,MATCH(T34,Draft!BX:BX)), "")</f>
        <v/>
      </c>
      <c r="W33" s="309" t="str">
        <f>IFERROR(INDEX(Draft!BZ:BZ,MATCH(V34,Draft!BX:BX)), "")</f>
        <v/>
      </c>
      <c r="Y33" s="308" t="str">
        <f>IFERROR(INDEX(Draft!BZ:BZ,MATCH(X34,Draft!BX:BX)), "")</f>
        <v/>
      </c>
      <c r="AA33" s="309" t="str">
        <f>IFERROR(INDEX(Draft!BZ:BZ,MATCH(Z34,Draft!BX:BX)), "")</f>
        <v/>
      </c>
      <c r="AC33" s="308" t="str">
        <f>IFERROR(INDEX(Draft!BZ:BZ,MATCH(AB34,Draft!BX:BX)), "")</f>
        <v/>
      </c>
      <c r="AE33" s="309" t="str">
        <f>IFERROR(INDEX(Draft!BZ:BZ,MATCH(AD34,Draft!BX:BX)), "")</f>
        <v/>
      </c>
      <c r="AG33" s="308" t="str">
        <f>IFERROR(INDEX(Draft!BZ:BZ,MATCH(AF34,Draft!BX:BX)), "")</f>
        <v/>
      </c>
      <c r="AH33" s="338"/>
    </row>
    <row r="34" spans="1:34" ht="30" customHeight="1" thickBot="1" x14ac:dyDescent="0.3">
      <c r="A34" s="686"/>
      <c r="B34">
        <f>IFERROR(INDEX( 'Draft Pick Order'!$BF:$BF,MATCH(C$2&amp;16,'Draft Pick Order'!$Y:$Y,0)),"")</f>
        <v>192</v>
      </c>
      <c r="C34" s="311">
        <f>IFERROR(IF(INDEX(Draft!BY:BY,MATCH(B34,Draft!BX:BX))="", B34, INDEX(Draft!BY:BY,MATCH(B34,Draft!BX:BX))),"")</f>
        <v>192</v>
      </c>
      <c r="D34">
        <f>IFERROR(INDEX( 'Draft Pick Order'!$BF:$BF,MATCH(E$2&amp;16,'Draft Pick Order'!$Y:$Y,0)),"")</f>
        <v>191</v>
      </c>
      <c r="E34" s="310">
        <f>IFERROR(IF(INDEX(Draft!BY:BY,MATCH(D34,Draft!BX:BX))="", D34, INDEX(Draft!BY:BY,MATCH(D34,Draft!BX:BX))),"")</f>
        <v>191</v>
      </c>
      <c r="F34">
        <f>IFERROR(INDEX( 'Draft Pick Order'!$BF:$BF,MATCH(G$2&amp;16,'Draft Pick Order'!$Y:$Y,0)),"")</f>
        <v>190</v>
      </c>
      <c r="G34" s="311">
        <f>IFERROR(IF(INDEX(Draft!BY:BY,MATCH(F34,Draft!BX:BX))="", F34, INDEX(Draft!BY:BY,MATCH(F34,Draft!BX:BX))),"")</f>
        <v>190</v>
      </c>
      <c r="H34">
        <f>IFERROR(INDEX( 'Draft Pick Order'!$BF:$BF,MATCH(I$2&amp;16,'Draft Pick Order'!$Y:$Y,0)),"")</f>
        <v>189</v>
      </c>
      <c r="I34" s="310">
        <f>IFERROR(IF(INDEX(Draft!BY:BY,MATCH(H34,Draft!BX:BX))="", H34, INDEX(Draft!BY:BY,MATCH(H34,Draft!BX:BX))),"")</f>
        <v>189</v>
      </c>
      <c r="J34">
        <f>IFERROR(INDEX( 'Draft Pick Order'!$BF:$BF,MATCH(K$2&amp;16,'Draft Pick Order'!$Y:$Y,0)),"")</f>
        <v>188</v>
      </c>
      <c r="K34" s="311">
        <f>IFERROR(IF(INDEX(Draft!BY:BY,MATCH(J34,Draft!BX:BX))="", J34, INDEX(Draft!BY:BY,MATCH(J34,Draft!BX:BX))),"")</f>
        <v>188</v>
      </c>
      <c r="L34">
        <f>IFERROR(INDEX( 'Draft Pick Order'!$BF:$BF,MATCH(M$2&amp;16,'Draft Pick Order'!$Y:$Y,0)),"")</f>
        <v>187</v>
      </c>
      <c r="M34" s="310">
        <f>IFERROR(IF(INDEX(Draft!BY:BY,MATCH(L34,Draft!BX:BX))="", L34, INDEX(Draft!BY:BY,MATCH(L34,Draft!BX:BX))),"")</f>
        <v>187</v>
      </c>
      <c r="N34">
        <f>IFERROR(INDEX( 'Draft Pick Order'!$BF:$BF,MATCH(O$2&amp;16,'Draft Pick Order'!$Y:$Y,0)),"")</f>
        <v>186</v>
      </c>
      <c r="O34" s="311">
        <f>IFERROR(IF(INDEX(Draft!BY:BY,MATCH(N34,Draft!BX:BX))="", N34, INDEX(Draft!BY:BY,MATCH(N34,Draft!BX:BX))),"")</f>
        <v>186</v>
      </c>
      <c r="P34">
        <f>IFERROR(INDEX( 'Draft Pick Order'!$BF:$BF,MATCH(Q$2&amp;16,'Draft Pick Order'!$Y:$Y,0)),"")</f>
        <v>185</v>
      </c>
      <c r="Q34" s="310">
        <f>IFERROR(IF(INDEX(Draft!BY:BY,MATCH(P34,Draft!BX:BX))="", P34, INDEX(Draft!BY:BY,MATCH(P34,Draft!BX:BX))),"")</f>
        <v>185</v>
      </c>
      <c r="R34">
        <f>IFERROR(INDEX( 'Draft Pick Order'!$BF:$BF,MATCH(S$2&amp;16,'Draft Pick Order'!$Y:$Y,0)),"")</f>
        <v>184</v>
      </c>
      <c r="S34" s="311">
        <f>IFERROR(IF(INDEX(Draft!BY:BY,MATCH(R34,Draft!BX:BX))="", R34, INDEX(Draft!BY:BY,MATCH(R34,Draft!BX:BX))),"")</f>
        <v>184</v>
      </c>
      <c r="T34">
        <f>IFERROR(INDEX( 'Draft Pick Order'!$BF:$BF,MATCH(U$2&amp;16,'Draft Pick Order'!$Y:$Y,0)),"")</f>
        <v>183</v>
      </c>
      <c r="U34" s="310">
        <f>IFERROR(IF(INDEX(Draft!BY:BY,MATCH(T34,Draft!BX:BX))="", T34, INDEX(Draft!BY:BY,MATCH(T34,Draft!BX:BX))),"")</f>
        <v>183</v>
      </c>
      <c r="V34">
        <f>IFERROR(INDEX( 'Draft Pick Order'!$BF:$BF,MATCH(W$2&amp;16,'Draft Pick Order'!$Y:$Y,0)),"")</f>
        <v>182</v>
      </c>
      <c r="W34" s="311">
        <f>IFERROR(IF(INDEX(Draft!BY:BY,MATCH(V34,Draft!BX:BX))="", V34, INDEX(Draft!BY:BY,MATCH(V34,Draft!BX:BX))),"")</f>
        <v>182</v>
      </c>
      <c r="X34">
        <f>IFERROR(INDEX( 'Draft Pick Order'!$BF:$BF,MATCH(Y$2&amp;16,'Draft Pick Order'!$Y:$Y,0)),"")</f>
        <v>181</v>
      </c>
      <c r="Y34" s="310">
        <f>IFERROR(IF(INDEX(Draft!BY:BY,MATCH(X34,Draft!BX:BX))="", X34, INDEX(Draft!BY:BY,MATCH(X34,Draft!BX:BX))),"")</f>
        <v>181</v>
      </c>
      <c r="Z34" t="str">
        <f>IFERROR(INDEX( 'Draft Pick Order'!$BF:$BF,MATCH(AA$2&amp;16,'Draft Pick Order'!$Y:$Y,0)),"")</f>
        <v/>
      </c>
      <c r="AA34" s="311" t="str">
        <f>IFERROR(IF(INDEX(Draft!BY:BY,MATCH(Z34,Draft!BX:BX))="", Z34, INDEX(Draft!BY:BY,MATCH(Z34,Draft!BX:BX))),"")</f>
        <v/>
      </c>
      <c r="AB34" t="str">
        <f>IFERROR(INDEX( 'Draft Pick Order'!$BF:$BF,MATCH(AC$2&amp;16,'Draft Pick Order'!$Y:$Y,0)),"")</f>
        <v/>
      </c>
      <c r="AC34" s="310" t="str">
        <f>IFERROR(IF(INDEX(Draft!BY:BY,MATCH(AB34,Draft!BX:BX))="", AB34, INDEX(Draft!BY:BY,MATCH(AB34,Draft!BX:BX))),"")</f>
        <v/>
      </c>
      <c r="AD34" t="str">
        <f>IFERROR(INDEX( 'Draft Pick Order'!$BF:$BF,MATCH(AE$2&amp;16,'Draft Pick Order'!$Y:$Y,0)),"")</f>
        <v/>
      </c>
      <c r="AE34" s="311" t="str">
        <f>IFERROR(IF(INDEX(Draft!BY:BY,MATCH(AD34,Draft!BX:BX))="", AD34, INDEX(Draft!BY:BY,MATCH(AD34,Draft!BX:BX))),"")</f>
        <v/>
      </c>
      <c r="AF34" t="str">
        <f>IFERROR(INDEX( 'Draft Pick Order'!$BF:$BF,MATCH(AG$2&amp;16,'Draft Pick Order'!$Y:$Y,0)),"")</f>
        <v/>
      </c>
      <c r="AG34" s="310" t="str">
        <f>IFERROR(IF(INDEX(Draft!BY:BY,MATCH(AF34,Draft!BX:BX))="", AF34, INDEX(Draft!BY:BY,MATCH(AF34,Draft!BX:BX))),"")</f>
        <v/>
      </c>
      <c r="AH34" s="338"/>
    </row>
    <row r="35" spans="1:34" ht="15" customHeight="1" x14ac:dyDescent="0.25">
      <c r="A35" s="686">
        <v>17</v>
      </c>
      <c r="C35" s="309" t="str">
        <f>IFERROR(INDEX(Draft!BZ:BZ,MATCH(B36,Draft!BX:BX)), "")</f>
        <v/>
      </c>
      <c r="E35" s="308" t="str">
        <f>IFERROR(INDEX(Draft!BZ:BZ,MATCH(D36,Draft!BX:BX)), "")</f>
        <v/>
      </c>
      <c r="G35" s="309" t="str">
        <f>IFERROR(INDEX(Draft!BZ:BZ,MATCH(F36,Draft!BX:BX)), "")</f>
        <v/>
      </c>
      <c r="I35" s="308" t="str">
        <f>IFERROR(INDEX(Draft!BZ:BZ,MATCH(H36,Draft!BX:BX)), "")</f>
        <v/>
      </c>
      <c r="K35" s="309" t="str">
        <f>IFERROR(INDEX(Draft!BZ:BZ,MATCH(J36,Draft!BX:BX)), "")</f>
        <v/>
      </c>
      <c r="M35" s="312" t="str">
        <f>IFERROR(INDEX(Draft!BZ:BZ,MATCH(L36,Draft!BX:BX)), "")</f>
        <v/>
      </c>
      <c r="O35" s="309" t="str">
        <f>IFERROR(INDEX(Draft!BZ:BZ,MATCH(N36,Draft!BX:BX)), "")</f>
        <v/>
      </c>
      <c r="Q35" s="308" t="str">
        <f>IFERROR(INDEX(Draft!BZ:BZ,MATCH(P36,Draft!BX:BX)), "")</f>
        <v/>
      </c>
      <c r="S35" s="309" t="str">
        <f>IFERROR(INDEX(Draft!BZ:BZ,MATCH(R36,Draft!BX:BX)), "")</f>
        <v/>
      </c>
      <c r="U35" s="308" t="str">
        <f>IFERROR(INDEX(Draft!BZ:BZ,MATCH(T36,Draft!BX:BX)), "")</f>
        <v/>
      </c>
      <c r="W35" s="309" t="str">
        <f>IFERROR(INDEX(Draft!BZ:BZ,MATCH(V36,Draft!BX:BX)), "")</f>
        <v/>
      </c>
      <c r="Y35" s="308" t="str">
        <f>IFERROR(INDEX(Draft!BZ:BZ,MATCH(X36,Draft!BX:BX)), "")</f>
        <v/>
      </c>
      <c r="AA35" s="309" t="str">
        <f>IFERROR(INDEX(Draft!BZ:BZ,MATCH(Z36,Draft!BX:BX)), "")</f>
        <v/>
      </c>
      <c r="AC35" s="308" t="str">
        <f>IFERROR(INDEX(Draft!BZ:BZ,MATCH(AB36,Draft!BX:BX)), "")</f>
        <v/>
      </c>
      <c r="AE35" s="309" t="str">
        <f>IFERROR(INDEX(Draft!BZ:BZ,MATCH(AD36,Draft!BX:BX)), "")</f>
        <v/>
      </c>
      <c r="AG35" s="308" t="str">
        <f>IFERROR(INDEX(Draft!BZ:BZ,MATCH(AF36,Draft!BX:BX)), "")</f>
        <v/>
      </c>
      <c r="AH35" s="338"/>
    </row>
    <row r="36" spans="1:34" ht="30.75" customHeight="1" thickBot="1" x14ac:dyDescent="0.3">
      <c r="A36" s="686"/>
      <c r="B36">
        <f>IFERROR(INDEX( 'Draft Pick Order'!$BF:$BF,MATCH(C$2&amp;17,'Draft Pick Order'!$Y:$Y,0)),"")</f>
        <v>193</v>
      </c>
      <c r="C36" s="311">
        <f>IFERROR(IF(INDEX(Draft!BY:BY,MATCH(B36,Draft!BX:BX))="", B36, INDEX(Draft!BY:BY,MATCH(B36,Draft!BX:BX))),"")</f>
        <v>193</v>
      </c>
      <c r="D36">
        <f>IFERROR(INDEX( 'Draft Pick Order'!$BF:$BF,MATCH(E$2&amp;17,'Draft Pick Order'!$Y:$Y,0)),"")</f>
        <v>194</v>
      </c>
      <c r="E36" s="310">
        <f>IFERROR(IF(INDEX(Draft!BY:BY,MATCH(D36,Draft!BX:BX))="", D36, INDEX(Draft!BY:BY,MATCH(D36,Draft!BX:BX))),"")</f>
        <v>194</v>
      </c>
      <c r="F36">
        <f>IFERROR(INDEX( 'Draft Pick Order'!$BF:$BF,MATCH(G$2&amp;17,'Draft Pick Order'!$Y:$Y,0)),"")</f>
        <v>195</v>
      </c>
      <c r="G36" s="311">
        <f>IFERROR(IF(INDEX(Draft!BY:BY,MATCH(F36,Draft!BX:BX))="", F36, INDEX(Draft!BY:BY,MATCH(F36,Draft!BX:BX))),"")</f>
        <v>195</v>
      </c>
      <c r="H36">
        <f>IFERROR(INDEX( 'Draft Pick Order'!$BF:$BF,MATCH(I$2&amp;17,'Draft Pick Order'!$Y:$Y,0)),"")</f>
        <v>196</v>
      </c>
      <c r="I36" s="310">
        <f>IFERROR(IF(INDEX(Draft!BY:BY,MATCH(H36,Draft!BX:BX))="", H36, INDEX(Draft!BY:BY,MATCH(H36,Draft!BX:BX))),"")</f>
        <v>196</v>
      </c>
      <c r="J36">
        <f>IFERROR(INDEX( 'Draft Pick Order'!$BF:$BF,MATCH(K$2&amp;17,'Draft Pick Order'!$Y:$Y,0)),"")</f>
        <v>197</v>
      </c>
      <c r="K36" s="311">
        <f>IFERROR(IF(INDEX(Draft!BY:BY,MATCH(J36,Draft!BX:BX))="", J36, INDEX(Draft!BY:BY,MATCH(J36,Draft!BX:BX))),"")</f>
        <v>197</v>
      </c>
      <c r="L36">
        <f>IFERROR(INDEX( 'Draft Pick Order'!$BF:$BF,MATCH(M$2&amp;17,'Draft Pick Order'!$Y:$Y,0)),"")</f>
        <v>198</v>
      </c>
      <c r="M36" s="310">
        <f>IFERROR(IF(INDEX(Draft!BY:BY,MATCH(L36,Draft!BX:BX))="", L36, INDEX(Draft!BY:BY,MATCH(L36,Draft!BX:BX))),"")</f>
        <v>198</v>
      </c>
      <c r="N36">
        <f>IFERROR(INDEX( 'Draft Pick Order'!$BF:$BF,MATCH(O$2&amp;17,'Draft Pick Order'!$Y:$Y,0)),"")</f>
        <v>199</v>
      </c>
      <c r="O36" s="311">
        <f>IFERROR(IF(INDEX(Draft!BY:BY,MATCH(N36,Draft!BX:BX))="", N36, INDEX(Draft!BY:BY,MATCH(N36,Draft!BX:BX))),"")</f>
        <v>199</v>
      </c>
      <c r="P36">
        <f>IFERROR(INDEX( 'Draft Pick Order'!$BF:$BF,MATCH(Q$2&amp;17,'Draft Pick Order'!$Y:$Y,0)),"")</f>
        <v>200</v>
      </c>
      <c r="Q36" s="310">
        <f>IFERROR(IF(INDEX(Draft!BY:BY,MATCH(P36,Draft!BX:BX))="", P36, INDEX(Draft!BY:BY,MATCH(P36,Draft!BX:BX))),"")</f>
        <v>200</v>
      </c>
      <c r="R36">
        <f>IFERROR(INDEX( 'Draft Pick Order'!$BF:$BF,MATCH(S$2&amp;17,'Draft Pick Order'!$Y:$Y,0)),"")</f>
        <v>201</v>
      </c>
      <c r="S36" s="311">
        <f>IFERROR(IF(INDEX(Draft!BY:BY,MATCH(R36,Draft!BX:BX))="", R36, INDEX(Draft!BY:BY,MATCH(R36,Draft!BX:BX))),"")</f>
        <v>201</v>
      </c>
      <c r="T36">
        <f>IFERROR(INDEX( 'Draft Pick Order'!$BF:$BF,MATCH(U$2&amp;17,'Draft Pick Order'!$Y:$Y,0)),"")</f>
        <v>202</v>
      </c>
      <c r="U36" s="310">
        <f>IFERROR(IF(INDEX(Draft!BY:BY,MATCH(T36,Draft!BX:BX))="", T36, INDEX(Draft!BY:BY,MATCH(T36,Draft!BX:BX))),"")</f>
        <v>202</v>
      </c>
      <c r="V36">
        <f>IFERROR(INDEX( 'Draft Pick Order'!$BF:$BF,MATCH(W$2&amp;17,'Draft Pick Order'!$Y:$Y,0)),"")</f>
        <v>203</v>
      </c>
      <c r="W36" s="311">
        <f>IFERROR(IF(INDEX(Draft!BY:BY,MATCH(V36,Draft!BX:BX))="", V36, INDEX(Draft!BY:BY,MATCH(V36,Draft!BX:BX))),"")</f>
        <v>203</v>
      </c>
      <c r="X36">
        <f>IFERROR(INDEX( 'Draft Pick Order'!$BF:$BF,MATCH(Y$2&amp;17,'Draft Pick Order'!$Y:$Y,0)),"")</f>
        <v>204</v>
      </c>
      <c r="Y36" s="310">
        <f>IFERROR(IF(INDEX(Draft!BY:BY,MATCH(X36,Draft!BX:BX))="", X36, INDEX(Draft!BY:BY,MATCH(X36,Draft!BX:BX))),"")</f>
        <v>204</v>
      </c>
      <c r="Z36" t="str">
        <f>IFERROR(INDEX( 'Draft Pick Order'!$BF:$BF,MATCH(AA$2&amp;17,'Draft Pick Order'!$Y:$Y,0)),"")</f>
        <v/>
      </c>
      <c r="AA36" s="311" t="str">
        <f>IFERROR(IF(INDEX(Draft!BY:BY,MATCH(Z36,Draft!BX:BX))="", Z36, INDEX(Draft!BY:BY,MATCH(Z36,Draft!BX:BX))),"")</f>
        <v/>
      </c>
      <c r="AB36" t="str">
        <f>IFERROR(INDEX( 'Draft Pick Order'!$BF:$BF,MATCH(AC$2&amp;17,'Draft Pick Order'!$Y:$Y,0)),"")</f>
        <v/>
      </c>
      <c r="AC36" s="310" t="str">
        <f>IFERROR(IF(INDEX(Draft!BY:BY,MATCH(AB36,Draft!BX:BX))="", AB36, INDEX(Draft!BY:BY,MATCH(AB36,Draft!BX:BX))),"")</f>
        <v/>
      </c>
      <c r="AD36" t="str">
        <f>IFERROR(INDEX( 'Draft Pick Order'!$BF:$BF,MATCH(AE$2&amp;17,'Draft Pick Order'!$Y:$Y,0)),"")</f>
        <v/>
      </c>
      <c r="AE36" s="311" t="str">
        <f>IFERROR(IF(INDEX(Draft!BY:BY,MATCH(AD36,Draft!BX:BX))="", AD36, INDEX(Draft!BY:BY,MATCH(AD36,Draft!BX:BX))),"")</f>
        <v/>
      </c>
      <c r="AF36" t="str">
        <f>IFERROR(INDEX( 'Draft Pick Order'!$BF:$BF,MATCH(AG$2&amp;17,'Draft Pick Order'!$Y:$Y,0)),"")</f>
        <v/>
      </c>
      <c r="AG36" s="310" t="str">
        <f>IFERROR(IF(INDEX(Draft!BY:BY,MATCH(AF36,Draft!BX:BX))="", AF36, INDEX(Draft!BY:BY,MATCH(AF36,Draft!BX:BX))),"")</f>
        <v/>
      </c>
      <c r="AH36" s="338"/>
    </row>
    <row r="37" spans="1:34" ht="15" customHeight="1" x14ac:dyDescent="0.25">
      <c r="A37" s="686">
        <v>18</v>
      </c>
      <c r="C37" s="309" t="str">
        <f>IFERROR(INDEX(Draft!BZ:BZ,MATCH(B38,Draft!BX:BX)), "")</f>
        <v/>
      </c>
      <c r="E37" s="308" t="str">
        <f>IFERROR(INDEX(Draft!BZ:BZ,MATCH(D38,Draft!BX:BX)), "")</f>
        <v/>
      </c>
      <c r="G37" s="309" t="str">
        <f>IFERROR(INDEX(Draft!BZ:BZ,MATCH(F38,Draft!BX:BX)), "")</f>
        <v/>
      </c>
      <c r="I37" s="308" t="str">
        <f>IFERROR(INDEX(Draft!BZ:BZ,MATCH(H38,Draft!BX:BX)), "")</f>
        <v/>
      </c>
      <c r="K37" s="309" t="str">
        <f>IFERROR(INDEX(Draft!BZ:BZ,MATCH(J38,Draft!BX:BX)), "")</f>
        <v/>
      </c>
      <c r="M37" s="312" t="str">
        <f>IFERROR(INDEX(Draft!BZ:BZ,MATCH(L38,Draft!BX:BX)), "")</f>
        <v/>
      </c>
      <c r="O37" s="309" t="str">
        <f>IFERROR(INDEX(Draft!BZ:BZ,MATCH(N38,Draft!BX:BX)), "")</f>
        <v/>
      </c>
      <c r="Q37" s="308" t="str">
        <f>IFERROR(INDEX(Draft!BZ:BZ,MATCH(P38,Draft!BX:BX)), "")</f>
        <v/>
      </c>
      <c r="S37" s="309" t="str">
        <f>IFERROR(INDEX(Draft!BZ:BZ,MATCH(R38,Draft!BX:BX)), "")</f>
        <v/>
      </c>
      <c r="U37" s="308" t="str">
        <f>IFERROR(INDEX(Draft!BZ:BZ,MATCH(T38,Draft!BX:BX)), "")</f>
        <v/>
      </c>
      <c r="W37" s="309" t="str">
        <f>IFERROR(INDEX(Draft!BZ:BZ,MATCH(V38,Draft!BX:BX)), "")</f>
        <v/>
      </c>
      <c r="Y37" s="308" t="str">
        <f>IFERROR(INDEX(Draft!BZ:BZ,MATCH(X38,Draft!BX:BX)), "")</f>
        <v/>
      </c>
      <c r="AA37" s="309" t="str">
        <f>IFERROR(INDEX(Draft!BZ:BZ,MATCH(Z38,Draft!BX:BX)), "")</f>
        <v/>
      </c>
      <c r="AC37" s="308" t="str">
        <f>IFERROR(INDEX(Draft!BZ:BZ,MATCH(AB38,Draft!BX:BX)), "")</f>
        <v/>
      </c>
      <c r="AE37" s="309" t="str">
        <f>IFERROR(INDEX(Draft!BZ:BZ,MATCH(AD38,Draft!BX:BX)), "")</f>
        <v/>
      </c>
      <c r="AG37" s="308" t="str">
        <f>IFERROR(INDEX(Draft!BZ:BZ,MATCH(AF38,Draft!BX:BX)), "")</f>
        <v/>
      </c>
      <c r="AH37" s="338"/>
    </row>
    <row r="38" spans="1:34" ht="30.75" customHeight="1" thickBot="1" x14ac:dyDescent="0.3">
      <c r="A38" s="686"/>
      <c r="B38">
        <f>IFERROR(INDEX( 'Draft Pick Order'!$BF:$BF,MATCH(C$2&amp;18,'Draft Pick Order'!$Y:$Y,0)),"")</f>
        <v>216</v>
      </c>
      <c r="C38" s="311">
        <f>IFERROR(IF(INDEX(Draft!BY:BY,MATCH(B38,Draft!BX:BX))="", B38, INDEX(Draft!BY:BY,MATCH(B38,Draft!BX:BX))),"")</f>
        <v>216</v>
      </c>
      <c r="D38">
        <f>IFERROR(INDEX( 'Draft Pick Order'!$BF:$BF,MATCH(E$2&amp;18,'Draft Pick Order'!$Y:$Y,0)),"")</f>
        <v>215</v>
      </c>
      <c r="E38" s="310">
        <f>IFERROR(IF(INDEX(Draft!BY:BY,MATCH(D38,Draft!BX:BX))="", D38, INDEX(Draft!BY:BY,MATCH(D38,Draft!BX:BX))),"")</f>
        <v>215</v>
      </c>
      <c r="F38">
        <f>IFERROR(INDEX( 'Draft Pick Order'!$BF:$BF,MATCH(G$2&amp;18,'Draft Pick Order'!$Y:$Y,0)),"")</f>
        <v>214</v>
      </c>
      <c r="G38" s="311">
        <f>IFERROR(IF(INDEX(Draft!BY:BY,MATCH(F38,Draft!BX:BX))="", F38, INDEX(Draft!BY:BY,MATCH(F38,Draft!BX:BX))),"")</f>
        <v>214</v>
      </c>
      <c r="H38">
        <f>IFERROR(INDEX( 'Draft Pick Order'!$BF:$BF,MATCH(I$2&amp;18,'Draft Pick Order'!$Y:$Y,0)),"")</f>
        <v>213</v>
      </c>
      <c r="I38" s="310">
        <f>IFERROR(IF(INDEX(Draft!BY:BY,MATCH(H38,Draft!BX:BX))="", H38, INDEX(Draft!BY:BY,MATCH(H38,Draft!BX:BX))),"")</f>
        <v>213</v>
      </c>
      <c r="J38">
        <f>IFERROR(INDEX( 'Draft Pick Order'!$BF:$BF,MATCH(K$2&amp;18,'Draft Pick Order'!$Y:$Y,0)),"")</f>
        <v>212</v>
      </c>
      <c r="K38" s="311">
        <f>IFERROR(IF(INDEX(Draft!BY:BY,MATCH(J38,Draft!BX:BX))="", J38, INDEX(Draft!BY:BY,MATCH(J38,Draft!BX:BX))),"")</f>
        <v>212</v>
      </c>
      <c r="L38">
        <f>IFERROR(INDEX( 'Draft Pick Order'!$BF:$BF,MATCH(M$2&amp;18,'Draft Pick Order'!$Y:$Y,0)),"")</f>
        <v>211</v>
      </c>
      <c r="M38" s="310">
        <f>IFERROR(IF(INDEX(Draft!BY:BY,MATCH(L38,Draft!BX:BX))="", L38, INDEX(Draft!BY:BY,MATCH(L38,Draft!BX:BX))),"")</f>
        <v>211</v>
      </c>
      <c r="N38">
        <f>IFERROR(INDEX( 'Draft Pick Order'!$BF:$BF,MATCH(O$2&amp;18,'Draft Pick Order'!$Y:$Y,0)),"")</f>
        <v>210</v>
      </c>
      <c r="O38" s="311">
        <f>IFERROR(IF(INDEX(Draft!BY:BY,MATCH(N38,Draft!BX:BX))="", N38, INDEX(Draft!BY:BY,MATCH(N38,Draft!BX:BX))),"")</f>
        <v>210</v>
      </c>
      <c r="P38">
        <f>IFERROR(INDEX( 'Draft Pick Order'!$BF:$BF,MATCH(Q$2&amp;18,'Draft Pick Order'!$Y:$Y,0)),"")</f>
        <v>209</v>
      </c>
      <c r="Q38" s="310">
        <f>IFERROR(IF(INDEX(Draft!BY:BY,MATCH(P38,Draft!BX:BX))="", P38, INDEX(Draft!BY:BY,MATCH(P38,Draft!BX:BX))),"")</f>
        <v>209</v>
      </c>
      <c r="R38">
        <f>IFERROR(INDEX( 'Draft Pick Order'!$BF:$BF,MATCH(S$2&amp;18,'Draft Pick Order'!$Y:$Y,0)),"")</f>
        <v>208</v>
      </c>
      <c r="S38" s="311">
        <f>IFERROR(IF(INDEX(Draft!BY:BY,MATCH(R38,Draft!BX:BX))="", R38, INDEX(Draft!BY:BY,MATCH(R38,Draft!BX:BX))),"")</f>
        <v>208</v>
      </c>
      <c r="T38">
        <f>IFERROR(INDEX( 'Draft Pick Order'!$BF:$BF,MATCH(U$2&amp;18,'Draft Pick Order'!$Y:$Y,0)),"")</f>
        <v>207</v>
      </c>
      <c r="U38" s="310">
        <f>IFERROR(IF(INDEX(Draft!BY:BY,MATCH(T38,Draft!BX:BX))="", T38, INDEX(Draft!BY:BY,MATCH(T38,Draft!BX:BX))),"")</f>
        <v>207</v>
      </c>
      <c r="V38">
        <f>IFERROR(INDEX( 'Draft Pick Order'!$BF:$BF,MATCH(W$2&amp;18,'Draft Pick Order'!$Y:$Y,0)),"")</f>
        <v>206</v>
      </c>
      <c r="W38" s="311">
        <f>IFERROR(IF(INDEX(Draft!BY:BY,MATCH(V38,Draft!BX:BX))="", V38, INDEX(Draft!BY:BY,MATCH(V38,Draft!BX:BX))),"")</f>
        <v>206</v>
      </c>
      <c r="X38">
        <f>IFERROR(INDEX( 'Draft Pick Order'!$BF:$BF,MATCH(Y$2&amp;18,'Draft Pick Order'!$Y:$Y,0)),"")</f>
        <v>205</v>
      </c>
      <c r="Y38" s="310">
        <f>IFERROR(IF(INDEX(Draft!BY:BY,MATCH(X38,Draft!BX:BX))="", X38, INDEX(Draft!BY:BY,MATCH(X38,Draft!BX:BX))),"")</f>
        <v>205</v>
      </c>
      <c r="Z38" t="str">
        <f>IFERROR(INDEX( 'Draft Pick Order'!$BF:$BF,MATCH(AA$2&amp;18,'Draft Pick Order'!$Y:$Y,0)),"")</f>
        <v/>
      </c>
      <c r="AA38" s="311" t="str">
        <f>IFERROR(IF(INDEX(Draft!BY:BY,MATCH(Z38,Draft!BX:BX))="", Z38, INDEX(Draft!BY:BY,MATCH(Z38,Draft!BX:BX))),"")</f>
        <v/>
      </c>
      <c r="AB38" t="str">
        <f>IFERROR(INDEX( 'Draft Pick Order'!$BF:$BF,MATCH(AC$2&amp;18,'Draft Pick Order'!$Y:$Y,0)),"")</f>
        <v/>
      </c>
      <c r="AC38" s="310" t="str">
        <f>IFERROR(IF(INDEX(Draft!BY:BY,MATCH(AB38,Draft!BX:BX))="", AB38, INDEX(Draft!BY:BY,MATCH(AB38,Draft!BX:BX))),"")</f>
        <v/>
      </c>
      <c r="AD38" t="str">
        <f>IFERROR(INDEX( 'Draft Pick Order'!$BF:$BF,MATCH(AE$2&amp;18,'Draft Pick Order'!$Y:$Y,0)),"")</f>
        <v/>
      </c>
      <c r="AE38" s="311" t="str">
        <f>IFERROR(IF(INDEX(Draft!BY:BY,MATCH(AD38,Draft!BX:BX))="", AD38, INDEX(Draft!BY:BY,MATCH(AD38,Draft!BX:BX))),"")</f>
        <v/>
      </c>
      <c r="AF38" t="str">
        <f>IFERROR(INDEX( 'Draft Pick Order'!$BF:$BF,MATCH(AG$2&amp;18,'Draft Pick Order'!$Y:$Y,0)),"")</f>
        <v/>
      </c>
      <c r="AG38" s="310" t="str">
        <f>IFERROR(IF(INDEX(Draft!BY:BY,MATCH(AF38,Draft!BX:BX))="", AF38, INDEX(Draft!BY:BY,MATCH(AF38,Draft!BX:BX))),"")</f>
        <v/>
      </c>
      <c r="AH38" s="338"/>
    </row>
    <row r="39" spans="1:34" ht="15" customHeight="1" x14ac:dyDescent="0.25">
      <c r="A39" s="686">
        <v>19</v>
      </c>
      <c r="C39" s="309" t="str">
        <f>IFERROR(INDEX(Draft!BZ:BZ,MATCH(B40,Draft!BX:BX)), "")</f>
        <v/>
      </c>
      <c r="E39" s="308" t="str">
        <f>IFERROR(INDEX(Draft!BZ:BZ,MATCH(D40,Draft!BX:BX)), "")</f>
        <v/>
      </c>
      <c r="G39" s="309" t="str">
        <f>IFERROR(INDEX(Draft!BZ:BZ,MATCH(F40,Draft!BX:BX)), "")</f>
        <v/>
      </c>
      <c r="I39" s="308" t="str">
        <f>IFERROR(INDEX(Draft!BZ:BZ,MATCH(H40,Draft!BX:BX)), "")</f>
        <v/>
      </c>
      <c r="K39" s="309" t="str">
        <f>IFERROR(INDEX(Draft!BZ:BZ,MATCH(J40,Draft!BX:BX)), "")</f>
        <v/>
      </c>
      <c r="M39" s="312" t="str">
        <f>IFERROR(INDEX(Draft!BZ:BZ,MATCH(L40,Draft!BX:BX)), "")</f>
        <v/>
      </c>
      <c r="O39" s="309" t="str">
        <f>IFERROR(INDEX(Draft!BZ:BZ,MATCH(N40,Draft!BX:BX)), "")</f>
        <v/>
      </c>
      <c r="Q39" s="308" t="str">
        <f>IFERROR(INDEX(Draft!BZ:BZ,MATCH(P40,Draft!BX:BX)), "")</f>
        <v/>
      </c>
      <c r="S39" s="309" t="str">
        <f>IFERROR(INDEX(Draft!BZ:BZ,MATCH(R40,Draft!BX:BX)), "")</f>
        <v/>
      </c>
      <c r="U39" s="308" t="str">
        <f>IFERROR(INDEX(Draft!BZ:BZ,MATCH(T40,Draft!BX:BX)), "")</f>
        <v/>
      </c>
      <c r="W39" s="309" t="str">
        <f>IFERROR(INDEX(Draft!BZ:BZ,MATCH(V40,Draft!BX:BX)), "")</f>
        <v/>
      </c>
      <c r="Y39" s="308" t="str">
        <f>IFERROR(INDEX(Draft!BZ:BZ,MATCH(X40,Draft!BX:BX)), "")</f>
        <v/>
      </c>
      <c r="AA39" s="309" t="str">
        <f>IFERROR(INDEX(Draft!BZ:BZ,MATCH(Z40,Draft!BX:BX)), "")</f>
        <v/>
      </c>
      <c r="AC39" s="308" t="str">
        <f>IFERROR(INDEX(Draft!BZ:BZ,MATCH(AB40,Draft!BX:BX)), "")</f>
        <v/>
      </c>
      <c r="AE39" s="309" t="str">
        <f>IFERROR(INDEX(Draft!BZ:BZ,MATCH(AD40,Draft!BX:BX)), "")</f>
        <v/>
      </c>
      <c r="AG39" s="308" t="str">
        <f>IFERROR(INDEX(Draft!BZ:BZ,MATCH(AF40,Draft!BX:BX)), "")</f>
        <v/>
      </c>
      <c r="AH39" s="338"/>
    </row>
    <row r="40" spans="1:34" ht="30.75" customHeight="1" thickBot="1" x14ac:dyDescent="0.3">
      <c r="A40" s="686"/>
      <c r="B40">
        <f>IFERROR(INDEX( 'Draft Pick Order'!$BF:$BF,MATCH(C$2&amp;19,'Draft Pick Order'!$Y:$Y,0)),"")</f>
        <v>217</v>
      </c>
      <c r="C40" s="311">
        <f>IFERROR(IF(INDEX(Draft!BY:BY,MATCH(B40,Draft!BX:BX))="", B40, INDEX(Draft!BY:BY,MATCH(B40,Draft!BX:BX))),"")</f>
        <v>217</v>
      </c>
      <c r="D40">
        <f>IFERROR(INDEX( 'Draft Pick Order'!$BF:$BF,MATCH(E$2&amp;19,'Draft Pick Order'!$Y:$Y,0)),"")</f>
        <v>218</v>
      </c>
      <c r="E40" s="310">
        <f>IFERROR(IF(INDEX(Draft!BY:BY,MATCH(D40,Draft!BX:BX))="", D40, INDEX(Draft!BY:BY,MATCH(D40,Draft!BX:BX))),"")</f>
        <v>218</v>
      </c>
      <c r="F40">
        <f>IFERROR(INDEX( 'Draft Pick Order'!$BF:$BF,MATCH(G$2&amp;19,'Draft Pick Order'!$Y:$Y,0)),"")</f>
        <v>219</v>
      </c>
      <c r="G40" s="311">
        <f>IFERROR(IF(INDEX(Draft!BY:BY,MATCH(F40,Draft!BX:BX))="", F40, INDEX(Draft!BY:BY,MATCH(F40,Draft!BX:BX))),"")</f>
        <v>219</v>
      </c>
      <c r="H40">
        <f>IFERROR(INDEX( 'Draft Pick Order'!$BF:$BF,MATCH(I$2&amp;19,'Draft Pick Order'!$Y:$Y,0)),"")</f>
        <v>220</v>
      </c>
      <c r="I40" s="310">
        <f>IFERROR(IF(INDEX(Draft!BY:BY,MATCH(H40,Draft!BX:BX))="", H40, INDEX(Draft!BY:BY,MATCH(H40,Draft!BX:BX))),"")</f>
        <v>220</v>
      </c>
      <c r="J40">
        <f>IFERROR(INDEX( 'Draft Pick Order'!$BF:$BF,MATCH(K$2&amp;19,'Draft Pick Order'!$Y:$Y,0)),"")</f>
        <v>221</v>
      </c>
      <c r="K40" s="311">
        <f>IFERROR(IF(INDEX(Draft!BY:BY,MATCH(J40,Draft!BX:BX))="", J40, INDEX(Draft!BY:BY,MATCH(J40,Draft!BX:BX))),"")</f>
        <v>221</v>
      </c>
      <c r="L40">
        <f>IFERROR(INDEX( 'Draft Pick Order'!$BF:$BF,MATCH(M$2&amp;19,'Draft Pick Order'!$Y:$Y,0)),"")</f>
        <v>222</v>
      </c>
      <c r="M40" s="310">
        <f>IFERROR(IF(INDEX(Draft!BY:BY,MATCH(L40,Draft!BX:BX))="", L40, INDEX(Draft!BY:BY,MATCH(L40,Draft!BX:BX))),"")</f>
        <v>222</v>
      </c>
      <c r="N40">
        <f>IFERROR(INDEX( 'Draft Pick Order'!$BF:$BF,MATCH(O$2&amp;19,'Draft Pick Order'!$Y:$Y,0)),"")</f>
        <v>223</v>
      </c>
      <c r="O40" s="311">
        <f>IFERROR(IF(INDEX(Draft!BY:BY,MATCH(N40,Draft!BX:BX))="", N40, INDEX(Draft!BY:BY,MATCH(N40,Draft!BX:BX))),"")</f>
        <v>223</v>
      </c>
      <c r="P40">
        <f>IFERROR(INDEX( 'Draft Pick Order'!$BF:$BF,MATCH(Q$2&amp;19,'Draft Pick Order'!$Y:$Y,0)),"")</f>
        <v>224</v>
      </c>
      <c r="Q40" s="310">
        <f>IFERROR(IF(INDEX(Draft!BY:BY,MATCH(P40,Draft!BX:BX))="", P40, INDEX(Draft!BY:BY,MATCH(P40,Draft!BX:BX))),"")</f>
        <v>224</v>
      </c>
      <c r="R40">
        <f>IFERROR(INDEX( 'Draft Pick Order'!$BF:$BF,MATCH(S$2&amp;19,'Draft Pick Order'!$Y:$Y,0)),"")</f>
        <v>225</v>
      </c>
      <c r="S40" s="311">
        <f>IFERROR(IF(INDEX(Draft!BY:BY,MATCH(R40,Draft!BX:BX))="", R40, INDEX(Draft!BY:BY,MATCH(R40,Draft!BX:BX))),"")</f>
        <v>225</v>
      </c>
      <c r="T40">
        <f>IFERROR(INDEX( 'Draft Pick Order'!$BF:$BF,MATCH(U$2&amp;19,'Draft Pick Order'!$Y:$Y,0)),"")</f>
        <v>226</v>
      </c>
      <c r="U40" s="310">
        <f>IFERROR(IF(INDEX(Draft!BY:BY,MATCH(T40,Draft!BX:BX))="", T40, INDEX(Draft!BY:BY,MATCH(T40,Draft!BX:BX))),"")</f>
        <v>226</v>
      </c>
      <c r="V40">
        <f>IFERROR(INDEX( 'Draft Pick Order'!$BF:$BF,MATCH(W$2&amp;19,'Draft Pick Order'!$Y:$Y,0)),"")</f>
        <v>227</v>
      </c>
      <c r="W40" s="311">
        <f>IFERROR(IF(INDEX(Draft!BY:BY,MATCH(V40,Draft!BX:BX))="", V40, INDEX(Draft!BY:BY,MATCH(V40,Draft!BX:BX))),"")</f>
        <v>227</v>
      </c>
      <c r="X40">
        <f>IFERROR(INDEX( 'Draft Pick Order'!$BF:$BF,MATCH(Y$2&amp;19,'Draft Pick Order'!$Y:$Y,0)),"")</f>
        <v>228</v>
      </c>
      <c r="Y40" s="310">
        <f>IFERROR(IF(INDEX(Draft!BY:BY,MATCH(X40,Draft!BX:BX))="", X40, INDEX(Draft!BY:BY,MATCH(X40,Draft!BX:BX))),"")</f>
        <v>228</v>
      </c>
      <c r="Z40" t="str">
        <f>IFERROR(INDEX( 'Draft Pick Order'!$BF:$BF,MATCH(AA$2&amp;19,'Draft Pick Order'!$Y:$Y,0)),"")</f>
        <v/>
      </c>
      <c r="AA40" s="311" t="str">
        <f>IFERROR(IF(INDEX(Draft!BY:BY,MATCH(Z40,Draft!BX:BX))="", Z40, INDEX(Draft!BY:BY,MATCH(Z40,Draft!BX:BX))),"")</f>
        <v/>
      </c>
      <c r="AB40" t="str">
        <f>IFERROR(INDEX( 'Draft Pick Order'!$BF:$BF,MATCH(AC$2&amp;19,'Draft Pick Order'!$Y:$Y,0)),"")</f>
        <v/>
      </c>
      <c r="AC40" s="310" t="str">
        <f>IFERROR(IF(INDEX(Draft!BY:BY,MATCH(AB40,Draft!BX:BX))="", AB40, INDEX(Draft!BY:BY,MATCH(AB40,Draft!BX:BX))),"")</f>
        <v/>
      </c>
      <c r="AD40" t="str">
        <f>IFERROR(INDEX( 'Draft Pick Order'!$BF:$BF,MATCH(AE$2&amp;19,'Draft Pick Order'!$Y:$Y,0)),"")</f>
        <v/>
      </c>
      <c r="AE40" s="311" t="str">
        <f>IFERROR(IF(INDEX(Draft!BY:BY,MATCH(AD40,Draft!BX:BX))="", AD40, INDEX(Draft!BY:BY,MATCH(AD40,Draft!BX:BX))),"")</f>
        <v/>
      </c>
      <c r="AF40" t="str">
        <f>IFERROR(INDEX( 'Draft Pick Order'!$BF:$BF,MATCH(AG$2&amp;19,'Draft Pick Order'!$Y:$Y,0)),"")</f>
        <v/>
      </c>
      <c r="AG40" s="310" t="str">
        <f>IFERROR(IF(INDEX(Draft!BY:BY,MATCH(AF40,Draft!BX:BX))="", AF40, INDEX(Draft!BY:BY,MATCH(AF40,Draft!BX:BX))),"")</f>
        <v/>
      </c>
      <c r="AH40" s="338"/>
    </row>
    <row r="41" spans="1:34" ht="15" customHeight="1" x14ac:dyDescent="0.25">
      <c r="A41" s="686">
        <v>20</v>
      </c>
      <c r="C41" s="309" t="str">
        <f>IFERROR(INDEX(Draft!BZ:BZ,MATCH(B42,Draft!BX:BX)), "")</f>
        <v/>
      </c>
      <c r="E41" s="308" t="str">
        <f>IFERROR(INDEX(Draft!BZ:BZ,MATCH(D42,Draft!BX:BX)), "")</f>
        <v/>
      </c>
      <c r="G41" s="309" t="str">
        <f>IFERROR(INDEX(Draft!BZ:BZ,MATCH(F42,Draft!BX:BX)), "")</f>
        <v/>
      </c>
      <c r="I41" s="308" t="str">
        <f>IFERROR(INDEX(Draft!BZ:BZ,MATCH(H42,Draft!BX:BX)), "")</f>
        <v/>
      </c>
      <c r="K41" s="309" t="str">
        <f>IFERROR(INDEX(Draft!BZ:BZ,MATCH(J42,Draft!BX:BX)), "")</f>
        <v/>
      </c>
      <c r="M41" s="312" t="str">
        <f>IFERROR(INDEX(Draft!BZ:BZ,MATCH(L42,Draft!BX:BX)), "")</f>
        <v/>
      </c>
      <c r="O41" s="309" t="str">
        <f>IFERROR(INDEX(Draft!BZ:BZ,MATCH(N42,Draft!BX:BX)), "")</f>
        <v/>
      </c>
      <c r="Q41" s="308" t="str">
        <f>IFERROR(INDEX(Draft!BZ:BZ,MATCH(P42,Draft!BX:BX)), "")</f>
        <v/>
      </c>
      <c r="S41" s="309" t="str">
        <f>IFERROR(INDEX(Draft!BZ:BZ,MATCH(R42,Draft!BX:BX)), "")</f>
        <v/>
      </c>
      <c r="U41" s="308" t="str">
        <f>IFERROR(INDEX(Draft!BZ:BZ,MATCH(T42,Draft!BX:BX)), "")</f>
        <v/>
      </c>
      <c r="W41" s="309" t="str">
        <f>IFERROR(INDEX(Draft!BZ:BZ,MATCH(V42,Draft!BX:BX)), "")</f>
        <v/>
      </c>
      <c r="Y41" s="308" t="str">
        <f>IFERROR(INDEX(Draft!BZ:BZ,MATCH(X42,Draft!BX:BX)), "")</f>
        <v/>
      </c>
      <c r="AA41" s="309" t="str">
        <f>IFERROR(INDEX(Draft!BZ:BZ,MATCH(Z42,Draft!BX:BX)), "")</f>
        <v/>
      </c>
      <c r="AC41" s="308" t="str">
        <f>IFERROR(INDEX(Draft!BZ:BZ,MATCH(AB42,Draft!BX:BX)), "")</f>
        <v/>
      </c>
      <c r="AE41" s="309" t="str">
        <f>IFERROR(INDEX(Draft!BZ:BZ,MATCH(AD42,Draft!BX:BX)), "")</f>
        <v/>
      </c>
      <c r="AG41" s="308" t="str">
        <f>IFERROR(INDEX(Draft!BZ:BZ,MATCH(AF42,Draft!BX:BX)), "")</f>
        <v/>
      </c>
      <c r="AH41" s="338"/>
    </row>
    <row r="42" spans="1:34" ht="30.75" customHeight="1" thickBot="1" x14ac:dyDescent="0.3">
      <c r="A42" s="686"/>
      <c r="B42">
        <f>IFERROR(INDEX( 'Draft Pick Order'!$BF:$BF,MATCH(C$2&amp;20,'Draft Pick Order'!$Y:$Y,0)),"")</f>
        <v>240</v>
      </c>
      <c r="C42" s="311">
        <f>IFERROR(IF(INDEX(Draft!BY:BY,MATCH(B42,Draft!BX:BX))="", B42, INDEX(Draft!BY:BY,MATCH(B42,Draft!BX:BX))),"")</f>
        <v>240</v>
      </c>
      <c r="D42">
        <f>IFERROR(INDEX( 'Draft Pick Order'!$BF:$BF,MATCH(E$2&amp;20,'Draft Pick Order'!$Y:$Y,0)),"")</f>
        <v>239</v>
      </c>
      <c r="E42" s="310">
        <f>IFERROR(IF(INDEX(Draft!BY:BY,MATCH(D42,Draft!BX:BX))="", D42, INDEX(Draft!BY:BY,MATCH(D42,Draft!BX:BX))),"")</f>
        <v>239</v>
      </c>
      <c r="F42">
        <f>IFERROR(INDEX( 'Draft Pick Order'!$BF:$BF,MATCH(G$2&amp;20,'Draft Pick Order'!$Y:$Y,0)),"")</f>
        <v>238</v>
      </c>
      <c r="G42" s="311">
        <f>IFERROR(IF(INDEX(Draft!BY:BY,MATCH(F42,Draft!BX:BX))="", F42, INDEX(Draft!BY:BY,MATCH(F42,Draft!BX:BX))),"")</f>
        <v>238</v>
      </c>
      <c r="H42">
        <f>IFERROR(INDEX( 'Draft Pick Order'!$BF:$BF,MATCH(I$2&amp;20,'Draft Pick Order'!$Y:$Y,0)),"")</f>
        <v>237</v>
      </c>
      <c r="I42" s="310">
        <f>IFERROR(IF(INDEX(Draft!BY:BY,MATCH(H42,Draft!BX:BX))="", H42, INDEX(Draft!BY:BY,MATCH(H42,Draft!BX:BX))),"")</f>
        <v>237</v>
      </c>
      <c r="J42">
        <f>IFERROR(INDEX( 'Draft Pick Order'!$BF:$BF,MATCH(K$2&amp;20,'Draft Pick Order'!$Y:$Y,0)),"")</f>
        <v>236</v>
      </c>
      <c r="K42" s="311">
        <f>IFERROR(IF(INDEX(Draft!BY:BY,MATCH(J42,Draft!BX:BX))="", J42, INDEX(Draft!BY:BY,MATCH(J42,Draft!BX:BX))),"")</f>
        <v>236</v>
      </c>
      <c r="L42">
        <f>IFERROR(INDEX( 'Draft Pick Order'!$BF:$BF,MATCH(M$2&amp;20,'Draft Pick Order'!$Y:$Y,0)),"")</f>
        <v>235</v>
      </c>
      <c r="M42" s="310">
        <f>IFERROR(IF(INDEX(Draft!BY:BY,MATCH(L42,Draft!BX:BX))="", L42, INDEX(Draft!BY:BY,MATCH(L42,Draft!BX:BX))),"")</f>
        <v>235</v>
      </c>
      <c r="N42">
        <f>IFERROR(INDEX( 'Draft Pick Order'!$BF:$BF,MATCH(O$2&amp;20,'Draft Pick Order'!$Y:$Y,0)),"")</f>
        <v>234</v>
      </c>
      <c r="O42" s="311">
        <f>IFERROR(IF(INDEX(Draft!BY:BY,MATCH(N42,Draft!BX:BX))="", N42, INDEX(Draft!BY:BY,MATCH(N42,Draft!BX:BX))),"")</f>
        <v>234</v>
      </c>
      <c r="P42">
        <f>IFERROR(INDEX( 'Draft Pick Order'!$BF:$BF,MATCH(Q$2&amp;20,'Draft Pick Order'!$Y:$Y,0)),"")</f>
        <v>233</v>
      </c>
      <c r="Q42" s="310">
        <f>IFERROR(IF(INDEX(Draft!BY:BY,MATCH(P42,Draft!BX:BX))="", P42, INDEX(Draft!BY:BY,MATCH(P42,Draft!BX:BX))),"")</f>
        <v>233</v>
      </c>
      <c r="R42">
        <f>IFERROR(INDEX( 'Draft Pick Order'!$BF:$BF,MATCH(S$2&amp;20,'Draft Pick Order'!$Y:$Y,0)),"")</f>
        <v>232</v>
      </c>
      <c r="S42" s="311">
        <f>IFERROR(IF(INDEX(Draft!BY:BY,MATCH(R42,Draft!BX:BX))="", R42, INDEX(Draft!BY:BY,MATCH(R42,Draft!BX:BX))),"")</f>
        <v>232</v>
      </c>
      <c r="T42">
        <f>IFERROR(INDEX( 'Draft Pick Order'!$BF:$BF,MATCH(U$2&amp;20,'Draft Pick Order'!$Y:$Y,0)),"")</f>
        <v>231</v>
      </c>
      <c r="U42" s="310">
        <f>IFERROR(IF(INDEX(Draft!BY:BY,MATCH(T42,Draft!BX:BX))="", T42, INDEX(Draft!BY:BY,MATCH(T42,Draft!BX:BX))),"")</f>
        <v>231</v>
      </c>
      <c r="V42">
        <f>IFERROR(INDEX( 'Draft Pick Order'!$BF:$BF,MATCH(W$2&amp;20,'Draft Pick Order'!$Y:$Y,0)),"")</f>
        <v>230</v>
      </c>
      <c r="W42" s="311">
        <f>IFERROR(IF(INDEX(Draft!BY:BY,MATCH(V42,Draft!BX:BX))="", V42, INDEX(Draft!BY:BY,MATCH(V42,Draft!BX:BX))),"")</f>
        <v>230</v>
      </c>
      <c r="X42">
        <f>IFERROR(INDEX( 'Draft Pick Order'!$BF:$BF,MATCH(Y$2&amp;20,'Draft Pick Order'!$Y:$Y,0)),"")</f>
        <v>229</v>
      </c>
      <c r="Y42" s="310">
        <f>IFERROR(IF(INDEX(Draft!BY:BY,MATCH(X42,Draft!BX:BX))="", X42, INDEX(Draft!BY:BY,MATCH(X42,Draft!BX:BX))),"")</f>
        <v>229</v>
      </c>
      <c r="Z42" t="str">
        <f>IFERROR(INDEX( 'Draft Pick Order'!$BF:$BF,MATCH(AA$2&amp;20,'Draft Pick Order'!$Y:$Y,0)),"")</f>
        <v/>
      </c>
      <c r="AA42" s="311" t="str">
        <f>IFERROR(IF(INDEX(Draft!BY:BY,MATCH(Z42,Draft!BX:BX))="", Z42, INDEX(Draft!BY:BY,MATCH(Z42,Draft!BX:BX))),"")</f>
        <v/>
      </c>
      <c r="AB42" t="str">
        <f>IFERROR(INDEX( 'Draft Pick Order'!$BF:$BF,MATCH(AC$2&amp;20,'Draft Pick Order'!$Y:$Y,0)),"")</f>
        <v/>
      </c>
      <c r="AC42" s="310" t="str">
        <f>IFERROR(IF(INDEX(Draft!BY:BY,MATCH(AB42,Draft!BX:BX))="", AB42, INDEX(Draft!BY:BY,MATCH(AB42,Draft!BX:BX))),"")</f>
        <v/>
      </c>
      <c r="AD42" t="str">
        <f>IFERROR(INDEX( 'Draft Pick Order'!$BF:$BF,MATCH(AE$2&amp;20,'Draft Pick Order'!$Y:$Y,0)),"")</f>
        <v/>
      </c>
      <c r="AE42" s="311" t="str">
        <f>IFERROR(IF(INDEX(Draft!BY:BY,MATCH(AD42,Draft!BX:BX))="", AD42, INDEX(Draft!BY:BY,MATCH(AD42,Draft!BX:BX))),"")</f>
        <v/>
      </c>
      <c r="AF42" t="str">
        <f>IFERROR(INDEX( 'Draft Pick Order'!$BF:$BF,MATCH(AG$2&amp;20,'Draft Pick Order'!$Y:$Y,0)),"")</f>
        <v/>
      </c>
      <c r="AG42" s="310" t="str">
        <f>IFERROR(IF(INDEX(Draft!BY:BY,MATCH(AF42,Draft!BX:BX))="", AF42, INDEX(Draft!BY:BY,MATCH(AF42,Draft!BX:BX))),"")</f>
        <v/>
      </c>
      <c r="AH42" s="338"/>
    </row>
    <row r="43" spans="1:34" ht="15" customHeight="1" x14ac:dyDescent="0.25">
      <c r="A43" s="686">
        <v>21</v>
      </c>
      <c r="C43" s="309" t="str">
        <f>IFERROR(INDEX(Draft!BZ:BZ,MATCH(B44,Draft!BX:BX)), "")</f>
        <v/>
      </c>
      <c r="E43" s="308" t="str">
        <f>IFERROR(INDEX(Draft!BZ:BZ,MATCH(D44,Draft!BX:BX)), "")</f>
        <v/>
      </c>
      <c r="G43" s="309" t="str">
        <f>IFERROR(INDEX(Draft!BZ:BZ,MATCH(F44,Draft!BX:BX)), "")</f>
        <v/>
      </c>
      <c r="I43" s="308" t="str">
        <f>IFERROR(INDEX(Draft!BZ:BZ,MATCH(H44,Draft!BX:BX)), "")</f>
        <v/>
      </c>
      <c r="K43" s="309" t="str">
        <f>IFERROR(INDEX(Draft!BZ:BZ,MATCH(J44,Draft!BX:BX)), "")</f>
        <v/>
      </c>
      <c r="M43" s="312" t="str">
        <f>IFERROR(INDEX(Draft!BZ:BZ,MATCH(L44,Draft!BX:BX)), "")</f>
        <v/>
      </c>
      <c r="O43" s="309" t="str">
        <f>IFERROR(INDEX(Draft!BZ:BZ,MATCH(N44,Draft!BX:BX)), "")</f>
        <v/>
      </c>
      <c r="Q43" s="308" t="str">
        <f>IFERROR(INDEX(Draft!BZ:BZ,MATCH(P44,Draft!BX:BX)), "")</f>
        <v/>
      </c>
      <c r="S43" s="309" t="str">
        <f>IFERROR(INDEX(Draft!BZ:BZ,MATCH(R44,Draft!BX:BX)), "")</f>
        <v/>
      </c>
      <c r="U43" s="308" t="str">
        <f>IFERROR(INDEX(Draft!BZ:BZ,MATCH(T44,Draft!BX:BX)), "")</f>
        <v/>
      </c>
      <c r="W43" s="309" t="str">
        <f>IFERROR(INDEX(Draft!BZ:BZ,MATCH(V44,Draft!BX:BX)), "")</f>
        <v/>
      </c>
      <c r="Y43" s="308" t="str">
        <f>IFERROR(INDEX(Draft!BZ:BZ,MATCH(X44,Draft!BX:BX)), "")</f>
        <v/>
      </c>
      <c r="AA43" s="309" t="str">
        <f>IFERROR(INDEX(Draft!BZ:BZ,MATCH(Z44,Draft!BX:BX)), "")</f>
        <v/>
      </c>
      <c r="AC43" s="308" t="str">
        <f>IFERROR(INDEX(Draft!BZ:BZ,MATCH(AB44,Draft!BX:BX)), "")</f>
        <v/>
      </c>
      <c r="AE43" s="309" t="str">
        <f>IFERROR(INDEX(Draft!BZ:BZ,MATCH(AD44,Draft!BX:BX)), "")</f>
        <v/>
      </c>
      <c r="AG43" s="308" t="str">
        <f>IFERROR(INDEX(Draft!BZ:BZ,MATCH(AF44,Draft!BX:BX)), "")</f>
        <v/>
      </c>
      <c r="AH43" s="338"/>
    </row>
    <row r="44" spans="1:34" ht="30.75" customHeight="1" thickBot="1" x14ac:dyDescent="0.3">
      <c r="A44" s="686"/>
      <c r="B44">
        <f>IFERROR(INDEX( 'Draft Pick Order'!$BF:$BF,MATCH(C$2&amp;21,'Draft Pick Order'!$Y:$Y,0)),"")</f>
        <v>241</v>
      </c>
      <c r="C44" s="311">
        <f>IFERROR(IF(INDEX(Draft!BY:BY,MATCH(B44,Draft!BX:BX))="", B44, INDEX(Draft!BY:BY,MATCH(B44,Draft!BX:BX))),"")</f>
        <v>241</v>
      </c>
      <c r="D44">
        <f>IFERROR(INDEX( 'Draft Pick Order'!$BF:$BF,MATCH(E$2&amp;21,'Draft Pick Order'!$Y:$Y,0)),"")</f>
        <v>242</v>
      </c>
      <c r="E44" s="310">
        <f>IFERROR(IF(INDEX(Draft!BY:BY,MATCH(D44,Draft!BX:BX))="", D44, INDEX(Draft!BY:BY,MATCH(D44,Draft!BX:BX))),"")</f>
        <v>242</v>
      </c>
      <c r="F44">
        <f>IFERROR(INDEX( 'Draft Pick Order'!$BF:$BF,MATCH(G$2&amp;21,'Draft Pick Order'!$Y:$Y,0)),"")</f>
        <v>243</v>
      </c>
      <c r="G44" s="311">
        <f>IFERROR(IF(INDEX(Draft!BY:BY,MATCH(F44,Draft!BX:BX))="", F44, INDEX(Draft!BY:BY,MATCH(F44,Draft!BX:BX))),"")</f>
        <v>243</v>
      </c>
      <c r="H44">
        <f>IFERROR(INDEX( 'Draft Pick Order'!$BF:$BF,MATCH(I$2&amp;21,'Draft Pick Order'!$Y:$Y,0)),"")</f>
        <v>244</v>
      </c>
      <c r="I44" s="310">
        <f>IFERROR(IF(INDEX(Draft!BY:BY,MATCH(H44,Draft!BX:BX))="", H44, INDEX(Draft!BY:BY,MATCH(H44,Draft!BX:BX))),"")</f>
        <v>244</v>
      </c>
      <c r="J44">
        <f>IFERROR(INDEX( 'Draft Pick Order'!$BF:$BF,MATCH(K$2&amp;21,'Draft Pick Order'!$Y:$Y,0)),"")</f>
        <v>245</v>
      </c>
      <c r="K44" s="311">
        <f>IFERROR(IF(INDEX(Draft!BY:BY,MATCH(J44,Draft!BX:BX))="", J44, INDEX(Draft!BY:BY,MATCH(J44,Draft!BX:BX))),"")</f>
        <v>245</v>
      </c>
      <c r="L44">
        <f>IFERROR(INDEX( 'Draft Pick Order'!$BF:$BF,MATCH(M$2&amp;21,'Draft Pick Order'!$Y:$Y,0)),"")</f>
        <v>246</v>
      </c>
      <c r="M44" s="310">
        <f>IFERROR(IF(INDEX(Draft!BY:BY,MATCH(L44,Draft!BX:BX))="", L44, INDEX(Draft!BY:BY,MATCH(L44,Draft!BX:BX))),"")</f>
        <v>246</v>
      </c>
      <c r="N44">
        <f>IFERROR(INDEX( 'Draft Pick Order'!$BF:$BF,MATCH(O$2&amp;21,'Draft Pick Order'!$Y:$Y,0)),"")</f>
        <v>247</v>
      </c>
      <c r="O44" s="311">
        <f>IFERROR(IF(INDEX(Draft!BY:BY,MATCH(N44,Draft!BX:BX))="", N44, INDEX(Draft!BY:BY,MATCH(N44,Draft!BX:BX))),"")</f>
        <v>247</v>
      </c>
      <c r="P44">
        <f>IFERROR(INDEX( 'Draft Pick Order'!$BF:$BF,MATCH(Q$2&amp;21,'Draft Pick Order'!$Y:$Y,0)),"")</f>
        <v>248</v>
      </c>
      <c r="Q44" s="310">
        <f>IFERROR(IF(INDEX(Draft!BY:BY,MATCH(P44,Draft!BX:BX))="", P44, INDEX(Draft!BY:BY,MATCH(P44,Draft!BX:BX))),"")</f>
        <v>248</v>
      </c>
      <c r="R44">
        <f>IFERROR(INDEX( 'Draft Pick Order'!$BF:$BF,MATCH(S$2&amp;21,'Draft Pick Order'!$Y:$Y,0)),"")</f>
        <v>249</v>
      </c>
      <c r="S44" s="311">
        <f>IFERROR(IF(INDEX(Draft!BY:BY,MATCH(R44,Draft!BX:BX))="", R44, INDEX(Draft!BY:BY,MATCH(R44,Draft!BX:BX))),"")</f>
        <v>249</v>
      </c>
      <c r="T44">
        <f>IFERROR(INDEX( 'Draft Pick Order'!$BF:$BF,MATCH(U$2&amp;21,'Draft Pick Order'!$Y:$Y,0)),"")</f>
        <v>250</v>
      </c>
      <c r="U44" s="310">
        <f>IFERROR(IF(INDEX(Draft!BY:BY,MATCH(T44,Draft!BX:BX))="", T44, INDEX(Draft!BY:BY,MATCH(T44,Draft!BX:BX))),"")</f>
        <v>250</v>
      </c>
      <c r="V44">
        <f>IFERROR(INDEX( 'Draft Pick Order'!$BF:$BF,MATCH(W$2&amp;21,'Draft Pick Order'!$Y:$Y,0)),"")</f>
        <v>251</v>
      </c>
      <c r="W44" s="311">
        <f>IFERROR(IF(INDEX(Draft!BY:BY,MATCH(V44,Draft!BX:BX))="", V44, INDEX(Draft!BY:BY,MATCH(V44,Draft!BX:BX))),"")</f>
        <v>251</v>
      </c>
      <c r="X44">
        <f>IFERROR(INDEX( 'Draft Pick Order'!$BF:$BF,MATCH(Y$2&amp;21,'Draft Pick Order'!$Y:$Y,0)),"")</f>
        <v>252</v>
      </c>
      <c r="Y44" s="310">
        <f>IFERROR(IF(INDEX(Draft!BY:BY,MATCH(X44,Draft!BX:BX))="", X44, INDEX(Draft!BY:BY,MATCH(X44,Draft!BX:BX))),"")</f>
        <v>252</v>
      </c>
      <c r="Z44" t="str">
        <f>IFERROR(INDEX( 'Draft Pick Order'!$BF:$BF,MATCH(AA$2&amp;21,'Draft Pick Order'!$Y:$Y,0)),"")</f>
        <v/>
      </c>
      <c r="AA44" s="311" t="str">
        <f>IFERROR(IF(INDEX(Draft!BY:BY,MATCH(Z44,Draft!BX:BX))="", Z44, INDEX(Draft!BY:BY,MATCH(Z44,Draft!BX:BX))),"")</f>
        <v/>
      </c>
      <c r="AB44" t="str">
        <f>IFERROR(INDEX( 'Draft Pick Order'!$BF:$BF,MATCH(AC$2&amp;21,'Draft Pick Order'!$Y:$Y,0)),"")</f>
        <v/>
      </c>
      <c r="AC44" s="310" t="str">
        <f>IFERROR(IF(INDEX(Draft!BY:BY,MATCH(AB44,Draft!BX:BX))="", AB44, INDEX(Draft!BY:BY,MATCH(AB44,Draft!BX:BX))),"")</f>
        <v/>
      </c>
      <c r="AD44" t="str">
        <f>IFERROR(INDEX( 'Draft Pick Order'!$BF:$BF,MATCH(AE$2&amp;21,'Draft Pick Order'!$Y:$Y,0)),"")</f>
        <v/>
      </c>
      <c r="AE44" s="311" t="str">
        <f>IFERROR(IF(INDEX(Draft!BY:BY,MATCH(AD44,Draft!BX:BX))="", AD44, INDEX(Draft!BY:BY,MATCH(AD44,Draft!BX:BX))),"")</f>
        <v/>
      </c>
      <c r="AF44" t="str">
        <f>IFERROR(INDEX( 'Draft Pick Order'!$BF:$BF,MATCH(AG$2&amp;21,'Draft Pick Order'!$Y:$Y,0)),"")</f>
        <v/>
      </c>
      <c r="AG44" s="310" t="str">
        <f>IFERROR(IF(INDEX(Draft!BY:BY,MATCH(AF44,Draft!BX:BX))="", AF44, INDEX(Draft!BY:BY,MATCH(AF44,Draft!BX:BX))),"")</f>
        <v/>
      </c>
      <c r="AH44" s="338"/>
    </row>
    <row r="45" spans="1:34" ht="15" customHeight="1" x14ac:dyDescent="0.25">
      <c r="A45" s="686">
        <v>22</v>
      </c>
      <c r="C45" s="309" t="str">
        <f>IFERROR(INDEX(Draft!BZ:BZ,MATCH(B46,Draft!BX:BX)), "")</f>
        <v/>
      </c>
      <c r="E45" s="308" t="str">
        <f>IFERROR(INDEX(Draft!BZ:BZ,MATCH(D46,Draft!BX:BX)), "")</f>
        <v/>
      </c>
      <c r="G45" s="309" t="str">
        <f>IFERROR(INDEX(Draft!BZ:BZ,MATCH(F46,Draft!BX:BX)), "")</f>
        <v/>
      </c>
      <c r="I45" s="308" t="str">
        <f>IFERROR(INDEX(Draft!BZ:BZ,MATCH(H46,Draft!BX:BX)), "")</f>
        <v/>
      </c>
      <c r="K45" s="309" t="str">
        <f>IFERROR(INDEX(Draft!BZ:BZ,MATCH(J46,Draft!BX:BX)), "")</f>
        <v/>
      </c>
      <c r="M45" s="312" t="str">
        <f>IFERROR(INDEX(Draft!BZ:BZ,MATCH(L46,Draft!BX:BX)), "")</f>
        <v/>
      </c>
      <c r="O45" s="309" t="str">
        <f>IFERROR(INDEX(Draft!BZ:BZ,MATCH(N46,Draft!BX:BX)), "")</f>
        <v/>
      </c>
      <c r="Q45" s="308" t="str">
        <f>IFERROR(INDEX(Draft!BZ:BZ,MATCH(P46,Draft!BX:BX)), "")</f>
        <v/>
      </c>
      <c r="S45" s="309" t="str">
        <f>IFERROR(INDEX(Draft!BZ:BZ,MATCH(R46,Draft!BX:BX)), "")</f>
        <v/>
      </c>
      <c r="U45" s="308" t="str">
        <f>IFERROR(INDEX(Draft!BZ:BZ,MATCH(T46,Draft!BX:BX)), "")</f>
        <v/>
      </c>
      <c r="W45" s="309" t="str">
        <f>IFERROR(INDEX(Draft!BZ:BZ,MATCH(V46,Draft!BX:BX)), "")</f>
        <v/>
      </c>
      <c r="Y45" s="308" t="str">
        <f>IFERROR(INDEX(Draft!BZ:BZ,MATCH(X46,Draft!BX:BX)), "")</f>
        <v/>
      </c>
      <c r="AA45" s="309" t="str">
        <f>IFERROR(INDEX(Draft!BZ:BZ,MATCH(Z46,Draft!BX:BX)), "")</f>
        <v/>
      </c>
      <c r="AC45" s="308" t="str">
        <f>IFERROR(INDEX(Draft!BZ:BZ,MATCH(AB46,Draft!BX:BX)), "")</f>
        <v/>
      </c>
      <c r="AE45" s="309" t="str">
        <f>IFERROR(INDEX(Draft!BZ:BZ,MATCH(AD46,Draft!BX:BX)), "")</f>
        <v/>
      </c>
      <c r="AG45" s="308" t="str">
        <f>IFERROR(INDEX(Draft!BZ:BZ,MATCH(AF46,Draft!BX:BX)), "")</f>
        <v/>
      </c>
      <c r="AH45" s="338"/>
    </row>
    <row r="46" spans="1:34" ht="30.75" customHeight="1" thickBot="1" x14ac:dyDescent="0.3">
      <c r="A46" s="686"/>
      <c r="B46" t="str">
        <f>IFERROR(INDEX( 'Draft Pick Order'!$BF:$BF,MATCH(C$2&amp;22,'Draft Pick Order'!$Y:$Y,0)),"")</f>
        <v/>
      </c>
      <c r="C46" s="311" t="str">
        <f>IFERROR(IF(INDEX(Draft!BY:BY,MATCH(B46,Draft!BX:BX))="", B46, INDEX(Draft!BY:BY,MATCH(B46,Draft!BX:BX))),"")</f>
        <v/>
      </c>
      <c r="D46" t="str">
        <f>IFERROR(INDEX( 'Draft Pick Order'!$BF:$BF,MATCH(E$2&amp;22,'Draft Pick Order'!$Y:$Y,0)),"")</f>
        <v/>
      </c>
      <c r="E46" s="310" t="str">
        <f>IFERROR(IF(INDEX(Draft!BY:BY,MATCH(D46,Draft!BX:BX))="", D46, INDEX(Draft!BY:BY,MATCH(D46,Draft!BX:BX))),"")</f>
        <v/>
      </c>
      <c r="F46" t="str">
        <f>IFERROR(INDEX( 'Draft Pick Order'!$BF:$BF,MATCH(G$2&amp;22,'Draft Pick Order'!$Y:$Y,0)),"")</f>
        <v/>
      </c>
      <c r="G46" s="311" t="str">
        <f>IFERROR(IF(INDEX(Draft!BY:BY,MATCH(F46,Draft!BX:BX))="", F46, INDEX(Draft!BY:BY,MATCH(F46,Draft!BX:BX))),"")</f>
        <v/>
      </c>
      <c r="H46" t="str">
        <f>IFERROR(INDEX( 'Draft Pick Order'!$BF:$BF,MATCH(I$2&amp;22,'Draft Pick Order'!$Y:$Y,0)),"")</f>
        <v/>
      </c>
      <c r="I46" s="310" t="str">
        <f>IFERROR(IF(INDEX(Draft!BY:BY,MATCH(H46,Draft!BX:BX))="", H46, INDEX(Draft!BY:BY,MATCH(H46,Draft!BX:BX))),"")</f>
        <v/>
      </c>
      <c r="J46" t="str">
        <f>IFERROR(INDEX( 'Draft Pick Order'!$BF:$BF,MATCH(K$2&amp;22,'Draft Pick Order'!$Y:$Y,0)),"")</f>
        <v/>
      </c>
      <c r="K46" s="311" t="str">
        <f>IFERROR(IF(INDEX(Draft!BY:BY,MATCH(J46,Draft!BX:BX))="", J46, INDEX(Draft!BY:BY,MATCH(J46,Draft!BX:BX))),"")</f>
        <v/>
      </c>
      <c r="L46" t="str">
        <f>IFERROR(INDEX( 'Draft Pick Order'!$BF:$BF,MATCH(M$2&amp;22,'Draft Pick Order'!$Y:$Y,0)),"")</f>
        <v/>
      </c>
      <c r="M46" s="310" t="str">
        <f>IFERROR(IF(INDEX(Draft!BY:BY,MATCH(L46,Draft!BX:BX))="", L46, INDEX(Draft!BY:BY,MATCH(L46,Draft!BX:BX))),"")</f>
        <v/>
      </c>
      <c r="N46" t="str">
        <f>IFERROR(INDEX( 'Draft Pick Order'!$BF:$BF,MATCH(O$2&amp;22,'Draft Pick Order'!$Y:$Y,0)),"")</f>
        <v/>
      </c>
      <c r="O46" s="311" t="str">
        <f>IFERROR(IF(INDEX(Draft!BY:BY,MATCH(N46,Draft!BX:BX))="", N46, INDEX(Draft!BY:BY,MATCH(N46,Draft!BX:BX))),"")</f>
        <v/>
      </c>
      <c r="P46" t="str">
        <f>IFERROR(INDEX( 'Draft Pick Order'!$BF:$BF,MATCH(Q$2&amp;22,'Draft Pick Order'!$Y:$Y,0)),"")</f>
        <v/>
      </c>
      <c r="Q46" s="310" t="str">
        <f>IFERROR(IF(INDEX(Draft!BY:BY,MATCH(P46,Draft!BX:BX))="", P46, INDEX(Draft!BY:BY,MATCH(P46,Draft!BX:BX))),"")</f>
        <v/>
      </c>
      <c r="R46" t="str">
        <f>IFERROR(INDEX( 'Draft Pick Order'!$BF:$BF,MATCH(S$2&amp;22,'Draft Pick Order'!$Y:$Y,0)),"")</f>
        <v/>
      </c>
      <c r="S46" s="311" t="str">
        <f>IFERROR(IF(INDEX(Draft!BY:BY,MATCH(R46,Draft!BX:BX))="", R46, INDEX(Draft!BY:BY,MATCH(R46,Draft!BX:BX))),"")</f>
        <v/>
      </c>
      <c r="T46" t="str">
        <f>IFERROR(INDEX( 'Draft Pick Order'!$BF:$BF,MATCH(U$2&amp;22,'Draft Pick Order'!$Y:$Y,0)),"")</f>
        <v/>
      </c>
      <c r="U46" s="310" t="str">
        <f>IFERROR(IF(INDEX(Draft!BY:BY,MATCH(T46,Draft!BX:BX))="", T46, INDEX(Draft!BY:BY,MATCH(T46,Draft!BX:BX))),"")</f>
        <v/>
      </c>
      <c r="V46" t="str">
        <f>IFERROR(INDEX( 'Draft Pick Order'!$BF:$BF,MATCH(W$2&amp;22,'Draft Pick Order'!$Y:$Y,0)),"")</f>
        <v/>
      </c>
      <c r="W46" s="311" t="str">
        <f>IFERROR(IF(INDEX(Draft!BY:BY,MATCH(V46,Draft!BX:BX))="", V46, INDEX(Draft!BY:BY,MATCH(V46,Draft!BX:BX))),"")</f>
        <v/>
      </c>
      <c r="X46" t="str">
        <f>IFERROR(INDEX( 'Draft Pick Order'!$BF:$BF,MATCH(Y$2&amp;22,'Draft Pick Order'!$Y:$Y,0)),"")</f>
        <v/>
      </c>
      <c r="Y46" s="310" t="str">
        <f>IFERROR(IF(INDEX(Draft!BY:BY,MATCH(X46,Draft!BX:BX))="", X46, INDEX(Draft!BY:BY,MATCH(X46,Draft!BX:BX))),"")</f>
        <v/>
      </c>
      <c r="Z46" t="str">
        <f>IFERROR(INDEX( 'Draft Pick Order'!$BF:$BF,MATCH(AA$2&amp;22,'Draft Pick Order'!$Y:$Y,0)),"")</f>
        <v/>
      </c>
      <c r="AA46" s="311" t="str">
        <f>IFERROR(IF(INDEX(Draft!BY:BY,MATCH(Z46,Draft!BX:BX))="", Z46, INDEX(Draft!BY:BY,MATCH(Z46,Draft!BX:BX))),"")</f>
        <v/>
      </c>
      <c r="AB46" t="str">
        <f>IFERROR(INDEX( 'Draft Pick Order'!$BF:$BF,MATCH(AC$2&amp;22,'Draft Pick Order'!$Y:$Y,0)),"")</f>
        <v/>
      </c>
      <c r="AC46" s="310" t="str">
        <f>IFERROR(IF(INDEX(Draft!BY:BY,MATCH(AB46,Draft!BX:BX))="", AB46, INDEX(Draft!BY:BY,MATCH(AB46,Draft!BX:BX))),"")</f>
        <v/>
      </c>
      <c r="AD46" t="str">
        <f>IFERROR(INDEX( 'Draft Pick Order'!$BF:$BF,MATCH(AE$2&amp;22,'Draft Pick Order'!$Y:$Y,0)),"")</f>
        <v/>
      </c>
      <c r="AE46" s="311" t="str">
        <f>IFERROR(IF(INDEX(Draft!BY:BY,MATCH(AD46,Draft!BX:BX))="", AD46, INDEX(Draft!BY:BY,MATCH(AD46,Draft!BX:BX))),"")</f>
        <v/>
      </c>
      <c r="AF46" t="str">
        <f>IFERROR(INDEX( 'Draft Pick Order'!$BF:$BF,MATCH(AG$2&amp;22,'Draft Pick Order'!$Y:$Y,0)),"")</f>
        <v/>
      </c>
      <c r="AG46" s="310" t="str">
        <f>IFERROR(IF(INDEX(Draft!BY:BY,MATCH(AF46,Draft!BX:BX))="", AF46, INDEX(Draft!BY:BY,MATCH(AF46,Draft!BX:BX))),"")</f>
        <v/>
      </c>
      <c r="AH46" s="338"/>
    </row>
    <row r="47" spans="1:34" ht="15" customHeight="1" x14ac:dyDescent="0.25">
      <c r="A47" s="686">
        <v>23</v>
      </c>
      <c r="C47" s="309" t="str">
        <f>IFERROR(INDEX(Draft!BZ:BZ,MATCH(B48,Draft!BX:BX)), "")</f>
        <v/>
      </c>
      <c r="E47" s="308" t="str">
        <f>IFERROR(INDEX(Draft!BZ:BZ,MATCH(D48,Draft!BX:BX)), "")</f>
        <v/>
      </c>
      <c r="G47" s="309" t="str">
        <f>IFERROR(INDEX(Draft!BZ:BZ,MATCH(F48,Draft!BX:BX)), "")</f>
        <v/>
      </c>
      <c r="I47" s="308" t="str">
        <f>IFERROR(INDEX(Draft!BZ:BZ,MATCH(H48,Draft!BX:BX)), "")</f>
        <v/>
      </c>
      <c r="K47" s="309" t="str">
        <f>IFERROR(INDEX(Draft!BZ:BZ,MATCH(J48,Draft!BX:BX)), "")</f>
        <v/>
      </c>
      <c r="M47" s="312" t="str">
        <f>IFERROR(INDEX(Draft!BZ:BZ,MATCH(L48,Draft!BX:BX)), "")</f>
        <v/>
      </c>
      <c r="O47" s="309" t="str">
        <f>IFERROR(INDEX(Draft!BZ:BZ,MATCH(N48,Draft!BX:BX)), "")</f>
        <v/>
      </c>
      <c r="Q47" s="308" t="str">
        <f>IFERROR(INDEX(Draft!BZ:BZ,MATCH(P48,Draft!BX:BX)), "")</f>
        <v/>
      </c>
      <c r="S47" s="309" t="str">
        <f>IFERROR(INDEX(Draft!BZ:BZ,MATCH(R48,Draft!BX:BX)), "")</f>
        <v/>
      </c>
      <c r="U47" s="308" t="str">
        <f>IFERROR(INDEX(Draft!BZ:BZ,MATCH(T48,Draft!BX:BX)), "")</f>
        <v/>
      </c>
      <c r="W47" s="309" t="str">
        <f>IFERROR(INDEX(Draft!BZ:BZ,MATCH(V48,Draft!BX:BX)), "")</f>
        <v/>
      </c>
      <c r="Y47" s="308" t="str">
        <f>IFERROR(INDEX(Draft!BZ:BZ,MATCH(X48,Draft!BX:BX)), "")</f>
        <v/>
      </c>
      <c r="AA47" s="309" t="str">
        <f>IFERROR(INDEX(Draft!BZ:BZ,MATCH(Z48,Draft!BX:BX)), "")</f>
        <v/>
      </c>
      <c r="AC47" s="308" t="str">
        <f>IFERROR(INDEX(Draft!BZ:BZ,MATCH(AB48,Draft!BX:BX)), "")</f>
        <v/>
      </c>
      <c r="AE47" s="309" t="str">
        <f>IFERROR(INDEX(Draft!BZ:BZ,MATCH(AD48,Draft!BX:BX)), "")</f>
        <v/>
      </c>
      <c r="AG47" s="308" t="str">
        <f>IFERROR(INDEX(Draft!BZ:BZ,MATCH(AF48,Draft!BX:BX)), "")</f>
        <v/>
      </c>
      <c r="AH47" s="338"/>
    </row>
    <row r="48" spans="1:34" ht="30.75" customHeight="1" thickBot="1" x14ac:dyDescent="0.3">
      <c r="A48" s="686"/>
      <c r="B48" t="str">
        <f>IFERROR(INDEX( 'Draft Pick Order'!$BF:$BF,MATCH(C$2&amp;23,'Draft Pick Order'!$Y:$Y,0)),"")</f>
        <v/>
      </c>
      <c r="C48" s="311" t="str">
        <f>IFERROR(IF(INDEX(Draft!BY:BY,MATCH(B48,Draft!BX:BX))="", B48, INDEX(Draft!BY:BY,MATCH(B48,Draft!BX:BX))),"")</f>
        <v/>
      </c>
      <c r="D48" t="str">
        <f>IFERROR(INDEX( 'Draft Pick Order'!$BF:$BF,MATCH(E$2&amp;23,'Draft Pick Order'!$Y:$Y,0)),"")</f>
        <v/>
      </c>
      <c r="E48" s="310" t="str">
        <f>IFERROR(IF(INDEX(Draft!BY:BY,MATCH(D48,Draft!BX:BX))="", D48, INDEX(Draft!BY:BY,MATCH(D48,Draft!BX:BX))),"")</f>
        <v/>
      </c>
      <c r="F48" t="str">
        <f>IFERROR(INDEX( 'Draft Pick Order'!$BF:$BF,MATCH(G$2&amp;23,'Draft Pick Order'!$Y:$Y,0)),"")</f>
        <v/>
      </c>
      <c r="G48" s="311" t="str">
        <f>IFERROR(IF(INDEX(Draft!BY:BY,MATCH(F48,Draft!BX:BX))="", F48, INDEX(Draft!BY:BY,MATCH(F48,Draft!BX:BX))),"")</f>
        <v/>
      </c>
      <c r="H48" t="str">
        <f>IFERROR(INDEX( 'Draft Pick Order'!$BF:$BF,MATCH(I$2&amp;23,'Draft Pick Order'!$Y:$Y,0)),"")</f>
        <v/>
      </c>
      <c r="I48" s="310" t="str">
        <f>IFERROR(IF(INDEX(Draft!BY:BY,MATCH(H48,Draft!BX:BX))="", H48, INDEX(Draft!BY:BY,MATCH(H48,Draft!BX:BX))),"")</f>
        <v/>
      </c>
      <c r="J48" t="str">
        <f>IFERROR(INDEX( 'Draft Pick Order'!$BF:$BF,MATCH(K$2&amp;23,'Draft Pick Order'!$Y:$Y,0)),"")</f>
        <v/>
      </c>
      <c r="K48" s="311" t="str">
        <f>IFERROR(IF(INDEX(Draft!BY:BY,MATCH(J48,Draft!BX:BX))="", J48, INDEX(Draft!BY:BY,MATCH(J48,Draft!BX:BX))),"")</f>
        <v/>
      </c>
      <c r="L48" t="str">
        <f>IFERROR(INDEX( 'Draft Pick Order'!$BF:$BF,MATCH(M$2&amp;23,'Draft Pick Order'!$Y:$Y,0)),"")</f>
        <v/>
      </c>
      <c r="M48" s="310" t="str">
        <f>IFERROR(IF(INDEX(Draft!BY:BY,MATCH(L48,Draft!BX:BX))="", L48, INDEX(Draft!BY:BY,MATCH(L48,Draft!BX:BX))),"")</f>
        <v/>
      </c>
      <c r="N48" t="str">
        <f>IFERROR(INDEX( 'Draft Pick Order'!$BF:$BF,MATCH(O$2&amp;23,'Draft Pick Order'!$Y:$Y,0)),"")</f>
        <v/>
      </c>
      <c r="O48" s="311" t="str">
        <f>IFERROR(IF(INDEX(Draft!BY:BY,MATCH(N48,Draft!BX:BX))="", N48, INDEX(Draft!BY:BY,MATCH(N48,Draft!BX:BX))),"")</f>
        <v/>
      </c>
      <c r="P48" t="str">
        <f>IFERROR(INDEX( 'Draft Pick Order'!$BF:$BF,MATCH(Q$2&amp;23,'Draft Pick Order'!$Y:$Y,0)),"")</f>
        <v/>
      </c>
      <c r="Q48" s="310" t="str">
        <f>IFERROR(IF(INDEX(Draft!BY:BY,MATCH(P48,Draft!BX:BX))="", P48, INDEX(Draft!BY:BY,MATCH(P48,Draft!BX:BX))),"")</f>
        <v/>
      </c>
      <c r="R48" t="str">
        <f>IFERROR(INDEX( 'Draft Pick Order'!$BF:$BF,MATCH(S$2&amp;23,'Draft Pick Order'!$Y:$Y,0)),"")</f>
        <v/>
      </c>
      <c r="S48" s="311" t="str">
        <f>IFERROR(IF(INDEX(Draft!BY:BY,MATCH(R48,Draft!BX:BX))="", R48, INDEX(Draft!BY:BY,MATCH(R48,Draft!BX:BX))),"")</f>
        <v/>
      </c>
      <c r="T48" t="str">
        <f>IFERROR(INDEX( 'Draft Pick Order'!$BF:$BF,MATCH(U$2&amp;23,'Draft Pick Order'!$Y:$Y,0)),"")</f>
        <v/>
      </c>
      <c r="U48" s="310" t="str">
        <f>IFERROR(IF(INDEX(Draft!BY:BY,MATCH(T48,Draft!BX:BX))="", T48, INDEX(Draft!BY:BY,MATCH(T48,Draft!BX:BX))),"")</f>
        <v/>
      </c>
      <c r="V48" t="str">
        <f>IFERROR(INDEX( 'Draft Pick Order'!$BF:$BF,MATCH(W$2&amp;23,'Draft Pick Order'!$Y:$Y,0)),"")</f>
        <v/>
      </c>
      <c r="W48" s="311" t="str">
        <f>IFERROR(IF(INDEX(Draft!BY:BY,MATCH(V48,Draft!BX:BX))="", V48, INDEX(Draft!BY:BY,MATCH(V48,Draft!BX:BX))),"")</f>
        <v/>
      </c>
      <c r="X48" t="str">
        <f>IFERROR(INDEX( 'Draft Pick Order'!$BF:$BF,MATCH(Y$2&amp;23,'Draft Pick Order'!$Y:$Y,0)),"")</f>
        <v/>
      </c>
      <c r="Y48" s="310" t="str">
        <f>IFERROR(IF(INDEX(Draft!BY:BY,MATCH(X48,Draft!BX:BX))="", X48, INDEX(Draft!BY:BY,MATCH(X48,Draft!BX:BX))),"")</f>
        <v/>
      </c>
      <c r="Z48" t="str">
        <f>IFERROR(INDEX( 'Draft Pick Order'!$BF:$BF,MATCH(AA$2&amp;23,'Draft Pick Order'!$Y:$Y,0)),"")</f>
        <v/>
      </c>
      <c r="AA48" s="311" t="str">
        <f>IFERROR(IF(INDEX(Draft!BY:BY,MATCH(Z48,Draft!BX:BX))="", Z48, INDEX(Draft!BY:BY,MATCH(Z48,Draft!BX:BX))),"")</f>
        <v/>
      </c>
      <c r="AB48" t="str">
        <f>IFERROR(INDEX( 'Draft Pick Order'!$BF:$BF,MATCH(AC$2&amp;23,'Draft Pick Order'!$Y:$Y,0)),"")</f>
        <v/>
      </c>
      <c r="AC48" s="310" t="str">
        <f>IFERROR(IF(INDEX(Draft!BY:BY,MATCH(AB48,Draft!BX:BX))="", AB48, INDEX(Draft!BY:BY,MATCH(AB48,Draft!BX:BX))),"")</f>
        <v/>
      </c>
      <c r="AD48" t="str">
        <f>IFERROR(INDEX( 'Draft Pick Order'!$BF:$BF,MATCH(AE$2&amp;23,'Draft Pick Order'!$Y:$Y,0)),"")</f>
        <v/>
      </c>
      <c r="AE48" s="311" t="str">
        <f>IFERROR(IF(INDEX(Draft!BY:BY,MATCH(AD48,Draft!BX:BX))="", AD48, INDEX(Draft!BY:BY,MATCH(AD48,Draft!BX:BX))),"")</f>
        <v/>
      </c>
      <c r="AF48" t="str">
        <f>IFERROR(INDEX( 'Draft Pick Order'!$BF:$BF,MATCH(AG$2&amp;23,'Draft Pick Order'!$Y:$Y,0)),"")</f>
        <v/>
      </c>
      <c r="AG48" s="310" t="str">
        <f>IFERROR(IF(INDEX(Draft!BY:BY,MATCH(AF48,Draft!BX:BX))="", AF48, INDEX(Draft!BY:BY,MATCH(AF48,Draft!BX:BX))),"")</f>
        <v/>
      </c>
      <c r="AH48" s="338"/>
    </row>
    <row r="49" spans="1:34" ht="14.25" customHeight="1" x14ac:dyDescent="0.25">
      <c r="A49" s="686">
        <v>24</v>
      </c>
      <c r="C49" s="309" t="str">
        <f>IFERROR(INDEX(Draft!BZ:BZ,MATCH(B50,Draft!BX:BX)), "")</f>
        <v/>
      </c>
      <c r="E49" s="308" t="str">
        <f>IFERROR(INDEX(Draft!BZ:BZ,MATCH(D50,Draft!BX:BX)), "")</f>
        <v/>
      </c>
      <c r="G49" s="309" t="str">
        <f>IFERROR(INDEX(Draft!BZ:BZ,MATCH(F50,Draft!BX:BX)), "")</f>
        <v/>
      </c>
      <c r="I49" s="308" t="str">
        <f>IFERROR(INDEX(Draft!BZ:BZ,MATCH(H50,Draft!BX:BX)), "")</f>
        <v/>
      </c>
      <c r="K49" s="309" t="str">
        <f>IFERROR(INDEX(Draft!BZ:BZ,MATCH(J50,Draft!BX:BX)), "")</f>
        <v/>
      </c>
      <c r="M49" s="312" t="str">
        <f>IFERROR(INDEX(Draft!BZ:BZ,MATCH(L50,Draft!BX:BX)), "")</f>
        <v/>
      </c>
      <c r="O49" s="309" t="str">
        <f>IFERROR(INDEX(Draft!BZ:BZ,MATCH(N50,Draft!BX:BX)), "")</f>
        <v/>
      </c>
      <c r="Q49" s="308" t="str">
        <f>IFERROR(INDEX(Draft!BZ:BZ,MATCH(P50,Draft!BX:BX)), "")</f>
        <v/>
      </c>
      <c r="S49" s="309" t="str">
        <f>IFERROR(INDEX(Draft!BZ:BZ,MATCH(R50,Draft!BX:BX)), "")</f>
        <v/>
      </c>
      <c r="U49" s="308" t="str">
        <f>IFERROR(INDEX(Draft!BZ:BZ,MATCH(T50,Draft!BX:BX)), "")</f>
        <v/>
      </c>
      <c r="W49" s="309" t="str">
        <f>IFERROR(INDEX(Draft!BZ:BZ,MATCH(V50,Draft!BX:BX)), "")</f>
        <v/>
      </c>
      <c r="Y49" s="308" t="str">
        <f>IFERROR(INDEX(Draft!BZ:BZ,MATCH(X50,Draft!BX:BX)), "")</f>
        <v/>
      </c>
      <c r="AA49" s="309" t="str">
        <f>IFERROR(INDEX(Draft!BZ:BZ,MATCH(Z50,Draft!BX:BX)), "")</f>
        <v/>
      </c>
      <c r="AC49" s="308" t="str">
        <f>IFERROR(INDEX(Draft!BZ:BZ,MATCH(AB50,Draft!BX:BX)), "")</f>
        <v/>
      </c>
      <c r="AE49" s="309" t="str">
        <f>IFERROR(INDEX(Draft!BZ:BZ,MATCH(AD50,Draft!BX:BX)), "")</f>
        <v/>
      </c>
      <c r="AG49" s="308" t="str">
        <f>IFERROR(INDEX(Draft!BZ:BZ,MATCH(AF50,Draft!BX:BX)), "")</f>
        <v/>
      </c>
      <c r="AH49" s="338"/>
    </row>
    <row r="50" spans="1:34" ht="30.75" customHeight="1" thickBot="1" x14ac:dyDescent="0.3">
      <c r="A50" s="686"/>
      <c r="B50" t="str">
        <f>IFERROR(INDEX( 'Draft Pick Order'!$BF:$BF,MATCH(C$2&amp;24,'Draft Pick Order'!$Y:$Y,0)),"")</f>
        <v/>
      </c>
      <c r="C50" s="311" t="str">
        <f>IFERROR(IF(INDEX(Draft!BY:BY,MATCH(B50,Draft!BX:BX))="", B50, INDEX(Draft!BY:BY,MATCH(B50,Draft!BX:BX))),"")</f>
        <v/>
      </c>
      <c r="D50" t="str">
        <f>IFERROR(INDEX( 'Draft Pick Order'!$BF:$BF,MATCH(E$2&amp;24,'Draft Pick Order'!$Y:$Y,0)),"")</f>
        <v/>
      </c>
      <c r="E50" s="310" t="str">
        <f>IFERROR(IF(INDEX(Draft!BY:BY,MATCH(D50,Draft!BX:BX))="", D50, INDEX(Draft!BY:BY,MATCH(D50,Draft!BX:BX))),"")</f>
        <v/>
      </c>
      <c r="F50" t="str">
        <f>IFERROR(INDEX( 'Draft Pick Order'!$BF:$BF,MATCH(G$2&amp;24,'Draft Pick Order'!$Y:$Y,0)),"")</f>
        <v/>
      </c>
      <c r="G50" s="311" t="str">
        <f>IFERROR(IF(INDEX(Draft!BY:BY,MATCH(F50,Draft!BX:BX))="", F50, INDEX(Draft!BY:BY,MATCH(F50,Draft!BX:BX))),"")</f>
        <v/>
      </c>
      <c r="H50" t="str">
        <f>IFERROR(INDEX( 'Draft Pick Order'!$BF:$BF,MATCH(I$2&amp;24,'Draft Pick Order'!$Y:$Y,0)),"")</f>
        <v/>
      </c>
      <c r="I50" s="310" t="str">
        <f>IFERROR(IF(INDEX(Draft!BY:BY,MATCH(H50,Draft!BX:BX))="", H50, INDEX(Draft!BY:BY,MATCH(H50,Draft!BX:BX))),"")</f>
        <v/>
      </c>
      <c r="J50" t="str">
        <f>IFERROR(INDEX( 'Draft Pick Order'!$BF:$BF,MATCH(K$2&amp;24,'Draft Pick Order'!$Y:$Y,0)),"")</f>
        <v/>
      </c>
      <c r="K50" s="311" t="str">
        <f>IFERROR(IF(INDEX(Draft!BY:BY,MATCH(J50,Draft!BX:BX))="", J50, INDEX(Draft!BY:BY,MATCH(J50,Draft!BX:BX))),"")</f>
        <v/>
      </c>
      <c r="L50" t="str">
        <f>IFERROR(INDEX( 'Draft Pick Order'!$BF:$BF,MATCH(M$2&amp;24,'Draft Pick Order'!$Y:$Y,0)),"")</f>
        <v/>
      </c>
      <c r="M50" s="310" t="str">
        <f>IFERROR(IF(INDEX(Draft!BY:BY,MATCH(L50,Draft!BX:BX))="", L50, INDEX(Draft!BY:BY,MATCH(L50,Draft!BX:BX))),"")</f>
        <v/>
      </c>
      <c r="N50" t="str">
        <f>IFERROR(INDEX( 'Draft Pick Order'!$BF:$BF,MATCH(O$2&amp;24,'Draft Pick Order'!$Y:$Y,0)),"")</f>
        <v/>
      </c>
      <c r="O50" s="311" t="str">
        <f>IFERROR(IF(INDEX(Draft!BY:BY,MATCH(N50,Draft!BX:BX))="", N50, INDEX(Draft!BY:BY,MATCH(N50,Draft!BX:BX))),"")</f>
        <v/>
      </c>
      <c r="P50" t="str">
        <f>IFERROR(INDEX( 'Draft Pick Order'!$BF:$BF,MATCH(Q$2&amp;24,'Draft Pick Order'!$Y:$Y,0)),"")</f>
        <v/>
      </c>
      <c r="Q50" s="310" t="str">
        <f>IFERROR(IF(INDEX(Draft!BY:BY,MATCH(P50,Draft!BX:BX))="", P50, INDEX(Draft!BY:BY,MATCH(P50,Draft!BX:BX))),"")</f>
        <v/>
      </c>
      <c r="R50" t="str">
        <f>IFERROR(INDEX( 'Draft Pick Order'!$BF:$BF,MATCH(S$2&amp;24,'Draft Pick Order'!$Y:$Y,0)),"")</f>
        <v/>
      </c>
      <c r="S50" s="311" t="str">
        <f>IFERROR(IF(INDEX(Draft!BY:BY,MATCH(R50,Draft!BX:BX))="", R50, INDEX(Draft!BY:BY,MATCH(R50,Draft!BX:BX))),"")</f>
        <v/>
      </c>
      <c r="T50" t="str">
        <f>IFERROR(INDEX( 'Draft Pick Order'!$BF:$BF,MATCH(U$2&amp;24,'Draft Pick Order'!$Y:$Y,0)),"")</f>
        <v/>
      </c>
      <c r="U50" s="310" t="str">
        <f>IFERROR(IF(INDEX(Draft!BY:BY,MATCH(T50,Draft!BX:BX))="", T50, INDEX(Draft!BY:BY,MATCH(T50,Draft!BX:BX))),"")</f>
        <v/>
      </c>
      <c r="V50" t="str">
        <f>IFERROR(INDEX( 'Draft Pick Order'!$BF:$BF,MATCH(W$2&amp;24,'Draft Pick Order'!$Y:$Y,0)),"")</f>
        <v/>
      </c>
      <c r="W50" s="311" t="str">
        <f>IFERROR(IF(INDEX(Draft!BY:BY,MATCH(V50,Draft!BX:BX))="", V50, INDEX(Draft!BY:BY,MATCH(V50,Draft!BX:BX))),"")</f>
        <v/>
      </c>
      <c r="X50" t="str">
        <f>IFERROR(INDEX( 'Draft Pick Order'!$BF:$BF,MATCH(Y$2&amp;24,'Draft Pick Order'!$Y:$Y,0)),"")</f>
        <v/>
      </c>
      <c r="Y50" s="310" t="str">
        <f>IFERROR(IF(INDEX(Draft!BY:BY,MATCH(X50,Draft!BX:BX))="", X50, INDEX(Draft!BY:BY,MATCH(X50,Draft!BX:BX))),"")</f>
        <v/>
      </c>
      <c r="Z50" t="str">
        <f>IFERROR(INDEX( 'Draft Pick Order'!$BF:$BF,MATCH(AA$2&amp;24,'Draft Pick Order'!$Y:$Y,0)),"")</f>
        <v/>
      </c>
      <c r="AA50" s="311" t="str">
        <f>IFERROR(IF(INDEX(Draft!BY:BY,MATCH(Z50,Draft!BX:BX))="", Z50, INDEX(Draft!BY:BY,MATCH(Z50,Draft!BX:BX))),"")</f>
        <v/>
      </c>
      <c r="AB50" t="str">
        <f>IFERROR(INDEX( 'Draft Pick Order'!$BF:$BF,MATCH(AC$2&amp;24,'Draft Pick Order'!$Y:$Y,0)),"")</f>
        <v/>
      </c>
      <c r="AC50" s="310" t="str">
        <f>IFERROR(IF(INDEX(Draft!BY:BY,MATCH(AB50,Draft!BX:BX))="", AB50, INDEX(Draft!BY:BY,MATCH(AB50,Draft!BX:BX))),"")</f>
        <v/>
      </c>
      <c r="AD50" t="str">
        <f>IFERROR(INDEX( 'Draft Pick Order'!$BF:$BF,MATCH(AE$2&amp;24,'Draft Pick Order'!$Y:$Y,0)),"")</f>
        <v/>
      </c>
      <c r="AE50" s="311" t="str">
        <f>IFERROR(IF(INDEX(Draft!BY:BY,MATCH(AD50,Draft!BX:BX))="", AD50, INDEX(Draft!BY:BY,MATCH(AD50,Draft!BX:BX))),"")</f>
        <v/>
      </c>
      <c r="AF50" t="str">
        <f>IFERROR(INDEX( 'Draft Pick Order'!$BF:$BF,MATCH(AG$2&amp;24,'Draft Pick Order'!$Y:$Y,0)),"")</f>
        <v/>
      </c>
      <c r="AG50" s="310" t="str">
        <f>IFERROR(IF(INDEX(Draft!BY:BY,MATCH(AF50,Draft!BX:BX))="", AF50, INDEX(Draft!BY:BY,MATCH(AF50,Draft!BX:BX))),"")</f>
        <v/>
      </c>
      <c r="AH50" s="338"/>
    </row>
    <row r="51" spans="1:34" ht="15" customHeight="1" x14ac:dyDescent="0.25">
      <c r="A51" s="686">
        <v>25</v>
      </c>
      <c r="C51" s="309" t="str">
        <f>IFERROR(INDEX(Draft!BZ:BZ,MATCH(B52,Draft!BX:BX)), "")</f>
        <v/>
      </c>
      <c r="E51" s="308" t="str">
        <f>IFERROR(INDEX(Draft!BZ:BZ,MATCH(D52,Draft!BX:BX)), "")</f>
        <v/>
      </c>
      <c r="G51" s="309" t="str">
        <f>IFERROR(INDEX(Draft!BZ:BZ,MATCH(F52,Draft!BX:BX)), "")</f>
        <v/>
      </c>
      <c r="I51" s="308" t="str">
        <f>IFERROR(INDEX(Draft!BZ:BZ,MATCH(H52,Draft!BX:BX)), "")</f>
        <v/>
      </c>
      <c r="K51" s="309" t="str">
        <f>IFERROR(INDEX(Draft!BZ:BZ,MATCH(J52,Draft!BX:BX)), "")</f>
        <v/>
      </c>
      <c r="M51" s="312" t="str">
        <f>IFERROR(INDEX(Draft!BZ:BZ,MATCH(L52,Draft!BX:BX)), "")</f>
        <v/>
      </c>
      <c r="O51" s="309" t="str">
        <f>IFERROR(INDEX(Draft!BZ:BZ,MATCH(N52,Draft!BX:BX)), "")</f>
        <v/>
      </c>
      <c r="Q51" s="308" t="str">
        <f>IFERROR(INDEX(Draft!BZ:BZ,MATCH(P52,Draft!BX:BX)), "")</f>
        <v/>
      </c>
      <c r="S51" s="309" t="str">
        <f>IFERROR(INDEX(Draft!BZ:BZ,MATCH(R52,Draft!BX:BX)), "")</f>
        <v/>
      </c>
      <c r="U51" s="308" t="str">
        <f>IFERROR(INDEX(Draft!BZ:BZ,MATCH(T52,Draft!BX:BX)), "")</f>
        <v/>
      </c>
      <c r="W51" s="309" t="str">
        <f>IFERROR(INDEX(Draft!BZ:BZ,MATCH(V52,Draft!BX:BX)), "")</f>
        <v/>
      </c>
      <c r="Y51" s="308" t="str">
        <f>IFERROR(INDEX(Draft!BZ:BZ,MATCH(X52,Draft!BX:BX)), "")</f>
        <v/>
      </c>
      <c r="AA51" s="309" t="str">
        <f>IFERROR(INDEX(Draft!BZ:BZ,MATCH(Z52,Draft!BX:BX)), "")</f>
        <v/>
      </c>
      <c r="AC51" s="308" t="str">
        <f>IFERROR(INDEX(Draft!BZ:BZ,MATCH(AB52,Draft!BX:BX)), "")</f>
        <v/>
      </c>
      <c r="AE51" s="309" t="str">
        <f>IFERROR(INDEX(Draft!BZ:BZ,MATCH(AD52,Draft!BX:BX)), "")</f>
        <v/>
      </c>
      <c r="AG51" s="308" t="str">
        <f>IFERROR(INDEX(Draft!BZ:BZ,MATCH(AF52,Draft!BX:BX)), "")</f>
        <v/>
      </c>
      <c r="AH51" s="338"/>
    </row>
    <row r="52" spans="1:34" ht="30.75" customHeight="1" thickBot="1" x14ac:dyDescent="0.3">
      <c r="A52" s="686"/>
      <c r="B52" t="str">
        <f>IFERROR(INDEX( 'Draft Pick Order'!$BF:$BF,MATCH(C$2&amp;25,'Draft Pick Order'!$Y:$Y,0)),"")</f>
        <v/>
      </c>
      <c r="C52" s="311" t="str">
        <f>IFERROR(IF(INDEX(Draft!BY:BY,MATCH(B52,Draft!BX:BX))="", B52, INDEX(Draft!BY:BY,MATCH(B52,Draft!BX:BX))),"")</f>
        <v/>
      </c>
      <c r="D52" t="str">
        <f>IFERROR(INDEX( 'Draft Pick Order'!$BF:$BF,MATCH(E$2&amp;25,'Draft Pick Order'!$Y:$Y,0)),"")</f>
        <v/>
      </c>
      <c r="E52" s="310" t="str">
        <f>IFERROR(IF(INDEX(Draft!BY:BY,MATCH(D52,Draft!BX:BX))="", D52, INDEX(Draft!BY:BY,MATCH(D52,Draft!BX:BX))),"")</f>
        <v/>
      </c>
      <c r="F52" t="str">
        <f>IFERROR(INDEX( 'Draft Pick Order'!$BF:$BF,MATCH(G$2&amp;25,'Draft Pick Order'!$Y:$Y,0)),"")</f>
        <v/>
      </c>
      <c r="G52" s="311" t="str">
        <f>IFERROR(IF(INDEX(Draft!BY:BY,MATCH(F52,Draft!BX:BX))="", F52, INDEX(Draft!BY:BY,MATCH(F52,Draft!BX:BX))),"")</f>
        <v/>
      </c>
      <c r="H52" t="str">
        <f>IFERROR(INDEX( 'Draft Pick Order'!$BF:$BF,MATCH(I$2&amp;25,'Draft Pick Order'!$Y:$Y,0)),"")</f>
        <v/>
      </c>
      <c r="I52" s="310" t="str">
        <f>IFERROR(IF(INDEX(Draft!BY:BY,MATCH(H52,Draft!BX:BX))="", H52, INDEX(Draft!BY:BY,MATCH(H52,Draft!BX:BX))),"")</f>
        <v/>
      </c>
      <c r="J52" t="str">
        <f>IFERROR(INDEX( 'Draft Pick Order'!$BF:$BF,MATCH(K$2&amp;25,'Draft Pick Order'!$Y:$Y,0)),"")</f>
        <v/>
      </c>
      <c r="K52" s="311" t="str">
        <f>IFERROR(IF(INDEX(Draft!BY:BY,MATCH(J52,Draft!BX:BX))="", J52, INDEX(Draft!BY:BY,MATCH(J52,Draft!BX:BX))),"")</f>
        <v/>
      </c>
      <c r="L52" t="str">
        <f>IFERROR(INDEX( 'Draft Pick Order'!$BF:$BF,MATCH(M$2&amp;25,'Draft Pick Order'!$Y:$Y,0)),"")</f>
        <v/>
      </c>
      <c r="M52" s="310" t="str">
        <f>IFERROR(IF(INDEX(Draft!BY:BY,MATCH(L52,Draft!BX:BX))="", L52, INDEX(Draft!BY:BY,MATCH(L52,Draft!BX:BX))),"")</f>
        <v/>
      </c>
      <c r="N52" t="str">
        <f>IFERROR(INDEX( 'Draft Pick Order'!$BF:$BF,MATCH(O$2&amp;25,'Draft Pick Order'!$Y:$Y,0)),"")</f>
        <v/>
      </c>
      <c r="O52" s="311" t="str">
        <f>IFERROR(IF(INDEX(Draft!BY:BY,MATCH(N52,Draft!BX:BX))="", N52, INDEX(Draft!BY:BY,MATCH(N52,Draft!BX:BX))),"")</f>
        <v/>
      </c>
      <c r="P52" t="str">
        <f>IFERROR(INDEX( 'Draft Pick Order'!$BF:$BF,MATCH(Q$2&amp;25,'Draft Pick Order'!$Y:$Y,0)),"")</f>
        <v/>
      </c>
      <c r="Q52" s="310" t="str">
        <f>IFERROR(IF(INDEX(Draft!BY:BY,MATCH(P52,Draft!BX:BX))="", P52, INDEX(Draft!BY:BY,MATCH(P52,Draft!BX:BX))),"")</f>
        <v/>
      </c>
      <c r="R52" t="str">
        <f>IFERROR(INDEX( 'Draft Pick Order'!$BF:$BF,MATCH(S$2&amp;25,'Draft Pick Order'!$Y:$Y,0)),"")</f>
        <v/>
      </c>
      <c r="S52" s="311" t="str">
        <f>IFERROR(IF(INDEX(Draft!BY:BY,MATCH(R52,Draft!BX:BX))="", R52, INDEX(Draft!BY:BY,MATCH(R52,Draft!BX:BX))),"")</f>
        <v/>
      </c>
      <c r="T52" t="str">
        <f>IFERROR(INDEX( 'Draft Pick Order'!$BF:$BF,MATCH(U$2&amp;25,'Draft Pick Order'!$Y:$Y,0)),"")</f>
        <v/>
      </c>
      <c r="U52" s="310" t="str">
        <f>IFERROR(IF(INDEX(Draft!BY:BY,MATCH(T52,Draft!BX:BX))="", T52, INDEX(Draft!BY:BY,MATCH(T52,Draft!BX:BX))),"")</f>
        <v/>
      </c>
      <c r="V52" t="str">
        <f>IFERROR(INDEX( 'Draft Pick Order'!$BF:$BF,MATCH(W$2&amp;25,'Draft Pick Order'!$Y:$Y,0)),"")</f>
        <v/>
      </c>
      <c r="W52" s="311" t="str">
        <f>IFERROR(IF(INDEX(Draft!BY:BY,MATCH(V52,Draft!BX:BX))="", V52, INDEX(Draft!BY:BY,MATCH(V52,Draft!BX:BX))),"")</f>
        <v/>
      </c>
      <c r="X52" t="str">
        <f>IFERROR(INDEX( 'Draft Pick Order'!$BF:$BF,MATCH(Y$2&amp;25,'Draft Pick Order'!$Y:$Y,0)),"")</f>
        <v/>
      </c>
      <c r="Y52" s="310" t="str">
        <f>IFERROR(IF(INDEX(Draft!BY:BY,MATCH(X52,Draft!BX:BX))="", X52, INDEX(Draft!BY:BY,MATCH(X52,Draft!BX:BX))),"")</f>
        <v/>
      </c>
      <c r="Z52" t="str">
        <f>IFERROR(INDEX( 'Draft Pick Order'!$BF:$BF,MATCH(AA$2&amp;25,'Draft Pick Order'!$Y:$Y,0)),"")</f>
        <v/>
      </c>
      <c r="AA52" s="311" t="str">
        <f>IFERROR(IF(INDEX(Draft!BY:BY,MATCH(Z52,Draft!BX:BX))="", Z52, INDEX(Draft!BY:BY,MATCH(Z52,Draft!BX:BX))),"")</f>
        <v/>
      </c>
      <c r="AB52" t="str">
        <f>IFERROR(INDEX( 'Draft Pick Order'!$BF:$BF,MATCH(AC$2&amp;25,'Draft Pick Order'!$Y:$Y,0)),"")</f>
        <v/>
      </c>
      <c r="AC52" s="310" t="str">
        <f>IFERROR(IF(INDEX(Draft!BY:BY,MATCH(AB52,Draft!BX:BX))="", AB52, INDEX(Draft!BY:BY,MATCH(AB52,Draft!BX:BX))),"")</f>
        <v/>
      </c>
      <c r="AD52" t="str">
        <f>IFERROR(INDEX( 'Draft Pick Order'!$BF:$BF,MATCH(AE$2&amp;25,'Draft Pick Order'!$Y:$Y,0)),"")</f>
        <v/>
      </c>
      <c r="AE52" s="311" t="str">
        <f>IFERROR(IF(INDEX(Draft!BY:BY,MATCH(AD52,Draft!BX:BX))="", AD52, INDEX(Draft!BY:BY,MATCH(AD52,Draft!BX:BX))),"")</f>
        <v/>
      </c>
      <c r="AF52" t="str">
        <f>IFERROR(INDEX( 'Draft Pick Order'!$BF:$BF,MATCH(AG$2&amp;25,'Draft Pick Order'!$Y:$Y,0)),"")</f>
        <v/>
      </c>
      <c r="AG52" s="310" t="str">
        <f>IFERROR(IF(INDEX(Draft!BY:BY,MATCH(AF52,Draft!BX:BX))="", AF52, INDEX(Draft!BY:BY,MATCH(AF52,Draft!BX:BX))),"")</f>
        <v/>
      </c>
      <c r="AH52" s="338"/>
    </row>
    <row r="53" spans="1:34" x14ac:dyDescent="0.25">
      <c r="A53" s="341"/>
      <c r="C53" s="338"/>
      <c r="E53" s="338"/>
      <c r="G53" s="338"/>
      <c r="I53" s="338"/>
      <c r="K53" s="338"/>
      <c r="M53" s="338"/>
      <c r="O53" s="338"/>
      <c r="Q53" s="338"/>
      <c r="S53" s="338"/>
      <c r="U53" s="338"/>
      <c r="W53" s="338"/>
      <c r="Y53" s="338"/>
      <c r="AA53" s="338"/>
      <c r="AC53" s="338"/>
      <c r="AE53" s="338"/>
      <c r="AG53" s="338"/>
      <c r="AH53" s="338"/>
    </row>
    <row r="54" spans="1:34" ht="15" hidden="1" customHeight="1" x14ac:dyDescent="0.25"/>
    <row r="55" spans="1:34" ht="15" hidden="1" customHeight="1" x14ac:dyDescent="0.25"/>
    <row r="56" spans="1:34" ht="15" hidden="1" customHeight="1" x14ac:dyDescent="0.25"/>
    <row r="57" spans="1:34" ht="15" hidden="1" customHeight="1" x14ac:dyDescent="0.25"/>
    <row r="58" spans="1:34" ht="15" hidden="1" customHeight="1" x14ac:dyDescent="0.25"/>
    <row r="59" spans="1:34" ht="15" hidden="1" customHeight="1" x14ac:dyDescent="0.25"/>
    <row r="60" spans="1:34" ht="15" hidden="1" customHeight="1" x14ac:dyDescent="0.25"/>
    <row r="61" spans="1:34" ht="15" hidden="1" customHeight="1" x14ac:dyDescent="0.25"/>
    <row r="62" spans="1:34" ht="15" hidden="1" customHeight="1" x14ac:dyDescent="0.25"/>
    <row r="63" spans="1:34" ht="15" hidden="1" customHeight="1" x14ac:dyDescent="0.25"/>
    <row r="64" spans="1:34" ht="15" hidden="1" customHeight="1" x14ac:dyDescent="0.25"/>
    <row r="65" ht="15" hidden="1" customHeight="1" x14ac:dyDescent="0.25"/>
  </sheetData>
  <sheetProtection sheet="1" objects="1" scenarios="1" selectLockedCells="1" selectUnlockedCells="1"/>
  <mergeCells count="25">
    <mergeCell ref="A51:A52"/>
    <mergeCell ref="A29:A30"/>
    <mergeCell ref="A31:A32"/>
    <mergeCell ref="A33:A34"/>
    <mergeCell ref="A35:A36"/>
    <mergeCell ref="A37:A38"/>
    <mergeCell ref="A39:A40"/>
    <mergeCell ref="A41:A42"/>
    <mergeCell ref="A43:A44"/>
    <mergeCell ref="A45:A46"/>
    <mergeCell ref="A47:A48"/>
    <mergeCell ref="A49:A50"/>
    <mergeCell ref="A27:A28"/>
    <mergeCell ref="A25:A26"/>
    <mergeCell ref="A3:A4"/>
    <mergeCell ref="A5:A6"/>
    <mergeCell ref="A7:A8"/>
    <mergeCell ref="A9:A10"/>
    <mergeCell ref="A11:A12"/>
    <mergeCell ref="A13:A14"/>
    <mergeCell ref="A15:A16"/>
    <mergeCell ref="A17:A18"/>
    <mergeCell ref="A19:A20"/>
    <mergeCell ref="A21:A22"/>
    <mergeCell ref="A23:A24"/>
  </mergeCells>
  <conditionalFormatting sqref="C4 E4 G4 I4 K4 M4 O4 Q4 S4 U4 W4 Y4 AA4 AC4 AE4 AG4 C6 E6 G6 I6 K6 M6 O6 Q6 S6 U6 W6 Y6 AA6 AC6 AE6 AG6 C8 E8 G8 I8 K8 M8 O8 Q8 S8 U8 W8 Y8 AA8 AC8 AE8 AG8 C10 E10 G10 I10 K10 M10 O10 Q10 S10 U10 W10 Y10 AA10 AC10 AE10 AG10 C12 E12 G12 I12 K12 M12 O12 Q12 S12 U12 W12 Y12 AA12 AC12 AE12 AG12 E14 G14 I14 K14 M14 O14 Q14 S14 U14 W14 Y14 AA14 AC14 AE14 AG14 E16 G16 I16 K16 M16 O16 Q16 S16 U16 W16 Y16 AA16 AC16 AE16 AG16 E18 G18 I18 K18 M18 O18 Q18 S18 U18 W18 Y18 AA18 AC18 AE18 AG18 E20 G20 I20 K20 M20 O20 Q20 S20 U20 W20 Y20 AA20 AC20 AE20 AG20 E22 G22 I22 K22 M22 O22 Q22 S22 U22 W22 Y22 AA22 AC22 AE22 AG22 E24 G24 I24 K24 M24 O24 Q24 S24 U24 W24 Y24 AA24 AC24 AE24 AG24 E26 G26 I26 K26 M26 O26 Q26 S26 U26 W26 Y26 AA26 AC26 AE26 AG26 E28 G28 I28 K28 M28 O28 Q28 S28 U28 W28 Y28 AA28 AC28 AE28 AG28 E30 G30 I30 K30 M30 O30 Q30 S30 U30 W30 Y30 AA30 AC30 AE30 AG30 E32 G32 I32 K32 M32 O32 Q32 S32 U32 W32 Y32 AA32 AC32 AE32 AG32 E34 G34 I34 K34 M34 O34 Q34 S34 U34 W34 Y34 AA34 AC34 AE34 AG34 E36 G36 I36 K36 M36 O36 Q36 S36 U36 W36 Y36 AA36 AC36 AE36 AG36 E38 G38 I38 K38 M38 O38 Q38 S38 U38 W38 Y38 AA38 AC38 AE38 AG38 E40 G40 I40 K40 M40 O40 Q40 S40 U40 W40 Y40 AA40 AC40 AE40 AG40 E42 G42 I42 K42 M42 O42 Q42 S42 U42 W42 Y42 AA42 AC42 AE42 AG42 E44 G44 I44 K44 M44 O44 Q44 S44 U44 W44 Y44 AA44 AC44 AE44 AG44 E46 G46 I46 K46 M46 O46 Q46 S46 U46 W46 Y46 AA46 AC46 AE46 AG46 E48 G48 I48 K48 M48 O48 Q48 S48 U48 W48 Y48 AA48 AC48 AE48 AG48 E50 G50 I50 K50 M50 O50 Q50 S50 U50 W50 Y50 AA50 AC50 AE50 AG50 E52 G52 I52 K52 M52 O52 Q52 S52 U52 W52 Y52 AA52 AC52 AE52 AG52 C14 C16 C18 C20 C22 C24 C26 C28 C30 C32 C34 C36 C38 C40 C42 C44 C46 C48 C50 C52">
    <cfRule type="expression" dxfId="17" priority="1">
      <formula>C3="DST"</formula>
    </cfRule>
    <cfRule type="expression" dxfId="16" priority="2">
      <formula>C3="K"</formula>
    </cfRule>
    <cfRule type="expression" dxfId="15" priority="3">
      <formula>C3="TE"</formula>
    </cfRule>
    <cfRule type="expression" dxfId="14" priority="4">
      <formula>C3="WR"</formula>
    </cfRule>
    <cfRule type="expression" dxfId="13" priority="5">
      <formula>C3="RB"</formula>
    </cfRule>
    <cfRule type="expression" dxfId="12" priority="6">
      <formula>C3="QB"</formula>
    </cfRule>
  </conditionalFormatting>
  <conditionalFormatting sqref="C3 E3 G3 I3 K3 M3 O3 Q3 S3 U3 W3 Y3 AA3 AC3 AE3 AG3 C5 E5 G5 I5 K5 M5 O5 Q5 S5 U5 W5 Y5 AA5 AC5 AE5 AG5 C7 E7 G7 I7 K7 M7 O7 Q7 S7 U7 W7 Y7 AA7 AC7 AE7 AG7 C9 E9 G9 I9 K9 M9 O9 Q9 S9 U9 W9 Y9 AA9 AC9 AE9 AG9 C11 E11 G11 I11 K11 M11 O11 Q11 S11 U11 W11 Y11 AA11 AC11 AE11 AG11 E13 G13 I13 K13 M13 O13 Q13 S13 U13 W13 Y13 AA13 AC13 AE13 AG13 E15 G15 I15 K15 M15 O15 Q15 S15 U15 W15 Y15 AA15 AC15 AE15 AG15 E17 G17 I17 K17 M17 O17 Q17 S17 U17 W17 Y17 AA17 AC17 AE17 AG17 E19 G19 I19 K19 M19 O19 Q19 S19 U19 W19 Y19 AA19 AC19 AE19 AG19 E21 G21 I21 K21 M21 O21 Q21 S21 U21 W21 Y21 AA21 AC21 AE21 AG21 E23 G23 I23 K23 M23 O23 Q23 S23 U23 W23 Y23 AA23 AC23 AE23 AG23 E25 G25 I25 K25 M25 O25 Q25 S25 U25 W25 Y25 AA25 AC25 AE25 AG25 E27 G27 I27 K27 M27 O27 Q27 S27 U27 W27 Y27 AA27 AC27 AE27 AG27 E29 G29 I29 K29 M29 O29 Q29 S29 U29 W29 Y29 AA29 AC29 AE29 AG29 E31 G31 I31 K31 M31 O31 Q31 S31 U31 W31 Y31 AA31 AC31 AE31 AG31 E33 G33 I33 K33 M33 O33 Q33 S33 U33 W33 Y33 AA33 AC33 AE33 AG33 E35 G35 I35 K35 M35 O35 Q35 S35 U35 W35 Y35 AA35 AC35 AE35 AG35 E37 G37 I37 K37 M37 O37 Q37 S37 U37 W37 Y37 AA37 AC37 AE37 AG37 E39 G39 I39 K39 M39 O39 Q39 S39 U39 W39 Y39 AA39 AC39 AE39 AG39 E41 G41 I41 K41 M41 O41 Q41 S41 U41 W41 Y41 AA41 AC41 AE41 AG41 E43 G43 I43 K43 M43 O43 Q43 S43 U43 W43 Y43 AA43 AC43 AE43 AG43 E45 G45 I45 K45 M45 O45 Q45 S45 U45 W45 Y45 AA45 AC45 AE45 AG45 E47 G47 I47 K47 M47 O47 Q47 S47 U47 W47 Y47 AA47 AC47 AE47 AG47 E49 G49 I49 K49 M49 O49 Q49 S49 U49 W49 Y49 AA49 AC49 AE49 AG49 E51 G51 I51 K51 M51 O51 Q51 S51 U51 W51 Y51 AA51 AC51 AE51 AG51 C13 C15 C17 C19 C21 C23 C25 C27 C29 C31 C33 C35 C37 C39 C41 C43 C45 C47 C49 C51">
    <cfRule type="expression" dxfId="11" priority="7">
      <formula>C3="DST"</formula>
    </cfRule>
    <cfRule type="expression" dxfId="10" priority="8">
      <formula>C3="K"</formula>
    </cfRule>
    <cfRule type="expression" dxfId="9" priority="9">
      <formula>C3="TE"</formula>
    </cfRule>
    <cfRule type="expression" dxfId="8" priority="10">
      <formula>C3="WR"</formula>
    </cfRule>
    <cfRule type="expression" dxfId="7" priority="11">
      <formula>C3="RB"</formula>
    </cfRule>
    <cfRule type="expression" dxfId="6" priority="12">
      <formula>C3="QB"</formula>
    </cfRule>
  </conditionalFormatting>
  <pageMargins left="0.7" right="0.7" top="0.75" bottom="0.75" header="0.3" footer="0.3"/>
  <pageSetup orientation="portrait" horizontalDpi="300" r:id="rId1"/>
  <ignoredErrors>
    <ignoredError sqref="D3 F3 H3 J3 L3 N3 P3 R3 T3 V3 X3" unlockedFormula="1"/>
    <ignoredError sqref="D4 F4 H4 J4 L4 N4 P4 R4 T4 V4 X4" formula="1" unlockedFormula="1"/>
    <ignoredError sqref="AG2" formula="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I545"/>
  <sheetViews>
    <sheetView zoomScale="110" zoomScaleNormal="110" workbookViewId="0">
      <pane ySplit="6" topLeftCell="A7" activePane="bottomLeft" state="frozen"/>
      <selection activeCell="M1" sqref="M1:U1048576"/>
      <selection pane="bottomLeft" activeCell="Y1" sqref="Y1:AC1048576"/>
    </sheetView>
  </sheetViews>
  <sheetFormatPr defaultColWidth="0" defaultRowHeight="15" zeroHeight="1" x14ac:dyDescent="0.25"/>
  <cols>
    <col min="1" max="1" width="4.7109375" customWidth="1"/>
    <col min="2" max="3" width="6.28515625" hidden="1" customWidth="1"/>
    <col min="4" max="4" width="21.140625" bestFit="1" customWidth="1"/>
    <col min="5" max="7" width="9.140625" customWidth="1"/>
    <col min="8" max="8" width="10" customWidth="1"/>
    <col min="9" max="10" width="9.140625" hidden="1" customWidth="1"/>
    <col min="11" max="11" width="9.140625" customWidth="1"/>
    <col min="12" max="13" width="9.140625" hidden="1" customWidth="1"/>
    <col min="14" max="14" width="4.7109375" customWidth="1"/>
    <col min="15" max="23" width="9.140625" hidden="1"/>
    <col min="24" max="24" width="5.85546875" hidden="1"/>
    <col min="25" max="25" width="19.85546875" hidden="1" customWidth="1"/>
    <col min="26" max="27" width="9.140625" hidden="1" customWidth="1"/>
    <col min="28" max="28" width="13" hidden="1" customWidth="1"/>
    <col min="29" max="29" width="9.5703125" hidden="1" customWidth="1"/>
    <col min="30" max="30" width="9" hidden="1" customWidth="1"/>
    <col min="31" max="16384" width="9.140625" hidden="1"/>
  </cols>
  <sheetData>
    <row r="1" spans="1:35" ht="7.5" customHeight="1" thickBot="1" x14ac:dyDescent="0.3">
      <c r="A1" s="223"/>
      <c r="D1" s="224"/>
      <c r="E1" s="224"/>
      <c r="F1" s="224"/>
      <c r="G1" s="224"/>
      <c r="H1" s="224"/>
      <c r="I1" s="224"/>
      <c r="J1" s="223"/>
      <c r="K1" s="223"/>
      <c r="L1" s="223"/>
      <c r="M1" s="223"/>
      <c r="N1" s="225"/>
      <c r="O1" s="259"/>
      <c r="P1" s="260"/>
      <c r="Q1" s="260"/>
      <c r="R1" s="259"/>
      <c r="S1" s="259"/>
      <c r="T1" s="259"/>
      <c r="U1" s="259"/>
      <c r="V1" s="259"/>
      <c r="X1" s="261"/>
      <c r="Y1" s="259"/>
      <c r="Z1" s="259"/>
      <c r="AA1" s="259"/>
      <c r="AB1" s="261"/>
      <c r="AC1" s="261"/>
    </row>
    <row r="2" spans="1:35" x14ac:dyDescent="0.25">
      <c r="A2" s="223"/>
      <c r="D2" s="226"/>
      <c r="E2" s="224"/>
      <c r="F2" s="224"/>
      <c r="G2" s="227"/>
      <c r="H2" s="227"/>
      <c r="I2" s="227"/>
      <c r="J2" s="223"/>
      <c r="K2" s="223"/>
      <c r="L2" s="223"/>
      <c r="M2" s="223"/>
      <c r="N2" s="225"/>
      <c r="O2" s="262"/>
      <c r="P2" s="260"/>
      <c r="Q2" s="260"/>
      <c r="R2" s="259"/>
      <c r="S2" s="259"/>
      <c r="T2" s="259"/>
      <c r="U2" s="259"/>
      <c r="V2" s="259"/>
      <c r="X2" s="261"/>
      <c r="Y2" s="259"/>
      <c r="Z2" s="259"/>
      <c r="AA2" s="259"/>
      <c r="AB2" s="261"/>
      <c r="AC2" s="261"/>
    </row>
    <row r="3" spans="1:35" x14ac:dyDescent="0.25">
      <c r="A3" s="223"/>
      <c r="D3" s="228"/>
      <c r="E3" s="224"/>
      <c r="F3" s="224"/>
      <c r="G3" s="227"/>
      <c r="H3" s="227"/>
      <c r="I3" s="227"/>
      <c r="J3" s="223"/>
      <c r="K3" s="223"/>
      <c r="L3" s="223"/>
      <c r="M3" s="223"/>
      <c r="N3" s="225"/>
      <c r="O3" s="262"/>
      <c r="P3" s="260"/>
      <c r="Q3" s="260"/>
      <c r="R3" s="259"/>
      <c r="S3" s="259"/>
      <c r="T3" s="259"/>
      <c r="U3" s="259"/>
      <c r="V3" s="259"/>
      <c r="X3" s="261"/>
      <c r="Y3" s="259"/>
      <c r="Z3" s="259"/>
      <c r="AA3" s="259"/>
      <c r="AB3" s="261"/>
      <c r="AC3" s="261"/>
    </row>
    <row r="4" spans="1:35" ht="15.75" thickBot="1" x14ac:dyDescent="0.3">
      <c r="A4" s="223"/>
      <c r="D4" s="228"/>
      <c r="E4" s="224"/>
      <c r="F4" s="224"/>
      <c r="G4" s="227"/>
      <c r="H4" s="227"/>
      <c r="I4" s="227"/>
      <c r="J4" s="223"/>
      <c r="K4" s="223"/>
      <c r="L4" s="223"/>
      <c r="M4" s="223"/>
      <c r="N4" s="225"/>
      <c r="O4" s="262"/>
      <c r="P4" s="260"/>
      <c r="Q4" s="260"/>
      <c r="R4" s="259"/>
      <c r="S4" s="259"/>
      <c r="T4" s="259"/>
      <c r="U4" s="259"/>
      <c r="V4" s="259"/>
      <c r="X4" s="261"/>
      <c r="Y4" s="259"/>
      <c r="Z4" s="259"/>
      <c r="AA4" s="259"/>
      <c r="AB4" s="261"/>
      <c r="AC4" s="261"/>
    </row>
    <row r="5" spans="1:35" ht="15.75" thickBot="1" x14ac:dyDescent="0.3">
      <c r="A5" s="223"/>
      <c r="D5" s="229"/>
      <c r="E5" s="224"/>
      <c r="F5" s="224"/>
      <c r="G5" s="227"/>
      <c r="H5" s="227"/>
      <c r="I5" s="227"/>
      <c r="J5" s="223"/>
      <c r="K5" s="223"/>
      <c r="L5" s="223"/>
      <c r="M5" s="223"/>
      <c r="N5" s="225"/>
      <c r="O5" s="263" t="s">
        <v>251</v>
      </c>
      <c r="P5" s="260"/>
      <c r="Q5" s="260" t="s">
        <v>1</v>
      </c>
      <c r="R5" s="259" t="s">
        <v>3</v>
      </c>
      <c r="S5" s="259" t="s">
        <v>6</v>
      </c>
      <c r="T5" s="260" t="s">
        <v>7</v>
      </c>
      <c r="U5" s="260" t="s">
        <v>160</v>
      </c>
      <c r="V5" s="260" t="s">
        <v>11</v>
      </c>
      <c r="X5" s="261"/>
      <c r="Y5" s="259"/>
      <c r="Z5" s="259"/>
      <c r="AA5" s="259"/>
      <c r="AB5" s="261"/>
      <c r="AC5" s="261"/>
    </row>
    <row r="6" spans="1:35" ht="15.75" thickBot="1" x14ac:dyDescent="0.3">
      <c r="A6" s="223"/>
      <c r="D6" s="453" t="s">
        <v>244</v>
      </c>
      <c r="E6" s="147" t="s">
        <v>913</v>
      </c>
      <c r="F6" s="147" t="s">
        <v>1743</v>
      </c>
      <c r="G6" s="147" t="s">
        <v>246</v>
      </c>
      <c r="H6" s="148" t="s">
        <v>1926</v>
      </c>
      <c r="I6" s="223"/>
      <c r="J6" s="223"/>
      <c r="K6" s="223"/>
      <c r="L6" s="223"/>
      <c r="M6" s="223"/>
      <c r="N6" s="225"/>
      <c r="O6" s="264"/>
      <c r="P6" s="260"/>
      <c r="Q6" s="267"/>
      <c r="R6" s="266"/>
      <c r="S6" s="266"/>
      <c r="T6" s="266"/>
      <c r="U6" s="266"/>
      <c r="V6" s="266"/>
      <c r="X6" s="265" t="s">
        <v>1614</v>
      </c>
      <c r="Y6" s="259" t="str">
        <f>ADP_Import!A1</f>
        <v>Player</v>
      </c>
      <c r="Z6" s="259" t="str">
        <f>ADP_Import!B1</f>
        <v>Team</v>
      </c>
      <c r="AA6" s="259" t="str">
        <f>ADP_Import!C1</f>
        <v>position</v>
      </c>
      <c r="AB6" s="265" t="str">
        <f>INDEX(ADP_Import!D:AE,1,$AF$6)</f>
        <v>12 - PPR</v>
      </c>
      <c r="AC6" s="265" t="str">
        <f>INDEX(ADP_Import!D:AE,1,$AG$6)</f>
        <v>12 - PPR StD</v>
      </c>
      <c r="AF6">
        <f>IF(OR(Instructions!E15=2,Instructions!J17=1),INDEX(ADP!$AF$7:$AF$25,MATCH(Instructions!E11+100,ADP!$AE$7:$AE$25,0)),INDEX(ADP!$AF$7:$AF$25,MATCH(Instructions!E11+IF(Instructions!E25=0.25,0.5,Instructions!E25),ADP!$AE$7:$AE$25,0)))</f>
        <v>19</v>
      </c>
      <c r="AG6" s="265">
        <f>IF(OR(Instructions!E15=2,Instructions!J17=1),INDEX(ADP!$AG$7:$AG$25,MATCH(Instructions!E11+100,ADP!$AE$7:$AE$25,0)),INDEX(ADP!$AG$7:$AG$25,MATCH(Instructions!E11+IF(Instructions!E25=0.25,0.5,Instructions!E25),ADP!$AE$7:$AE$25,0)))</f>
        <v>20</v>
      </c>
    </row>
    <row r="7" spans="1:35" ht="15" customHeight="1" x14ac:dyDescent="0.25">
      <c r="A7" s="230">
        <v>1</v>
      </c>
      <c r="B7">
        <f>IFERROR(IF(INDEX(Draft!BY:BY,MATCH(ADP!D7,Draft!BY:BY,0))=ADP!D7,1,0),0)</f>
        <v>0</v>
      </c>
      <c r="C7" t="str">
        <f>IF(AND(IFERROR(INDEX(Instructions!$T$111:$T$222,MATCH(D7,Instructions!$T$111:$T$222,0)), "")=D7, D7&lt;&gt;""), "X", "")</f>
        <v>X</v>
      </c>
      <c r="D7" s="454" t="s">
        <v>2081</v>
      </c>
      <c r="E7" s="232" t="s">
        <v>138</v>
      </c>
      <c r="F7" s="232" t="s">
        <v>6</v>
      </c>
      <c r="G7" s="383">
        <v>1.4003289999999999</v>
      </c>
      <c r="H7" s="455">
        <v>0.8</v>
      </c>
      <c r="I7" s="702" t="s">
        <v>896</v>
      </c>
      <c r="J7" s="693" t="s">
        <v>896</v>
      </c>
      <c r="K7" s="687" t="s">
        <v>896</v>
      </c>
      <c r="L7" s="687" t="s">
        <v>896</v>
      </c>
      <c r="M7" s="687" t="s">
        <v>896</v>
      </c>
      <c r="N7" s="233">
        <v>1</v>
      </c>
      <c r="O7" s="385" t="str">
        <f>F7&amp;COUNTIF($F$7:F7,F7)</f>
        <v>WR1</v>
      </c>
      <c r="P7" s="268">
        <f>VALUE('Draft Pick Order'!B3)</f>
        <v>200</v>
      </c>
      <c r="Q7" s="259">
        <f>COUNTIF($F$7,"QB")</f>
        <v>0</v>
      </c>
      <c r="R7" s="259">
        <f>COUNTIF($F$7,"RB")</f>
        <v>0</v>
      </c>
      <c r="S7" s="259">
        <f>COUNTIF($F$7,"WR")</f>
        <v>1</v>
      </c>
      <c r="T7" s="259">
        <f>COUNTIF($F$7,"TE")</f>
        <v>0</v>
      </c>
      <c r="U7" s="259">
        <f>COUNTIF($F$7,"DST")</f>
        <v>0</v>
      </c>
      <c r="V7" s="259">
        <f>COUNTIF($F$7,"K")</f>
        <v>0</v>
      </c>
      <c r="X7" s="265">
        <v>1</v>
      </c>
      <c r="Y7" s="259" t="str">
        <f>IFERROR(INDEX(ADP_Import!A:A,MATCH(ADP!AB7,ADP_Import!AG:AG,0)),"")</f>
        <v>Justin Jefferson</v>
      </c>
      <c r="Z7" s="259" t="str">
        <f>IFERROR(INDEX(ADP_Import!B:B,MATCH(ADP!AB7,ADP_Import!AG:AG,0)),"")</f>
        <v>MIN</v>
      </c>
      <c r="AA7" s="259" t="str">
        <f>IFERROR(INDEX(ADP_Import!C:C,MATCH(ADP!AB7,ADP_Import!AG:AG,0)),"")</f>
        <v>WR</v>
      </c>
      <c r="AB7" s="439">
        <f>IFERROR(INDEX(ADP_Import!AG:AG,MATCH(SMALL(ADP_Import!AG:AG,X7),ADP_Import!AG:AG,0)),"NA")</f>
        <v>1.500329</v>
      </c>
      <c r="AC7" s="265">
        <f>IFERROR(INDEX(ADP_Import!$D:$AE,MATCH(AB7,ADP_Import!AG:AG,0),$AG$6),"")</f>
        <v>0.7</v>
      </c>
      <c r="AE7">
        <v>8</v>
      </c>
      <c r="AF7">
        <v>1</v>
      </c>
      <c r="AG7">
        <v>2</v>
      </c>
      <c r="AI7" t="str">
        <f>INDEX('Draft Pick Order'!E:U,MATCH(A7,'Draft Pick Order'!C:C,0),(Instructions!$E$11*2-15))</f>
        <v>1-1</v>
      </c>
    </row>
    <row r="8" spans="1:35" x14ac:dyDescent="0.25">
      <c r="A8" s="230">
        <v>2</v>
      </c>
      <c r="B8">
        <f>IFERROR(IF(INDEX(Draft!BY:BY,MATCH(ADP!D8,Draft!BY:BY,0))=ADP!D8,1,0),0)</f>
        <v>0</v>
      </c>
      <c r="C8" t="str">
        <f>IF(AND(IFERROR(INDEX(Instructions!$T$111:$T$222,MATCH(D8,Instructions!$T$111:$T$222,0)), "")=D8, D8&lt;&gt;""), "X", "")</f>
        <v/>
      </c>
      <c r="D8" s="454" t="s">
        <v>1426</v>
      </c>
      <c r="E8" s="232" t="s">
        <v>155</v>
      </c>
      <c r="F8" s="232" t="s">
        <v>3</v>
      </c>
      <c r="G8" s="384">
        <v>2.3006129999999998</v>
      </c>
      <c r="H8" s="456">
        <v>0.9</v>
      </c>
      <c r="I8" s="703"/>
      <c r="J8" s="694"/>
      <c r="K8" s="688"/>
      <c r="L8" s="688"/>
      <c r="M8" s="688"/>
      <c r="N8" s="233">
        <v>2</v>
      </c>
      <c r="O8" s="385" t="str">
        <f>F8&amp;COUNTIF($F$7:F8,F8)</f>
        <v>RB1</v>
      </c>
      <c r="P8" s="268">
        <f>VALUE('Draft Pick Order'!B4)</f>
        <v>201</v>
      </c>
      <c r="Q8" s="259">
        <f>COUNTIF(D$7:$F8,"QB")</f>
        <v>0</v>
      </c>
      <c r="R8" s="259">
        <f>COUNTIF($F$7:F8,"RB")</f>
        <v>1</v>
      </c>
      <c r="S8" s="259">
        <f>COUNTIF($F$7:F8,"WR")</f>
        <v>1</v>
      </c>
      <c r="T8" s="259">
        <f>COUNTIF($F$7:F8,"TE")</f>
        <v>0</v>
      </c>
      <c r="U8" s="259">
        <f>COUNTIF($F$7:F8,"DST")</f>
        <v>0</v>
      </c>
      <c r="V8" s="259">
        <f>COUNTIF($F$7:F8,"K")</f>
        <v>0</v>
      </c>
      <c r="X8" s="265">
        <v>2</v>
      </c>
      <c r="Y8" s="259" t="str">
        <f>IFERROR(INDEX(ADP_Import!A:A,MATCH(ADP!AB8,ADP_Import!AG:AG,0)),"")</f>
        <v>Christian McCaffrey</v>
      </c>
      <c r="Z8" s="259" t="str">
        <f>IFERROR(INDEX(ADP_Import!B:B,MATCH(ADP!AB8,ADP_Import!AG:AG,0)),"")</f>
        <v>SF</v>
      </c>
      <c r="AA8" s="259" t="str">
        <f>IFERROR(INDEX(ADP_Import!C:C,MATCH(ADP!AB8,ADP_Import!AG:AG,0)),"")</f>
        <v>RB</v>
      </c>
      <c r="AB8" s="439">
        <f>IFERROR(INDEX(ADP_Import!AG:AG,MATCH(SMALL(ADP_Import!AG:AG,X8),ADP_Import!AG:AG,0)),"NA")</f>
        <v>2.4006129999999999</v>
      </c>
      <c r="AC8" s="265">
        <f>IFERROR(INDEX(ADP_Import!$D:$AE,MATCH(AB8,ADP_Import!AG:AG,0),$AG$6),"")</f>
        <v>1</v>
      </c>
      <c r="AE8">
        <v>8.5</v>
      </c>
      <c r="AF8">
        <v>3</v>
      </c>
      <c r="AG8">
        <v>4</v>
      </c>
      <c r="AI8" t="str">
        <f>INDEX('Draft Pick Order'!E:U,MATCH(A8,'Draft Pick Order'!C:C,0),(Instructions!$E$11*2-15))</f>
        <v>1-2</v>
      </c>
    </row>
    <row r="9" spans="1:35" x14ac:dyDescent="0.25">
      <c r="A9" s="230">
        <v>3</v>
      </c>
      <c r="B9">
        <f>IFERROR(IF(INDEX(Draft!BY:BY,MATCH(ADP!D9,Draft!BY:BY,0))=ADP!D9,1,0),0)</f>
        <v>0</v>
      </c>
      <c r="C9" t="str">
        <f>IF(AND(IFERROR(INDEX(Instructions!$T$111:$T$222,MATCH(D9,Instructions!$T$111:$T$222,0)), "")=D9, D9&lt;&gt;""), "X", "")</f>
        <v>X</v>
      </c>
      <c r="D9" s="454" t="s">
        <v>1756</v>
      </c>
      <c r="E9" s="232" t="s">
        <v>1388</v>
      </c>
      <c r="F9" s="232" t="s">
        <v>3</v>
      </c>
      <c r="G9" s="383">
        <v>2.3006899999999999</v>
      </c>
      <c r="H9" s="455">
        <v>0.9</v>
      </c>
      <c r="I9" s="703"/>
      <c r="J9" s="694"/>
      <c r="K9" s="688"/>
      <c r="L9" s="688"/>
      <c r="M9" s="688"/>
      <c r="N9" s="233">
        <v>3</v>
      </c>
      <c r="O9" s="385" t="str">
        <f>F9&amp;COUNTIF($F$7:F9,F9)</f>
        <v>RB2</v>
      </c>
      <c r="P9" s="268">
        <f>VALUE('Draft Pick Order'!B5)</f>
        <v>201</v>
      </c>
      <c r="Q9" s="259">
        <f>COUNTIF(D$7:$F9,"QB")</f>
        <v>0</v>
      </c>
      <c r="R9" s="259">
        <f>COUNTIF($F$7:F9,"RB")</f>
        <v>2</v>
      </c>
      <c r="S9" s="259">
        <f>COUNTIF($F$7:F9,"WR")</f>
        <v>1</v>
      </c>
      <c r="T9" s="259">
        <f>COUNTIF($F$7:F9,"TE")</f>
        <v>0</v>
      </c>
      <c r="U9" s="259">
        <f>COUNTIF($F$7:F9,"DST")</f>
        <v>0</v>
      </c>
      <c r="V9" s="259">
        <f>COUNTIF($F$7:F9,"K")</f>
        <v>0</v>
      </c>
      <c r="X9" s="265">
        <v>3</v>
      </c>
      <c r="Y9" s="259" t="str">
        <f>IFERROR(INDEX(ADP_Import!A:A,MATCH(ADP!AB9,ADP_Import!AG:AG,0)),"")</f>
        <v>JaMarr Chase</v>
      </c>
      <c r="Z9" s="259" t="str">
        <f>IFERROR(INDEX(ADP_Import!B:B,MATCH(ADP!AB9,ADP_Import!AG:AG,0)),"")</f>
        <v>CIN</v>
      </c>
      <c r="AA9" s="259" t="str">
        <f>IFERROR(INDEX(ADP_Import!C:C,MATCH(ADP!AB9,ADP_Import!AG:AG,0)),"")</f>
        <v>WR</v>
      </c>
      <c r="AB9" s="439">
        <f>IFERROR(INDEX(ADP_Import!AG:AG,MATCH(SMALL(ADP_Import!AG:AG,X9),ADP_Import!AG:AG,0)),"NA")</f>
        <v>2.600403</v>
      </c>
      <c r="AC9" s="265">
        <f>IFERROR(INDEX(ADP_Import!$D:$AE,MATCH(AB9,ADP_Import!AG:AG,0),$AG$6),"")</f>
        <v>0.9</v>
      </c>
      <c r="AE9">
        <v>9</v>
      </c>
      <c r="AF9">
        <v>5</v>
      </c>
      <c r="AG9">
        <v>6</v>
      </c>
      <c r="AI9" t="str">
        <f>INDEX('Draft Pick Order'!E:U,MATCH(A9,'Draft Pick Order'!C:C,0),(Instructions!$E$11*2-15))</f>
        <v>1-3</v>
      </c>
    </row>
    <row r="10" spans="1:35" x14ac:dyDescent="0.25">
      <c r="A10" s="230">
        <v>4</v>
      </c>
      <c r="B10">
        <f>IFERROR(IF(INDEX(Draft!BY:BY,MATCH(ADP!D10,Draft!BY:BY,0))=ADP!D10,1,0),0)</f>
        <v>0</v>
      </c>
      <c r="C10" t="str">
        <f>IF(AND(IFERROR(INDEX(Instructions!$T$111:$T$222,MATCH(D10,Instructions!$T$111:$T$222,0)), "")=D10, D10&lt;&gt;""), "X", "")</f>
        <v/>
      </c>
      <c r="D10" s="454" t="s">
        <v>1267</v>
      </c>
      <c r="E10" s="232" t="s">
        <v>166</v>
      </c>
      <c r="F10" s="232" t="s">
        <v>6</v>
      </c>
      <c r="G10" s="384">
        <v>4.2000299999999999</v>
      </c>
      <c r="H10" s="456">
        <v>1.3</v>
      </c>
      <c r="I10" s="703"/>
      <c r="J10" s="694"/>
      <c r="K10" s="688"/>
      <c r="L10" s="688"/>
      <c r="M10" s="688"/>
      <c r="N10" s="233">
        <v>4</v>
      </c>
      <c r="O10" s="385" t="str">
        <f>F10&amp;COUNTIF($F$7:F10,F10)</f>
        <v>WR2</v>
      </c>
      <c r="P10" s="268">
        <f>VALUE('Draft Pick Order'!B6)</f>
        <v>201</v>
      </c>
      <c r="Q10" s="259">
        <f>COUNTIF(D$7:$F10,"QB")</f>
        <v>0</v>
      </c>
      <c r="R10" s="259">
        <f>COUNTIF($F$7:F10,"RB")</f>
        <v>2</v>
      </c>
      <c r="S10" s="259">
        <f>COUNTIF($F$7:F10,"WR")</f>
        <v>2</v>
      </c>
      <c r="T10" s="259">
        <f>COUNTIF($F$7:F10,"TE")</f>
        <v>0</v>
      </c>
      <c r="U10" s="259">
        <f>COUNTIF($F$7:F10,"DST")</f>
        <v>0</v>
      </c>
      <c r="V10" s="259">
        <f>COUNTIF($F$7:F10,"K")</f>
        <v>0</v>
      </c>
      <c r="X10" s="265">
        <v>4</v>
      </c>
      <c r="Y10" s="259" t="str">
        <f>IFERROR(INDEX(ADP_Import!A:A,MATCH(ADP!AB10,ADP_Import!AG:AG,0)),"")</f>
        <v>Tyreek Hill</v>
      </c>
      <c r="Z10" s="259" t="str">
        <f>IFERROR(INDEX(ADP_Import!B:B,MATCH(ADP!AB10,ADP_Import!AG:AG,0)),"")</f>
        <v>MIA</v>
      </c>
      <c r="AA10" s="259" t="str">
        <f>IFERROR(INDEX(ADP_Import!C:C,MATCH(ADP!AB10,ADP_Import!AG:AG,0)),"")</f>
        <v>WR</v>
      </c>
      <c r="AB10" s="439">
        <f>IFERROR(INDEX(ADP_Import!AG:AG,MATCH(SMALL(ADP_Import!AG:AG,X10),ADP_Import!AG:AG,0)),"NA")</f>
        <v>4.5000299999999998</v>
      </c>
      <c r="AC10" s="265">
        <f>IFERROR(INDEX(ADP_Import!$D:$AE,MATCH(AB10,ADP_Import!AG:AG,0),$AG$6),"")</f>
        <v>1.2</v>
      </c>
      <c r="AE10">
        <v>108</v>
      </c>
      <c r="AF10">
        <f>AF14</f>
        <v>13</v>
      </c>
      <c r="AG10">
        <f>AG14</f>
        <v>14</v>
      </c>
      <c r="AI10" t="str">
        <f>INDEX('Draft Pick Order'!E:U,MATCH(A10,'Draft Pick Order'!C:C,0),(Instructions!$E$11*2-15))</f>
        <v>1-4</v>
      </c>
    </row>
    <row r="11" spans="1:35" x14ac:dyDescent="0.25">
      <c r="A11" s="230">
        <v>5</v>
      </c>
      <c r="B11">
        <f>IFERROR(IF(INDEX(Draft!BY:BY,MATCH(ADP!D11,Draft!BY:BY,0))=ADP!D11,1,0),0)</f>
        <v>0</v>
      </c>
      <c r="C11" t="str">
        <f>IF(AND(IFERROR(INDEX(Instructions!$T$111:$T$222,MATCH(D11,Instructions!$T$111:$T$222,0)), "")=D11, D11&lt;&gt;""), "X", "")</f>
        <v/>
      </c>
      <c r="D11" s="454" t="s">
        <v>228</v>
      </c>
      <c r="E11" s="232" t="s">
        <v>136</v>
      </c>
      <c r="F11" s="232" t="s">
        <v>7</v>
      </c>
      <c r="G11" s="383">
        <v>5.0000720000000003</v>
      </c>
      <c r="H11" s="455">
        <v>1.8</v>
      </c>
      <c r="I11" s="703"/>
      <c r="J11" s="694"/>
      <c r="K11" s="688"/>
      <c r="L11" s="688"/>
      <c r="M11" s="688"/>
      <c r="N11" s="233">
        <v>5</v>
      </c>
      <c r="O11" s="385" t="str">
        <f>F11&amp;COUNTIF($F$7:F11,F11)</f>
        <v>TE1</v>
      </c>
      <c r="P11" s="268">
        <f>VALUE('Draft Pick Order'!B7)</f>
        <v>201</v>
      </c>
      <c r="Q11" s="259">
        <f>COUNTIF(D$7:$F11,"QB")</f>
        <v>0</v>
      </c>
      <c r="R11" s="259">
        <f>COUNTIF($F$7:F11,"RB")</f>
        <v>2</v>
      </c>
      <c r="S11" s="259">
        <f>COUNTIF($F$7:F11,"WR")</f>
        <v>2</v>
      </c>
      <c r="T11" s="259">
        <f>COUNTIF($F$7:F11,"TE")</f>
        <v>1</v>
      </c>
      <c r="U11" s="259">
        <f>COUNTIF($F$7:F11,"DST")</f>
        <v>0</v>
      </c>
      <c r="V11" s="259">
        <f>COUNTIF($F$7:F11,"K")</f>
        <v>0</v>
      </c>
      <c r="X11" s="265">
        <v>5</v>
      </c>
      <c r="Y11" s="259" t="str">
        <f>IFERROR(INDEX(ADP_Import!A:A,MATCH(ADP!AB11,ADP_Import!AG:AG,0)),"")</f>
        <v>Austin Ekeler</v>
      </c>
      <c r="Z11" s="259" t="str">
        <f>IFERROR(INDEX(ADP_Import!B:B,MATCH(ADP!AB11,ADP_Import!AG:AG,0)),"")</f>
        <v>LAC</v>
      </c>
      <c r="AA11" s="259" t="str">
        <f>IFERROR(INDEX(ADP_Import!C:C,MATCH(ADP!AB11,ADP_Import!AG:AG,0)),"")</f>
        <v>RB</v>
      </c>
      <c r="AB11" s="439">
        <f>IFERROR(INDEX(ADP_Import!AG:AG,MATCH(SMALL(ADP_Import!AG:AG,X11),ADP_Import!AG:AG,0)),"NA")</f>
        <v>4.90069</v>
      </c>
      <c r="AC11" s="265">
        <f>IFERROR(INDEX(ADP_Import!$D:$AE,MATCH(AB11,ADP_Import!AG:AG,0),$AG$6),"")</f>
        <v>1.4</v>
      </c>
      <c r="AE11">
        <v>10</v>
      </c>
      <c r="AF11">
        <v>7</v>
      </c>
      <c r="AG11">
        <v>8</v>
      </c>
      <c r="AI11" t="str">
        <f>INDEX('Draft Pick Order'!E:U,MATCH(A11,'Draft Pick Order'!C:C,0),(Instructions!$E$11*2-15))</f>
        <v>1-5</v>
      </c>
    </row>
    <row r="12" spans="1:35" x14ac:dyDescent="0.25">
      <c r="A12" s="230">
        <v>6</v>
      </c>
      <c r="B12">
        <f>IFERROR(IF(INDEX(Draft!BY:BY,MATCH(ADP!D12,Draft!BY:BY,0))=ADP!D12,1,0),0)</f>
        <v>0</v>
      </c>
      <c r="C12" t="str">
        <f>IF(AND(IFERROR(INDEX(Instructions!$T$111:$T$222,MATCH(D12,Instructions!$T$111:$T$222,0)), "")=D12, D12&lt;&gt;""), "X", "")</f>
        <v>X</v>
      </c>
      <c r="D12" s="454" t="s">
        <v>2195</v>
      </c>
      <c r="E12" s="232" t="s">
        <v>145</v>
      </c>
      <c r="F12" s="232" t="s">
        <v>6</v>
      </c>
      <c r="G12" s="384">
        <v>5.600403</v>
      </c>
      <c r="H12" s="456">
        <v>1.9</v>
      </c>
      <c r="I12" s="703"/>
      <c r="J12" s="694"/>
      <c r="K12" s="688"/>
      <c r="L12" s="688"/>
      <c r="M12" s="688"/>
      <c r="N12" s="233">
        <v>6</v>
      </c>
      <c r="O12" s="385" t="str">
        <f>F12&amp;COUNTIF($F$7:F12,F12)</f>
        <v>WR3</v>
      </c>
      <c r="P12" s="268">
        <f>VALUE('Draft Pick Order'!B8)</f>
        <v>201</v>
      </c>
      <c r="Q12" s="259">
        <f>COUNTIF(D$7:$F12,"QB")</f>
        <v>0</v>
      </c>
      <c r="R12" s="259">
        <f>COUNTIF($F$7:F12,"RB")</f>
        <v>2</v>
      </c>
      <c r="S12" s="259">
        <f>COUNTIF($F$7:F12,"WR")</f>
        <v>3</v>
      </c>
      <c r="T12" s="259">
        <f>COUNTIF($F$7:F12,"TE")</f>
        <v>1</v>
      </c>
      <c r="U12" s="259">
        <f>COUNTIF($F$7:F12,"DST")</f>
        <v>0</v>
      </c>
      <c r="V12" s="259">
        <f>COUNTIF($F$7:F12,"K")</f>
        <v>0</v>
      </c>
      <c r="X12" s="265">
        <v>6</v>
      </c>
      <c r="Y12" s="259" t="str">
        <f>IFERROR(INDEX(ADP_Import!A:A,MATCH(ADP!AB12,ADP_Import!AG:AG,0)),"")</f>
        <v>Travis Kelce</v>
      </c>
      <c r="Z12" s="259" t="str">
        <f>IFERROR(INDEX(ADP_Import!B:B,MATCH(ADP!AB12,ADP_Import!AG:AG,0)),"")</f>
        <v>KC</v>
      </c>
      <c r="AA12" s="259" t="str">
        <f>IFERROR(INDEX(ADP_Import!C:C,MATCH(ADP!AB12,ADP_Import!AG:AG,0)),"")</f>
        <v>TE</v>
      </c>
      <c r="AB12" s="439">
        <f>IFERROR(INDEX(ADP_Import!AG:AG,MATCH(SMALL(ADP_Import!AG:AG,X12),ADP_Import!AG:AG,0)),"NA")</f>
        <v>6.0000720000000003</v>
      </c>
      <c r="AC12" s="265">
        <f>IFERROR(INDEX(ADP_Import!$D:$AE,MATCH(AB12,ADP_Import!AG:AG,0),$AG$6),"")</f>
        <v>1.9</v>
      </c>
      <c r="AE12">
        <v>10.5</v>
      </c>
      <c r="AF12">
        <v>9</v>
      </c>
      <c r="AG12">
        <v>10</v>
      </c>
      <c r="AI12" t="str">
        <f>INDEX('Draft Pick Order'!E:U,MATCH(A12,'Draft Pick Order'!C:C,0),(Instructions!$E$11*2-15))</f>
        <v>1-6</v>
      </c>
    </row>
    <row r="13" spans="1:35" x14ac:dyDescent="0.25">
      <c r="A13" s="230">
        <v>7</v>
      </c>
      <c r="B13">
        <f>IFERROR(IF(INDEX(Draft!BY:BY,MATCH(ADP!D13,Draft!BY:BY,0))=ADP!D13,1,0),0)</f>
        <v>0</v>
      </c>
      <c r="C13" t="str">
        <f>IF(AND(IFERROR(INDEX(Instructions!$T$111:$T$222,MATCH(D13,Instructions!$T$111:$T$222,0)), "")=D13, D13&lt;&gt;""), "X", "")</f>
        <v/>
      </c>
      <c r="D13" s="454" t="s">
        <v>1772</v>
      </c>
      <c r="E13" s="232" t="s">
        <v>161</v>
      </c>
      <c r="F13" s="232" t="s">
        <v>3</v>
      </c>
      <c r="G13" s="383">
        <v>5.7002000000000006</v>
      </c>
      <c r="H13" s="455">
        <v>1.7</v>
      </c>
      <c r="I13" s="703"/>
      <c r="J13" s="694"/>
      <c r="K13" s="688"/>
      <c r="L13" s="688"/>
      <c r="M13" s="688"/>
      <c r="N13" s="233">
        <v>7</v>
      </c>
      <c r="O13" s="385" t="str">
        <f>F13&amp;COUNTIF($F$7:F13,F13)</f>
        <v>RB3</v>
      </c>
      <c r="P13" s="268">
        <f>VALUE('Draft Pick Order'!B9)</f>
        <v>201</v>
      </c>
      <c r="Q13" s="259">
        <f>COUNTIF(D$7:$F13,"QB")</f>
        <v>0</v>
      </c>
      <c r="R13" s="259">
        <f>COUNTIF($F$7:F13,"RB")</f>
        <v>3</v>
      </c>
      <c r="S13" s="259">
        <f>COUNTIF($F$7:F13,"WR")</f>
        <v>3</v>
      </c>
      <c r="T13" s="259">
        <f>COUNTIF($F$7:F13,"TE")</f>
        <v>1</v>
      </c>
      <c r="U13" s="259">
        <f>COUNTIF($F$7:F13,"DST")</f>
        <v>0</v>
      </c>
      <c r="V13" s="259">
        <f>COUNTIF($F$7:F13,"K")</f>
        <v>0</v>
      </c>
      <c r="X13" s="265">
        <v>7</v>
      </c>
      <c r="Y13" s="259" t="str">
        <f>IFERROR(INDEX(ADP_Import!A:A,MATCH(ADP!AB13,ADP_Import!AG:AG,0)),"")</f>
        <v>Cooper Kupp</v>
      </c>
      <c r="Z13" s="259" t="str">
        <f>IFERROR(INDEX(ADP_Import!B:B,MATCH(ADP!AB13,ADP_Import!AG:AG,0)),"")</f>
        <v>LAR</v>
      </c>
      <c r="AA13" s="259" t="str">
        <f>IFERROR(INDEX(ADP_Import!C:C,MATCH(ADP!AB13,ADP_Import!AG:AG,0)),"")</f>
        <v>WR</v>
      </c>
      <c r="AB13" s="439">
        <f>IFERROR(INDEX(ADP_Import!AG:AG,MATCH(SMALL(ADP_Import!AG:AG,X13),ADP_Import!AG:AG,0)),"NA")</f>
        <v>7.0005920000000001</v>
      </c>
      <c r="AC13" s="265">
        <f>IFERROR(INDEX(ADP_Import!$D:$AE,MATCH(AB13,ADP_Import!AG:AG,0),$AG$6),"")</f>
        <v>1.7</v>
      </c>
      <c r="AE13">
        <v>11</v>
      </c>
      <c r="AF13">
        <v>11</v>
      </c>
      <c r="AG13">
        <v>12</v>
      </c>
      <c r="AI13" t="str">
        <f>INDEX('Draft Pick Order'!E:U,MATCH(A13,'Draft Pick Order'!C:C,0),(Instructions!$E$11*2-15))</f>
        <v>1-7</v>
      </c>
    </row>
    <row r="14" spans="1:35" ht="14.25" customHeight="1" thickBot="1" x14ac:dyDescent="0.3">
      <c r="A14" s="230">
        <v>8</v>
      </c>
      <c r="B14">
        <f>IFERROR(IF(INDEX(Draft!BY:BY,MATCH(ADP!D14,Draft!BY:BY,0))=ADP!D14,1,0),0)</f>
        <v>0</v>
      </c>
      <c r="C14" t="str">
        <f>IF(AND(IFERROR(INDEX(Instructions!$T$111:$T$222,MATCH(D14,Instructions!$T$111:$T$222,0)), "")=D14, D14&lt;&gt;""), "X", "")</f>
        <v/>
      </c>
      <c r="D14" s="454" t="s">
        <v>2528</v>
      </c>
      <c r="E14" s="232" t="s">
        <v>148</v>
      </c>
      <c r="F14" s="232" t="s">
        <v>3</v>
      </c>
      <c r="G14" s="384">
        <v>7.1006799999999997</v>
      </c>
      <c r="H14" s="456">
        <v>2.2999999999999998</v>
      </c>
      <c r="I14" s="704"/>
      <c r="J14" s="694"/>
      <c r="K14" s="688"/>
      <c r="L14" s="688"/>
      <c r="M14" s="688"/>
      <c r="N14" s="233">
        <v>8</v>
      </c>
      <c r="O14" s="385" t="str">
        <f>F14&amp;COUNTIF($F$7:F14,F14)</f>
        <v>RB4</v>
      </c>
      <c r="P14" s="268">
        <f>VALUE('Draft Pick Order'!B10)</f>
        <v>201</v>
      </c>
      <c r="Q14" s="259">
        <f>COUNTIF(D$7:$F14,"QB")</f>
        <v>0</v>
      </c>
      <c r="R14" s="259">
        <f>COUNTIF($F$7:F14,"RB")</f>
        <v>4</v>
      </c>
      <c r="S14" s="259">
        <f>COUNTIF($F$7:F14,"WR")</f>
        <v>3</v>
      </c>
      <c r="T14" s="259">
        <f>COUNTIF($F$7:F14,"TE")</f>
        <v>1</v>
      </c>
      <c r="U14" s="259">
        <f>COUNTIF($F$7:F14,"DST")</f>
        <v>0</v>
      </c>
      <c r="V14" s="259">
        <f>COUNTIF($F$7:F14,"K")</f>
        <v>0</v>
      </c>
      <c r="X14" s="265">
        <v>8</v>
      </c>
      <c r="Y14" s="259" t="str">
        <f>IFERROR(INDEX(ADP_Import!A:A,MATCH(ADP!AB14,ADP_Import!AG:AG,0)),"")</f>
        <v>Stefon Diggs</v>
      </c>
      <c r="Z14" s="259" t="str">
        <f>IFERROR(INDEX(ADP_Import!B:B,MATCH(ADP!AB14,ADP_Import!AG:AG,0)),"")</f>
        <v>BUF</v>
      </c>
      <c r="AA14" s="259" t="str">
        <f>IFERROR(INDEX(ADP_Import!C:C,MATCH(ADP!AB14,ADP_Import!AG:AG,0)),"")</f>
        <v>WR</v>
      </c>
      <c r="AB14" s="439">
        <f>IFERROR(INDEX(ADP_Import!AG:AG,MATCH(SMALL(ADP_Import!AG:AG,X14),ADP_Import!AG:AG,0)),"NA")</f>
        <v>8.6001029999999989</v>
      </c>
      <c r="AC14" s="265">
        <f>IFERROR(INDEX(ADP_Import!$D:$AE,MATCH(AB14,ADP_Import!AG:AG,0),$AG$6),"")</f>
        <v>1.8</v>
      </c>
      <c r="AE14">
        <v>110</v>
      </c>
      <c r="AF14">
        <v>13</v>
      </c>
      <c r="AG14">
        <v>14</v>
      </c>
      <c r="AI14" t="str">
        <f>INDEX('Draft Pick Order'!E:U,MATCH(A14,'Draft Pick Order'!C:C,0),(Instructions!$E$11*2-15))</f>
        <v>1-8</v>
      </c>
    </row>
    <row r="15" spans="1:35" ht="15" customHeight="1" x14ac:dyDescent="0.25">
      <c r="A15" s="230">
        <v>9</v>
      </c>
      <c r="B15">
        <f>IFERROR(IF(INDEX(Draft!BY:BY,MATCH(ADP!D15,Draft!BY:BY,0))=ADP!D15,1,0),0)</f>
        <v>0</v>
      </c>
      <c r="C15" t="str">
        <f>IF(AND(IFERROR(INDEX(Instructions!$T$111:$T$222,MATCH(D15,Instructions!$T$111:$T$222,0)), "")=D15, D15&lt;&gt;""), "X", "")</f>
        <v>X</v>
      </c>
      <c r="D15" s="454" t="s">
        <v>1416</v>
      </c>
      <c r="E15" s="232" t="s">
        <v>1389</v>
      </c>
      <c r="F15" s="232" t="s">
        <v>6</v>
      </c>
      <c r="G15" s="383">
        <v>8.6005919999999989</v>
      </c>
      <c r="H15" s="455">
        <v>2.2000000000000002</v>
      </c>
      <c r="I15" s="699" t="s">
        <v>897</v>
      </c>
      <c r="J15" s="694"/>
      <c r="K15" s="688"/>
      <c r="L15" s="688"/>
      <c r="M15" s="688"/>
      <c r="N15" s="233">
        <v>9</v>
      </c>
      <c r="O15" s="385" t="str">
        <f>F15&amp;COUNTIF($F$7:F15,F15)</f>
        <v>WR4</v>
      </c>
      <c r="P15" s="268">
        <f>VALUE('Draft Pick Order'!B11)</f>
        <v>201</v>
      </c>
      <c r="Q15" s="259">
        <f>COUNTIF(D$7:$F15,"QB")</f>
        <v>0</v>
      </c>
      <c r="R15" s="259">
        <f>COUNTIF($F$7:F15,"RB")</f>
        <v>4</v>
      </c>
      <c r="S15" s="259">
        <f>COUNTIF($F$7:F15,"WR")</f>
        <v>4</v>
      </c>
      <c r="T15" s="259">
        <f>COUNTIF($F$7:F15,"TE")</f>
        <v>1</v>
      </c>
      <c r="U15" s="259">
        <f>COUNTIF($F$7:F15,"DST")</f>
        <v>0</v>
      </c>
      <c r="V15" s="259">
        <f>COUNTIF($F$7:F15,"K")</f>
        <v>0</v>
      </c>
      <c r="X15" s="265">
        <v>9</v>
      </c>
      <c r="Y15" s="259" t="str">
        <f>IFERROR(INDEX(ADP_Import!A:A,MATCH(ADP!AB15,ADP_Import!AG:AG,0)),"")</f>
        <v>Saquon Barkley</v>
      </c>
      <c r="Z15" s="259" t="str">
        <f>IFERROR(INDEX(ADP_Import!B:B,MATCH(ADP!AB15,ADP_Import!AG:AG,0)),"")</f>
        <v>NYG</v>
      </c>
      <c r="AA15" s="259" t="str">
        <f>IFERROR(INDEX(ADP_Import!C:C,MATCH(ADP!AB15,ADP_Import!AG:AG,0)),"")</f>
        <v>RB</v>
      </c>
      <c r="AB15" s="439">
        <f>IFERROR(INDEX(ADP_Import!AG:AG,MATCH(SMALL(ADP_Import!AG:AG,X15),ADP_Import!AG:AG,0)),"NA")</f>
        <v>8.9001210000000004</v>
      </c>
      <c r="AC15" s="265">
        <f>IFERROR(INDEX(ADP_Import!$D:$AE,MATCH(AB15,ADP_Import!AG:AG,0),$AG$6),"")</f>
        <v>2.2000000000000002</v>
      </c>
      <c r="AE15">
        <v>12</v>
      </c>
      <c r="AF15">
        <v>15</v>
      </c>
      <c r="AG15">
        <v>16</v>
      </c>
      <c r="AI15" t="str">
        <f>INDEX('Draft Pick Order'!E:U,MATCH(A15,'Draft Pick Order'!C:C,0),(Instructions!$E$11*2-15))</f>
        <v>1-9</v>
      </c>
    </row>
    <row r="16" spans="1:35" ht="15.75" thickBot="1" x14ac:dyDescent="0.3">
      <c r="A16" s="230">
        <v>10</v>
      </c>
      <c r="B16">
        <f>IFERROR(IF(INDEX(Draft!BY:BY,MATCH(ADP!D16,Draft!BY:BY,0))=ADP!D16,1,0),0)</f>
        <v>0</v>
      </c>
      <c r="C16" t="str">
        <f>IF(AND(IFERROR(INDEX(Instructions!$T$111:$T$222,MATCH(D16,Instructions!$T$111:$T$222,0)), "")=D16, D16&lt;&gt;""), "X", "")</f>
        <v/>
      </c>
      <c r="D16" s="454" t="s">
        <v>1766</v>
      </c>
      <c r="E16" s="232" t="s">
        <v>154</v>
      </c>
      <c r="F16" s="232" t="s">
        <v>3</v>
      </c>
      <c r="G16" s="384">
        <v>9.6001209999999997</v>
      </c>
      <c r="H16" s="456">
        <v>2.5</v>
      </c>
      <c r="I16" s="700"/>
      <c r="J16" s="695"/>
      <c r="K16" s="688"/>
      <c r="L16" s="688"/>
      <c r="M16" s="688"/>
      <c r="N16" s="233">
        <v>10</v>
      </c>
      <c r="O16" s="385" t="str">
        <f>F16&amp;COUNTIF($F$7:F16,F16)</f>
        <v>RB5</v>
      </c>
      <c r="P16" s="268">
        <f>VALUE('Draft Pick Order'!B12)</f>
        <v>201</v>
      </c>
      <c r="Q16" s="259">
        <f>COUNTIF(D$7:$F16,"QB")</f>
        <v>0</v>
      </c>
      <c r="R16" s="259">
        <f>COUNTIF($F$7:F16,"RB")</f>
        <v>5</v>
      </c>
      <c r="S16" s="259">
        <f>COUNTIF($F$7:F16,"WR")</f>
        <v>4</v>
      </c>
      <c r="T16" s="259">
        <f>COUNTIF($F$7:F16,"TE")</f>
        <v>1</v>
      </c>
      <c r="U16" s="259">
        <f>COUNTIF($F$7:F16,"DST")</f>
        <v>0</v>
      </c>
      <c r="V16" s="259">
        <f>COUNTIF($F$7:F16,"K")</f>
        <v>0</v>
      </c>
      <c r="X16" s="265">
        <v>10</v>
      </c>
      <c r="Y16" s="259" t="str">
        <f>IFERROR(INDEX(ADP_Import!A:A,MATCH(ADP!AB16,ADP_Import!AG:AG,0)),"")</f>
        <v>Bijan Robinson</v>
      </c>
      <c r="Z16" s="259" t="str">
        <f>IFERROR(INDEX(ADP_Import!B:B,MATCH(ADP!AB16,ADP_Import!AG:AG,0)),"")</f>
        <v>ATL</v>
      </c>
      <c r="AA16" s="259" t="str">
        <f>IFERROR(INDEX(ADP_Import!C:C,MATCH(ADP!AB16,ADP_Import!AG:AG,0)),"")</f>
        <v>RB</v>
      </c>
      <c r="AB16" s="439">
        <f>IFERROR(INDEX(ADP_Import!AG:AG,MATCH(SMALL(ADP_Import!AG:AG,X16),ADP_Import!AG:AG,0)),"NA")</f>
        <v>9.3006799999999998</v>
      </c>
      <c r="AC16" s="265">
        <f>IFERROR(INDEX(ADP_Import!$D:$AE,MATCH(AB16,ADP_Import!AG:AG,0),$AG$6),"")</f>
        <v>2.7</v>
      </c>
      <c r="AE16">
        <v>12.5</v>
      </c>
      <c r="AF16">
        <v>17</v>
      </c>
      <c r="AG16">
        <v>18</v>
      </c>
      <c r="AI16" t="str">
        <f>INDEX('Draft Pick Order'!E:U,MATCH(A16,'Draft Pick Order'!C:C,0),(Instructions!$E$11*2-15))</f>
        <v>1-10</v>
      </c>
    </row>
    <row r="17" spans="1:35" ht="15" customHeight="1" x14ac:dyDescent="0.25">
      <c r="A17" s="230">
        <v>11</v>
      </c>
      <c r="B17">
        <f>IFERROR(IF(INDEX(Draft!BY:BY,MATCH(ADP!D17,Draft!BY:BY,0))=ADP!D17,1,0),0)</f>
        <v>0</v>
      </c>
      <c r="C17" t="str">
        <f>IF(AND(IFERROR(INDEX(Instructions!$T$111:$T$222,MATCH(D17,Instructions!$T$111:$T$222,0)), "")=D17, D17&lt;&gt;""), "X", "")</f>
        <v>X</v>
      </c>
      <c r="D17" s="454" t="s">
        <v>1124</v>
      </c>
      <c r="E17" s="232" t="s">
        <v>156</v>
      </c>
      <c r="F17" s="232" t="s">
        <v>6</v>
      </c>
      <c r="G17" s="383">
        <v>11.000102999999999</v>
      </c>
      <c r="H17" s="455">
        <v>1.9</v>
      </c>
      <c r="I17" s="700"/>
      <c r="J17" s="696" t="s">
        <v>897</v>
      </c>
      <c r="K17" s="688"/>
      <c r="L17" s="688"/>
      <c r="M17" s="688"/>
      <c r="N17" s="233">
        <v>11</v>
      </c>
      <c r="O17" s="385" t="str">
        <f>F17&amp;COUNTIF($F$7:F17,F17)</f>
        <v>WR5</v>
      </c>
      <c r="P17" s="268">
        <f>VALUE('Draft Pick Order'!B13)</f>
        <v>201</v>
      </c>
      <c r="Q17" s="259">
        <f>COUNTIF(D$7:$F17,"QB")</f>
        <v>0</v>
      </c>
      <c r="R17" s="259">
        <f>COUNTIF($F$7:F17,"RB")</f>
        <v>5</v>
      </c>
      <c r="S17" s="259">
        <f>COUNTIF($F$7:F17,"WR")</f>
        <v>5</v>
      </c>
      <c r="T17" s="259">
        <f>COUNTIF($F$7:F17,"TE")</f>
        <v>1</v>
      </c>
      <c r="U17" s="259">
        <f>COUNTIF($F$7:F17,"DST")</f>
        <v>0</v>
      </c>
      <c r="V17" s="259">
        <f>COUNTIF($F$7:F17,"K")</f>
        <v>0</v>
      </c>
      <c r="X17" s="265">
        <v>11</v>
      </c>
      <c r="Y17" s="259" t="str">
        <f>IFERROR(INDEX(ADP_Import!A:A,MATCH(ADP!AB17,ADP_Import!AG:AG,0)),"")</f>
        <v>CeeDee Lamb</v>
      </c>
      <c r="Z17" s="259" t="str">
        <f>IFERROR(INDEX(ADP_Import!B:B,MATCH(ADP!AB17,ADP_Import!AG:AG,0)),"")</f>
        <v>DAL</v>
      </c>
      <c r="AA17" s="259" t="str">
        <f>IFERROR(INDEX(ADP_Import!C:C,MATCH(ADP!AB17,ADP_Import!AG:AG,0)),"")</f>
        <v>WR</v>
      </c>
      <c r="AB17" s="439">
        <f>IFERROR(INDEX(ADP_Import!AG:AG,MATCH(SMALL(ADP_Import!AG:AG,X17),ADP_Import!AG:AG,0)),"NA")</f>
        <v>11.200633999999999</v>
      </c>
      <c r="AC17" s="265">
        <f>IFERROR(INDEX(ADP_Import!$D:$AE,MATCH(AB17,ADP_Import!AG:AG,0),$AG$6),"")</f>
        <v>2.2999999999999998</v>
      </c>
      <c r="AE17">
        <v>13</v>
      </c>
      <c r="AF17">
        <v>19</v>
      </c>
      <c r="AG17">
        <v>20</v>
      </c>
      <c r="AI17" t="str">
        <f>INDEX('Draft Pick Order'!E:U,MATCH(A17,'Draft Pick Order'!C:C,0),(Instructions!$E$11*2-15))</f>
        <v>1-11</v>
      </c>
    </row>
    <row r="18" spans="1:35" ht="15.75" thickBot="1" x14ac:dyDescent="0.3">
      <c r="A18" s="230">
        <v>12</v>
      </c>
      <c r="B18">
        <f>IFERROR(IF(INDEX(Draft!BY:BY,MATCH(ADP!D18,Draft!BY:BY,0))=ADP!D18,1,0),0)</f>
        <v>0</v>
      </c>
      <c r="C18" t="str">
        <f>IF(AND(IFERROR(INDEX(Instructions!$T$111:$T$222,MATCH(D18,Instructions!$T$111:$T$222,0)), "")=D18, D18&lt;&gt;""), "X", "")</f>
        <v/>
      </c>
      <c r="D18" s="454" t="s">
        <v>1180</v>
      </c>
      <c r="E18" s="232" t="s">
        <v>163</v>
      </c>
      <c r="F18" s="232" t="s">
        <v>3</v>
      </c>
      <c r="G18" s="384">
        <v>11.900527</v>
      </c>
      <c r="H18" s="456">
        <v>2.8</v>
      </c>
      <c r="I18" s="700"/>
      <c r="J18" s="697"/>
      <c r="K18" s="689"/>
      <c r="L18" s="688"/>
      <c r="M18" s="688"/>
      <c r="N18" s="233">
        <v>12</v>
      </c>
      <c r="O18" s="385" t="str">
        <f>F18&amp;COUNTIF($F$7:F18,F18)</f>
        <v>RB6</v>
      </c>
      <c r="P18" s="268">
        <f>VALUE('Draft Pick Order'!B14)</f>
        <v>201</v>
      </c>
      <c r="Q18" s="259">
        <f>COUNTIF(D$7:$F18,"QB")</f>
        <v>0</v>
      </c>
      <c r="R18" s="259">
        <f>COUNTIF($F$7:F18,"RB")</f>
        <v>6</v>
      </c>
      <c r="S18" s="259">
        <f>COUNTIF($F$7:F18,"WR")</f>
        <v>5</v>
      </c>
      <c r="T18" s="259">
        <f>COUNTIF($F$7:F18,"TE")</f>
        <v>1</v>
      </c>
      <c r="U18" s="259">
        <f>COUNTIF($F$7:F18,"DST")</f>
        <v>0</v>
      </c>
      <c r="V18" s="259">
        <f>COUNTIF($F$7:F18,"K")</f>
        <v>0</v>
      </c>
      <c r="X18" s="265">
        <v>12</v>
      </c>
      <c r="Y18" s="259" t="str">
        <f>IFERROR(INDEX(ADP_Import!A:A,MATCH(ADP!AB18,ADP_Import!AG:AG,0)),"")</f>
        <v>Nick Chubb</v>
      </c>
      <c r="Z18" s="259" t="str">
        <f>IFERROR(INDEX(ADP_Import!B:B,MATCH(ADP!AB18,ADP_Import!AG:AG,0)),"")</f>
        <v>CLE</v>
      </c>
      <c r="AA18" s="259" t="str">
        <f>IFERROR(INDEX(ADP_Import!C:C,MATCH(ADP!AB18,ADP_Import!AG:AG,0)),"")</f>
        <v>RB</v>
      </c>
      <c r="AB18" s="439">
        <f>IFERROR(INDEX(ADP_Import!AG:AG,MATCH(SMALL(ADP_Import!AG:AG,X18),ADP_Import!AG:AG,0)),"NA")</f>
        <v>12.3002</v>
      </c>
      <c r="AC18" s="265">
        <f>IFERROR(INDEX(ADP_Import!$D:$AE,MATCH(AB18,ADP_Import!AG:AG,0),$AG$6),"")</f>
        <v>2.9</v>
      </c>
      <c r="AE18">
        <v>112</v>
      </c>
      <c r="AF18">
        <v>21</v>
      </c>
      <c r="AG18">
        <v>22</v>
      </c>
      <c r="AI18" t="str">
        <f>INDEX('Draft Pick Order'!E:U,MATCH(A18,'Draft Pick Order'!C:C,0),(Instructions!$E$11*2-15))</f>
        <v>1-12</v>
      </c>
    </row>
    <row r="19" spans="1:35" ht="15" customHeight="1" x14ac:dyDescent="0.25">
      <c r="A19" s="230">
        <v>13</v>
      </c>
      <c r="B19">
        <f>IFERROR(IF(INDEX(Draft!BY:BY,MATCH(ADP!D19,Draft!BY:BY,0))=ADP!D19,1,0),0)</f>
        <v>0</v>
      </c>
      <c r="C19" t="str">
        <f>IF(AND(IFERROR(INDEX(Instructions!$T$111:$T$222,MATCH(D19,Instructions!$T$111:$T$222,0)), "")=D19, D19&lt;&gt;""), "X", "")</f>
        <v/>
      </c>
      <c r="D19" s="454" t="s">
        <v>1861</v>
      </c>
      <c r="E19" s="232" t="s">
        <v>137</v>
      </c>
      <c r="F19" s="232" t="s">
        <v>6</v>
      </c>
      <c r="G19" s="383">
        <v>13.200719999999999</v>
      </c>
      <c r="H19" s="455">
        <v>2.2000000000000002</v>
      </c>
      <c r="I19" s="700"/>
      <c r="J19" s="697"/>
      <c r="K19" s="690" t="s">
        <v>897</v>
      </c>
      <c r="L19" s="688"/>
      <c r="M19" s="688"/>
      <c r="N19" s="233">
        <v>13</v>
      </c>
      <c r="O19" s="385" t="str">
        <f>F19&amp;COUNTIF($F$7:F19,F19)</f>
        <v>WR6</v>
      </c>
      <c r="P19" s="268">
        <f>VALUE('Draft Pick Order'!B15)</f>
        <v>201</v>
      </c>
      <c r="Q19" s="259">
        <f>COUNTIF(D$7:$F19,"QB")</f>
        <v>0</v>
      </c>
      <c r="R19" s="259">
        <f>COUNTIF($F$7:F19,"RB")</f>
        <v>6</v>
      </c>
      <c r="S19" s="259">
        <f>COUNTIF($F$7:F19,"WR")</f>
        <v>6</v>
      </c>
      <c r="T19" s="259">
        <f>COUNTIF($F$7:F19,"TE")</f>
        <v>1</v>
      </c>
      <c r="U19" s="259">
        <f>COUNTIF($F$7:F19,"DST")</f>
        <v>0</v>
      </c>
      <c r="V19" s="259">
        <f>COUNTIF($F$7:F19,"K")</f>
        <v>0</v>
      </c>
      <c r="X19" s="265">
        <v>13</v>
      </c>
      <c r="Y19" s="259" t="str">
        <f>IFERROR(INDEX(ADP_Import!A:A,MATCH(ADP!AB19,ADP_Import!AG:AG,0)),"")</f>
        <v>AJ Brown</v>
      </c>
      <c r="Z19" s="259" t="str">
        <f>IFERROR(INDEX(ADP_Import!B:B,MATCH(ADP!AB19,ADP_Import!AG:AG,0)),"")</f>
        <v>PHI</v>
      </c>
      <c r="AA19" s="259" t="str">
        <f>IFERROR(INDEX(ADP_Import!C:C,MATCH(ADP!AB19,ADP_Import!AG:AG,0)),"")</f>
        <v>WR</v>
      </c>
      <c r="AB19" s="439">
        <f>IFERROR(INDEX(ADP_Import!AG:AG,MATCH(SMALL(ADP_Import!AG:AG,X19),ADP_Import!AG:AG,0)),"NA")</f>
        <v>12.40072</v>
      </c>
      <c r="AC19" s="265">
        <f>IFERROR(INDEX(ADP_Import!$D:$AE,MATCH(AB19,ADP_Import!AG:AG,0),$AG$6),"")</f>
        <v>2.4</v>
      </c>
      <c r="AE19">
        <v>14</v>
      </c>
      <c r="AF19">
        <v>23</v>
      </c>
      <c r="AG19">
        <v>24</v>
      </c>
      <c r="AI19" t="str">
        <f>INDEX('Draft Pick Order'!E:U,MATCH(A19,'Draft Pick Order'!C:C,0),(Instructions!$E$11*2-15))</f>
        <v>2-1</v>
      </c>
    </row>
    <row r="20" spans="1:35" ht="15.75" thickBot="1" x14ac:dyDescent="0.3">
      <c r="A20" s="230">
        <v>14</v>
      </c>
      <c r="B20">
        <f>IFERROR(IF(INDEX(Draft!BY:BY,MATCH(ADP!D20,Draft!BY:BY,0))=ADP!D20,1,0),0)</f>
        <v>0</v>
      </c>
      <c r="C20" t="str">
        <f>IF(AND(IFERROR(INDEX(Instructions!$T$111:$T$222,MATCH(D20,Instructions!$T$111:$T$222,0)), "")=D20, D20&lt;&gt;""), "X", "")</f>
        <v>X</v>
      </c>
      <c r="D20" s="454" t="s">
        <v>1881</v>
      </c>
      <c r="E20" s="232" t="s">
        <v>146</v>
      </c>
      <c r="F20" s="232" t="s">
        <v>3</v>
      </c>
      <c r="G20" s="384">
        <v>13.500075000000001</v>
      </c>
      <c r="H20" s="456">
        <v>2.7</v>
      </c>
      <c r="I20" s="700"/>
      <c r="J20" s="697"/>
      <c r="K20" s="691"/>
      <c r="L20" s="689"/>
      <c r="M20" s="688"/>
      <c r="N20" s="233">
        <v>14</v>
      </c>
      <c r="O20" s="385" t="str">
        <f>F20&amp;COUNTIF($F$7:F20,F20)</f>
        <v>RB7</v>
      </c>
      <c r="P20" s="268">
        <f>VALUE('Draft Pick Order'!B16)</f>
        <v>201</v>
      </c>
      <c r="Q20" s="259">
        <f>COUNTIF(D$7:$F20,"QB")</f>
        <v>0</v>
      </c>
      <c r="R20" s="259">
        <f>COUNTIF($F$7:F20,"RB")</f>
        <v>7</v>
      </c>
      <c r="S20" s="259">
        <f>COUNTIF($F$7:F20,"WR")</f>
        <v>6</v>
      </c>
      <c r="T20" s="259">
        <f>COUNTIF($F$7:F20,"TE")</f>
        <v>1</v>
      </c>
      <c r="U20" s="259">
        <f>COUNTIF($F$7:F20,"DST")</f>
        <v>0</v>
      </c>
      <c r="V20" s="259">
        <f>COUNTIF($F$7:F20,"K")</f>
        <v>0</v>
      </c>
      <c r="X20" s="265">
        <v>14</v>
      </c>
      <c r="Y20" s="259" t="str">
        <f>IFERROR(INDEX(ADP_Import!A:A,MATCH(ADP!AB20,ADP_Import!AG:AG,0)),"")</f>
        <v>Amon-Ra St Brown</v>
      </c>
      <c r="Z20" s="259" t="str">
        <f>IFERROR(INDEX(ADP_Import!B:B,MATCH(ADP!AB20,ADP_Import!AG:AG,0)),"")</f>
        <v>DET</v>
      </c>
      <c r="AA20" s="259" t="str">
        <f>IFERROR(INDEX(ADP_Import!C:C,MATCH(ADP!AB20,ADP_Import!AG:AG,0)),"")</f>
        <v>WR</v>
      </c>
      <c r="AB20" s="439">
        <f>IFERROR(INDEX(ADP_Import!AG:AG,MATCH(SMALL(ADP_Import!AG:AG,X20),ADP_Import!AG:AG,0)),"NA")</f>
        <v>13.400707000000001</v>
      </c>
      <c r="AC20" s="265">
        <f>IFERROR(INDEX(ADP_Import!$D:$AE,MATCH(AB20,ADP_Import!AG:AG,0),$AG$6),"")</f>
        <v>2.2000000000000002</v>
      </c>
      <c r="AE20">
        <v>14.5</v>
      </c>
      <c r="AF20">
        <v>25</v>
      </c>
      <c r="AG20">
        <v>26</v>
      </c>
      <c r="AI20" t="str">
        <f>INDEX('Draft Pick Order'!E:U,MATCH(A20,'Draft Pick Order'!C:C,0),(Instructions!$E$11*2-15))</f>
        <v>2-2</v>
      </c>
    </row>
    <row r="21" spans="1:35" x14ac:dyDescent="0.25">
      <c r="A21" s="230">
        <v>15</v>
      </c>
      <c r="B21">
        <f>IFERROR(IF(INDEX(Draft!BY:BY,MATCH(ADP!D21,Draft!BY:BY,0))=ADP!D21,1,0),0)</f>
        <v>0</v>
      </c>
      <c r="C21" t="str">
        <f>IF(AND(IFERROR(INDEX(Instructions!$T$111:$T$222,MATCH(D21,Instructions!$T$111:$T$222,0)), "")=D21, D21&lt;&gt;""), "X", "")</f>
        <v>X</v>
      </c>
      <c r="D21" s="454" t="s">
        <v>2079</v>
      </c>
      <c r="E21" s="232" t="s">
        <v>146</v>
      </c>
      <c r="F21" s="232" t="s">
        <v>6</v>
      </c>
      <c r="G21" s="383">
        <v>15.000634</v>
      </c>
      <c r="H21" s="455">
        <v>2.2000000000000002</v>
      </c>
      <c r="I21" s="700"/>
      <c r="J21" s="697"/>
      <c r="K21" s="691"/>
      <c r="L21" s="690" t="s">
        <v>897</v>
      </c>
      <c r="M21" s="688"/>
      <c r="N21" s="233">
        <v>15</v>
      </c>
      <c r="O21" s="385" t="str">
        <f>F21&amp;COUNTIF($F$7:F21,F21)</f>
        <v>WR7</v>
      </c>
      <c r="P21" s="268">
        <f>VALUE('Draft Pick Order'!B17)</f>
        <v>201</v>
      </c>
      <c r="Q21" s="259">
        <f>COUNTIF(D$7:$F21,"QB")</f>
        <v>0</v>
      </c>
      <c r="R21" s="259">
        <f>COUNTIF($F$7:F21,"RB")</f>
        <v>7</v>
      </c>
      <c r="S21" s="259">
        <f>COUNTIF($F$7:F21,"WR")</f>
        <v>7</v>
      </c>
      <c r="T21" s="259">
        <f>COUNTIF($F$7:F21,"TE")</f>
        <v>1</v>
      </c>
      <c r="U21" s="259">
        <f>COUNTIF($F$7:F21,"DST")</f>
        <v>0</v>
      </c>
      <c r="V21" s="259">
        <f>COUNTIF($F$7:F21,"K")</f>
        <v>0</v>
      </c>
      <c r="X21" s="265">
        <v>15</v>
      </c>
      <c r="Y21" s="259" t="str">
        <f>IFERROR(INDEX(ADP_Import!A:A,MATCH(ADP!AB21,ADP_Import!AG:AG,0)),"")</f>
        <v>Tony Pollard</v>
      </c>
      <c r="Z21" s="259" t="str">
        <f>IFERROR(INDEX(ADP_Import!B:B,MATCH(ADP!AB21,ADP_Import!AG:AG,0)),"")</f>
        <v>DAL</v>
      </c>
      <c r="AA21" s="259" t="str">
        <f>IFERROR(INDEX(ADP_Import!C:C,MATCH(ADP!AB21,ADP_Import!AG:AG,0)),"")</f>
        <v>RB</v>
      </c>
      <c r="AB21" s="439">
        <f>IFERROR(INDEX(ADP_Import!AG:AG,MATCH(SMALL(ADP_Import!AG:AG,X21),ADP_Import!AG:AG,0)),"NA")</f>
        <v>15.400075000000001</v>
      </c>
      <c r="AC21" s="265">
        <f>IFERROR(INDEX(ADP_Import!$D:$AE,MATCH(AB21,ADP_Import!AG:AG,0),$AG$6),"")</f>
        <v>2.7</v>
      </c>
      <c r="AE21">
        <v>15</v>
      </c>
      <c r="AF21">
        <v>27</v>
      </c>
      <c r="AG21">
        <v>28</v>
      </c>
      <c r="AI21" t="str">
        <f>INDEX('Draft Pick Order'!E:U,MATCH(A21,'Draft Pick Order'!C:C,0),(Instructions!$E$11*2-15))</f>
        <v>2-3</v>
      </c>
    </row>
    <row r="22" spans="1:35" ht="15.75" thickBot="1" x14ac:dyDescent="0.3">
      <c r="A22" s="230">
        <v>16</v>
      </c>
      <c r="B22">
        <f>IFERROR(IF(INDEX(Draft!BY:BY,MATCH(ADP!D22,Draft!BY:BY,0))=ADP!D22,1,0),0)</f>
        <v>0</v>
      </c>
      <c r="C22" t="str">
        <f>IF(AND(IFERROR(INDEX(Instructions!$T$111:$T$222,MATCH(D22,Instructions!$T$111:$T$222,0)), "")=D22, D22&lt;&gt;""), "X", "")</f>
        <v/>
      </c>
      <c r="D22" s="454" t="s">
        <v>193</v>
      </c>
      <c r="E22" s="232" t="s">
        <v>2073</v>
      </c>
      <c r="F22" s="232" t="s">
        <v>6</v>
      </c>
      <c r="G22" s="384">
        <v>15.900556</v>
      </c>
      <c r="H22" s="456">
        <v>2.2000000000000002</v>
      </c>
      <c r="I22" s="701"/>
      <c r="J22" s="697"/>
      <c r="K22" s="691"/>
      <c r="L22" s="691"/>
      <c r="M22" s="689"/>
      <c r="N22" s="233">
        <v>16</v>
      </c>
      <c r="O22" s="385" t="str">
        <f>F22&amp;COUNTIF($F$7:F22,F22)</f>
        <v>WR8</v>
      </c>
      <c r="P22" s="268">
        <f>VALUE('Draft Pick Order'!B18)</f>
        <v>201</v>
      </c>
      <c r="Q22" s="259">
        <f>COUNTIF(D$7:$F22,"QB")</f>
        <v>0</v>
      </c>
      <c r="R22" s="259">
        <f>COUNTIF($F$7:F22,"RB")</f>
        <v>7</v>
      </c>
      <c r="S22" s="259">
        <f>COUNTIF($F$7:F22,"WR")</f>
        <v>8</v>
      </c>
      <c r="T22" s="259">
        <f>COUNTIF($F$7:F22,"TE")</f>
        <v>1</v>
      </c>
      <c r="U22" s="259">
        <f>COUNTIF($F$7:F22,"DST")</f>
        <v>0</v>
      </c>
      <c r="V22" s="259">
        <f>COUNTIF($F$7:F22,"K")</f>
        <v>0</v>
      </c>
      <c r="X22" s="265">
        <v>16</v>
      </c>
      <c r="Y22" s="259" t="str">
        <f>IFERROR(INDEX(ADP_Import!A:A,MATCH(ADP!AB22,ADP_Import!AG:AG,0)),"")</f>
        <v>Davante Adams</v>
      </c>
      <c r="Z22" s="259" t="str">
        <f>IFERROR(INDEX(ADP_Import!B:B,MATCH(ADP!AB22,ADP_Import!AG:AG,0)),"")</f>
        <v>LV</v>
      </c>
      <c r="AA22" s="259" t="str">
        <f>IFERROR(INDEX(ADP_Import!C:C,MATCH(ADP!AB22,ADP_Import!AG:AG,0)),"")</f>
        <v>WR</v>
      </c>
      <c r="AB22" s="439">
        <f>IFERROR(INDEX(ADP_Import!AG:AG,MATCH(SMALL(ADP_Import!AG:AG,X22),ADP_Import!AG:AG,0)),"NA")</f>
        <v>15.600555999999999</v>
      </c>
      <c r="AC22" s="265">
        <f>IFERROR(INDEX(ADP_Import!$D:$AE,MATCH(AB22,ADP_Import!AG:AG,0),$AG$6),"")</f>
        <v>2.5</v>
      </c>
      <c r="AE22">
        <v>114</v>
      </c>
      <c r="AF22">
        <f>AF18</f>
        <v>21</v>
      </c>
      <c r="AG22">
        <f>AG18</f>
        <v>22</v>
      </c>
      <c r="AI22" t="str">
        <f>INDEX('Draft Pick Order'!E:U,MATCH(A22,'Draft Pick Order'!C:C,0),(Instructions!$E$11*2-15))</f>
        <v>2-4</v>
      </c>
    </row>
    <row r="23" spans="1:35" ht="15" customHeight="1" x14ac:dyDescent="0.25">
      <c r="A23" s="230">
        <v>17</v>
      </c>
      <c r="B23">
        <f>IFERROR(IF(INDEX(Draft!BY:BY,MATCH(ADP!D23,Draft!BY:BY,0))=ADP!D23,1,0),0)</f>
        <v>0</v>
      </c>
      <c r="C23" t="str">
        <f>IF(AND(IFERROR(INDEX(Instructions!$T$111:$T$222,MATCH(D23,Instructions!$T$111:$T$222,0)), "")=D23, D23&lt;&gt;""), "X", "")</f>
        <v/>
      </c>
      <c r="D23" s="454" t="s">
        <v>2202</v>
      </c>
      <c r="E23" s="232" t="s">
        <v>142</v>
      </c>
      <c r="F23" s="232" t="s">
        <v>6</v>
      </c>
      <c r="G23" s="383">
        <v>16.500706999999998</v>
      </c>
      <c r="H23" s="455">
        <v>2.4</v>
      </c>
      <c r="I23" s="702" t="s">
        <v>898</v>
      </c>
      <c r="J23" s="697"/>
      <c r="K23" s="691"/>
      <c r="L23" s="691"/>
      <c r="M23" s="690" t="s">
        <v>897</v>
      </c>
      <c r="N23" s="233">
        <v>17</v>
      </c>
      <c r="O23" s="385" t="str">
        <f>F23&amp;COUNTIF($F$7:F23,F23)</f>
        <v>WR9</v>
      </c>
      <c r="P23" s="268">
        <f>VALUE('Draft Pick Order'!B19)</f>
        <v>201</v>
      </c>
      <c r="Q23" s="259">
        <f>COUNTIF(D$7:$F23,"QB")</f>
        <v>0</v>
      </c>
      <c r="R23" s="259">
        <f>COUNTIF($F$7:F23,"RB")</f>
        <v>7</v>
      </c>
      <c r="S23" s="259">
        <f>COUNTIF($F$7:F23,"WR")</f>
        <v>9</v>
      </c>
      <c r="T23" s="259">
        <f>COUNTIF($F$7:F23,"TE")</f>
        <v>1</v>
      </c>
      <c r="U23" s="259">
        <f>COUNTIF($F$7:F23,"DST")</f>
        <v>0</v>
      </c>
      <c r="V23" s="259">
        <f>COUNTIF($F$7:F23,"K")</f>
        <v>0</v>
      </c>
      <c r="X23" s="265">
        <v>17</v>
      </c>
      <c r="Y23" s="259" t="str">
        <f>IFERROR(INDEX(ADP_Import!A:A,MATCH(ADP!AB23,ADP_Import!AG:AG,0)),"")</f>
        <v>Garrett Wilson</v>
      </c>
      <c r="Z23" s="259" t="str">
        <f>IFERROR(INDEX(ADP_Import!B:B,MATCH(ADP!AB23,ADP_Import!AG:AG,0)),"")</f>
        <v>NYJ</v>
      </c>
      <c r="AA23" s="259" t="str">
        <f>IFERROR(INDEX(ADP_Import!C:C,MATCH(ADP!AB23,ADP_Import!AG:AG,0)),"")</f>
        <v>WR</v>
      </c>
      <c r="AB23" s="439">
        <f>IFERROR(INDEX(ADP_Import!AG:AG,MATCH(SMALL(ADP_Import!AG:AG,X23),ADP_Import!AG:AG,0)),"NA")</f>
        <v>16.300474000000001</v>
      </c>
      <c r="AC23" s="265">
        <f>IFERROR(INDEX(ADP_Import!$D:$AE,MATCH(AB23,ADP_Import!AG:AG,0),$AG$6),"")</f>
        <v>2.5</v>
      </c>
      <c r="AE23">
        <v>16</v>
      </c>
      <c r="AF23">
        <v>23</v>
      </c>
      <c r="AG23">
        <v>24</v>
      </c>
      <c r="AI23" t="str">
        <f>INDEX('Draft Pick Order'!E:U,MATCH(A23,'Draft Pick Order'!C:C,0),(Instructions!$E$11*2-15))</f>
        <v>2-5</v>
      </c>
    </row>
    <row r="24" spans="1:35" x14ac:dyDescent="0.25">
      <c r="A24" s="230">
        <v>18</v>
      </c>
      <c r="B24">
        <f>IFERROR(IF(INDEX(Draft!BY:BY,MATCH(ADP!D24,Draft!BY:BY,0))=ADP!D24,1,0),0)</f>
        <v>0</v>
      </c>
      <c r="C24" t="str">
        <f>IF(AND(IFERROR(INDEX(Instructions!$T$111:$T$222,MATCH(D24,Instructions!$T$111:$T$222,0)), "")=D24, D24&lt;&gt;""), "X", "")</f>
        <v/>
      </c>
      <c r="D24" s="454" t="s">
        <v>1928</v>
      </c>
      <c r="E24" s="232" t="s">
        <v>136</v>
      </c>
      <c r="F24" s="232" t="s">
        <v>1</v>
      </c>
      <c r="G24" s="384">
        <v>17.400177999999997</v>
      </c>
      <c r="H24" s="456">
        <v>3.9</v>
      </c>
      <c r="I24" s="703"/>
      <c r="J24" s="697"/>
      <c r="K24" s="691"/>
      <c r="L24" s="691"/>
      <c r="M24" s="691"/>
      <c r="N24" s="233">
        <v>18</v>
      </c>
      <c r="O24" s="385" t="str">
        <f>F24&amp;COUNTIF($F$7:F24,F24)</f>
        <v>QB1</v>
      </c>
      <c r="P24" s="268">
        <f>VALUE('Draft Pick Order'!B20)</f>
        <v>201</v>
      </c>
      <c r="Q24" s="259">
        <f>COUNTIF(D$7:$F24,"QB")</f>
        <v>1</v>
      </c>
      <c r="R24" s="259">
        <f>COUNTIF($F$7:F24,"RB")</f>
        <v>7</v>
      </c>
      <c r="S24" s="259">
        <f>COUNTIF($F$7:F24,"WR")</f>
        <v>9</v>
      </c>
      <c r="T24" s="259">
        <f>COUNTIF($F$7:F24,"TE")</f>
        <v>1</v>
      </c>
      <c r="U24" s="259">
        <f>COUNTIF($F$7:F24,"DST")</f>
        <v>0</v>
      </c>
      <c r="V24" s="259">
        <f>COUNTIF($F$7:F24,"K")</f>
        <v>0</v>
      </c>
      <c r="X24" s="265">
        <v>18</v>
      </c>
      <c r="Y24" s="259" t="str">
        <f>IFERROR(INDEX(ADP_Import!A:A,MATCH(ADP!AB24,ADP_Import!AG:AG,0)),"")</f>
        <v>Derrick Henry</v>
      </c>
      <c r="Z24" s="259" t="str">
        <f>IFERROR(INDEX(ADP_Import!B:B,MATCH(ADP!AB24,ADP_Import!AG:AG,0)),"")</f>
        <v>TEN</v>
      </c>
      <c r="AA24" s="259" t="str">
        <f>IFERROR(INDEX(ADP_Import!C:C,MATCH(ADP!AB24,ADP_Import!AG:AG,0)),"")</f>
        <v>RB</v>
      </c>
      <c r="AB24" s="439">
        <f>IFERROR(INDEX(ADP_Import!AG:AG,MATCH(SMALL(ADP_Import!AG:AG,X24),ADP_Import!AG:AG,0)),"NA")</f>
        <v>17.100527000000003</v>
      </c>
      <c r="AC24" s="265">
        <f>IFERROR(INDEX(ADP_Import!$D:$AE,MATCH(AB24,ADP_Import!AG:AG,0),$AG$6),"")</f>
        <v>3</v>
      </c>
      <c r="AE24">
        <v>16.5</v>
      </c>
      <c r="AF24">
        <v>25</v>
      </c>
      <c r="AG24">
        <v>26</v>
      </c>
      <c r="AI24" t="str">
        <f>INDEX('Draft Pick Order'!E:U,MATCH(A24,'Draft Pick Order'!C:C,0),(Instructions!$E$11*2-15))</f>
        <v>2-6</v>
      </c>
    </row>
    <row r="25" spans="1:35" x14ac:dyDescent="0.25">
      <c r="A25" s="230">
        <v>19</v>
      </c>
      <c r="B25">
        <f>IFERROR(IF(INDEX(Draft!BY:BY,MATCH(ADP!D25,Draft!BY:BY,0))=ADP!D25,1,0),0)</f>
        <v>0</v>
      </c>
      <c r="C25" t="str">
        <f>IF(AND(IFERROR(INDEX(Instructions!$T$111:$T$222,MATCH(D25,Instructions!$T$111:$T$222,0)), "")=D25, D25&lt;&gt;""), "X", "")</f>
        <v>X</v>
      </c>
      <c r="D25" s="454" t="s">
        <v>2319</v>
      </c>
      <c r="E25" s="232" t="s">
        <v>164</v>
      </c>
      <c r="F25" s="232" t="s">
        <v>6</v>
      </c>
      <c r="G25" s="383">
        <v>17.600474000000002</v>
      </c>
      <c r="H25" s="455">
        <v>2.5</v>
      </c>
      <c r="I25" s="703"/>
      <c r="J25" s="697"/>
      <c r="K25" s="691"/>
      <c r="L25" s="691"/>
      <c r="M25" s="691"/>
      <c r="N25" s="233">
        <v>19</v>
      </c>
      <c r="O25" s="385" t="str">
        <f>F25&amp;COUNTIF($F$7:F25,F25)</f>
        <v>WR10</v>
      </c>
      <c r="P25" s="268">
        <f>VALUE('Draft Pick Order'!B21)</f>
        <v>201</v>
      </c>
      <c r="Q25" s="259">
        <f>COUNTIF(D$7:$F25,"QB")</f>
        <v>1</v>
      </c>
      <c r="R25" s="259">
        <f>COUNTIF($F$7:F25,"RB")</f>
        <v>7</v>
      </c>
      <c r="S25" s="259">
        <f>COUNTIF($F$7:F25,"WR")</f>
        <v>10</v>
      </c>
      <c r="T25" s="259">
        <f>COUNTIF($F$7:F25,"TE")</f>
        <v>1</v>
      </c>
      <c r="U25" s="259">
        <f>COUNTIF($F$7:F25,"DST")</f>
        <v>0</v>
      </c>
      <c r="V25" s="259">
        <f>COUNTIF($F$7:F25,"K")</f>
        <v>0</v>
      </c>
      <c r="X25" s="265">
        <v>19</v>
      </c>
      <c r="Y25" s="259" t="str">
        <f>IFERROR(INDEX(ADP_Import!A:A,MATCH(ADP!AB25,ADP_Import!AG:AG,0)),"")</f>
        <v>Patrick Mahomes</v>
      </c>
      <c r="Z25" s="259" t="str">
        <f>IFERROR(INDEX(ADP_Import!B:B,MATCH(ADP!AB25,ADP_Import!AG:AG,0)),"")</f>
        <v>KC</v>
      </c>
      <c r="AA25" s="259" t="str">
        <f>IFERROR(INDEX(ADP_Import!C:C,MATCH(ADP!AB25,ADP_Import!AG:AG,0)),"")</f>
        <v>QB</v>
      </c>
      <c r="AB25" s="439">
        <f>IFERROR(INDEX(ADP_Import!AG:AG,MATCH(SMALL(ADP_Import!AG:AG,X25),ADP_Import!AG:AG,0)),"NA")</f>
        <v>19.300177999999999</v>
      </c>
      <c r="AC25" s="265">
        <f>IFERROR(INDEX(ADP_Import!$D:$AE,MATCH(AB25,ADP_Import!AG:AG,0),$AG$6),"")</f>
        <v>4.9000000000000004</v>
      </c>
      <c r="AE25">
        <v>17</v>
      </c>
      <c r="AF25">
        <v>27</v>
      </c>
      <c r="AG25">
        <v>28</v>
      </c>
      <c r="AH25" s="265"/>
      <c r="AI25" t="str">
        <f>INDEX('Draft Pick Order'!E:U,MATCH(A25,'Draft Pick Order'!C:C,0),(Instructions!$E$11*2-15))</f>
        <v>2-7</v>
      </c>
    </row>
    <row r="26" spans="1:35" ht="15.75" thickBot="1" x14ac:dyDescent="0.3">
      <c r="A26" s="230">
        <v>20</v>
      </c>
      <c r="B26">
        <f>IFERROR(IF(INDEX(Draft!BY:BY,MATCH(ADP!D26,Draft!BY:BY,0))=ADP!D26,1,0),0)</f>
        <v>0</v>
      </c>
      <c r="C26" t="str">
        <f>IF(AND(IFERROR(INDEX(Instructions!$T$111:$T$222,MATCH(D26,Instructions!$T$111:$T$222,0)), "")=D26, D26&lt;&gt;""), "X", "")</f>
        <v/>
      </c>
      <c r="D26" s="454" t="s">
        <v>1853</v>
      </c>
      <c r="E26" s="232" t="s">
        <v>2073</v>
      </c>
      <c r="F26" s="232" t="s">
        <v>3</v>
      </c>
      <c r="G26" s="384">
        <v>19.500343000000001</v>
      </c>
      <c r="H26" s="456">
        <v>2.8</v>
      </c>
      <c r="I26" s="703"/>
      <c r="J26" s="698"/>
      <c r="K26" s="691"/>
      <c r="L26" s="691"/>
      <c r="M26" s="691"/>
      <c r="N26" s="233">
        <v>20</v>
      </c>
      <c r="O26" s="385" t="str">
        <f>F26&amp;COUNTIF($F$7:F26,F26)</f>
        <v>RB8</v>
      </c>
      <c r="P26" s="268">
        <f>VALUE('Draft Pick Order'!B22)</f>
        <v>201</v>
      </c>
      <c r="Q26" s="259">
        <f>COUNTIF(D$7:$F26,"QB")</f>
        <v>1</v>
      </c>
      <c r="R26" s="259">
        <f>COUNTIF($F$7:F26,"RB")</f>
        <v>8</v>
      </c>
      <c r="S26" s="259">
        <f>COUNTIF($F$7:F26,"WR")</f>
        <v>10</v>
      </c>
      <c r="T26" s="259">
        <f>COUNTIF($F$7:F26,"TE")</f>
        <v>1</v>
      </c>
      <c r="U26" s="259">
        <f>COUNTIF($F$7:F26,"DST")</f>
        <v>0</v>
      </c>
      <c r="V26" s="259">
        <f>COUNTIF($F$7:F26,"K")</f>
        <v>0</v>
      </c>
      <c r="X26" s="265">
        <v>20</v>
      </c>
      <c r="Y26" s="259" t="str">
        <f>IFERROR(INDEX(ADP_Import!A:A,MATCH(ADP!AB26,ADP_Import!AG:AG,0)),"")</f>
        <v>Jaylen Waddle</v>
      </c>
      <c r="Z26" s="259" t="str">
        <f>IFERROR(INDEX(ADP_Import!B:B,MATCH(ADP!AB26,ADP_Import!AG:AG,0)),"")</f>
        <v>MIA</v>
      </c>
      <c r="AA26" s="259" t="str">
        <f>IFERROR(INDEX(ADP_Import!C:C,MATCH(ADP!AB26,ADP_Import!AG:AG,0)),"")</f>
        <v>WR</v>
      </c>
      <c r="AB26" s="439">
        <f>IFERROR(INDEX(ADP_Import!AG:AG,MATCH(SMALL(ADP_Import!AG:AG,X26),ADP_Import!AG:AG,0)),"NA")</f>
        <v>19.800379</v>
      </c>
      <c r="AC26" s="265">
        <f>IFERROR(INDEX(ADP_Import!$D:$AE,MATCH(AB26,ADP_Import!AG:AG,0),$AG$6),"")</f>
        <v>2.2000000000000002</v>
      </c>
      <c r="AE26" s="259">
        <v>116</v>
      </c>
      <c r="AF26" s="259">
        <f>AF22</f>
        <v>21</v>
      </c>
      <c r="AG26" s="259">
        <f>AG22</f>
        <v>22</v>
      </c>
      <c r="AI26" t="str">
        <f>INDEX('Draft Pick Order'!E:U,MATCH(A26,'Draft Pick Order'!C:C,0),(Instructions!$E$11*2-15))</f>
        <v>2-8</v>
      </c>
    </row>
    <row r="27" spans="1:35" ht="15" customHeight="1" x14ac:dyDescent="0.25">
      <c r="A27" s="230">
        <v>21</v>
      </c>
      <c r="B27">
        <f>IFERROR(IF(INDEX(Draft!BY:BY,MATCH(ADP!D27,Draft!BY:BY,0))=ADP!D27,1,0),0)</f>
        <v>0</v>
      </c>
      <c r="C27" t="str">
        <f>IF(AND(IFERROR(INDEX(Instructions!$T$111:$T$222,MATCH(D27,Instructions!$T$111:$T$222,0)), "")=D27, D27&lt;&gt;""), "X", "")</f>
        <v/>
      </c>
      <c r="D27" s="454" t="s">
        <v>2197</v>
      </c>
      <c r="E27" s="232" t="s">
        <v>166</v>
      </c>
      <c r="F27" s="232" t="s">
        <v>6</v>
      </c>
      <c r="G27" s="383">
        <v>21.000378999999999</v>
      </c>
      <c r="H27" s="455">
        <v>2.2999999999999998</v>
      </c>
      <c r="I27" s="703"/>
      <c r="J27" s="693" t="s">
        <v>898</v>
      </c>
      <c r="K27" s="691"/>
      <c r="L27" s="691"/>
      <c r="M27" s="691"/>
      <c r="N27" s="233">
        <v>21</v>
      </c>
      <c r="O27" s="385" t="str">
        <f>F27&amp;COUNTIF($F$7:F27,F27)</f>
        <v>WR11</v>
      </c>
      <c r="P27" s="268">
        <f>VALUE('Draft Pick Order'!B23)</f>
        <v>201</v>
      </c>
      <c r="Q27" s="259">
        <f>COUNTIF(D$7:$F27,"QB")</f>
        <v>1</v>
      </c>
      <c r="R27" s="259">
        <f>COUNTIF($F$7:F27,"RB")</f>
        <v>8</v>
      </c>
      <c r="S27" s="259">
        <f>COUNTIF($F$7:F27,"WR")</f>
        <v>11</v>
      </c>
      <c r="T27" s="259">
        <f>COUNTIF($F$7:F27,"TE")</f>
        <v>1</v>
      </c>
      <c r="U27" s="259">
        <f>COUNTIF($F$7:F27,"DST")</f>
        <v>0</v>
      </c>
      <c r="V27" s="259">
        <f>COUNTIF($F$7:F27,"K")</f>
        <v>0</v>
      </c>
      <c r="X27" s="265">
        <v>21</v>
      </c>
      <c r="Y27" s="259" t="str">
        <f>IFERROR(INDEX(ADP_Import!A:A,MATCH(ADP!AB27,ADP_Import!AG:AG,0)),"")</f>
        <v>Chris Olave</v>
      </c>
      <c r="Z27" s="259" t="str">
        <f>IFERROR(INDEX(ADP_Import!B:B,MATCH(ADP!AB27,ADP_Import!AG:AG,0)),"")</f>
        <v>NO</v>
      </c>
      <c r="AA27" s="259" t="str">
        <f>IFERROR(INDEX(ADP_Import!C:C,MATCH(ADP!AB27,ADP_Import!AG:AG,0)),"")</f>
        <v>WR</v>
      </c>
      <c r="AB27" s="439">
        <f>IFERROR(INDEX(ADP_Import!AG:AG,MATCH(SMALL(ADP_Import!AG:AG,X27),ADP_Import!AG:AG,0)),"NA")</f>
        <v>20.400615999999999</v>
      </c>
      <c r="AC27" s="265">
        <f>IFERROR(INDEX(ADP_Import!$D:$AE,MATCH(AB27,ADP_Import!AG:AG,0),$AG$6),"")</f>
        <v>2.7</v>
      </c>
      <c r="AI27" t="str">
        <f>INDEX('Draft Pick Order'!E:U,MATCH(A27,'Draft Pick Order'!C:C,0),(Instructions!$E$11*2-15))</f>
        <v>2-9</v>
      </c>
    </row>
    <row r="28" spans="1:35" x14ac:dyDescent="0.25">
      <c r="A28" s="230">
        <v>22</v>
      </c>
      <c r="B28">
        <f>IFERROR(IF(INDEX(Draft!BY:BY,MATCH(ADP!D28,Draft!BY:BY,0))=ADP!D28,1,0),0)</f>
        <v>0</v>
      </c>
      <c r="C28" t="str">
        <f>IF(AND(IFERROR(INDEX(Instructions!$T$111:$T$222,MATCH(D28,Instructions!$T$111:$T$222,0)), "")=D28, D28&lt;&gt;""), "X", "")</f>
        <v/>
      </c>
      <c r="D28" s="454" t="s">
        <v>2075</v>
      </c>
      <c r="E28" s="232" t="s">
        <v>158</v>
      </c>
      <c r="F28" s="232" t="s">
        <v>3</v>
      </c>
      <c r="G28" s="384">
        <v>21.300355</v>
      </c>
      <c r="H28" s="456">
        <v>3.7</v>
      </c>
      <c r="I28" s="703"/>
      <c r="J28" s="694"/>
      <c r="K28" s="691"/>
      <c r="L28" s="691"/>
      <c r="M28" s="691"/>
      <c r="N28" s="233">
        <v>22</v>
      </c>
      <c r="O28" s="385" t="str">
        <f>F28&amp;COUNTIF($F$7:F28,F28)</f>
        <v>RB9</v>
      </c>
      <c r="P28" s="268">
        <f>VALUE('Draft Pick Order'!B24)</f>
        <v>201</v>
      </c>
      <c r="Q28" s="259">
        <f>COUNTIF(D$7:$F28,"QB")</f>
        <v>1</v>
      </c>
      <c r="R28" s="259">
        <f>COUNTIF($F$7:F28,"RB")</f>
        <v>9</v>
      </c>
      <c r="S28" s="259">
        <f>COUNTIF($F$7:F28,"WR")</f>
        <v>11</v>
      </c>
      <c r="T28" s="259">
        <f>COUNTIF($F$7:F28,"TE")</f>
        <v>1</v>
      </c>
      <c r="U28" s="259">
        <f>COUNTIF($F$7:F28,"DST")</f>
        <v>0</v>
      </c>
      <c r="V28" s="259">
        <f>COUNTIF($F$7:F28,"K")</f>
        <v>0</v>
      </c>
      <c r="X28" s="265">
        <v>22</v>
      </c>
      <c r="Y28" s="259" t="str">
        <f>IFERROR(INDEX(ADP_Import!A:A,MATCH(ADP!AB28,ADP_Import!AG:AG,0)),"")</f>
        <v>Rhamondre Stevenson</v>
      </c>
      <c r="Z28" s="259" t="str">
        <f>IFERROR(INDEX(ADP_Import!B:B,MATCH(ADP!AB28,ADP_Import!AG:AG,0)),"")</f>
        <v>NE</v>
      </c>
      <c r="AA28" s="259" t="str">
        <f>IFERROR(INDEX(ADP_Import!C:C,MATCH(ADP!AB28,ADP_Import!AG:AG,0)),"")</f>
        <v>RB</v>
      </c>
      <c r="AB28" s="439">
        <f>IFERROR(INDEX(ADP_Import!AG:AG,MATCH(SMALL(ADP_Import!AG:AG,X28),ADP_Import!AG:AG,0)),"NA")</f>
        <v>23.000146000000001</v>
      </c>
      <c r="AC28" s="265">
        <f>IFERROR(INDEX(ADP_Import!$D:$AE,MATCH(AB28,ADP_Import!AG:AG,0),$AG$6),"")</f>
        <v>3.2</v>
      </c>
      <c r="AI28" t="str">
        <f>INDEX('Draft Pick Order'!E:U,MATCH(A28,'Draft Pick Order'!C:C,0),(Instructions!$E$11*2-15))</f>
        <v>2-10</v>
      </c>
    </row>
    <row r="29" spans="1:35" x14ac:dyDescent="0.25">
      <c r="A29" s="230">
        <v>23</v>
      </c>
      <c r="B29">
        <f>IFERROR(IF(INDEX(Draft!BY:BY,MATCH(ADP!D29,Draft!BY:BY,0))=ADP!D29,1,0),0)</f>
        <v>0</v>
      </c>
      <c r="C29" t="str">
        <f>IF(AND(IFERROR(INDEX(Instructions!$T$111:$T$222,MATCH(D29,Instructions!$T$111:$T$222,0)), "")=D29, D29&lt;&gt;""), "X", "")</f>
        <v>X</v>
      </c>
      <c r="D29" s="454" t="s">
        <v>2320</v>
      </c>
      <c r="E29" s="232" t="s">
        <v>143</v>
      </c>
      <c r="F29" s="232" t="s">
        <v>6</v>
      </c>
      <c r="G29" s="383">
        <v>22.400615999999999</v>
      </c>
      <c r="H29" s="455">
        <v>2.7</v>
      </c>
      <c r="I29" s="703"/>
      <c r="J29" s="694"/>
      <c r="K29" s="691"/>
      <c r="L29" s="691"/>
      <c r="M29" s="691"/>
      <c r="N29" s="233">
        <v>23</v>
      </c>
      <c r="O29" s="385" t="str">
        <f>F29&amp;COUNTIF($F$7:F29,F29)</f>
        <v>WR12</v>
      </c>
      <c r="P29" s="268">
        <f>VALUE('Draft Pick Order'!B25)</f>
        <v>202</v>
      </c>
      <c r="Q29" s="259">
        <f>COUNTIF(D$7:$F29,"QB")</f>
        <v>1</v>
      </c>
      <c r="R29" s="259">
        <f>COUNTIF($F$7:F29,"RB")</f>
        <v>9</v>
      </c>
      <c r="S29" s="259">
        <f>COUNTIF($F$7:F29,"WR")</f>
        <v>12</v>
      </c>
      <c r="T29" s="259">
        <f>COUNTIF($F$7:F29,"TE")</f>
        <v>1</v>
      </c>
      <c r="U29" s="259">
        <f>COUNTIF($F$7:F29,"DST")</f>
        <v>0</v>
      </c>
      <c r="V29" s="259">
        <f>COUNTIF($F$7:F29,"K")</f>
        <v>0</v>
      </c>
      <c r="X29" s="265">
        <v>23</v>
      </c>
      <c r="Y29" s="259" t="str">
        <f>IFERROR(INDEX(ADP_Import!A:A,MATCH(ADP!AB29,ADP_Import!AG:AG,0)),"")</f>
        <v>DeVonta Smith</v>
      </c>
      <c r="Z29" s="259" t="str">
        <f>IFERROR(INDEX(ADP_Import!B:B,MATCH(ADP!AB29,ADP_Import!AG:AG,0)),"")</f>
        <v>PHI</v>
      </c>
      <c r="AA29" s="259" t="str">
        <f>IFERROR(INDEX(ADP_Import!C:C,MATCH(ADP!AB29,ADP_Import!AG:AG,0)),"")</f>
        <v>WR</v>
      </c>
      <c r="AB29" s="439">
        <f>IFERROR(INDEX(ADP_Import!AG:AG,MATCH(SMALL(ADP_Import!AG:AG,X29),ADP_Import!AG:AG,0)),"NA")</f>
        <v>23.000516000000001</v>
      </c>
      <c r="AC29" s="265">
        <f>IFERROR(INDEX(ADP_Import!$D:$AE,MATCH(AB29,ADP_Import!AG:AG,0),$AG$6),"")</f>
        <v>2.9</v>
      </c>
      <c r="AI29" t="str">
        <f>INDEX('Draft Pick Order'!E:U,MATCH(A29,'Draft Pick Order'!C:C,0),(Instructions!$E$11*2-15))</f>
        <v>2-11</v>
      </c>
    </row>
    <row r="30" spans="1:35" ht="15.75" thickBot="1" x14ac:dyDescent="0.3">
      <c r="A30" s="230">
        <v>24</v>
      </c>
      <c r="B30">
        <f>IFERROR(IF(INDEX(Draft!BY:BY,MATCH(ADP!D30,Draft!BY:BY,0))=ADP!D30,1,0),0)</f>
        <v>0</v>
      </c>
      <c r="C30" t="str">
        <f>IF(AND(IFERROR(INDEX(Instructions!$T$111:$T$222,MATCH(D30,Instructions!$T$111:$T$222,0)), "")=D30, D30&lt;&gt;""), "X", "")</f>
        <v/>
      </c>
      <c r="D30" s="454" t="s">
        <v>2180</v>
      </c>
      <c r="E30" s="232" t="s">
        <v>157</v>
      </c>
      <c r="F30" s="232" t="s">
        <v>3</v>
      </c>
      <c r="G30" s="384">
        <v>23.900145999999999</v>
      </c>
      <c r="H30" s="456">
        <v>3.6</v>
      </c>
      <c r="I30" s="704"/>
      <c r="J30" s="694"/>
      <c r="K30" s="692"/>
      <c r="L30" s="691"/>
      <c r="M30" s="691"/>
      <c r="N30" s="233">
        <v>24</v>
      </c>
      <c r="O30" s="385" t="str">
        <f>F30&amp;COUNTIF($F$7:F30,F30)</f>
        <v>RB10</v>
      </c>
      <c r="P30" s="268">
        <f>VALUE('Draft Pick Order'!B26)</f>
        <v>202</v>
      </c>
      <c r="Q30" s="259">
        <f>COUNTIF(D$7:$F30,"QB")</f>
        <v>1</v>
      </c>
      <c r="R30" s="259">
        <f>COUNTIF($F$7:F30,"RB")</f>
        <v>10</v>
      </c>
      <c r="S30" s="259">
        <f>COUNTIF($F$7:F30,"WR")</f>
        <v>12</v>
      </c>
      <c r="T30" s="259">
        <f>COUNTIF($F$7:F30,"TE")</f>
        <v>1</v>
      </c>
      <c r="U30" s="259">
        <f>COUNTIF($F$7:F30,"DST")</f>
        <v>0</v>
      </c>
      <c r="V30" s="259">
        <f>COUNTIF($F$7:F30,"K")</f>
        <v>0</v>
      </c>
      <c r="X30" s="265">
        <v>24</v>
      </c>
      <c r="Y30" s="259" t="str">
        <f>IFERROR(INDEX(ADP_Import!A:A,MATCH(ADP!AB30,ADP_Import!AG:AG,0)),"")</f>
        <v>Josh Jacobs</v>
      </c>
      <c r="Z30" s="259" t="str">
        <f>IFERROR(INDEX(ADP_Import!B:B,MATCH(ADP!AB30,ADP_Import!AG:AG,0)),"")</f>
        <v>LV</v>
      </c>
      <c r="AA30" s="259" t="str">
        <f>IFERROR(INDEX(ADP_Import!C:C,MATCH(ADP!AB30,ADP_Import!AG:AG,0)),"")</f>
        <v>RB</v>
      </c>
      <c r="AB30" s="439">
        <f>IFERROR(INDEX(ADP_Import!AG:AG,MATCH(SMALL(ADP_Import!AG:AG,X30),ADP_Import!AG:AG,0)),"NA")</f>
        <v>23.500343000000001</v>
      </c>
      <c r="AC30" s="265">
        <f>IFERROR(INDEX(ADP_Import!$D:$AE,MATCH(AB30,ADP_Import!AG:AG,0),$AG$6),"")</f>
        <v>3.6</v>
      </c>
      <c r="AI30" t="str">
        <f>INDEX('Draft Pick Order'!E:U,MATCH(A30,'Draft Pick Order'!C:C,0),(Instructions!$E$11*2-15))</f>
        <v>2-12</v>
      </c>
    </row>
    <row r="31" spans="1:35" ht="15" customHeight="1" x14ac:dyDescent="0.25">
      <c r="A31" s="230">
        <v>25</v>
      </c>
      <c r="B31">
        <f>IFERROR(IF(INDEX(Draft!BY:BY,MATCH(ADP!D31,Draft!BY:BY,0))=ADP!D31,1,0),0)</f>
        <v>0</v>
      </c>
      <c r="C31" t="str">
        <f>IF(AND(IFERROR(INDEX(Instructions!$T$111:$T$222,MATCH(D31,Instructions!$T$111:$T$222,0)), "")=D31, D31&lt;&gt;""), "X", "")</f>
        <v>X</v>
      </c>
      <c r="D31" s="454" t="s">
        <v>1761</v>
      </c>
      <c r="E31" s="232" t="s">
        <v>156</v>
      </c>
      <c r="F31" s="232" t="s">
        <v>1</v>
      </c>
      <c r="G31" s="383">
        <v>24.300345</v>
      </c>
      <c r="H31" s="455">
        <v>4.5</v>
      </c>
      <c r="I31" s="699" t="s">
        <v>899</v>
      </c>
      <c r="J31" s="694"/>
      <c r="K31" s="687" t="s">
        <v>898</v>
      </c>
      <c r="L31" s="691"/>
      <c r="M31" s="691"/>
      <c r="N31" s="233">
        <v>25</v>
      </c>
      <c r="O31" s="385" t="str">
        <f>F31&amp;COUNTIF($F$7:F31,F31)</f>
        <v>QB2</v>
      </c>
      <c r="P31" s="268">
        <f>VALUE('Draft Pick Order'!B27)</f>
        <v>202</v>
      </c>
      <c r="Q31" s="259">
        <f>COUNTIF(D$7:$F31,"QB")</f>
        <v>2</v>
      </c>
      <c r="R31" s="259">
        <f>COUNTIF($F$7:F31,"RB")</f>
        <v>10</v>
      </c>
      <c r="S31" s="259">
        <f>COUNTIF($F$7:F31,"WR")</f>
        <v>12</v>
      </c>
      <c r="T31" s="259">
        <f>COUNTIF($F$7:F31,"TE")</f>
        <v>1</v>
      </c>
      <c r="U31" s="259">
        <f>COUNTIF($F$7:F31,"DST")</f>
        <v>0</v>
      </c>
      <c r="V31" s="259">
        <f>COUNTIF($F$7:F31,"K")</f>
        <v>0</v>
      </c>
      <c r="X31" s="265">
        <v>25</v>
      </c>
      <c r="Y31" s="259" t="str">
        <f>IFERROR(INDEX(ADP_Import!A:A,MATCH(ADP!AB31,ADP_Import!AG:AG,0)),"")</f>
        <v>Jonathan Taylor</v>
      </c>
      <c r="Z31" s="259" t="str">
        <f>IFERROR(INDEX(ADP_Import!B:B,MATCH(ADP!AB31,ADP_Import!AG:AG,0)),"")</f>
        <v>IND</v>
      </c>
      <c r="AA31" s="259" t="str">
        <f>IFERROR(INDEX(ADP_Import!C:C,MATCH(ADP!AB31,ADP_Import!AG:AG,0)),"")</f>
        <v>RB</v>
      </c>
      <c r="AB31" s="439">
        <f>IFERROR(INDEX(ADP_Import!AG:AG,MATCH(SMALL(ADP_Import!AG:AG,X31),ADP_Import!AG:AG,0)),"NA")</f>
        <v>24.600355</v>
      </c>
      <c r="AC31" s="265">
        <f>IFERROR(INDEX(ADP_Import!$D:$AE,MATCH(AB31,ADP_Import!AG:AG,0),$AG$6),"")</f>
        <v>3.7</v>
      </c>
      <c r="AI31" t="str">
        <f>INDEX('Draft Pick Order'!E:U,MATCH(A31,'Draft Pick Order'!C:C,0),(Instructions!$E$11*2-15))</f>
        <v>3-1</v>
      </c>
    </row>
    <row r="32" spans="1:35" x14ac:dyDescent="0.25">
      <c r="A32" s="230">
        <v>26</v>
      </c>
      <c r="B32">
        <f>IFERROR(IF(INDEX(Draft!BY:BY,MATCH(ADP!D32,Draft!BY:BY,0))=ADP!D32,1,0),0)</f>
        <v>0</v>
      </c>
      <c r="C32" t="str">
        <f>IF(AND(IFERROR(INDEX(Instructions!$T$111:$T$222,MATCH(D32,Instructions!$T$111:$T$222,0)), "")=D32, D32&lt;&gt;""), "X", "")</f>
        <v/>
      </c>
      <c r="D32" s="454" t="s">
        <v>2108</v>
      </c>
      <c r="E32" s="232" t="s">
        <v>137</v>
      </c>
      <c r="F32" s="232" t="s">
        <v>1</v>
      </c>
      <c r="G32" s="384">
        <v>24.800411</v>
      </c>
      <c r="H32" s="456">
        <v>4.0999999999999996</v>
      </c>
      <c r="I32" s="700"/>
      <c r="J32" s="694"/>
      <c r="K32" s="688"/>
      <c r="L32" s="691"/>
      <c r="M32" s="691"/>
      <c r="N32" s="233">
        <v>26</v>
      </c>
      <c r="O32" s="385" t="str">
        <f>F32&amp;COUNTIF($F$7:F32,F32)</f>
        <v>QB3</v>
      </c>
      <c r="P32" s="268">
        <f>VALUE('Draft Pick Order'!B28)</f>
        <v>203</v>
      </c>
      <c r="Q32" s="259">
        <f>COUNTIF(D$7:$F32,"QB")</f>
        <v>3</v>
      </c>
      <c r="R32" s="259">
        <f>COUNTIF($F$7:F32,"RB")</f>
        <v>10</v>
      </c>
      <c r="S32" s="259">
        <f>COUNTIF($F$7:F32,"WR")</f>
        <v>12</v>
      </c>
      <c r="T32" s="259">
        <f>COUNTIF($F$7:F32,"TE")</f>
        <v>1</v>
      </c>
      <c r="U32" s="259">
        <f>COUNTIF($F$7:F32,"DST")</f>
        <v>0</v>
      </c>
      <c r="V32" s="259">
        <f>COUNTIF($F$7:F32,"K")</f>
        <v>0</v>
      </c>
      <c r="X32" s="265">
        <v>26</v>
      </c>
      <c r="Y32" s="259" t="str">
        <f>IFERROR(INDEX(ADP_Import!A:A,MATCH(ADP!AB32,ADP_Import!AG:AG,0)),"")</f>
        <v>Josh Allen</v>
      </c>
      <c r="Z32" s="259" t="str">
        <f>IFERROR(INDEX(ADP_Import!B:B,MATCH(ADP!AB32,ADP_Import!AG:AG,0)),"")</f>
        <v>BUF</v>
      </c>
      <c r="AA32" s="259" t="str">
        <f>IFERROR(INDEX(ADP_Import!C:C,MATCH(ADP!AB32,ADP_Import!AG:AG,0)),"")</f>
        <v>QB</v>
      </c>
      <c r="AB32" s="439">
        <f>IFERROR(INDEX(ADP_Import!AG:AG,MATCH(SMALL(ADP_Import!AG:AG,X32),ADP_Import!AG:AG,0)),"NA")</f>
        <v>26.300345</v>
      </c>
      <c r="AC32" s="265">
        <f>IFERROR(INDEX(ADP_Import!$D:$AE,MATCH(AB32,ADP_Import!AG:AG,0),$AG$6),"")</f>
        <v>4.5999999999999996</v>
      </c>
      <c r="AI32" t="str">
        <f>INDEX('Draft Pick Order'!E:U,MATCH(A32,'Draft Pick Order'!C:C,0),(Instructions!$E$11*2-15))</f>
        <v>3-2</v>
      </c>
    </row>
    <row r="33" spans="1:35" x14ac:dyDescent="0.25">
      <c r="A33" s="230">
        <v>27</v>
      </c>
      <c r="B33">
        <f>IFERROR(IF(INDEX(Draft!BY:BY,MATCH(ADP!D33,Draft!BY:BY,0))=ADP!D33,1,0),0)</f>
        <v>0</v>
      </c>
      <c r="C33" t="str">
        <f>IF(AND(IFERROR(INDEX(Instructions!$T$111:$T$222,MATCH(D33,Instructions!$T$111:$T$222,0)), "")=D33, D33&lt;&gt;""), "X", "")</f>
        <v/>
      </c>
      <c r="D33" s="454" t="s">
        <v>2172</v>
      </c>
      <c r="E33" s="232" t="s">
        <v>147</v>
      </c>
      <c r="F33" s="232" t="s">
        <v>3</v>
      </c>
      <c r="G33" s="383">
        <v>26.000205999999999</v>
      </c>
      <c r="H33" s="455">
        <v>3.6</v>
      </c>
      <c r="I33" s="700"/>
      <c r="J33" s="694"/>
      <c r="K33" s="688"/>
      <c r="L33" s="691"/>
      <c r="M33" s="691"/>
      <c r="N33" s="233">
        <v>27</v>
      </c>
      <c r="O33" s="385" t="str">
        <f>F33&amp;COUNTIF($F$7:F33,F33)</f>
        <v>RB11</v>
      </c>
      <c r="P33" s="268">
        <f>VALUE('Draft Pick Order'!B29)</f>
        <v>203</v>
      </c>
      <c r="Q33" s="259">
        <f>COUNTIF(D$7:$F33,"QB")</f>
        <v>3</v>
      </c>
      <c r="R33" s="259">
        <f>COUNTIF($F$7:F33,"RB")</f>
        <v>11</v>
      </c>
      <c r="S33" s="259">
        <f>COUNTIF($F$7:F33,"WR")</f>
        <v>12</v>
      </c>
      <c r="T33" s="259">
        <f>COUNTIF($F$7:F33,"TE")</f>
        <v>1</v>
      </c>
      <c r="U33" s="259">
        <f>COUNTIF($F$7:F33,"DST")</f>
        <v>0</v>
      </c>
      <c r="V33" s="259">
        <f>COUNTIF($F$7:F33,"K")</f>
        <v>0</v>
      </c>
      <c r="X33" s="265">
        <v>27</v>
      </c>
      <c r="Y33" s="259" t="str">
        <f>IFERROR(INDEX(ADP_Import!A:A,MATCH(ADP!AB33,ADP_Import!AG:AG,0)),"")</f>
        <v>Tee Higgins</v>
      </c>
      <c r="Z33" s="259" t="str">
        <f>IFERROR(INDEX(ADP_Import!B:B,MATCH(ADP!AB33,ADP_Import!AG:AG,0)),"")</f>
        <v>CIN</v>
      </c>
      <c r="AA33" s="259" t="str">
        <f>IFERROR(INDEX(ADP_Import!C:C,MATCH(ADP!AB33,ADP_Import!AG:AG,0)),"")</f>
        <v>WR</v>
      </c>
      <c r="AB33" s="439">
        <f>IFERROR(INDEX(ADP_Import!AG:AG,MATCH(SMALL(ADP_Import!AG:AG,X33),ADP_Import!AG:AG,0)),"NA")</f>
        <v>26.400084999999997</v>
      </c>
      <c r="AC33" s="265">
        <f>IFERROR(INDEX(ADP_Import!$D:$AE,MATCH(AB33,ADP_Import!AG:AG,0),$AG$6),"")</f>
        <v>3.5</v>
      </c>
      <c r="AI33" t="str">
        <f>INDEX('Draft Pick Order'!E:U,MATCH(A33,'Draft Pick Order'!C:C,0),(Instructions!$E$11*2-15))</f>
        <v>3-3</v>
      </c>
    </row>
    <row r="34" spans="1:35" ht="15.75" thickBot="1" x14ac:dyDescent="0.3">
      <c r="A34" s="230">
        <v>28</v>
      </c>
      <c r="B34">
        <f>IFERROR(IF(INDEX(Draft!BY:BY,MATCH(ADP!D34,Draft!BY:BY,0))=ADP!D34,1,0),0)</f>
        <v>0</v>
      </c>
      <c r="C34" t="str">
        <f>IF(AND(IFERROR(INDEX(Instructions!$T$111:$T$222,MATCH(D34,Instructions!$T$111:$T$222,0)), "")=D34, D34&lt;&gt;""), "X", "")</f>
        <v/>
      </c>
      <c r="D34" s="454" t="s">
        <v>2173</v>
      </c>
      <c r="E34" s="232" t="s">
        <v>165</v>
      </c>
      <c r="F34" s="232" t="s">
        <v>3</v>
      </c>
      <c r="G34" s="384">
        <v>27.500074000000001</v>
      </c>
      <c r="H34" s="456">
        <v>3.9</v>
      </c>
      <c r="I34" s="700"/>
      <c r="J34" s="694"/>
      <c r="K34" s="688"/>
      <c r="L34" s="691"/>
      <c r="M34" s="691"/>
      <c r="N34" s="233">
        <v>28</v>
      </c>
      <c r="O34" s="385" t="str">
        <f>F34&amp;COUNTIF($F$7:F34,F34)</f>
        <v>RB12</v>
      </c>
      <c r="P34" s="268">
        <f>VALUE('Draft Pick Order'!B30)</f>
        <v>203</v>
      </c>
      <c r="Q34" s="259">
        <f>COUNTIF(D$7:$F34,"QB")</f>
        <v>3</v>
      </c>
      <c r="R34" s="259">
        <f>COUNTIF($F$7:F34,"RB")</f>
        <v>12</v>
      </c>
      <c r="S34" s="259">
        <f>COUNTIF($F$7:F34,"WR")</f>
        <v>12</v>
      </c>
      <c r="T34" s="259">
        <f>COUNTIF($F$7:F34,"TE")</f>
        <v>1</v>
      </c>
      <c r="U34" s="259">
        <f>COUNTIF($F$7:F34,"DST")</f>
        <v>0</v>
      </c>
      <c r="V34" s="259">
        <f>COUNTIF($F$7:F34,"K")</f>
        <v>0</v>
      </c>
      <c r="X34" s="265">
        <v>28</v>
      </c>
      <c r="Y34" s="259" t="str">
        <f>IFERROR(INDEX(ADP_Import!A:A,MATCH(ADP!AB34,ADP_Import!AG:AG,0)),"")</f>
        <v>Jalen Hurts</v>
      </c>
      <c r="Z34" s="259" t="str">
        <f>IFERROR(INDEX(ADP_Import!B:B,MATCH(ADP!AB34,ADP_Import!AG:AG,0)),"")</f>
        <v>PHI</v>
      </c>
      <c r="AA34" s="259" t="str">
        <f>IFERROR(INDEX(ADP_Import!C:C,MATCH(ADP!AB34,ADP_Import!AG:AG,0)),"")</f>
        <v>QB</v>
      </c>
      <c r="AB34" s="439">
        <f>IFERROR(INDEX(ADP_Import!AG:AG,MATCH(SMALL(ADP_Import!AG:AG,X34),ADP_Import!AG:AG,0)),"NA")</f>
        <v>27.300411</v>
      </c>
      <c r="AC34" s="265">
        <f>IFERROR(INDEX(ADP_Import!$D:$AE,MATCH(AB34,ADP_Import!AG:AG,0),$AG$6),"")</f>
        <v>4.5</v>
      </c>
      <c r="AI34" t="str">
        <f>INDEX('Draft Pick Order'!E:U,MATCH(A34,'Draft Pick Order'!C:C,0),(Instructions!$E$11*2-15))</f>
        <v>3-4</v>
      </c>
    </row>
    <row r="35" spans="1:35" x14ac:dyDescent="0.25">
      <c r="A35" s="230">
        <v>29</v>
      </c>
      <c r="B35">
        <f>IFERROR(IF(INDEX(Draft!BY:BY,MATCH(ADP!D35,Draft!BY:BY,0))=ADP!D35,1,0),0)</f>
        <v>0</v>
      </c>
      <c r="C35" t="str">
        <f>IF(AND(IFERROR(INDEX(Instructions!$T$111:$T$222,MATCH(D35,Instructions!$T$111:$T$222,0)), "")=D35, D35&lt;&gt;""), "X", "")</f>
        <v/>
      </c>
      <c r="D35" s="454" t="s">
        <v>2092</v>
      </c>
      <c r="E35" s="232" t="s">
        <v>145</v>
      </c>
      <c r="F35" s="232" t="s">
        <v>6</v>
      </c>
      <c r="G35" s="383">
        <v>27.500084999999999</v>
      </c>
      <c r="H35" s="455">
        <v>3.4</v>
      </c>
      <c r="I35" s="700"/>
      <c r="J35" s="694"/>
      <c r="K35" s="688"/>
      <c r="L35" s="687" t="s">
        <v>898</v>
      </c>
      <c r="M35" s="691"/>
      <c r="N35" s="234">
        <v>29</v>
      </c>
      <c r="O35" s="385" t="str">
        <f>F35&amp;COUNTIF($F$7:F35,F35)</f>
        <v>WR13</v>
      </c>
      <c r="P35" s="268">
        <f>VALUE('Draft Pick Order'!B31)</f>
        <v>203</v>
      </c>
      <c r="Q35" s="259">
        <f>COUNTIF(D$7:$F35,"QB")</f>
        <v>3</v>
      </c>
      <c r="R35" s="259">
        <f>COUNTIF($F$7:F35,"RB")</f>
        <v>12</v>
      </c>
      <c r="S35" s="259">
        <f>COUNTIF($F$7:F35,"WR")</f>
        <v>13</v>
      </c>
      <c r="T35" s="259">
        <f>COUNTIF($F$7:F35,"TE")</f>
        <v>1</v>
      </c>
      <c r="U35" s="259">
        <f>COUNTIF($F$7:F35,"DST")</f>
        <v>0</v>
      </c>
      <c r="V35" s="259">
        <f>COUNTIF($F$7:F35,"K")</f>
        <v>0</v>
      </c>
      <c r="X35" s="265">
        <v>29</v>
      </c>
      <c r="Y35" s="259" t="str">
        <f>IFERROR(INDEX(ADP_Import!A:A,MATCH(ADP!AB35,ADP_Import!AG:AG,0)),"")</f>
        <v>Mark Andrews</v>
      </c>
      <c r="Z35" s="259" t="str">
        <f>IFERROR(INDEX(ADP_Import!B:B,MATCH(ADP!AB35,ADP_Import!AG:AG,0)),"")</f>
        <v>BAL</v>
      </c>
      <c r="AA35" s="259" t="str">
        <f>IFERROR(INDEX(ADP_Import!C:C,MATCH(ADP!AB35,ADP_Import!AG:AG,0)),"")</f>
        <v>TE</v>
      </c>
      <c r="AB35" s="439">
        <f>IFERROR(INDEX(ADP_Import!AG:AG,MATCH(SMALL(ADP_Import!AG:AG,X35),ADP_Import!AG:AG,0)),"NA")</f>
        <v>28.400252999999999</v>
      </c>
      <c r="AC35" s="265">
        <f>IFERROR(INDEX(ADP_Import!$D:$AE,MATCH(AB35,ADP_Import!AG:AG,0),$AG$6),"")</f>
        <v>4.5</v>
      </c>
      <c r="AI35" t="str">
        <f>INDEX('Draft Pick Order'!E:U,MATCH(A35,'Draft Pick Order'!C:C,0),(Instructions!$E$11*2-15))</f>
        <v>3-5</v>
      </c>
    </row>
    <row r="36" spans="1:35" ht="15.75" thickBot="1" x14ac:dyDescent="0.3">
      <c r="A36" s="230">
        <v>30</v>
      </c>
      <c r="B36">
        <f>IFERROR(IF(INDEX(Draft!BY:BY,MATCH(ADP!D36,Draft!BY:BY,0))=ADP!D36,1,0),0)</f>
        <v>0</v>
      </c>
      <c r="C36" t="str">
        <f>IF(AND(IFERROR(INDEX(Instructions!$T$111:$T$222,MATCH(D36,Instructions!$T$111:$T$222,0)), "")=D36, D36&lt;&gt;""), "X", "")</f>
        <v/>
      </c>
      <c r="D36" s="454" t="s">
        <v>2196</v>
      </c>
      <c r="E36" s="232" t="s">
        <v>137</v>
      </c>
      <c r="F36" s="232" t="s">
        <v>6</v>
      </c>
      <c r="G36" s="384">
        <v>30.000516000000001</v>
      </c>
      <c r="H36" s="456">
        <v>4.0999999999999996</v>
      </c>
      <c r="I36" s="700"/>
      <c r="J36" s="695"/>
      <c r="K36" s="688"/>
      <c r="L36" s="688"/>
      <c r="M36" s="691"/>
      <c r="N36" s="234">
        <v>30</v>
      </c>
      <c r="O36" s="385" t="str">
        <f>F36&amp;COUNTIF($F$7:F36,F36)</f>
        <v>WR14</v>
      </c>
      <c r="P36" s="268">
        <f>VALUE('Draft Pick Order'!B32)</f>
        <v>203</v>
      </c>
      <c r="Q36" s="259">
        <f>COUNTIF(D$7:$F36,"QB")</f>
        <v>3</v>
      </c>
      <c r="R36" s="259">
        <f>COUNTIF($F$7:F36,"RB")</f>
        <v>12</v>
      </c>
      <c r="S36" s="259">
        <f>COUNTIF($F$7:F36,"WR")</f>
        <v>14</v>
      </c>
      <c r="T36" s="259">
        <f>COUNTIF($F$7:F36,"TE")</f>
        <v>1</v>
      </c>
      <c r="U36" s="259">
        <f>COUNTIF($F$7:F36,"DST")</f>
        <v>0</v>
      </c>
      <c r="V36" s="259">
        <f>COUNTIF($F$7:F36,"K")</f>
        <v>0</v>
      </c>
      <c r="X36" s="265">
        <v>30</v>
      </c>
      <c r="Y36" s="259" t="str">
        <f>IFERROR(INDEX(ADP_Import!A:A,MATCH(ADP!AB36,ADP_Import!AG:AG,0)),"")</f>
        <v>Keenan Allen</v>
      </c>
      <c r="Z36" s="259" t="str">
        <f>IFERROR(INDEX(ADP_Import!B:B,MATCH(ADP!AB36,ADP_Import!AG:AG,0)),"")</f>
        <v>LAC</v>
      </c>
      <c r="AA36" s="259" t="str">
        <f>IFERROR(INDEX(ADP_Import!C:C,MATCH(ADP!AB36,ADP_Import!AG:AG,0)),"")</f>
        <v>WR</v>
      </c>
      <c r="AB36" s="439">
        <f>IFERROR(INDEX(ADP_Import!AG:AG,MATCH(SMALL(ADP_Import!AG:AG,X36),ADP_Import!AG:AG,0)),"NA")</f>
        <v>29.000309999999999</v>
      </c>
      <c r="AC36" s="265">
        <f>IFERROR(INDEX(ADP_Import!$D:$AE,MATCH(AB36,ADP_Import!AG:AG,0),$AG$6),"")</f>
        <v>4.0999999999999996</v>
      </c>
      <c r="AI36" t="str">
        <f>INDEX('Draft Pick Order'!E:U,MATCH(A36,'Draft Pick Order'!C:C,0),(Instructions!$E$11*2-15))</f>
        <v>3-6</v>
      </c>
    </row>
    <row r="37" spans="1:35" ht="15" customHeight="1" x14ac:dyDescent="0.25">
      <c r="A37" s="230">
        <v>31</v>
      </c>
      <c r="B37">
        <f>IFERROR(IF(INDEX(Draft!BY:BY,MATCH(ADP!D37,Draft!BY:BY,0))=ADP!D37,1,0),0)</f>
        <v>0</v>
      </c>
      <c r="C37" t="str">
        <f>IF(AND(IFERROR(INDEX(Instructions!$T$111:$T$222,MATCH(D37,Instructions!$T$111:$T$222,0)), "")=D37, D37&lt;&gt;""), "X", "")</f>
        <v/>
      </c>
      <c r="D37" s="454" t="s">
        <v>2290</v>
      </c>
      <c r="E37" s="232" t="s">
        <v>164</v>
      </c>
      <c r="F37" s="232" t="s">
        <v>3</v>
      </c>
      <c r="G37" s="383">
        <v>30.200666999999999</v>
      </c>
      <c r="H37" s="455">
        <v>3.6</v>
      </c>
      <c r="I37" s="700"/>
      <c r="J37" s="696" t="s">
        <v>899</v>
      </c>
      <c r="K37" s="688"/>
      <c r="L37" s="688"/>
      <c r="M37" s="691"/>
      <c r="N37" s="234">
        <v>31</v>
      </c>
      <c r="O37" s="385" t="str">
        <f>F37&amp;COUNTIF($F$7:F37,F37)</f>
        <v>RB13</v>
      </c>
      <c r="P37" s="268">
        <f>VALUE('Draft Pick Order'!B33)</f>
        <v>203</v>
      </c>
      <c r="Q37" s="259">
        <f>COUNTIF(D$7:$F37,"QB")</f>
        <v>3</v>
      </c>
      <c r="R37" s="259">
        <f>COUNTIF($F$7:F37,"RB")</f>
        <v>13</v>
      </c>
      <c r="S37" s="259">
        <f>COUNTIF($F$7:F37,"WR")</f>
        <v>14</v>
      </c>
      <c r="T37" s="259">
        <f>COUNTIF($F$7:F37,"TE")</f>
        <v>1</v>
      </c>
      <c r="U37" s="259">
        <f>COUNTIF($F$7:F37,"DST")</f>
        <v>0</v>
      </c>
      <c r="V37" s="259">
        <f>COUNTIF($F$7:F37,"K")</f>
        <v>0</v>
      </c>
      <c r="X37" s="265">
        <v>31</v>
      </c>
      <c r="Y37" s="259" t="str">
        <f>IFERROR(INDEX(ADP_Import!A:A,MATCH(ADP!AB37,ADP_Import!AG:AG,0)),"")</f>
        <v>Calvin Ridley</v>
      </c>
      <c r="Z37" s="259" t="str">
        <f>IFERROR(INDEX(ADP_Import!B:B,MATCH(ADP!AB37,ADP_Import!AG:AG,0)),"")</f>
        <v>JAC</v>
      </c>
      <c r="AA37" s="259" t="str">
        <f>IFERROR(INDEX(ADP_Import!C:C,MATCH(ADP!AB37,ADP_Import!AG:AG,0)),"")</f>
        <v>WR</v>
      </c>
      <c r="AB37" s="439">
        <f>IFERROR(INDEX(ADP_Import!AG:AG,MATCH(SMALL(ADP_Import!AG:AG,X37),ADP_Import!AG:AG,0)),"NA")</f>
        <v>29.600643000000002</v>
      </c>
      <c r="AC37" s="265">
        <f>IFERROR(INDEX(ADP_Import!$D:$AE,MATCH(AB37,ADP_Import!AG:AG,0),$AG$6),"")</f>
        <v>4.5</v>
      </c>
      <c r="AI37" t="str">
        <f>INDEX('Draft Pick Order'!E:U,MATCH(A37,'Draft Pick Order'!C:C,0),(Instructions!$E$11*2-15))</f>
        <v>3-7</v>
      </c>
    </row>
    <row r="38" spans="1:35" ht="15.75" thickBot="1" x14ac:dyDescent="0.3">
      <c r="A38" s="230">
        <v>32</v>
      </c>
      <c r="B38">
        <f>IFERROR(IF(INDEX(Draft!BY:BY,MATCH(ADP!D38,Draft!BY:BY,0))=ADP!D38,1,0),0)</f>
        <v>0</v>
      </c>
      <c r="C38" t="str">
        <f>IF(AND(IFERROR(INDEX(Instructions!$T$111:$T$222,MATCH(D38,Instructions!$T$111:$T$222,0)), "")=D38, D38&lt;&gt;""), "X", "")</f>
        <v/>
      </c>
      <c r="D38" s="454" t="s">
        <v>1101</v>
      </c>
      <c r="E38" s="232" t="s">
        <v>161</v>
      </c>
      <c r="F38" s="232" t="s">
        <v>6</v>
      </c>
      <c r="G38" s="384">
        <v>30.300710000000002</v>
      </c>
      <c r="H38" s="456">
        <v>4.0999999999999996</v>
      </c>
      <c r="I38" s="701"/>
      <c r="J38" s="697"/>
      <c r="K38" s="688"/>
      <c r="L38" s="688"/>
      <c r="M38" s="692"/>
      <c r="N38" s="234">
        <v>32</v>
      </c>
      <c r="O38" s="385" t="str">
        <f>F38&amp;COUNTIF($F$7:F38,F38)</f>
        <v>WR15</v>
      </c>
      <c r="P38" s="268">
        <f>VALUE('Draft Pick Order'!B34)</f>
        <v>203</v>
      </c>
      <c r="Q38" s="259">
        <f>COUNTIF(D$7:$F38,"QB")</f>
        <v>3</v>
      </c>
      <c r="R38" s="259">
        <f>COUNTIF($F$7:F38,"RB")</f>
        <v>13</v>
      </c>
      <c r="S38" s="259">
        <f>COUNTIF($F$7:F38,"WR")</f>
        <v>15</v>
      </c>
      <c r="T38" s="259">
        <f>COUNTIF($F$7:F38,"TE")</f>
        <v>1</v>
      </c>
      <c r="U38" s="259">
        <f>COUNTIF($F$7:F38,"DST")</f>
        <v>0</v>
      </c>
      <c r="V38" s="259">
        <f>COUNTIF($F$7:F38,"K")</f>
        <v>0</v>
      </c>
      <c r="X38" s="265">
        <v>32</v>
      </c>
      <c r="Y38" s="259" t="str">
        <f>IFERROR(INDEX(ADP_Import!A:A,MATCH(ADP!AB38,ADP_Import!AG:AG,0)),"")</f>
        <v>Najee Harris</v>
      </c>
      <c r="Z38" s="259" t="str">
        <f>IFERROR(INDEX(ADP_Import!B:B,MATCH(ADP!AB38,ADP_Import!AG:AG,0)),"")</f>
        <v>PIT</v>
      </c>
      <c r="AA38" s="259" t="str">
        <f>IFERROR(INDEX(ADP_Import!C:C,MATCH(ADP!AB38,ADP_Import!AG:AG,0)),"")</f>
        <v>RB</v>
      </c>
      <c r="AB38" s="439">
        <f>IFERROR(INDEX(ADP_Import!AG:AG,MATCH(SMALL(ADP_Import!AG:AG,X38),ADP_Import!AG:AG,0)),"NA")</f>
        <v>30.100206</v>
      </c>
      <c r="AC38" s="265">
        <f>IFERROR(INDEX(ADP_Import!$D:$AE,MATCH(AB38,ADP_Import!AG:AG,0),$AG$6),"")</f>
        <v>4.7</v>
      </c>
      <c r="AI38" t="str">
        <f>INDEX('Draft Pick Order'!E:U,MATCH(A38,'Draft Pick Order'!C:C,0),(Instructions!$E$11*2-15))</f>
        <v>3-8</v>
      </c>
    </row>
    <row r="39" spans="1:35" ht="15" customHeight="1" x14ac:dyDescent="0.25">
      <c r="A39" s="230">
        <v>33</v>
      </c>
      <c r="B39">
        <f>IFERROR(IF(INDEX(Draft!BY:BY,MATCH(ADP!D39,Draft!BY:BY,0))=ADP!D39,1,0),0)</f>
        <v>0</v>
      </c>
      <c r="C39" t="str">
        <f>IF(AND(IFERROR(INDEX(Instructions!$T$111:$T$222,MATCH(D39,Instructions!$T$111:$T$222,0)), "")=D39, D39&lt;&gt;""), "X", "")</f>
        <v/>
      </c>
      <c r="D39" s="454" t="s">
        <v>1421</v>
      </c>
      <c r="E39" s="232" t="s">
        <v>145</v>
      </c>
      <c r="F39" s="232" t="s">
        <v>3</v>
      </c>
      <c r="G39" s="383">
        <v>30.600363000000002</v>
      </c>
      <c r="H39" s="455">
        <v>4.2</v>
      </c>
      <c r="I39" s="702" t="s">
        <v>900</v>
      </c>
      <c r="J39" s="697"/>
      <c r="K39" s="688"/>
      <c r="L39" s="688"/>
      <c r="M39" s="687" t="s">
        <v>898</v>
      </c>
      <c r="N39" s="234">
        <v>33</v>
      </c>
      <c r="O39" s="385" t="str">
        <f>F39&amp;COUNTIF($F$7:F39,F39)</f>
        <v>RB14</v>
      </c>
      <c r="P39" s="268">
        <f>VALUE('Draft Pick Order'!B35)</f>
        <v>203</v>
      </c>
      <c r="Q39" s="259">
        <f>COUNTIF(D$7:$F39,"QB")</f>
        <v>3</v>
      </c>
      <c r="R39" s="259">
        <f>COUNTIF($F$7:F39,"RB")</f>
        <v>14</v>
      </c>
      <c r="S39" s="259">
        <f>COUNTIF($F$7:F39,"WR")</f>
        <v>15</v>
      </c>
      <c r="T39" s="259">
        <f>COUNTIF($F$7:F39,"TE")</f>
        <v>1</v>
      </c>
      <c r="U39" s="259">
        <f>COUNTIF($F$7:F39,"DST")</f>
        <v>0</v>
      </c>
      <c r="V39" s="259">
        <f>COUNTIF($F$7:F39,"K")</f>
        <v>0</v>
      </c>
      <c r="X39" s="265">
        <v>33</v>
      </c>
      <c r="Y39" s="259" t="str">
        <f>IFERROR(INDEX(ADP_Import!A:A,MATCH(ADP!AB39,ADP_Import!AG:AG,0)),"")</f>
        <v>DK Metcalf</v>
      </c>
      <c r="Z39" s="259" t="str">
        <f>IFERROR(INDEX(ADP_Import!B:B,MATCH(ADP!AB39,ADP_Import!AG:AG,0)),"")</f>
        <v>SEA</v>
      </c>
      <c r="AA39" s="259" t="str">
        <f>IFERROR(INDEX(ADP_Import!C:C,MATCH(ADP!AB39,ADP_Import!AG:AG,0)),"")</f>
        <v>WR</v>
      </c>
      <c r="AB39" s="439">
        <f>IFERROR(INDEX(ADP_Import!AG:AG,MATCH(SMALL(ADP_Import!AG:AG,X39),ADP_Import!AG:AG,0)),"NA")</f>
        <v>30.500509000000001</v>
      </c>
      <c r="AC39" s="265">
        <f>IFERROR(INDEX(ADP_Import!$D:$AE,MATCH(AB39,ADP_Import!AG:AG,0),$AG$6),"")</f>
        <v>4.3</v>
      </c>
      <c r="AI39" t="str">
        <f>INDEX('Draft Pick Order'!E:U,MATCH(A39,'Draft Pick Order'!C:C,0),(Instructions!$E$11*2-15))</f>
        <v>3-9</v>
      </c>
    </row>
    <row r="40" spans="1:35" x14ac:dyDescent="0.25">
      <c r="A40" s="230">
        <v>34</v>
      </c>
      <c r="B40">
        <f>IFERROR(IF(INDEX(Draft!BY:BY,MATCH(ADP!D40,Draft!BY:BY,0))=ADP!D40,1,0),0)</f>
        <v>0</v>
      </c>
      <c r="C40" t="str">
        <f>IF(AND(IFERROR(INDEX(Instructions!$T$111:$T$222,MATCH(D40,Instructions!$T$111:$T$222,0)), "")=D40, D40&lt;&gt;""), "X", "")</f>
        <v>X</v>
      </c>
      <c r="D40" s="454" t="s">
        <v>1811</v>
      </c>
      <c r="E40" s="232" t="s">
        <v>162</v>
      </c>
      <c r="F40" s="232" t="s">
        <v>7</v>
      </c>
      <c r="G40" s="384">
        <v>31.900252999999999</v>
      </c>
      <c r="H40" s="456">
        <v>5</v>
      </c>
      <c r="I40" s="703"/>
      <c r="J40" s="697"/>
      <c r="K40" s="688"/>
      <c r="L40" s="688"/>
      <c r="M40" s="688"/>
      <c r="N40" s="234">
        <v>34</v>
      </c>
      <c r="O40" s="385" t="str">
        <f>F40&amp;COUNTIF($F$7:F40,F40)</f>
        <v>TE2</v>
      </c>
      <c r="P40" s="268">
        <f>VALUE('Draft Pick Order'!B36)</f>
        <v>203</v>
      </c>
      <c r="Q40" s="259">
        <f>COUNTIF(D$7:$F40,"QB")</f>
        <v>3</v>
      </c>
      <c r="R40" s="259">
        <f>COUNTIF($F$7:F40,"RB")</f>
        <v>14</v>
      </c>
      <c r="S40" s="259">
        <f>COUNTIF($F$7:F40,"WR")</f>
        <v>15</v>
      </c>
      <c r="T40" s="259">
        <f>COUNTIF($F$7:F40,"TE")</f>
        <v>2</v>
      </c>
      <c r="U40" s="259">
        <f>COUNTIF($F$7:F40,"DST")</f>
        <v>0</v>
      </c>
      <c r="V40" s="259">
        <f>COUNTIF($F$7:F40,"K")</f>
        <v>0</v>
      </c>
      <c r="X40" s="265">
        <v>34</v>
      </c>
      <c r="Y40" s="259" t="str">
        <f>IFERROR(INDEX(ADP_Import!A:A,MATCH(ADP!AB40,ADP_Import!AG:AG,0)),"")</f>
        <v>Joe Mixon</v>
      </c>
      <c r="Z40" s="259" t="str">
        <f>IFERROR(INDEX(ADP_Import!B:B,MATCH(ADP!AB40,ADP_Import!AG:AG,0)),"")</f>
        <v>CIN</v>
      </c>
      <c r="AA40" s="259" t="str">
        <f>IFERROR(INDEX(ADP_Import!C:C,MATCH(ADP!AB40,ADP_Import!AG:AG,0)),"")</f>
        <v>RB</v>
      </c>
      <c r="AB40" s="439">
        <f>IFERROR(INDEX(ADP_Import!AG:AG,MATCH(SMALL(ADP_Import!AG:AG,X40),ADP_Import!AG:AG,0)),"NA")</f>
        <v>31.400362999999999</v>
      </c>
      <c r="AC40" s="265">
        <f>IFERROR(INDEX(ADP_Import!$D:$AE,MATCH(AB40,ADP_Import!AG:AG,0),$AG$6),"")</f>
        <v>4.4000000000000004</v>
      </c>
      <c r="AI40" t="str">
        <f>INDEX('Draft Pick Order'!E:U,MATCH(A40,'Draft Pick Order'!C:C,0),(Instructions!$E$11*2-15))</f>
        <v>3-10</v>
      </c>
    </row>
    <row r="41" spans="1:35" x14ac:dyDescent="0.25">
      <c r="A41" s="230">
        <v>35</v>
      </c>
      <c r="B41">
        <f>IFERROR(IF(INDEX(Draft!BY:BY,MATCH(ADP!D41,Draft!BY:BY,0))=ADP!D41,1,0),0)</f>
        <v>0</v>
      </c>
      <c r="C41" t="str">
        <f>IF(AND(IFERROR(INDEX(Instructions!$T$111:$T$222,MATCH(D41,Instructions!$T$111:$T$222,0)), "")=D41, D41&lt;&gt;""), "X", "")</f>
        <v/>
      </c>
      <c r="D41" s="454" t="s">
        <v>1865</v>
      </c>
      <c r="E41" s="232" t="s">
        <v>155</v>
      </c>
      <c r="F41" s="232" t="s">
        <v>6</v>
      </c>
      <c r="G41" s="383">
        <v>33.200542000000006</v>
      </c>
      <c r="H41" s="455">
        <v>4.0999999999999996</v>
      </c>
      <c r="I41" s="703"/>
      <c r="J41" s="697"/>
      <c r="K41" s="688"/>
      <c r="L41" s="688"/>
      <c r="M41" s="688"/>
      <c r="N41" s="234">
        <v>35</v>
      </c>
      <c r="O41" s="385" t="str">
        <f>F41&amp;COUNTIF($F$7:F41,F41)</f>
        <v>WR16</v>
      </c>
      <c r="P41" s="268">
        <f>VALUE('Draft Pick Order'!B37)</f>
        <v>203</v>
      </c>
      <c r="Q41" s="259">
        <f>COUNTIF(D$7:$F41,"QB")</f>
        <v>3</v>
      </c>
      <c r="R41" s="259">
        <f>COUNTIF($F$7:F41,"RB")</f>
        <v>14</v>
      </c>
      <c r="S41" s="259">
        <f>COUNTIF($F$7:F41,"WR")</f>
        <v>16</v>
      </c>
      <c r="T41" s="259">
        <f>COUNTIF($F$7:F41,"TE")</f>
        <v>2</v>
      </c>
      <c r="U41" s="259">
        <f>COUNTIF($F$7:F41,"DST")</f>
        <v>0</v>
      </c>
      <c r="V41" s="259">
        <f>COUNTIF($F$7:F41,"K")</f>
        <v>0</v>
      </c>
      <c r="X41" s="265">
        <v>35</v>
      </c>
      <c r="Y41" s="259" t="str">
        <f>IFERROR(INDEX(ADP_Import!A:A,MATCH(ADP!AB41,ADP_Import!AG:AG,0)),"")</f>
        <v>Travis Etienne</v>
      </c>
      <c r="Z41" s="259" t="str">
        <f>IFERROR(INDEX(ADP_Import!B:B,MATCH(ADP!AB41,ADP_Import!AG:AG,0)),"")</f>
        <v>JAC</v>
      </c>
      <c r="AA41" s="259" t="str">
        <f>IFERROR(INDEX(ADP_Import!C:C,MATCH(ADP!AB41,ADP_Import!AG:AG,0)),"")</f>
        <v>RB</v>
      </c>
      <c r="AB41" s="439">
        <f>IFERROR(INDEX(ADP_Import!AG:AG,MATCH(SMALL(ADP_Import!AG:AG,X41),ADP_Import!AG:AG,0)),"NA")</f>
        <v>35.000073999999998</v>
      </c>
      <c r="AC41" s="265">
        <f>IFERROR(INDEX(ADP_Import!$D:$AE,MATCH(AB41,ADP_Import!AG:AG,0),$AG$6),"")</f>
        <v>5</v>
      </c>
      <c r="AI41" t="str">
        <f>INDEX('Draft Pick Order'!E:U,MATCH(A41,'Draft Pick Order'!C:C,0),(Instructions!$E$11*2-15))</f>
        <v>3-11</v>
      </c>
    </row>
    <row r="42" spans="1:35" ht="15.75" thickBot="1" x14ac:dyDescent="0.3">
      <c r="A42" s="230">
        <v>36</v>
      </c>
      <c r="B42">
        <f>IFERROR(IF(INDEX(Draft!BY:BY,MATCH(ADP!D42,Draft!BY:BY,0))=ADP!D42,1,0),0)</f>
        <v>0</v>
      </c>
      <c r="C42" t="str">
        <f>IF(AND(IFERROR(INDEX(Instructions!$T$111:$T$222,MATCH(D42,Instructions!$T$111:$T$222,0)), "")=D42, D42&lt;&gt;""), "X", "")</f>
        <v/>
      </c>
      <c r="D42" s="454" t="s">
        <v>1857</v>
      </c>
      <c r="E42" s="232" t="s">
        <v>140</v>
      </c>
      <c r="F42" s="232" t="s">
        <v>6</v>
      </c>
      <c r="G42" s="384">
        <v>34.900509</v>
      </c>
      <c r="H42" s="456">
        <v>4.8</v>
      </c>
      <c r="I42" s="703"/>
      <c r="J42" s="697"/>
      <c r="K42" s="689"/>
      <c r="L42" s="688"/>
      <c r="M42" s="688"/>
      <c r="N42" s="234">
        <v>36</v>
      </c>
      <c r="O42" s="385" t="str">
        <f>F42&amp;COUNTIF($F$7:F42,F42)</f>
        <v>WR17</v>
      </c>
      <c r="P42" s="268">
        <f>VALUE('Draft Pick Order'!B38)</f>
        <v>203</v>
      </c>
      <c r="Q42" s="259">
        <f>COUNTIF(D$7:$F42,"QB")</f>
        <v>3</v>
      </c>
      <c r="R42" s="259">
        <f>COUNTIF($F$7:F42,"RB")</f>
        <v>14</v>
      </c>
      <c r="S42" s="259">
        <f>COUNTIF($F$7:F42,"WR")</f>
        <v>17</v>
      </c>
      <c r="T42" s="259">
        <f>COUNTIF($F$7:F42,"TE")</f>
        <v>2</v>
      </c>
      <c r="U42" s="259">
        <f>COUNTIF($F$7:F42,"DST")</f>
        <v>0</v>
      </c>
      <c r="V42" s="259">
        <f>COUNTIF($F$7:F42,"K")</f>
        <v>0</v>
      </c>
      <c r="X42" s="265">
        <v>36</v>
      </c>
      <c r="Y42" s="259" t="str">
        <f>IFERROR(INDEX(ADP_Import!A:A,MATCH(ADP!AB42,ADP_Import!AG:AG,0)),"")</f>
        <v>Amari Cooper</v>
      </c>
      <c r="Z42" s="259" t="str">
        <f>IFERROR(INDEX(ADP_Import!B:B,MATCH(ADP!AB42,ADP_Import!AG:AG,0)),"")</f>
        <v>CLE</v>
      </c>
      <c r="AA42" s="259" t="str">
        <f>IFERROR(INDEX(ADP_Import!C:C,MATCH(ADP!AB42,ADP_Import!AG:AG,0)),"")</f>
        <v>WR</v>
      </c>
      <c r="AB42" s="439">
        <f>IFERROR(INDEX(ADP_Import!AG:AG,MATCH(SMALL(ADP_Import!AG:AG,X42),ADP_Import!AG:AG,0)),"NA")</f>
        <v>35.400709999999997</v>
      </c>
      <c r="AC42" s="265">
        <f>IFERROR(INDEX(ADP_Import!$D:$AE,MATCH(AB42,ADP_Import!AG:AG,0),$AG$6),"")</f>
        <v>4</v>
      </c>
      <c r="AI42" t="str">
        <f>INDEX('Draft Pick Order'!E:U,MATCH(A42,'Draft Pick Order'!C:C,0),(Instructions!$E$11*2-15))</f>
        <v>3-12</v>
      </c>
    </row>
    <row r="43" spans="1:35" ht="15" customHeight="1" x14ac:dyDescent="0.25">
      <c r="A43" s="230">
        <v>37</v>
      </c>
      <c r="B43">
        <f>IFERROR(IF(INDEX(Draft!BY:BY,MATCH(ADP!D43,Draft!BY:BY,0))=ADP!D43,1,0),0)</f>
        <v>0</v>
      </c>
      <c r="C43" t="str">
        <f>IF(AND(IFERROR(INDEX(Instructions!$T$111:$T$222,MATCH(D43,Instructions!$T$111:$T$222,0)), "")=D43, D43&lt;&gt;""), "X", "")</f>
        <v/>
      </c>
      <c r="D43" s="454" t="s">
        <v>1764</v>
      </c>
      <c r="E43" s="232" t="s">
        <v>162</v>
      </c>
      <c r="F43" s="232" t="s">
        <v>1</v>
      </c>
      <c r="G43" s="383">
        <v>35.600273000000001</v>
      </c>
      <c r="H43" s="455">
        <v>5</v>
      </c>
      <c r="I43" s="703"/>
      <c r="J43" s="697"/>
      <c r="K43" s="690" t="s">
        <v>899</v>
      </c>
      <c r="L43" s="688"/>
      <c r="M43" s="688"/>
      <c r="N43" s="234">
        <v>37</v>
      </c>
      <c r="O43" s="385" t="str">
        <f>F43&amp;COUNTIF($F$7:F43,F43)</f>
        <v>QB4</v>
      </c>
      <c r="P43" s="268">
        <f>VALUE('Draft Pick Order'!B39)</f>
        <v>203</v>
      </c>
      <c r="Q43" s="259">
        <f>COUNTIF(D$7:$F43,"QB")</f>
        <v>4</v>
      </c>
      <c r="R43" s="259">
        <f>COUNTIF($F$7:F43,"RB")</f>
        <v>14</v>
      </c>
      <c r="S43" s="259">
        <f>COUNTIF($F$7:F43,"WR")</f>
        <v>17</v>
      </c>
      <c r="T43" s="259">
        <f>COUNTIF($F$7:F43,"TE")</f>
        <v>2</v>
      </c>
      <c r="U43" s="259">
        <f>COUNTIF($F$7:F43,"DST")</f>
        <v>0</v>
      </c>
      <c r="V43" s="259">
        <f>COUNTIF($F$7:F43,"K")</f>
        <v>0</v>
      </c>
      <c r="X43" s="265">
        <v>37</v>
      </c>
      <c r="Y43" s="259" t="str">
        <f>IFERROR(INDEX(ADP_Import!A:A,MATCH(ADP!AB43,ADP_Import!AG:AG,0)),"")</f>
        <v>Breece Hall</v>
      </c>
      <c r="Z43" s="259" t="str">
        <f>IFERROR(INDEX(ADP_Import!B:B,MATCH(ADP!AB43,ADP_Import!AG:AG,0)),"")</f>
        <v>NYJ</v>
      </c>
      <c r="AA43" s="259" t="str">
        <f>IFERROR(INDEX(ADP_Import!C:C,MATCH(ADP!AB43,ADP_Import!AG:AG,0)),"")</f>
        <v>RB</v>
      </c>
      <c r="AB43" s="439">
        <f>IFERROR(INDEX(ADP_Import!AG:AG,MATCH(SMALL(ADP_Import!AG:AG,X43),ADP_Import!AG:AG,0)),"NA")</f>
        <v>36.600667000000001</v>
      </c>
      <c r="AC43" s="265">
        <f>IFERROR(INDEX(ADP_Import!$D:$AE,MATCH(AB43,ADP_Import!AG:AG,0),$AG$6),"")</f>
        <v>5.4</v>
      </c>
      <c r="AI43" t="str">
        <f>INDEX('Draft Pick Order'!E:U,MATCH(A43,'Draft Pick Order'!C:C,0),(Instructions!$E$11*2-15))</f>
        <v>4-1</v>
      </c>
    </row>
    <row r="44" spans="1:35" x14ac:dyDescent="0.25">
      <c r="A44" s="230">
        <v>38</v>
      </c>
      <c r="B44">
        <f>IFERROR(IF(INDEX(Draft!BY:BY,MATCH(ADP!D44,Draft!BY:BY,0))=ADP!D44,1,0),0)</f>
        <v>0</v>
      </c>
      <c r="C44" t="str">
        <f>IF(AND(IFERROR(INDEX(Instructions!$T$111:$T$222,MATCH(D44,Instructions!$T$111:$T$222,0)), "")=D44, D44&lt;&gt;""), "X", "")</f>
        <v/>
      </c>
      <c r="D44" s="454" t="s">
        <v>1436</v>
      </c>
      <c r="E44" s="232" t="s">
        <v>139</v>
      </c>
      <c r="F44" s="232" t="s">
        <v>3</v>
      </c>
      <c r="G44" s="384">
        <v>35.600726999999999</v>
      </c>
      <c r="H44" s="456">
        <v>5.6</v>
      </c>
      <c r="I44" s="703"/>
      <c r="J44" s="697"/>
      <c r="K44" s="691"/>
      <c r="L44" s="688"/>
      <c r="M44" s="688"/>
      <c r="N44" s="234">
        <v>38</v>
      </c>
      <c r="O44" s="385" t="str">
        <f>F44&amp;COUNTIF($F$7:F44,F44)</f>
        <v>RB15</v>
      </c>
      <c r="P44" s="268">
        <f>VALUE('Draft Pick Order'!B40)</f>
        <v>203</v>
      </c>
      <c r="Q44" s="259">
        <f>COUNTIF(D$7:$F44,"QB")</f>
        <v>4</v>
      </c>
      <c r="R44" s="259">
        <f>COUNTIF($F$7:F44,"RB")</f>
        <v>15</v>
      </c>
      <c r="S44" s="259">
        <f>COUNTIF($F$7:F44,"WR")</f>
        <v>17</v>
      </c>
      <c r="T44" s="259">
        <f>COUNTIF($F$7:F44,"TE")</f>
        <v>2</v>
      </c>
      <c r="U44" s="259">
        <f>COUNTIF($F$7:F44,"DST")</f>
        <v>0</v>
      </c>
      <c r="V44" s="259">
        <f>COUNTIF($F$7:F44,"K")</f>
        <v>0</v>
      </c>
      <c r="X44" s="265">
        <v>38</v>
      </c>
      <c r="Y44" s="259" t="str">
        <f>IFERROR(INDEX(ADP_Import!A:A,MATCH(ADP!AB44,ADP_Import!AG:AG,0)),"")</f>
        <v>Jahmyr Gibbs</v>
      </c>
      <c r="Z44" s="259" t="str">
        <f>IFERROR(INDEX(ADP_Import!B:B,MATCH(ADP!AB44,ADP_Import!AG:AG,0)),"")</f>
        <v>DET</v>
      </c>
      <c r="AA44" s="259" t="str">
        <f>IFERROR(INDEX(ADP_Import!C:C,MATCH(ADP!AB44,ADP_Import!AG:AG,0)),"")</f>
        <v>RB</v>
      </c>
      <c r="AB44" s="439">
        <f>IFERROR(INDEX(ADP_Import!AG:AG,MATCH(SMALL(ADP_Import!AG:AG,X44),ADP_Import!AG:AG,0)),"NA")</f>
        <v>36.800422999999995</v>
      </c>
      <c r="AC44" s="265">
        <f>IFERROR(INDEX(ADP_Import!$D:$AE,MATCH(AB44,ADP_Import!AG:AG,0),$AG$6),"")</f>
        <v>5.5</v>
      </c>
      <c r="AI44" t="str">
        <f>INDEX('Draft Pick Order'!E:U,MATCH(A44,'Draft Pick Order'!C:C,0),(Instructions!$E$11*2-15))</f>
        <v>4-2</v>
      </c>
    </row>
    <row r="45" spans="1:35" x14ac:dyDescent="0.25">
      <c r="A45" s="230">
        <v>39</v>
      </c>
      <c r="B45">
        <f>IFERROR(IF(INDEX(Draft!BY:BY,MATCH(ADP!D45,Draft!BY:BY,0))=ADP!D45,1,0),0)</f>
        <v>0</v>
      </c>
      <c r="C45" t="str">
        <f>IF(AND(IFERROR(INDEX(Instructions!$T$111:$T$222,MATCH(D45,Instructions!$T$111:$T$222,0)), "")=D45, D45&lt;&gt;""), "X", "")</f>
        <v/>
      </c>
      <c r="D45" s="454" t="s">
        <v>1787</v>
      </c>
      <c r="E45" s="232" t="s">
        <v>165</v>
      </c>
      <c r="F45" s="232" t="s">
        <v>6</v>
      </c>
      <c r="G45" s="383">
        <v>35.700642999999999</v>
      </c>
      <c r="H45" s="455">
        <v>5.2</v>
      </c>
      <c r="I45" s="703"/>
      <c r="J45" s="697"/>
      <c r="K45" s="691"/>
      <c r="L45" s="688"/>
      <c r="M45" s="688"/>
      <c r="N45" s="234">
        <v>39</v>
      </c>
      <c r="O45" s="385" t="str">
        <f>F45&amp;COUNTIF($F$7:F45,F45)</f>
        <v>WR18</v>
      </c>
      <c r="P45" s="268">
        <f>VALUE('Draft Pick Order'!B41)</f>
        <v>203</v>
      </c>
      <c r="Q45" s="259">
        <f>COUNTIF(D$7:$F45,"QB")</f>
        <v>4</v>
      </c>
      <c r="R45" s="259">
        <f>COUNTIF($F$7:F45,"RB")</f>
        <v>15</v>
      </c>
      <c r="S45" s="259">
        <f>COUNTIF($F$7:F45,"WR")</f>
        <v>18</v>
      </c>
      <c r="T45" s="259">
        <f>COUNTIF($F$7:F45,"TE")</f>
        <v>2</v>
      </c>
      <c r="U45" s="259">
        <f>COUNTIF($F$7:F45,"DST")</f>
        <v>0</v>
      </c>
      <c r="V45" s="259">
        <f>COUNTIF($F$7:F45,"K")</f>
        <v>0</v>
      </c>
      <c r="X45" s="265">
        <v>39</v>
      </c>
      <c r="Y45" s="259" t="str">
        <f>IFERROR(INDEX(ADP_Import!A:A,MATCH(ADP!AB45,ADP_Import!AG:AG,0)),"")</f>
        <v>Deebo Samuel</v>
      </c>
      <c r="Z45" s="259" t="str">
        <f>IFERROR(INDEX(ADP_Import!B:B,MATCH(ADP!AB45,ADP_Import!AG:AG,0)),"")</f>
        <v>SF</v>
      </c>
      <c r="AA45" s="259" t="str">
        <f>IFERROR(INDEX(ADP_Import!C:C,MATCH(ADP!AB45,ADP_Import!AG:AG,0)),"")</f>
        <v>WR</v>
      </c>
      <c r="AB45" s="439">
        <f>IFERROR(INDEX(ADP_Import!AG:AG,MATCH(SMALL(ADP_Import!AG:AG,X45),ADP_Import!AG:AG,0)),"NA")</f>
        <v>37.000542000000003</v>
      </c>
      <c r="AC45" s="265">
        <f>IFERROR(INDEX(ADP_Import!$D:$AE,MATCH(AB45,ADP_Import!AG:AG,0),$AG$6),"")</f>
        <v>4.4000000000000004</v>
      </c>
      <c r="AI45" t="str">
        <f>INDEX('Draft Pick Order'!E:U,MATCH(A45,'Draft Pick Order'!C:C,0),(Instructions!$E$11*2-15))</f>
        <v>4-3</v>
      </c>
    </row>
    <row r="46" spans="1:35" ht="15.75" thickBot="1" x14ac:dyDescent="0.3">
      <c r="A46" s="230">
        <v>40</v>
      </c>
      <c r="B46">
        <f>IFERROR(IF(INDEX(Draft!BY:BY,MATCH(ADP!D46,Draft!BY:BY,0))=ADP!D46,1,0),0)</f>
        <v>0</v>
      </c>
      <c r="C46" t="str">
        <f>IF(AND(IFERROR(INDEX(Instructions!$T$111:$T$222,MATCH(D46,Instructions!$T$111:$T$222,0)), "")=D46, D46&lt;&gt;""), "X", "")</f>
        <v/>
      </c>
      <c r="D46" s="454" t="s">
        <v>2478</v>
      </c>
      <c r="E46" s="232" t="s">
        <v>142</v>
      </c>
      <c r="F46" s="232" t="s">
        <v>3</v>
      </c>
      <c r="G46" s="384">
        <v>36.100422999999999</v>
      </c>
      <c r="H46" s="456">
        <v>6.5</v>
      </c>
      <c r="I46" s="704"/>
      <c r="J46" s="698"/>
      <c r="K46" s="691"/>
      <c r="L46" s="688"/>
      <c r="M46" s="688"/>
      <c r="N46" s="234">
        <v>40</v>
      </c>
      <c r="O46" s="385" t="str">
        <f>F46&amp;COUNTIF($F$7:F46,F46)</f>
        <v>RB16</v>
      </c>
      <c r="P46" s="268">
        <f>VALUE('Draft Pick Order'!B42)</f>
        <v>203</v>
      </c>
      <c r="Q46" s="259">
        <f>COUNTIF(D$7:$F46,"QB")</f>
        <v>4</v>
      </c>
      <c r="R46" s="259">
        <f>COUNTIF($F$7:F46,"RB")</f>
        <v>16</v>
      </c>
      <c r="S46" s="259">
        <f>COUNTIF($F$7:F46,"WR")</f>
        <v>18</v>
      </c>
      <c r="T46" s="259">
        <f>COUNTIF($F$7:F46,"TE")</f>
        <v>2</v>
      </c>
      <c r="U46" s="259">
        <f>COUNTIF($F$7:F46,"DST")</f>
        <v>0</v>
      </c>
      <c r="V46" s="259">
        <f>COUNTIF($F$7:F46,"K")</f>
        <v>0</v>
      </c>
      <c r="X46" s="265">
        <v>40</v>
      </c>
      <c r="Y46" s="259" t="str">
        <f>IFERROR(INDEX(ADP_Import!A:A,MATCH(ADP!AB46,ADP_Import!AG:AG,0)),"")</f>
        <v>Lamar Jackson</v>
      </c>
      <c r="Z46" s="259" t="str">
        <f>IFERROR(INDEX(ADP_Import!B:B,MATCH(ADP!AB46,ADP_Import!AG:AG,0)),"")</f>
        <v>BAL</v>
      </c>
      <c r="AA46" s="259" t="str">
        <f>IFERROR(INDEX(ADP_Import!C:C,MATCH(ADP!AB46,ADP_Import!AG:AG,0)),"")</f>
        <v>QB</v>
      </c>
      <c r="AB46" s="439">
        <f>IFERROR(INDEX(ADP_Import!AG:AG,MATCH(SMALL(ADP_Import!AG:AG,X46),ADP_Import!AG:AG,0)),"NA")</f>
        <v>37.700273000000003</v>
      </c>
      <c r="AC46" s="265">
        <f>IFERROR(INDEX(ADP_Import!$D:$AE,MATCH(AB46,ADP_Import!AG:AG,0),$AG$6),"")</f>
        <v>4.5999999999999996</v>
      </c>
      <c r="AI46" t="str">
        <f>INDEX('Draft Pick Order'!E:U,MATCH(A46,'Draft Pick Order'!C:C,0),(Instructions!$E$11*2-15))</f>
        <v>4-4</v>
      </c>
    </row>
    <row r="47" spans="1:35" ht="15" customHeight="1" x14ac:dyDescent="0.25">
      <c r="A47" s="230">
        <v>41</v>
      </c>
      <c r="B47">
        <f>IFERROR(IF(INDEX(Draft!BY:BY,MATCH(ADP!D47,Draft!BY:BY,0))=ADP!D47,1,0),0)</f>
        <v>0</v>
      </c>
      <c r="C47" t="str">
        <f>IF(AND(IFERROR(INDEX(Instructions!$T$111:$T$222,MATCH(D47,Instructions!$T$111:$T$222,0)), "")=D47, D47&lt;&gt;""), "X", "")</f>
        <v/>
      </c>
      <c r="D47" s="454" t="s">
        <v>2450</v>
      </c>
      <c r="E47" s="232" t="s">
        <v>140</v>
      </c>
      <c r="F47" s="232" t="s">
        <v>3</v>
      </c>
      <c r="G47" s="383">
        <v>39.500298999999998</v>
      </c>
      <c r="H47" s="455">
        <v>5.5</v>
      </c>
      <c r="I47" s="699" t="s">
        <v>901</v>
      </c>
      <c r="J47" s="693" t="s">
        <v>900</v>
      </c>
      <c r="K47" s="691"/>
      <c r="L47" s="688"/>
      <c r="M47" s="688"/>
      <c r="N47" s="234">
        <v>41</v>
      </c>
      <c r="O47" s="385" t="str">
        <f>F47&amp;COUNTIF($F$7:F47,F47)</f>
        <v>RB17</v>
      </c>
      <c r="P47" s="268">
        <f>VALUE('Draft Pick Order'!B43)</f>
        <v>203</v>
      </c>
      <c r="Q47" s="259">
        <f>COUNTIF(D$7:$F47,"QB")</f>
        <v>4</v>
      </c>
      <c r="R47" s="259">
        <f>COUNTIF($F$7:F47,"RB")</f>
        <v>17</v>
      </c>
      <c r="S47" s="259">
        <f>COUNTIF($F$7:F47,"WR")</f>
        <v>18</v>
      </c>
      <c r="T47" s="259">
        <f>COUNTIF($F$7:F47,"TE")</f>
        <v>2</v>
      </c>
      <c r="U47" s="259">
        <f>COUNTIF($F$7:F47,"DST")</f>
        <v>0</v>
      </c>
      <c r="V47" s="259">
        <f>COUNTIF($F$7:F47,"K")</f>
        <v>0</v>
      </c>
      <c r="X47" s="265">
        <v>41</v>
      </c>
      <c r="Y47" s="259" t="str">
        <f>IFERROR(INDEX(ADP_Import!A:A,MATCH(ADP!AB47,ADP_Import!AG:AG,0)),"")</f>
        <v>Aaron Jones</v>
      </c>
      <c r="Z47" s="259" t="str">
        <f>IFERROR(INDEX(ADP_Import!B:B,MATCH(ADP!AB47,ADP_Import!AG:AG,0)),"")</f>
        <v>GB</v>
      </c>
      <c r="AA47" s="259" t="str">
        <f>IFERROR(INDEX(ADP_Import!C:C,MATCH(ADP!AB47,ADP_Import!AG:AG,0)),"")</f>
        <v>RB</v>
      </c>
      <c r="AB47" s="439">
        <f>IFERROR(INDEX(ADP_Import!AG:AG,MATCH(SMALL(ADP_Import!AG:AG,X47),ADP_Import!AG:AG,0)),"NA")</f>
        <v>38.900726999999996</v>
      </c>
      <c r="AC47" s="265">
        <f>IFERROR(INDEX(ADP_Import!$D:$AE,MATCH(AB47,ADP_Import!AG:AG,0),$AG$6),"")</f>
        <v>4.5</v>
      </c>
      <c r="AI47" t="str">
        <f>INDEX('Draft Pick Order'!E:U,MATCH(A47,'Draft Pick Order'!C:C,0),(Instructions!$E$11*2-15))</f>
        <v>4-5</v>
      </c>
    </row>
    <row r="48" spans="1:35" ht="15.75" thickBot="1" x14ac:dyDescent="0.3">
      <c r="A48" s="230">
        <v>42</v>
      </c>
      <c r="B48">
        <f>IFERROR(IF(INDEX(Draft!BY:BY,MATCH(ADP!D48,Draft!BY:BY,0))=ADP!D48,1,0),0)</f>
        <v>0</v>
      </c>
      <c r="C48" t="str">
        <f>IF(AND(IFERROR(INDEX(Instructions!$T$111:$T$222,MATCH(D48,Instructions!$T$111:$T$222,0)), "")=D48, D48&lt;&gt;""), "X", "")</f>
        <v/>
      </c>
      <c r="D48" s="454" t="s">
        <v>2083</v>
      </c>
      <c r="E48" s="232" t="s">
        <v>145</v>
      </c>
      <c r="F48" s="232" t="s">
        <v>1</v>
      </c>
      <c r="G48" s="384">
        <v>40.600363999999999</v>
      </c>
      <c r="H48" s="456">
        <v>6</v>
      </c>
      <c r="I48" s="700"/>
      <c r="J48" s="694"/>
      <c r="K48" s="691"/>
      <c r="L48" s="689"/>
      <c r="M48" s="688"/>
      <c r="N48" s="234">
        <v>42</v>
      </c>
      <c r="O48" s="385" t="str">
        <f>F48&amp;COUNTIF($F$7:F48,F48)</f>
        <v>QB5</v>
      </c>
      <c r="P48" s="268">
        <f>VALUE('Draft Pick Order'!B44)</f>
        <v>203</v>
      </c>
      <c r="Q48" s="259">
        <f>COUNTIF(D$7:$F48,"QB")</f>
        <v>5</v>
      </c>
      <c r="R48" s="259">
        <f>COUNTIF($F$7:F48,"RB")</f>
        <v>17</v>
      </c>
      <c r="S48" s="259">
        <f>COUNTIF($F$7:F48,"WR")</f>
        <v>18</v>
      </c>
      <c r="T48" s="259">
        <f>COUNTIF($F$7:F48,"TE")</f>
        <v>2</v>
      </c>
      <c r="U48" s="259">
        <f>COUNTIF($F$7:F48,"DST")</f>
        <v>0</v>
      </c>
      <c r="V48" s="259">
        <f>COUNTIF($F$7:F48,"K")</f>
        <v>0</v>
      </c>
      <c r="X48" s="265">
        <v>42</v>
      </c>
      <c r="Y48" s="259" t="str">
        <f>IFERROR(INDEX(ADP_Import!A:A,MATCH(ADP!AB48,ADP_Import!AG:AG,0)),"")</f>
        <v>DeAndre Hopkins</v>
      </c>
      <c r="Z48" s="259" t="str">
        <f>IFERROR(INDEX(ADP_Import!B:B,MATCH(ADP!AB48,ADP_Import!AG:AG,0)),"")</f>
        <v>TEN</v>
      </c>
      <c r="AA48" s="259" t="str">
        <f>IFERROR(INDEX(ADP_Import!C:C,MATCH(ADP!AB48,ADP_Import!AG:AG,0)),"")</f>
        <v>WR</v>
      </c>
      <c r="AB48" s="439">
        <f>IFERROR(INDEX(ADP_Import!AG:AG,MATCH(SMALL(ADP_Import!AG:AG,X48),ADP_Import!AG:AG,0)),"NA")</f>
        <v>41.500543999999998</v>
      </c>
      <c r="AC48" s="265">
        <f>IFERROR(INDEX(ADP_Import!$D:$AE,MATCH(AB48,ADP_Import!AG:AG,0),$AG$6),"")</f>
        <v>4.2</v>
      </c>
      <c r="AI48" t="str">
        <f>INDEX('Draft Pick Order'!E:U,MATCH(A48,'Draft Pick Order'!C:C,0),(Instructions!$E$11*2-15))</f>
        <v>4-6</v>
      </c>
    </row>
    <row r="49" spans="1:35" x14ac:dyDescent="0.25">
      <c r="A49" s="230">
        <v>43</v>
      </c>
      <c r="B49">
        <f>IFERROR(IF(INDEX(Draft!BY:BY,MATCH(ADP!D49,Draft!BY:BY,0))=ADP!D49,1,0),0)</f>
        <v>0</v>
      </c>
      <c r="C49" t="str">
        <f>IF(AND(IFERROR(INDEX(Instructions!$T$111:$T$222,MATCH(D49,Instructions!$T$111:$T$222,0)), "")=D49, D49&lt;&gt;""), "X", "")</f>
        <v/>
      </c>
      <c r="D49" s="454" t="s">
        <v>1852</v>
      </c>
      <c r="E49" s="232" t="s">
        <v>141</v>
      </c>
      <c r="F49" s="232" t="s">
        <v>6</v>
      </c>
      <c r="G49" s="383">
        <v>41.200510000000001</v>
      </c>
      <c r="H49" s="455">
        <v>5.3</v>
      </c>
      <c r="I49" s="700"/>
      <c r="J49" s="694"/>
      <c r="K49" s="691"/>
      <c r="L49" s="690" t="s">
        <v>899</v>
      </c>
      <c r="M49" s="688"/>
      <c r="N49" s="234">
        <v>43</v>
      </c>
      <c r="O49" s="385" t="str">
        <f>F49&amp;COUNTIF($F$7:F49,F49)</f>
        <v>WR19</v>
      </c>
      <c r="P49" s="268">
        <f>VALUE('Draft Pick Order'!B45)</f>
        <v>203</v>
      </c>
      <c r="Q49" s="259">
        <f>COUNTIF(D$7:$F49,"QB")</f>
        <v>5</v>
      </c>
      <c r="R49" s="259">
        <f>COUNTIF($F$7:F49,"RB")</f>
        <v>17</v>
      </c>
      <c r="S49" s="259">
        <f>COUNTIF($F$7:F49,"WR")</f>
        <v>19</v>
      </c>
      <c r="T49" s="259">
        <f>COUNTIF($F$7:F49,"TE")</f>
        <v>2</v>
      </c>
      <c r="U49" s="259">
        <f>COUNTIF($F$7:F49,"DST")</f>
        <v>0</v>
      </c>
      <c r="V49" s="259">
        <f>COUNTIF($F$7:F49,"K")</f>
        <v>0</v>
      </c>
      <c r="X49" s="265">
        <v>43</v>
      </c>
      <c r="Y49" s="259" t="str">
        <f>IFERROR(INDEX(ADP_Import!A:A,MATCH(ADP!AB49,ADP_Import!AG:AG,0)),"")</f>
        <v>Jerry Jeudy</v>
      </c>
      <c r="Z49" s="259" t="str">
        <f>IFERROR(INDEX(ADP_Import!B:B,MATCH(ADP!AB49,ADP_Import!AG:AG,0)),"")</f>
        <v>DEN</v>
      </c>
      <c r="AA49" s="259" t="str">
        <f>IFERROR(INDEX(ADP_Import!C:C,MATCH(ADP!AB49,ADP_Import!AG:AG,0)),"")</f>
        <v>WR</v>
      </c>
      <c r="AB49" s="439">
        <f>IFERROR(INDEX(ADP_Import!AG:AG,MATCH(SMALL(ADP_Import!AG:AG,X49),ADP_Import!AG:AG,0)),"NA")</f>
        <v>42.400371</v>
      </c>
      <c r="AC49" s="265">
        <f>IFERROR(INDEX(ADP_Import!$D:$AE,MATCH(AB49,ADP_Import!AG:AG,0),$AG$6),"")</f>
        <v>4.3</v>
      </c>
      <c r="AI49" t="str">
        <f>INDEX('Draft Pick Order'!E:U,MATCH(A49,'Draft Pick Order'!C:C,0),(Instructions!$E$11*2-15))</f>
        <v>4-7</v>
      </c>
    </row>
    <row r="50" spans="1:35" x14ac:dyDescent="0.25">
      <c r="A50" s="230">
        <v>44</v>
      </c>
      <c r="B50">
        <f>IFERROR(IF(INDEX(Draft!BY:BY,MATCH(ADP!D50,Draft!BY:BY,0))=ADP!D50,1,0),0)</f>
        <v>0</v>
      </c>
      <c r="C50" t="str">
        <f>IF(AND(IFERROR(INDEX(Instructions!$T$111:$T$222,MATCH(D50,Instructions!$T$111:$T$222,0)), "")=D50, D50&lt;&gt;""), "X", "")</f>
        <v/>
      </c>
      <c r="D50" s="454" t="s">
        <v>53</v>
      </c>
      <c r="E50" s="232" t="s">
        <v>1388</v>
      </c>
      <c r="F50" s="232" t="s">
        <v>6</v>
      </c>
      <c r="G50" s="384">
        <v>42.900309999999998</v>
      </c>
      <c r="H50" s="456">
        <v>4.5999999999999996</v>
      </c>
      <c r="I50" s="700"/>
      <c r="J50" s="694"/>
      <c r="K50" s="691"/>
      <c r="L50" s="691"/>
      <c r="M50" s="688"/>
      <c r="N50" s="234">
        <v>44</v>
      </c>
      <c r="O50" s="385" t="str">
        <f>F50&amp;COUNTIF($F$7:F50,F50)</f>
        <v>WR20</v>
      </c>
      <c r="P50" s="268">
        <f>VALUE('Draft Pick Order'!B46)</f>
        <v>203</v>
      </c>
      <c r="Q50" s="259">
        <f>COUNTIF(D$7:$F50,"QB")</f>
        <v>5</v>
      </c>
      <c r="R50" s="259">
        <f>COUNTIF($F$7:F50,"RB")</f>
        <v>17</v>
      </c>
      <c r="S50" s="259">
        <f>COUNTIF($F$7:F50,"WR")</f>
        <v>20</v>
      </c>
      <c r="T50" s="259">
        <f>COUNTIF($F$7:F50,"TE")</f>
        <v>2</v>
      </c>
      <c r="U50" s="259">
        <f>COUNTIF($F$7:F50,"DST")</f>
        <v>0</v>
      </c>
      <c r="V50" s="259">
        <f>COUNTIF($F$7:F50,"K")</f>
        <v>0</v>
      </c>
      <c r="X50" s="265">
        <v>44</v>
      </c>
      <c r="Y50" s="259" t="str">
        <f>IFERROR(INDEX(ADP_Import!A:A,MATCH(ADP!AB50,ADP_Import!AG:AG,0)),"")</f>
        <v>TJ Hockenson</v>
      </c>
      <c r="Z50" s="259" t="str">
        <f>IFERROR(INDEX(ADP_Import!B:B,MATCH(ADP!AB50,ADP_Import!AG:AG,0)),"")</f>
        <v>MIN</v>
      </c>
      <c r="AA50" s="259" t="str">
        <f>IFERROR(INDEX(ADP_Import!C:C,MATCH(ADP!AB50,ADP_Import!AG:AG,0)),"")</f>
        <v>TE</v>
      </c>
      <c r="AB50" s="439">
        <f>IFERROR(INDEX(ADP_Import!AG:AG,MATCH(SMALL(ADP_Import!AG:AG,X50),ADP_Import!AG:AG,0)),"NA")</f>
        <v>43.300079999999994</v>
      </c>
      <c r="AC50" s="265">
        <f>IFERROR(INDEX(ADP_Import!$D:$AE,MATCH(AB50,ADP_Import!AG:AG,0),$AG$6),"")</f>
        <v>5.7</v>
      </c>
      <c r="AI50" t="str">
        <f>INDEX('Draft Pick Order'!E:U,MATCH(A50,'Draft Pick Order'!C:C,0),(Instructions!$E$11*2-15))</f>
        <v>4-8</v>
      </c>
    </row>
    <row r="51" spans="1:35" x14ac:dyDescent="0.25">
      <c r="A51" s="230">
        <v>45</v>
      </c>
      <c r="B51">
        <f>IFERROR(IF(INDEX(Draft!BY:BY,MATCH(ADP!D51,Draft!BY:BY,0))=ADP!D51,1,0),0)</f>
        <v>0</v>
      </c>
      <c r="C51" t="str">
        <f>IF(AND(IFERROR(INDEX(Instructions!$T$111:$T$222,MATCH(D51,Instructions!$T$111:$T$222,0)), "")=D51, D51&lt;&gt;""), "X", "")</f>
        <v/>
      </c>
      <c r="D51" s="454" t="s">
        <v>2080</v>
      </c>
      <c r="E51" s="232" t="s">
        <v>144</v>
      </c>
      <c r="F51" s="232" t="s">
        <v>6</v>
      </c>
      <c r="G51" s="383">
        <v>44.600371000000003</v>
      </c>
      <c r="H51" s="455">
        <v>4.4000000000000004</v>
      </c>
      <c r="I51" s="700"/>
      <c r="J51" s="694"/>
      <c r="K51" s="691"/>
      <c r="L51" s="691"/>
      <c r="M51" s="688"/>
      <c r="N51" s="234">
        <v>45</v>
      </c>
      <c r="O51" s="385" t="str">
        <f>F51&amp;COUNTIF($F$7:F51,F51)</f>
        <v>WR21</v>
      </c>
      <c r="P51" s="268">
        <f>VALUE('Draft Pick Order'!B47)</f>
        <v>203</v>
      </c>
      <c r="Q51" s="259">
        <f>COUNTIF(D$7:$F51,"QB")</f>
        <v>5</v>
      </c>
      <c r="R51" s="259">
        <f>COUNTIF($F$7:F51,"RB")</f>
        <v>17</v>
      </c>
      <c r="S51" s="259">
        <f>COUNTIF($F$7:F51,"WR")</f>
        <v>21</v>
      </c>
      <c r="T51" s="259">
        <f>COUNTIF($F$7:F51,"TE")</f>
        <v>2</v>
      </c>
      <c r="U51" s="259">
        <f>COUNTIF($F$7:F51,"DST")</f>
        <v>0</v>
      </c>
      <c r="V51" s="259">
        <f>COUNTIF($F$7:F51,"K")</f>
        <v>0</v>
      </c>
      <c r="X51" s="265">
        <v>45</v>
      </c>
      <c r="Y51" s="259" t="str">
        <f>IFERROR(INDEX(ADP_Import!A:A,MATCH(ADP!AB51,ADP_Import!AG:AG,0)),"")</f>
        <v>Joe Burrow</v>
      </c>
      <c r="Z51" s="259" t="str">
        <f>IFERROR(INDEX(ADP_Import!B:B,MATCH(ADP!AB51,ADP_Import!AG:AG,0)),"")</f>
        <v>CIN</v>
      </c>
      <c r="AA51" s="259" t="str">
        <f>IFERROR(INDEX(ADP_Import!C:C,MATCH(ADP!AB51,ADP_Import!AG:AG,0)),"")</f>
        <v>QB</v>
      </c>
      <c r="AB51" s="439">
        <f>IFERROR(INDEX(ADP_Import!AG:AG,MATCH(SMALL(ADP_Import!AG:AG,X51),ADP_Import!AG:AG,0)),"NA")</f>
        <v>44.000363999999998</v>
      </c>
      <c r="AC51" s="265">
        <f>IFERROR(INDEX(ADP_Import!$D:$AE,MATCH(AB51,ADP_Import!AG:AG,0),$AG$6),"")</f>
        <v>5.8</v>
      </c>
      <c r="AI51" t="str">
        <f>INDEX('Draft Pick Order'!E:U,MATCH(A51,'Draft Pick Order'!C:C,0),(Instructions!$E$11*2-15))</f>
        <v>4-9</v>
      </c>
    </row>
    <row r="52" spans="1:35" x14ac:dyDescent="0.25">
      <c r="A52" s="230">
        <v>46</v>
      </c>
      <c r="B52">
        <f>IFERROR(IF(INDEX(Draft!BY:BY,MATCH(ADP!D52,Draft!BY:BY,0))=ADP!D52,1,0),0)</f>
        <v>0</v>
      </c>
      <c r="C52" t="str">
        <f>IF(AND(IFERROR(INDEX(Instructions!$T$111:$T$222,MATCH(D52,Instructions!$T$111:$T$222,0)), "")=D52, D52&lt;&gt;""), "X", "")</f>
        <v/>
      </c>
      <c r="D52" s="454" t="s">
        <v>2102</v>
      </c>
      <c r="E52" s="232" t="s">
        <v>1388</v>
      </c>
      <c r="F52" s="232" t="s">
        <v>1</v>
      </c>
      <c r="G52" s="384">
        <v>45.000329999999998</v>
      </c>
      <c r="H52" s="456">
        <v>5.4</v>
      </c>
      <c r="I52" s="700"/>
      <c r="J52" s="694"/>
      <c r="K52" s="691"/>
      <c r="L52" s="691"/>
      <c r="M52" s="688"/>
      <c r="N52" s="234">
        <v>46</v>
      </c>
      <c r="O52" s="385" t="str">
        <f>F52&amp;COUNTIF($F$7:F52,F52)</f>
        <v>QB6</v>
      </c>
      <c r="P52" s="268">
        <f>VALUE('Draft Pick Order'!B48)</f>
        <v>203</v>
      </c>
      <c r="Q52" s="259">
        <f>COUNTIF(D$7:$F52,"QB")</f>
        <v>6</v>
      </c>
      <c r="R52" s="259">
        <f>COUNTIF($F$7:F52,"RB")</f>
        <v>17</v>
      </c>
      <c r="S52" s="259">
        <f>COUNTIF($F$7:F52,"WR")</f>
        <v>21</v>
      </c>
      <c r="T52" s="259">
        <f>COUNTIF($F$7:F52,"TE")</f>
        <v>2</v>
      </c>
      <c r="U52" s="259">
        <f>COUNTIF($F$7:F52,"DST")</f>
        <v>0</v>
      </c>
      <c r="V52" s="259">
        <f>COUNTIF($F$7:F52,"K")</f>
        <v>0</v>
      </c>
      <c r="X52" s="265">
        <v>46</v>
      </c>
      <c r="Y52" s="259" t="str">
        <f>IFERROR(INDEX(ADP_Import!A:A,MATCH(ADP!AB52,ADP_Import!AG:AG,0)),"")</f>
        <v>Drake London</v>
      </c>
      <c r="Z52" s="259" t="str">
        <f>IFERROR(INDEX(ADP_Import!B:B,MATCH(ADP!AB52,ADP_Import!AG:AG,0)),"")</f>
        <v>ATL</v>
      </c>
      <c r="AA52" s="259" t="str">
        <f>IFERROR(INDEX(ADP_Import!C:C,MATCH(ADP!AB52,ADP_Import!AG:AG,0)),"")</f>
        <v>WR</v>
      </c>
      <c r="AB52" s="439">
        <f>IFERROR(INDEX(ADP_Import!AG:AG,MATCH(SMALL(ADP_Import!AG:AG,X52),ADP_Import!AG:AG,0)),"NA")</f>
        <v>44.900501999999996</v>
      </c>
      <c r="AC52" s="265">
        <f>IFERROR(INDEX(ADP_Import!$D:$AE,MATCH(AB52,ADP_Import!AG:AG,0),$AG$6),"")</f>
        <v>4.9000000000000004</v>
      </c>
      <c r="AI52" t="str">
        <f>INDEX('Draft Pick Order'!E:U,MATCH(A52,'Draft Pick Order'!C:C,0),(Instructions!$E$11*2-15))</f>
        <v>4-10</v>
      </c>
    </row>
    <row r="53" spans="1:35" x14ac:dyDescent="0.25">
      <c r="A53" s="230">
        <v>47</v>
      </c>
      <c r="B53">
        <f>IFERROR(IF(INDEX(Draft!BY:BY,MATCH(ADP!D53,Draft!BY:BY,0))=ADP!D53,1,0),0)</f>
        <v>0</v>
      </c>
      <c r="C53" t="str">
        <f>IF(AND(IFERROR(INDEX(Instructions!$T$111:$T$222,MATCH(D53,Instructions!$T$111:$T$222,0)), "")=D53, D53&lt;&gt;""), "X", "")</f>
        <v/>
      </c>
      <c r="D53" s="454" t="s">
        <v>1856</v>
      </c>
      <c r="E53" s="232" t="s">
        <v>159</v>
      </c>
      <c r="F53" s="232" t="s">
        <v>3</v>
      </c>
      <c r="G53" s="383">
        <v>45.800214999999994</v>
      </c>
      <c r="H53" s="455">
        <v>4.0999999999999996</v>
      </c>
      <c r="I53" s="700"/>
      <c r="J53" s="694"/>
      <c r="K53" s="691"/>
      <c r="L53" s="691"/>
      <c r="M53" s="688"/>
      <c r="N53" s="234">
        <v>47</v>
      </c>
      <c r="O53" s="385" t="str">
        <f>F53&amp;COUNTIF($F$7:F53,F53)</f>
        <v>RB18</v>
      </c>
      <c r="P53" s="268">
        <f>VALUE('Draft Pick Order'!B49)</f>
        <v>204</v>
      </c>
      <c r="Q53" s="259">
        <f>COUNTIF(D$7:$F53,"QB")</f>
        <v>6</v>
      </c>
      <c r="R53" s="259">
        <f>COUNTIF($F$7:F53,"RB")</f>
        <v>18</v>
      </c>
      <c r="S53" s="259">
        <f>COUNTIF($F$7:F53,"WR")</f>
        <v>21</v>
      </c>
      <c r="T53" s="259">
        <f>COUNTIF($F$7:F53,"TE")</f>
        <v>2</v>
      </c>
      <c r="U53" s="259">
        <f>COUNTIF($F$7:F53,"DST")</f>
        <v>0</v>
      </c>
      <c r="V53" s="259">
        <f>COUNTIF($F$7:F53,"K")</f>
        <v>0</v>
      </c>
      <c r="X53" s="265">
        <v>47</v>
      </c>
      <c r="Y53" s="259" t="str">
        <f>IFERROR(INDEX(ADP_Import!A:A,MATCH(ADP!AB53,ADP_Import!AG:AG,0)),"")</f>
        <v>DJ Moore</v>
      </c>
      <c r="Z53" s="259" t="str">
        <f>IFERROR(INDEX(ADP_Import!B:B,MATCH(ADP!AB53,ADP_Import!AG:AG,0)),"")</f>
        <v>CHI</v>
      </c>
      <c r="AA53" s="259" t="str">
        <f>IFERROR(INDEX(ADP_Import!C:C,MATCH(ADP!AB53,ADP_Import!AG:AG,0)),"")</f>
        <v>WR</v>
      </c>
      <c r="AB53" s="439">
        <f>IFERROR(INDEX(ADP_Import!AG:AG,MATCH(SMALL(ADP_Import!AG:AG,X53),ADP_Import!AG:AG,0)),"NA")</f>
        <v>45.000509999999998</v>
      </c>
      <c r="AC53" s="265">
        <f>IFERROR(INDEX(ADP_Import!$D:$AE,MATCH(AB53,ADP_Import!AG:AG,0),$AG$6),"")</f>
        <v>4.9000000000000004</v>
      </c>
      <c r="AI53" t="str">
        <f>INDEX('Draft Pick Order'!E:U,MATCH(A53,'Draft Pick Order'!C:C,0),(Instructions!$E$11*2-15))</f>
        <v>4-11</v>
      </c>
    </row>
    <row r="54" spans="1:35" ht="15.75" thickBot="1" x14ac:dyDescent="0.3">
      <c r="A54" s="230">
        <v>48</v>
      </c>
      <c r="B54">
        <f>IFERROR(IF(INDEX(Draft!BY:BY,MATCH(ADP!D54,Draft!BY:BY,0))=ADP!D54,1,0),0)</f>
        <v>0</v>
      </c>
      <c r="C54" t="str">
        <f>IF(AND(IFERROR(INDEX(Instructions!$T$111:$T$222,MATCH(D54,Instructions!$T$111:$T$222,0)), "")=D54, D54&lt;&gt;""), "X", "")</f>
        <v/>
      </c>
      <c r="D54" s="454" t="s">
        <v>2078</v>
      </c>
      <c r="E54" s="232" t="s">
        <v>162</v>
      </c>
      <c r="F54" s="232" t="s">
        <v>3</v>
      </c>
      <c r="G54" s="384">
        <v>46.300365999999997</v>
      </c>
      <c r="H54" s="456">
        <v>4.8</v>
      </c>
      <c r="I54" s="701"/>
      <c r="J54" s="694"/>
      <c r="K54" s="692"/>
      <c r="L54" s="691"/>
      <c r="M54" s="689"/>
      <c r="N54" s="234">
        <v>48</v>
      </c>
      <c r="O54" s="385" t="str">
        <f>F54&amp;COUNTIF($F$7:F54,F54)</f>
        <v>RB19</v>
      </c>
      <c r="P54" s="268">
        <f>VALUE('Draft Pick Order'!B50)</f>
        <v>204</v>
      </c>
      <c r="Q54" s="259">
        <f>COUNTIF(D$7:$F54,"QB")</f>
        <v>6</v>
      </c>
      <c r="R54" s="259">
        <f>COUNTIF($F$7:F54,"RB")</f>
        <v>19</v>
      </c>
      <c r="S54" s="259">
        <f>COUNTIF($F$7:F54,"WR")</f>
        <v>21</v>
      </c>
      <c r="T54" s="259">
        <f>COUNTIF($F$7:F54,"TE")</f>
        <v>2</v>
      </c>
      <c r="U54" s="259">
        <f>COUNTIF($F$7:F54,"DST")</f>
        <v>0</v>
      </c>
      <c r="V54" s="259">
        <f>COUNTIF($F$7:F54,"K")</f>
        <v>0</v>
      </c>
      <c r="X54" s="265">
        <v>48</v>
      </c>
      <c r="Y54" s="259" t="str">
        <f>IFERROR(INDEX(ADP_Import!A:A,MATCH(ADP!AB54,ADP_Import!AG:AG,0)),"")</f>
        <v>Kenneth Walker</v>
      </c>
      <c r="Z54" s="259" t="str">
        <f>IFERROR(INDEX(ADP_Import!B:B,MATCH(ADP!AB54,ADP_Import!AG:AG,0)),"")</f>
        <v>SEA</v>
      </c>
      <c r="AA54" s="259" t="str">
        <f>IFERROR(INDEX(ADP_Import!C:C,MATCH(ADP!AB54,ADP_Import!AG:AG,0)),"")</f>
        <v>RB</v>
      </c>
      <c r="AB54" s="439">
        <f>IFERROR(INDEX(ADP_Import!AG:AG,MATCH(SMALL(ADP_Import!AG:AG,X54),ADP_Import!AG:AG,0)),"NA")</f>
        <v>48.500298999999998</v>
      </c>
      <c r="AC54" s="265">
        <f>IFERROR(INDEX(ADP_Import!$D:$AE,MATCH(AB54,ADP_Import!AG:AG,0),$AG$6),"")</f>
        <v>5.8</v>
      </c>
      <c r="AI54" t="str">
        <f>INDEX('Draft Pick Order'!E:U,MATCH(A54,'Draft Pick Order'!C:C,0),(Instructions!$E$11*2-15))</f>
        <v>4-12</v>
      </c>
    </row>
    <row r="55" spans="1:35" ht="15" customHeight="1" x14ac:dyDescent="0.25">
      <c r="A55" s="230">
        <v>49</v>
      </c>
      <c r="B55">
        <f>IFERROR(IF(INDEX(Draft!BY:BY,MATCH(ADP!D55,Draft!BY:BY,0))=ADP!D55,1,0),0)</f>
        <v>0</v>
      </c>
      <c r="C55" t="str">
        <f>IF(AND(IFERROR(INDEX(Instructions!$T$111:$T$222,MATCH(D55,Instructions!$T$111:$T$222,0)), "")=D55, D55&lt;&gt;""), "X", "")</f>
        <v/>
      </c>
      <c r="D55" s="454" t="s">
        <v>2156</v>
      </c>
      <c r="E55" s="232" t="s">
        <v>141</v>
      </c>
      <c r="F55" s="232" t="s">
        <v>1</v>
      </c>
      <c r="G55" s="383">
        <v>47.200331000000006</v>
      </c>
      <c r="H55" s="455">
        <v>5.9</v>
      </c>
      <c r="I55" s="702" t="s">
        <v>902</v>
      </c>
      <c r="J55" s="694"/>
      <c r="K55" s="687" t="s">
        <v>900</v>
      </c>
      <c r="L55" s="691"/>
      <c r="M55" s="690" t="s">
        <v>899</v>
      </c>
      <c r="N55" s="234">
        <v>49</v>
      </c>
      <c r="O55" s="385" t="str">
        <f>F55&amp;COUNTIF($F$7:F55,F55)</f>
        <v>QB7</v>
      </c>
      <c r="P55" s="268">
        <f>VALUE('Draft Pick Order'!B51)</f>
        <v>204</v>
      </c>
      <c r="Q55" s="259">
        <f>COUNTIF(D$7:$F55,"QB")</f>
        <v>7</v>
      </c>
      <c r="R55" s="259">
        <f>COUNTIF($F$7:F55,"RB")</f>
        <v>19</v>
      </c>
      <c r="S55" s="259">
        <f>COUNTIF($F$7:F55,"WR")</f>
        <v>21</v>
      </c>
      <c r="T55" s="259">
        <f>COUNTIF($F$7:F55,"TE")</f>
        <v>2</v>
      </c>
      <c r="U55" s="259">
        <f>COUNTIF($F$7:F55,"DST")</f>
        <v>0</v>
      </c>
      <c r="V55" s="259">
        <f>COUNTIF($F$7:F55,"K")</f>
        <v>0</v>
      </c>
      <c r="X55" s="265">
        <v>49</v>
      </c>
      <c r="Y55" s="259" t="str">
        <f>IFERROR(INDEX(ADP_Import!A:A,MATCH(ADP!AB55,ADP_Import!AG:AG,0)),"")</f>
        <v>Justin Fields</v>
      </c>
      <c r="Z55" s="259" t="str">
        <f>IFERROR(INDEX(ADP_Import!B:B,MATCH(ADP!AB55,ADP_Import!AG:AG,0)),"")</f>
        <v>CHI</v>
      </c>
      <c r="AA55" s="259" t="str">
        <f>IFERROR(INDEX(ADP_Import!C:C,MATCH(ADP!AB55,ADP_Import!AG:AG,0)),"")</f>
        <v>QB</v>
      </c>
      <c r="AB55" s="439">
        <f>IFERROR(INDEX(ADP_Import!AG:AG,MATCH(SMALL(ADP_Import!AG:AG,X55),ADP_Import!AG:AG,0)),"NA")</f>
        <v>48.700331000000006</v>
      </c>
      <c r="AC55" s="265">
        <f>IFERROR(INDEX(ADP_Import!$D:$AE,MATCH(AB55,ADP_Import!AG:AG,0),$AG$6),"")</f>
        <v>6.6</v>
      </c>
      <c r="AI55" t="str">
        <f>INDEX('Draft Pick Order'!E:U,MATCH(A55,'Draft Pick Order'!C:C,0),(Instructions!$E$11*2-15))</f>
        <v>5-1</v>
      </c>
    </row>
    <row r="56" spans="1:35" ht="15.75" thickBot="1" x14ac:dyDescent="0.3">
      <c r="A56" s="230">
        <v>50</v>
      </c>
      <c r="B56">
        <f>IFERROR(IF(INDEX(Draft!BY:BY,MATCH(ADP!D56,Draft!BY:BY,0))=ADP!D56,1,0),0)</f>
        <v>0</v>
      </c>
      <c r="C56" t="str">
        <f>IF(AND(IFERROR(INDEX(Instructions!$T$111:$T$222,MATCH(D56,Instructions!$T$111:$T$222,0)), "")=D56, D56&lt;&gt;""), "X", "")</f>
        <v>X</v>
      </c>
      <c r="D56" s="454" t="s">
        <v>2289</v>
      </c>
      <c r="E56" s="232" t="s">
        <v>1389</v>
      </c>
      <c r="F56" s="232" t="s">
        <v>3</v>
      </c>
      <c r="G56" s="384">
        <v>48.100642000000001</v>
      </c>
      <c r="H56" s="456">
        <v>5.2</v>
      </c>
      <c r="I56" s="703"/>
      <c r="J56" s="695"/>
      <c r="K56" s="688"/>
      <c r="L56" s="691"/>
      <c r="M56" s="691"/>
      <c r="N56" s="234">
        <v>50</v>
      </c>
      <c r="O56" s="385" t="str">
        <f>F56&amp;COUNTIF($F$7:F56,F56)</f>
        <v>RB20</v>
      </c>
      <c r="P56" s="268">
        <f>VALUE('Draft Pick Order'!B52)</f>
        <v>205</v>
      </c>
      <c r="Q56" s="259">
        <f>COUNTIF(D$7:$F56,"QB")</f>
        <v>7</v>
      </c>
      <c r="R56" s="259">
        <f>COUNTIF($F$7:F56,"RB")</f>
        <v>20</v>
      </c>
      <c r="S56" s="259">
        <f>COUNTIF($F$7:F56,"WR")</f>
        <v>21</v>
      </c>
      <c r="T56" s="259">
        <f>COUNTIF($F$7:F56,"TE")</f>
        <v>2</v>
      </c>
      <c r="U56" s="259">
        <f>COUNTIF($F$7:F56,"DST")</f>
        <v>0</v>
      </c>
      <c r="V56" s="259">
        <f>COUNTIF($F$7:F56,"K")</f>
        <v>0</v>
      </c>
      <c r="X56" s="265">
        <v>50</v>
      </c>
      <c r="Y56" s="259" t="str">
        <f>IFERROR(INDEX(ADP_Import!A:A,MATCH(ADP!AB56,ADP_Import!AG:AG,0)),"")</f>
        <v>Terry McLaurin</v>
      </c>
      <c r="Z56" s="259" t="str">
        <f>IFERROR(INDEX(ADP_Import!B:B,MATCH(ADP!AB56,ADP_Import!AG:AG,0)),"")</f>
        <v>WAS</v>
      </c>
      <c r="AA56" s="259" t="str">
        <f>IFERROR(INDEX(ADP_Import!C:C,MATCH(ADP!AB56,ADP_Import!AG:AG,0)),"")</f>
        <v>WR</v>
      </c>
      <c r="AB56" s="439">
        <f>IFERROR(INDEX(ADP_Import!AG:AG,MATCH(SMALL(ADP_Import!AG:AG,X56),ADP_Import!AG:AG,0)),"NA")</f>
        <v>49.200082000000002</v>
      </c>
      <c r="AC56" s="265">
        <f>IFERROR(INDEX(ADP_Import!$D:$AE,MATCH(AB56,ADP_Import!AG:AG,0),$AG$6),"")</f>
        <v>5.2</v>
      </c>
      <c r="AI56" t="str">
        <f>INDEX('Draft Pick Order'!E:U,MATCH(A56,'Draft Pick Order'!C:C,0),(Instructions!$E$11*2-15))</f>
        <v>5-2</v>
      </c>
    </row>
    <row r="57" spans="1:35" ht="15" customHeight="1" x14ac:dyDescent="0.25">
      <c r="A57" s="230">
        <v>51</v>
      </c>
      <c r="B57">
        <f>IFERROR(IF(INDEX(Draft!BY:BY,MATCH(ADP!D57,Draft!BY:BY,0))=ADP!D57,1,0),0)</f>
        <v>0</v>
      </c>
      <c r="C57" t="str">
        <f>IF(AND(IFERROR(INDEX(Instructions!$T$111:$T$222,MATCH(D57,Instructions!$T$111:$T$222,0)), "")=D57, D57&lt;&gt;""), "X", "")</f>
        <v/>
      </c>
      <c r="D57" s="454" t="s">
        <v>2321</v>
      </c>
      <c r="E57" s="232" t="s">
        <v>139</v>
      </c>
      <c r="F57" s="232" t="s">
        <v>6</v>
      </c>
      <c r="G57" s="383">
        <v>49.400611999999995</v>
      </c>
      <c r="H57" s="455">
        <v>4.9000000000000004</v>
      </c>
      <c r="I57" s="703"/>
      <c r="J57" s="696" t="s">
        <v>901</v>
      </c>
      <c r="K57" s="688"/>
      <c r="L57" s="691"/>
      <c r="M57" s="691"/>
      <c r="N57" s="234">
        <v>51</v>
      </c>
      <c r="O57" s="385" t="str">
        <f>F57&amp;COUNTIF($F$7:F57,F57)</f>
        <v>WR22</v>
      </c>
      <c r="P57" s="268">
        <f>VALUE('Draft Pick Order'!B53)</f>
        <v>205</v>
      </c>
      <c r="Q57" s="259">
        <f>COUNTIF(D$7:$F57,"QB")</f>
        <v>7</v>
      </c>
      <c r="R57" s="259">
        <f>COUNTIF($F$7:F57,"RB")</f>
        <v>20</v>
      </c>
      <c r="S57" s="259">
        <f>COUNTIF($F$7:F57,"WR")</f>
        <v>22</v>
      </c>
      <c r="T57" s="259">
        <f>COUNTIF($F$7:F57,"TE")</f>
        <v>2</v>
      </c>
      <c r="U57" s="259">
        <f>COUNTIF($F$7:F57,"DST")</f>
        <v>0</v>
      </c>
      <c r="V57" s="259">
        <f>COUNTIF($F$7:F57,"K")</f>
        <v>0</v>
      </c>
      <c r="X57" s="265">
        <v>51</v>
      </c>
      <c r="Y57" s="259" t="str">
        <f>IFERROR(INDEX(ADP_Import!A:A,MATCH(ADP!AB57,ADP_Import!AG:AG,0)),"")</f>
        <v>Justin Herbert</v>
      </c>
      <c r="Z57" s="259" t="str">
        <f>IFERROR(INDEX(ADP_Import!B:B,MATCH(ADP!AB57,ADP_Import!AG:AG,0)),"")</f>
        <v>LAC</v>
      </c>
      <c r="AA57" s="259" t="str">
        <f>IFERROR(INDEX(ADP_Import!C:C,MATCH(ADP!AB57,ADP_Import!AG:AG,0)),"")</f>
        <v>QB</v>
      </c>
      <c r="AB57" s="439">
        <f>IFERROR(INDEX(ADP_Import!AG:AG,MATCH(SMALL(ADP_Import!AG:AG,X57),ADP_Import!AG:AG,0)),"NA")</f>
        <v>50.10033</v>
      </c>
      <c r="AC57" s="265">
        <f>IFERROR(INDEX(ADP_Import!$D:$AE,MATCH(AB57,ADP_Import!AG:AG,0),$AG$6),"")</f>
        <v>5.9</v>
      </c>
      <c r="AI57" t="str">
        <f>INDEX('Draft Pick Order'!E:U,MATCH(A57,'Draft Pick Order'!C:C,0),(Instructions!$E$11*2-15))</f>
        <v>5-3</v>
      </c>
    </row>
    <row r="58" spans="1:35" x14ac:dyDescent="0.25">
      <c r="A58" s="230">
        <v>52</v>
      </c>
      <c r="B58">
        <f>IFERROR(IF(INDEX(Draft!BY:BY,MATCH(ADP!D58,Draft!BY:BY,0))=ADP!D58,1,0),0)</f>
        <v>0</v>
      </c>
      <c r="C58" t="str">
        <f>IF(AND(IFERROR(INDEX(Instructions!$T$111:$T$222,MATCH(D58,Instructions!$T$111:$T$222,0)), "")=D58, D58&lt;&gt;""), "X", "")</f>
        <v/>
      </c>
      <c r="D58" s="454" t="s">
        <v>1871</v>
      </c>
      <c r="E58" s="232" t="s">
        <v>138</v>
      </c>
      <c r="F58" s="232" t="s">
        <v>3</v>
      </c>
      <c r="G58" s="384">
        <v>50.200714000000005</v>
      </c>
      <c r="H58" s="456">
        <v>4.9000000000000004</v>
      </c>
      <c r="I58" s="703"/>
      <c r="J58" s="697"/>
      <c r="K58" s="688"/>
      <c r="L58" s="691"/>
      <c r="M58" s="691"/>
      <c r="N58" s="234">
        <v>52</v>
      </c>
      <c r="O58" s="385" t="str">
        <f>F58&amp;COUNTIF($F$7:F58,F58)</f>
        <v>RB21</v>
      </c>
      <c r="P58" s="268">
        <f>VALUE('Draft Pick Order'!B54)</f>
        <v>205</v>
      </c>
      <c r="Q58" s="259">
        <f>COUNTIF(D$7:$F58,"QB")</f>
        <v>7</v>
      </c>
      <c r="R58" s="259">
        <f>COUNTIF($F$7:F58,"RB")</f>
        <v>21</v>
      </c>
      <c r="S58" s="259">
        <f>COUNTIF($F$7:F58,"WR")</f>
        <v>22</v>
      </c>
      <c r="T58" s="259">
        <f>COUNTIF($F$7:F58,"TE")</f>
        <v>2</v>
      </c>
      <c r="U58" s="259">
        <f>COUNTIF($F$7:F58,"DST")</f>
        <v>0</v>
      </c>
      <c r="V58" s="259">
        <f>COUNTIF($F$7:F58,"K")</f>
        <v>0</v>
      </c>
      <c r="X58" s="265">
        <v>52</v>
      </c>
      <c r="Y58" s="259" t="str">
        <f>IFERROR(INDEX(ADP_Import!A:A,MATCH(ADP!AB58,ADP_Import!AG:AG,0)),"")</f>
        <v>Christian Watson</v>
      </c>
      <c r="Z58" s="259" t="str">
        <f>IFERROR(INDEX(ADP_Import!B:B,MATCH(ADP!AB58,ADP_Import!AG:AG,0)),"")</f>
        <v>GB</v>
      </c>
      <c r="AA58" s="259" t="str">
        <f>IFERROR(INDEX(ADP_Import!C:C,MATCH(ADP!AB58,ADP_Import!AG:AG,0)),"")</f>
        <v>WR</v>
      </c>
      <c r="AB58" s="439">
        <f>IFERROR(INDEX(ADP_Import!AG:AG,MATCH(SMALL(ADP_Import!AG:AG,X58),ADP_Import!AG:AG,0)),"NA")</f>
        <v>50.100611999999998</v>
      </c>
      <c r="AC58" s="265">
        <f>IFERROR(INDEX(ADP_Import!$D:$AE,MATCH(AB58,ADP_Import!AG:AG,0),$AG$6),"")</f>
        <v>5.3</v>
      </c>
      <c r="AI58" t="str">
        <f>INDEX('Draft Pick Order'!E:U,MATCH(A58,'Draft Pick Order'!C:C,0),(Instructions!$E$11*2-15))</f>
        <v>5-4</v>
      </c>
    </row>
    <row r="59" spans="1:35" x14ac:dyDescent="0.25">
      <c r="A59" s="230">
        <v>53</v>
      </c>
      <c r="B59">
        <f>IFERROR(IF(INDEX(Draft!BY:BY,MATCH(ADP!D59,Draft!BY:BY,0))=ADP!D59,1,0),0)</f>
        <v>0</v>
      </c>
      <c r="C59" t="str">
        <f>IF(AND(IFERROR(INDEX(Instructions!$T$111:$T$222,MATCH(D59,Instructions!$T$111:$T$222,0)), "")=D59, D59&lt;&gt;""), "X", "")</f>
        <v/>
      </c>
      <c r="D59" s="454" t="s">
        <v>1878</v>
      </c>
      <c r="E59" s="232" t="s">
        <v>152</v>
      </c>
      <c r="F59" s="232" t="s">
        <v>6</v>
      </c>
      <c r="G59" s="383">
        <v>50.600082</v>
      </c>
      <c r="H59" s="455">
        <v>4.8</v>
      </c>
      <c r="I59" s="703"/>
      <c r="J59" s="697"/>
      <c r="K59" s="688"/>
      <c r="L59" s="691"/>
      <c r="M59" s="691"/>
      <c r="N59" s="234">
        <v>53</v>
      </c>
      <c r="O59" s="385" t="str">
        <f>F59&amp;COUNTIF($F$7:F59,F59)</f>
        <v>WR23</v>
      </c>
      <c r="P59" s="268">
        <f>VALUE('Draft Pick Order'!B55)</f>
        <v>205</v>
      </c>
      <c r="Q59" s="259">
        <f>COUNTIF(D$7:$F59,"QB")</f>
        <v>7</v>
      </c>
      <c r="R59" s="259">
        <f>COUNTIF($F$7:F59,"RB")</f>
        <v>21</v>
      </c>
      <c r="S59" s="259">
        <f>COUNTIF($F$7:F59,"WR")</f>
        <v>23</v>
      </c>
      <c r="T59" s="259">
        <f>COUNTIF($F$7:F59,"TE")</f>
        <v>2</v>
      </c>
      <c r="U59" s="259">
        <f>COUNTIF($F$7:F59,"DST")</f>
        <v>0</v>
      </c>
      <c r="V59" s="259">
        <f>COUNTIF($F$7:F59,"K")</f>
        <v>0</v>
      </c>
      <c r="X59" s="265">
        <v>53</v>
      </c>
      <c r="Y59" s="259" t="str">
        <f>IFERROR(INDEX(ADP_Import!A:A,MATCH(ADP!AB59,ADP_Import!AG:AG,0)),"")</f>
        <v>Chris Godwin</v>
      </c>
      <c r="Z59" s="259" t="str">
        <f>IFERROR(INDEX(ADP_Import!B:B,MATCH(ADP!AB59,ADP_Import!AG:AG,0)),"")</f>
        <v>TB</v>
      </c>
      <c r="AA59" s="259" t="str">
        <f>IFERROR(INDEX(ADP_Import!C:C,MATCH(ADP!AB59,ADP_Import!AG:AG,0)),"")</f>
        <v>WR</v>
      </c>
      <c r="AB59" s="439">
        <f>IFERROR(INDEX(ADP_Import!AG:AG,MATCH(SMALL(ADP_Import!AG:AG,X59),ADP_Import!AG:AG,0)),"NA")</f>
        <v>50.100619999999999</v>
      </c>
      <c r="AC59" s="265">
        <f>IFERROR(INDEX(ADP_Import!$D:$AE,MATCH(AB59,ADP_Import!AG:AG,0),$AG$6),"")</f>
        <v>4.7</v>
      </c>
      <c r="AI59" t="str">
        <f>INDEX('Draft Pick Order'!E:U,MATCH(A59,'Draft Pick Order'!C:C,0),(Instructions!$E$11*2-15))</f>
        <v>5-5</v>
      </c>
    </row>
    <row r="60" spans="1:35" x14ac:dyDescent="0.25">
      <c r="A60" s="230">
        <v>54</v>
      </c>
      <c r="B60">
        <f>IFERROR(IF(INDEX(Draft!BY:BY,MATCH(ADP!D60,Draft!BY:BY,0))=ADP!D60,1,0),0)</f>
        <v>0</v>
      </c>
      <c r="C60" t="str">
        <f>IF(AND(IFERROR(INDEX(Instructions!$T$111:$T$222,MATCH(D60,Instructions!$T$111:$T$222,0)), "")=D60, D60&lt;&gt;""), "X", "")</f>
        <v/>
      </c>
      <c r="D60" s="454" t="s">
        <v>1862</v>
      </c>
      <c r="E60" s="232" t="s">
        <v>138</v>
      </c>
      <c r="F60" s="232" t="s">
        <v>7</v>
      </c>
      <c r="G60" s="384">
        <v>51.500079999999997</v>
      </c>
      <c r="H60" s="456">
        <v>7.1</v>
      </c>
      <c r="I60" s="703"/>
      <c r="J60" s="697"/>
      <c r="K60" s="688"/>
      <c r="L60" s="691"/>
      <c r="M60" s="691"/>
      <c r="N60" s="234">
        <v>54</v>
      </c>
      <c r="O60" s="385" t="str">
        <f>F60&amp;COUNTIF($F$7:F60,F60)</f>
        <v>TE3</v>
      </c>
      <c r="P60" s="268">
        <f>VALUE('Draft Pick Order'!B56)</f>
        <v>205</v>
      </c>
      <c r="Q60" s="259">
        <f>COUNTIF(D$7:$F60,"QB")</f>
        <v>7</v>
      </c>
      <c r="R60" s="259">
        <f>COUNTIF($F$7:F60,"RB")</f>
        <v>21</v>
      </c>
      <c r="S60" s="259">
        <f>COUNTIF($F$7:F60,"WR")</f>
        <v>23</v>
      </c>
      <c r="T60" s="259">
        <f>COUNTIF($F$7:F60,"TE")</f>
        <v>3</v>
      </c>
      <c r="U60" s="259">
        <f>COUNTIF($F$7:F60,"DST")</f>
        <v>0</v>
      </c>
      <c r="V60" s="259">
        <f>COUNTIF($F$7:F60,"K")</f>
        <v>0</v>
      </c>
      <c r="X60" s="265">
        <v>54</v>
      </c>
      <c r="Y60" s="259" t="str">
        <f>IFERROR(INDEX(ADP_Import!A:A,MATCH(ADP!AB60,ADP_Import!AG:AG,0)),"")</f>
        <v>Miles Sanders</v>
      </c>
      <c r="Z60" s="259" t="str">
        <f>IFERROR(INDEX(ADP_Import!B:B,MATCH(ADP!AB60,ADP_Import!AG:AG,0)),"")</f>
        <v>CAR</v>
      </c>
      <c r="AA60" s="259" t="str">
        <f>IFERROR(INDEX(ADP_Import!C:C,MATCH(ADP!AB60,ADP_Import!AG:AG,0)),"")</f>
        <v>RB</v>
      </c>
      <c r="AB60" s="439">
        <f>IFERROR(INDEX(ADP_Import!AG:AG,MATCH(SMALL(ADP_Import!AG:AG,X60),ADP_Import!AG:AG,0)),"NA")</f>
        <v>52.700215</v>
      </c>
      <c r="AC60" s="265">
        <f>IFERROR(INDEX(ADP_Import!$D:$AE,MATCH(AB60,ADP_Import!AG:AG,0),$AG$6),"")</f>
        <v>5.9</v>
      </c>
      <c r="AI60" t="str">
        <f>INDEX('Draft Pick Order'!E:U,MATCH(A60,'Draft Pick Order'!C:C,0),(Instructions!$E$11*2-15))</f>
        <v>5-6</v>
      </c>
    </row>
    <row r="61" spans="1:35" x14ac:dyDescent="0.25">
      <c r="A61" s="230">
        <v>55</v>
      </c>
      <c r="B61">
        <f>IFERROR(IF(INDEX(Draft!BY:BY,MATCH(ADP!D61,Draft!BY:BY,0))=ADP!D61,1,0),0)</f>
        <v>0</v>
      </c>
      <c r="C61" t="str">
        <f>IF(AND(IFERROR(INDEX(Instructions!$T$111:$T$222,MATCH(D61,Instructions!$T$111:$T$222,0)), "")=D61, D61&lt;&gt;""), "X", "")</f>
        <v/>
      </c>
      <c r="D61" s="454" t="s">
        <v>2292</v>
      </c>
      <c r="E61" s="232" t="s">
        <v>151</v>
      </c>
      <c r="F61" s="232" t="s">
        <v>3</v>
      </c>
      <c r="G61" s="383">
        <v>51.900576000000001</v>
      </c>
      <c r="H61" s="455">
        <v>4.8</v>
      </c>
      <c r="I61" s="703"/>
      <c r="J61" s="697"/>
      <c r="K61" s="688"/>
      <c r="L61" s="691"/>
      <c r="M61" s="691"/>
      <c r="N61" s="234">
        <v>55</v>
      </c>
      <c r="O61" s="385" t="str">
        <f>F61&amp;COUNTIF($F$7:F61,F61)</f>
        <v>RB22</v>
      </c>
      <c r="P61" s="268">
        <f>VALUE('Draft Pick Order'!B57)</f>
        <v>205</v>
      </c>
      <c r="Q61" s="259">
        <f>COUNTIF(D$7:$F61,"QB")</f>
        <v>7</v>
      </c>
      <c r="R61" s="259">
        <f>COUNTIF($F$7:F61,"RB")</f>
        <v>22</v>
      </c>
      <c r="S61" s="259">
        <f>COUNTIF($F$7:F61,"WR")</f>
        <v>23</v>
      </c>
      <c r="T61" s="259">
        <f>COUNTIF($F$7:F61,"TE")</f>
        <v>3</v>
      </c>
      <c r="U61" s="259">
        <f>COUNTIF($F$7:F61,"DST")</f>
        <v>0</v>
      </c>
      <c r="V61" s="259">
        <f>COUNTIF($F$7:F61,"K")</f>
        <v>0</v>
      </c>
      <c r="X61" s="265">
        <v>55</v>
      </c>
      <c r="Y61" s="259" t="str">
        <f>IFERROR(INDEX(ADP_Import!A:A,MATCH(ADP!AB61,ADP_Import!AG:AG,0)),"")</f>
        <v>Diontae Johnson</v>
      </c>
      <c r="Z61" s="259" t="str">
        <f>IFERROR(INDEX(ADP_Import!B:B,MATCH(ADP!AB61,ADP_Import!AG:AG,0)),"")</f>
        <v>PIT</v>
      </c>
      <c r="AA61" s="259" t="str">
        <f>IFERROR(INDEX(ADP_Import!C:C,MATCH(ADP!AB61,ADP_Import!AG:AG,0)),"")</f>
        <v>WR</v>
      </c>
      <c r="AB61" s="439">
        <f>IFERROR(INDEX(ADP_Import!AG:AG,MATCH(SMALL(ADP_Import!AG:AG,X61),ADP_Import!AG:AG,0)),"NA")</f>
        <v>54.000512000000001</v>
      </c>
      <c r="AC61" s="265">
        <f>IFERROR(INDEX(ADP_Import!$D:$AE,MATCH(AB61,ADP_Import!AG:AG,0),$AG$6),"")</f>
        <v>5.3</v>
      </c>
      <c r="AI61" t="str">
        <f>INDEX('Draft Pick Order'!E:U,MATCH(A61,'Draft Pick Order'!C:C,0),(Instructions!$E$11*2-15))</f>
        <v>5-7</v>
      </c>
    </row>
    <row r="62" spans="1:35" ht="15.75" thickBot="1" x14ac:dyDescent="0.3">
      <c r="A62" s="230">
        <v>56</v>
      </c>
      <c r="B62">
        <f>IFERROR(IF(INDEX(Draft!BY:BY,MATCH(ADP!D62,Draft!BY:BY,0))=ADP!D62,1,0),0)</f>
        <v>0</v>
      </c>
      <c r="C62" t="str">
        <f>IF(AND(IFERROR(INDEX(Instructions!$T$111:$T$222,MATCH(D62,Instructions!$T$111:$T$222,0)), "")=D62, D62&lt;&gt;""), "X", "")</f>
        <v/>
      </c>
      <c r="D62" s="454" t="s">
        <v>108</v>
      </c>
      <c r="E62" s="232" t="s">
        <v>163</v>
      </c>
      <c r="F62" s="232" t="s">
        <v>6</v>
      </c>
      <c r="G62" s="384">
        <v>53.100543999999999</v>
      </c>
      <c r="H62" s="456">
        <v>5.0999999999999996</v>
      </c>
      <c r="I62" s="704"/>
      <c r="J62" s="697"/>
      <c r="K62" s="688"/>
      <c r="L62" s="691"/>
      <c r="M62" s="691"/>
      <c r="N62" s="234">
        <v>56</v>
      </c>
      <c r="O62" s="385" t="str">
        <f>F62&amp;COUNTIF($F$7:F62,F62)</f>
        <v>WR24</v>
      </c>
      <c r="P62" s="268">
        <f>VALUE('Draft Pick Order'!B58)</f>
        <v>205</v>
      </c>
      <c r="Q62" s="259">
        <f>COUNTIF(D$7:$F62,"QB")</f>
        <v>7</v>
      </c>
      <c r="R62" s="259">
        <f>COUNTIF($F$7:F62,"RB")</f>
        <v>22</v>
      </c>
      <c r="S62" s="259">
        <f>COUNTIF($F$7:F62,"WR")</f>
        <v>24</v>
      </c>
      <c r="T62" s="259">
        <f>COUNTIF($F$7:F62,"TE")</f>
        <v>3</v>
      </c>
      <c r="U62" s="259">
        <f>COUNTIF($F$7:F62,"DST")</f>
        <v>0</v>
      </c>
      <c r="V62" s="259">
        <f>COUNTIF($F$7:F62,"K")</f>
        <v>0</v>
      </c>
      <c r="X62" s="265">
        <v>56</v>
      </c>
      <c r="Y62" s="259" t="str">
        <f>IFERROR(INDEX(ADP_Import!A:A,MATCH(ADP!AB62,ADP_Import!AG:AG,0)),"")</f>
        <v>George Kittle</v>
      </c>
      <c r="Z62" s="259" t="str">
        <f>IFERROR(INDEX(ADP_Import!B:B,MATCH(ADP!AB62,ADP_Import!AG:AG,0)),"")</f>
        <v>SF</v>
      </c>
      <c r="AA62" s="259" t="str">
        <f>IFERROR(INDEX(ADP_Import!C:C,MATCH(ADP!AB62,ADP_Import!AG:AG,0)),"")</f>
        <v>TE</v>
      </c>
      <c r="AB62" s="439">
        <f>IFERROR(INDEX(ADP_Import!AG:AG,MATCH(SMALL(ADP_Import!AG:AG,X62),ADP_Import!AG:AG,0)),"NA")</f>
        <v>54.700469000000005</v>
      </c>
      <c r="AC62" s="265">
        <f>IFERROR(INDEX(ADP_Import!$D:$AE,MATCH(AB62,ADP_Import!AG:AG,0),$AG$6),"")</f>
        <v>7</v>
      </c>
      <c r="AI62" t="str">
        <f>INDEX('Draft Pick Order'!E:U,MATCH(A62,'Draft Pick Order'!C:C,0),(Instructions!$E$11*2-15))</f>
        <v>5-8</v>
      </c>
    </row>
    <row r="63" spans="1:35" x14ac:dyDescent="0.25">
      <c r="A63" s="230">
        <v>57</v>
      </c>
      <c r="B63">
        <f>IFERROR(IF(INDEX(Draft!BY:BY,MATCH(ADP!D63,Draft!BY:BY,0))=ADP!D63,1,0),0)</f>
        <v>0</v>
      </c>
      <c r="C63" t="str">
        <f>IF(AND(IFERROR(INDEX(Instructions!$T$111:$T$222,MATCH(D63,Instructions!$T$111:$T$222,0)), "")=D63, D63&lt;&gt;""), "X", "")</f>
        <v/>
      </c>
      <c r="D63" s="454" t="s">
        <v>2154</v>
      </c>
      <c r="E63" s="232" t="s">
        <v>165</v>
      </c>
      <c r="F63" s="232" t="s">
        <v>1</v>
      </c>
      <c r="G63" s="383">
        <v>55.900061000000001</v>
      </c>
      <c r="H63" s="455">
        <v>4.7</v>
      </c>
      <c r="I63" s="699" t="s">
        <v>903</v>
      </c>
      <c r="J63" s="697"/>
      <c r="K63" s="688"/>
      <c r="L63" s="687" t="s">
        <v>900</v>
      </c>
      <c r="M63" s="691"/>
      <c r="N63" s="234">
        <v>57</v>
      </c>
      <c r="O63" s="385" t="str">
        <f>F63&amp;COUNTIF($F$7:F63,F63)</f>
        <v>QB8</v>
      </c>
      <c r="P63" s="268">
        <f>VALUE('Draft Pick Order'!B59)</f>
        <v>205</v>
      </c>
      <c r="Q63" s="259">
        <f>COUNTIF(D$7:$F63,"QB")</f>
        <v>8</v>
      </c>
      <c r="R63" s="259">
        <f>COUNTIF($F$7:F63,"RB")</f>
        <v>22</v>
      </c>
      <c r="S63" s="259">
        <f>COUNTIF($F$7:F63,"WR")</f>
        <v>24</v>
      </c>
      <c r="T63" s="259">
        <f>COUNTIF($F$7:F63,"TE")</f>
        <v>3</v>
      </c>
      <c r="U63" s="259">
        <f>COUNTIF($F$7:F63,"DST")</f>
        <v>0</v>
      </c>
      <c r="V63" s="259">
        <f>COUNTIF($F$7:F63,"K")</f>
        <v>0</v>
      </c>
      <c r="X63" s="265">
        <v>57</v>
      </c>
      <c r="Y63" s="259" t="str">
        <f>IFERROR(INDEX(ADP_Import!A:A,MATCH(ADP!AB63,ADP_Import!AG:AG,0)),"")</f>
        <v>JK Dobbins</v>
      </c>
      <c r="Z63" s="259" t="str">
        <f>IFERROR(INDEX(ADP_Import!B:B,MATCH(ADP!AB63,ADP_Import!AG:AG,0)),"")</f>
        <v>BAL</v>
      </c>
      <c r="AA63" s="259" t="str">
        <f>IFERROR(INDEX(ADP_Import!C:C,MATCH(ADP!AB63,ADP_Import!AG:AG,0)),"")</f>
        <v>RB</v>
      </c>
      <c r="AB63" s="439">
        <f>IFERROR(INDEX(ADP_Import!AG:AG,MATCH(SMALL(ADP_Import!AG:AG,X63),ADP_Import!AG:AG,0)),"NA")</f>
        <v>55.200366000000002</v>
      </c>
      <c r="AC63" s="265">
        <f>IFERROR(INDEX(ADP_Import!$D:$AE,MATCH(AB63,ADP_Import!AG:AG,0),$AG$6),"")</f>
        <v>6.9</v>
      </c>
      <c r="AI63" t="str">
        <f>INDEX('Draft Pick Order'!E:U,MATCH(A63,'Draft Pick Order'!C:C,0),(Instructions!$E$11*2-15))</f>
        <v>5-9</v>
      </c>
    </row>
    <row r="64" spans="1:35" x14ac:dyDescent="0.25">
      <c r="A64" s="230">
        <v>58</v>
      </c>
      <c r="B64">
        <f>IFERROR(IF(INDEX(Draft!BY:BY,MATCH(ADP!D64,Draft!BY:BY,0))=ADP!D64,1,0),0)</f>
        <v>0</v>
      </c>
      <c r="C64" t="str">
        <f>IF(AND(IFERROR(INDEX(Instructions!$T$111:$T$222,MATCH(D64,Instructions!$T$111:$T$222,0)), "")=D64, D64&lt;&gt;""), "X", "")</f>
        <v/>
      </c>
      <c r="D64" s="454" t="s">
        <v>1422</v>
      </c>
      <c r="E64" s="232" t="s">
        <v>2272</v>
      </c>
      <c r="F64" s="232" t="s">
        <v>3</v>
      </c>
      <c r="G64" s="384">
        <v>56.400400999999995</v>
      </c>
      <c r="H64" s="456">
        <v>5.2</v>
      </c>
      <c r="I64" s="700"/>
      <c r="J64" s="697"/>
      <c r="K64" s="688"/>
      <c r="L64" s="688"/>
      <c r="M64" s="691"/>
      <c r="N64" s="234">
        <v>58</v>
      </c>
      <c r="O64" s="385" t="str">
        <f>F64&amp;COUNTIF($F$7:F64,F64)</f>
        <v>RB23</v>
      </c>
      <c r="P64" s="268">
        <f>VALUE('Draft Pick Order'!B60)</f>
        <v>205</v>
      </c>
      <c r="Q64" s="259">
        <f>COUNTIF(D$7:$F64,"QB")</f>
        <v>8</v>
      </c>
      <c r="R64" s="259">
        <f>COUNTIF($F$7:F64,"RB")</f>
        <v>23</v>
      </c>
      <c r="S64" s="259">
        <f>COUNTIF($F$7:F64,"WR")</f>
        <v>24</v>
      </c>
      <c r="T64" s="259">
        <f>COUNTIF($F$7:F64,"TE")</f>
        <v>3</v>
      </c>
      <c r="U64" s="259">
        <f>COUNTIF($F$7:F64,"DST")</f>
        <v>0</v>
      </c>
      <c r="V64" s="259">
        <f>COUNTIF($F$7:F64,"K")</f>
        <v>0</v>
      </c>
      <c r="X64" s="265">
        <v>58</v>
      </c>
      <c r="Y64" s="259" t="str">
        <f>IFERROR(INDEX(ADP_Import!A:A,MATCH(ADP!AB64,ADP_Import!AG:AG,0)),"")</f>
        <v>Tyler Lockett</v>
      </c>
      <c r="Z64" s="259" t="str">
        <f>IFERROR(INDEX(ADP_Import!B:B,MATCH(ADP!AB64,ADP_Import!AG:AG,0)),"")</f>
        <v>SEA</v>
      </c>
      <c r="AA64" s="259" t="str">
        <f>IFERROR(INDEX(ADP_Import!C:C,MATCH(ADP!AB64,ADP_Import!AG:AG,0)),"")</f>
        <v>WR</v>
      </c>
      <c r="AB64" s="439">
        <f>IFERROR(INDEX(ADP_Import!AG:AG,MATCH(SMALL(ADP_Import!AG:AG,X64),ADP_Import!AG:AG,0)),"NA")</f>
        <v>55.800034999999994</v>
      </c>
      <c r="AC64" s="265">
        <f>IFERROR(INDEX(ADP_Import!$D:$AE,MATCH(AB64,ADP_Import!AG:AG,0),$AG$6),"")</f>
        <v>5.2</v>
      </c>
      <c r="AI64" t="str">
        <f>INDEX('Draft Pick Order'!E:U,MATCH(A64,'Draft Pick Order'!C:C,0),(Instructions!$E$11*2-15))</f>
        <v>5-10</v>
      </c>
    </row>
    <row r="65" spans="1:35" x14ac:dyDescent="0.25">
      <c r="A65" s="230">
        <v>59</v>
      </c>
      <c r="B65">
        <f>IFERROR(IF(INDEX(Draft!BY:BY,MATCH(ADP!D65,Draft!BY:BY,0))=ADP!D65,1,0),0)</f>
        <v>0</v>
      </c>
      <c r="C65" t="str">
        <f>IF(AND(IFERROR(INDEX(Instructions!$T$111:$T$222,MATCH(D65,Instructions!$T$111:$T$222,0)), "")=D65, D65&lt;&gt;""), "X", "")</f>
        <v/>
      </c>
      <c r="D65" s="454" t="s">
        <v>2318</v>
      </c>
      <c r="E65" s="232" t="s">
        <v>148</v>
      </c>
      <c r="F65" s="232" t="s">
        <v>6</v>
      </c>
      <c r="G65" s="383">
        <v>56.600501999999999</v>
      </c>
      <c r="H65" s="455">
        <v>5.0999999999999996</v>
      </c>
      <c r="I65" s="700"/>
      <c r="J65" s="697"/>
      <c r="K65" s="688"/>
      <c r="L65" s="688"/>
      <c r="M65" s="691"/>
      <c r="N65" s="234">
        <v>59</v>
      </c>
      <c r="O65" s="385" t="str">
        <f>F65&amp;COUNTIF($F$7:F65,F65)</f>
        <v>WR25</v>
      </c>
      <c r="P65" s="268">
        <f>VALUE('Draft Pick Order'!B61)</f>
        <v>205</v>
      </c>
      <c r="Q65" s="259">
        <f>COUNTIF(D$7:$F65,"QB")</f>
        <v>8</v>
      </c>
      <c r="R65" s="259">
        <f>COUNTIF($F$7:F65,"RB")</f>
        <v>23</v>
      </c>
      <c r="S65" s="259">
        <f>COUNTIF($F$7:F65,"WR")</f>
        <v>25</v>
      </c>
      <c r="T65" s="259">
        <f>COUNTIF($F$7:F65,"TE")</f>
        <v>3</v>
      </c>
      <c r="U65" s="259">
        <f>COUNTIF($F$7:F65,"DST")</f>
        <v>0</v>
      </c>
      <c r="V65" s="259">
        <f>COUNTIF($F$7:F65,"K")</f>
        <v>0</v>
      </c>
      <c r="X65" s="265">
        <v>59</v>
      </c>
      <c r="Y65" s="259" t="str">
        <f>IFERROR(INDEX(ADP_Import!A:A,MATCH(ADP!AB65,ADP_Import!AG:AG,0)),"")</f>
        <v>Alexander Mattison</v>
      </c>
      <c r="Z65" s="259" t="str">
        <f>IFERROR(INDEX(ADP_Import!B:B,MATCH(ADP!AB65,ADP_Import!AG:AG,0)),"")</f>
        <v>MIN</v>
      </c>
      <c r="AA65" s="259" t="str">
        <f>IFERROR(INDEX(ADP_Import!C:C,MATCH(ADP!AB65,ADP_Import!AG:AG,0)),"")</f>
        <v>RB</v>
      </c>
      <c r="AB65" s="439">
        <f>IFERROR(INDEX(ADP_Import!AG:AG,MATCH(SMALL(ADP_Import!AG:AG,X65),ADP_Import!AG:AG,0)),"NA")</f>
        <v>56.500714000000002</v>
      </c>
      <c r="AC65" s="265">
        <f>IFERROR(INDEX(ADP_Import!$D:$AE,MATCH(AB65,ADP_Import!AG:AG,0),$AG$6),"")</f>
        <v>7.7</v>
      </c>
      <c r="AI65" t="str">
        <f>INDEX('Draft Pick Order'!E:U,MATCH(A65,'Draft Pick Order'!C:C,0),(Instructions!$E$11*2-15))</f>
        <v>5-11</v>
      </c>
    </row>
    <row r="66" spans="1:35" ht="15.75" thickBot="1" x14ac:dyDescent="0.3">
      <c r="A66" s="230">
        <v>60</v>
      </c>
      <c r="B66">
        <f>IFERROR(IF(INDEX(Draft!BY:BY,MATCH(ADP!D66,Draft!BY:BY,0))=ADP!D66,1,0),0)</f>
        <v>0</v>
      </c>
      <c r="C66" t="str">
        <f>IF(AND(IFERROR(INDEX(Instructions!$T$111:$T$222,MATCH(D66,Instructions!$T$111:$T$222,0)), "")=D66, D66&lt;&gt;""), "X", "")</f>
        <v/>
      </c>
      <c r="D66" s="454" t="s">
        <v>2087</v>
      </c>
      <c r="E66" s="232" t="s">
        <v>155</v>
      </c>
      <c r="F66" s="232" t="s">
        <v>6</v>
      </c>
      <c r="G66" s="384">
        <v>58.500673999999997</v>
      </c>
      <c r="H66" s="456">
        <v>5.4</v>
      </c>
      <c r="I66" s="700"/>
      <c r="J66" s="698"/>
      <c r="K66" s="689"/>
      <c r="L66" s="688"/>
      <c r="M66" s="691"/>
      <c r="N66" s="234">
        <v>60</v>
      </c>
      <c r="O66" s="385" t="str">
        <f>F66&amp;COUNTIF($F$7:F66,F66)</f>
        <v>WR26</v>
      </c>
      <c r="P66" s="268">
        <f>VALUE('Draft Pick Order'!B62)</f>
        <v>205</v>
      </c>
      <c r="Q66" s="259">
        <f>COUNTIF(D$7:$F66,"QB")</f>
        <v>8</v>
      </c>
      <c r="R66" s="259">
        <f>COUNTIF($F$7:F66,"RB")</f>
        <v>23</v>
      </c>
      <c r="S66" s="259">
        <f>COUNTIF($F$7:F66,"WR")</f>
        <v>26</v>
      </c>
      <c r="T66" s="259">
        <f>COUNTIF($F$7:F66,"TE")</f>
        <v>3</v>
      </c>
      <c r="U66" s="259">
        <f>COUNTIF($F$7:F66,"DST")</f>
        <v>0</v>
      </c>
      <c r="V66" s="259">
        <f>COUNTIF($F$7:F66,"K")</f>
        <v>0</v>
      </c>
      <c r="X66" s="265">
        <v>60</v>
      </c>
      <c r="Y66" s="259" t="str">
        <f>IFERROR(INDEX(ADP_Import!A:A,MATCH(ADP!AB66,ADP_Import!AG:AG,0)),"")</f>
        <v>Brandon Aiyuk</v>
      </c>
      <c r="Z66" s="259" t="str">
        <f>IFERROR(INDEX(ADP_Import!B:B,MATCH(ADP!AB66,ADP_Import!AG:AG,0)),"")</f>
        <v>SF</v>
      </c>
      <c r="AA66" s="259" t="str">
        <f>IFERROR(INDEX(ADP_Import!C:C,MATCH(ADP!AB66,ADP_Import!AG:AG,0)),"")</f>
        <v>WR</v>
      </c>
      <c r="AB66" s="439">
        <f>IFERROR(INDEX(ADP_Import!AG:AG,MATCH(SMALL(ADP_Import!AG:AG,X66),ADP_Import!AG:AG,0)),"NA")</f>
        <v>57.400673999999995</v>
      </c>
      <c r="AC66" s="265">
        <f>IFERROR(INDEX(ADP_Import!$D:$AE,MATCH(AB66,ADP_Import!AG:AG,0),$AG$6),"")</f>
        <v>5.7</v>
      </c>
      <c r="AI66" t="str">
        <f>INDEX('Draft Pick Order'!E:U,MATCH(A66,'Draft Pick Order'!C:C,0),(Instructions!$E$11*2-15))</f>
        <v>5-12</v>
      </c>
    </row>
    <row r="67" spans="1:35" ht="15" customHeight="1" x14ac:dyDescent="0.25">
      <c r="A67" s="230">
        <v>61</v>
      </c>
      <c r="B67">
        <f>IFERROR(IF(INDEX(Draft!BY:BY,MATCH(ADP!D67,Draft!BY:BY,0))=ADP!D67,1,0),0)</f>
        <v>0</v>
      </c>
      <c r="C67" t="str">
        <f>IF(AND(IFERROR(INDEX(Instructions!$T$111:$T$222,MATCH(D67,Instructions!$T$111:$T$222,0)), "")=D67, D67&lt;&gt;""), "X", "")</f>
        <v/>
      </c>
      <c r="D67" s="454" t="s">
        <v>1451</v>
      </c>
      <c r="E67" s="232" t="s">
        <v>155</v>
      </c>
      <c r="F67" s="232" t="s">
        <v>7</v>
      </c>
      <c r="G67" s="383">
        <v>58.700469000000005</v>
      </c>
      <c r="H67" s="455">
        <v>7.3</v>
      </c>
      <c r="I67" s="700"/>
      <c r="J67" s="693" t="s">
        <v>902</v>
      </c>
      <c r="K67" s="690" t="s">
        <v>901</v>
      </c>
      <c r="L67" s="688"/>
      <c r="M67" s="691"/>
      <c r="N67" s="234">
        <v>61</v>
      </c>
      <c r="O67" s="385" t="str">
        <f>F67&amp;COUNTIF($F$7:F67,F67)</f>
        <v>TE4</v>
      </c>
      <c r="P67" s="268">
        <f>VALUE('Draft Pick Order'!B63)</f>
        <v>205</v>
      </c>
      <c r="Q67" s="259">
        <f>COUNTIF(D$7:$F67,"QB")</f>
        <v>8</v>
      </c>
      <c r="R67" s="259">
        <f>COUNTIF($F$7:F67,"RB")</f>
        <v>23</v>
      </c>
      <c r="S67" s="259">
        <f>COUNTIF($F$7:F67,"WR")</f>
        <v>26</v>
      </c>
      <c r="T67" s="259">
        <f>COUNTIF($F$7:F67,"TE")</f>
        <v>4</v>
      </c>
      <c r="U67" s="259">
        <f>COUNTIF($F$7:F67,"DST")</f>
        <v>0</v>
      </c>
      <c r="V67" s="259">
        <f>COUNTIF($F$7:F67,"K")</f>
        <v>0</v>
      </c>
      <c r="X67" s="265">
        <v>61</v>
      </c>
      <c r="Y67" s="259" t="str">
        <f>IFERROR(INDEX(ADP_Import!A:A,MATCH(ADP!AB67,ADP_Import!AG:AG,0)),"")</f>
        <v>Trevor Lawrence</v>
      </c>
      <c r="Z67" s="259" t="str">
        <f>IFERROR(INDEX(ADP_Import!B:B,MATCH(ADP!AB67,ADP_Import!AG:AG,0)),"")</f>
        <v>JAC</v>
      </c>
      <c r="AA67" s="259" t="str">
        <f>IFERROR(INDEX(ADP_Import!C:C,MATCH(ADP!AB67,ADP_Import!AG:AG,0)),"")</f>
        <v>QB</v>
      </c>
      <c r="AB67" s="439">
        <f>IFERROR(INDEX(ADP_Import!AG:AG,MATCH(SMALL(ADP_Import!AG:AG,X67),ADP_Import!AG:AG,0)),"NA")</f>
        <v>58.400061000000001</v>
      </c>
      <c r="AC67" s="265">
        <f>IFERROR(INDEX(ADP_Import!$D:$AE,MATCH(AB67,ADP_Import!AG:AG,0),$AG$6),"")</f>
        <v>6</v>
      </c>
      <c r="AI67" t="str">
        <f>INDEX('Draft Pick Order'!E:U,MATCH(A67,'Draft Pick Order'!C:C,0),(Instructions!$E$11*2-15))</f>
        <v>6-1</v>
      </c>
    </row>
    <row r="68" spans="1:35" x14ac:dyDescent="0.25">
      <c r="A68" s="230">
        <v>62</v>
      </c>
      <c r="B68">
        <f>IFERROR(IF(INDEX(Draft!BY:BY,MATCH(ADP!D68,Draft!BY:BY,0))=ADP!D68,1,0),0)</f>
        <v>0</v>
      </c>
      <c r="C68" t="str">
        <f>IF(AND(IFERROR(INDEX(Instructions!$T$111:$T$222,MATCH(D68,Instructions!$T$111:$T$222,0)), "")=D68, D68&lt;&gt;""), "X", "")</f>
        <v/>
      </c>
      <c r="D68" s="454" t="s">
        <v>1164</v>
      </c>
      <c r="E68" s="232" t="s">
        <v>1388</v>
      </c>
      <c r="F68" s="232" t="s">
        <v>6</v>
      </c>
      <c r="G68" s="384">
        <v>59.500216999999999</v>
      </c>
      <c r="H68" s="456">
        <v>5.2</v>
      </c>
      <c r="I68" s="700"/>
      <c r="J68" s="694"/>
      <c r="K68" s="691"/>
      <c r="L68" s="688"/>
      <c r="M68" s="691"/>
      <c r="N68" s="234">
        <v>62</v>
      </c>
      <c r="O68" s="385" t="str">
        <f>F68&amp;COUNTIF($F$7:F68,F68)</f>
        <v>WR27</v>
      </c>
      <c r="P68" s="268">
        <f>VALUE('Draft Pick Order'!B64)</f>
        <v>205</v>
      </c>
      <c r="Q68" s="259">
        <f>COUNTIF(D$7:$F68,"QB")</f>
        <v>8</v>
      </c>
      <c r="R68" s="259">
        <f>COUNTIF($F$7:F68,"RB")</f>
        <v>23</v>
      </c>
      <c r="S68" s="259">
        <f>COUNTIF($F$7:F68,"WR")</f>
        <v>27</v>
      </c>
      <c r="T68" s="259">
        <f>COUNTIF($F$7:F68,"TE")</f>
        <v>4</v>
      </c>
      <c r="U68" s="259">
        <f>COUNTIF($F$7:F68,"DST")</f>
        <v>0</v>
      </c>
      <c r="V68" s="259">
        <f>COUNTIF($F$7:F68,"K")</f>
        <v>0</v>
      </c>
      <c r="X68" s="265">
        <v>62</v>
      </c>
      <c r="Y68" s="259" t="str">
        <f>IFERROR(INDEX(ADP_Import!A:A,MATCH(ADP!AB68,ADP_Import!AG:AG,0)),"")</f>
        <v>Dameon Pierce</v>
      </c>
      <c r="Z68" s="259" t="str">
        <f>IFERROR(INDEX(ADP_Import!B:B,MATCH(ADP!AB68,ADP_Import!AG:AG,0)),"")</f>
        <v>HOU</v>
      </c>
      <c r="AA68" s="259" t="str">
        <f>IFERROR(INDEX(ADP_Import!C:C,MATCH(ADP!AB68,ADP_Import!AG:AG,0)),"")</f>
        <v>RB</v>
      </c>
      <c r="AB68" s="439">
        <f>IFERROR(INDEX(ADP_Import!AG:AG,MATCH(SMALL(ADP_Import!AG:AG,X68),ADP_Import!AG:AG,0)),"NA")</f>
        <v>58.800576</v>
      </c>
      <c r="AC68" s="265">
        <f>IFERROR(INDEX(ADP_Import!$D:$AE,MATCH(AB68,ADP_Import!AG:AG,0),$AG$6),"")</f>
        <v>7.8</v>
      </c>
      <c r="AI68" t="str">
        <f>INDEX('Draft Pick Order'!E:U,MATCH(A68,'Draft Pick Order'!C:C,0),(Instructions!$E$11*2-15))</f>
        <v>6-2</v>
      </c>
    </row>
    <row r="69" spans="1:35" x14ac:dyDescent="0.25">
      <c r="A69" s="230">
        <v>63</v>
      </c>
      <c r="B69">
        <f>IFERROR(IF(INDEX(Draft!BY:BY,MATCH(ADP!D69,Draft!BY:BY,0))=ADP!D69,1,0),0)</f>
        <v>0</v>
      </c>
      <c r="C69" t="str">
        <f>IF(AND(IFERROR(INDEX(Instructions!$T$111:$T$222,MATCH(D69,Instructions!$T$111:$T$222,0)), "")=D69, D69&lt;&gt;""), "X", "")</f>
        <v/>
      </c>
      <c r="D69" s="454" t="s">
        <v>2481</v>
      </c>
      <c r="E69" s="232" t="s">
        <v>136</v>
      </c>
      <c r="F69" s="232" t="s">
        <v>3</v>
      </c>
      <c r="G69" s="383">
        <v>59.500433000000001</v>
      </c>
      <c r="H69" s="455">
        <v>5.0999999999999996</v>
      </c>
      <c r="I69" s="700"/>
      <c r="J69" s="694"/>
      <c r="K69" s="691"/>
      <c r="L69" s="688"/>
      <c r="M69" s="691"/>
      <c r="N69" s="234">
        <v>63</v>
      </c>
      <c r="O69" s="385" t="str">
        <f>F69&amp;COUNTIF($F$7:F69,F69)</f>
        <v>RB24</v>
      </c>
      <c r="P69" s="268">
        <f>VALUE('Draft Pick Order'!B65)</f>
        <v>205</v>
      </c>
      <c r="Q69" s="259">
        <f>COUNTIF(D$7:$F69,"QB")</f>
        <v>8</v>
      </c>
      <c r="R69" s="259">
        <f>COUNTIF($F$7:F69,"RB")</f>
        <v>24</v>
      </c>
      <c r="S69" s="259">
        <f>COUNTIF($F$7:F69,"WR")</f>
        <v>27</v>
      </c>
      <c r="T69" s="259">
        <f>COUNTIF($F$7:F69,"TE")</f>
        <v>4</v>
      </c>
      <c r="U69" s="259">
        <f>COUNTIF($F$7:F69,"DST")</f>
        <v>0</v>
      </c>
      <c r="V69" s="259">
        <f>COUNTIF($F$7:F69,"K")</f>
        <v>0</v>
      </c>
      <c r="X69" s="265">
        <v>63</v>
      </c>
      <c r="Y69" s="259" t="str">
        <f>IFERROR(INDEX(ADP_Import!A:A,MATCH(ADP!AB69,ADP_Import!AG:AG,0)),"")</f>
        <v>Christian Kirk</v>
      </c>
      <c r="Z69" s="259" t="str">
        <f>IFERROR(INDEX(ADP_Import!B:B,MATCH(ADP!AB69,ADP_Import!AG:AG,0)),"")</f>
        <v>JAC</v>
      </c>
      <c r="AA69" s="259" t="str">
        <f>IFERROR(INDEX(ADP_Import!C:C,MATCH(ADP!AB69,ADP_Import!AG:AG,0)),"")</f>
        <v>WR</v>
      </c>
      <c r="AB69" s="439">
        <f>IFERROR(INDEX(ADP_Import!AG:AG,MATCH(SMALL(ADP_Import!AG:AG,X69),ADP_Import!AG:AG,0)),"NA")</f>
        <v>59.900613999999997</v>
      </c>
      <c r="AC69" s="265">
        <f>IFERROR(INDEX(ADP_Import!$D:$AE,MATCH(AB69,ADP_Import!AG:AG,0),$AG$6),"")</f>
        <v>5.5</v>
      </c>
      <c r="AI69" t="str">
        <f>INDEX('Draft Pick Order'!E:U,MATCH(A69,'Draft Pick Order'!C:C,0),(Instructions!$E$11*2-15))</f>
        <v>6-3</v>
      </c>
    </row>
    <row r="70" spans="1:35" ht="15.75" thickBot="1" x14ac:dyDescent="0.3">
      <c r="A70" s="230">
        <v>64</v>
      </c>
      <c r="B70">
        <f>IFERROR(IF(INDEX(Draft!BY:BY,MATCH(ADP!D70,Draft!BY:BY,0))=ADP!D70,1,0),0)</f>
        <v>0</v>
      </c>
      <c r="C70" t="str">
        <f>IF(AND(IFERROR(INDEX(Instructions!$T$111:$T$222,MATCH(D70,Instructions!$T$111:$T$222,0)), "")=D70, D70&lt;&gt;""), "X", "")</f>
        <v/>
      </c>
      <c r="D70" s="454" t="s">
        <v>1109</v>
      </c>
      <c r="E70" s="232" t="s">
        <v>140</v>
      </c>
      <c r="F70" s="232" t="s">
        <v>6</v>
      </c>
      <c r="G70" s="384">
        <v>63.100034999999998</v>
      </c>
      <c r="H70" s="456">
        <v>6.3</v>
      </c>
      <c r="I70" s="701"/>
      <c r="J70" s="694"/>
      <c r="K70" s="691"/>
      <c r="L70" s="688"/>
      <c r="M70" s="692"/>
      <c r="N70" s="234">
        <v>64</v>
      </c>
      <c r="O70" s="385" t="str">
        <f>F70&amp;COUNTIF($F$7:F70,F70)</f>
        <v>WR28</v>
      </c>
      <c r="P70" s="268">
        <f>VALUE('Draft Pick Order'!B66)</f>
        <v>205</v>
      </c>
      <c r="Q70" s="259">
        <f>COUNTIF(D$7:$F70,"QB")</f>
        <v>8</v>
      </c>
      <c r="R70" s="259">
        <f>COUNTIF($F$7:F70,"RB")</f>
        <v>24</v>
      </c>
      <c r="S70" s="259">
        <f>COUNTIF($F$7:F70,"WR")</f>
        <v>28</v>
      </c>
      <c r="T70" s="259">
        <f>COUNTIF($F$7:F70,"TE")</f>
        <v>4</v>
      </c>
      <c r="U70" s="259">
        <f>COUNTIF($F$7:F70,"DST")</f>
        <v>0</v>
      </c>
      <c r="V70" s="259">
        <f>COUNTIF($F$7:F70,"K")</f>
        <v>0</v>
      </c>
      <c r="X70" s="265">
        <v>64</v>
      </c>
      <c r="Y70" s="259" t="str">
        <f>IFERROR(INDEX(ADP_Import!A:A,MATCH(ADP!AB70,ADP_Import!AG:AG,0)),"")</f>
        <v>Darren Waller</v>
      </c>
      <c r="Z70" s="259" t="str">
        <f>IFERROR(INDEX(ADP_Import!B:B,MATCH(ADP!AB70,ADP_Import!AG:AG,0)),"")</f>
        <v>NYG</v>
      </c>
      <c r="AA70" s="259" t="str">
        <f>IFERROR(INDEX(ADP_Import!C:C,MATCH(ADP!AB70,ADP_Import!AG:AG,0)),"")</f>
        <v>TE</v>
      </c>
      <c r="AB70" s="439">
        <f>IFERROR(INDEX(ADP_Import!AG:AG,MATCH(SMALL(ADP_Import!AG:AG,X70),ADP_Import!AG:AG,0)),"NA")</f>
        <v>61.300559999999997</v>
      </c>
      <c r="AC70" s="265">
        <f>IFERROR(INDEX(ADP_Import!$D:$AE,MATCH(AB70,ADP_Import!AG:AG,0),$AG$6),"")</f>
        <v>9.1</v>
      </c>
      <c r="AI70" t="str">
        <f>INDEX('Draft Pick Order'!E:U,MATCH(A70,'Draft Pick Order'!C:C,0),(Instructions!$E$11*2-15))</f>
        <v>6-4</v>
      </c>
    </row>
    <row r="71" spans="1:35" ht="15" customHeight="1" x14ac:dyDescent="0.25">
      <c r="A71" s="230">
        <v>65</v>
      </c>
      <c r="B71">
        <f>IFERROR(IF(INDEX(Draft!BY:BY,MATCH(ADP!D71,Draft!BY:BY,0))=ADP!D71,1,0),0)</f>
        <v>0</v>
      </c>
      <c r="C71" t="str">
        <f>IF(AND(IFERROR(INDEX(Instructions!$T$111:$T$222,MATCH(D71,Instructions!$T$111:$T$222,0)), "")=D71, D71&lt;&gt;""), "X", "")</f>
        <v/>
      </c>
      <c r="D71" s="454" t="s">
        <v>1854</v>
      </c>
      <c r="E71" s="232" t="s">
        <v>142</v>
      </c>
      <c r="F71" s="232" t="s">
        <v>3</v>
      </c>
      <c r="G71" s="383">
        <v>63.600552999999998</v>
      </c>
      <c r="H71" s="455">
        <v>6</v>
      </c>
      <c r="I71" s="702" t="s">
        <v>904</v>
      </c>
      <c r="J71" s="694"/>
      <c r="K71" s="691"/>
      <c r="L71" s="688"/>
      <c r="M71" s="687" t="s">
        <v>900</v>
      </c>
      <c r="N71" s="234">
        <v>65</v>
      </c>
      <c r="O71" s="385" t="str">
        <f>F71&amp;COUNTIF($F$7:F71,F71)</f>
        <v>RB25</v>
      </c>
      <c r="P71" s="268">
        <f>VALUE('Draft Pick Order'!B67)</f>
        <v>205</v>
      </c>
      <c r="Q71" s="259">
        <f>COUNTIF(D$7:$F71,"QB")</f>
        <v>8</v>
      </c>
      <c r="R71" s="259">
        <f>COUNTIF($F$7:F71,"RB")</f>
        <v>25</v>
      </c>
      <c r="S71" s="259">
        <f>COUNTIF($F$7:F71,"WR")</f>
        <v>28</v>
      </c>
      <c r="T71" s="259">
        <f>COUNTIF($F$7:F71,"TE")</f>
        <v>4</v>
      </c>
      <c r="U71" s="259">
        <f>COUNTIF($F$7:F71,"DST")</f>
        <v>0</v>
      </c>
      <c r="V71" s="259">
        <f>COUNTIF($F$7:F71,"K")</f>
        <v>0</v>
      </c>
      <c r="X71" s="265">
        <v>65</v>
      </c>
      <c r="Y71" s="259" t="str">
        <f>IFERROR(INDEX(ADP_Import!A:A,MATCH(ADP!AB71,ADP_Import!AG:AG,0)),"")</f>
        <v>Cam Akers</v>
      </c>
      <c r="Z71" s="259" t="str">
        <f>IFERROR(INDEX(ADP_Import!B:B,MATCH(ADP!AB71,ADP_Import!AG:AG,0)),"")</f>
        <v>LAR</v>
      </c>
      <c r="AA71" s="259" t="str">
        <f>IFERROR(INDEX(ADP_Import!C:C,MATCH(ADP!AB71,ADP_Import!AG:AG,0)),"")</f>
        <v>RB</v>
      </c>
      <c r="AB71" s="439">
        <f>IFERROR(INDEX(ADP_Import!AG:AG,MATCH(SMALL(ADP_Import!AG:AG,X71),ADP_Import!AG:AG,0)),"NA")</f>
        <v>62.900641999999998</v>
      </c>
      <c r="AC71" s="265">
        <f>IFERROR(INDEX(ADP_Import!$D:$AE,MATCH(AB71,ADP_Import!AG:AG,0),$AG$6),"")</f>
        <v>7.1</v>
      </c>
      <c r="AI71" t="str">
        <f>INDEX('Draft Pick Order'!E:U,MATCH(A71,'Draft Pick Order'!C:C,0),(Instructions!$E$11*2-15))</f>
        <v>6-5</v>
      </c>
    </row>
    <row r="72" spans="1:35" x14ac:dyDescent="0.25">
      <c r="A72" s="230">
        <v>66</v>
      </c>
      <c r="B72">
        <f>IFERROR(IF(INDEX(Draft!BY:BY,MATCH(ADP!D72,Draft!BY:BY,0))=ADP!D72,1,0),0)</f>
        <v>0</v>
      </c>
      <c r="C72" t="str">
        <f>IF(AND(IFERROR(INDEX(Instructions!$T$111:$T$222,MATCH(D72,Instructions!$T$111:$T$222,0)), "")=D72, D72&lt;&gt;""), "X", "")</f>
        <v/>
      </c>
      <c r="D72" s="454" t="s">
        <v>2295</v>
      </c>
      <c r="E72" s="232" t="s">
        <v>149</v>
      </c>
      <c r="F72" s="232" t="s">
        <v>3</v>
      </c>
      <c r="G72" s="384">
        <v>64.100157999999993</v>
      </c>
      <c r="H72" s="456">
        <v>5</v>
      </c>
      <c r="I72" s="703"/>
      <c r="J72" s="694"/>
      <c r="K72" s="691"/>
      <c r="L72" s="688"/>
      <c r="M72" s="688"/>
      <c r="N72" s="234">
        <v>66</v>
      </c>
      <c r="O72" s="385" t="str">
        <f>F72&amp;COUNTIF($F$7:F72,F72)</f>
        <v>RB26</v>
      </c>
      <c r="P72" s="268">
        <f>VALUE('Draft Pick Order'!B68)</f>
        <v>205</v>
      </c>
      <c r="Q72" s="259">
        <f>COUNTIF(D$7:$F72,"QB")</f>
        <v>8</v>
      </c>
      <c r="R72" s="259">
        <f>COUNTIF($F$7:F72,"RB")</f>
        <v>26</v>
      </c>
      <c r="S72" s="259">
        <f>COUNTIF($F$7:F72,"WR")</f>
        <v>28</v>
      </c>
      <c r="T72" s="259">
        <f>COUNTIF($F$7:F72,"TE")</f>
        <v>4</v>
      </c>
      <c r="U72" s="259">
        <f>COUNTIF($F$7:F72,"DST")</f>
        <v>0</v>
      </c>
      <c r="V72" s="259">
        <f>COUNTIF($F$7:F72,"K")</f>
        <v>0</v>
      </c>
      <c r="X72" s="265">
        <v>66</v>
      </c>
      <c r="Y72" s="259" t="str">
        <f>IFERROR(INDEX(ADP_Import!A:A,MATCH(ADP!AB72,ADP_Import!AG:AG,0)),"")</f>
        <v>Michael Pittman</v>
      </c>
      <c r="Z72" s="259" t="str">
        <f>IFERROR(INDEX(ADP_Import!B:B,MATCH(ADP!AB72,ADP_Import!AG:AG,0)),"")</f>
        <v>IND</v>
      </c>
      <c r="AA72" s="259" t="str">
        <f>IFERROR(INDEX(ADP_Import!C:C,MATCH(ADP!AB72,ADP_Import!AG:AG,0)),"")</f>
        <v>WR</v>
      </c>
      <c r="AB72" s="439">
        <f>IFERROR(INDEX(ADP_Import!AG:AG,MATCH(SMALL(ADP_Import!AG:AG,X72),ADP_Import!AG:AG,0)),"NA")</f>
        <v>63.100225999999999</v>
      </c>
      <c r="AC72" s="265">
        <f>IFERROR(INDEX(ADP_Import!$D:$AE,MATCH(AB72,ADP_Import!AG:AG,0),$AG$6),"")</f>
        <v>6</v>
      </c>
      <c r="AI72" t="str">
        <f>INDEX('Draft Pick Order'!E:U,MATCH(A72,'Draft Pick Order'!C:C,0),(Instructions!$E$11*2-15))</f>
        <v>6-6</v>
      </c>
    </row>
    <row r="73" spans="1:35" x14ac:dyDescent="0.25">
      <c r="A73" s="230">
        <v>67</v>
      </c>
      <c r="B73">
        <f>IFERROR(IF(INDEX(Draft!BY:BY,MATCH(ADP!D73,Draft!BY:BY,0))=ADP!D73,1,0),0)</f>
        <v>0</v>
      </c>
      <c r="C73" t="str">
        <f>IF(AND(IFERROR(INDEX(Instructions!$T$111:$T$222,MATCH(D73,Instructions!$T$111:$T$222,0)), "")=D73, D73&lt;&gt;""), "X", "")</f>
        <v/>
      </c>
      <c r="D73" s="454" t="s">
        <v>1791</v>
      </c>
      <c r="E73" s="232" t="s">
        <v>165</v>
      </c>
      <c r="F73" s="232" t="s">
        <v>6</v>
      </c>
      <c r="G73" s="383">
        <v>64.800613999999996</v>
      </c>
      <c r="H73" s="455">
        <v>5.2</v>
      </c>
      <c r="I73" s="703"/>
      <c r="J73" s="694"/>
      <c r="K73" s="691"/>
      <c r="L73" s="688"/>
      <c r="M73" s="688"/>
      <c r="N73" s="234">
        <v>67</v>
      </c>
      <c r="O73" s="385" t="str">
        <f>F73&amp;COUNTIF($F$7:F73,F73)</f>
        <v>WR29</v>
      </c>
      <c r="P73" s="268">
        <f>VALUE('Draft Pick Order'!B69)</f>
        <v>205</v>
      </c>
      <c r="Q73" s="259">
        <f>COUNTIF(D$7:$F73,"QB")</f>
        <v>8</v>
      </c>
      <c r="R73" s="259">
        <f>COUNTIF($F$7:F73,"RB")</f>
        <v>26</v>
      </c>
      <c r="S73" s="259">
        <f>COUNTIF($F$7:F73,"WR")</f>
        <v>29</v>
      </c>
      <c r="T73" s="259">
        <f>COUNTIF($F$7:F73,"TE")</f>
        <v>4</v>
      </c>
      <c r="U73" s="259">
        <f>COUNTIF($F$7:F73,"DST")</f>
        <v>0</v>
      </c>
      <c r="V73" s="259">
        <f>COUNTIF($F$7:F73,"K")</f>
        <v>0</v>
      </c>
      <c r="X73" s="265">
        <v>67</v>
      </c>
      <c r="Y73" s="259" t="str">
        <f>IFERROR(INDEX(ADP_Import!A:A,MATCH(ADP!AB73,ADP_Import!AG:AG,0)),"")</f>
        <v>Mike Williams</v>
      </c>
      <c r="Z73" s="259" t="str">
        <f>IFERROR(INDEX(ADP_Import!B:B,MATCH(ADP!AB73,ADP_Import!AG:AG,0)),"")</f>
        <v>LAC</v>
      </c>
      <c r="AA73" s="259" t="str">
        <f>IFERROR(INDEX(ADP_Import!C:C,MATCH(ADP!AB73,ADP_Import!AG:AG,0)),"")</f>
        <v>WR</v>
      </c>
      <c r="AB73" s="439">
        <f>IFERROR(INDEX(ADP_Import!AG:AG,MATCH(SMALL(ADP_Import!AG:AG,X73),ADP_Import!AG:AG,0)),"NA")</f>
        <v>63.300216999999996</v>
      </c>
      <c r="AC73" s="265">
        <f>IFERROR(INDEX(ADP_Import!$D:$AE,MATCH(AB73,ADP_Import!AG:AG,0),$AG$6),"")</f>
        <v>6.1</v>
      </c>
      <c r="AI73" t="str">
        <f>INDEX('Draft Pick Order'!E:U,MATCH(A73,'Draft Pick Order'!C:C,0),(Instructions!$E$11*2-15))</f>
        <v>6-7</v>
      </c>
    </row>
    <row r="74" spans="1:35" x14ac:dyDescent="0.25">
      <c r="A74" s="230">
        <v>68</v>
      </c>
      <c r="B74">
        <f>IFERROR(IF(INDEX(Draft!BY:BY,MATCH(ADP!D74,Draft!BY:BY,0))=ADP!D74,1,0),0)</f>
        <v>0</v>
      </c>
      <c r="C74" t="str">
        <f>IF(AND(IFERROR(INDEX(Instructions!$T$111:$T$222,MATCH(D74,Instructions!$T$111:$T$222,0)), "")=D74, D74&lt;&gt;""), "X", "")</f>
        <v/>
      </c>
      <c r="D74" s="454" t="s">
        <v>2174</v>
      </c>
      <c r="E74" s="232" t="s">
        <v>144</v>
      </c>
      <c r="F74" s="232" t="s">
        <v>3</v>
      </c>
      <c r="G74" s="384">
        <v>65.100381999999996</v>
      </c>
      <c r="H74" s="456">
        <v>6</v>
      </c>
      <c r="I74" s="703"/>
      <c r="J74" s="694"/>
      <c r="K74" s="691"/>
      <c r="L74" s="688"/>
      <c r="M74" s="688"/>
      <c r="N74" s="234">
        <v>68</v>
      </c>
      <c r="O74" s="385" t="str">
        <f>F74&amp;COUNTIF($F$7:F74,F74)</f>
        <v>RB27</v>
      </c>
      <c r="P74" s="268">
        <f>VALUE('Draft Pick Order'!B70)</f>
        <v>205</v>
      </c>
      <c r="Q74" s="259">
        <f>COUNTIF(D$7:$F74,"QB")</f>
        <v>8</v>
      </c>
      <c r="R74" s="259">
        <f>COUNTIF($F$7:F74,"RB")</f>
        <v>27</v>
      </c>
      <c r="S74" s="259">
        <f>COUNTIF($F$7:F74,"WR")</f>
        <v>29</v>
      </c>
      <c r="T74" s="259">
        <f>COUNTIF($F$7:F74,"TE")</f>
        <v>4</v>
      </c>
      <c r="U74" s="259">
        <f>COUNTIF($F$7:F74,"DST")</f>
        <v>0</v>
      </c>
      <c r="V74" s="259">
        <f>COUNTIF($F$7:F74,"K")</f>
        <v>0</v>
      </c>
      <c r="X74" s="265">
        <v>68</v>
      </c>
      <c r="Y74" s="259" t="str">
        <f>IFERROR(INDEX(ADP_Import!A:A,MATCH(ADP!AB74,ADP_Import!AG:AG,0)),"")</f>
        <v>James Conner</v>
      </c>
      <c r="Z74" s="259" t="str">
        <f>IFERROR(INDEX(ADP_Import!B:B,MATCH(ADP!AB74,ADP_Import!AG:AG,0)),"")</f>
        <v>AZ</v>
      </c>
      <c r="AA74" s="259" t="str">
        <f>IFERROR(INDEX(ADP_Import!C:C,MATCH(ADP!AB74,ADP_Import!AG:AG,0)),"")</f>
        <v>RB</v>
      </c>
      <c r="AB74" s="439">
        <f>IFERROR(INDEX(ADP_Import!AG:AG,MATCH(SMALL(ADP_Import!AG:AG,X74),ADP_Import!AG:AG,0)),"NA")</f>
        <v>65.400401000000002</v>
      </c>
      <c r="AC74" s="265">
        <f>IFERROR(INDEX(ADP_Import!$D:$AE,MATCH(AB74,ADP_Import!AG:AG,0),$AG$6),"")</f>
        <v>6.7</v>
      </c>
      <c r="AI74" t="str">
        <f>INDEX('Draft Pick Order'!E:U,MATCH(A74,'Draft Pick Order'!C:C,0),(Instructions!$E$11*2-15))</f>
        <v>6-8</v>
      </c>
    </row>
    <row r="75" spans="1:35" x14ac:dyDescent="0.25">
      <c r="A75" s="230">
        <v>69</v>
      </c>
      <c r="B75">
        <f>IFERROR(IF(INDEX(Draft!BY:BY,MATCH(ADP!D75,Draft!BY:BY,0))=ADP!D75,1,0),0)</f>
        <v>0</v>
      </c>
      <c r="C75" t="str">
        <f>IF(AND(IFERROR(INDEX(Instructions!$T$111:$T$222,MATCH(D75,Instructions!$T$111:$T$222,0)), "")=D75, D75&lt;&gt;""), "X", "")</f>
        <v/>
      </c>
      <c r="D75" s="454" t="s">
        <v>1429</v>
      </c>
      <c r="E75" s="232" t="s">
        <v>143</v>
      </c>
      <c r="F75" s="232" t="s">
        <v>3</v>
      </c>
      <c r="G75" s="383">
        <v>65.800710999999993</v>
      </c>
      <c r="H75" s="455">
        <v>6.2</v>
      </c>
      <c r="I75" s="703"/>
      <c r="J75" s="694"/>
      <c r="K75" s="691"/>
      <c r="L75" s="688"/>
      <c r="M75" s="688"/>
      <c r="N75" s="234">
        <v>69</v>
      </c>
      <c r="O75" s="385" t="str">
        <f>F75&amp;COUNTIF($F$7:F75,F75)</f>
        <v>RB28</v>
      </c>
      <c r="P75" s="268">
        <f>VALUE('Draft Pick Order'!B71)</f>
        <v>205</v>
      </c>
      <c r="Q75" s="259">
        <f>COUNTIF(D$7:$F75,"QB")</f>
        <v>8</v>
      </c>
      <c r="R75" s="259">
        <f>COUNTIF($F$7:F75,"RB")</f>
        <v>28</v>
      </c>
      <c r="S75" s="259">
        <f>COUNTIF($F$7:F75,"WR")</f>
        <v>29</v>
      </c>
      <c r="T75" s="259">
        <f>COUNTIF($F$7:F75,"TE")</f>
        <v>4</v>
      </c>
      <c r="U75" s="259">
        <f>COUNTIF($F$7:F75,"DST")</f>
        <v>0</v>
      </c>
      <c r="V75" s="259">
        <f>COUNTIF($F$7:F75,"K")</f>
        <v>0</v>
      </c>
      <c r="X75" s="265">
        <v>69</v>
      </c>
      <c r="Y75" s="259" t="str">
        <f>IFERROR(INDEX(ADP_Import!A:A,MATCH(ADP!AB75,ADP_Import!AG:AG,0)),"")</f>
        <v>Mike Evans</v>
      </c>
      <c r="Z75" s="259" t="str">
        <f>IFERROR(INDEX(ADP_Import!B:B,MATCH(ADP!AB75,ADP_Import!AG:AG,0)),"")</f>
        <v>TB</v>
      </c>
      <c r="AA75" s="259" t="str">
        <f>IFERROR(INDEX(ADP_Import!C:C,MATCH(ADP!AB75,ADP_Import!AG:AG,0)),"")</f>
        <v>WR</v>
      </c>
      <c r="AB75" s="439">
        <f>IFERROR(INDEX(ADP_Import!AG:AG,MATCH(SMALL(ADP_Import!AG:AG,X75),ADP_Import!AG:AG,0)),"NA")</f>
        <v>66.800220999999993</v>
      </c>
      <c r="AC75" s="265">
        <f>IFERROR(INDEX(ADP_Import!$D:$AE,MATCH(AB75,ADP_Import!AG:AG,0),$AG$6),"")</f>
        <v>7</v>
      </c>
      <c r="AI75" t="str">
        <f>INDEX('Draft Pick Order'!E:U,MATCH(A75,'Draft Pick Order'!C:C,0),(Instructions!$E$11*2-15))</f>
        <v>6-9</v>
      </c>
    </row>
    <row r="76" spans="1:35" ht="15.75" thickBot="1" x14ac:dyDescent="0.3">
      <c r="A76" s="230">
        <v>70</v>
      </c>
      <c r="B76">
        <f>IFERROR(IF(INDEX(Draft!BY:BY,MATCH(ADP!D76,Draft!BY:BY,0))=ADP!D76,1,0),0)</f>
        <v>0</v>
      </c>
      <c r="C76" t="str">
        <f>IF(AND(IFERROR(INDEX(Instructions!$T$111:$T$222,MATCH(D76,Instructions!$T$111:$T$222,0)), "")=D76, D76&lt;&gt;""), "X", "")</f>
        <v/>
      </c>
      <c r="D76" s="454" t="s">
        <v>104</v>
      </c>
      <c r="E76" s="232" t="s">
        <v>149</v>
      </c>
      <c r="F76" s="232" t="s">
        <v>6</v>
      </c>
      <c r="G76" s="384">
        <v>67.000220999999996</v>
      </c>
      <c r="H76" s="456">
        <v>5.5</v>
      </c>
      <c r="I76" s="703"/>
      <c r="J76" s="695"/>
      <c r="K76" s="691"/>
      <c r="L76" s="689"/>
      <c r="M76" s="688"/>
      <c r="N76" s="234">
        <v>70</v>
      </c>
      <c r="O76" s="385" t="str">
        <f>F76&amp;COUNTIF($F$7:F76,F76)</f>
        <v>WR30</v>
      </c>
      <c r="P76" s="268">
        <f>VALUE('Draft Pick Order'!B72)</f>
        <v>205</v>
      </c>
      <c r="Q76" s="259">
        <f>COUNTIF(D$7:$F76,"QB")</f>
        <v>8</v>
      </c>
      <c r="R76" s="259">
        <f>COUNTIF($F$7:F76,"RB")</f>
        <v>28</v>
      </c>
      <c r="S76" s="259">
        <f>COUNTIF($F$7:F76,"WR")</f>
        <v>30</v>
      </c>
      <c r="T76" s="259">
        <f>COUNTIF($F$7:F76,"TE")</f>
        <v>4</v>
      </c>
      <c r="U76" s="259">
        <f>COUNTIF($F$7:F76,"DST")</f>
        <v>0</v>
      </c>
      <c r="V76" s="259">
        <f>COUNTIF($F$7:F76,"K")</f>
        <v>0</v>
      </c>
      <c r="X76" s="265">
        <v>70</v>
      </c>
      <c r="Y76" s="259" t="str">
        <f>IFERROR(INDEX(ADP_Import!A:A,MATCH(ADP!AB76,ADP_Import!AG:AG,0)),"")</f>
        <v>Rachaad White</v>
      </c>
      <c r="Z76" s="259" t="str">
        <f>IFERROR(INDEX(ADP_Import!B:B,MATCH(ADP!AB76,ADP_Import!AG:AG,0)),"")</f>
        <v>TB</v>
      </c>
      <c r="AA76" s="259" t="str">
        <f>IFERROR(INDEX(ADP_Import!C:C,MATCH(ADP!AB76,ADP_Import!AG:AG,0)),"")</f>
        <v>RB</v>
      </c>
      <c r="AB76" s="439">
        <f>IFERROR(INDEX(ADP_Import!AG:AG,MATCH(SMALL(ADP_Import!AG:AG,X76),ADP_Import!AG:AG,0)),"NA")</f>
        <v>67.700158000000002</v>
      </c>
      <c r="AC76" s="265">
        <f>IFERROR(INDEX(ADP_Import!$D:$AE,MATCH(AB76,ADP_Import!AG:AG,0),$AG$6),"")</f>
        <v>6.6</v>
      </c>
      <c r="AI76" t="str">
        <f>INDEX('Draft Pick Order'!E:U,MATCH(A76,'Draft Pick Order'!C:C,0),(Instructions!$E$11*2-15))</f>
        <v>6-10</v>
      </c>
    </row>
    <row r="77" spans="1:35" ht="15" customHeight="1" x14ac:dyDescent="0.25">
      <c r="A77" s="230">
        <v>71</v>
      </c>
      <c r="B77">
        <f>IFERROR(IF(INDEX(Draft!BY:BY,MATCH(ADP!D77,Draft!BY:BY,0))=ADP!D77,1,0),0)</f>
        <v>0</v>
      </c>
      <c r="C77" t="str">
        <f>IF(AND(IFERROR(INDEX(Instructions!$T$111:$T$222,MATCH(D77,Instructions!$T$111:$T$222,0)), "")=D77, D77&lt;&gt;""), "X", "")</f>
        <v/>
      </c>
      <c r="D77" s="454" t="s">
        <v>2076</v>
      </c>
      <c r="E77" s="232" t="s">
        <v>137</v>
      </c>
      <c r="F77" s="232" t="s">
        <v>3</v>
      </c>
      <c r="G77" s="383">
        <v>69.000572000000005</v>
      </c>
      <c r="H77" s="455">
        <v>6.6</v>
      </c>
      <c r="I77" s="703"/>
      <c r="J77" s="693" t="s">
        <v>903</v>
      </c>
      <c r="K77" s="691"/>
      <c r="L77" s="690" t="s">
        <v>901</v>
      </c>
      <c r="M77" s="688"/>
      <c r="N77" s="234">
        <v>71</v>
      </c>
      <c r="O77" s="385" t="str">
        <f>F77&amp;COUNTIF($F$7:F77,F77)</f>
        <v>RB29</v>
      </c>
      <c r="P77" s="268">
        <f>VALUE('Draft Pick Order'!B73)</f>
        <v>206</v>
      </c>
      <c r="Q77" s="259">
        <f>COUNTIF(D$7:$F77,"QB")</f>
        <v>8</v>
      </c>
      <c r="R77" s="259">
        <f>COUNTIF($F$7:F77,"RB")</f>
        <v>29</v>
      </c>
      <c r="S77" s="259">
        <f>COUNTIF($F$7:F77,"WR")</f>
        <v>30</v>
      </c>
      <c r="T77" s="259">
        <f>COUNTIF($F$7:F77,"TE")</f>
        <v>4</v>
      </c>
      <c r="U77" s="259">
        <f>COUNTIF($F$7:F77,"DST")</f>
        <v>0</v>
      </c>
      <c r="V77" s="259">
        <f>COUNTIF($F$7:F77,"K")</f>
        <v>0</v>
      </c>
      <c r="X77" s="265">
        <v>71</v>
      </c>
      <c r="Y77" s="259" t="str">
        <f>IFERROR(INDEX(ADP_Import!A:A,MATCH(ADP!AB77,ADP_Import!AG:AG,0)),"")</f>
        <v>Alvin Kamara</v>
      </c>
      <c r="Z77" s="259" t="str">
        <f>IFERROR(INDEX(ADP_Import!B:B,MATCH(ADP!AB77,ADP_Import!AG:AG,0)),"")</f>
        <v>NO</v>
      </c>
      <c r="AA77" s="259" t="str">
        <f>IFERROR(INDEX(ADP_Import!C:C,MATCH(ADP!AB77,ADP_Import!AG:AG,0)),"")</f>
        <v>RB</v>
      </c>
      <c r="AB77" s="439">
        <f>IFERROR(INDEX(ADP_Import!AG:AG,MATCH(SMALL(ADP_Import!AG:AG,X77),ADP_Import!AG:AG,0)),"NA")</f>
        <v>68.60071099999999</v>
      </c>
      <c r="AC77" s="265">
        <f>IFERROR(INDEX(ADP_Import!$D:$AE,MATCH(AB77,ADP_Import!AG:AG,0),$AG$6),"")</f>
        <v>7.8</v>
      </c>
      <c r="AI77" t="str">
        <f>INDEX('Draft Pick Order'!E:U,MATCH(A77,'Draft Pick Order'!C:C,0),(Instructions!$E$11*2-15))</f>
        <v>6-11</v>
      </c>
    </row>
    <row r="78" spans="1:35" ht="15.75" thickBot="1" x14ac:dyDescent="0.3">
      <c r="A78" s="230">
        <v>72</v>
      </c>
      <c r="B78">
        <f>IFERROR(IF(INDEX(Draft!BY:BY,MATCH(ADP!D78,Draft!BY:BY,0))=ADP!D78,1,0),0)</f>
        <v>0</v>
      </c>
      <c r="C78" t="str">
        <f>IF(AND(IFERROR(INDEX(Instructions!$T$111:$T$222,MATCH(D78,Instructions!$T$111:$T$222,0)), "")=D78, D78&lt;&gt;""), "X", "")</f>
        <v/>
      </c>
      <c r="D78" s="454" t="s">
        <v>1431</v>
      </c>
      <c r="E78" s="232" t="s">
        <v>161</v>
      </c>
      <c r="F78" s="232" t="s">
        <v>1</v>
      </c>
      <c r="G78" s="384">
        <v>69.200525999999996</v>
      </c>
      <c r="H78" s="456">
        <v>8.6999999999999993</v>
      </c>
      <c r="I78" s="704"/>
      <c r="J78" s="694"/>
      <c r="K78" s="692"/>
      <c r="L78" s="691"/>
      <c r="M78" s="688"/>
      <c r="N78" s="234">
        <v>72</v>
      </c>
      <c r="O78" s="385" t="str">
        <f>F78&amp;COUNTIF($F$7:F78,F78)</f>
        <v>QB9</v>
      </c>
      <c r="P78" s="268">
        <f>VALUE('Draft Pick Order'!B74)</f>
        <v>206</v>
      </c>
      <c r="Q78" s="259">
        <f>COUNTIF(D$7:$F78,"QB")</f>
        <v>9</v>
      </c>
      <c r="R78" s="259">
        <f>COUNTIF($F$7:F78,"RB")</f>
        <v>29</v>
      </c>
      <c r="S78" s="259">
        <f>COUNTIF($F$7:F78,"WR")</f>
        <v>30</v>
      </c>
      <c r="T78" s="259">
        <f>COUNTIF($F$7:F78,"TE")</f>
        <v>4</v>
      </c>
      <c r="U78" s="259">
        <f>COUNTIF($F$7:F78,"DST")</f>
        <v>0</v>
      </c>
      <c r="V78" s="259">
        <f>COUNTIF($F$7:F78,"K")</f>
        <v>0</v>
      </c>
      <c r="X78" s="265">
        <v>72</v>
      </c>
      <c r="Y78" s="259" t="str">
        <f>IFERROR(INDEX(ADP_Import!A:A,MATCH(ADP!AB78,ADP_Import!AG:AG,0)),"")</f>
        <v>Dallas Goedert</v>
      </c>
      <c r="Z78" s="259" t="str">
        <f>IFERROR(INDEX(ADP_Import!B:B,MATCH(ADP!AB78,ADP_Import!AG:AG,0)),"")</f>
        <v>PHI</v>
      </c>
      <c r="AA78" s="259" t="str">
        <f>IFERROR(INDEX(ADP_Import!C:C,MATCH(ADP!AB78,ADP_Import!AG:AG,0)),"")</f>
        <v>TE</v>
      </c>
      <c r="AB78" s="439">
        <f>IFERROR(INDEX(ADP_Import!AG:AG,MATCH(SMALL(ADP_Import!AG:AG,X78),ADP_Import!AG:AG,0)),"NA")</f>
        <v>69.100580999999991</v>
      </c>
      <c r="AC78" s="265">
        <f>IFERROR(INDEX(ADP_Import!$D:$AE,MATCH(AB78,ADP_Import!AG:AG,0),$AG$6),"")</f>
        <v>8.8000000000000007</v>
      </c>
      <c r="AI78" t="str">
        <f>INDEX('Draft Pick Order'!E:U,MATCH(A78,'Draft Pick Order'!C:C,0),(Instructions!$E$11*2-15))</f>
        <v>6-12</v>
      </c>
    </row>
    <row r="79" spans="1:35" ht="15" customHeight="1" x14ac:dyDescent="0.25">
      <c r="A79" s="230">
        <v>73</v>
      </c>
      <c r="B79">
        <f>IFERROR(IF(INDEX(Draft!BY:BY,MATCH(ADP!D79,Draft!BY:BY,0))=ADP!D79,1,0),0)</f>
        <v>0</v>
      </c>
      <c r="C79" t="str">
        <f>IF(AND(IFERROR(INDEX(Instructions!$T$111:$T$222,MATCH(D79,Instructions!$T$111:$T$222,0)), "")=D79, D79&lt;&gt;""), "X", "")</f>
        <v/>
      </c>
      <c r="D79" s="454" t="s">
        <v>1434</v>
      </c>
      <c r="E79" s="232" t="s">
        <v>149</v>
      </c>
      <c r="F79" s="232" t="s">
        <v>6</v>
      </c>
      <c r="G79" s="383">
        <v>70.200620000000001</v>
      </c>
      <c r="H79" s="455">
        <v>5.3</v>
      </c>
      <c r="I79" s="699" t="s">
        <v>905</v>
      </c>
      <c r="J79" s="694"/>
      <c r="K79" s="687" t="s">
        <v>902</v>
      </c>
      <c r="L79" s="691"/>
      <c r="M79" s="688"/>
      <c r="N79" s="234">
        <v>73</v>
      </c>
      <c r="O79" s="385" t="str">
        <f>F79&amp;COUNTIF($F$7:F79,F79)</f>
        <v>WR31</v>
      </c>
      <c r="P79" s="268">
        <f>VALUE('Draft Pick Order'!B75)</f>
        <v>206</v>
      </c>
      <c r="Q79" s="259">
        <f>COUNTIF(D$7:$F79,"QB")</f>
        <v>9</v>
      </c>
      <c r="R79" s="259">
        <f>COUNTIF($F$7:F79,"RB")</f>
        <v>29</v>
      </c>
      <c r="S79" s="259">
        <f>COUNTIF($F$7:F79,"WR")</f>
        <v>31</v>
      </c>
      <c r="T79" s="259">
        <f>COUNTIF($F$7:F79,"TE")</f>
        <v>4</v>
      </c>
      <c r="U79" s="259">
        <f>COUNTIF($F$7:F79,"DST")</f>
        <v>0</v>
      </c>
      <c r="V79" s="259">
        <f>COUNTIF($F$7:F79,"K")</f>
        <v>0</v>
      </c>
      <c r="X79" s="265">
        <v>73</v>
      </c>
      <c r="Y79" s="259" t="str">
        <f>IFERROR(INDEX(ADP_Import!A:A,MATCH(ADP!AB79,ADP_Import!AG:AG,0)),"")</f>
        <v>Marquise Brown</v>
      </c>
      <c r="Z79" s="259" t="str">
        <f>IFERROR(INDEX(ADP_Import!B:B,MATCH(ADP!AB79,ADP_Import!AG:AG,0)),"")</f>
        <v>AZ</v>
      </c>
      <c r="AA79" s="259" t="str">
        <f>IFERROR(INDEX(ADP_Import!C:C,MATCH(ADP!AB79,ADP_Import!AG:AG,0)),"")</f>
        <v>WR</v>
      </c>
      <c r="AB79" s="439">
        <f>IFERROR(INDEX(ADP_Import!AG:AG,MATCH(SMALL(ADP_Import!AG:AG,X79),ADP_Import!AG:AG,0)),"NA")</f>
        <v>71.000249999999994</v>
      </c>
      <c r="AC79" s="265">
        <f>IFERROR(INDEX(ADP_Import!$D:$AE,MATCH(AB79,ADP_Import!AG:AG,0),$AG$6),"")</f>
        <v>6.8</v>
      </c>
      <c r="AI79" t="str">
        <f>INDEX('Draft Pick Order'!E:U,MATCH(A79,'Draft Pick Order'!C:C,0),(Instructions!$E$11*2-15))</f>
        <v>7-1</v>
      </c>
    </row>
    <row r="80" spans="1:35" x14ac:dyDescent="0.25">
      <c r="A80" s="230">
        <v>74</v>
      </c>
      <c r="B80">
        <f>IFERROR(IF(INDEX(Draft!BY:BY,MATCH(ADP!D80,Draft!BY:BY,0))=ADP!D80,1,0),0)</f>
        <v>0</v>
      </c>
      <c r="C80" t="str">
        <f>IF(AND(IFERROR(INDEX(Instructions!$T$111:$T$222,MATCH(D80,Instructions!$T$111:$T$222,0)), "")=D80, D80&lt;&gt;""), "X", "")</f>
        <v/>
      </c>
      <c r="D80" s="454" t="s">
        <v>2291</v>
      </c>
      <c r="E80" s="232" t="s">
        <v>156</v>
      </c>
      <c r="F80" s="232" t="s">
        <v>3</v>
      </c>
      <c r="G80" s="384">
        <v>71.500399999999999</v>
      </c>
      <c r="H80" s="456">
        <v>7.7</v>
      </c>
      <c r="I80" s="700"/>
      <c r="J80" s="694"/>
      <c r="K80" s="688"/>
      <c r="L80" s="691"/>
      <c r="M80" s="688"/>
      <c r="N80" s="234">
        <v>74</v>
      </c>
      <c r="O80" s="385" t="str">
        <f>F80&amp;COUNTIF($F$7:F80,F80)</f>
        <v>RB30</v>
      </c>
      <c r="P80" s="268">
        <f>VALUE('Draft Pick Order'!B76)</f>
        <v>207</v>
      </c>
      <c r="Q80" s="259">
        <f>COUNTIF(D$7:$F80,"QB")</f>
        <v>9</v>
      </c>
      <c r="R80" s="259">
        <f>COUNTIF($F$7:F80,"RB")</f>
        <v>30</v>
      </c>
      <c r="S80" s="259">
        <f>COUNTIF($F$7:F80,"WR")</f>
        <v>31</v>
      </c>
      <c r="T80" s="259">
        <f>COUNTIF($F$7:F80,"TE")</f>
        <v>4</v>
      </c>
      <c r="U80" s="259">
        <f>COUNTIF($F$7:F80,"DST")</f>
        <v>0</v>
      </c>
      <c r="V80" s="259">
        <f>COUNTIF($F$7:F80,"K")</f>
        <v>0</v>
      </c>
      <c r="X80" s="265">
        <v>74</v>
      </c>
      <c r="Y80" s="259" t="str">
        <f>IFERROR(INDEX(ADP_Import!A:A,MATCH(ADP!AB80,ADP_Import!AG:AG,0)),"")</f>
        <v>George Pickens</v>
      </c>
      <c r="Z80" s="259" t="str">
        <f>IFERROR(INDEX(ADP_Import!B:B,MATCH(ADP!AB80,ADP_Import!AG:AG,0)),"")</f>
        <v>PIT</v>
      </c>
      <c r="AA80" s="259" t="str">
        <f>IFERROR(INDEX(ADP_Import!C:C,MATCH(ADP!AB80,ADP_Import!AG:AG,0)),"")</f>
        <v>WR</v>
      </c>
      <c r="AB80" s="439">
        <f>IFERROR(INDEX(ADP_Import!AG:AG,MATCH(SMALL(ADP_Import!AG:AG,X80),ADP_Import!AG:AG,0)),"NA")</f>
        <v>71.000467999999998</v>
      </c>
      <c r="AC80" s="265">
        <f>IFERROR(INDEX(ADP_Import!$D:$AE,MATCH(AB80,ADP_Import!AG:AG,0),$AG$6),"")</f>
        <v>8</v>
      </c>
      <c r="AI80" t="str">
        <f>INDEX('Draft Pick Order'!E:U,MATCH(A80,'Draft Pick Order'!C:C,0),(Instructions!$E$11*2-15))</f>
        <v>7-2</v>
      </c>
    </row>
    <row r="81" spans="1:35" x14ac:dyDescent="0.25">
      <c r="A81" s="230">
        <v>75</v>
      </c>
      <c r="B81">
        <f>IFERROR(IF(INDEX(Draft!BY:BY,MATCH(ADP!D81,Draft!BY:BY,0))=ADP!D81,1,0),0)</f>
        <v>0</v>
      </c>
      <c r="C81" t="str">
        <f>IF(AND(IFERROR(INDEX(Instructions!$T$111:$T$222,MATCH(D81,Instructions!$T$111:$T$222,0)), "")=D81, D81&lt;&gt;""), "X", "")</f>
        <v/>
      </c>
      <c r="D81" s="454" t="s">
        <v>1334</v>
      </c>
      <c r="E81" s="232" t="s">
        <v>154</v>
      </c>
      <c r="F81" s="232" t="s">
        <v>7</v>
      </c>
      <c r="G81" s="383">
        <v>72.000559999999993</v>
      </c>
      <c r="H81" s="455">
        <v>9.6999999999999993</v>
      </c>
      <c r="I81" s="700"/>
      <c r="J81" s="694"/>
      <c r="K81" s="688"/>
      <c r="L81" s="691"/>
      <c r="M81" s="688"/>
      <c r="N81" s="234">
        <v>75</v>
      </c>
      <c r="O81" s="385" t="str">
        <f>F81&amp;COUNTIF($F$7:F81,F81)</f>
        <v>TE5</v>
      </c>
      <c r="P81" s="268">
        <f>VALUE('Draft Pick Order'!B77)</f>
        <v>207</v>
      </c>
      <c r="Q81" s="259">
        <f>COUNTIF(D$7:$F81,"QB")</f>
        <v>9</v>
      </c>
      <c r="R81" s="259">
        <f>COUNTIF($F$7:F81,"RB")</f>
        <v>30</v>
      </c>
      <c r="S81" s="259">
        <f>COUNTIF($F$7:F81,"WR")</f>
        <v>31</v>
      </c>
      <c r="T81" s="259">
        <f>COUNTIF($F$7:F81,"TE")</f>
        <v>5</v>
      </c>
      <c r="U81" s="259">
        <f>COUNTIF($F$7:F81,"DST")</f>
        <v>0</v>
      </c>
      <c r="V81" s="259">
        <f>COUNTIF($F$7:F81,"K")</f>
        <v>0</v>
      </c>
      <c r="X81" s="265">
        <v>75</v>
      </c>
      <c r="Y81" s="259" t="str">
        <f>IFERROR(INDEX(ADP_Import!A:A,MATCH(ADP!AB81,ADP_Import!AG:AG,0)),"")</f>
        <v>Javonte Williams</v>
      </c>
      <c r="Z81" s="259" t="str">
        <f>IFERROR(INDEX(ADP_Import!B:B,MATCH(ADP!AB81,ADP_Import!AG:AG,0)),"")</f>
        <v>DEN</v>
      </c>
      <c r="AA81" s="259" t="str">
        <f>IFERROR(INDEX(ADP_Import!C:C,MATCH(ADP!AB81,ADP_Import!AG:AG,0)),"")</f>
        <v>RB</v>
      </c>
      <c r="AB81" s="439">
        <f>IFERROR(INDEX(ADP_Import!AG:AG,MATCH(SMALL(ADP_Import!AG:AG,X81),ADP_Import!AG:AG,0)),"NA")</f>
        <v>71.200382000000005</v>
      </c>
      <c r="AC81" s="265">
        <f>IFERROR(INDEX(ADP_Import!$D:$AE,MATCH(AB81,ADP_Import!AG:AG,0),$AG$6),"")</f>
        <v>7.9</v>
      </c>
      <c r="AI81" t="str">
        <f>INDEX('Draft Pick Order'!E:U,MATCH(A81,'Draft Pick Order'!C:C,0),(Instructions!$E$11*2-15))</f>
        <v>7-3</v>
      </c>
    </row>
    <row r="82" spans="1:35" x14ac:dyDescent="0.25">
      <c r="A82" s="230">
        <v>76</v>
      </c>
      <c r="B82">
        <f>IFERROR(IF(INDEX(Draft!BY:BY,MATCH(ADP!D82,Draft!BY:BY,0))=ADP!D82,1,0),0)</f>
        <v>0</v>
      </c>
      <c r="C82" t="str">
        <f>IF(AND(IFERROR(INDEX(Instructions!$T$111:$T$222,MATCH(D82,Instructions!$T$111:$T$222,0)), "")=D82, D82&lt;&gt;""), "X", "")</f>
        <v/>
      </c>
      <c r="D82" s="454" t="s">
        <v>1875</v>
      </c>
      <c r="E82" s="232" t="s">
        <v>147</v>
      </c>
      <c r="F82" s="232" t="s">
        <v>6</v>
      </c>
      <c r="G82" s="384">
        <v>72.400512000000006</v>
      </c>
      <c r="H82" s="456">
        <v>6.7</v>
      </c>
      <c r="I82" s="700"/>
      <c r="J82" s="694"/>
      <c r="K82" s="688"/>
      <c r="L82" s="691"/>
      <c r="M82" s="688"/>
      <c r="N82" s="234">
        <v>76</v>
      </c>
      <c r="O82" s="385" t="str">
        <f>F82&amp;COUNTIF($F$7:F82,F82)</f>
        <v>WR32</v>
      </c>
      <c r="P82" s="268">
        <f>VALUE('Draft Pick Order'!B78)</f>
        <v>207</v>
      </c>
      <c r="Q82" s="259">
        <f>COUNTIF(D$7:$F82,"QB")</f>
        <v>9</v>
      </c>
      <c r="R82" s="259">
        <f>COUNTIF($F$7:F82,"RB")</f>
        <v>30</v>
      </c>
      <c r="S82" s="259">
        <f>COUNTIF($F$7:F82,"WR")</f>
        <v>32</v>
      </c>
      <c r="T82" s="259">
        <f>COUNTIF($F$7:F82,"TE")</f>
        <v>5</v>
      </c>
      <c r="U82" s="259">
        <f>COUNTIF($F$7:F82,"DST")</f>
        <v>0</v>
      </c>
      <c r="V82" s="259">
        <f>COUNTIF($F$7:F82,"K")</f>
        <v>0</v>
      </c>
      <c r="X82" s="265">
        <v>76</v>
      </c>
      <c r="Y82" s="259" t="str">
        <f>IFERROR(INDEX(ADP_Import!A:A,MATCH(ADP!AB82,ADP_Import!AG:AG,0)),"")</f>
        <v>Kyle Pitts</v>
      </c>
      <c r="Z82" s="259" t="str">
        <f>IFERROR(INDEX(ADP_Import!B:B,MATCH(ADP!AB82,ADP_Import!AG:AG,0)),"")</f>
        <v>ATL</v>
      </c>
      <c r="AA82" s="259" t="str">
        <f>IFERROR(INDEX(ADP_Import!C:C,MATCH(ADP!AB82,ADP_Import!AG:AG,0)),"")</f>
        <v>TE</v>
      </c>
      <c r="AB82" s="439">
        <f>IFERROR(INDEX(ADP_Import!AG:AG,MATCH(SMALL(ADP_Import!AG:AG,X82),ADP_Import!AG:AG,0)),"NA")</f>
        <v>73.400279000000012</v>
      </c>
      <c r="AC82" s="265">
        <f>IFERROR(INDEX(ADP_Import!$D:$AE,MATCH(AB82,ADP_Import!AG:AG,0),$AG$6),"")</f>
        <v>7.4</v>
      </c>
      <c r="AI82" t="str">
        <f>INDEX('Draft Pick Order'!E:U,MATCH(A82,'Draft Pick Order'!C:C,0),(Instructions!$E$11*2-15))</f>
        <v>7-4</v>
      </c>
    </row>
    <row r="83" spans="1:35" x14ac:dyDescent="0.25">
      <c r="A83" s="230">
        <v>77</v>
      </c>
      <c r="B83">
        <f>IFERROR(IF(INDEX(Draft!BY:BY,MATCH(ADP!D83,Draft!BY:BY,0))=ADP!D83,1,0),0)</f>
        <v>0</v>
      </c>
      <c r="C83" t="str">
        <f>IF(AND(IFERROR(INDEX(Instructions!$T$111:$T$222,MATCH(D83,Instructions!$T$111:$T$222,0)), "")=D83, D83&lt;&gt;""), "X", "")</f>
        <v/>
      </c>
      <c r="D83" s="454" t="s">
        <v>1864</v>
      </c>
      <c r="E83" s="232" t="s">
        <v>2272</v>
      </c>
      <c r="F83" s="232" t="s">
        <v>6</v>
      </c>
      <c r="G83" s="383">
        <v>72.700249999999997</v>
      </c>
      <c r="H83" s="455">
        <v>8.1</v>
      </c>
      <c r="I83" s="700"/>
      <c r="J83" s="694"/>
      <c r="K83" s="688"/>
      <c r="L83" s="691"/>
      <c r="M83" s="688"/>
      <c r="N83" s="234">
        <v>77</v>
      </c>
      <c r="O83" s="385" t="str">
        <f>F83&amp;COUNTIF($F$7:F83,F83)</f>
        <v>WR33</v>
      </c>
      <c r="P83" s="268">
        <f>VALUE('Draft Pick Order'!B79)</f>
        <v>207</v>
      </c>
      <c r="Q83" s="259">
        <f>COUNTIF(D$7:$F83,"QB")</f>
        <v>9</v>
      </c>
      <c r="R83" s="259">
        <f>COUNTIF($F$7:F83,"RB")</f>
        <v>30</v>
      </c>
      <c r="S83" s="259">
        <f>COUNTIF($F$7:F83,"WR")</f>
        <v>33</v>
      </c>
      <c r="T83" s="259">
        <f>COUNTIF($F$7:F83,"TE")</f>
        <v>5</v>
      </c>
      <c r="U83" s="259">
        <f>COUNTIF($F$7:F83,"DST")</f>
        <v>0</v>
      </c>
      <c r="V83" s="259">
        <f>COUNTIF($F$7:F83,"K")</f>
        <v>0</v>
      </c>
      <c r="X83" s="265">
        <v>77</v>
      </c>
      <c r="Y83" s="259" t="str">
        <f>IFERROR(INDEX(ADP_Import!A:A,MATCH(ADP!AB83,ADP_Import!AG:AG,0)),"")</f>
        <v>Deshaun Watson</v>
      </c>
      <c r="Z83" s="259" t="str">
        <f>IFERROR(INDEX(ADP_Import!B:B,MATCH(ADP!AB83,ADP_Import!AG:AG,0)),"")</f>
        <v>CLE</v>
      </c>
      <c r="AA83" s="259" t="str">
        <f>IFERROR(INDEX(ADP_Import!C:C,MATCH(ADP!AB83,ADP_Import!AG:AG,0)),"")</f>
        <v>QB</v>
      </c>
      <c r="AB83" s="439">
        <f>IFERROR(INDEX(ADP_Import!AG:AG,MATCH(SMALL(ADP_Import!AG:AG,X83),ADP_Import!AG:AG,0)),"NA")</f>
        <v>74.100525999999988</v>
      </c>
      <c r="AC83" s="265">
        <f>IFERROR(INDEX(ADP_Import!$D:$AE,MATCH(AB83,ADP_Import!AG:AG,0),$AG$6),"")</f>
        <v>8.8000000000000007</v>
      </c>
      <c r="AI83" t="str">
        <f>INDEX('Draft Pick Order'!E:U,MATCH(A83,'Draft Pick Order'!C:C,0),(Instructions!$E$11*2-15))</f>
        <v>7-5</v>
      </c>
    </row>
    <row r="84" spans="1:35" x14ac:dyDescent="0.25">
      <c r="A84" s="230">
        <v>78</v>
      </c>
      <c r="B84">
        <f>IFERROR(IF(INDEX(Draft!BY:BY,MATCH(ADP!D84,Draft!BY:BY,0))=ADP!D84,1,0),0)</f>
        <v>0</v>
      </c>
      <c r="C84" t="str">
        <f>IF(AND(IFERROR(INDEX(Instructions!$T$111:$T$222,MATCH(D84,Instructions!$T$111:$T$222,0)), "")=D84, D84&lt;&gt;""), "X", "")</f>
        <v/>
      </c>
      <c r="D84" s="454" t="s">
        <v>2232</v>
      </c>
      <c r="E84" s="232" t="s">
        <v>148</v>
      </c>
      <c r="F84" s="232" t="s">
        <v>7</v>
      </c>
      <c r="G84" s="384">
        <v>74.200279000000009</v>
      </c>
      <c r="H84" s="456">
        <v>8</v>
      </c>
      <c r="I84" s="700"/>
      <c r="J84" s="694"/>
      <c r="K84" s="688"/>
      <c r="L84" s="691"/>
      <c r="M84" s="688"/>
      <c r="N84" s="234">
        <v>78</v>
      </c>
      <c r="O84" s="385" t="str">
        <f>F84&amp;COUNTIF($F$7:F84,F84)</f>
        <v>TE6</v>
      </c>
      <c r="P84" s="268">
        <f>VALUE('Draft Pick Order'!B80)</f>
        <v>207</v>
      </c>
      <c r="Q84" s="259">
        <f>COUNTIF(D$7:$F84,"QB")</f>
        <v>9</v>
      </c>
      <c r="R84" s="259">
        <f>COUNTIF($F$7:F84,"RB")</f>
        <v>30</v>
      </c>
      <c r="S84" s="259">
        <f>COUNTIF($F$7:F84,"WR")</f>
        <v>33</v>
      </c>
      <c r="T84" s="259">
        <f>COUNTIF($F$7:F84,"TE")</f>
        <v>6</v>
      </c>
      <c r="U84" s="259">
        <f>COUNTIF($F$7:F84,"DST")</f>
        <v>0</v>
      </c>
      <c r="V84" s="259">
        <f>COUNTIF($F$7:F84,"K")</f>
        <v>0</v>
      </c>
      <c r="X84" s="265">
        <v>78</v>
      </c>
      <c r="Y84" s="259" t="str">
        <f>IFERROR(INDEX(ADP_Import!A:A,MATCH(ADP!AB84,ADP_Import!AG:AG,0)),"")</f>
        <v>Jahan Dotson</v>
      </c>
      <c r="Z84" s="259" t="str">
        <f>IFERROR(INDEX(ADP_Import!B:B,MATCH(ADP!AB84,ADP_Import!AG:AG,0)),"")</f>
        <v>WAS</v>
      </c>
      <c r="AA84" s="259" t="str">
        <f>IFERROR(INDEX(ADP_Import!C:C,MATCH(ADP!AB84,ADP_Import!AG:AG,0)),"")</f>
        <v>WR</v>
      </c>
      <c r="AB84" s="439">
        <f>IFERROR(INDEX(ADP_Import!AG:AG,MATCH(SMALL(ADP_Import!AG:AG,X84),ADP_Import!AG:AG,0)),"NA")</f>
        <v>74.500423999999995</v>
      </c>
      <c r="AC84" s="265">
        <f>IFERROR(INDEX(ADP_Import!$D:$AE,MATCH(AB84,ADP_Import!AG:AG,0),$AG$6),"")</f>
        <v>6.7</v>
      </c>
      <c r="AI84" t="str">
        <f>INDEX('Draft Pick Order'!E:U,MATCH(A84,'Draft Pick Order'!C:C,0),(Instructions!$E$11*2-15))</f>
        <v>7-6</v>
      </c>
    </row>
    <row r="85" spans="1:35" x14ac:dyDescent="0.25">
      <c r="A85" s="230">
        <v>79</v>
      </c>
      <c r="B85">
        <f>IFERROR(IF(INDEX(Draft!BY:BY,MATCH(ADP!D85,Draft!BY:BY,0))=ADP!D85,1,0),0)</f>
        <v>0</v>
      </c>
      <c r="C85" t="str">
        <f>IF(AND(IFERROR(INDEX(Instructions!$T$111:$T$222,MATCH(D85,Instructions!$T$111:$T$222,0)), "")=D85, D85&lt;&gt;""), "X", "")</f>
        <v/>
      </c>
      <c r="D85" s="454" t="s">
        <v>2085</v>
      </c>
      <c r="E85" s="232" t="s">
        <v>158</v>
      </c>
      <c r="F85" s="232" t="s">
        <v>6</v>
      </c>
      <c r="G85" s="383">
        <v>76.600225999999992</v>
      </c>
      <c r="H85" s="455">
        <v>7.5</v>
      </c>
      <c r="I85" s="700"/>
      <c r="J85" s="694"/>
      <c r="K85" s="688"/>
      <c r="L85" s="691"/>
      <c r="M85" s="688"/>
      <c r="N85" s="234">
        <v>79</v>
      </c>
      <c r="O85" s="385" t="str">
        <f>F85&amp;COUNTIF($F$7:F85,F85)</f>
        <v>WR34</v>
      </c>
      <c r="P85" s="268">
        <f>VALUE('Draft Pick Order'!B81)</f>
        <v>207</v>
      </c>
      <c r="Q85" s="259">
        <f>COUNTIF(D$7:$F85,"QB")</f>
        <v>9</v>
      </c>
      <c r="R85" s="259">
        <f>COUNTIF($F$7:F85,"RB")</f>
        <v>30</v>
      </c>
      <c r="S85" s="259">
        <f>COUNTIF($F$7:F85,"WR")</f>
        <v>34</v>
      </c>
      <c r="T85" s="259">
        <f>COUNTIF($F$7:F85,"TE")</f>
        <v>6</v>
      </c>
      <c r="U85" s="259">
        <f>COUNTIF($F$7:F85,"DST")</f>
        <v>0</v>
      </c>
      <c r="V85" s="259">
        <f>COUNTIF($F$7:F85,"K")</f>
        <v>0</v>
      </c>
      <c r="X85" s="265">
        <v>79</v>
      </c>
      <c r="Y85" s="259" t="str">
        <f>IFERROR(INDEX(ADP_Import!A:A,MATCH(ADP!AB85,ADP_Import!AG:AG,0)),"")</f>
        <v>DAndre Swift</v>
      </c>
      <c r="Z85" s="259" t="str">
        <f>IFERROR(INDEX(ADP_Import!B:B,MATCH(ADP!AB85,ADP_Import!AG:AG,0)),"")</f>
        <v>PHI</v>
      </c>
      <c r="AA85" s="259" t="str">
        <f>IFERROR(INDEX(ADP_Import!C:C,MATCH(ADP!AB85,ADP_Import!AG:AG,0)),"")</f>
        <v>RB</v>
      </c>
      <c r="AB85" s="439">
        <f>IFERROR(INDEX(ADP_Import!AG:AG,MATCH(SMALL(ADP_Import!AG:AG,X85),ADP_Import!AG:AG,0)),"NA")</f>
        <v>75.100572</v>
      </c>
      <c r="AC85" s="265">
        <f>IFERROR(INDEX(ADP_Import!$D:$AE,MATCH(AB85,ADP_Import!AG:AG,0),$AG$6),"")</f>
        <v>7.3</v>
      </c>
      <c r="AI85" t="str">
        <f>INDEX('Draft Pick Order'!E:U,MATCH(A85,'Draft Pick Order'!C:C,0),(Instructions!$E$11*2-15))</f>
        <v>7-7</v>
      </c>
    </row>
    <row r="86" spans="1:35" ht="15.75" thickBot="1" x14ac:dyDescent="0.3">
      <c r="A86" s="230">
        <v>80</v>
      </c>
      <c r="B86">
        <f>IFERROR(IF(INDEX(Draft!BY:BY,MATCH(ADP!D86,Draft!BY:BY,0))=ADP!D86,1,0),0)</f>
        <v>0</v>
      </c>
      <c r="C86" t="str">
        <f>IF(AND(IFERROR(INDEX(Instructions!$T$111:$T$222,MATCH(D86,Instructions!$T$111:$T$222,0)), "")=D86, D86&lt;&gt;""), "X", "")</f>
        <v/>
      </c>
      <c r="D86" s="454" t="s">
        <v>2326</v>
      </c>
      <c r="E86" s="232" t="s">
        <v>147</v>
      </c>
      <c r="F86" s="232" t="s">
        <v>6</v>
      </c>
      <c r="G86" s="384">
        <v>77.100467999999992</v>
      </c>
      <c r="H86" s="456">
        <v>7.6</v>
      </c>
      <c r="I86" s="701"/>
      <c r="J86" s="695"/>
      <c r="K86" s="688"/>
      <c r="L86" s="691"/>
      <c r="M86" s="689"/>
      <c r="N86" s="234">
        <v>80</v>
      </c>
      <c r="O86" s="385" t="str">
        <f>F86&amp;COUNTIF($F$7:F86,F86)</f>
        <v>WR35</v>
      </c>
      <c r="P86" s="268">
        <f>VALUE('Draft Pick Order'!B82)</f>
        <v>207</v>
      </c>
      <c r="Q86" s="259">
        <f>COUNTIF(D$7:$F86,"QB")</f>
        <v>9</v>
      </c>
      <c r="R86" s="259">
        <f>COUNTIF($F$7:F86,"RB")</f>
        <v>30</v>
      </c>
      <c r="S86" s="259">
        <f>COUNTIF($F$7:F86,"WR")</f>
        <v>35</v>
      </c>
      <c r="T86" s="259">
        <f>COUNTIF($F$7:F86,"TE")</f>
        <v>6</v>
      </c>
      <c r="U86" s="259">
        <f>COUNTIF($F$7:F86,"DST")</f>
        <v>0</v>
      </c>
      <c r="V86" s="259">
        <f>COUNTIF($F$7:F86,"K")</f>
        <v>0</v>
      </c>
      <c r="X86" s="265">
        <v>80</v>
      </c>
      <c r="Y86" s="259" t="str">
        <f>IFERROR(INDEX(ADP_Import!A:A,MATCH(ADP!AB86,ADP_Import!AG:AG,0)),"")</f>
        <v>David Montgomery</v>
      </c>
      <c r="Z86" s="259" t="str">
        <f>IFERROR(INDEX(ADP_Import!B:B,MATCH(ADP!AB86,ADP_Import!AG:AG,0)),"")</f>
        <v>DET</v>
      </c>
      <c r="AA86" s="259" t="str">
        <f>IFERROR(INDEX(ADP_Import!C:C,MATCH(ADP!AB86,ADP_Import!AG:AG,0)),"")</f>
        <v>RB</v>
      </c>
      <c r="AB86" s="439">
        <f>IFERROR(INDEX(ADP_Import!AG:AG,MATCH(SMALL(ADP_Import!AG:AG,X86),ADP_Import!AG:AG,0)),"NA")</f>
        <v>77.600552999999991</v>
      </c>
      <c r="AC86" s="265">
        <f>IFERROR(INDEX(ADP_Import!$D:$AE,MATCH(AB86,ADP_Import!AG:AG,0),$AG$6),"")</f>
        <v>6.5</v>
      </c>
      <c r="AI86" t="str">
        <f>INDEX('Draft Pick Order'!E:U,MATCH(A86,'Draft Pick Order'!C:C,0),(Instructions!$E$11*2-15))</f>
        <v>7-8</v>
      </c>
    </row>
    <row r="87" spans="1:35" ht="15" customHeight="1" x14ac:dyDescent="0.25">
      <c r="A87" s="230">
        <v>81</v>
      </c>
      <c r="B87">
        <f>IFERROR(IF(INDEX(Draft!BY:BY,MATCH(ADP!D87,Draft!BY:BY,0))=ADP!D87,1,0),0)</f>
        <v>0</v>
      </c>
      <c r="C87" t="str">
        <f>IF(AND(IFERROR(INDEX(Instructions!$T$111:$T$222,MATCH(D87,Instructions!$T$111:$T$222,0)), "")=D87, D87&lt;&gt;""), "X", "")</f>
        <v/>
      </c>
      <c r="D87" s="454" t="s">
        <v>1295</v>
      </c>
      <c r="E87" s="232" t="s">
        <v>146</v>
      </c>
      <c r="F87" s="232" t="s">
        <v>1</v>
      </c>
      <c r="G87" s="383">
        <v>77.500583000000006</v>
      </c>
      <c r="H87" s="455">
        <v>9</v>
      </c>
      <c r="I87" s="702" t="s">
        <v>906</v>
      </c>
      <c r="J87" s="696" t="s">
        <v>904</v>
      </c>
      <c r="K87" s="688"/>
      <c r="L87" s="691"/>
      <c r="M87" s="690" t="s">
        <v>901</v>
      </c>
      <c r="N87" s="234">
        <v>81</v>
      </c>
      <c r="O87" s="385" t="str">
        <f>F87&amp;COUNTIF($F$7:F87,F87)</f>
        <v>QB10</v>
      </c>
      <c r="P87" s="268">
        <f>VALUE('Draft Pick Order'!B83)</f>
        <v>207</v>
      </c>
      <c r="Q87" s="259">
        <f>COUNTIF(D$7:$F87,"QB")</f>
        <v>10</v>
      </c>
      <c r="R87" s="259">
        <f>COUNTIF($F$7:F87,"RB")</f>
        <v>30</v>
      </c>
      <c r="S87" s="259">
        <f>COUNTIF($F$7:F87,"WR")</f>
        <v>35</v>
      </c>
      <c r="T87" s="259">
        <f>COUNTIF($F$7:F87,"TE")</f>
        <v>6</v>
      </c>
      <c r="U87" s="259">
        <f>COUNTIF($F$7:F87,"DST")</f>
        <v>0</v>
      </c>
      <c r="V87" s="259">
        <f>COUNTIF($F$7:F87,"K")</f>
        <v>0</v>
      </c>
      <c r="X87" s="265">
        <v>81</v>
      </c>
      <c r="Y87" s="259" t="str">
        <f>IFERROR(INDEX(ADP_Import!A:A,MATCH(ADP!AB87,ADP_Import!AG:AG,0)),"")</f>
        <v>Jordan Addison</v>
      </c>
      <c r="Z87" s="259" t="str">
        <f>IFERROR(INDEX(ADP_Import!B:B,MATCH(ADP!AB87,ADP_Import!AG:AG,0)),"")</f>
        <v>MIN</v>
      </c>
      <c r="AA87" s="259" t="str">
        <f>IFERROR(INDEX(ADP_Import!C:C,MATCH(ADP!AB87,ADP_Import!AG:AG,0)),"")</f>
        <v>WR</v>
      </c>
      <c r="AB87" s="439">
        <f>IFERROR(INDEX(ADP_Import!AG:AG,MATCH(SMALL(ADP_Import!AG:AG,X87),ADP_Import!AG:AG,0)),"NA")</f>
        <v>78.500350999999995</v>
      </c>
      <c r="AC87" s="265">
        <f>IFERROR(INDEX(ADP_Import!$D:$AE,MATCH(AB87,ADP_Import!AG:AG,0),$AG$6),"")</f>
        <v>6.2</v>
      </c>
      <c r="AI87" t="str">
        <f>INDEX('Draft Pick Order'!E:U,MATCH(A87,'Draft Pick Order'!C:C,0),(Instructions!$E$11*2-15))</f>
        <v>7-9</v>
      </c>
    </row>
    <row r="88" spans="1:35" x14ac:dyDescent="0.25">
      <c r="A88" s="230">
        <v>82</v>
      </c>
      <c r="B88">
        <f>IFERROR(IF(INDEX(Draft!BY:BY,MATCH(ADP!D88,Draft!BY:BY,0))=ADP!D88,1,0),0)</f>
        <v>0</v>
      </c>
      <c r="C88" t="str">
        <f>IF(AND(IFERROR(INDEX(Instructions!$T$111:$T$222,MATCH(D88,Instructions!$T$111:$T$222,0)), "")=D88, D88&lt;&gt;""), "X", "")</f>
        <v/>
      </c>
      <c r="D88" s="454" t="s">
        <v>2296</v>
      </c>
      <c r="E88" s="232" t="s">
        <v>152</v>
      </c>
      <c r="F88" s="232" t="s">
        <v>3</v>
      </c>
      <c r="G88" s="384">
        <v>79.100659999999991</v>
      </c>
      <c r="H88" s="456">
        <v>6.3</v>
      </c>
      <c r="I88" s="703"/>
      <c r="J88" s="697"/>
      <c r="K88" s="688"/>
      <c r="L88" s="691"/>
      <c r="M88" s="691"/>
      <c r="N88" s="234">
        <v>82</v>
      </c>
      <c r="O88" s="385" t="str">
        <f>F88&amp;COUNTIF($F$7:F88,F88)</f>
        <v>RB31</v>
      </c>
      <c r="P88" s="268">
        <f>VALUE('Draft Pick Order'!B84)</f>
        <v>207</v>
      </c>
      <c r="Q88" s="259">
        <f>COUNTIF(D$7:$F88,"QB")</f>
        <v>10</v>
      </c>
      <c r="R88" s="259">
        <f>COUNTIF($F$7:F88,"RB")</f>
        <v>31</v>
      </c>
      <c r="S88" s="259">
        <f>COUNTIF($F$7:F88,"WR")</f>
        <v>35</v>
      </c>
      <c r="T88" s="259">
        <f>COUNTIF($F$7:F88,"TE")</f>
        <v>6</v>
      </c>
      <c r="U88" s="259">
        <f>COUNTIF($F$7:F88,"DST")</f>
        <v>0</v>
      </c>
      <c r="V88" s="259">
        <f>COUNTIF($F$7:F88,"K")</f>
        <v>0</v>
      </c>
      <c r="X88" s="265">
        <v>82</v>
      </c>
      <c r="Y88" s="259" t="str">
        <f>IFERROR(INDEX(ADP_Import!A:A,MATCH(ADP!AB88,ADP_Import!AG:AG,0)),"")</f>
        <v>James Cook</v>
      </c>
      <c r="Z88" s="259" t="str">
        <f>IFERROR(INDEX(ADP_Import!B:B,MATCH(ADP!AB88,ADP_Import!AG:AG,0)),"")</f>
        <v>BUF</v>
      </c>
      <c r="AA88" s="259" t="str">
        <f>IFERROR(INDEX(ADP_Import!C:C,MATCH(ADP!AB88,ADP_Import!AG:AG,0)),"")</f>
        <v>RB</v>
      </c>
      <c r="AB88" s="439">
        <f>IFERROR(INDEX(ADP_Import!AG:AG,MATCH(SMALL(ADP_Import!AG:AG,X88),ADP_Import!AG:AG,0)),"NA")</f>
        <v>78.700400000000002</v>
      </c>
      <c r="AC88" s="265">
        <f>IFERROR(INDEX(ADP_Import!$D:$AE,MATCH(AB88,ADP_Import!AG:AG,0),$AG$6),"")</f>
        <v>6.7</v>
      </c>
      <c r="AI88" t="str">
        <f>INDEX('Draft Pick Order'!E:U,MATCH(A88,'Draft Pick Order'!C:C,0),(Instructions!$E$11*2-15))</f>
        <v>7-10</v>
      </c>
    </row>
    <row r="89" spans="1:35" x14ac:dyDescent="0.25">
      <c r="A89" s="230">
        <v>83</v>
      </c>
      <c r="B89">
        <f>IFERROR(IF(INDEX(Draft!BY:BY,MATCH(ADP!D89,Draft!BY:BY,0))=ADP!D89,1,0),0)</f>
        <v>0</v>
      </c>
      <c r="C89" t="str">
        <f>IF(AND(IFERROR(INDEX(Instructions!$T$111:$T$222,MATCH(D89,Instructions!$T$111:$T$222,0)), "")=D89, D89&lt;&gt;""), "X", "")</f>
        <v/>
      </c>
      <c r="D89" s="454" t="s">
        <v>2323</v>
      </c>
      <c r="E89" s="232" t="s">
        <v>152</v>
      </c>
      <c r="F89" s="232" t="s">
        <v>6</v>
      </c>
      <c r="G89" s="383">
        <v>80.400424000000001</v>
      </c>
      <c r="H89" s="455">
        <v>6.8</v>
      </c>
      <c r="I89" s="703"/>
      <c r="J89" s="697"/>
      <c r="K89" s="688"/>
      <c r="L89" s="691"/>
      <c r="M89" s="691"/>
      <c r="N89" s="234">
        <v>83</v>
      </c>
      <c r="O89" s="385" t="str">
        <f>F89&amp;COUNTIF($F$7:F89,F89)</f>
        <v>WR36</v>
      </c>
      <c r="P89" s="268">
        <f>VALUE('Draft Pick Order'!B85)</f>
        <v>207</v>
      </c>
      <c r="Q89" s="259">
        <f>COUNTIF(D$7:$F89,"QB")</f>
        <v>10</v>
      </c>
      <c r="R89" s="259">
        <f>COUNTIF($F$7:F89,"RB")</f>
        <v>31</v>
      </c>
      <c r="S89" s="259">
        <f>COUNTIF($F$7:F89,"WR")</f>
        <v>36</v>
      </c>
      <c r="T89" s="259">
        <f>COUNTIF($F$7:F89,"TE")</f>
        <v>6</v>
      </c>
      <c r="U89" s="259">
        <f>COUNTIF($F$7:F89,"DST")</f>
        <v>0</v>
      </c>
      <c r="V89" s="259">
        <f>COUNTIF($F$7:F89,"K")</f>
        <v>0</v>
      </c>
      <c r="X89" s="265">
        <v>83</v>
      </c>
      <c r="Y89" s="259" t="str">
        <f>IFERROR(INDEX(ADP_Import!A:A,MATCH(ADP!AB89,ADP_Import!AG:AG,0)),"")</f>
        <v>Isiah Pacheco</v>
      </c>
      <c r="Z89" s="259" t="str">
        <f>IFERROR(INDEX(ADP_Import!B:B,MATCH(ADP!AB89,ADP_Import!AG:AG,0)),"")</f>
        <v>KC</v>
      </c>
      <c r="AA89" s="259" t="str">
        <f>IFERROR(INDEX(ADP_Import!C:C,MATCH(ADP!AB89,ADP_Import!AG:AG,0)),"")</f>
        <v>RB</v>
      </c>
      <c r="AB89" s="439">
        <f>IFERROR(INDEX(ADP_Import!AG:AG,MATCH(SMALL(ADP_Import!AG:AG,X89),ADP_Import!AG:AG,0)),"NA")</f>
        <v>79.400433000000007</v>
      </c>
      <c r="AC89" s="265">
        <f>IFERROR(INDEX(ADP_Import!$D:$AE,MATCH(AB89,ADP_Import!AG:AG,0),$AG$6),"")</f>
        <v>6.6</v>
      </c>
      <c r="AI89" t="str">
        <f>INDEX('Draft Pick Order'!E:U,MATCH(A89,'Draft Pick Order'!C:C,0),(Instructions!$E$11*2-15))</f>
        <v>7-11</v>
      </c>
    </row>
    <row r="90" spans="1:35" ht="15.75" thickBot="1" x14ac:dyDescent="0.3">
      <c r="A90" s="230">
        <v>84</v>
      </c>
      <c r="B90">
        <f>IFERROR(IF(INDEX(Draft!BY:BY,MATCH(ADP!D90,Draft!BY:BY,0))=ADP!D90,1,0),0)</f>
        <v>0</v>
      </c>
      <c r="C90" t="str">
        <f>IF(AND(IFERROR(INDEX(Instructions!$T$111:$T$222,MATCH(D90,Instructions!$T$111:$T$222,0)), "")=D90, D90&lt;&gt;""), "X", "")</f>
        <v/>
      </c>
      <c r="D90" s="454" t="s">
        <v>2099</v>
      </c>
      <c r="E90" s="232" t="s">
        <v>166</v>
      </c>
      <c r="F90" s="232" t="s">
        <v>1</v>
      </c>
      <c r="G90" s="384">
        <v>81.100052999999988</v>
      </c>
      <c r="H90" s="456">
        <v>9.3000000000000007</v>
      </c>
      <c r="I90" s="703"/>
      <c r="J90" s="697"/>
      <c r="K90" s="689"/>
      <c r="L90" s="691"/>
      <c r="M90" s="691"/>
      <c r="N90" s="234">
        <v>84</v>
      </c>
      <c r="O90" s="385" t="str">
        <f>F90&amp;COUNTIF($F$7:F90,F90)</f>
        <v>QB11</v>
      </c>
      <c r="P90" s="268">
        <f>VALUE('Draft Pick Order'!B86)</f>
        <v>207</v>
      </c>
      <c r="Q90" s="259">
        <f>COUNTIF(D$7:$F90,"QB")</f>
        <v>11</v>
      </c>
      <c r="R90" s="259">
        <f>COUNTIF($F$7:F90,"RB")</f>
        <v>31</v>
      </c>
      <c r="S90" s="259">
        <f>COUNTIF($F$7:F90,"WR")</f>
        <v>36</v>
      </c>
      <c r="T90" s="259">
        <f>COUNTIF($F$7:F90,"TE")</f>
        <v>6</v>
      </c>
      <c r="U90" s="259">
        <f>COUNTIF($F$7:F90,"DST")</f>
        <v>0</v>
      </c>
      <c r="V90" s="259">
        <f>COUNTIF($F$7:F90,"K")</f>
        <v>0</v>
      </c>
      <c r="X90" s="265">
        <v>84</v>
      </c>
      <c r="Y90" s="259" t="str">
        <f>IFERROR(INDEX(ADP_Import!A:A,MATCH(ADP!AB90,ADP_Import!AG:AG,0)),"")</f>
        <v>Jaxon Smith-Njigba</v>
      </c>
      <c r="Z90" s="259" t="str">
        <f>IFERROR(INDEX(ADP_Import!B:B,MATCH(ADP!AB90,ADP_Import!AG:AG,0)),"")</f>
        <v>SEA</v>
      </c>
      <c r="AA90" s="259" t="str">
        <f>IFERROR(INDEX(ADP_Import!C:C,MATCH(ADP!AB90,ADP_Import!AG:AG,0)),"")</f>
        <v>WR</v>
      </c>
      <c r="AB90" s="439">
        <f>IFERROR(INDEX(ADP_Import!AG:AG,MATCH(SMALL(ADP_Import!AG:AG,X90),ADP_Import!AG:AG,0)),"NA")</f>
        <v>82.200381000000007</v>
      </c>
      <c r="AC90" s="265">
        <f>IFERROR(INDEX(ADP_Import!$D:$AE,MATCH(AB90,ADP_Import!AG:AG,0),$AG$6),"")</f>
        <v>7.3</v>
      </c>
      <c r="AI90" t="str">
        <f>INDEX('Draft Pick Order'!E:U,MATCH(A90,'Draft Pick Order'!C:C,0),(Instructions!$E$11*2-15))</f>
        <v>7-12</v>
      </c>
    </row>
    <row r="91" spans="1:35" ht="15" customHeight="1" x14ac:dyDescent="0.25">
      <c r="A91" s="230">
        <v>85</v>
      </c>
      <c r="B91">
        <f>IFERROR(IF(INDEX(Draft!BY:BY,MATCH(ADP!D91,Draft!BY:BY,0))=ADP!D91,1,0),0)</f>
        <v>0</v>
      </c>
      <c r="C91" t="str">
        <f>IF(AND(IFERROR(INDEX(Instructions!$T$111:$T$222,MATCH(D91,Instructions!$T$111:$T$222,0)), "")=D91, D91&lt;&gt;""), "X", "")</f>
        <v/>
      </c>
      <c r="D91" s="454" t="s">
        <v>1813</v>
      </c>
      <c r="E91" s="232" t="s">
        <v>137</v>
      </c>
      <c r="F91" s="232" t="s">
        <v>7</v>
      </c>
      <c r="G91" s="383">
        <v>82.800580999999994</v>
      </c>
      <c r="H91" s="455">
        <v>7.9</v>
      </c>
      <c r="I91" s="703"/>
      <c r="J91" s="697"/>
      <c r="K91" s="690" t="s">
        <v>903</v>
      </c>
      <c r="L91" s="687" t="s">
        <v>902</v>
      </c>
      <c r="M91" s="691"/>
      <c r="N91" s="234">
        <v>85</v>
      </c>
      <c r="O91" s="385" t="str">
        <f>F91&amp;COUNTIF($F$7:F91,F91)</f>
        <v>TE7</v>
      </c>
      <c r="P91" s="268">
        <f>VALUE('Draft Pick Order'!B87)</f>
        <v>207</v>
      </c>
      <c r="Q91" s="259">
        <f>COUNTIF(D$7:$F91,"QB")</f>
        <v>11</v>
      </c>
      <c r="R91" s="259">
        <f>COUNTIF($F$7:F91,"RB")</f>
        <v>31</v>
      </c>
      <c r="S91" s="259">
        <f>COUNTIF($F$7:F91,"WR")</f>
        <v>36</v>
      </c>
      <c r="T91" s="259">
        <f>COUNTIF($F$7:F91,"TE")</f>
        <v>7</v>
      </c>
      <c r="U91" s="259">
        <f>COUNTIF($F$7:F91,"DST")</f>
        <v>0</v>
      </c>
      <c r="V91" s="259">
        <f>COUNTIF($F$7:F91,"K")</f>
        <v>0</v>
      </c>
      <c r="X91" s="265">
        <v>85</v>
      </c>
      <c r="Y91" s="259" t="str">
        <f>IFERROR(INDEX(ADP_Import!A:A,MATCH(ADP!AB91,ADP_Import!AG:AG,0)),"")</f>
        <v>Dak Prescott</v>
      </c>
      <c r="Z91" s="259" t="str">
        <f>IFERROR(INDEX(ADP_Import!B:B,MATCH(ADP!AB91,ADP_Import!AG:AG,0)),"")</f>
        <v>DAL</v>
      </c>
      <c r="AA91" s="259" t="str">
        <f>IFERROR(INDEX(ADP_Import!C:C,MATCH(ADP!AB91,ADP_Import!AG:AG,0)),"")</f>
        <v>QB</v>
      </c>
      <c r="AB91" s="439">
        <f>IFERROR(INDEX(ADP_Import!AG:AG,MATCH(SMALL(ADP_Import!AG:AG,X91),ADP_Import!AG:AG,0)),"NA")</f>
        <v>82.500583000000006</v>
      </c>
      <c r="AC91" s="265">
        <f>IFERROR(INDEX(ADP_Import!$D:$AE,MATCH(AB91,ADP_Import!AG:AG,0),$AG$6),"")</f>
        <v>8.6</v>
      </c>
      <c r="AI91" t="str">
        <f>INDEX('Draft Pick Order'!E:U,MATCH(A91,'Draft Pick Order'!C:C,0),(Instructions!$E$11*2-15))</f>
        <v>8-1</v>
      </c>
    </row>
    <row r="92" spans="1:35" x14ac:dyDescent="0.25">
      <c r="A92" s="230">
        <v>86</v>
      </c>
      <c r="B92">
        <f>IFERROR(IF(INDEX(Draft!BY:BY,MATCH(ADP!D92,Draft!BY:BY,0))=ADP!D92,1,0),0)</f>
        <v>0</v>
      </c>
      <c r="C92" t="str">
        <f>IF(AND(IFERROR(INDEX(Instructions!$T$111:$T$222,MATCH(D92,Instructions!$T$111:$T$222,0)), "")=D92, D92&lt;&gt;""), "X", "")</f>
        <v/>
      </c>
      <c r="D92" s="454" t="s">
        <v>1767</v>
      </c>
      <c r="E92" s="232" t="s">
        <v>137</v>
      </c>
      <c r="F92" s="232" t="s">
        <v>3</v>
      </c>
      <c r="G92" s="384">
        <v>83.900153000000003</v>
      </c>
      <c r="H92" s="456">
        <v>5.0999999999999996</v>
      </c>
      <c r="I92" s="703"/>
      <c r="J92" s="697"/>
      <c r="K92" s="691"/>
      <c r="L92" s="688"/>
      <c r="M92" s="691"/>
      <c r="N92" s="234">
        <v>86</v>
      </c>
      <c r="O92" s="385" t="str">
        <f>F92&amp;COUNTIF($F$7:F92,F92)</f>
        <v>RB32</v>
      </c>
      <c r="P92" s="268">
        <f>VALUE('Draft Pick Order'!B88)</f>
        <v>207</v>
      </c>
      <c r="Q92" s="259">
        <f>COUNTIF(D$7:$F92,"QB")</f>
        <v>11</v>
      </c>
      <c r="R92" s="259">
        <f>COUNTIF($F$7:F92,"RB")</f>
        <v>32</v>
      </c>
      <c r="S92" s="259">
        <f>COUNTIF($F$7:F92,"WR")</f>
        <v>36</v>
      </c>
      <c r="T92" s="259">
        <f>COUNTIF($F$7:F92,"TE")</f>
        <v>7</v>
      </c>
      <c r="U92" s="259">
        <f>COUNTIF($F$7:F92,"DST")</f>
        <v>0</v>
      </c>
      <c r="V92" s="259">
        <f>COUNTIF($F$7:F92,"K")</f>
        <v>0</v>
      </c>
      <c r="X92" s="265">
        <v>86</v>
      </c>
      <c r="Y92" s="259" t="str">
        <f>IFERROR(INDEX(ADP_Import!A:A,MATCH(ADP!AB92,ADP_Import!AG:AG,0)),"")</f>
        <v>Tua Tagovailoa</v>
      </c>
      <c r="Z92" s="259" t="str">
        <f>IFERROR(INDEX(ADP_Import!B:B,MATCH(ADP!AB92,ADP_Import!AG:AG,0)),"")</f>
        <v>MIA</v>
      </c>
      <c r="AA92" s="259" t="str">
        <f>IFERROR(INDEX(ADP_Import!C:C,MATCH(ADP!AB92,ADP_Import!AG:AG,0)),"")</f>
        <v>QB</v>
      </c>
      <c r="AB92" s="439">
        <f>IFERROR(INDEX(ADP_Import!AG:AG,MATCH(SMALL(ADP_Import!AG:AG,X92),ADP_Import!AG:AG,0)),"NA")</f>
        <v>84.000052999999994</v>
      </c>
      <c r="AC92" s="265">
        <f>IFERROR(INDEX(ADP_Import!$D:$AE,MATCH(AB92,ADP_Import!AG:AG,0),$AG$6),"")</f>
        <v>9.5</v>
      </c>
      <c r="AI92" t="str">
        <f>INDEX('Draft Pick Order'!E:U,MATCH(A92,'Draft Pick Order'!C:C,0),(Instructions!$E$11*2-15))</f>
        <v>8-2</v>
      </c>
    </row>
    <row r="93" spans="1:35" x14ac:dyDescent="0.25">
      <c r="A93" s="230">
        <v>87</v>
      </c>
      <c r="B93">
        <f>IFERROR(IF(INDEX(Draft!BY:BY,MATCH(ADP!D93,Draft!BY:BY,0))=ADP!D93,1,0),0)</f>
        <v>0</v>
      </c>
      <c r="C93" t="str">
        <f>IF(AND(IFERROR(INDEX(Instructions!$T$111:$T$222,MATCH(D93,Instructions!$T$111:$T$222,0)), "")=D93, D93&lt;&gt;""), "X", "")</f>
        <v/>
      </c>
      <c r="D93" s="454" t="s">
        <v>2086</v>
      </c>
      <c r="E93" s="232" t="s">
        <v>139</v>
      </c>
      <c r="F93" s="232" t="s">
        <v>3</v>
      </c>
      <c r="G93" s="383">
        <v>85.400719000000009</v>
      </c>
      <c r="H93" s="455">
        <v>6.1</v>
      </c>
      <c r="I93" s="703"/>
      <c r="J93" s="697"/>
      <c r="K93" s="691"/>
      <c r="L93" s="688"/>
      <c r="M93" s="691"/>
      <c r="N93" s="234">
        <v>87</v>
      </c>
      <c r="O93" s="385" t="str">
        <f>F93&amp;COUNTIF($F$7:F93,F93)</f>
        <v>RB33</v>
      </c>
      <c r="P93" s="268">
        <f>VALUE('Draft Pick Order'!B89)</f>
        <v>207</v>
      </c>
      <c r="Q93" s="259">
        <f>COUNTIF(D$7:$F93,"QB")</f>
        <v>11</v>
      </c>
      <c r="R93" s="259">
        <f>COUNTIF($F$7:F93,"RB")</f>
        <v>33</v>
      </c>
      <c r="S93" s="259">
        <f>COUNTIF($F$7:F93,"WR")</f>
        <v>36</v>
      </c>
      <c r="T93" s="259">
        <f>COUNTIF($F$7:F93,"TE")</f>
        <v>7</v>
      </c>
      <c r="U93" s="259">
        <f>COUNTIF($F$7:F93,"DST")</f>
        <v>0</v>
      </c>
      <c r="V93" s="259">
        <f>COUNTIF($F$7:F93,"K")</f>
        <v>0</v>
      </c>
      <c r="X93" s="265">
        <v>87</v>
      </c>
      <c r="Y93" s="259" t="str">
        <f>IFERROR(INDEX(ADP_Import!A:A,MATCH(ADP!AB93,ADP_Import!AG:AG,0)),"")</f>
        <v>Brandin Cooks</v>
      </c>
      <c r="Z93" s="259" t="str">
        <f>IFERROR(INDEX(ADP_Import!B:B,MATCH(ADP!AB93,ADP_Import!AG:AG,0)),"")</f>
        <v>DAL</v>
      </c>
      <c r="AA93" s="259" t="str">
        <f>IFERROR(INDEX(ADP_Import!C:C,MATCH(ADP!AB93,ADP_Import!AG:AG,0)),"")</f>
        <v>WR</v>
      </c>
      <c r="AB93" s="439">
        <f>IFERROR(INDEX(ADP_Import!AG:AG,MATCH(SMALL(ADP_Import!AG:AG,X93),ADP_Import!AG:AG,0)),"NA")</f>
        <v>85.000675000000001</v>
      </c>
      <c r="AC93" s="265">
        <f>IFERROR(INDEX(ADP_Import!$D:$AE,MATCH(AB93,ADP_Import!AG:AG,0),$AG$6),"")</f>
        <v>6.6</v>
      </c>
      <c r="AI93" t="str">
        <f>INDEX('Draft Pick Order'!E:U,MATCH(A93,'Draft Pick Order'!C:C,0),(Instructions!$E$11*2-15))</f>
        <v>8-3</v>
      </c>
    </row>
    <row r="94" spans="1:35" ht="15.75" thickBot="1" x14ac:dyDescent="0.3">
      <c r="A94" s="230">
        <v>88</v>
      </c>
      <c r="B94">
        <f>IFERROR(IF(INDEX(Draft!BY:BY,MATCH(ADP!D94,Draft!BY:BY,0))=ADP!D94,1,0),0)</f>
        <v>0</v>
      </c>
      <c r="C94" t="str">
        <f>IF(AND(IFERROR(INDEX(Instructions!$T$111:$T$222,MATCH(D94,Instructions!$T$111:$T$222,0)), "")=D94, D94&lt;&gt;""), "X", "")</f>
        <v/>
      </c>
      <c r="D94" s="454" t="s">
        <v>2464</v>
      </c>
      <c r="E94" s="232" t="s">
        <v>138</v>
      </c>
      <c r="F94" s="232" t="s">
        <v>6</v>
      </c>
      <c r="G94" s="384">
        <v>85.500350999999995</v>
      </c>
      <c r="H94" s="456">
        <v>6.4</v>
      </c>
      <c r="I94" s="704"/>
      <c r="J94" s="697"/>
      <c r="K94" s="691"/>
      <c r="L94" s="688"/>
      <c r="M94" s="691"/>
      <c r="N94" s="234">
        <v>88</v>
      </c>
      <c r="O94" s="385" t="str">
        <f>F94&amp;COUNTIF($F$7:F94,F94)</f>
        <v>WR37</v>
      </c>
      <c r="P94" s="268">
        <f>VALUE('Draft Pick Order'!B90)</f>
        <v>207</v>
      </c>
      <c r="Q94" s="259">
        <f>COUNTIF(D$7:$F94,"QB")</f>
        <v>11</v>
      </c>
      <c r="R94" s="259">
        <f>COUNTIF($F$7:F94,"RB")</f>
        <v>33</v>
      </c>
      <c r="S94" s="259">
        <f>COUNTIF($F$7:F94,"WR")</f>
        <v>37</v>
      </c>
      <c r="T94" s="259">
        <f>COUNTIF($F$7:F94,"TE")</f>
        <v>7</v>
      </c>
      <c r="U94" s="259">
        <f>COUNTIF($F$7:F94,"DST")</f>
        <v>0</v>
      </c>
      <c r="V94" s="259">
        <f>COUNTIF($F$7:F94,"K")</f>
        <v>0</v>
      </c>
      <c r="X94" s="265">
        <v>88</v>
      </c>
      <c r="Y94" s="259" t="str">
        <f>IFERROR(INDEX(ADP_Import!A:A,MATCH(ADP!AB94,ADP_Import!AG:AG,0)),"")</f>
        <v>Courtland Sutton</v>
      </c>
      <c r="Z94" s="259" t="str">
        <f>IFERROR(INDEX(ADP_Import!B:B,MATCH(ADP!AB94,ADP_Import!AG:AG,0)),"")</f>
        <v>DEN</v>
      </c>
      <c r="AA94" s="259" t="str">
        <f>IFERROR(INDEX(ADP_Import!C:C,MATCH(ADP!AB94,ADP_Import!AG:AG,0)),"")</f>
        <v>WR</v>
      </c>
      <c r="AB94" s="439">
        <f>IFERROR(INDEX(ADP_Import!AG:AG,MATCH(SMALL(ADP_Import!AG:AG,X94),ADP_Import!AG:AG,0)),"NA")</f>
        <v>87.400587000000002</v>
      </c>
      <c r="AC94" s="265">
        <f>IFERROR(INDEX(ADP_Import!$D:$AE,MATCH(AB94,ADP_Import!AG:AG,0),$AG$6),"")</f>
        <v>7.4</v>
      </c>
      <c r="AI94" t="str">
        <f>INDEX('Draft Pick Order'!E:U,MATCH(A94,'Draft Pick Order'!C:C,0),(Instructions!$E$11*2-15))</f>
        <v>8-4</v>
      </c>
    </row>
    <row r="95" spans="1:35" x14ac:dyDescent="0.25">
      <c r="A95" s="230">
        <v>89</v>
      </c>
      <c r="B95">
        <f>IFERROR(IF(INDEX(Draft!BY:BY,MATCH(ADP!D95,Draft!BY:BY,0))=ADP!D95,1,0),0)</f>
        <v>0</v>
      </c>
      <c r="C95" t="str">
        <f>IF(AND(IFERROR(INDEX(Instructions!$T$111:$T$222,MATCH(D95,Instructions!$T$111:$T$222,0)), "")=D95, D95&lt;&gt;""), "X", "")</f>
        <v/>
      </c>
      <c r="D95" s="454" t="s">
        <v>1446</v>
      </c>
      <c r="E95" s="232" t="s">
        <v>143</v>
      </c>
      <c r="F95" s="232" t="s">
        <v>3</v>
      </c>
      <c r="G95" s="383">
        <v>88.500405000000001</v>
      </c>
      <c r="H95" s="455">
        <v>6.2</v>
      </c>
      <c r="I95" s="699" t="s">
        <v>907</v>
      </c>
      <c r="J95" s="697"/>
      <c r="K95" s="691"/>
      <c r="L95" s="688"/>
      <c r="M95" s="691"/>
      <c r="N95" s="234">
        <v>89</v>
      </c>
      <c r="O95" s="385" t="str">
        <f>F95&amp;COUNTIF($F$7:F95,F95)</f>
        <v>RB34</v>
      </c>
      <c r="P95" s="268">
        <f>VALUE('Draft Pick Order'!B91)</f>
        <v>207</v>
      </c>
      <c r="Q95" s="259">
        <f>COUNTIF(D$7:$F95,"QB")</f>
        <v>11</v>
      </c>
      <c r="R95" s="259">
        <f>COUNTIF($F$7:F95,"RB")</f>
        <v>34</v>
      </c>
      <c r="S95" s="259">
        <f>COUNTIF($F$7:F95,"WR")</f>
        <v>37</v>
      </c>
      <c r="T95" s="259">
        <f>COUNTIF($F$7:F95,"TE")</f>
        <v>7</v>
      </c>
      <c r="U95" s="259">
        <f>COUNTIF($F$7:F95,"DST")</f>
        <v>0</v>
      </c>
      <c r="V95" s="259">
        <f>COUNTIF($F$7:F95,"K")</f>
        <v>0</v>
      </c>
      <c r="X95" s="265">
        <v>89</v>
      </c>
      <c r="Y95" s="259" t="str">
        <f>IFERROR(INDEX(ADP_Import!A:A,MATCH(ADP!AB95,ADP_Import!AG:AG,0)),"")</f>
        <v>Evan Engram</v>
      </c>
      <c r="Z95" s="259" t="str">
        <f>IFERROR(INDEX(ADP_Import!B:B,MATCH(ADP!AB95,ADP_Import!AG:AG,0)),"")</f>
        <v>JAC</v>
      </c>
      <c r="AA95" s="259" t="str">
        <f>IFERROR(INDEX(ADP_Import!C:C,MATCH(ADP!AB95,ADP_Import!AG:AG,0)),"")</f>
        <v>TE</v>
      </c>
      <c r="AB95" s="439">
        <f>IFERROR(INDEX(ADP_Import!AG:AG,MATCH(SMALL(ADP_Import!AG:AG,X95),ADP_Import!AG:AG,0)),"NA")</f>
        <v>87.900482000000011</v>
      </c>
      <c r="AC95" s="265">
        <f>IFERROR(INDEX(ADP_Import!$D:$AE,MATCH(AB95,ADP_Import!AG:AG,0),$AG$6),"")</f>
        <v>9.5</v>
      </c>
      <c r="AI95" t="str">
        <f>INDEX('Draft Pick Order'!E:U,MATCH(A95,'Draft Pick Order'!C:C,0),(Instructions!$E$11*2-15))</f>
        <v>8-5</v>
      </c>
    </row>
    <row r="96" spans="1:35" ht="15.75" thickBot="1" x14ac:dyDescent="0.3">
      <c r="A96" s="230">
        <v>90</v>
      </c>
      <c r="B96">
        <f>IFERROR(IF(INDEX(Draft!BY:BY,MATCH(ADP!D96,Draft!BY:BY,0))=ADP!D96,1,0),0)</f>
        <v>0</v>
      </c>
      <c r="C96" t="str">
        <f>IF(AND(IFERROR(INDEX(Instructions!$T$111:$T$222,MATCH(D96,Instructions!$T$111:$T$222,0)), "")=D96, D96&lt;&gt;""), "X", "")</f>
        <v/>
      </c>
      <c r="D96" s="454" t="s">
        <v>2091</v>
      </c>
      <c r="E96" s="232" t="s">
        <v>152</v>
      </c>
      <c r="F96" s="232" t="s">
        <v>3</v>
      </c>
      <c r="G96" s="384">
        <v>88.900694999999999</v>
      </c>
      <c r="H96" s="456">
        <v>6.3</v>
      </c>
      <c r="I96" s="700"/>
      <c r="J96" s="698"/>
      <c r="K96" s="691"/>
      <c r="L96" s="688"/>
      <c r="M96" s="691"/>
      <c r="N96" s="234">
        <v>90</v>
      </c>
      <c r="O96" s="385" t="str">
        <f>F96&amp;COUNTIF($F$7:F96,F96)</f>
        <v>RB35</v>
      </c>
      <c r="P96" s="268">
        <f>VALUE('Draft Pick Order'!B92)</f>
        <v>207</v>
      </c>
      <c r="Q96" s="259">
        <f>COUNTIF(D$7:$F96,"QB")</f>
        <v>11</v>
      </c>
      <c r="R96" s="259">
        <f>COUNTIF($F$7:F96,"RB")</f>
        <v>35</v>
      </c>
      <c r="S96" s="259">
        <f>COUNTIF($F$7:F96,"WR")</f>
        <v>37</v>
      </c>
      <c r="T96" s="259">
        <f>COUNTIF($F$7:F96,"TE")</f>
        <v>7</v>
      </c>
      <c r="U96" s="259">
        <f>COUNTIF($F$7:F96,"DST")</f>
        <v>0</v>
      </c>
      <c r="V96" s="259">
        <f>COUNTIF($F$7:F96,"K")</f>
        <v>0</v>
      </c>
      <c r="X96" s="265">
        <v>90</v>
      </c>
      <c r="Y96" s="259" t="str">
        <f>IFERROR(INDEX(ADP_Import!A:A,MATCH(ADP!AB96,ADP_Import!AG:AG,0)),"")</f>
        <v>Antonio Gibson</v>
      </c>
      <c r="Z96" s="259" t="str">
        <f>IFERROR(INDEX(ADP_Import!B:B,MATCH(ADP!AB96,ADP_Import!AG:AG,0)),"")</f>
        <v>WAS</v>
      </c>
      <c r="AA96" s="259" t="str">
        <f>IFERROR(INDEX(ADP_Import!C:C,MATCH(ADP!AB96,ADP_Import!AG:AG,0)),"")</f>
        <v>RB</v>
      </c>
      <c r="AB96" s="439">
        <f>IFERROR(INDEX(ADP_Import!AG:AG,MATCH(SMALL(ADP_Import!AG:AG,X96),ADP_Import!AG:AG,0)),"NA")</f>
        <v>88.80069499999999</v>
      </c>
      <c r="AC96" s="265">
        <f>IFERROR(INDEX(ADP_Import!$D:$AE,MATCH(AB96,ADP_Import!AG:AG,0),$AG$6),"")</f>
        <v>6</v>
      </c>
      <c r="AI96" t="str">
        <f>INDEX('Draft Pick Order'!E:U,MATCH(A96,'Draft Pick Order'!C:C,0),(Instructions!$E$11*2-15))</f>
        <v>8-6</v>
      </c>
    </row>
    <row r="97" spans="1:35" ht="15" customHeight="1" x14ac:dyDescent="0.25">
      <c r="A97" s="230">
        <v>91</v>
      </c>
      <c r="B97">
        <f>IFERROR(IF(INDEX(Draft!BY:BY,MATCH(ADP!D97,Draft!BY:BY,0))=ADP!D97,1,0),0)</f>
        <v>0</v>
      </c>
      <c r="C97" t="str">
        <f>IF(AND(IFERROR(INDEX(Instructions!$T$111:$T$222,MATCH(D97,Instructions!$T$111:$T$222,0)), "")=D97, D97&lt;&gt;""), "X", "")</f>
        <v/>
      </c>
      <c r="D97" s="454" t="s">
        <v>2469</v>
      </c>
      <c r="E97" s="232" t="s">
        <v>140</v>
      </c>
      <c r="F97" s="232" t="s">
        <v>6</v>
      </c>
      <c r="G97" s="383">
        <v>89.200381000000007</v>
      </c>
      <c r="H97" s="455">
        <v>6.3</v>
      </c>
      <c r="I97" s="700"/>
      <c r="J97" s="693" t="s">
        <v>905</v>
      </c>
      <c r="K97" s="691"/>
      <c r="L97" s="688"/>
      <c r="M97" s="691"/>
      <c r="N97" s="234">
        <v>91</v>
      </c>
      <c r="O97" s="385" t="str">
        <f>F97&amp;COUNTIF($F$7:F97,F97)</f>
        <v>WR38</v>
      </c>
      <c r="P97" s="268">
        <f>VALUE('Draft Pick Order'!B93)</f>
        <v>207</v>
      </c>
      <c r="Q97" s="259">
        <f>COUNTIF(D$7:$F97,"QB")</f>
        <v>11</v>
      </c>
      <c r="R97" s="259">
        <f>COUNTIF($F$7:F97,"RB")</f>
        <v>35</v>
      </c>
      <c r="S97" s="259">
        <f>COUNTIF($F$7:F97,"WR")</f>
        <v>38</v>
      </c>
      <c r="T97" s="259">
        <f>COUNTIF($F$7:F97,"TE")</f>
        <v>7</v>
      </c>
      <c r="U97" s="259">
        <f>COUNTIF($F$7:F97,"DST")</f>
        <v>0</v>
      </c>
      <c r="V97" s="259">
        <f>COUNTIF($F$7:F97,"K")</f>
        <v>0</v>
      </c>
      <c r="X97" s="265">
        <v>91</v>
      </c>
      <c r="Y97" s="259" t="str">
        <f>IFERROR(INDEX(ADP_Import!A:A,MATCH(ADP!AB97,ADP_Import!AG:AG,0)),"")</f>
        <v>Treylon Burks</v>
      </c>
      <c r="Z97" s="259" t="str">
        <f>IFERROR(INDEX(ADP_Import!B:B,MATCH(ADP!AB97,ADP_Import!AG:AG,0)),"")</f>
        <v>TEN</v>
      </c>
      <c r="AA97" s="259" t="str">
        <f>IFERROR(INDEX(ADP_Import!C:C,MATCH(ADP!AB97,ADP_Import!AG:AG,0)),"")</f>
        <v>WR</v>
      </c>
      <c r="AB97" s="439">
        <f>IFERROR(INDEX(ADP_Import!AG:AG,MATCH(SMALL(ADP_Import!AG:AG,X97),ADP_Import!AG:AG,0)),"NA")</f>
        <v>88.900055000000009</v>
      </c>
      <c r="AC97" s="265">
        <f>IFERROR(INDEX(ADP_Import!$D:$AE,MATCH(AB97,ADP_Import!AG:AG,0),$AG$6),"")</f>
        <v>6.2</v>
      </c>
      <c r="AI97" t="str">
        <f>INDEX('Draft Pick Order'!E:U,MATCH(A97,'Draft Pick Order'!C:C,0),(Instructions!$E$11*2-15))</f>
        <v>8-7</v>
      </c>
    </row>
    <row r="98" spans="1:35" x14ac:dyDescent="0.25">
      <c r="A98" s="230">
        <v>92</v>
      </c>
      <c r="B98">
        <f>IFERROR(IF(INDEX(Draft!BY:BY,MATCH(ADP!D98,Draft!BY:BY,0))=ADP!D98,1,0),0)</f>
        <v>0</v>
      </c>
      <c r="C98" t="str">
        <f>IF(AND(IFERROR(INDEX(Instructions!$T$111:$T$222,MATCH(D98,Instructions!$T$111:$T$222,0)), "")=D98, D98&lt;&gt;""), "X", "")</f>
        <v/>
      </c>
      <c r="D98" s="454" t="s">
        <v>177</v>
      </c>
      <c r="E98" s="232" t="s">
        <v>138</v>
      </c>
      <c r="F98" s="232" t="s">
        <v>1</v>
      </c>
      <c r="G98" s="384">
        <v>90.800286999999997</v>
      </c>
      <c r="H98" s="456">
        <v>10.6</v>
      </c>
      <c r="I98" s="700"/>
      <c r="J98" s="694"/>
      <c r="K98" s="691"/>
      <c r="L98" s="688"/>
      <c r="M98" s="691"/>
      <c r="N98" s="234">
        <v>92</v>
      </c>
      <c r="O98" s="385" t="str">
        <f>F98&amp;COUNTIF($F$7:F98,F98)</f>
        <v>QB12</v>
      </c>
      <c r="P98" s="268">
        <f>VALUE('Draft Pick Order'!B94)</f>
        <v>207</v>
      </c>
      <c r="Q98" s="259">
        <f>COUNTIF(D$7:$F98,"QB")</f>
        <v>12</v>
      </c>
      <c r="R98" s="259">
        <f>COUNTIF($F$7:F98,"RB")</f>
        <v>35</v>
      </c>
      <c r="S98" s="259">
        <f>COUNTIF($F$7:F98,"WR")</f>
        <v>38</v>
      </c>
      <c r="T98" s="259">
        <f>COUNTIF($F$7:F98,"TE")</f>
        <v>7</v>
      </c>
      <c r="U98" s="259">
        <f>COUNTIF($F$7:F98,"DST")</f>
        <v>0</v>
      </c>
      <c r="V98" s="259">
        <f>COUNTIF($F$7:F98,"K")</f>
        <v>0</v>
      </c>
      <c r="X98" s="265">
        <v>92</v>
      </c>
      <c r="Y98" s="259" t="str">
        <f>IFERROR(INDEX(ADP_Import!A:A,MATCH(ADP!AB98,ADP_Import!AG:AG,0)),"")</f>
        <v>Michael Thomas</v>
      </c>
      <c r="Z98" s="259" t="str">
        <f>IFERROR(INDEX(ADP_Import!B:B,MATCH(ADP!AB98,ADP_Import!AG:AG,0)),"")</f>
        <v>NO</v>
      </c>
      <c r="AA98" s="259" t="str">
        <f>IFERROR(INDEX(ADP_Import!C:C,MATCH(ADP!AB98,ADP_Import!AG:AG,0)),"")</f>
        <v>WR</v>
      </c>
      <c r="AB98" s="439">
        <f>IFERROR(INDEX(ADP_Import!AG:AG,MATCH(SMALL(ADP_Import!AG:AG,X98),ADP_Import!AG:AG,0)),"NA")</f>
        <v>90.800224999999998</v>
      </c>
      <c r="AC98" s="265">
        <f>IFERROR(INDEX(ADP_Import!$D:$AE,MATCH(AB98,ADP_Import!AG:AG,0),$AG$6),"")</f>
        <v>7.6</v>
      </c>
      <c r="AI98" t="str">
        <f>INDEX('Draft Pick Order'!E:U,MATCH(A98,'Draft Pick Order'!C:C,0),(Instructions!$E$11*2-15))</f>
        <v>8-8</v>
      </c>
    </row>
    <row r="99" spans="1:35" x14ac:dyDescent="0.25">
      <c r="A99" s="230">
        <v>93</v>
      </c>
      <c r="B99">
        <f>IFERROR(IF(INDEX(Draft!BY:BY,MATCH(ADP!D99,Draft!BY:BY,0))=ADP!D99,1,0),0)</f>
        <v>0</v>
      </c>
      <c r="C99" t="str">
        <f>IF(AND(IFERROR(INDEX(Instructions!$T$111:$T$222,MATCH(D99,Instructions!$T$111:$T$222,0)), "")=D99, D99&lt;&gt;""), "X", "")</f>
        <v/>
      </c>
      <c r="D99" s="454" t="s">
        <v>107</v>
      </c>
      <c r="E99" s="232" t="s">
        <v>146</v>
      </c>
      <c r="F99" s="232" t="s">
        <v>6</v>
      </c>
      <c r="G99" s="383">
        <v>91.200675000000004</v>
      </c>
      <c r="H99" s="455">
        <v>5.9</v>
      </c>
      <c r="I99" s="700"/>
      <c r="J99" s="694"/>
      <c r="K99" s="691"/>
      <c r="L99" s="688"/>
      <c r="M99" s="691"/>
      <c r="N99" s="234">
        <v>93</v>
      </c>
      <c r="O99" s="385" t="str">
        <f>F99&amp;COUNTIF($F$7:F99,F99)</f>
        <v>WR39</v>
      </c>
      <c r="P99" s="268">
        <f>VALUE('Draft Pick Order'!B95)</f>
        <v>207</v>
      </c>
      <c r="Q99" s="259">
        <f>COUNTIF(D$7:$F99,"QB")</f>
        <v>12</v>
      </c>
      <c r="R99" s="259">
        <f>COUNTIF($F$7:F99,"RB")</f>
        <v>35</v>
      </c>
      <c r="S99" s="259">
        <f>COUNTIF($F$7:F99,"WR")</f>
        <v>39</v>
      </c>
      <c r="T99" s="259">
        <f>COUNTIF($F$7:F99,"TE")</f>
        <v>7</v>
      </c>
      <c r="U99" s="259">
        <f>COUNTIF($F$7:F99,"DST")</f>
        <v>0</v>
      </c>
      <c r="V99" s="259">
        <f>COUNTIF($F$7:F99,"K")</f>
        <v>0</v>
      </c>
      <c r="X99" s="265">
        <v>93</v>
      </c>
      <c r="Y99" s="259" t="str">
        <f>IFERROR(INDEX(ADP_Import!A:A,MATCH(ADP!AB99,ADP_Import!AG:AG,0)),"")</f>
        <v>AJ Dillon</v>
      </c>
      <c r="Z99" s="259" t="str">
        <f>IFERROR(INDEX(ADP_Import!B:B,MATCH(ADP!AB99,ADP_Import!AG:AG,0)),"")</f>
        <v>GB</v>
      </c>
      <c r="AA99" s="259" t="str">
        <f>IFERROR(INDEX(ADP_Import!C:C,MATCH(ADP!AB99,ADP_Import!AG:AG,0)),"")</f>
        <v>RB</v>
      </c>
      <c r="AB99" s="439">
        <f>IFERROR(INDEX(ADP_Import!AG:AG,MATCH(SMALL(ADP_Import!AG:AG,X99),ADP_Import!AG:AG,0)),"NA")</f>
        <v>92.000719000000004</v>
      </c>
      <c r="AC99" s="265">
        <f>IFERROR(INDEX(ADP_Import!$D:$AE,MATCH(AB99,ADP_Import!AG:AG,0),$AG$6),"")</f>
        <v>6</v>
      </c>
      <c r="AI99" t="str">
        <f>INDEX('Draft Pick Order'!E:U,MATCH(A99,'Draft Pick Order'!C:C,0),(Instructions!$E$11*2-15))</f>
        <v>8-9</v>
      </c>
    </row>
    <row r="100" spans="1:35" x14ac:dyDescent="0.25">
      <c r="A100" s="230">
        <v>94</v>
      </c>
      <c r="B100">
        <f>IFERROR(IF(INDEX(Draft!BY:BY,MATCH(ADP!D100,Draft!BY:BY,0))=ADP!D100,1,0),0)</f>
        <v>0</v>
      </c>
      <c r="C100" t="str">
        <f>IF(AND(IFERROR(INDEX(Instructions!$T$111:$T$222,MATCH(D100,Instructions!$T$111:$T$222,0)), "")=D100, D100&lt;&gt;""), "X", "")</f>
        <v/>
      </c>
      <c r="D100" s="454" t="s">
        <v>2317</v>
      </c>
      <c r="E100" s="232" t="s">
        <v>163</v>
      </c>
      <c r="F100" s="232" t="s">
        <v>6</v>
      </c>
      <c r="G100" s="384">
        <v>92.500055000000003</v>
      </c>
      <c r="H100" s="456">
        <v>6.7</v>
      </c>
      <c r="I100" s="700"/>
      <c r="J100" s="694"/>
      <c r="K100" s="691"/>
      <c r="L100" s="688"/>
      <c r="M100" s="691"/>
      <c r="N100" s="234">
        <v>94</v>
      </c>
      <c r="O100" s="385" t="str">
        <f>F100&amp;COUNTIF($F$7:F100,F100)</f>
        <v>WR40</v>
      </c>
      <c r="P100" s="268">
        <f>VALUE('Draft Pick Order'!B96)</f>
        <v>207</v>
      </c>
      <c r="Q100" s="259">
        <f>COUNTIF(D$7:$F100,"QB")</f>
        <v>12</v>
      </c>
      <c r="R100" s="259">
        <f>COUNTIF($F$7:F100,"RB")</f>
        <v>35</v>
      </c>
      <c r="S100" s="259">
        <f>COUNTIF($F$7:F100,"WR")</f>
        <v>40</v>
      </c>
      <c r="T100" s="259">
        <f>COUNTIF($F$7:F100,"TE")</f>
        <v>7</v>
      </c>
      <c r="U100" s="259">
        <f>COUNTIF($F$7:F100,"DST")</f>
        <v>0</v>
      </c>
      <c r="V100" s="259">
        <f>COUNTIF($F$7:F100,"K")</f>
        <v>0</v>
      </c>
      <c r="X100" s="265">
        <v>94</v>
      </c>
      <c r="Y100" s="259" t="str">
        <f>IFERROR(INDEX(ADP_Import!A:A,MATCH(ADP!AB100,ADP_Import!AG:AG,0)),"")</f>
        <v>JuJu Smith-Schuster</v>
      </c>
      <c r="Z100" s="259" t="str">
        <f>IFERROR(INDEX(ADP_Import!B:B,MATCH(ADP!AB100,ADP_Import!AG:AG,0)),"")</f>
        <v>NE</v>
      </c>
      <c r="AA100" s="259" t="str">
        <f>IFERROR(INDEX(ADP_Import!C:C,MATCH(ADP!AB100,ADP_Import!AG:AG,0)),"")</f>
        <v>WR</v>
      </c>
      <c r="AB100" s="439">
        <f>IFERROR(INDEX(ADP_Import!AG:AG,MATCH(SMALL(ADP_Import!AG:AG,X100),ADP_Import!AG:AG,0)),"NA")</f>
        <v>93.500333999999995</v>
      </c>
      <c r="AC100" s="265">
        <f>IFERROR(INDEX(ADP_Import!$D:$AE,MATCH(AB100,ADP_Import!AG:AG,0),$AG$6),"")</f>
        <v>8.5</v>
      </c>
      <c r="AI100" t="str">
        <f>INDEX('Draft Pick Order'!E:U,MATCH(A100,'Draft Pick Order'!C:C,0),(Instructions!$E$11*2-15))</f>
        <v>8-10</v>
      </c>
    </row>
    <row r="101" spans="1:35" x14ac:dyDescent="0.25">
      <c r="A101" s="230">
        <v>95</v>
      </c>
      <c r="B101">
        <f>IFERROR(IF(INDEX(Draft!BY:BY,MATCH(ADP!D101,Draft!BY:BY,0))=ADP!D101,1,0),0)</f>
        <v>0</v>
      </c>
      <c r="C101" t="str">
        <f>IF(AND(IFERROR(INDEX(Instructions!$T$111:$T$222,MATCH(D101,Instructions!$T$111:$T$222,0)), "")=D101, D101&lt;&gt;""), "X", "")</f>
        <v/>
      </c>
      <c r="D101" s="454" t="s">
        <v>1440</v>
      </c>
      <c r="E101" s="232" t="s">
        <v>144</v>
      </c>
      <c r="F101" s="232" t="s">
        <v>3</v>
      </c>
      <c r="G101" s="383">
        <v>94.100122999999996</v>
      </c>
      <c r="H101" s="455">
        <v>7.3</v>
      </c>
      <c r="I101" s="700"/>
      <c r="J101" s="694"/>
      <c r="K101" s="691"/>
      <c r="L101" s="688"/>
      <c r="M101" s="691"/>
      <c r="N101" s="234">
        <v>95</v>
      </c>
      <c r="O101" s="385" t="str">
        <f>F101&amp;COUNTIF($F$7:F101,F101)</f>
        <v>RB36</v>
      </c>
      <c r="P101" s="268">
        <f>VALUE('Draft Pick Order'!B97)</f>
        <v>208</v>
      </c>
      <c r="Q101" s="259">
        <f>COUNTIF(D$7:$F101,"QB")</f>
        <v>12</v>
      </c>
      <c r="R101" s="259">
        <f>COUNTIF($F$7:F101,"RB")</f>
        <v>36</v>
      </c>
      <c r="S101" s="259">
        <f>COUNTIF($F$7:F101,"WR")</f>
        <v>40</v>
      </c>
      <c r="T101" s="259">
        <f>COUNTIF($F$7:F101,"TE")</f>
        <v>7</v>
      </c>
      <c r="U101" s="259">
        <f>COUNTIF($F$7:F101,"DST")</f>
        <v>0</v>
      </c>
      <c r="V101" s="259">
        <f>COUNTIF($F$7:F101,"K")</f>
        <v>0</v>
      </c>
      <c r="X101" s="265">
        <v>95</v>
      </c>
      <c r="Y101" s="259" t="str">
        <f>IFERROR(INDEX(ADP_Import!A:A,MATCH(ADP!AB101,ADP_Import!AG:AG,0)),"")</f>
        <v>Brian Robinson</v>
      </c>
      <c r="Z101" s="259" t="str">
        <f>IFERROR(INDEX(ADP_Import!B:B,MATCH(ADP!AB101,ADP_Import!AG:AG,0)),"")</f>
        <v>WAS</v>
      </c>
      <c r="AA101" s="259" t="str">
        <f>IFERROR(INDEX(ADP_Import!C:C,MATCH(ADP!AB101,ADP_Import!AG:AG,0)),"")</f>
        <v>RB</v>
      </c>
      <c r="AB101" s="439">
        <f>IFERROR(INDEX(ADP_Import!AG:AG,MATCH(SMALL(ADP_Import!AG:AG,X101),ADP_Import!AG:AG,0)),"NA")</f>
        <v>93.800659999999993</v>
      </c>
      <c r="AC101" s="265">
        <f>IFERROR(INDEX(ADP_Import!$D:$AE,MATCH(AB101,ADP_Import!AG:AG,0),$AG$6),"")</f>
        <v>8.1</v>
      </c>
      <c r="AI101" t="str">
        <f>INDEX('Draft Pick Order'!E:U,MATCH(A101,'Draft Pick Order'!C:C,0),(Instructions!$E$11*2-15))</f>
        <v>8-11</v>
      </c>
    </row>
    <row r="102" spans="1:35" ht="15.75" thickBot="1" x14ac:dyDescent="0.3">
      <c r="A102" s="230">
        <v>96</v>
      </c>
      <c r="B102">
        <f>IFERROR(IF(INDEX(Draft!BY:BY,MATCH(ADP!D102,Draft!BY:BY,0))=ADP!D102,1,0),0)</f>
        <v>0</v>
      </c>
      <c r="C102" t="str">
        <f>IF(AND(IFERROR(INDEX(Instructions!$T$111:$T$222,MATCH(D102,Instructions!$T$111:$T$222,0)), "")=D102, D102&lt;&gt;""), "X", "")</f>
        <v/>
      </c>
      <c r="D102" s="454" t="s">
        <v>1792</v>
      </c>
      <c r="E102" s="232" t="s">
        <v>144</v>
      </c>
      <c r="F102" s="232" t="s">
        <v>6</v>
      </c>
      <c r="G102" s="384">
        <v>94.800586999999993</v>
      </c>
      <c r="H102" s="456">
        <v>6.4</v>
      </c>
      <c r="I102" s="701"/>
      <c r="J102" s="694"/>
      <c r="K102" s="692"/>
      <c r="L102" s="688"/>
      <c r="M102" s="692"/>
      <c r="N102" s="234">
        <v>96</v>
      </c>
      <c r="O102" s="385" t="str">
        <f>F102&amp;COUNTIF($F$7:F102,F102)</f>
        <v>WR41</v>
      </c>
      <c r="P102" s="268">
        <f>VALUE('Draft Pick Order'!B98)</f>
        <v>208</v>
      </c>
      <c r="Q102" s="259">
        <f>COUNTIF(D$7:$F102,"QB")</f>
        <v>12</v>
      </c>
      <c r="R102" s="259">
        <f>COUNTIF($F$7:F102,"RB")</f>
        <v>36</v>
      </c>
      <c r="S102" s="259">
        <f>COUNTIF($F$7:F102,"WR")</f>
        <v>41</v>
      </c>
      <c r="T102" s="259">
        <f>COUNTIF($F$7:F102,"TE")</f>
        <v>7</v>
      </c>
      <c r="U102" s="259">
        <f>COUNTIF($F$7:F102,"DST")</f>
        <v>0</v>
      </c>
      <c r="V102" s="259">
        <f>COUNTIF($F$7:F102,"K")</f>
        <v>0</v>
      </c>
      <c r="X102" s="265">
        <v>96</v>
      </c>
      <c r="Y102" s="259" t="str">
        <f>IFERROR(INDEX(ADP_Import!A:A,MATCH(ADP!AB102,ADP_Import!AG:AG,0)),"")</f>
        <v>Khalil Herbert</v>
      </c>
      <c r="Z102" s="259" t="str">
        <f>IFERROR(INDEX(ADP_Import!B:B,MATCH(ADP!AB102,ADP_Import!AG:AG,0)),"")</f>
        <v>CHI</v>
      </c>
      <c r="AA102" s="259" t="str">
        <f>IFERROR(INDEX(ADP_Import!C:C,MATCH(ADP!AB102,ADP_Import!AG:AG,0)),"")</f>
        <v>RB</v>
      </c>
      <c r="AB102" s="439">
        <f>IFERROR(INDEX(ADP_Import!AG:AG,MATCH(SMALL(ADP_Import!AG:AG,X102),ADP_Import!AG:AG,0)),"NA")</f>
        <v>94.800290000000004</v>
      </c>
      <c r="AC102" s="265">
        <f>IFERROR(INDEX(ADP_Import!$D:$AE,MATCH(AB102,ADP_Import!AG:AG,0),$AG$6),"")</f>
        <v>8.4</v>
      </c>
      <c r="AI102" t="str">
        <f>INDEX('Draft Pick Order'!E:U,MATCH(A102,'Draft Pick Order'!C:C,0),(Instructions!$E$11*2-15))</f>
        <v>8-12</v>
      </c>
    </row>
    <row r="103" spans="1:35" ht="15" customHeight="1" x14ac:dyDescent="0.25">
      <c r="A103" s="230">
        <v>97</v>
      </c>
      <c r="B103">
        <f>IFERROR(IF(INDEX(Draft!BY:BY,MATCH(ADP!D103,Draft!BY:BY,0))=ADP!D103,1,0),0)</f>
        <v>0</v>
      </c>
      <c r="C103" t="str">
        <f>IF(AND(IFERROR(INDEX(Instructions!$T$111:$T$222,MATCH(D103,Instructions!$T$111:$T$222,0)), "")=D103, D103&lt;&gt;""), "X", "")</f>
        <v/>
      </c>
      <c r="D103" s="454" t="s">
        <v>1882</v>
      </c>
      <c r="E103" s="232" t="s">
        <v>154</v>
      </c>
      <c r="F103" s="232" t="s">
        <v>1</v>
      </c>
      <c r="G103" s="383">
        <v>95.000568999999999</v>
      </c>
      <c r="H103" s="455">
        <v>11.5</v>
      </c>
      <c r="I103" s="702" t="s">
        <v>908</v>
      </c>
      <c r="J103" s="694"/>
      <c r="K103" s="687" t="s">
        <v>904</v>
      </c>
      <c r="L103" s="688"/>
      <c r="M103" s="687" t="s">
        <v>902</v>
      </c>
      <c r="N103" s="234">
        <v>97</v>
      </c>
      <c r="O103" s="385" t="str">
        <f>F103&amp;COUNTIF($F$7:F103,F103)</f>
        <v>QB13</v>
      </c>
      <c r="P103" s="268">
        <f>VALUE('Draft Pick Order'!B99)</f>
        <v>208</v>
      </c>
      <c r="Q103" s="259">
        <f>COUNTIF(D$7:$F103,"QB")</f>
        <v>13</v>
      </c>
      <c r="R103" s="259">
        <f>COUNTIF($F$7:F103,"RB")</f>
        <v>36</v>
      </c>
      <c r="S103" s="259">
        <f>COUNTIF($F$7:F103,"WR")</f>
        <v>41</v>
      </c>
      <c r="T103" s="259">
        <f>COUNTIF($F$7:F103,"TE")</f>
        <v>7</v>
      </c>
      <c r="U103" s="259">
        <f>COUNTIF($F$7:F103,"DST")</f>
        <v>0</v>
      </c>
      <c r="V103" s="259">
        <f>COUNTIF($F$7:F103,"K")</f>
        <v>0</v>
      </c>
      <c r="X103" s="265">
        <v>97</v>
      </c>
      <c r="Y103" s="259" t="str">
        <f>IFERROR(INDEX(ADP_Import!A:A,MATCH(ADP!AB103,ADP_Import!AG:AG,0)),"")</f>
        <v>Patrick Freiermuth</v>
      </c>
      <c r="Z103" s="259" t="str">
        <f>IFERROR(INDEX(ADP_Import!B:B,MATCH(ADP!AB103,ADP_Import!AG:AG,0)),"")</f>
        <v>PIT</v>
      </c>
      <c r="AA103" s="259" t="str">
        <f>IFERROR(INDEX(ADP_Import!C:C,MATCH(ADP!AB103,ADP_Import!AG:AG,0)),"")</f>
        <v>TE</v>
      </c>
      <c r="AB103" s="439">
        <f>IFERROR(INDEX(ADP_Import!AG:AG,MATCH(SMALL(ADP_Import!AG:AG,X103),ADP_Import!AG:AG,0)),"NA")</f>
        <v>95.400180000000006</v>
      </c>
      <c r="AC103" s="265">
        <f>IFERROR(INDEX(ADP_Import!$D:$AE,MATCH(AB103,ADP_Import!AG:AG,0),$AG$6),"")</f>
        <v>10.1</v>
      </c>
      <c r="AI103" t="str">
        <f>INDEX('Draft Pick Order'!E:U,MATCH(A103,'Draft Pick Order'!C:C,0),(Instructions!$E$11*2-15))</f>
        <v>9-1</v>
      </c>
    </row>
    <row r="104" spans="1:35" ht="15.75" thickBot="1" x14ac:dyDescent="0.3">
      <c r="A104" s="230">
        <v>98</v>
      </c>
      <c r="B104">
        <f>IFERROR(IF(INDEX(Draft!BY:BY,MATCH(ADP!D104,Draft!BY:BY,0))=ADP!D104,1,0),0)</f>
        <v>0</v>
      </c>
      <c r="C104" t="str">
        <f>IF(AND(IFERROR(INDEX(Instructions!$T$111:$T$222,MATCH(D104,Instructions!$T$111:$T$222,0)), "")=D104, D104&lt;&gt;""), "X", "")</f>
        <v/>
      </c>
      <c r="D104" s="454" t="s">
        <v>2425</v>
      </c>
      <c r="E104" s="232" t="s">
        <v>1388</v>
      </c>
      <c r="F104" s="232" t="s">
        <v>6</v>
      </c>
      <c r="G104" s="384">
        <v>96.400162000000009</v>
      </c>
      <c r="H104" s="456">
        <v>7</v>
      </c>
      <c r="I104" s="703"/>
      <c r="J104" s="694"/>
      <c r="K104" s="688"/>
      <c r="L104" s="689"/>
      <c r="M104" s="688"/>
      <c r="N104" s="234">
        <v>98</v>
      </c>
      <c r="O104" s="385" t="str">
        <f>F104&amp;COUNTIF($F$7:F104,F104)</f>
        <v>WR42</v>
      </c>
      <c r="P104" s="268">
        <f>VALUE('Draft Pick Order'!B100)</f>
        <v>209</v>
      </c>
      <c r="Q104" s="259">
        <f>COUNTIF(D$7:$F104,"QB")</f>
        <v>13</v>
      </c>
      <c r="R104" s="259">
        <f>COUNTIF($F$7:F104,"RB")</f>
        <v>36</v>
      </c>
      <c r="S104" s="259">
        <f>COUNTIF($F$7:F104,"WR")</f>
        <v>42</v>
      </c>
      <c r="T104" s="259">
        <f>COUNTIF($F$7:F104,"TE")</f>
        <v>7</v>
      </c>
      <c r="U104" s="259">
        <f>COUNTIF($F$7:F104,"DST")</f>
        <v>0</v>
      </c>
      <c r="V104" s="259">
        <f>COUNTIF($F$7:F104,"K")</f>
        <v>0</v>
      </c>
      <c r="X104" s="265">
        <v>98</v>
      </c>
      <c r="Y104" s="259" t="str">
        <f>IFERROR(INDEX(ADP_Import!A:A,MATCH(ADP!AB104,ADP_Import!AG:AG,0)),"")</f>
        <v>Quentin Johnston</v>
      </c>
      <c r="Z104" s="259" t="str">
        <f>IFERROR(INDEX(ADP_Import!B:B,MATCH(ADP!AB104,ADP_Import!AG:AG,0)),"")</f>
        <v>LAC</v>
      </c>
      <c r="AA104" s="259" t="str">
        <f>IFERROR(INDEX(ADP_Import!C:C,MATCH(ADP!AB104,ADP_Import!AG:AG,0)),"")</f>
        <v>WR</v>
      </c>
      <c r="AB104" s="439">
        <f>IFERROR(INDEX(ADP_Import!AG:AG,MATCH(SMALL(ADP_Import!AG:AG,X104),ADP_Import!AG:AG,0)),"NA")</f>
        <v>96.200162000000006</v>
      </c>
      <c r="AC104" s="265">
        <f>IFERROR(INDEX(ADP_Import!$D:$AE,MATCH(AB104,ADP_Import!AG:AG,0),$AG$6),"")</f>
        <v>7.7</v>
      </c>
      <c r="AI104" t="str">
        <f>INDEX('Draft Pick Order'!E:U,MATCH(A104,'Draft Pick Order'!C:C,0),(Instructions!$E$11*2-15))</f>
        <v>9-2</v>
      </c>
    </row>
    <row r="105" spans="1:35" x14ac:dyDescent="0.25">
      <c r="A105" s="230">
        <v>99</v>
      </c>
      <c r="B105">
        <f>IFERROR(IF(INDEX(Draft!BY:BY,MATCH(ADP!D105,Draft!BY:BY,0))=ADP!D105,1,0),0)</f>
        <v>0</v>
      </c>
      <c r="C105" t="str">
        <f>IF(AND(IFERROR(INDEX(Instructions!$T$111:$T$222,MATCH(D105,Instructions!$T$111:$T$222,0)), "")=D105, D105&lt;&gt;""), "X", "")</f>
        <v/>
      </c>
      <c r="D105" s="454" t="s">
        <v>2391</v>
      </c>
      <c r="E105" s="232" t="s">
        <v>140</v>
      </c>
      <c r="F105" s="232" t="s">
        <v>3</v>
      </c>
      <c r="G105" s="383">
        <v>97.200013999999996</v>
      </c>
      <c r="H105" s="455">
        <v>7.1</v>
      </c>
      <c r="I105" s="703"/>
      <c r="J105" s="694"/>
      <c r="K105" s="688"/>
      <c r="L105" s="690" t="s">
        <v>903</v>
      </c>
      <c r="M105" s="688"/>
      <c r="N105" s="234">
        <v>99</v>
      </c>
      <c r="O105" s="385" t="str">
        <f>F105&amp;COUNTIF($F$7:F105,F105)</f>
        <v>RB37</v>
      </c>
      <c r="P105" s="268">
        <f>VALUE('Draft Pick Order'!B101)</f>
        <v>209</v>
      </c>
      <c r="Q105" s="259">
        <f>COUNTIF(D$7:$F105,"QB")</f>
        <v>13</v>
      </c>
      <c r="R105" s="259">
        <f>COUNTIF($F$7:F105,"RB")</f>
        <v>37</v>
      </c>
      <c r="S105" s="259">
        <f>COUNTIF($F$7:F105,"WR")</f>
        <v>42</v>
      </c>
      <c r="T105" s="259">
        <f>COUNTIF($F$7:F105,"TE")</f>
        <v>7</v>
      </c>
      <c r="U105" s="259">
        <f>COUNTIF($F$7:F105,"DST")</f>
        <v>0</v>
      </c>
      <c r="V105" s="259">
        <f>COUNTIF($F$7:F105,"K")</f>
        <v>0</v>
      </c>
      <c r="X105" s="265">
        <v>99</v>
      </c>
      <c r="Y105" s="259" t="str">
        <f>IFERROR(INDEX(ADP_Import!A:A,MATCH(ADP!AB105,ADP_Import!AG:AG,0)),"")</f>
        <v>Elijah Moore</v>
      </c>
      <c r="Z105" s="259" t="str">
        <f>IFERROR(INDEX(ADP_Import!B:B,MATCH(ADP!AB105,ADP_Import!AG:AG,0)),"")</f>
        <v>CLE</v>
      </c>
      <c r="AA105" s="259" t="str">
        <f>IFERROR(INDEX(ADP_Import!C:C,MATCH(ADP!AB105,ADP_Import!AG:AG,0)),"")</f>
        <v>WR</v>
      </c>
      <c r="AB105" s="439">
        <f>IFERROR(INDEX(ADP_Import!AG:AG,MATCH(SMALL(ADP_Import!AG:AG,X105),ADP_Import!AG:AG,0)),"NA")</f>
        <v>96.200489000000005</v>
      </c>
      <c r="AC105" s="265">
        <f>IFERROR(INDEX(ADP_Import!$D:$AE,MATCH(AB105,ADP_Import!AG:AG,0),$AG$6),"")</f>
        <v>9.4</v>
      </c>
      <c r="AI105" t="str">
        <f>INDEX('Draft Pick Order'!E:U,MATCH(A105,'Draft Pick Order'!C:C,0),(Instructions!$E$11*2-15))</f>
        <v>9-3</v>
      </c>
    </row>
    <row r="106" spans="1:35" ht="15.75" thickBot="1" x14ac:dyDescent="0.3">
      <c r="A106" s="230">
        <v>100</v>
      </c>
      <c r="B106">
        <f>IFERROR(IF(INDEX(Draft!BY:BY,MATCH(ADP!D106,Draft!BY:BY,0))=ADP!D106,1,0),0)</f>
        <v>0</v>
      </c>
      <c r="C106" t="str">
        <f>IF(AND(IFERROR(INDEX(Instructions!$T$111:$T$222,MATCH(D106,Instructions!$T$111:$T$222,0)), "")=D106, D106&lt;&gt;""), "X", "")</f>
        <v/>
      </c>
      <c r="D106" s="454" t="s">
        <v>1867</v>
      </c>
      <c r="E106" s="232" t="s">
        <v>156</v>
      </c>
      <c r="F106" s="232" t="s">
        <v>3</v>
      </c>
      <c r="G106" s="384">
        <v>97.600574999999992</v>
      </c>
      <c r="H106" s="456">
        <v>6.4</v>
      </c>
      <c r="I106" s="703"/>
      <c r="J106" s="695"/>
      <c r="K106" s="688"/>
      <c r="L106" s="691"/>
      <c r="M106" s="688"/>
      <c r="N106" s="234">
        <v>100</v>
      </c>
      <c r="O106" s="385" t="str">
        <f>F106&amp;COUNTIF($F$7:F106,F106)</f>
        <v>RB38</v>
      </c>
      <c r="P106" s="268">
        <f>VALUE('Draft Pick Order'!B102)</f>
        <v>209</v>
      </c>
      <c r="Q106" s="259">
        <f>COUNTIF(D$7:$F106,"QB")</f>
        <v>13</v>
      </c>
      <c r="R106" s="259">
        <f>COUNTIF($F$7:F106,"RB")</f>
        <v>38</v>
      </c>
      <c r="S106" s="259">
        <f>COUNTIF($F$7:F106,"WR")</f>
        <v>42</v>
      </c>
      <c r="T106" s="259">
        <f>COUNTIF($F$7:F106,"TE")</f>
        <v>7</v>
      </c>
      <c r="U106" s="259">
        <f>COUNTIF($F$7:F106,"DST")</f>
        <v>0</v>
      </c>
      <c r="V106" s="259">
        <f>COUNTIF($F$7:F106,"K")</f>
        <v>0</v>
      </c>
      <c r="X106" s="265">
        <v>100</v>
      </c>
      <c r="Y106" s="259" t="str">
        <f>IFERROR(INDEX(ADP_Import!A:A,MATCH(ADP!AB106,ADP_Import!AG:AG,0)),"")</f>
        <v>Rashaad Penny</v>
      </c>
      <c r="Z106" s="259" t="str">
        <f>IFERROR(INDEX(ADP_Import!B:B,MATCH(ADP!AB106,ADP_Import!AG:AG,0)),"")</f>
        <v>PHI</v>
      </c>
      <c r="AA106" s="259" t="str">
        <f>IFERROR(INDEX(ADP_Import!C:C,MATCH(ADP!AB106,ADP_Import!AG:AG,0)),"")</f>
        <v>RB</v>
      </c>
      <c r="AB106" s="439">
        <f>IFERROR(INDEX(ADP_Import!AG:AG,MATCH(SMALL(ADP_Import!AG:AG,X106),ADP_Import!AG:AG,0)),"NA")</f>
        <v>96.800152999999995</v>
      </c>
      <c r="AC106" s="265">
        <f>IFERROR(INDEX(ADP_Import!$D:$AE,MATCH(AB106,ADP_Import!AG:AG,0),$AG$6),"")</f>
        <v>7.3</v>
      </c>
      <c r="AI106" t="str">
        <f>INDEX('Draft Pick Order'!E:U,MATCH(A106,'Draft Pick Order'!C:C,0),(Instructions!$E$11*2-15))</f>
        <v>9-4</v>
      </c>
    </row>
    <row r="107" spans="1:35" ht="15" customHeight="1" x14ac:dyDescent="0.25">
      <c r="A107" s="230">
        <v>101</v>
      </c>
      <c r="B107">
        <f>IFERROR(IF(INDEX(Draft!BY:BY,MATCH(ADP!D107,Draft!BY:BY,0))=ADP!D107,1,0),0)</f>
        <v>0</v>
      </c>
      <c r="C107" t="str">
        <f>IF(AND(IFERROR(INDEX(Instructions!$T$111:$T$222,MATCH(D107,Instructions!$T$111:$T$222,0)), "")=D107, D107&lt;&gt;""), "X", "")</f>
        <v/>
      </c>
      <c r="D107" s="454" t="s">
        <v>2203</v>
      </c>
      <c r="E107" s="232" t="s">
        <v>136</v>
      </c>
      <c r="F107" s="232" t="s">
        <v>6</v>
      </c>
      <c r="G107" s="383">
        <v>98.100322999999989</v>
      </c>
      <c r="H107" s="455">
        <v>7.3</v>
      </c>
      <c r="I107" s="703"/>
      <c r="J107" s="696" t="s">
        <v>906</v>
      </c>
      <c r="K107" s="688"/>
      <c r="L107" s="691"/>
      <c r="M107" s="688"/>
      <c r="N107" s="234">
        <v>101</v>
      </c>
      <c r="O107" s="385" t="str">
        <f>F107&amp;COUNTIF($F$7:F107,F107)</f>
        <v>WR43</v>
      </c>
      <c r="P107" s="268">
        <f>VALUE('Draft Pick Order'!B103)</f>
        <v>209</v>
      </c>
      <c r="Q107" s="259">
        <f>COUNTIF(D$7:$F107,"QB")</f>
        <v>13</v>
      </c>
      <c r="R107" s="259">
        <f>COUNTIF($F$7:F107,"RB")</f>
        <v>38</v>
      </c>
      <c r="S107" s="259">
        <f>COUNTIF($F$7:F107,"WR")</f>
        <v>43</v>
      </c>
      <c r="T107" s="259">
        <f>COUNTIF($F$7:F107,"TE")</f>
        <v>7</v>
      </c>
      <c r="U107" s="259">
        <f>COUNTIF($F$7:F107,"DST")</f>
        <v>0</v>
      </c>
      <c r="V107" s="259">
        <f>COUNTIF($F$7:F107,"K")</f>
        <v>0</v>
      </c>
      <c r="X107" s="265">
        <v>101</v>
      </c>
      <c r="Y107" s="259" t="str">
        <f>IFERROR(INDEX(ADP_Import!A:A,MATCH(ADP!AB107,ADP_Import!AG:AG,0)),"")</f>
        <v>Samaje Perine</v>
      </c>
      <c r="Z107" s="259" t="str">
        <f>IFERROR(INDEX(ADP_Import!B:B,MATCH(ADP!AB107,ADP_Import!AG:AG,0)),"")</f>
        <v>DEN</v>
      </c>
      <c r="AA107" s="259" t="str">
        <f>IFERROR(INDEX(ADP_Import!C:C,MATCH(ADP!AB107,ADP_Import!AG:AG,0)),"")</f>
        <v>RB</v>
      </c>
      <c r="AB107" s="439">
        <f>IFERROR(INDEX(ADP_Import!AG:AG,MATCH(SMALL(ADP_Import!AG:AG,X107),ADP_Import!AG:AG,0)),"NA")</f>
        <v>97.800122999999999</v>
      </c>
      <c r="AC107" s="265">
        <f>IFERROR(INDEX(ADP_Import!$D:$AE,MATCH(AB107,ADP_Import!AG:AG,0),$AG$6),"")</f>
        <v>7.7</v>
      </c>
      <c r="AI107" t="str">
        <f>INDEX('Draft Pick Order'!E:U,MATCH(A107,'Draft Pick Order'!C:C,0),(Instructions!$E$11*2-15))</f>
        <v>9-5</v>
      </c>
    </row>
    <row r="108" spans="1:35" x14ac:dyDescent="0.25">
      <c r="A108" s="230">
        <v>102</v>
      </c>
      <c r="B108">
        <f>IFERROR(IF(INDEX(Draft!BY:BY,MATCH(ADP!D108,Draft!BY:BY,0))=ADP!D108,1,0),0)</f>
        <v>0</v>
      </c>
      <c r="C108" t="str">
        <f>IF(AND(IFERROR(INDEX(Instructions!$T$111:$T$222,MATCH(D108,Instructions!$T$111:$T$222,0)), "")=D108, D108&lt;&gt;""), "X", "")</f>
        <v/>
      </c>
      <c r="D108" s="454" t="s">
        <v>2191</v>
      </c>
      <c r="E108" s="232" t="s">
        <v>141</v>
      </c>
      <c r="F108" s="232" t="s">
        <v>3</v>
      </c>
      <c r="G108" s="384">
        <v>98.500290000000007</v>
      </c>
      <c r="H108" s="456">
        <v>9.1</v>
      </c>
      <c r="I108" s="703"/>
      <c r="J108" s="697"/>
      <c r="K108" s="688"/>
      <c r="L108" s="691"/>
      <c r="M108" s="688"/>
      <c r="N108" s="234">
        <v>102</v>
      </c>
      <c r="O108" s="385" t="str">
        <f>F108&amp;COUNTIF($F$7:F108,F108)</f>
        <v>RB39</v>
      </c>
      <c r="P108" s="268">
        <f>VALUE('Draft Pick Order'!B104)</f>
        <v>209</v>
      </c>
      <c r="Q108" s="259">
        <f>COUNTIF(D$7:$F108,"QB")</f>
        <v>13</v>
      </c>
      <c r="R108" s="259">
        <f>COUNTIF($F$7:F108,"RB")</f>
        <v>39</v>
      </c>
      <c r="S108" s="259">
        <f>COUNTIF($F$7:F108,"WR")</f>
        <v>43</v>
      </c>
      <c r="T108" s="259">
        <f>COUNTIF($F$7:F108,"TE")</f>
        <v>7</v>
      </c>
      <c r="U108" s="259">
        <f>COUNTIF($F$7:F108,"DST")</f>
        <v>0</v>
      </c>
      <c r="V108" s="259">
        <f>COUNTIF($F$7:F108,"K")</f>
        <v>0</v>
      </c>
      <c r="X108" s="265">
        <v>102</v>
      </c>
      <c r="Y108" s="259" t="str">
        <f>IFERROR(INDEX(ADP_Import!A:A,MATCH(ADP!AB108,ADP_Import!AG:AG,0)),"")</f>
        <v>Kirk Cousins</v>
      </c>
      <c r="Z108" s="259" t="str">
        <f>IFERROR(INDEX(ADP_Import!B:B,MATCH(ADP!AB108,ADP_Import!AG:AG,0)),"")</f>
        <v>MIN</v>
      </c>
      <c r="AA108" s="259" t="str">
        <f>IFERROR(INDEX(ADP_Import!C:C,MATCH(ADP!AB108,ADP_Import!AG:AG,0)),"")</f>
        <v>QB</v>
      </c>
      <c r="AB108" s="439">
        <f>IFERROR(INDEX(ADP_Import!AG:AG,MATCH(SMALL(ADP_Import!AG:AG,X108),ADP_Import!AG:AG,0)),"NA")</f>
        <v>99.900287000000006</v>
      </c>
      <c r="AC108" s="265">
        <f>IFERROR(INDEX(ADP_Import!$D:$AE,MATCH(AB108,ADP_Import!AG:AG,0),$AG$6),"")</f>
        <v>11.7</v>
      </c>
      <c r="AI108" t="str">
        <f>INDEX('Draft Pick Order'!E:U,MATCH(A108,'Draft Pick Order'!C:C,0),(Instructions!$E$11*2-15))</f>
        <v>9-6</v>
      </c>
    </row>
    <row r="109" spans="1:35" x14ac:dyDescent="0.25">
      <c r="A109" s="230">
        <v>103</v>
      </c>
      <c r="B109">
        <f>IFERROR(IF(INDEX(Draft!BY:BY,MATCH(ADP!D109,Draft!BY:BY,0))=ADP!D109,1,0),0)</f>
        <v>0</v>
      </c>
      <c r="C109" t="str">
        <f>IF(AND(IFERROR(INDEX(Instructions!$T$111:$T$222,MATCH(D109,Instructions!$T$111:$T$222,0)), "")=D109, D109&lt;&gt;""), "X", "")</f>
        <v/>
      </c>
      <c r="D109" s="454" t="s">
        <v>2236</v>
      </c>
      <c r="E109" s="232" t="s">
        <v>147</v>
      </c>
      <c r="F109" s="232" t="s">
        <v>7</v>
      </c>
      <c r="G109" s="383">
        <v>99.100179999999995</v>
      </c>
      <c r="H109" s="455">
        <v>11.3</v>
      </c>
      <c r="I109" s="703"/>
      <c r="J109" s="697"/>
      <c r="K109" s="688"/>
      <c r="L109" s="691"/>
      <c r="M109" s="688"/>
      <c r="N109" s="234">
        <v>103</v>
      </c>
      <c r="O109" s="385" t="str">
        <f>F109&amp;COUNTIF($F$7:F109,F109)</f>
        <v>TE8</v>
      </c>
      <c r="P109" s="268">
        <f>VALUE('Draft Pick Order'!B105)</f>
        <v>209</v>
      </c>
      <c r="Q109" s="259">
        <f>COUNTIF(D$7:$F109,"QB")</f>
        <v>13</v>
      </c>
      <c r="R109" s="259">
        <f>COUNTIF($F$7:F109,"RB")</f>
        <v>39</v>
      </c>
      <c r="S109" s="259">
        <f>COUNTIF($F$7:F109,"WR")</f>
        <v>43</v>
      </c>
      <c r="T109" s="259">
        <f>COUNTIF($F$7:F109,"TE")</f>
        <v>8</v>
      </c>
      <c r="U109" s="259">
        <f>COUNTIF($F$7:F109,"DST")</f>
        <v>0</v>
      </c>
      <c r="V109" s="259">
        <f>COUNTIF($F$7:F109,"K")</f>
        <v>0</v>
      </c>
      <c r="X109" s="265">
        <v>103</v>
      </c>
      <c r="Y109" s="259" t="str">
        <f>IFERROR(INDEX(ADP_Import!A:A,MATCH(ADP!AB109,ADP_Import!AG:AG,0)),"")</f>
        <v>Kadarius Toney</v>
      </c>
      <c r="Z109" s="259" t="str">
        <f>IFERROR(INDEX(ADP_Import!B:B,MATCH(ADP!AB109,ADP_Import!AG:AG,0)),"")</f>
        <v>KC</v>
      </c>
      <c r="AA109" s="259" t="str">
        <f>IFERROR(INDEX(ADP_Import!C:C,MATCH(ADP!AB109,ADP_Import!AG:AG,0)),"")</f>
        <v>WR</v>
      </c>
      <c r="AB109" s="439">
        <f>IFERROR(INDEX(ADP_Import!AG:AG,MATCH(SMALL(ADP_Import!AG:AG,X109),ADP_Import!AG:AG,0)),"NA")</f>
        <v>100.00032299999999</v>
      </c>
      <c r="AC109" s="265">
        <f>IFERROR(INDEX(ADP_Import!$D:$AE,MATCH(AB109,ADP_Import!AG:AG,0),$AG$6),"")</f>
        <v>8.6</v>
      </c>
      <c r="AI109" t="str">
        <f>INDEX('Draft Pick Order'!E:U,MATCH(A109,'Draft Pick Order'!C:C,0),(Instructions!$E$11*2-15))</f>
        <v>9-7</v>
      </c>
    </row>
    <row r="110" spans="1:35" ht="15.75" thickBot="1" x14ac:dyDescent="0.3">
      <c r="A110" s="230">
        <v>104</v>
      </c>
      <c r="B110">
        <f>IFERROR(IF(INDEX(Draft!BY:BY,MATCH(ADP!D110,Draft!BY:BY,0))=ADP!D110,1,0),0)</f>
        <v>0</v>
      </c>
      <c r="C110" t="str">
        <f>IF(AND(IFERROR(INDEX(Instructions!$T$111:$T$222,MATCH(D110,Instructions!$T$111:$T$222,0)), "")=D110, D110&lt;&gt;""), "X", "")</f>
        <v/>
      </c>
      <c r="D110" s="454" t="s">
        <v>2182</v>
      </c>
      <c r="E110" s="232" t="s">
        <v>155</v>
      </c>
      <c r="F110" s="232" t="s">
        <v>3</v>
      </c>
      <c r="G110" s="384">
        <v>100.20049</v>
      </c>
      <c r="H110" s="456">
        <v>6.3</v>
      </c>
      <c r="I110" s="704"/>
      <c r="J110" s="697"/>
      <c r="K110" s="688"/>
      <c r="L110" s="691"/>
      <c r="M110" s="688"/>
      <c r="N110" s="234">
        <v>104</v>
      </c>
      <c r="O110" s="385" t="str">
        <f>F110&amp;COUNTIF($F$7:F110,F110)</f>
        <v>RB40</v>
      </c>
      <c r="P110" s="268">
        <f>VALUE('Draft Pick Order'!B106)</f>
        <v>209</v>
      </c>
      <c r="Q110" s="259">
        <f>COUNTIF(D$7:$F110,"QB")</f>
        <v>13</v>
      </c>
      <c r="R110" s="259">
        <f>COUNTIF($F$7:F110,"RB")</f>
        <v>40</v>
      </c>
      <c r="S110" s="259">
        <f>COUNTIF($F$7:F110,"WR")</f>
        <v>43</v>
      </c>
      <c r="T110" s="259">
        <f>COUNTIF($F$7:F110,"TE")</f>
        <v>8</v>
      </c>
      <c r="U110" s="259">
        <f>COUNTIF($F$7:F110,"DST")</f>
        <v>0</v>
      </c>
      <c r="V110" s="259">
        <f>COUNTIF($F$7:F110,"K")</f>
        <v>0</v>
      </c>
      <c r="X110" s="265">
        <v>104</v>
      </c>
      <c r="Y110" s="259" t="str">
        <f>IFERROR(INDEX(ADP_Import!A:A,MATCH(ADP!AB110,ADP_Import!AG:AG,0)),"")</f>
        <v>Rashod Bateman</v>
      </c>
      <c r="Z110" s="259" t="str">
        <f>IFERROR(INDEX(ADP_Import!B:B,MATCH(ADP!AB110,ADP_Import!AG:AG,0)),"")</f>
        <v>BAL</v>
      </c>
      <c r="AA110" s="259" t="str">
        <f>IFERROR(INDEX(ADP_Import!C:C,MATCH(ADP!AB110,ADP_Import!AG:AG,0)),"")</f>
        <v>WR</v>
      </c>
      <c r="AB110" s="439">
        <f>IFERROR(INDEX(ADP_Import!AG:AG,MATCH(SMALL(ADP_Import!AG:AG,X110),ADP_Import!AG:AG,0)),"NA")</f>
        <v>102.00015</v>
      </c>
      <c r="AC110" s="265">
        <f>IFERROR(INDEX(ADP_Import!$D:$AE,MATCH(AB110,ADP_Import!AG:AG,0),$AG$6),"")</f>
        <v>8.1</v>
      </c>
      <c r="AI110" t="str">
        <f>INDEX('Draft Pick Order'!E:U,MATCH(A110,'Draft Pick Order'!C:C,0),(Instructions!$E$11*2-15))</f>
        <v>9-8</v>
      </c>
    </row>
    <row r="111" spans="1:35" x14ac:dyDescent="0.25">
      <c r="A111" s="230">
        <v>105</v>
      </c>
      <c r="B111">
        <f>IFERROR(IF(INDEX(Draft!BY:BY,MATCH(ADP!D111,Draft!BY:BY,0))=ADP!D111,1,0),0)</f>
        <v>0</v>
      </c>
      <c r="C111" t="str">
        <f>IF(AND(IFERROR(INDEX(Instructions!$T$111:$T$222,MATCH(D111,Instructions!$T$111:$T$222,0)), "")=D111, D111&lt;&gt;""), "X", "")</f>
        <v/>
      </c>
      <c r="D111" s="454" t="s">
        <v>13</v>
      </c>
      <c r="E111" s="232" t="s">
        <v>164</v>
      </c>
      <c r="F111" s="232" t="s">
        <v>1</v>
      </c>
      <c r="G111" s="383">
        <v>101.800726</v>
      </c>
      <c r="H111" s="455">
        <v>10.1</v>
      </c>
      <c r="I111" s="699" t="s">
        <v>909</v>
      </c>
      <c r="J111" s="697"/>
      <c r="K111" s="688"/>
      <c r="L111" s="691"/>
      <c r="M111" s="688"/>
      <c r="N111" s="234">
        <v>105</v>
      </c>
      <c r="O111" s="385" t="str">
        <f>F111&amp;COUNTIF($F$7:F111,F111)</f>
        <v>QB14</v>
      </c>
      <c r="P111" s="268">
        <f>VALUE('Draft Pick Order'!B107)</f>
        <v>209</v>
      </c>
      <c r="Q111" s="259">
        <f>COUNTIF(D$7:$F111,"QB")</f>
        <v>14</v>
      </c>
      <c r="R111" s="259">
        <f>COUNTIF($F$7:F111,"RB")</f>
        <v>40</v>
      </c>
      <c r="S111" s="259">
        <f>COUNTIF($F$7:F111,"WR")</f>
        <v>43</v>
      </c>
      <c r="T111" s="259">
        <f>COUNTIF($F$7:F111,"TE")</f>
        <v>8</v>
      </c>
      <c r="U111" s="259">
        <f>COUNTIF($F$7:F111,"DST")</f>
        <v>0</v>
      </c>
      <c r="V111" s="259">
        <f>COUNTIF($F$7:F111,"K")</f>
        <v>0</v>
      </c>
      <c r="X111" s="265">
        <v>105</v>
      </c>
      <c r="Y111" s="259" t="str">
        <f>IFERROR(INDEX(ADP_Import!A:A,MATCH(ADP!AB111,ADP_Import!AG:AG,0)),"")</f>
        <v>Zay Flowers</v>
      </c>
      <c r="Z111" s="259" t="str">
        <f>IFERROR(INDEX(ADP_Import!B:B,MATCH(ADP!AB111,ADP_Import!AG:AG,0)),"")</f>
        <v>BAL</v>
      </c>
      <c r="AA111" s="259" t="str">
        <f>IFERROR(INDEX(ADP_Import!C:C,MATCH(ADP!AB111,ADP_Import!AG:AG,0)),"")</f>
        <v>WR</v>
      </c>
      <c r="AB111" s="439">
        <f>IFERROR(INDEX(ADP_Import!AG:AG,MATCH(SMALL(ADP_Import!AG:AG,X111),ADP_Import!AG:AG,0)),"NA")</f>
        <v>102.40000300000001</v>
      </c>
      <c r="AC111" s="265">
        <f>IFERROR(INDEX(ADP_Import!$D:$AE,MATCH(AB111,ADP_Import!AG:AG,0),$AG$6),"")</f>
        <v>8</v>
      </c>
      <c r="AI111" t="str">
        <f>INDEX('Draft Pick Order'!E:U,MATCH(A111,'Draft Pick Order'!C:C,0),(Instructions!$E$11*2-15))</f>
        <v>9-9</v>
      </c>
    </row>
    <row r="112" spans="1:35" x14ac:dyDescent="0.25">
      <c r="A112" s="230">
        <v>106</v>
      </c>
      <c r="B112">
        <f>IFERROR(IF(INDEX(Draft!BY:BY,MATCH(ADP!D112,Draft!BY:BY,0))=ADP!D112,1,0),0)</f>
        <v>0</v>
      </c>
      <c r="C112" t="str">
        <f>IF(AND(IFERROR(INDEX(Instructions!$T$111:$T$222,MATCH(D112,Instructions!$T$111:$T$222,0)), "")=D112, D112&lt;&gt;""), "X", "")</f>
        <v/>
      </c>
      <c r="D112" s="454" t="s">
        <v>2199</v>
      </c>
      <c r="E112" s="232" t="s">
        <v>161</v>
      </c>
      <c r="F112" s="232" t="s">
        <v>6</v>
      </c>
      <c r="G112" s="384">
        <v>102.000489</v>
      </c>
      <c r="H112" s="456">
        <v>6.9</v>
      </c>
      <c r="I112" s="700"/>
      <c r="J112" s="697"/>
      <c r="K112" s="688"/>
      <c r="L112" s="691"/>
      <c r="M112" s="688"/>
      <c r="N112" s="234">
        <v>106</v>
      </c>
      <c r="O112" s="385" t="str">
        <f>F112&amp;COUNTIF($F$7:F112,F112)</f>
        <v>WR44</v>
      </c>
      <c r="P112" s="268">
        <f>VALUE('Draft Pick Order'!B108)</f>
        <v>209</v>
      </c>
      <c r="Q112" s="259">
        <f>COUNTIF(D$7:$F112,"QB")</f>
        <v>14</v>
      </c>
      <c r="R112" s="259">
        <f>COUNTIF($F$7:F112,"RB")</f>
        <v>40</v>
      </c>
      <c r="S112" s="259">
        <f>COUNTIF($F$7:F112,"WR")</f>
        <v>44</v>
      </c>
      <c r="T112" s="259">
        <f>COUNTIF($F$7:F112,"TE")</f>
        <v>8</v>
      </c>
      <c r="U112" s="259">
        <f>COUNTIF($F$7:F112,"DST")</f>
        <v>0</v>
      </c>
      <c r="V112" s="259">
        <f>COUNTIF($F$7:F112,"K")</f>
        <v>0</v>
      </c>
      <c r="X112" s="265">
        <v>106</v>
      </c>
      <c r="Y112" s="259" t="str">
        <f>IFERROR(INDEX(ADP_Import!A:A,MATCH(ADP!AB112,ADP_Import!AG:AG,0)),"")</f>
        <v>Jamaal Williams</v>
      </c>
      <c r="Z112" s="259" t="str">
        <f>IFERROR(INDEX(ADP_Import!B:B,MATCH(ADP!AB112,ADP_Import!AG:AG,0)),"")</f>
        <v>NO</v>
      </c>
      <c r="AA112" s="259" t="str">
        <f>IFERROR(INDEX(ADP_Import!C:C,MATCH(ADP!AB112,ADP_Import!AG:AG,0)),"")</f>
        <v>RB</v>
      </c>
      <c r="AB112" s="439">
        <f>IFERROR(INDEX(ADP_Import!AG:AG,MATCH(SMALL(ADP_Import!AG:AG,X112),ADP_Import!AG:AG,0)),"NA")</f>
        <v>104.000405</v>
      </c>
      <c r="AC112" s="265">
        <f>IFERROR(INDEX(ADP_Import!$D:$AE,MATCH(AB112,ADP_Import!AG:AG,0),$AG$6),"")</f>
        <v>9.9</v>
      </c>
      <c r="AI112" t="str">
        <f>INDEX('Draft Pick Order'!E:U,MATCH(A112,'Draft Pick Order'!C:C,0),(Instructions!$E$11*2-15))</f>
        <v>9-10</v>
      </c>
    </row>
    <row r="113" spans="1:35" x14ac:dyDescent="0.25">
      <c r="A113" s="230">
        <v>107</v>
      </c>
      <c r="B113">
        <f>IFERROR(IF(INDEX(Draft!BY:BY,MATCH(ADP!D113,Draft!BY:BY,0))=ADP!D113,1,0),0)</f>
        <v>0</v>
      </c>
      <c r="C113" t="str">
        <f>IF(AND(IFERROR(INDEX(Instructions!$T$111:$T$222,MATCH(D113,Instructions!$T$111:$T$222,0)), "")=D113, D113&lt;&gt;""), "X", "")</f>
        <v/>
      </c>
      <c r="D113" s="454" t="s">
        <v>173</v>
      </c>
      <c r="E113" s="232" t="s">
        <v>140</v>
      </c>
      <c r="F113" s="232" t="s">
        <v>1</v>
      </c>
      <c r="G113" s="383">
        <v>103.100471</v>
      </c>
      <c r="H113" s="455">
        <v>10.6</v>
      </c>
      <c r="I113" s="700"/>
      <c r="J113" s="697"/>
      <c r="K113" s="688"/>
      <c r="L113" s="691"/>
      <c r="M113" s="688"/>
      <c r="N113" s="234">
        <v>107</v>
      </c>
      <c r="O113" s="385" t="str">
        <f>F113&amp;COUNTIF($F$7:F113,F113)</f>
        <v>QB15</v>
      </c>
      <c r="P113" s="268">
        <f>VALUE('Draft Pick Order'!B109)</f>
        <v>209</v>
      </c>
      <c r="Q113" s="259">
        <f>COUNTIF(D$7:$F113,"QB")</f>
        <v>15</v>
      </c>
      <c r="R113" s="259">
        <f>COUNTIF($F$7:F113,"RB")</f>
        <v>40</v>
      </c>
      <c r="S113" s="259">
        <f>COUNTIF($F$7:F113,"WR")</f>
        <v>44</v>
      </c>
      <c r="T113" s="259">
        <f>COUNTIF($F$7:F113,"TE")</f>
        <v>8</v>
      </c>
      <c r="U113" s="259">
        <f>COUNTIF($F$7:F113,"DST")</f>
        <v>0</v>
      </c>
      <c r="V113" s="259">
        <f>COUNTIF($F$7:F113,"K")</f>
        <v>0</v>
      </c>
      <c r="X113" s="265">
        <v>107</v>
      </c>
      <c r="Y113" s="259" t="str">
        <f>IFERROR(INDEX(ADP_Import!A:A,MATCH(ADP!AB113,ADP_Import!AG:AG,0)),"")</f>
        <v>Aaron Rodgers</v>
      </c>
      <c r="Z113" s="259" t="str">
        <f>IFERROR(INDEX(ADP_Import!B:B,MATCH(ADP!AB113,ADP_Import!AG:AG,0)),"")</f>
        <v>NYJ</v>
      </c>
      <c r="AA113" s="259" t="str">
        <f>IFERROR(INDEX(ADP_Import!C:C,MATCH(ADP!AB113,ADP_Import!AG:AG,0)),"")</f>
        <v>QB</v>
      </c>
      <c r="AB113" s="439">
        <f>IFERROR(INDEX(ADP_Import!AG:AG,MATCH(SMALL(ADP_Import!AG:AG,X113),ADP_Import!AG:AG,0)),"NA")</f>
        <v>104.300726</v>
      </c>
      <c r="AC113" s="265">
        <f>IFERROR(INDEX(ADP_Import!$D:$AE,MATCH(AB113,ADP_Import!AG:AG,0),$AG$6),"")</f>
        <v>13.6</v>
      </c>
      <c r="AI113" t="str">
        <f>INDEX('Draft Pick Order'!E:U,MATCH(A113,'Draft Pick Order'!C:C,0),(Instructions!$E$11*2-15))</f>
        <v>9-11</v>
      </c>
    </row>
    <row r="114" spans="1:35" ht="15.75" thickBot="1" x14ac:dyDescent="0.3">
      <c r="A114" s="230">
        <v>108</v>
      </c>
      <c r="B114">
        <f>IFERROR(IF(INDEX(Draft!BY:BY,MATCH(ADP!D114,Draft!BY:BY,0))=ADP!D114,1,0),0)</f>
        <v>0</v>
      </c>
      <c r="C114" t="str">
        <f>IF(AND(IFERROR(INDEX(Instructions!$T$111:$T$222,MATCH(D114,Instructions!$T$111:$T$222,0)), "")=D114, D114&lt;&gt;""), "X", "")</f>
        <v/>
      </c>
      <c r="D114" s="454" t="s">
        <v>2387</v>
      </c>
      <c r="E114" s="232" t="s">
        <v>162</v>
      </c>
      <c r="F114" s="232" t="s">
        <v>6</v>
      </c>
      <c r="G114" s="384">
        <v>105.90000300000001</v>
      </c>
      <c r="H114" s="456">
        <v>7.3</v>
      </c>
      <c r="I114" s="700"/>
      <c r="J114" s="697"/>
      <c r="K114" s="689"/>
      <c r="L114" s="691"/>
      <c r="M114" s="688"/>
      <c r="N114" s="234">
        <v>108</v>
      </c>
      <c r="O114" s="385" t="str">
        <f>F114&amp;COUNTIF($F$7:F114,F114)</f>
        <v>WR45</v>
      </c>
      <c r="P114" s="268">
        <f>VALUE('Draft Pick Order'!B110)</f>
        <v>209</v>
      </c>
      <c r="Q114" s="259">
        <f>COUNTIF(D$7:$F114,"QB")</f>
        <v>15</v>
      </c>
      <c r="R114" s="259">
        <f>COUNTIF($F$7:F114,"RB")</f>
        <v>40</v>
      </c>
      <c r="S114" s="259">
        <f>COUNTIF($F$7:F114,"WR")</f>
        <v>45</v>
      </c>
      <c r="T114" s="259">
        <f>COUNTIF($F$7:F114,"TE")</f>
        <v>8</v>
      </c>
      <c r="U114" s="259">
        <f>COUNTIF($F$7:F114,"DST")</f>
        <v>0</v>
      </c>
      <c r="V114" s="259">
        <f>COUNTIF($F$7:F114,"K")</f>
        <v>0</v>
      </c>
      <c r="X114" s="265">
        <v>108</v>
      </c>
      <c r="Y114" s="259" t="str">
        <f>IFERROR(INDEX(ADP_Import!A:A,MATCH(ADP!AB114,ADP_Import!AG:AG,0)),"")</f>
        <v>Daniel Jones</v>
      </c>
      <c r="Z114" s="259" t="str">
        <f>IFERROR(INDEX(ADP_Import!B:B,MATCH(ADP!AB114,ADP_Import!AG:AG,0)),"")</f>
        <v>NYG</v>
      </c>
      <c r="AA114" s="259" t="str">
        <f>IFERROR(INDEX(ADP_Import!C:C,MATCH(ADP!AB114,ADP_Import!AG:AG,0)),"")</f>
        <v>QB</v>
      </c>
      <c r="AB114" s="439">
        <f>IFERROR(INDEX(ADP_Import!AG:AG,MATCH(SMALL(ADP_Import!AG:AG,X114),ADP_Import!AG:AG,0)),"NA")</f>
        <v>104.500569</v>
      </c>
      <c r="AC114" s="265">
        <f>IFERROR(INDEX(ADP_Import!$D:$AE,MATCH(AB114,ADP_Import!AG:AG,0),$AG$6),"")</f>
        <v>10.9</v>
      </c>
      <c r="AI114" t="str">
        <f>INDEX('Draft Pick Order'!E:U,MATCH(A114,'Draft Pick Order'!C:C,0),(Instructions!$E$11*2-15))</f>
        <v>9-12</v>
      </c>
    </row>
    <row r="115" spans="1:35" ht="15" customHeight="1" x14ac:dyDescent="0.25">
      <c r="A115" s="230">
        <v>109</v>
      </c>
      <c r="B115">
        <f>IFERROR(IF(INDEX(Draft!BY:BY,MATCH(ADP!D115,Draft!BY:BY,0))=ADP!D115,1,0),0)</f>
        <v>0</v>
      </c>
      <c r="C115" t="str">
        <f>IF(AND(IFERROR(INDEX(Instructions!$T$111:$T$222,MATCH(D115,Instructions!$T$111:$T$222,0)), "")=D115, D115&lt;&gt;""), "X", "")</f>
        <v/>
      </c>
      <c r="D115" s="454" t="s">
        <v>2198</v>
      </c>
      <c r="E115" s="232" t="s">
        <v>162</v>
      </c>
      <c r="F115" s="232" t="s">
        <v>6</v>
      </c>
      <c r="G115" s="383">
        <v>106.00015</v>
      </c>
      <c r="H115" s="455">
        <v>7.2</v>
      </c>
      <c r="I115" s="700"/>
      <c r="J115" s="697"/>
      <c r="K115" s="690" t="s">
        <v>905</v>
      </c>
      <c r="L115" s="691"/>
      <c r="M115" s="688"/>
      <c r="N115" s="234">
        <v>109</v>
      </c>
      <c r="O115" s="385" t="str">
        <f>F115&amp;COUNTIF($F$7:F115,F115)</f>
        <v>WR46</v>
      </c>
      <c r="P115" s="268">
        <f>VALUE('Draft Pick Order'!B111)</f>
        <v>209</v>
      </c>
      <c r="Q115" s="259">
        <f>COUNTIF(D$7:$F115,"QB")</f>
        <v>15</v>
      </c>
      <c r="R115" s="259">
        <f>COUNTIF($F$7:F115,"RB")</f>
        <v>40</v>
      </c>
      <c r="S115" s="259">
        <f>COUNTIF($F$7:F115,"WR")</f>
        <v>46</v>
      </c>
      <c r="T115" s="259">
        <f>COUNTIF($F$7:F115,"TE")</f>
        <v>8</v>
      </c>
      <c r="U115" s="259">
        <f>COUNTIF($F$7:F115,"DST")</f>
        <v>0</v>
      </c>
      <c r="V115" s="259">
        <f>COUNTIF($F$7:F115,"K")</f>
        <v>0</v>
      </c>
      <c r="X115" s="265">
        <v>109</v>
      </c>
      <c r="Y115" s="259" t="str">
        <f>IFERROR(INDEX(ADP_Import!A:A,MATCH(ADP!AB115,ADP_Import!AG:AG,0)),"")</f>
        <v>David Njoku</v>
      </c>
      <c r="Z115" s="259" t="str">
        <f>IFERROR(INDEX(ADP_Import!B:B,MATCH(ADP!AB115,ADP_Import!AG:AG,0)),"")</f>
        <v>CLE</v>
      </c>
      <c r="AA115" s="259" t="str">
        <f>IFERROR(INDEX(ADP_Import!C:C,MATCH(ADP!AB115,ADP_Import!AG:AG,0)),"")</f>
        <v>TE</v>
      </c>
      <c r="AB115" s="439">
        <f>IFERROR(INDEX(ADP_Import!AG:AG,MATCH(SMALL(ADP_Import!AG:AG,X115),ADP_Import!AG:AG,0)),"NA")</f>
        <v>105.200551</v>
      </c>
      <c r="AC115" s="265">
        <f>IFERROR(INDEX(ADP_Import!$D:$AE,MATCH(AB115,ADP_Import!AG:AG,0),$AG$6),"")</f>
        <v>9.6</v>
      </c>
      <c r="AI115" t="str">
        <f>INDEX('Draft Pick Order'!E:U,MATCH(A115,'Draft Pick Order'!C:C,0),(Instructions!$E$11*2-15))</f>
        <v>10-1</v>
      </c>
    </row>
    <row r="116" spans="1:35" ht="15.75" thickBot="1" x14ac:dyDescent="0.3">
      <c r="A116" s="230">
        <v>110</v>
      </c>
      <c r="B116">
        <f>IFERROR(IF(INDEX(Draft!BY:BY,MATCH(ADP!D116,Draft!BY:BY,0))=ADP!D116,1,0),0)</f>
        <v>0</v>
      </c>
      <c r="C116" t="str">
        <f>IF(AND(IFERROR(INDEX(Instructions!$T$111:$T$222,MATCH(D116,Instructions!$T$111:$T$222,0)), "")=D116, D116&lt;&gt;""), "X", "")</f>
        <v/>
      </c>
      <c r="D116" s="454" t="s">
        <v>1192</v>
      </c>
      <c r="E116" s="232" t="s">
        <v>143</v>
      </c>
      <c r="F116" s="232" t="s">
        <v>6</v>
      </c>
      <c r="G116" s="384">
        <v>107.200225</v>
      </c>
      <c r="H116" s="456">
        <v>8.9</v>
      </c>
      <c r="I116" s="700"/>
      <c r="J116" s="698"/>
      <c r="K116" s="691"/>
      <c r="L116" s="691"/>
      <c r="M116" s="688"/>
      <c r="N116" s="234">
        <v>110</v>
      </c>
      <c r="O116" s="385" t="str">
        <f>F116&amp;COUNTIF($F$7:F116,F116)</f>
        <v>WR47</v>
      </c>
      <c r="P116" s="268">
        <f>VALUE('Draft Pick Order'!B112)</f>
        <v>209</v>
      </c>
      <c r="Q116" s="259">
        <f>COUNTIF(D$7:$F116,"QB")</f>
        <v>15</v>
      </c>
      <c r="R116" s="259">
        <f>COUNTIF($F$7:F116,"RB")</f>
        <v>40</v>
      </c>
      <c r="S116" s="259">
        <f>COUNTIF($F$7:F116,"WR")</f>
        <v>47</v>
      </c>
      <c r="T116" s="259">
        <f>COUNTIF($F$7:F116,"TE")</f>
        <v>8</v>
      </c>
      <c r="U116" s="259">
        <f>COUNTIF($F$7:F116,"DST")</f>
        <v>0</v>
      </c>
      <c r="V116" s="259">
        <f>COUNTIF($F$7:F116,"K")</f>
        <v>0</v>
      </c>
      <c r="X116" s="265">
        <v>110</v>
      </c>
      <c r="Y116" s="259" t="str">
        <f>IFERROR(INDEX(ADP_Import!A:A,MATCH(ADP!AB116,ADP_Import!AG:AG,0)),"")</f>
        <v>Zach Charbonnet</v>
      </c>
      <c r="Z116" s="259" t="str">
        <f>IFERROR(INDEX(ADP_Import!B:B,MATCH(ADP!AB116,ADP_Import!AG:AG,0)),"")</f>
        <v>SEA</v>
      </c>
      <c r="AA116" s="259" t="str">
        <f>IFERROR(INDEX(ADP_Import!C:C,MATCH(ADP!AB116,ADP_Import!AG:AG,0)),"")</f>
        <v>RB</v>
      </c>
      <c r="AB116" s="439">
        <f>IFERROR(INDEX(ADP_Import!AG:AG,MATCH(SMALL(ADP_Import!AG:AG,X116),ADP_Import!AG:AG,0)),"NA")</f>
        <v>106.50001399999999</v>
      </c>
      <c r="AC116" s="265">
        <f>IFERROR(INDEX(ADP_Import!$D:$AE,MATCH(AB116,ADP_Import!AG:AG,0),$AG$6),"")</f>
        <v>8.3000000000000007</v>
      </c>
      <c r="AI116" t="str">
        <f>INDEX('Draft Pick Order'!E:U,MATCH(A116,'Draft Pick Order'!C:C,0),(Instructions!$E$11*2-15))</f>
        <v>10-2</v>
      </c>
    </row>
    <row r="117" spans="1:35" x14ac:dyDescent="0.25">
      <c r="A117" s="230">
        <v>111</v>
      </c>
      <c r="B117">
        <f>IFERROR(IF(INDEX(Draft!BY:BY,MATCH(ADP!D117,Draft!BY:BY,0))=ADP!D117,1,0),0)</f>
        <v>0</v>
      </c>
      <c r="C117" t="str">
        <f>IF(AND(IFERROR(INDEX(Instructions!$T$111:$T$222,MATCH(D117,Instructions!$T$111:$T$222,0)), "")=D117, D117&lt;&gt;""), "X", "")</f>
        <v/>
      </c>
      <c r="D117" s="454" t="s">
        <v>2293</v>
      </c>
      <c r="E117" s="232" t="s">
        <v>148</v>
      </c>
      <c r="F117" s="232" t="s">
        <v>3</v>
      </c>
      <c r="G117" s="383">
        <v>108.10004499999999</v>
      </c>
      <c r="H117" s="455">
        <v>7.3</v>
      </c>
      <c r="I117" s="700"/>
      <c r="J117" s="693" t="s">
        <v>907</v>
      </c>
      <c r="K117" s="691"/>
      <c r="L117" s="691"/>
      <c r="M117" s="688"/>
      <c r="N117" s="234">
        <v>111</v>
      </c>
      <c r="O117" s="385" t="str">
        <f>F117&amp;COUNTIF($F$7:F117,F117)</f>
        <v>RB41</v>
      </c>
      <c r="P117" s="268">
        <f>VALUE('Draft Pick Order'!B113)</f>
        <v>209</v>
      </c>
      <c r="Q117" s="259">
        <f>COUNTIF(D$7:$F117,"QB")</f>
        <v>15</v>
      </c>
      <c r="R117" s="259">
        <f>COUNTIF($F$7:F117,"RB")</f>
        <v>41</v>
      </c>
      <c r="S117" s="259">
        <f>COUNTIF($F$7:F117,"WR")</f>
        <v>47</v>
      </c>
      <c r="T117" s="259">
        <f>COUNTIF($F$7:F117,"TE")</f>
        <v>8</v>
      </c>
      <c r="U117" s="259">
        <f>COUNTIF($F$7:F117,"DST")</f>
        <v>0</v>
      </c>
      <c r="V117" s="259">
        <f>COUNTIF($F$7:F117,"K")</f>
        <v>0</v>
      </c>
      <c r="X117" s="265">
        <v>111</v>
      </c>
      <c r="Y117" s="259" t="str">
        <f>IFERROR(INDEX(ADP_Import!A:A,MATCH(ADP!AB117,ADP_Import!AG:AG,0)),"")</f>
        <v>Skyy Moore</v>
      </c>
      <c r="Z117" s="259" t="str">
        <f>IFERROR(INDEX(ADP_Import!B:B,MATCH(ADP!AB117,ADP_Import!AG:AG,0)),"")</f>
        <v>KC</v>
      </c>
      <c r="AA117" s="259" t="str">
        <f>IFERROR(INDEX(ADP_Import!C:C,MATCH(ADP!AB117,ADP_Import!AG:AG,0)),"")</f>
        <v>WR</v>
      </c>
      <c r="AB117" s="439">
        <f>IFERROR(INDEX(ADP_Import!AG:AG,MATCH(SMALL(ADP_Import!AG:AG,X117),ADP_Import!AG:AG,0)),"NA")</f>
        <v>108.10010699999999</v>
      </c>
      <c r="AC117" s="265">
        <f>IFERROR(INDEX(ADP_Import!$D:$AE,MATCH(AB117,ADP_Import!AG:AG,0),$AG$6),"")</f>
        <v>8.9</v>
      </c>
      <c r="AI117" t="str">
        <f>INDEX('Draft Pick Order'!E:U,MATCH(A117,'Draft Pick Order'!C:C,0),(Instructions!$E$11*2-15))</f>
        <v>10-3</v>
      </c>
    </row>
    <row r="118" spans="1:35" ht="15.75" thickBot="1" x14ac:dyDescent="0.3">
      <c r="A118" s="230">
        <v>112</v>
      </c>
      <c r="B118">
        <f>IFERROR(IF(INDEX(Draft!BY:BY,MATCH(ADP!D118,Draft!BY:BY,0))=ADP!D118,1,0),0)</f>
        <v>0</v>
      </c>
      <c r="C118" t="str">
        <f>IF(AND(IFERROR(INDEX(Instructions!$T$111:$T$222,MATCH(D118,Instructions!$T$111:$T$222,0)), "")=D118, D118&lt;&gt;""), "X", "")</f>
        <v/>
      </c>
      <c r="D118" s="454" t="s">
        <v>1412</v>
      </c>
      <c r="E118" s="232" t="s">
        <v>165</v>
      </c>
      <c r="F118" s="232" t="s">
        <v>7</v>
      </c>
      <c r="G118" s="384">
        <v>109.100482</v>
      </c>
      <c r="H118" s="456">
        <v>12.5</v>
      </c>
      <c r="I118" s="701"/>
      <c r="J118" s="694"/>
      <c r="K118" s="691"/>
      <c r="L118" s="691"/>
      <c r="M118" s="689"/>
      <c r="N118" s="234">
        <v>112</v>
      </c>
      <c r="O118" s="385" t="str">
        <f>F118&amp;COUNTIF($F$7:F118,F118)</f>
        <v>TE9</v>
      </c>
      <c r="P118" s="268">
        <f>VALUE('Draft Pick Order'!B114)</f>
        <v>209</v>
      </c>
      <c r="Q118" s="259">
        <f>COUNTIF(D$7:$F118,"QB")</f>
        <v>15</v>
      </c>
      <c r="R118" s="259">
        <f>COUNTIF($F$7:F118,"RB")</f>
        <v>41</v>
      </c>
      <c r="S118" s="259">
        <f>COUNTIF($F$7:F118,"WR")</f>
        <v>47</v>
      </c>
      <c r="T118" s="259">
        <f>COUNTIF($F$7:F118,"TE")</f>
        <v>9</v>
      </c>
      <c r="U118" s="259">
        <f>COUNTIF($F$7:F118,"DST")</f>
        <v>0</v>
      </c>
      <c r="V118" s="259">
        <f>COUNTIF($F$7:F118,"K")</f>
        <v>0</v>
      </c>
      <c r="X118" s="265">
        <v>112</v>
      </c>
      <c r="Y118" s="259" t="str">
        <f>IFERROR(INDEX(ADP_Import!A:A,MATCH(ADP!AB118,ADP_Import!AG:AG,0)),"")</f>
        <v>Geno Smith</v>
      </c>
      <c r="Z118" s="259" t="str">
        <f>IFERROR(INDEX(ADP_Import!B:B,MATCH(ADP!AB118,ADP_Import!AG:AG,0)),"")</f>
        <v>SEA</v>
      </c>
      <c r="AA118" s="259" t="str">
        <f>IFERROR(INDEX(ADP_Import!C:C,MATCH(ADP!AB118,ADP_Import!AG:AG,0)),"")</f>
        <v>QB</v>
      </c>
      <c r="AB118" s="439">
        <f>IFERROR(INDEX(ADP_Import!AG:AG,MATCH(SMALL(ADP_Import!AG:AG,X118),ADP_Import!AG:AG,0)),"NA")</f>
        <v>110.40047100000001</v>
      </c>
      <c r="AC118" s="265">
        <f>IFERROR(INDEX(ADP_Import!$D:$AE,MATCH(AB118,ADP_Import!AG:AG,0),$AG$6),"")</f>
        <v>10.4</v>
      </c>
      <c r="AI118" t="str">
        <f>INDEX('Draft Pick Order'!E:U,MATCH(A118,'Draft Pick Order'!C:C,0),(Instructions!$E$11*2-15))</f>
        <v>10-4</v>
      </c>
    </row>
    <row r="119" spans="1:35" ht="15" customHeight="1" x14ac:dyDescent="0.25">
      <c r="A119" s="230">
        <v>113</v>
      </c>
      <c r="B119">
        <f>IFERROR(IF(INDEX(Draft!BY:BY,MATCH(ADP!D119,Draft!BY:BY,0))=ADP!D119,1,0),0)</f>
        <v>0</v>
      </c>
      <c r="C119" t="str">
        <f>IF(AND(IFERROR(INDEX(Instructions!$T$111:$T$222,MATCH(D119,Instructions!$T$111:$T$222,0)), "")=D119, D119&lt;&gt;""), "X", "")</f>
        <v/>
      </c>
      <c r="D119" s="454" t="s">
        <v>1993</v>
      </c>
      <c r="E119" s="232" t="s">
        <v>151</v>
      </c>
      <c r="F119" s="232" t="s">
        <v>7</v>
      </c>
      <c r="G119" s="383">
        <v>109.800578</v>
      </c>
      <c r="H119" s="455">
        <v>11.6</v>
      </c>
      <c r="I119" s="702" t="s">
        <v>910</v>
      </c>
      <c r="J119" s="694"/>
      <c r="K119" s="691"/>
      <c r="L119" s="687" t="s">
        <v>904</v>
      </c>
      <c r="M119" s="690" t="s">
        <v>903</v>
      </c>
      <c r="N119" s="234">
        <v>113</v>
      </c>
      <c r="O119" s="385" t="str">
        <f>F119&amp;COUNTIF($F$7:F119,F119)</f>
        <v>TE10</v>
      </c>
      <c r="P119" s="268">
        <f>VALUE('Draft Pick Order'!B115)</f>
        <v>209</v>
      </c>
      <c r="Q119" s="259">
        <f>COUNTIF(D$7:$F119,"QB")</f>
        <v>15</v>
      </c>
      <c r="R119" s="259">
        <f>COUNTIF($F$7:F119,"RB")</f>
        <v>41</v>
      </c>
      <c r="S119" s="259">
        <f>COUNTIF($F$7:F119,"WR")</f>
        <v>47</v>
      </c>
      <c r="T119" s="259">
        <f>COUNTIF($F$7:F119,"TE")</f>
        <v>10</v>
      </c>
      <c r="U119" s="259">
        <f>COUNTIF($F$7:F119,"DST")</f>
        <v>0</v>
      </c>
      <c r="V119" s="259">
        <f>COUNTIF($F$7:F119,"K")</f>
        <v>0</v>
      </c>
      <c r="X119" s="265">
        <v>113</v>
      </c>
      <c r="Y119" s="259" t="str">
        <f>IFERROR(INDEX(ADP_Import!A:A,MATCH(ADP!AB119,ADP_Import!AG:AG,0)),"")</f>
        <v>Jerick McKinnon</v>
      </c>
      <c r="Z119" s="259" t="str">
        <f>IFERROR(INDEX(ADP_Import!B:B,MATCH(ADP!AB119,ADP_Import!AG:AG,0)),"")</f>
        <v>KC</v>
      </c>
      <c r="AA119" s="259" t="str">
        <f>IFERROR(INDEX(ADP_Import!C:C,MATCH(ADP!AB119,ADP_Import!AG:AG,0)),"")</f>
        <v>RB</v>
      </c>
      <c r="AB119" s="439">
        <f>IFERROR(INDEX(ADP_Import!AG:AG,MATCH(SMALL(ADP_Import!AG:AG,X119),ADP_Import!AG:AG,0)),"NA")</f>
        <v>110.50037399999999</v>
      </c>
      <c r="AC119" s="265">
        <f>IFERROR(INDEX(ADP_Import!$D:$AE,MATCH(AB119,ADP_Import!AG:AG,0),$AG$6),"")</f>
        <v>8.4</v>
      </c>
      <c r="AI119" t="str">
        <f>INDEX('Draft Pick Order'!E:U,MATCH(A119,'Draft Pick Order'!C:C,0),(Instructions!$E$11*2-15))</f>
        <v>10-5</v>
      </c>
    </row>
    <row r="120" spans="1:35" x14ac:dyDescent="0.25">
      <c r="A120" s="230">
        <v>114</v>
      </c>
      <c r="B120">
        <f>IFERROR(IF(INDEX(Draft!BY:BY,MATCH(ADP!D120,Draft!BY:BY,0))=ADP!D120,1,0),0)</f>
        <v>0</v>
      </c>
      <c r="C120" t="str">
        <f>IF(AND(IFERROR(INDEX(Instructions!$T$111:$T$222,MATCH(D120,Instructions!$T$111:$T$222,0)), "")=D120, D120&lt;&gt;""), "X", "")</f>
        <v/>
      </c>
      <c r="D120" s="454" t="s">
        <v>1280</v>
      </c>
      <c r="E120" s="232" t="s">
        <v>166</v>
      </c>
      <c r="F120" s="232" t="s">
        <v>3</v>
      </c>
      <c r="G120" s="384">
        <v>110.90015600000001</v>
      </c>
      <c r="H120" s="456">
        <v>7.6</v>
      </c>
      <c r="I120" s="703"/>
      <c r="J120" s="694"/>
      <c r="K120" s="691"/>
      <c r="L120" s="688"/>
      <c r="M120" s="691"/>
      <c r="N120" s="234">
        <v>114</v>
      </c>
      <c r="O120" s="385" t="str">
        <f>F120&amp;COUNTIF($F$7:F120,F120)</f>
        <v>RB42</v>
      </c>
      <c r="P120" s="268">
        <f>VALUE('Draft Pick Order'!B116)</f>
        <v>209</v>
      </c>
      <c r="Q120" s="259">
        <f>COUNTIF(D$7:$F120,"QB")</f>
        <v>15</v>
      </c>
      <c r="R120" s="259">
        <f>COUNTIF($F$7:F120,"RB")</f>
        <v>42</v>
      </c>
      <c r="S120" s="259">
        <f>COUNTIF($F$7:F120,"WR")</f>
        <v>47</v>
      </c>
      <c r="T120" s="259">
        <f>COUNTIF($F$7:F120,"TE")</f>
        <v>10</v>
      </c>
      <c r="U120" s="259">
        <f>COUNTIF($F$7:F120,"DST")</f>
        <v>0</v>
      </c>
      <c r="V120" s="259">
        <f>COUNTIF($F$7:F120,"K")</f>
        <v>0</v>
      </c>
      <c r="X120" s="265">
        <v>114</v>
      </c>
      <c r="Y120" s="259" t="str">
        <f>IFERROR(INDEX(ADP_Import!A:A,MATCH(ADP!AB120,ADP_Import!AG:AG,0)),"")</f>
        <v>Jakobi Meyers</v>
      </c>
      <c r="Z120" s="259" t="str">
        <f>IFERROR(INDEX(ADP_Import!B:B,MATCH(ADP!AB120,ADP_Import!AG:AG,0)),"")</f>
        <v>LV</v>
      </c>
      <c r="AA120" s="259" t="str">
        <f>IFERROR(INDEX(ADP_Import!C:C,MATCH(ADP!AB120,ADP_Import!AG:AG,0)),"")</f>
        <v>WR</v>
      </c>
      <c r="AB120" s="439">
        <f>IFERROR(INDEX(ADP_Import!AG:AG,MATCH(SMALL(ADP_Import!AG:AG,X120),ADP_Import!AG:AG,0)),"NA")</f>
        <v>111.20041500000001</v>
      </c>
      <c r="AC120" s="265">
        <f>IFERROR(INDEX(ADP_Import!$D:$AE,MATCH(AB120,ADP_Import!AG:AG,0),$AG$6),"")</f>
        <v>6.8</v>
      </c>
      <c r="AI120" t="str">
        <f>INDEX('Draft Pick Order'!E:U,MATCH(A120,'Draft Pick Order'!C:C,0),(Instructions!$E$11*2-15))</f>
        <v>10-6</v>
      </c>
    </row>
    <row r="121" spans="1:35" x14ac:dyDescent="0.25">
      <c r="A121" s="230">
        <v>115</v>
      </c>
      <c r="B121">
        <f>IFERROR(IF(INDEX(Draft!BY:BY,MATCH(ADP!D121,Draft!BY:BY,0))=ADP!D121,1,0),0)</f>
        <v>0</v>
      </c>
      <c r="C121" t="str">
        <f>IF(AND(IFERROR(INDEX(Instructions!$T$111:$T$222,MATCH(D121,Instructions!$T$111:$T$222,0)), "")=D121, D121&lt;&gt;""), "X", "")</f>
        <v/>
      </c>
      <c r="D121" s="454" t="s">
        <v>1441</v>
      </c>
      <c r="E121" s="232" t="s">
        <v>157</v>
      </c>
      <c r="F121" s="232" t="s">
        <v>6</v>
      </c>
      <c r="G121" s="383">
        <v>110.900334</v>
      </c>
      <c r="H121" s="455">
        <v>7.7</v>
      </c>
      <c r="I121" s="703"/>
      <c r="J121" s="694"/>
      <c r="K121" s="691"/>
      <c r="L121" s="688"/>
      <c r="M121" s="691"/>
      <c r="N121" s="234">
        <v>115</v>
      </c>
      <c r="O121" s="385" t="str">
        <f>F121&amp;COUNTIF($F$7:F121,F121)</f>
        <v>WR48</v>
      </c>
      <c r="P121" s="268">
        <f>VALUE('Draft Pick Order'!B117)</f>
        <v>209</v>
      </c>
      <c r="Q121" s="259">
        <f>COUNTIF(D$7:$F121,"QB")</f>
        <v>15</v>
      </c>
      <c r="R121" s="259">
        <f>COUNTIF($F$7:F121,"RB")</f>
        <v>42</v>
      </c>
      <c r="S121" s="259">
        <f>COUNTIF($F$7:F121,"WR")</f>
        <v>48</v>
      </c>
      <c r="T121" s="259">
        <f>COUNTIF($F$7:F121,"TE")</f>
        <v>10</v>
      </c>
      <c r="U121" s="259">
        <f>COUNTIF($F$7:F121,"DST")</f>
        <v>0</v>
      </c>
      <c r="V121" s="259">
        <f>COUNTIF($F$7:F121,"K")</f>
        <v>0</v>
      </c>
      <c r="X121" s="265">
        <v>115</v>
      </c>
      <c r="Y121" s="259" t="str">
        <f>IFERROR(INDEX(ADP_Import!A:A,MATCH(ADP!AB121,ADP_Import!AG:AG,0)),"")</f>
        <v>Damien Harris</v>
      </c>
      <c r="Z121" s="259" t="str">
        <f>IFERROR(INDEX(ADP_Import!B:B,MATCH(ADP!AB121,ADP_Import!AG:AG,0)),"")</f>
        <v>BUF</v>
      </c>
      <c r="AA121" s="259" t="str">
        <f>IFERROR(INDEX(ADP_Import!C:C,MATCH(ADP!AB121,ADP_Import!AG:AG,0)),"")</f>
        <v>RB</v>
      </c>
      <c r="AB121" s="439">
        <f>IFERROR(INDEX(ADP_Import!AG:AG,MATCH(SMALL(ADP_Import!AG:AG,X121),ADP_Import!AG:AG,0)),"NA")</f>
        <v>111.30057499999999</v>
      </c>
      <c r="AC121" s="265">
        <f>IFERROR(INDEX(ADP_Import!$D:$AE,MATCH(AB121,ADP_Import!AG:AG,0),$AG$6),"")</f>
        <v>9.4</v>
      </c>
      <c r="AI121" t="str">
        <f>INDEX('Draft Pick Order'!E:U,MATCH(A121,'Draft Pick Order'!C:C,0),(Instructions!$E$11*2-15))</f>
        <v>10-7</v>
      </c>
    </row>
    <row r="122" spans="1:35" x14ac:dyDescent="0.25">
      <c r="A122" s="230">
        <v>116</v>
      </c>
      <c r="B122">
        <f>IFERROR(IF(INDEX(Draft!BY:BY,MATCH(ADP!D122,Draft!BY:BY,0))=ADP!D122,1,0),0)</f>
        <v>0</v>
      </c>
      <c r="C122" t="str">
        <f>IF(AND(IFERROR(INDEX(Instructions!$T$111:$T$222,MATCH(D122,Instructions!$T$111:$T$222,0)), "")=D122, D122&lt;&gt;""), "X", "")</f>
        <v/>
      </c>
      <c r="D122" s="454" t="s">
        <v>2494</v>
      </c>
      <c r="E122" s="232" t="s">
        <v>166</v>
      </c>
      <c r="F122" s="232" t="s">
        <v>3</v>
      </c>
      <c r="G122" s="384">
        <v>112.500517</v>
      </c>
      <c r="H122" s="456">
        <v>8.1</v>
      </c>
      <c r="I122" s="703"/>
      <c r="J122" s="694"/>
      <c r="K122" s="691"/>
      <c r="L122" s="688"/>
      <c r="M122" s="691"/>
      <c r="N122" s="234">
        <v>116</v>
      </c>
      <c r="O122" s="385" t="str">
        <f>F122&amp;COUNTIF($F$7:F122,F122)</f>
        <v>RB43</v>
      </c>
      <c r="P122" s="268">
        <f>VALUE('Draft Pick Order'!B118)</f>
        <v>209</v>
      </c>
      <c r="Q122" s="259">
        <f>COUNTIF(D$7:$F122,"QB")</f>
        <v>15</v>
      </c>
      <c r="R122" s="259">
        <f>COUNTIF($F$7:F122,"RB")</f>
        <v>43</v>
      </c>
      <c r="S122" s="259">
        <f>COUNTIF($F$7:F122,"WR")</f>
        <v>48</v>
      </c>
      <c r="T122" s="259">
        <f>COUNTIF($F$7:F122,"TE")</f>
        <v>10</v>
      </c>
      <c r="U122" s="259">
        <f>COUNTIF($F$7:F122,"DST")</f>
        <v>0</v>
      </c>
      <c r="V122" s="259">
        <f>COUNTIF($F$7:F122,"K")</f>
        <v>0</v>
      </c>
      <c r="X122" s="265">
        <v>116</v>
      </c>
      <c r="Y122" s="259" t="str">
        <f>IFERROR(INDEX(ADP_Import!A:A,MATCH(ADP!AB122,ADP_Import!AG:AG,0)),"")</f>
        <v>Nico Collins</v>
      </c>
      <c r="Z122" s="259" t="str">
        <f>IFERROR(INDEX(ADP_Import!B:B,MATCH(ADP!AB122,ADP_Import!AG:AG,0)),"")</f>
        <v>HOU</v>
      </c>
      <c r="AA122" s="259" t="str">
        <f>IFERROR(INDEX(ADP_Import!C:C,MATCH(ADP!AB122,ADP_Import!AG:AG,0)),"")</f>
        <v>WR</v>
      </c>
      <c r="AB122" s="439">
        <f>IFERROR(INDEX(ADP_Import!AG:AG,MATCH(SMALL(ADP_Import!AG:AG,X122),ADP_Import!AG:AG,0)),"NA")</f>
        <v>113.90019500000001</v>
      </c>
      <c r="AC122" s="265">
        <f>IFERROR(INDEX(ADP_Import!$D:$AE,MATCH(AB122,ADP_Import!AG:AG,0),$AG$6),"")</f>
        <v>8.5</v>
      </c>
      <c r="AI122" t="str">
        <f>INDEX('Draft Pick Order'!E:U,MATCH(A122,'Draft Pick Order'!C:C,0),(Instructions!$E$11*2-15))</f>
        <v>10-8</v>
      </c>
    </row>
    <row r="123" spans="1:35" x14ac:dyDescent="0.25">
      <c r="A123" s="230">
        <v>117</v>
      </c>
      <c r="B123">
        <f>IFERROR(IF(INDEX(Draft!BY:BY,MATCH(ADP!D123,Draft!BY:BY,0))=ADP!D123,1,0),0)</f>
        <v>0</v>
      </c>
      <c r="C123" t="str">
        <f>IF(AND(IFERROR(INDEX(Instructions!$T$111:$T$222,MATCH(D123,Instructions!$T$111:$T$222,0)), "")=D123, D123&lt;&gt;""), "X", "")</f>
        <v/>
      </c>
      <c r="D123" s="454" t="s">
        <v>2325</v>
      </c>
      <c r="E123" s="232" t="s">
        <v>142</v>
      </c>
      <c r="F123" s="232" t="s">
        <v>6</v>
      </c>
      <c r="G123" s="383">
        <v>113.200396</v>
      </c>
      <c r="H123" s="455">
        <v>8.6</v>
      </c>
      <c r="I123" s="703"/>
      <c r="J123" s="694"/>
      <c r="K123" s="691"/>
      <c r="L123" s="688"/>
      <c r="M123" s="691"/>
      <c r="N123" s="234">
        <v>117</v>
      </c>
      <c r="O123" s="385" t="str">
        <f>F123&amp;COUNTIF($F$7:F123,F123)</f>
        <v>WR49</v>
      </c>
      <c r="P123" s="268">
        <f>VALUE('Draft Pick Order'!B119)</f>
        <v>209</v>
      </c>
      <c r="Q123" s="259">
        <f>COUNTIF(D$7:$F123,"QB")</f>
        <v>15</v>
      </c>
      <c r="R123" s="259">
        <f>COUNTIF($F$7:F123,"RB")</f>
        <v>43</v>
      </c>
      <c r="S123" s="259">
        <f>COUNTIF($F$7:F123,"WR")</f>
        <v>49</v>
      </c>
      <c r="T123" s="259">
        <f>COUNTIF($F$7:F123,"TE")</f>
        <v>10</v>
      </c>
      <c r="U123" s="259">
        <f>COUNTIF($F$7:F123,"DST")</f>
        <v>0</v>
      </c>
      <c r="V123" s="259">
        <f>COUNTIF($F$7:F123,"K")</f>
        <v>0</v>
      </c>
      <c r="X123" s="265">
        <v>117</v>
      </c>
      <c r="Y123" s="259" t="str">
        <f>IFERROR(INDEX(ADP_Import!A:A,MATCH(ADP!AB123,ADP_Import!AG:AG,0)),"")</f>
        <v>Elijah Mitchell</v>
      </c>
      <c r="Z123" s="259" t="str">
        <f>IFERROR(INDEX(ADP_Import!B:B,MATCH(ADP!AB123,ADP_Import!AG:AG,0)),"")</f>
        <v>SF</v>
      </c>
      <c r="AA123" s="259" t="str">
        <f>IFERROR(INDEX(ADP_Import!C:C,MATCH(ADP!AB123,ADP_Import!AG:AG,0)),"")</f>
        <v>RB</v>
      </c>
      <c r="AB123" s="439">
        <f>IFERROR(INDEX(ADP_Import!AG:AG,MATCH(SMALL(ADP_Import!AG:AG,X123),ADP_Import!AG:AG,0)),"NA")</f>
        <v>114.50049</v>
      </c>
      <c r="AC123" s="265">
        <f>IFERROR(INDEX(ADP_Import!$D:$AE,MATCH(AB123,ADP_Import!AG:AG,0),$AG$6),"")</f>
        <v>8.6999999999999993</v>
      </c>
      <c r="AI123" t="str">
        <f>INDEX('Draft Pick Order'!E:U,MATCH(A123,'Draft Pick Order'!C:C,0),(Instructions!$E$11*2-15))</f>
        <v>10-9</v>
      </c>
    </row>
    <row r="124" spans="1:35" x14ac:dyDescent="0.25">
      <c r="A124" s="230">
        <v>118</v>
      </c>
      <c r="B124">
        <f>IFERROR(IF(INDEX(Draft!BY:BY,MATCH(ADP!D124,Draft!BY:BY,0))=ADP!D124,1,0),0)</f>
        <v>0</v>
      </c>
      <c r="C124" t="str">
        <f>IF(AND(IFERROR(INDEX(Instructions!$T$111:$T$222,MATCH(D124,Instructions!$T$111:$T$222,0)), "")=D124, D124&lt;&gt;""), "X", "")</f>
        <v/>
      </c>
      <c r="D124" s="454" t="s">
        <v>1206</v>
      </c>
      <c r="E124" s="232" t="s">
        <v>162</v>
      </c>
      <c r="F124" s="232" t="s">
        <v>6</v>
      </c>
      <c r="G124" s="384">
        <v>115.500185</v>
      </c>
      <c r="H124" s="456">
        <v>10.8</v>
      </c>
      <c r="I124" s="703"/>
      <c r="J124" s="694"/>
      <c r="K124" s="691"/>
      <c r="L124" s="688"/>
      <c r="M124" s="691"/>
      <c r="N124" s="234">
        <v>118</v>
      </c>
      <c r="O124" s="385" t="str">
        <f>F124&amp;COUNTIF($F$7:F124,F124)</f>
        <v>WR50</v>
      </c>
      <c r="P124" s="268">
        <f>VALUE('Draft Pick Order'!B120)</f>
        <v>209</v>
      </c>
      <c r="Q124" s="259">
        <f>COUNTIF(D$7:$F124,"QB")</f>
        <v>15</v>
      </c>
      <c r="R124" s="259">
        <f>COUNTIF($F$7:F124,"RB")</f>
        <v>43</v>
      </c>
      <c r="S124" s="259">
        <f>COUNTIF($F$7:F124,"WR")</f>
        <v>50</v>
      </c>
      <c r="T124" s="259">
        <f>COUNTIF($F$7:F124,"TE")</f>
        <v>10</v>
      </c>
      <c r="U124" s="259">
        <f>COUNTIF($F$7:F124,"DST")</f>
        <v>0</v>
      </c>
      <c r="V124" s="259">
        <f>COUNTIF($F$7:F124,"K")</f>
        <v>0</v>
      </c>
      <c r="X124" s="265">
        <v>118</v>
      </c>
      <c r="Y124" s="259" t="str">
        <f>IFERROR(INDEX(ADP_Import!A:A,MATCH(ADP!AB124,ADP_Import!AG:AG,0)),"")</f>
        <v>Allen Lazard</v>
      </c>
      <c r="Z124" s="259" t="str">
        <f>IFERROR(INDEX(ADP_Import!B:B,MATCH(ADP!AB124,ADP_Import!AG:AG,0)),"")</f>
        <v>NYJ</v>
      </c>
      <c r="AA124" s="259" t="str">
        <f>IFERROR(INDEX(ADP_Import!C:C,MATCH(ADP!AB124,ADP_Import!AG:AG,0)),"")</f>
        <v>WR</v>
      </c>
      <c r="AB124" s="439">
        <f>IFERROR(INDEX(ADP_Import!AG:AG,MATCH(SMALL(ADP_Import!AG:AG,X124),ADP_Import!AG:AG,0)),"NA")</f>
        <v>115.40071300000001</v>
      </c>
      <c r="AC124" s="265">
        <f>IFERROR(INDEX(ADP_Import!$D:$AE,MATCH(AB124,ADP_Import!AG:AG,0),$AG$6),"")</f>
        <v>13</v>
      </c>
      <c r="AI124" t="str">
        <f>INDEX('Draft Pick Order'!E:U,MATCH(A124,'Draft Pick Order'!C:C,0),(Instructions!$E$11*2-15))</f>
        <v>10-10</v>
      </c>
    </row>
    <row r="125" spans="1:35" x14ac:dyDescent="0.25">
      <c r="A125" s="230">
        <v>119</v>
      </c>
      <c r="B125">
        <f>IFERROR(IF(INDEX(Draft!BY:BY,MATCH(ADP!D125,Draft!BY:BY,0))=ADP!D125,1,0),0)</f>
        <v>0</v>
      </c>
      <c r="C125" t="str">
        <f>IF(AND(IFERROR(INDEX(Instructions!$T$111:$T$222,MATCH(D125,Instructions!$T$111:$T$222,0)), "")=D125, D125&lt;&gt;""), "X", "")</f>
        <v/>
      </c>
      <c r="D125" s="454" t="s">
        <v>1424</v>
      </c>
      <c r="E125" s="232" t="s">
        <v>161</v>
      </c>
      <c r="F125" s="232" t="s">
        <v>7</v>
      </c>
      <c r="G125" s="383">
        <v>115.600551</v>
      </c>
      <c r="H125" s="455">
        <v>12.9</v>
      </c>
      <c r="I125" s="703"/>
      <c r="J125" s="694"/>
      <c r="K125" s="691"/>
      <c r="L125" s="688"/>
      <c r="M125" s="691"/>
      <c r="N125" s="234">
        <v>119</v>
      </c>
      <c r="O125" s="385" t="str">
        <f>F125&amp;COUNTIF($F$7:F125,F125)</f>
        <v>TE11</v>
      </c>
      <c r="P125" s="268">
        <f>VALUE('Draft Pick Order'!B121)</f>
        <v>210</v>
      </c>
      <c r="Q125" s="259">
        <f>COUNTIF(D$7:$F125,"QB")</f>
        <v>15</v>
      </c>
      <c r="R125" s="259">
        <f>COUNTIF($F$7:F125,"RB")</f>
        <v>43</v>
      </c>
      <c r="S125" s="259">
        <f>COUNTIF($F$7:F125,"WR")</f>
        <v>50</v>
      </c>
      <c r="T125" s="259">
        <f>COUNTIF($F$7:F125,"TE")</f>
        <v>11</v>
      </c>
      <c r="U125" s="259">
        <f>COUNTIF($F$7:F125,"DST")</f>
        <v>0</v>
      </c>
      <c r="V125" s="259">
        <f>COUNTIF($F$7:F125,"K")</f>
        <v>0</v>
      </c>
      <c r="X125" s="265">
        <v>119</v>
      </c>
      <c r="Y125" s="259" t="str">
        <f>IFERROR(INDEX(ADP_Import!A:A,MATCH(ADP!AB125,ADP_Import!AG:AG,0)),"")</f>
        <v>DeVon Achane</v>
      </c>
      <c r="Z125" s="259" t="str">
        <f>IFERROR(INDEX(ADP_Import!B:B,MATCH(ADP!AB125,ADP_Import!AG:AG,0)),"")</f>
        <v>MIA</v>
      </c>
      <c r="AA125" s="259" t="str">
        <f>IFERROR(INDEX(ADP_Import!C:C,MATCH(ADP!AB125,ADP_Import!AG:AG,0)),"")</f>
        <v>RB</v>
      </c>
      <c r="AB125" s="439">
        <f>IFERROR(INDEX(ADP_Import!AG:AG,MATCH(SMALL(ADP_Import!AG:AG,X125),ADP_Import!AG:AG,0)),"NA")</f>
        <v>115.90051700000001</v>
      </c>
      <c r="AC125" s="265">
        <f>IFERROR(INDEX(ADP_Import!$D:$AE,MATCH(AB125,ADP_Import!AG:AG,0),$AG$6),"")</f>
        <v>8.6</v>
      </c>
      <c r="AI125" t="str">
        <f>INDEX('Draft Pick Order'!E:U,MATCH(A125,'Draft Pick Order'!C:C,0),(Instructions!$E$11*2-15))</f>
        <v>10-11</v>
      </c>
    </row>
    <row r="126" spans="1:35" ht="15.75" thickBot="1" x14ac:dyDescent="0.3">
      <c r="A126" s="230">
        <v>120</v>
      </c>
      <c r="B126">
        <f>IFERROR(IF(INDEX(Draft!BY:BY,MATCH(ADP!D126,Draft!BY:BY,0))=ADP!D126,1,0),0)</f>
        <v>0</v>
      </c>
      <c r="C126" t="str">
        <f>IF(AND(IFERROR(INDEX(Instructions!$T$111:$T$222,MATCH(D126,Instructions!$T$111:$T$222,0)), "")=D126, D126&lt;&gt;""), "X", "")</f>
        <v/>
      </c>
      <c r="D126" s="454" t="s">
        <v>2178</v>
      </c>
      <c r="E126" s="232" t="s">
        <v>137</v>
      </c>
      <c r="F126" s="232" t="s">
        <v>3</v>
      </c>
      <c r="G126" s="384">
        <v>116.10029999999999</v>
      </c>
      <c r="H126" s="456">
        <v>9.5</v>
      </c>
      <c r="I126" s="704"/>
      <c r="J126" s="695"/>
      <c r="K126" s="692"/>
      <c r="L126" s="688"/>
      <c r="M126" s="691"/>
      <c r="N126" s="234">
        <v>120</v>
      </c>
      <c r="O126" s="385" t="str">
        <f>F126&amp;COUNTIF($F$7:F126,F126)</f>
        <v>RB44</v>
      </c>
      <c r="P126" s="268">
        <f>VALUE('Draft Pick Order'!B122)</f>
        <v>210</v>
      </c>
      <c r="Q126" s="259">
        <f>COUNTIF(D$7:$F126,"QB")</f>
        <v>15</v>
      </c>
      <c r="R126" s="259">
        <f>COUNTIF($F$7:F126,"RB")</f>
        <v>44</v>
      </c>
      <c r="S126" s="259">
        <f>COUNTIF($F$7:F126,"WR")</f>
        <v>50</v>
      </c>
      <c r="T126" s="259">
        <f>COUNTIF($F$7:F126,"TE")</f>
        <v>11</v>
      </c>
      <c r="U126" s="259">
        <f>COUNTIF($F$7:F126,"DST")</f>
        <v>0</v>
      </c>
      <c r="V126" s="259">
        <f>COUNTIF($F$7:F126,"K")</f>
        <v>0</v>
      </c>
      <c r="X126" s="265">
        <v>120</v>
      </c>
      <c r="Y126" s="259" t="str">
        <f>IFERROR(INDEX(ADP_Import!A:A,MATCH(ADP!AB126,ADP_Import!AG:AG,0)),"")</f>
        <v>Dalton Schultz</v>
      </c>
      <c r="Z126" s="259" t="str">
        <f>IFERROR(INDEX(ADP_Import!B:B,MATCH(ADP!AB126,ADP_Import!AG:AG,0)),"")</f>
        <v>HOU</v>
      </c>
      <c r="AA126" s="259" t="str">
        <f>IFERROR(INDEX(ADP_Import!C:C,MATCH(ADP!AB126,ADP_Import!AG:AG,0)),"")</f>
        <v>TE</v>
      </c>
      <c r="AB126" s="439">
        <f>IFERROR(INDEX(ADP_Import!AG:AG,MATCH(SMALL(ADP_Import!AG:AG,X126),ADP_Import!AG:AG,0)),"NA")</f>
        <v>116.70057800000001</v>
      </c>
      <c r="AC126" s="265">
        <f>IFERROR(INDEX(ADP_Import!$D:$AE,MATCH(AB126,ADP_Import!AG:AG,0),$AG$6),"")</f>
        <v>11.5</v>
      </c>
      <c r="AI126" t="str">
        <f>INDEX('Draft Pick Order'!E:U,MATCH(A126,'Draft Pick Order'!C:C,0),(Instructions!$E$11*2-15))</f>
        <v>10-12</v>
      </c>
    </row>
    <row r="127" spans="1:35" ht="15" customHeight="1" x14ac:dyDescent="0.25">
      <c r="A127" s="230">
        <v>121</v>
      </c>
      <c r="B127">
        <f>IFERROR(IF(INDEX(Draft!BY:BY,MATCH(ADP!D127,Draft!BY:BY,0))=ADP!D127,1,0),0)</f>
        <v>0</v>
      </c>
      <c r="C127" t="str">
        <f>IF(AND(IFERROR(INDEX(Instructions!$T$111:$T$222,MATCH(D127,Instructions!$T$111:$T$222,0)), "")=D127, D127&lt;&gt;""), "X", "")</f>
        <v/>
      </c>
      <c r="D127" s="454" t="s">
        <v>2279</v>
      </c>
      <c r="E127" s="232" t="s">
        <v>141</v>
      </c>
      <c r="F127" s="232" t="s">
        <v>3</v>
      </c>
      <c r="G127" s="383">
        <v>118.40050500000001</v>
      </c>
      <c r="H127" s="455">
        <v>8.6</v>
      </c>
      <c r="I127" s="699" t="s">
        <v>1086</v>
      </c>
      <c r="J127" s="696" t="s">
        <v>908</v>
      </c>
      <c r="K127" s="687" t="s">
        <v>906</v>
      </c>
      <c r="L127" s="688"/>
      <c r="M127" s="691"/>
      <c r="N127" s="234">
        <v>121</v>
      </c>
      <c r="O127" s="385" t="str">
        <f>F127&amp;COUNTIF($F$7:F127,F127)</f>
        <v>RB45</v>
      </c>
      <c r="P127" s="268">
        <f>VALUE('Draft Pick Order'!B123)</f>
        <v>210</v>
      </c>
      <c r="Q127" s="259">
        <f>COUNTIF(D$7:$F127,"QB")</f>
        <v>15</v>
      </c>
      <c r="R127" s="259">
        <f>COUNTIF($F$7:F127,"RB")</f>
        <v>45</v>
      </c>
      <c r="S127" s="259">
        <f>COUNTIF($F$7:F127,"WR")</f>
        <v>50</v>
      </c>
      <c r="T127" s="259">
        <f>COUNTIF($F$7:F127,"TE")</f>
        <v>11</v>
      </c>
      <c r="U127" s="259">
        <f>COUNTIF($F$7:F127,"DST")</f>
        <v>0</v>
      </c>
      <c r="V127" s="259">
        <f>COUNTIF($F$7:F127,"K")</f>
        <v>0</v>
      </c>
      <c r="X127" s="265">
        <v>121</v>
      </c>
      <c r="Y127" s="259" t="str">
        <f>IFERROR(INDEX(ADP_Import!A:A,MATCH(ADP!AB127,ADP_Import!AG:AG,0)),"")</f>
        <v>Odell Beckham</v>
      </c>
      <c r="Z127" s="259" t="str">
        <f>IFERROR(INDEX(ADP_Import!B:B,MATCH(ADP!AB127,ADP_Import!AG:AG,0)),"")</f>
        <v>BAL</v>
      </c>
      <c r="AA127" s="259" t="str">
        <f>IFERROR(INDEX(ADP_Import!C:C,MATCH(ADP!AB127,ADP_Import!AG:AG,0)),"")</f>
        <v>WR</v>
      </c>
      <c r="AB127" s="439">
        <f>IFERROR(INDEX(ADP_Import!AG:AG,MATCH(SMALL(ADP_Import!AG:AG,X127),ADP_Import!AG:AG,0)),"NA")</f>
        <v>119.700185</v>
      </c>
      <c r="AC127" s="265">
        <f>IFERROR(INDEX(ADP_Import!$D:$AE,MATCH(AB127,ADP_Import!AG:AG,0),$AG$6),"")</f>
        <v>12.7</v>
      </c>
      <c r="AI127" t="str">
        <f>INDEX('Draft Pick Order'!E:U,MATCH(A127,'Draft Pick Order'!C:C,0),(Instructions!$E$11*2-15))</f>
        <v>11-1</v>
      </c>
    </row>
    <row r="128" spans="1:35" x14ac:dyDescent="0.25">
      <c r="A128" s="230">
        <v>122</v>
      </c>
      <c r="B128">
        <f>IFERROR(IF(INDEX(Draft!BY:BY,MATCH(ADP!D128,Draft!BY:BY,0))=ADP!D128,1,0),0)</f>
        <v>0</v>
      </c>
      <c r="C128" t="str">
        <f>IF(AND(IFERROR(INDEX(Instructions!$T$111:$T$222,MATCH(D128,Instructions!$T$111:$T$222,0)), "")=D128, D128&lt;&gt;""), "X", "")</f>
        <v/>
      </c>
      <c r="D128" s="454" t="s">
        <v>986</v>
      </c>
      <c r="E128" s="232" t="s">
        <v>136</v>
      </c>
      <c r="F128" s="232" t="s">
        <v>3</v>
      </c>
      <c r="G128" s="384">
        <v>120.700374</v>
      </c>
      <c r="H128" s="456">
        <v>9.1999999999999993</v>
      </c>
      <c r="I128" s="700"/>
      <c r="J128" s="697"/>
      <c r="K128" s="688"/>
      <c r="L128" s="688"/>
      <c r="M128" s="691"/>
      <c r="N128" s="234">
        <v>122</v>
      </c>
      <c r="O128" s="385" t="str">
        <f>F128&amp;COUNTIF($F$7:F128,F128)</f>
        <v>RB46</v>
      </c>
      <c r="P128" s="268">
        <f>VALUE('Draft Pick Order'!B124)</f>
        <v>211</v>
      </c>
      <c r="Q128" s="259">
        <f>COUNTIF(D$7:$F128,"QB")</f>
        <v>15</v>
      </c>
      <c r="R128" s="259">
        <f>COUNTIF($F$7:F128,"RB")</f>
        <v>46</v>
      </c>
      <c r="S128" s="259">
        <f>COUNTIF($F$7:F128,"WR")</f>
        <v>50</v>
      </c>
      <c r="T128" s="259">
        <f>COUNTIF($F$7:F128,"TE")</f>
        <v>11</v>
      </c>
      <c r="U128" s="259">
        <f>COUNTIF($F$7:F128,"DST")</f>
        <v>0</v>
      </c>
      <c r="V128" s="259">
        <f>COUNTIF($F$7:F128,"K")</f>
        <v>0</v>
      </c>
      <c r="X128" s="265">
        <v>122</v>
      </c>
      <c r="Y128" s="259" t="str">
        <f>IFERROR(INDEX(ADP_Import!A:A,MATCH(ADP!AB128,ADP_Import!AG:AG,0)),"")</f>
        <v>Jameson Williams</v>
      </c>
      <c r="Z128" s="259" t="str">
        <f>IFERROR(INDEX(ADP_Import!B:B,MATCH(ADP!AB128,ADP_Import!AG:AG,0)),"")</f>
        <v>DET</v>
      </c>
      <c r="AA128" s="259" t="str">
        <f>IFERROR(INDEX(ADP_Import!C:C,MATCH(ADP!AB128,ADP_Import!AG:AG,0)),"")</f>
        <v>WR</v>
      </c>
      <c r="AB128" s="439">
        <f>IFERROR(INDEX(ADP_Import!AG:AG,MATCH(SMALL(ADP_Import!AG:AG,X128),ADP_Import!AG:AG,0)),"NA")</f>
        <v>119.80039599999999</v>
      </c>
      <c r="AC128" s="265">
        <f>IFERROR(INDEX(ADP_Import!$D:$AE,MATCH(AB128,ADP_Import!AG:AG,0),$AG$6),"")</f>
        <v>11.3</v>
      </c>
      <c r="AI128" t="str">
        <f>INDEX('Draft Pick Order'!E:U,MATCH(A128,'Draft Pick Order'!C:C,0),(Instructions!$E$11*2-15))</f>
        <v>11-2</v>
      </c>
    </row>
    <row r="129" spans="1:35" x14ac:dyDescent="0.25">
      <c r="A129" s="230">
        <v>123</v>
      </c>
      <c r="B129">
        <f>IFERROR(IF(INDEX(Draft!BY:BY,MATCH(ADP!D129,Draft!BY:BY,0))=ADP!D129,1,0),0)</f>
        <v>0</v>
      </c>
      <c r="C129" t="str">
        <f>IF(AND(IFERROR(INDEX(Instructions!$T$111:$T$222,MATCH(D129,Instructions!$T$111:$T$222,0)), "")=D129, D129&lt;&gt;""), "X", "")</f>
        <v/>
      </c>
      <c r="D129" s="454" t="s">
        <v>1196</v>
      </c>
      <c r="E129" s="232" t="s">
        <v>142</v>
      </c>
      <c r="F129" s="232" t="s">
        <v>1</v>
      </c>
      <c r="G129" s="383">
        <v>121.000393</v>
      </c>
      <c r="H129" s="455">
        <v>13</v>
      </c>
      <c r="I129" s="700"/>
      <c r="J129" s="697"/>
      <c r="K129" s="688"/>
      <c r="L129" s="688"/>
      <c r="M129" s="691"/>
      <c r="N129" s="234">
        <v>123</v>
      </c>
      <c r="O129" s="385" t="str">
        <f>F129&amp;COUNTIF($F$7:F129,F129)</f>
        <v>QB16</v>
      </c>
      <c r="P129" s="268">
        <f>VALUE('Draft Pick Order'!B125)</f>
        <v>211</v>
      </c>
      <c r="Q129" s="259">
        <f>COUNTIF(D$7:$F129,"QB")</f>
        <v>16</v>
      </c>
      <c r="R129" s="259">
        <f>COUNTIF($F$7:F129,"RB")</f>
        <v>46</v>
      </c>
      <c r="S129" s="259">
        <f>COUNTIF($F$7:F129,"WR")</f>
        <v>50</v>
      </c>
      <c r="T129" s="259">
        <f>COUNTIF($F$7:F129,"TE")</f>
        <v>11</v>
      </c>
      <c r="U129" s="259">
        <f>COUNTIF($F$7:F129,"DST")</f>
        <v>0</v>
      </c>
      <c r="V129" s="259">
        <f>COUNTIF($F$7:F129,"K")</f>
        <v>0</v>
      </c>
      <c r="X129" s="265">
        <v>123</v>
      </c>
      <c r="Y129" s="259" t="str">
        <f>IFERROR(INDEX(ADP_Import!A:A,MATCH(ADP!AB129,ADP_Import!AG:AG,0)),"")</f>
        <v>Jared Goff</v>
      </c>
      <c r="Z129" s="259" t="str">
        <f>IFERROR(INDEX(ADP_Import!B:B,MATCH(ADP!AB129,ADP_Import!AG:AG,0)),"")</f>
        <v>DET</v>
      </c>
      <c r="AA129" s="259" t="str">
        <f>IFERROR(INDEX(ADP_Import!C:C,MATCH(ADP!AB129,ADP_Import!AG:AG,0)),"")</f>
        <v>QB</v>
      </c>
      <c r="AB129" s="439">
        <f>IFERROR(INDEX(ADP_Import!AG:AG,MATCH(SMALL(ADP_Import!AG:AG,X129),ADP_Import!AG:AG,0)),"NA")</f>
        <v>121.40039300000001</v>
      </c>
      <c r="AC129" s="265">
        <f>IFERROR(INDEX(ADP_Import!$D:$AE,MATCH(AB129,ADP_Import!AG:AG,0),$AG$6),"")</f>
        <v>12.4</v>
      </c>
      <c r="AI129" t="str">
        <f>INDEX('Draft Pick Order'!E:U,MATCH(A129,'Draft Pick Order'!C:C,0),(Instructions!$E$11*2-15))</f>
        <v>11-3</v>
      </c>
    </row>
    <row r="130" spans="1:35" x14ac:dyDescent="0.25">
      <c r="A130" s="230">
        <v>124</v>
      </c>
      <c r="B130">
        <f>IFERROR(IF(INDEX(Draft!BY:BY,MATCH(ADP!D130,Draft!BY:BY,0))=ADP!D130,1,0),0)</f>
        <v>0</v>
      </c>
      <c r="C130" t="str">
        <f>IF(AND(IFERROR(INDEX(Instructions!$T$111:$T$222,MATCH(D130,Instructions!$T$111:$T$222,0)), "")=D130, D130&lt;&gt;""), "X", "")</f>
        <v/>
      </c>
      <c r="D130" s="454" t="s">
        <v>2322</v>
      </c>
      <c r="E130" s="232" t="s">
        <v>136</v>
      </c>
      <c r="F130" s="232" t="s">
        <v>6</v>
      </c>
      <c r="G130" s="384">
        <v>122.200107</v>
      </c>
      <c r="H130" s="456">
        <v>10.199999999999999</v>
      </c>
      <c r="I130" s="700"/>
      <c r="J130" s="697"/>
      <c r="K130" s="688"/>
      <c r="L130" s="688"/>
      <c r="M130" s="691"/>
      <c r="N130" s="234">
        <v>124</v>
      </c>
      <c r="O130" s="385" t="str">
        <f>F130&amp;COUNTIF($F$7:F130,F130)</f>
        <v>WR51</v>
      </c>
      <c r="P130" s="268">
        <f>VALUE('Draft Pick Order'!B126)</f>
        <v>211</v>
      </c>
      <c r="Q130" s="259">
        <f>COUNTIF(D$7:$F130,"QB")</f>
        <v>16</v>
      </c>
      <c r="R130" s="259">
        <f>COUNTIF($F$7:F130,"RB")</f>
        <v>46</v>
      </c>
      <c r="S130" s="259">
        <f>COUNTIF($F$7:F130,"WR")</f>
        <v>51</v>
      </c>
      <c r="T130" s="259">
        <f>COUNTIF($F$7:F130,"TE")</f>
        <v>11</v>
      </c>
      <c r="U130" s="259">
        <f>COUNTIF($F$7:F130,"DST")</f>
        <v>0</v>
      </c>
      <c r="V130" s="259">
        <f>COUNTIF($F$7:F130,"K")</f>
        <v>0</v>
      </c>
      <c r="X130" s="265">
        <v>124</v>
      </c>
      <c r="Y130" s="259" t="str">
        <f>IFERROR(INDEX(ADP_Import!A:A,MATCH(ADP!AB130,ADP_Import!AG:AG,0)),"")</f>
        <v>SF</v>
      </c>
      <c r="Z130" s="259" t="str">
        <f>IFERROR(INDEX(ADP_Import!B:B,MATCH(ADP!AB130,ADP_Import!AG:AG,0)),"")</f>
        <v>SF</v>
      </c>
      <c r="AA130" s="259" t="str">
        <f>IFERROR(INDEX(ADP_Import!C:C,MATCH(ADP!AB130,ADP_Import!AG:AG,0)),"")</f>
        <v>DST</v>
      </c>
      <c r="AB130" s="439">
        <f>IFERROR(INDEX(ADP_Import!AG:AG,MATCH(SMALL(ADP_Import!AG:AG,X130),ADP_Import!AG:AG,0)),"NA")</f>
        <v>122.000114</v>
      </c>
      <c r="AC130" s="265">
        <f>IFERROR(INDEX(ADP_Import!$D:$AE,MATCH(AB130,ADP_Import!AG:AG,0),$AG$6),"")</f>
        <v>15.3</v>
      </c>
      <c r="AI130" t="str">
        <f>INDEX('Draft Pick Order'!E:U,MATCH(A130,'Draft Pick Order'!C:C,0),(Instructions!$E$11*2-15))</f>
        <v>11-4</v>
      </c>
    </row>
    <row r="131" spans="1:35" x14ac:dyDescent="0.25">
      <c r="A131" s="230">
        <v>125</v>
      </c>
      <c r="B131">
        <f>IFERROR(IF(INDEX(Draft!BY:BY,MATCH(ADP!D131,Draft!BY:BY,0))=ADP!D131,1,0),0)</f>
        <v>0</v>
      </c>
      <c r="C131" t="str">
        <f>IF(AND(IFERROR(INDEX(Instructions!$T$111:$T$222,MATCH(D131,Instructions!$T$111:$T$222,0)), "")=D131, D131&lt;&gt;""), "X", "")</f>
        <v/>
      </c>
      <c r="D131" s="454" t="s">
        <v>2128</v>
      </c>
      <c r="E131" s="232" t="s">
        <v>141</v>
      </c>
      <c r="F131" s="232" t="s">
        <v>6</v>
      </c>
      <c r="G131" s="383">
        <v>122.500563</v>
      </c>
      <c r="H131" s="455">
        <v>9.4</v>
      </c>
      <c r="I131" s="700"/>
      <c r="J131" s="697"/>
      <c r="K131" s="688"/>
      <c r="L131" s="688"/>
      <c r="M131" s="691"/>
      <c r="N131" s="234">
        <v>125</v>
      </c>
      <c r="O131" s="385" t="str">
        <f>F131&amp;COUNTIF($F$7:F131,F131)</f>
        <v>WR52</v>
      </c>
      <c r="P131" s="268">
        <f>VALUE('Draft Pick Order'!B127)</f>
        <v>211</v>
      </c>
      <c r="Q131" s="259">
        <f>COUNTIF(D$7:$F131,"QB")</f>
        <v>16</v>
      </c>
      <c r="R131" s="259">
        <f>COUNTIF($F$7:F131,"RB")</f>
        <v>46</v>
      </c>
      <c r="S131" s="259">
        <f>COUNTIF($F$7:F131,"WR")</f>
        <v>52</v>
      </c>
      <c r="T131" s="259">
        <f>COUNTIF($F$7:F131,"TE")</f>
        <v>11</v>
      </c>
      <c r="U131" s="259">
        <f>COUNTIF($F$7:F131,"DST")</f>
        <v>0</v>
      </c>
      <c r="V131" s="259">
        <f>COUNTIF($F$7:F131,"K")</f>
        <v>0</v>
      </c>
      <c r="X131" s="265">
        <v>125</v>
      </c>
      <c r="Y131" s="259" t="str">
        <f>IFERROR(INDEX(ADP_Import!A:A,MATCH(ADP!AB131,ADP_Import!AG:AG,0)),"")</f>
        <v>Rondale Moore</v>
      </c>
      <c r="Z131" s="259" t="str">
        <f>IFERROR(INDEX(ADP_Import!B:B,MATCH(ADP!AB131,ADP_Import!AG:AG,0)),"")</f>
        <v>AZ</v>
      </c>
      <c r="AA131" s="259" t="str">
        <f>IFERROR(INDEX(ADP_Import!C:C,MATCH(ADP!AB131,ADP_Import!AG:AG,0)),"")</f>
        <v>WR</v>
      </c>
      <c r="AB131" s="439">
        <f>IFERROR(INDEX(ADP_Import!AG:AG,MATCH(SMALL(ADP_Import!AG:AG,X131),ADP_Import!AG:AG,0)),"NA")</f>
        <v>122.000136</v>
      </c>
      <c r="AC131" s="265">
        <f>IFERROR(INDEX(ADP_Import!$D:$AE,MATCH(AB131,ADP_Import!AG:AG,0),$AG$6),"")</f>
        <v>9.1999999999999993</v>
      </c>
      <c r="AI131" t="str">
        <f>INDEX('Draft Pick Order'!E:U,MATCH(A131,'Draft Pick Order'!C:C,0),(Instructions!$E$11*2-15))</f>
        <v>11-5</v>
      </c>
    </row>
    <row r="132" spans="1:35" ht="15.75" thickBot="1" x14ac:dyDescent="0.3">
      <c r="A132" s="230">
        <v>126</v>
      </c>
      <c r="B132">
        <f>IFERROR(IF(INDEX(Draft!BY:BY,MATCH(ADP!D132,Draft!BY:BY,0))=ADP!D132,1,0),0)</f>
        <v>0</v>
      </c>
      <c r="C132" t="str">
        <f>IF(AND(IFERROR(INDEX(Instructions!$T$111:$T$222,MATCH(D132,Instructions!$T$111:$T$222,0)), "")=D132, D132&lt;&gt;""), "X", "")</f>
        <v/>
      </c>
      <c r="D132" s="454" t="s">
        <v>1866</v>
      </c>
      <c r="E132" s="232" t="s">
        <v>151</v>
      </c>
      <c r="F132" s="232" t="s">
        <v>3</v>
      </c>
      <c r="G132" s="384">
        <v>122.800518</v>
      </c>
      <c r="H132" s="456">
        <v>8.8000000000000007</v>
      </c>
      <c r="I132" s="700"/>
      <c r="J132" s="697"/>
      <c r="K132" s="688"/>
      <c r="L132" s="689"/>
      <c r="M132" s="691"/>
      <c r="N132" s="234">
        <v>126</v>
      </c>
      <c r="O132" s="385" t="str">
        <f>F132&amp;COUNTIF($F$7:F132,F132)</f>
        <v>RB47</v>
      </c>
      <c r="P132" s="268">
        <f>VALUE('Draft Pick Order'!B128)</f>
        <v>211</v>
      </c>
      <c r="Q132" s="259">
        <f>COUNTIF(D$7:$F132,"QB")</f>
        <v>16</v>
      </c>
      <c r="R132" s="259">
        <f>COUNTIF($F$7:F132,"RB")</f>
        <v>47</v>
      </c>
      <c r="S132" s="259">
        <f>COUNTIF($F$7:F132,"WR")</f>
        <v>52</v>
      </c>
      <c r="T132" s="259">
        <f>COUNTIF($F$7:F132,"TE")</f>
        <v>11</v>
      </c>
      <c r="U132" s="259">
        <f>COUNTIF($F$7:F132,"DST")</f>
        <v>0</v>
      </c>
      <c r="V132" s="259">
        <f>COUNTIF($F$7:F132,"K")</f>
        <v>0</v>
      </c>
      <c r="X132" s="265">
        <v>126</v>
      </c>
      <c r="Y132" s="259" t="str">
        <f>IFERROR(INDEX(ADP_Import!A:A,MATCH(ADP!AB132,ADP_Import!AG:AG,0)),"")</f>
        <v>Jaylen Warren</v>
      </c>
      <c r="Z132" s="259" t="str">
        <f>IFERROR(INDEX(ADP_Import!B:B,MATCH(ADP!AB132,ADP_Import!AG:AG,0)),"")</f>
        <v>PIT</v>
      </c>
      <c r="AA132" s="259" t="str">
        <f>IFERROR(INDEX(ADP_Import!C:C,MATCH(ADP!AB132,ADP_Import!AG:AG,0)),"")</f>
        <v>RB</v>
      </c>
      <c r="AB132" s="439">
        <f>IFERROR(INDEX(ADP_Import!AG:AG,MATCH(SMALL(ADP_Import!AG:AG,X132),ADP_Import!AG:AG,0)),"NA")</f>
        <v>122.900378</v>
      </c>
      <c r="AC132" s="265">
        <f>IFERROR(INDEX(ADP_Import!$D:$AE,MATCH(AB132,ADP_Import!AG:AG,0),$AG$6),"")</f>
        <v>12.2</v>
      </c>
      <c r="AI132" t="str">
        <f>INDEX('Draft Pick Order'!E:U,MATCH(A132,'Draft Pick Order'!C:C,0),(Instructions!$E$11*2-15))</f>
        <v>11-6</v>
      </c>
    </row>
    <row r="133" spans="1:35" x14ac:dyDescent="0.25">
      <c r="A133" s="230">
        <v>127</v>
      </c>
      <c r="B133">
        <f>IFERROR(IF(INDEX(Draft!BY:BY,MATCH(ADP!D133,Draft!BY:BY,0))=ADP!D133,1,0),0)</f>
        <v>0</v>
      </c>
      <c r="C133" t="str">
        <f>IF(AND(IFERROR(INDEX(Instructions!$T$111:$T$222,MATCH(D133,Instructions!$T$111:$T$222,0)), "")=D133, D133&lt;&gt;""), "X", "")</f>
        <v/>
      </c>
      <c r="D133" s="454" t="s">
        <v>155</v>
      </c>
      <c r="E133" s="232" t="s">
        <v>155</v>
      </c>
      <c r="F133" s="232" t="s">
        <v>160</v>
      </c>
      <c r="G133" s="383">
        <v>123.60011399999999</v>
      </c>
      <c r="H133" s="455">
        <v>14.5</v>
      </c>
      <c r="I133" s="700"/>
      <c r="J133" s="697"/>
      <c r="K133" s="688"/>
      <c r="L133" s="690" t="s">
        <v>905</v>
      </c>
      <c r="M133" s="691"/>
      <c r="N133" s="234">
        <v>127</v>
      </c>
      <c r="O133" s="385" t="str">
        <f>F133&amp;COUNTIF($F$7:F133,F133)</f>
        <v>DST1</v>
      </c>
      <c r="P133" s="268">
        <f>VALUE('Draft Pick Order'!B129)</f>
        <v>211</v>
      </c>
      <c r="Q133" s="259">
        <f>COUNTIF(D$7:$F133,"QB")</f>
        <v>16</v>
      </c>
      <c r="R133" s="259">
        <f>COUNTIF($F$7:F133,"RB")</f>
        <v>47</v>
      </c>
      <c r="S133" s="259">
        <f>COUNTIF($F$7:F133,"WR")</f>
        <v>52</v>
      </c>
      <c r="T133" s="259">
        <f>COUNTIF($F$7:F133,"TE")</f>
        <v>11</v>
      </c>
      <c r="U133" s="259">
        <f>COUNTIF($F$7:F133,"DST")</f>
        <v>1</v>
      </c>
      <c r="V133" s="259">
        <f>COUNTIF($F$7:F133,"K")</f>
        <v>0</v>
      </c>
      <c r="X133" s="265">
        <v>127</v>
      </c>
      <c r="Y133" s="259" t="str">
        <f>IFERROR(INDEX(ADP_Import!A:A,MATCH(ADP!AB133,ADP_Import!AG:AG,0)),"")</f>
        <v>Raheem Mostert</v>
      </c>
      <c r="Z133" s="259" t="str">
        <f>IFERROR(INDEX(ADP_Import!B:B,MATCH(ADP!AB133,ADP_Import!AG:AG,0)),"")</f>
        <v>MIA</v>
      </c>
      <c r="AA133" s="259" t="str">
        <f>IFERROR(INDEX(ADP_Import!C:C,MATCH(ADP!AB133,ADP_Import!AG:AG,0)),"")</f>
        <v>RB</v>
      </c>
      <c r="AB133" s="439">
        <f>IFERROR(INDEX(ADP_Import!AG:AG,MATCH(SMALL(ADP_Import!AG:AG,X133),ADP_Import!AG:AG,0)),"NA")</f>
        <v>124.600156</v>
      </c>
      <c r="AC133" s="265">
        <f>IFERROR(INDEX(ADP_Import!$D:$AE,MATCH(AB133,ADP_Import!AG:AG,0),$AG$6),"")</f>
        <v>11.4</v>
      </c>
      <c r="AI133" t="str">
        <f>INDEX('Draft Pick Order'!E:U,MATCH(A133,'Draft Pick Order'!C:C,0),(Instructions!$E$11*2-15))</f>
        <v>11-7</v>
      </c>
    </row>
    <row r="134" spans="1:35" ht="15.75" thickBot="1" x14ac:dyDescent="0.3">
      <c r="A134" s="230">
        <v>128</v>
      </c>
      <c r="B134">
        <f>IFERROR(IF(INDEX(Draft!BY:BY,MATCH(ADP!D134,Draft!BY:BY,0))=ADP!D134,1,0),0)</f>
        <v>0</v>
      </c>
      <c r="C134" t="str">
        <f>IF(AND(IFERROR(INDEX(Instructions!$T$111:$T$222,MATCH(D134,Instructions!$T$111:$T$222,0)), "")=D134, D134&lt;&gt;""), "X", "")</f>
        <v/>
      </c>
      <c r="D134" s="454" t="s">
        <v>2064</v>
      </c>
      <c r="E134" s="232" t="s">
        <v>164</v>
      </c>
      <c r="F134" s="232" t="s">
        <v>6</v>
      </c>
      <c r="G134" s="384">
        <v>123.70071300000001</v>
      </c>
      <c r="H134" s="456">
        <v>10.6</v>
      </c>
      <c r="I134" s="701"/>
      <c r="J134" s="697"/>
      <c r="K134" s="688"/>
      <c r="L134" s="691"/>
      <c r="M134" s="692"/>
      <c r="N134" s="234">
        <v>128</v>
      </c>
      <c r="O134" s="385" t="str">
        <f>F134&amp;COUNTIF($F$7:F134,F134)</f>
        <v>WR53</v>
      </c>
      <c r="P134" s="268">
        <f>VALUE('Draft Pick Order'!B130)</f>
        <v>211</v>
      </c>
      <c r="Q134" s="259">
        <f>COUNTIF(D$7:$F134,"QB")</f>
        <v>16</v>
      </c>
      <c r="R134" s="259">
        <f>COUNTIF($F$7:F134,"RB")</f>
        <v>47</v>
      </c>
      <c r="S134" s="259">
        <f>COUNTIF($F$7:F134,"WR")</f>
        <v>53</v>
      </c>
      <c r="T134" s="259">
        <f>COUNTIF($F$7:F134,"TE")</f>
        <v>11</v>
      </c>
      <c r="U134" s="259">
        <f>COUNTIF($F$7:F134,"DST")</f>
        <v>1</v>
      </c>
      <c r="V134" s="259">
        <f>COUNTIF($F$7:F134,"K")</f>
        <v>0</v>
      </c>
      <c r="X134" s="265">
        <v>128</v>
      </c>
      <c r="Y134" s="259" t="str">
        <f>IFERROR(INDEX(ADP_Import!A:A,MATCH(ADP!AB134,ADP_Import!AG:AG,0)),"")</f>
        <v>Anthony Richardson</v>
      </c>
      <c r="Z134" s="259" t="str">
        <f>IFERROR(INDEX(ADP_Import!B:B,MATCH(ADP!AB134,ADP_Import!AG:AG,0)),"")</f>
        <v>IND</v>
      </c>
      <c r="AA134" s="259" t="str">
        <f>IFERROR(INDEX(ADP_Import!C:C,MATCH(ADP!AB134,ADP_Import!AG:AG,0)),"")</f>
        <v>QB</v>
      </c>
      <c r="AB134" s="439">
        <f>IFERROR(INDEX(ADP_Import!AG:AG,MATCH(SMALL(ADP_Import!AG:AG,X134),ADP_Import!AG:AG,0)),"NA")</f>
        <v>124.70069700000001</v>
      </c>
      <c r="AC134" s="265">
        <f>IFERROR(INDEX(ADP_Import!$D:$AE,MATCH(AB134,ADP_Import!AG:AG,0),$AG$6),"")</f>
        <v>13.6</v>
      </c>
      <c r="AI134" t="str">
        <f>INDEX('Draft Pick Order'!E:U,MATCH(A134,'Draft Pick Order'!C:C,0),(Instructions!$E$11*2-15))</f>
        <v>11-8</v>
      </c>
    </row>
    <row r="135" spans="1:35" ht="15" customHeight="1" x14ac:dyDescent="0.25">
      <c r="A135" s="230">
        <v>129</v>
      </c>
      <c r="B135">
        <f>IFERROR(IF(INDEX(Draft!BY:BY,MATCH(ADP!D135,Draft!BY:BY,0))=ADP!D135,1,0),0)</f>
        <v>0</v>
      </c>
      <c r="C135" t="str">
        <f>IF(AND(IFERROR(INDEX(Instructions!$T$111:$T$222,MATCH(D135,Instructions!$T$111:$T$222,0)), "")=D135, D135&lt;&gt;""), "X", "")</f>
        <v/>
      </c>
      <c r="D135" s="454" t="s">
        <v>2205</v>
      </c>
      <c r="E135" s="232" t="s">
        <v>151</v>
      </c>
      <c r="F135" s="232" t="s">
        <v>6</v>
      </c>
      <c r="G135" s="383">
        <v>127.100195</v>
      </c>
      <c r="H135" s="455">
        <v>8.8000000000000007</v>
      </c>
      <c r="I135" s="702" t="s">
        <v>1455</v>
      </c>
      <c r="J135" s="697"/>
      <c r="K135" s="688"/>
      <c r="L135" s="691"/>
      <c r="M135" s="687" t="s">
        <v>904</v>
      </c>
      <c r="N135" s="234">
        <v>129</v>
      </c>
      <c r="O135" s="385" t="str">
        <f>F135&amp;COUNTIF($F$7:F135,F135)</f>
        <v>WR54</v>
      </c>
      <c r="P135" s="268">
        <f>VALUE('Draft Pick Order'!B131)</f>
        <v>211</v>
      </c>
      <c r="Q135" s="259">
        <f>COUNTIF(D$7:$F135,"QB")</f>
        <v>16</v>
      </c>
      <c r="R135" s="259">
        <f>COUNTIF($F$7:F135,"RB")</f>
        <v>47</v>
      </c>
      <c r="S135" s="259">
        <f>COUNTIF($F$7:F135,"WR")</f>
        <v>54</v>
      </c>
      <c r="T135" s="259">
        <f>COUNTIF($F$7:F135,"TE")</f>
        <v>11</v>
      </c>
      <c r="U135" s="259">
        <f>COUNTIF($F$7:F135,"DST")</f>
        <v>1</v>
      </c>
      <c r="V135" s="259">
        <f>COUNTIF($F$7:F135,"K")</f>
        <v>0</v>
      </c>
      <c r="X135" s="265">
        <v>129</v>
      </c>
      <c r="Y135" s="259" t="str">
        <f>IFERROR(INDEX(ADP_Import!A:A,MATCH(ADP!AB135,ADP_Import!AG:AG,0)),"")</f>
        <v>Tyler Allgeier</v>
      </c>
      <c r="Z135" s="259" t="str">
        <f>IFERROR(INDEX(ADP_Import!B:B,MATCH(ADP!AB135,ADP_Import!AG:AG,0)),"")</f>
        <v>ATL</v>
      </c>
      <c r="AA135" s="259" t="str">
        <f>IFERROR(INDEX(ADP_Import!C:C,MATCH(ADP!AB135,ADP_Import!AG:AG,0)),"")</f>
        <v>RB</v>
      </c>
      <c r="AB135" s="439">
        <f>IFERROR(INDEX(ADP_Import!AG:AG,MATCH(SMALL(ADP_Import!AG:AG,X135),ADP_Import!AG:AG,0)),"NA")</f>
        <v>125.500045</v>
      </c>
      <c r="AC135" s="265">
        <f>IFERROR(INDEX(ADP_Import!$D:$AE,MATCH(AB135,ADP_Import!AG:AG,0),$AG$6),"")</f>
        <v>12.2</v>
      </c>
      <c r="AI135" t="str">
        <f>INDEX('Draft Pick Order'!E:U,MATCH(A135,'Draft Pick Order'!C:C,0),(Instructions!$E$11*2-15))</f>
        <v>11-9</v>
      </c>
    </row>
    <row r="136" spans="1:35" ht="15.75" thickBot="1" x14ac:dyDescent="0.3">
      <c r="A136" s="230">
        <v>130</v>
      </c>
      <c r="B136">
        <f>IFERROR(IF(INDEX(Draft!BY:BY,MATCH(ADP!D136,Draft!BY:BY,0))=ADP!D136,1,0),0)</f>
        <v>0</v>
      </c>
      <c r="C136" t="str">
        <f>IF(AND(IFERROR(INDEX(Instructions!$T$111:$T$222,MATCH(D136,Instructions!$T$111:$T$222,0)), "")=D136, D136&lt;&gt;""), "X", "")</f>
        <v/>
      </c>
      <c r="D136" s="454" t="s">
        <v>76</v>
      </c>
      <c r="E136" s="232" t="s">
        <v>148</v>
      </c>
      <c r="F136" s="232" t="s">
        <v>3</v>
      </c>
      <c r="G136" s="384">
        <v>128.30059</v>
      </c>
      <c r="H136" s="456">
        <v>12.1</v>
      </c>
      <c r="I136" s="703"/>
      <c r="J136" s="698"/>
      <c r="K136" s="688"/>
      <c r="L136" s="691"/>
      <c r="M136" s="688"/>
      <c r="N136" s="234">
        <v>130</v>
      </c>
      <c r="O136" s="385" t="str">
        <f>F136&amp;COUNTIF($F$7:F136,F136)</f>
        <v>RB48</v>
      </c>
      <c r="P136" s="268">
        <f>VALUE('Draft Pick Order'!B132)</f>
        <v>211</v>
      </c>
      <c r="Q136" s="259">
        <f>COUNTIF(D$7:$F136,"QB")</f>
        <v>16</v>
      </c>
      <c r="R136" s="259">
        <f>COUNTIF($F$7:F136,"RB")</f>
        <v>48</v>
      </c>
      <c r="S136" s="259">
        <f>COUNTIF($F$7:F136,"WR")</f>
        <v>54</v>
      </c>
      <c r="T136" s="259">
        <f>COUNTIF($F$7:F136,"TE")</f>
        <v>11</v>
      </c>
      <c r="U136" s="259">
        <f>COUNTIF($F$7:F136,"DST")</f>
        <v>1</v>
      </c>
      <c r="V136" s="259">
        <f>COUNTIF($F$7:F136,"K")</f>
        <v>0</v>
      </c>
      <c r="X136" s="265">
        <v>130</v>
      </c>
      <c r="Y136" s="259" t="str">
        <f>IFERROR(INDEX(ADP_Import!A:A,MATCH(ADP!AB136,ADP_Import!AG:AG,0)),"")</f>
        <v>Adam Thielen</v>
      </c>
      <c r="Z136" s="259" t="str">
        <f>IFERROR(INDEX(ADP_Import!B:B,MATCH(ADP!AB136,ADP_Import!AG:AG,0)),"")</f>
        <v>CAR</v>
      </c>
      <c r="AA136" s="259" t="str">
        <f>IFERROR(INDEX(ADP_Import!C:C,MATCH(ADP!AB136,ADP_Import!AG:AG,0)),"")</f>
        <v>WR</v>
      </c>
      <c r="AB136" s="439">
        <f>IFERROR(INDEX(ADP_Import!AG:AG,MATCH(SMALL(ADP_Import!AG:AG,X136),ADP_Import!AG:AG,0)),"NA")</f>
        <v>126.200723</v>
      </c>
      <c r="AC136" s="265">
        <f>IFERROR(INDEX(ADP_Import!$D:$AE,MATCH(AB136,ADP_Import!AG:AG,0),$AG$6),"")</f>
        <v>11.4</v>
      </c>
      <c r="AI136" t="str">
        <f>INDEX('Draft Pick Order'!E:U,MATCH(A136,'Draft Pick Order'!C:C,0),(Instructions!$E$11*2-15))</f>
        <v>11-10</v>
      </c>
    </row>
    <row r="137" spans="1:35" x14ac:dyDescent="0.25">
      <c r="A137" s="230">
        <v>131</v>
      </c>
      <c r="B137">
        <f>IFERROR(IF(INDEX(Draft!BY:BY,MATCH(ADP!D137,Draft!BY:BY,0))=ADP!D137,1,0),0)</f>
        <v>0</v>
      </c>
      <c r="C137" t="str">
        <f>IF(AND(IFERROR(INDEX(Instructions!$T$111:$T$222,MATCH(D137,Instructions!$T$111:$T$222,0)), "")=D137, D137&lt;&gt;""), "X", "")</f>
        <v/>
      </c>
      <c r="D137" s="454" t="s">
        <v>1887</v>
      </c>
      <c r="E137" s="232" t="s">
        <v>156</v>
      </c>
      <c r="F137" s="232" t="s">
        <v>7</v>
      </c>
      <c r="G137" s="383">
        <v>128.90054700000002</v>
      </c>
      <c r="H137" s="455">
        <v>13.2</v>
      </c>
      <c r="I137" s="703"/>
      <c r="J137" s="693" t="s">
        <v>909</v>
      </c>
      <c r="K137" s="688"/>
      <c r="L137" s="691"/>
      <c r="M137" s="688"/>
      <c r="N137" s="234">
        <v>131</v>
      </c>
      <c r="O137" s="385" t="str">
        <f>F137&amp;COUNTIF($F$7:F137,F137)</f>
        <v>TE12</v>
      </c>
      <c r="P137" s="268">
        <f>VALUE('Draft Pick Order'!B133)</f>
        <v>211</v>
      </c>
      <c r="Q137" s="259">
        <f>COUNTIF(D$7:$F137,"QB")</f>
        <v>16</v>
      </c>
      <c r="R137" s="259">
        <f>COUNTIF($F$7:F137,"RB")</f>
        <v>48</v>
      </c>
      <c r="S137" s="259">
        <f>COUNTIF($F$7:F137,"WR")</f>
        <v>54</v>
      </c>
      <c r="T137" s="259">
        <f>COUNTIF($F$7:F137,"TE")</f>
        <v>12</v>
      </c>
      <c r="U137" s="259">
        <f>COUNTIF($F$7:F137,"DST")</f>
        <v>1</v>
      </c>
      <c r="V137" s="259">
        <f>COUNTIF($F$7:F137,"K")</f>
        <v>0</v>
      </c>
      <c r="X137" s="265">
        <v>131</v>
      </c>
      <c r="Y137" s="259" t="str">
        <f>IFERROR(INDEX(ADP_Import!A:A,MATCH(ADP!AB137,ADP_Import!AG:AG,0)),"")</f>
        <v>Darnell Mooney</v>
      </c>
      <c r="Z137" s="259" t="str">
        <f>IFERROR(INDEX(ADP_Import!B:B,MATCH(ADP!AB137,ADP_Import!AG:AG,0)),"")</f>
        <v>CHI</v>
      </c>
      <c r="AA137" s="259" t="str">
        <f>IFERROR(INDEX(ADP_Import!C:C,MATCH(ADP!AB137,ADP_Import!AG:AG,0)),"")</f>
        <v>WR</v>
      </c>
      <c r="AB137" s="439">
        <f>IFERROR(INDEX(ADP_Import!AG:AG,MATCH(SMALL(ADP_Import!AG:AG,X137),ADP_Import!AG:AG,0)),"NA")</f>
        <v>126.700563</v>
      </c>
      <c r="AC137" s="265">
        <f>IFERROR(INDEX(ADP_Import!$D:$AE,MATCH(AB137,ADP_Import!AG:AG,0),$AG$6),"")</f>
        <v>11.2</v>
      </c>
      <c r="AI137" t="str">
        <f>INDEX('Draft Pick Order'!E:U,MATCH(A137,'Draft Pick Order'!C:C,0),(Instructions!$E$11*2-15))</f>
        <v>11-11</v>
      </c>
    </row>
    <row r="138" spans="1:35" ht="15.75" thickBot="1" x14ac:dyDescent="0.3">
      <c r="A138" s="230">
        <v>132</v>
      </c>
      <c r="B138">
        <f>IFERROR(IF(INDEX(Draft!BY:BY,MATCH(ADP!D138,Draft!BY:BY,0))=ADP!D138,1,0),0)</f>
        <v>0</v>
      </c>
      <c r="C138" t="str">
        <f>IF(AND(IFERROR(INDEX(Instructions!$T$111:$T$222,MATCH(D138,Instructions!$T$111:$T$222,0)), "")=D138, D138&lt;&gt;""), "X", "")</f>
        <v/>
      </c>
      <c r="D138" s="454" t="s">
        <v>1249</v>
      </c>
      <c r="E138" s="232" t="s">
        <v>159</v>
      </c>
      <c r="F138" s="232" t="s">
        <v>6</v>
      </c>
      <c r="G138" s="384">
        <v>129.00072299999999</v>
      </c>
      <c r="H138" s="456">
        <v>11.7</v>
      </c>
      <c r="I138" s="703"/>
      <c r="J138" s="694"/>
      <c r="K138" s="689"/>
      <c r="L138" s="691"/>
      <c r="M138" s="688"/>
      <c r="N138" s="234">
        <v>132</v>
      </c>
      <c r="O138" s="385" t="str">
        <f>F138&amp;COUNTIF($F$7:F138,F138)</f>
        <v>WR55</v>
      </c>
      <c r="P138" s="268">
        <f>VALUE('Draft Pick Order'!B134)</f>
        <v>211</v>
      </c>
      <c r="Q138" s="259">
        <f>COUNTIF(D$7:$F138,"QB")</f>
        <v>16</v>
      </c>
      <c r="R138" s="259">
        <f>COUNTIF($F$7:F138,"RB")</f>
        <v>48</v>
      </c>
      <c r="S138" s="259">
        <f>COUNTIF($F$7:F138,"WR")</f>
        <v>55</v>
      </c>
      <c r="T138" s="259">
        <f>COUNTIF($F$7:F138,"TE")</f>
        <v>12</v>
      </c>
      <c r="U138" s="259">
        <f>COUNTIF($F$7:F138,"DST")</f>
        <v>1</v>
      </c>
      <c r="V138" s="259">
        <f>COUNTIF($F$7:F138,"K")</f>
        <v>0</v>
      </c>
      <c r="X138" s="265">
        <v>132</v>
      </c>
      <c r="Y138" s="259" t="str">
        <f>IFERROR(INDEX(ADP_Import!A:A,MATCH(ADP!AB138,ADP_Import!AG:AG,0)),"")</f>
        <v>Romeo Doubs</v>
      </c>
      <c r="Z138" s="259" t="str">
        <f>IFERROR(INDEX(ADP_Import!B:B,MATCH(ADP!AB138,ADP_Import!AG:AG,0)),"")</f>
        <v>GB</v>
      </c>
      <c r="AA138" s="259" t="str">
        <f>IFERROR(INDEX(ADP_Import!C:C,MATCH(ADP!AB138,ADP_Import!AG:AG,0)),"")</f>
        <v>WR</v>
      </c>
      <c r="AB138" s="439">
        <f>IFERROR(INDEX(ADP_Import!AG:AG,MATCH(SMALL(ADP_Import!AG:AG,X138),ADP_Import!AG:AG,0)),"NA")</f>
        <v>126.90013800000001</v>
      </c>
      <c r="AC138" s="265">
        <f>IFERROR(INDEX(ADP_Import!$D:$AE,MATCH(AB138,ADP_Import!AG:AG,0),$AG$6),"")</f>
        <v>11.1</v>
      </c>
      <c r="AI138" t="str">
        <f>INDEX('Draft Pick Order'!E:U,MATCH(A138,'Draft Pick Order'!C:C,0),(Instructions!$E$11*2-15))</f>
        <v>11-12</v>
      </c>
    </row>
    <row r="139" spans="1:35" ht="15" customHeight="1" x14ac:dyDescent="0.25">
      <c r="A139" s="230">
        <v>133</v>
      </c>
      <c r="B139">
        <f>IFERROR(IF(INDEX(Draft!BY:BY,MATCH(ADP!D139,Draft!BY:BY,0))=ADP!D139,1,0),0)</f>
        <v>0</v>
      </c>
      <c r="C139" t="str">
        <f>IF(AND(IFERROR(INDEX(Instructions!$T$111:$T$222,MATCH(D139,Instructions!$T$111:$T$222,0)), "")=D139, D139&lt;&gt;""), "X", "")</f>
        <v/>
      </c>
      <c r="D139" s="454" t="s">
        <v>2297</v>
      </c>
      <c r="E139" s="232" t="s">
        <v>2073</v>
      </c>
      <c r="F139" s="232" t="s">
        <v>3</v>
      </c>
      <c r="G139" s="383">
        <v>129.200006</v>
      </c>
      <c r="H139" s="455">
        <v>11.7</v>
      </c>
      <c r="I139" s="703"/>
      <c r="J139" s="694"/>
      <c r="K139" s="690" t="s">
        <v>907</v>
      </c>
      <c r="L139" s="691"/>
      <c r="M139" s="688"/>
      <c r="N139" s="234">
        <v>133</v>
      </c>
      <c r="O139" s="385" t="str">
        <f>F139&amp;COUNTIF($F$7:F139,F139)</f>
        <v>RB49</v>
      </c>
      <c r="P139" s="268">
        <f>VALUE('Draft Pick Order'!B135)</f>
        <v>211</v>
      </c>
      <c r="Q139" s="259">
        <f>COUNTIF(D$7:$F139,"QB")</f>
        <v>16</v>
      </c>
      <c r="R139" s="259">
        <f>COUNTIF($F$7:F139,"RB")</f>
        <v>49</v>
      </c>
      <c r="S139" s="259">
        <f>COUNTIF($F$7:F139,"WR")</f>
        <v>55</v>
      </c>
      <c r="T139" s="259">
        <f>COUNTIF($F$7:F139,"TE")</f>
        <v>12</v>
      </c>
      <c r="U139" s="259">
        <f>COUNTIF($F$7:F139,"DST")</f>
        <v>1</v>
      </c>
      <c r="V139" s="259">
        <f>COUNTIF($F$7:F139,"K")</f>
        <v>0</v>
      </c>
      <c r="X139" s="265">
        <v>133</v>
      </c>
      <c r="Y139" s="259" t="str">
        <f>IFERROR(INDEX(ADP_Import!A:A,MATCH(ADP!AB139,ADP_Import!AG:AG,0)),"")</f>
        <v>Devin Singletary</v>
      </c>
      <c r="Z139" s="259" t="str">
        <f>IFERROR(INDEX(ADP_Import!B:B,MATCH(ADP!AB139,ADP_Import!AG:AG,0)),"")</f>
        <v>HOU</v>
      </c>
      <c r="AA139" s="259" t="str">
        <f>IFERROR(INDEX(ADP_Import!C:C,MATCH(ADP!AB139,ADP_Import!AG:AG,0)),"")</f>
        <v>RB</v>
      </c>
      <c r="AB139" s="439">
        <f>IFERROR(INDEX(ADP_Import!AG:AG,MATCH(SMALL(ADP_Import!AG:AG,X139),ADP_Import!AG:AG,0)),"NA")</f>
        <v>128.90051800000001</v>
      </c>
      <c r="AC139" s="265">
        <f>IFERROR(INDEX(ADP_Import!$D:$AE,MATCH(AB139,ADP_Import!AG:AG,0),$AG$6),"")</f>
        <v>12.8</v>
      </c>
      <c r="AI139" t="str">
        <f>INDEX('Draft Pick Order'!E:U,MATCH(A139,'Draft Pick Order'!C:C,0),(Instructions!$E$11*2-15))</f>
        <v>12-1</v>
      </c>
    </row>
    <row r="140" spans="1:35" x14ac:dyDescent="0.25">
      <c r="A140" s="230">
        <v>134</v>
      </c>
      <c r="B140">
        <f>IFERROR(IF(INDEX(Draft!BY:BY,MATCH(ADP!D140,Draft!BY:BY,0))=ADP!D140,1,0),0)</f>
        <v>0</v>
      </c>
      <c r="C140" t="str">
        <f>IF(AND(IFERROR(INDEX(Instructions!$T$111:$T$222,MATCH(D140,Instructions!$T$111:$T$222,0)), "")=D140, D140&lt;&gt;""), "X", "")</f>
        <v/>
      </c>
      <c r="D140" s="454" t="s">
        <v>2074</v>
      </c>
      <c r="E140" s="232" t="s">
        <v>136</v>
      </c>
      <c r="F140" s="232" t="s">
        <v>3</v>
      </c>
      <c r="G140" s="384">
        <v>129.40060099999999</v>
      </c>
      <c r="H140" s="456">
        <v>16.100000000000001</v>
      </c>
      <c r="I140" s="703"/>
      <c r="J140" s="694"/>
      <c r="K140" s="691"/>
      <c r="L140" s="691"/>
      <c r="M140" s="688"/>
      <c r="N140" s="234">
        <v>134</v>
      </c>
      <c r="O140" s="385" t="str">
        <f>F140&amp;COUNTIF($F$7:F140,F140)</f>
        <v>RB50</v>
      </c>
      <c r="P140" s="268">
        <f>VALUE('Draft Pick Order'!B136)</f>
        <v>211</v>
      </c>
      <c r="Q140" s="259">
        <f>COUNTIF(D$7:$F140,"QB")</f>
        <v>16</v>
      </c>
      <c r="R140" s="259">
        <f>COUNTIF($F$7:F140,"RB")</f>
        <v>50</v>
      </c>
      <c r="S140" s="259">
        <f>COUNTIF($F$7:F140,"WR")</f>
        <v>55</v>
      </c>
      <c r="T140" s="259">
        <f>COUNTIF($F$7:F140,"TE")</f>
        <v>12</v>
      </c>
      <c r="U140" s="259">
        <f>COUNTIF($F$7:F140,"DST")</f>
        <v>1</v>
      </c>
      <c r="V140" s="259">
        <f>COUNTIF($F$7:F140,"K")</f>
        <v>0</v>
      </c>
      <c r="X140" s="265">
        <v>134</v>
      </c>
      <c r="Y140" s="259" t="str">
        <f>IFERROR(INDEX(ADP_Import!A:A,MATCH(ADP!AB140,ADP_Import!AG:AG,0)),"")</f>
        <v>Kenneth Gainwell</v>
      </c>
      <c r="Z140" s="259" t="str">
        <f>IFERROR(INDEX(ADP_Import!B:B,MATCH(ADP!AB140,ADP_Import!AG:AG,0)),"")</f>
        <v>PHI</v>
      </c>
      <c r="AA140" s="259" t="str">
        <f>IFERROR(INDEX(ADP_Import!C:C,MATCH(ADP!AB140,ADP_Import!AG:AG,0)),"")</f>
        <v>RB</v>
      </c>
      <c r="AB140" s="439">
        <f>IFERROR(INDEX(ADP_Import!AG:AG,MATCH(SMALL(ADP_Import!AG:AG,X140),ADP_Import!AG:AG,0)),"NA")</f>
        <v>129.80030000000002</v>
      </c>
      <c r="AC140" s="265">
        <f>IFERROR(INDEX(ADP_Import!$D:$AE,MATCH(AB140,ADP_Import!AG:AG,0),$AG$6),"")</f>
        <v>10.8</v>
      </c>
      <c r="AI140" t="str">
        <f>INDEX('Draft Pick Order'!E:U,MATCH(A140,'Draft Pick Order'!C:C,0),(Instructions!$E$11*2-15))</f>
        <v>12-2</v>
      </c>
    </row>
    <row r="141" spans="1:35" x14ac:dyDescent="0.25">
      <c r="A141" s="230">
        <v>135</v>
      </c>
      <c r="B141">
        <f>IFERROR(IF(INDEX(Draft!BY:BY,MATCH(ADP!D141,Draft!BY:BY,0))=ADP!D141,1,0),0)</f>
        <v>0</v>
      </c>
      <c r="C141" t="str">
        <f>IF(AND(IFERROR(INDEX(Instructions!$T$111:$T$222,MATCH(D141,Instructions!$T$111:$T$222,0)), "")=D141, D141&lt;&gt;""), "X", "")</f>
        <v/>
      </c>
      <c r="D141" s="454" t="s">
        <v>45</v>
      </c>
      <c r="E141" s="232" t="s">
        <v>144</v>
      </c>
      <c r="F141" s="232" t="s">
        <v>1</v>
      </c>
      <c r="G141" s="383">
        <v>130.40012899999999</v>
      </c>
      <c r="H141" s="455">
        <v>13.6</v>
      </c>
      <c r="I141" s="703"/>
      <c r="J141" s="694"/>
      <c r="K141" s="691"/>
      <c r="L141" s="691"/>
      <c r="M141" s="688"/>
      <c r="N141" s="234">
        <v>135</v>
      </c>
      <c r="O141" s="385" t="str">
        <f>F141&amp;COUNTIF($F$7:F141,F141)</f>
        <v>QB17</v>
      </c>
      <c r="P141" s="268">
        <f>VALUE('Draft Pick Order'!B137)</f>
        <v>211</v>
      </c>
      <c r="Q141" s="259">
        <f>COUNTIF(D$7:$F141,"QB")</f>
        <v>17</v>
      </c>
      <c r="R141" s="259">
        <f>COUNTIF($F$7:F141,"RB")</f>
        <v>50</v>
      </c>
      <c r="S141" s="259">
        <f>COUNTIF($F$7:F141,"WR")</f>
        <v>55</v>
      </c>
      <c r="T141" s="259">
        <f>COUNTIF($F$7:F141,"TE")</f>
        <v>12</v>
      </c>
      <c r="U141" s="259">
        <f>COUNTIF($F$7:F141,"DST")</f>
        <v>1</v>
      </c>
      <c r="V141" s="259">
        <f>COUNTIF($F$7:F141,"K")</f>
        <v>0</v>
      </c>
      <c r="X141" s="265">
        <v>135</v>
      </c>
      <c r="Y141" s="259" t="str">
        <f>IFERROR(INDEX(ADP_Import!A:A,MATCH(ADP!AB141,ADP_Import!AG:AG,0)),"")</f>
        <v>Tyler Boyd</v>
      </c>
      <c r="Z141" s="259" t="str">
        <f>IFERROR(INDEX(ADP_Import!B:B,MATCH(ADP!AB141,ADP_Import!AG:AG,0)),"")</f>
        <v>CIN</v>
      </c>
      <c r="AA141" s="259" t="str">
        <f>IFERROR(INDEX(ADP_Import!C:C,MATCH(ADP!AB141,ADP_Import!AG:AG,0)),"")</f>
        <v>WR</v>
      </c>
      <c r="AB141" s="439">
        <f>IFERROR(INDEX(ADP_Import!AG:AG,MATCH(SMALL(ADP_Import!AG:AG,X141),ADP_Import!AG:AG,0)),"NA")</f>
        <v>130.80004200000002</v>
      </c>
      <c r="AC141" s="265">
        <f>IFERROR(INDEX(ADP_Import!$D:$AE,MATCH(AB141,ADP_Import!AG:AG,0),$AG$6),"")</f>
        <v>9.5</v>
      </c>
      <c r="AI141" t="str">
        <f>INDEX('Draft Pick Order'!E:U,MATCH(A141,'Draft Pick Order'!C:C,0),(Instructions!$E$11*2-15))</f>
        <v>12-3</v>
      </c>
    </row>
    <row r="142" spans="1:35" ht="15.75" thickBot="1" x14ac:dyDescent="0.3">
      <c r="A142" s="230">
        <v>136</v>
      </c>
      <c r="B142">
        <f>IFERROR(IF(INDEX(Draft!BY:BY,MATCH(ADP!D142,Draft!BY:BY,0))=ADP!D142,1,0),0)</f>
        <v>0</v>
      </c>
      <c r="C142" t="str">
        <f>IF(AND(IFERROR(INDEX(Instructions!$T$111:$T$222,MATCH(D142,Instructions!$T$111:$T$222,0)), "")=D142, D142&lt;&gt;""), "X", "")</f>
        <v/>
      </c>
      <c r="D142" s="454" t="s">
        <v>2467</v>
      </c>
      <c r="E142" s="232" t="s">
        <v>147</v>
      </c>
      <c r="F142" s="232" t="s">
        <v>3</v>
      </c>
      <c r="G142" s="384">
        <v>131.80037800000002</v>
      </c>
      <c r="H142" s="456">
        <v>10.6</v>
      </c>
      <c r="I142" s="704"/>
      <c r="J142" s="694"/>
      <c r="K142" s="691"/>
      <c r="L142" s="691"/>
      <c r="M142" s="688"/>
      <c r="N142" s="234">
        <v>136</v>
      </c>
      <c r="O142" s="385" t="str">
        <f>F142&amp;COUNTIF($F$7:F142,F142)</f>
        <v>RB51</v>
      </c>
      <c r="P142" s="268">
        <f>VALUE('Draft Pick Order'!B138)</f>
        <v>211</v>
      </c>
      <c r="Q142" s="259">
        <f>COUNTIF(D$7:$F142,"QB")</f>
        <v>17</v>
      </c>
      <c r="R142" s="259">
        <f>COUNTIF($F$7:F142,"RB")</f>
        <v>51</v>
      </c>
      <c r="S142" s="259">
        <f>COUNTIF($F$7:F142,"WR")</f>
        <v>55</v>
      </c>
      <c r="T142" s="259">
        <f>COUNTIF($F$7:F142,"TE")</f>
        <v>12</v>
      </c>
      <c r="U142" s="259">
        <f>COUNTIF($F$7:F142,"DST")</f>
        <v>1</v>
      </c>
      <c r="V142" s="259">
        <f>COUNTIF($F$7:F142,"K")</f>
        <v>0</v>
      </c>
      <c r="X142" s="265">
        <v>136</v>
      </c>
      <c r="Y142" s="259" t="str">
        <f>IFERROR(INDEX(ADP_Import!A:A,MATCH(ADP!AB142,ADP_Import!AG:AG,0)),"")</f>
        <v>Greg Dulcich</v>
      </c>
      <c r="Z142" s="259" t="str">
        <f>IFERROR(INDEX(ADP_Import!B:B,MATCH(ADP!AB142,ADP_Import!AG:AG,0)),"")</f>
        <v>DEN</v>
      </c>
      <c r="AA142" s="259" t="str">
        <f>IFERROR(INDEX(ADP_Import!C:C,MATCH(ADP!AB142,ADP_Import!AG:AG,0)),"")</f>
        <v>TE</v>
      </c>
      <c r="AB142" s="439">
        <f>IFERROR(INDEX(ADP_Import!AG:AG,MATCH(SMALL(ADP_Import!AG:AG,X142),ADP_Import!AG:AG,0)),"NA")</f>
        <v>132.100459</v>
      </c>
      <c r="AC142" s="265">
        <f>IFERROR(INDEX(ADP_Import!$D:$AE,MATCH(AB142,ADP_Import!AG:AG,0),$AG$6),"")</f>
        <v>15.3</v>
      </c>
      <c r="AI142" t="str">
        <f>INDEX('Draft Pick Order'!E:U,MATCH(A142,'Draft Pick Order'!C:C,0),(Instructions!$E$11*2-15))</f>
        <v>12-4</v>
      </c>
    </row>
    <row r="143" spans="1:35" x14ac:dyDescent="0.25">
      <c r="A143" s="230">
        <v>137</v>
      </c>
      <c r="B143">
        <f>IFERROR(IF(INDEX(Draft!BY:BY,MATCH(ADP!D143,Draft!BY:BY,0))=ADP!D143,1,0),0)</f>
        <v>0</v>
      </c>
      <c r="C143" t="str">
        <f>IF(AND(IFERROR(INDEX(Instructions!$T$111:$T$222,MATCH(D143,Instructions!$T$111:$T$222,0)), "")=D143, D143&lt;&gt;""), "X", "")</f>
        <v/>
      </c>
      <c r="D143" s="454" t="s">
        <v>2066</v>
      </c>
      <c r="E143" s="232" t="s">
        <v>2073</v>
      </c>
      <c r="F143" s="232" t="s">
        <v>6</v>
      </c>
      <c r="G143" s="383">
        <v>133.000415</v>
      </c>
      <c r="H143" s="455">
        <v>8.1</v>
      </c>
      <c r="I143" s="699" t="s">
        <v>1456</v>
      </c>
      <c r="J143" s="694"/>
      <c r="K143" s="691"/>
      <c r="L143" s="691"/>
      <c r="M143" s="688"/>
      <c r="N143" s="234">
        <v>137</v>
      </c>
      <c r="O143" s="385" t="str">
        <f>F143&amp;COUNTIF($F$7:F143,F143)</f>
        <v>WR56</v>
      </c>
      <c r="P143" s="268">
        <f>VALUE('Draft Pick Order'!B139)</f>
        <v>211</v>
      </c>
      <c r="Q143" s="259">
        <f>COUNTIF(D$7:$F143,"QB")</f>
        <v>17</v>
      </c>
      <c r="R143" s="259">
        <f>COUNTIF($F$7:F143,"RB")</f>
        <v>51</v>
      </c>
      <c r="S143" s="259">
        <f>COUNTIF($F$7:F143,"WR")</f>
        <v>56</v>
      </c>
      <c r="T143" s="259">
        <f>COUNTIF($F$7:F143,"TE")</f>
        <v>12</v>
      </c>
      <c r="U143" s="259">
        <f>COUNTIF($F$7:F143,"DST")</f>
        <v>1</v>
      </c>
      <c r="V143" s="259">
        <f>COUNTIF($F$7:F143,"K")</f>
        <v>0</v>
      </c>
      <c r="X143" s="265">
        <v>137</v>
      </c>
      <c r="Y143" s="259" t="str">
        <f>IFERROR(INDEX(ADP_Import!A:A,MATCH(ADP!AB143,ADP_Import!AG:AG,0)),"")</f>
        <v>Cordarrelle Patterson</v>
      </c>
      <c r="Z143" s="259" t="str">
        <f>IFERROR(INDEX(ADP_Import!B:B,MATCH(ADP!AB143,ADP_Import!AG:AG,0)),"")</f>
        <v>ATL</v>
      </c>
      <c r="AA143" s="259" t="str">
        <f>IFERROR(INDEX(ADP_Import!C:C,MATCH(ADP!AB143,ADP_Import!AG:AG,0)),"")</f>
        <v>RB</v>
      </c>
      <c r="AB143" s="439">
        <f>IFERROR(INDEX(ADP_Import!AG:AG,MATCH(SMALL(ADP_Import!AG:AG,X143),ADP_Import!AG:AG,0)),"NA")</f>
        <v>132.10058999999998</v>
      </c>
      <c r="AC143" s="265">
        <f>IFERROR(INDEX(ADP_Import!$D:$AE,MATCH(AB143,ADP_Import!AG:AG,0),$AG$6),"")</f>
        <v>13.5</v>
      </c>
      <c r="AI143" t="str">
        <f>INDEX('Draft Pick Order'!E:U,MATCH(A143,'Draft Pick Order'!C:C,0),(Instructions!$E$11*2-15))</f>
        <v>12-5</v>
      </c>
    </row>
    <row r="144" spans="1:35" x14ac:dyDescent="0.25">
      <c r="A144" s="230">
        <v>138</v>
      </c>
      <c r="B144">
        <f>IFERROR(IF(INDEX(Draft!BY:BY,MATCH(ADP!D144,Draft!BY:BY,0))=ADP!D144,1,0),0)</f>
        <v>0</v>
      </c>
      <c r="C144" t="str">
        <f>IF(AND(IFERROR(INDEX(Instructions!$T$111:$T$222,MATCH(D144,Instructions!$T$111:$T$222,0)), "")=D144, D144&lt;&gt;""), "X", "")</f>
        <v/>
      </c>
      <c r="D144" s="454" t="s">
        <v>2535</v>
      </c>
      <c r="E144" s="232" t="s">
        <v>158</v>
      </c>
      <c r="F144" s="232" t="s">
        <v>1</v>
      </c>
      <c r="G144" s="384">
        <v>133.100697</v>
      </c>
      <c r="H144" s="456">
        <v>17.600000000000001</v>
      </c>
      <c r="I144" s="700"/>
      <c r="J144" s="694"/>
      <c r="K144" s="691"/>
      <c r="L144" s="691"/>
      <c r="M144" s="688"/>
      <c r="N144" s="234">
        <v>138</v>
      </c>
      <c r="O144" s="385" t="str">
        <f>F144&amp;COUNTIF($F$7:F144,F144)</f>
        <v>QB18</v>
      </c>
      <c r="P144" s="268">
        <f>VALUE('Draft Pick Order'!B140)</f>
        <v>211</v>
      </c>
      <c r="Q144" s="259">
        <f>COUNTIF(D$7:$F144,"QB")</f>
        <v>18</v>
      </c>
      <c r="R144" s="259">
        <f>COUNTIF($F$7:F144,"RB")</f>
        <v>51</v>
      </c>
      <c r="S144" s="259">
        <f>COUNTIF($F$7:F144,"WR")</f>
        <v>56</v>
      </c>
      <c r="T144" s="259">
        <f>COUNTIF($F$7:F144,"TE")</f>
        <v>12</v>
      </c>
      <c r="U144" s="259">
        <f>COUNTIF($F$7:F144,"DST")</f>
        <v>1</v>
      </c>
      <c r="V144" s="259">
        <f>COUNTIF($F$7:F144,"K")</f>
        <v>0</v>
      </c>
      <c r="X144" s="265">
        <v>138</v>
      </c>
      <c r="Y144" s="259" t="str">
        <f>IFERROR(INDEX(ADP_Import!A:A,MATCH(ADP!AB144,ADP_Import!AG:AG,0)),"")</f>
        <v>Russell Wilson</v>
      </c>
      <c r="Z144" s="259" t="str">
        <f>IFERROR(INDEX(ADP_Import!B:B,MATCH(ADP!AB144,ADP_Import!AG:AG,0)),"")</f>
        <v>DEN</v>
      </c>
      <c r="AA144" s="259" t="str">
        <f>IFERROR(INDEX(ADP_Import!C:C,MATCH(ADP!AB144,ADP_Import!AG:AG,0)),"")</f>
        <v>QB</v>
      </c>
      <c r="AB144" s="439">
        <f>IFERROR(INDEX(ADP_Import!AG:AG,MATCH(SMALL(ADP_Import!AG:AG,X144),ADP_Import!AG:AG,0)),"NA")</f>
        <v>133.10012899999998</v>
      </c>
      <c r="AC144" s="265">
        <f>IFERROR(INDEX(ADP_Import!$D:$AE,MATCH(AB144,ADP_Import!AG:AG,0),$AG$6),"")</f>
        <v>15.3</v>
      </c>
      <c r="AI144" t="str">
        <f>INDEX('Draft Pick Order'!E:U,MATCH(A144,'Draft Pick Order'!C:C,0),(Instructions!$E$11*2-15))</f>
        <v>12-6</v>
      </c>
    </row>
    <row r="145" spans="1:35" x14ac:dyDescent="0.25">
      <c r="A145" s="230">
        <v>139</v>
      </c>
      <c r="B145">
        <f>IFERROR(IF(INDEX(Draft!BY:BY,MATCH(ADP!D145,Draft!BY:BY,0))=ADP!D145,1,0),0)</f>
        <v>0</v>
      </c>
      <c r="C145" t="str">
        <f>IF(AND(IFERROR(INDEX(Instructions!$T$111:$T$222,MATCH(D145,Instructions!$T$111:$T$222,0)), "")=D145, D145&lt;&gt;""), "X", "")</f>
        <v/>
      </c>
      <c r="D145" s="454" t="s">
        <v>1829</v>
      </c>
      <c r="E145" s="232" t="s">
        <v>162</v>
      </c>
      <c r="F145" s="232" t="s">
        <v>3</v>
      </c>
      <c r="G145" s="383">
        <v>134.10045399999998</v>
      </c>
      <c r="H145" s="455">
        <v>13.4</v>
      </c>
      <c r="I145" s="700"/>
      <c r="J145" s="694"/>
      <c r="K145" s="691"/>
      <c r="L145" s="691"/>
      <c r="M145" s="688"/>
      <c r="N145" s="234">
        <v>139</v>
      </c>
      <c r="O145" s="385" t="str">
        <f>F145&amp;COUNTIF($F$7:F145,F145)</f>
        <v>RB52</v>
      </c>
      <c r="P145" s="268">
        <f>VALUE('Draft Pick Order'!B141)</f>
        <v>211</v>
      </c>
      <c r="Q145" s="259">
        <f>COUNTIF(D$7:$F145,"QB")</f>
        <v>18</v>
      </c>
      <c r="R145" s="259">
        <f>COUNTIF($F$7:F145,"RB")</f>
        <v>52</v>
      </c>
      <c r="S145" s="259">
        <f>COUNTIF($F$7:F145,"WR")</f>
        <v>56</v>
      </c>
      <c r="T145" s="259">
        <f>COUNTIF($F$7:F145,"TE")</f>
        <v>12</v>
      </c>
      <c r="U145" s="259">
        <f>COUNTIF($F$7:F145,"DST")</f>
        <v>1</v>
      </c>
      <c r="V145" s="259">
        <f>COUNTIF($F$7:F145,"K")</f>
        <v>0</v>
      </c>
      <c r="X145" s="265">
        <v>139</v>
      </c>
      <c r="Y145" s="259" t="str">
        <f>IFERROR(INDEX(ADP_Import!A:A,MATCH(ADP!AB145,ADP_Import!AG:AG,0)),"")</f>
        <v>Tyler Higbee</v>
      </c>
      <c r="Z145" s="259" t="str">
        <f>IFERROR(INDEX(ADP_Import!B:B,MATCH(ADP!AB145,ADP_Import!AG:AG,0)),"")</f>
        <v>LAR</v>
      </c>
      <c r="AA145" s="259" t="str">
        <f>IFERROR(INDEX(ADP_Import!C:C,MATCH(ADP!AB145,ADP_Import!AG:AG,0)),"")</f>
        <v>TE</v>
      </c>
      <c r="AB145" s="439">
        <f>IFERROR(INDEX(ADP_Import!AG:AG,MATCH(SMALL(ADP_Import!AG:AG,X145),ADP_Import!AG:AG,0)),"NA")</f>
        <v>133.400038</v>
      </c>
      <c r="AC145" s="265">
        <f>IFERROR(INDEX(ADP_Import!$D:$AE,MATCH(AB145,ADP_Import!AG:AG,0),$AG$6),"")</f>
        <v>15.6</v>
      </c>
      <c r="AI145" t="str">
        <f>INDEX('Draft Pick Order'!E:U,MATCH(A145,'Draft Pick Order'!C:C,0),(Instructions!$E$11*2-15))</f>
        <v>12-7</v>
      </c>
    </row>
    <row r="146" spans="1:35" ht="15.75" thickBot="1" x14ac:dyDescent="0.3">
      <c r="A146" s="230">
        <v>140</v>
      </c>
      <c r="B146">
        <f>IFERROR(IF(INDEX(Draft!BY:BY,MATCH(ADP!D146,Draft!BY:BY,0))=ADP!D146,1,0),0)</f>
        <v>0</v>
      </c>
      <c r="C146" t="str">
        <f>IF(AND(IFERROR(INDEX(Instructions!$T$111:$T$222,MATCH(D146,Instructions!$T$111:$T$222,0)), "")=D146, D146&lt;&gt;""), "X", "")</f>
        <v/>
      </c>
      <c r="D146" s="454" t="s">
        <v>2371</v>
      </c>
      <c r="E146" s="232" t="s">
        <v>163</v>
      </c>
      <c r="F146" s="232" t="s">
        <v>7</v>
      </c>
      <c r="G146" s="384">
        <v>134.40062399999999</v>
      </c>
      <c r="H146" s="456">
        <v>12</v>
      </c>
      <c r="I146" s="700"/>
      <c r="J146" s="695"/>
      <c r="K146" s="691"/>
      <c r="L146" s="691"/>
      <c r="M146" s="688"/>
      <c r="N146" s="234">
        <v>140</v>
      </c>
      <c r="O146" s="385" t="str">
        <f>F146&amp;COUNTIF($F$7:F146,F146)</f>
        <v>TE13</v>
      </c>
      <c r="P146" s="268">
        <f>VALUE('Draft Pick Order'!B142)</f>
        <v>211</v>
      </c>
      <c r="Q146" s="259">
        <f>COUNTIF(D$7:$F146,"QB")</f>
        <v>18</v>
      </c>
      <c r="R146" s="259">
        <f>COUNTIF($F$7:F146,"RB")</f>
        <v>52</v>
      </c>
      <c r="S146" s="259">
        <f>COUNTIF($F$7:F146,"WR")</f>
        <v>56</v>
      </c>
      <c r="T146" s="259">
        <f>COUNTIF($F$7:F146,"TE")</f>
        <v>13</v>
      </c>
      <c r="U146" s="259">
        <f>COUNTIF($F$7:F146,"DST")</f>
        <v>1</v>
      </c>
      <c r="V146" s="259">
        <f>COUNTIF($F$7:F146,"K")</f>
        <v>0</v>
      </c>
      <c r="X146" s="265">
        <v>140</v>
      </c>
      <c r="Y146" s="259" t="str">
        <f>IFERROR(INDEX(ADP_Import!A:A,MATCH(ADP!AB146,ADP_Import!AG:AG,0)),"")</f>
        <v>Zay Jones</v>
      </c>
      <c r="Z146" s="259" t="str">
        <f>IFERROR(INDEX(ADP_Import!B:B,MATCH(ADP!AB146,ADP_Import!AG:AG,0)),"")</f>
        <v>JAC</v>
      </c>
      <c r="AA146" s="259" t="str">
        <f>IFERROR(INDEX(ADP_Import!C:C,MATCH(ADP!AB146,ADP_Import!AG:AG,0)),"")</f>
        <v>WR</v>
      </c>
      <c r="AB146" s="439">
        <f>IFERROR(INDEX(ADP_Import!AG:AG,MATCH(SMALL(ADP_Import!AG:AG,X146),ADP_Import!AG:AG,0)),"NA")</f>
        <v>133.50000199999999</v>
      </c>
      <c r="AC146" s="265">
        <f>IFERROR(INDEX(ADP_Import!$D:$AE,MATCH(AB146,ADP_Import!AG:AG,0),$AG$6),"")</f>
        <v>10</v>
      </c>
      <c r="AI146" t="str">
        <f>INDEX('Draft Pick Order'!E:U,MATCH(A146,'Draft Pick Order'!C:C,0),(Instructions!$E$11*2-15))</f>
        <v>12-8</v>
      </c>
    </row>
    <row r="147" spans="1:35" ht="15.75" customHeight="1" x14ac:dyDescent="0.25">
      <c r="A147" s="230">
        <v>141</v>
      </c>
      <c r="B147">
        <f>IFERROR(IF(INDEX(Draft!BY:BY,MATCH(ADP!D147,Draft!BY:BY,0))=ADP!D147,1,0),0)</f>
        <v>0</v>
      </c>
      <c r="C147" t="str">
        <f>IF(AND(IFERROR(INDEX(Instructions!$T$111:$T$222,MATCH(D147,Instructions!$T$111:$T$222,0)), "")=D147, D147&lt;&gt;""), "X", "")</f>
        <v/>
      </c>
      <c r="D147" s="454" t="s">
        <v>1198</v>
      </c>
      <c r="E147" s="232" t="s">
        <v>145</v>
      </c>
      <c r="F147" s="232" t="s">
        <v>6</v>
      </c>
      <c r="G147" s="383">
        <v>134.700042</v>
      </c>
      <c r="H147" s="455">
        <v>7.8</v>
      </c>
      <c r="I147" s="697"/>
      <c r="J147" s="687" t="s">
        <v>910</v>
      </c>
      <c r="K147" s="691"/>
      <c r="L147" s="687" t="s">
        <v>906</v>
      </c>
      <c r="M147" s="688"/>
      <c r="N147" s="234">
        <v>141</v>
      </c>
      <c r="O147" s="385" t="str">
        <f>F147&amp;COUNTIF($F$7:F147,F147)</f>
        <v>WR57</v>
      </c>
      <c r="P147" s="268">
        <f>VALUE('Draft Pick Order'!B143)</f>
        <v>211</v>
      </c>
      <c r="Q147" s="259">
        <f>COUNTIF(D$7:$F147,"QB")</f>
        <v>18</v>
      </c>
      <c r="R147" s="259">
        <f>COUNTIF($F$7:F147,"RB")</f>
        <v>52</v>
      </c>
      <c r="S147" s="259">
        <f>COUNTIF($F$7:F147,"WR")</f>
        <v>57</v>
      </c>
      <c r="T147" s="259">
        <f>COUNTIF($F$7:F147,"TE")</f>
        <v>13</v>
      </c>
      <c r="U147" s="259">
        <f>COUNTIF($F$7:F147,"DST")</f>
        <v>1</v>
      </c>
      <c r="V147" s="259">
        <f>COUNTIF($F$7:F147,"K")</f>
        <v>0</v>
      </c>
      <c r="X147" s="265">
        <v>141</v>
      </c>
      <c r="Y147" s="259" t="str">
        <f>IFERROR(INDEX(ADP_Import!A:A,MATCH(ADP!AB147,ADP_Import!AG:AG,0)),"")</f>
        <v>DAL</v>
      </c>
      <c r="Z147" s="259" t="str">
        <f>IFERROR(INDEX(ADP_Import!B:B,MATCH(ADP!AB147,ADP_Import!AG:AG,0)),"")</f>
        <v>DAL</v>
      </c>
      <c r="AA147" s="259" t="str">
        <f>IFERROR(INDEX(ADP_Import!C:C,MATCH(ADP!AB147,ADP_Import!AG:AG,0)),"")</f>
        <v>DST</v>
      </c>
      <c r="AB147" s="439">
        <f>IFERROR(INDEX(ADP_Import!AG:AG,MATCH(SMALL(ADP_Import!AG:AG,X147),ADP_Import!AG:AG,0)),"NA")</f>
        <v>135.30058200000002</v>
      </c>
      <c r="AC147" s="265">
        <f>IFERROR(INDEX(ADP_Import!$D:$AE,MATCH(AB147,ADP_Import!AG:AG,0),$AG$6),"")</f>
        <v>16.8</v>
      </c>
      <c r="AI147" t="str">
        <f>INDEX('Draft Pick Order'!E:U,MATCH(A147,'Draft Pick Order'!C:C,0),(Instructions!$E$11*2-15))</f>
        <v>12-9</v>
      </c>
    </row>
    <row r="148" spans="1:35" x14ac:dyDescent="0.25">
      <c r="A148" s="230">
        <v>142</v>
      </c>
      <c r="B148">
        <f>IFERROR(IF(INDEX(Draft!BY:BY,MATCH(ADP!D148,Draft!BY:BY,0))=ADP!D148,1,0),0)</f>
        <v>0</v>
      </c>
      <c r="C148" t="str">
        <f>IF(AND(IFERROR(INDEX(Instructions!$T$111:$T$222,MATCH(D148,Instructions!$T$111:$T$222,0)), "")=D148, D148&lt;&gt;""), "X", "")</f>
        <v/>
      </c>
      <c r="D148" s="454" t="s">
        <v>156</v>
      </c>
      <c r="E148" s="232" t="s">
        <v>156</v>
      </c>
      <c r="F148" s="232" t="s">
        <v>160</v>
      </c>
      <c r="G148" s="384">
        <v>136.500651</v>
      </c>
      <c r="H148" s="456">
        <v>14.8</v>
      </c>
      <c r="I148" s="697"/>
      <c r="J148" s="688"/>
      <c r="K148" s="691"/>
      <c r="L148" s="688"/>
      <c r="M148" s="688"/>
      <c r="N148" s="234">
        <v>142</v>
      </c>
      <c r="O148" s="385" t="str">
        <f>F148&amp;COUNTIF($F$7:F148,F148)</f>
        <v>DST2</v>
      </c>
      <c r="P148" s="268">
        <f>VALUE('Draft Pick Order'!B144)</f>
        <v>211</v>
      </c>
      <c r="Q148" s="259">
        <f>COUNTIF(D$7:$F148,"QB")</f>
        <v>18</v>
      </c>
      <c r="R148" s="259">
        <f>COUNTIF($F$7:F148,"RB")</f>
        <v>52</v>
      </c>
      <c r="S148" s="259">
        <f>COUNTIF($F$7:F148,"WR")</f>
        <v>57</v>
      </c>
      <c r="T148" s="259">
        <f>COUNTIF($F$7:F148,"TE")</f>
        <v>13</v>
      </c>
      <c r="U148" s="259">
        <f>COUNTIF($F$7:F148,"DST")</f>
        <v>2</v>
      </c>
      <c r="V148" s="259">
        <f>COUNTIF($F$7:F148,"K")</f>
        <v>0</v>
      </c>
      <c r="X148" s="265">
        <v>142</v>
      </c>
      <c r="Y148" s="259" t="str">
        <f>IFERROR(INDEX(ADP_Import!A:A,MATCH(ADP!AB148,ADP_Import!AG:AG,0)),"")</f>
        <v>Justin Tucker</v>
      </c>
      <c r="Z148" s="259" t="str">
        <f>IFERROR(INDEX(ADP_Import!B:B,MATCH(ADP!AB148,ADP_Import!AG:AG,0)),"")</f>
        <v>BAL</v>
      </c>
      <c r="AA148" s="259" t="str">
        <f>IFERROR(INDEX(ADP_Import!C:C,MATCH(ADP!AB148,ADP_Import!AG:AG,0)),"")</f>
        <v>K</v>
      </c>
      <c r="AB148" s="439">
        <f>IFERROR(INDEX(ADP_Import!AG:AG,MATCH(SMALL(ADP_Import!AG:AG,X148),ADP_Import!AG:AG,0)),"NA")</f>
        <v>135.500327</v>
      </c>
      <c r="AC148" s="265">
        <f>IFERROR(INDEX(ADP_Import!$D:$AE,MATCH(AB148,ADP_Import!AG:AG,0),$AG$6),"")</f>
        <v>17.899999999999999</v>
      </c>
      <c r="AI148" t="str">
        <f>INDEX('Draft Pick Order'!E:U,MATCH(A148,'Draft Pick Order'!C:C,0),(Instructions!$E$11*2-15))</f>
        <v>12-10</v>
      </c>
    </row>
    <row r="149" spans="1:35" x14ac:dyDescent="0.25">
      <c r="A149" s="230">
        <v>143</v>
      </c>
      <c r="B149">
        <f>IFERROR(IF(INDEX(Draft!BY:BY,MATCH(ADP!D149,Draft!BY:BY,0))=ADP!D149,1,0),0)</f>
        <v>0</v>
      </c>
      <c r="C149" t="str">
        <f>IF(AND(IFERROR(INDEX(Instructions!$T$111:$T$222,MATCH(D149,Instructions!$T$111:$T$222,0)), "")=D149, D149&lt;&gt;""), "X", "")</f>
        <v/>
      </c>
      <c r="D149" s="454" t="s">
        <v>2201</v>
      </c>
      <c r="E149" s="232" t="s">
        <v>2272</v>
      </c>
      <c r="F149" s="232" t="s">
        <v>6</v>
      </c>
      <c r="G149" s="383">
        <v>136.80013600000001</v>
      </c>
      <c r="H149" s="455">
        <v>6.2</v>
      </c>
      <c r="I149" s="697"/>
      <c r="J149" s="688"/>
      <c r="K149" s="691"/>
      <c r="L149" s="688"/>
      <c r="M149" s="688"/>
      <c r="N149" s="234">
        <v>143</v>
      </c>
      <c r="O149" s="385" t="str">
        <f>F149&amp;COUNTIF($F$7:F149,F149)</f>
        <v>WR58</v>
      </c>
      <c r="P149" s="268">
        <f>VALUE('Draft Pick Order'!B145)</f>
        <v>212</v>
      </c>
      <c r="Q149" s="259">
        <f>COUNTIF(D$7:$F149,"QB")</f>
        <v>18</v>
      </c>
      <c r="R149" s="259">
        <f>COUNTIF($F$7:F149,"RB")</f>
        <v>52</v>
      </c>
      <c r="S149" s="259">
        <f>COUNTIF($F$7:F149,"WR")</f>
        <v>58</v>
      </c>
      <c r="T149" s="259">
        <f>COUNTIF($F$7:F149,"TE")</f>
        <v>13</v>
      </c>
      <c r="U149" s="259">
        <f>COUNTIF($F$7:F149,"DST")</f>
        <v>2</v>
      </c>
      <c r="V149" s="259">
        <f>COUNTIF($F$7:F149,"K")</f>
        <v>0</v>
      </c>
      <c r="X149" s="265">
        <v>143</v>
      </c>
      <c r="Y149" s="259" t="str">
        <f>IFERROR(INDEX(ADP_Import!A:A,MATCH(ADP!AB149,ADP_Import!AG:AG,0)),"")</f>
        <v>BUF</v>
      </c>
      <c r="Z149" s="259" t="str">
        <f>IFERROR(INDEX(ADP_Import!B:B,MATCH(ADP!AB149,ADP_Import!AG:AG,0)),"")</f>
        <v>BUF</v>
      </c>
      <c r="AA149" s="259" t="str">
        <f>IFERROR(INDEX(ADP_Import!C:C,MATCH(ADP!AB149,ADP_Import!AG:AG,0)),"")</f>
        <v>DST</v>
      </c>
      <c r="AB149" s="439">
        <f>IFERROR(INDEX(ADP_Import!AG:AG,MATCH(SMALL(ADP_Import!AG:AG,X149),ADP_Import!AG:AG,0)),"NA")</f>
        <v>136.500651</v>
      </c>
      <c r="AC149" s="265">
        <f>IFERROR(INDEX(ADP_Import!$D:$AE,MATCH(AB149,ADP_Import!AG:AG,0),$AG$6),"")</f>
        <v>14.8</v>
      </c>
      <c r="AI149" t="str">
        <f>INDEX('Draft Pick Order'!E:U,MATCH(A149,'Draft Pick Order'!C:C,0),(Instructions!$E$11*2-15))</f>
        <v>12-11</v>
      </c>
    </row>
    <row r="150" spans="1:35" ht="15.75" thickBot="1" x14ac:dyDescent="0.3">
      <c r="A150" s="230">
        <v>144</v>
      </c>
      <c r="B150">
        <f>IFERROR(IF(INDEX(Draft!BY:BY,MATCH(ADP!D150,Draft!BY:BY,0))=ADP!D150,1,0),0)</f>
        <v>0</v>
      </c>
      <c r="C150" t="str">
        <f>IF(AND(IFERROR(INDEX(Instructions!$T$111:$T$222,MATCH(D150,Instructions!$T$111:$T$222,0)), "")=D150, D150&lt;&gt;""), "X", "")</f>
        <v/>
      </c>
      <c r="D150" s="454" t="s">
        <v>2407</v>
      </c>
      <c r="E150" s="232" t="s">
        <v>165</v>
      </c>
      <c r="F150" s="232" t="s">
        <v>3</v>
      </c>
      <c r="G150" s="384">
        <v>136.90009700000002</v>
      </c>
      <c r="H150" s="456">
        <v>13.6</v>
      </c>
      <c r="I150" s="698"/>
      <c r="J150" s="688"/>
      <c r="K150" s="692"/>
      <c r="L150" s="688"/>
      <c r="M150" s="689"/>
      <c r="N150" s="234">
        <v>144</v>
      </c>
      <c r="O150" s="385" t="str">
        <f>F150&amp;COUNTIF($F$7:F150,F150)</f>
        <v>RB53</v>
      </c>
      <c r="P150" s="268">
        <f>VALUE('Draft Pick Order'!B146)</f>
        <v>212</v>
      </c>
      <c r="Q150" s="259">
        <f>COUNTIF(D$7:$F150,"QB")</f>
        <v>18</v>
      </c>
      <c r="R150" s="259">
        <f>COUNTIF($F$7:F150,"RB")</f>
        <v>53</v>
      </c>
      <c r="S150" s="259">
        <f>COUNTIF($F$7:F150,"WR")</f>
        <v>58</v>
      </c>
      <c r="T150" s="259">
        <f>COUNTIF($F$7:F150,"TE")</f>
        <v>13</v>
      </c>
      <c r="U150" s="259">
        <f>COUNTIF($F$7:F150,"DST")</f>
        <v>2</v>
      </c>
      <c r="V150" s="259">
        <f>COUNTIF($F$7:F150,"K")</f>
        <v>0</v>
      </c>
      <c r="X150" s="265">
        <v>144</v>
      </c>
      <c r="Y150" s="259" t="str">
        <f>IFERROR(INDEX(ADP_Import!A:A,MATCH(ADP!AB150,ADP_Import!AG:AG,0)),"")</f>
        <v>Tank Bigsby</v>
      </c>
      <c r="Z150" s="259" t="str">
        <f>IFERROR(INDEX(ADP_Import!B:B,MATCH(ADP!AB150,ADP_Import!AG:AG,0)),"")</f>
        <v>JAC</v>
      </c>
      <c r="AA150" s="259" t="str">
        <f>IFERROR(INDEX(ADP_Import!C:C,MATCH(ADP!AB150,ADP_Import!AG:AG,0)),"")</f>
        <v>RB</v>
      </c>
      <c r="AB150" s="439">
        <f>IFERROR(INDEX(ADP_Import!AG:AG,MATCH(SMALL(ADP_Import!AG:AG,X150),ADP_Import!AG:AG,0)),"NA")</f>
        <v>137.80009700000002</v>
      </c>
      <c r="AC150" s="265">
        <f>IFERROR(INDEX(ADP_Import!$D:$AE,MATCH(AB150,ADP_Import!AG:AG,0),$AG$6),"")</f>
        <v>13.8</v>
      </c>
      <c r="AI150" t="str">
        <f>INDEX('Draft Pick Order'!E:U,MATCH(A150,'Draft Pick Order'!C:C,0),(Instructions!$E$11*2-15))</f>
        <v>12-12</v>
      </c>
    </row>
    <row r="151" spans="1:35" ht="15" customHeight="1" x14ac:dyDescent="0.25">
      <c r="A151" s="230">
        <v>145</v>
      </c>
      <c r="B151">
        <f>IFERROR(IF(INDEX(Draft!BY:BY,MATCH(ADP!D151,Draft!BY:BY,0))=ADP!D151,1,0),0)</f>
        <v>0</v>
      </c>
      <c r="C151" t="str">
        <f>IF(AND(IFERROR(INDEX(Instructions!$T$111:$T$222,MATCH(D151,Instructions!$T$111:$T$222,0)), "")=D151, D151&lt;&gt;""), "X", "")</f>
        <v/>
      </c>
      <c r="D151" s="454" t="s">
        <v>146</v>
      </c>
      <c r="E151" s="232" t="s">
        <v>146</v>
      </c>
      <c r="F151" s="232" t="s">
        <v>160</v>
      </c>
      <c r="G151" s="383">
        <v>137.30058200000002</v>
      </c>
      <c r="H151" s="455">
        <v>16.600000000000001</v>
      </c>
      <c r="I151" s="702" t="s">
        <v>1457</v>
      </c>
      <c r="J151" s="688"/>
      <c r="K151" s="687" t="s">
        <v>908</v>
      </c>
      <c r="L151" s="688"/>
      <c r="M151" s="690" t="s">
        <v>905</v>
      </c>
      <c r="N151" s="234">
        <v>145</v>
      </c>
      <c r="O151" s="385" t="str">
        <f>F151&amp;COUNTIF($F$7:F151,F151)</f>
        <v>DST3</v>
      </c>
      <c r="P151" s="268">
        <f>VALUE('Draft Pick Order'!B147)</f>
        <v>212</v>
      </c>
      <c r="Q151" s="259">
        <f>COUNTIF(D$7:$F151,"QB")</f>
        <v>18</v>
      </c>
      <c r="R151" s="259">
        <f>COUNTIF($F$7:F151,"RB")</f>
        <v>53</v>
      </c>
      <c r="S151" s="259">
        <f>COUNTIF($F$7:F151,"WR")</f>
        <v>58</v>
      </c>
      <c r="T151" s="259">
        <f>COUNTIF($F$7:F151,"TE")</f>
        <v>13</v>
      </c>
      <c r="U151" s="259">
        <f>COUNTIF($F$7:F151,"DST")</f>
        <v>3</v>
      </c>
      <c r="V151" s="259">
        <f>COUNTIF($F$7:F151,"K")</f>
        <v>0</v>
      </c>
      <c r="X151" s="265">
        <v>145</v>
      </c>
      <c r="Y151" s="259" t="str">
        <f>IFERROR(INDEX(ADP_Import!A:A,MATCH(ADP!AB151,ADP_Import!AG:AG,0)),"")</f>
        <v>DOnta Foreman</v>
      </c>
      <c r="Z151" s="259" t="str">
        <f>IFERROR(INDEX(ADP_Import!B:B,MATCH(ADP!AB151,ADP_Import!AG:AG,0)),"")</f>
        <v>CHI</v>
      </c>
      <c r="AA151" s="259" t="str">
        <f>IFERROR(INDEX(ADP_Import!C:C,MATCH(ADP!AB151,ADP_Import!AG:AG,0)),"")</f>
        <v>RB</v>
      </c>
      <c r="AB151" s="439">
        <f>IFERROR(INDEX(ADP_Import!AG:AG,MATCH(SMALL(ADP_Import!AG:AG,X151),ADP_Import!AG:AG,0)),"NA")</f>
        <v>137.90050500000001</v>
      </c>
      <c r="AC151" s="265">
        <f>IFERROR(INDEX(ADP_Import!$D:$AE,MATCH(AB151,ADP_Import!AG:AG,0),$AG$6),"")</f>
        <v>11.9</v>
      </c>
      <c r="AI151" t="str">
        <f>INDEX('Draft Pick Order'!E:U,MATCH(A151,'Draft Pick Order'!C:C,0),(Instructions!$E$11*2-15))</f>
        <v>13-1</v>
      </c>
    </row>
    <row r="152" spans="1:35" x14ac:dyDescent="0.25">
      <c r="A152" s="230">
        <v>146</v>
      </c>
      <c r="B152">
        <f>IFERROR(IF(INDEX(Draft!BY:BY,MATCH(ADP!D152,Draft!BY:BY,0))=ADP!D152,1,0),0)</f>
        <v>0</v>
      </c>
      <c r="C152" t="str">
        <f>IF(AND(IFERROR(INDEX(Instructions!$T$111:$T$222,MATCH(D152,Instructions!$T$111:$T$222,0)), "")=D152, D152&lt;&gt;""), "X", "")</f>
        <v/>
      </c>
      <c r="D152" s="454" t="s">
        <v>19</v>
      </c>
      <c r="E152" s="232" t="s">
        <v>162</v>
      </c>
      <c r="F152" s="232" t="s">
        <v>11</v>
      </c>
      <c r="G152" s="384">
        <v>138.400327</v>
      </c>
      <c r="H152" s="456">
        <v>17.399999999999999</v>
      </c>
      <c r="I152" s="703"/>
      <c r="J152" s="688"/>
      <c r="K152" s="688"/>
      <c r="L152" s="688"/>
      <c r="M152" s="691"/>
      <c r="N152" s="234">
        <v>146</v>
      </c>
      <c r="O152" s="385" t="str">
        <f>F152&amp;COUNTIF($F$7:F152,F152)</f>
        <v>K1</v>
      </c>
      <c r="P152" s="268">
        <f>VALUE('Draft Pick Order'!B148)</f>
        <v>213</v>
      </c>
      <c r="Q152" s="259">
        <f>COUNTIF(D$7:$F152,"QB")</f>
        <v>18</v>
      </c>
      <c r="R152" s="259">
        <f>COUNTIF($F$7:F152,"RB")</f>
        <v>53</v>
      </c>
      <c r="S152" s="259">
        <f>COUNTIF($F$7:F152,"WR")</f>
        <v>58</v>
      </c>
      <c r="T152" s="259">
        <f>COUNTIF($F$7:F152,"TE")</f>
        <v>13</v>
      </c>
      <c r="U152" s="259">
        <f>COUNTIF($F$7:F152,"DST")</f>
        <v>3</v>
      </c>
      <c r="V152" s="259">
        <f>COUNTIF($F$7:F152,"K")</f>
        <v>1</v>
      </c>
      <c r="X152" s="265">
        <v>146</v>
      </c>
      <c r="Y152" s="259" t="str">
        <f>IFERROR(INDEX(ADP_Import!A:A,MATCH(ADP!AB152,ADP_Import!AG:AG,0)),"")</f>
        <v>PHI</v>
      </c>
      <c r="Z152" s="259" t="str">
        <f>IFERROR(INDEX(ADP_Import!B:B,MATCH(ADP!AB152,ADP_Import!AG:AG,0)),"")</f>
        <v>PHI</v>
      </c>
      <c r="AA152" s="259" t="str">
        <f>IFERROR(INDEX(ADP_Import!C:C,MATCH(ADP!AB152,ADP_Import!AG:AG,0)),"")</f>
        <v>DST</v>
      </c>
      <c r="AB152" s="439">
        <f>IFERROR(INDEX(ADP_Import!AG:AG,MATCH(SMALL(ADP_Import!AG:AG,X152),ADP_Import!AG:AG,0)),"NA")</f>
        <v>139.20017099999998</v>
      </c>
      <c r="AC152" s="265">
        <f>IFERROR(INDEX(ADP_Import!$D:$AE,MATCH(AB152,ADP_Import!AG:AG,0),$AG$6),"")</f>
        <v>16.7</v>
      </c>
      <c r="AI152" t="str">
        <f>INDEX('Draft Pick Order'!E:U,MATCH(A152,'Draft Pick Order'!C:C,0),(Instructions!$E$11*2-15))</f>
        <v>13-2</v>
      </c>
    </row>
    <row r="153" spans="1:35" x14ac:dyDescent="0.25">
      <c r="A153" s="230">
        <v>147</v>
      </c>
      <c r="B153">
        <f>IFERROR(IF(INDEX(Draft!BY:BY,MATCH(ADP!D153,Draft!BY:BY,0))=ADP!D153,1,0),0)</f>
        <v>0</v>
      </c>
      <c r="C153" t="str">
        <f>IF(AND(IFERROR(INDEX(Instructions!$T$111:$T$222,MATCH(D153,Instructions!$T$111:$T$222,0)), "")=D153, D153&lt;&gt;""), "X", "")</f>
        <v/>
      </c>
      <c r="D153" s="454" t="s">
        <v>2105</v>
      </c>
      <c r="E153" s="232" t="s">
        <v>141</v>
      </c>
      <c r="F153" s="232" t="s">
        <v>7</v>
      </c>
      <c r="G153" s="383">
        <v>139.000596</v>
      </c>
      <c r="H153" s="455">
        <v>15.7</v>
      </c>
      <c r="I153" s="703"/>
      <c r="J153" s="688"/>
      <c r="K153" s="688"/>
      <c r="L153" s="688"/>
      <c r="M153" s="691"/>
      <c r="N153" s="234">
        <v>147</v>
      </c>
      <c r="O153" s="385" t="str">
        <f>F153&amp;COUNTIF($F$7:F153,F153)</f>
        <v>TE14</v>
      </c>
      <c r="P153" s="268">
        <f>VALUE('Draft Pick Order'!B149)</f>
        <v>213</v>
      </c>
      <c r="Q153" s="259">
        <f>COUNTIF(D$7:$F153,"QB")</f>
        <v>18</v>
      </c>
      <c r="R153" s="259">
        <f>COUNTIF($F$7:F153,"RB")</f>
        <v>53</v>
      </c>
      <c r="S153" s="259">
        <f>COUNTIF($F$7:F153,"WR")</f>
        <v>58</v>
      </c>
      <c r="T153" s="259">
        <f>COUNTIF($F$7:F153,"TE")</f>
        <v>14</v>
      </c>
      <c r="U153" s="259">
        <f>COUNTIF($F$7:F153,"DST")</f>
        <v>3</v>
      </c>
      <c r="V153" s="259">
        <f>COUNTIF($F$7:F153,"K")</f>
        <v>1</v>
      </c>
      <c r="X153" s="265">
        <v>147</v>
      </c>
      <c r="Y153" s="259" t="str">
        <f>IFERROR(INDEX(ADP_Import!A:A,MATCH(ADP!AB153,ADP_Import!AG:AG,0)),"")</f>
        <v>Cole Kmet</v>
      </c>
      <c r="Z153" s="259" t="str">
        <f>IFERROR(INDEX(ADP_Import!B:B,MATCH(ADP!AB153,ADP_Import!AG:AG,0)),"")</f>
        <v>CHI</v>
      </c>
      <c r="AA153" s="259" t="str">
        <f>IFERROR(INDEX(ADP_Import!C:C,MATCH(ADP!AB153,ADP_Import!AG:AG,0)),"")</f>
        <v>TE</v>
      </c>
      <c r="AB153" s="439">
        <f>IFERROR(INDEX(ADP_Import!AG:AG,MATCH(SMALL(ADP_Import!AG:AG,X153),ADP_Import!AG:AG,0)),"NA")</f>
        <v>140.90059600000001</v>
      </c>
      <c r="AC153" s="265">
        <f>IFERROR(INDEX(ADP_Import!$D:$AE,MATCH(AB153,ADP_Import!AG:AG,0),$AG$6),"")</f>
        <v>19.399999999999999</v>
      </c>
      <c r="AI153" t="str">
        <f>INDEX('Draft Pick Order'!E:U,MATCH(A153,'Draft Pick Order'!C:C,0),(Instructions!$E$11*2-15))</f>
        <v>13-3</v>
      </c>
    </row>
    <row r="154" spans="1:35" x14ac:dyDescent="0.25">
      <c r="A154" s="230">
        <v>148</v>
      </c>
      <c r="B154">
        <f>IFERROR(IF(INDEX(Draft!BY:BY,MATCH(ADP!D154,Draft!BY:BY,0))=ADP!D154,1,0),0)</f>
        <v>0</v>
      </c>
      <c r="C154" t="str">
        <f>IF(AND(IFERROR(INDEX(Instructions!$T$111:$T$222,MATCH(D154,Instructions!$T$111:$T$222,0)), "")=D154, D154&lt;&gt;""), "X", "")</f>
        <v/>
      </c>
      <c r="D154" s="454" t="s">
        <v>137</v>
      </c>
      <c r="E154" s="232" t="s">
        <v>137</v>
      </c>
      <c r="F154" s="232" t="s">
        <v>160</v>
      </c>
      <c r="G154" s="384">
        <v>141.70017099999998</v>
      </c>
      <c r="H154" s="456">
        <v>15.6</v>
      </c>
      <c r="I154" s="703"/>
      <c r="J154" s="688"/>
      <c r="K154" s="688"/>
      <c r="L154" s="688"/>
      <c r="M154" s="691"/>
      <c r="N154" s="234">
        <v>148</v>
      </c>
      <c r="O154" s="385" t="str">
        <f>F154&amp;COUNTIF($F$7:F154,F154)</f>
        <v>DST4</v>
      </c>
      <c r="P154" s="268">
        <f>VALUE('Draft Pick Order'!B150)</f>
        <v>213</v>
      </c>
      <c r="Q154" s="259">
        <f>COUNTIF(D$7:$F154,"QB")</f>
        <v>18</v>
      </c>
      <c r="R154" s="259">
        <f>COUNTIF($F$7:F154,"RB")</f>
        <v>53</v>
      </c>
      <c r="S154" s="259">
        <f>COUNTIF($F$7:F154,"WR")</f>
        <v>58</v>
      </c>
      <c r="T154" s="259">
        <f>COUNTIF($F$7:F154,"TE")</f>
        <v>14</v>
      </c>
      <c r="U154" s="259">
        <f>COUNTIF($F$7:F154,"DST")</f>
        <v>4</v>
      </c>
      <c r="V154" s="259">
        <f>COUNTIF($F$7:F154,"K")</f>
        <v>1</v>
      </c>
      <c r="X154" s="265">
        <v>148</v>
      </c>
      <c r="Y154" s="259" t="str">
        <f>IFERROR(INDEX(ADP_Import!A:A,MATCH(ADP!AB154,ADP_Import!AG:AG,0)),"")</f>
        <v>Chigoziem Okonkwo</v>
      </c>
      <c r="Z154" s="259" t="str">
        <f>IFERROR(INDEX(ADP_Import!B:B,MATCH(ADP!AB154,ADP_Import!AG:AG,0)),"")</f>
        <v>TEN</v>
      </c>
      <c r="AA154" s="259" t="str">
        <f>IFERROR(INDEX(ADP_Import!C:C,MATCH(ADP!AB154,ADP_Import!AG:AG,0)),"")</f>
        <v>TE</v>
      </c>
      <c r="AB154" s="439">
        <f>IFERROR(INDEX(ADP_Import!AG:AG,MATCH(SMALL(ADP_Import!AG:AG,X154),ADP_Import!AG:AG,0)),"NA")</f>
        <v>141.300624</v>
      </c>
      <c r="AC154" s="265">
        <f>IFERROR(INDEX(ADP_Import!$D:$AE,MATCH(AB154,ADP_Import!AG:AG,0),$AG$6),"")</f>
        <v>17.600000000000001</v>
      </c>
      <c r="AI154" t="str">
        <f>INDEX('Draft Pick Order'!E:U,MATCH(A154,'Draft Pick Order'!C:C,0),(Instructions!$E$11*2-15))</f>
        <v>13-4</v>
      </c>
    </row>
    <row r="155" spans="1:35" x14ac:dyDescent="0.25">
      <c r="A155" s="230">
        <v>149</v>
      </c>
      <c r="B155">
        <f>IFERROR(IF(INDEX(Draft!BY:BY,MATCH(ADP!D155,Draft!BY:BY,0))=ADP!D155,1,0),0)</f>
        <v>0</v>
      </c>
      <c r="C155" t="str">
        <f>IF(AND(IFERROR(INDEX(Instructions!$T$111:$T$222,MATCH(D155,Instructions!$T$111:$T$222,0)), "")=D155, D155&lt;&gt;""), "X", "")</f>
        <v/>
      </c>
      <c r="D155" s="454" t="s">
        <v>1855</v>
      </c>
      <c r="E155" s="232" t="s">
        <v>2272</v>
      </c>
      <c r="F155" s="232" t="s">
        <v>1</v>
      </c>
      <c r="G155" s="383">
        <v>141.80027600000003</v>
      </c>
      <c r="H155" s="455">
        <v>17.899999999999999</v>
      </c>
      <c r="I155" s="703"/>
      <c r="J155" s="688"/>
      <c r="K155" s="688"/>
      <c r="L155" s="688"/>
      <c r="M155" s="691"/>
      <c r="N155" s="234">
        <v>149</v>
      </c>
      <c r="O155" s="385" t="str">
        <f>F155&amp;COUNTIF($F$7:F155,F155)</f>
        <v>QB19</v>
      </c>
      <c r="P155" s="268">
        <f>VALUE('Draft Pick Order'!B151)</f>
        <v>213</v>
      </c>
      <c r="Q155" s="259">
        <f>COUNTIF(D$7:$F155,"QB")</f>
        <v>19</v>
      </c>
      <c r="R155" s="259">
        <f>COUNTIF($F$7:F155,"RB")</f>
        <v>53</v>
      </c>
      <c r="S155" s="259">
        <f>COUNTIF($F$7:F155,"WR")</f>
        <v>58</v>
      </c>
      <c r="T155" s="259">
        <f>COUNTIF($F$7:F155,"TE")</f>
        <v>14</v>
      </c>
      <c r="U155" s="259">
        <f>COUNTIF($F$7:F155,"DST")</f>
        <v>4</v>
      </c>
      <c r="V155" s="259">
        <f>COUNTIF($F$7:F155,"K")</f>
        <v>1</v>
      </c>
      <c r="X155" s="265">
        <v>149</v>
      </c>
      <c r="Y155" s="259" t="str">
        <f>IFERROR(INDEX(ADP_Import!A:A,MATCH(ADP!AB155,ADP_Import!AG:AG,0)),"")</f>
        <v>DJ Chark</v>
      </c>
      <c r="Z155" s="259" t="str">
        <f>IFERROR(INDEX(ADP_Import!B:B,MATCH(ADP!AB155,ADP_Import!AG:AG,0)),"")</f>
        <v>CAR</v>
      </c>
      <c r="AA155" s="259" t="str">
        <f>IFERROR(INDEX(ADP_Import!C:C,MATCH(ADP!AB155,ADP_Import!AG:AG,0)),"")</f>
        <v>WR</v>
      </c>
      <c r="AB155" s="439">
        <f>IFERROR(INDEX(ADP_Import!AG:AG,MATCH(SMALL(ADP_Import!AG:AG,X155),ADP_Import!AG:AG,0)),"NA")</f>
        <v>142.90051099999999</v>
      </c>
      <c r="AC155" s="265">
        <f>IFERROR(INDEX(ADP_Import!$D:$AE,MATCH(AB155,ADP_Import!AG:AG,0),$AG$6),"")</f>
        <v>13.2</v>
      </c>
      <c r="AI155" t="str">
        <f>INDEX('Draft Pick Order'!E:U,MATCH(A155,'Draft Pick Order'!C:C,0),(Instructions!$E$11*2-15))</f>
        <v>13-5</v>
      </c>
    </row>
    <row r="156" spans="1:35" ht="15" customHeight="1" thickBot="1" x14ac:dyDescent="0.3">
      <c r="A156" s="230">
        <v>150</v>
      </c>
      <c r="B156">
        <f>IFERROR(IF(INDEX(Draft!BY:BY,MATCH(ADP!D156,Draft!BY:BY,0))=ADP!D156,1,0),0)</f>
        <v>0</v>
      </c>
      <c r="C156" t="str">
        <f>IF(AND(IFERROR(INDEX(Instructions!$T$111:$T$222,MATCH(D156,Instructions!$T$111:$T$222,0)), "")=D156, D156&lt;&gt;""), "X", "")</f>
        <v/>
      </c>
      <c r="D156" s="454" t="s">
        <v>1884</v>
      </c>
      <c r="E156" s="232" t="s">
        <v>2073</v>
      </c>
      <c r="F156" s="232" t="s">
        <v>6</v>
      </c>
      <c r="G156" s="384">
        <v>142.00044199999999</v>
      </c>
      <c r="H156" s="456">
        <v>12.5</v>
      </c>
      <c r="I156" s="703"/>
      <c r="J156" s="689"/>
      <c r="K156" s="688"/>
      <c r="L156" s="688"/>
      <c r="M156" s="691"/>
      <c r="N156" s="234">
        <v>150</v>
      </c>
      <c r="O156" s="385" t="str">
        <f>F156&amp;COUNTIF($F$7:F156,F156)</f>
        <v>WR59</v>
      </c>
      <c r="P156" s="268">
        <f>VALUE('Draft Pick Order'!B152)</f>
        <v>213</v>
      </c>
      <c r="Q156" s="259">
        <f>COUNTIF(D$7:$F156,"QB")</f>
        <v>19</v>
      </c>
      <c r="R156" s="259">
        <f>COUNTIF($F$7:F156,"RB")</f>
        <v>53</v>
      </c>
      <c r="S156" s="259">
        <f>COUNTIF($F$7:F156,"WR")</f>
        <v>59</v>
      </c>
      <c r="T156" s="259">
        <f>COUNTIF($F$7:F156,"TE")</f>
        <v>14</v>
      </c>
      <c r="U156" s="259">
        <f>COUNTIF($F$7:F156,"DST")</f>
        <v>4</v>
      </c>
      <c r="V156" s="259">
        <f>COUNTIF($F$7:F156,"K")</f>
        <v>1</v>
      </c>
      <c r="X156" s="265">
        <v>150</v>
      </c>
      <c r="Y156" s="259" t="str">
        <f>IFERROR(INDEX(ADP_Import!A:A,MATCH(ADP!AB156,ADP_Import!AG:AG,0)),"")</f>
        <v>Daniel Carlson</v>
      </c>
      <c r="Z156" s="259" t="str">
        <f>IFERROR(INDEX(ADP_Import!B:B,MATCH(ADP!AB156,ADP_Import!AG:AG,0)),"")</f>
        <v>LV</v>
      </c>
      <c r="AA156" s="259" t="str">
        <f>IFERROR(INDEX(ADP_Import!C:C,MATCH(ADP!AB156,ADP_Import!AG:AG,0)),"")</f>
        <v>K</v>
      </c>
      <c r="AB156" s="439">
        <f>IFERROR(INDEX(ADP_Import!AG:AG,MATCH(SMALL(ADP_Import!AG:AG,X156),ADP_Import!AG:AG,0)),"NA")</f>
        <v>144.20057</v>
      </c>
      <c r="AC156" s="265">
        <f>IFERROR(INDEX(ADP_Import!$D:$AE,MATCH(AB156,ADP_Import!AG:AG,0),$AG$6),"")</f>
        <v>15.5</v>
      </c>
      <c r="AI156" t="str">
        <f>INDEX('Draft Pick Order'!E:U,MATCH(A156,'Draft Pick Order'!C:C,0),(Instructions!$E$11*2-15))</f>
        <v>13-6</v>
      </c>
    </row>
    <row r="157" spans="1:35" x14ac:dyDescent="0.25">
      <c r="A157" s="230">
        <v>151</v>
      </c>
      <c r="B157">
        <f>IFERROR(IF(INDEX(Draft!BY:BY,MATCH(ADP!D157,Draft!BY:BY,0))=ADP!D157,1,0),0)</f>
        <v>0</v>
      </c>
      <c r="C157" t="str">
        <f>IF(AND(IFERROR(INDEX(Instructions!$T$111:$T$222,MATCH(D157,Instructions!$T$111:$T$222,0)), "")=D157, D157&lt;&gt;""), "X", "")</f>
        <v/>
      </c>
      <c r="D157" s="454" t="s">
        <v>1819</v>
      </c>
      <c r="E157" s="232" t="s">
        <v>2073</v>
      </c>
      <c r="F157" s="232" t="s">
        <v>11</v>
      </c>
      <c r="G157" s="383">
        <v>143.30057000000002</v>
      </c>
      <c r="H157" s="455">
        <v>23.2</v>
      </c>
      <c r="I157" s="703"/>
      <c r="J157" s="690" t="s">
        <v>1086</v>
      </c>
      <c r="K157" s="688"/>
      <c r="L157" s="688"/>
      <c r="M157" s="691"/>
      <c r="N157" s="234">
        <v>151</v>
      </c>
      <c r="O157" s="385" t="str">
        <f>F157&amp;COUNTIF($F$7:F157,F157)</f>
        <v>K2</v>
      </c>
      <c r="P157" s="268">
        <f>VALUE('Draft Pick Order'!B153)</f>
        <v>213</v>
      </c>
      <c r="Q157" s="259">
        <f>COUNTIF(D$7:$F157,"QB")</f>
        <v>19</v>
      </c>
      <c r="R157" s="259">
        <f>COUNTIF($F$7:F157,"RB")</f>
        <v>53</v>
      </c>
      <c r="S157" s="259">
        <f>COUNTIF($F$7:F157,"WR")</f>
        <v>59</v>
      </c>
      <c r="T157" s="259">
        <f>COUNTIF($F$7:F157,"TE")</f>
        <v>14</v>
      </c>
      <c r="U157" s="259">
        <f>COUNTIF($F$7:F157,"DST")</f>
        <v>4</v>
      </c>
      <c r="V157" s="259">
        <f>COUNTIF($F$7:F157,"K")</f>
        <v>2</v>
      </c>
      <c r="X157" s="265">
        <v>151</v>
      </c>
      <c r="Y157" s="259" t="str">
        <f>IFERROR(INDEX(ADP_Import!A:A,MATCH(ADP!AB157,ADP_Import!AG:AG,0)),"")</f>
        <v>Tyler Bass</v>
      </c>
      <c r="Z157" s="259" t="str">
        <f>IFERROR(INDEX(ADP_Import!B:B,MATCH(ADP!AB157,ADP_Import!AG:AG,0)),"")</f>
        <v>BUF</v>
      </c>
      <c r="AA157" s="259" t="str">
        <f>IFERROR(INDEX(ADP_Import!C:C,MATCH(ADP!AB157,ADP_Import!AG:AG,0)),"")</f>
        <v>K</v>
      </c>
      <c r="AB157" s="439">
        <f>IFERROR(INDEX(ADP_Import!AG:AG,MATCH(SMALL(ADP_Import!AG:AG,X157),ADP_Import!AG:AG,0)),"NA")</f>
        <v>144.30004300000002</v>
      </c>
      <c r="AC157" s="265">
        <f>IFERROR(INDEX(ADP_Import!$D:$AE,MATCH(AB157,ADP_Import!AG:AG,0),$AG$6),"")</f>
        <v>16.2</v>
      </c>
      <c r="AI157" t="str">
        <f>INDEX('Draft Pick Order'!E:U,MATCH(A157,'Draft Pick Order'!C:C,0),(Instructions!$E$11*2-15))</f>
        <v>13-7</v>
      </c>
    </row>
    <row r="158" spans="1:35" ht="15.75" thickBot="1" x14ac:dyDescent="0.3">
      <c r="A158" s="230">
        <v>152</v>
      </c>
      <c r="B158">
        <f>IFERROR(IF(INDEX(Draft!BY:BY,MATCH(ADP!D158,Draft!BY:BY,0))=ADP!D158,1,0),0)</f>
        <v>0</v>
      </c>
      <c r="C158" t="str">
        <f>IF(AND(IFERROR(INDEX(Instructions!$T$111:$T$222,MATCH(D158,Instructions!$T$111:$T$222,0)), "")=D158, D158&lt;&gt;""), "X", "")</f>
        <v/>
      </c>
      <c r="D158" s="454" t="s">
        <v>2121</v>
      </c>
      <c r="E158" s="232" t="s">
        <v>156</v>
      </c>
      <c r="F158" s="232" t="s">
        <v>11</v>
      </c>
      <c r="G158" s="384">
        <v>143.40004300000001</v>
      </c>
      <c r="H158" s="456">
        <v>22.2</v>
      </c>
      <c r="I158" s="704"/>
      <c r="J158" s="691"/>
      <c r="K158" s="688"/>
      <c r="L158" s="688"/>
      <c r="M158" s="691"/>
      <c r="N158" s="234">
        <v>152</v>
      </c>
      <c r="O158" s="385" t="str">
        <f>F158&amp;COUNTIF($F$7:F158,F158)</f>
        <v>K3</v>
      </c>
      <c r="P158" s="268">
        <f>VALUE('Draft Pick Order'!B154)</f>
        <v>213</v>
      </c>
      <c r="Q158" s="259">
        <f>COUNTIF(D$7:$F158,"QB")</f>
        <v>19</v>
      </c>
      <c r="R158" s="259">
        <f>COUNTIF($F$7:F158,"RB")</f>
        <v>53</v>
      </c>
      <c r="S158" s="259">
        <f>COUNTIF($F$7:F158,"WR")</f>
        <v>59</v>
      </c>
      <c r="T158" s="259">
        <f>COUNTIF($F$7:F158,"TE")</f>
        <v>14</v>
      </c>
      <c r="U158" s="259">
        <f>COUNTIF($F$7:F158,"DST")</f>
        <v>4</v>
      </c>
      <c r="V158" s="259">
        <f>COUNTIF($F$7:F158,"K")</f>
        <v>3</v>
      </c>
      <c r="X158" s="265">
        <v>152</v>
      </c>
      <c r="Y158" s="259" t="str">
        <f>IFERROR(INDEX(ADP_Import!A:A,MATCH(ADP!AB158,ADP_Import!AG:AG,0)),"")</f>
        <v>Michael Gallup</v>
      </c>
      <c r="Z158" s="259" t="str">
        <f>IFERROR(INDEX(ADP_Import!B:B,MATCH(ADP!AB158,ADP_Import!AG:AG,0)),"")</f>
        <v>DAL</v>
      </c>
      <c r="AA158" s="259" t="str">
        <f>IFERROR(INDEX(ADP_Import!C:C,MATCH(ADP!AB158,ADP_Import!AG:AG,0)),"")</f>
        <v>WR</v>
      </c>
      <c r="AB158" s="439">
        <f>IFERROR(INDEX(ADP_Import!AG:AG,MATCH(SMALL(ADP_Import!AG:AG,X158),ADP_Import!AG:AG,0)),"NA")</f>
        <v>144.60022799999999</v>
      </c>
      <c r="AC158" s="265">
        <f>IFERROR(INDEX(ADP_Import!$D:$AE,MATCH(AB158,ADP_Import!AG:AG,0),$AG$6),"")</f>
        <v>11.3</v>
      </c>
      <c r="AI158" t="str">
        <f>INDEX('Draft Pick Order'!E:U,MATCH(A158,'Draft Pick Order'!C:C,0),(Instructions!$E$11*2-15))</f>
        <v>13-8</v>
      </c>
    </row>
    <row r="159" spans="1:35" x14ac:dyDescent="0.25">
      <c r="A159" s="230">
        <v>153</v>
      </c>
      <c r="B159">
        <f>IFERROR(IF(INDEX(Draft!BY:BY,MATCH(ADP!D159,Draft!BY:BY,0))=ADP!D159,1,0),0)</f>
        <v>0</v>
      </c>
      <c r="C159" t="str">
        <f>IF(AND(IFERROR(INDEX(Instructions!$T$111:$T$222,MATCH(D159,Instructions!$T$111:$T$222,0)), "")=D159, D159&lt;&gt;""), "X", "")</f>
        <v/>
      </c>
      <c r="D159" s="454" t="s">
        <v>1754</v>
      </c>
      <c r="E159" s="232" t="s">
        <v>136</v>
      </c>
      <c r="F159" s="232" t="s">
        <v>11</v>
      </c>
      <c r="G159" s="383">
        <v>144.60045199999999</v>
      </c>
      <c r="H159" s="455">
        <v>18.5</v>
      </c>
      <c r="I159" s="696" t="s">
        <v>1458</v>
      </c>
      <c r="J159" s="691"/>
      <c r="K159" s="688"/>
      <c r="L159" s="688"/>
      <c r="M159" s="691"/>
      <c r="N159" s="234">
        <v>153</v>
      </c>
      <c r="O159" s="385" t="str">
        <f>F159&amp;COUNTIF($F$7:F159,F159)</f>
        <v>K4</v>
      </c>
      <c r="P159" s="268">
        <f>VALUE('Draft Pick Order'!B155)</f>
        <v>213</v>
      </c>
      <c r="Q159" s="259">
        <f>COUNTIF(D$7:$F159,"QB")</f>
        <v>19</v>
      </c>
      <c r="R159" s="259">
        <f>COUNTIF($F$7:F159,"RB")</f>
        <v>53</v>
      </c>
      <c r="S159" s="259">
        <f>COUNTIF($F$7:F159,"WR")</f>
        <v>59</v>
      </c>
      <c r="T159" s="259">
        <f>COUNTIF($F$7:F159,"TE")</f>
        <v>14</v>
      </c>
      <c r="U159" s="259">
        <f>COUNTIF($F$7:F159,"DST")</f>
        <v>4</v>
      </c>
      <c r="V159" s="259">
        <f>COUNTIF($F$7:F159,"K")</f>
        <v>4</v>
      </c>
      <c r="X159" s="265">
        <v>153</v>
      </c>
      <c r="Y159" s="259" t="str">
        <f>IFERROR(INDEX(ADP_Import!A:A,MATCH(ADP!AB159,ADP_Import!AG:AG,0)),"")</f>
        <v>Derek Carr</v>
      </c>
      <c r="Z159" s="259" t="str">
        <f>IFERROR(INDEX(ADP_Import!B:B,MATCH(ADP!AB159,ADP_Import!AG:AG,0)),"")</f>
        <v>NO</v>
      </c>
      <c r="AA159" s="259" t="str">
        <f>IFERROR(INDEX(ADP_Import!C:C,MATCH(ADP!AB159,ADP_Import!AG:AG,0)),"")</f>
        <v>QB</v>
      </c>
      <c r="AB159" s="439">
        <f>IFERROR(INDEX(ADP_Import!AG:AG,MATCH(SMALL(ADP_Import!AG:AG,X159),ADP_Import!AG:AG,0)),"NA")</f>
        <v>144.90053</v>
      </c>
      <c r="AC159" s="265">
        <f>IFERROR(INDEX(ADP_Import!$D:$AE,MATCH(AB159,ADP_Import!AG:AG,0),$AG$6),"")</f>
        <v>18.5</v>
      </c>
      <c r="AI159" t="str">
        <f>INDEX('Draft Pick Order'!E:U,MATCH(A159,'Draft Pick Order'!C:C,0),(Instructions!$E$11*2-15))</f>
        <v>13-9</v>
      </c>
    </row>
    <row r="160" spans="1:35" ht="15.75" thickBot="1" x14ac:dyDescent="0.3">
      <c r="A160" s="230">
        <v>154</v>
      </c>
      <c r="B160">
        <f>IFERROR(IF(INDEX(Draft!BY:BY,MATCH(ADP!D160,Draft!BY:BY,0))=ADP!D160,1,0),0)</f>
        <v>0</v>
      </c>
      <c r="C160" t="str">
        <f>IF(AND(IFERROR(INDEX(Instructions!$T$111:$T$222,MATCH(D160,Instructions!$T$111:$T$222,0)), "")=D160, D160&lt;&gt;""), "X", "")</f>
        <v/>
      </c>
      <c r="D160" s="454" t="s">
        <v>1413</v>
      </c>
      <c r="E160" s="232" t="s">
        <v>165</v>
      </c>
      <c r="F160" s="232" t="s">
        <v>6</v>
      </c>
      <c r="G160" s="384">
        <v>146.20000199999998</v>
      </c>
      <c r="H160" s="456">
        <v>13.7</v>
      </c>
      <c r="I160" s="697"/>
      <c r="J160" s="691"/>
      <c r="K160" s="688"/>
      <c r="L160" s="689"/>
      <c r="M160" s="691"/>
      <c r="N160" s="234">
        <v>154</v>
      </c>
      <c r="O160" s="385" t="str">
        <f>F160&amp;COUNTIF($F$7:F160,F160)</f>
        <v>WR60</v>
      </c>
      <c r="P160" s="268">
        <f>VALUE('Draft Pick Order'!B156)</f>
        <v>213</v>
      </c>
      <c r="Q160" s="259">
        <f>COUNTIF(D$7:$F160,"QB")</f>
        <v>19</v>
      </c>
      <c r="R160" s="259">
        <f>COUNTIF($F$7:F160,"RB")</f>
        <v>53</v>
      </c>
      <c r="S160" s="259">
        <f>COUNTIF($F$7:F160,"WR")</f>
        <v>60</v>
      </c>
      <c r="T160" s="259">
        <f>COUNTIF($F$7:F160,"TE")</f>
        <v>14</v>
      </c>
      <c r="U160" s="259">
        <f>COUNTIF($F$7:F160,"DST")</f>
        <v>4</v>
      </c>
      <c r="V160" s="259">
        <f>COUNTIF($F$7:F160,"K")</f>
        <v>4</v>
      </c>
      <c r="X160" s="265">
        <v>154</v>
      </c>
      <c r="Y160" s="259" t="str">
        <f>IFERROR(INDEX(ADP_Import!A:A,MATCH(ADP!AB160,ADP_Import!AG:AG,0)),"")</f>
        <v>Harrison Butker</v>
      </c>
      <c r="Z160" s="259" t="str">
        <f>IFERROR(INDEX(ADP_Import!B:B,MATCH(ADP!AB160,ADP_Import!AG:AG,0)),"")</f>
        <v>KC</v>
      </c>
      <c r="AA160" s="259" t="str">
        <f>IFERROR(INDEX(ADP_Import!C:C,MATCH(ADP!AB160,ADP_Import!AG:AG,0)),"")</f>
        <v>K</v>
      </c>
      <c r="AB160" s="439">
        <f>IFERROR(INDEX(ADP_Import!AG:AG,MATCH(SMALL(ADP_Import!AG:AG,X160),ADP_Import!AG:AG,0)),"NA")</f>
        <v>146.10045199999999</v>
      </c>
      <c r="AC160" s="265">
        <f>IFERROR(INDEX(ADP_Import!$D:$AE,MATCH(AB160,ADP_Import!AG:AG,0),$AG$6),"")</f>
        <v>17.100000000000001</v>
      </c>
      <c r="AI160" t="str">
        <f>INDEX('Draft Pick Order'!E:U,MATCH(A160,'Draft Pick Order'!C:C,0),(Instructions!$E$11*2-15))</f>
        <v>13-10</v>
      </c>
    </row>
    <row r="161" spans="1:35" x14ac:dyDescent="0.25">
      <c r="A161" s="230">
        <v>155</v>
      </c>
      <c r="B161">
        <f>IFERROR(IF(INDEX(Draft!BY:BY,MATCH(ADP!D161,Draft!BY:BY,0))=ADP!D161,1,0),0)</f>
        <v>0</v>
      </c>
      <c r="C161" t="str">
        <f>IF(AND(IFERROR(INDEX(Instructions!$T$111:$T$222,MATCH(D161,Instructions!$T$111:$T$222,0)), "")=D161, D161&lt;&gt;""), "X", "")</f>
        <v/>
      </c>
      <c r="D161" s="454" t="s">
        <v>2503</v>
      </c>
      <c r="E161" s="232" t="s">
        <v>156</v>
      </c>
      <c r="F161" s="232" t="s">
        <v>7</v>
      </c>
      <c r="G161" s="383">
        <v>147.70057899999998</v>
      </c>
      <c r="H161" s="455">
        <v>19.600000000000001</v>
      </c>
      <c r="I161" s="697"/>
      <c r="J161" s="691"/>
      <c r="K161" s="688"/>
      <c r="L161" s="690" t="s">
        <v>907</v>
      </c>
      <c r="M161" s="691"/>
      <c r="N161" s="234">
        <v>155</v>
      </c>
      <c r="O161" s="385" t="str">
        <f>F161&amp;COUNTIF($F$7:F161,F161)</f>
        <v>TE15</v>
      </c>
      <c r="P161" s="268">
        <f>VALUE('Draft Pick Order'!B157)</f>
        <v>213</v>
      </c>
      <c r="Q161" s="259">
        <f>COUNTIF(D$7:$F161,"QB")</f>
        <v>19</v>
      </c>
      <c r="R161" s="259">
        <f>COUNTIF($F$7:F161,"RB")</f>
        <v>53</v>
      </c>
      <c r="S161" s="259">
        <f>COUNTIF($F$7:F161,"WR")</f>
        <v>60</v>
      </c>
      <c r="T161" s="259">
        <f>COUNTIF($F$7:F161,"TE")</f>
        <v>15</v>
      </c>
      <c r="U161" s="259">
        <f>COUNTIF($F$7:F161,"DST")</f>
        <v>4</v>
      </c>
      <c r="V161" s="259">
        <f>COUNTIF($F$7:F161,"K")</f>
        <v>4</v>
      </c>
      <c r="X161" s="265">
        <v>155</v>
      </c>
      <c r="Y161" s="259" t="str">
        <f>IFERROR(INDEX(ADP_Import!A:A,MATCH(ADP!AB161,ADP_Import!AG:AG,0)),"")</f>
        <v>Zamir White</v>
      </c>
      <c r="Z161" s="259" t="str">
        <f>IFERROR(INDEX(ADP_Import!B:B,MATCH(ADP!AB161,ADP_Import!AG:AG,0)),"")</f>
        <v>LV</v>
      </c>
      <c r="AA161" s="259" t="str">
        <f>IFERROR(INDEX(ADP_Import!C:C,MATCH(ADP!AB161,ADP_Import!AG:AG,0)),"")</f>
        <v>RB</v>
      </c>
      <c r="AB161" s="439">
        <f>IFERROR(INDEX(ADP_Import!AG:AG,MATCH(SMALL(ADP_Import!AG:AG,X161),ADP_Import!AG:AG,0)),"NA")</f>
        <v>147.40000600000002</v>
      </c>
      <c r="AC161" s="265">
        <f>IFERROR(INDEX(ADP_Import!$D:$AE,MATCH(AB161,ADP_Import!AG:AG,0),$AG$6),"")</f>
        <v>14</v>
      </c>
      <c r="AI161" t="str">
        <f>INDEX('Draft Pick Order'!E:U,MATCH(A161,'Draft Pick Order'!C:C,0),(Instructions!$E$11*2-15))</f>
        <v>13-11</v>
      </c>
    </row>
    <row r="162" spans="1:35" ht="15.75" thickBot="1" x14ac:dyDescent="0.3">
      <c r="A162" s="230">
        <v>156</v>
      </c>
      <c r="B162">
        <f>IFERROR(IF(INDEX(Draft!BY:BY,MATCH(ADP!D162,Draft!BY:BY,0))=ADP!D162,1,0),0)</f>
        <v>0</v>
      </c>
      <c r="C162" t="str">
        <f>IF(AND(IFERROR(INDEX(Instructions!$T$111:$T$222,MATCH(D162,Instructions!$T$111:$T$222,0)), "")=D162, D162&lt;&gt;""), "X", "")</f>
        <v/>
      </c>
      <c r="D162" s="454" t="s">
        <v>2335</v>
      </c>
      <c r="E162" s="232" t="s">
        <v>139</v>
      </c>
      <c r="F162" s="232" t="s">
        <v>6</v>
      </c>
      <c r="G162" s="384">
        <v>148.00013799999999</v>
      </c>
      <c r="H162" s="456">
        <v>16.7</v>
      </c>
      <c r="I162" s="697"/>
      <c r="J162" s="691"/>
      <c r="K162" s="689"/>
      <c r="L162" s="691"/>
      <c r="M162" s="691"/>
      <c r="N162" s="234">
        <v>156</v>
      </c>
      <c r="O162" s="385" t="str">
        <f>F162&amp;COUNTIF($F$7:F162,F162)</f>
        <v>WR61</v>
      </c>
      <c r="P162" s="268">
        <f>VALUE('Draft Pick Order'!B158)</f>
        <v>213</v>
      </c>
      <c r="Q162" s="259">
        <f>COUNTIF(D$7:$F162,"QB")</f>
        <v>19</v>
      </c>
      <c r="R162" s="259">
        <f>COUNTIF($F$7:F162,"RB")</f>
        <v>53</v>
      </c>
      <c r="S162" s="259">
        <f>COUNTIF($F$7:F162,"WR")</f>
        <v>61</v>
      </c>
      <c r="T162" s="259">
        <f>COUNTIF($F$7:F162,"TE")</f>
        <v>15</v>
      </c>
      <c r="U162" s="259">
        <f>COUNTIF($F$7:F162,"DST")</f>
        <v>4</v>
      </c>
      <c r="V162" s="259">
        <f>COUNTIF($F$7:F162,"K")</f>
        <v>4</v>
      </c>
      <c r="X162" s="265">
        <v>156</v>
      </c>
      <c r="Y162" s="259" t="str">
        <f>IFERROR(INDEX(ADP_Import!A:A,MATCH(ADP!AB162,ADP_Import!AG:AG,0)),"")</f>
        <v>NE</v>
      </c>
      <c r="Z162" s="259" t="str">
        <f>IFERROR(INDEX(ADP_Import!B:B,MATCH(ADP!AB162,ADP_Import!AG:AG,0)),"")</f>
        <v>NE</v>
      </c>
      <c r="AA162" s="259" t="str">
        <f>IFERROR(INDEX(ADP_Import!C:C,MATCH(ADP!AB162,ADP_Import!AG:AG,0)),"")</f>
        <v>DST</v>
      </c>
      <c r="AB162" s="439">
        <f>IFERROR(INDEX(ADP_Import!AG:AG,MATCH(SMALL(ADP_Import!AG:AG,X162),ADP_Import!AG:AG,0)),"NA")</f>
        <v>149.400203</v>
      </c>
      <c r="AC162" s="265">
        <f>IFERROR(INDEX(ADP_Import!$D:$AE,MATCH(AB162,ADP_Import!AG:AG,0),$AG$6),"")</f>
        <v>14.9</v>
      </c>
      <c r="AI162" t="str">
        <f>INDEX('Draft Pick Order'!E:U,MATCH(A162,'Draft Pick Order'!C:C,0),(Instructions!$E$11*2-15))</f>
        <v>13-12</v>
      </c>
    </row>
    <row r="163" spans="1:35" ht="15" customHeight="1" x14ac:dyDescent="0.25">
      <c r="A163" s="230">
        <v>157</v>
      </c>
      <c r="B163">
        <f>IFERROR(IF(INDEX(Draft!BY:BY,MATCH(ADP!D163,Draft!BY:BY,0))=ADP!D163,1,0),0)</f>
        <v>0</v>
      </c>
      <c r="C163" t="str">
        <f>IF(AND(IFERROR(INDEX(Instructions!$T$111:$T$222,MATCH(D163,Instructions!$T$111:$T$222,0)), "")=D163, D163&lt;&gt;""), "X", "")</f>
        <v/>
      </c>
      <c r="D163" s="454" t="s">
        <v>176</v>
      </c>
      <c r="E163" s="232" t="s">
        <v>143</v>
      </c>
      <c r="F163" s="232" t="s">
        <v>1</v>
      </c>
      <c r="G163" s="383">
        <v>148.10052999999999</v>
      </c>
      <c r="H163" s="455">
        <v>18.399999999999999</v>
      </c>
      <c r="I163" s="697"/>
      <c r="J163" s="691"/>
      <c r="K163" s="690" t="s">
        <v>909</v>
      </c>
      <c r="L163" s="691"/>
      <c r="M163" s="691"/>
      <c r="N163" s="234">
        <v>157</v>
      </c>
      <c r="O163" s="385" t="str">
        <f>F163&amp;COUNTIF($F$7:F163,F163)</f>
        <v>QB20</v>
      </c>
      <c r="P163" s="268">
        <f>VALUE('Draft Pick Order'!B159)</f>
        <v>213</v>
      </c>
      <c r="Q163" s="259">
        <f>COUNTIF(D$7:$F163,"QB")</f>
        <v>20</v>
      </c>
      <c r="R163" s="259">
        <f>COUNTIF($F$7:F163,"RB")</f>
        <v>53</v>
      </c>
      <c r="S163" s="259">
        <f>COUNTIF($F$7:F163,"WR")</f>
        <v>61</v>
      </c>
      <c r="T163" s="259">
        <f>COUNTIF($F$7:F163,"TE")</f>
        <v>15</v>
      </c>
      <c r="U163" s="259">
        <f>COUNTIF($F$7:F163,"DST")</f>
        <v>4</v>
      </c>
      <c r="V163" s="259">
        <f>COUNTIF($F$7:F163,"K")</f>
        <v>4</v>
      </c>
      <c r="X163" s="265">
        <v>157</v>
      </c>
      <c r="Y163" s="259" t="str">
        <f>IFERROR(INDEX(ADP_Import!A:A,MATCH(ADP!AB163,ADP_Import!AG:AG,0)),"")</f>
        <v>Nick Folk</v>
      </c>
      <c r="Z163" s="259" t="str">
        <f>IFERROR(INDEX(ADP_Import!B:B,MATCH(ADP!AB163,ADP_Import!AG:AG,0)),"")</f>
        <v>NE</v>
      </c>
      <c r="AA163" s="259" t="str">
        <f>IFERROR(INDEX(ADP_Import!C:C,MATCH(ADP!AB163,ADP_Import!AG:AG,0)),"")</f>
        <v>K</v>
      </c>
      <c r="AB163" s="439">
        <f>IFERROR(INDEX(ADP_Import!AG:AG,MATCH(SMALL(ADP_Import!AG:AG,X163),ADP_Import!AG:AG,0)),"NA")</f>
        <v>149.80019900000002</v>
      </c>
      <c r="AC163" s="265">
        <f>IFERROR(INDEX(ADP_Import!$D:$AE,MATCH(AB163,ADP_Import!AG:AG,0),$AG$6),"")</f>
        <v>14.8</v>
      </c>
      <c r="AI163" t="str">
        <f>INDEX('Draft Pick Order'!E:U,MATCH(A163,'Draft Pick Order'!C:C,0),(Instructions!$E$11*2-15))</f>
        <v>14-1</v>
      </c>
    </row>
    <row r="164" spans="1:35" x14ac:dyDescent="0.25">
      <c r="A164" s="230">
        <v>158</v>
      </c>
      <c r="B164">
        <f>IFERROR(IF(INDEX(Draft!BY:BY,MATCH(ADP!D164,Draft!BY:BY,0))=ADP!D164,1,0),0)</f>
        <v>0</v>
      </c>
      <c r="C164" t="str">
        <f>IF(AND(IFERROR(INDEX(Instructions!$T$111:$T$222,MATCH(D164,Instructions!$T$111:$T$222,0)), "")=D164, D164&lt;&gt;""), "X", "")</f>
        <v/>
      </c>
      <c r="D164" s="454" t="s">
        <v>2098</v>
      </c>
      <c r="E164" s="232" t="s">
        <v>148</v>
      </c>
      <c r="F164" s="232" t="s">
        <v>11</v>
      </c>
      <c r="G164" s="384">
        <v>148.70001499999998</v>
      </c>
      <c r="H164" s="456">
        <v>17.2</v>
      </c>
      <c r="I164" s="697"/>
      <c r="J164" s="691"/>
      <c r="K164" s="691"/>
      <c r="L164" s="691"/>
      <c r="M164" s="691"/>
      <c r="N164" s="234">
        <v>158</v>
      </c>
      <c r="O164" s="385" t="str">
        <f>F164&amp;COUNTIF($F$7:F164,F164)</f>
        <v>K5</v>
      </c>
      <c r="P164" s="268">
        <f>VALUE('Draft Pick Order'!B160)</f>
        <v>213</v>
      </c>
      <c r="Q164" s="259">
        <f>COUNTIF(D$7:$F164,"QB")</f>
        <v>20</v>
      </c>
      <c r="R164" s="259">
        <f>COUNTIF($F$7:F164,"RB")</f>
        <v>53</v>
      </c>
      <c r="S164" s="259">
        <f>COUNTIF($F$7:F164,"WR")</f>
        <v>61</v>
      </c>
      <c r="T164" s="259">
        <f>COUNTIF($F$7:F164,"TE")</f>
        <v>15</v>
      </c>
      <c r="U164" s="259">
        <f>COUNTIF($F$7:F164,"DST")</f>
        <v>4</v>
      </c>
      <c r="V164" s="259">
        <f>COUNTIF($F$7:F164,"K")</f>
        <v>5</v>
      </c>
      <c r="X164" s="265">
        <v>158</v>
      </c>
      <c r="Y164" s="259" t="str">
        <f>IFERROR(INDEX(ADP_Import!A:A,MATCH(ADP!AB164,ADP_Import!AG:AG,0)),"")</f>
        <v>Dalton Kincaid</v>
      </c>
      <c r="Z164" s="259" t="str">
        <f>IFERROR(INDEX(ADP_Import!B:B,MATCH(ADP!AB164,ADP_Import!AG:AG,0)),"")</f>
        <v>BUF</v>
      </c>
      <c r="AA164" s="259" t="str">
        <f>IFERROR(INDEX(ADP_Import!C:C,MATCH(ADP!AB164,ADP_Import!AG:AG,0)),"")</f>
        <v>TE</v>
      </c>
      <c r="AB164" s="439">
        <f>IFERROR(INDEX(ADP_Import!AG:AG,MATCH(SMALL(ADP_Import!AG:AG,X164),ADP_Import!AG:AG,0)),"NA")</f>
        <v>149.800579</v>
      </c>
      <c r="AC164" s="265">
        <f>IFERROR(INDEX(ADP_Import!$D:$AE,MATCH(AB164,ADP_Import!AG:AG,0),$AG$6),"")</f>
        <v>19.7</v>
      </c>
      <c r="AI164" t="str">
        <f>INDEX('Draft Pick Order'!E:U,MATCH(A164,'Draft Pick Order'!C:C,0),(Instructions!$E$11*2-15))</f>
        <v>14-2</v>
      </c>
    </row>
    <row r="165" spans="1:35" x14ac:dyDescent="0.25">
      <c r="A165" s="230">
        <v>159</v>
      </c>
      <c r="B165">
        <f>IFERROR(IF(INDEX(Draft!BY:BY,MATCH(ADP!D165,Draft!BY:BY,0))=ADP!D165,1,0),0)</f>
        <v>0</v>
      </c>
      <c r="C165" t="str">
        <f>IF(AND(IFERROR(INDEX(Instructions!$T$111:$T$222,MATCH(D165,Instructions!$T$111:$T$222,0)), "")=D165, D165&lt;&gt;""), "X", "")</f>
        <v/>
      </c>
      <c r="D165" s="454" t="s">
        <v>144</v>
      </c>
      <c r="E165" s="232" t="s">
        <v>144</v>
      </c>
      <c r="F165" s="232" t="s">
        <v>160</v>
      </c>
      <c r="G165" s="383">
        <v>150.00053600000001</v>
      </c>
      <c r="H165" s="455">
        <v>16.600000000000001</v>
      </c>
      <c r="I165" s="697"/>
      <c r="J165" s="691"/>
      <c r="K165" s="691"/>
      <c r="L165" s="691"/>
      <c r="M165" s="691"/>
      <c r="N165" s="234">
        <v>159</v>
      </c>
      <c r="O165" s="385" t="str">
        <f>F165&amp;COUNTIF($F$7:F165,F165)</f>
        <v>DST5</v>
      </c>
      <c r="P165" s="268">
        <f>VALUE('Draft Pick Order'!B161)</f>
        <v>213</v>
      </c>
      <c r="Q165" s="259">
        <f>COUNTIF(D$7:$F165,"QB")</f>
        <v>20</v>
      </c>
      <c r="R165" s="259">
        <f>COUNTIF($F$7:F165,"RB")</f>
        <v>53</v>
      </c>
      <c r="S165" s="259">
        <f>COUNTIF($F$7:F165,"WR")</f>
        <v>61</v>
      </c>
      <c r="T165" s="259">
        <f>COUNTIF($F$7:F165,"TE")</f>
        <v>15</v>
      </c>
      <c r="U165" s="259">
        <f>COUNTIF($F$7:F165,"DST")</f>
        <v>5</v>
      </c>
      <c r="V165" s="259">
        <f>COUNTIF($F$7:F165,"K")</f>
        <v>5</v>
      </c>
      <c r="X165" s="265">
        <v>159</v>
      </c>
      <c r="Y165" s="259" t="str">
        <f>IFERROR(INDEX(ADP_Import!A:A,MATCH(ADP!AB165,ADP_Import!AG:AG,0)),"")</f>
        <v>NO</v>
      </c>
      <c r="Z165" s="259" t="str">
        <f>IFERROR(INDEX(ADP_Import!B:B,MATCH(ADP!AB165,ADP_Import!AG:AG,0)),"")</f>
        <v>NO</v>
      </c>
      <c r="AA165" s="259" t="str">
        <f>IFERROR(INDEX(ADP_Import!C:C,MATCH(ADP!AB165,ADP_Import!AG:AG,0)),"")</f>
        <v>DST</v>
      </c>
      <c r="AB165" s="439">
        <f>IFERROR(INDEX(ADP_Import!AG:AG,MATCH(SMALL(ADP_Import!AG:AG,X165),ADP_Import!AG:AG,0)),"NA")</f>
        <v>151.900193</v>
      </c>
      <c r="AC165" s="265">
        <f>IFERROR(INDEX(ADP_Import!$D:$AE,MATCH(AB165,ADP_Import!AG:AG,0),$AG$6),"")</f>
        <v>17.8</v>
      </c>
      <c r="AI165" t="str">
        <f>INDEX('Draft Pick Order'!E:U,MATCH(A165,'Draft Pick Order'!C:C,0),(Instructions!$E$11*2-15))</f>
        <v>14-3</v>
      </c>
    </row>
    <row r="166" spans="1:35" ht="15.75" thickBot="1" x14ac:dyDescent="0.3">
      <c r="A166" s="230">
        <v>160</v>
      </c>
      <c r="B166">
        <f>IFERROR(IF(INDEX(Draft!BY:BY,MATCH(ADP!D166,Draft!BY:BY,0))=ADP!D166,1,0),0)</f>
        <v>0</v>
      </c>
      <c r="C166" t="str">
        <f>IF(AND(IFERROR(INDEX(Instructions!$T$111:$T$222,MATCH(D166,Instructions!$T$111:$T$222,0)), "")=D166, D166&lt;&gt;""), "X", "")</f>
        <v/>
      </c>
      <c r="D166" s="454" t="s">
        <v>2179</v>
      </c>
      <c r="E166" s="232" t="s">
        <v>159</v>
      </c>
      <c r="F166" s="232" t="s">
        <v>3</v>
      </c>
      <c r="G166" s="384">
        <v>151.50061099999999</v>
      </c>
      <c r="H166" s="456">
        <v>14.6</v>
      </c>
      <c r="I166" s="698"/>
      <c r="J166" s="692"/>
      <c r="K166" s="691"/>
      <c r="L166" s="691"/>
      <c r="M166" s="692"/>
      <c r="N166" s="234">
        <v>160</v>
      </c>
      <c r="O166" s="385" t="str">
        <f>F166&amp;COUNTIF($F$7:F166,F166)</f>
        <v>RB54</v>
      </c>
      <c r="P166" s="268">
        <f>VALUE('Draft Pick Order'!B162)</f>
        <v>213</v>
      </c>
      <c r="Q166" s="259">
        <f>COUNTIF(D$7:$F166,"QB")</f>
        <v>20</v>
      </c>
      <c r="R166" s="259">
        <f>COUNTIF($F$7:F166,"RB")</f>
        <v>54</v>
      </c>
      <c r="S166" s="259">
        <f>COUNTIF($F$7:F166,"WR")</f>
        <v>61</v>
      </c>
      <c r="T166" s="259">
        <f>COUNTIF($F$7:F166,"TE")</f>
        <v>15</v>
      </c>
      <c r="U166" s="259">
        <f>COUNTIF($F$7:F166,"DST")</f>
        <v>5</v>
      </c>
      <c r="V166" s="259">
        <f>COUNTIF($F$7:F166,"K")</f>
        <v>5</v>
      </c>
      <c r="X166" s="265">
        <v>160</v>
      </c>
      <c r="Y166" s="259" t="str">
        <f>IFERROR(INDEX(ADP_Import!A:A,MATCH(ADP!AB166,ADP_Import!AG:AG,0)),"")</f>
        <v>Matthew Stafford</v>
      </c>
      <c r="Z166" s="259" t="str">
        <f>IFERROR(INDEX(ADP_Import!B:B,MATCH(ADP!AB166,ADP_Import!AG:AG,0)),"")</f>
        <v>LAR</v>
      </c>
      <c r="AA166" s="259" t="str">
        <f>IFERROR(INDEX(ADP_Import!C:C,MATCH(ADP!AB166,ADP_Import!AG:AG,0)),"")</f>
        <v>QB</v>
      </c>
      <c r="AB166" s="439">
        <f>IFERROR(INDEX(ADP_Import!AG:AG,MATCH(SMALL(ADP_Import!AG:AG,X166),ADP_Import!AG:AG,0)),"NA")</f>
        <v>152.100236</v>
      </c>
      <c r="AC166" s="265">
        <f>IFERROR(INDEX(ADP_Import!$D:$AE,MATCH(AB166,ADP_Import!AG:AG,0),$AG$6),"")</f>
        <v>16.5</v>
      </c>
      <c r="AI166" t="str">
        <f>INDEX('Draft Pick Order'!E:U,MATCH(A166,'Draft Pick Order'!C:C,0),(Instructions!$E$11*2-15))</f>
        <v>14-4</v>
      </c>
    </row>
    <row r="167" spans="1:35" ht="15" customHeight="1" x14ac:dyDescent="0.25">
      <c r="A167" s="230">
        <v>161</v>
      </c>
      <c r="B167">
        <f>IFERROR(IF(INDEX(Draft!BY:BY,MATCH(ADP!D167,Draft!BY:BY,0))=ADP!D167,1,0),0)</f>
        <v>0</v>
      </c>
      <c r="C167" t="str">
        <f>IF(AND(IFERROR(INDEX(Instructions!$T$111:$T$222,MATCH(D167,Instructions!$T$111:$T$222,0)), "")=D167, D167&lt;&gt;""), "X", "")</f>
        <v/>
      </c>
      <c r="D167" s="454" t="s">
        <v>2269</v>
      </c>
      <c r="E167" s="232" t="s">
        <v>145</v>
      </c>
      <c r="F167" s="232" t="s">
        <v>11</v>
      </c>
      <c r="G167" s="383">
        <v>151.80048000000002</v>
      </c>
      <c r="H167" s="455">
        <v>17.3</v>
      </c>
      <c r="I167" s="702" t="s">
        <v>1459</v>
      </c>
      <c r="J167" s="687" t="s">
        <v>1455</v>
      </c>
      <c r="K167" s="691"/>
      <c r="L167" s="691"/>
      <c r="M167" s="687" t="s">
        <v>906</v>
      </c>
      <c r="N167" s="234">
        <v>161</v>
      </c>
      <c r="O167" s="385" t="str">
        <f>F167&amp;COUNTIF($F$7:F167,F167)</f>
        <v>K6</v>
      </c>
      <c r="P167" s="268">
        <f>VALUE('Draft Pick Order'!B163)</f>
        <v>213</v>
      </c>
      <c r="Q167" s="259">
        <f>COUNTIF(D$7:$F167,"QB")</f>
        <v>20</v>
      </c>
      <c r="R167" s="259">
        <f>COUNTIF($F$7:F167,"RB")</f>
        <v>54</v>
      </c>
      <c r="S167" s="259">
        <f>COUNTIF($F$7:F167,"WR")</f>
        <v>61</v>
      </c>
      <c r="T167" s="259">
        <f>COUNTIF($F$7:F167,"TE")</f>
        <v>15</v>
      </c>
      <c r="U167" s="259">
        <f>COUNTIF($F$7:F167,"DST")</f>
        <v>5</v>
      </c>
      <c r="V167" s="259">
        <f>COUNTIF($F$7:F167,"K")</f>
        <v>6</v>
      </c>
      <c r="X167" s="265">
        <v>161</v>
      </c>
      <c r="Y167" s="259" t="str">
        <f>IFERROR(INDEX(ADP_Import!A:A,MATCH(ADP!AB167,ADP_Import!AG:AG,0)),"")</f>
        <v>DEN</v>
      </c>
      <c r="Z167" s="259" t="str">
        <f>IFERROR(INDEX(ADP_Import!B:B,MATCH(ADP!AB167,ADP_Import!AG:AG,0)),"")</f>
        <v>DEN</v>
      </c>
      <c r="AA167" s="259" t="str">
        <f>IFERROR(INDEX(ADP_Import!C:C,MATCH(ADP!AB167,ADP_Import!AG:AG,0)),"")</f>
        <v>DST</v>
      </c>
      <c r="AB167" s="439">
        <f>IFERROR(INDEX(ADP_Import!AG:AG,MATCH(SMALL(ADP_Import!AG:AG,X167),ADP_Import!AG:AG,0)),"NA")</f>
        <v>152.10053600000001</v>
      </c>
      <c r="AC167" s="265">
        <f>IFERROR(INDEX(ADP_Import!$D:$AE,MATCH(AB167,ADP_Import!AG:AG,0),$AG$6),"")</f>
        <v>15.5</v>
      </c>
      <c r="AI167" t="str">
        <f>INDEX('Draft Pick Order'!E:U,MATCH(A167,'Draft Pick Order'!C:C,0),(Instructions!$E$11*2-15))</f>
        <v>14-5</v>
      </c>
    </row>
    <row r="168" spans="1:35" x14ac:dyDescent="0.25">
      <c r="A168" s="230">
        <v>162</v>
      </c>
      <c r="B168">
        <f>IFERROR(IF(INDEX(Draft!BY:BY,MATCH(ADP!D168,Draft!BY:BY,0))=ADP!D168,1,0),0)</f>
        <v>0</v>
      </c>
      <c r="C168" t="str">
        <f>IF(AND(IFERROR(INDEX(Instructions!$T$111:$T$222,MATCH(D168,Instructions!$T$111:$T$222,0)), "")=D168, D168&lt;&gt;""), "X", "")</f>
        <v/>
      </c>
      <c r="D168" s="454" t="s">
        <v>1443</v>
      </c>
      <c r="E168" s="232" t="s">
        <v>137</v>
      </c>
      <c r="F168" s="232" t="s">
        <v>11</v>
      </c>
      <c r="G168" s="384">
        <v>152.10042199999998</v>
      </c>
      <c r="H168" s="456">
        <v>17.5</v>
      </c>
      <c r="I168" s="703"/>
      <c r="J168" s="688"/>
      <c r="K168" s="691"/>
      <c r="L168" s="691"/>
      <c r="M168" s="688"/>
      <c r="N168" s="234">
        <v>162</v>
      </c>
      <c r="O168" s="385" t="str">
        <f>F168&amp;COUNTIF($F$7:F168,F168)</f>
        <v>K7</v>
      </c>
      <c r="P168" s="268">
        <f>VALUE('Draft Pick Order'!B164)</f>
        <v>213</v>
      </c>
      <c r="Q168" s="259">
        <f>COUNTIF(D$7:$F168,"QB")</f>
        <v>20</v>
      </c>
      <c r="R168" s="259">
        <f>COUNTIF($F$7:F168,"RB")</f>
        <v>54</v>
      </c>
      <c r="S168" s="259">
        <f>COUNTIF($F$7:F168,"WR")</f>
        <v>61</v>
      </c>
      <c r="T168" s="259">
        <f>COUNTIF($F$7:F168,"TE")</f>
        <v>15</v>
      </c>
      <c r="U168" s="259">
        <f>COUNTIF($F$7:F168,"DST")</f>
        <v>5</v>
      </c>
      <c r="V168" s="259">
        <f>COUNTIF($F$7:F168,"K")</f>
        <v>7</v>
      </c>
      <c r="X168" s="265">
        <v>162</v>
      </c>
      <c r="Y168" s="259" t="str">
        <f>IFERROR(INDEX(ADP_Import!A:A,MATCH(ADP!AB168,ADP_Import!AG:AG,0)),"")</f>
        <v>Younghoe Koo</v>
      </c>
      <c r="Z168" s="259" t="str">
        <f>IFERROR(INDEX(ADP_Import!B:B,MATCH(ADP!AB168,ADP_Import!AG:AG,0)),"")</f>
        <v>ATL</v>
      </c>
      <c r="AA168" s="259" t="str">
        <f>IFERROR(INDEX(ADP_Import!C:C,MATCH(ADP!AB168,ADP_Import!AG:AG,0)),"")</f>
        <v>K</v>
      </c>
      <c r="AB168" s="439">
        <f>IFERROR(INDEX(ADP_Import!AG:AG,MATCH(SMALL(ADP_Import!AG:AG,X168),ADP_Import!AG:AG,0)),"NA")</f>
        <v>152.50001499999999</v>
      </c>
      <c r="AC168" s="265">
        <f>IFERROR(INDEX(ADP_Import!$D:$AE,MATCH(AB168,ADP_Import!AG:AG,0),$AG$6),"")</f>
        <v>14.1</v>
      </c>
      <c r="AI168" t="str">
        <f>INDEX('Draft Pick Order'!E:U,MATCH(A168,'Draft Pick Order'!C:C,0),(Instructions!$E$11*2-15))</f>
        <v>14-6</v>
      </c>
    </row>
    <row r="169" spans="1:35" x14ac:dyDescent="0.25">
      <c r="A169" s="230">
        <v>163</v>
      </c>
      <c r="B169">
        <f>IFERROR(IF(INDEX(Draft!BY:BY,MATCH(ADP!D169,Draft!BY:BY,0))=ADP!D169,1,0),0)</f>
        <v>0</v>
      </c>
      <c r="C169" t="str">
        <f>IF(AND(IFERROR(INDEX(Instructions!$T$111:$T$222,MATCH(D169,Instructions!$T$111:$T$222,0)), "")=D169, D169&lt;&gt;""), "X", "")</f>
        <v/>
      </c>
      <c r="D169" s="454" t="s">
        <v>157</v>
      </c>
      <c r="E169" s="232" t="s">
        <v>157</v>
      </c>
      <c r="F169" s="232" t="s">
        <v>160</v>
      </c>
      <c r="G169" s="383">
        <v>152.60020299999999</v>
      </c>
      <c r="H169" s="455">
        <v>16.5</v>
      </c>
      <c r="I169" s="703"/>
      <c r="J169" s="688"/>
      <c r="K169" s="691"/>
      <c r="L169" s="691"/>
      <c r="M169" s="688"/>
      <c r="N169" s="234">
        <v>163</v>
      </c>
      <c r="O169" s="385" t="str">
        <f>F169&amp;COUNTIF($F$7:F169,F169)</f>
        <v>DST6</v>
      </c>
      <c r="P169" s="268">
        <f>VALUE('Draft Pick Order'!B165)</f>
        <v>213</v>
      </c>
      <c r="Q169" s="259">
        <f>COUNTIF(D$7:$F169,"QB")</f>
        <v>20</v>
      </c>
      <c r="R169" s="259">
        <f>COUNTIF($F$7:F169,"RB")</f>
        <v>54</v>
      </c>
      <c r="S169" s="259">
        <f>COUNTIF($F$7:F169,"WR")</f>
        <v>61</v>
      </c>
      <c r="T169" s="259">
        <f>COUNTIF($F$7:F169,"TE")</f>
        <v>15</v>
      </c>
      <c r="U169" s="259">
        <f>COUNTIF($F$7:F169,"DST")</f>
        <v>6</v>
      </c>
      <c r="V169" s="259">
        <f>COUNTIF($F$7:F169,"K")</f>
        <v>7</v>
      </c>
      <c r="X169" s="265">
        <v>163</v>
      </c>
      <c r="Y169" s="259" t="str">
        <f>IFERROR(INDEX(ADP_Import!A:A,MATCH(ADP!AB169,ADP_Import!AG:AG,0)),"")</f>
        <v>BAL</v>
      </c>
      <c r="Z169" s="259" t="str">
        <f>IFERROR(INDEX(ADP_Import!B:B,MATCH(ADP!AB169,ADP_Import!AG:AG,0)),"")</f>
        <v>BAL</v>
      </c>
      <c r="AA169" s="259" t="str">
        <f>IFERROR(INDEX(ADP_Import!C:C,MATCH(ADP!AB169,ADP_Import!AG:AG,0)),"")</f>
        <v>DST</v>
      </c>
      <c r="AB169" s="439">
        <f>IFERROR(INDEX(ADP_Import!AG:AG,MATCH(SMALL(ADP_Import!AG:AG,X169),ADP_Import!AG:AG,0)),"NA")</f>
        <v>152.90068300000001</v>
      </c>
      <c r="AC169" s="265">
        <f>IFERROR(INDEX(ADP_Import!$D:$AE,MATCH(AB169,ADP_Import!AG:AG,0),$AG$6),"")</f>
        <v>15.4</v>
      </c>
      <c r="AI169" t="str">
        <f>INDEX('Draft Pick Order'!E:U,MATCH(A169,'Draft Pick Order'!C:C,0),(Instructions!$E$11*2-15))</f>
        <v>14-7</v>
      </c>
    </row>
    <row r="170" spans="1:35" x14ac:dyDescent="0.25">
      <c r="A170" s="230">
        <v>164</v>
      </c>
      <c r="B170">
        <f>IFERROR(IF(INDEX(Draft!BY:BY,MATCH(ADP!D170,Draft!BY:BY,0))=ADP!D170,1,0),0)</f>
        <v>0</v>
      </c>
      <c r="C170" t="str">
        <f>IF(AND(IFERROR(INDEX(Instructions!$T$111:$T$222,MATCH(D170,Instructions!$T$111:$T$222,0)), "")=D170, D170&lt;&gt;""), "X", "")</f>
        <v/>
      </c>
      <c r="D170" s="454" t="s">
        <v>1415</v>
      </c>
      <c r="E170" s="232" t="s">
        <v>1388</v>
      </c>
      <c r="F170" s="232" t="s">
        <v>7</v>
      </c>
      <c r="G170" s="384">
        <v>152.800467</v>
      </c>
      <c r="H170" s="456">
        <v>15.4</v>
      </c>
      <c r="I170" s="703"/>
      <c r="J170" s="688"/>
      <c r="K170" s="691"/>
      <c r="L170" s="691"/>
      <c r="M170" s="688"/>
      <c r="N170" s="234">
        <v>164</v>
      </c>
      <c r="O170" s="385" t="str">
        <f>F170&amp;COUNTIF($F$7:F170,F170)</f>
        <v>TE16</v>
      </c>
      <c r="P170" s="268">
        <f>VALUE('Draft Pick Order'!B166)</f>
        <v>213</v>
      </c>
      <c r="Q170" s="259">
        <f>COUNTIF(D$7:$F170,"QB")</f>
        <v>20</v>
      </c>
      <c r="R170" s="259">
        <f>COUNTIF($F$7:F170,"RB")</f>
        <v>54</v>
      </c>
      <c r="S170" s="259">
        <f>COUNTIF($F$7:F170,"WR")</f>
        <v>61</v>
      </c>
      <c r="T170" s="259">
        <f>COUNTIF($F$7:F170,"TE")</f>
        <v>16</v>
      </c>
      <c r="U170" s="259">
        <f>COUNTIF($F$7:F170,"DST")</f>
        <v>6</v>
      </c>
      <c r="V170" s="259">
        <f>COUNTIF($F$7:F170,"K")</f>
        <v>7</v>
      </c>
      <c r="X170" s="265">
        <v>164</v>
      </c>
      <c r="Y170" s="259" t="str">
        <f>IFERROR(INDEX(ADP_Import!A:A,MATCH(ADP!AB170,ADP_Import!AG:AG,0)),"")</f>
        <v>Gerald Everett</v>
      </c>
      <c r="Z170" s="259" t="str">
        <f>IFERROR(INDEX(ADP_Import!B:B,MATCH(ADP!AB170,ADP_Import!AG:AG,0)),"")</f>
        <v>LAC</v>
      </c>
      <c r="AA170" s="259" t="str">
        <f>IFERROR(INDEX(ADP_Import!C:C,MATCH(ADP!AB170,ADP_Import!AG:AG,0)),"")</f>
        <v>TE</v>
      </c>
      <c r="AB170" s="439">
        <f>IFERROR(INDEX(ADP_Import!AG:AG,MATCH(SMALL(ADP_Import!AG:AG,X170),ADP_Import!AG:AG,0)),"NA")</f>
        <v>153.300467</v>
      </c>
      <c r="AC170" s="265">
        <f>IFERROR(INDEX(ADP_Import!$D:$AE,MATCH(AB170,ADP_Import!AG:AG,0),$AG$6),"")</f>
        <v>17.600000000000001</v>
      </c>
      <c r="AI170" t="str">
        <f>INDEX('Draft Pick Order'!E:U,MATCH(A170,'Draft Pick Order'!C:C,0),(Instructions!$E$11*2-15))</f>
        <v>14-8</v>
      </c>
    </row>
    <row r="171" spans="1:35" x14ac:dyDescent="0.25">
      <c r="A171" s="230">
        <v>165</v>
      </c>
      <c r="B171">
        <f>IFERROR(IF(INDEX(Draft!BY:BY,MATCH(ADP!D171,Draft!BY:BY,0))=ADP!D171,1,0),0)</f>
        <v>0</v>
      </c>
      <c r="C171" t="str">
        <f>IF(AND(IFERROR(INDEX(Instructions!$T$111:$T$222,MATCH(D171,Instructions!$T$111:$T$222,0)), "")=D171, D171&lt;&gt;""), "X", "")</f>
        <v/>
      </c>
      <c r="D171" s="454" t="s">
        <v>1788</v>
      </c>
      <c r="E171" s="232" t="s">
        <v>146</v>
      </c>
      <c r="F171" s="232" t="s">
        <v>6</v>
      </c>
      <c r="G171" s="383">
        <v>153.20022799999998</v>
      </c>
      <c r="H171" s="455">
        <v>13.4</v>
      </c>
      <c r="I171" s="703"/>
      <c r="J171" s="688"/>
      <c r="K171" s="691"/>
      <c r="L171" s="691"/>
      <c r="M171" s="688"/>
      <c r="N171" s="234">
        <v>165</v>
      </c>
      <c r="O171" s="385" t="str">
        <f>F171&amp;COUNTIF($F$7:F171,F171)</f>
        <v>WR62</v>
      </c>
      <c r="P171" s="268">
        <f>VALUE('Draft Pick Order'!B167)</f>
        <v>213</v>
      </c>
      <c r="Q171" s="259">
        <f>COUNTIF(D$7:$F171,"QB")</f>
        <v>20</v>
      </c>
      <c r="R171" s="259">
        <f>COUNTIF($F$7:F171,"RB")</f>
        <v>54</v>
      </c>
      <c r="S171" s="259">
        <f>COUNTIF($F$7:F171,"WR")</f>
        <v>62</v>
      </c>
      <c r="T171" s="259">
        <f>COUNTIF($F$7:F171,"TE")</f>
        <v>16</v>
      </c>
      <c r="U171" s="259">
        <f>COUNTIF($F$7:F171,"DST")</f>
        <v>6</v>
      </c>
      <c r="V171" s="259">
        <f>COUNTIF($F$7:F171,"K")</f>
        <v>7</v>
      </c>
      <c r="X171" s="265">
        <v>165</v>
      </c>
      <c r="Y171" s="259" t="str">
        <f>IFERROR(INDEX(ADP_Import!A:A,MATCH(ADP!AB171,ADP_Import!AG:AG,0)),"")</f>
        <v>Jake Elliott</v>
      </c>
      <c r="Z171" s="259" t="str">
        <f>IFERROR(INDEX(ADP_Import!B:B,MATCH(ADP!AB171,ADP_Import!AG:AG,0)),"")</f>
        <v>PHI</v>
      </c>
      <c r="AA171" s="259" t="str">
        <f>IFERROR(INDEX(ADP_Import!C:C,MATCH(ADP!AB171,ADP_Import!AG:AG,0)),"")</f>
        <v>K</v>
      </c>
      <c r="AB171" s="439">
        <f>IFERROR(INDEX(ADP_Import!AG:AG,MATCH(SMALL(ADP_Import!AG:AG,X171),ADP_Import!AG:AG,0)),"NA")</f>
        <v>153.70042199999997</v>
      </c>
      <c r="AC171" s="265">
        <f>IFERROR(INDEX(ADP_Import!$D:$AE,MATCH(AB171,ADP_Import!AG:AG,0),$AG$6),"")</f>
        <v>15.1</v>
      </c>
      <c r="AI171" t="str">
        <f>INDEX('Draft Pick Order'!E:U,MATCH(A171,'Draft Pick Order'!C:C,0),(Instructions!$E$11*2-15))</f>
        <v>14-9</v>
      </c>
    </row>
    <row r="172" spans="1:35" x14ac:dyDescent="0.25">
      <c r="A172" s="230">
        <v>166</v>
      </c>
      <c r="B172">
        <f>IFERROR(IF(INDEX(Draft!BY:BY,MATCH(ADP!D172,Draft!BY:BY,0))=ADP!D172,1,0),0)</f>
        <v>0</v>
      </c>
      <c r="C172" t="str">
        <f>IF(AND(IFERROR(INDEX(Instructions!$T$111:$T$222,MATCH(D172,Instructions!$T$111:$T$222,0)), "")=D172, D172&lt;&gt;""), "X", "")</f>
        <v/>
      </c>
      <c r="D172" s="454" t="s">
        <v>24</v>
      </c>
      <c r="E172" s="232" t="s">
        <v>1389</v>
      </c>
      <c r="F172" s="232" t="s">
        <v>1</v>
      </c>
      <c r="G172" s="384">
        <v>153.40023600000001</v>
      </c>
      <c r="H172" s="456">
        <v>20.9</v>
      </c>
      <c r="I172" s="703"/>
      <c r="J172" s="688"/>
      <c r="K172" s="691"/>
      <c r="L172" s="691"/>
      <c r="M172" s="688"/>
      <c r="N172" s="234">
        <v>166</v>
      </c>
      <c r="O172" s="385" t="str">
        <f>F172&amp;COUNTIF($F$7:F172,F172)</f>
        <v>QB21</v>
      </c>
      <c r="P172" s="268">
        <f>VALUE('Draft Pick Order'!B168)</f>
        <v>213</v>
      </c>
      <c r="Q172" s="259">
        <f>COUNTIF(D$7:$F172,"QB")</f>
        <v>21</v>
      </c>
      <c r="R172" s="259">
        <f>COUNTIF($F$7:F172,"RB")</f>
        <v>54</v>
      </c>
      <c r="S172" s="259">
        <f>COUNTIF($F$7:F172,"WR")</f>
        <v>62</v>
      </c>
      <c r="T172" s="259">
        <f>COUNTIF($F$7:F172,"TE")</f>
        <v>16</v>
      </c>
      <c r="U172" s="259">
        <f>COUNTIF($F$7:F172,"DST")</f>
        <v>6</v>
      </c>
      <c r="V172" s="259">
        <f>COUNTIF($F$7:F172,"K")</f>
        <v>7</v>
      </c>
      <c r="X172" s="265">
        <v>166</v>
      </c>
      <c r="Y172" s="259" t="str">
        <f>IFERROR(INDEX(ADP_Import!A:A,MATCH(ADP!AB172,ADP_Import!AG:AG,0)),"")</f>
        <v>Brock Purdy</v>
      </c>
      <c r="Z172" s="259" t="str">
        <f>IFERROR(INDEX(ADP_Import!B:B,MATCH(ADP!AB172,ADP_Import!AG:AG,0)),"")</f>
        <v>SF</v>
      </c>
      <c r="AA172" s="259" t="str">
        <f>IFERROR(INDEX(ADP_Import!C:C,MATCH(ADP!AB172,ADP_Import!AG:AG,0)),"")</f>
        <v>QB</v>
      </c>
      <c r="AB172" s="439">
        <f>IFERROR(INDEX(ADP_Import!AG:AG,MATCH(SMALL(ADP_Import!AG:AG,X172),ADP_Import!AG:AG,0)),"NA")</f>
        <v>154.20065699999998</v>
      </c>
      <c r="AC172" s="265">
        <f>IFERROR(INDEX(ADP_Import!$D:$AE,MATCH(AB172,ADP_Import!AG:AG,0),$AG$6),"")</f>
        <v>31.2</v>
      </c>
      <c r="AI172" t="str">
        <f>INDEX('Draft Pick Order'!E:U,MATCH(A172,'Draft Pick Order'!C:C,0),(Instructions!$E$11*2-15))</f>
        <v>14-10</v>
      </c>
    </row>
    <row r="173" spans="1:35" x14ac:dyDescent="0.25">
      <c r="A173" s="230">
        <v>167</v>
      </c>
      <c r="B173">
        <f>IFERROR(IF(INDEX(Draft!BY:BY,MATCH(ADP!D173,Draft!BY:BY,0))=ADP!D173,1,0),0)</f>
        <v>0</v>
      </c>
      <c r="C173" t="str">
        <f>IF(AND(IFERROR(INDEX(Instructions!$T$111:$T$222,MATCH(D173,Instructions!$T$111:$T$222,0)), "")=D173, D173&lt;&gt;""), "X", "")</f>
        <v/>
      </c>
      <c r="D173" s="454" t="s">
        <v>162</v>
      </c>
      <c r="E173" s="232" t="s">
        <v>162</v>
      </c>
      <c r="F173" s="232" t="s">
        <v>160</v>
      </c>
      <c r="G173" s="383">
        <v>153.80068300000002</v>
      </c>
      <c r="H173" s="455">
        <v>18.399999999999999</v>
      </c>
      <c r="I173" s="703"/>
      <c r="J173" s="688"/>
      <c r="K173" s="691"/>
      <c r="L173" s="691"/>
      <c r="M173" s="688"/>
      <c r="N173" s="234">
        <v>167</v>
      </c>
      <c r="O173" s="385" t="str">
        <f>F173&amp;COUNTIF($F$7:F173,F173)</f>
        <v>DST7</v>
      </c>
      <c r="P173" s="268">
        <f>VALUE('Draft Pick Order'!B169)</f>
        <v>214</v>
      </c>
      <c r="Q173" s="259">
        <f>COUNTIF(D$7:$F173,"QB")</f>
        <v>21</v>
      </c>
      <c r="R173" s="259">
        <f>COUNTIF($F$7:F173,"RB")</f>
        <v>54</v>
      </c>
      <c r="S173" s="259">
        <f>COUNTIF($F$7:F173,"WR")</f>
        <v>62</v>
      </c>
      <c r="T173" s="259">
        <f>COUNTIF($F$7:F173,"TE")</f>
        <v>16</v>
      </c>
      <c r="U173" s="259">
        <f>COUNTIF($F$7:F173,"DST")</f>
        <v>7</v>
      </c>
      <c r="V173" s="259">
        <f>COUNTIF($F$7:F173,"K")</f>
        <v>7</v>
      </c>
      <c r="X173" s="265">
        <v>167</v>
      </c>
      <c r="Y173" s="259" t="str">
        <f>IFERROR(INDEX(ADP_Import!A:A,MATCH(ADP!AB173,ADP_Import!AG:AG,0)),"")</f>
        <v>Hunter Renfrow</v>
      </c>
      <c r="Z173" s="259" t="str">
        <f>IFERROR(INDEX(ADP_Import!B:B,MATCH(ADP!AB173,ADP_Import!AG:AG,0)),"")</f>
        <v>LV</v>
      </c>
      <c r="AA173" s="259" t="str">
        <f>IFERROR(INDEX(ADP_Import!C:C,MATCH(ADP!AB173,ADP_Import!AG:AG,0)),"")</f>
        <v>WR</v>
      </c>
      <c r="AB173" s="439">
        <f>IFERROR(INDEX(ADP_Import!AG:AG,MATCH(SMALL(ADP_Import!AG:AG,X173),ADP_Import!AG:AG,0)),"NA")</f>
        <v>155.10044199999999</v>
      </c>
      <c r="AC173" s="265">
        <f>IFERROR(INDEX(ADP_Import!$D:$AE,MATCH(AB173,ADP_Import!AG:AG,0),$AG$6),"")</f>
        <v>14.4</v>
      </c>
      <c r="AI173" t="str">
        <f>INDEX('Draft Pick Order'!E:U,MATCH(A173,'Draft Pick Order'!C:C,0),(Instructions!$E$11*2-15))</f>
        <v>14-11</v>
      </c>
    </row>
    <row r="174" spans="1:35" ht="15.75" thickBot="1" x14ac:dyDescent="0.3">
      <c r="A174" s="230">
        <v>168</v>
      </c>
      <c r="B174">
        <f>IFERROR(IF(INDEX(Draft!BY:BY,MATCH(ADP!D174,Draft!BY:BY,0))=ADP!D174,1,0),0)</f>
        <v>0</v>
      </c>
      <c r="C174" t="str">
        <f>IF(AND(IFERROR(INDEX(Instructions!$T$111:$T$222,MATCH(D174,Instructions!$T$111:$T$222,0)), "")=D174, D174&lt;&gt;""), "X", "")</f>
        <v/>
      </c>
      <c r="D174" s="454" t="s">
        <v>143</v>
      </c>
      <c r="E174" s="232" t="s">
        <v>143</v>
      </c>
      <c r="F174" s="232" t="s">
        <v>160</v>
      </c>
      <c r="G174" s="384">
        <v>155.70019299999998</v>
      </c>
      <c r="H174" s="456">
        <v>16.8</v>
      </c>
      <c r="I174" s="704"/>
      <c r="J174" s="688"/>
      <c r="K174" s="692"/>
      <c r="L174" s="691"/>
      <c r="M174" s="688"/>
      <c r="N174" s="234">
        <v>168</v>
      </c>
      <c r="O174" s="385" t="str">
        <f>F174&amp;COUNTIF($F$7:F174,F174)</f>
        <v>DST8</v>
      </c>
      <c r="P174" s="268">
        <f>VALUE('Draft Pick Order'!B170)</f>
        <v>214</v>
      </c>
      <c r="Q174" s="259">
        <f>COUNTIF(D$7:$F174,"QB")</f>
        <v>21</v>
      </c>
      <c r="R174" s="259">
        <f>COUNTIF($F$7:F174,"RB")</f>
        <v>54</v>
      </c>
      <c r="S174" s="259">
        <f>COUNTIF($F$7:F174,"WR")</f>
        <v>62</v>
      </c>
      <c r="T174" s="259">
        <f>COUNTIF($F$7:F174,"TE")</f>
        <v>16</v>
      </c>
      <c r="U174" s="259">
        <f>COUNTIF($F$7:F174,"DST")</f>
        <v>8</v>
      </c>
      <c r="V174" s="259">
        <f>COUNTIF($F$7:F174,"K")</f>
        <v>7</v>
      </c>
      <c r="X174" s="265">
        <v>168</v>
      </c>
      <c r="Y174" s="259" t="str">
        <f>IFERROR(INDEX(ADP_Import!A:A,MATCH(ADP!AB174,ADP_Import!AG:AG,0)),"")</f>
        <v>MIA</v>
      </c>
      <c r="Z174" s="259" t="str">
        <f>IFERROR(INDEX(ADP_Import!B:B,MATCH(ADP!AB174,ADP_Import!AG:AG,0)),"")</f>
        <v>MIA</v>
      </c>
      <c r="AA174" s="259" t="str">
        <f>IFERROR(INDEX(ADP_Import!C:C,MATCH(ADP!AB174,ADP_Import!AG:AG,0)),"")</f>
        <v>DST</v>
      </c>
      <c r="AB174" s="439">
        <f>IFERROR(INDEX(ADP_Import!AG:AG,MATCH(SMALL(ADP_Import!AG:AG,X174),ADP_Import!AG:AG,0)),"NA")</f>
        <v>155.60023100000001</v>
      </c>
      <c r="AC174" s="265">
        <f>IFERROR(INDEX(ADP_Import!$D:$AE,MATCH(AB174,ADP_Import!AG:AG,0),$AG$6),"")</f>
        <v>18.100000000000001</v>
      </c>
      <c r="AI174" t="str">
        <f>INDEX('Draft Pick Order'!E:U,MATCH(A174,'Draft Pick Order'!C:C,0),(Instructions!$E$11*2-15))</f>
        <v>14-12</v>
      </c>
    </row>
    <row r="175" spans="1:35" ht="15" customHeight="1" x14ac:dyDescent="0.25">
      <c r="A175" s="230">
        <v>169</v>
      </c>
      <c r="B175">
        <f>IFERROR(IF(INDEX(Draft!BY:BY,MATCH(ADP!D175,Draft!BY:BY,0))=ADP!D175,1,0),0)</f>
        <v>0</v>
      </c>
      <c r="C175" t="str">
        <f>IF(AND(IFERROR(INDEX(Instructions!$T$111:$T$222,MATCH(D175,Instructions!$T$111:$T$222,0)), "")=D175, D175&lt;&gt;""), "X", "")</f>
        <v/>
      </c>
      <c r="D175" s="454" t="s">
        <v>1211</v>
      </c>
      <c r="E175" s="232" t="s">
        <v>1389</v>
      </c>
      <c r="F175" s="232" t="s">
        <v>7</v>
      </c>
      <c r="G175" s="383">
        <v>156.400038</v>
      </c>
      <c r="H175" s="455">
        <v>18.399999999999999</v>
      </c>
      <c r="I175" s="696" t="s">
        <v>1460</v>
      </c>
      <c r="J175" s="688"/>
      <c r="K175" s="687" t="s">
        <v>910</v>
      </c>
      <c r="L175" s="687" t="s">
        <v>908</v>
      </c>
      <c r="M175" s="688"/>
      <c r="N175" s="234">
        <v>169</v>
      </c>
      <c r="O175" s="385" t="str">
        <f>F175&amp;COUNTIF($F$7:F175,F175)</f>
        <v>TE17</v>
      </c>
      <c r="P175" s="268">
        <f>VALUE('Draft Pick Order'!B171)</f>
        <v>214</v>
      </c>
      <c r="Q175" s="259">
        <f>COUNTIF(D$7:$F175,"QB")</f>
        <v>21</v>
      </c>
      <c r="R175" s="259">
        <f>COUNTIF($F$7:F175,"RB")</f>
        <v>54</v>
      </c>
      <c r="S175" s="259">
        <f>COUNTIF($F$7:F175,"WR")</f>
        <v>62</v>
      </c>
      <c r="T175" s="259">
        <f>COUNTIF($F$7:F175,"TE")</f>
        <v>17</v>
      </c>
      <c r="U175" s="259">
        <f>COUNTIF($F$7:F175,"DST")</f>
        <v>8</v>
      </c>
      <c r="V175" s="259">
        <f>COUNTIF($F$7:F175,"K")</f>
        <v>7</v>
      </c>
      <c r="X175" s="265">
        <v>169</v>
      </c>
      <c r="Y175" s="259" t="str">
        <f>IFERROR(INDEX(ADP_Import!A:A,MATCH(ADP!AB175,ADP_Import!AG:AG,0)),"")</f>
        <v>Matt Gay</v>
      </c>
      <c r="Z175" s="259" t="str">
        <f>IFERROR(INDEX(ADP_Import!B:B,MATCH(ADP!AB175,ADP_Import!AG:AG,0)),"")</f>
        <v>IND</v>
      </c>
      <c r="AA175" s="259" t="str">
        <f>IFERROR(INDEX(ADP_Import!C:C,MATCH(ADP!AB175,ADP_Import!AG:AG,0)),"")</f>
        <v>K</v>
      </c>
      <c r="AB175" s="439">
        <f>IFERROR(INDEX(ADP_Import!AG:AG,MATCH(SMALL(ADP_Import!AG:AG,X175),ADP_Import!AG:AG,0)),"NA")</f>
        <v>155.60023999999999</v>
      </c>
      <c r="AC175" s="265">
        <f>IFERROR(INDEX(ADP_Import!$D:$AE,MATCH(AB175,ADP_Import!AG:AG,0),$AG$6),"")</f>
        <v>17.5</v>
      </c>
      <c r="AI175" t="str">
        <f>INDEX('Draft Pick Order'!E:U,MATCH(A175,'Draft Pick Order'!C:C,0),(Instructions!$E$11*2-15))</f>
        <v>15-1</v>
      </c>
    </row>
    <row r="176" spans="1:35" ht="15.75" thickBot="1" x14ac:dyDescent="0.3">
      <c r="A176" s="230">
        <v>170</v>
      </c>
      <c r="B176">
        <f>IFERROR(IF(INDEX(Draft!BY:BY,MATCH(ADP!D176,Draft!BY:BY,0))=ADP!D176,1,0),0)</f>
        <v>0</v>
      </c>
      <c r="C176" t="str">
        <f>IF(AND(IFERROR(INDEX(Instructions!$T$111:$T$222,MATCH(D176,Instructions!$T$111:$T$222,0)), "")=D176, D176&lt;&gt;""), "X", "")</f>
        <v/>
      </c>
      <c r="D176" s="454" t="s">
        <v>2110</v>
      </c>
      <c r="E176" s="232" t="s">
        <v>161</v>
      </c>
      <c r="F176" s="232" t="s">
        <v>6</v>
      </c>
      <c r="G176" s="384">
        <v>156.80050600000001</v>
      </c>
      <c r="H176" s="456">
        <v>14.8</v>
      </c>
      <c r="I176" s="697"/>
      <c r="J176" s="689"/>
      <c r="K176" s="688"/>
      <c r="L176" s="688"/>
      <c r="M176" s="688"/>
      <c r="N176" s="234">
        <v>170</v>
      </c>
      <c r="O176" s="385" t="str">
        <f>F176&amp;COUNTIF($F$7:F176,F176)</f>
        <v>WR63</v>
      </c>
      <c r="P176" s="268">
        <f>VALUE('Draft Pick Order'!B172)</f>
        <v>215</v>
      </c>
      <c r="Q176" s="259">
        <f>COUNTIF(D$7:$F176,"QB")</f>
        <v>21</v>
      </c>
      <c r="R176" s="259">
        <f>COUNTIF($F$7:F176,"RB")</f>
        <v>54</v>
      </c>
      <c r="S176" s="259">
        <f>COUNTIF($F$7:F176,"WR")</f>
        <v>63</v>
      </c>
      <c r="T176" s="259">
        <f>COUNTIF($F$7:F176,"TE")</f>
        <v>17</v>
      </c>
      <c r="U176" s="259">
        <f>COUNTIF($F$7:F176,"DST")</f>
        <v>8</v>
      </c>
      <c r="V176" s="259">
        <f>COUNTIF($F$7:F176,"K")</f>
        <v>7</v>
      </c>
      <c r="X176" s="265">
        <v>170</v>
      </c>
      <c r="Y176" s="259" t="str">
        <f>IFERROR(INDEX(ADP_Import!A:A,MATCH(ADP!AB176,ADP_Import!AG:AG,0)),"")</f>
        <v>Gus Edwards</v>
      </c>
      <c r="Z176" s="259" t="str">
        <f>IFERROR(INDEX(ADP_Import!B:B,MATCH(ADP!AB176,ADP_Import!AG:AG,0)),"")</f>
        <v>BAL</v>
      </c>
      <c r="AA176" s="259" t="str">
        <f>IFERROR(INDEX(ADP_Import!C:C,MATCH(ADP!AB176,ADP_Import!AG:AG,0)),"")</f>
        <v>RB</v>
      </c>
      <c r="AB176" s="439">
        <f>IFERROR(INDEX(ADP_Import!AG:AG,MATCH(SMALL(ADP_Import!AG:AG,X176),ADP_Import!AG:AG,0)),"NA")</f>
        <v>155.70045399999998</v>
      </c>
      <c r="AC176" s="265">
        <f>IFERROR(INDEX(ADP_Import!$D:$AE,MATCH(AB176,ADP_Import!AG:AG,0),$AG$6),"")</f>
        <v>15.6</v>
      </c>
      <c r="AI176" t="str">
        <f>INDEX('Draft Pick Order'!E:U,MATCH(A176,'Draft Pick Order'!C:C,0),(Instructions!$E$11*2-15))</f>
        <v>15-2</v>
      </c>
    </row>
    <row r="177" spans="1:35" x14ac:dyDescent="0.25">
      <c r="A177" s="230">
        <v>171</v>
      </c>
      <c r="B177">
        <f>IFERROR(IF(INDEX(Draft!BY:BY,MATCH(ADP!D177,Draft!BY:BY,0))=ADP!D177,1,0),0)</f>
        <v>0</v>
      </c>
      <c r="C177" t="str">
        <f>IF(AND(IFERROR(INDEX(Instructions!$T$111:$T$222,MATCH(D177,Instructions!$T$111:$T$222,0)), "")=D177, D177&lt;&gt;""), "X", "")</f>
        <v/>
      </c>
      <c r="D177" s="454" t="s">
        <v>2360</v>
      </c>
      <c r="E177" s="232" t="s">
        <v>144</v>
      </c>
      <c r="F177" s="232" t="s">
        <v>7</v>
      </c>
      <c r="G177" s="383">
        <v>157.00045900000001</v>
      </c>
      <c r="H177" s="455">
        <v>12.7</v>
      </c>
      <c r="I177" s="697"/>
      <c r="J177" s="690" t="s">
        <v>1456</v>
      </c>
      <c r="K177" s="688"/>
      <c r="L177" s="688"/>
      <c r="M177" s="688"/>
      <c r="N177" s="234">
        <v>171</v>
      </c>
      <c r="O177" s="385" t="str">
        <f>F177&amp;COUNTIF($F$7:F177,F177)</f>
        <v>TE18</v>
      </c>
      <c r="P177" s="268">
        <f>VALUE('Draft Pick Order'!B173)</f>
        <v>215</v>
      </c>
      <c r="Q177" s="259">
        <f>COUNTIF(D$7:$F177,"QB")</f>
        <v>21</v>
      </c>
      <c r="R177" s="259">
        <f>COUNTIF($F$7:F177,"RB")</f>
        <v>54</v>
      </c>
      <c r="S177" s="259">
        <f>COUNTIF($F$7:F177,"WR")</f>
        <v>63</v>
      </c>
      <c r="T177" s="259">
        <f>COUNTIF($F$7:F177,"TE")</f>
        <v>18</v>
      </c>
      <c r="U177" s="259">
        <f>COUNTIF($F$7:F177,"DST")</f>
        <v>8</v>
      </c>
      <c r="V177" s="259">
        <f>COUNTIF($F$7:F177,"K")</f>
        <v>7</v>
      </c>
      <c r="X177" s="265">
        <v>171</v>
      </c>
      <c r="Y177" s="259" t="str">
        <f>IFERROR(INDEX(ADP_Import!A:A,MATCH(ADP!AB177,ADP_Import!AG:AG,0)),"")</f>
        <v>Jalin Hyatt</v>
      </c>
      <c r="Z177" s="259" t="str">
        <f>IFERROR(INDEX(ADP_Import!B:B,MATCH(ADP!AB177,ADP_Import!AG:AG,0)),"")</f>
        <v>NYG</v>
      </c>
      <c r="AA177" s="259" t="str">
        <f>IFERROR(INDEX(ADP_Import!C:C,MATCH(ADP!AB177,ADP_Import!AG:AG,0)),"")</f>
        <v>WR</v>
      </c>
      <c r="AB177" s="439">
        <f>IFERROR(INDEX(ADP_Import!AG:AG,MATCH(SMALL(ADP_Import!AG:AG,X177),ADP_Import!AG:AG,0)),"NA")</f>
        <v>155.80040600000001</v>
      </c>
      <c r="AC177" s="265">
        <f>IFERROR(INDEX(ADP_Import!$D:$AE,MATCH(AB177,ADP_Import!AG:AG,0),$AG$6),"")</f>
        <v>23.1</v>
      </c>
      <c r="AI177" t="str">
        <f>INDEX('Draft Pick Order'!E:U,MATCH(A177,'Draft Pick Order'!C:C,0),(Instructions!$E$11*2-15))</f>
        <v>15-3</v>
      </c>
    </row>
    <row r="178" spans="1:35" x14ac:dyDescent="0.25">
      <c r="A178" s="230">
        <v>172</v>
      </c>
      <c r="B178">
        <f>IFERROR(IF(INDEX(Draft!BY:BY,MATCH(ADP!D178,Draft!BY:BY,0))=ADP!D178,1,0),0)</f>
        <v>0</v>
      </c>
      <c r="C178" t="str">
        <f>IF(AND(IFERROR(INDEX(Instructions!$T$111:$T$222,MATCH(D178,Instructions!$T$111:$T$222,0)), "")=D178, D178&lt;&gt;""), "X", "")</f>
        <v/>
      </c>
      <c r="D178" s="454" t="s">
        <v>1889</v>
      </c>
      <c r="E178" s="232" t="s">
        <v>158</v>
      </c>
      <c r="F178" s="232" t="s">
        <v>11</v>
      </c>
      <c r="G178" s="384">
        <v>157.40024</v>
      </c>
      <c r="H178" s="456">
        <v>15.7</v>
      </c>
      <c r="I178" s="697"/>
      <c r="J178" s="691"/>
      <c r="K178" s="688"/>
      <c r="L178" s="688"/>
      <c r="M178" s="688"/>
      <c r="N178" s="234">
        <v>172</v>
      </c>
      <c r="O178" s="385" t="str">
        <f>F178&amp;COUNTIF($F$7:F178,F178)</f>
        <v>K8</v>
      </c>
      <c r="P178" s="268">
        <f>VALUE('Draft Pick Order'!B174)</f>
        <v>215</v>
      </c>
      <c r="Q178" s="259">
        <f>COUNTIF(D$7:$F178,"QB")</f>
        <v>21</v>
      </c>
      <c r="R178" s="259">
        <f>COUNTIF($F$7:F178,"RB")</f>
        <v>54</v>
      </c>
      <c r="S178" s="259">
        <f>COUNTIF($F$7:F178,"WR")</f>
        <v>63</v>
      </c>
      <c r="T178" s="259">
        <f>COUNTIF($F$7:F178,"TE")</f>
        <v>18</v>
      </c>
      <c r="U178" s="259">
        <f>COUNTIF($F$7:F178,"DST")</f>
        <v>8</v>
      </c>
      <c r="V178" s="259">
        <f>COUNTIF($F$7:F178,"K")</f>
        <v>8</v>
      </c>
      <c r="X178" s="265">
        <v>172</v>
      </c>
      <c r="Y178" s="259" t="str">
        <f>IFERROR(INDEX(ADP_Import!A:A,MATCH(ADP!AB178,ADP_Import!AG:AG,0)),"")</f>
        <v>Kenny Pickett</v>
      </c>
      <c r="Z178" s="259" t="str">
        <f>IFERROR(INDEX(ADP_Import!B:B,MATCH(ADP!AB178,ADP_Import!AG:AG,0)),"")</f>
        <v>PIT</v>
      </c>
      <c r="AA178" s="259" t="str">
        <f>IFERROR(INDEX(ADP_Import!C:C,MATCH(ADP!AB178,ADP_Import!AG:AG,0)),"")</f>
        <v>QB</v>
      </c>
      <c r="AB178" s="439">
        <f>IFERROR(INDEX(ADP_Import!AG:AG,MATCH(SMALL(ADP_Import!AG:AG,X178),ADP_Import!AG:AG,0)),"NA")</f>
        <v>156.20029699999998</v>
      </c>
      <c r="AC178" s="265">
        <f>IFERROR(INDEX(ADP_Import!$D:$AE,MATCH(AB178,ADP_Import!AG:AG,0),$AG$6),"")</f>
        <v>21.4</v>
      </c>
      <c r="AI178" t="str">
        <f>INDEX('Draft Pick Order'!E:U,MATCH(A178,'Draft Pick Order'!C:C,0),(Instructions!$E$11*2-15))</f>
        <v>15-4</v>
      </c>
    </row>
    <row r="179" spans="1:35" x14ac:dyDescent="0.25">
      <c r="A179" s="230">
        <v>173</v>
      </c>
      <c r="B179">
        <f>IFERROR(IF(INDEX(Draft!BY:BY,MATCH(ADP!D179,Draft!BY:BY,0))=ADP!D179,1,0),0)</f>
        <v>0</v>
      </c>
      <c r="C179" t="str">
        <f>IF(AND(IFERROR(INDEX(Instructions!$T$111:$T$222,MATCH(D179,Instructions!$T$111:$T$222,0)), "")=D179, D179&lt;&gt;""), "X", "")</f>
        <v/>
      </c>
      <c r="D179" s="454" t="s">
        <v>2308</v>
      </c>
      <c r="E179" s="232" t="s">
        <v>161</v>
      </c>
      <c r="F179" s="232" t="s">
        <v>3</v>
      </c>
      <c r="G179" s="383">
        <v>158.900372</v>
      </c>
      <c r="H179" s="455">
        <v>13.2</v>
      </c>
      <c r="I179" s="697"/>
      <c r="J179" s="691"/>
      <c r="K179" s="688"/>
      <c r="L179" s="688"/>
      <c r="M179" s="688"/>
      <c r="N179" s="234">
        <v>173</v>
      </c>
      <c r="O179" s="385" t="str">
        <f>F179&amp;COUNTIF($F$7:F179,F179)</f>
        <v>RB55</v>
      </c>
      <c r="P179" s="268">
        <f>VALUE('Draft Pick Order'!B175)</f>
        <v>215</v>
      </c>
      <c r="Q179" s="259">
        <f>COUNTIF(D$7:$F179,"QB")</f>
        <v>21</v>
      </c>
      <c r="R179" s="259">
        <f>COUNTIF($F$7:F179,"RB")</f>
        <v>55</v>
      </c>
      <c r="S179" s="259">
        <f>COUNTIF($F$7:F179,"WR")</f>
        <v>63</v>
      </c>
      <c r="T179" s="259">
        <f>COUNTIF($F$7:F179,"TE")</f>
        <v>18</v>
      </c>
      <c r="U179" s="259">
        <f>COUNTIF($F$7:F179,"DST")</f>
        <v>8</v>
      </c>
      <c r="V179" s="259">
        <f>COUNTIF($F$7:F179,"K")</f>
        <v>8</v>
      </c>
      <c r="X179" s="265">
        <v>173</v>
      </c>
      <c r="Y179" s="259" t="str">
        <f>IFERROR(INDEX(ADP_Import!A:A,MATCH(ADP!AB179,ADP_Import!AG:AG,0)),"")</f>
        <v>Kyler Murray</v>
      </c>
      <c r="Z179" s="259" t="str">
        <f>IFERROR(INDEX(ADP_Import!B:B,MATCH(ADP!AB179,ADP_Import!AG:AG,0)),"")</f>
        <v>AZ</v>
      </c>
      <c r="AA179" s="259" t="str">
        <f>IFERROR(INDEX(ADP_Import!C:C,MATCH(ADP!AB179,ADP_Import!AG:AG,0)),"")</f>
        <v>QB</v>
      </c>
      <c r="AB179" s="439">
        <f>IFERROR(INDEX(ADP_Import!AG:AG,MATCH(SMALL(ADP_Import!AG:AG,X179),ADP_Import!AG:AG,0)),"NA")</f>
        <v>157.00027600000001</v>
      </c>
      <c r="AC179" s="265">
        <f>IFERROR(INDEX(ADP_Import!$D:$AE,MATCH(AB179,ADP_Import!AG:AG,0),$AG$6),"")</f>
        <v>20.7</v>
      </c>
      <c r="AI179" t="str">
        <f>INDEX('Draft Pick Order'!E:U,MATCH(A179,'Draft Pick Order'!C:C,0),(Instructions!$E$11*2-15))</f>
        <v>15-5</v>
      </c>
    </row>
    <row r="180" spans="1:35" x14ac:dyDescent="0.25">
      <c r="A180" s="230">
        <v>174</v>
      </c>
      <c r="B180">
        <f>IFERROR(IF(INDEX(Draft!BY:BY,MATCH(ADP!D180,Draft!BY:BY,0))=ADP!D180,1,0),0)</f>
        <v>0</v>
      </c>
      <c r="C180" t="str">
        <f>IF(AND(IFERROR(INDEX(Instructions!$T$111:$T$222,MATCH(D180,Instructions!$T$111:$T$222,0)), "")=D180, D180&lt;&gt;""), "X", "")</f>
        <v/>
      </c>
      <c r="D180" s="454" t="s">
        <v>2521</v>
      </c>
      <c r="E180" s="232" t="s">
        <v>155</v>
      </c>
      <c r="F180" s="232" t="s">
        <v>1</v>
      </c>
      <c r="G180" s="384">
        <v>159.20065699999998</v>
      </c>
      <c r="H180" s="456">
        <v>19.100000000000001</v>
      </c>
      <c r="I180" s="697"/>
      <c r="J180" s="691"/>
      <c r="K180" s="688"/>
      <c r="L180" s="688"/>
      <c r="M180" s="688"/>
      <c r="N180" s="234">
        <v>174</v>
      </c>
      <c r="O180" s="385" t="str">
        <f>F180&amp;COUNTIF($F$7:F180,F180)</f>
        <v>QB22</v>
      </c>
      <c r="P180" s="268">
        <f>VALUE('Draft Pick Order'!B176)</f>
        <v>215</v>
      </c>
      <c r="Q180" s="259">
        <f>COUNTIF(D$7:$F180,"QB")</f>
        <v>22</v>
      </c>
      <c r="R180" s="259">
        <f>COUNTIF($F$7:F180,"RB")</f>
        <v>55</v>
      </c>
      <c r="S180" s="259">
        <f>COUNTIF($F$7:F180,"WR")</f>
        <v>63</v>
      </c>
      <c r="T180" s="259">
        <f>COUNTIF($F$7:F180,"TE")</f>
        <v>18</v>
      </c>
      <c r="U180" s="259">
        <f>COUNTIF($F$7:F180,"DST")</f>
        <v>8</v>
      </c>
      <c r="V180" s="259">
        <f>COUNTIF($F$7:F180,"K")</f>
        <v>8</v>
      </c>
      <c r="X180" s="265">
        <v>174</v>
      </c>
      <c r="Y180" s="259" t="str">
        <f>IFERROR(INDEX(ADP_Import!A:A,MATCH(ADP!AB180,ADP_Import!AG:AG,0)),"")</f>
        <v>Donovan Peoples-Jones</v>
      </c>
      <c r="Z180" s="259" t="str">
        <f>IFERROR(INDEX(ADP_Import!B:B,MATCH(ADP!AB180,ADP_Import!AG:AG,0)),"")</f>
        <v>CLE</v>
      </c>
      <c r="AA180" s="259" t="str">
        <f>IFERROR(INDEX(ADP_Import!C:C,MATCH(ADP!AB180,ADP_Import!AG:AG,0)),"")</f>
        <v>WR</v>
      </c>
      <c r="AB180" s="439">
        <f>IFERROR(INDEX(ADP_Import!AG:AG,MATCH(SMALL(ADP_Import!AG:AG,X180),ADP_Import!AG:AG,0)),"NA")</f>
        <v>157.000506</v>
      </c>
      <c r="AC180" s="265">
        <f>IFERROR(INDEX(ADP_Import!$D:$AE,MATCH(AB180,ADP_Import!AG:AG,0),$AG$6),"")</f>
        <v>15</v>
      </c>
      <c r="AI180" t="str">
        <f>INDEX('Draft Pick Order'!E:U,MATCH(A180,'Draft Pick Order'!C:C,0),(Instructions!$E$11*2-15))</f>
        <v>15-6</v>
      </c>
    </row>
    <row r="181" spans="1:35" x14ac:dyDescent="0.25">
      <c r="A181" s="230">
        <v>175</v>
      </c>
      <c r="B181">
        <f>IFERROR(IF(INDEX(Draft!BY:BY,MATCH(ADP!D181,Draft!BY:BY,0))=ADP!D181,1,0),0)</f>
        <v>0</v>
      </c>
      <c r="C181" t="str">
        <f>IF(AND(IFERROR(INDEX(Instructions!$T$111:$T$222,MATCH(D181,Instructions!$T$111:$T$222,0)), "")=D181, D181&lt;&gt;""), "X", "")</f>
        <v/>
      </c>
      <c r="D181" s="454" t="s">
        <v>1176</v>
      </c>
      <c r="E181" s="232" t="s">
        <v>165</v>
      </c>
      <c r="F181" s="232" t="s">
        <v>11</v>
      </c>
      <c r="G181" s="383">
        <v>159.80067000000003</v>
      </c>
      <c r="H181" s="455">
        <v>17.399999999999999</v>
      </c>
      <c r="I181" s="697"/>
      <c r="J181" s="691"/>
      <c r="K181" s="688"/>
      <c r="L181" s="688"/>
      <c r="M181" s="688"/>
      <c r="N181" s="234">
        <v>175</v>
      </c>
      <c r="O181" s="385" t="str">
        <f>F181&amp;COUNTIF($F$7:F181,F181)</f>
        <v>K9</v>
      </c>
      <c r="P181" s="268">
        <f>VALUE('Draft Pick Order'!B177)</f>
        <v>215</v>
      </c>
      <c r="Q181" s="259">
        <f>COUNTIF(D$7:$F181,"QB")</f>
        <v>22</v>
      </c>
      <c r="R181" s="259">
        <f>COUNTIF($F$7:F181,"RB")</f>
        <v>55</v>
      </c>
      <c r="S181" s="259">
        <f>COUNTIF($F$7:F181,"WR")</f>
        <v>63</v>
      </c>
      <c r="T181" s="259">
        <f>COUNTIF($F$7:F181,"TE")</f>
        <v>18</v>
      </c>
      <c r="U181" s="259">
        <f>COUNTIF($F$7:F181,"DST")</f>
        <v>8</v>
      </c>
      <c r="V181" s="259">
        <f>COUNTIF($F$7:F181,"K")</f>
        <v>9</v>
      </c>
      <c r="X181" s="265">
        <v>175</v>
      </c>
      <c r="Y181" s="259" t="str">
        <f>IFERROR(INDEX(ADP_Import!A:A,MATCH(ADP!AB181,ADP_Import!AG:AG,0)),"")</f>
        <v>Clyde Edwards-Helaire</v>
      </c>
      <c r="Z181" s="259" t="str">
        <f>IFERROR(INDEX(ADP_Import!B:B,MATCH(ADP!AB181,ADP_Import!AG:AG,0)),"")</f>
        <v>KC</v>
      </c>
      <c r="AA181" s="259" t="str">
        <f>IFERROR(INDEX(ADP_Import!C:C,MATCH(ADP!AB181,ADP_Import!AG:AG,0)),"")</f>
        <v>RB</v>
      </c>
      <c r="AB181" s="439">
        <f>IFERROR(INDEX(ADP_Import!AG:AG,MATCH(SMALL(ADP_Import!AG:AG,X181),ADP_Import!AG:AG,0)),"NA")</f>
        <v>157.00060099999999</v>
      </c>
      <c r="AC181" s="265">
        <f>IFERROR(INDEX(ADP_Import!$D:$AE,MATCH(AB181,ADP_Import!AG:AG,0),$AG$6),"")</f>
        <v>14.3</v>
      </c>
      <c r="AI181" t="str">
        <f>INDEX('Draft Pick Order'!E:U,MATCH(A181,'Draft Pick Order'!C:C,0),(Instructions!$E$11*2-15))</f>
        <v>15-7</v>
      </c>
    </row>
    <row r="182" spans="1:35" ht="15.75" thickBot="1" x14ac:dyDescent="0.3">
      <c r="A182" s="230">
        <v>176</v>
      </c>
      <c r="B182">
        <f>IFERROR(IF(INDEX(Draft!BY:BY,MATCH(ADP!D182,Draft!BY:BY,0))=ADP!D182,1,0),0)</f>
        <v>0</v>
      </c>
      <c r="C182" t="str">
        <f>IF(AND(IFERROR(INDEX(Instructions!$T$111:$T$222,MATCH(D182,Instructions!$T$111:$T$222,0)), "")=D182, D182&lt;&gt;""), "X", "")</f>
        <v/>
      </c>
      <c r="D182" s="454" t="s">
        <v>2330</v>
      </c>
      <c r="E182" s="232" t="s">
        <v>151</v>
      </c>
      <c r="F182" s="232" t="s">
        <v>6</v>
      </c>
      <c r="G182" s="384">
        <v>160.30035800000002</v>
      </c>
      <c r="H182" s="456">
        <v>27</v>
      </c>
      <c r="I182" s="698"/>
      <c r="J182" s="691"/>
      <c r="K182" s="688"/>
      <c r="L182" s="688"/>
      <c r="M182" s="689"/>
      <c r="N182" s="234">
        <v>176</v>
      </c>
      <c r="O182" s="385" t="str">
        <f>F182&amp;COUNTIF($F$7:F182,F182)</f>
        <v>WR64</v>
      </c>
      <c r="P182" s="268">
        <f>VALUE('Draft Pick Order'!B178)</f>
        <v>215</v>
      </c>
      <c r="Q182" s="259">
        <f>COUNTIF(D$7:$F182,"QB")</f>
        <v>22</v>
      </c>
      <c r="R182" s="259">
        <f>COUNTIF($F$7:F182,"RB")</f>
        <v>55</v>
      </c>
      <c r="S182" s="259">
        <f>COUNTIF($F$7:F182,"WR")</f>
        <v>64</v>
      </c>
      <c r="T182" s="259">
        <f>COUNTIF($F$7:F182,"TE")</f>
        <v>18</v>
      </c>
      <c r="U182" s="259">
        <f>COUNTIF($F$7:F182,"DST")</f>
        <v>8</v>
      </c>
      <c r="V182" s="259">
        <f>COUNTIF($F$7:F182,"K")</f>
        <v>9</v>
      </c>
      <c r="X182" s="265">
        <v>176</v>
      </c>
      <c r="Y182" s="259" t="str">
        <f>IFERROR(INDEX(ADP_Import!A:A,MATCH(ADP!AB182,ADP_Import!AG:AG,0)),"")</f>
        <v>Sam LaPorta</v>
      </c>
      <c r="Z182" s="259" t="str">
        <f>IFERROR(INDEX(ADP_Import!B:B,MATCH(ADP!AB182,ADP_Import!AG:AG,0)),"")</f>
        <v>DET</v>
      </c>
      <c r="AA182" s="259" t="str">
        <f>IFERROR(INDEX(ADP_Import!C:C,MATCH(ADP!AB182,ADP_Import!AG:AG,0)),"")</f>
        <v>TE</v>
      </c>
      <c r="AB182" s="439">
        <f>IFERROR(INDEX(ADP_Import!AG:AG,MATCH(SMALL(ADP_Import!AG:AG,X182),ADP_Import!AG:AG,0)),"NA")</f>
        <v>157.80012400000001</v>
      </c>
      <c r="AC182" s="265">
        <f>IFERROR(INDEX(ADP_Import!$D:$AE,MATCH(AB182,ADP_Import!AG:AG,0),$AG$6),"")</f>
        <v>19.3</v>
      </c>
      <c r="AI182" t="str">
        <f>INDEX('Draft Pick Order'!E:U,MATCH(A182,'Draft Pick Order'!C:C,0),(Instructions!$E$11*2-15))</f>
        <v>15-8</v>
      </c>
    </row>
    <row r="183" spans="1:35" ht="15" customHeight="1" x14ac:dyDescent="0.25">
      <c r="A183" s="230">
        <v>177</v>
      </c>
      <c r="B183">
        <f>IFERROR(IF(INDEX(Draft!BY:BY,MATCH(ADP!D183,Draft!BY:BY,0))=ADP!D183,1,0),0)</f>
        <v>0</v>
      </c>
      <c r="C183" t="str">
        <f>IF(AND(IFERROR(INDEX(Instructions!$T$111:$T$222,MATCH(D183,Instructions!$T$111:$T$222,0)), "")=D183, D183&lt;&gt;""), "X", "")</f>
        <v/>
      </c>
      <c r="D183" s="454" t="s">
        <v>2472</v>
      </c>
      <c r="E183" s="232" t="s">
        <v>154</v>
      </c>
      <c r="F183" s="232" t="s">
        <v>6</v>
      </c>
      <c r="G183" s="383">
        <v>160.30040600000001</v>
      </c>
      <c r="H183" s="455">
        <v>30.5</v>
      </c>
      <c r="I183" s="702" t="s">
        <v>1461</v>
      </c>
      <c r="J183" s="691"/>
      <c r="K183" s="688"/>
      <c r="L183" s="688"/>
      <c r="M183" s="690" t="s">
        <v>907</v>
      </c>
      <c r="N183" s="234">
        <v>177</v>
      </c>
      <c r="O183" s="385" t="str">
        <f>F183&amp;COUNTIF($F$7:F183,F183)</f>
        <v>WR65</v>
      </c>
      <c r="P183" s="268">
        <f>VALUE('Draft Pick Order'!B179)</f>
        <v>215</v>
      </c>
      <c r="Q183" s="259">
        <f>COUNTIF(D$7:$F183,"QB")</f>
        <v>22</v>
      </c>
      <c r="R183" s="259">
        <f>COUNTIF($F$7:F183,"RB")</f>
        <v>55</v>
      </c>
      <c r="S183" s="259">
        <f>COUNTIF($F$7:F183,"WR")</f>
        <v>65</v>
      </c>
      <c r="T183" s="259">
        <f>COUNTIF($F$7:F183,"TE")</f>
        <v>18</v>
      </c>
      <c r="U183" s="259">
        <f>COUNTIF($F$7:F183,"DST")</f>
        <v>8</v>
      </c>
      <c r="V183" s="259">
        <f>COUNTIF($F$7:F183,"K")</f>
        <v>9</v>
      </c>
      <c r="X183" s="265">
        <v>177</v>
      </c>
      <c r="Y183" s="259" t="str">
        <f>IFERROR(INDEX(ADP_Import!A:A,MATCH(ADP!AB183,ADP_Import!AG:AG,0)),"")</f>
        <v>Roschon Johnson</v>
      </c>
      <c r="Z183" s="259" t="str">
        <f>IFERROR(INDEX(ADP_Import!B:B,MATCH(ADP!AB183,ADP_Import!AG:AG,0)),"")</f>
        <v>CHI</v>
      </c>
      <c r="AA183" s="259" t="str">
        <f>IFERROR(INDEX(ADP_Import!C:C,MATCH(ADP!AB183,ADP_Import!AG:AG,0)),"")</f>
        <v>RB</v>
      </c>
      <c r="AB183" s="439">
        <f>IFERROR(INDEX(ADP_Import!AG:AG,MATCH(SMALL(ADP_Import!AG:AG,X183),ADP_Import!AG:AG,0)),"NA")</f>
        <v>157.80013300000002</v>
      </c>
      <c r="AC183" s="265">
        <f>IFERROR(INDEX(ADP_Import!$D:$AE,MATCH(AB183,ADP_Import!AG:AG,0),$AG$6),"")</f>
        <v>23.9</v>
      </c>
      <c r="AI183" t="str">
        <f>INDEX('Draft Pick Order'!E:U,MATCH(A183,'Draft Pick Order'!C:C,0),(Instructions!$E$11*2-15))</f>
        <v>15-9</v>
      </c>
    </row>
    <row r="184" spans="1:35" x14ac:dyDescent="0.25">
      <c r="A184" s="230">
        <v>178</v>
      </c>
      <c r="B184">
        <f>IFERROR(IF(INDEX(Draft!BY:BY,MATCH(ADP!D184,Draft!BY:BY,0))=ADP!D184,1,0),0)</f>
        <v>0</v>
      </c>
      <c r="C184" t="str">
        <f>IF(AND(IFERROR(INDEX(Instructions!$T$111:$T$222,MATCH(D184,Instructions!$T$111:$T$222,0)), "")=D184, D184&lt;&gt;""), "X", "")</f>
        <v/>
      </c>
      <c r="D184" s="454" t="s">
        <v>2418</v>
      </c>
      <c r="E184" s="232" t="s">
        <v>141</v>
      </c>
      <c r="F184" s="232" t="s">
        <v>3</v>
      </c>
      <c r="G184" s="384">
        <v>160.90013300000001</v>
      </c>
      <c r="H184" s="456">
        <v>23</v>
      </c>
      <c r="I184" s="703"/>
      <c r="J184" s="691"/>
      <c r="K184" s="688"/>
      <c r="L184" s="688"/>
      <c r="M184" s="691"/>
      <c r="N184" s="234">
        <v>178</v>
      </c>
      <c r="O184" s="385" t="str">
        <f>F184&amp;COUNTIF($F$7:F184,F184)</f>
        <v>RB56</v>
      </c>
      <c r="P184" s="268">
        <f>VALUE('Draft Pick Order'!B180)</f>
        <v>215</v>
      </c>
      <c r="Q184" s="259">
        <f>COUNTIF(D$7:$F184,"QB")</f>
        <v>22</v>
      </c>
      <c r="R184" s="259">
        <f>COUNTIF($F$7:F184,"RB")</f>
        <v>56</v>
      </c>
      <c r="S184" s="259">
        <f>COUNTIF($F$7:F184,"WR")</f>
        <v>65</v>
      </c>
      <c r="T184" s="259">
        <f>COUNTIF($F$7:F184,"TE")</f>
        <v>18</v>
      </c>
      <c r="U184" s="259">
        <f>COUNTIF($F$7:F184,"DST")</f>
        <v>8</v>
      </c>
      <c r="V184" s="259">
        <f>COUNTIF($F$7:F184,"K")</f>
        <v>9</v>
      </c>
      <c r="X184" s="265">
        <v>178</v>
      </c>
      <c r="Y184" s="259" t="str">
        <f>IFERROR(INDEX(ADP_Import!A:A,MATCH(ADP!AB184,ADP_Import!AG:AG,0)),"")</f>
        <v>KJ Osborn</v>
      </c>
      <c r="Z184" s="259" t="str">
        <f>IFERROR(INDEX(ADP_Import!B:B,MATCH(ADP!AB184,ADP_Import!AG:AG,0)),"")</f>
        <v>MIN</v>
      </c>
      <c r="AA184" s="259" t="str">
        <f>IFERROR(INDEX(ADP_Import!C:C,MATCH(ADP!AB184,ADP_Import!AG:AG,0)),"")</f>
        <v>WR</v>
      </c>
      <c r="AB184" s="439">
        <f>IFERROR(INDEX(ADP_Import!AG:AG,MATCH(SMALL(ADP_Import!AG:AG,X184),ADP_Import!AG:AG,0)),"NA")</f>
        <v>157.800284</v>
      </c>
      <c r="AC184" s="265">
        <f>IFERROR(INDEX(ADP_Import!$D:$AE,MATCH(AB184,ADP_Import!AG:AG,0),$AG$6),"")</f>
        <v>18.100000000000001</v>
      </c>
      <c r="AI184" t="str">
        <f>INDEX('Draft Pick Order'!E:U,MATCH(A184,'Draft Pick Order'!C:C,0),(Instructions!$E$11*2-15))</f>
        <v>15-10</v>
      </c>
    </row>
    <row r="185" spans="1:35" x14ac:dyDescent="0.25">
      <c r="A185" s="230">
        <v>179</v>
      </c>
      <c r="B185">
        <f>IFERROR(IF(INDEX(Draft!BY:BY,MATCH(ADP!D185,Draft!BY:BY,0))=ADP!D185,1,0),0)</f>
        <v>0</v>
      </c>
      <c r="C185" t="str">
        <f>IF(AND(IFERROR(INDEX(Instructions!$T$111:$T$222,MATCH(D185,Instructions!$T$111:$T$222,0)), "")=D185, D185&lt;&gt;""), "X", "")</f>
        <v/>
      </c>
      <c r="D185" s="454" t="s">
        <v>2222</v>
      </c>
      <c r="E185" s="232" t="s">
        <v>138</v>
      </c>
      <c r="F185" s="232" t="s">
        <v>6</v>
      </c>
      <c r="G185" s="383">
        <v>163.20028399999998</v>
      </c>
      <c r="H185" s="455">
        <v>12.1</v>
      </c>
      <c r="I185" s="703"/>
      <c r="J185" s="691"/>
      <c r="K185" s="688"/>
      <c r="L185" s="688"/>
      <c r="M185" s="691"/>
      <c r="N185" s="234">
        <v>179</v>
      </c>
      <c r="O185" s="385" t="str">
        <f>F185&amp;COUNTIF($F$7:F185,F185)</f>
        <v>WR66</v>
      </c>
      <c r="P185" s="268">
        <f>VALUE('Draft Pick Order'!B181)</f>
        <v>215</v>
      </c>
      <c r="Q185" s="259">
        <f>COUNTIF(D$7:$F185,"QB")</f>
        <v>22</v>
      </c>
      <c r="R185" s="259">
        <f>COUNTIF($F$7:F185,"RB")</f>
        <v>56</v>
      </c>
      <c r="S185" s="259">
        <f>COUNTIF($F$7:F185,"WR")</f>
        <v>66</v>
      </c>
      <c r="T185" s="259">
        <f>COUNTIF($F$7:F185,"TE")</f>
        <v>18</v>
      </c>
      <c r="U185" s="259">
        <f>COUNTIF($F$7:F185,"DST")</f>
        <v>8</v>
      </c>
      <c r="V185" s="259">
        <f>COUNTIF($F$7:F185,"K")</f>
        <v>9</v>
      </c>
      <c r="X185" s="265">
        <v>179</v>
      </c>
      <c r="Y185" s="259" t="str">
        <f>IFERROR(INDEX(ADP_Import!A:A,MATCH(ADP!AB185,ADP_Import!AG:AG,0)),"")</f>
        <v>Alec Pierce</v>
      </c>
      <c r="Z185" s="259" t="str">
        <f>IFERROR(INDEX(ADP_Import!B:B,MATCH(ADP!AB185,ADP_Import!AG:AG,0)),"")</f>
        <v>IND</v>
      </c>
      <c r="AA185" s="259" t="str">
        <f>IFERROR(INDEX(ADP_Import!C:C,MATCH(ADP!AB185,ADP_Import!AG:AG,0)),"")</f>
        <v>WR</v>
      </c>
      <c r="AB185" s="439">
        <f>IFERROR(INDEX(ADP_Import!AG:AG,MATCH(SMALL(ADP_Import!AG:AG,X185),ADP_Import!AG:AG,0)),"NA")</f>
        <v>157.90071600000002</v>
      </c>
      <c r="AC185" s="265">
        <f>IFERROR(INDEX(ADP_Import!$D:$AE,MATCH(AB185,ADP_Import!AG:AG,0),$AG$6),"")</f>
        <v>15.1</v>
      </c>
      <c r="AI185" t="str">
        <f>INDEX('Draft Pick Order'!E:U,MATCH(A185,'Draft Pick Order'!C:C,0),(Instructions!$E$11*2-15))</f>
        <v>15-11</v>
      </c>
    </row>
    <row r="186" spans="1:35" ht="15.75" thickBot="1" x14ac:dyDescent="0.3">
      <c r="A186" s="230">
        <v>180</v>
      </c>
      <c r="B186">
        <f>IFERROR(IF(INDEX(Draft!BY:BY,MATCH(ADP!D186,Draft!BY:BY,0))=ADP!D186,1,0),0)</f>
        <v>0</v>
      </c>
      <c r="C186" t="str">
        <f>IF(AND(IFERROR(INDEX(Instructions!$T$111:$T$222,MATCH(D186,Instructions!$T$111:$T$222,0)), "")=D186, D186&lt;&gt;""), "X", "")</f>
        <v/>
      </c>
      <c r="D186" s="454" t="s">
        <v>2111</v>
      </c>
      <c r="E186" s="232" t="s">
        <v>154</v>
      </c>
      <c r="F186" s="232" t="s">
        <v>3</v>
      </c>
      <c r="G186" s="384">
        <v>163.400397</v>
      </c>
      <c r="H186" s="456">
        <v>14.2</v>
      </c>
      <c r="I186" s="703"/>
      <c r="J186" s="692"/>
      <c r="K186" s="689"/>
      <c r="L186" s="688"/>
      <c r="M186" s="691"/>
      <c r="N186" s="234">
        <v>180</v>
      </c>
      <c r="O186" s="385" t="str">
        <f>F186&amp;COUNTIF($F$7:F186,F186)</f>
        <v>RB57</v>
      </c>
      <c r="P186" s="268">
        <f>VALUE('Draft Pick Order'!B182)</f>
        <v>215</v>
      </c>
      <c r="Q186" s="259">
        <f>COUNTIF(D$7:$F186,"QB")</f>
        <v>22</v>
      </c>
      <c r="R186" s="259">
        <f>COUNTIF($F$7:F186,"RB")</f>
        <v>57</v>
      </c>
      <c r="S186" s="259">
        <f>COUNTIF($F$7:F186,"WR")</f>
        <v>66</v>
      </c>
      <c r="T186" s="259">
        <f>COUNTIF($F$7:F186,"TE")</f>
        <v>18</v>
      </c>
      <c r="U186" s="259">
        <f>COUNTIF($F$7:F186,"DST")</f>
        <v>8</v>
      </c>
      <c r="V186" s="259">
        <f>COUNTIF($F$7:F186,"K")</f>
        <v>9</v>
      </c>
      <c r="X186" s="265">
        <v>180</v>
      </c>
      <c r="Y186" s="259" t="str">
        <f>IFERROR(INDEX(ADP_Import!A:A,MATCH(ADP!AB186,ADP_Import!AG:AG,0)),"")</f>
        <v>John Metchie</v>
      </c>
      <c r="Z186" s="259" t="str">
        <f>IFERROR(INDEX(ADP_Import!B:B,MATCH(ADP!AB186,ADP_Import!AG:AG,0)),"")</f>
        <v>HOU</v>
      </c>
      <c r="AA186" s="259" t="str">
        <f>IFERROR(INDEX(ADP_Import!C:C,MATCH(ADP!AB186,ADP_Import!AG:AG,0)),"")</f>
        <v>WR</v>
      </c>
      <c r="AB186" s="439">
        <f>IFERROR(INDEX(ADP_Import!AG:AG,MATCH(SMALL(ADP_Import!AG:AG,X186),ADP_Import!AG:AG,0)),"NA")</f>
        <v>158.40035800000001</v>
      </c>
      <c r="AC186" s="265">
        <f>IFERROR(INDEX(ADP_Import!$D:$AE,MATCH(AB186,ADP_Import!AG:AG,0),$AG$6),"")</f>
        <v>17.2</v>
      </c>
      <c r="AI186" t="str">
        <f>INDEX('Draft Pick Order'!E:U,MATCH(A186,'Draft Pick Order'!C:C,0),(Instructions!$E$11*2-15))</f>
        <v>15-12</v>
      </c>
    </row>
    <row r="187" spans="1:35" ht="15" customHeight="1" x14ac:dyDescent="0.25">
      <c r="A187" s="230">
        <v>181</v>
      </c>
      <c r="B187">
        <f>IFERROR(IF(INDEX(Draft!BY:BY,MATCH(ADP!D187,Draft!BY:BY,0))=ADP!D187,1,0),0)</f>
        <v>0</v>
      </c>
      <c r="C187" t="str">
        <f>IF(AND(IFERROR(INDEX(Instructions!$T$111:$T$222,MATCH(D187,Instructions!$T$111:$T$222,0)), "")=D187, D187&lt;&gt;""), "X", "")</f>
        <v/>
      </c>
      <c r="D187" s="454" t="s">
        <v>2417</v>
      </c>
      <c r="E187" s="232" t="s">
        <v>142</v>
      </c>
      <c r="F187" s="232" t="s">
        <v>7</v>
      </c>
      <c r="G187" s="383">
        <v>163.70012399999999</v>
      </c>
      <c r="H187" s="455">
        <v>21.4</v>
      </c>
      <c r="I187" s="703"/>
      <c r="J187" s="687" t="s">
        <v>1457</v>
      </c>
      <c r="K187" s="690" t="s">
        <v>1086</v>
      </c>
      <c r="L187" s="688"/>
      <c r="M187" s="691"/>
      <c r="N187" s="234">
        <v>181</v>
      </c>
      <c r="O187" s="385" t="str">
        <f>F187&amp;COUNTIF($F$7:F187,F187)</f>
        <v>TE19</v>
      </c>
      <c r="P187" s="268">
        <f>VALUE('Draft Pick Order'!B183)</f>
        <v>215</v>
      </c>
      <c r="Q187" s="259">
        <f>COUNTIF(D$7:$F187,"QB")</f>
        <v>22</v>
      </c>
      <c r="R187" s="259">
        <f>COUNTIF($F$7:F187,"RB")</f>
        <v>57</v>
      </c>
      <c r="S187" s="259">
        <f>COUNTIF($F$7:F187,"WR")</f>
        <v>66</v>
      </c>
      <c r="T187" s="259">
        <f>COUNTIF($F$7:F187,"TE")</f>
        <v>19</v>
      </c>
      <c r="U187" s="259">
        <f>COUNTIF($F$7:F187,"DST")</f>
        <v>8</v>
      </c>
      <c r="V187" s="259">
        <f>COUNTIF($F$7:F187,"K")</f>
        <v>9</v>
      </c>
      <c r="X187" s="265">
        <v>181</v>
      </c>
      <c r="Y187" s="259" t="str">
        <f>IFERROR(INDEX(ADP_Import!A:A,MATCH(ADP!AB187,ADP_Import!AG:AG,0)),"")</f>
        <v>Dawson Knox</v>
      </c>
      <c r="Z187" s="259" t="str">
        <f>IFERROR(INDEX(ADP_Import!B:B,MATCH(ADP!AB187,ADP_Import!AG:AG,0)),"")</f>
        <v>BUF</v>
      </c>
      <c r="AA187" s="259" t="str">
        <f>IFERROR(INDEX(ADP_Import!C:C,MATCH(ADP!AB187,ADP_Import!AG:AG,0)),"")</f>
        <v>TE</v>
      </c>
      <c r="AB187" s="439">
        <f>IFERROR(INDEX(ADP_Import!AG:AG,MATCH(SMALL(ADP_Import!AG:AG,X187),ADP_Import!AG:AG,0)),"NA")</f>
        <v>158.60054700000001</v>
      </c>
      <c r="AC187" s="265">
        <f>IFERROR(INDEX(ADP_Import!$D:$AE,MATCH(AB187,ADP_Import!AG:AG,0),$AG$6),"")</f>
        <v>20.100000000000001</v>
      </c>
      <c r="AI187" t="str">
        <f>INDEX('Draft Pick Order'!E:U,MATCH(A187,'Draft Pick Order'!C:C,0),(Instructions!$E$11*2-15))</f>
        <v>16-1</v>
      </c>
    </row>
    <row r="188" spans="1:35" ht="15.75" thickBot="1" x14ac:dyDescent="0.3">
      <c r="A188" s="230">
        <v>182</v>
      </c>
      <c r="B188">
        <f>IFERROR(IF(INDEX(Draft!BY:BY,MATCH(ADP!D188,Draft!BY:BY,0))=ADP!D188,1,0),0)</f>
        <v>0</v>
      </c>
      <c r="C188" t="str">
        <f>IF(AND(IFERROR(INDEX(Instructions!$T$111:$T$222,MATCH(D188,Instructions!$T$111:$T$222,0)), "")=D188, D188&lt;&gt;""), "X", "")</f>
        <v/>
      </c>
      <c r="D188" s="454" t="s">
        <v>2095</v>
      </c>
      <c r="E188" s="232" t="s">
        <v>141</v>
      </c>
      <c r="F188" s="232" t="s">
        <v>6</v>
      </c>
      <c r="G188" s="384">
        <v>163.70062799999999</v>
      </c>
      <c r="H188" s="456">
        <v>11.9</v>
      </c>
      <c r="I188" s="703"/>
      <c r="J188" s="688"/>
      <c r="K188" s="691"/>
      <c r="L188" s="689"/>
      <c r="M188" s="691"/>
      <c r="N188" s="234">
        <v>182</v>
      </c>
      <c r="O188" s="385" t="str">
        <f>F188&amp;COUNTIF($F$7:F188,F188)</f>
        <v>WR67</v>
      </c>
      <c r="P188" s="268">
        <f>VALUE('Draft Pick Order'!B184)</f>
        <v>215</v>
      </c>
      <c r="Q188" s="259">
        <f>COUNTIF(D$7:$F188,"QB")</f>
        <v>22</v>
      </c>
      <c r="R188" s="259">
        <f>COUNTIF($F$7:F188,"RB")</f>
        <v>57</v>
      </c>
      <c r="S188" s="259">
        <f>COUNTIF($F$7:F188,"WR")</f>
        <v>67</v>
      </c>
      <c r="T188" s="259">
        <f>COUNTIF($F$7:F188,"TE")</f>
        <v>19</v>
      </c>
      <c r="U188" s="259">
        <f>COUNTIF($F$7:F188,"DST")</f>
        <v>8</v>
      </c>
      <c r="V188" s="259">
        <f>COUNTIF($F$7:F188,"K")</f>
        <v>9</v>
      </c>
      <c r="X188" s="265">
        <v>182</v>
      </c>
      <c r="Y188" s="259" t="str">
        <f>IFERROR(INDEX(ADP_Import!A:A,MATCH(ADP!AB188,ADP_Import!AG:AG,0)),"")</f>
        <v>Justyn Ross</v>
      </c>
      <c r="Z188" s="259" t="str">
        <f>IFERROR(INDEX(ADP_Import!B:B,MATCH(ADP!AB188,ADP_Import!AG:AG,0)),"")</f>
        <v>KC</v>
      </c>
      <c r="AA188" s="259" t="str">
        <f>IFERROR(INDEX(ADP_Import!C:C,MATCH(ADP!AB188,ADP_Import!AG:AG,0)),"")</f>
        <v>WR</v>
      </c>
      <c r="AB188" s="439">
        <f>IFERROR(INDEX(ADP_Import!AG:AG,MATCH(SMALL(ADP_Import!AG:AG,X188),ADP_Import!AG:AG,0)),"NA")</f>
        <v>158.70032499999999</v>
      </c>
      <c r="AC188" s="265">
        <f>IFERROR(INDEX(ADP_Import!$D:$AE,MATCH(AB188,ADP_Import!AG:AG,0),$AG$6),"")</f>
        <v>20.2</v>
      </c>
      <c r="AI188" t="str">
        <f>INDEX('Draft Pick Order'!E:U,MATCH(A188,'Draft Pick Order'!C:C,0),(Instructions!$E$11*2-15))</f>
        <v>16-2</v>
      </c>
    </row>
    <row r="189" spans="1:35" x14ac:dyDescent="0.25">
      <c r="A189" s="230">
        <v>183</v>
      </c>
      <c r="B189">
        <f>IFERROR(IF(INDEX(Draft!BY:BY,MATCH(ADP!D189,Draft!BY:BY,0))=ADP!D189,1,0),0)</f>
        <v>0</v>
      </c>
      <c r="C189" t="str">
        <f>IF(AND(IFERROR(INDEX(Instructions!$T$111:$T$222,MATCH(D189,Instructions!$T$111:$T$222,0)), "")=D189, D189&lt;&gt;""), "X", "")</f>
        <v/>
      </c>
      <c r="D189" s="454" t="s">
        <v>190</v>
      </c>
      <c r="E189" s="232" t="s">
        <v>147</v>
      </c>
      <c r="F189" s="232" t="s">
        <v>6</v>
      </c>
      <c r="G189" s="383">
        <v>163.800712</v>
      </c>
      <c r="H189" s="455">
        <v>15.5</v>
      </c>
      <c r="I189" s="703"/>
      <c r="J189" s="688"/>
      <c r="K189" s="691"/>
      <c r="L189" s="690" t="s">
        <v>909</v>
      </c>
      <c r="M189" s="691"/>
      <c r="N189" s="234">
        <v>183</v>
      </c>
      <c r="O189" s="385" t="str">
        <f>F189&amp;COUNTIF($F$7:F189,F189)</f>
        <v>WR68</v>
      </c>
      <c r="P189" s="268">
        <f>VALUE('Draft Pick Order'!B185)</f>
        <v>215</v>
      </c>
      <c r="Q189" s="259">
        <f>COUNTIF(D$7:$F189,"QB")</f>
        <v>22</v>
      </c>
      <c r="R189" s="259">
        <f>COUNTIF($F$7:F189,"RB")</f>
        <v>57</v>
      </c>
      <c r="S189" s="259">
        <f>COUNTIF($F$7:F189,"WR")</f>
        <v>68</v>
      </c>
      <c r="T189" s="259">
        <f>COUNTIF($F$7:F189,"TE")</f>
        <v>19</v>
      </c>
      <c r="U189" s="259">
        <f>COUNTIF($F$7:F189,"DST")</f>
        <v>8</v>
      </c>
      <c r="V189" s="259">
        <f>COUNTIF($F$7:F189,"K")</f>
        <v>9</v>
      </c>
      <c r="X189" s="265">
        <v>183</v>
      </c>
      <c r="Y189" s="259" t="str">
        <f>IFERROR(INDEX(ADP_Import!A:A,MATCH(ADP!AB189,ADP_Import!AG:AG,0)),"")</f>
        <v>Jason Sanders</v>
      </c>
      <c r="Z189" s="259" t="str">
        <f>IFERROR(INDEX(ADP_Import!B:B,MATCH(ADP!AB189,ADP_Import!AG:AG,0)),"")</f>
        <v>MIA</v>
      </c>
      <c r="AA189" s="259" t="str">
        <f>IFERROR(INDEX(ADP_Import!C:C,MATCH(ADP!AB189,ADP_Import!AG:AG,0)),"")</f>
        <v>K</v>
      </c>
      <c r="AB189" s="439">
        <f>IFERROR(INDEX(ADP_Import!AG:AG,MATCH(SMALL(ADP_Import!AG:AG,X189),ADP_Import!AG:AG,0)),"NA")</f>
        <v>159.500384</v>
      </c>
      <c r="AC189" s="265">
        <f>IFERROR(INDEX(ADP_Import!$D:$AE,MATCH(AB189,ADP_Import!AG:AG,0),$AG$6),"")</f>
        <v>16.8</v>
      </c>
      <c r="AI189" t="str">
        <f>INDEX('Draft Pick Order'!E:U,MATCH(A189,'Draft Pick Order'!C:C,0),(Instructions!$E$11*2-15))</f>
        <v>16-3</v>
      </c>
    </row>
    <row r="190" spans="1:35" ht="15.75" thickBot="1" x14ac:dyDescent="0.3">
      <c r="A190" s="230">
        <v>184</v>
      </c>
      <c r="B190">
        <f>IFERROR(IF(INDEX(Draft!BY:BY,MATCH(ADP!D190,Draft!BY:BY,0))=ADP!D190,1,0),0)</f>
        <v>0</v>
      </c>
      <c r="C190" t="str">
        <f>IF(AND(IFERROR(INDEX(Instructions!$T$111:$T$222,MATCH(D190,Instructions!$T$111:$T$222,0)), "")=D190, D190&lt;&gt;""), "X", "")</f>
        <v/>
      </c>
      <c r="D190" s="454" t="s">
        <v>1801</v>
      </c>
      <c r="E190" s="232" t="s">
        <v>136</v>
      </c>
      <c r="F190" s="232" t="s">
        <v>6</v>
      </c>
      <c r="G190" s="384">
        <v>164.00025099999999</v>
      </c>
      <c r="H190" s="456">
        <v>15.3</v>
      </c>
      <c r="I190" s="704"/>
      <c r="J190" s="688"/>
      <c r="K190" s="691"/>
      <c r="L190" s="691"/>
      <c r="M190" s="691"/>
      <c r="N190" s="234">
        <v>184</v>
      </c>
      <c r="O190" s="385" t="str">
        <f>F190&amp;COUNTIF($F$7:F190,F190)</f>
        <v>WR69</v>
      </c>
      <c r="P190" s="268">
        <f>VALUE('Draft Pick Order'!B186)</f>
        <v>215</v>
      </c>
      <c r="Q190" s="259">
        <f>COUNTIF(D$7:$F190,"QB")</f>
        <v>22</v>
      </c>
      <c r="R190" s="259">
        <f>COUNTIF($F$7:F190,"RB")</f>
        <v>57</v>
      </c>
      <c r="S190" s="259">
        <f>COUNTIF($F$7:F190,"WR")</f>
        <v>69</v>
      </c>
      <c r="T190" s="259">
        <f>COUNTIF($F$7:F190,"TE")</f>
        <v>19</v>
      </c>
      <c r="U190" s="259">
        <f>COUNTIF($F$7:F190,"DST")</f>
        <v>8</v>
      </c>
      <c r="V190" s="259">
        <f>COUNTIF($F$7:F190,"K")</f>
        <v>9</v>
      </c>
      <c r="X190" s="265">
        <v>184</v>
      </c>
      <c r="Y190" s="259" t="str">
        <f>IFERROR(INDEX(ADP_Import!A:A,MATCH(ADP!AB190,ADP_Import!AG:AG,0)),"")</f>
        <v>Chuba Hubbard</v>
      </c>
      <c r="Z190" s="259" t="str">
        <f>IFERROR(INDEX(ADP_Import!B:B,MATCH(ADP!AB190,ADP_Import!AG:AG,0)),"")</f>
        <v>CAR</v>
      </c>
      <c r="AA190" s="259" t="str">
        <f>IFERROR(INDEX(ADP_Import!C:C,MATCH(ADP!AB190,ADP_Import!AG:AG,0)),"")</f>
        <v>RB</v>
      </c>
      <c r="AB190" s="439">
        <f>IFERROR(INDEX(ADP_Import!AG:AG,MATCH(SMALL(ADP_Import!AG:AG,X190),ADP_Import!AG:AG,0)),"NA")</f>
        <v>159.60061099999999</v>
      </c>
      <c r="AC190" s="265">
        <f>IFERROR(INDEX(ADP_Import!$D:$AE,MATCH(AB190,ADP_Import!AG:AG,0),$AG$6),"")</f>
        <v>14.5</v>
      </c>
      <c r="AI190" t="str">
        <f>INDEX('Draft Pick Order'!E:U,MATCH(A190,'Draft Pick Order'!C:C,0),(Instructions!$E$11*2-15))</f>
        <v>16-4</v>
      </c>
    </row>
    <row r="191" spans="1:35" x14ac:dyDescent="0.25">
      <c r="A191" s="230">
        <v>185</v>
      </c>
      <c r="B191">
        <f>IFERROR(IF(INDEX(Draft!BY:BY,MATCH(ADP!D191,Draft!BY:BY,0))=ADP!D191,1,0),0)</f>
        <v>0</v>
      </c>
      <c r="C191" t="str">
        <f>IF(AND(IFERROR(INDEX(Instructions!$T$111:$T$222,MATCH(D191,Instructions!$T$111:$T$222,0)), "")=D191, D191&lt;&gt;""), "X", "")</f>
        <v/>
      </c>
      <c r="D191" s="454" t="s">
        <v>147</v>
      </c>
      <c r="E191" s="232" t="s">
        <v>147</v>
      </c>
      <c r="F191" s="232" t="s">
        <v>160</v>
      </c>
      <c r="G191" s="383">
        <v>164.70016799999999</v>
      </c>
      <c r="H191" s="455">
        <v>17.899999999999999</v>
      </c>
      <c r="I191" s="696" t="s">
        <v>1462</v>
      </c>
      <c r="J191" s="688"/>
      <c r="K191" s="691"/>
      <c r="L191" s="691"/>
      <c r="M191" s="691"/>
      <c r="N191" s="234">
        <v>185</v>
      </c>
      <c r="O191" s="385" t="str">
        <f>F191&amp;COUNTIF($F$7:F191,F191)</f>
        <v>DST9</v>
      </c>
      <c r="P191" s="268">
        <f>VALUE('Draft Pick Order'!B187)</f>
        <v>215</v>
      </c>
      <c r="Q191" s="259">
        <f>COUNTIF(D$7:$F191,"QB")</f>
        <v>22</v>
      </c>
      <c r="R191" s="259">
        <f>COUNTIF($F$7:F191,"RB")</f>
        <v>57</v>
      </c>
      <c r="S191" s="259">
        <f>COUNTIF($F$7:F191,"WR")</f>
        <v>69</v>
      </c>
      <c r="T191" s="259">
        <f>COUNTIF($F$7:F191,"TE")</f>
        <v>19</v>
      </c>
      <c r="U191" s="259">
        <f>COUNTIF($F$7:F191,"DST")</f>
        <v>9</v>
      </c>
      <c r="V191" s="259">
        <f>COUNTIF($F$7:F191,"K")</f>
        <v>9</v>
      </c>
      <c r="X191" s="265">
        <v>185</v>
      </c>
      <c r="Y191" s="259" t="str">
        <f>IFERROR(INDEX(ADP_Import!A:A,MATCH(ADP!AB191,ADP_Import!AG:AG,0)),"")</f>
        <v>Marquez Valdes-Scantling</v>
      </c>
      <c r="Z191" s="259" t="str">
        <f>IFERROR(INDEX(ADP_Import!B:B,MATCH(ADP!AB191,ADP_Import!AG:AG,0)),"")</f>
        <v>KC</v>
      </c>
      <c r="AA191" s="259" t="str">
        <f>IFERROR(INDEX(ADP_Import!C:C,MATCH(ADP!AB191,ADP_Import!AG:AG,0)),"")</f>
        <v>WR</v>
      </c>
      <c r="AB191" s="439">
        <f>IFERROR(INDEX(ADP_Import!AG:AG,MATCH(SMALL(ADP_Import!AG:AG,X191),ADP_Import!AG:AG,0)),"NA")</f>
        <v>160.20025099999998</v>
      </c>
      <c r="AC191" s="265">
        <f>IFERROR(INDEX(ADP_Import!$D:$AE,MATCH(AB191,ADP_Import!AG:AG,0),$AG$6),"")</f>
        <v>21.2</v>
      </c>
      <c r="AI191" t="str">
        <f>INDEX('Draft Pick Order'!E:U,MATCH(A191,'Draft Pick Order'!C:C,0),(Instructions!$E$11*2-15))</f>
        <v>16-5</v>
      </c>
    </row>
    <row r="192" spans="1:35" x14ac:dyDescent="0.25">
      <c r="A192" s="230">
        <v>186</v>
      </c>
      <c r="B192">
        <f>IFERROR(IF(INDEX(Draft!BY:BY,MATCH(ADP!D192,Draft!BY:BY,0))=ADP!D192,1,0),0)</f>
        <v>0</v>
      </c>
      <c r="C192" t="str">
        <f>IF(AND(IFERROR(INDEX(Instructions!$T$111:$T$222,MATCH(D192,Instructions!$T$111:$T$222,0)), "")=D192, D192&lt;&gt;""), "X", "")</f>
        <v/>
      </c>
      <c r="D192" s="454" t="s">
        <v>48</v>
      </c>
      <c r="E192" s="232" t="s">
        <v>2272</v>
      </c>
      <c r="F192" s="232" t="s">
        <v>7</v>
      </c>
      <c r="G192" s="384">
        <v>165.80001300000001</v>
      </c>
      <c r="H192" s="456">
        <v>38.5</v>
      </c>
      <c r="I192" s="697"/>
      <c r="J192" s="688"/>
      <c r="K192" s="691"/>
      <c r="L192" s="691"/>
      <c r="M192" s="691"/>
      <c r="N192" s="234">
        <v>186</v>
      </c>
      <c r="O192" s="385" t="str">
        <f>F192&amp;COUNTIF($F$7:F192,F192)</f>
        <v>TE20</v>
      </c>
      <c r="P192" s="268">
        <f>VALUE('Draft Pick Order'!B188)</f>
        <v>215</v>
      </c>
      <c r="Q192" s="259">
        <f>COUNTIF(D$7:$F192,"QB")</f>
        <v>22</v>
      </c>
      <c r="R192" s="259">
        <f>COUNTIF($F$7:F192,"RB")</f>
        <v>57</v>
      </c>
      <c r="S192" s="259">
        <f>COUNTIF($F$7:F192,"WR")</f>
        <v>69</v>
      </c>
      <c r="T192" s="259">
        <f>COUNTIF($F$7:F192,"TE")</f>
        <v>20</v>
      </c>
      <c r="U192" s="259">
        <f>COUNTIF($F$7:F192,"DST")</f>
        <v>9</v>
      </c>
      <c r="V192" s="259">
        <f>COUNTIF($F$7:F192,"K")</f>
        <v>9</v>
      </c>
      <c r="X192" s="265">
        <v>186</v>
      </c>
      <c r="Y192" s="259" t="str">
        <f>IFERROR(INDEX(ADP_Import!A:A,MATCH(ADP!AB192,ADP_Import!AG:AG,0)),"")</f>
        <v>Jerome Ford</v>
      </c>
      <c r="Z192" s="259" t="str">
        <f>IFERROR(INDEX(ADP_Import!B:B,MATCH(ADP!AB192,ADP_Import!AG:AG,0)),"")</f>
        <v>CLE</v>
      </c>
      <c r="AA192" s="259" t="str">
        <f>IFERROR(INDEX(ADP_Import!C:C,MATCH(ADP!AB192,ADP_Import!AG:AG,0)),"")</f>
        <v>RB</v>
      </c>
      <c r="AB192" s="439">
        <f>IFERROR(INDEX(ADP_Import!AG:AG,MATCH(SMALL(ADP_Import!AG:AG,X192),ADP_Import!AG:AG,0)),"NA")</f>
        <v>160.500372</v>
      </c>
      <c r="AC192" s="265">
        <f>IFERROR(INDEX(ADP_Import!$D:$AE,MATCH(AB192,ADP_Import!AG:AG,0),$AG$6),"")</f>
        <v>13.1</v>
      </c>
      <c r="AI192" t="str">
        <f>INDEX('Draft Pick Order'!E:U,MATCH(A192,'Draft Pick Order'!C:C,0),(Instructions!$E$11*2-15))</f>
        <v>16-6</v>
      </c>
    </row>
    <row r="193" spans="1:35" x14ac:dyDescent="0.25">
      <c r="A193" s="230">
        <v>187</v>
      </c>
      <c r="B193">
        <f>IFERROR(IF(INDEX(Draft!BY:BY,MATCH(ADP!D193,Draft!BY:BY,0))=ADP!D193,1,0),0)</f>
        <v>0</v>
      </c>
      <c r="C193" t="str">
        <f>IF(AND(IFERROR(INDEX(Instructions!$T$111:$T$222,MATCH(D193,Instructions!$T$111:$T$222,0)), "")=D193, D193&lt;&gt;""), "X", "")</f>
        <v/>
      </c>
      <c r="D193" s="454" t="s">
        <v>2327</v>
      </c>
      <c r="E193" s="232" t="s">
        <v>158</v>
      </c>
      <c r="F193" s="232" t="s">
        <v>6</v>
      </c>
      <c r="G193" s="383">
        <v>166.00071600000001</v>
      </c>
      <c r="H193" s="455">
        <v>23.3</v>
      </c>
      <c r="I193" s="697"/>
      <c r="J193" s="688"/>
      <c r="K193" s="691"/>
      <c r="L193" s="691"/>
      <c r="M193" s="691"/>
      <c r="N193" s="234">
        <v>187</v>
      </c>
      <c r="O193" s="385" t="str">
        <f>F193&amp;COUNTIF($F$7:F193,F193)</f>
        <v>WR70</v>
      </c>
      <c r="P193" s="268">
        <f>VALUE('Draft Pick Order'!B189)</f>
        <v>215</v>
      </c>
      <c r="Q193" s="259">
        <f>COUNTIF(D$7:$F193,"QB")</f>
        <v>22</v>
      </c>
      <c r="R193" s="259">
        <f>COUNTIF($F$7:F193,"RB")</f>
        <v>57</v>
      </c>
      <c r="S193" s="259">
        <f>COUNTIF($F$7:F193,"WR")</f>
        <v>70</v>
      </c>
      <c r="T193" s="259">
        <f>COUNTIF($F$7:F193,"TE")</f>
        <v>20</v>
      </c>
      <c r="U193" s="259">
        <f>COUNTIF($F$7:F193,"DST")</f>
        <v>9</v>
      </c>
      <c r="V193" s="259">
        <f>COUNTIF($F$7:F193,"K")</f>
        <v>9</v>
      </c>
      <c r="X193" s="265">
        <v>187</v>
      </c>
      <c r="Y193" s="259" t="str">
        <f>IFERROR(INDEX(ADP_Import!A:A,MATCH(ADP!AB193,ADP_Import!AG:AG,0)),"")</f>
        <v>PIT</v>
      </c>
      <c r="Z193" s="259" t="str">
        <f>IFERROR(INDEX(ADP_Import!B:B,MATCH(ADP!AB193,ADP_Import!AG:AG,0)),"")</f>
        <v>PIT</v>
      </c>
      <c r="AA193" s="259" t="str">
        <f>IFERROR(INDEX(ADP_Import!C:C,MATCH(ADP!AB193,ADP_Import!AG:AG,0)),"")</f>
        <v>DST</v>
      </c>
      <c r="AB193" s="439">
        <f>IFERROR(INDEX(ADP_Import!AG:AG,MATCH(SMALL(ADP_Import!AG:AG,X193),ADP_Import!AG:AG,0)),"NA")</f>
        <v>160.600168</v>
      </c>
      <c r="AC193" s="265">
        <f>IFERROR(INDEX(ADP_Import!$D:$AE,MATCH(AB193,ADP_Import!AG:AG,0),$AG$6),"")</f>
        <v>18.7</v>
      </c>
      <c r="AI193" t="str">
        <f>INDEX('Draft Pick Order'!E:U,MATCH(A193,'Draft Pick Order'!C:C,0),(Instructions!$E$11*2-15))</f>
        <v>16-7</v>
      </c>
    </row>
    <row r="194" spans="1:35" x14ac:dyDescent="0.25">
      <c r="A194" s="230">
        <v>188</v>
      </c>
      <c r="B194">
        <f>IFERROR(IF(INDEX(Draft!BY:BY,MATCH(ADP!D194,Draft!BY:BY,0))=ADP!D194,1,0),0)</f>
        <v>0</v>
      </c>
      <c r="C194" t="str">
        <f>IF(AND(IFERROR(INDEX(Instructions!$T$111:$T$222,MATCH(D194,Instructions!$T$111:$T$222,0)), "")=D194, D194&lt;&gt;""), "X", "")</f>
        <v/>
      </c>
      <c r="D194" s="454" t="s">
        <v>2148</v>
      </c>
      <c r="E194" s="232" t="s">
        <v>139</v>
      </c>
      <c r="F194" s="232" t="s">
        <v>1</v>
      </c>
      <c r="G194" s="384">
        <v>166.10034899999999</v>
      </c>
      <c r="H194" s="456">
        <v>24.8</v>
      </c>
      <c r="I194" s="697"/>
      <c r="J194" s="688"/>
      <c r="K194" s="691"/>
      <c r="L194" s="691"/>
      <c r="M194" s="691"/>
      <c r="N194" s="234">
        <v>188</v>
      </c>
      <c r="O194" s="385" t="str">
        <f>F194&amp;COUNTIF($F$7:F194,F194)</f>
        <v>QB23</v>
      </c>
      <c r="P194" s="268">
        <f>VALUE('Draft Pick Order'!B190)</f>
        <v>215</v>
      </c>
      <c r="Q194" s="259">
        <f>COUNTIF(D$7:$F194,"QB")</f>
        <v>23</v>
      </c>
      <c r="R194" s="259">
        <f>COUNTIF($F$7:F194,"RB")</f>
        <v>57</v>
      </c>
      <c r="S194" s="259">
        <f>COUNTIF($F$7:F194,"WR")</f>
        <v>70</v>
      </c>
      <c r="T194" s="259">
        <f>COUNTIF($F$7:F194,"TE")</f>
        <v>20</v>
      </c>
      <c r="U194" s="259">
        <f>COUNTIF($F$7:F194,"DST")</f>
        <v>9</v>
      </c>
      <c r="V194" s="259">
        <f>COUNTIF($F$7:F194,"K")</f>
        <v>9</v>
      </c>
      <c r="X194" s="265">
        <v>188</v>
      </c>
      <c r="Y194" s="259" t="str">
        <f>IFERROR(INDEX(ADP_Import!A:A,MATCH(ADP!AB194,ADP_Import!AG:AG,0)),"")</f>
        <v>Brandon McManus</v>
      </c>
      <c r="Z194" s="259" t="str">
        <f>IFERROR(INDEX(ADP_Import!B:B,MATCH(ADP!AB194,ADP_Import!AG:AG,0)),"")</f>
        <v>JAC</v>
      </c>
      <c r="AA194" s="259" t="str">
        <f>IFERROR(INDEX(ADP_Import!C:C,MATCH(ADP!AB194,ADP_Import!AG:AG,0)),"")</f>
        <v>K</v>
      </c>
      <c r="AB194" s="439">
        <f>IFERROR(INDEX(ADP_Import!AG:AG,MATCH(SMALL(ADP_Import!AG:AG,X194),ADP_Import!AG:AG,0)),"NA")</f>
        <v>160.80067000000003</v>
      </c>
      <c r="AC194" s="265">
        <f>IFERROR(INDEX(ADP_Import!$D:$AE,MATCH(AB194,ADP_Import!AG:AG,0),$AG$6),"")</f>
        <v>14</v>
      </c>
      <c r="AI194" t="str">
        <f>INDEX('Draft Pick Order'!E:U,MATCH(A194,'Draft Pick Order'!C:C,0),(Instructions!$E$11*2-15))</f>
        <v>16-8</v>
      </c>
    </row>
    <row r="195" spans="1:35" x14ac:dyDescent="0.25">
      <c r="A195" s="230">
        <v>189</v>
      </c>
      <c r="B195">
        <f>IFERROR(IF(INDEX(Draft!BY:BY,MATCH(ADP!D195,Draft!BY:BY,0))=ADP!D195,1,0),0)</f>
        <v>0</v>
      </c>
      <c r="C195" t="str">
        <f>IF(AND(IFERROR(INDEX(Instructions!$T$111:$T$222,MATCH(D195,Instructions!$T$111:$T$222,0)), "")=D195, D195&lt;&gt;""), "X", "")</f>
        <v/>
      </c>
      <c r="D195" s="454" t="s">
        <v>136</v>
      </c>
      <c r="E195" s="232" t="s">
        <v>136</v>
      </c>
      <c r="F195" s="232" t="s">
        <v>160</v>
      </c>
      <c r="G195" s="383">
        <v>167.20031499999999</v>
      </c>
      <c r="H195" s="455">
        <v>24.6</v>
      </c>
      <c r="I195" s="697"/>
      <c r="J195" s="688"/>
      <c r="K195" s="691"/>
      <c r="L195" s="691"/>
      <c r="M195" s="691"/>
      <c r="N195" s="234">
        <v>189</v>
      </c>
      <c r="O195" s="385" t="str">
        <f>F195&amp;COUNTIF($F$7:F195,F195)</f>
        <v>DST10</v>
      </c>
      <c r="P195" s="268">
        <f>VALUE('Draft Pick Order'!B191)</f>
        <v>215</v>
      </c>
      <c r="Q195" s="259">
        <f>COUNTIF(D$7:$F195,"QB")</f>
        <v>23</v>
      </c>
      <c r="R195" s="259">
        <f>COUNTIF($F$7:F195,"RB")</f>
        <v>57</v>
      </c>
      <c r="S195" s="259">
        <f>COUNTIF($F$7:F195,"WR")</f>
        <v>70</v>
      </c>
      <c r="T195" s="259">
        <f>COUNTIF($F$7:F195,"TE")</f>
        <v>20</v>
      </c>
      <c r="U195" s="259">
        <f>COUNTIF($F$7:F195,"DST")</f>
        <v>10</v>
      </c>
      <c r="V195" s="259">
        <f>COUNTIF($F$7:F195,"K")</f>
        <v>9</v>
      </c>
      <c r="X195" s="265">
        <v>189</v>
      </c>
      <c r="Y195" s="259" t="str">
        <f>IFERROR(INDEX(ADP_Import!A:A,MATCH(ADP!AB195,ADP_Import!AG:AG,0)),"")</f>
        <v>Greg Zuerlein</v>
      </c>
      <c r="Z195" s="259" t="str">
        <f>IFERROR(INDEX(ADP_Import!B:B,MATCH(ADP!AB195,ADP_Import!AG:AG,0)),"")</f>
        <v>NYJ</v>
      </c>
      <c r="AA195" s="259" t="str">
        <f>IFERROR(INDEX(ADP_Import!C:C,MATCH(ADP!AB195,ADP_Import!AG:AG,0)),"")</f>
        <v>K</v>
      </c>
      <c r="AB195" s="439">
        <f>IFERROR(INDEX(ADP_Import!AG:AG,MATCH(SMALL(ADP_Import!AG:AG,X195),ADP_Import!AG:AG,0)),"NA")</f>
        <v>162.60045600000001</v>
      </c>
      <c r="AC195" s="265">
        <f>IFERROR(INDEX(ADP_Import!$D:$AE,MATCH(AB195,ADP_Import!AG:AG,0),$AG$6),"")</f>
        <v>21.2</v>
      </c>
      <c r="AI195" t="str">
        <f>INDEX('Draft Pick Order'!E:U,MATCH(A195,'Draft Pick Order'!C:C,0),(Instructions!$E$11*2-15))</f>
        <v>16-9</v>
      </c>
    </row>
    <row r="196" spans="1:35" ht="15.75" thickBot="1" x14ac:dyDescent="0.3">
      <c r="A196" s="230">
        <v>190</v>
      </c>
      <c r="B196">
        <f>IFERROR(IF(INDEX(Draft!BY:BY,MATCH(ADP!D196,Draft!BY:BY,0))=ADP!D196,1,0),0)</f>
        <v>0</v>
      </c>
      <c r="C196" t="str">
        <f>IF(AND(IFERROR(INDEX(Instructions!$T$111:$T$222,MATCH(D196,Instructions!$T$111:$T$222,0)), "")=D196, D196&lt;&gt;""), "X", "")</f>
        <v/>
      </c>
      <c r="D196" s="454" t="s">
        <v>1820</v>
      </c>
      <c r="E196" s="232" t="s">
        <v>166</v>
      </c>
      <c r="F196" s="232" t="s">
        <v>11</v>
      </c>
      <c r="G196" s="384">
        <v>167.80038400000001</v>
      </c>
      <c r="H196" s="456">
        <v>15.5</v>
      </c>
      <c r="I196" s="697"/>
      <c r="J196" s="689"/>
      <c r="K196" s="691"/>
      <c r="L196" s="691"/>
      <c r="M196" s="691"/>
      <c r="N196" s="234">
        <v>190</v>
      </c>
      <c r="O196" s="385" t="str">
        <f>F196&amp;COUNTIF($F$7:F196,F196)</f>
        <v>K10</v>
      </c>
      <c r="P196" s="268">
        <f>VALUE('Draft Pick Order'!B192)</f>
        <v>215</v>
      </c>
      <c r="Q196" s="259">
        <f>COUNTIF(D$7:$F196,"QB")</f>
        <v>23</v>
      </c>
      <c r="R196" s="259">
        <f>COUNTIF($F$7:F196,"RB")</f>
        <v>57</v>
      </c>
      <c r="S196" s="259">
        <f>COUNTIF($F$7:F196,"WR")</f>
        <v>70</v>
      </c>
      <c r="T196" s="259">
        <f>COUNTIF($F$7:F196,"TE")</f>
        <v>20</v>
      </c>
      <c r="U196" s="259">
        <f>COUNTIF($F$7:F196,"DST")</f>
        <v>10</v>
      </c>
      <c r="V196" s="259">
        <f>COUNTIF($F$7:F196,"K")</f>
        <v>10</v>
      </c>
      <c r="X196" s="265">
        <v>190</v>
      </c>
      <c r="Y196" s="259" t="str">
        <f>IFERROR(INDEX(ADP_Import!A:A,MATCH(ADP!AB196,ADP_Import!AG:AG,0)),"")</f>
        <v>Jordan Love</v>
      </c>
      <c r="Z196" s="259" t="str">
        <f>IFERROR(INDEX(ADP_Import!B:B,MATCH(ADP!AB196,ADP_Import!AG:AG,0)),"")</f>
        <v>GB</v>
      </c>
      <c r="AA196" s="259" t="str">
        <f>IFERROR(INDEX(ADP_Import!C:C,MATCH(ADP!AB196,ADP_Import!AG:AG,0)),"")</f>
        <v>QB</v>
      </c>
      <c r="AB196" s="439">
        <f>IFERROR(INDEX(ADP_Import!AG:AG,MATCH(SMALL(ADP_Import!AG:AG,X196),ADP_Import!AG:AG,0)),"NA")</f>
        <v>162.70034899999999</v>
      </c>
      <c r="AC196" s="265">
        <f>IFERROR(INDEX(ADP_Import!$D:$AE,MATCH(AB196,ADP_Import!AG:AG,0),$AG$6),"")</f>
        <v>19.3</v>
      </c>
      <c r="AI196" t="str">
        <f>INDEX('Draft Pick Order'!E:U,MATCH(A196,'Draft Pick Order'!C:C,0),(Instructions!$E$11*2-15))</f>
        <v>16-10</v>
      </c>
    </row>
    <row r="197" spans="1:35" x14ac:dyDescent="0.25">
      <c r="A197" s="230">
        <v>191</v>
      </c>
      <c r="B197">
        <f>IFERROR(IF(INDEX(Draft!BY:BY,MATCH(ADP!D197,Draft!BY:BY,0))=ADP!D197,1,0),0)</f>
        <v>0</v>
      </c>
      <c r="C197" t="str">
        <f>IF(AND(IFERROR(INDEX(Instructions!$T$111:$T$222,MATCH(D197,Instructions!$T$111:$T$222,0)), "")=D197, D197&lt;&gt;""), "X", "")</f>
        <v/>
      </c>
      <c r="D197" s="454" t="s">
        <v>166</v>
      </c>
      <c r="E197" s="232" t="s">
        <v>166</v>
      </c>
      <c r="F197" s="232" t="s">
        <v>160</v>
      </c>
      <c r="G197" s="383">
        <v>168.200231</v>
      </c>
      <c r="H197" s="455">
        <v>15.4</v>
      </c>
      <c r="I197" s="697"/>
      <c r="J197" s="690" t="s">
        <v>1458</v>
      </c>
      <c r="K197" s="691"/>
      <c r="L197" s="691"/>
      <c r="M197" s="691"/>
      <c r="N197" s="234">
        <v>191</v>
      </c>
      <c r="O197" s="385" t="str">
        <f>F197&amp;COUNTIF($F$7:F197,F197)</f>
        <v>DST11</v>
      </c>
      <c r="P197" s="268">
        <f>VALUE('Draft Pick Order'!B193)</f>
        <v>216</v>
      </c>
      <c r="Q197" s="259">
        <f>COUNTIF(D$7:$F197,"QB")</f>
        <v>23</v>
      </c>
      <c r="R197" s="259">
        <f>COUNTIF($F$7:F197,"RB")</f>
        <v>57</v>
      </c>
      <c r="S197" s="259">
        <f>COUNTIF($F$7:F197,"WR")</f>
        <v>70</v>
      </c>
      <c r="T197" s="259">
        <f>COUNTIF($F$7:F197,"TE")</f>
        <v>20</v>
      </c>
      <c r="U197" s="259">
        <f>COUNTIF($F$7:F197,"DST")</f>
        <v>11</v>
      </c>
      <c r="V197" s="259">
        <f>COUNTIF($F$7:F197,"K")</f>
        <v>10</v>
      </c>
      <c r="X197" s="265">
        <v>191</v>
      </c>
      <c r="Y197" s="259" t="str">
        <f>IFERROR(INDEX(ADP_Import!A:A,MATCH(ADP!AB197,ADP_Import!AG:AG,0)),"")</f>
        <v>Taysom Hill</v>
      </c>
      <c r="Z197" s="259" t="str">
        <f>IFERROR(INDEX(ADP_Import!B:B,MATCH(ADP!AB197,ADP_Import!AG:AG,0)),"")</f>
        <v>NO</v>
      </c>
      <c r="AA197" s="259" t="str">
        <f>IFERROR(INDEX(ADP_Import!C:C,MATCH(ADP!AB197,ADP_Import!AG:AG,0)),"")</f>
        <v>TE</v>
      </c>
      <c r="AB197" s="439">
        <f>IFERROR(INDEX(ADP_Import!AG:AG,MATCH(SMALL(ADP_Import!AG:AG,X197),ADP_Import!AG:AG,0)),"NA")</f>
        <v>162.80009000000001</v>
      </c>
      <c r="AC197" s="265">
        <f>IFERROR(INDEX(ADP_Import!$D:$AE,MATCH(AB197,ADP_Import!AG:AG,0),$AG$6),"")</f>
        <v>24.1</v>
      </c>
      <c r="AI197" t="str">
        <f>INDEX('Draft Pick Order'!E:U,MATCH(A197,'Draft Pick Order'!C:C,0),(Instructions!$E$11*2-15))</f>
        <v>16-11</v>
      </c>
    </row>
    <row r="198" spans="1:35" ht="15.75" thickBot="1" x14ac:dyDescent="0.3">
      <c r="A198" s="230">
        <v>192</v>
      </c>
      <c r="B198">
        <f>IFERROR(IF(INDEX(Draft!BY:BY,MATCH(ADP!D198,Draft!BY:BY,0))=ADP!D198,1,0),0)</f>
        <v>0</v>
      </c>
      <c r="C198" t="str">
        <f>IF(AND(IFERROR(INDEX(Instructions!$T$111:$T$222,MATCH(D198,Instructions!$T$111:$T$222,0)), "")=D198, D198&lt;&gt;""), "X", "")</f>
        <v/>
      </c>
      <c r="D198" s="454" t="s">
        <v>2281</v>
      </c>
      <c r="E198" s="232" t="s">
        <v>147</v>
      </c>
      <c r="F198" s="232" t="s">
        <v>1</v>
      </c>
      <c r="G198" s="384">
        <v>169.00029699999999</v>
      </c>
      <c r="H198" s="456">
        <v>27.3</v>
      </c>
      <c r="I198" s="698"/>
      <c r="J198" s="691"/>
      <c r="K198" s="692"/>
      <c r="L198" s="691"/>
      <c r="M198" s="692"/>
      <c r="N198" s="234">
        <v>192</v>
      </c>
      <c r="O198" s="385" t="str">
        <f>F198&amp;COUNTIF($F$7:F198,F198)</f>
        <v>QB24</v>
      </c>
      <c r="P198" s="268">
        <f>VALUE('Draft Pick Order'!B194)</f>
        <v>216</v>
      </c>
      <c r="Q198" s="259">
        <f>COUNTIF(D$7:$F198,"QB")</f>
        <v>24</v>
      </c>
      <c r="R198" s="259">
        <f>COUNTIF($F$7:F198,"RB")</f>
        <v>57</v>
      </c>
      <c r="S198" s="259">
        <f>COUNTIF($F$7:F198,"WR")</f>
        <v>70</v>
      </c>
      <c r="T198" s="259">
        <f>COUNTIF($F$7:F198,"TE")</f>
        <v>20</v>
      </c>
      <c r="U198" s="259">
        <f>COUNTIF($F$7:F198,"DST")</f>
        <v>11</v>
      </c>
      <c r="V198" s="259">
        <f>COUNTIF($F$7:F198,"K")</f>
        <v>10</v>
      </c>
      <c r="X198" s="265">
        <v>192</v>
      </c>
      <c r="Y198" s="259" t="str">
        <f>IFERROR(INDEX(ADP_Import!A:A,MATCH(ADP!AB198,ADP_Import!AG:AG,0)),"")</f>
        <v>Allen Robinson</v>
      </c>
      <c r="Z198" s="259" t="str">
        <f>IFERROR(INDEX(ADP_Import!B:B,MATCH(ADP!AB198,ADP_Import!AG:AG,0)),"")</f>
        <v>PIT</v>
      </c>
      <c r="AA198" s="259" t="str">
        <f>IFERROR(INDEX(ADP_Import!C:C,MATCH(ADP!AB198,ADP_Import!AG:AG,0)),"")</f>
        <v>WR</v>
      </c>
      <c r="AB198" s="439">
        <f>IFERROR(INDEX(ADP_Import!AG:AG,MATCH(SMALL(ADP_Import!AG:AG,X198),ADP_Import!AG:AG,0)),"NA")</f>
        <v>164.300712</v>
      </c>
      <c r="AC198" s="265">
        <f>IFERROR(INDEX(ADP_Import!$D:$AE,MATCH(AB198,ADP_Import!AG:AG,0),$AG$6),"")</f>
        <v>13.2</v>
      </c>
      <c r="AI198" t="str">
        <f>INDEX('Draft Pick Order'!E:U,MATCH(A198,'Draft Pick Order'!C:C,0),(Instructions!$E$11*2-15))</f>
        <v>16-12</v>
      </c>
    </row>
    <row r="199" spans="1:35" ht="15" customHeight="1" x14ac:dyDescent="0.25">
      <c r="A199" s="230">
        <v>193</v>
      </c>
      <c r="B199">
        <f>IFERROR(IF(INDEX(Draft!BY:BY,MATCH(ADP!D199,Draft!BY:BY,0))=ADP!D199,1,0),0)</f>
        <v>0</v>
      </c>
      <c r="C199" t="str">
        <f>IF(AND(IFERROR(INDEX(Instructions!$T$111:$T$222,MATCH(D199,Instructions!$T$111:$T$222,0)), "")=D199, D199&lt;&gt;""), "X", "")</f>
        <v/>
      </c>
      <c r="D199" s="454" t="s">
        <v>2350</v>
      </c>
      <c r="E199" s="232" t="s">
        <v>136</v>
      </c>
      <c r="F199" s="232" t="s">
        <v>6</v>
      </c>
      <c r="G199" s="383">
        <v>169.20032499999999</v>
      </c>
      <c r="H199" s="455">
        <v>21.9</v>
      </c>
      <c r="I199" s="702" t="s">
        <v>1463</v>
      </c>
      <c r="J199" s="691"/>
      <c r="K199" s="687" t="s">
        <v>1455</v>
      </c>
      <c r="L199" s="691"/>
      <c r="M199" s="687" t="s">
        <v>908</v>
      </c>
      <c r="N199" s="234">
        <v>193</v>
      </c>
      <c r="O199" s="385" t="str">
        <f>F199&amp;COUNTIF($F$7:F199,F199)</f>
        <v>WR71</v>
      </c>
      <c r="P199" s="268">
        <f>VALUE('Draft Pick Order'!B195)</f>
        <v>216</v>
      </c>
      <c r="Q199" s="259">
        <f>COUNTIF(D$7:$F199,"QB")</f>
        <v>24</v>
      </c>
      <c r="R199" s="259">
        <f>COUNTIF($F$7:F199,"RB")</f>
        <v>57</v>
      </c>
      <c r="S199" s="259">
        <f>COUNTIF($F$7:F199,"WR")</f>
        <v>71</v>
      </c>
      <c r="T199" s="259">
        <f>COUNTIF($F$7:F199,"TE")</f>
        <v>20</v>
      </c>
      <c r="U199" s="259">
        <f>COUNTIF($F$7:F199,"DST")</f>
        <v>11</v>
      </c>
      <c r="V199" s="259">
        <f>COUNTIF($F$7:F199,"K")</f>
        <v>10</v>
      </c>
      <c r="X199" s="265">
        <v>193</v>
      </c>
      <c r="Y199" s="259" t="str">
        <f>IFERROR(INDEX(ADP_Import!A:A,MATCH(ADP!AB199,ADP_Import!AG:AG,0)),"")</f>
        <v>Graham Gano</v>
      </c>
      <c r="Z199" s="259" t="str">
        <f>IFERROR(INDEX(ADP_Import!B:B,MATCH(ADP!AB199,ADP_Import!AG:AG,0)),"")</f>
        <v>NYG</v>
      </c>
      <c r="AA199" s="259" t="str">
        <f>IFERROR(INDEX(ADP_Import!C:C,MATCH(ADP!AB199,ADP_Import!AG:AG,0)),"")</f>
        <v>K</v>
      </c>
      <c r="AB199" s="439">
        <f>IFERROR(INDEX(ADP_Import!AG:AG,MATCH(SMALL(ADP_Import!AG:AG,X199),ADP_Import!AG:AG,0)),"NA")</f>
        <v>165.500462</v>
      </c>
      <c r="AC199" s="265">
        <f>IFERROR(INDEX(ADP_Import!$D:$AE,MATCH(AB199,ADP_Import!AG:AG,0),$AG$6),"")</f>
        <v>16.600000000000001</v>
      </c>
      <c r="AI199" t="str">
        <f>INDEX('Draft Pick Order'!E:U,MATCH(A199,'Draft Pick Order'!C:C,0),(Instructions!$E$11*2-15))</f>
        <v>17-1</v>
      </c>
    </row>
    <row r="200" spans="1:35" x14ac:dyDescent="0.25">
      <c r="A200" s="230">
        <v>194</v>
      </c>
      <c r="B200">
        <f>IFERROR(IF(INDEX(Draft!BY:BY,MATCH(ADP!D200,Draft!BY:BY,0))=ADP!D200,1,0),0)</f>
        <v>0</v>
      </c>
      <c r="C200" t="str">
        <f>IF(AND(IFERROR(INDEX(Instructions!$T$111:$T$222,MATCH(D200,Instructions!$T$111:$T$222,0)), "")=D200, D200&lt;&gt;""), "X", "")</f>
        <v/>
      </c>
      <c r="D200" s="454" t="s">
        <v>2476</v>
      </c>
      <c r="E200" s="232" t="s">
        <v>155</v>
      </c>
      <c r="F200" s="232" t="s">
        <v>11</v>
      </c>
      <c r="G200" s="384">
        <v>172.10041799999999</v>
      </c>
      <c r="H200" s="456">
        <v>18.2</v>
      </c>
      <c r="I200" s="703"/>
      <c r="J200" s="691"/>
      <c r="K200" s="688"/>
      <c r="L200" s="691"/>
      <c r="M200" s="688"/>
      <c r="N200" s="234">
        <v>194</v>
      </c>
      <c r="O200" s="385" t="str">
        <f>F200&amp;COUNTIF($F$7:F200,F200)</f>
        <v>K11</v>
      </c>
      <c r="P200" s="268">
        <f>VALUE('Draft Pick Order'!B196)</f>
        <v>217</v>
      </c>
      <c r="Q200" s="259">
        <f>COUNTIF(D$7:$F200,"QB")</f>
        <v>24</v>
      </c>
      <c r="R200" s="259">
        <f>COUNTIF($F$7:F200,"RB")</f>
        <v>57</v>
      </c>
      <c r="S200" s="259">
        <f>COUNTIF($F$7:F200,"WR")</f>
        <v>71</v>
      </c>
      <c r="T200" s="259">
        <f>COUNTIF($F$7:F200,"TE")</f>
        <v>20</v>
      </c>
      <c r="U200" s="259">
        <f>COUNTIF($F$7:F200,"DST")</f>
        <v>11</v>
      </c>
      <c r="V200" s="259">
        <f>COUNTIF($F$7:F200,"K")</f>
        <v>11</v>
      </c>
      <c r="X200" s="265">
        <v>194</v>
      </c>
      <c r="Y200" s="259" t="str">
        <f>IFERROR(INDEX(ADP_Import!A:A,MATCH(ADP!AB200,ADP_Import!AG:AG,0)),"")</f>
        <v>WanDale Robinson</v>
      </c>
      <c r="Z200" s="259" t="str">
        <f>IFERROR(INDEX(ADP_Import!B:B,MATCH(ADP!AB200,ADP_Import!AG:AG,0)),"")</f>
        <v>NYG</v>
      </c>
      <c r="AA200" s="259" t="str">
        <f>IFERROR(INDEX(ADP_Import!C:C,MATCH(ADP!AB200,ADP_Import!AG:AG,0)),"")</f>
        <v>WR</v>
      </c>
      <c r="AB200" s="439">
        <f>IFERROR(INDEX(ADP_Import!AG:AG,MATCH(SMALL(ADP_Import!AG:AG,X200),ADP_Import!AG:AG,0)),"NA")</f>
        <v>165.80002300000001</v>
      </c>
      <c r="AC200" s="265">
        <f>IFERROR(INDEX(ADP_Import!$D:$AE,MATCH(AB200,ADP_Import!AG:AG,0),$AG$6),"")</f>
        <v>10.7</v>
      </c>
      <c r="AI200" t="str">
        <f>INDEX('Draft Pick Order'!E:U,MATCH(A200,'Draft Pick Order'!C:C,0),(Instructions!$E$11*2-15))</f>
        <v>17-2</v>
      </c>
    </row>
    <row r="201" spans="1:35" x14ac:dyDescent="0.25">
      <c r="A201" s="230">
        <v>195</v>
      </c>
      <c r="B201">
        <f>IFERROR(IF(INDEX(Draft!BY:BY,MATCH(ADP!D201,Draft!BY:BY,0))=ADP!D201,1,0),0)</f>
        <v>0</v>
      </c>
      <c r="C201" t="str">
        <f>IF(AND(IFERROR(INDEX(Instructions!$T$111:$T$222,MATCH(D201,Instructions!$T$111:$T$222,0)), "")=D201, D201&lt;&gt;""), "X", "")</f>
        <v/>
      </c>
      <c r="D201" s="454" t="s">
        <v>245</v>
      </c>
      <c r="E201" s="232" t="s">
        <v>164</v>
      </c>
      <c r="F201" s="232" t="s">
        <v>11</v>
      </c>
      <c r="G201" s="383">
        <v>176.30045600000003</v>
      </c>
      <c r="H201" s="455">
        <v>15.8</v>
      </c>
      <c r="I201" s="703"/>
      <c r="J201" s="691"/>
      <c r="K201" s="688"/>
      <c r="L201" s="691"/>
      <c r="M201" s="688"/>
      <c r="N201" s="234">
        <v>195</v>
      </c>
      <c r="O201" s="385" t="str">
        <f>F201&amp;COUNTIF($F$7:F201,F201)</f>
        <v>K12</v>
      </c>
      <c r="P201" s="268">
        <f>VALUE('Draft Pick Order'!B197)</f>
        <v>217</v>
      </c>
      <c r="Q201" s="259">
        <f>COUNTIF(D$7:$F201,"QB")</f>
        <v>24</v>
      </c>
      <c r="R201" s="259">
        <f>COUNTIF($F$7:F201,"RB")</f>
        <v>57</v>
      </c>
      <c r="S201" s="259">
        <f>COUNTIF($F$7:F201,"WR")</f>
        <v>71</v>
      </c>
      <c r="T201" s="259">
        <f>COUNTIF($F$7:F201,"TE")</f>
        <v>20</v>
      </c>
      <c r="U201" s="259">
        <f>COUNTIF($F$7:F201,"DST")</f>
        <v>11</v>
      </c>
      <c r="V201" s="259">
        <f>COUNTIF($F$7:F201,"K")</f>
        <v>12</v>
      </c>
      <c r="X201" s="265">
        <v>195</v>
      </c>
      <c r="Y201" s="259" t="str">
        <f>IFERROR(INDEX(ADP_Import!A:A,MATCH(ADP!AB201,ADP_Import!AG:AG,0)),"")</f>
        <v>Zach Ertz</v>
      </c>
      <c r="Z201" s="259" t="str">
        <f>IFERROR(INDEX(ADP_Import!B:B,MATCH(ADP!AB201,ADP_Import!AG:AG,0)),"")</f>
        <v>AZ</v>
      </c>
      <c r="AA201" s="259" t="str">
        <f>IFERROR(INDEX(ADP_Import!C:C,MATCH(ADP!AB201,ADP_Import!AG:AG,0)),"")</f>
        <v>TE</v>
      </c>
      <c r="AB201" s="439">
        <f>IFERROR(INDEX(ADP_Import!AG:AG,MATCH(SMALL(ADP_Import!AG:AG,X201),ADP_Import!AG:AG,0)),"NA")</f>
        <v>165.900013</v>
      </c>
      <c r="AC201" s="265">
        <f>IFERROR(INDEX(ADP_Import!$D:$AE,MATCH(AB201,ADP_Import!AG:AG,0),$AG$6),"")</f>
        <v>18</v>
      </c>
      <c r="AI201" t="str">
        <f>INDEX('Draft Pick Order'!E:U,MATCH(A201,'Draft Pick Order'!C:C,0),(Instructions!$E$11*2-15))</f>
        <v>17-3</v>
      </c>
    </row>
    <row r="202" spans="1:35" ht="15.75" thickBot="1" x14ac:dyDescent="0.3">
      <c r="A202" s="230">
        <v>196</v>
      </c>
      <c r="B202">
        <f>IFERROR(IF(INDEX(Draft!BY:BY,MATCH(ADP!D202,Draft!BY:BY,0))=ADP!D202,1,0),0)</f>
        <v>1</v>
      </c>
      <c r="C202" t="str">
        <f>IF(AND(IFERROR(INDEX(Instructions!$T$111:$T$222,MATCH(D202,Instructions!$T$111:$T$222,0)), "")=D202, D202&lt;&gt;""), "X", "")</f>
        <v/>
      </c>
      <c r="D202" s="454" t="s">
        <v>993</v>
      </c>
      <c r="E202" s="232" t="s">
        <v>993</v>
      </c>
      <c r="F202" s="232" t="s">
        <v>993</v>
      </c>
      <c r="G202" s="384" t="s">
        <v>1927</v>
      </c>
      <c r="H202" s="456" t="s">
        <v>993</v>
      </c>
      <c r="I202" s="703"/>
      <c r="J202" s="691"/>
      <c r="K202" s="688"/>
      <c r="L202" s="691"/>
      <c r="M202" s="688"/>
      <c r="N202" s="234">
        <v>196</v>
      </c>
      <c r="O202" s="385" t="str">
        <f>F202&amp;COUNTIF($F$7:F202,F202)</f>
        <v>1</v>
      </c>
      <c r="P202" s="268">
        <f>VALUE('Draft Pick Order'!B198)</f>
        <v>217</v>
      </c>
      <c r="Q202" s="259">
        <f>COUNTIF(D$7:$F202,"QB")</f>
        <v>24</v>
      </c>
      <c r="R202" s="259">
        <f>COUNTIF($F$7:F202,"RB")</f>
        <v>57</v>
      </c>
      <c r="S202" s="259">
        <f>COUNTIF($F$7:F202,"WR")</f>
        <v>71</v>
      </c>
      <c r="T202" s="259">
        <f>COUNTIF($F$7:F202,"TE")</f>
        <v>20</v>
      </c>
      <c r="U202" s="259">
        <f>COUNTIF($F$7:F202,"DST")</f>
        <v>11</v>
      </c>
      <c r="V202" s="259">
        <f>COUNTIF($F$7:F202,"K")</f>
        <v>12</v>
      </c>
      <c r="X202" s="265">
        <v>196</v>
      </c>
      <c r="Y202" s="259" t="str">
        <f>IFERROR(INDEX(ADP_Import!A:A,MATCH(ADP!AB202,ADP_Import!AG:AG,0)),"")</f>
        <v>Chase Claypool</v>
      </c>
      <c r="Z202" s="259" t="str">
        <f>IFERROR(INDEX(ADP_Import!B:B,MATCH(ADP!AB202,ADP_Import!AG:AG,0)),"")</f>
        <v>CHI</v>
      </c>
      <c r="AA202" s="259" t="str">
        <f>IFERROR(INDEX(ADP_Import!C:C,MATCH(ADP!AB202,ADP_Import!AG:AG,0)),"")</f>
        <v>WR</v>
      </c>
      <c r="AB202" s="439">
        <f>IFERROR(INDEX(ADP_Import!AG:AG,MATCH(SMALL(ADP_Import!AG:AG,X202),ADP_Import!AG:AG,0)),"NA")</f>
        <v>165.90062800000001</v>
      </c>
      <c r="AC202" s="265">
        <f>IFERROR(INDEX(ADP_Import!$D:$AE,MATCH(AB202,ADP_Import!AG:AG,0),$AG$6),"")</f>
        <v>11</v>
      </c>
      <c r="AI202" t="str">
        <f>INDEX('Draft Pick Order'!E:U,MATCH(A202,'Draft Pick Order'!C:C,0),(Instructions!$E$11*2-15))</f>
        <v>17-4</v>
      </c>
    </row>
    <row r="203" spans="1:35" x14ac:dyDescent="0.25">
      <c r="A203" s="230">
        <v>197</v>
      </c>
      <c r="B203">
        <f>IFERROR(IF(INDEX(Draft!BY:BY,MATCH(ADP!D203,Draft!BY:BY,0))=ADP!D203,1,0),0)</f>
        <v>1</v>
      </c>
      <c r="C203" t="str">
        <f>IF(AND(IFERROR(INDEX(Instructions!$T$111:$T$222,MATCH(D203,Instructions!$T$111:$T$222,0)), "")=D203, D203&lt;&gt;""), "X", "")</f>
        <v/>
      </c>
      <c r="D203" s="454" t="s">
        <v>993</v>
      </c>
      <c r="E203" s="232" t="s">
        <v>993</v>
      </c>
      <c r="F203" s="232" t="s">
        <v>993</v>
      </c>
      <c r="G203" s="383" t="s">
        <v>1927</v>
      </c>
      <c r="H203" s="455" t="s">
        <v>993</v>
      </c>
      <c r="I203" s="703"/>
      <c r="J203" s="691"/>
      <c r="K203" s="688"/>
      <c r="L203" s="687" t="s">
        <v>910</v>
      </c>
      <c r="M203" s="688"/>
      <c r="N203" s="234">
        <v>197</v>
      </c>
      <c r="O203" s="385" t="str">
        <f>F203&amp;COUNTIF($F$7:F203,F203)</f>
        <v>2</v>
      </c>
      <c r="P203" s="268">
        <f>VALUE('Draft Pick Order'!B199)</f>
        <v>217</v>
      </c>
      <c r="Q203" s="259">
        <f>COUNTIF(D$7:$F203,"QB")</f>
        <v>24</v>
      </c>
      <c r="R203" s="259">
        <f>COUNTIF($F$7:F203,"RB")</f>
        <v>57</v>
      </c>
      <c r="S203" s="259">
        <f>COUNTIF($F$7:F203,"WR")</f>
        <v>71</v>
      </c>
      <c r="T203" s="259">
        <f>COUNTIF($F$7:F203,"TE")</f>
        <v>20</v>
      </c>
      <c r="U203" s="259">
        <f>COUNTIF($F$7:F203,"DST")</f>
        <v>11</v>
      </c>
      <c r="V203" s="259">
        <f>COUNTIF($F$7:F203,"K")</f>
        <v>12</v>
      </c>
      <c r="X203" s="265">
        <v>197</v>
      </c>
      <c r="Y203" s="259" t="str">
        <f>IFERROR(INDEX(ADP_Import!A:A,MATCH(ADP!AB203,ADP_Import!AG:AG,0)),"")</f>
        <v>Jason Myers</v>
      </c>
      <c r="Z203" s="259" t="str">
        <f>IFERROR(INDEX(ADP_Import!B:B,MATCH(ADP!AB203,ADP_Import!AG:AG,0)),"")</f>
        <v>SEA</v>
      </c>
      <c r="AA203" s="259" t="str">
        <f>IFERROR(INDEX(ADP_Import!C:C,MATCH(ADP!AB203,ADP_Import!AG:AG,0)),"")</f>
        <v>K</v>
      </c>
      <c r="AB203" s="439">
        <f>IFERROR(INDEX(ADP_Import!AG:AG,MATCH(SMALL(ADP_Import!AG:AG,X203),ADP_Import!AG:AG,0)),"NA")</f>
        <v>167.900385</v>
      </c>
      <c r="AC203" s="265">
        <f>IFERROR(INDEX(ADP_Import!$D:$AE,MATCH(AB203,ADP_Import!AG:AG,0),$AG$6),"")</f>
        <v>15.4</v>
      </c>
      <c r="AI203" t="str">
        <f>INDEX('Draft Pick Order'!E:U,MATCH(A203,'Draft Pick Order'!C:C,0),(Instructions!$E$11*2-15))</f>
        <v>17-5</v>
      </c>
    </row>
    <row r="204" spans="1:35" x14ac:dyDescent="0.25">
      <c r="A204" s="230">
        <v>198</v>
      </c>
      <c r="B204">
        <f>IFERROR(IF(INDEX(Draft!BY:BY,MATCH(ADP!D204,Draft!BY:BY,0))=ADP!D204,1,0),0)</f>
        <v>1</v>
      </c>
      <c r="C204" t="str">
        <f>IF(AND(IFERROR(INDEX(Instructions!$T$111:$T$222,MATCH(D204,Instructions!$T$111:$T$222,0)), "")=D204, D204&lt;&gt;""), "X", "")</f>
        <v/>
      </c>
      <c r="D204" s="454" t="s">
        <v>993</v>
      </c>
      <c r="E204" s="232" t="s">
        <v>993</v>
      </c>
      <c r="F204" s="232" t="s">
        <v>993</v>
      </c>
      <c r="G204" s="384" t="s">
        <v>1927</v>
      </c>
      <c r="H204" s="456" t="s">
        <v>993</v>
      </c>
      <c r="I204" s="703"/>
      <c r="J204" s="691"/>
      <c r="K204" s="688"/>
      <c r="L204" s="688"/>
      <c r="M204" s="688"/>
      <c r="N204" s="234">
        <v>198</v>
      </c>
      <c r="O204" s="385" t="str">
        <f>F204&amp;COUNTIF($F$7:F204,F204)</f>
        <v>3</v>
      </c>
      <c r="P204" s="268">
        <f>VALUE('Draft Pick Order'!B200)</f>
        <v>217</v>
      </c>
      <c r="Q204" s="259">
        <f>COUNTIF(D$7:$F204,"QB")</f>
        <v>24</v>
      </c>
      <c r="R204" s="259">
        <f>COUNTIF($F$7:F204,"RB")</f>
        <v>57</v>
      </c>
      <c r="S204" s="259">
        <f>COUNTIF($F$7:F204,"WR")</f>
        <v>71</v>
      </c>
      <c r="T204" s="259">
        <f>COUNTIF($F$7:F204,"TE")</f>
        <v>20</v>
      </c>
      <c r="U204" s="259">
        <f>COUNTIF($F$7:F204,"DST")</f>
        <v>11</v>
      </c>
      <c r="V204" s="259">
        <f>COUNTIF($F$7:F204,"K")</f>
        <v>12</v>
      </c>
      <c r="X204" s="265">
        <v>198</v>
      </c>
      <c r="Y204" s="259" t="str">
        <f>IFERROR(INDEX(ADP_Import!A:A,MATCH(ADP!AB204,ADP_Import!AG:AG,0)),"")</f>
        <v>Evan McPherson</v>
      </c>
      <c r="Z204" s="259" t="str">
        <f>IFERROR(INDEX(ADP_Import!B:B,MATCH(ADP!AB204,ADP_Import!AG:AG,0)),"")</f>
        <v>CIN</v>
      </c>
      <c r="AA204" s="259" t="str">
        <f>IFERROR(INDEX(ADP_Import!C:C,MATCH(ADP!AB204,ADP_Import!AG:AG,0)),"")</f>
        <v>K</v>
      </c>
      <c r="AB204" s="439">
        <f>IFERROR(INDEX(ADP_Import!AG:AG,MATCH(SMALL(ADP_Import!AG:AG,X204),ADP_Import!AG:AG,0)),"NA")</f>
        <v>168.50048000000001</v>
      </c>
      <c r="AC204" s="265">
        <f>IFERROR(INDEX(ADP_Import!$D:$AE,MATCH(AB204,ADP_Import!AG:AG,0),$AG$6),"")</f>
        <v>17.7</v>
      </c>
      <c r="AI204" t="str">
        <f>INDEX('Draft Pick Order'!E:U,MATCH(A204,'Draft Pick Order'!C:C,0),(Instructions!$E$11*2-15))</f>
        <v>17-6</v>
      </c>
    </row>
    <row r="205" spans="1:35" x14ac:dyDescent="0.25">
      <c r="A205" s="230">
        <v>199</v>
      </c>
      <c r="B205">
        <f>IFERROR(IF(INDEX(Draft!BY:BY,MATCH(ADP!D205,Draft!BY:BY,0))=ADP!D205,1,0),0)</f>
        <v>1</v>
      </c>
      <c r="C205" t="str">
        <f>IF(AND(IFERROR(INDEX(Instructions!$T$111:$T$222,MATCH(D205,Instructions!$T$111:$T$222,0)), "")=D205, D205&lt;&gt;""), "X", "")</f>
        <v/>
      </c>
      <c r="D205" s="454" t="s">
        <v>993</v>
      </c>
      <c r="E205" s="232" t="s">
        <v>993</v>
      </c>
      <c r="F205" s="232" t="s">
        <v>993</v>
      </c>
      <c r="G205" s="383" t="s">
        <v>1927</v>
      </c>
      <c r="H205" s="455" t="s">
        <v>993</v>
      </c>
      <c r="I205" s="703"/>
      <c r="J205" s="691"/>
      <c r="K205" s="688"/>
      <c r="L205" s="688"/>
      <c r="M205" s="688"/>
      <c r="N205" s="234">
        <v>199</v>
      </c>
      <c r="O205" s="385" t="str">
        <f>F205&amp;COUNTIF($F$7:F205,F205)</f>
        <v>4</v>
      </c>
      <c r="P205" s="268">
        <f>VALUE('Draft Pick Order'!B201)</f>
        <v>217</v>
      </c>
      <c r="Q205" s="259">
        <f>COUNTIF(D$7:$F205,"QB")</f>
        <v>24</v>
      </c>
      <c r="R205" s="259">
        <f>COUNTIF($F$7:F205,"RB")</f>
        <v>57</v>
      </c>
      <c r="S205" s="259">
        <f>COUNTIF($F$7:F205,"WR")</f>
        <v>71</v>
      </c>
      <c r="T205" s="259">
        <f>COUNTIF($F$7:F205,"TE")</f>
        <v>20</v>
      </c>
      <c r="U205" s="259">
        <f>COUNTIF($F$7:F205,"DST")</f>
        <v>11</v>
      </c>
      <c r="V205" s="259">
        <f>COUNTIF($F$7:F205,"K")</f>
        <v>12</v>
      </c>
      <c r="X205" s="265">
        <v>199</v>
      </c>
      <c r="Y205" s="259" t="str">
        <f>IFERROR(INDEX(ADP_Import!A:A,MATCH(ADP!AB205,ADP_Import!AG:AG,0)),"")</f>
        <v>KC</v>
      </c>
      <c r="Z205" s="259" t="str">
        <f>IFERROR(INDEX(ADP_Import!B:B,MATCH(ADP!AB205,ADP_Import!AG:AG,0)),"")</f>
        <v>KC</v>
      </c>
      <c r="AA205" s="259" t="str">
        <f>IFERROR(INDEX(ADP_Import!C:C,MATCH(ADP!AB205,ADP_Import!AG:AG,0)),"")</f>
        <v>DST</v>
      </c>
      <c r="AB205" s="439">
        <f>IFERROR(INDEX(ADP_Import!AG:AG,MATCH(SMALL(ADP_Import!AG:AG,X205),ADP_Import!AG:AG,0)),"NA")</f>
        <v>172.80031500000001</v>
      </c>
      <c r="AC205" s="265">
        <f>IFERROR(INDEX(ADP_Import!$D:$AE,MATCH(AB205,ADP_Import!AG:AG,0),$AG$6),"")</f>
        <v>18.600000000000001</v>
      </c>
      <c r="AI205" t="str">
        <f>INDEX('Draft Pick Order'!E:U,MATCH(A205,'Draft Pick Order'!C:C,0),(Instructions!$E$11*2-15))</f>
        <v>17-7</v>
      </c>
    </row>
    <row r="206" spans="1:35" ht="15.75" thickBot="1" x14ac:dyDescent="0.3">
      <c r="A206" s="230">
        <v>200</v>
      </c>
      <c r="B206">
        <f>IFERROR(IF(INDEX(Draft!BY:BY,MATCH(ADP!D206,Draft!BY:BY,0))=ADP!D206,1,0),0)</f>
        <v>1</v>
      </c>
      <c r="C206" t="str">
        <f>IF(AND(IFERROR(INDEX(Instructions!$T$111:$T$222,MATCH(D206,Instructions!$T$111:$T$222,0)), "")=D206, D206&lt;&gt;""), "X", "")</f>
        <v/>
      </c>
      <c r="D206" s="454" t="s">
        <v>993</v>
      </c>
      <c r="E206" s="232" t="s">
        <v>993</v>
      </c>
      <c r="F206" s="232" t="s">
        <v>993</v>
      </c>
      <c r="G206" s="384" t="s">
        <v>1927</v>
      </c>
      <c r="H206" s="456" t="s">
        <v>993</v>
      </c>
      <c r="I206" s="704"/>
      <c r="J206" s="692"/>
      <c r="K206" s="688"/>
      <c r="L206" s="688"/>
      <c r="M206" s="688"/>
      <c r="N206" s="234">
        <v>200</v>
      </c>
      <c r="O206" s="385" t="str">
        <f>F206&amp;COUNTIF($F$7:F206,F206)</f>
        <v>5</v>
      </c>
      <c r="P206" s="268">
        <f>VALUE('Draft Pick Order'!B202)</f>
        <v>217</v>
      </c>
      <c r="Q206" s="259">
        <f>COUNTIF(D$7:$F206,"QB")</f>
        <v>24</v>
      </c>
      <c r="R206" s="259">
        <f>COUNTIF($F$7:F206,"RB")</f>
        <v>57</v>
      </c>
      <c r="S206" s="259">
        <f>COUNTIF($F$7:F206,"WR")</f>
        <v>71</v>
      </c>
      <c r="T206" s="259">
        <f>COUNTIF($F$7:F206,"TE")</f>
        <v>20</v>
      </c>
      <c r="U206" s="259">
        <f>COUNTIF($F$7:F206,"DST")</f>
        <v>11</v>
      </c>
      <c r="V206" s="259">
        <f>COUNTIF($F$7:F206,"K")</f>
        <v>12</v>
      </c>
      <c r="X206" s="265">
        <v>200</v>
      </c>
      <c r="Y206" s="259" t="str">
        <f>IFERROR(INDEX(ADP_Import!A:A,MATCH(ADP!AB206,ADP_Import!AG:AG,0)),"")</f>
        <v>Greg Joseph</v>
      </c>
      <c r="Z206" s="259" t="str">
        <f>IFERROR(INDEX(ADP_Import!B:B,MATCH(ADP!AB206,ADP_Import!AG:AG,0)),"")</f>
        <v>MIN</v>
      </c>
      <c r="AA206" s="259" t="str">
        <f>IFERROR(INDEX(ADP_Import!C:C,MATCH(ADP!AB206,ADP_Import!AG:AG,0)),"")</f>
        <v>K</v>
      </c>
      <c r="AB206" s="439">
        <f>IFERROR(INDEX(ADP_Import!AG:AG,MATCH(SMALL(ADP_Import!AG:AG,X206),ADP_Import!AG:AG,0)),"NA")</f>
        <v>175.100458</v>
      </c>
      <c r="AC206" s="265">
        <f>IFERROR(INDEX(ADP_Import!$D:$AE,MATCH(AB206,ADP_Import!AG:AG,0),$AG$6),"")</f>
        <v>14.9</v>
      </c>
      <c r="AI206" t="str">
        <f>INDEX('Draft Pick Order'!E:U,MATCH(A206,'Draft Pick Order'!C:C,0),(Instructions!$E$11*2-15))</f>
        <v>17-8</v>
      </c>
    </row>
    <row r="207" spans="1:35" ht="15" customHeight="1" x14ac:dyDescent="0.25">
      <c r="A207" s="230">
        <v>201</v>
      </c>
      <c r="B207">
        <f>IFERROR(IF(INDEX(Draft!BY:BY,MATCH(ADP!D207,Draft!BY:BY,0))=ADP!D207,1,0),0)</f>
        <v>1</v>
      </c>
      <c r="C207" t="str">
        <f>IF(AND(IFERROR(INDEX(Instructions!$T$111:$T$222,MATCH(D207,Instructions!$T$111:$T$222,0)), "")=D207, D207&lt;&gt;""), "X", "")</f>
        <v/>
      </c>
      <c r="D207" s="454" t="s">
        <v>993</v>
      </c>
      <c r="E207" s="232" t="s">
        <v>993</v>
      </c>
      <c r="F207" s="232" t="s">
        <v>993</v>
      </c>
      <c r="G207" s="383" t="s">
        <v>1927</v>
      </c>
      <c r="H207" s="455" t="s">
        <v>993</v>
      </c>
      <c r="I207" s="324"/>
      <c r="J207" s="687" t="s">
        <v>1459</v>
      </c>
      <c r="K207" s="688"/>
      <c r="L207" s="688"/>
      <c r="M207" s="688"/>
      <c r="N207" s="234">
        <v>201</v>
      </c>
      <c r="O207" s="385" t="str">
        <f>F207&amp;COUNTIF($F$7:F207,F207)</f>
        <v>6</v>
      </c>
      <c r="P207" s="268">
        <f>VALUE('Draft Pick Order'!B203)</f>
        <v>217</v>
      </c>
      <c r="Q207" s="259">
        <f>COUNTIF(D$7:$F207,"QB")</f>
        <v>24</v>
      </c>
      <c r="R207" s="259">
        <f>COUNTIF($F$7:F207,"RB")</f>
        <v>57</v>
      </c>
      <c r="S207" s="259">
        <f>COUNTIF($F$7:F207,"WR")</f>
        <v>71</v>
      </c>
      <c r="T207" s="259">
        <f>COUNTIF($F$7:F207,"TE")</f>
        <v>20</v>
      </c>
      <c r="U207" s="259">
        <f>COUNTIF($F$7:F207,"DST")</f>
        <v>11</v>
      </c>
      <c r="V207" s="259">
        <f>COUNTIF($F$7:F207,"K")</f>
        <v>12</v>
      </c>
      <c r="X207" s="265">
        <v>201</v>
      </c>
      <c r="Y207" s="259" t="str">
        <f>IFERROR(INDEX(ADP_Import!A:A,MATCH(ADP!AB207,ADP_Import!AG:AG,0)),"")</f>
        <v/>
      </c>
      <c r="Z207" s="259" t="str">
        <f>IFERROR(INDEX(ADP_Import!B:B,MATCH(ADP!AB207,ADP_Import!AG:AG,0)),"")</f>
        <v/>
      </c>
      <c r="AA207" s="259" t="str">
        <f>IFERROR(INDEX(ADP_Import!C:C,MATCH(ADP!AB207,ADP_Import!AG:AG,0)),"")</f>
        <v/>
      </c>
      <c r="AB207" s="439" t="str">
        <f>IFERROR(INDEX(ADP_Import!AG:AG,MATCH(SMALL(ADP_Import!AG:AG,X207),ADP_Import!AG:AG,0)),"NA")</f>
        <v>NA</v>
      </c>
      <c r="AC207" s="265" t="str">
        <f>IFERROR(INDEX(ADP_Import!$D:$AE,MATCH(AB207,ADP_Import!AG:AG,0),$AG$6),"")</f>
        <v/>
      </c>
      <c r="AI207" t="str">
        <f>INDEX('Draft Pick Order'!E:U,MATCH(A207,'Draft Pick Order'!C:C,0),(Instructions!$E$11*2-15))</f>
        <v>17-9</v>
      </c>
    </row>
    <row r="208" spans="1:35" x14ac:dyDescent="0.25">
      <c r="A208" s="230">
        <v>202</v>
      </c>
      <c r="B208">
        <f>IFERROR(IF(INDEX(Draft!BY:BY,MATCH(ADP!D208,Draft!BY:BY,0))=ADP!D208,1,0),0)</f>
        <v>1</v>
      </c>
      <c r="C208" t="str">
        <f>IF(AND(IFERROR(INDEX(Instructions!$T$111:$T$222,MATCH(D208,Instructions!$T$111:$T$222,0)), "")=D208, D208&lt;&gt;""), "X", "")</f>
        <v/>
      </c>
      <c r="D208" s="454" t="s">
        <v>993</v>
      </c>
      <c r="E208" s="232" t="s">
        <v>993</v>
      </c>
      <c r="F208" s="232" t="s">
        <v>993</v>
      </c>
      <c r="G208" s="384" t="s">
        <v>1927</v>
      </c>
      <c r="H208" s="456" t="s">
        <v>993</v>
      </c>
      <c r="I208" s="324"/>
      <c r="J208" s="688"/>
      <c r="K208" s="688"/>
      <c r="L208" s="688"/>
      <c r="M208" s="688"/>
      <c r="N208" s="234">
        <v>202</v>
      </c>
      <c r="O208" s="385" t="str">
        <f>F208&amp;COUNTIF($F$7:F208,F208)</f>
        <v>7</v>
      </c>
      <c r="P208" s="268">
        <f>VALUE('Draft Pick Order'!B204)</f>
        <v>217</v>
      </c>
      <c r="Q208" s="259">
        <f>COUNTIF(D$7:$F208,"QB")</f>
        <v>24</v>
      </c>
      <c r="R208" s="259">
        <f>COUNTIF($F$7:F208,"RB")</f>
        <v>57</v>
      </c>
      <c r="S208" s="259">
        <f>COUNTIF($F$7:F208,"WR")</f>
        <v>71</v>
      </c>
      <c r="T208" s="259">
        <f>COUNTIF($F$7:F208,"TE")</f>
        <v>20</v>
      </c>
      <c r="U208" s="259">
        <f>COUNTIF($F$7:F208,"DST")</f>
        <v>11</v>
      </c>
      <c r="V208" s="259">
        <f>COUNTIF($F$7:F208,"K")</f>
        <v>12</v>
      </c>
      <c r="X208" s="265">
        <v>202</v>
      </c>
      <c r="Y208" s="259" t="str">
        <f>IFERROR(INDEX(ADP_Import!A:A,MATCH(ADP!AB208,ADP_Import!AG:AG,0)),"")</f>
        <v/>
      </c>
      <c r="Z208" s="259" t="str">
        <f>IFERROR(INDEX(ADP_Import!B:B,MATCH(ADP!AB208,ADP_Import!AG:AG,0)),"")</f>
        <v/>
      </c>
      <c r="AA208" s="259" t="str">
        <f>IFERROR(INDEX(ADP_Import!C:C,MATCH(ADP!AB208,ADP_Import!AG:AG,0)),"")</f>
        <v/>
      </c>
      <c r="AB208" s="439" t="str">
        <f>IFERROR(INDEX(ADP_Import!AG:AG,MATCH(SMALL(ADP_Import!AG:AG,X208),ADP_Import!AG:AG,0)),"NA")</f>
        <v>NA</v>
      </c>
      <c r="AC208" s="265" t="str">
        <f>IFERROR(INDEX(ADP_Import!$D:$AE,MATCH(AB208,ADP_Import!AG:AG,0),$AG$6),"")</f>
        <v/>
      </c>
      <c r="AI208" t="str">
        <f>INDEX('Draft Pick Order'!E:U,MATCH(A208,'Draft Pick Order'!C:C,0),(Instructions!$E$11*2-15))</f>
        <v>17-10</v>
      </c>
    </row>
    <row r="209" spans="1:35" x14ac:dyDescent="0.25">
      <c r="A209" s="230">
        <v>203</v>
      </c>
      <c r="B209">
        <f>IFERROR(IF(INDEX(Draft!BY:BY,MATCH(ADP!D209,Draft!BY:BY,0))=ADP!D209,1,0),0)</f>
        <v>1</v>
      </c>
      <c r="C209" t="str">
        <f>IF(AND(IFERROR(INDEX(Instructions!$T$111:$T$222,MATCH(D209,Instructions!$T$111:$T$222,0)), "")=D209, D209&lt;&gt;""), "X", "")</f>
        <v/>
      </c>
      <c r="D209" s="454" t="s">
        <v>993</v>
      </c>
      <c r="E209" s="232" t="s">
        <v>993</v>
      </c>
      <c r="F209" s="232" t="s">
        <v>993</v>
      </c>
      <c r="G209" s="383" t="s">
        <v>1927</v>
      </c>
      <c r="H209" s="455" t="s">
        <v>993</v>
      </c>
      <c r="I209" s="324"/>
      <c r="J209" s="688"/>
      <c r="K209" s="688"/>
      <c r="L209" s="688"/>
      <c r="M209" s="688"/>
      <c r="N209" s="234">
        <v>203</v>
      </c>
      <c r="O209" s="385" t="str">
        <f>F209&amp;COUNTIF($F$7:F209,F209)</f>
        <v>8</v>
      </c>
      <c r="P209" s="268">
        <f>VALUE('Draft Pick Order'!B205)</f>
        <v>217</v>
      </c>
      <c r="Q209" s="259">
        <f>COUNTIF(D$7:$F209,"QB")</f>
        <v>24</v>
      </c>
      <c r="R209" s="259">
        <f>COUNTIF($F$7:F209,"RB")</f>
        <v>57</v>
      </c>
      <c r="S209" s="259">
        <f>COUNTIF($F$7:F209,"WR")</f>
        <v>71</v>
      </c>
      <c r="T209" s="259">
        <f>COUNTIF($F$7:F209,"TE")</f>
        <v>20</v>
      </c>
      <c r="U209" s="259">
        <f>COUNTIF($F$7:F209,"DST")</f>
        <v>11</v>
      </c>
      <c r="V209" s="259">
        <f>COUNTIF($F$7:F209,"K")</f>
        <v>12</v>
      </c>
      <c r="X209" s="265">
        <v>203</v>
      </c>
      <c r="Y209" s="259" t="str">
        <f>IFERROR(INDEX(ADP_Import!A:A,MATCH(ADP!AB209,ADP_Import!AG:AG,0)),"")</f>
        <v/>
      </c>
      <c r="Z209" s="259" t="str">
        <f>IFERROR(INDEX(ADP_Import!B:B,MATCH(ADP!AB209,ADP_Import!AG:AG,0)),"")</f>
        <v/>
      </c>
      <c r="AA209" s="259" t="str">
        <f>IFERROR(INDEX(ADP_Import!C:C,MATCH(ADP!AB209,ADP_Import!AG:AG,0)),"")</f>
        <v/>
      </c>
      <c r="AB209" s="439" t="str">
        <f>IFERROR(INDEX(ADP_Import!AG:AG,MATCH(SMALL(ADP_Import!AG:AG,X209),ADP_Import!AG:AG,0)),"NA")</f>
        <v>NA</v>
      </c>
      <c r="AC209" s="265" t="str">
        <f>IFERROR(INDEX(ADP_Import!$D:$AE,MATCH(AB209,ADP_Import!AG:AG,0),$AG$6),"")</f>
        <v/>
      </c>
      <c r="AI209" t="str">
        <f>INDEX('Draft Pick Order'!E:U,MATCH(A209,'Draft Pick Order'!C:C,0),(Instructions!$E$11*2-15))</f>
        <v>17-11</v>
      </c>
    </row>
    <row r="210" spans="1:35" ht="15.75" thickBot="1" x14ac:dyDescent="0.3">
      <c r="A210" s="230">
        <v>204</v>
      </c>
      <c r="B210">
        <f>IFERROR(IF(INDEX(Draft!BY:BY,MATCH(ADP!D210,Draft!BY:BY,0))=ADP!D210,1,0),0)</f>
        <v>1</v>
      </c>
      <c r="C210" t="str">
        <f>IF(AND(IFERROR(INDEX(Instructions!$T$111:$T$222,MATCH(D210,Instructions!$T$111:$T$222,0)), "")=D210, D210&lt;&gt;""), "X", "")</f>
        <v/>
      </c>
      <c r="D210" s="454" t="s">
        <v>993</v>
      </c>
      <c r="E210" s="232" t="s">
        <v>993</v>
      </c>
      <c r="F210" s="232" t="s">
        <v>993</v>
      </c>
      <c r="G210" s="384" t="s">
        <v>1927</v>
      </c>
      <c r="H210" s="456" t="s">
        <v>993</v>
      </c>
      <c r="I210" s="324"/>
      <c r="J210" s="688"/>
      <c r="K210" s="689"/>
      <c r="L210" s="688"/>
      <c r="M210" s="688"/>
      <c r="N210" s="234">
        <v>204</v>
      </c>
      <c r="O210" s="385" t="str">
        <f>F210&amp;COUNTIF($F$7:F210,F210)</f>
        <v>9</v>
      </c>
      <c r="P210" s="268">
        <f>VALUE('Draft Pick Order'!B206)</f>
        <v>217</v>
      </c>
      <c r="Q210" s="259">
        <f>COUNTIF(D$7:$F210,"QB")</f>
        <v>24</v>
      </c>
      <c r="R210" s="259">
        <f>COUNTIF($F$7:F210,"RB")</f>
        <v>57</v>
      </c>
      <c r="S210" s="259">
        <f>COUNTIF($F$7:F210,"WR")</f>
        <v>71</v>
      </c>
      <c r="T210" s="259">
        <f>COUNTIF($F$7:F210,"TE")</f>
        <v>20</v>
      </c>
      <c r="U210" s="259">
        <f>COUNTIF($F$7:F210,"DST")</f>
        <v>11</v>
      </c>
      <c r="V210" s="259">
        <f>COUNTIF($F$7:F210,"K")</f>
        <v>12</v>
      </c>
      <c r="X210" s="265">
        <v>204</v>
      </c>
      <c r="Y210" s="259" t="str">
        <f>IFERROR(INDEX(ADP_Import!A:A,MATCH(ADP!AB210,ADP_Import!AG:AG,0)),"")</f>
        <v/>
      </c>
      <c r="Z210" s="259" t="str">
        <f>IFERROR(INDEX(ADP_Import!B:B,MATCH(ADP!AB210,ADP_Import!AG:AG,0)),"")</f>
        <v/>
      </c>
      <c r="AA210" s="259" t="str">
        <f>IFERROR(INDEX(ADP_Import!C:C,MATCH(ADP!AB210,ADP_Import!AG:AG,0)),"")</f>
        <v/>
      </c>
      <c r="AB210" s="439" t="str">
        <f>IFERROR(INDEX(ADP_Import!AG:AG,MATCH(SMALL(ADP_Import!AG:AG,X210),ADP_Import!AG:AG,0)),"NA")</f>
        <v>NA</v>
      </c>
      <c r="AC210" s="265" t="str">
        <f>IFERROR(INDEX(ADP_Import!$D:$AE,MATCH(AB210,ADP_Import!AG:AG,0),$AG$6),"")</f>
        <v/>
      </c>
      <c r="AI210" t="str">
        <f>INDEX('Draft Pick Order'!E:U,MATCH(A210,'Draft Pick Order'!C:C,0),(Instructions!$E$11*2-15))</f>
        <v>17-12</v>
      </c>
    </row>
    <row r="211" spans="1:35" x14ac:dyDescent="0.25">
      <c r="A211" s="230">
        <v>205</v>
      </c>
      <c r="B211">
        <f>IFERROR(IF(INDEX(Draft!BY:BY,MATCH(ADP!D211,Draft!BY:BY,0))=ADP!D211,1,0),0)</f>
        <v>1</v>
      </c>
      <c r="C211" t="str">
        <f>IF(AND(IFERROR(INDEX(Instructions!$T$111:$T$222,MATCH(D211,Instructions!$T$111:$T$222,0)), "")=D211, D211&lt;&gt;""), "X", "")</f>
        <v/>
      </c>
      <c r="D211" s="454" t="s">
        <v>993</v>
      </c>
      <c r="E211" s="232" t="s">
        <v>993</v>
      </c>
      <c r="F211" s="232" t="s">
        <v>993</v>
      </c>
      <c r="G211" s="383" t="s">
        <v>1927</v>
      </c>
      <c r="H211" s="455" t="s">
        <v>993</v>
      </c>
      <c r="I211" s="324"/>
      <c r="J211" s="688"/>
      <c r="K211" s="690" t="s">
        <v>1456</v>
      </c>
      <c r="L211" s="688"/>
      <c r="M211" s="688"/>
      <c r="N211" s="234">
        <v>205</v>
      </c>
      <c r="O211" s="385" t="str">
        <f>F211&amp;COUNTIF($F$7:F211,F211)</f>
        <v>10</v>
      </c>
      <c r="P211" s="268">
        <f>VALUE('Draft Pick Order'!B207)</f>
        <v>217</v>
      </c>
      <c r="Q211" s="259">
        <f>COUNTIF(D$7:$F211,"QB")</f>
        <v>24</v>
      </c>
      <c r="R211" s="259">
        <f>COUNTIF($F$7:F211,"RB")</f>
        <v>57</v>
      </c>
      <c r="S211" s="259">
        <f>COUNTIF($F$7:F211,"WR")</f>
        <v>71</v>
      </c>
      <c r="T211" s="259">
        <f>COUNTIF($F$7:F211,"TE")</f>
        <v>20</v>
      </c>
      <c r="U211" s="259">
        <f>COUNTIF($F$7:F211,"DST")</f>
        <v>11</v>
      </c>
      <c r="V211" s="259">
        <f>COUNTIF($F$7:F211,"K")</f>
        <v>12</v>
      </c>
      <c r="X211" s="265">
        <v>205</v>
      </c>
      <c r="Y211" s="259" t="str">
        <f>IFERROR(INDEX(ADP_Import!A:A,MATCH(ADP!AB211,ADP_Import!AG:AG,0)),"")</f>
        <v/>
      </c>
      <c r="Z211" s="259" t="str">
        <f>IFERROR(INDEX(ADP_Import!B:B,MATCH(ADP!AB211,ADP_Import!AG:AG,0)),"")</f>
        <v/>
      </c>
      <c r="AA211" s="259" t="str">
        <f>IFERROR(INDEX(ADP_Import!C:C,MATCH(ADP!AB211,ADP_Import!AG:AG,0)),"")</f>
        <v/>
      </c>
      <c r="AB211" s="439" t="str">
        <f>IFERROR(INDEX(ADP_Import!AG:AG,MATCH(SMALL(ADP_Import!AG:AG,X211),ADP_Import!AG:AG,0)),"NA")</f>
        <v>NA</v>
      </c>
      <c r="AC211" s="265" t="str">
        <f>IFERROR(INDEX(ADP_Import!$D:$AE,MATCH(AB211,ADP_Import!AG:AG,0),$AG$6),"")</f>
        <v/>
      </c>
      <c r="AI211" t="str">
        <f>INDEX('Draft Pick Order'!E:U,MATCH(A211,'Draft Pick Order'!C:C,0),(Instructions!$E$11*2-15))</f>
        <v>18-1</v>
      </c>
    </row>
    <row r="212" spans="1:35" x14ac:dyDescent="0.25">
      <c r="A212" s="230">
        <v>206</v>
      </c>
      <c r="B212">
        <f>IFERROR(IF(INDEX(Draft!BY:BY,MATCH(ADP!D212,Draft!BY:BY,0))=ADP!D212,1,0),0)</f>
        <v>1</v>
      </c>
      <c r="C212" t="str">
        <f>IF(AND(IFERROR(INDEX(Instructions!$T$111:$T$222,MATCH(D212,Instructions!$T$111:$T$222,0)), "")=D212, D212&lt;&gt;""), "X", "")</f>
        <v/>
      </c>
      <c r="D212" s="454" t="s">
        <v>993</v>
      </c>
      <c r="E212" s="232" t="s">
        <v>993</v>
      </c>
      <c r="F212" s="232" t="s">
        <v>993</v>
      </c>
      <c r="G212" s="384" t="s">
        <v>1927</v>
      </c>
      <c r="H212" s="456" t="s">
        <v>993</v>
      </c>
      <c r="I212" s="324"/>
      <c r="J212" s="688"/>
      <c r="K212" s="691"/>
      <c r="L212" s="688"/>
      <c r="M212" s="688"/>
      <c r="N212" s="234">
        <v>206</v>
      </c>
      <c r="O212" s="385" t="str">
        <f>F212&amp;COUNTIF($F$7:F212,F212)</f>
        <v>11</v>
      </c>
      <c r="P212" s="268">
        <f>VALUE('Draft Pick Order'!B208)</f>
        <v>217</v>
      </c>
      <c r="Q212" s="259">
        <f>COUNTIF(D$7:$F212,"QB")</f>
        <v>24</v>
      </c>
      <c r="R212" s="259">
        <f>COUNTIF($F$7:F212,"RB")</f>
        <v>57</v>
      </c>
      <c r="S212" s="259">
        <f>COUNTIF($F$7:F212,"WR")</f>
        <v>71</v>
      </c>
      <c r="T212" s="259">
        <f>COUNTIF($F$7:F212,"TE")</f>
        <v>20</v>
      </c>
      <c r="U212" s="259">
        <f>COUNTIF($F$7:F212,"DST")</f>
        <v>11</v>
      </c>
      <c r="V212" s="259">
        <f>COUNTIF($F$7:F212,"K")</f>
        <v>12</v>
      </c>
      <c r="X212" s="265">
        <v>206</v>
      </c>
      <c r="Y212" s="259" t="str">
        <f>IFERROR(INDEX(ADP_Import!A:A,MATCH(ADP!AB212,ADP_Import!AG:AG,0)),"")</f>
        <v/>
      </c>
      <c r="Z212" s="259" t="str">
        <f>IFERROR(INDEX(ADP_Import!B:B,MATCH(ADP!AB212,ADP_Import!AG:AG,0)),"")</f>
        <v/>
      </c>
      <c r="AA212" s="259" t="str">
        <f>IFERROR(INDEX(ADP_Import!C:C,MATCH(ADP!AB212,ADP_Import!AG:AG,0)),"")</f>
        <v/>
      </c>
      <c r="AB212" s="439" t="str">
        <f>IFERROR(INDEX(ADP_Import!AG:AG,MATCH(SMALL(ADP_Import!AG:AG,X212),ADP_Import!AG:AG,0)),"NA")</f>
        <v>NA</v>
      </c>
      <c r="AC212" s="265" t="str">
        <f>IFERROR(INDEX(ADP_Import!$D:$AE,MATCH(AB212,ADP_Import!AG:AG,0),$AG$6),"")</f>
        <v/>
      </c>
      <c r="AI212" t="str">
        <f>INDEX('Draft Pick Order'!E:U,MATCH(A212,'Draft Pick Order'!C:C,0),(Instructions!$E$11*2-15))</f>
        <v>18-2</v>
      </c>
    </row>
    <row r="213" spans="1:35" x14ac:dyDescent="0.25">
      <c r="A213" s="230">
        <v>207</v>
      </c>
      <c r="B213">
        <f>IFERROR(IF(INDEX(Draft!BY:BY,MATCH(ADP!D213,Draft!BY:BY,0))=ADP!D213,1,0),0)</f>
        <v>1</v>
      </c>
      <c r="C213" t="str">
        <f>IF(AND(IFERROR(INDEX(Instructions!$T$111:$T$222,MATCH(D213,Instructions!$T$111:$T$222,0)), "")=D213, D213&lt;&gt;""), "X", "")</f>
        <v/>
      </c>
      <c r="D213" s="454" t="s">
        <v>993</v>
      </c>
      <c r="E213" s="232" t="s">
        <v>993</v>
      </c>
      <c r="F213" s="232" t="s">
        <v>993</v>
      </c>
      <c r="G213" s="383" t="s">
        <v>1927</v>
      </c>
      <c r="H213" s="455" t="s">
        <v>993</v>
      </c>
      <c r="I213" s="324"/>
      <c r="J213" s="688"/>
      <c r="K213" s="691"/>
      <c r="L213" s="688"/>
      <c r="M213" s="688"/>
      <c r="N213" s="234">
        <v>207</v>
      </c>
      <c r="O213" s="385" t="str">
        <f>F213&amp;COUNTIF($F$7:F213,F213)</f>
        <v>12</v>
      </c>
      <c r="P213" s="268">
        <f>VALUE('Draft Pick Order'!B209)</f>
        <v>217</v>
      </c>
      <c r="Q213" s="259">
        <f>COUNTIF(D$7:$F213,"QB")</f>
        <v>24</v>
      </c>
      <c r="R213" s="259">
        <f>COUNTIF($F$7:F213,"RB")</f>
        <v>57</v>
      </c>
      <c r="S213" s="259">
        <f>COUNTIF($F$7:F213,"WR")</f>
        <v>71</v>
      </c>
      <c r="T213" s="259">
        <f>COUNTIF($F$7:F213,"TE")</f>
        <v>20</v>
      </c>
      <c r="U213" s="259">
        <f>COUNTIF($F$7:F213,"DST")</f>
        <v>11</v>
      </c>
      <c r="V213" s="259">
        <f>COUNTIF($F$7:F213,"K")</f>
        <v>12</v>
      </c>
      <c r="X213" s="265">
        <v>207</v>
      </c>
      <c r="Y213" s="259" t="str">
        <f>IFERROR(INDEX(ADP_Import!A:A,MATCH(ADP!AB213,ADP_Import!AG:AG,0)),"")</f>
        <v/>
      </c>
      <c r="Z213" s="259" t="str">
        <f>IFERROR(INDEX(ADP_Import!B:B,MATCH(ADP!AB213,ADP_Import!AG:AG,0)),"")</f>
        <v/>
      </c>
      <c r="AA213" s="259" t="str">
        <f>IFERROR(INDEX(ADP_Import!C:C,MATCH(ADP!AB213,ADP_Import!AG:AG,0)),"")</f>
        <v/>
      </c>
      <c r="AB213" s="439" t="str">
        <f>IFERROR(INDEX(ADP_Import!AG:AG,MATCH(SMALL(ADP_Import!AG:AG,X213),ADP_Import!AG:AG,0)),"NA")</f>
        <v>NA</v>
      </c>
      <c r="AC213" s="265" t="str">
        <f>IFERROR(INDEX(ADP_Import!$D:$AE,MATCH(AB213,ADP_Import!AG:AG,0),$AG$6),"")</f>
        <v/>
      </c>
      <c r="AI213" t="str">
        <f>INDEX('Draft Pick Order'!E:U,MATCH(A213,'Draft Pick Order'!C:C,0),(Instructions!$E$11*2-15))</f>
        <v>18-3</v>
      </c>
    </row>
    <row r="214" spans="1:35" ht="15.75" thickBot="1" x14ac:dyDescent="0.3">
      <c r="A214" s="230">
        <v>208</v>
      </c>
      <c r="B214">
        <f>IFERROR(IF(INDEX(Draft!BY:BY,MATCH(ADP!D214,Draft!BY:BY,0))=ADP!D214,1,0),0)</f>
        <v>1</v>
      </c>
      <c r="C214" t="str">
        <f>IF(AND(IFERROR(INDEX(Instructions!$T$111:$T$222,MATCH(D214,Instructions!$T$111:$T$222,0)), "")=D214, D214&lt;&gt;""), "X", "")</f>
        <v/>
      </c>
      <c r="D214" s="454" t="s">
        <v>993</v>
      </c>
      <c r="E214" s="232" t="s">
        <v>993</v>
      </c>
      <c r="F214" s="232" t="s">
        <v>993</v>
      </c>
      <c r="G214" s="384" t="s">
        <v>1927</v>
      </c>
      <c r="H214" s="456" t="s">
        <v>993</v>
      </c>
      <c r="I214" s="324"/>
      <c r="J214" s="688"/>
      <c r="K214" s="691"/>
      <c r="L214" s="688"/>
      <c r="M214" s="689"/>
      <c r="N214" s="234">
        <v>208</v>
      </c>
      <c r="O214" s="385" t="str">
        <f>F214&amp;COUNTIF($F$7:F214,F214)</f>
        <v>13</v>
      </c>
      <c r="P214" s="268">
        <f>VALUE('Draft Pick Order'!B210)</f>
        <v>217</v>
      </c>
      <c r="Q214" s="259">
        <f>COUNTIF(D$7:$F214,"QB")</f>
        <v>24</v>
      </c>
      <c r="R214" s="259">
        <f>COUNTIF($F$7:F214,"RB")</f>
        <v>57</v>
      </c>
      <c r="S214" s="259">
        <f>COUNTIF($F$7:F214,"WR")</f>
        <v>71</v>
      </c>
      <c r="T214" s="259">
        <f>COUNTIF($F$7:F214,"TE")</f>
        <v>20</v>
      </c>
      <c r="U214" s="259">
        <f>COUNTIF($F$7:F214,"DST")</f>
        <v>11</v>
      </c>
      <c r="V214" s="259">
        <f>COUNTIF($F$7:F214,"K")</f>
        <v>12</v>
      </c>
      <c r="X214" s="265">
        <v>208</v>
      </c>
      <c r="Y214" s="259" t="str">
        <f>IFERROR(INDEX(ADP_Import!A:A,MATCH(ADP!AB214,ADP_Import!AG:AG,0)),"")</f>
        <v/>
      </c>
      <c r="Z214" s="259" t="str">
        <f>IFERROR(INDEX(ADP_Import!B:B,MATCH(ADP!AB214,ADP_Import!AG:AG,0)),"")</f>
        <v/>
      </c>
      <c r="AA214" s="259" t="str">
        <f>IFERROR(INDEX(ADP_Import!C:C,MATCH(ADP!AB214,ADP_Import!AG:AG,0)),"")</f>
        <v/>
      </c>
      <c r="AB214" s="439" t="str">
        <f>IFERROR(INDEX(ADP_Import!AG:AG,MATCH(SMALL(ADP_Import!AG:AG,X214),ADP_Import!AG:AG,0)),"NA")</f>
        <v>NA</v>
      </c>
      <c r="AC214" s="265" t="str">
        <f>IFERROR(INDEX(ADP_Import!$D:$AE,MATCH(AB214,ADP_Import!AG:AG,0),$AG$6),"")</f>
        <v/>
      </c>
      <c r="AI214" t="str">
        <f>INDEX('Draft Pick Order'!E:U,MATCH(A214,'Draft Pick Order'!C:C,0),(Instructions!$E$11*2-15))</f>
        <v>18-4</v>
      </c>
    </row>
    <row r="215" spans="1:35" ht="15" customHeight="1" x14ac:dyDescent="0.25">
      <c r="A215" s="230">
        <v>209</v>
      </c>
      <c r="B215">
        <f>IFERROR(IF(INDEX(Draft!BY:BY,MATCH(ADP!D215,Draft!BY:BY,0))=ADP!D215,1,0),0)</f>
        <v>1</v>
      </c>
      <c r="C215" t="str">
        <f>IF(AND(IFERROR(INDEX(Instructions!$T$111:$T$222,MATCH(D215,Instructions!$T$111:$T$222,0)), "")=D215, D215&lt;&gt;""), "X", "")</f>
        <v/>
      </c>
      <c r="D215" s="454" t="s">
        <v>993</v>
      </c>
      <c r="E215" s="232" t="s">
        <v>993</v>
      </c>
      <c r="F215" s="232" t="s">
        <v>993</v>
      </c>
      <c r="G215" s="383" t="s">
        <v>1927</v>
      </c>
      <c r="H215" s="455" t="s">
        <v>993</v>
      </c>
      <c r="I215" s="324"/>
      <c r="J215" s="688"/>
      <c r="K215" s="691"/>
      <c r="L215" s="688"/>
      <c r="M215" s="690" t="s">
        <v>909</v>
      </c>
      <c r="N215" s="234">
        <v>209</v>
      </c>
      <c r="O215" s="385" t="str">
        <f>F215&amp;COUNTIF($F$7:F215,F215)</f>
        <v>14</v>
      </c>
      <c r="P215" s="268">
        <f>VALUE('Draft Pick Order'!B211)</f>
        <v>217</v>
      </c>
      <c r="Q215" s="259">
        <f>COUNTIF(D$7:$F215,"QB")</f>
        <v>24</v>
      </c>
      <c r="R215" s="259">
        <f>COUNTIF($F$7:F215,"RB")</f>
        <v>57</v>
      </c>
      <c r="S215" s="259">
        <f>COUNTIF($F$7:F215,"WR")</f>
        <v>71</v>
      </c>
      <c r="T215" s="259">
        <f>COUNTIF($F$7:F215,"TE")</f>
        <v>20</v>
      </c>
      <c r="U215" s="259">
        <f>COUNTIF($F$7:F215,"DST")</f>
        <v>11</v>
      </c>
      <c r="V215" s="259">
        <f>COUNTIF($F$7:F215,"K")</f>
        <v>12</v>
      </c>
      <c r="X215" s="265">
        <v>209</v>
      </c>
      <c r="Y215" s="259" t="str">
        <f>IFERROR(INDEX(ADP_Import!A:A,MATCH(ADP!AB215,ADP_Import!AG:AG,0)),"")</f>
        <v/>
      </c>
      <c r="Z215" s="259" t="str">
        <f>IFERROR(INDEX(ADP_Import!B:B,MATCH(ADP!AB215,ADP_Import!AG:AG,0)),"")</f>
        <v/>
      </c>
      <c r="AA215" s="259" t="str">
        <f>IFERROR(INDEX(ADP_Import!C:C,MATCH(ADP!AB215,ADP_Import!AG:AG,0)),"")</f>
        <v/>
      </c>
      <c r="AB215" s="439" t="str">
        <f>IFERROR(INDEX(ADP_Import!AG:AG,MATCH(SMALL(ADP_Import!AG:AG,X215),ADP_Import!AG:AG,0)),"NA")</f>
        <v>NA</v>
      </c>
      <c r="AC215" s="265" t="str">
        <f>IFERROR(INDEX(ADP_Import!$D:$AE,MATCH(AB215,ADP_Import!AG:AG,0),$AG$6),"")</f>
        <v/>
      </c>
      <c r="AI215" t="str">
        <f>INDEX('Draft Pick Order'!E:U,MATCH(A215,'Draft Pick Order'!C:C,0),(Instructions!$E$11*2-15))</f>
        <v>18-5</v>
      </c>
    </row>
    <row r="216" spans="1:35" ht="15.75" thickBot="1" x14ac:dyDescent="0.3">
      <c r="A216" s="230">
        <v>210</v>
      </c>
      <c r="B216">
        <f>IFERROR(IF(INDEX(Draft!BY:BY,MATCH(ADP!D216,Draft!BY:BY,0))=ADP!D216,1,0),0)</f>
        <v>1</v>
      </c>
      <c r="C216" t="str">
        <f>IF(AND(IFERROR(INDEX(Instructions!$T$111:$T$222,MATCH(D216,Instructions!$T$111:$T$222,0)), "")=D216, D216&lt;&gt;""), "X", "")</f>
        <v/>
      </c>
      <c r="D216" s="454" t="s">
        <v>993</v>
      </c>
      <c r="E216" s="232" t="s">
        <v>993</v>
      </c>
      <c r="F216" s="232" t="s">
        <v>993</v>
      </c>
      <c r="G216" s="384" t="s">
        <v>1927</v>
      </c>
      <c r="H216" s="456" t="s">
        <v>993</v>
      </c>
      <c r="I216" s="324"/>
      <c r="J216" s="689"/>
      <c r="K216" s="691"/>
      <c r="L216" s="689"/>
      <c r="M216" s="691"/>
      <c r="N216" s="236">
        <v>210</v>
      </c>
      <c r="O216" s="385" t="str">
        <f>F216&amp;COUNTIF($F$7:F216,F216)</f>
        <v>15</v>
      </c>
      <c r="P216" s="268">
        <f>VALUE('Draft Pick Order'!B212)</f>
        <v>217</v>
      </c>
      <c r="Q216" s="259">
        <f>COUNTIF(D$7:$F216,"QB")</f>
        <v>24</v>
      </c>
      <c r="R216" s="259">
        <f>COUNTIF($F$7:F216,"RB")</f>
        <v>57</v>
      </c>
      <c r="S216" s="259">
        <f>COUNTIF($F$7:F216,"WR")</f>
        <v>71</v>
      </c>
      <c r="T216" s="259">
        <f>COUNTIF($F$7:F216,"TE")</f>
        <v>20</v>
      </c>
      <c r="U216" s="259">
        <f>COUNTIF($F$7:F216,"DST")</f>
        <v>11</v>
      </c>
      <c r="V216" s="259">
        <f>COUNTIF($F$7:F216,"K")</f>
        <v>12</v>
      </c>
      <c r="X216" s="265">
        <v>210</v>
      </c>
      <c r="Y216" s="259" t="str">
        <f>IFERROR(INDEX(ADP_Import!A:A,MATCH(ADP!AB216,ADP_Import!AG:AG,0)),"")</f>
        <v/>
      </c>
      <c r="Z216" s="259" t="str">
        <f>IFERROR(INDEX(ADP_Import!B:B,MATCH(ADP!AB216,ADP_Import!AG:AG,0)),"")</f>
        <v/>
      </c>
      <c r="AA216" s="259" t="str">
        <f>IFERROR(INDEX(ADP_Import!C:C,MATCH(ADP!AB216,ADP_Import!AG:AG,0)),"")</f>
        <v/>
      </c>
      <c r="AB216" s="439" t="str">
        <f>IFERROR(INDEX(ADP_Import!AG:AG,MATCH(SMALL(ADP_Import!AG:AG,X216),ADP_Import!AG:AG,0)),"NA")</f>
        <v>NA</v>
      </c>
      <c r="AC216" s="265" t="str">
        <f>IFERROR(INDEX(ADP_Import!$D:$AE,MATCH(AB216,ADP_Import!AG:AG,0),$AG$6),"")</f>
        <v/>
      </c>
      <c r="AI216" t="str">
        <f>INDEX('Draft Pick Order'!E:U,MATCH(A216,'Draft Pick Order'!C:C,0),(Instructions!$E$11*2-15))</f>
        <v>18-6</v>
      </c>
    </row>
    <row r="217" spans="1:35" ht="15" customHeight="1" x14ac:dyDescent="0.25">
      <c r="A217" s="230">
        <v>211</v>
      </c>
      <c r="B217">
        <f>IFERROR(IF(INDEX(Draft!BY:BY,MATCH(ADP!D217,Draft!BY:BY,0))=ADP!D217,1,0),0)</f>
        <v>1</v>
      </c>
      <c r="C217" t="str">
        <f>IF(AND(IFERROR(INDEX(Instructions!$T$111:$T$222,MATCH(D217,Instructions!$T$111:$T$222,0)), "")=D217, D217&lt;&gt;""), "X", "")</f>
        <v/>
      </c>
      <c r="D217" s="454" t="s">
        <v>993</v>
      </c>
      <c r="E217" s="232" t="s">
        <v>993</v>
      </c>
      <c r="F217" s="232" t="s">
        <v>993</v>
      </c>
      <c r="G217" s="383" t="s">
        <v>1927</v>
      </c>
      <c r="H217" s="455" t="s">
        <v>993</v>
      </c>
      <c r="I217" s="324"/>
      <c r="J217" s="690" t="s">
        <v>1460</v>
      </c>
      <c r="K217" s="691"/>
      <c r="L217" s="690" t="s">
        <v>1086</v>
      </c>
      <c r="M217" s="691"/>
      <c r="N217" s="236">
        <v>211</v>
      </c>
      <c r="O217" s="385" t="str">
        <f>F217&amp;COUNTIF($F$7:F217,F217)</f>
        <v>16</v>
      </c>
      <c r="P217" s="268">
        <f>VALUE('Draft Pick Order'!B213)</f>
        <v>217</v>
      </c>
      <c r="Q217" s="259">
        <f>COUNTIF(D$7:$F217,"QB")</f>
        <v>24</v>
      </c>
      <c r="R217" s="259">
        <f>COUNTIF($F$7:F217,"RB")</f>
        <v>57</v>
      </c>
      <c r="S217" s="259">
        <f>COUNTIF($F$7:F217,"WR")</f>
        <v>71</v>
      </c>
      <c r="T217" s="259">
        <f>COUNTIF($F$7:F217,"TE")</f>
        <v>20</v>
      </c>
      <c r="U217" s="259">
        <f>COUNTIF($F$7:F217,"DST")</f>
        <v>11</v>
      </c>
      <c r="V217" s="259">
        <f>COUNTIF($F$7:F217,"K")</f>
        <v>12</v>
      </c>
      <c r="X217" s="265">
        <v>211</v>
      </c>
      <c r="Y217" s="259" t="str">
        <f>IFERROR(INDEX(ADP_Import!A:A,MATCH(ADP!AB217,ADP_Import!AG:AG,0)),"")</f>
        <v/>
      </c>
      <c r="Z217" s="259" t="str">
        <f>IFERROR(INDEX(ADP_Import!B:B,MATCH(ADP!AB217,ADP_Import!AG:AG,0)),"")</f>
        <v/>
      </c>
      <c r="AA217" s="259" t="str">
        <f>IFERROR(INDEX(ADP_Import!C:C,MATCH(ADP!AB217,ADP_Import!AG:AG,0)),"")</f>
        <v/>
      </c>
      <c r="AB217" s="439" t="str">
        <f>IFERROR(INDEX(ADP_Import!AG:AG,MATCH(SMALL(ADP_Import!AG:AG,X217),ADP_Import!AG:AG,0)),"NA")</f>
        <v>NA</v>
      </c>
      <c r="AC217" s="265" t="str">
        <f>IFERROR(INDEX(ADP_Import!$D:$AE,MATCH(AB217,ADP_Import!AG:AG,0),$AG$6),"")</f>
        <v/>
      </c>
      <c r="AI217" t="str">
        <f>INDEX('Draft Pick Order'!E:U,MATCH(A217,'Draft Pick Order'!C:C,0),(Instructions!$E$11*2-15))</f>
        <v>18-7</v>
      </c>
    </row>
    <row r="218" spans="1:35" x14ac:dyDescent="0.25">
      <c r="A218" s="230">
        <v>212</v>
      </c>
      <c r="B218">
        <f>IFERROR(IF(INDEX(Draft!BY:BY,MATCH(ADP!D218,Draft!BY:BY,0))=ADP!D218,1,0),0)</f>
        <v>1</v>
      </c>
      <c r="C218" t="str">
        <f>IF(AND(IFERROR(INDEX(Instructions!$T$111:$T$222,MATCH(D218,Instructions!$T$111:$T$222,0)), "")=D218, D218&lt;&gt;""), "X", "")</f>
        <v/>
      </c>
      <c r="D218" s="454" t="s">
        <v>993</v>
      </c>
      <c r="E218" s="232" t="s">
        <v>993</v>
      </c>
      <c r="F218" s="232" t="s">
        <v>993</v>
      </c>
      <c r="G218" s="384" t="s">
        <v>1927</v>
      </c>
      <c r="H218" s="456" t="s">
        <v>993</v>
      </c>
      <c r="I218" s="324"/>
      <c r="J218" s="691"/>
      <c r="K218" s="691"/>
      <c r="L218" s="691"/>
      <c r="M218" s="691"/>
      <c r="N218" s="236">
        <v>212</v>
      </c>
      <c r="O218" s="385" t="str">
        <f>F218&amp;COUNTIF($F$7:F218,F218)</f>
        <v>17</v>
      </c>
      <c r="P218" s="268">
        <f>VALUE('Draft Pick Order'!B214)</f>
        <v>217</v>
      </c>
      <c r="Q218" s="259">
        <f>COUNTIF(D$7:$F218,"QB")</f>
        <v>24</v>
      </c>
      <c r="R218" s="259">
        <f>COUNTIF($F$7:F218,"RB")</f>
        <v>57</v>
      </c>
      <c r="S218" s="259">
        <f>COUNTIF($F$7:F218,"WR")</f>
        <v>71</v>
      </c>
      <c r="T218" s="259">
        <f>COUNTIF($F$7:F218,"TE")</f>
        <v>20</v>
      </c>
      <c r="U218" s="259">
        <f>COUNTIF($F$7:F218,"DST")</f>
        <v>11</v>
      </c>
      <c r="V218" s="259">
        <f>COUNTIF($F$7:F218,"K")</f>
        <v>12</v>
      </c>
      <c r="X218" s="265">
        <v>212</v>
      </c>
      <c r="Y218" s="259" t="str">
        <f>IFERROR(INDEX(ADP_Import!A:A,MATCH(ADP!AB218,ADP_Import!AG:AG,0)),"")</f>
        <v/>
      </c>
      <c r="Z218" s="259" t="str">
        <f>IFERROR(INDEX(ADP_Import!B:B,MATCH(ADP!AB218,ADP_Import!AG:AG,0)),"")</f>
        <v/>
      </c>
      <c r="AA218" s="259" t="str">
        <f>IFERROR(INDEX(ADP_Import!C:C,MATCH(ADP!AB218,ADP_Import!AG:AG,0)),"")</f>
        <v/>
      </c>
      <c r="AB218" s="439" t="str">
        <f>IFERROR(INDEX(ADP_Import!AG:AG,MATCH(SMALL(ADP_Import!AG:AG,X218),ADP_Import!AG:AG,0)),"NA")</f>
        <v>NA</v>
      </c>
      <c r="AC218" s="265" t="str">
        <f>IFERROR(INDEX(ADP_Import!$D:$AE,MATCH(AB218,ADP_Import!AG:AG,0),$AG$6),"")</f>
        <v/>
      </c>
      <c r="AI218" t="str">
        <f>INDEX('Draft Pick Order'!E:U,MATCH(A218,'Draft Pick Order'!C:C,0),(Instructions!$E$11*2-15))</f>
        <v>18-8</v>
      </c>
    </row>
    <row r="219" spans="1:35" x14ac:dyDescent="0.25">
      <c r="A219" s="230">
        <v>213</v>
      </c>
      <c r="B219">
        <f>IFERROR(IF(INDEX(Draft!BY:BY,MATCH(ADP!D219,Draft!BY:BY,0))=ADP!D219,1,0),0)</f>
        <v>1</v>
      </c>
      <c r="C219" t="str">
        <f>IF(AND(IFERROR(INDEX(Instructions!$T$111:$T$222,MATCH(D219,Instructions!$T$111:$T$222,0)), "")=D219, D219&lt;&gt;""), "X", "")</f>
        <v/>
      </c>
      <c r="D219" s="454" t="s">
        <v>993</v>
      </c>
      <c r="E219" s="232" t="s">
        <v>993</v>
      </c>
      <c r="F219" s="232" t="s">
        <v>993</v>
      </c>
      <c r="G219" s="383" t="s">
        <v>1927</v>
      </c>
      <c r="H219" s="455" t="s">
        <v>993</v>
      </c>
      <c r="I219" s="324"/>
      <c r="J219" s="691"/>
      <c r="K219" s="691"/>
      <c r="L219" s="691"/>
      <c r="M219" s="691"/>
      <c r="N219" s="236">
        <v>213</v>
      </c>
      <c r="O219" s="385" t="str">
        <f>F219&amp;COUNTIF($F$7:F219,F219)</f>
        <v>18</v>
      </c>
      <c r="P219" s="268">
        <f>VALUE('Draft Pick Order'!B215)</f>
        <v>217</v>
      </c>
      <c r="Q219" s="259">
        <f>COUNTIF(D$7:$F219,"QB")</f>
        <v>24</v>
      </c>
      <c r="R219" s="259">
        <f>COUNTIF($F$7:F219,"RB")</f>
        <v>57</v>
      </c>
      <c r="S219" s="259">
        <f>COUNTIF($F$7:F219,"WR")</f>
        <v>71</v>
      </c>
      <c r="T219" s="259">
        <f>COUNTIF($F$7:F219,"TE")</f>
        <v>20</v>
      </c>
      <c r="U219" s="259">
        <f>COUNTIF($F$7:F219,"DST")</f>
        <v>11</v>
      </c>
      <c r="V219" s="259">
        <f>COUNTIF($F$7:F219,"K")</f>
        <v>12</v>
      </c>
      <c r="X219" s="265">
        <v>213</v>
      </c>
      <c r="Y219" s="259" t="str">
        <f>IFERROR(INDEX(ADP_Import!A:A,MATCH(ADP!AB219,ADP_Import!AG:AG,0)),"")</f>
        <v/>
      </c>
      <c r="Z219" s="259" t="str">
        <f>IFERROR(INDEX(ADP_Import!B:B,MATCH(ADP!AB219,ADP_Import!AG:AG,0)),"")</f>
        <v/>
      </c>
      <c r="AA219" s="259" t="str">
        <f>IFERROR(INDEX(ADP_Import!C:C,MATCH(ADP!AB219,ADP_Import!AG:AG,0)),"")</f>
        <v/>
      </c>
      <c r="AB219" s="439" t="str">
        <f>IFERROR(INDEX(ADP_Import!AG:AG,MATCH(SMALL(ADP_Import!AG:AG,X219),ADP_Import!AG:AG,0)),"NA")</f>
        <v>NA</v>
      </c>
      <c r="AC219" s="265" t="str">
        <f>IFERROR(INDEX(ADP_Import!$D:$AE,MATCH(AB219,ADP_Import!AG:AG,0),$AG$6),"")</f>
        <v/>
      </c>
      <c r="AI219" t="str">
        <f>INDEX('Draft Pick Order'!E:U,MATCH(A219,'Draft Pick Order'!C:C,0),(Instructions!$E$11*2-15))</f>
        <v>18-9</v>
      </c>
    </row>
    <row r="220" spans="1:35" x14ac:dyDescent="0.25">
      <c r="A220" s="230">
        <v>214</v>
      </c>
      <c r="B220">
        <f>IFERROR(IF(INDEX(Draft!BY:BY,MATCH(ADP!D220,Draft!BY:BY,0))=ADP!D220,1,0),0)</f>
        <v>1</v>
      </c>
      <c r="C220" t="str">
        <f>IF(AND(IFERROR(INDEX(Instructions!$T$111:$T$222,MATCH(D220,Instructions!$T$111:$T$222,0)), "")=D220, D220&lt;&gt;""), "X", "")</f>
        <v/>
      </c>
      <c r="D220" s="454" t="s">
        <v>993</v>
      </c>
      <c r="E220" s="232" t="s">
        <v>993</v>
      </c>
      <c r="F220" s="232" t="s">
        <v>993</v>
      </c>
      <c r="G220" s="384" t="s">
        <v>1927</v>
      </c>
      <c r="H220" s="456" t="s">
        <v>993</v>
      </c>
      <c r="I220" s="324"/>
      <c r="J220" s="691"/>
      <c r="K220" s="691"/>
      <c r="L220" s="691"/>
      <c r="M220" s="691"/>
      <c r="N220" s="236">
        <v>214</v>
      </c>
      <c r="O220" s="385" t="str">
        <f>F220&amp;COUNTIF($F$7:F220,F220)</f>
        <v>19</v>
      </c>
      <c r="P220" s="268">
        <f>VALUE('Draft Pick Order'!B216)</f>
        <v>217</v>
      </c>
      <c r="Q220" s="259">
        <f>COUNTIF(D$7:$F220,"QB")</f>
        <v>24</v>
      </c>
      <c r="R220" s="259">
        <f>COUNTIF($F$7:F220,"RB")</f>
        <v>57</v>
      </c>
      <c r="S220" s="259">
        <f>COUNTIF($F$7:F220,"WR")</f>
        <v>71</v>
      </c>
      <c r="T220" s="259">
        <f>COUNTIF($F$7:F220,"TE")</f>
        <v>20</v>
      </c>
      <c r="U220" s="259">
        <f>COUNTIF($F$7:F220,"DST")</f>
        <v>11</v>
      </c>
      <c r="V220" s="259">
        <f>COUNTIF($F$7:F220,"K")</f>
        <v>12</v>
      </c>
      <c r="X220" s="265">
        <v>214</v>
      </c>
      <c r="Y220" s="259" t="str">
        <f>IFERROR(INDEX(ADP_Import!A:A,MATCH(ADP!AB220,ADP_Import!AG:AG,0)),"")</f>
        <v/>
      </c>
      <c r="Z220" s="259" t="str">
        <f>IFERROR(INDEX(ADP_Import!B:B,MATCH(ADP!AB220,ADP_Import!AG:AG,0)),"")</f>
        <v/>
      </c>
      <c r="AA220" s="259" t="str">
        <f>IFERROR(INDEX(ADP_Import!C:C,MATCH(ADP!AB220,ADP_Import!AG:AG,0)),"")</f>
        <v/>
      </c>
      <c r="AB220" s="439" t="str">
        <f>IFERROR(INDEX(ADP_Import!AG:AG,MATCH(SMALL(ADP_Import!AG:AG,X220),ADP_Import!AG:AG,0)),"NA")</f>
        <v>NA</v>
      </c>
      <c r="AC220" s="265" t="str">
        <f>IFERROR(INDEX(ADP_Import!$D:$AE,MATCH(AB220,ADP_Import!AG:AG,0),$AG$6),"")</f>
        <v/>
      </c>
      <c r="AI220" t="str">
        <f>INDEX('Draft Pick Order'!E:U,MATCH(A220,'Draft Pick Order'!C:C,0),(Instructions!$E$11*2-15))</f>
        <v>18-10</v>
      </c>
    </row>
    <row r="221" spans="1:35" x14ac:dyDescent="0.25">
      <c r="A221" s="230">
        <v>215</v>
      </c>
      <c r="B221">
        <f>IFERROR(IF(INDEX(Draft!BY:BY,MATCH(ADP!D221,Draft!BY:BY,0))=ADP!D221,1,0),0)</f>
        <v>1</v>
      </c>
      <c r="C221" t="str">
        <f>IF(AND(IFERROR(INDEX(Instructions!$T$111:$T$222,MATCH(D221,Instructions!$T$111:$T$222,0)), "")=D221, D221&lt;&gt;""), "X", "")</f>
        <v/>
      </c>
      <c r="D221" s="454" t="s">
        <v>993</v>
      </c>
      <c r="E221" s="232" t="s">
        <v>993</v>
      </c>
      <c r="F221" s="232" t="s">
        <v>993</v>
      </c>
      <c r="G221" s="383" t="s">
        <v>1927</v>
      </c>
      <c r="H221" s="455" t="s">
        <v>993</v>
      </c>
      <c r="I221" s="324"/>
      <c r="J221" s="691"/>
      <c r="K221" s="691"/>
      <c r="L221" s="691"/>
      <c r="M221" s="691"/>
      <c r="N221" s="236">
        <v>215</v>
      </c>
      <c r="O221" s="385" t="str">
        <f>F221&amp;COUNTIF($F$7:F221,F221)</f>
        <v>20</v>
      </c>
      <c r="P221" s="268">
        <f>VALUE('Draft Pick Order'!B217)</f>
        <v>218</v>
      </c>
      <c r="Q221" s="259">
        <f>COUNTIF(D$7:$F221,"QB")</f>
        <v>24</v>
      </c>
      <c r="R221" s="259">
        <f>COUNTIF($F$7:F221,"RB")</f>
        <v>57</v>
      </c>
      <c r="S221" s="259">
        <f>COUNTIF($F$7:F221,"WR")</f>
        <v>71</v>
      </c>
      <c r="T221" s="259">
        <f>COUNTIF($F$7:F221,"TE")</f>
        <v>20</v>
      </c>
      <c r="U221" s="259">
        <f>COUNTIF($F$7:F221,"DST")</f>
        <v>11</v>
      </c>
      <c r="V221" s="259">
        <f>COUNTIF($F$7:F221,"K")</f>
        <v>12</v>
      </c>
      <c r="X221" s="265">
        <v>215</v>
      </c>
      <c r="Y221" s="259" t="str">
        <f>IFERROR(INDEX(ADP_Import!A:A,MATCH(ADP!AB221,ADP_Import!AG:AG,0)),"")</f>
        <v/>
      </c>
      <c r="Z221" s="259" t="str">
        <f>IFERROR(INDEX(ADP_Import!B:B,MATCH(ADP!AB221,ADP_Import!AG:AG,0)),"")</f>
        <v/>
      </c>
      <c r="AA221" s="259" t="str">
        <f>IFERROR(INDEX(ADP_Import!C:C,MATCH(ADP!AB221,ADP_Import!AG:AG,0)),"")</f>
        <v/>
      </c>
      <c r="AB221" s="439" t="str">
        <f>IFERROR(INDEX(ADP_Import!AG:AG,MATCH(SMALL(ADP_Import!AG:AG,X221),ADP_Import!AG:AG,0)),"NA")</f>
        <v>NA</v>
      </c>
      <c r="AC221" s="265" t="str">
        <f>IFERROR(INDEX(ADP_Import!$D:$AE,MATCH(AB221,ADP_Import!AG:AG,0),$AG$6),"")</f>
        <v/>
      </c>
      <c r="AI221" t="str">
        <f>INDEX('Draft Pick Order'!E:U,MATCH(A221,'Draft Pick Order'!C:C,0),(Instructions!$E$11*2-15))</f>
        <v>18-11</v>
      </c>
    </row>
    <row r="222" spans="1:35" ht="15.75" thickBot="1" x14ac:dyDescent="0.3">
      <c r="A222" s="230">
        <v>216</v>
      </c>
      <c r="B222">
        <f>IFERROR(IF(INDEX(Draft!BY:BY,MATCH(ADP!D222,Draft!BY:BY,0))=ADP!D222,1,0),0)</f>
        <v>1</v>
      </c>
      <c r="C222" t="str">
        <f>IF(AND(IFERROR(INDEX(Instructions!$T$111:$T$222,MATCH(D222,Instructions!$T$111:$T$222,0)), "")=D222, D222&lt;&gt;""), "X", "")</f>
        <v/>
      </c>
      <c r="D222" s="454" t="s">
        <v>993</v>
      </c>
      <c r="E222" s="232" t="s">
        <v>993</v>
      </c>
      <c r="F222" s="232" t="s">
        <v>993</v>
      </c>
      <c r="G222" s="384" t="s">
        <v>1927</v>
      </c>
      <c r="H222" s="456" t="s">
        <v>993</v>
      </c>
      <c r="I222" s="324"/>
      <c r="J222" s="691"/>
      <c r="K222" s="692"/>
      <c r="L222" s="691"/>
      <c r="M222" s="691"/>
      <c r="N222" s="236">
        <v>216</v>
      </c>
      <c r="O222" s="385" t="str">
        <f>F222&amp;COUNTIF($F$7:F222,F222)</f>
        <v>21</v>
      </c>
      <c r="P222" s="268">
        <f>VALUE('Draft Pick Order'!B218)</f>
        <v>218</v>
      </c>
      <c r="Q222" s="259">
        <f>COUNTIF(D$7:$F222,"QB")</f>
        <v>24</v>
      </c>
      <c r="R222" s="259">
        <f>COUNTIF($F$7:F222,"RB")</f>
        <v>57</v>
      </c>
      <c r="S222" s="259">
        <f>COUNTIF($F$7:F222,"WR")</f>
        <v>71</v>
      </c>
      <c r="T222" s="259">
        <f>COUNTIF($F$7:F222,"TE")</f>
        <v>20</v>
      </c>
      <c r="U222" s="259">
        <f>COUNTIF($F$7:F222,"DST")</f>
        <v>11</v>
      </c>
      <c r="V222" s="259">
        <f>COUNTIF($F$7:F222,"K")</f>
        <v>12</v>
      </c>
      <c r="X222" s="265">
        <v>216</v>
      </c>
      <c r="Y222" s="259" t="str">
        <f>IFERROR(INDEX(ADP_Import!A:A,MATCH(ADP!AB222,ADP_Import!AG:AG,0)),"")</f>
        <v/>
      </c>
      <c r="Z222" s="259" t="str">
        <f>IFERROR(INDEX(ADP_Import!B:B,MATCH(ADP!AB222,ADP_Import!AG:AG,0)),"")</f>
        <v/>
      </c>
      <c r="AA222" s="259" t="str">
        <f>IFERROR(INDEX(ADP_Import!C:C,MATCH(ADP!AB222,ADP_Import!AG:AG,0)),"")</f>
        <v/>
      </c>
      <c r="AB222" s="439" t="str">
        <f>IFERROR(INDEX(ADP_Import!AG:AG,MATCH(SMALL(ADP_Import!AG:AG,X222),ADP_Import!AG:AG,0)),"NA")</f>
        <v>NA</v>
      </c>
      <c r="AC222" s="265" t="str">
        <f>IFERROR(INDEX(ADP_Import!$D:$AE,MATCH(AB222,ADP_Import!AG:AG,0),$AG$6),"")</f>
        <v/>
      </c>
      <c r="AI222" t="str">
        <f>INDEX('Draft Pick Order'!E:U,MATCH(A222,'Draft Pick Order'!C:C,0),(Instructions!$E$11*2-15))</f>
        <v>18-12</v>
      </c>
    </row>
    <row r="223" spans="1:35" ht="15" customHeight="1" x14ac:dyDescent="0.25">
      <c r="A223" s="230">
        <v>217</v>
      </c>
      <c r="B223">
        <f>IFERROR(IF(INDEX(Draft!BY:BY,MATCH(ADP!D223,Draft!BY:BY,0))=ADP!D223,1,0),0)</f>
        <v>1</v>
      </c>
      <c r="C223" t="str">
        <f>IF(AND(IFERROR(INDEX(Instructions!$T$111:$T$222,MATCH(D223,Instructions!$T$111:$T$222,0)), "")=D223, D223&lt;&gt;""), "X", "")</f>
        <v/>
      </c>
      <c r="D223" s="454" t="s">
        <v>993</v>
      </c>
      <c r="E223" s="232" t="s">
        <v>993</v>
      </c>
      <c r="F223" s="232" t="s">
        <v>993</v>
      </c>
      <c r="G223" s="383" t="s">
        <v>1927</v>
      </c>
      <c r="H223" s="455" t="s">
        <v>993</v>
      </c>
      <c r="I223" s="324"/>
      <c r="J223" s="691"/>
      <c r="K223" s="687" t="s">
        <v>1457</v>
      </c>
      <c r="L223" s="691"/>
      <c r="M223" s="691"/>
      <c r="N223" s="236">
        <v>217</v>
      </c>
      <c r="O223" s="385" t="str">
        <f>F223&amp;COUNTIF($F$7:F223,F223)</f>
        <v>22</v>
      </c>
      <c r="P223" s="268">
        <f>VALUE('Draft Pick Order'!B219)</f>
        <v>218</v>
      </c>
      <c r="Q223" s="259">
        <f>COUNTIF(D$7:$F223,"QB")</f>
        <v>24</v>
      </c>
      <c r="R223" s="259">
        <f>COUNTIF($F$7:F223,"RB")</f>
        <v>57</v>
      </c>
      <c r="S223" s="259">
        <f>COUNTIF($F$7:F223,"WR")</f>
        <v>71</v>
      </c>
      <c r="T223" s="259">
        <f>COUNTIF($F$7:F223,"TE")</f>
        <v>20</v>
      </c>
      <c r="U223" s="259">
        <f>COUNTIF($F$7:F223,"DST")</f>
        <v>11</v>
      </c>
      <c r="V223" s="259">
        <f>COUNTIF($F$7:F223,"K")</f>
        <v>12</v>
      </c>
      <c r="X223" s="265">
        <v>217</v>
      </c>
      <c r="Y223" s="259" t="str">
        <f>IFERROR(INDEX(ADP_Import!A:A,MATCH(ADP!AB223,ADP_Import!AG:AG,0)),"")</f>
        <v/>
      </c>
      <c r="Z223" s="259" t="str">
        <f>IFERROR(INDEX(ADP_Import!B:B,MATCH(ADP!AB223,ADP_Import!AG:AG,0)),"")</f>
        <v/>
      </c>
      <c r="AA223" s="259" t="str">
        <f>IFERROR(INDEX(ADP_Import!C:C,MATCH(ADP!AB223,ADP_Import!AG:AG,0)),"")</f>
        <v/>
      </c>
      <c r="AB223" s="439" t="str">
        <f>IFERROR(INDEX(ADP_Import!AG:AG,MATCH(SMALL(ADP_Import!AG:AG,X223),ADP_Import!AG:AG,0)),"NA")</f>
        <v>NA</v>
      </c>
      <c r="AC223" s="265" t="str">
        <f>IFERROR(INDEX(ADP_Import!$D:$AE,MATCH(AB223,ADP_Import!AG:AG,0),$AG$6),"")</f>
        <v/>
      </c>
      <c r="AI223" t="str">
        <f>INDEX('Draft Pick Order'!E:U,MATCH(A223,'Draft Pick Order'!C:C,0),(Instructions!$E$11*2-15))</f>
        <v>19-1</v>
      </c>
    </row>
    <row r="224" spans="1:35" x14ac:dyDescent="0.25">
      <c r="A224" s="230">
        <v>218</v>
      </c>
      <c r="B224">
        <f>IFERROR(IF(INDEX(Draft!BY:BY,MATCH(ADP!D224,Draft!BY:BY,0))=ADP!D224,1,0),0)</f>
        <v>1</v>
      </c>
      <c r="C224" t="str">
        <f>IF(AND(IFERROR(INDEX(Instructions!$T$111:$T$222,MATCH(D224,Instructions!$T$111:$T$222,0)), "")=D224, D224&lt;&gt;""), "X", "")</f>
        <v/>
      </c>
      <c r="D224" s="454" t="s">
        <v>993</v>
      </c>
      <c r="E224" s="232" t="s">
        <v>993</v>
      </c>
      <c r="F224" s="232" t="s">
        <v>993</v>
      </c>
      <c r="G224" s="384" t="s">
        <v>1927</v>
      </c>
      <c r="H224" s="456" t="s">
        <v>993</v>
      </c>
      <c r="I224" s="324"/>
      <c r="J224" s="691"/>
      <c r="K224" s="688"/>
      <c r="L224" s="691"/>
      <c r="M224" s="691"/>
      <c r="N224" s="236">
        <v>218</v>
      </c>
      <c r="O224" s="385" t="str">
        <f>F224&amp;COUNTIF($F$7:F224,F224)</f>
        <v>23</v>
      </c>
      <c r="P224" s="268">
        <f>VALUE('Draft Pick Order'!B220)</f>
        <v>219</v>
      </c>
      <c r="Q224" s="259">
        <f>COUNTIF(D$7:$F224,"QB")</f>
        <v>24</v>
      </c>
      <c r="R224" s="259">
        <f>COUNTIF($F$7:F224,"RB")</f>
        <v>57</v>
      </c>
      <c r="S224" s="259">
        <f>COUNTIF($F$7:F224,"WR")</f>
        <v>71</v>
      </c>
      <c r="T224" s="259">
        <f>COUNTIF($F$7:F224,"TE")</f>
        <v>20</v>
      </c>
      <c r="U224" s="259">
        <f>COUNTIF($F$7:F224,"DST")</f>
        <v>11</v>
      </c>
      <c r="V224" s="259">
        <f>COUNTIF($F$7:F224,"K")</f>
        <v>12</v>
      </c>
      <c r="X224" s="265">
        <v>218</v>
      </c>
      <c r="Y224" s="259" t="str">
        <f>IFERROR(INDEX(ADP_Import!A:A,MATCH(ADP!AB224,ADP_Import!AG:AG,0)),"")</f>
        <v/>
      </c>
      <c r="Z224" s="259" t="str">
        <f>IFERROR(INDEX(ADP_Import!B:B,MATCH(ADP!AB224,ADP_Import!AG:AG,0)),"")</f>
        <v/>
      </c>
      <c r="AA224" s="259" t="str">
        <f>IFERROR(INDEX(ADP_Import!C:C,MATCH(ADP!AB224,ADP_Import!AG:AG,0)),"")</f>
        <v/>
      </c>
      <c r="AB224" s="439" t="str">
        <f>IFERROR(INDEX(ADP_Import!AG:AG,MATCH(SMALL(ADP_Import!AG:AG,X224),ADP_Import!AG:AG,0)),"NA")</f>
        <v>NA</v>
      </c>
      <c r="AC224" s="265" t="str">
        <f>IFERROR(INDEX(ADP_Import!$D:$AE,MATCH(AB224,ADP_Import!AG:AG,0),$AG$6),"")</f>
        <v/>
      </c>
      <c r="AI224" t="str">
        <f>INDEX('Draft Pick Order'!E:U,MATCH(A224,'Draft Pick Order'!C:C,0),(Instructions!$E$11*2-15))</f>
        <v>19-2</v>
      </c>
    </row>
    <row r="225" spans="1:35" x14ac:dyDescent="0.25">
      <c r="A225" s="230">
        <v>219</v>
      </c>
      <c r="B225">
        <f>IFERROR(IF(INDEX(Draft!BY:BY,MATCH(ADP!D225,Draft!BY:BY,0))=ADP!D225,1,0),0)</f>
        <v>1</v>
      </c>
      <c r="C225" t="str">
        <f>IF(AND(IFERROR(INDEX(Instructions!$T$111:$T$222,MATCH(D225,Instructions!$T$111:$T$222,0)), "")=D225, D225&lt;&gt;""), "X", "")</f>
        <v/>
      </c>
      <c r="D225" s="454" t="s">
        <v>993</v>
      </c>
      <c r="E225" s="232" t="s">
        <v>993</v>
      </c>
      <c r="F225" s="232" t="s">
        <v>993</v>
      </c>
      <c r="G225" s="383" t="s">
        <v>1927</v>
      </c>
      <c r="H225" s="455" t="s">
        <v>993</v>
      </c>
      <c r="I225" s="324"/>
      <c r="J225" s="691"/>
      <c r="K225" s="688"/>
      <c r="L225" s="691"/>
      <c r="M225" s="691"/>
      <c r="N225" s="236">
        <v>219</v>
      </c>
      <c r="O225" s="385" t="str">
        <f>F225&amp;COUNTIF($F$7:F225,F225)</f>
        <v>24</v>
      </c>
      <c r="P225" s="268">
        <f>VALUE('Draft Pick Order'!B221)</f>
        <v>219</v>
      </c>
      <c r="Q225" s="259">
        <f>COUNTIF(D$7:$F225,"QB")</f>
        <v>24</v>
      </c>
      <c r="R225" s="259">
        <f>COUNTIF($F$7:F225,"RB")</f>
        <v>57</v>
      </c>
      <c r="S225" s="259">
        <f>COUNTIF($F$7:F225,"WR")</f>
        <v>71</v>
      </c>
      <c r="T225" s="259">
        <f>COUNTIF($F$7:F225,"TE")</f>
        <v>20</v>
      </c>
      <c r="U225" s="259">
        <f>COUNTIF($F$7:F225,"DST")</f>
        <v>11</v>
      </c>
      <c r="V225" s="259">
        <f>COUNTIF($F$7:F225,"K")</f>
        <v>12</v>
      </c>
      <c r="X225" s="265">
        <v>219</v>
      </c>
      <c r="Y225" s="259" t="str">
        <f>IFERROR(INDEX(ADP_Import!A:A,MATCH(ADP!AB225,ADP_Import!AG:AG,0)),"")</f>
        <v/>
      </c>
      <c r="Z225" s="259" t="str">
        <f>IFERROR(INDEX(ADP_Import!B:B,MATCH(ADP!AB225,ADP_Import!AG:AG,0)),"")</f>
        <v/>
      </c>
      <c r="AA225" s="259" t="str">
        <f>IFERROR(INDEX(ADP_Import!C:C,MATCH(ADP!AB225,ADP_Import!AG:AG,0)),"")</f>
        <v/>
      </c>
      <c r="AB225" s="439" t="str">
        <f>IFERROR(INDEX(ADP_Import!AG:AG,MATCH(SMALL(ADP_Import!AG:AG,X225),ADP_Import!AG:AG,0)),"NA")</f>
        <v>NA</v>
      </c>
      <c r="AC225" s="265" t="str">
        <f>IFERROR(INDEX(ADP_Import!$D:$AE,MATCH(AB225,ADP_Import!AG:AG,0),$AG$6),"")</f>
        <v/>
      </c>
      <c r="AI225" t="str">
        <f>INDEX('Draft Pick Order'!E:U,MATCH(A225,'Draft Pick Order'!C:C,0),(Instructions!$E$11*2-15))</f>
        <v>19-3</v>
      </c>
    </row>
    <row r="226" spans="1:35" ht="15.75" thickBot="1" x14ac:dyDescent="0.3">
      <c r="A226" s="230">
        <v>220</v>
      </c>
      <c r="B226">
        <f>IFERROR(IF(INDEX(Draft!BY:BY,MATCH(ADP!D226,Draft!BY:BY,0))=ADP!D226,1,0),0)</f>
        <v>1</v>
      </c>
      <c r="C226" t="str">
        <f>IF(AND(IFERROR(INDEX(Instructions!$T$111:$T$222,MATCH(D226,Instructions!$T$111:$T$222,0)), "")=D226, D226&lt;&gt;""), "X", "")</f>
        <v/>
      </c>
      <c r="D226" s="454" t="s">
        <v>993</v>
      </c>
      <c r="E226" s="232" t="s">
        <v>993</v>
      </c>
      <c r="F226" s="232" t="s">
        <v>993</v>
      </c>
      <c r="G226" s="384" t="s">
        <v>1927</v>
      </c>
      <c r="H226" s="456" t="s">
        <v>993</v>
      </c>
      <c r="I226" s="324"/>
      <c r="J226" s="692"/>
      <c r="K226" s="688"/>
      <c r="L226" s="691"/>
      <c r="M226" s="691"/>
      <c r="N226" s="236">
        <v>220</v>
      </c>
      <c r="O226" s="385" t="str">
        <f>F226&amp;COUNTIF($F$7:F226,F226)</f>
        <v>25</v>
      </c>
      <c r="P226" s="268">
        <f>VALUE('Draft Pick Order'!B222)</f>
        <v>219</v>
      </c>
      <c r="Q226" s="259">
        <f>COUNTIF(D$7:$F226,"QB")</f>
        <v>24</v>
      </c>
      <c r="R226" s="259">
        <f>COUNTIF($F$7:F226,"RB")</f>
        <v>57</v>
      </c>
      <c r="S226" s="259">
        <f>COUNTIF($F$7:F226,"WR")</f>
        <v>71</v>
      </c>
      <c r="T226" s="259">
        <f>COUNTIF($F$7:F226,"TE")</f>
        <v>20</v>
      </c>
      <c r="U226" s="259">
        <f>COUNTIF($F$7:F226,"DST")</f>
        <v>11</v>
      </c>
      <c r="V226" s="259">
        <f>COUNTIF($F$7:F226,"K")</f>
        <v>12</v>
      </c>
      <c r="X226" s="265">
        <v>220</v>
      </c>
      <c r="Y226" s="259" t="str">
        <f>IFERROR(INDEX(ADP_Import!A:A,MATCH(ADP!AB226,ADP_Import!AG:AG,0)),"")</f>
        <v/>
      </c>
      <c r="Z226" s="259" t="str">
        <f>IFERROR(INDEX(ADP_Import!B:B,MATCH(ADP!AB226,ADP_Import!AG:AG,0)),"")</f>
        <v/>
      </c>
      <c r="AA226" s="259" t="str">
        <f>IFERROR(INDEX(ADP_Import!C:C,MATCH(ADP!AB226,ADP_Import!AG:AG,0)),"")</f>
        <v/>
      </c>
      <c r="AB226" s="439" t="str">
        <f>IFERROR(INDEX(ADP_Import!AG:AG,MATCH(SMALL(ADP_Import!AG:AG,X226),ADP_Import!AG:AG,0)),"NA")</f>
        <v>NA</v>
      </c>
      <c r="AC226" s="265" t="str">
        <f>IFERROR(INDEX(ADP_Import!$D:$AE,MATCH(AB226,ADP_Import!AG:AG,0),$AG$6),"")</f>
        <v/>
      </c>
      <c r="AI226" t="str">
        <f>INDEX('Draft Pick Order'!E:U,MATCH(A226,'Draft Pick Order'!C:C,0),(Instructions!$E$11*2-15))</f>
        <v>19-4</v>
      </c>
    </row>
    <row r="227" spans="1:35" ht="15" customHeight="1" x14ac:dyDescent="0.25">
      <c r="A227" s="230">
        <v>221</v>
      </c>
      <c r="B227">
        <f>IFERROR(IF(INDEX(Draft!BY:BY,MATCH(ADP!D227,Draft!BY:BY,0))=ADP!D227,1,0),0)</f>
        <v>1</v>
      </c>
      <c r="C227" t="str">
        <f>IF(AND(IFERROR(INDEX(Instructions!$T$111:$T$222,MATCH(D227,Instructions!$T$111:$T$222,0)), "")=D227, D227&lt;&gt;""), "X", "")</f>
        <v/>
      </c>
      <c r="D227" s="454" t="s">
        <v>993</v>
      </c>
      <c r="E227" s="232" t="s">
        <v>993</v>
      </c>
      <c r="F227" s="232" t="s">
        <v>993</v>
      </c>
      <c r="G227" s="383" t="s">
        <v>1927</v>
      </c>
      <c r="H227" s="455" t="s">
        <v>993</v>
      </c>
      <c r="I227" s="324"/>
      <c r="J227" s="687" t="s">
        <v>1461</v>
      </c>
      <c r="K227" s="688"/>
      <c r="L227" s="691"/>
      <c r="M227" s="691"/>
      <c r="N227" s="236">
        <v>221</v>
      </c>
      <c r="O227" s="385" t="str">
        <f>F227&amp;COUNTIF($F$7:F227,F227)</f>
        <v>26</v>
      </c>
      <c r="P227" s="268">
        <f>VALUE('Draft Pick Order'!B223)</f>
        <v>219</v>
      </c>
      <c r="Q227" s="259">
        <f>COUNTIF(D$7:$F227,"QB")</f>
        <v>24</v>
      </c>
      <c r="R227" s="259">
        <f>COUNTIF($F$7:F227,"RB")</f>
        <v>57</v>
      </c>
      <c r="S227" s="259">
        <f>COUNTIF($F$7:F227,"WR")</f>
        <v>71</v>
      </c>
      <c r="T227" s="259">
        <f>COUNTIF($F$7:F227,"TE")</f>
        <v>20</v>
      </c>
      <c r="U227" s="259">
        <f>COUNTIF($F$7:F227,"DST")</f>
        <v>11</v>
      </c>
      <c r="V227" s="259">
        <f>COUNTIF($F$7:F227,"K")</f>
        <v>12</v>
      </c>
      <c r="X227" s="265">
        <v>221</v>
      </c>
      <c r="Y227" s="259" t="str">
        <f>IFERROR(INDEX(ADP_Import!A:A,MATCH(ADP!AB227,ADP_Import!AG:AG,0)),"")</f>
        <v/>
      </c>
      <c r="Z227" s="259" t="str">
        <f>IFERROR(INDEX(ADP_Import!B:B,MATCH(ADP!AB227,ADP_Import!AG:AG,0)),"")</f>
        <v/>
      </c>
      <c r="AA227" s="259" t="str">
        <f>IFERROR(INDEX(ADP_Import!C:C,MATCH(ADP!AB227,ADP_Import!AG:AG,0)),"")</f>
        <v/>
      </c>
      <c r="AB227" s="439" t="str">
        <f>IFERROR(INDEX(ADP_Import!AG:AG,MATCH(SMALL(ADP_Import!AG:AG,X227),ADP_Import!AG:AG,0)),"NA")</f>
        <v>NA</v>
      </c>
      <c r="AC227" s="265" t="str">
        <f>IFERROR(INDEX(ADP_Import!$D:$AE,MATCH(AB227,ADP_Import!AG:AG,0),$AG$6),"")</f>
        <v/>
      </c>
      <c r="AI227" t="str">
        <f>INDEX('Draft Pick Order'!E:U,MATCH(A227,'Draft Pick Order'!C:C,0),(Instructions!$E$11*2-15))</f>
        <v>19-5</v>
      </c>
    </row>
    <row r="228" spans="1:35" x14ac:dyDescent="0.25">
      <c r="A228" s="230">
        <v>222</v>
      </c>
      <c r="B228">
        <f>IFERROR(IF(INDEX(Draft!BY:BY,MATCH(ADP!D228,Draft!BY:BY,0))=ADP!D228,1,0),0)</f>
        <v>1</v>
      </c>
      <c r="C228" t="str">
        <f>IF(AND(IFERROR(INDEX(Instructions!$T$111:$T$222,MATCH(D228,Instructions!$T$111:$T$222,0)), "")=D228, D228&lt;&gt;""), "X", "")</f>
        <v/>
      </c>
      <c r="D228" s="454" t="s">
        <v>993</v>
      </c>
      <c r="E228" s="232" t="s">
        <v>993</v>
      </c>
      <c r="F228" s="232" t="s">
        <v>993</v>
      </c>
      <c r="G228" s="384" t="s">
        <v>1927</v>
      </c>
      <c r="H228" s="456" t="s">
        <v>993</v>
      </c>
      <c r="I228" s="324"/>
      <c r="J228" s="688"/>
      <c r="K228" s="688"/>
      <c r="L228" s="691"/>
      <c r="M228" s="691"/>
      <c r="N228" s="236">
        <v>222</v>
      </c>
      <c r="O228" s="385" t="str">
        <f>F228&amp;COUNTIF($F$7:F228,F228)</f>
        <v>27</v>
      </c>
      <c r="P228" s="268">
        <f>VALUE('Draft Pick Order'!B224)</f>
        <v>219</v>
      </c>
      <c r="Q228" s="259">
        <f>COUNTIF(D$7:$F228,"QB")</f>
        <v>24</v>
      </c>
      <c r="R228" s="259">
        <f>COUNTIF($F$7:F228,"RB")</f>
        <v>57</v>
      </c>
      <c r="S228" s="259">
        <f>COUNTIF($F$7:F228,"WR")</f>
        <v>71</v>
      </c>
      <c r="T228" s="259">
        <f>COUNTIF($F$7:F228,"TE")</f>
        <v>20</v>
      </c>
      <c r="U228" s="259">
        <f>COUNTIF($F$7:F228,"DST")</f>
        <v>11</v>
      </c>
      <c r="V228" s="259">
        <f>COUNTIF($F$7:F228,"K")</f>
        <v>12</v>
      </c>
      <c r="X228" s="265">
        <v>222</v>
      </c>
      <c r="Y228" s="259" t="str">
        <f>IFERROR(INDEX(ADP_Import!A:A,MATCH(ADP!AB228,ADP_Import!AG:AG,0)),"")</f>
        <v/>
      </c>
      <c r="Z228" s="259" t="str">
        <f>IFERROR(INDEX(ADP_Import!B:B,MATCH(ADP!AB228,ADP_Import!AG:AG,0)),"")</f>
        <v/>
      </c>
      <c r="AA228" s="259" t="str">
        <f>IFERROR(INDEX(ADP_Import!C:C,MATCH(ADP!AB228,ADP_Import!AG:AG,0)),"")</f>
        <v/>
      </c>
      <c r="AB228" s="439" t="str">
        <f>IFERROR(INDEX(ADP_Import!AG:AG,MATCH(SMALL(ADP_Import!AG:AG,X228),ADP_Import!AG:AG,0)),"NA")</f>
        <v>NA</v>
      </c>
      <c r="AC228" s="265" t="str">
        <f>IFERROR(INDEX(ADP_Import!$D:$AE,MATCH(AB228,ADP_Import!AG:AG,0),$AG$6),"")</f>
        <v/>
      </c>
      <c r="AI228" t="str">
        <f>INDEX('Draft Pick Order'!E:U,MATCH(A228,'Draft Pick Order'!C:C,0),(Instructions!$E$11*2-15))</f>
        <v>19-6</v>
      </c>
    </row>
    <row r="229" spans="1:35" x14ac:dyDescent="0.25">
      <c r="A229" s="230">
        <v>223</v>
      </c>
      <c r="B229">
        <f>IFERROR(IF(INDEX(Draft!BY:BY,MATCH(ADP!D229,Draft!BY:BY,0))=ADP!D229,1,0),0)</f>
        <v>1</v>
      </c>
      <c r="C229" t="str">
        <f>IF(AND(IFERROR(INDEX(Instructions!$T$111:$T$222,MATCH(D229,Instructions!$T$111:$T$222,0)), "")=D229, D229&lt;&gt;""), "X", "")</f>
        <v/>
      </c>
      <c r="D229" s="454" t="s">
        <v>993</v>
      </c>
      <c r="E229" s="232" t="s">
        <v>993</v>
      </c>
      <c r="F229" s="232" t="s">
        <v>993</v>
      </c>
      <c r="G229" s="383" t="s">
        <v>1927</v>
      </c>
      <c r="H229" s="455" t="s">
        <v>993</v>
      </c>
      <c r="I229" s="324"/>
      <c r="J229" s="688"/>
      <c r="K229" s="688"/>
      <c r="L229" s="691"/>
      <c r="M229" s="691"/>
      <c r="N229" s="236">
        <v>223</v>
      </c>
      <c r="O229" s="385" t="str">
        <f>F229&amp;COUNTIF($F$7:F229,F229)</f>
        <v>28</v>
      </c>
      <c r="P229" s="268">
        <f>VALUE('Draft Pick Order'!B225)</f>
        <v>219</v>
      </c>
      <c r="Q229" s="259">
        <f>COUNTIF(D$7:$F229,"QB")</f>
        <v>24</v>
      </c>
      <c r="R229" s="259">
        <f>COUNTIF($F$7:F229,"RB")</f>
        <v>57</v>
      </c>
      <c r="S229" s="259">
        <f>COUNTIF($F$7:F229,"WR")</f>
        <v>71</v>
      </c>
      <c r="T229" s="259">
        <f>COUNTIF($F$7:F229,"TE")</f>
        <v>20</v>
      </c>
      <c r="U229" s="259">
        <f>COUNTIF($F$7:F229,"DST")</f>
        <v>11</v>
      </c>
      <c r="V229" s="259">
        <f>COUNTIF($F$7:F229,"K")</f>
        <v>12</v>
      </c>
      <c r="X229" s="265">
        <v>223</v>
      </c>
      <c r="Y229" s="259" t="str">
        <f>IFERROR(INDEX(ADP_Import!A:A,MATCH(ADP!AB229,ADP_Import!AG:AG,0)),"")</f>
        <v/>
      </c>
      <c r="Z229" s="259" t="str">
        <f>IFERROR(INDEX(ADP_Import!B:B,MATCH(ADP!AB229,ADP_Import!AG:AG,0)),"")</f>
        <v/>
      </c>
      <c r="AA229" s="259" t="str">
        <f>IFERROR(INDEX(ADP_Import!C:C,MATCH(ADP!AB229,ADP_Import!AG:AG,0)),"")</f>
        <v/>
      </c>
      <c r="AB229" s="439" t="str">
        <f>IFERROR(INDEX(ADP_Import!AG:AG,MATCH(SMALL(ADP_Import!AG:AG,X229),ADP_Import!AG:AG,0)),"NA")</f>
        <v>NA</v>
      </c>
      <c r="AC229" s="265" t="str">
        <f>IFERROR(INDEX(ADP_Import!$D:$AE,MATCH(AB229,ADP_Import!AG:AG,0),$AG$6),"")</f>
        <v/>
      </c>
      <c r="AI229" t="str">
        <f>INDEX('Draft Pick Order'!E:U,MATCH(A229,'Draft Pick Order'!C:C,0),(Instructions!$E$11*2-15))</f>
        <v>19-7</v>
      </c>
    </row>
    <row r="230" spans="1:35" ht="15.75" thickBot="1" x14ac:dyDescent="0.3">
      <c r="A230" s="230">
        <v>224</v>
      </c>
      <c r="B230">
        <f>IFERROR(IF(INDEX(Draft!BY:BY,MATCH(ADP!D230,Draft!BY:BY,0))=ADP!D230,1,0),0)</f>
        <v>1</v>
      </c>
      <c r="C230" t="str">
        <f>IF(AND(IFERROR(INDEX(Instructions!$T$111:$T$222,MATCH(D230,Instructions!$T$111:$T$222,0)), "")=D230, D230&lt;&gt;""), "X", "")</f>
        <v/>
      </c>
      <c r="D230" s="454" t="s">
        <v>993</v>
      </c>
      <c r="E230" s="232" t="s">
        <v>993</v>
      </c>
      <c r="F230" s="232" t="s">
        <v>993</v>
      </c>
      <c r="G230" s="384" t="s">
        <v>1927</v>
      </c>
      <c r="H230" s="456" t="s">
        <v>993</v>
      </c>
      <c r="I230" s="324"/>
      <c r="J230" s="688"/>
      <c r="K230" s="688"/>
      <c r="L230" s="691"/>
      <c r="M230" s="692"/>
      <c r="N230" s="236">
        <v>224</v>
      </c>
      <c r="O230" s="385" t="str">
        <f>F230&amp;COUNTIF($F$7:F230,F230)</f>
        <v>29</v>
      </c>
      <c r="P230" s="268">
        <f>VALUE('Draft Pick Order'!B226)</f>
        <v>219</v>
      </c>
      <c r="Q230" s="259">
        <f>COUNTIF(D$7:$F230,"QB")</f>
        <v>24</v>
      </c>
      <c r="R230" s="259">
        <f>COUNTIF($F$7:F230,"RB")</f>
        <v>57</v>
      </c>
      <c r="S230" s="259">
        <f>COUNTIF($F$7:F230,"WR")</f>
        <v>71</v>
      </c>
      <c r="T230" s="259">
        <f>COUNTIF($F$7:F230,"TE")</f>
        <v>20</v>
      </c>
      <c r="U230" s="259">
        <f>COUNTIF($F$7:F230,"DST")</f>
        <v>11</v>
      </c>
      <c r="V230" s="259">
        <f>COUNTIF($F$7:F230,"K")</f>
        <v>12</v>
      </c>
      <c r="X230" s="265">
        <v>224</v>
      </c>
      <c r="Y230" s="259" t="str">
        <f>IFERROR(INDEX(ADP_Import!A:A,MATCH(ADP!AB230,ADP_Import!AG:AG,0)),"")</f>
        <v/>
      </c>
      <c r="Z230" s="259" t="str">
        <f>IFERROR(INDEX(ADP_Import!B:B,MATCH(ADP!AB230,ADP_Import!AG:AG,0)),"")</f>
        <v/>
      </c>
      <c r="AA230" s="259" t="str">
        <f>IFERROR(INDEX(ADP_Import!C:C,MATCH(ADP!AB230,ADP_Import!AG:AG,0)),"")</f>
        <v/>
      </c>
      <c r="AB230" s="439" t="str">
        <f>IFERROR(INDEX(ADP_Import!AG:AG,MATCH(SMALL(ADP_Import!AG:AG,X230),ADP_Import!AG:AG,0)),"NA")</f>
        <v>NA</v>
      </c>
      <c r="AC230" s="265" t="str">
        <f>IFERROR(INDEX(ADP_Import!$D:$AE,MATCH(AB230,ADP_Import!AG:AG,0),$AG$6),"")</f>
        <v/>
      </c>
      <c r="AI230" t="str">
        <f>INDEX('Draft Pick Order'!E:U,MATCH(A230,'Draft Pick Order'!C:C,0),(Instructions!$E$11*2-15))</f>
        <v>19-8</v>
      </c>
    </row>
    <row r="231" spans="1:35" ht="15" customHeight="1" x14ac:dyDescent="0.25">
      <c r="A231" s="230">
        <v>225</v>
      </c>
      <c r="B231">
        <f>IFERROR(IF(INDEX(Draft!BY:BY,MATCH(ADP!D231,Draft!BY:BY,0))=ADP!D231,1,0),0)</f>
        <v>1</v>
      </c>
      <c r="C231" t="str">
        <f>IF(AND(IFERROR(INDEX(Instructions!$T$111:$T$222,MATCH(D231,Instructions!$T$111:$T$222,0)), "")=D231, D231&lt;&gt;""), "X", "")</f>
        <v/>
      </c>
      <c r="D231" s="454" t="s">
        <v>993</v>
      </c>
      <c r="E231" s="232" t="s">
        <v>993</v>
      </c>
      <c r="F231" s="232" t="s">
        <v>993</v>
      </c>
      <c r="G231" s="383" t="s">
        <v>1927</v>
      </c>
      <c r="H231" s="455" t="s">
        <v>993</v>
      </c>
      <c r="I231" s="324"/>
      <c r="J231" s="688"/>
      <c r="K231" s="688"/>
      <c r="L231" s="687" t="s">
        <v>1455</v>
      </c>
      <c r="M231" s="687" t="s">
        <v>910</v>
      </c>
      <c r="N231" s="236">
        <v>225</v>
      </c>
      <c r="O231" s="385" t="str">
        <f>F231&amp;COUNTIF($F$7:F231,F231)</f>
        <v>30</v>
      </c>
      <c r="P231" s="268">
        <f>VALUE('Draft Pick Order'!B227)</f>
        <v>219</v>
      </c>
      <c r="Q231" s="259">
        <f>COUNTIF(D$7:$F231,"QB")</f>
        <v>24</v>
      </c>
      <c r="R231" s="259">
        <f>COUNTIF($F$7:F231,"RB")</f>
        <v>57</v>
      </c>
      <c r="S231" s="259">
        <f>COUNTIF($F$7:F231,"WR")</f>
        <v>71</v>
      </c>
      <c r="T231" s="259">
        <f>COUNTIF($F$7:F231,"TE")</f>
        <v>20</v>
      </c>
      <c r="U231" s="259">
        <f>COUNTIF($F$7:F231,"DST")</f>
        <v>11</v>
      </c>
      <c r="V231" s="259">
        <f>COUNTIF($F$7:F231,"K")</f>
        <v>12</v>
      </c>
      <c r="X231" s="265">
        <v>225</v>
      </c>
      <c r="Y231" s="259" t="str">
        <f>IFERROR(INDEX(ADP_Import!A:A,MATCH(ADP!AB231,ADP_Import!AG:AG,0)),"")</f>
        <v/>
      </c>
      <c r="Z231" s="259" t="str">
        <f>IFERROR(INDEX(ADP_Import!B:B,MATCH(ADP!AB231,ADP_Import!AG:AG,0)),"")</f>
        <v/>
      </c>
      <c r="AA231" s="259" t="str">
        <f>IFERROR(INDEX(ADP_Import!C:C,MATCH(ADP!AB231,ADP_Import!AG:AG,0)),"")</f>
        <v/>
      </c>
      <c r="AB231" s="439" t="str">
        <f>IFERROR(INDEX(ADP_Import!AG:AG,MATCH(SMALL(ADP_Import!AG:AG,X231),ADP_Import!AG:AG,0)),"NA")</f>
        <v>NA</v>
      </c>
      <c r="AC231" s="265" t="str">
        <f>IFERROR(INDEX(ADP_Import!$D:$AE,MATCH(AB231,ADP_Import!AG:AG,0),$AG$6),"")</f>
        <v/>
      </c>
      <c r="AI231" t="str">
        <f>INDEX('Draft Pick Order'!E:U,MATCH(A231,'Draft Pick Order'!C:C,0),(Instructions!$E$11*2-15))</f>
        <v>19-9</v>
      </c>
    </row>
    <row r="232" spans="1:35" x14ac:dyDescent="0.25">
      <c r="A232" s="230">
        <v>226</v>
      </c>
      <c r="B232">
        <f>IFERROR(IF(INDEX(Draft!BY:BY,MATCH(ADP!D232,Draft!BY:BY,0))=ADP!D232,1,0),0)</f>
        <v>1</v>
      </c>
      <c r="C232" t="str">
        <f>IF(AND(IFERROR(INDEX(Instructions!$T$111:$T$222,MATCH(D232,Instructions!$T$111:$T$222,0)), "")=D232, D232&lt;&gt;""), "X", "")</f>
        <v/>
      </c>
      <c r="D232" s="454" t="s">
        <v>993</v>
      </c>
      <c r="E232" s="232" t="s">
        <v>993</v>
      </c>
      <c r="F232" s="232" t="s">
        <v>993</v>
      </c>
      <c r="G232" s="384" t="s">
        <v>1927</v>
      </c>
      <c r="H232" s="456" t="s">
        <v>993</v>
      </c>
      <c r="I232" s="324"/>
      <c r="J232" s="688"/>
      <c r="K232" s="688"/>
      <c r="L232" s="688"/>
      <c r="M232" s="688"/>
      <c r="N232" s="236">
        <v>226</v>
      </c>
      <c r="O232" s="385" t="str">
        <f>F232&amp;COUNTIF($F$7:F232,F232)</f>
        <v>31</v>
      </c>
      <c r="P232" s="268">
        <f>VALUE('Draft Pick Order'!B228)</f>
        <v>219</v>
      </c>
      <c r="Q232" s="259">
        <f>COUNTIF(D$7:$F232,"QB")</f>
        <v>24</v>
      </c>
      <c r="R232" s="259">
        <f>COUNTIF($F$7:F232,"RB")</f>
        <v>57</v>
      </c>
      <c r="S232" s="259">
        <f>COUNTIF($F$7:F232,"WR")</f>
        <v>71</v>
      </c>
      <c r="T232" s="259">
        <f>COUNTIF($F$7:F232,"TE")</f>
        <v>20</v>
      </c>
      <c r="U232" s="259">
        <f>COUNTIF($F$7:F232,"DST")</f>
        <v>11</v>
      </c>
      <c r="V232" s="259">
        <f>COUNTIF($F$7:F232,"K")</f>
        <v>12</v>
      </c>
      <c r="X232" s="265">
        <v>226</v>
      </c>
      <c r="Y232" s="259" t="str">
        <f>IFERROR(INDEX(ADP_Import!A:A,MATCH(ADP!AB232,ADP_Import!AG:AG,0)),"")</f>
        <v/>
      </c>
      <c r="Z232" s="259" t="str">
        <f>IFERROR(INDEX(ADP_Import!B:B,MATCH(ADP!AB232,ADP_Import!AG:AG,0)),"")</f>
        <v/>
      </c>
      <c r="AA232" s="259" t="str">
        <f>IFERROR(INDEX(ADP_Import!C:C,MATCH(ADP!AB232,ADP_Import!AG:AG,0)),"")</f>
        <v/>
      </c>
      <c r="AB232" s="439" t="str">
        <f>IFERROR(INDEX(ADP_Import!AG:AG,MATCH(SMALL(ADP_Import!AG:AG,X232),ADP_Import!AG:AG,0)),"NA")</f>
        <v>NA</v>
      </c>
      <c r="AC232" s="265" t="str">
        <f>IFERROR(INDEX(ADP_Import!$D:$AE,MATCH(AB232,ADP_Import!AG:AG,0),$AG$6),"")</f>
        <v/>
      </c>
      <c r="AI232" t="str">
        <f>INDEX('Draft Pick Order'!E:U,MATCH(A232,'Draft Pick Order'!C:C,0),(Instructions!$E$11*2-15))</f>
        <v>19-10</v>
      </c>
    </row>
    <row r="233" spans="1:35" x14ac:dyDescent="0.25">
      <c r="A233" s="230">
        <v>227</v>
      </c>
      <c r="B233">
        <f>IFERROR(IF(INDEX(Draft!BY:BY,MATCH(ADP!D233,Draft!BY:BY,0))=ADP!D233,1,0),0)</f>
        <v>1</v>
      </c>
      <c r="C233" t="str">
        <f>IF(AND(IFERROR(INDEX(Instructions!$T$111:$T$222,MATCH(D233,Instructions!$T$111:$T$222,0)), "")=D233, D233&lt;&gt;""), "X", "")</f>
        <v/>
      </c>
      <c r="D233" s="454" t="s">
        <v>993</v>
      </c>
      <c r="E233" s="232" t="s">
        <v>993</v>
      </c>
      <c r="F233" s="232" t="s">
        <v>993</v>
      </c>
      <c r="G233" s="383" t="s">
        <v>1927</v>
      </c>
      <c r="H233" s="455" t="s">
        <v>993</v>
      </c>
      <c r="I233" s="324"/>
      <c r="J233" s="688"/>
      <c r="K233" s="688"/>
      <c r="L233" s="688"/>
      <c r="M233" s="688"/>
      <c r="N233" s="236">
        <v>227</v>
      </c>
      <c r="O233" s="385" t="str">
        <f>F233&amp;COUNTIF($F$7:F233,F233)</f>
        <v>32</v>
      </c>
      <c r="P233" s="268">
        <f>VALUE('Draft Pick Order'!B229)</f>
        <v>219</v>
      </c>
      <c r="Q233" s="259">
        <f>COUNTIF(D$7:$F233,"QB")</f>
        <v>24</v>
      </c>
      <c r="R233" s="259">
        <f>COUNTIF($F$7:F233,"RB")</f>
        <v>57</v>
      </c>
      <c r="S233" s="259">
        <f>COUNTIF($F$7:F233,"WR")</f>
        <v>71</v>
      </c>
      <c r="T233" s="259">
        <f>COUNTIF($F$7:F233,"TE")</f>
        <v>20</v>
      </c>
      <c r="U233" s="259">
        <f>COUNTIF($F$7:F233,"DST")</f>
        <v>11</v>
      </c>
      <c r="V233" s="259">
        <f>COUNTIF($F$7:F233,"K")</f>
        <v>12</v>
      </c>
      <c r="X233" s="265">
        <v>227</v>
      </c>
      <c r="Y233" s="259" t="str">
        <f>IFERROR(INDEX(ADP_Import!A:A,MATCH(ADP!AB233,ADP_Import!AG:AG,0)),"")</f>
        <v/>
      </c>
      <c r="Z233" s="259" t="str">
        <f>IFERROR(INDEX(ADP_Import!B:B,MATCH(ADP!AB233,ADP_Import!AG:AG,0)),"")</f>
        <v/>
      </c>
      <c r="AA233" s="259" t="str">
        <f>IFERROR(INDEX(ADP_Import!C:C,MATCH(ADP!AB233,ADP_Import!AG:AG,0)),"")</f>
        <v/>
      </c>
      <c r="AB233" s="439" t="str">
        <f>IFERROR(INDEX(ADP_Import!AG:AG,MATCH(SMALL(ADP_Import!AG:AG,X233),ADP_Import!AG:AG,0)),"NA")</f>
        <v>NA</v>
      </c>
      <c r="AC233" s="265" t="str">
        <f>IFERROR(INDEX(ADP_Import!$D:$AE,MATCH(AB233,ADP_Import!AG:AG,0),$AG$6),"")</f>
        <v/>
      </c>
      <c r="AI233" t="str">
        <f>INDEX('Draft Pick Order'!E:U,MATCH(A233,'Draft Pick Order'!C:C,0),(Instructions!$E$11*2-15))</f>
        <v>19-11</v>
      </c>
    </row>
    <row r="234" spans="1:35" ht="15.75" thickBot="1" x14ac:dyDescent="0.3">
      <c r="A234" s="230">
        <v>228</v>
      </c>
      <c r="B234">
        <f>IFERROR(IF(INDEX(Draft!BY:BY,MATCH(ADP!D234,Draft!BY:BY,0))=ADP!D234,1,0),0)</f>
        <v>1</v>
      </c>
      <c r="C234" t="str">
        <f>IF(AND(IFERROR(INDEX(Instructions!$T$111:$T$222,MATCH(D234,Instructions!$T$111:$T$222,0)), "")=D234, D234&lt;&gt;""), "X", "")</f>
        <v/>
      </c>
      <c r="D234" s="454" t="s">
        <v>993</v>
      </c>
      <c r="E234" s="232" t="s">
        <v>993</v>
      </c>
      <c r="F234" s="232" t="s">
        <v>993</v>
      </c>
      <c r="G234" s="384" t="s">
        <v>1927</v>
      </c>
      <c r="H234" s="456" t="s">
        <v>993</v>
      </c>
      <c r="I234" s="324"/>
      <c r="J234" s="688"/>
      <c r="K234" s="689"/>
      <c r="L234" s="688"/>
      <c r="M234" s="688"/>
      <c r="N234" s="236">
        <v>228</v>
      </c>
      <c r="O234" s="385" t="str">
        <f>F234&amp;COUNTIF($F$7:F234,F234)</f>
        <v>33</v>
      </c>
      <c r="P234" s="268">
        <f>VALUE('Draft Pick Order'!B230)</f>
        <v>219</v>
      </c>
      <c r="Q234" s="259">
        <f>COUNTIF(D$7:$F234,"QB")</f>
        <v>24</v>
      </c>
      <c r="R234" s="259">
        <f>COUNTIF($F$7:F234,"RB")</f>
        <v>57</v>
      </c>
      <c r="S234" s="259">
        <f>COUNTIF($F$7:F234,"WR")</f>
        <v>71</v>
      </c>
      <c r="T234" s="259">
        <f>COUNTIF($F$7:F234,"TE")</f>
        <v>20</v>
      </c>
      <c r="U234" s="259">
        <f>COUNTIF($F$7:F234,"DST")</f>
        <v>11</v>
      </c>
      <c r="V234" s="259">
        <f>COUNTIF($F$7:F234,"K")</f>
        <v>12</v>
      </c>
      <c r="X234" s="265">
        <v>228</v>
      </c>
      <c r="Y234" s="259" t="str">
        <f>IFERROR(INDEX(ADP_Import!A:A,MATCH(ADP!AB234,ADP_Import!AG:AG,0)),"")</f>
        <v/>
      </c>
      <c r="Z234" s="259" t="str">
        <f>IFERROR(INDEX(ADP_Import!B:B,MATCH(ADP!AB234,ADP_Import!AG:AG,0)),"")</f>
        <v/>
      </c>
      <c r="AA234" s="259" t="str">
        <f>IFERROR(INDEX(ADP_Import!C:C,MATCH(ADP!AB234,ADP_Import!AG:AG,0)),"")</f>
        <v/>
      </c>
      <c r="AB234" s="439" t="str">
        <f>IFERROR(INDEX(ADP_Import!AG:AG,MATCH(SMALL(ADP_Import!AG:AG,X234),ADP_Import!AG:AG,0)),"NA")</f>
        <v>NA</v>
      </c>
      <c r="AC234" s="265" t="str">
        <f>IFERROR(INDEX(ADP_Import!$D:$AE,MATCH(AB234,ADP_Import!AG:AG,0),$AG$6),"")</f>
        <v/>
      </c>
      <c r="AI234" t="str">
        <f>INDEX('Draft Pick Order'!E:U,MATCH(A234,'Draft Pick Order'!C:C,0),(Instructions!$E$11*2-15))</f>
        <v>19-12</v>
      </c>
    </row>
    <row r="235" spans="1:35" x14ac:dyDescent="0.25">
      <c r="A235" s="230">
        <v>229</v>
      </c>
      <c r="B235">
        <f>IFERROR(IF(INDEX(Draft!BY:BY,MATCH(ADP!D235,Draft!BY:BY,0))=ADP!D235,1,0),0)</f>
        <v>1</v>
      </c>
      <c r="C235" t="str">
        <f>IF(AND(IFERROR(INDEX(Instructions!$T$111:$T$222,MATCH(D235,Instructions!$T$111:$T$222,0)), "")=D235, D235&lt;&gt;""), "X", "")</f>
        <v/>
      </c>
      <c r="D235" s="454" t="s">
        <v>993</v>
      </c>
      <c r="E235" s="232" t="s">
        <v>993</v>
      </c>
      <c r="F235" s="232" t="s">
        <v>993</v>
      </c>
      <c r="G235" s="383" t="s">
        <v>1927</v>
      </c>
      <c r="H235" s="455" t="s">
        <v>993</v>
      </c>
      <c r="I235" s="324"/>
      <c r="J235" s="688"/>
      <c r="K235" s="690" t="s">
        <v>1458</v>
      </c>
      <c r="L235" s="688"/>
      <c r="M235" s="688"/>
      <c r="N235" s="236">
        <v>229</v>
      </c>
      <c r="O235" s="385" t="str">
        <f>F235&amp;COUNTIF($F$7:F235,F235)</f>
        <v>34</v>
      </c>
      <c r="P235" s="268">
        <f>VALUE('Draft Pick Order'!B231)</f>
        <v>219</v>
      </c>
      <c r="Q235" s="259">
        <f>COUNTIF(D$7:$F235,"QB")</f>
        <v>24</v>
      </c>
      <c r="R235" s="259">
        <f>COUNTIF($F$7:F235,"RB")</f>
        <v>57</v>
      </c>
      <c r="S235" s="259">
        <f>COUNTIF($F$7:F235,"WR")</f>
        <v>71</v>
      </c>
      <c r="T235" s="259">
        <f>COUNTIF($F$7:F235,"TE")</f>
        <v>20</v>
      </c>
      <c r="U235" s="259">
        <f>COUNTIF($F$7:F235,"DST")</f>
        <v>11</v>
      </c>
      <c r="V235" s="259">
        <f>COUNTIF($F$7:F235,"K")</f>
        <v>12</v>
      </c>
      <c r="X235" s="265">
        <v>229</v>
      </c>
      <c r="Y235" s="259" t="str">
        <f>IFERROR(INDEX(ADP_Import!A:A,MATCH(ADP!AB235,ADP_Import!AG:AG,0)),"")</f>
        <v/>
      </c>
      <c r="Z235" s="259" t="str">
        <f>IFERROR(INDEX(ADP_Import!B:B,MATCH(ADP!AB235,ADP_Import!AG:AG,0)),"")</f>
        <v/>
      </c>
      <c r="AA235" s="259" t="str">
        <f>IFERROR(INDEX(ADP_Import!C:C,MATCH(ADP!AB235,ADP_Import!AG:AG,0)),"")</f>
        <v/>
      </c>
      <c r="AB235" s="439" t="str">
        <f>IFERROR(INDEX(ADP_Import!AG:AG,MATCH(SMALL(ADP_Import!AG:AG,X235),ADP_Import!AG:AG,0)),"NA")</f>
        <v>NA</v>
      </c>
      <c r="AC235" s="265" t="str">
        <f>IFERROR(INDEX(ADP_Import!$D:$AE,MATCH(AB235,ADP_Import!AG:AG,0),$AG$6),"")</f>
        <v/>
      </c>
      <c r="AI235" t="str">
        <f>INDEX('Draft Pick Order'!E:U,MATCH(A235,'Draft Pick Order'!C:C,0),(Instructions!$E$11*2-15))</f>
        <v>20-1</v>
      </c>
    </row>
    <row r="236" spans="1:35" ht="15.75" thickBot="1" x14ac:dyDescent="0.3">
      <c r="A236" s="230">
        <v>230</v>
      </c>
      <c r="B236">
        <f>IFERROR(IF(INDEX(Draft!BY:BY,MATCH(ADP!D236,Draft!BY:BY,0))=ADP!D236,1,0),0)</f>
        <v>1</v>
      </c>
      <c r="C236" t="str">
        <f>IF(AND(IFERROR(INDEX(Instructions!$T$111:$T$222,MATCH(D236,Instructions!$T$111:$T$222,0)), "")=D236, D236&lt;&gt;""), "X", "")</f>
        <v/>
      </c>
      <c r="D236" s="454" t="s">
        <v>993</v>
      </c>
      <c r="E236" s="232" t="s">
        <v>993</v>
      </c>
      <c r="F236" s="232" t="s">
        <v>993</v>
      </c>
      <c r="G236" s="384" t="s">
        <v>1927</v>
      </c>
      <c r="H236" s="456" t="s">
        <v>993</v>
      </c>
      <c r="I236" s="324"/>
      <c r="J236" s="689"/>
      <c r="K236" s="691"/>
      <c r="L236" s="688"/>
      <c r="M236" s="688"/>
      <c r="N236" s="236">
        <v>230</v>
      </c>
      <c r="O236" s="385" t="str">
        <f>F236&amp;COUNTIF($F$7:F236,F236)</f>
        <v>35</v>
      </c>
      <c r="P236" s="268">
        <f>VALUE('Draft Pick Order'!B232)</f>
        <v>219</v>
      </c>
      <c r="Q236" s="259">
        <f>COUNTIF(D$7:$F236,"QB")</f>
        <v>24</v>
      </c>
      <c r="R236" s="259">
        <f>COUNTIF($F$7:F236,"RB")</f>
        <v>57</v>
      </c>
      <c r="S236" s="259">
        <f>COUNTIF($F$7:F236,"WR")</f>
        <v>71</v>
      </c>
      <c r="T236" s="259">
        <f>COUNTIF($F$7:F236,"TE")</f>
        <v>20</v>
      </c>
      <c r="U236" s="259">
        <f>COUNTIF($F$7:F236,"DST")</f>
        <v>11</v>
      </c>
      <c r="V236" s="259">
        <f>COUNTIF($F$7:F236,"K")</f>
        <v>12</v>
      </c>
      <c r="X236" s="265">
        <v>230</v>
      </c>
      <c r="Y236" s="259" t="str">
        <f>IFERROR(INDEX(ADP_Import!A:A,MATCH(ADP!AB236,ADP_Import!AG:AG,0)),"")</f>
        <v/>
      </c>
      <c r="Z236" s="259" t="str">
        <f>IFERROR(INDEX(ADP_Import!B:B,MATCH(ADP!AB236,ADP_Import!AG:AG,0)),"")</f>
        <v/>
      </c>
      <c r="AA236" s="259" t="str">
        <f>IFERROR(INDEX(ADP_Import!C:C,MATCH(ADP!AB236,ADP_Import!AG:AG,0)),"")</f>
        <v/>
      </c>
      <c r="AB236" s="439" t="str">
        <f>IFERROR(INDEX(ADP_Import!AG:AG,MATCH(SMALL(ADP_Import!AG:AG,X236),ADP_Import!AG:AG,0)),"NA")</f>
        <v>NA</v>
      </c>
      <c r="AC236" s="265" t="str">
        <f>IFERROR(INDEX(ADP_Import!$D:$AE,MATCH(AB236,ADP_Import!AG:AG,0),$AG$6),"")</f>
        <v/>
      </c>
      <c r="AI236" t="str">
        <f>INDEX('Draft Pick Order'!E:U,MATCH(A236,'Draft Pick Order'!C:C,0),(Instructions!$E$11*2-15))</f>
        <v>20-2</v>
      </c>
    </row>
    <row r="237" spans="1:35" x14ac:dyDescent="0.25">
      <c r="A237" s="230">
        <v>231</v>
      </c>
      <c r="B237">
        <f>IFERROR(IF(INDEX(Draft!BY:BY,MATCH(ADP!D237,Draft!BY:BY,0))=ADP!D237,1,0),0)</f>
        <v>1</v>
      </c>
      <c r="C237" t="str">
        <f>IF(AND(IFERROR(INDEX(Instructions!$T$111:$T$222,MATCH(D237,Instructions!$T$111:$T$222,0)), "")=D237, D237&lt;&gt;""), "X", "")</f>
        <v/>
      </c>
      <c r="D237" s="454" t="s">
        <v>993</v>
      </c>
      <c r="E237" s="232" t="s">
        <v>993</v>
      </c>
      <c r="F237" s="232" t="s">
        <v>993</v>
      </c>
      <c r="G237" s="383" t="s">
        <v>1927</v>
      </c>
      <c r="H237" s="455" t="s">
        <v>993</v>
      </c>
      <c r="I237" s="324"/>
      <c r="J237" s="690" t="s">
        <v>1462</v>
      </c>
      <c r="K237" s="691"/>
      <c r="L237" s="688"/>
      <c r="M237" s="688"/>
      <c r="N237" s="236">
        <v>231</v>
      </c>
      <c r="O237" s="385" t="str">
        <f>F237&amp;COUNTIF($F$7:F237,F237)</f>
        <v>36</v>
      </c>
      <c r="P237" s="268">
        <f>VALUE('Draft Pick Order'!B233)</f>
        <v>219</v>
      </c>
      <c r="Q237" s="259">
        <f>COUNTIF(D$7:$F237,"QB")</f>
        <v>24</v>
      </c>
      <c r="R237" s="259">
        <f>COUNTIF($F$7:F237,"RB")</f>
        <v>57</v>
      </c>
      <c r="S237" s="259">
        <f>COUNTIF($F$7:F237,"WR")</f>
        <v>71</v>
      </c>
      <c r="T237" s="259">
        <f>COUNTIF($F$7:F237,"TE")</f>
        <v>20</v>
      </c>
      <c r="U237" s="259">
        <f>COUNTIF($F$7:F237,"DST")</f>
        <v>11</v>
      </c>
      <c r="V237" s="259">
        <f>COUNTIF($F$7:F237,"K")</f>
        <v>12</v>
      </c>
      <c r="X237" s="265">
        <v>231</v>
      </c>
      <c r="Y237" s="259" t="str">
        <f>IFERROR(INDEX(ADP_Import!A:A,MATCH(ADP!AB237,ADP_Import!AG:AG,0)),"")</f>
        <v/>
      </c>
      <c r="Z237" s="259" t="str">
        <f>IFERROR(INDEX(ADP_Import!B:B,MATCH(ADP!AB237,ADP_Import!AG:AG,0)),"")</f>
        <v/>
      </c>
      <c r="AA237" s="259" t="str">
        <f>IFERROR(INDEX(ADP_Import!C:C,MATCH(ADP!AB237,ADP_Import!AG:AG,0)),"")</f>
        <v/>
      </c>
      <c r="AB237" s="439" t="str">
        <f>IFERROR(INDEX(ADP_Import!AG:AG,MATCH(SMALL(ADP_Import!AG:AG,X237),ADP_Import!AG:AG,0)),"NA")</f>
        <v>NA</v>
      </c>
      <c r="AC237" s="265" t="str">
        <f>IFERROR(INDEX(ADP_Import!$D:$AE,MATCH(AB237,ADP_Import!AG:AG,0),$AG$6),"")</f>
        <v/>
      </c>
      <c r="AI237" t="str">
        <f>INDEX('Draft Pick Order'!E:U,MATCH(A237,'Draft Pick Order'!C:C,0),(Instructions!$E$11*2-15))</f>
        <v>20-3</v>
      </c>
    </row>
    <row r="238" spans="1:35" x14ac:dyDescent="0.25">
      <c r="A238" s="230">
        <v>232</v>
      </c>
      <c r="B238">
        <f>IFERROR(IF(INDEX(Draft!BY:BY,MATCH(ADP!D238,Draft!BY:BY,0))=ADP!D238,1,0),0)</f>
        <v>1</v>
      </c>
      <c r="C238" t="str">
        <f>IF(AND(IFERROR(INDEX(Instructions!$T$111:$T$222,MATCH(D238,Instructions!$T$111:$T$222,0)), "")=D238, D238&lt;&gt;""), "X", "")</f>
        <v/>
      </c>
      <c r="D238" s="454" t="s">
        <v>993</v>
      </c>
      <c r="E238" s="232" t="s">
        <v>993</v>
      </c>
      <c r="F238" s="232" t="s">
        <v>993</v>
      </c>
      <c r="G238" s="384" t="s">
        <v>1927</v>
      </c>
      <c r="H238" s="456" t="s">
        <v>993</v>
      </c>
      <c r="I238" s="324"/>
      <c r="J238" s="691"/>
      <c r="K238" s="691"/>
      <c r="L238" s="688"/>
      <c r="M238" s="688"/>
      <c r="N238" s="236">
        <v>232</v>
      </c>
      <c r="O238" s="385" t="str">
        <f>F238&amp;COUNTIF($F$7:F238,F238)</f>
        <v>37</v>
      </c>
      <c r="P238" s="268">
        <f>VALUE('Draft Pick Order'!B234)</f>
        <v>219</v>
      </c>
      <c r="Q238" s="259">
        <f>COUNTIF(D$7:$F238,"QB")</f>
        <v>24</v>
      </c>
      <c r="R238" s="259">
        <f>COUNTIF($F$7:F238,"RB")</f>
        <v>57</v>
      </c>
      <c r="S238" s="259">
        <f>COUNTIF($F$7:F238,"WR")</f>
        <v>71</v>
      </c>
      <c r="T238" s="259">
        <f>COUNTIF($F$7:F238,"TE")</f>
        <v>20</v>
      </c>
      <c r="U238" s="259">
        <f>COUNTIF($F$7:F238,"DST")</f>
        <v>11</v>
      </c>
      <c r="V238" s="259">
        <f>COUNTIF($F$7:F238,"K")</f>
        <v>12</v>
      </c>
      <c r="X238" s="265">
        <v>232</v>
      </c>
      <c r="Y238" s="259" t="str">
        <f>IFERROR(INDEX(ADP_Import!A:A,MATCH(ADP!AB238,ADP_Import!AG:AG,0)),"")</f>
        <v/>
      </c>
      <c r="Z238" s="259" t="str">
        <f>IFERROR(INDEX(ADP_Import!B:B,MATCH(ADP!AB238,ADP_Import!AG:AG,0)),"")</f>
        <v/>
      </c>
      <c r="AA238" s="259" t="str">
        <f>IFERROR(INDEX(ADP_Import!C:C,MATCH(ADP!AB238,ADP_Import!AG:AG,0)),"")</f>
        <v/>
      </c>
      <c r="AB238" s="439" t="str">
        <f>IFERROR(INDEX(ADP_Import!AG:AG,MATCH(SMALL(ADP_Import!AG:AG,X238),ADP_Import!AG:AG,0)),"NA")</f>
        <v>NA</v>
      </c>
      <c r="AC238" s="265" t="str">
        <f>IFERROR(INDEX(ADP_Import!$D:$AE,MATCH(AB238,ADP_Import!AG:AG,0),$AG$6),"")</f>
        <v/>
      </c>
      <c r="AI238" t="str">
        <f>INDEX('Draft Pick Order'!E:U,MATCH(A238,'Draft Pick Order'!C:C,0),(Instructions!$E$11*2-15))</f>
        <v>20-4</v>
      </c>
    </row>
    <row r="239" spans="1:35" x14ac:dyDescent="0.25">
      <c r="A239" s="230">
        <v>233</v>
      </c>
      <c r="B239">
        <f>IFERROR(IF(INDEX(Draft!BY:BY,MATCH(ADP!D239,Draft!BY:BY,0))=ADP!D239,1,0),0)</f>
        <v>1</v>
      </c>
      <c r="C239" t="str">
        <f>IF(AND(IFERROR(INDEX(Instructions!$T$111:$T$222,MATCH(D239,Instructions!$T$111:$T$222,0)), "")=D239, D239&lt;&gt;""), "X", "")</f>
        <v/>
      </c>
      <c r="D239" s="454" t="s">
        <v>993</v>
      </c>
      <c r="E239" s="232" t="s">
        <v>993</v>
      </c>
      <c r="F239" s="232" t="s">
        <v>993</v>
      </c>
      <c r="G239" s="383" t="s">
        <v>1927</v>
      </c>
      <c r="H239" s="455" t="s">
        <v>993</v>
      </c>
      <c r="I239" s="324"/>
      <c r="J239" s="691"/>
      <c r="K239" s="691"/>
      <c r="L239" s="688"/>
      <c r="M239" s="688"/>
      <c r="N239" s="236">
        <v>233</v>
      </c>
      <c r="O239" s="385" t="str">
        <f>F239&amp;COUNTIF($F$7:F239,F239)</f>
        <v>38</v>
      </c>
      <c r="P239" s="268">
        <f>VALUE('Draft Pick Order'!B235)</f>
        <v>219</v>
      </c>
      <c r="Q239" s="259">
        <f>COUNTIF(D$7:$F239,"QB")</f>
        <v>24</v>
      </c>
      <c r="R239" s="259">
        <f>COUNTIF($F$7:F239,"RB")</f>
        <v>57</v>
      </c>
      <c r="S239" s="259">
        <f>COUNTIF($F$7:F239,"WR")</f>
        <v>71</v>
      </c>
      <c r="T239" s="259">
        <f>COUNTIF($F$7:F239,"TE")</f>
        <v>20</v>
      </c>
      <c r="U239" s="259">
        <f>COUNTIF($F$7:F239,"DST")</f>
        <v>11</v>
      </c>
      <c r="V239" s="259">
        <f>COUNTIF($F$7:F239,"K")</f>
        <v>12</v>
      </c>
      <c r="X239" s="265">
        <v>233</v>
      </c>
      <c r="Y239" s="259" t="str">
        <f>IFERROR(INDEX(ADP_Import!A:A,MATCH(ADP!AB239,ADP_Import!AG:AG,0)),"")</f>
        <v/>
      </c>
      <c r="Z239" s="259" t="str">
        <f>IFERROR(INDEX(ADP_Import!B:B,MATCH(ADP!AB239,ADP_Import!AG:AG,0)),"")</f>
        <v/>
      </c>
      <c r="AA239" s="259" t="str">
        <f>IFERROR(INDEX(ADP_Import!C:C,MATCH(ADP!AB239,ADP_Import!AG:AG,0)),"")</f>
        <v/>
      </c>
      <c r="AB239" s="439" t="str">
        <f>IFERROR(INDEX(ADP_Import!AG:AG,MATCH(SMALL(ADP_Import!AG:AG,X239),ADP_Import!AG:AG,0)),"NA")</f>
        <v>NA</v>
      </c>
      <c r="AC239" s="265" t="str">
        <f>IFERROR(INDEX(ADP_Import!$D:$AE,MATCH(AB239,ADP_Import!AG:AG,0),$AG$6),"")</f>
        <v/>
      </c>
      <c r="AI239" t="str">
        <f>INDEX('Draft Pick Order'!E:U,MATCH(A239,'Draft Pick Order'!C:C,0),(Instructions!$E$11*2-15))</f>
        <v>20-5</v>
      </c>
    </row>
    <row r="240" spans="1:35" x14ac:dyDescent="0.25">
      <c r="A240" s="230">
        <v>234</v>
      </c>
      <c r="B240">
        <f>IFERROR(IF(INDEX(Draft!BY:BY,MATCH(ADP!D240,Draft!BY:BY,0))=ADP!D240,1,0),0)</f>
        <v>1</v>
      </c>
      <c r="C240" t="str">
        <f>IF(AND(IFERROR(INDEX(Instructions!$T$111:$T$222,MATCH(D240,Instructions!$T$111:$T$222,0)), "")=D240, D240&lt;&gt;""), "X", "")</f>
        <v/>
      </c>
      <c r="D240" s="454" t="s">
        <v>993</v>
      </c>
      <c r="E240" s="232" t="s">
        <v>993</v>
      </c>
      <c r="F240" s="232" t="s">
        <v>993</v>
      </c>
      <c r="G240" s="384" t="s">
        <v>1927</v>
      </c>
      <c r="H240" s="456" t="s">
        <v>993</v>
      </c>
      <c r="I240" s="324"/>
      <c r="J240" s="691"/>
      <c r="K240" s="691"/>
      <c r="L240" s="688"/>
      <c r="M240" s="688"/>
      <c r="N240" s="236">
        <v>234</v>
      </c>
      <c r="O240" s="385" t="str">
        <f>F240&amp;COUNTIF($F$7:F240,F240)</f>
        <v>39</v>
      </c>
      <c r="P240" s="268">
        <f>VALUE('Draft Pick Order'!B236)</f>
        <v>219</v>
      </c>
      <c r="Q240" s="259">
        <f>COUNTIF(D$7:$F240,"QB")</f>
        <v>24</v>
      </c>
      <c r="R240" s="259">
        <f>COUNTIF($F$7:F240,"RB")</f>
        <v>57</v>
      </c>
      <c r="S240" s="259">
        <f>COUNTIF($F$7:F240,"WR")</f>
        <v>71</v>
      </c>
      <c r="T240" s="259">
        <f>COUNTIF($F$7:F240,"TE")</f>
        <v>20</v>
      </c>
      <c r="U240" s="259">
        <f>COUNTIF($F$7:F240,"DST")</f>
        <v>11</v>
      </c>
      <c r="V240" s="259">
        <f>COUNTIF($F$7:F240,"K")</f>
        <v>12</v>
      </c>
      <c r="X240" s="265">
        <v>234</v>
      </c>
      <c r="Y240" s="259" t="str">
        <f>IFERROR(INDEX(ADP_Import!A:A,MATCH(ADP!AB240,ADP_Import!AG:AG,0)),"")</f>
        <v/>
      </c>
      <c r="Z240" s="259" t="str">
        <f>IFERROR(INDEX(ADP_Import!B:B,MATCH(ADP!AB240,ADP_Import!AG:AG,0)),"")</f>
        <v/>
      </c>
      <c r="AA240" s="259" t="str">
        <f>IFERROR(INDEX(ADP_Import!C:C,MATCH(ADP!AB240,ADP_Import!AG:AG,0)),"")</f>
        <v/>
      </c>
      <c r="AB240" s="439" t="str">
        <f>IFERROR(INDEX(ADP_Import!AG:AG,MATCH(SMALL(ADP_Import!AG:AG,X240),ADP_Import!AG:AG,0)),"NA")</f>
        <v>NA</v>
      </c>
      <c r="AC240" s="265" t="str">
        <f>IFERROR(INDEX(ADP_Import!$D:$AE,MATCH(AB240,ADP_Import!AG:AG,0),$AG$6),"")</f>
        <v/>
      </c>
      <c r="AI240" t="str">
        <f>INDEX('Draft Pick Order'!E:U,MATCH(A240,'Draft Pick Order'!C:C,0),(Instructions!$E$11*2-15))</f>
        <v>20-6</v>
      </c>
    </row>
    <row r="241" spans="1:35" x14ac:dyDescent="0.25">
      <c r="A241" s="230">
        <v>235</v>
      </c>
      <c r="B241">
        <f>IFERROR(IF(INDEX(Draft!BY:BY,MATCH(ADP!D241,Draft!BY:BY,0))=ADP!D241,1,0),0)</f>
        <v>1</v>
      </c>
      <c r="C241" t="str">
        <f>IF(AND(IFERROR(INDEX(Instructions!$T$111:$T$222,MATCH(D241,Instructions!$T$111:$T$222,0)), "")=D241, D241&lt;&gt;""), "X", "")</f>
        <v/>
      </c>
      <c r="D241" s="454" t="s">
        <v>993</v>
      </c>
      <c r="E241" s="232" t="s">
        <v>993</v>
      </c>
      <c r="F241" s="232" t="s">
        <v>993</v>
      </c>
      <c r="G241" s="383" t="s">
        <v>1927</v>
      </c>
      <c r="H241" s="455" t="s">
        <v>993</v>
      </c>
      <c r="I241" s="324"/>
      <c r="J241" s="691"/>
      <c r="K241" s="691"/>
      <c r="L241" s="688"/>
      <c r="M241" s="688"/>
      <c r="N241" s="236">
        <v>235</v>
      </c>
      <c r="O241" s="385" t="str">
        <f>F241&amp;COUNTIF($F$7:F241,F241)</f>
        <v>40</v>
      </c>
      <c r="P241" s="268">
        <f>VALUE('Draft Pick Order'!B237)</f>
        <v>219</v>
      </c>
      <c r="Q241" s="259">
        <f>COUNTIF(D$7:$F241,"QB")</f>
        <v>24</v>
      </c>
      <c r="R241" s="259">
        <f>COUNTIF($F$7:F241,"RB")</f>
        <v>57</v>
      </c>
      <c r="S241" s="259">
        <f>COUNTIF($F$7:F241,"WR")</f>
        <v>71</v>
      </c>
      <c r="T241" s="259">
        <f>COUNTIF($F$7:F241,"TE")</f>
        <v>20</v>
      </c>
      <c r="U241" s="259">
        <f>COUNTIF($F$7:F241,"DST")</f>
        <v>11</v>
      </c>
      <c r="V241" s="259">
        <f>COUNTIF($F$7:F241,"K")</f>
        <v>12</v>
      </c>
      <c r="X241" s="265">
        <v>235</v>
      </c>
      <c r="Y241" s="259" t="str">
        <f>IFERROR(INDEX(ADP_Import!A:A,MATCH(ADP!AB241,ADP_Import!AG:AG,0)),"")</f>
        <v/>
      </c>
      <c r="Z241" s="259" t="str">
        <f>IFERROR(INDEX(ADP_Import!B:B,MATCH(ADP!AB241,ADP_Import!AG:AG,0)),"")</f>
        <v/>
      </c>
      <c r="AA241" s="259" t="str">
        <f>IFERROR(INDEX(ADP_Import!C:C,MATCH(ADP!AB241,ADP_Import!AG:AG,0)),"")</f>
        <v/>
      </c>
      <c r="AB241" s="439" t="str">
        <f>IFERROR(INDEX(ADP_Import!AG:AG,MATCH(SMALL(ADP_Import!AG:AG,X241),ADP_Import!AG:AG,0)),"NA")</f>
        <v>NA</v>
      </c>
      <c r="AC241" s="265" t="str">
        <f>IFERROR(INDEX(ADP_Import!$D:$AE,MATCH(AB241,ADP_Import!AG:AG,0),$AG$6),"")</f>
        <v/>
      </c>
      <c r="AI241" t="str">
        <f>INDEX('Draft Pick Order'!E:U,MATCH(A241,'Draft Pick Order'!C:C,0),(Instructions!$E$11*2-15))</f>
        <v>20-7</v>
      </c>
    </row>
    <row r="242" spans="1:35" x14ac:dyDescent="0.25">
      <c r="A242" s="230">
        <v>236</v>
      </c>
      <c r="B242">
        <f>IFERROR(IF(INDEX(Draft!BY:BY,MATCH(ADP!D242,Draft!BY:BY,0))=ADP!D242,1,0),0)</f>
        <v>1</v>
      </c>
      <c r="C242" t="str">
        <f>IF(AND(IFERROR(INDEX(Instructions!$T$111:$T$222,MATCH(D242,Instructions!$T$111:$T$222,0)), "")=D242, D242&lt;&gt;""), "X", "")</f>
        <v/>
      </c>
      <c r="D242" s="454" t="s">
        <v>993</v>
      </c>
      <c r="E242" s="232" t="s">
        <v>993</v>
      </c>
      <c r="F242" s="232" t="s">
        <v>993</v>
      </c>
      <c r="G242" s="384" t="s">
        <v>1927</v>
      </c>
      <c r="H242" s="456" t="s">
        <v>993</v>
      </c>
      <c r="I242" s="324"/>
      <c r="J242" s="691"/>
      <c r="K242" s="691"/>
      <c r="L242" s="688"/>
      <c r="M242" s="688"/>
      <c r="N242" s="236">
        <v>236</v>
      </c>
      <c r="O242" s="385" t="str">
        <f>F242&amp;COUNTIF($F$7:F242,F242)</f>
        <v>41</v>
      </c>
      <c r="P242" s="268">
        <f>VALUE('Draft Pick Order'!B238)</f>
        <v>219</v>
      </c>
      <c r="Q242" s="259">
        <f>COUNTIF(D$7:$F242,"QB")</f>
        <v>24</v>
      </c>
      <c r="R242" s="259">
        <f>COUNTIF($F$7:F242,"RB")</f>
        <v>57</v>
      </c>
      <c r="S242" s="259">
        <f>COUNTIF($F$7:F242,"WR")</f>
        <v>71</v>
      </c>
      <c r="T242" s="259">
        <f>COUNTIF($F$7:F242,"TE")</f>
        <v>20</v>
      </c>
      <c r="U242" s="259">
        <f>COUNTIF($F$7:F242,"DST")</f>
        <v>11</v>
      </c>
      <c r="V242" s="259">
        <f>COUNTIF($F$7:F242,"K")</f>
        <v>12</v>
      </c>
      <c r="X242" s="265">
        <v>236</v>
      </c>
      <c r="Y242" s="259" t="str">
        <f>IFERROR(INDEX(ADP_Import!A:A,MATCH(ADP!AB242,ADP_Import!AG:AG,0)),"")</f>
        <v/>
      </c>
      <c r="Z242" s="259" t="str">
        <f>IFERROR(INDEX(ADP_Import!B:B,MATCH(ADP!AB242,ADP_Import!AG:AG,0)),"")</f>
        <v/>
      </c>
      <c r="AA242" s="259" t="str">
        <f>IFERROR(INDEX(ADP_Import!C:C,MATCH(ADP!AB242,ADP_Import!AG:AG,0)),"")</f>
        <v/>
      </c>
      <c r="AB242" s="439" t="str">
        <f>IFERROR(INDEX(ADP_Import!AG:AG,MATCH(SMALL(ADP_Import!AG:AG,X242),ADP_Import!AG:AG,0)),"NA")</f>
        <v>NA</v>
      </c>
      <c r="AC242" s="265" t="str">
        <f>IFERROR(INDEX(ADP_Import!$D:$AE,MATCH(AB242,ADP_Import!AG:AG,0),$AG$6),"")</f>
        <v/>
      </c>
      <c r="AI242" t="str">
        <f>INDEX('Draft Pick Order'!E:U,MATCH(A242,'Draft Pick Order'!C:C,0),(Instructions!$E$11*2-15))</f>
        <v>20-8</v>
      </c>
    </row>
    <row r="243" spans="1:35" x14ac:dyDescent="0.25">
      <c r="A243" s="230">
        <v>237</v>
      </c>
      <c r="B243">
        <f>IFERROR(IF(INDEX(Draft!BY:BY,MATCH(ADP!D243,Draft!BY:BY,0))=ADP!D243,1,0),0)</f>
        <v>1</v>
      </c>
      <c r="C243" t="str">
        <f>IF(AND(IFERROR(INDEX(Instructions!$T$111:$T$222,MATCH(D243,Instructions!$T$111:$T$222,0)), "")=D243, D243&lt;&gt;""), "X", "")</f>
        <v/>
      </c>
      <c r="D243" s="454" t="s">
        <v>993</v>
      </c>
      <c r="E243" s="232" t="s">
        <v>993</v>
      </c>
      <c r="F243" s="232" t="s">
        <v>993</v>
      </c>
      <c r="G243" s="383" t="s">
        <v>1927</v>
      </c>
      <c r="H243" s="455" t="s">
        <v>993</v>
      </c>
      <c r="I243" s="324"/>
      <c r="J243" s="691"/>
      <c r="K243" s="691"/>
      <c r="L243" s="688"/>
      <c r="M243" s="688"/>
      <c r="N243" s="236">
        <v>237</v>
      </c>
      <c r="O243" s="385" t="str">
        <f>F243&amp;COUNTIF($F$7:F243,F243)</f>
        <v>42</v>
      </c>
      <c r="P243" s="268">
        <f>VALUE('Draft Pick Order'!B239)</f>
        <v>219</v>
      </c>
      <c r="Q243" s="259">
        <f>COUNTIF(D$7:$F243,"QB")</f>
        <v>24</v>
      </c>
      <c r="R243" s="259">
        <f>COUNTIF($F$7:F243,"RB")</f>
        <v>57</v>
      </c>
      <c r="S243" s="259">
        <f>COUNTIF($F$7:F243,"WR")</f>
        <v>71</v>
      </c>
      <c r="T243" s="259">
        <f>COUNTIF($F$7:F243,"TE")</f>
        <v>20</v>
      </c>
      <c r="U243" s="259">
        <f>COUNTIF($F$7:F243,"DST")</f>
        <v>11</v>
      </c>
      <c r="V243" s="259">
        <f>COUNTIF($F$7:F243,"K")</f>
        <v>12</v>
      </c>
      <c r="X243" s="265">
        <v>237</v>
      </c>
      <c r="Y243" s="259" t="str">
        <f>IFERROR(INDEX(ADP_Import!A:A,MATCH(ADP!AB243,ADP_Import!AG:AG,0)),"")</f>
        <v/>
      </c>
      <c r="Z243" s="259" t="str">
        <f>IFERROR(INDEX(ADP_Import!B:B,MATCH(ADP!AB243,ADP_Import!AG:AG,0)),"")</f>
        <v/>
      </c>
      <c r="AA243" s="259" t="str">
        <f>IFERROR(INDEX(ADP_Import!C:C,MATCH(ADP!AB243,ADP_Import!AG:AG,0)),"")</f>
        <v/>
      </c>
      <c r="AB243" s="439" t="str">
        <f>IFERROR(INDEX(ADP_Import!AG:AG,MATCH(SMALL(ADP_Import!AG:AG,X243),ADP_Import!AG:AG,0)),"NA")</f>
        <v>NA</v>
      </c>
      <c r="AC243" s="265" t="str">
        <f>IFERROR(INDEX(ADP_Import!$D:$AE,MATCH(AB243,ADP_Import!AG:AG,0),$AG$6),"")</f>
        <v/>
      </c>
      <c r="AI243" t="str">
        <f>INDEX('Draft Pick Order'!E:U,MATCH(A243,'Draft Pick Order'!C:C,0),(Instructions!$E$11*2-15))</f>
        <v>20-9</v>
      </c>
    </row>
    <row r="244" spans="1:35" ht="15.75" thickBot="1" x14ac:dyDescent="0.3">
      <c r="A244" s="230">
        <v>238</v>
      </c>
      <c r="B244">
        <f>IFERROR(IF(INDEX(Draft!BY:BY,MATCH(ADP!D244,Draft!BY:BY,0))=ADP!D244,1,0),0)</f>
        <v>1</v>
      </c>
      <c r="C244" t="str">
        <f>IF(AND(IFERROR(INDEX(Instructions!$T$111:$T$222,MATCH(D244,Instructions!$T$111:$T$222,0)), "")=D244, D244&lt;&gt;""), "X", "")</f>
        <v/>
      </c>
      <c r="D244" s="454" t="s">
        <v>993</v>
      </c>
      <c r="E244" s="232" t="s">
        <v>993</v>
      </c>
      <c r="F244" s="232" t="s">
        <v>993</v>
      </c>
      <c r="G244" s="384" t="s">
        <v>1927</v>
      </c>
      <c r="H244" s="456" t="s">
        <v>993</v>
      </c>
      <c r="I244" s="324"/>
      <c r="J244" s="691"/>
      <c r="K244" s="691"/>
      <c r="L244" s="689"/>
      <c r="M244" s="688"/>
      <c r="N244" s="236">
        <v>238</v>
      </c>
      <c r="O244" s="385" t="str">
        <f>F244&amp;COUNTIF($F$7:F244,F244)</f>
        <v>43</v>
      </c>
      <c r="P244" s="268">
        <f>VALUE('Draft Pick Order'!B240)</f>
        <v>219</v>
      </c>
      <c r="Q244" s="259">
        <f>COUNTIF(D$7:$F244,"QB")</f>
        <v>24</v>
      </c>
      <c r="R244" s="259">
        <f>COUNTIF($F$7:F244,"RB")</f>
        <v>57</v>
      </c>
      <c r="S244" s="259">
        <f>COUNTIF($F$7:F244,"WR")</f>
        <v>71</v>
      </c>
      <c r="T244" s="259">
        <f>COUNTIF($F$7:F244,"TE")</f>
        <v>20</v>
      </c>
      <c r="U244" s="259">
        <f>COUNTIF($F$7:F244,"DST")</f>
        <v>11</v>
      </c>
      <c r="V244" s="259">
        <f>COUNTIF($F$7:F244,"K")</f>
        <v>12</v>
      </c>
      <c r="X244" s="265">
        <v>238</v>
      </c>
      <c r="Y244" s="259" t="str">
        <f>IFERROR(INDEX(ADP_Import!A:A,MATCH(ADP!AB244,ADP_Import!AG:AG,0)),"")</f>
        <v/>
      </c>
      <c r="Z244" s="259" t="str">
        <f>IFERROR(INDEX(ADP_Import!B:B,MATCH(ADP!AB244,ADP_Import!AG:AG,0)),"")</f>
        <v/>
      </c>
      <c r="AA244" s="259" t="str">
        <f>IFERROR(INDEX(ADP_Import!C:C,MATCH(ADP!AB244,ADP_Import!AG:AG,0)),"")</f>
        <v/>
      </c>
      <c r="AB244" s="439" t="str">
        <f>IFERROR(INDEX(ADP_Import!AG:AG,MATCH(SMALL(ADP_Import!AG:AG,X244),ADP_Import!AG:AG,0)),"NA")</f>
        <v>NA</v>
      </c>
      <c r="AC244" s="265" t="str">
        <f>IFERROR(INDEX(ADP_Import!$D:$AE,MATCH(AB244,ADP_Import!AG:AG,0),$AG$6),"")</f>
        <v/>
      </c>
      <c r="AI244" t="str">
        <f>INDEX('Draft Pick Order'!E:U,MATCH(A244,'Draft Pick Order'!C:C,0),(Instructions!$E$11*2-15))</f>
        <v>20-10</v>
      </c>
    </row>
    <row r="245" spans="1:35" x14ac:dyDescent="0.25">
      <c r="A245" s="230">
        <v>239</v>
      </c>
      <c r="B245">
        <f>IFERROR(IF(INDEX(Draft!BY:BY,MATCH(ADP!D245,Draft!BY:BY,0))=ADP!D245,1,0),0)</f>
        <v>1</v>
      </c>
      <c r="C245" t="str">
        <f>IF(AND(IFERROR(INDEX(Instructions!$T$111:$T$222,MATCH(D245,Instructions!$T$111:$T$222,0)), "")=D245, D245&lt;&gt;""), "X", "")</f>
        <v/>
      </c>
      <c r="D245" s="454" t="s">
        <v>993</v>
      </c>
      <c r="E245" s="232" t="s">
        <v>993</v>
      </c>
      <c r="F245" s="232" t="s">
        <v>993</v>
      </c>
      <c r="G245" s="383" t="s">
        <v>1927</v>
      </c>
      <c r="H245" s="455" t="s">
        <v>993</v>
      </c>
      <c r="I245" s="324"/>
      <c r="J245" s="691"/>
      <c r="K245" s="691"/>
      <c r="L245" s="690" t="s">
        <v>1456</v>
      </c>
      <c r="M245" s="688"/>
      <c r="N245" s="236">
        <v>239</v>
      </c>
      <c r="O245" s="385" t="str">
        <f>F245&amp;COUNTIF($F$7:F245,F245)</f>
        <v>44</v>
      </c>
      <c r="P245" s="268">
        <f>VALUE('Draft Pick Order'!B241)</f>
        <v>220</v>
      </c>
      <c r="Q245" s="259">
        <f>COUNTIF(D$7:$F245,"QB")</f>
        <v>24</v>
      </c>
      <c r="R245" s="259">
        <f>COUNTIF($F$7:F245,"RB")</f>
        <v>57</v>
      </c>
      <c r="S245" s="259">
        <f>COUNTIF($F$7:F245,"WR")</f>
        <v>71</v>
      </c>
      <c r="T245" s="259">
        <f>COUNTIF($F$7:F245,"TE")</f>
        <v>20</v>
      </c>
      <c r="U245" s="259">
        <f>COUNTIF($F$7:F245,"DST")</f>
        <v>11</v>
      </c>
      <c r="V245" s="259">
        <f>COUNTIF($F$7:F245,"K")</f>
        <v>12</v>
      </c>
      <c r="X245" s="265">
        <v>239</v>
      </c>
      <c r="Y245" s="259" t="str">
        <f>IFERROR(INDEX(ADP_Import!A:A,MATCH(ADP!AB245,ADP_Import!AG:AG,0)),"")</f>
        <v/>
      </c>
      <c r="Z245" s="259" t="str">
        <f>IFERROR(INDEX(ADP_Import!B:B,MATCH(ADP!AB245,ADP_Import!AG:AG,0)),"")</f>
        <v/>
      </c>
      <c r="AA245" s="259" t="str">
        <f>IFERROR(INDEX(ADP_Import!C:C,MATCH(ADP!AB245,ADP_Import!AG:AG,0)),"")</f>
        <v/>
      </c>
      <c r="AB245" s="439" t="str">
        <f>IFERROR(INDEX(ADP_Import!AG:AG,MATCH(SMALL(ADP_Import!AG:AG,X245),ADP_Import!AG:AG,0)),"NA")</f>
        <v>NA</v>
      </c>
      <c r="AC245" s="265" t="str">
        <f>IFERROR(INDEX(ADP_Import!$D:$AE,MATCH(AB245,ADP_Import!AG:AG,0),$AG$6),"")</f>
        <v/>
      </c>
      <c r="AI245" t="str">
        <f>INDEX('Draft Pick Order'!E:U,MATCH(A245,'Draft Pick Order'!C:C,0),(Instructions!$E$11*2-15))</f>
        <v>20-11</v>
      </c>
    </row>
    <row r="246" spans="1:35" ht="15.75" thickBot="1" x14ac:dyDescent="0.3">
      <c r="A246" s="230">
        <v>240</v>
      </c>
      <c r="B246">
        <f>IFERROR(IF(INDEX(Draft!BY:BY,MATCH(ADP!D246,Draft!BY:BY,0))=ADP!D246,1,0),0)</f>
        <v>1</v>
      </c>
      <c r="C246" t="str">
        <f>IF(AND(IFERROR(INDEX(Instructions!$T$111:$T$222,MATCH(D246,Instructions!$T$111:$T$222,0)), "")=D246, D246&lt;&gt;""), "X", "")</f>
        <v/>
      </c>
      <c r="D246" s="454" t="s">
        <v>993</v>
      </c>
      <c r="E246" s="232" t="s">
        <v>993</v>
      </c>
      <c r="F246" s="232" t="s">
        <v>993</v>
      </c>
      <c r="G246" s="384" t="s">
        <v>1927</v>
      </c>
      <c r="H246" s="456" t="s">
        <v>993</v>
      </c>
      <c r="I246" s="324"/>
      <c r="J246" s="692"/>
      <c r="K246" s="692"/>
      <c r="L246" s="691"/>
      <c r="M246" s="689"/>
      <c r="N246" s="236">
        <v>240</v>
      </c>
      <c r="O246" s="385" t="str">
        <f>F246&amp;COUNTIF($F$7:F246,F246)</f>
        <v>45</v>
      </c>
      <c r="P246" s="268">
        <f>VALUE('Draft Pick Order'!B242)</f>
        <v>220</v>
      </c>
      <c r="Q246" s="259">
        <f>COUNTIF(D$7:$F246,"QB")</f>
        <v>24</v>
      </c>
      <c r="R246" s="259">
        <f>COUNTIF($F$7:F246,"RB")</f>
        <v>57</v>
      </c>
      <c r="S246" s="259">
        <f>COUNTIF($F$7:F246,"WR")</f>
        <v>71</v>
      </c>
      <c r="T246" s="259">
        <f>COUNTIF($F$7:F246,"TE")</f>
        <v>20</v>
      </c>
      <c r="U246" s="259">
        <f>COUNTIF($F$7:F246,"DST")</f>
        <v>11</v>
      </c>
      <c r="V246" s="259">
        <f>COUNTIF($F$7:F246,"K")</f>
        <v>12</v>
      </c>
      <c r="X246" s="265">
        <v>240</v>
      </c>
      <c r="Y246" s="259" t="str">
        <f>IFERROR(INDEX(ADP_Import!A:A,MATCH(ADP!AB246,ADP_Import!AG:AG,0)),"")</f>
        <v/>
      </c>
      <c r="Z246" s="259" t="str">
        <f>IFERROR(INDEX(ADP_Import!B:B,MATCH(ADP!AB246,ADP_Import!AG:AG,0)),"")</f>
        <v/>
      </c>
      <c r="AA246" s="259" t="str">
        <f>IFERROR(INDEX(ADP_Import!C:C,MATCH(ADP!AB246,ADP_Import!AG:AG,0)),"")</f>
        <v/>
      </c>
      <c r="AB246" s="439" t="str">
        <f>IFERROR(INDEX(ADP_Import!AG:AG,MATCH(SMALL(ADP_Import!AG:AG,X246),ADP_Import!AG:AG,0)),"NA")</f>
        <v>NA</v>
      </c>
      <c r="AC246" s="265" t="str">
        <f>IFERROR(INDEX(ADP_Import!$D:$AE,MATCH(AB246,ADP_Import!AG:AG,0),$AG$6),"")</f>
        <v/>
      </c>
      <c r="AI246" t="str">
        <f>INDEX('Draft Pick Order'!E:U,MATCH(A246,'Draft Pick Order'!C:C,0),(Instructions!$E$11*2-15))</f>
        <v>20-12</v>
      </c>
    </row>
    <row r="247" spans="1:35" ht="15" customHeight="1" x14ac:dyDescent="0.25">
      <c r="A247" s="230">
        <v>241</v>
      </c>
      <c r="B247">
        <f>IFERROR(IF(INDEX(Draft!BY:BY,MATCH(ADP!D247,Draft!BY:BY,0))=ADP!D247,1,0),0)</f>
        <v>1</v>
      </c>
      <c r="C247" t="str">
        <f>IF(AND(IFERROR(INDEX(Instructions!$T$111:$T$222,MATCH(D247,Instructions!$T$111:$T$222,0)), "")=D247, D247&lt;&gt;""), "X", "")</f>
        <v/>
      </c>
      <c r="D247" s="454" t="s">
        <v>993</v>
      </c>
      <c r="E247" s="232" t="s">
        <v>993</v>
      </c>
      <c r="F247" s="232" t="s">
        <v>993</v>
      </c>
      <c r="G247" s="383" t="s">
        <v>1927</v>
      </c>
      <c r="H247" s="455" t="s">
        <v>993</v>
      </c>
      <c r="I247" s="324"/>
      <c r="J247" s="687" t="s">
        <v>1463</v>
      </c>
      <c r="K247" s="687" t="s">
        <v>1459</v>
      </c>
      <c r="L247" s="691"/>
      <c r="M247" s="235"/>
      <c r="N247" s="236">
        <v>241</v>
      </c>
      <c r="O247" s="385" t="str">
        <f>F247&amp;COUNTIF($F$7:F247,F247)</f>
        <v>46</v>
      </c>
      <c r="P247" s="268">
        <f>VALUE('Draft Pick Order'!B243)</f>
        <v>220</v>
      </c>
      <c r="Q247" s="259">
        <f>COUNTIF(D$7:$F247,"QB")</f>
        <v>24</v>
      </c>
      <c r="R247" s="259">
        <f>COUNTIF($F$7:F247,"RB")</f>
        <v>57</v>
      </c>
      <c r="S247" s="259">
        <f>COUNTIF($F$7:F247,"WR")</f>
        <v>71</v>
      </c>
      <c r="T247" s="259">
        <f>COUNTIF($F$7:F247,"TE")</f>
        <v>20</v>
      </c>
      <c r="U247" s="259">
        <f>COUNTIF($F$7:F247,"DST")</f>
        <v>11</v>
      </c>
      <c r="V247" s="259">
        <f>COUNTIF($F$7:F247,"K")</f>
        <v>12</v>
      </c>
      <c r="X247" s="265">
        <v>241</v>
      </c>
      <c r="Y247" s="259" t="str">
        <f>IFERROR(INDEX(ADP_Import!A:A,MATCH(ADP!AB247,ADP_Import!AG:AG,0)),"")</f>
        <v/>
      </c>
      <c r="Z247" s="259" t="str">
        <f>IFERROR(INDEX(ADP_Import!B:B,MATCH(ADP!AB247,ADP_Import!AG:AG,0)),"")</f>
        <v/>
      </c>
      <c r="AA247" s="259" t="str">
        <f>IFERROR(INDEX(ADP_Import!C:C,MATCH(ADP!AB247,ADP_Import!AG:AG,0)),"")</f>
        <v/>
      </c>
      <c r="AB247" s="439" t="str">
        <f>IFERROR(INDEX(ADP_Import!AG:AG,MATCH(SMALL(ADP_Import!AG:AG,X247),ADP_Import!AG:AG,0)),"NA")</f>
        <v>NA</v>
      </c>
      <c r="AC247" s="265" t="str">
        <f>IFERROR(INDEX(ADP_Import!$D:$AE,MATCH(AB247,ADP_Import!AG:AG,0),$AG$6),"")</f>
        <v/>
      </c>
      <c r="AI247" t="str">
        <f>INDEX('Draft Pick Order'!E:U,MATCH(A247,'Draft Pick Order'!C:C,0),(Instructions!$E$11*2-15))</f>
        <v>21-1</v>
      </c>
    </row>
    <row r="248" spans="1:35" x14ac:dyDescent="0.25">
      <c r="A248" s="230">
        <v>242</v>
      </c>
      <c r="B248">
        <f>IFERROR(IF(INDEX(Draft!BY:BY,MATCH(ADP!D248,Draft!BY:BY,0))=ADP!D248,1,0),0)</f>
        <v>1</v>
      </c>
      <c r="C248" t="str">
        <f>IF(AND(IFERROR(INDEX(Instructions!$T$111:$T$222,MATCH(D248,Instructions!$T$111:$T$222,0)), "")=D248, D248&lt;&gt;""), "X", "")</f>
        <v/>
      </c>
      <c r="D248" s="454" t="s">
        <v>993</v>
      </c>
      <c r="E248" s="232" t="s">
        <v>993</v>
      </c>
      <c r="F248" s="232" t="s">
        <v>993</v>
      </c>
      <c r="G248" s="384" t="s">
        <v>1927</v>
      </c>
      <c r="H248" s="456" t="s">
        <v>993</v>
      </c>
      <c r="I248" s="324"/>
      <c r="J248" s="688"/>
      <c r="K248" s="688"/>
      <c r="L248" s="691"/>
      <c r="M248" s="235"/>
      <c r="N248" s="236">
        <v>242</v>
      </c>
      <c r="O248" s="385" t="str">
        <f>F248&amp;COUNTIF($F$7:F248,F248)</f>
        <v>47</v>
      </c>
      <c r="P248" s="268">
        <f>VALUE('Draft Pick Order'!B244)</f>
        <v>221</v>
      </c>
      <c r="Q248" s="259">
        <f>COUNTIF(D$7:$F248,"QB")</f>
        <v>24</v>
      </c>
      <c r="R248" s="259">
        <f>COUNTIF($F$7:F248,"RB")</f>
        <v>57</v>
      </c>
      <c r="S248" s="259">
        <f>COUNTIF($F$7:F248,"WR")</f>
        <v>71</v>
      </c>
      <c r="T248" s="259">
        <f>COUNTIF($F$7:F248,"TE")</f>
        <v>20</v>
      </c>
      <c r="U248" s="259">
        <f>COUNTIF($F$7:F248,"DST")</f>
        <v>11</v>
      </c>
      <c r="V248" s="259">
        <f>COUNTIF($F$7:F248,"K")</f>
        <v>12</v>
      </c>
      <c r="X248" s="265">
        <v>242</v>
      </c>
      <c r="Y248" s="259" t="str">
        <f>IFERROR(INDEX(ADP_Import!A:A,MATCH(ADP!AB248,ADP_Import!AG:AG,0)),"")</f>
        <v/>
      </c>
      <c r="Z248" s="259" t="str">
        <f>IFERROR(INDEX(ADP_Import!B:B,MATCH(ADP!AB248,ADP_Import!AG:AG,0)),"")</f>
        <v/>
      </c>
      <c r="AA248" s="259" t="str">
        <f>IFERROR(INDEX(ADP_Import!C:C,MATCH(ADP!AB248,ADP_Import!AG:AG,0)),"")</f>
        <v/>
      </c>
      <c r="AB248" s="439" t="str">
        <f>IFERROR(INDEX(ADP_Import!AG:AG,MATCH(SMALL(ADP_Import!AG:AG,X248),ADP_Import!AG:AG,0)),"NA")</f>
        <v>NA</v>
      </c>
      <c r="AC248" s="265" t="str">
        <f>IFERROR(INDEX(ADP_Import!$D:$AE,MATCH(AB248,ADP_Import!AG:AG,0),$AG$6),"")</f>
        <v/>
      </c>
      <c r="AI248" t="str">
        <f>INDEX('Draft Pick Order'!E:U,MATCH(A248,'Draft Pick Order'!C:C,0),(Instructions!$E$11*2-15))</f>
        <v>21-2</v>
      </c>
    </row>
    <row r="249" spans="1:35" x14ac:dyDescent="0.25">
      <c r="A249" s="230">
        <v>243</v>
      </c>
      <c r="B249">
        <f>IFERROR(IF(INDEX(Draft!BY:BY,MATCH(ADP!D249,Draft!BY:BY,0))=ADP!D249,1,0),0)</f>
        <v>1</v>
      </c>
      <c r="C249" t="str">
        <f>IF(AND(IFERROR(INDEX(Instructions!$T$111:$T$222,MATCH(D249,Instructions!$T$111:$T$222,0)), "")=D249, D249&lt;&gt;""), "X", "")</f>
        <v/>
      </c>
      <c r="D249" s="454" t="s">
        <v>993</v>
      </c>
      <c r="E249" s="232" t="s">
        <v>993</v>
      </c>
      <c r="F249" s="232" t="s">
        <v>993</v>
      </c>
      <c r="G249" s="383" t="s">
        <v>1927</v>
      </c>
      <c r="H249" s="455" t="s">
        <v>993</v>
      </c>
      <c r="I249" s="324"/>
      <c r="J249" s="688"/>
      <c r="K249" s="688"/>
      <c r="L249" s="691"/>
      <c r="M249" s="235"/>
      <c r="N249" s="236">
        <v>243</v>
      </c>
      <c r="O249" s="385" t="str">
        <f>F249&amp;COUNTIF($F$7:F249,F249)</f>
        <v>48</v>
      </c>
      <c r="P249" s="268">
        <f>VALUE('Draft Pick Order'!B245)</f>
        <v>221</v>
      </c>
      <c r="Q249" s="259">
        <f>COUNTIF(D$7:$F249,"QB")</f>
        <v>24</v>
      </c>
      <c r="R249" s="259">
        <f>COUNTIF($F$7:F249,"RB")</f>
        <v>57</v>
      </c>
      <c r="S249" s="259">
        <f>COUNTIF($F$7:F249,"WR")</f>
        <v>71</v>
      </c>
      <c r="T249" s="259">
        <f>COUNTIF($F$7:F249,"TE")</f>
        <v>20</v>
      </c>
      <c r="U249" s="259">
        <f>COUNTIF($F$7:F249,"DST")</f>
        <v>11</v>
      </c>
      <c r="V249" s="259">
        <f>COUNTIF($F$7:F249,"K")</f>
        <v>12</v>
      </c>
      <c r="X249" s="265">
        <v>243</v>
      </c>
      <c r="Y249" s="259" t="str">
        <f>IFERROR(INDEX(ADP_Import!A:A,MATCH(ADP!AB249,ADP_Import!AG:AG,0)),"")</f>
        <v/>
      </c>
      <c r="Z249" s="259" t="str">
        <f>IFERROR(INDEX(ADP_Import!B:B,MATCH(ADP!AB249,ADP_Import!AG:AG,0)),"")</f>
        <v/>
      </c>
      <c r="AA249" s="259" t="str">
        <f>IFERROR(INDEX(ADP_Import!C:C,MATCH(ADP!AB249,ADP_Import!AG:AG,0)),"")</f>
        <v/>
      </c>
      <c r="AB249" s="439" t="str">
        <f>IFERROR(INDEX(ADP_Import!AG:AG,MATCH(SMALL(ADP_Import!AG:AG,X249),ADP_Import!AG:AG,0)),"NA")</f>
        <v>NA</v>
      </c>
      <c r="AC249" s="265" t="str">
        <f>IFERROR(INDEX(ADP_Import!$D:$AE,MATCH(AB249,ADP_Import!AG:AG,0),$AG$6),"")</f>
        <v/>
      </c>
      <c r="AI249" t="str">
        <f>INDEX('Draft Pick Order'!E:U,MATCH(A249,'Draft Pick Order'!C:C,0),(Instructions!$E$11*2-15))</f>
        <v>21-3</v>
      </c>
    </row>
    <row r="250" spans="1:35" x14ac:dyDescent="0.25">
      <c r="A250" s="230">
        <v>244</v>
      </c>
      <c r="B250">
        <f>IFERROR(IF(INDEX(Draft!BY:BY,MATCH(ADP!D250,Draft!BY:BY,0))=ADP!D250,1,0),0)</f>
        <v>1</v>
      </c>
      <c r="C250" t="str">
        <f>IF(AND(IFERROR(INDEX(Instructions!$T$111:$T$222,MATCH(D250,Instructions!$T$111:$T$222,0)), "")=D250, D250&lt;&gt;""), "X", "")</f>
        <v/>
      </c>
      <c r="D250" s="454" t="s">
        <v>993</v>
      </c>
      <c r="E250" s="232" t="s">
        <v>993</v>
      </c>
      <c r="F250" s="232" t="s">
        <v>993</v>
      </c>
      <c r="G250" s="384" t="s">
        <v>1927</v>
      </c>
      <c r="H250" s="456" t="s">
        <v>993</v>
      </c>
      <c r="I250" s="324"/>
      <c r="J250" s="688"/>
      <c r="K250" s="688"/>
      <c r="L250" s="691"/>
      <c r="M250" s="235"/>
      <c r="N250" s="236">
        <v>244</v>
      </c>
      <c r="O250" s="385" t="str">
        <f>F250&amp;COUNTIF($F$7:F250,F250)</f>
        <v>49</v>
      </c>
      <c r="P250" s="268">
        <f>VALUE('Draft Pick Order'!B246)</f>
        <v>221</v>
      </c>
      <c r="Q250" s="259">
        <f>COUNTIF(D$7:$F250,"QB")</f>
        <v>24</v>
      </c>
      <c r="R250" s="259">
        <f>COUNTIF($F$7:F250,"RB")</f>
        <v>57</v>
      </c>
      <c r="S250" s="259">
        <f>COUNTIF($F$7:F250,"WR")</f>
        <v>71</v>
      </c>
      <c r="T250" s="259">
        <f>COUNTIF($F$7:F250,"TE")</f>
        <v>20</v>
      </c>
      <c r="U250" s="259">
        <f>COUNTIF($F$7:F250,"DST")</f>
        <v>11</v>
      </c>
      <c r="V250" s="259">
        <f>COUNTIF($F$7:F250,"K")</f>
        <v>12</v>
      </c>
      <c r="X250" s="265">
        <v>244</v>
      </c>
      <c r="Y250" s="259" t="str">
        <f>IFERROR(INDEX(ADP_Import!A:A,MATCH(ADP!AB250,ADP_Import!AG:AG,0)),"")</f>
        <v/>
      </c>
      <c r="Z250" s="259" t="str">
        <f>IFERROR(INDEX(ADP_Import!B:B,MATCH(ADP!AB250,ADP_Import!AG:AG,0)),"")</f>
        <v/>
      </c>
      <c r="AA250" s="259" t="str">
        <f>IFERROR(INDEX(ADP_Import!C:C,MATCH(ADP!AB250,ADP_Import!AG:AG,0)),"")</f>
        <v/>
      </c>
      <c r="AB250" s="439" t="str">
        <f>IFERROR(INDEX(ADP_Import!AG:AG,MATCH(SMALL(ADP_Import!AG:AG,X250),ADP_Import!AG:AG,0)),"NA")</f>
        <v>NA</v>
      </c>
      <c r="AC250" s="265" t="str">
        <f>IFERROR(INDEX(ADP_Import!$D:$AE,MATCH(AB250,ADP_Import!AG:AG,0),$AG$6),"")</f>
        <v/>
      </c>
      <c r="AI250" t="str">
        <f>INDEX('Draft Pick Order'!E:U,MATCH(A250,'Draft Pick Order'!C:C,0),(Instructions!$E$11*2-15))</f>
        <v>21-4</v>
      </c>
    </row>
    <row r="251" spans="1:35" x14ac:dyDescent="0.25">
      <c r="A251" s="230">
        <v>245</v>
      </c>
      <c r="B251">
        <f>IFERROR(IF(INDEX(Draft!BY:BY,MATCH(ADP!D251,Draft!BY:BY,0))=ADP!D251,1,0),0)</f>
        <v>1</v>
      </c>
      <c r="C251" t="str">
        <f>IF(AND(IFERROR(INDEX(Instructions!$T$111:$T$222,MATCH(D251,Instructions!$T$111:$T$222,0)), "")=D251, D251&lt;&gt;""), "X", "")</f>
        <v/>
      </c>
      <c r="D251" s="454" t="s">
        <v>993</v>
      </c>
      <c r="E251" s="232" t="s">
        <v>993</v>
      </c>
      <c r="F251" s="232" t="s">
        <v>993</v>
      </c>
      <c r="G251" s="383" t="s">
        <v>1927</v>
      </c>
      <c r="H251" s="455" t="s">
        <v>993</v>
      </c>
      <c r="I251" s="324"/>
      <c r="J251" s="688"/>
      <c r="K251" s="688"/>
      <c r="L251" s="691"/>
      <c r="M251" s="235"/>
      <c r="N251" s="236">
        <v>245</v>
      </c>
      <c r="O251" s="385" t="str">
        <f>F251&amp;COUNTIF($F$7:F251,F251)</f>
        <v>50</v>
      </c>
      <c r="P251" s="268">
        <f>VALUE('Draft Pick Order'!B247)</f>
        <v>221</v>
      </c>
      <c r="Q251" s="259">
        <f>COUNTIF(D$7:$F251,"QB")</f>
        <v>24</v>
      </c>
      <c r="R251" s="259">
        <f>COUNTIF($F$7:F251,"RB")</f>
        <v>57</v>
      </c>
      <c r="S251" s="259">
        <f>COUNTIF($F$7:F251,"WR")</f>
        <v>71</v>
      </c>
      <c r="T251" s="259">
        <f>COUNTIF($F$7:F251,"TE")</f>
        <v>20</v>
      </c>
      <c r="U251" s="259">
        <f>COUNTIF($F$7:F251,"DST")</f>
        <v>11</v>
      </c>
      <c r="V251" s="259">
        <f>COUNTIF($F$7:F251,"K")</f>
        <v>12</v>
      </c>
      <c r="X251" s="265">
        <v>245</v>
      </c>
      <c r="Y251" s="259" t="str">
        <f>IFERROR(INDEX(ADP_Import!A:A,MATCH(ADP!AB251,ADP_Import!AG:AG,0)),"")</f>
        <v/>
      </c>
      <c r="Z251" s="259" t="str">
        <f>IFERROR(INDEX(ADP_Import!B:B,MATCH(ADP!AB251,ADP_Import!AG:AG,0)),"")</f>
        <v/>
      </c>
      <c r="AA251" s="259" t="str">
        <f>IFERROR(INDEX(ADP_Import!C:C,MATCH(ADP!AB251,ADP_Import!AG:AG,0)),"")</f>
        <v/>
      </c>
      <c r="AB251" s="439" t="str">
        <f>IFERROR(INDEX(ADP_Import!AG:AG,MATCH(SMALL(ADP_Import!AG:AG,X251),ADP_Import!AG:AG,0)),"NA")</f>
        <v>NA</v>
      </c>
      <c r="AC251" s="265" t="str">
        <f>IFERROR(INDEX(ADP_Import!$D:$AE,MATCH(AB251,ADP_Import!AG:AG,0),$AG$6),"")</f>
        <v/>
      </c>
      <c r="AI251" t="str">
        <f>INDEX('Draft Pick Order'!E:U,MATCH(A251,'Draft Pick Order'!C:C,0),(Instructions!$E$11*2-15))</f>
        <v>21-5</v>
      </c>
    </row>
    <row r="252" spans="1:35" x14ac:dyDescent="0.25">
      <c r="A252" s="230">
        <v>246</v>
      </c>
      <c r="B252">
        <f>IFERROR(IF(INDEX(Draft!BY:BY,MATCH(ADP!D252,Draft!BY:BY,0))=ADP!D252,1,0),0)</f>
        <v>1</v>
      </c>
      <c r="C252" t="str">
        <f>IF(AND(IFERROR(INDEX(Instructions!$T$111:$T$222,MATCH(D252,Instructions!$T$111:$T$222,0)), "")=D252, D252&lt;&gt;""), "X", "")</f>
        <v/>
      </c>
      <c r="D252" s="454" t="s">
        <v>993</v>
      </c>
      <c r="E252" s="232" t="s">
        <v>993</v>
      </c>
      <c r="F252" s="232" t="s">
        <v>993</v>
      </c>
      <c r="G252" s="384" t="s">
        <v>1927</v>
      </c>
      <c r="H252" s="456" t="s">
        <v>993</v>
      </c>
      <c r="I252" s="324"/>
      <c r="J252" s="688"/>
      <c r="K252" s="688"/>
      <c r="L252" s="691"/>
      <c r="M252" s="235"/>
      <c r="N252" s="236">
        <v>246</v>
      </c>
      <c r="O252" s="385" t="str">
        <f>F252&amp;COUNTIF($F$7:F252,F252)</f>
        <v>51</v>
      </c>
      <c r="P252" s="268">
        <f>VALUE('Draft Pick Order'!B248)</f>
        <v>221</v>
      </c>
      <c r="Q252" s="259">
        <f>COUNTIF(D$7:$F252,"QB")</f>
        <v>24</v>
      </c>
      <c r="R252" s="259">
        <f>COUNTIF($F$7:F252,"RB")</f>
        <v>57</v>
      </c>
      <c r="S252" s="259">
        <f>COUNTIF($F$7:F252,"WR")</f>
        <v>71</v>
      </c>
      <c r="T252" s="259">
        <f>COUNTIF($F$7:F252,"TE")</f>
        <v>20</v>
      </c>
      <c r="U252" s="259">
        <f>COUNTIF($F$7:F252,"DST")</f>
        <v>11</v>
      </c>
      <c r="V252" s="259">
        <f>COUNTIF($F$7:F252,"K")</f>
        <v>12</v>
      </c>
      <c r="X252" s="265">
        <v>246</v>
      </c>
      <c r="Y252" s="259" t="str">
        <f>IFERROR(INDEX(ADP_Import!A:A,MATCH(ADP!AB252,ADP_Import!AG:AG,0)),"")</f>
        <v/>
      </c>
      <c r="Z252" s="259" t="str">
        <f>IFERROR(INDEX(ADP_Import!B:B,MATCH(ADP!AB252,ADP_Import!AG:AG,0)),"")</f>
        <v/>
      </c>
      <c r="AA252" s="259" t="str">
        <f>IFERROR(INDEX(ADP_Import!C:C,MATCH(ADP!AB252,ADP_Import!AG:AG,0)),"")</f>
        <v/>
      </c>
      <c r="AB252" s="439" t="str">
        <f>IFERROR(INDEX(ADP_Import!AG:AG,MATCH(SMALL(ADP_Import!AG:AG,X252),ADP_Import!AG:AG,0)),"NA")</f>
        <v>NA</v>
      </c>
      <c r="AC252" s="265" t="str">
        <f>IFERROR(INDEX(ADP_Import!$D:$AE,MATCH(AB252,ADP_Import!AG:AG,0),$AG$6),"")</f>
        <v/>
      </c>
      <c r="AI252" t="str">
        <f>INDEX('Draft Pick Order'!E:U,MATCH(A252,'Draft Pick Order'!C:C,0),(Instructions!$E$11*2-15))</f>
        <v>21-6</v>
      </c>
    </row>
    <row r="253" spans="1:35" x14ac:dyDescent="0.25">
      <c r="A253" s="230">
        <v>247</v>
      </c>
      <c r="B253">
        <f>IFERROR(IF(INDEX(Draft!BY:BY,MATCH(ADP!D253,Draft!BY:BY,0))=ADP!D253,1,0),0)</f>
        <v>1</v>
      </c>
      <c r="C253" t="str">
        <f>IF(AND(IFERROR(INDEX(Instructions!$T$111:$T$222,MATCH(D253,Instructions!$T$111:$T$222,0)), "")=D253, D253&lt;&gt;""), "X", "")</f>
        <v/>
      </c>
      <c r="D253" s="454" t="s">
        <v>993</v>
      </c>
      <c r="E253" s="232" t="s">
        <v>993</v>
      </c>
      <c r="F253" s="232" t="s">
        <v>993</v>
      </c>
      <c r="G253" s="383" t="s">
        <v>1927</v>
      </c>
      <c r="H253" s="455" t="s">
        <v>993</v>
      </c>
      <c r="I253" s="324"/>
      <c r="J253" s="688"/>
      <c r="K253" s="688"/>
      <c r="L253" s="691"/>
      <c r="M253" s="235"/>
      <c r="N253" s="236">
        <v>247</v>
      </c>
      <c r="O253" s="385" t="str">
        <f>F253&amp;COUNTIF($F$7:F253,F253)</f>
        <v>52</v>
      </c>
      <c r="P253" s="268">
        <f>VALUE('Draft Pick Order'!B249)</f>
        <v>221</v>
      </c>
      <c r="Q253" s="259">
        <f>COUNTIF(D$7:$F253,"QB")</f>
        <v>24</v>
      </c>
      <c r="R253" s="259">
        <f>COUNTIF($F$7:F253,"RB")</f>
        <v>57</v>
      </c>
      <c r="S253" s="259">
        <f>COUNTIF($F$7:F253,"WR")</f>
        <v>71</v>
      </c>
      <c r="T253" s="259">
        <f>COUNTIF($F$7:F253,"TE")</f>
        <v>20</v>
      </c>
      <c r="U253" s="259">
        <f>COUNTIF($F$7:F253,"DST")</f>
        <v>11</v>
      </c>
      <c r="V253" s="259">
        <f>COUNTIF($F$7:F253,"K")</f>
        <v>12</v>
      </c>
      <c r="X253" s="265">
        <v>247</v>
      </c>
      <c r="Y253" s="259" t="str">
        <f>IFERROR(INDEX(ADP_Import!A:A,MATCH(ADP!AB253,ADP_Import!AG:AG,0)),"")</f>
        <v/>
      </c>
      <c r="Z253" s="259" t="str">
        <f>IFERROR(INDEX(ADP_Import!B:B,MATCH(ADP!AB253,ADP_Import!AG:AG,0)),"")</f>
        <v/>
      </c>
      <c r="AA253" s="259" t="str">
        <f>IFERROR(INDEX(ADP_Import!C:C,MATCH(ADP!AB253,ADP_Import!AG:AG,0)),"")</f>
        <v/>
      </c>
      <c r="AB253" s="439" t="str">
        <f>IFERROR(INDEX(ADP_Import!AG:AG,MATCH(SMALL(ADP_Import!AG:AG,X253),ADP_Import!AG:AG,0)),"NA")</f>
        <v>NA</v>
      </c>
      <c r="AC253" s="265" t="str">
        <f>IFERROR(INDEX(ADP_Import!$D:$AE,MATCH(AB253,ADP_Import!AG:AG,0),$AG$6),"")</f>
        <v/>
      </c>
      <c r="AI253" t="str">
        <f>INDEX('Draft Pick Order'!E:U,MATCH(A253,'Draft Pick Order'!C:C,0),(Instructions!$E$11*2-15))</f>
        <v>21-7</v>
      </c>
    </row>
    <row r="254" spans="1:35" x14ac:dyDescent="0.25">
      <c r="A254" s="230">
        <v>248</v>
      </c>
      <c r="B254">
        <f>IFERROR(IF(INDEX(Draft!BY:BY,MATCH(ADP!D254,Draft!BY:BY,0))=ADP!D254,1,0),0)</f>
        <v>1</v>
      </c>
      <c r="C254" t="str">
        <f>IF(AND(IFERROR(INDEX(Instructions!$T$111:$T$222,MATCH(D254,Instructions!$T$111:$T$222,0)), "")=D254, D254&lt;&gt;""), "X", "")</f>
        <v/>
      </c>
      <c r="D254" s="454" t="s">
        <v>993</v>
      </c>
      <c r="E254" s="232" t="s">
        <v>993</v>
      </c>
      <c r="F254" s="232" t="s">
        <v>993</v>
      </c>
      <c r="G254" s="384" t="s">
        <v>1927</v>
      </c>
      <c r="H254" s="456" t="s">
        <v>993</v>
      </c>
      <c r="I254" s="324"/>
      <c r="J254" s="688"/>
      <c r="K254" s="688"/>
      <c r="L254" s="691"/>
      <c r="M254" s="235"/>
      <c r="N254" s="236">
        <v>248</v>
      </c>
      <c r="O254" s="385" t="str">
        <f>F254&amp;COUNTIF($F$7:F254,F254)</f>
        <v>53</v>
      </c>
      <c r="P254" s="268">
        <f>VALUE('Draft Pick Order'!B250)</f>
        <v>221</v>
      </c>
      <c r="Q254" s="259">
        <f>COUNTIF(D$7:$F254,"QB")</f>
        <v>24</v>
      </c>
      <c r="R254" s="259">
        <f>COUNTIF($F$7:F254,"RB")</f>
        <v>57</v>
      </c>
      <c r="S254" s="259">
        <f>COUNTIF($F$7:F254,"WR")</f>
        <v>71</v>
      </c>
      <c r="T254" s="259">
        <f>COUNTIF($F$7:F254,"TE")</f>
        <v>20</v>
      </c>
      <c r="U254" s="259">
        <f>COUNTIF($F$7:F254,"DST")</f>
        <v>11</v>
      </c>
      <c r="V254" s="259">
        <f>COUNTIF($F$7:F254,"K")</f>
        <v>12</v>
      </c>
      <c r="X254" s="265">
        <v>248</v>
      </c>
      <c r="Y254" s="259" t="str">
        <f>IFERROR(INDEX(ADP_Import!A:A,MATCH(ADP!AB254,ADP_Import!AG:AG,0)),"")</f>
        <v/>
      </c>
      <c r="Z254" s="259" t="str">
        <f>IFERROR(INDEX(ADP_Import!B:B,MATCH(ADP!AB254,ADP_Import!AG:AG,0)),"")</f>
        <v/>
      </c>
      <c r="AA254" s="259" t="str">
        <f>IFERROR(INDEX(ADP_Import!C:C,MATCH(ADP!AB254,ADP_Import!AG:AG,0)),"")</f>
        <v/>
      </c>
      <c r="AB254" s="439" t="str">
        <f>IFERROR(INDEX(ADP_Import!AG:AG,MATCH(SMALL(ADP_Import!AG:AG,X254),ADP_Import!AG:AG,0)),"NA")</f>
        <v>NA</v>
      </c>
      <c r="AC254" s="265" t="str">
        <f>IFERROR(INDEX(ADP_Import!$D:$AE,MATCH(AB254,ADP_Import!AG:AG,0),$AG$6),"")</f>
        <v/>
      </c>
      <c r="AI254" t="str">
        <f>INDEX('Draft Pick Order'!E:U,MATCH(A254,'Draft Pick Order'!C:C,0),(Instructions!$E$11*2-15))</f>
        <v>21-8</v>
      </c>
    </row>
    <row r="255" spans="1:35" x14ac:dyDescent="0.25">
      <c r="A255" s="230">
        <v>249</v>
      </c>
      <c r="B255">
        <f>IFERROR(IF(INDEX(Draft!BY:BY,MATCH(ADP!D255,Draft!BY:BY,0))=ADP!D255,1,0),0)</f>
        <v>1</v>
      </c>
      <c r="C255" t="str">
        <f>IF(AND(IFERROR(INDEX(Instructions!$T$111:$T$222,MATCH(D255,Instructions!$T$111:$T$222,0)), "")=D255, D255&lt;&gt;""), "X", "")</f>
        <v/>
      </c>
      <c r="D255" s="454" t="s">
        <v>993</v>
      </c>
      <c r="E255" s="232" t="s">
        <v>993</v>
      </c>
      <c r="F255" s="232" t="s">
        <v>993</v>
      </c>
      <c r="G255" s="383" t="s">
        <v>1927</v>
      </c>
      <c r="H255" s="455" t="s">
        <v>993</v>
      </c>
      <c r="I255" s="324"/>
      <c r="J255" s="688"/>
      <c r="K255" s="688"/>
      <c r="L255" s="691"/>
      <c r="M255" s="223"/>
      <c r="N255" s="236"/>
      <c r="O255" s="385" t="str">
        <f>F255&amp;COUNTIF($F$7:F255,F255)</f>
        <v>54</v>
      </c>
      <c r="P255" s="268">
        <f>VALUE('Draft Pick Order'!B251)</f>
        <v>221</v>
      </c>
      <c r="Q255" s="259">
        <f>COUNTIF(D$7:$F255,"QB")</f>
        <v>24</v>
      </c>
      <c r="R255" s="259">
        <f>COUNTIF($F$7:F255,"RB")</f>
        <v>57</v>
      </c>
      <c r="S255" s="259">
        <f>COUNTIF($F$7:F255,"WR")</f>
        <v>71</v>
      </c>
      <c r="T255" s="259">
        <f>COUNTIF($F$7:F255,"TE")</f>
        <v>20</v>
      </c>
      <c r="U255" s="259">
        <f>COUNTIF($F$7:F255,"DST")</f>
        <v>11</v>
      </c>
      <c r="V255" s="259">
        <f>COUNTIF($F$7:F255,"K")</f>
        <v>12</v>
      </c>
      <c r="X255" s="265">
        <v>249</v>
      </c>
      <c r="Y255" s="259" t="str">
        <f>IFERROR(INDEX(ADP_Import!A:A,MATCH(ADP!AB255,ADP_Import!AG:AG,0)),"")</f>
        <v/>
      </c>
      <c r="Z255" s="259" t="str">
        <f>IFERROR(INDEX(ADP_Import!B:B,MATCH(ADP!AB255,ADP_Import!AG:AG,0)),"")</f>
        <v/>
      </c>
      <c r="AA255" s="259" t="str">
        <f>IFERROR(INDEX(ADP_Import!C:C,MATCH(ADP!AB255,ADP_Import!AG:AG,0)),"")</f>
        <v/>
      </c>
      <c r="AB255" s="439" t="str">
        <f>IFERROR(INDEX(ADP_Import!AG:AG,MATCH(SMALL(ADP_Import!AG:AG,X255),ADP_Import!AG:AG,0)),"NA")</f>
        <v>NA</v>
      </c>
      <c r="AC255" s="265" t="str">
        <f>IFERROR(INDEX(ADP_Import!$D:$AE,MATCH(AB255,ADP_Import!AG:AG,0),$AG$6),"")</f>
        <v/>
      </c>
      <c r="AI255" t="str">
        <f>INDEX('Draft Pick Order'!E:U,MATCH(A255,'Draft Pick Order'!C:C,0),(Instructions!$E$11*2-15))</f>
        <v>21-9</v>
      </c>
    </row>
    <row r="256" spans="1:35" ht="15.75" thickBot="1" x14ac:dyDescent="0.3">
      <c r="A256" s="230">
        <v>250</v>
      </c>
      <c r="B256">
        <f>IFERROR(IF(INDEX(Draft!BY:BY,MATCH(ADP!D256,Draft!BY:BY,0))=ADP!D256,1,0),0)</f>
        <v>1</v>
      </c>
      <c r="C256" t="str">
        <f>IF(AND(IFERROR(INDEX(Instructions!$T$111:$T$222,MATCH(D256,Instructions!$T$111:$T$222,0)), "")=D256, D256&lt;&gt;""), "X", "")</f>
        <v/>
      </c>
      <c r="D256" s="454" t="s">
        <v>993</v>
      </c>
      <c r="E256" s="232" t="s">
        <v>993</v>
      </c>
      <c r="F256" s="232" t="s">
        <v>993</v>
      </c>
      <c r="G256" s="384" t="s">
        <v>1927</v>
      </c>
      <c r="H256" s="456" t="s">
        <v>993</v>
      </c>
      <c r="I256" s="324"/>
      <c r="J256" s="689"/>
      <c r="K256" s="688"/>
      <c r="L256" s="691"/>
      <c r="M256" s="223"/>
      <c r="N256" s="236"/>
      <c r="O256" s="385" t="str">
        <f>F256&amp;COUNTIF($F$7:F256,F256)</f>
        <v>55</v>
      </c>
      <c r="P256" s="268">
        <f>VALUE('Draft Pick Order'!B252)</f>
        <v>221</v>
      </c>
      <c r="Q256" s="259">
        <f>COUNTIF(D$7:$F256,"QB")</f>
        <v>24</v>
      </c>
      <c r="R256" s="259">
        <f>COUNTIF($F$7:F256,"RB")</f>
        <v>57</v>
      </c>
      <c r="S256" s="259">
        <f>COUNTIF($F$7:F256,"WR")</f>
        <v>71</v>
      </c>
      <c r="T256" s="259">
        <f>COUNTIF($F$7:F256,"TE")</f>
        <v>20</v>
      </c>
      <c r="U256" s="259">
        <f>COUNTIF($F$7:F256,"DST")</f>
        <v>11</v>
      </c>
      <c r="V256" s="259">
        <f>COUNTIF($F$7:F256,"K")</f>
        <v>12</v>
      </c>
      <c r="X256" s="265">
        <v>250</v>
      </c>
      <c r="Y256" s="259" t="str">
        <f>IFERROR(INDEX(ADP_Import!A:A,MATCH(ADP!AB256,ADP_Import!AG:AG,0)),"")</f>
        <v/>
      </c>
      <c r="Z256" s="259" t="str">
        <f>IFERROR(INDEX(ADP_Import!B:B,MATCH(ADP!AB256,ADP_Import!AG:AG,0)),"")</f>
        <v/>
      </c>
      <c r="AA256" s="259" t="str">
        <f>IFERROR(INDEX(ADP_Import!C:C,MATCH(ADP!AB256,ADP_Import!AG:AG,0)),"")</f>
        <v/>
      </c>
      <c r="AB256" s="439" t="str">
        <f>IFERROR(INDEX(ADP_Import!AG:AG,MATCH(SMALL(ADP_Import!AG:AG,X256),ADP_Import!AG:AG,0)),"NA")</f>
        <v>NA</v>
      </c>
      <c r="AC256" s="265" t="str">
        <f>IFERROR(INDEX(ADP_Import!$D:$AE,MATCH(AB256,ADP_Import!AG:AG,0),$AG$6),"")</f>
        <v/>
      </c>
      <c r="AI256" t="str">
        <f>INDEX('Draft Pick Order'!E:U,MATCH(A256,'Draft Pick Order'!C:C,0),(Instructions!$E$11*2-15))</f>
        <v>21-10</v>
      </c>
    </row>
    <row r="257" spans="1:35" x14ac:dyDescent="0.25">
      <c r="A257" s="230">
        <v>251</v>
      </c>
      <c r="B257">
        <f>IFERROR(IF(INDEX(Draft!BY:BY,MATCH(ADP!D257,Draft!BY:BY,0))=ADP!D257,1,0),0)</f>
        <v>1</v>
      </c>
      <c r="C257" t="str">
        <f>IF(AND(IFERROR(INDEX(Instructions!$T$111:$T$222,MATCH(D257,Instructions!$T$111:$T$222,0)), "")=D257, D257&lt;&gt;""), "X", "")</f>
        <v/>
      </c>
      <c r="D257" s="454" t="s">
        <v>993</v>
      </c>
      <c r="E257" s="232" t="s">
        <v>993</v>
      </c>
      <c r="F257" s="232" t="s">
        <v>993</v>
      </c>
      <c r="G257" s="383" t="s">
        <v>1927</v>
      </c>
      <c r="H257" s="455" t="s">
        <v>993</v>
      </c>
      <c r="I257" s="324"/>
      <c r="J257" s="223"/>
      <c r="K257" s="688"/>
      <c r="L257" s="691"/>
      <c r="M257" s="223"/>
      <c r="N257" s="236"/>
      <c r="O257" s="385" t="str">
        <f>F257&amp;COUNTIF($F$7:F257,F257)</f>
        <v>56</v>
      </c>
      <c r="P257" s="268">
        <f>VALUE('Draft Pick Order'!B253)</f>
        <v>221</v>
      </c>
      <c r="Q257" s="259">
        <f>COUNTIF(D$7:$F257,"QB")</f>
        <v>24</v>
      </c>
      <c r="R257" s="259">
        <f>COUNTIF($F$7:F257,"RB")</f>
        <v>57</v>
      </c>
      <c r="S257" s="259">
        <f>COUNTIF($F$7:F257,"WR")</f>
        <v>71</v>
      </c>
      <c r="T257" s="259">
        <f>COUNTIF($F$7:F257,"TE")</f>
        <v>20</v>
      </c>
      <c r="U257" s="259">
        <f>COUNTIF($F$7:F257,"DST")</f>
        <v>11</v>
      </c>
      <c r="V257" s="259">
        <f>COUNTIF($F$7:F257,"K")</f>
        <v>12</v>
      </c>
      <c r="X257" s="265">
        <v>251</v>
      </c>
      <c r="Y257" s="259" t="str">
        <f>IFERROR(INDEX(ADP_Import!A:A,MATCH(ADP!AB257,ADP_Import!AG:AG,0)),"")</f>
        <v/>
      </c>
      <c r="Z257" s="259" t="str">
        <f>IFERROR(INDEX(ADP_Import!B:B,MATCH(ADP!AB257,ADP_Import!AG:AG,0)),"")</f>
        <v/>
      </c>
      <c r="AA257" s="259" t="str">
        <f>IFERROR(INDEX(ADP_Import!C:C,MATCH(ADP!AB257,ADP_Import!AG:AG,0)),"")</f>
        <v/>
      </c>
      <c r="AB257" s="439" t="str">
        <f>IFERROR(INDEX(ADP_Import!AG:AG,MATCH(SMALL(ADP_Import!AG:AG,X257),ADP_Import!AG:AG,0)),"NA")</f>
        <v>NA</v>
      </c>
      <c r="AC257" s="265" t="str">
        <f>IFERROR(INDEX(ADP_Import!$D:$AE,MATCH(AB257,ADP_Import!AG:AG,0),$AG$6),"")</f>
        <v/>
      </c>
      <c r="AI257" t="str">
        <f>INDEX('Draft Pick Order'!E:U,MATCH(A257,'Draft Pick Order'!C:C,0),(Instructions!$E$11*2-15))</f>
        <v>21-11</v>
      </c>
    </row>
    <row r="258" spans="1:35" ht="15.75" thickBot="1" x14ac:dyDescent="0.3">
      <c r="A258" s="230">
        <v>252</v>
      </c>
      <c r="B258">
        <f>IFERROR(IF(INDEX(Draft!BY:BY,MATCH(ADP!D258,Draft!BY:BY,0))=ADP!D258,1,0),0)</f>
        <v>1</v>
      </c>
      <c r="C258" t="str">
        <f>IF(AND(IFERROR(INDEX(Instructions!$T$111:$T$222,MATCH(D258,Instructions!$T$111:$T$222,0)), "")=D258, D258&lt;&gt;""), "X", "")</f>
        <v/>
      </c>
      <c r="D258" s="454" t="s">
        <v>993</v>
      </c>
      <c r="E258" s="232" t="s">
        <v>993</v>
      </c>
      <c r="F258" s="232" t="s">
        <v>993</v>
      </c>
      <c r="G258" s="384" t="s">
        <v>1927</v>
      </c>
      <c r="H258" s="456" t="s">
        <v>993</v>
      </c>
      <c r="I258" s="324"/>
      <c r="J258" s="223"/>
      <c r="K258" s="689"/>
      <c r="L258" s="692"/>
      <c r="M258" s="223"/>
      <c r="N258" s="236"/>
      <c r="O258" s="385" t="str">
        <f>F258&amp;COUNTIF($F$7:F258,F258)</f>
        <v>57</v>
      </c>
      <c r="P258" s="268">
        <f>VALUE('Draft Pick Order'!B254)</f>
        <v>221</v>
      </c>
      <c r="Q258" s="259">
        <f>COUNTIF(D$7:$F258,"QB")</f>
        <v>24</v>
      </c>
      <c r="R258" s="259">
        <f>COUNTIF($F$7:F258,"RB")</f>
        <v>57</v>
      </c>
      <c r="S258" s="259">
        <f>COUNTIF($F$7:F258,"WR")</f>
        <v>71</v>
      </c>
      <c r="T258" s="259">
        <f>COUNTIF($F$7:F258,"TE")</f>
        <v>20</v>
      </c>
      <c r="U258" s="259">
        <f>COUNTIF($F$7:F258,"DST")</f>
        <v>11</v>
      </c>
      <c r="V258" s="259">
        <f>COUNTIF($F$7:F258,"K")</f>
        <v>12</v>
      </c>
      <c r="X258" s="265">
        <v>252</v>
      </c>
      <c r="Y258" s="259" t="str">
        <f>IFERROR(INDEX(ADP_Import!A:A,MATCH(ADP!AB258,ADP_Import!AG:AG,0)),"")</f>
        <v/>
      </c>
      <c r="Z258" s="259" t="str">
        <f>IFERROR(INDEX(ADP_Import!B:B,MATCH(ADP!AB258,ADP_Import!AG:AG,0)),"")</f>
        <v/>
      </c>
      <c r="AA258" s="259" t="str">
        <f>IFERROR(INDEX(ADP_Import!C:C,MATCH(ADP!AB258,ADP_Import!AG:AG,0)),"")</f>
        <v/>
      </c>
      <c r="AB258" s="439" t="str">
        <f>IFERROR(INDEX(ADP_Import!AG:AG,MATCH(SMALL(ADP_Import!AG:AG,X258),ADP_Import!AG:AG,0)),"NA")</f>
        <v>NA</v>
      </c>
      <c r="AC258" s="265" t="str">
        <f>IFERROR(INDEX(ADP_Import!$D:$AE,MATCH(AB258,ADP_Import!AG:AG,0),$AG$6),"")</f>
        <v/>
      </c>
      <c r="AI258" t="str">
        <f>INDEX('Draft Pick Order'!E:U,MATCH(A258,'Draft Pick Order'!C:C,0),(Instructions!$E$11*2-15))</f>
        <v>21-12</v>
      </c>
    </row>
    <row r="259" spans="1:35" x14ac:dyDescent="0.25">
      <c r="A259" s="230">
        <v>253</v>
      </c>
      <c r="B259">
        <f>IFERROR(IF(INDEX(Draft!BY:BY,MATCH(ADP!D259,Draft!BY:BY,0))=ADP!D259,1,0),0)</f>
        <v>1</v>
      </c>
      <c r="C259" t="str">
        <f>IF(AND(IFERROR(INDEX(Instructions!$T$111:$T$222,MATCH(D259,Instructions!$T$111:$T$222,0)), "")=D259, D259&lt;&gt;""), "X", "")</f>
        <v/>
      </c>
      <c r="D259" s="454" t="s">
        <v>993</v>
      </c>
      <c r="E259" s="232" t="s">
        <v>993</v>
      </c>
      <c r="F259" s="232" t="s">
        <v>993</v>
      </c>
      <c r="G259" s="383" t="s">
        <v>1927</v>
      </c>
      <c r="H259" s="455" t="s">
        <v>993</v>
      </c>
      <c r="I259" s="324"/>
      <c r="J259" s="223"/>
      <c r="K259" s="223"/>
      <c r="L259" s="223"/>
      <c r="M259" s="223"/>
      <c r="N259" s="236"/>
      <c r="O259" s="385" t="str">
        <f>F259&amp;COUNTIF($F$7:F259,F259)</f>
        <v>58</v>
      </c>
      <c r="P259" s="268">
        <f>VALUE('Draft Pick Order'!B255)</f>
        <v>0</v>
      </c>
      <c r="Q259" s="259">
        <f>COUNTIF(D$7:$F259,"QB")</f>
        <v>24</v>
      </c>
      <c r="R259" s="259">
        <f>COUNTIF($F$7:F259,"RB")</f>
        <v>57</v>
      </c>
      <c r="S259" s="259">
        <f>COUNTIF($F$7:F259,"WR")</f>
        <v>71</v>
      </c>
      <c r="T259" s="259">
        <f>COUNTIF($F$7:F259,"TE")</f>
        <v>20</v>
      </c>
      <c r="U259" s="259">
        <f>COUNTIF($F$7:F259,"DST")</f>
        <v>11</v>
      </c>
      <c r="V259" s="259">
        <f>COUNTIF($F$7:F259,"K")</f>
        <v>12</v>
      </c>
      <c r="X259" s="265">
        <v>253</v>
      </c>
      <c r="Y259" s="259" t="str">
        <f>IFERROR(INDEX(ADP_Import!A:A,MATCH(ADP!AB259,ADP_Import!AG:AG,0)),"")</f>
        <v/>
      </c>
      <c r="Z259" s="259" t="str">
        <f>IFERROR(INDEX(ADP_Import!B:B,MATCH(ADP!AB259,ADP_Import!AG:AG,0)),"")</f>
        <v/>
      </c>
      <c r="AA259" s="259" t="str">
        <f>IFERROR(INDEX(ADP_Import!C:C,MATCH(ADP!AB259,ADP_Import!AG:AG,0)),"")</f>
        <v/>
      </c>
      <c r="AB259" s="439" t="str">
        <f>IFERROR(INDEX(ADP_Import!AG:AG,MATCH(SMALL(ADP_Import!AG:AG,X259),ADP_Import!AG:AG,0)),"NA")</f>
        <v>NA</v>
      </c>
      <c r="AC259" s="265" t="str">
        <f>IFERROR(INDEX(ADP_Import!$D:$AE,MATCH(AB259,ADP_Import!AG:AG,0),$AG$6),"")</f>
        <v/>
      </c>
    </row>
    <row r="260" spans="1:35" ht="15.75" thickBot="1" x14ac:dyDescent="0.3">
      <c r="A260" s="230">
        <v>254</v>
      </c>
      <c r="B260">
        <f>IFERROR(IF(INDEX(Draft!BY:BY,MATCH(ADP!D260,Draft!BY:BY,0))=ADP!D260,1,0),0)</f>
        <v>1</v>
      </c>
      <c r="C260" t="str">
        <f>IF(AND(IFERROR(INDEX(Instructions!$T$111:$T$222,MATCH(D260,Instructions!$T$111:$T$222,0)), "")=D260, D260&lt;&gt;""), "X", "")</f>
        <v/>
      </c>
      <c r="D260" s="457" t="s">
        <v>993</v>
      </c>
      <c r="E260" s="432" t="s">
        <v>993</v>
      </c>
      <c r="F260" s="432" t="s">
        <v>993</v>
      </c>
      <c r="G260" s="458" t="s">
        <v>1927</v>
      </c>
      <c r="H260" s="459" t="s">
        <v>993</v>
      </c>
      <c r="I260" s="324"/>
      <c r="J260" s="223"/>
      <c r="K260" s="223"/>
      <c r="L260" s="223"/>
      <c r="M260" s="223"/>
      <c r="N260" s="236"/>
      <c r="O260" s="385" t="str">
        <f>F260&amp;COUNTIF($F$7:F260,F260)</f>
        <v>59</v>
      </c>
      <c r="P260" s="268">
        <f>VALUE('Draft Pick Order'!B256)</f>
        <v>0</v>
      </c>
      <c r="Q260" s="259">
        <f>COUNTIF(D$7:$F260,"QB")</f>
        <v>24</v>
      </c>
      <c r="R260" s="259">
        <f>COUNTIF($F$7:F260,"RB")</f>
        <v>57</v>
      </c>
      <c r="S260" s="259">
        <f>COUNTIF($F$7:F260,"WR")</f>
        <v>71</v>
      </c>
      <c r="T260" s="259">
        <f>COUNTIF($F$7:F260,"TE")</f>
        <v>20</v>
      </c>
      <c r="U260" s="259">
        <f>COUNTIF($F$7:F260,"DST")</f>
        <v>11</v>
      </c>
      <c r="V260" s="259">
        <f>COUNTIF($F$7:F260,"K")</f>
        <v>12</v>
      </c>
      <c r="X260" s="265">
        <v>254</v>
      </c>
      <c r="Y260" s="259" t="str">
        <f>IFERROR(INDEX(ADP_Import!A:A,MATCH(ADP!AB260,ADP_Import!AG:AG,0)),"")</f>
        <v/>
      </c>
      <c r="Z260" s="259" t="str">
        <f>IFERROR(INDEX(ADP_Import!B:B,MATCH(ADP!AB260,ADP_Import!AG:AG,0)),"")</f>
        <v/>
      </c>
      <c r="AA260" s="259" t="str">
        <f>IFERROR(INDEX(ADP_Import!C:C,MATCH(ADP!AB260,ADP_Import!AG:AG,0)),"")</f>
        <v/>
      </c>
      <c r="AB260" s="439" t="str">
        <f>IFERROR(INDEX(ADP_Import!AG:AG,MATCH(SMALL(ADP_Import!AG:AG,X260),ADP_Import!AG:AG,0)),"NA")</f>
        <v>NA</v>
      </c>
      <c r="AC260" s="265" t="str">
        <f>IFERROR(INDEX(ADP_Import!$D:$AE,MATCH(AB260,ADP_Import!AG:AG,0),$AG$6),"")</f>
        <v/>
      </c>
    </row>
    <row r="261" spans="1:35" x14ac:dyDescent="0.25">
      <c r="A261" s="223"/>
      <c r="D261" s="224"/>
      <c r="E261" s="224"/>
      <c r="F261" s="224"/>
      <c r="G261" s="224"/>
      <c r="H261" s="224"/>
      <c r="I261" s="224"/>
      <c r="J261" s="223"/>
      <c r="K261" s="223"/>
      <c r="L261" s="223"/>
      <c r="M261" s="223"/>
      <c r="N261" s="236"/>
      <c r="O261" s="259"/>
      <c r="P261" s="260"/>
      <c r="Q261" s="260"/>
      <c r="R261" s="259"/>
      <c r="S261" s="259"/>
      <c r="T261" s="259"/>
      <c r="U261" s="259"/>
      <c r="V261" s="259"/>
      <c r="X261" s="265"/>
      <c r="Y261" s="259"/>
      <c r="Z261" s="259"/>
      <c r="AA261" s="259"/>
      <c r="AB261" s="265"/>
      <c r="AC261" s="265"/>
    </row>
    <row r="262" spans="1:35" hidden="1" x14ac:dyDescent="0.25">
      <c r="X262" s="265"/>
      <c r="Y262" s="259"/>
      <c r="Z262" s="259"/>
      <c r="AA262" s="259"/>
      <c r="AB262" s="265"/>
      <c r="AC262" s="265"/>
    </row>
    <row r="263" spans="1:35" hidden="1" x14ac:dyDescent="0.25">
      <c r="X263" s="265"/>
      <c r="Y263" s="259"/>
      <c r="Z263" s="259"/>
      <c r="AA263" s="259"/>
      <c r="AB263" s="265"/>
      <c r="AC263" s="265"/>
    </row>
    <row r="264" spans="1:35" hidden="1" x14ac:dyDescent="0.25">
      <c r="X264" s="265"/>
      <c r="Y264" s="259"/>
      <c r="Z264" s="259"/>
      <c r="AA264" s="259"/>
      <c r="AB264" s="265"/>
      <c r="AC264" s="265"/>
    </row>
    <row r="265" spans="1:35" hidden="1" x14ac:dyDescent="0.25">
      <c r="X265" s="265"/>
      <c r="Y265" s="259"/>
      <c r="Z265" s="259"/>
      <c r="AA265" s="259"/>
      <c r="AB265" s="265"/>
      <c r="AC265" s="265"/>
    </row>
    <row r="266" spans="1:35" hidden="1" x14ac:dyDescent="0.25">
      <c r="X266" s="265"/>
      <c r="Y266" s="259"/>
      <c r="Z266" s="259"/>
      <c r="AA266" s="259"/>
      <c r="AB266" s="265"/>
      <c r="AC266" s="265"/>
    </row>
    <row r="267" spans="1:35" hidden="1" x14ac:dyDescent="0.25">
      <c r="X267" s="265"/>
      <c r="Y267" s="259"/>
      <c r="Z267" s="259"/>
      <c r="AA267" s="259"/>
      <c r="AB267" s="265"/>
      <c r="AC267" s="265"/>
    </row>
    <row r="268" spans="1:35" hidden="1" x14ac:dyDescent="0.25">
      <c r="X268" s="265"/>
      <c r="Y268" s="259"/>
      <c r="Z268" s="259"/>
      <c r="AA268" s="259"/>
      <c r="AB268" s="265"/>
      <c r="AC268" s="265"/>
    </row>
    <row r="269" spans="1:35" hidden="1" x14ac:dyDescent="0.25">
      <c r="X269" s="265"/>
      <c r="Y269" s="259"/>
      <c r="Z269" s="259"/>
      <c r="AA269" s="259"/>
      <c r="AB269" s="265"/>
      <c r="AC269" s="265"/>
    </row>
    <row r="270" spans="1:35" hidden="1" x14ac:dyDescent="0.25">
      <c r="X270" s="265"/>
      <c r="Y270" s="259"/>
      <c r="Z270" s="259"/>
      <c r="AA270" s="259"/>
      <c r="AB270" s="265"/>
      <c r="AC270" s="265"/>
    </row>
    <row r="271" spans="1:35" hidden="1" x14ac:dyDescent="0.25">
      <c r="X271" s="265"/>
      <c r="Y271" s="259"/>
      <c r="Z271" s="259"/>
      <c r="AA271" s="259"/>
      <c r="AB271" s="265"/>
      <c r="AC271" s="265"/>
    </row>
    <row r="272" spans="1:35" hidden="1" x14ac:dyDescent="0.25">
      <c r="X272" s="265"/>
      <c r="Y272" s="259"/>
      <c r="Z272" s="259"/>
      <c r="AA272" s="259"/>
      <c r="AB272" s="265"/>
      <c r="AC272" s="265"/>
    </row>
    <row r="273" spans="24:29" hidden="1" x14ac:dyDescent="0.25">
      <c r="X273" s="265"/>
      <c r="Y273" s="259"/>
      <c r="Z273" s="259"/>
      <c r="AA273" s="259"/>
      <c r="AB273" s="265"/>
      <c r="AC273" s="265"/>
    </row>
    <row r="274" spans="24:29" hidden="1" x14ac:dyDescent="0.25">
      <c r="X274" s="265"/>
      <c r="Y274" s="259"/>
      <c r="Z274" s="259"/>
      <c r="AA274" s="259"/>
      <c r="AB274" s="265"/>
      <c r="AC274" s="265"/>
    </row>
    <row r="275" spans="24:29" hidden="1" x14ac:dyDescent="0.25">
      <c r="X275" s="265"/>
      <c r="Y275" s="259"/>
      <c r="Z275" s="259"/>
      <c r="AA275" s="259"/>
      <c r="AB275" s="265"/>
      <c r="AC275" s="265"/>
    </row>
    <row r="276" spans="24:29" hidden="1" x14ac:dyDescent="0.25">
      <c r="X276" s="265"/>
      <c r="Y276" s="259"/>
      <c r="Z276" s="259"/>
      <c r="AA276" s="259"/>
      <c r="AB276" s="265"/>
      <c r="AC276" s="265"/>
    </row>
    <row r="277" spans="24:29" hidden="1" x14ac:dyDescent="0.25">
      <c r="X277" s="265"/>
      <c r="Y277" s="259"/>
      <c r="Z277" s="259"/>
      <c r="AA277" s="259"/>
      <c r="AB277" s="265"/>
      <c r="AC277" s="265"/>
    </row>
    <row r="278" spans="24:29" hidden="1" x14ac:dyDescent="0.25">
      <c r="X278" s="265"/>
      <c r="Y278" s="259"/>
      <c r="Z278" s="259"/>
      <c r="AA278" s="259"/>
      <c r="AB278" s="265"/>
      <c r="AC278" s="265"/>
    </row>
    <row r="279" spans="24:29" hidden="1" x14ac:dyDescent="0.25">
      <c r="X279" s="265"/>
      <c r="Y279" s="259"/>
      <c r="Z279" s="259"/>
      <c r="AA279" s="259"/>
      <c r="AB279" s="265"/>
      <c r="AC279" s="265"/>
    </row>
    <row r="280" spans="24:29" hidden="1" x14ac:dyDescent="0.25">
      <c r="X280" s="265"/>
      <c r="Y280" s="259"/>
      <c r="Z280" s="259"/>
      <c r="AA280" s="259"/>
      <c r="AB280" s="265"/>
      <c r="AC280" s="265"/>
    </row>
    <row r="281" spans="24:29" hidden="1" x14ac:dyDescent="0.25">
      <c r="X281" s="265"/>
      <c r="Y281" s="259"/>
      <c r="Z281" s="259"/>
      <c r="AA281" s="259"/>
      <c r="AB281" s="265"/>
      <c r="AC281" s="265"/>
    </row>
    <row r="282" spans="24:29" hidden="1" x14ac:dyDescent="0.25">
      <c r="X282" s="265"/>
      <c r="Y282" s="259"/>
      <c r="Z282" s="259"/>
      <c r="AA282" s="259"/>
      <c r="AB282" s="265"/>
      <c r="AC282" s="265"/>
    </row>
    <row r="283" spans="24:29" hidden="1" x14ac:dyDescent="0.25">
      <c r="X283" s="265"/>
      <c r="Y283" s="259"/>
      <c r="Z283" s="259"/>
      <c r="AA283" s="259"/>
      <c r="AB283" s="265"/>
      <c r="AC283" s="265"/>
    </row>
    <row r="284" spans="24:29" hidden="1" x14ac:dyDescent="0.25">
      <c r="X284" s="265"/>
      <c r="Y284" s="259"/>
      <c r="Z284" s="259"/>
      <c r="AA284" s="259"/>
      <c r="AB284" s="265"/>
      <c r="AC284" s="265"/>
    </row>
    <row r="285" spans="24:29" hidden="1" x14ac:dyDescent="0.25">
      <c r="X285" s="265"/>
      <c r="Y285" s="259"/>
      <c r="Z285" s="259"/>
      <c r="AA285" s="259"/>
      <c r="AB285" s="265"/>
      <c r="AC285" s="265"/>
    </row>
    <row r="286" spans="24:29" hidden="1" x14ac:dyDescent="0.25">
      <c r="X286" s="265"/>
      <c r="Y286" s="259"/>
      <c r="Z286" s="259"/>
      <c r="AA286" s="259"/>
      <c r="AB286" s="265"/>
      <c r="AC286" s="265"/>
    </row>
    <row r="287" spans="24:29" hidden="1" x14ac:dyDescent="0.25">
      <c r="X287" s="265"/>
      <c r="Y287" s="259"/>
      <c r="Z287" s="259"/>
      <c r="AA287" s="259"/>
      <c r="AB287" s="265"/>
      <c r="AC287" s="265"/>
    </row>
    <row r="288" spans="24:29" hidden="1" x14ac:dyDescent="0.25">
      <c r="X288" s="265"/>
      <c r="Y288" s="259"/>
      <c r="Z288" s="259"/>
      <c r="AA288" s="259"/>
      <c r="AB288" s="265"/>
      <c r="AC288" s="265"/>
    </row>
    <row r="289" spans="24:29" hidden="1" x14ac:dyDescent="0.25">
      <c r="X289" s="265"/>
      <c r="Y289" s="259"/>
      <c r="Z289" s="259"/>
      <c r="AA289" s="259"/>
      <c r="AB289" s="265"/>
      <c r="AC289" s="265"/>
    </row>
    <row r="290" spans="24:29" hidden="1" x14ac:dyDescent="0.25">
      <c r="X290" s="265"/>
      <c r="Y290" s="259"/>
      <c r="Z290" s="259"/>
      <c r="AA290" s="259"/>
      <c r="AB290" s="265"/>
      <c r="AC290" s="265"/>
    </row>
    <row r="291" spans="24:29" hidden="1" x14ac:dyDescent="0.25">
      <c r="X291" s="265"/>
      <c r="Y291" s="259"/>
      <c r="Z291" s="259"/>
      <c r="AA291" s="259"/>
      <c r="AB291" s="265"/>
      <c r="AC291" s="265"/>
    </row>
    <row r="292" spans="24:29" hidden="1" x14ac:dyDescent="0.25">
      <c r="X292" s="265"/>
      <c r="Y292" s="259"/>
      <c r="Z292" s="259"/>
      <c r="AA292" s="259"/>
      <c r="AB292" s="265"/>
      <c r="AC292" s="265"/>
    </row>
    <row r="293" spans="24:29" hidden="1" x14ac:dyDescent="0.25">
      <c r="X293" s="265"/>
      <c r="Y293" s="259"/>
      <c r="Z293" s="259"/>
      <c r="AA293" s="259"/>
      <c r="AB293" s="265"/>
      <c r="AC293" s="265"/>
    </row>
    <row r="294" spans="24:29" hidden="1" x14ac:dyDescent="0.25">
      <c r="X294" s="265"/>
      <c r="Y294" s="259"/>
      <c r="Z294" s="259"/>
      <c r="AA294" s="259"/>
      <c r="AB294" s="265"/>
      <c r="AC294" s="265"/>
    </row>
    <row r="295" spans="24:29" hidden="1" x14ac:dyDescent="0.25">
      <c r="X295" s="265"/>
      <c r="Y295" s="259"/>
      <c r="Z295" s="259"/>
      <c r="AA295" s="259"/>
      <c r="AB295" s="265"/>
      <c r="AC295" s="265"/>
    </row>
    <row r="296" spans="24:29" hidden="1" x14ac:dyDescent="0.25">
      <c r="X296" s="265"/>
      <c r="Y296" s="259"/>
      <c r="Z296" s="259"/>
      <c r="AA296" s="259"/>
      <c r="AB296" s="265"/>
      <c r="AC296" s="265"/>
    </row>
    <row r="297" spans="24:29" hidden="1" x14ac:dyDescent="0.25">
      <c r="X297" s="265"/>
      <c r="Y297" s="259"/>
      <c r="Z297" s="259"/>
      <c r="AA297" s="259"/>
      <c r="AB297" s="265"/>
      <c r="AC297" s="265"/>
    </row>
    <row r="298" spans="24:29" hidden="1" x14ac:dyDescent="0.25">
      <c r="X298" s="265"/>
      <c r="Y298" s="259"/>
      <c r="Z298" s="259"/>
      <c r="AA298" s="259"/>
      <c r="AB298" s="265"/>
      <c r="AC298" s="265"/>
    </row>
    <row r="299" spans="24:29" hidden="1" x14ac:dyDescent="0.25">
      <c r="X299" s="265"/>
      <c r="Y299" s="259"/>
      <c r="Z299" s="259"/>
      <c r="AA299" s="259"/>
      <c r="AB299" s="265"/>
      <c r="AC299" s="265"/>
    </row>
    <row r="300" spans="24:29" hidden="1" x14ac:dyDescent="0.25">
      <c r="X300" s="265"/>
      <c r="Y300" s="259"/>
      <c r="Z300" s="259"/>
      <c r="AA300" s="259"/>
      <c r="AB300" s="265"/>
      <c r="AC300" s="265"/>
    </row>
    <row r="301" spans="24:29" hidden="1" x14ac:dyDescent="0.25">
      <c r="X301" s="265"/>
      <c r="Y301" s="259"/>
      <c r="Z301" s="259"/>
      <c r="AA301" s="259"/>
      <c r="AB301" s="265"/>
      <c r="AC301" s="265"/>
    </row>
    <row r="302" spans="24:29" hidden="1" x14ac:dyDescent="0.25">
      <c r="X302" s="265"/>
      <c r="Y302" s="259"/>
      <c r="Z302" s="259"/>
      <c r="AA302" s="259"/>
      <c r="AB302" s="265"/>
      <c r="AC302" s="265"/>
    </row>
    <row r="303" spans="24:29" hidden="1" x14ac:dyDescent="0.25">
      <c r="X303" s="265"/>
      <c r="Y303" s="259"/>
      <c r="Z303" s="259"/>
      <c r="AA303" s="259"/>
      <c r="AB303" s="265"/>
      <c r="AC303" s="265"/>
    </row>
    <row r="304" spans="24:29" hidden="1" x14ac:dyDescent="0.25">
      <c r="X304" s="265"/>
      <c r="Y304" s="259"/>
      <c r="Z304" s="259"/>
      <c r="AA304" s="259"/>
      <c r="AB304" s="265"/>
      <c r="AC304" s="265"/>
    </row>
    <row r="305" spans="24:29" hidden="1" x14ac:dyDescent="0.25">
      <c r="X305" s="265"/>
      <c r="Y305" s="259"/>
      <c r="Z305" s="259"/>
      <c r="AA305" s="259"/>
      <c r="AB305" s="265"/>
      <c r="AC305" s="265"/>
    </row>
    <row r="306" spans="24:29" hidden="1" x14ac:dyDescent="0.25">
      <c r="X306" s="265"/>
      <c r="Y306" s="259"/>
      <c r="Z306" s="259"/>
      <c r="AA306" s="259"/>
      <c r="AB306" s="265"/>
      <c r="AC306" s="265"/>
    </row>
    <row r="307" spans="24:29" hidden="1" x14ac:dyDescent="0.25">
      <c r="X307" s="265"/>
      <c r="Y307" s="259"/>
      <c r="Z307" s="259"/>
      <c r="AA307" s="259"/>
      <c r="AB307" s="265"/>
      <c r="AC307" s="265"/>
    </row>
    <row r="308" spans="24:29" hidden="1" x14ac:dyDescent="0.25">
      <c r="X308" s="265"/>
      <c r="Y308" s="259"/>
      <c r="Z308" s="259"/>
      <c r="AA308" s="259"/>
      <c r="AB308" s="265"/>
      <c r="AC308" s="265"/>
    </row>
    <row r="309" spans="24:29" hidden="1" x14ac:dyDescent="0.25">
      <c r="X309" s="265"/>
      <c r="Y309" s="259"/>
      <c r="Z309" s="259"/>
      <c r="AA309" s="259"/>
      <c r="AB309" s="265"/>
      <c r="AC309" s="265"/>
    </row>
    <row r="310" spans="24:29" hidden="1" x14ac:dyDescent="0.25">
      <c r="X310" s="265"/>
      <c r="Y310" s="259"/>
      <c r="Z310" s="259"/>
      <c r="AA310" s="259"/>
      <c r="AB310" s="265"/>
      <c r="AC310" s="265"/>
    </row>
    <row r="311" spans="24:29" hidden="1" x14ac:dyDescent="0.25">
      <c r="X311" s="265"/>
      <c r="Y311" s="259"/>
      <c r="Z311" s="259"/>
      <c r="AA311" s="259"/>
      <c r="AB311" s="265"/>
      <c r="AC311" s="265"/>
    </row>
    <row r="312" spans="24:29" hidden="1" x14ac:dyDescent="0.25">
      <c r="X312" s="265"/>
      <c r="Y312" s="259"/>
      <c r="Z312" s="259"/>
      <c r="AA312" s="259"/>
      <c r="AB312" s="265"/>
      <c r="AC312" s="265"/>
    </row>
    <row r="313" spans="24:29" hidden="1" x14ac:dyDescent="0.25">
      <c r="X313" s="265"/>
      <c r="Y313" s="259"/>
      <c r="Z313" s="259"/>
      <c r="AA313" s="259"/>
      <c r="AB313" s="265"/>
      <c r="AC313" s="265"/>
    </row>
    <row r="314" spans="24:29" hidden="1" x14ac:dyDescent="0.25">
      <c r="X314" s="265"/>
      <c r="Y314" s="259"/>
      <c r="Z314" s="259"/>
      <c r="AA314" s="259"/>
      <c r="AB314" s="265"/>
      <c r="AC314" s="265"/>
    </row>
    <row r="315" spans="24:29" hidden="1" x14ac:dyDescent="0.25">
      <c r="X315" s="265"/>
      <c r="Y315" s="259"/>
      <c r="Z315" s="259"/>
      <c r="AA315" s="259"/>
      <c r="AB315" s="265"/>
      <c r="AC315" s="265"/>
    </row>
    <row r="316" spans="24:29" hidden="1" x14ac:dyDescent="0.25">
      <c r="X316" s="265"/>
      <c r="Y316" s="259"/>
      <c r="Z316" s="259"/>
      <c r="AA316" s="259"/>
      <c r="AB316" s="265"/>
      <c r="AC316" s="265"/>
    </row>
    <row r="317" spans="24:29" hidden="1" x14ac:dyDescent="0.25">
      <c r="X317" s="265"/>
      <c r="Y317" s="259"/>
      <c r="Z317" s="259"/>
      <c r="AA317" s="259"/>
      <c r="AB317" s="265"/>
      <c r="AC317" s="265"/>
    </row>
    <row r="318" spans="24:29" hidden="1" x14ac:dyDescent="0.25">
      <c r="X318" s="265"/>
      <c r="Y318" s="259"/>
      <c r="Z318" s="259"/>
      <c r="AA318" s="259"/>
      <c r="AB318" s="265"/>
      <c r="AC318" s="265"/>
    </row>
    <row r="319" spans="24:29" hidden="1" x14ac:dyDescent="0.25">
      <c r="X319" s="265"/>
      <c r="Y319" s="259"/>
      <c r="Z319" s="259"/>
      <c r="AA319" s="259"/>
      <c r="AB319" s="265"/>
      <c r="AC319" s="265"/>
    </row>
    <row r="320" spans="24:29" hidden="1" x14ac:dyDescent="0.25">
      <c r="X320" s="265"/>
      <c r="Y320" s="259"/>
      <c r="Z320" s="259"/>
      <c r="AA320" s="259"/>
      <c r="AB320" s="265"/>
      <c r="AC320" s="265"/>
    </row>
    <row r="321" spans="24:29" hidden="1" x14ac:dyDescent="0.25">
      <c r="X321" s="265"/>
      <c r="Y321" s="259"/>
      <c r="Z321" s="259"/>
      <c r="AA321" s="259"/>
      <c r="AB321" s="265"/>
      <c r="AC321" s="265"/>
    </row>
    <row r="322" spans="24:29" hidden="1" x14ac:dyDescent="0.25">
      <c r="X322" s="265"/>
      <c r="Y322" s="259"/>
      <c r="Z322" s="259"/>
      <c r="AA322" s="259"/>
      <c r="AB322" s="265"/>
      <c r="AC322" s="265"/>
    </row>
    <row r="323" spans="24:29" hidden="1" x14ac:dyDescent="0.25">
      <c r="X323" s="265"/>
      <c r="Y323" s="259"/>
      <c r="Z323" s="259"/>
      <c r="AA323" s="259"/>
      <c r="AB323" s="265"/>
      <c r="AC323" s="265"/>
    </row>
    <row r="324" spans="24:29" hidden="1" x14ac:dyDescent="0.25">
      <c r="X324" s="265"/>
      <c r="Y324" s="259"/>
      <c r="Z324" s="259"/>
      <c r="AA324" s="259"/>
      <c r="AB324" s="265"/>
      <c r="AC324" s="265"/>
    </row>
    <row r="325" spans="24:29" hidden="1" x14ac:dyDescent="0.25">
      <c r="X325" s="265"/>
      <c r="Y325" s="259"/>
      <c r="Z325" s="259"/>
      <c r="AA325" s="259"/>
      <c r="AB325" s="265"/>
      <c r="AC325" s="265"/>
    </row>
    <row r="326" spans="24:29" hidden="1" x14ac:dyDescent="0.25">
      <c r="X326" s="265"/>
      <c r="Y326" s="259"/>
      <c r="Z326" s="259"/>
      <c r="AA326" s="259"/>
      <c r="AB326" s="265"/>
      <c r="AC326" s="265"/>
    </row>
    <row r="327" spans="24:29" hidden="1" x14ac:dyDescent="0.25">
      <c r="X327" s="265"/>
      <c r="Y327" s="259"/>
      <c r="Z327" s="259"/>
      <c r="AA327" s="259"/>
      <c r="AB327" s="265"/>
      <c r="AC327" s="265"/>
    </row>
    <row r="328" spans="24:29" hidden="1" x14ac:dyDescent="0.25">
      <c r="X328" s="265"/>
      <c r="Y328" s="259"/>
      <c r="Z328" s="259"/>
      <c r="AA328" s="259"/>
      <c r="AB328" s="265"/>
      <c r="AC328" s="265"/>
    </row>
    <row r="329" spans="24:29" hidden="1" x14ac:dyDescent="0.25">
      <c r="X329" s="265"/>
      <c r="Y329" s="259"/>
      <c r="Z329" s="259"/>
      <c r="AA329" s="259"/>
      <c r="AB329" s="265"/>
      <c r="AC329" s="265"/>
    </row>
    <row r="330" spans="24:29" hidden="1" x14ac:dyDescent="0.25">
      <c r="X330" s="265"/>
      <c r="Y330" s="259"/>
      <c r="Z330" s="259"/>
      <c r="AA330" s="259"/>
      <c r="AB330" s="265"/>
      <c r="AC330" s="265"/>
    </row>
    <row r="331" spans="24:29" hidden="1" x14ac:dyDescent="0.25">
      <c r="X331" s="265"/>
      <c r="Y331" s="259"/>
      <c r="Z331" s="259"/>
      <c r="AA331" s="259"/>
      <c r="AB331" s="265"/>
      <c r="AC331" s="265"/>
    </row>
    <row r="332" spans="24:29" hidden="1" x14ac:dyDescent="0.25">
      <c r="X332" s="265"/>
      <c r="Y332" s="259"/>
      <c r="Z332" s="259"/>
      <c r="AA332" s="259"/>
      <c r="AB332" s="265"/>
      <c r="AC332" s="265"/>
    </row>
    <row r="333" spans="24:29" hidden="1" x14ac:dyDescent="0.25">
      <c r="X333" s="265"/>
      <c r="Y333" s="259"/>
      <c r="Z333" s="259"/>
      <c r="AA333" s="259"/>
      <c r="AB333" s="265"/>
      <c r="AC333" s="265"/>
    </row>
    <row r="334" spans="24:29" hidden="1" x14ac:dyDescent="0.25">
      <c r="X334" s="265"/>
      <c r="Y334" s="259"/>
      <c r="Z334" s="259"/>
      <c r="AA334" s="259"/>
      <c r="AB334" s="265"/>
      <c r="AC334" s="265"/>
    </row>
    <row r="335" spans="24:29" hidden="1" x14ac:dyDescent="0.25">
      <c r="X335" s="265"/>
      <c r="Y335" s="259"/>
      <c r="Z335" s="259"/>
      <c r="AA335" s="259"/>
      <c r="AB335" s="265"/>
      <c r="AC335" s="265"/>
    </row>
    <row r="336" spans="24:29" hidden="1" x14ac:dyDescent="0.25">
      <c r="X336" s="265"/>
      <c r="Y336" s="259"/>
      <c r="Z336" s="259"/>
      <c r="AA336" s="259"/>
      <c r="AB336" s="265"/>
      <c r="AC336" s="265"/>
    </row>
    <row r="337" spans="24:29" hidden="1" x14ac:dyDescent="0.25">
      <c r="X337" s="265"/>
      <c r="Y337" s="259"/>
      <c r="Z337" s="259"/>
      <c r="AA337" s="259"/>
      <c r="AB337" s="265"/>
      <c r="AC337" s="265"/>
    </row>
    <row r="338" spans="24:29" hidden="1" x14ac:dyDescent="0.25">
      <c r="X338" s="265"/>
      <c r="Y338" s="259"/>
      <c r="Z338" s="259"/>
      <c r="AA338" s="259"/>
      <c r="AB338" s="265"/>
      <c r="AC338" s="265"/>
    </row>
    <row r="339" spans="24:29" hidden="1" x14ac:dyDescent="0.25">
      <c r="X339" s="265"/>
      <c r="Y339" s="259"/>
      <c r="Z339" s="259"/>
      <c r="AA339" s="259"/>
      <c r="AB339" s="265"/>
      <c r="AC339" s="265"/>
    </row>
    <row r="340" spans="24:29" hidden="1" x14ac:dyDescent="0.25">
      <c r="X340" s="265"/>
      <c r="Y340" s="259"/>
      <c r="Z340" s="259"/>
      <c r="AA340" s="259"/>
      <c r="AB340" s="265"/>
      <c r="AC340" s="265"/>
    </row>
    <row r="341" spans="24:29" hidden="1" x14ac:dyDescent="0.25">
      <c r="X341" s="265"/>
      <c r="Y341" s="259"/>
      <c r="Z341" s="259"/>
      <c r="AA341" s="259"/>
      <c r="AB341" s="265"/>
      <c r="AC341" s="265"/>
    </row>
    <row r="342" spans="24:29" hidden="1" x14ac:dyDescent="0.25">
      <c r="X342" s="265"/>
      <c r="Y342" s="259"/>
      <c r="Z342" s="259"/>
      <c r="AA342" s="259"/>
      <c r="AB342" s="265"/>
      <c r="AC342" s="265"/>
    </row>
    <row r="343" spans="24:29" hidden="1" x14ac:dyDescent="0.25">
      <c r="X343" s="265"/>
      <c r="Y343" s="259"/>
      <c r="Z343" s="259"/>
      <c r="AA343" s="259"/>
      <c r="AB343" s="265"/>
      <c r="AC343" s="265"/>
    </row>
    <row r="344" spans="24:29" hidden="1" x14ac:dyDescent="0.25">
      <c r="X344" s="265"/>
      <c r="Y344" s="259"/>
      <c r="Z344" s="259"/>
      <c r="AA344" s="259"/>
      <c r="AB344" s="265"/>
      <c r="AC344" s="265"/>
    </row>
    <row r="345" spans="24:29" hidden="1" x14ac:dyDescent="0.25">
      <c r="X345" s="265"/>
      <c r="Y345" s="259"/>
      <c r="Z345" s="259"/>
      <c r="AA345" s="259"/>
      <c r="AB345" s="265"/>
      <c r="AC345" s="265"/>
    </row>
    <row r="346" spans="24:29" hidden="1" x14ac:dyDescent="0.25">
      <c r="X346" s="265"/>
      <c r="Y346" s="259"/>
      <c r="Z346" s="259"/>
      <c r="AA346" s="259"/>
      <c r="AB346" s="265"/>
      <c r="AC346" s="265"/>
    </row>
    <row r="347" spans="24:29" hidden="1" x14ac:dyDescent="0.25">
      <c r="X347" s="265"/>
      <c r="Y347" s="259"/>
      <c r="Z347" s="259"/>
      <c r="AA347" s="259"/>
      <c r="AB347" s="265"/>
      <c r="AC347" s="265"/>
    </row>
    <row r="348" spans="24:29" hidden="1" x14ac:dyDescent="0.25">
      <c r="X348" s="265"/>
      <c r="Y348" s="259"/>
      <c r="Z348" s="259"/>
      <c r="AA348" s="259"/>
      <c r="AB348" s="265"/>
      <c r="AC348" s="265"/>
    </row>
    <row r="349" spans="24:29" hidden="1" x14ac:dyDescent="0.25">
      <c r="X349" s="265"/>
      <c r="Y349" s="259"/>
      <c r="Z349" s="259"/>
      <c r="AA349" s="259"/>
      <c r="AB349" s="265"/>
      <c r="AC349" s="265"/>
    </row>
    <row r="350" spans="24:29" hidden="1" x14ac:dyDescent="0.25">
      <c r="X350" s="265"/>
      <c r="Y350" s="259"/>
      <c r="Z350" s="259"/>
      <c r="AA350" s="259"/>
      <c r="AB350" s="265"/>
      <c r="AC350" s="265"/>
    </row>
    <row r="351" spans="24:29" hidden="1" x14ac:dyDescent="0.25">
      <c r="X351" s="265"/>
      <c r="Y351" s="259"/>
      <c r="Z351" s="259"/>
      <c r="AA351" s="259"/>
      <c r="AB351" s="265"/>
      <c r="AC351" s="265"/>
    </row>
    <row r="352" spans="24:29" hidden="1" x14ac:dyDescent="0.25">
      <c r="X352" s="265"/>
      <c r="Y352" s="259"/>
      <c r="Z352" s="259"/>
      <c r="AA352" s="259"/>
      <c r="AB352" s="265"/>
      <c r="AC352" s="265"/>
    </row>
    <row r="353" spans="24:29" hidden="1" x14ac:dyDescent="0.25">
      <c r="X353" s="265"/>
      <c r="Y353" s="259"/>
      <c r="Z353" s="259"/>
      <c r="AA353" s="259"/>
      <c r="AB353" s="265"/>
      <c r="AC353" s="265"/>
    </row>
    <row r="354" spans="24:29" hidden="1" x14ac:dyDescent="0.25">
      <c r="X354" s="265"/>
      <c r="Y354" s="259"/>
      <c r="Z354" s="259"/>
      <c r="AA354" s="259"/>
      <c r="AB354" s="265"/>
      <c r="AC354" s="265"/>
    </row>
    <row r="355" spans="24:29" hidden="1" x14ac:dyDescent="0.25">
      <c r="X355" s="265"/>
      <c r="Y355" s="259"/>
      <c r="Z355" s="259"/>
      <c r="AA355" s="259"/>
      <c r="AB355" s="265"/>
      <c r="AC355" s="265"/>
    </row>
    <row r="356" spans="24:29" hidden="1" x14ac:dyDescent="0.25">
      <c r="X356" s="265"/>
      <c r="Y356" s="259"/>
      <c r="Z356" s="259"/>
      <c r="AA356" s="259"/>
      <c r="AB356" s="265"/>
      <c r="AC356" s="265"/>
    </row>
    <row r="357" spans="24:29" hidden="1" x14ac:dyDescent="0.25">
      <c r="X357" s="265"/>
      <c r="Y357" s="259"/>
      <c r="Z357" s="259"/>
      <c r="AA357" s="259"/>
      <c r="AB357" s="265"/>
      <c r="AC357" s="265"/>
    </row>
    <row r="358" spans="24:29" hidden="1" x14ac:dyDescent="0.25">
      <c r="X358" s="265"/>
      <c r="Y358" s="259"/>
      <c r="Z358" s="259"/>
      <c r="AA358" s="259"/>
      <c r="AB358" s="265"/>
      <c r="AC358" s="265"/>
    </row>
    <row r="359" spans="24:29" hidden="1" x14ac:dyDescent="0.25">
      <c r="X359" s="265"/>
      <c r="Y359" s="259"/>
      <c r="Z359" s="259"/>
      <c r="AA359" s="259"/>
      <c r="AB359" s="265"/>
      <c r="AC359" s="265"/>
    </row>
    <row r="360" spans="24:29" hidden="1" x14ac:dyDescent="0.25">
      <c r="X360" s="265"/>
      <c r="Y360" s="259"/>
      <c r="Z360" s="259"/>
      <c r="AA360" s="259"/>
      <c r="AB360" s="265"/>
      <c r="AC360" s="265"/>
    </row>
    <row r="361" spans="24:29" hidden="1" x14ac:dyDescent="0.25">
      <c r="X361" s="265"/>
      <c r="Y361" s="259"/>
      <c r="Z361" s="259"/>
      <c r="AA361" s="259"/>
      <c r="AB361" s="265"/>
      <c r="AC361" s="265"/>
    </row>
    <row r="362" spans="24:29" hidden="1" x14ac:dyDescent="0.25">
      <c r="X362" s="265"/>
      <c r="Y362" s="259"/>
      <c r="Z362" s="259"/>
      <c r="AA362" s="259"/>
      <c r="AB362" s="265"/>
      <c r="AC362" s="265"/>
    </row>
    <row r="363" spans="24:29" hidden="1" x14ac:dyDescent="0.25">
      <c r="X363" s="265"/>
      <c r="Y363" s="259"/>
      <c r="Z363" s="259"/>
      <c r="AA363" s="259"/>
      <c r="AB363" s="265"/>
      <c r="AC363" s="265"/>
    </row>
    <row r="364" spans="24:29" hidden="1" x14ac:dyDescent="0.25">
      <c r="X364" s="265"/>
      <c r="Y364" s="259"/>
      <c r="Z364" s="259"/>
      <c r="AA364" s="259"/>
      <c r="AB364" s="265"/>
      <c r="AC364" s="265"/>
    </row>
    <row r="365" spans="24:29" hidden="1" x14ac:dyDescent="0.25">
      <c r="X365" s="265"/>
      <c r="Y365" s="259"/>
      <c r="Z365" s="259"/>
      <c r="AA365" s="259"/>
      <c r="AB365" s="265"/>
      <c r="AC365" s="265"/>
    </row>
    <row r="366" spans="24:29" hidden="1" x14ac:dyDescent="0.25">
      <c r="X366" s="265"/>
      <c r="Y366" s="259"/>
      <c r="Z366" s="259"/>
      <c r="AA366" s="259"/>
      <c r="AB366" s="265"/>
      <c r="AC366" s="265"/>
    </row>
    <row r="367" spans="24:29" hidden="1" x14ac:dyDescent="0.25">
      <c r="X367" s="265"/>
      <c r="Y367" s="259"/>
      <c r="Z367" s="259"/>
      <c r="AA367" s="259"/>
      <c r="AB367" s="265"/>
      <c r="AC367" s="265"/>
    </row>
    <row r="368" spans="24:29" hidden="1" x14ac:dyDescent="0.25">
      <c r="X368" s="265"/>
      <c r="Y368" s="259"/>
      <c r="Z368" s="259"/>
      <c r="AA368" s="259"/>
      <c r="AB368" s="265"/>
      <c r="AC368" s="265"/>
    </row>
    <row r="369" spans="24:29" hidden="1" x14ac:dyDescent="0.25">
      <c r="X369" s="265"/>
      <c r="Y369" s="259"/>
      <c r="Z369" s="259"/>
      <c r="AA369" s="259"/>
      <c r="AB369" s="265"/>
      <c r="AC369" s="265"/>
    </row>
    <row r="370" spans="24:29" hidden="1" x14ac:dyDescent="0.25">
      <c r="X370" s="265"/>
      <c r="Y370" s="259"/>
      <c r="Z370" s="259"/>
      <c r="AA370" s="259"/>
      <c r="AB370" s="265"/>
      <c r="AC370" s="265"/>
    </row>
    <row r="371" spans="24:29" hidden="1" x14ac:dyDescent="0.25">
      <c r="X371" s="265"/>
      <c r="Y371" s="259"/>
      <c r="Z371" s="259"/>
      <c r="AA371" s="259"/>
      <c r="AB371" s="265"/>
      <c r="AC371" s="265"/>
    </row>
    <row r="372" spans="24:29" hidden="1" x14ac:dyDescent="0.25">
      <c r="X372" s="265"/>
      <c r="Y372" s="259"/>
      <c r="Z372" s="259"/>
      <c r="AA372" s="259"/>
      <c r="AB372" s="265"/>
      <c r="AC372" s="265"/>
    </row>
    <row r="373" spans="24:29" hidden="1" x14ac:dyDescent="0.25">
      <c r="X373" s="265"/>
      <c r="Y373" s="259"/>
      <c r="Z373" s="259"/>
      <c r="AA373" s="259"/>
      <c r="AB373" s="265"/>
      <c r="AC373" s="265"/>
    </row>
    <row r="374" spans="24:29" hidden="1" x14ac:dyDescent="0.25">
      <c r="X374" s="265"/>
      <c r="Y374" s="259"/>
      <c r="Z374" s="259"/>
      <c r="AA374" s="259"/>
      <c r="AB374" s="265"/>
      <c r="AC374" s="265"/>
    </row>
    <row r="375" spans="24:29" hidden="1" x14ac:dyDescent="0.25">
      <c r="X375" s="265"/>
      <c r="Y375" s="259"/>
      <c r="Z375" s="259"/>
      <c r="AA375" s="259"/>
      <c r="AB375" s="265"/>
      <c r="AC375" s="265"/>
    </row>
    <row r="376" spans="24:29" hidden="1" x14ac:dyDescent="0.25">
      <c r="X376" s="265"/>
      <c r="Y376" s="259"/>
      <c r="Z376" s="259"/>
      <c r="AA376" s="259"/>
      <c r="AB376" s="265"/>
      <c r="AC376" s="265"/>
    </row>
    <row r="377" spans="24:29" hidden="1" x14ac:dyDescent="0.25">
      <c r="X377" s="265"/>
      <c r="Y377" s="259"/>
      <c r="Z377" s="259"/>
      <c r="AA377" s="259"/>
      <c r="AB377" s="265"/>
      <c r="AC377" s="265"/>
    </row>
    <row r="378" spans="24:29" hidden="1" x14ac:dyDescent="0.25">
      <c r="X378" s="265"/>
      <c r="Y378" s="259"/>
      <c r="Z378" s="259"/>
      <c r="AA378" s="259"/>
      <c r="AB378" s="265"/>
      <c r="AC378" s="265"/>
    </row>
    <row r="379" spans="24:29" hidden="1" x14ac:dyDescent="0.25">
      <c r="X379" s="265"/>
      <c r="Y379" s="259"/>
      <c r="Z379" s="259"/>
      <c r="AA379" s="259"/>
      <c r="AB379" s="265"/>
      <c r="AC379" s="265"/>
    </row>
    <row r="380" spans="24:29" hidden="1" x14ac:dyDescent="0.25">
      <c r="X380" s="265"/>
      <c r="Y380" s="259"/>
      <c r="Z380" s="259"/>
      <c r="AA380" s="259"/>
      <c r="AB380" s="265"/>
      <c r="AC380" s="265"/>
    </row>
    <row r="381" spans="24:29" hidden="1" x14ac:dyDescent="0.25">
      <c r="X381" s="265"/>
      <c r="Y381" s="259"/>
      <c r="Z381" s="259"/>
      <c r="AA381" s="259"/>
      <c r="AB381" s="265"/>
      <c r="AC381" s="265"/>
    </row>
    <row r="382" spans="24:29" hidden="1" x14ac:dyDescent="0.25">
      <c r="X382" s="265"/>
      <c r="Y382" s="259"/>
      <c r="Z382" s="259"/>
      <c r="AA382" s="259"/>
      <c r="AB382" s="265"/>
      <c r="AC382" s="265"/>
    </row>
    <row r="383" spans="24:29" hidden="1" x14ac:dyDescent="0.25">
      <c r="X383" s="265"/>
      <c r="Y383" s="259"/>
      <c r="Z383" s="259"/>
      <c r="AA383" s="259"/>
      <c r="AB383" s="265"/>
      <c r="AC383" s="265"/>
    </row>
    <row r="384" spans="24:29" hidden="1" x14ac:dyDescent="0.25">
      <c r="X384" s="265"/>
      <c r="Y384" s="259"/>
      <c r="Z384" s="259"/>
      <c r="AA384" s="259"/>
      <c r="AB384" s="265"/>
      <c r="AC384" s="265"/>
    </row>
    <row r="385" spans="24:29" hidden="1" x14ac:dyDescent="0.25">
      <c r="X385" s="265"/>
      <c r="Y385" s="259"/>
      <c r="Z385" s="259"/>
      <c r="AA385" s="259"/>
      <c r="AB385" s="265"/>
      <c r="AC385" s="265"/>
    </row>
    <row r="386" spans="24:29" hidden="1" x14ac:dyDescent="0.25">
      <c r="X386" s="265"/>
      <c r="Y386" s="259"/>
      <c r="Z386" s="259"/>
      <c r="AA386" s="259"/>
      <c r="AB386" s="265"/>
      <c r="AC386" s="265"/>
    </row>
    <row r="387" spans="24:29" hidden="1" x14ac:dyDescent="0.25">
      <c r="X387" s="265"/>
      <c r="Y387" s="259"/>
      <c r="Z387" s="259"/>
      <c r="AA387" s="259"/>
      <c r="AB387" s="265"/>
      <c r="AC387" s="265"/>
    </row>
    <row r="388" spans="24:29" hidden="1" x14ac:dyDescent="0.25">
      <c r="X388" s="265"/>
      <c r="Y388" s="259"/>
      <c r="Z388" s="259"/>
      <c r="AA388" s="259"/>
      <c r="AB388" s="265"/>
      <c r="AC388" s="265"/>
    </row>
    <row r="389" spans="24:29" hidden="1" x14ac:dyDescent="0.25">
      <c r="X389" s="265"/>
      <c r="Y389" s="259"/>
      <c r="Z389" s="259"/>
      <c r="AA389" s="259"/>
      <c r="AB389" s="265"/>
      <c r="AC389" s="265"/>
    </row>
    <row r="390" spans="24:29" hidden="1" x14ac:dyDescent="0.25">
      <c r="X390" s="265"/>
      <c r="Y390" s="259"/>
      <c r="Z390" s="259"/>
      <c r="AA390" s="259"/>
      <c r="AB390" s="265"/>
      <c r="AC390" s="265"/>
    </row>
    <row r="391" spans="24:29" hidden="1" x14ac:dyDescent="0.25">
      <c r="X391" s="265"/>
      <c r="Y391" s="259"/>
      <c r="Z391" s="259"/>
      <c r="AA391" s="259"/>
      <c r="AB391" s="265"/>
    </row>
    <row r="392" spans="24:29" hidden="1" x14ac:dyDescent="0.25">
      <c r="X392" s="265"/>
      <c r="Y392" s="259"/>
      <c r="Z392" s="259"/>
      <c r="AA392" s="259"/>
      <c r="AB392" s="265"/>
      <c r="AC392" s="265"/>
    </row>
    <row r="393" spans="24:29" hidden="1" x14ac:dyDescent="0.25">
      <c r="X393" s="265"/>
      <c r="Y393" s="259"/>
      <c r="Z393" s="259"/>
      <c r="AA393" s="259"/>
      <c r="AB393" s="265"/>
      <c r="AC393" s="265"/>
    </row>
    <row r="394" spans="24:29" hidden="1" x14ac:dyDescent="0.25">
      <c r="X394" s="265"/>
      <c r="Y394" s="259"/>
      <c r="Z394" s="259"/>
      <c r="AA394" s="259"/>
      <c r="AB394" s="265"/>
      <c r="AC394" s="265"/>
    </row>
    <row r="395" spans="24:29" hidden="1" x14ac:dyDescent="0.25">
      <c r="X395" s="265"/>
      <c r="Y395" s="259"/>
      <c r="Z395" s="259"/>
      <c r="AA395" s="259"/>
      <c r="AB395" s="265"/>
      <c r="AC395" s="265"/>
    </row>
    <row r="396" spans="24:29" hidden="1" x14ac:dyDescent="0.25">
      <c r="X396" s="265"/>
      <c r="Y396" s="259"/>
      <c r="Z396" s="259"/>
      <c r="AA396" s="259"/>
      <c r="AB396" s="265"/>
      <c r="AC396" s="265"/>
    </row>
    <row r="397" spans="24:29" hidden="1" x14ac:dyDescent="0.25">
      <c r="X397" s="265"/>
      <c r="Y397" s="259"/>
      <c r="Z397" s="259"/>
      <c r="AA397" s="259"/>
      <c r="AB397" s="265"/>
      <c r="AC397" s="265"/>
    </row>
    <row r="398" spans="24:29" hidden="1" x14ac:dyDescent="0.25">
      <c r="X398" s="265"/>
      <c r="Y398" s="259"/>
      <c r="Z398" s="259"/>
      <c r="AA398" s="259"/>
      <c r="AB398" s="265"/>
      <c r="AC398" s="265"/>
    </row>
    <row r="399" spans="24:29" hidden="1" x14ac:dyDescent="0.25">
      <c r="X399" s="265"/>
      <c r="Y399" s="259"/>
      <c r="Z399" s="259"/>
      <c r="AA399" s="259"/>
      <c r="AB399" s="265"/>
      <c r="AC399" s="265"/>
    </row>
    <row r="400" spans="24:29" hidden="1" x14ac:dyDescent="0.25">
      <c r="X400" s="265"/>
      <c r="Y400" s="259"/>
      <c r="Z400" s="259"/>
      <c r="AA400" s="259"/>
      <c r="AB400" s="265"/>
      <c r="AC400" s="265"/>
    </row>
    <row r="401" spans="24:29" hidden="1" x14ac:dyDescent="0.25">
      <c r="X401" s="265"/>
      <c r="Y401" s="259"/>
      <c r="Z401" s="259"/>
      <c r="AA401" s="259"/>
      <c r="AB401" s="265"/>
      <c r="AC401" s="265"/>
    </row>
    <row r="402" spans="24:29" hidden="1" x14ac:dyDescent="0.25">
      <c r="X402" s="265"/>
      <c r="Y402" s="259"/>
      <c r="Z402" s="259"/>
      <c r="AA402" s="259"/>
      <c r="AB402" s="265"/>
      <c r="AC402" s="265"/>
    </row>
    <row r="403" spans="24:29" hidden="1" x14ac:dyDescent="0.25">
      <c r="X403" s="265"/>
      <c r="Y403" s="259"/>
      <c r="Z403" s="259"/>
      <c r="AA403" s="259"/>
      <c r="AB403" s="265"/>
      <c r="AC403" s="265"/>
    </row>
    <row r="404" spans="24:29" hidden="1" x14ac:dyDescent="0.25">
      <c r="X404" s="265"/>
      <c r="Y404" s="259"/>
      <c r="Z404" s="259"/>
      <c r="AA404" s="259"/>
      <c r="AB404" s="265"/>
      <c r="AC404" s="265"/>
    </row>
    <row r="405" spans="24:29" hidden="1" x14ac:dyDescent="0.25">
      <c r="X405" s="265"/>
      <c r="Y405" s="259"/>
      <c r="Z405" s="259"/>
      <c r="AA405" s="259"/>
      <c r="AB405" s="265"/>
    </row>
    <row r="406" spans="24:29" hidden="1" x14ac:dyDescent="0.25">
      <c r="X406" s="265"/>
      <c r="Y406" s="259"/>
      <c r="Z406" s="259"/>
      <c r="AA406" s="259"/>
      <c r="AB406" s="265"/>
      <c r="AC406" s="265"/>
    </row>
    <row r="407" spans="24:29" hidden="1" x14ac:dyDescent="0.25">
      <c r="X407" s="265"/>
      <c r="Y407" s="259"/>
      <c r="Z407" s="259"/>
      <c r="AA407" s="259"/>
      <c r="AB407" s="265"/>
      <c r="AC407" s="265"/>
    </row>
    <row r="408" spans="24:29" hidden="1" x14ac:dyDescent="0.25">
      <c r="X408" s="265"/>
      <c r="Y408" s="259"/>
      <c r="Z408" s="259"/>
      <c r="AA408" s="259"/>
      <c r="AB408" s="265"/>
      <c r="AC408" s="265"/>
    </row>
    <row r="409" spans="24:29" hidden="1" x14ac:dyDescent="0.25">
      <c r="X409" s="265"/>
      <c r="Y409" s="259"/>
      <c r="Z409" s="259"/>
      <c r="AA409" s="259"/>
      <c r="AB409" s="265"/>
      <c r="AC409" s="265"/>
    </row>
    <row r="410" spans="24:29" hidden="1" x14ac:dyDescent="0.25">
      <c r="X410" s="265"/>
      <c r="Y410" s="259"/>
      <c r="Z410" s="259"/>
      <c r="AA410" s="259"/>
      <c r="AB410" s="265"/>
      <c r="AC410" s="265"/>
    </row>
    <row r="411" spans="24:29" hidden="1" x14ac:dyDescent="0.25">
      <c r="X411" s="265"/>
      <c r="Y411" s="259"/>
      <c r="Z411" s="259"/>
      <c r="AA411" s="259"/>
      <c r="AB411" s="265"/>
      <c r="AC411" s="265"/>
    </row>
    <row r="412" spans="24:29" hidden="1" x14ac:dyDescent="0.25">
      <c r="X412" s="265"/>
      <c r="Y412" s="259"/>
      <c r="Z412" s="259"/>
      <c r="AA412" s="259"/>
      <c r="AB412" s="265"/>
      <c r="AC412" s="265"/>
    </row>
    <row r="413" spans="24:29" hidden="1" x14ac:dyDescent="0.25">
      <c r="X413" s="265"/>
      <c r="Y413" s="259"/>
      <c r="Z413" s="259"/>
      <c r="AA413" s="259"/>
      <c r="AB413" s="265"/>
      <c r="AC413" s="265"/>
    </row>
    <row r="414" spans="24:29" hidden="1" x14ac:dyDescent="0.25">
      <c r="X414" s="265"/>
      <c r="Y414" s="259"/>
      <c r="Z414" s="259"/>
      <c r="AA414" s="259"/>
      <c r="AB414" s="265"/>
      <c r="AC414" s="265"/>
    </row>
    <row r="415" spans="24:29" hidden="1" x14ac:dyDescent="0.25">
      <c r="X415" s="265"/>
      <c r="Y415" s="259"/>
      <c r="Z415" s="259"/>
      <c r="AA415" s="259"/>
      <c r="AB415" s="265"/>
      <c r="AC415" s="265"/>
    </row>
    <row r="416" spans="24:29" hidden="1" x14ac:dyDescent="0.25">
      <c r="X416" s="265"/>
      <c r="Y416" s="259"/>
      <c r="Z416" s="259"/>
      <c r="AA416" s="259"/>
      <c r="AB416" s="265"/>
      <c r="AC416" s="265"/>
    </row>
    <row r="417" spans="24:29" hidden="1" x14ac:dyDescent="0.25">
      <c r="X417" s="265"/>
      <c r="Y417" s="259"/>
      <c r="Z417" s="259"/>
      <c r="AA417" s="259"/>
      <c r="AB417" s="265"/>
      <c r="AC417" s="265"/>
    </row>
    <row r="418" spans="24:29" hidden="1" x14ac:dyDescent="0.25">
      <c r="X418" s="265"/>
      <c r="Y418" s="259"/>
      <c r="Z418" s="259"/>
      <c r="AA418" s="259"/>
      <c r="AB418" s="265"/>
      <c r="AC418" s="265"/>
    </row>
    <row r="419" spans="24:29" hidden="1" x14ac:dyDescent="0.25">
      <c r="X419" s="265"/>
      <c r="Y419" s="259"/>
      <c r="Z419" s="259"/>
      <c r="AA419" s="259"/>
      <c r="AB419" s="265"/>
      <c r="AC419" s="265"/>
    </row>
    <row r="420" spans="24:29" hidden="1" x14ac:dyDescent="0.25">
      <c r="X420" s="265"/>
      <c r="Y420" s="259"/>
      <c r="Z420" s="259"/>
      <c r="AA420" s="259"/>
      <c r="AB420" s="265"/>
      <c r="AC420" s="265"/>
    </row>
    <row r="421" spans="24:29" hidden="1" x14ac:dyDescent="0.25">
      <c r="X421" s="265"/>
      <c r="Y421" s="259"/>
      <c r="Z421" s="259"/>
      <c r="AA421" s="259"/>
      <c r="AB421" s="265"/>
      <c r="AC421" s="265"/>
    </row>
    <row r="422" spans="24:29" hidden="1" x14ac:dyDescent="0.25">
      <c r="X422" s="265"/>
      <c r="Y422" s="259"/>
      <c r="Z422" s="259"/>
      <c r="AA422" s="259"/>
      <c r="AB422" s="265"/>
      <c r="AC422" s="265"/>
    </row>
    <row r="423" spans="24:29" hidden="1" x14ac:dyDescent="0.25">
      <c r="X423" s="265"/>
      <c r="Y423" s="259"/>
      <c r="Z423" s="259"/>
      <c r="AA423" s="259"/>
      <c r="AB423" s="265"/>
      <c r="AC423" s="265"/>
    </row>
    <row r="424" spans="24:29" hidden="1" x14ac:dyDescent="0.25">
      <c r="X424" s="265"/>
      <c r="Y424" s="259"/>
      <c r="Z424" s="259"/>
      <c r="AA424" s="259"/>
      <c r="AB424" s="265"/>
      <c r="AC424" s="265"/>
    </row>
    <row r="425" spans="24:29" hidden="1" x14ac:dyDescent="0.25">
      <c r="X425" s="265"/>
      <c r="Y425" s="259"/>
      <c r="Z425" s="259"/>
      <c r="AA425" s="259"/>
      <c r="AB425" s="265"/>
      <c r="AC425" s="265"/>
    </row>
    <row r="426" spans="24:29" hidden="1" x14ac:dyDescent="0.25">
      <c r="X426" s="265"/>
      <c r="Y426" s="259"/>
      <c r="Z426" s="259"/>
      <c r="AA426" s="259"/>
      <c r="AB426" s="265"/>
      <c r="AC426" s="265"/>
    </row>
    <row r="427" spans="24:29" hidden="1" x14ac:dyDescent="0.25">
      <c r="X427" s="265"/>
      <c r="Y427" s="259"/>
      <c r="Z427" s="259"/>
      <c r="AA427" s="259"/>
      <c r="AB427" s="265"/>
      <c r="AC427" s="265"/>
    </row>
    <row r="428" spans="24:29" hidden="1" x14ac:dyDescent="0.25">
      <c r="X428" s="265"/>
      <c r="Y428" s="259"/>
      <c r="Z428" s="259"/>
      <c r="AA428" s="259"/>
      <c r="AB428" s="265"/>
      <c r="AC428" s="265"/>
    </row>
    <row r="429" spans="24:29" hidden="1" x14ac:dyDescent="0.25">
      <c r="X429" s="265"/>
      <c r="Y429" s="259"/>
      <c r="Z429" s="259"/>
      <c r="AA429" s="259"/>
      <c r="AB429" s="265"/>
      <c r="AC429" s="265"/>
    </row>
    <row r="430" spans="24:29" hidden="1" x14ac:dyDescent="0.25">
      <c r="X430" s="265"/>
      <c r="Y430" s="259"/>
      <c r="Z430" s="259"/>
      <c r="AA430" s="259"/>
      <c r="AB430" s="265"/>
      <c r="AC430" s="265"/>
    </row>
    <row r="431" spans="24:29" hidden="1" x14ac:dyDescent="0.25">
      <c r="X431" s="265"/>
      <c r="Y431" s="259"/>
      <c r="Z431" s="259"/>
      <c r="AA431" s="259"/>
      <c r="AB431" s="265"/>
      <c r="AC431" s="265"/>
    </row>
    <row r="432" spans="24:29" hidden="1" x14ac:dyDescent="0.25">
      <c r="X432" s="265"/>
      <c r="Y432" s="259"/>
      <c r="Z432" s="259"/>
      <c r="AA432" s="259"/>
      <c r="AB432" s="265"/>
      <c r="AC432" s="265"/>
    </row>
    <row r="433" spans="24:29" hidden="1" x14ac:dyDescent="0.25">
      <c r="X433" s="265"/>
      <c r="Y433" s="259"/>
      <c r="Z433" s="259"/>
      <c r="AA433" s="259"/>
      <c r="AB433" s="265"/>
    </row>
    <row r="434" spans="24:29" hidden="1" x14ac:dyDescent="0.25">
      <c r="X434" s="265"/>
      <c r="Y434" s="259"/>
      <c r="Z434" s="259"/>
      <c r="AA434" s="259"/>
      <c r="AB434" s="265"/>
      <c r="AC434" s="265"/>
    </row>
    <row r="435" spans="24:29" hidden="1" x14ac:dyDescent="0.25">
      <c r="X435" s="265"/>
      <c r="Y435" s="259"/>
      <c r="Z435" s="259"/>
      <c r="AA435" s="259"/>
      <c r="AB435" s="265"/>
      <c r="AC435" s="265"/>
    </row>
    <row r="436" spans="24:29" hidden="1" x14ac:dyDescent="0.25">
      <c r="X436" s="265"/>
      <c r="Y436" s="259"/>
      <c r="Z436" s="259"/>
      <c r="AA436" s="259"/>
      <c r="AB436" s="265"/>
      <c r="AC436" s="265"/>
    </row>
    <row r="437" spans="24:29" hidden="1" x14ac:dyDescent="0.25">
      <c r="X437" s="265"/>
      <c r="Y437" s="259"/>
      <c r="Z437" s="259"/>
      <c r="AA437" s="259"/>
      <c r="AB437" s="265"/>
      <c r="AC437" s="265"/>
    </row>
    <row r="438" spans="24:29" hidden="1" x14ac:dyDescent="0.25">
      <c r="X438" s="265"/>
      <c r="Y438" s="259"/>
      <c r="Z438" s="259"/>
      <c r="AA438" s="259"/>
      <c r="AB438" s="265"/>
      <c r="AC438" s="265"/>
    </row>
    <row r="439" spans="24:29" hidden="1" x14ac:dyDescent="0.25">
      <c r="X439" s="265"/>
      <c r="Y439" s="259"/>
      <c r="Z439" s="259"/>
      <c r="AA439" s="259"/>
      <c r="AB439" s="265"/>
      <c r="AC439" s="265"/>
    </row>
    <row r="440" spans="24:29" hidden="1" x14ac:dyDescent="0.25">
      <c r="X440" s="265"/>
      <c r="Y440" s="259"/>
      <c r="Z440" s="259"/>
      <c r="AA440" s="259"/>
      <c r="AB440" s="265"/>
      <c r="AC440" s="265"/>
    </row>
    <row r="441" spans="24:29" hidden="1" x14ac:dyDescent="0.25">
      <c r="X441" s="265"/>
      <c r="Y441" s="259"/>
      <c r="Z441" s="259"/>
      <c r="AA441" s="259"/>
      <c r="AB441" s="265"/>
      <c r="AC441" s="265"/>
    </row>
    <row r="442" spans="24:29" hidden="1" x14ac:dyDescent="0.25">
      <c r="X442" s="265"/>
      <c r="Y442" s="259"/>
      <c r="Z442" s="259"/>
      <c r="AA442" s="259"/>
      <c r="AB442" s="265"/>
      <c r="AC442" s="265"/>
    </row>
    <row r="443" spans="24:29" hidden="1" x14ac:dyDescent="0.25">
      <c r="X443" s="265"/>
      <c r="Y443" s="259"/>
      <c r="Z443" s="259"/>
      <c r="AA443" s="259"/>
      <c r="AB443" s="265"/>
      <c r="AC443" s="265"/>
    </row>
    <row r="444" spans="24:29" hidden="1" x14ac:dyDescent="0.25">
      <c r="X444" s="265"/>
      <c r="Y444" s="259"/>
      <c r="Z444" s="259"/>
      <c r="AA444" s="259"/>
      <c r="AB444" s="265"/>
      <c r="AC444" s="265"/>
    </row>
    <row r="445" spans="24:29" hidden="1" x14ac:dyDescent="0.25">
      <c r="X445" s="265"/>
      <c r="Y445" s="259"/>
      <c r="Z445" s="259"/>
      <c r="AA445" s="259"/>
      <c r="AB445" s="265"/>
      <c r="AC445" s="265"/>
    </row>
    <row r="446" spans="24:29" hidden="1" x14ac:dyDescent="0.25">
      <c r="X446" s="265"/>
      <c r="Y446" s="259"/>
      <c r="Z446" s="259"/>
      <c r="AA446" s="259"/>
      <c r="AB446" s="265"/>
      <c r="AC446" s="265"/>
    </row>
    <row r="447" spans="24:29" hidden="1" x14ac:dyDescent="0.25">
      <c r="X447" s="265"/>
      <c r="Y447" s="259"/>
      <c r="Z447" s="259"/>
      <c r="AA447" s="259"/>
      <c r="AB447" s="265"/>
      <c r="AC447" s="265"/>
    </row>
    <row r="448" spans="24:29" hidden="1" x14ac:dyDescent="0.25">
      <c r="X448" s="265"/>
      <c r="Y448" s="259"/>
      <c r="Z448" s="259"/>
      <c r="AA448" s="259"/>
      <c r="AB448" s="265"/>
      <c r="AC448" s="265"/>
    </row>
    <row r="449" spans="24:29" hidden="1" x14ac:dyDescent="0.25">
      <c r="X449" s="265"/>
      <c r="Y449" s="259"/>
      <c r="Z449" s="259"/>
      <c r="AA449" s="259"/>
      <c r="AB449" s="265"/>
      <c r="AC449" s="265"/>
    </row>
    <row r="450" spans="24:29" hidden="1" x14ac:dyDescent="0.25">
      <c r="X450" s="265"/>
      <c r="Y450" s="259"/>
      <c r="Z450" s="259"/>
      <c r="AA450" s="259"/>
      <c r="AB450" s="265"/>
      <c r="AC450" s="265"/>
    </row>
    <row r="451" spans="24:29" hidden="1" x14ac:dyDescent="0.25">
      <c r="X451" s="265"/>
      <c r="Y451" s="259"/>
      <c r="Z451" s="259"/>
      <c r="AA451" s="259"/>
      <c r="AB451" s="265"/>
      <c r="AC451" s="265"/>
    </row>
    <row r="452" spans="24:29" hidden="1" x14ac:dyDescent="0.25">
      <c r="X452" s="265"/>
      <c r="Y452" s="259"/>
      <c r="Z452" s="259"/>
      <c r="AA452" s="259"/>
      <c r="AB452" s="265"/>
      <c r="AC452" s="265"/>
    </row>
    <row r="453" spans="24:29" hidden="1" x14ac:dyDescent="0.25">
      <c r="X453" s="265"/>
      <c r="Y453" s="259"/>
      <c r="Z453" s="259"/>
      <c r="AA453" s="259"/>
      <c r="AB453" s="265"/>
      <c r="AC453" s="265"/>
    </row>
    <row r="454" spans="24:29" hidden="1" x14ac:dyDescent="0.25">
      <c r="X454" s="265"/>
      <c r="Y454" s="259"/>
      <c r="Z454" s="259"/>
      <c r="AA454" s="259"/>
      <c r="AB454" s="265"/>
      <c r="AC454" s="265"/>
    </row>
    <row r="455" spans="24:29" hidden="1" x14ac:dyDescent="0.25">
      <c r="X455" s="265"/>
      <c r="Y455" s="259"/>
      <c r="Z455" s="259"/>
      <c r="AA455" s="259"/>
      <c r="AB455" s="265"/>
      <c r="AC455" s="265"/>
    </row>
    <row r="456" spans="24:29" hidden="1" x14ac:dyDescent="0.25">
      <c r="X456" s="265"/>
      <c r="Y456" s="259"/>
      <c r="Z456" s="259"/>
      <c r="AA456" s="259"/>
      <c r="AB456" s="265"/>
      <c r="AC456" s="265"/>
    </row>
    <row r="457" spans="24:29" hidden="1" x14ac:dyDescent="0.25">
      <c r="X457" s="265"/>
      <c r="Y457" s="259"/>
      <c r="Z457" s="259"/>
      <c r="AA457" s="259"/>
      <c r="AB457" s="265"/>
      <c r="AC457" s="265"/>
    </row>
    <row r="458" spans="24:29" hidden="1" x14ac:dyDescent="0.25">
      <c r="X458" s="265"/>
      <c r="Y458" s="259"/>
      <c r="Z458" s="259"/>
      <c r="AA458" s="259"/>
      <c r="AB458" s="265"/>
      <c r="AC458" s="265"/>
    </row>
    <row r="459" spans="24:29" hidden="1" x14ac:dyDescent="0.25">
      <c r="X459" s="265"/>
      <c r="Y459" s="259"/>
      <c r="Z459" s="259"/>
      <c r="AA459" s="259"/>
      <c r="AB459" s="265"/>
      <c r="AC459" s="265"/>
    </row>
    <row r="460" spans="24:29" hidden="1" x14ac:dyDescent="0.25">
      <c r="X460" s="265"/>
      <c r="Y460" s="259"/>
      <c r="Z460" s="259"/>
      <c r="AA460" s="259"/>
      <c r="AB460" s="265"/>
      <c r="AC460" s="265"/>
    </row>
    <row r="461" spans="24:29" hidden="1" x14ac:dyDescent="0.25">
      <c r="X461" s="265"/>
      <c r="Y461" s="259"/>
      <c r="Z461" s="259"/>
      <c r="AA461" s="259"/>
      <c r="AB461" s="265"/>
      <c r="AC461" s="265"/>
    </row>
    <row r="462" spans="24:29" hidden="1" x14ac:dyDescent="0.25">
      <c r="X462" s="265"/>
      <c r="Y462" s="259"/>
      <c r="Z462" s="259"/>
      <c r="AA462" s="259"/>
      <c r="AB462" s="265"/>
      <c r="AC462" s="265"/>
    </row>
    <row r="463" spans="24:29" hidden="1" x14ac:dyDescent="0.25">
      <c r="X463" s="265"/>
      <c r="Y463" s="259"/>
      <c r="Z463" s="259"/>
      <c r="AA463" s="259"/>
      <c r="AB463" s="265"/>
      <c r="AC463" s="265"/>
    </row>
    <row r="464" spans="24:29" hidden="1" x14ac:dyDescent="0.25">
      <c r="X464" s="265"/>
      <c r="Y464" s="259"/>
      <c r="Z464" s="259"/>
      <c r="AA464" s="259"/>
      <c r="AB464" s="265"/>
      <c r="AC464" s="265"/>
    </row>
    <row r="465" spans="24:29" hidden="1" x14ac:dyDescent="0.25">
      <c r="X465" s="265"/>
      <c r="Y465" s="259"/>
      <c r="Z465" s="259"/>
      <c r="AA465" s="259"/>
      <c r="AB465" s="265"/>
      <c r="AC465" s="265"/>
    </row>
    <row r="466" spans="24:29" hidden="1" x14ac:dyDescent="0.25">
      <c r="X466" s="265"/>
      <c r="Y466" s="259"/>
      <c r="Z466" s="259"/>
      <c r="AA466" s="259"/>
      <c r="AB466" s="265"/>
      <c r="AC466" s="265"/>
    </row>
    <row r="467" spans="24:29" hidden="1" x14ac:dyDescent="0.25">
      <c r="X467" s="265"/>
      <c r="Y467" s="259"/>
      <c r="Z467" s="259"/>
      <c r="AA467" s="259"/>
      <c r="AB467" s="265"/>
      <c r="AC467" s="265"/>
    </row>
    <row r="468" spans="24:29" hidden="1" x14ac:dyDescent="0.25">
      <c r="X468" s="265"/>
      <c r="Y468" s="259"/>
      <c r="Z468" s="259"/>
      <c r="AA468" s="259"/>
      <c r="AB468" s="265"/>
      <c r="AC468" s="265"/>
    </row>
    <row r="469" spans="24:29" hidden="1" x14ac:dyDescent="0.25">
      <c r="X469" s="265"/>
      <c r="Y469" s="259"/>
      <c r="Z469" s="259"/>
      <c r="AA469" s="259"/>
      <c r="AB469" s="265"/>
      <c r="AC469" s="265"/>
    </row>
    <row r="470" spans="24:29" hidden="1" x14ac:dyDescent="0.25">
      <c r="X470" s="265"/>
      <c r="Y470" s="259"/>
      <c r="Z470" s="259"/>
      <c r="AA470" s="259"/>
      <c r="AB470" s="265"/>
      <c r="AC470" s="265"/>
    </row>
    <row r="471" spans="24:29" hidden="1" x14ac:dyDescent="0.25">
      <c r="X471" s="265"/>
      <c r="Y471" s="259"/>
      <c r="Z471" s="259"/>
      <c r="AA471" s="259"/>
      <c r="AB471" s="265"/>
      <c r="AC471" s="265"/>
    </row>
    <row r="472" spans="24:29" hidden="1" x14ac:dyDescent="0.25">
      <c r="X472" s="265"/>
      <c r="Y472" s="259"/>
      <c r="Z472" s="259"/>
      <c r="AA472" s="259"/>
      <c r="AB472" s="265"/>
      <c r="AC472" s="265"/>
    </row>
    <row r="473" spans="24:29" hidden="1" x14ac:dyDescent="0.25">
      <c r="X473" s="265"/>
      <c r="Y473" s="259"/>
      <c r="Z473" s="259"/>
      <c r="AA473" s="259"/>
      <c r="AB473" s="265"/>
    </row>
    <row r="474" spans="24:29" hidden="1" x14ac:dyDescent="0.25">
      <c r="X474" s="265"/>
      <c r="Y474" s="259"/>
      <c r="Z474" s="259"/>
      <c r="AA474" s="259"/>
      <c r="AB474" s="265"/>
      <c r="AC474" s="265"/>
    </row>
    <row r="475" spans="24:29" hidden="1" x14ac:dyDescent="0.25">
      <c r="X475" s="265"/>
      <c r="Y475" s="259"/>
      <c r="Z475" s="259"/>
      <c r="AA475" s="259"/>
      <c r="AB475" s="265"/>
      <c r="AC475" s="265"/>
    </row>
    <row r="476" spans="24:29" hidden="1" x14ac:dyDescent="0.25">
      <c r="X476" s="265"/>
      <c r="Y476" s="259"/>
      <c r="Z476" s="259"/>
      <c r="AA476" s="259"/>
      <c r="AB476" s="265"/>
      <c r="AC476" s="265"/>
    </row>
    <row r="477" spans="24:29" hidden="1" x14ac:dyDescent="0.25">
      <c r="X477" s="265"/>
      <c r="Y477" s="259"/>
      <c r="Z477" s="259"/>
      <c r="AA477" s="259"/>
      <c r="AB477" s="265"/>
      <c r="AC477" s="265"/>
    </row>
    <row r="478" spans="24:29" hidden="1" x14ac:dyDescent="0.25">
      <c r="X478" s="265"/>
      <c r="Y478" s="259"/>
      <c r="Z478" s="259"/>
      <c r="AA478" s="259"/>
      <c r="AB478" s="265"/>
      <c r="AC478" s="265"/>
    </row>
    <row r="479" spans="24:29" hidden="1" x14ac:dyDescent="0.25">
      <c r="X479" s="265"/>
      <c r="Y479" s="259"/>
      <c r="Z479" s="259"/>
      <c r="AA479" s="259"/>
      <c r="AB479" s="265"/>
      <c r="AC479" s="265"/>
    </row>
    <row r="480" spans="24:29" hidden="1" x14ac:dyDescent="0.25">
      <c r="X480" s="265"/>
      <c r="Y480" s="259"/>
      <c r="Z480" s="259"/>
      <c r="AA480" s="259"/>
      <c r="AB480" s="265"/>
      <c r="AC480" s="265"/>
    </row>
    <row r="481" spans="24:29" hidden="1" x14ac:dyDescent="0.25">
      <c r="X481" s="265"/>
      <c r="Y481" s="259"/>
      <c r="Z481" s="259"/>
      <c r="AA481" s="259"/>
      <c r="AB481" s="265"/>
      <c r="AC481" s="265"/>
    </row>
    <row r="482" spans="24:29" hidden="1" x14ac:dyDescent="0.25">
      <c r="X482" s="265"/>
      <c r="Y482" s="259"/>
      <c r="Z482" s="259"/>
      <c r="AA482" s="259"/>
      <c r="AB482" s="265"/>
      <c r="AC482" s="265"/>
    </row>
    <row r="483" spans="24:29" hidden="1" x14ac:dyDescent="0.25">
      <c r="X483" s="265"/>
      <c r="Y483" s="259"/>
      <c r="Z483" s="259"/>
      <c r="AA483" s="259"/>
      <c r="AB483" s="265"/>
      <c r="AC483" s="265"/>
    </row>
    <row r="484" spans="24:29" hidden="1" x14ac:dyDescent="0.25">
      <c r="X484" s="265"/>
      <c r="Y484" s="259"/>
      <c r="Z484" s="259"/>
      <c r="AA484" s="259"/>
      <c r="AB484" s="265"/>
      <c r="AC484" s="265"/>
    </row>
    <row r="485" spans="24:29" hidden="1" x14ac:dyDescent="0.25">
      <c r="X485" s="265"/>
      <c r="Y485" s="259"/>
      <c r="Z485" s="259"/>
      <c r="AA485" s="259"/>
      <c r="AB485" s="265"/>
      <c r="AC485" s="265"/>
    </row>
    <row r="486" spans="24:29" hidden="1" x14ac:dyDescent="0.25">
      <c r="X486" s="265"/>
      <c r="Y486" s="259"/>
      <c r="Z486" s="259"/>
      <c r="AA486" s="259"/>
      <c r="AB486" s="265"/>
      <c r="AC486" s="265"/>
    </row>
    <row r="487" spans="24:29" hidden="1" x14ac:dyDescent="0.25">
      <c r="X487" s="265"/>
      <c r="Y487" s="259"/>
      <c r="Z487" s="259"/>
      <c r="AA487" s="259"/>
      <c r="AB487" s="265"/>
      <c r="AC487" s="265"/>
    </row>
    <row r="488" spans="24:29" hidden="1" x14ac:dyDescent="0.25">
      <c r="X488" s="265"/>
      <c r="Y488" s="259"/>
      <c r="Z488" s="259"/>
      <c r="AA488" s="259"/>
      <c r="AB488" s="265"/>
      <c r="AC488" s="265"/>
    </row>
    <row r="489" spans="24:29" hidden="1" x14ac:dyDescent="0.25">
      <c r="X489" s="265"/>
      <c r="Y489" s="259"/>
      <c r="Z489" s="259"/>
      <c r="AA489" s="259"/>
      <c r="AB489" s="265"/>
      <c r="AC489" s="265"/>
    </row>
    <row r="490" spans="24:29" hidden="1" x14ac:dyDescent="0.25">
      <c r="X490" s="265"/>
      <c r="Y490" s="259"/>
      <c r="Z490" s="259"/>
      <c r="AA490" s="259"/>
      <c r="AB490" s="265"/>
      <c r="AC490" s="265"/>
    </row>
    <row r="491" spans="24:29" hidden="1" x14ac:dyDescent="0.25">
      <c r="X491" s="265"/>
      <c r="Y491" s="259"/>
      <c r="Z491" s="259"/>
      <c r="AA491" s="259"/>
      <c r="AB491" s="265"/>
      <c r="AC491" s="265"/>
    </row>
    <row r="492" spans="24:29" hidden="1" x14ac:dyDescent="0.25">
      <c r="X492" s="265"/>
      <c r="Y492" s="259"/>
      <c r="Z492" s="259"/>
      <c r="AA492" s="259"/>
      <c r="AB492" s="265"/>
      <c r="AC492" s="265"/>
    </row>
    <row r="493" spans="24:29" hidden="1" x14ac:dyDescent="0.25">
      <c r="X493" s="265"/>
      <c r="Y493" s="259"/>
      <c r="Z493" s="259"/>
      <c r="AA493" s="259"/>
      <c r="AB493" s="265"/>
      <c r="AC493" s="265"/>
    </row>
    <row r="494" spans="24:29" hidden="1" x14ac:dyDescent="0.25">
      <c r="X494" s="265"/>
      <c r="Y494" s="259"/>
      <c r="Z494" s="259"/>
      <c r="AA494" s="259"/>
      <c r="AB494" s="265"/>
      <c r="AC494" s="265"/>
    </row>
    <row r="495" spans="24:29" hidden="1" x14ac:dyDescent="0.25">
      <c r="X495" s="265"/>
      <c r="Y495" s="259"/>
      <c r="Z495" s="259"/>
      <c r="AA495" s="259"/>
      <c r="AB495" s="265"/>
      <c r="AC495" s="265"/>
    </row>
    <row r="496" spans="24:29" hidden="1" x14ac:dyDescent="0.25">
      <c r="X496" s="265"/>
      <c r="Y496" s="259"/>
      <c r="Z496" s="259"/>
      <c r="AA496" s="259"/>
      <c r="AB496" s="265"/>
      <c r="AC496" s="265"/>
    </row>
    <row r="497" spans="24:29" hidden="1" x14ac:dyDescent="0.25">
      <c r="X497" s="265"/>
      <c r="Y497" s="259"/>
      <c r="Z497" s="259"/>
      <c r="AA497" s="259"/>
      <c r="AB497" s="265"/>
      <c r="AC497" s="265"/>
    </row>
    <row r="498" spans="24:29" hidden="1" x14ac:dyDescent="0.25">
      <c r="X498" s="265"/>
      <c r="Y498" s="259"/>
      <c r="Z498" s="259"/>
      <c r="AA498" s="259"/>
      <c r="AB498" s="265"/>
      <c r="AC498" s="265"/>
    </row>
    <row r="499" spans="24:29" hidden="1" x14ac:dyDescent="0.25">
      <c r="X499" s="265"/>
      <c r="Y499" s="259"/>
      <c r="Z499" s="259"/>
      <c r="AA499" s="259"/>
      <c r="AB499" s="265"/>
      <c r="AC499" s="265"/>
    </row>
    <row r="500" spans="24:29" hidden="1" x14ac:dyDescent="0.25">
      <c r="X500" s="265"/>
      <c r="Y500" s="259"/>
      <c r="Z500" s="259"/>
      <c r="AA500" s="259"/>
      <c r="AB500" s="265"/>
      <c r="AC500" s="265"/>
    </row>
    <row r="501" spans="24:29" hidden="1" x14ac:dyDescent="0.25">
      <c r="X501" s="265"/>
      <c r="Y501" s="259"/>
      <c r="Z501" s="259"/>
      <c r="AA501" s="259"/>
      <c r="AB501" s="265"/>
      <c r="AC501" s="265"/>
    </row>
    <row r="502" spans="24:29" hidden="1" x14ac:dyDescent="0.25">
      <c r="X502" s="265"/>
      <c r="Y502" s="259"/>
      <c r="Z502" s="259"/>
      <c r="AA502" s="259"/>
      <c r="AB502" s="265"/>
      <c r="AC502" s="265"/>
    </row>
    <row r="503" spans="24:29" hidden="1" x14ac:dyDescent="0.25">
      <c r="X503" s="265"/>
      <c r="Y503" s="259"/>
      <c r="Z503" s="259"/>
      <c r="AA503" s="259"/>
      <c r="AB503" s="265"/>
      <c r="AC503" s="265"/>
    </row>
    <row r="504" spans="24:29" hidden="1" x14ac:dyDescent="0.25">
      <c r="X504" s="265"/>
      <c r="Y504" s="259"/>
      <c r="Z504" s="259"/>
      <c r="AA504" s="259"/>
      <c r="AB504" s="265"/>
      <c r="AC504" s="265"/>
    </row>
    <row r="505" spans="24:29" hidden="1" x14ac:dyDescent="0.25">
      <c r="X505" s="265"/>
      <c r="Y505" s="259"/>
      <c r="Z505" s="259"/>
      <c r="AA505" s="259"/>
      <c r="AB505" s="265"/>
      <c r="AC505" s="265"/>
    </row>
    <row r="506" spans="24:29" hidden="1" x14ac:dyDescent="0.25">
      <c r="X506" s="265"/>
      <c r="Y506" s="259"/>
      <c r="Z506" s="259"/>
      <c r="AA506" s="259"/>
      <c r="AB506" s="265"/>
      <c r="AC506" s="265"/>
    </row>
    <row r="507" spans="24:29" hidden="1" x14ac:dyDescent="0.25">
      <c r="X507" s="265"/>
      <c r="Y507" s="259"/>
      <c r="Z507" s="259"/>
      <c r="AA507" s="259"/>
      <c r="AB507" s="265"/>
      <c r="AC507" s="265"/>
    </row>
    <row r="508" spans="24:29" hidden="1" x14ac:dyDescent="0.25">
      <c r="X508" s="265"/>
      <c r="Y508" s="259"/>
      <c r="Z508" s="259"/>
      <c r="AA508" s="259"/>
      <c r="AB508" s="265"/>
      <c r="AC508" s="265"/>
    </row>
    <row r="509" spans="24:29" hidden="1" x14ac:dyDescent="0.25">
      <c r="X509" s="265"/>
      <c r="Y509" s="259"/>
      <c r="Z509" s="259"/>
      <c r="AA509" s="259"/>
      <c r="AB509" s="265"/>
      <c r="AC509" s="265"/>
    </row>
    <row r="510" spans="24:29" hidden="1" x14ac:dyDescent="0.25">
      <c r="X510" s="265"/>
      <c r="Y510" s="259"/>
      <c r="Z510" s="259"/>
      <c r="AA510" s="259"/>
      <c r="AB510" s="265"/>
      <c r="AC510" s="265"/>
    </row>
    <row r="511" spans="24:29" hidden="1" x14ac:dyDescent="0.25">
      <c r="X511" s="265"/>
      <c r="Y511" s="259"/>
      <c r="Z511" s="259"/>
      <c r="AA511" s="259"/>
      <c r="AB511" s="265"/>
      <c r="AC511" s="265"/>
    </row>
    <row r="512" spans="24:29" hidden="1" x14ac:dyDescent="0.25">
      <c r="X512" s="265"/>
      <c r="Y512" s="259"/>
      <c r="Z512" s="259"/>
      <c r="AA512" s="259"/>
      <c r="AB512" s="265"/>
      <c r="AC512" s="265"/>
    </row>
    <row r="513" spans="24:29" hidden="1" x14ac:dyDescent="0.25">
      <c r="X513" s="265"/>
      <c r="Y513" s="259"/>
      <c r="Z513" s="259"/>
      <c r="AA513" s="259"/>
      <c r="AB513" s="265"/>
      <c r="AC513" s="265"/>
    </row>
    <row r="514" spans="24:29" hidden="1" x14ac:dyDescent="0.25">
      <c r="X514" s="265"/>
      <c r="Y514" s="259"/>
      <c r="Z514" s="259"/>
      <c r="AA514" s="259"/>
      <c r="AB514" s="265"/>
      <c r="AC514" s="265"/>
    </row>
    <row r="515" spans="24:29" hidden="1" x14ac:dyDescent="0.25">
      <c r="X515" s="265"/>
      <c r="Y515" s="259"/>
      <c r="Z515" s="259"/>
      <c r="AA515" s="259"/>
      <c r="AB515" s="265"/>
      <c r="AC515" s="265"/>
    </row>
    <row r="516" spans="24:29" hidden="1" x14ac:dyDescent="0.25">
      <c r="X516" s="265"/>
      <c r="Y516" s="259"/>
      <c r="Z516" s="259"/>
      <c r="AA516" s="259"/>
      <c r="AB516" s="265"/>
    </row>
    <row r="517" spans="24:29" hidden="1" x14ac:dyDescent="0.25">
      <c r="X517" s="265"/>
      <c r="Y517" s="259"/>
      <c r="Z517" s="259"/>
      <c r="AA517" s="259"/>
      <c r="AB517" s="265"/>
      <c r="AC517" s="265"/>
    </row>
    <row r="518" spans="24:29" hidden="1" x14ac:dyDescent="0.25">
      <c r="X518" s="265"/>
      <c r="Y518" s="259"/>
      <c r="Z518" s="259"/>
      <c r="AA518" s="259"/>
      <c r="AB518" s="265"/>
      <c r="AC518" s="265"/>
    </row>
    <row r="519" spans="24:29" hidden="1" x14ac:dyDescent="0.25">
      <c r="X519" s="265"/>
      <c r="Y519" s="259"/>
      <c r="Z519" s="259"/>
      <c r="AA519" s="259"/>
      <c r="AB519" s="265"/>
      <c r="AC519" s="265"/>
    </row>
    <row r="520" spans="24:29" hidden="1" x14ac:dyDescent="0.25">
      <c r="X520" s="265"/>
      <c r="Y520" s="259"/>
      <c r="Z520" s="259"/>
      <c r="AA520" s="259"/>
      <c r="AB520" s="265"/>
      <c r="AC520" s="265"/>
    </row>
    <row r="521" spans="24:29" hidden="1" x14ac:dyDescent="0.25">
      <c r="X521" s="265"/>
      <c r="Y521" s="259"/>
      <c r="Z521" s="259"/>
      <c r="AA521" s="259"/>
      <c r="AB521" s="265"/>
      <c r="AC521" s="265"/>
    </row>
    <row r="522" spans="24:29" hidden="1" x14ac:dyDescent="0.25">
      <c r="X522" s="265"/>
      <c r="Y522" s="259"/>
      <c r="Z522" s="259"/>
      <c r="AA522" s="259"/>
      <c r="AB522" s="265"/>
      <c r="AC522" s="265"/>
    </row>
    <row r="523" spans="24:29" hidden="1" x14ac:dyDescent="0.25">
      <c r="X523" s="265"/>
      <c r="Y523" s="259"/>
      <c r="Z523" s="259"/>
      <c r="AA523" s="259"/>
      <c r="AB523" s="265"/>
      <c r="AC523" s="265"/>
    </row>
    <row r="524" spans="24:29" hidden="1" x14ac:dyDescent="0.25">
      <c r="X524" s="265"/>
      <c r="Y524" s="259"/>
      <c r="Z524" s="259"/>
      <c r="AA524" s="259"/>
      <c r="AB524" s="265"/>
      <c r="AC524" s="265"/>
    </row>
    <row r="525" spans="24:29" hidden="1" x14ac:dyDescent="0.25">
      <c r="X525" s="265"/>
      <c r="Y525" s="259"/>
      <c r="Z525" s="259"/>
      <c r="AA525" s="259"/>
      <c r="AB525" s="265"/>
      <c r="AC525" s="265"/>
    </row>
    <row r="526" spans="24:29" hidden="1" x14ac:dyDescent="0.25">
      <c r="X526" s="265"/>
      <c r="Y526" s="259"/>
      <c r="Z526" s="259"/>
      <c r="AA526" s="259"/>
      <c r="AB526" s="265"/>
      <c r="AC526" s="265"/>
    </row>
    <row r="527" spans="24:29" hidden="1" x14ac:dyDescent="0.25">
      <c r="X527" s="265"/>
      <c r="Y527" s="259"/>
      <c r="Z527" s="259"/>
      <c r="AA527" s="259"/>
      <c r="AB527" s="265"/>
      <c r="AC527" s="265"/>
    </row>
    <row r="528" spans="24:29" hidden="1" x14ac:dyDescent="0.25">
      <c r="X528" s="265"/>
      <c r="Y528" s="259"/>
      <c r="Z528" s="259"/>
      <c r="AA528" s="259"/>
      <c r="AB528" s="265"/>
      <c r="AC528" s="265"/>
    </row>
    <row r="529" spans="24:29" hidden="1" x14ac:dyDescent="0.25">
      <c r="X529" s="265"/>
      <c r="Y529" s="259"/>
      <c r="Z529" s="259"/>
      <c r="AA529" s="259"/>
      <c r="AB529" s="265"/>
      <c r="AC529" s="265"/>
    </row>
    <row r="530" spans="24:29" hidden="1" x14ac:dyDescent="0.25">
      <c r="X530" s="265"/>
      <c r="Y530" s="259"/>
      <c r="Z530" s="259"/>
      <c r="AA530" s="259"/>
      <c r="AB530" s="265"/>
      <c r="AC530" s="265"/>
    </row>
    <row r="531" spans="24:29" hidden="1" x14ac:dyDescent="0.25">
      <c r="X531" s="265"/>
      <c r="Y531" s="259"/>
      <c r="Z531" s="259"/>
      <c r="AA531" s="259"/>
      <c r="AB531" s="265"/>
      <c r="AC531" s="265"/>
    </row>
    <row r="532" spans="24:29" hidden="1" x14ac:dyDescent="0.25">
      <c r="X532" s="265"/>
      <c r="Y532" s="259"/>
      <c r="Z532" s="259"/>
      <c r="AA532" s="259"/>
      <c r="AB532" s="265"/>
      <c r="AC532" s="265"/>
    </row>
    <row r="533" spans="24:29" hidden="1" x14ac:dyDescent="0.25">
      <c r="X533" s="265"/>
      <c r="Y533" s="259"/>
      <c r="Z533" s="259"/>
      <c r="AA533" s="259"/>
      <c r="AB533" s="265"/>
      <c r="AC533" s="265"/>
    </row>
    <row r="534" spans="24:29" hidden="1" x14ac:dyDescent="0.25">
      <c r="X534" s="265"/>
      <c r="Y534" s="259"/>
      <c r="Z534" s="259"/>
      <c r="AA534" s="259"/>
      <c r="AB534" s="265"/>
      <c r="AC534" s="265"/>
    </row>
    <row r="535" spans="24:29" hidden="1" x14ac:dyDescent="0.25">
      <c r="X535" s="265"/>
      <c r="Y535" s="259"/>
      <c r="Z535" s="259"/>
      <c r="AA535" s="259"/>
      <c r="AB535" s="265"/>
      <c r="AC535" s="265"/>
    </row>
    <row r="536" spans="24:29" hidden="1" x14ac:dyDescent="0.25">
      <c r="Y536" s="259"/>
      <c r="Z536" s="259"/>
      <c r="AA536" s="259"/>
      <c r="AB536" s="265"/>
    </row>
    <row r="537" spans="24:29" hidden="1" x14ac:dyDescent="0.25">
      <c r="Y537" s="259"/>
      <c r="Z537" s="259"/>
      <c r="AA537" s="259"/>
      <c r="AB537" s="265"/>
    </row>
    <row r="538" spans="24:29" hidden="1" x14ac:dyDescent="0.25">
      <c r="Y538" s="259"/>
      <c r="Z538" s="259"/>
      <c r="AA538" s="259"/>
      <c r="AB538" s="265"/>
    </row>
    <row r="539" spans="24:29" hidden="1" x14ac:dyDescent="0.25">
      <c r="Y539" s="259"/>
      <c r="Z539" s="259"/>
      <c r="AA539" s="259"/>
      <c r="AB539" s="265"/>
    </row>
    <row r="540" spans="24:29" hidden="1" x14ac:dyDescent="0.25">
      <c r="Y540" s="259"/>
      <c r="Z540" s="259"/>
      <c r="AA540" s="259"/>
      <c r="AB540" s="265"/>
    </row>
    <row r="541" spans="24:29" hidden="1" x14ac:dyDescent="0.25">
      <c r="Y541" s="259"/>
      <c r="Z541" s="259"/>
      <c r="AA541" s="259"/>
      <c r="AB541" s="265"/>
    </row>
    <row r="542" spans="24:29" hidden="1" x14ac:dyDescent="0.25">
      <c r="Y542" s="259"/>
      <c r="Z542" s="259"/>
      <c r="AA542" s="259"/>
      <c r="AB542" s="265"/>
    </row>
    <row r="543" spans="24:29" hidden="1" x14ac:dyDescent="0.25">
      <c r="Y543" s="259"/>
      <c r="Z543" s="259"/>
      <c r="AA543" s="259"/>
      <c r="AB543" s="265"/>
    </row>
    <row r="544" spans="24:29" hidden="1" x14ac:dyDescent="0.25">
      <c r="Y544" s="259"/>
      <c r="Z544" s="259"/>
      <c r="AA544" s="259"/>
      <c r="AB544" s="265"/>
    </row>
    <row r="545" spans="25:28" hidden="1" x14ac:dyDescent="0.25">
      <c r="Y545" s="259"/>
      <c r="Z545" s="259"/>
      <c r="AA545" s="259"/>
      <c r="AB545" s="265"/>
    </row>
  </sheetData>
  <sheetProtection sheet="1" objects="1" scenarios="1"/>
  <sortState xmlns:xlrd2="http://schemas.microsoft.com/office/spreadsheetml/2017/richdata2" ref="Y7:AC535">
    <sortCondition ref="AB7:AB535"/>
  </sortState>
  <customSheetViews>
    <customSheetView guid="{3F8A0846-2F87-40BF-8ED6-1DE413C2FC1A}" hiddenColumns="1">
      <selection activeCell="A7" sqref="A7:K255"/>
      <pageMargins left="0.7" right="0.7" top="0.75" bottom="0.75" header="0.3" footer="0.3"/>
    </customSheetView>
    <customSheetView guid="{11E3893E-1244-4BD8-8481-55AC844C97C9}" hiddenColumns="1">
      <selection activeCell="A7" sqref="A7:K255"/>
      <pageMargins left="0.7" right="0.7" top="0.75" bottom="0.75" header="0.3" footer="0.3"/>
    </customSheetView>
  </customSheetViews>
  <mergeCells count="104">
    <mergeCell ref="M231:M246"/>
    <mergeCell ref="L245:L258"/>
    <mergeCell ref="M7:M22"/>
    <mergeCell ref="M23:M38"/>
    <mergeCell ref="M39:M54"/>
    <mergeCell ref="M55:M70"/>
    <mergeCell ref="M71:M86"/>
    <mergeCell ref="M87:M102"/>
    <mergeCell ref="M103:M118"/>
    <mergeCell ref="M119:M134"/>
    <mergeCell ref="M135:M150"/>
    <mergeCell ref="M151:M166"/>
    <mergeCell ref="M167:M182"/>
    <mergeCell ref="M183:M198"/>
    <mergeCell ref="M199:M214"/>
    <mergeCell ref="M215:M230"/>
    <mergeCell ref="L217:L230"/>
    <mergeCell ref="L161:L174"/>
    <mergeCell ref="L175:L188"/>
    <mergeCell ref="L189:L202"/>
    <mergeCell ref="L203:L216"/>
    <mergeCell ref="L231:L244"/>
    <mergeCell ref="L91:L104"/>
    <mergeCell ref="L105:L118"/>
    <mergeCell ref="J237:J246"/>
    <mergeCell ref="J247:J256"/>
    <mergeCell ref="K199:K210"/>
    <mergeCell ref="K211:K222"/>
    <mergeCell ref="K223:K234"/>
    <mergeCell ref="K235:K246"/>
    <mergeCell ref="K247:K258"/>
    <mergeCell ref="I191:I198"/>
    <mergeCell ref="I199:I206"/>
    <mergeCell ref="J207:J216"/>
    <mergeCell ref="J217:J226"/>
    <mergeCell ref="J227:J236"/>
    <mergeCell ref="J167:J176"/>
    <mergeCell ref="J177:J186"/>
    <mergeCell ref="J187:J196"/>
    <mergeCell ref="J197:J206"/>
    <mergeCell ref="I151:I158"/>
    <mergeCell ref="I159:I166"/>
    <mergeCell ref="I167:I174"/>
    <mergeCell ref="I175:I182"/>
    <mergeCell ref="I183:I190"/>
    <mergeCell ref="I111:I118"/>
    <mergeCell ref="I119:I126"/>
    <mergeCell ref="I127:I134"/>
    <mergeCell ref="I135:I142"/>
    <mergeCell ref="I143:I150"/>
    <mergeCell ref="I71:I78"/>
    <mergeCell ref="I79:I86"/>
    <mergeCell ref="I87:I94"/>
    <mergeCell ref="I95:I102"/>
    <mergeCell ref="I103:I110"/>
    <mergeCell ref="I31:I38"/>
    <mergeCell ref="I39:I46"/>
    <mergeCell ref="I47:I54"/>
    <mergeCell ref="I55:I62"/>
    <mergeCell ref="I63:I70"/>
    <mergeCell ref="I7:I14"/>
    <mergeCell ref="I15:I22"/>
    <mergeCell ref="I23:I30"/>
    <mergeCell ref="K187:K198"/>
    <mergeCell ref="J157:J166"/>
    <mergeCell ref="J147:J156"/>
    <mergeCell ref="K175:K186"/>
    <mergeCell ref="J137:J146"/>
    <mergeCell ref="K163:K174"/>
    <mergeCell ref="K67:K78"/>
    <mergeCell ref="K139:K150"/>
    <mergeCell ref="K151:K162"/>
    <mergeCell ref="K79:K90"/>
    <mergeCell ref="K91:K102"/>
    <mergeCell ref="K103:K114"/>
    <mergeCell ref="K115:K126"/>
    <mergeCell ref="K127:K138"/>
    <mergeCell ref="J117:J126"/>
    <mergeCell ref="J127:J136"/>
    <mergeCell ref="J77:J86"/>
    <mergeCell ref="J87:J96"/>
    <mergeCell ref="J97:J106"/>
    <mergeCell ref="J107:J116"/>
    <mergeCell ref="J57:J66"/>
    <mergeCell ref="J67:J76"/>
    <mergeCell ref="J7:J16"/>
    <mergeCell ref="J17:J26"/>
    <mergeCell ref="J27:J36"/>
    <mergeCell ref="J37:J46"/>
    <mergeCell ref="J47:J56"/>
    <mergeCell ref="L119:L132"/>
    <mergeCell ref="L133:L146"/>
    <mergeCell ref="L147:L160"/>
    <mergeCell ref="K7:K18"/>
    <mergeCell ref="K19:K30"/>
    <mergeCell ref="K31:K42"/>
    <mergeCell ref="K43:K54"/>
    <mergeCell ref="L77:L90"/>
    <mergeCell ref="L7:L20"/>
    <mergeCell ref="L21:L34"/>
    <mergeCell ref="L35:L48"/>
    <mergeCell ref="L49:L62"/>
    <mergeCell ref="L63:L76"/>
    <mergeCell ref="K55:K66"/>
  </mergeCells>
  <conditionalFormatting sqref="H7:H260">
    <cfRule type="colorScale" priority="764">
      <colorScale>
        <cfvo type="min"/>
        <cfvo type="max"/>
        <color rgb="FFFCFCFF"/>
        <color rgb="FFF8696B"/>
      </colorScale>
    </cfRule>
  </conditionalFormatting>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Button 4">
              <controlPr defaultSize="0" print="0" autoFill="0" autoPict="0" macro="[0]!Up_ADP">
                <anchor moveWithCells="1" sizeWithCells="1">
                  <from>
                    <xdr:col>3</xdr:col>
                    <xdr:colOff>9525</xdr:colOff>
                    <xdr:row>0</xdr:row>
                    <xdr:rowOff>57150</xdr:rowOff>
                  </from>
                  <to>
                    <xdr:col>3</xdr:col>
                    <xdr:colOff>1390650</xdr:colOff>
                    <xdr:row>2</xdr:row>
                    <xdr:rowOff>133350</xdr:rowOff>
                  </to>
                </anchor>
              </controlPr>
            </control>
          </mc:Choice>
        </mc:AlternateContent>
        <mc:AlternateContent xmlns:mc="http://schemas.openxmlformats.org/markup-compatibility/2006">
          <mc:Choice Requires="x14">
            <control shapeId="27653" r:id="rId5" name="Button 5">
              <controlPr defaultSize="0" print="0" autoFill="0" autoPict="0" macro="[0]!Down_ADP">
                <anchor moveWithCells="1" sizeWithCells="1">
                  <from>
                    <xdr:col>3</xdr:col>
                    <xdr:colOff>9525</xdr:colOff>
                    <xdr:row>2</xdr:row>
                    <xdr:rowOff>142875</xdr:rowOff>
                  </from>
                  <to>
                    <xdr:col>3</xdr:col>
                    <xdr:colOff>1390650</xdr:colOff>
                    <xdr:row>4</xdr:row>
                    <xdr:rowOff>142875</xdr:rowOff>
                  </to>
                </anchor>
              </controlPr>
            </control>
          </mc:Choice>
        </mc:AlternateContent>
        <mc:AlternateContent xmlns:mc="http://schemas.openxmlformats.org/markup-compatibility/2006">
          <mc:Choice Requires="x14">
            <control shapeId="27654" r:id="rId6" name="Button 6">
              <controlPr defaultSize="0" print="0" autoFill="0" autoPict="0" macro="[0]!ADP_Proj_Import">
                <anchor moveWithCells="1">
                  <from>
                    <xdr:col>5</xdr:col>
                    <xdr:colOff>304800</xdr:colOff>
                    <xdr:row>1</xdr:row>
                    <xdr:rowOff>123825</xdr:rowOff>
                  </from>
                  <to>
                    <xdr:col>7</xdr:col>
                    <xdr:colOff>466725</xdr:colOff>
                    <xdr:row>4</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dimension ref="A1:BF255"/>
  <sheetViews>
    <sheetView zoomScale="110" zoomScaleNormal="110" workbookViewId="0">
      <pane ySplit="2" topLeftCell="A3" activePane="bottomLeft" state="frozen"/>
      <selection pane="bottomLeft" activeCell="L3" sqref="L3"/>
    </sheetView>
  </sheetViews>
  <sheetFormatPr defaultColWidth="0" defaultRowHeight="15" zeroHeight="1" x14ac:dyDescent="0.25"/>
  <cols>
    <col min="1" max="1" width="9.140625" customWidth="1"/>
    <col min="2" max="2" width="9.140625" hidden="1" customWidth="1"/>
    <col min="3" max="3" width="9.140625" customWidth="1"/>
    <col min="4" max="4" width="20.7109375" hidden="1" customWidth="1"/>
    <col min="5" max="5" width="9.7109375" hidden="1" customWidth="1"/>
    <col min="6" max="7" width="9.140625" hidden="1" customWidth="1"/>
    <col min="8" max="8" width="20.7109375" hidden="1" customWidth="1"/>
    <col min="9" max="9" width="9.7109375" hidden="1" customWidth="1"/>
    <col min="10" max="11" width="9.140625" hidden="1" customWidth="1"/>
    <col min="12" max="12" width="20.7109375" customWidth="1"/>
    <col min="13" max="13" width="9.7109375" customWidth="1"/>
    <col min="14" max="14" width="9.140625" customWidth="1"/>
    <col min="15" max="15" width="9.140625" hidden="1" customWidth="1"/>
    <col min="16" max="16" width="20.7109375" hidden="1" customWidth="1"/>
    <col min="17" max="17" width="9.7109375" hidden="1" customWidth="1"/>
    <col min="18" max="19" width="9.140625" hidden="1" customWidth="1"/>
    <col min="20" max="20" width="20.7109375" hidden="1" customWidth="1"/>
    <col min="21" max="21" width="9.7109375" hidden="1" customWidth="1"/>
    <col min="22" max="23" width="9.140625" hidden="1" customWidth="1"/>
    <col min="24" max="24" width="9.140625" customWidth="1"/>
    <col min="25" max="25" width="11.85546875" hidden="1" customWidth="1"/>
    <col min="26" max="26" width="9.140625" hidden="1" customWidth="1"/>
    <col min="27" max="27" width="10.7109375" hidden="1" customWidth="1"/>
    <col min="28" max="28" width="9.140625" hidden="1" customWidth="1"/>
    <col min="29" max="29" width="10.7109375" hidden="1" customWidth="1"/>
    <col min="30" max="30" width="9.140625" hidden="1" customWidth="1"/>
    <col min="31" max="31" width="10.7109375" hidden="1" customWidth="1"/>
    <col min="32" max="32" width="9.140625" hidden="1" customWidth="1"/>
    <col min="33" max="33" width="10.7109375" hidden="1" customWidth="1"/>
    <col min="34" max="34" width="9.140625" hidden="1" customWidth="1"/>
    <col min="35" max="35" width="10.7109375" hidden="1" customWidth="1"/>
    <col min="36" max="36" width="9.140625" hidden="1" customWidth="1"/>
    <col min="37" max="37" width="10.7109375" hidden="1" customWidth="1"/>
    <col min="38" max="38" width="9.140625" hidden="1" customWidth="1"/>
    <col min="39" max="39" width="10.7109375" hidden="1" customWidth="1"/>
    <col min="40" max="40" width="9.140625" hidden="1" customWidth="1"/>
    <col min="41" max="41" width="10.7109375" hidden="1" customWidth="1"/>
    <col min="42" max="42" width="9.140625" hidden="1" customWidth="1"/>
    <col min="43" max="43" width="10.7109375" hidden="1" customWidth="1"/>
    <col min="44" max="44" width="9.140625" hidden="1" customWidth="1"/>
    <col min="45" max="45" width="10.7109375" hidden="1" customWidth="1"/>
    <col min="46" max="46" width="9.140625" hidden="1" customWidth="1"/>
    <col min="47" max="47" width="10.7109375" hidden="1" customWidth="1"/>
    <col min="48" max="48" width="9.140625" hidden="1" customWidth="1"/>
    <col min="49" max="49" width="10.7109375" hidden="1" customWidth="1"/>
    <col min="50" max="50" width="9.140625" hidden="1" customWidth="1"/>
    <col min="51" max="51" width="10.7109375" hidden="1" customWidth="1"/>
    <col min="52" max="52" width="9.140625" hidden="1" customWidth="1"/>
    <col min="53" max="53" width="10.7109375" hidden="1" customWidth="1"/>
    <col min="54" max="54" width="9.42578125" hidden="1" customWidth="1"/>
    <col min="55" max="16384" width="9.140625" hidden="1"/>
  </cols>
  <sheetData>
    <row r="1" spans="1:58" x14ac:dyDescent="0.25">
      <c r="A1" s="280"/>
      <c r="B1" s="223"/>
      <c r="C1" s="281"/>
      <c r="D1" s="281"/>
      <c r="E1" s="282"/>
      <c r="F1" s="281"/>
      <c r="G1" s="280"/>
      <c r="H1" s="281"/>
      <c r="I1" s="282"/>
      <c r="J1" s="281"/>
      <c r="K1" s="280"/>
      <c r="L1" s="281"/>
      <c r="M1" s="281"/>
      <c r="N1" s="281"/>
      <c r="O1" s="280"/>
      <c r="P1" s="281"/>
      <c r="Q1" s="281"/>
      <c r="R1" s="280"/>
      <c r="S1" s="280"/>
      <c r="T1" s="281"/>
      <c r="U1" s="282"/>
      <c r="V1" s="280"/>
      <c r="W1" s="280"/>
      <c r="X1" s="280"/>
      <c r="Y1" s="190"/>
      <c r="Z1" s="321"/>
      <c r="AA1" s="321" t="str">
        <f>Instructions!$F42</f>
        <v>Trumbo</v>
      </c>
      <c r="AB1" s="321"/>
      <c r="AC1" s="321" t="str">
        <f>Instructions!$F43</f>
        <v>Camden</v>
      </c>
      <c r="AD1" s="321"/>
      <c r="AE1" s="321" t="str">
        <f>Instructions!$F44</f>
        <v>Cam</v>
      </c>
      <c r="AF1" s="321"/>
      <c r="AG1" s="321" t="str">
        <f>Instructions!$F45</f>
        <v>Miles</v>
      </c>
      <c r="AH1" s="321"/>
      <c r="AI1" s="321" t="str">
        <f>Instructions!$F46</f>
        <v>Con</v>
      </c>
      <c r="AJ1" s="321"/>
      <c r="AK1" s="321" t="str">
        <f>Instructions!$F47</f>
        <v>Devin</v>
      </c>
      <c r="AL1" s="321"/>
      <c r="AM1" s="321" t="str">
        <f>Instructions!$F48</f>
        <v>Bui</v>
      </c>
      <c r="AN1" s="321"/>
      <c r="AO1" s="321" t="str">
        <f>Instructions!$F49</f>
        <v>Luke</v>
      </c>
      <c r="AP1" s="321"/>
      <c r="AQ1" s="321" t="str">
        <f>Instructions!$F50</f>
        <v>Dan</v>
      </c>
      <c r="AR1" s="321"/>
      <c r="AS1" s="321" t="str">
        <f>Instructions!$F51</f>
        <v>Josh</v>
      </c>
      <c r="AT1" s="321"/>
      <c r="AU1" s="321" t="str">
        <f>Instructions!$F52</f>
        <v>Big R</v>
      </c>
      <c r="AV1" s="321"/>
      <c r="AW1" s="321" t="str">
        <f>Instructions!$F53</f>
        <v>Zack</v>
      </c>
      <c r="AX1" s="321"/>
      <c r="AY1" s="321" t="str">
        <f>Instructions!$F54</f>
        <v>[TEAM 13]</v>
      </c>
      <c r="AZ1" s="321"/>
      <c r="BA1" s="321" t="str">
        <f>Instructions!$F55</f>
        <v>[TEAM 14]</v>
      </c>
      <c r="BB1" s="321"/>
      <c r="BC1" s="321" t="str">
        <f>Instructions!$F56</f>
        <v>[TEAM 15]</v>
      </c>
      <c r="BD1" s="321"/>
      <c r="BE1" s="321" t="str">
        <f>Instructions!$F57</f>
        <v>[TEAM 16]</v>
      </c>
      <c r="BF1" s="190"/>
    </row>
    <row r="2" spans="1:58" ht="15.75" thickBot="1" x14ac:dyDescent="0.3">
      <c r="A2" s="280"/>
      <c r="B2" s="322"/>
      <c r="C2" s="269" t="s">
        <v>1172</v>
      </c>
      <c r="D2" s="269" t="s">
        <v>918</v>
      </c>
      <c r="E2" s="335" t="s">
        <v>1173</v>
      </c>
      <c r="F2" s="269"/>
      <c r="G2" s="270"/>
      <c r="H2" s="269" t="s">
        <v>918</v>
      </c>
      <c r="I2" s="269" t="s">
        <v>1173</v>
      </c>
      <c r="J2" s="269"/>
      <c r="K2" s="270"/>
      <c r="L2" s="269" t="s">
        <v>918</v>
      </c>
      <c r="M2" s="269" t="s">
        <v>1173</v>
      </c>
      <c r="N2" s="269"/>
      <c r="O2" s="270"/>
      <c r="P2" s="269" t="s">
        <v>918</v>
      </c>
      <c r="Q2" s="269" t="s">
        <v>1173</v>
      </c>
      <c r="R2" s="270"/>
      <c r="S2" s="270"/>
      <c r="T2" s="269" t="s">
        <v>918</v>
      </c>
      <c r="U2" s="335" t="s">
        <v>1173</v>
      </c>
      <c r="V2" s="270"/>
      <c r="W2" s="270"/>
      <c r="X2" s="280"/>
      <c r="Y2" s="190"/>
      <c r="Z2" s="321"/>
      <c r="AA2" s="321"/>
      <c r="AB2" s="321"/>
      <c r="AC2" s="321"/>
      <c r="AD2" s="321"/>
      <c r="AE2" s="321"/>
      <c r="AF2" s="321"/>
      <c r="AG2" s="321"/>
      <c r="AH2" s="321"/>
      <c r="AI2" s="321"/>
      <c r="AJ2" s="321"/>
      <c r="AK2" s="321"/>
      <c r="AL2" s="321"/>
      <c r="AM2" s="321"/>
      <c r="AN2" s="321"/>
      <c r="AO2" s="321"/>
      <c r="AP2" s="321"/>
      <c r="AQ2" s="321"/>
      <c r="AR2" s="321"/>
      <c r="AS2" s="321"/>
      <c r="AT2" s="321"/>
      <c r="AU2" s="321"/>
      <c r="AV2" s="321"/>
      <c r="AW2" s="321"/>
      <c r="AX2" s="321"/>
      <c r="AY2" s="321"/>
      <c r="AZ2" s="321"/>
      <c r="BA2" s="321"/>
      <c r="BB2" s="321"/>
      <c r="BC2" s="190"/>
      <c r="BD2" s="190"/>
      <c r="BE2" s="190"/>
      <c r="BF2" s="190"/>
    </row>
    <row r="3" spans="1:58" ht="15" customHeight="1" x14ac:dyDescent="0.25">
      <c r="A3" s="280"/>
      <c r="B3" s="323" t="str">
        <f>IF(Instructions!$J$11=1,AA3,IF(Instructions!$J$11=2,AC3,IF(Instructions!$J$11=3,AE3,IF(Instructions!$J$11=4,AG3,IF(Instructions!$J$11=5,AI3,IF(Instructions!$J$11=6,AK3,IF(Instructions!$J$11=7,AM3,IF(Instructions!$J$11=8,AO3,IF(Instructions!$J$11=9,AQ3,IF(Instructions!$J$11=10,AS3,IF(Instructions!$J$11=11,AU3,IF(Instructions!$J$11=12,AW3,IF(Instructions!$J$11=13, AY3, IF(Instructions!$J$11=14,BA3,IF(Instructions!$J$11=15,BC3,BE3)))))))))))))))</f>
        <v>200</v>
      </c>
      <c r="C3" s="271">
        <v>1</v>
      </c>
      <c r="D3" s="325" t="str">
        <f>Instructions!F$42</f>
        <v>Trumbo</v>
      </c>
      <c r="E3" s="331" t="s">
        <v>707</v>
      </c>
      <c r="F3" s="705" t="s">
        <v>896</v>
      </c>
      <c r="G3" s="279">
        <v>1</v>
      </c>
      <c r="H3" s="292" t="str">
        <f>Instructions!F$42</f>
        <v>Trumbo</v>
      </c>
      <c r="I3" s="276" t="s">
        <v>707</v>
      </c>
      <c r="J3" s="708" t="s">
        <v>896</v>
      </c>
      <c r="K3" s="279">
        <v>1</v>
      </c>
      <c r="L3" s="292" t="str">
        <f>Instructions!F$42</f>
        <v>Trumbo</v>
      </c>
      <c r="M3" s="276" t="s">
        <v>707</v>
      </c>
      <c r="N3" s="708" t="s">
        <v>896</v>
      </c>
      <c r="O3" s="279">
        <v>1</v>
      </c>
      <c r="P3" s="292" t="str">
        <f>Instructions!F$42</f>
        <v>Trumbo</v>
      </c>
      <c r="Q3" s="276" t="s">
        <v>707</v>
      </c>
      <c r="R3" s="708" t="s">
        <v>896</v>
      </c>
      <c r="S3" s="279">
        <v>1</v>
      </c>
      <c r="T3" s="325" t="str">
        <f>Instructions!F$42</f>
        <v>Trumbo</v>
      </c>
      <c r="U3" s="326" t="s">
        <v>707</v>
      </c>
      <c r="V3" s="705" t="s">
        <v>896</v>
      </c>
      <c r="W3" s="279">
        <v>1</v>
      </c>
      <c r="X3" s="280"/>
      <c r="Y3" s="190" t="str">
        <f>IFERROR( IF(Instructions!$E$11=8, D3&amp;COUNTIF(D$3:D3,D3), IF(Instructions!$E$11=10, H3&amp;COUNTIF(H$3:H3,H3),IF(Instructions!$E$11=12, L3&amp;COUNTIF(L$3:L3,L3),IF(Instructions!$E$11=14, P3&amp;COUNTIF(P$3:P3,P3),T3&amp;COUNTIF(T$3:T3,T3))))),"")</f>
        <v>Trumbo1</v>
      </c>
      <c r="Z3" s="321">
        <f>IF(Instructions!$E$11=8,IF($D3=Instructions!$F$42,Z1+1,Z1),IF(Instructions!$E$11=10,IF($H3=Instructions!$F$42,Z1+1,Z1),IF(Instructions!$E$11=12,IF($L3=Instructions!$F$42,Z1+1,Z1),IF(Instructions!$E$11=14,IF($P3=Instructions!$F$42,Z1+1,Z1),IF(Instructions!$E$11=16,IF($T3=Instructions!$F$42,Z1+1,Z1))))))</f>
        <v>1</v>
      </c>
      <c r="AA3" s="321" t="str">
        <f>IF(Z3&lt;10, 1&amp;0&amp;Z3, 1&amp;Z3)</f>
        <v>101</v>
      </c>
      <c r="AB3" s="321">
        <f>IF(Instructions!$E$11=8,IF($D3=Instructions!$F$43,AB1+1,AB1),IF(Instructions!$E$11=10,IF($H3=Instructions!$F$43,AB1+1,AB1),IF(Instructions!$E$11=12,IF($L3=Instructions!$F$43,AB1+1,AB1),IF(Instructions!$E$11=14,IF($P3=Instructions!$F$43,AB1+1,AB1),IF(Instructions!$E$11=16,IF($T3=Instructions!$F$43,AB1+1,AB1))))))</f>
        <v>0</v>
      </c>
      <c r="AC3" s="321" t="str">
        <f t="shared" ref="AC3:AC66" si="0">IF(AB3&lt;10, 2&amp;0&amp;AB3, 2&amp;AB3)</f>
        <v>200</v>
      </c>
      <c r="AD3" s="321">
        <f>IF(Instructions!$E$11=8,IF($D3=Instructions!$F$44,AD1+1,AD1),IF(Instructions!$E$11=10,IF($H3=Instructions!$F$44,AD1+1,AD1),IF(Instructions!$E$11=12,IF($L3=Instructions!$F$44,AD1+1,AD1),IF(Instructions!$E$11=14,IF($P3=Instructions!$F$44,AD1+1,AD1),IF(Instructions!$E$11=16,IF($T3=Instructions!$F$44,AD1+1,AD1))))))</f>
        <v>0</v>
      </c>
      <c r="AE3" s="321" t="str">
        <f t="shared" ref="AE3:AE66" si="1">IF(AD3&lt;10, 3&amp;0&amp;AD3, 3&amp;AD3)</f>
        <v>300</v>
      </c>
      <c r="AF3" s="321">
        <f>IF(Instructions!$E$11=8,IF($D3=Instructions!$F$45,AF1+1,AF1),IF(Instructions!$E$11=10,IF($H3=Instructions!$F$45,AF1+1,AF1),IF(Instructions!$E$11=12,IF($L3=Instructions!$F$45,AF1+1,AF1),IF(Instructions!$E$11=14,IF($P3=Instructions!$F$45,AF1+1,AF1),IF(Instructions!$E$11=16,IF($T3=Instructions!$F$45,AF1+1,AF1))))))</f>
        <v>0</v>
      </c>
      <c r="AG3" s="321" t="str">
        <f t="shared" ref="AG3:AG66" si="2">IF(AF3&lt;10, 4&amp;0&amp;AF3, 4&amp;AF3)</f>
        <v>400</v>
      </c>
      <c r="AH3" s="321">
        <f>IF(Instructions!$E$11=8,IF($D3=Instructions!$F$46,AH1+1,AH1),IF(Instructions!$E$11=10,IF($H3=Instructions!$F$46,AH1+1,AH1),IF(Instructions!$E$11=12,IF($L3=Instructions!$F$46,AH1+1,AH1),IF(Instructions!$E$11=14,IF($P3=Instructions!$F$46,AH1+1,AH1),IF(Instructions!$E$11=16,IF($T3=Instructions!$F$46,AH1+1,AH1))))))</f>
        <v>0</v>
      </c>
      <c r="AI3" s="321" t="str">
        <f t="shared" ref="AI3:AI66" si="3">IF(AH3&lt;10, 5&amp;0&amp;AH3, 5&amp;AH3)</f>
        <v>500</v>
      </c>
      <c r="AJ3" s="321">
        <f>IF(Instructions!$E$11=8,IF($D3=Instructions!$F$47,AJ1+1,AJ1),IF(Instructions!$E$11=10,IF($H3=Instructions!$F$47,AJ1+1,AJ1),IF(Instructions!$E$11=12,IF($L3=Instructions!$F$47,AJ1+1,AJ1),IF(Instructions!$E$11=14,IF($P3=Instructions!$F$47,AJ1+1,AJ1),IF(Instructions!$E$11=16,IF($T3=Instructions!$F$47,AJ1+1,AJ1))))))</f>
        <v>0</v>
      </c>
      <c r="AK3" s="321" t="str">
        <f t="shared" ref="AK3:AK66" si="4">IF(AJ3&lt;10, 6&amp;0&amp;AJ3, 6&amp;AJ3)</f>
        <v>600</v>
      </c>
      <c r="AL3" s="321">
        <f>IF(Instructions!$E$11=8,IF($D3=Instructions!$F$48,AL1+1,AL1),IF(Instructions!$E$11=10,IF($H3=Instructions!$F$48,AL1+1,AL1),IF(Instructions!$E$11=12,IF($L3=Instructions!$F$48,AL1+1,AL1),IF(Instructions!$E$11=14,IF($P3=Instructions!$F$48,AL1+1,AL1),IF(Instructions!$E$11=16,IF($T3=Instructions!$F$48,AL1+1,AL1))))))</f>
        <v>0</v>
      </c>
      <c r="AM3" s="321" t="str">
        <f t="shared" ref="AM3:AM66" si="5">IF(AL3&lt;10, 7&amp;0&amp;AL3, 7&amp;AL3)</f>
        <v>700</v>
      </c>
      <c r="AN3" s="321">
        <f>IF(Instructions!$E$11=8,IF($D3=Instructions!$F$49,AN1+1,AN1),IF(Instructions!$E$11=10,IF($H3=Instructions!$F$49,AN1+1,AN1),IF(Instructions!$E$11=12,IF($L3=Instructions!$F$49,AN1+1,AN1),IF(Instructions!$E$11=14,IF($P3=Instructions!$F$49,AN1+1,AN1),IF(Instructions!$E$11=16,IF($T3=Instructions!$F$49,AN1+1,AN1))))))</f>
        <v>0</v>
      </c>
      <c r="AO3" s="321" t="str">
        <f t="shared" ref="AO3:AO66" si="6">IF(AN3&lt;10, 8&amp;0&amp;AN3, 8&amp;AN3)</f>
        <v>800</v>
      </c>
      <c r="AP3" s="321">
        <f>IF(Instructions!$E$11=8,IF($D3=Instructions!$F$50,AP1+1,AP1),IF(Instructions!$E$11=10,IF($H3=Instructions!$F$50,AP1+1,AP1),IF(Instructions!$E$11=12,IF($L3=Instructions!$F$50,AP1+1,AP1),IF(Instructions!$E$11=14,IF($P3=Instructions!$F$50,AP1+1,AP1),IF(Instructions!$E$11=16,IF($T3=Instructions!$F$50,AP1+1,AP1))))))</f>
        <v>0</v>
      </c>
      <c r="AQ3" s="321" t="str">
        <f t="shared" ref="AQ3:AQ66" si="7">IF(AP3&lt;10, 9&amp;0&amp;AP3, 9&amp;AP3)</f>
        <v>900</v>
      </c>
      <c r="AR3" s="321">
        <f>IF(Instructions!$E$11=8,IF($D3=Instructions!$F$51,AR1+1,AR1),IF(Instructions!$E$11=10,IF($H3=Instructions!$F$51,AR1+1,AR1),IF(Instructions!$E$11=12,IF($L3=Instructions!$F$51,AR1+1,AR1),IF(Instructions!$E$11=14,IF($P3=Instructions!$F$51,AR1+1,AR1),IF(Instructions!$E$11=16,IF($T3=Instructions!$F$51,AR1+1,AR1))))))</f>
        <v>0</v>
      </c>
      <c r="AS3" s="321" t="str">
        <f>IF(AR3&gt;9, 10&amp;AR3, 100&amp;AR3)</f>
        <v>1000</v>
      </c>
      <c r="AT3" s="321">
        <f>IF(Instructions!$E$11=8,IF($D3=Instructions!$F$52,AT1+1,AT1),IF(Instructions!$E$11=10,IF($H3=Instructions!$F$52,AT1+1,AT1),IF(Instructions!$E$11=12,IF($L3=Instructions!$F$52,AT1+1,AT1),IF(Instructions!$E$11=14,IF($P3=Instructions!$F$52,AT1+1,AT1),IF(Instructions!$E$11=16,IF($T3=Instructions!$F$52,AT1+1,AT1))))))</f>
        <v>0</v>
      </c>
      <c r="AU3" s="321" t="str">
        <f>IF(AT3&gt;9, 11&amp;AT3, 110&amp;AT3)</f>
        <v>1100</v>
      </c>
      <c r="AV3" s="321">
        <f>IF(Instructions!$E$11=8,IF($D3=Instructions!$F$53,AV1+1,AV1),IF(Instructions!$E$11=10,IF($H3=Instructions!$F$53,AV1+1,AV1),IF(Instructions!$E$11=12,IF($L3=Instructions!$F$53,AV1+1,AV1),IF(Instructions!$E$11=14,IF($P3=Instructions!$F$53,AV1+1,AV1),IF(Instructions!$E$11=16,IF($T3=Instructions!$F$53,AV1+1,AV1))))))</f>
        <v>0</v>
      </c>
      <c r="AW3" s="321" t="str">
        <f>IF(AV3&gt;9, 12&amp;AV3, 120&amp;AV3)</f>
        <v>1200</v>
      </c>
      <c r="AX3" s="321">
        <f>IF(Instructions!$E$11=8,IF($D3=Instructions!$F$54,AX1+1,AX1),IF(Instructions!$E$11=10,IF($H3=Instructions!$F$54,AX1+1,AX1),IF(Instructions!$E$11=12,IF($L3=Instructions!$F$54,AX1+1,AX1),IF(Instructions!$E$11=14,IF($P3=Instructions!$F$54,AX1+1,AX1),IF(Instructions!$E$11=16,IF($T3=Instructions!$F$54,AX1+1,AX1))))))</f>
        <v>0</v>
      </c>
      <c r="AY3" s="321" t="str">
        <f>IF(AX3&gt;9, 13&amp;AX3, 130&amp;AX3)</f>
        <v>1300</v>
      </c>
      <c r="AZ3" s="321">
        <f>IF(Instructions!$E$11=8,IF($D3=Instructions!$F$55,AZ1+1,AZ1),IF(Instructions!$E$11=10,IF($H3=Instructions!$F$55,AZ1+1,AZ1),IF(Instructions!$E$11=12,IF($L3=Instructions!$F$55,AZ1+1,AZ1),IF(Instructions!$E$11=14,IF($P3=Instructions!$F$55,AZ1+1,AZ1),IF(Instructions!$E$11=16,IF($T3=Instructions!$F$55,AZ1+1,AZ1))))))</f>
        <v>0</v>
      </c>
      <c r="BA3" s="321" t="str">
        <f>IF(AZ3&gt;9, 14&amp;AZ3, 140&amp;AZ3)</f>
        <v>1400</v>
      </c>
      <c r="BB3" s="321">
        <f>IF(Instructions!$E$11=8,IF($D3=Instructions!$F$56,BB1+1,BB1),IF(Instructions!$E$11=10,IF($H3=Instructions!$F$56,BB1+1,BB1),IF(Instructions!$E$11=12,IF($L3=Instructions!$F$56,BB1+1,BB1),IF(Instructions!$E$11=14,IF($P3=Instructions!$F$56,BB1+1,BB1),IF(Instructions!$E$11=16,IF($T3=Instructions!$F$56,BB1+1,BB1))))))</f>
        <v>0</v>
      </c>
      <c r="BC3" s="321" t="str">
        <f>IF(BB3&gt;9, 15&amp;BB3, 150&amp;BB3)</f>
        <v>1500</v>
      </c>
      <c r="BD3" s="321">
        <f>IF(Instructions!$E$11=8,IF($D3=Instructions!$F$57,BD1+1,BD1),IF(Instructions!$E$11=10,IF($H3=Instructions!$F$57,BD1+1,BD1),IF(Instructions!$E$11=12,IF($L3=Instructions!$F$57,BD1+1,BD1),IF(Instructions!$E$11=14,IF($P3=Instructions!$F$57,BD1+1,BD1),IF(Instructions!$E$11=16,IF($T3=Instructions!$F$57,BD1+1,BD1))))))</f>
        <v>0</v>
      </c>
      <c r="BE3" s="321" t="str">
        <f>IF(BD3&gt;9, 16&amp;BD3, 160&amp;BD3)</f>
        <v>1600</v>
      </c>
      <c r="BF3" s="321">
        <v>1</v>
      </c>
    </row>
    <row r="4" spans="1:58" x14ac:dyDescent="0.25">
      <c r="A4" s="280"/>
      <c r="B4" s="323" t="str">
        <f>IF(Instructions!$J$11=1,AA4,IF(Instructions!$J$11=2,AC4,IF(Instructions!$J$11=3,AE4,IF(Instructions!$J$11=4,AG4,IF(Instructions!$J$11=5,AI4,IF(Instructions!$J$11=6,AK4,IF(Instructions!$J$11=7,AM4,IF(Instructions!$J$11=8,AO4,IF(Instructions!$J$11=9,AQ4,IF(Instructions!$J$11=10,AS4,IF(Instructions!$J$11=11,AU4,IF(Instructions!$J$11=12,AW4,IF(Instructions!$J$11=13, AY4, IF(Instructions!$J$11=14,BA4,IF(Instructions!$J$11=15,BC4,BE4)))))))))))))))</f>
        <v>201</v>
      </c>
      <c r="C4" s="272">
        <v>2</v>
      </c>
      <c r="D4" s="327" t="str">
        <f>Instructions!F$43</f>
        <v>Camden</v>
      </c>
      <c r="E4" s="332" t="s">
        <v>708</v>
      </c>
      <c r="F4" s="706"/>
      <c r="G4" s="279">
        <v>1</v>
      </c>
      <c r="H4" s="294" t="str">
        <f>Instructions!F$43</f>
        <v>Camden</v>
      </c>
      <c r="I4" s="274" t="s">
        <v>708</v>
      </c>
      <c r="J4" s="709"/>
      <c r="K4" s="279">
        <v>1</v>
      </c>
      <c r="L4" s="294" t="str">
        <f>Instructions!F$43</f>
        <v>Camden</v>
      </c>
      <c r="M4" s="274" t="s">
        <v>708</v>
      </c>
      <c r="N4" s="709"/>
      <c r="O4" s="279">
        <v>1</v>
      </c>
      <c r="P4" s="294" t="str">
        <f>Instructions!F$43</f>
        <v>Camden</v>
      </c>
      <c r="Q4" s="274" t="s">
        <v>708</v>
      </c>
      <c r="R4" s="709"/>
      <c r="S4" s="279">
        <v>1</v>
      </c>
      <c r="T4" s="327" t="str">
        <f>Instructions!F$43</f>
        <v>Camden</v>
      </c>
      <c r="U4" s="274" t="s">
        <v>708</v>
      </c>
      <c r="V4" s="706"/>
      <c r="W4" s="279">
        <v>1</v>
      </c>
      <c r="X4" s="280"/>
      <c r="Y4" s="190" t="str">
        <f>IFERROR( IF(Instructions!$E$11=8, D4&amp;COUNTIF(D$3:D4,D4), IF(Instructions!$E$11=10, H4&amp;COUNTIF(H$3:H4,H4),IF(Instructions!$E$11=12, L4&amp;COUNTIF(L$3:L4,L4),IF(Instructions!$E$11=14, P4&amp;COUNTIF(P$3:P4,P4),T4&amp;COUNTIF(T$3:T4,T4))))),"")</f>
        <v>Camden1</v>
      </c>
      <c r="Z4" s="321">
        <f>IF(Instructions!$E$11=8,IF($D4=Instructions!$F$42,Z3+1,Z3),IF(Instructions!$E$11=10,IF($H4=Instructions!$F$42,Z3+1,Z3),IF(Instructions!$E$11=12,IF($L4=Instructions!$F$42,Z3+1,Z3),IF(Instructions!$E$11=14,IF($P4=Instructions!$F$42,Z3+1,Z3),IF(Instructions!$E$11=16,IF($T4=Instructions!$F$42,Z3+1,Z3))))))</f>
        <v>1</v>
      </c>
      <c r="AA4" s="321" t="str">
        <f t="shared" ref="AA4:AA67" si="8">IF(Z4&lt;10, 1&amp;0&amp;Z4, 1&amp;Z4)</f>
        <v>101</v>
      </c>
      <c r="AB4" s="321">
        <f>IF(Instructions!$E$11=8,IF($D4=Instructions!$F$43,AB3+1,AB3),IF(Instructions!$E$11=10,IF($H4=Instructions!$F$43,AB3+1,AB3),IF(Instructions!$E$11=12,IF($L4=Instructions!$F$43,AB3+1,AB3),IF(Instructions!$E$11=14,IF($P4=Instructions!$F$43,AB3+1,AB3),IF(Instructions!$E$11=16,IF($T4=Instructions!$F$43,AB3+1,AB3))))))</f>
        <v>1</v>
      </c>
      <c r="AC4" s="321" t="str">
        <f t="shared" si="0"/>
        <v>201</v>
      </c>
      <c r="AD4" s="321">
        <f>IF(Instructions!$E$11=8,IF($D4=Instructions!$F$44,AD3+1,AD3),IF(Instructions!$E$11=10,IF($H4=Instructions!$F$44,AD3+1,AD3),IF(Instructions!$E$11=12,IF($L4=Instructions!$F$44,AD3+1,AD3),IF(Instructions!$E$11=14,IF($P4=Instructions!$F$44,AD3+1,AD3),IF(Instructions!$E$11=16,IF($T4=Instructions!$F$44,AD3+1,AD3))))))</f>
        <v>0</v>
      </c>
      <c r="AE4" s="321" t="str">
        <f t="shared" si="1"/>
        <v>300</v>
      </c>
      <c r="AF4" s="321">
        <f>IF(Instructions!$E$11=8,IF($D4=Instructions!$F$45,AF3+1,AF3),IF(Instructions!$E$11=10,IF($H4=Instructions!$F$45,AF3+1,AF3),IF(Instructions!$E$11=12,IF($L4=Instructions!$F$45,AF3+1,AF3),IF(Instructions!$E$11=14,IF($P4=Instructions!$F$45,AF3+1,AF3),IF(Instructions!$E$11=16,IF($T4=Instructions!$F$45,AF3+1,AF3))))))</f>
        <v>0</v>
      </c>
      <c r="AG4" s="321" t="str">
        <f t="shared" si="2"/>
        <v>400</v>
      </c>
      <c r="AH4" s="321">
        <f>IF(Instructions!$E$11=8,IF($D4=Instructions!$F$46,AH3+1,AH3),IF(Instructions!$E$11=10,IF($H4=Instructions!$F$46,AH3+1,AH3),IF(Instructions!$E$11=12,IF($L4=Instructions!$F$46,AH3+1,AH3),IF(Instructions!$E$11=14,IF($P4=Instructions!$F$46,AH3+1,AH3),IF(Instructions!$E$11=16,IF($T4=Instructions!$F$46,AH3+1,AH3))))))</f>
        <v>0</v>
      </c>
      <c r="AI4" s="321" t="str">
        <f t="shared" si="3"/>
        <v>500</v>
      </c>
      <c r="AJ4" s="321">
        <f>IF(Instructions!$E$11=8,IF($D4=Instructions!$F$47,AJ3+1,AJ3),IF(Instructions!$E$11=10,IF($H4=Instructions!$F$47,AJ3+1,AJ3),IF(Instructions!$E$11=12,IF($L4=Instructions!$F$47,AJ3+1,AJ3),IF(Instructions!$E$11=14,IF($P4=Instructions!$F$47,AJ3+1,AJ3),IF(Instructions!$E$11=16,IF($T4=Instructions!$F$47,AJ3+1,AJ3))))))</f>
        <v>0</v>
      </c>
      <c r="AK4" s="321" t="str">
        <f t="shared" si="4"/>
        <v>600</v>
      </c>
      <c r="AL4" s="321">
        <f>IF(Instructions!$E$11=8,IF($D4=Instructions!$F$48,AL3+1,AL3),IF(Instructions!$E$11=10,IF($H4=Instructions!$F$48,AL3+1,AL3),IF(Instructions!$E$11=12,IF($L4=Instructions!$F$48,AL3+1,AL3),IF(Instructions!$E$11=14,IF($P4=Instructions!$F$48,AL3+1,AL3),IF(Instructions!$E$11=16,IF($T4=Instructions!$F$48,AL3+1,AL3))))))</f>
        <v>0</v>
      </c>
      <c r="AM4" s="321" t="str">
        <f t="shared" si="5"/>
        <v>700</v>
      </c>
      <c r="AN4" s="321">
        <f>IF(Instructions!$E$11=8,IF($D4=Instructions!$F$49,AN3+1,AN3),IF(Instructions!$E$11=10,IF($H4=Instructions!$F$49,AN3+1,AN3),IF(Instructions!$E$11=12,IF($L4=Instructions!$F$49,AN3+1,AN3),IF(Instructions!$E$11=14,IF($P4=Instructions!$F$49,AN3+1,AN3),IF(Instructions!$E$11=16,IF($T4=Instructions!$F$49,AN3+1,AN3))))))</f>
        <v>0</v>
      </c>
      <c r="AO4" s="321" t="str">
        <f t="shared" si="6"/>
        <v>800</v>
      </c>
      <c r="AP4" s="321">
        <f>IF(Instructions!$E$11=8,IF($D4=Instructions!$F$50,AP3+1,AP3),IF(Instructions!$E$11=10,IF($H4=Instructions!$F$50,AP3+1,AP3),IF(Instructions!$E$11=12,IF($L4=Instructions!$F$50,AP3+1,AP3),IF(Instructions!$E$11=14,IF($P4=Instructions!$F$50,AP3+1,AP3),IF(Instructions!$E$11=16,IF($T4=Instructions!$F$50,AP3+1,AP3))))))</f>
        <v>0</v>
      </c>
      <c r="AQ4" s="321" t="str">
        <f t="shared" si="7"/>
        <v>900</v>
      </c>
      <c r="AR4" s="321">
        <f>IF(Instructions!$E$11=8,IF($D4=Instructions!$F$51,AR3+1,AR3),IF(Instructions!$E$11=10,IF($H4=Instructions!$F$51,AR3+1,AR3),IF(Instructions!$E$11=12,IF($L4=Instructions!$F$51,AR3+1,AR3),IF(Instructions!$E$11=14,IF($P4=Instructions!$F$51,AR3+1,AR3),IF(Instructions!$E$11=16,IF($T4=Instructions!$F$51,AR3+1,AR3))))))</f>
        <v>0</v>
      </c>
      <c r="AS4" s="321" t="str">
        <f t="shared" ref="AS4:AS67" si="9">IF(AR4&gt;9, 10&amp;AR4, 100&amp;AR4)</f>
        <v>1000</v>
      </c>
      <c r="AT4" s="321">
        <f>IF(Instructions!$E$11=8,IF($D4=Instructions!$F$52,AT3+1,AT3),IF(Instructions!$E$11=10,IF($H4=Instructions!$F$52,AT3+1,AT3),IF(Instructions!$E$11=12,IF($L4=Instructions!$F$52,AT3+1,AT3),IF(Instructions!$E$11=14,IF($P4=Instructions!$F$52,AT3+1,AT3),IF(Instructions!$E$11=16,IF($T4=Instructions!$F$52,AT3+1,AT3))))))</f>
        <v>0</v>
      </c>
      <c r="AU4" s="321" t="str">
        <f t="shared" ref="AU4:AU67" si="10">IF(AT4&gt;9, 11&amp;AT4, 110&amp;AT4)</f>
        <v>1100</v>
      </c>
      <c r="AV4" s="321">
        <f>IF(Instructions!$E$11=8,IF($D4=Instructions!$F$53,AV3+1,AV3),IF(Instructions!$E$11=10,IF($H4=Instructions!$F$53,AV3+1,AV3),IF(Instructions!$E$11=12,IF($L4=Instructions!$F$53,AV3+1,AV3),IF(Instructions!$E$11=14,IF($P4=Instructions!$F$53,AV3+1,AV3),IF(Instructions!$E$11=16,IF($T4=Instructions!$F$53,AV3+1,AV3))))))</f>
        <v>0</v>
      </c>
      <c r="AW4" s="321" t="str">
        <f t="shared" ref="AW4:AW67" si="11">IF(AV4&gt;9, 12&amp;AV4, 120&amp;AV4)</f>
        <v>1200</v>
      </c>
      <c r="AX4" s="321">
        <f>IF(Instructions!$E$11=8,IF($D4=Instructions!$F$54,AX3+1,AX3),IF(Instructions!$E$11=10,IF($H4=Instructions!$F$54,AX3+1,AX3),IF(Instructions!$E$11=12,IF($L4=Instructions!$F$54,AX3+1,AX3),IF(Instructions!$E$11=14,IF($P4=Instructions!$F$54,AX3+1,AX3),IF(Instructions!$E$11=16,IF($T4=Instructions!$F$54,AX3+1,AX3))))))</f>
        <v>0</v>
      </c>
      <c r="AY4" s="321" t="str">
        <f t="shared" ref="AY4:AY67" si="12">IF(AX4&gt;9, 13&amp;AX4, 130&amp;AX4)</f>
        <v>1300</v>
      </c>
      <c r="AZ4" s="321">
        <f>IF(Instructions!$E$11=8,IF($D4=Instructions!$F$55,AZ3+1,AZ3),IF(Instructions!$E$11=10,IF($H4=Instructions!$F$55,AZ3+1,AZ3),IF(Instructions!$E$11=12,IF($L4=Instructions!$F$55,AZ3+1,AZ3),IF(Instructions!$E$11=14,IF($P4=Instructions!$F$55,AZ3+1,AZ3),IF(Instructions!$E$11=16,IF($T4=Instructions!$F$55,AZ3+1,AZ3))))))</f>
        <v>0</v>
      </c>
      <c r="BA4" s="321" t="str">
        <f t="shared" ref="BA4:BA67" si="13">IF(AZ4&gt;9, 14&amp;AZ4, 140&amp;AZ4)</f>
        <v>1400</v>
      </c>
      <c r="BB4" s="321">
        <f>IF(Instructions!$E$11=8,IF($D4=Instructions!$F$56,BB3+1,BB3),IF(Instructions!$E$11=10,IF($H4=Instructions!$F$56,BB3+1,BB3),IF(Instructions!$E$11=12,IF($L4=Instructions!$F$56,BB3+1,BB3),IF(Instructions!$E$11=14,IF($P4=Instructions!$F$56,BB3+1,BB3),IF(Instructions!$E$11=16,IF($T4=Instructions!$F$56,BB3+1,BB3))))))</f>
        <v>0</v>
      </c>
      <c r="BC4" s="321" t="str">
        <f t="shared" ref="BC4:BC67" si="14">IF(BB4&gt;9, 15&amp;BB4, 150&amp;BB4)</f>
        <v>1500</v>
      </c>
      <c r="BD4" s="321">
        <f>IF(Instructions!$E$11=8,IF($D4=Instructions!$F$57,BD3+1,BD3),IF(Instructions!$E$11=10,IF($H4=Instructions!$F$57,BD3+1,BD3),IF(Instructions!$E$11=12,IF($L4=Instructions!$F$57,BD3+1,BD3),IF(Instructions!$E$11=14,IF($P4=Instructions!$F$57,BD3+1,BD3),IF(Instructions!$E$11=16,IF($T4=Instructions!$F$57,BD3+1,BD3))))))</f>
        <v>0</v>
      </c>
      <c r="BE4" s="321" t="str">
        <f t="shared" ref="BE4:BE67" si="15">IF(BD4&gt;9, 16&amp;BD4, 160&amp;BD4)</f>
        <v>1600</v>
      </c>
      <c r="BF4" s="321">
        <v>2</v>
      </c>
    </row>
    <row r="5" spans="1:58" x14ac:dyDescent="0.25">
      <c r="A5" s="280"/>
      <c r="B5" s="323" t="str">
        <f>IF(Instructions!$J$11=1,AA5,IF(Instructions!$J$11=2,AC5,IF(Instructions!$J$11=3,AE5,IF(Instructions!$J$11=4,AG5,IF(Instructions!$J$11=5,AI5,IF(Instructions!$J$11=6,AK5,IF(Instructions!$J$11=7,AM5,IF(Instructions!$J$11=8,AO5,IF(Instructions!$J$11=9,AQ5,IF(Instructions!$J$11=10,AS5,IF(Instructions!$J$11=11,AU5,IF(Instructions!$J$11=12,AW5,IF(Instructions!$J$11=13, AY5, IF(Instructions!$J$11=14,BA5,IF(Instructions!$J$11=15,BC5,BE5)))))))))))))))</f>
        <v>201</v>
      </c>
      <c r="C5" s="271">
        <v>3</v>
      </c>
      <c r="D5" s="328" t="str">
        <f>Instructions!F$44</f>
        <v>Cam</v>
      </c>
      <c r="E5" s="333" t="s">
        <v>709</v>
      </c>
      <c r="F5" s="706"/>
      <c r="G5" s="279">
        <v>1</v>
      </c>
      <c r="H5" s="293" t="str">
        <f>Instructions!F$44</f>
        <v>Cam</v>
      </c>
      <c r="I5" s="273" t="s">
        <v>709</v>
      </c>
      <c r="J5" s="709"/>
      <c r="K5" s="279">
        <v>1</v>
      </c>
      <c r="L5" s="293" t="str">
        <f>Instructions!F$44</f>
        <v>Cam</v>
      </c>
      <c r="M5" s="273" t="s">
        <v>709</v>
      </c>
      <c r="N5" s="709"/>
      <c r="O5" s="279">
        <v>1</v>
      </c>
      <c r="P5" s="293" t="str">
        <f>Instructions!F$44</f>
        <v>Cam</v>
      </c>
      <c r="Q5" s="273" t="s">
        <v>709</v>
      </c>
      <c r="R5" s="709"/>
      <c r="S5" s="279">
        <v>1</v>
      </c>
      <c r="T5" s="328" t="str">
        <f>Instructions!F$44</f>
        <v>Cam</v>
      </c>
      <c r="U5" s="273" t="s">
        <v>709</v>
      </c>
      <c r="V5" s="706"/>
      <c r="W5" s="279">
        <v>1</v>
      </c>
      <c r="X5" s="280"/>
      <c r="Y5" s="190" t="str">
        <f>IFERROR( IF(Instructions!$E$11=8, D5&amp;COUNTIF(D$3:D5,D5), IF(Instructions!$E$11=10, H5&amp;COUNTIF(H$3:H5,H5),IF(Instructions!$E$11=12, L5&amp;COUNTIF(L$3:L5,L5),IF(Instructions!$E$11=14, P5&amp;COUNTIF(P$3:P5,P5),T5&amp;COUNTIF(T$3:T5,T5))))),"")</f>
        <v>Cam1</v>
      </c>
      <c r="Z5" s="321">
        <f>IF(Instructions!$E$11=8,IF($D5=Instructions!$F$42,Z4+1,Z4),IF(Instructions!$E$11=10,IF($H5=Instructions!$F$42,Z4+1,Z4),IF(Instructions!$E$11=12,IF($L5=Instructions!$F$42,Z4+1,Z4),IF(Instructions!$E$11=14,IF($P5=Instructions!$F$42,Z4+1,Z4),IF(Instructions!$E$11=16,IF($T5=Instructions!$F$42,Z4+1,Z4))))))</f>
        <v>1</v>
      </c>
      <c r="AA5" s="321" t="str">
        <f t="shared" si="8"/>
        <v>101</v>
      </c>
      <c r="AB5" s="321">
        <f>IF(Instructions!$E$11=8,IF($D5=Instructions!$F$43,AB4+1,AB4),IF(Instructions!$E$11=10,IF($H5=Instructions!$F$43,AB4+1,AB4),IF(Instructions!$E$11=12,IF($L5=Instructions!$F$43,AB4+1,AB4),IF(Instructions!$E$11=14,IF($P5=Instructions!$F$43,AB4+1,AB4),IF(Instructions!$E$11=16,IF($T5=Instructions!$F$43,AB4+1,AB4))))))</f>
        <v>1</v>
      </c>
      <c r="AC5" s="321" t="str">
        <f t="shared" si="0"/>
        <v>201</v>
      </c>
      <c r="AD5" s="321">
        <f>IF(Instructions!$E$11=8,IF($D5=Instructions!$F$44,AD4+1,AD4),IF(Instructions!$E$11=10,IF($H5=Instructions!$F$44,AD4+1,AD4),IF(Instructions!$E$11=12,IF($L5=Instructions!$F$44,AD4+1,AD4),IF(Instructions!$E$11=14,IF($P5=Instructions!$F$44,AD4+1,AD4),IF(Instructions!$E$11=16,IF($T5=Instructions!$F$44,AD4+1,AD4))))))</f>
        <v>1</v>
      </c>
      <c r="AE5" s="321" t="str">
        <f t="shared" si="1"/>
        <v>301</v>
      </c>
      <c r="AF5" s="321">
        <f>IF(Instructions!$E$11=8,IF($D5=Instructions!$F$45,AF4+1,AF4),IF(Instructions!$E$11=10,IF($H5=Instructions!$F$45,AF4+1,AF4),IF(Instructions!$E$11=12,IF($L5=Instructions!$F$45,AF4+1,AF4),IF(Instructions!$E$11=14,IF($P5=Instructions!$F$45,AF4+1,AF4),IF(Instructions!$E$11=16,IF($T5=Instructions!$F$45,AF4+1,AF4))))))</f>
        <v>0</v>
      </c>
      <c r="AG5" s="321" t="str">
        <f t="shared" si="2"/>
        <v>400</v>
      </c>
      <c r="AH5" s="321">
        <f>IF(Instructions!$E$11=8,IF($D5=Instructions!$F$46,AH4+1,AH4),IF(Instructions!$E$11=10,IF($H5=Instructions!$F$46,AH4+1,AH4),IF(Instructions!$E$11=12,IF($L5=Instructions!$F$46,AH4+1,AH4),IF(Instructions!$E$11=14,IF($P5=Instructions!$F$46,AH4+1,AH4),IF(Instructions!$E$11=16,IF($T5=Instructions!$F$46,AH4+1,AH4))))))</f>
        <v>0</v>
      </c>
      <c r="AI5" s="321" t="str">
        <f t="shared" si="3"/>
        <v>500</v>
      </c>
      <c r="AJ5" s="321">
        <f>IF(Instructions!$E$11=8,IF($D5=Instructions!$F$47,AJ4+1,AJ4),IF(Instructions!$E$11=10,IF($H5=Instructions!$F$47,AJ4+1,AJ4),IF(Instructions!$E$11=12,IF($L5=Instructions!$F$47,AJ4+1,AJ4),IF(Instructions!$E$11=14,IF($P5=Instructions!$F$47,AJ4+1,AJ4),IF(Instructions!$E$11=16,IF($T5=Instructions!$F$47,AJ4+1,AJ4))))))</f>
        <v>0</v>
      </c>
      <c r="AK5" s="321" t="str">
        <f t="shared" si="4"/>
        <v>600</v>
      </c>
      <c r="AL5" s="321">
        <f>IF(Instructions!$E$11=8,IF($D5=Instructions!$F$48,AL4+1,AL4),IF(Instructions!$E$11=10,IF($H5=Instructions!$F$48,AL4+1,AL4),IF(Instructions!$E$11=12,IF($L5=Instructions!$F$48,AL4+1,AL4),IF(Instructions!$E$11=14,IF($P5=Instructions!$F$48,AL4+1,AL4),IF(Instructions!$E$11=16,IF($T5=Instructions!$F$48,AL4+1,AL4))))))</f>
        <v>0</v>
      </c>
      <c r="AM5" s="321" t="str">
        <f t="shared" si="5"/>
        <v>700</v>
      </c>
      <c r="AN5" s="321">
        <f>IF(Instructions!$E$11=8,IF($D5=Instructions!$F$49,AN4+1,AN4),IF(Instructions!$E$11=10,IF($H5=Instructions!$F$49,AN4+1,AN4),IF(Instructions!$E$11=12,IF($L5=Instructions!$F$49,AN4+1,AN4),IF(Instructions!$E$11=14,IF($P5=Instructions!$F$49,AN4+1,AN4),IF(Instructions!$E$11=16,IF($T5=Instructions!$F$49,AN4+1,AN4))))))</f>
        <v>0</v>
      </c>
      <c r="AO5" s="321" t="str">
        <f t="shared" si="6"/>
        <v>800</v>
      </c>
      <c r="AP5" s="321">
        <f>IF(Instructions!$E$11=8,IF($D5=Instructions!$F$50,AP4+1,AP4),IF(Instructions!$E$11=10,IF($H5=Instructions!$F$50,AP4+1,AP4),IF(Instructions!$E$11=12,IF($L5=Instructions!$F$50,AP4+1,AP4),IF(Instructions!$E$11=14,IF($P5=Instructions!$F$50,AP4+1,AP4),IF(Instructions!$E$11=16,IF($T5=Instructions!$F$50,AP4+1,AP4))))))</f>
        <v>0</v>
      </c>
      <c r="AQ5" s="321" t="str">
        <f t="shared" si="7"/>
        <v>900</v>
      </c>
      <c r="AR5" s="321">
        <f>IF(Instructions!$E$11=8,IF($D5=Instructions!$F$51,AR4+1,AR4),IF(Instructions!$E$11=10,IF($H5=Instructions!$F$51,AR4+1,AR4),IF(Instructions!$E$11=12,IF($L5=Instructions!$F$51,AR4+1,AR4),IF(Instructions!$E$11=14,IF($P5=Instructions!$F$51,AR4+1,AR4),IF(Instructions!$E$11=16,IF($T5=Instructions!$F$51,AR4+1,AR4))))))</f>
        <v>0</v>
      </c>
      <c r="AS5" s="321" t="str">
        <f t="shared" si="9"/>
        <v>1000</v>
      </c>
      <c r="AT5" s="321">
        <f>IF(Instructions!$E$11=8,IF($D5=Instructions!$F$52,AT4+1,AT4),IF(Instructions!$E$11=10,IF($H5=Instructions!$F$52,AT4+1,AT4),IF(Instructions!$E$11=12,IF($L5=Instructions!$F$52,AT4+1,AT4),IF(Instructions!$E$11=14,IF($P5=Instructions!$F$52,AT4+1,AT4),IF(Instructions!$E$11=16,IF($T5=Instructions!$F$52,AT4+1,AT4))))))</f>
        <v>0</v>
      </c>
      <c r="AU5" s="321" t="str">
        <f t="shared" si="10"/>
        <v>1100</v>
      </c>
      <c r="AV5" s="321">
        <f>IF(Instructions!$E$11=8,IF($D5=Instructions!$F$53,AV4+1,AV4),IF(Instructions!$E$11=10,IF($H5=Instructions!$F$53,AV4+1,AV4),IF(Instructions!$E$11=12,IF($L5=Instructions!$F$53,AV4+1,AV4),IF(Instructions!$E$11=14,IF($P5=Instructions!$F$53,AV4+1,AV4),IF(Instructions!$E$11=16,IF($T5=Instructions!$F$53,AV4+1,AV4))))))</f>
        <v>0</v>
      </c>
      <c r="AW5" s="321" t="str">
        <f t="shared" si="11"/>
        <v>1200</v>
      </c>
      <c r="AX5" s="321">
        <f>IF(Instructions!$E$11=8,IF($D5=Instructions!$F$54,AX4+1,AX4),IF(Instructions!$E$11=10,IF($H5=Instructions!$F$54,AX4+1,AX4),IF(Instructions!$E$11=12,IF($L5=Instructions!$F$54,AX4+1,AX4),IF(Instructions!$E$11=14,IF($P5=Instructions!$F$54,AX4+1,AX4),IF(Instructions!$E$11=16,IF($T5=Instructions!$F$54,AX4+1,AX4))))))</f>
        <v>0</v>
      </c>
      <c r="AY5" s="321" t="str">
        <f t="shared" si="12"/>
        <v>1300</v>
      </c>
      <c r="AZ5" s="321">
        <f>IF(Instructions!$E$11=8,IF($D5=Instructions!$F$55,AZ4+1,AZ4),IF(Instructions!$E$11=10,IF($H5=Instructions!$F$55,AZ4+1,AZ4),IF(Instructions!$E$11=12,IF($L5=Instructions!$F$55,AZ4+1,AZ4),IF(Instructions!$E$11=14,IF($P5=Instructions!$F$55,AZ4+1,AZ4),IF(Instructions!$E$11=16,IF($T5=Instructions!$F$55,AZ4+1,AZ4))))))</f>
        <v>0</v>
      </c>
      <c r="BA5" s="321" t="str">
        <f t="shared" si="13"/>
        <v>1400</v>
      </c>
      <c r="BB5" s="321">
        <f>IF(Instructions!$E$11=8,IF($D5=Instructions!$F$56,BB4+1,BB4),IF(Instructions!$E$11=10,IF($H5=Instructions!$F$56,BB4+1,BB4),IF(Instructions!$E$11=12,IF($L5=Instructions!$F$56,BB4+1,BB4),IF(Instructions!$E$11=14,IF($P5=Instructions!$F$56,BB4+1,BB4),IF(Instructions!$E$11=16,IF($T5=Instructions!$F$56,BB4+1,BB4))))))</f>
        <v>0</v>
      </c>
      <c r="BC5" s="321" t="str">
        <f t="shared" si="14"/>
        <v>1500</v>
      </c>
      <c r="BD5" s="321">
        <f>IF(Instructions!$E$11=8,IF($D5=Instructions!$F$57,BD4+1,BD4),IF(Instructions!$E$11=10,IF($H5=Instructions!$F$57,BD4+1,BD4),IF(Instructions!$E$11=12,IF($L5=Instructions!$F$57,BD4+1,BD4),IF(Instructions!$E$11=14,IF($P5=Instructions!$F$57,BD4+1,BD4),IF(Instructions!$E$11=16,IF($T5=Instructions!$F$57,BD4+1,BD4))))))</f>
        <v>0</v>
      </c>
      <c r="BE5" s="321" t="str">
        <f t="shared" si="15"/>
        <v>1600</v>
      </c>
      <c r="BF5" s="321">
        <v>3</v>
      </c>
    </row>
    <row r="6" spans="1:58" x14ac:dyDescent="0.25">
      <c r="A6" s="280"/>
      <c r="B6" s="323" t="str">
        <f>IF(Instructions!$J$11=1,AA6,IF(Instructions!$J$11=2,AC6,IF(Instructions!$J$11=3,AE6,IF(Instructions!$J$11=4,AG6,IF(Instructions!$J$11=5,AI6,IF(Instructions!$J$11=6,AK6,IF(Instructions!$J$11=7,AM6,IF(Instructions!$J$11=8,AO6,IF(Instructions!$J$11=9,AQ6,IF(Instructions!$J$11=10,AS6,IF(Instructions!$J$11=11,AU6,IF(Instructions!$J$11=12,AW6,IF(Instructions!$J$11=13, AY6, IF(Instructions!$J$11=14,BA6,IF(Instructions!$J$11=15,BC6,BE6)))))))))))))))</f>
        <v>201</v>
      </c>
      <c r="C6" s="272">
        <v>4</v>
      </c>
      <c r="D6" s="327" t="str">
        <f>Instructions!F$45</f>
        <v>Miles</v>
      </c>
      <c r="E6" s="332" t="s">
        <v>710</v>
      </c>
      <c r="F6" s="706"/>
      <c r="G6" s="279">
        <v>1</v>
      </c>
      <c r="H6" s="294" t="str">
        <f>Instructions!F$45</f>
        <v>Miles</v>
      </c>
      <c r="I6" s="274" t="s">
        <v>710</v>
      </c>
      <c r="J6" s="709"/>
      <c r="K6" s="279">
        <v>1</v>
      </c>
      <c r="L6" s="294" t="str">
        <f>Instructions!F$45</f>
        <v>Miles</v>
      </c>
      <c r="M6" s="274" t="s">
        <v>710</v>
      </c>
      <c r="N6" s="709"/>
      <c r="O6" s="279">
        <v>1</v>
      </c>
      <c r="P6" s="294" t="str">
        <f>Instructions!F$45</f>
        <v>Miles</v>
      </c>
      <c r="Q6" s="274" t="s">
        <v>710</v>
      </c>
      <c r="R6" s="709"/>
      <c r="S6" s="279">
        <v>1</v>
      </c>
      <c r="T6" s="327" t="str">
        <f>Instructions!F$45</f>
        <v>Miles</v>
      </c>
      <c r="U6" s="274" t="s">
        <v>710</v>
      </c>
      <c r="V6" s="706"/>
      <c r="W6" s="279">
        <v>1</v>
      </c>
      <c r="X6" s="280"/>
      <c r="Y6" s="190" t="str">
        <f>IFERROR( IF(Instructions!$E$11=8, D6&amp;COUNTIF(D$3:D6,D6), IF(Instructions!$E$11=10, H6&amp;COUNTIF(H$3:H6,H6),IF(Instructions!$E$11=12, L6&amp;COUNTIF(L$3:L6,L6),IF(Instructions!$E$11=14, P6&amp;COUNTIF(P$3:P6,P6),T6&amp;COUNTIF(T$3:T6,T6))))),"")</f>
        <v>Miles1</v>
      </c>
      <c r="Z6" s="321">
        <f>IF(Instructions!$E$11=8,IF($D6=Instructions!$F$42,Z5+1,Z5),IF(Instructions!$E$11=10,IF($H6=Instructions!$F$42,Z5+1,Z5),IF(Instructions!$E$11=12,IF($L6=Instructions!$F$42,Z5+1,Z5),IF(Instructions!$E$11=14,IF($P6=Instructions!$F$42,Z5+1,Z5),IF(Instructions!$E$11=16,IF($T6=Instructions!$F$42,Z5+1,Z5))))))</f>
        <v>1</v>
      </c>
      <c r="AA6" s="321" t="str">
        <f t="shared" si="8"/>
        <v>101</v>
      </c>
      <c r="AB6" s="321">
        <f>IF(Instructions!$E$11=8,IF($D6=Instructions!$F$43,AB5+1,AB5),IF(Instructions!$E$11=10,IF($H6=Instructions!$F$43,AB5+1,AB5),IF(Instructions!$E$11=12,IF($L6=Instructions!$F$43,AB5+1,AB5),IF(Instructions!$E$11=14,IF($P6=Instructions!$F$43,AB5+1,AB5),IF(Instructions!$E$11=16,IF($T6=Instructions!$F$43,AB5+1,AB5))))))</f>
        <v>1</v>
      </c>
      <c r="AC6" s="321" t="str">
        <f t="shared" si="0"/>
        <v>201</v>
      </c>
      <c r="AD6" s="321">
        <f>IF(Instructions!$E$11=8,IF($D6=Instructions!$F$44,AD5+1,AD5),IF(Instructions!$E$11=10,IF($H6=Instructions!$F$44,AD5+1,AD5),IF(Instructions!$E$11=12,IF($L6=Instructions!$F$44,AD5+1,AD5),IF(Instructions!$E$11=14,IF($P6=Instructions!$F$44,AD5+1,AD5),IF(Instructions!$E$11=16,IF($T6=Instructions!$F$44,AD5+1,AD5))))))</f>
        <v>1</v>
      </c>
      <c r="AE6" s="321" t="str">
        <f t="shared" si="1"/>
        <v>301</v>
      </c>
      <c r="AF6" s="321">
        <f>IF(Instructions!$E$11=8,IF($D6=Instructions!$F$45,AF5+1,AF5),IF(Instructions!$E$11=10,IF($H6=Instructions!$F$45,AF5+1,AF5),IF(Instructions!$E$11=12,IF($L6=Instructions!$F$45,AF5+1,AF5),IF(Instructions!$E$11=14,IF($P6=Instructions!$F$45,AF5+1,AF5),IF(Instructions!$E$11=16,IF($T6=Instructions!$F$45,AF5+1,AF5))))))</f>
        <v>1</v>
      </c>
      <c r="AG6" s="321" t="str">
        <f t="shared" si="2"/>
        <v>401</v>
      </c>
      <c r="AH6" s="321">
        <f>IF(Instructions!$E$11=8,IF($D6=Instructions!$F$46,AH5+1,AH5),IF(Instructions!$E$11=10,IF($H6=Instructions!$F$46,AH5+1,AH5),IF(Instructions!$E$11=12,IF($L6=Instructions!$F$46,AH5+1,AH5),IF(Instructions!$E$11=14,IF($P6=Instructions!$F$46,AH5+1,AH5),IF(Instructions!$E$11=16,IF($T6=Instructions!$F$46,AH5+1,AH5))))))</f>
        <v>0</v>
      </c>
      <c r="AI6" s="321" t="str">
        <f t="shared" si="3"/>
        <v>500</v>
      </c>
      <c r="AJ6" s="321">
        <f>IF(Instructions!$E$11=8,IF($D6=Instructions!$F$47,AJ5+1,AJ5),IF(Instructions!$E$11=10,IF($H6=Instructions!$F$47,AJ5+1,AJ5),IF(Instructions!$E$11=12,IF($L6=Instructions!$F$47,AJ5+1,AJ5),IF(Instructions!$E$11=14,IF($P6=Instructions!$F$47,AJ5+1,AJ5),IF(Instructions!$E$11=16,IF($T6=Instructions!$F$47,AJ5+1,AJ5))))))</f>
        <v>0</v>
      </c>
      <c r="AK6" s="321" t="str">
        <f t="shared" si="4"/>
        <v>600</v>
      </c>
      <c r="AL6" s="321">
        <f>IF(Instructions!$E$11=8,IF($D6=Instructions!$F$48,AL5+1,AL5),IF(Instructions!$E$11=10,IF($H6=Instructions!$F$48,AL5+1,AL5),IF(Instructions!$E$11=12,IF($L6=Instructions!$F$48,AL5+1,AL5),IF(Instructions!$E$11=14,IF($P6=Instructions!$F$48,AL5+1,AL5),IF(Instructions!$E$11=16,IF($T6=Instructions!$F$48,AL5+1,AL5))))))</f>
        <v>0</v>
      </c>
      <c r="AM6" s="321" t="str">
        <f t="shared" si="5"/>
        <v>700</v>
      </c>
      <c r="AN6" s="321">
        <f>IF(Instructions!$E$11=8,IF($D6=Instructions!$F$49,AN5+1,AN5),IF(Instructions!$E$11=10,IF($H6=Instructions!$F$49,AN5+1,AN5),IF(Instructions!$E$11=12,IF($L6=Instructions!$F$49,AN5+1,AN5),IF(Instructions!$E$11=14,IF($P6=Instructions!$F$49,AN5+1,AN5),IF(Instructions!$E$11=16,IF($T6=Instructions!$F$49,AN5+1,AN5))))))</f>
        <v>0</v>
      </c>
      <c r="AO6" s="321" t="str">
        <f t="shared" si="6"/>
        <v>800</v>
      </c>
      <c r="AP6" s="321">
        <f>IF(Instructions!$E$11=8,IF($D6=Instructions!$F$50,AP5+1,AP5),IF(Instructions!$E$11=10,IF($H6=Instructions!$F$50,AP5+1,AP5),IF(Instructions!$E$11=12,IF($L6=Instructions!$F$50,AP5+1,AP5),IF(Instructions!$E$11=14,IF($P6=Instructions!$F$50,AP5+1,AP5),IF(Instructions!$E$11=16,IF($T6=Instructions!$F$50,AP5+1,AP5))))))</f>
        <v>0</v>
      </c>
      <c r="AQ6" s="321" t="str">
        <f t="shared" si="7"/>
        <v>900</v>
      </c>
      <c r="AR6" s="321">
        <f>IF(Instructions!$E$11=8,IF($D6=Instructions!$F$51,AR5+1,AR5),IF(Instructions!$E$11=10,IF($H6=Instructions!$F$51,AR5+1,AR5),IF(Instructions!$E$11=12,IF($L6=Instructions!$F$51,AR5+1,AR5),IF(Instructions!$E$11=14,IF($P6=Instructions!$F$51,AR5+1,AR5),IF(Instructions!$E$11=16,IF($T6=Instructions!$F$51,AR5+1,AR5))))))</f>
        <v>0</v>
      </c>
      <c r="AS6" s="321" t="str">
        <f t="shared" si="9"/>
        <v>1000</v>
      </c>
      <c r="AT6" s="321">
        <f>IF(Instructions!$E$11=8,IF($D6=Instructions!$F$52,AT5+1,AT5),IF(Instructions!$E$11=10,IF($H6=Instructions!$F$52,AT5+1,AT5),IF(Instructions!$E$11=12,IF($L6=Instructions!$F$52,AT5+1,AT5),IF(Instructions!$E$11=14,IF($P6=Instructions!$F$52,AT5+1,AT5),IF(Instructions!$E$11=16,IF($T6=Instructions!$F$52,AT5+1,AT5))))))</f>
        <v>0</v>
      </c>
      <c r="AU6" s="321" t="str">
        <f t="shared" si="10"/>
        <v>1100</v>
      </c>
      <c r="AV6" s="321">
        <f>IF(Instructions!$E$11=8,IF($D6=Instructions!$F$53,AV5+1,AV5),IF(Instructions!$E$11=10,IF($H6=Instructions!$F$53,AV5+1,AV5),IF(Instructions!$E$11=12,IF($L6=Instructions!$F$53,AV5+1,AV5),IF(Instructions!$E$11=14,IF($P6=Instructions!$F$53,AV5+1,AV5),IF(Instructions!$E$11=16,IF($T6=Instructions!$F$53,AV5+1,AV5))))))</f>
        <v>0</v>
      </c>
      <c r="AW6" s="321" t="str">
        <f t="shared" si="11"/>
        <v>1200</v>
      </c>
      <c r="AX6" s="321">
        <f>IF(Instructions!$E$11=8,IF($D6=Instructions!$F$54,AX5+1,AX5),IF(Instructions!$E$11=10,IF($H6=Instructions!$F$54,AX5+1,AX5),IF(Instructions!$E$11=12,IF($L6=Instructions!$F$54,AX5+1,AX5),IF(Instructions!$E$11=14,IF($P6=Instructions!$F$54,AX5+1,AX5),IF(Instructions!$E$11=16,IF($T6=Instructions!$F$54,AX5+1,AX5))))))</f>
        <v>0</v>
      </c>
      <c r="AY6" s="321" t="str">
        <f t="shared" si="12"/>
        <v>1300</v>
      </c>
      <c r="AZ6" s="321">
        <f>IF(Instructions!$E$11=8,IF($D6=Instructions!$F$55,AZ5+1,AZ5),IF(Instructions!$E$11=10,IF($H6=Instructions!$F$55,AZ5+1,AZ5),IF(Instructions!$E$11=12,IF($L6=Instructions!$F$55,AZ5+1,AZ5),IF(Instructions!$E$11=14,IF($P6=Instructions!$F$55,AZ5+1,AZ5),IF(Instructions!$E$11=16,IF($T6=Instructions!$F$55,AZ5+1,AZ5))))))</f>
        <v>0</v>
      </c>
      <c r="BA6" s="321" t="str">
        <f t="shared" si="13"/>
        <v>1400</v>
      </c>
      <c r="BB6" s="321">
        <f>IF(Instructions!$E$11=8,IF($D6=Instructions!$F$56,BB5+1,BB5),IF(Instructions!$E$11=10,IF($H6=Instructions!$F$56,BB5+1,BB5),IF(Instructions!$E$11=12,IF($L6=Instructions!$F$56,BB5+1,BB5),IF(Instructions!$E$11=14,IF($P6=Instructions!$F$56,BB5+1,BB5),IF(Instructions!$E$11=16,IF($T6=Instructions!$F$56,BB5+1,BB5))))))</f>
        <v>0</v>
      </c>
      <c r="BC6" s="321" t="str">
        <f t="shared" si="14"/>
        <v>1500</v>
      </c>
      <c r="BD6" s="321">
        <f>IF(Instructions!$E$11=8,IF($D6=Instructions!$F$57,BD5+1,BD5),IF(Instructions!$E$11=10,IF($H6=Instructions!$F$57,BD5+1,BD5),IF(Instructions!$E$11=12,IF($L6=Instructions!$F$57,BD5+1,BD5),IF(Instructions!$E$11=14,IF($P6=Instructions!$F$57,BD5+1,BD5),IF(Instructions!$E$11=16,IF($T6=Instructions!$F$57,BD5+1,BD5))))))</f>
        <v>0</v>
      </c>
      <c r="BE6" s="321" t="str">
        <f t="shared" si="15"/>
        <v>1600</v>
      </c>
      <c r="BF6" s="321">
        <v>4</v>
      </c>
    </row>
    <row r="7" spans="1:58" x14ac:dyDescent="0.25">
      <c r="A7" s="280"/>
      <c r="B7" s="323" t="str">
        <f>IF(Instructions!$J$11=1,AA7,IF(Instructions!$J$11=2,AC7,IF(Instructions!$J$11=3,AE7,IF(Instructions!$J$11=4,AG7,IF(Instructions!$J$11=5,AI7,IF(Instructions!$J$11=6,AK7,IF(Instructions!$J$11=7,AM7,IF(Instructions!$J$11=8,AO7,IF(Instructions!$J$11=9,AQ7,IF(Instructions!$J$11=10,AS7,IF(Instructions!$J$11=11,AU7,IF(Instructions!$J$11=12,AW7,IF(Instructions!$J$11=13, AY7, IF(Instructions!$J$11=14,BA7,IF(Instructions!$J$11=15,BC7,BE7)))))))))))))))</f>
        <v>201</v>
      </c>
      <c r="C7" s="271">
        <v>5</v>
      </c>
      <c r="D7" s="328" t="str">
        <f>Instructions!F$46</f>
        <v>Con</v>
      </c>
      <c r="E7" s="333" t="s">
        <v>711</v>
      </c>
      <c r="F7" s="706"/>
      <c r="G7" s="279">
        <v>1</v>
      </c>
      <c r="H7" s="293" t="str">
        <f>Instructions!F$46</f>
        <v>Con</v>
      </c>
      <c r="I7" s="273" t="s">
        <v>711</v>
      </c>
      <c r="J7" s="709"/>
      <c r="K7" s="279">
        <v>1</v>
      </c>
      <c r="L7" s="293" t="str">
        <f>Instructions!F$46</f>
        <v>Con</v>
      </c>
      <c r="M7" s="273" t="s">
        <v>711</v>
      </c>
      <c r="N7" s="709"/>
      <c r="O7" s="279">
        <v>1</v>
      </c>
      <c r="P7" s="293" t="str">
        <f>Instructions!F$46</f>
        <v>Con</v>
      </c>
      <c r="Q7" s="273" t="s">
        <v>711</v>
      </c>
      <c r="R7" s="709"/>
      <c r="S7" s="279">
        <v>1</v>
      </c>
      <c r="T7" s="328" t="str">
        <f>Instructions!F$46</f>
        <v>Con</v>
      </c>
      <c r="U7" s="273" t="s">
        <v>711</v>
      </c>
      <c r="V7" s="706"/>
      <c r="W7" s="279">
        <v>1</v>
      </c>
      <c r="X7" s="280"/>
      <c r="Y7" s="190" t="str">
        <f>IFERROR( IF(Instructions!$E$11=8, D7&amp;COUNTIF(D$3:D7,D7), IF(Instructions!$E$11=10, H7&amp;COUNTIF(H$3:H7,H7),IF(Instructions!$E$11=12, L7&amp;COUNTIF(L$3:L7,L7),IF(Instructions!$E$11=14, P7&amp;COUNTIF(P$3:P7,P7),T7&amp;COUNTIF(T$3:T7,T7))))),"")</f>
        <v>Con1</v>
      </c>
      <c r="Z7" s="321">
        <f>IF(Instructions!$E$11=8,IF($D7=Instructions!$F$42,Z6+1,Z6),IF(Instructions!$E$11=10,IF($H7=Instructions!$F$42,Z6+1,Z6),IF(Instructions!$E$11=12,IF($L7=Instructions!$F$42,Z6+1,Z6),IF(Instructions!$E$11=14,IF($P7=Instructions!$F$42,Z6+1,Z6),IF(Instructions!$E$11=16,IF($T7=Instructions!$F$42,Z6+1,Z6))))))</f>
        <v>1</v>
      </c>
      <c r="AA7" s="321" t="str">
        <f t="shared" si="8"/>
        <v>101</v>
      </c>
      <c r="AB7" s="321">
        <f>IF(Instructions!$E$11=8,IF($D7=Instructions!$F$43,AB6+1,AB6),IF(Instructions!$E$11=10,IF($H7=Instructions!$F$43,AB6+1,AB6),IF(Instructions!$E$11=12,IF($L7=Instructions!$F$43,AB6+1,AB6),IF(Instructions!$E$11=14,IF($P7=Instructions!$F$43,AB6+1,AB6),IF(Instructions!$E$11=16,IF($T7=Instructions!$F$43,AB6+1,AB6))))))</f>
        <v>1</v>
      </c>
      <c r="AC7" s="321" t="str">
        <f t="shared" si="0"/>
        <v>201</v>
      </c>
      <c r="AD7" s="321">
        <f>IF(Instructions!$E$11=8,IF($D7=Instructions!$F$44,AD6+1,AD6),IF(Instructions!$E$11=10,IF($H7=Instructions!$F$44,AD6+1,AD6),IF(Instructions!$E$11=12,IF($L7=Instructions!$F$44,AD6+1,AD6),IF(Instructions!$E$11=14,IF($P7=Instructions!$F$44,AD6+1,AD6),IF(Instructions!$E$11=16,IF($T7=Instructions!$F$44,AD6+1,AD6))))))</f>
        <v>1</v>
      </c>
      <c r="AE7" s="321" t="str">
        <f t="shared" si="1"/>
        <v>301</v>
      </c>
      <c r="AF7" s="321">
        <f>IF(Instructions!$E$11=8,IF($D7=Instructions!$F$45,AF6+1,AF6),IF(Instructions!$E$11=10,IF($H7=Instructions!$F$45,AF6+1,AF6),IF(Instructions!$E$11=12,IF($L7=Instructions!$F$45,AF6+1,AF6),IF(Instructions!$E$11=14,IF($P7=Instructions!$F$45,AF6+1,AF6),IF(Instructions!$E$11=16,IF($T7=Instructions!$F$45,AF6+1,AF6))))))</f>
        <v>1</v>
      </c>
      <c r="AG7" s="321" t="str">
        <f t="shared" si="2"/>
        <v>401</v>
      </c>
      <c r="AH7" s="321">
        <f>IF(Instructions!$E$11=8,IF($D7=Instructions!$F$46,AH6+1,AH6),IF(Instructions!$E$11=10,IF($H7=Instructions!$F$46,AH6+1,AH6),IF(Instructions!$E$11=12,IF($L7=Instructions!$F$46,AH6+1,AH6),IF(Instructions!$E$11=14,IF($P7=Instructions!$F$46,AH6+1,AH6),IF(Instructions!$E$11=16,IF($T7=Instructions!$F$46,AH6+1,AH6))))))</f>
        <v>1</v>
      </c>
      <c r="AI7" s="321" t="str">
        <f t="shared" si="3"/>
        <v>501</v>
      </c>
      <c r="AJ7" s="321">
        <f>IF(Instructions!$E$11=8,IF($D7=Instructions!$F$47,AJ6+1,AJ6),IF(Instructions!$E$11=10,IF($H7=Instructions!$F$47,AJ6+1,AJ6),IF(Instructions!$E$11=12,IF($L7=Instructions!$F$47,AJ6+1,AJ6),IF(Instructions!$E$11=14,IF($P7=Instructions!$F$47,AJ6+1,AJ6),IF(Instructions!$E$11=16,IF($T7=Instructions!$F$47,AJ6+1,AJ6))))))</f>
        <v>0</v>
      </c>
      <c r="AK7" s="321" t="str">
        <f t="shared" si="4"/>
        <v>600</v>
      </c>
      <c r="AL7" s="321">
        <f>IF(Instructions!$E$11=8,IF($D7=Instructions!$F$48,AL6+1,AL6),IF(Instructions!$E$11=10,IF($H7=Instructions!$F$48,AL6+1,AL6),IF(Instructions!$E$11=12,IF($L7=Instructions!$F$48,AL6+1,AL6),IF(Instructions!$E$11=14,IF($P7=Instructions!$F$48,AL6+1,AL6),IF(Instructions!$E$11=16,IF($T7=Instructions!$F$48,AL6+1,AL6))))))</f>
        <v>0</v>
      </c>
      <c r="AM7" s="321" t="str">
        <f t="shared" si="5"/>
        <v>700</v>
      </c>
      <c r="AN7" s="321">
        <f>IF(Instructions!$E$11=8,IF($D7=Instructions!$F$49,AN6+1,AN6),IF(Instructions!$E$11=10,IF($H7=Instructions!$F$49,AN6+1,AN6),IF(Instructions!$E$11=12,IF($L7=Instructions!$F$49,AN6+1,AN6),IF(Instructions!$E$11=14,IF($P7=Instructions!$F$49,AN6+1,AN6),IF(Instructions!$E$11=16,IF($T7=Instructions!$F$49,AN6+1,AN6))))))</f>
        <v>0</v>
      </c>
      <c r="AO7" s="321" t="str">
        <f t="shared" si="6"/>
        <v>800</v>
      </c>
      <c r="AP7" s="321">
        <f>IF(Instructions!$E$11=8,IF($D7=Instructions!$F$50,AP6+1,AP6),IF(Instructions!$E$11=10,IF($H7=Instructions!$F$50,AP6+1,AP6),IF(Instructions!$E$11=12,IF($L7=Instructions!$F$50,AP6+1,AP6),IF(Instructions!$E$11=14,IF($P7=Instructions!$F$50,AP6+1,AP6),IF(Instructions!$E$11=16,IF($T7=Instructions!$F$50,AP6+1,AP6))))))</f>
        <v>0</v>
      </c>
      <c r="AQ7" s="321" t="str">
        <f t="shared" si="7"/>
        <v>900</v>
      </c>
      <c r="AR7" s="321">
        <f>IF(Instructions!$E$11=8,IF($D7=Instructions!$F$51,AR6+1,AR6),IF(Instructions!$E$11=10,IF($H7=Instructions!$F$51,AR6+1,AR6),IF(Instructions!$E$11=12,IF($L7=Instructions!$F$51,AR6+1,AR6),IF(Instructions!$E$11=14,IF($P7=Instructions!$F$51,AR6+1,AR6),IF(Instructions!$E$11=16,IF($T7=Instructions!$F$51,AR6+1,AR6))))))</f>
        <v>0</v>
      </c>
      <c r="AS7" s="321" t="str">
        <f t="shared" si="9"/>
        <v>1000</v>
      </c>
      <c r="AT7" s="321">
        <f>IF(Instructions!$E$11=8,IF($D7=Instructions!$F$52,AT6+1,AT6),IF(Instructions!$E$11=10,IF($H7=Instructions!$F$52,AT6+1,AT6),IF(Instructions!$E$11=12,IF($L7=Instructions!$F$52,AT6+1,AT6),IF(Instructions!$E$11=14,IF($P7=Instructions!$F$52,AT6+1,AT6),IF(Instructions!$E$11=16,IF($T7=Instructions!$F$52,AT6+1,AT6))))))</f>
        <v>0</v>
      </c>
      <c r="AU7" s="321" t="str">
        <f t="shared" si="10"/>
        <v>1100</v>
      </c>
      <c r="AV7" s="321">
        <f>IF(Instructions!$E$11=8,IF($D7=Instructions!$F$53,AV6+1,AV6),IF(Instructions!$E$11=10,IF($H7=Instructions!$F$53,AV6+1,AV6),IF(Instructions!$E$11=12,IF($L7=Instructions!$F$53,AV6+1,AV6),IF(Instructions!$E$11=14,IF($P7=Instructions!$F$53,AV6+1,AV6),IF(Instructions!$E$11=16,IF($T7=Instructions!$F$53,AV6+1,AV6))))))</f>
        <v>0</v>
      </c>
      <c r="AW7" s="321" t="str">
        <f t="shared" si="11"/>
        <v>1200</v>
      </c>
      <c r="AX7" s="321">
        <f>IF(Instructions!$E$11=8,IF($D7=Instructions!$F$54,AX6+1,AX6),IF(Instructions!$E$11=10,IF($H7=Instructions!$F$54,AX6+1,AX6),IF(Instructions!$E$11=12,IF($L7=Instructions!$F$54,AX6+1,AX6),IF(Instructions!$E$11=14,IF($P7=Instructions!$F$54,AX6+1,AX6),IF(Instructions!$E$11=16,IF($T7=Instructions!$F$54,AX6+1,AX6))))))</f>
        <v>0</v>
      </c>
      <c r="AY7" s="321" t="str">
        <f t="shared" si="12"/>
        <v>1300</v>
      </c>
      <c r="AZ7" s="321">
        <f>IF(Instructions!$E$11=8,IF($D7=Instructions!$F$55,AZ6+1,AZ6),IF(Instructions!$E$11=10,IF($H7=Instructions!$F$55,AZ6+1,AZ6),IF(Instructions!$E$11=12,IF($L7=Instructions!$F$55,AZ6+1,AZ6),IF(Instructions!$E$11=14,IF($P7=Instructions!$F$55,AZ6+1,AZ6),IF(Instructions!$E$11=16,IF($T7=Instructions!$F$55,AZ6+1,AZ6))))))</f>
        <v>0</v>
      </c>
      <c r="BA7" s="321" t="str">
        <f t="shared" si="13"/>
        <v>1400</v>
      </c>
      <c r="BB7" s="321">
        <f>IF(Instructions!$E$11=8,IF($D7=Instructions!$F$56,BB6+1,BB6),IF(Instructions!$E$11=10,IF($H7=Instructions!$F$56,BB6+1,BB6),IF(Instructions!$E$11=12,IF($L7=Instructions!$F$56,BB6+1,BB6),IF(Instructions!$E$11=14,IF($P7=Instructions!$F$56,BB6+1,BB6),IF(Instructions!$E$11=16,IF($T7=Instructions!$F$56,BB6+1,BB6))))))</f>
        <v>0</v>
      </c>
      <c r="BC7" s="321" t="str">
        <f t="shared" si="14"/>
        <v>1500</v>
      </c>
      <c r="BD7" s="321">
        <f>IF(Instructions!$E$11=8,IF($D7=Instructions!$F$57,BD6+1,BD6),IF(Instructions!$E$11=10,IF($H7=Instructions!$F$57,BD6+1,BD6),IF(Instructions!$E$11=12,IF($L7=Instructions!$F$57,BD6+1,BD6),IF(Instructions!$E$11=14,IF($P7=Instructions!$F$57,BD6+1,BD6),IF(Instructions!$E$11=16,IF($T7=Instructions!$F$57,BD6+1,BD6))))))</f>
        <v>0</v>
      </c>
      <c r="BE7" s="321" t="str">
        <f t="shared" si="15"/>
        <v>1600</v>
      </c>
      <c r="BF7" s="321">
        <v>5</v>
      </c>
    </row>
    <row r="8" spans="1:58" x14ac:dyDescent="0.25">
      <c r="A8" s="280"/>
      <c r="B8" s="323" t="str">
        <f>IF(Instructions!$J$11=1,AA8,IF(Instructions!$J$11=2,AC8,IF(Instructions!$J$11=3,AE8,IF(Instructions!$J$11=4,AG8,IF(Instructions!$J$11=5,AI8,IF(Instructions!$J$11=6,AK8,IF(Instructions!$J$11=7,AM8,IF(Instructions!$J$11=8,AO8,IF(Instructions!$J$11=9,AQ8,IF(Instructions!$J$11=10,AS8,IF(Instructions!$J$11=11,AU8,IF(Instructions!$J$11=12,AW8,IF(Instructions!$J$11=13, AY8, IF(Instructions!$J$11=14,BA8,IF(Instructions!$J$11=15,BC8,BE8)))))))))))))))</f>
        <v>201</v>
      </c>
      <c r="C8" s="272">
        <v>6</v>
      </c>
      <c r="D8" s="327" t="str">
        <f>Instructions!F$47</f>
        <v>Devin</v>
      </c>
      <c r="E8" s="332" t="s">
        <v>712</v>
      </c>
      <c r="F8" s="706"/>
      <c r="G8" s="279">
        <v>1</v>
      </c>
      <c r="H8" s="294" t="str">
        <f>Instructions!F$47</f>
        <v>Devin</v>
      </c>
      <c r="I8" s="274" t="s">
        <v>712</v>
      </c>
      <c r="J8" s="709"/>
      <c r="K8" s="279">
        <v>1</v>
      </c>
      <c r="L8" s="294" t="str">
        <f>Instructions!F$47</f>
        <v>Devin</v>
      </c>
      <c r="M8" s="274" t="s">
        <v>712</v>
      </c>
      <c r="N8" s="709"/>
      <c r="O8" s="279">
        <v>1</v>
      </c>
      <c r="P8" s="294" t="str">
        <f>Instructions!F$47</f>
        <v>Devin</v>
      </c>
      <c r="Q8" s="274" t="s">
        <v>712</v>
      </c>
      <c r="R8" s="709"/>
      <c r="S8" s="279">
        <v>1</v>
      </c>
      <c r="T8" s="327" t="str">
        <f>Instructions!F$47</f>
        <v>Devin</v>
      </c>
      <c r="U8" s="274" t="s">
        <v>712</v>
      </c>
      <c r="V8" s="706"/>
      <c r="W8" s="279">
        <v>1</v>
      </c>
      <c r="X8" s="280"/>
      <c r="Y8" s="190" t="str">
        <f>IFERROR( IF(Instructions!$E$11=8, D8&amp;COUNTIF(D$3:D8,D8), IF(Instructions!$E$11=10, H8&amp;COUNTIF(H$3:H8,H8),IF(Instructions!$E$11=12, L8&amp;COUNTIF(L$3:L8,L8),IF(Instructions!$E$11=14, P8&amp;COUNTIF(P$3:P8,P8),T8&amp;COUNTIF(T$3:T8,T8))))),"")</f>
        <v>Devin1</v>
      </c>
      <c r="Z8" s="321">
        <f>IF(Instructions!$E$11=8,IF($D8=Instructions!$F$42,Z7+1,Z7),IF(Instructions!$E$11=10,IF($H8=Instructions!$F$42,Z7+1,Z7),IF(Instructions!$E$11=12,IF($L8=Instructions!$F$42,Z7+1,Z7),IF(Instructions!$E$11=14,IF($P8=Instructions!$F$42,Z7+1,Z7),IF(Instructions!$E$11=16,IF($T8=Instructions!$F$42,Z7+1,Z7))))))</f>
        <v>1</v>
      </c>
      <c r="AA8" s="321" t="str">
        <f t="shared" si="8"/>
        <v>101</v>
      </c>
      <c r="AB8" s="321">
        <f>IF(Instructions!$E$11=8,IF($D8=Instructions!$F$43,AB7+1,AB7),IF(Instructions!$E$11=10,IF($H8=Instructions!$F$43,AB7+1,AB7),IF(Instructions!$E$11=12,IF($L8=Instructions!$F$43,AB7+1,AB7),IF(Instructions!$E$11=14,IF($P8=Instructions!$F$43,AB7+1,AB7),IF(Instructions!$E$11=16,IF($T8=Instructions!$F$43,AB7+1,AB7))))))</f>
        <v>1</v>
      </c>
      <c r="AC8" s="321" t="str">
        <f t="shared" si="0"/>
        <v>201</v>
      </c>
      <c r="AD8" s="321">
        <f>IF(Instructions!$E$11=8,IF($D8=Instructions!$F$44,AD7+1,AD7),IF(Instructions!$E$11=10,IF($H8=Instructions!$F$44,AD7+1,AD7),IF(Instructions!$E$11=12,IF($L8=Instructions!$F$44,AD7+1,AD7),IF(Instructions!$E$11=14,IF($P8=Instructions!$F$44,AD7+1,AD7),IF(Instructions!$E$11=16,IF($T8=Instructions!$F$44,AD7+1,AD7))))))</f>
        <v>1</v>
      </c>
      <c r="AE8" s="321" t="str">
        <f t="shared" si="1"/>
        <v>301</v>
      </c>
      <c r="AF8" s="321">
        <f>IF(Instructions!$E$11=8,IF($D8=Instructions!$F$45,AF7+1,AF7),IF(Instructions!$E$11=10,IF($H8=Instructions!$F$45,AF7+1,AF7),IF(Instructions!$E$11=12,IF($L8=Instructions!$F$45,AF7+1,AF7),IF(Instructions!$E$11=14,IF($P8=Instructions!$F$45,AF7+1,AF7),IF(Instructions!$E$11=16,IF($T8=Instructions!$F$45,AF7+1,AF7))))))</f>
        <v>1</v>
      </c>
      <c r="AG8" s="321" t="str">
        <f t="shared" si="2"/>
        <v>401</v>
      </c>
      <c r="AH8" s="321">
        <f>IF(Instructions!$E$11=8,IF($D8=Instructions!$F$46,AH7+1,AH7),IF(Instructions!$E$11=10,IF($H8=Instructions!$F$46,AH7+1,AH7),IF(Instructions!$E$11=12,IF($L8=Instructions!$F$46,AH7+1,AH7),IF(Instructions!$E$11=14,IF($P8=Instructions!$F$46,AH7+1,AH7),IF(Instructions!$E$11=16,IF($T8=Instructions!$F$46,AH7+1,AH7))))))</f>
        <v>1</v>
      </c>
      <c r="AI8" s="321" t="str">
        <f t="shared" si="3"/>
        <v>501</v>
      </c>
      <c r="AJ8" s="321">
        <f>IF(Instructions!$E$11=8,IF($D8=Instructions!$F$47,AJ7+1,AJ7),IF(Instructions!$E$11=10,IF($H8=Instructions!$F$47,AJ7+1,AJ7),IF(Instructions!$E$11=12,IF($L8=Instructions!$F$47,AJ7+1,AJ7),IF(Instructions!$E$11=14,IF($P8=Instructions!$F$47,AJ7+1,AJ7),IF(Instructions!$E$11=16,IF($T8=Instructions!$F$47,AJ7+1,AJ7))))))</f>
        <v>1</v>
      </c>
      <c r="AK8" s="321" t="str">
        <f t="shared" si="4"/>
        <v>601</v>
      </c>
      <c r="AL8" s="321">
        <f>IF(Instructions!$E$11=8,IF($D8=Instructions!$F$48,AL7+1,AL7),IF(Instructions!$E$11=10,IF($H8=Instructions!$F$48,AL7+1,AL7),IF(Instructions!$E$11=12,IF($L8=Instructions!$F$48,AL7+1,AL7),IF(Instructions!$E$11=14,IF($P8=Instructions!$F$48,AL7+1,AL7),IF(Instructions!$E$11=16,IF($T8=Instructions!$F$48,AL7+1,AL7))))))</f>
        <v>0</v>
      </c>
      <c r="AM8" s="321" t="str">
        <f t="shared" si="5"/>
        <v>700</v>
      </c>
      <c r="AN8" s="321">
        <f>IF(Instructions!$E$11=8,IF($D8=Instructions!$F$49,AN7+1,AN7),IF(Instructions!$E$11=10,IF($H8=Instructions!$F$49,AN7+1,AN7),IF(Instructions!$E$11=12,IF($L8=Instructions!$F$49,AN7+1,AN7),IF(Instructions!$E$11=14,IF($P8=Instructions!$F$49,AN7+1,AN7),IF(Instructions!$E$11=16,IF($T8=Instructions!$F$49,AN7+1,AN7))))))</f>
        <v>0</v>
      </c>
      <c r="AO8" s="321" t="str">
        <f t="shared" si="6"/>
        <v>800</v>
      </c>
      <c r="AP8" s="321">
        <f>IF(Instructions!$E$11=8,IF($D8=Instructions!$F$50,AP7+1,AP7),IF(Instructions!$E$11=10,IF($H8=Instructions!$F$50,AP7+1,AP7),IF(Instructions!$E$11=12,IF($L8=Instructions!$F$50,AP7+1,AP7),IF(Instructions!$E$11=14,IF($P8=Instructions!$F$50,AP7+1,AP7),IF(Instructions!$E$11=16,IF($T8=Instructions!$F$50,AP7+1,AP7))))))</f>
        <v>0</v>
      </c>
      <c r="AQ8" s="321" t="str">
        <f t="shared" si="7"/>
        <v>900</v>
      </c>
      <c r="AR8" s="321">
        <f>IF(Instructions!$E$11=8,IF($D8=Instructions!$F$51,AR7+1,AR7),IF(Instructions!$E$11=10,IF($H8=Instructions!$F$51,AR7+1,AR7),IF(Instructions!$E$11=12,IF($L8=Instructions!$F$51,AR7+1,AR7),IF(Instructions!$E$11=14,IF($P8=Instructions!$F$51,AR7+1,AR7),IF(Instructions!$E$11=16,IF($T8=Instructions!$F$51,AR7+1,AR7))))))</f>
        <v>0</v>
      </c>
      <c r="AS8" s="321" t="str">
        <f t="shared" si="9"/>
        <v>1000</v>
      </c>
      <c r="AT8" s="321">
        <f>IF(Instructions!$E$11=8,IF($D8=Instructions!$F$52,AT7+1,AT7),IF(Instructions!$E$11=10,IF($H8=Instructions!$F$52,AT7+1,AT7),IF(Instructions!$E$11=12,IF($L8=Instructions!$F$52,AT7+1,AT7),IF(Instructions!$E$11=14,IF($P8=Instructions!$F$52,AT7+1,AT7),IF(Instructions!$E$11=16,IF($T8=Instructions!$F$52,AT7+1,AT7))))))</f>
        <v>0</v>
      </c>
      <c r="AU8" s="321" t="str">
        <f t="shared" si="10"/>
        <v>1100</v>
      </c>
      <c r="AV8" s="321">
        <f>IF(Instructions!$E$11=8,IF($D8=Instructions!$F$53,AV7+1,AV7),IF(Instructions!$E$11=10,IF($H8=Instructions!$F$53,AV7+1,AV7),IF(Instructions!$E$11=12,IF($L8=Instructions!$F$53,AV7+1,AV7),IF(Instructions!$E$11=14,IF($P8=Instructions!$F$53,AV7+1,AV7),IF(Instructions!$E$11=16,IF($T8=Instructions!$F$53,AV7+1,AV7))))))</f>
        <v>0</v>
      </c>
      <c r="AW8" s="321" t="str">
        <f t="shared" si="11"/>
        <v>1200</v>
      </c>
      <c r="AX8" s="321">
        <f>IF(Instructions!$E$11=8,IF($D8=Instructions!$F$54,AX7+1,AX7),IF(Instructions!$E$11=10,IF($H8=Instructions!$F$54,AX7+1,AX7),IF(Instructions!$E$11=12,IF($L8=Instructions!$F$54,AX7+1,AX7),IF(Instructions!$E$11=14,IF($P8=Instructions!$F$54,AX7+1,AX7),IF(Instructions!$E$11=16,IF($T8=Instructions!$F$54,AX7+1,AX7))))))</f>
        <v>0</v>
      </c>
      <c r="AY8" s="321" t="str">
        <f t="shared" si="12"/>
        <v>1300</v>
      </c>
      <c r="AZ8" s="321">
        <f>IF(Instructions!$E$11=8,IF($D8=Instructions!$F$55,AZ7+1,AZ7),IF(Instructions!$E$11=10,IF($H8=Instructions!$F$55,AZ7+1,AZ7),IF(Instructions!$E$11=12,IF($L8=Instructions!$F$55,AZ7+1,AZ7),IF(Instructions!$E$11=14,IF($P8=Instructions!$F$55,AZ7+1,AZ7),IF(Instructions!$E$11=16,IF($T8=Instructions!$F$55,AZ7+1,AZ7))))))</f>
        <v>0</v>
      </c>
      <c r="BA8" s="321" t="str">
        <f t="shared" si="13"/>
        <v>1400</v>
      </c>
      <c r="BB8" s="321">
        <f>IF(Instructions!$E$11=8,IF($D8=Instructions!$F$56,BB7+1,BB7),IF(Instructions!$E$11=10,IF($H8=Instructions!$F$56,BB7+1,BB7),IF(Instructions!$E$11=12,IF($L8=Instructions!$F$56,BB7+1,BB7),IF(Instructions!$E$11=14,IF($P8=Instructions!$F$56,BB7+1,BB7),IF(Instructions!$E$11=16,IF($T8=Instructions!$F$56,BB7+1,BB7))))))</f>
        <v>0</v>
      </c>
      <c r="BC8" s="321" t="str">
        <f t="shared" si="14"/>
        <v>1500</v>
      </c>
      <c r="BD8" s="321">
        <f>IF(Instructions!$E$11=8,IF($D8=Instructions!$F$57,BD7+1,BD7),IF(Instructions!$E$11=10,IF($H8=Instructions!$F$57,BD7+1,BD7),IF(Instructions!$E$11=12,IF($L8=Instructions!$F$57,BD7+1,BD7),IF(Instructions!$E$11=14,IF($P8=Instructions!$F$57,BD7+1,BD7),IF(Instructions!$E$11=16,IF($T8=Instructions!$F$57,BD7+1,BD7))))))</f>
        <v>0</v>
      </c>
      <c r="BE8" s="321" t="str">
        <f t="shared" si="15"/>
        <v>1600</v>
      </c>
      <c r="BF8" s="321">
        <v>6</v>
      </c>
    </row>
    <row r="9" spans="1:58" x14ac:dyDescent="0.25">
      <c r="A9" s="280"/>
      <c r="B9" s="323" t="str">
        <f>IF(Instructions!$J$11=1,AA9,IF(Instructions!$J$11=2,AC9,IF(Instructions!$J$11=3,AE9,IF(Instructions!$J$11=4,AG9,IF(Instructions!$J$11=5,AI9,IF(Instructions!$J$11=6,AK9,IF(Instructions!$J$11=7,AM9,IF(Instructions!$J$11=8,AO9,IF(Instructions!$J$11=9,AQ9,IF(Instructions!$J$11=10,AS9,IF(Instructions!$J$11=11,AU9,IF(Instructions!$J$11=12,AW9,IF(Instructions!$J$11=13, AY9, IF(Instructions!$J$11=14,BA9,IF(Instructions!$J$11=15,BC9,BE9)))))))))))))))</f>
        <v>201</v>
      </c>
      <c r="C9" s="271">
        <v>7</v>
      </c>
      <c r="D9" s="328" t="str">
        <f>Instructions!F$48</f>
        <v>Bui</v>
      </c>
      <c r="E9" s="333" t="s">
        <v>713</v>
      </c>
      <c r="F9" s="706"/>
      <c r="G9" s="279">
        <v>1</v>
      </c>
      <c r="H9" s="293" t="str">
        <f>Instructions!F$48</f>
        <v>Bui</v>
      </c>
      <c r="I9" s="273" t="s">
        <v>713</v>
      </c>
      <c r="J9" s="709"/>
      <c r="K9" s="279">
        <v>1</v>
      </c>
      <c r="L9" s="293" t="str">
        <f>Instructions!F$48</f>
        <v>Bui</v>
      </c>
      <c r="M9" s="273" t="s">
        <v>713</v>
      </c>
      <c r="N9" s="709"/>
      <c r="O9" s="279">
        <v>1</v>
      </c>
      <c r="P9" s="293" t="str">
        <f>Instructions!F$48</f>
        <v>Bui</v>
      </c>
      <c r="Q9" s="273" t="s">
        <v>713</v>
      </c>
      <c r="R9" s="709"/>
      <c r="S9" s="279">
        <v>1</v>
      </c>
      <c r="T9" s="328" t="str">
        <f>Instructions!F$48</f>
        <v>Bui</v>
      </c>
      <c r="U9" s="273" t="s">
        <v>713</v>
      </c>
      <c r="V9" s="706"/>
      <c r="W9" s="279">
        <v>1</v>
      </c>
      <c r="X9" s="280"/>
      <c r="Y9" s="190" t="str">
        <f>IFERROR( IF(Instructions!$E$11=8, D9&amp;COUNTIF(D$3:D9,D9), IF(Instructions!$E$11=10, H9&amp;COUNTIF(H$3:H9,H9),IF(Instructions!$E$11=12, L9&amp;COUNTIF(L$3:L9,L9),IF(Instructions!$E$11=14, P9&amp;COUNTIF(P$3:P9,P9),T9&amp;COUNTIF(T$3:T9,T9))))),"")</f>
        <v>Bui1</v>
      </c>
      <c r="Z9" s="321">
        <f>IF(Instructions!$E$11=8,IF($D9=Instructions!$F$42,Z8+1,Z8),IF(Instructions!$E$11=10,IF($H9=Instructions!$F$42,Z8+1,Z8),IF(Instructions!$E$11=12,IF($L9=Instructions!$F$42,Z8+1,Z8),IF(Instructions!$E$11=14,IF($P9=Instructions!$F$42,Z8+1,Z8),IF(Instructions!$E$11=16,IF($T9=Instructions!$F$42,Z8+1,Z8))))))</f>
        <v>1</v>
      </c>
      <c r="AA9" s="321" t="str">
        <f t="shared" si="8"/>
        <v>101</v>
      </c>
      <c r="AB9" s="321">
        <f>IF(Instructions!$E$11=8,IF($D9=Instructions!$F$43,AB8+1,AB8),IF(Instructions!$E$11=10,IF($H9=Instructions!$F$43,AB8+1,AB8),IF(Instructions!$E$11=12,IF($L9=Instructions!$F$43,AB8+1,AB8),IF(Instructions!$E$11=14,IF($P9=Instructions!$F$43,AB8+1,AB8),IF(Instructions!$E$11=16,IF($T9=Instructions!$F$43,AB8+1,AB8))))))</f>
        <v>1</v>
      </c>
      <c r="AC9" s="321" t="str">
        <f t="shared" si="0"/>
        <v>201</v>
      </c>
      <c r="AD9" s="321">
        <f>IF(Instructions!$E$11=8,IF($D9=Instructions!$F$44,AD8+1,AD8),IF(Instructions!$E$11=10,IF($H9=Instructions!$F$44,AD8+1,AD8),IF(Instructions!$E$11=12,IF($L9=Instructions!$F$44,AD8+1,AD8),IF(Instructions!$E$11=14,IF($P9=Instructions!$F$44,AD8+1,AD8),IF(Instructions!$E$11=16,IF($T9=Instructions!$F$44,AD8+1,AD8))))))</f>
        <v>1</v>
      </c>
      <c r="AE9" s="321" t="str">
        <f t="shared" si="1"/>
        <v>301</v>
      </c>
      <c r="AF9" s="321">
        <f>IF(Instructions!$E$11=8,IF($D9=Instructions!$F$45,AF8+1,AF8),IF(Instructions!$E$11=10,IF($H9=Instructions!$F$45,AF8+1,AF8),IF(Instructions!$E$11=12,IF($L9=Instructions!$F$45,AF8+1,AF8),IF(Instructions!$E$11=14,IF($P9=Instructions!$F$45,AF8+1,AF8),IF(Instructions!$E$11=16,IF($T9=Instructions!$F$45,AF8+1,AF8))))))</f>
        <v>1</v>
      </c>
      <c r="AG9" s="321" t="str">
        <f t="shared" si="2"/>
        <v>401</v>
      </c>
      <c r="AH9" s="321">
        <f>IF(Instructions!$E$11=8,IF($D9=Instructions!$F$46,AH8+1,AH8),IF(Instructions!$E$11=10,IF($H9=Instructions!$F$46,AH8+1,AH8),IF(Instructions!$E$11=12,IF($L9=Instructions!$F$46,AH8+1,AH8),IF(Instructions!$E$11=14,IF($P9=Instructions!$F$46,AH8+1,AH8),IF(Instructions!$E$11=16,IF($T9=Instructions!$F$46,AH8+1,AH8))))))</f>
        <v>1</v>
      </c>
      <c r="AI9" s="321" t="str">
        <f t="shared" si="3"/>
        <v>501</v>
      </c>
      <c r="AJ9" s="321">
        <f>IF(Instructions!$E$11=8,IF($D9=Instructions!$F$47,AJ8+1,AJ8),IF(Instructions!$E$11=10,IF($H9=Instructions!$F$47,AJ8+1,AJ8),IF(Instructions!$E$11=12,IF($L9=Instructions!$F$47,AJ8+1,AJ8),IF(Instructions!$E$11=14,IF($P9=Instructions!$F$47,AJ8+1,AJ8),IF(Instructions!$E$11=16,IF($T9=Instructions!$F$47,AJ8+1,AJ8))))))</f>
        <v>1</v>
      </c>
      <c r="AK9" s="321" t="str">
        <f t="shared" si="4"/>
        <v>601</v>
      </c>
      <c r="AL9" s="321">
        <f>IF(Instructions!$E$11=8,IF($D9=Instructions!$F$48,AL8+1,AL8),IF(Instructions!$E$11=10,IF($H9=Instructions!$F$48,AL8+1,AL8),IF(Instructions!$E$11=12,IF($L9=Instructions!$F$48,AL8+1,AL8),IF(Instructions!$E$11=14,IF($P9=Instructions!$F$48,AL8+1,AL8),IF(Instructions!$E$11=16,IF($T9=Instructions!$F$48,AL8+1,AL8))))))</f>
        <v>1</v>
      </c>
      <c r="AM9" s="321" t="str">
        <f t="shared" si="5"/>
        <v>701</v>
      </c>
      <c r="AN9" s="321">
        <f>IF(Instructions!$E$11=8,IF($D9=Instructions!$F$49,AN8+1,AN8),IF(Instructions!$E$11=10,IF($H9=Instructions!$F$49,AN8+1,AN8),IF(Instructions!$E$11=12,IF($L9=Instructions!$F$49,AN8+1,AN8),IF(Instructions!$E$11=14,IF($P9=Instructions!$F$49,AN8+1,AN8),IF(Instructions!$E$11=16,IF($T9=Instructions!$F$49,AN8+1,AN8))))))</f>
        <v>0</v>
      </c>
      <c r="AO9" s="321" t="str">
        <f t="shared" si="6"/>
        <v>800</v>
      </c>
      <c r="AP9" s="321">
        <f>IF(Instructions!$E$11=8,IF($D9=Instructions!$F$50,AP8+1,AP8),IF(Instructions!$E$11=10,IF($H9=Instructions!$F$50,AP8+1,AP8),IF(Instructions!$E$11=12,IF($L9=Instructions!$F$50,AP8+1,AP8),IF(Instructions!$E$11=14,IF($P9=Instructions!$F$50,AP8+1,AP8),IF(Instructions!$E$11=16,IF($T9=Instructions!$F$50,AP8+1,AP8))))))</f>
        <v>0</v>
      </c>
      <c r="AQ9" s="321" t="str">
        <f t="shared" si="7"/>
        <v>900</v>
      </c>
      <c r="AR9" s="321">
        <f>IF(Instructions!$E$11=8,IF($D9=Instructions!$F$51,AR8+1,AR8),IF(Instructions!$E$11=10,IF($H9=Instructions!$F$51,AR8+1,AR8),IF(Instructions!$E$11=12,IF($L9=Instructions!$F$51,AR8+1,AR8),IF(Instructions!$E$11=14,IF($P9=Instructions!$F$51,AR8+1,AR8),IF(Instructions!$E$11=16,IF($T9=Instructions!$F$51,AR8+1,AR8))))))</f>
        <v>0</v>
      </c>
      <c r="AS9" s="321" t="str">
        <f t="shared" si="9"/>
        <v>1000</v>
      </c>
      <c r="AT9" s="321">
        <f>IF(Instructions!$E$11=8,IF($D9=Instructions!$F$52,AT8+1,AT8),IF(Instructions!$E$11=10,IF($H9=Instructions!$F$52,AT8+1,AT8),IF(Instructions!$E$11=12,IF($L9=Instructions!$F$52,AT8+1,AT8),IF(Instructions!$E$11=14,IF($P9=Instructions!$F$52,AT8+1,AT8),IF(Instructions!$E$11=16,IF($T9=Instructions!$F$52,AT8+1,AT8))))))</f>
        <v>0</v>
      </c>
      <c r="AU9" s="321" t="str">
        <f t="shared" si="10"/>
        <v>1100</v>
      </c>
      <c r="AV9" s="321">
        <f>IF(Instructions!$E$11=8,IF($D9=Instructions!$F$53,AV8+1,AV8),IF(Instructions!$E$11=10,IF($H9=Instructions!$F$53,AV8+1,AV8),IF(Instructions!$E$11=12,IF($L9=Instructions!$F$53,AV8+1,AV8),IF(Instructions!$E$11=14,IF($P9=Instructions!$F$53,AV8+1,AV8),IF(Instructions!$E$11=16,IF($T9=Instructions!$F$53,AV8+1,AV8))))))</f>
        <v>0</v>
      </c>
      <c r="AW9" s="321" t="str">
        <f t="shared" si="11"/>
        <v>1200</v>
      </c>
      <c r="AX9" s="321">
        <f>IF(Instructions!$E$11=8,IF($D9=Instructions!$F$54,AX8+1,AX8),IF(Instructions!$E$11=10,IF($H9=Instructions!$F$54,AX8+1,AX8),IF(Instructions!$E$11=12,IF($L9=Instructions!$F$54,AX8+1,AX8),IF(Instructions!$E$11=14,IF($P9=Instructions!$F$54,AX8+1,AX8),IF(Instructions!$E$11=16,IF($T9=Instructions!$F$54,AX8+1,AX8))))))</f>
        <v>0</v>
      </c>
      <c r="AY9" s="321" t="str">
        <f t="shared" si="12"/>
        <v>1300</v>
      </c>
      <c r="AZ9" s="321">
        <f>IF(Instructions!$E$11=8,IF($D9=Instructions!$F$55,AZ8+1,AZ8),IF(Instructions!$E$11=10,IF($H9=Instructions!$F$55,AZ8+1,AZ8),IF(Instructions!$E$11=12,IF($L9=Instructions!$F$55,AZ8+1,AZ8),IF(Instructions!$E$11=14,IF($P9=Instructions!$F$55,AZ8+1,AZ8),IF(Instructions!$E$11=16,IF($T9=Instructions!$F$55,AZ8+1,AZ8))))))</f>
        <v>0</v>
      </c>
      <c r="BA9" s="321" t="str">
        <f t="shared" si="13"/>
        <v>1400</v>
      </c>
      <c r="BB9" s="321">
        <f>IF(Instructions!$E$11=8,IF($D9=Instructions!$F$56,BB8+1,BB8),IF(Instructions!$E$11=10,IF($H9=Instructions!$F$56,BB8+1,BB8),IF(Instructions!$E$11=12,IF($L9=Instructions!$F$56,BB8+1,BB8),IF(Instructions!$E$11=14,IF($P9=Instructions!$F$56,BB8+1,BB8),IF(Instructions!$E$11=16,IF($T9=Instructions!$F$56,BB8+1,BB8))))))</f>
        <v>0</v>
      </c>
      <c r="BC9" s="321" t="str">
        <f t="shared" si="14"/>
        <v>1500</v>
      </c>
      <c r="BD9" s="321">
        <f>IF(Instructions!$E$11=8,IF($D9=Instructions!$F$57,BD8+1,BD8),IF(Instructions!$E$11=10,IF($H9=Instructions!$F$57,BD8+1,BD8),IF(Instructions!$E$11=12,IF($L9=Instructions!$F$57,BD8+1,BD8),IF(Instructions!$E$11=14,IF($P9=Instructions!$F$57,BD8+1,BD8),IF(Instructions!$E$11=16,IF($T9=Instructions!$F$57,BD8+1,BD8))))))</f>
        <v>0</v>
      </c>
      <c r="BE9" s="321" t="str">
        <f t="shared" si="15"/>
        <v>1600</v>
      </c>
      <c r="BF9" s="321">
        <v>7</v>
      </c>
    </row>
    <row r="10" spans="1:58" ht="15.75" thickBot="1" x14ac:dyDescent="0.3">
      <c r="A10" s="280"/>
      <c r="B10" s="323" t="str">
        <f>IF(Instructions!$J$11=1,AA10,IF(Instructions!$J$11=2,AC10,IF(Instructions!$J$11=3,AE10,IF(Instructions!$J$11=4,AG10,IF(Instructions!$J$11=5,AI10,IF(Instructions!$J$11=6,AK10,IF(Instructions!$J$11=7,AM10,IF(Instructions!$J$11=8,AO10,IF(Instructions!$J$11=9,AQ10,IF(Instructions!$J$11=10,AS10,IF(Instructions!$J$11=11,AU10,IF(Instructions!$J$11=12,AW10,IF(Instructions!$J$11=13, AY10, IF(Instructions!$J$11=14,BA10,IF(Instructions!$J$11=15,BC10,BE10)))))))))))))))</f>
        <v>201</v>
      </c>
      <c r="C10" s="272">
        <v>8</v>
      </c>
      <c r="D10" s="329" t="str">
        <f>Instructions!F$49</f>
        <v>Luke</v>
      </c>
      <c r="E10" s="334" t="s">
        <v>714</v>
      </c>
      <c r="F10" s="707"/>
      <c r="G10" s="279">
        <v>1</v>
      </c>
      <c r="H10" s="294" t="str">
        <f>Instructions!F$49</f>
        <v>Luke</v>
      </c>
      <c r="I10" s="274" t="s">
        <v>714</v>
      </c>
      <c r="J10" s="709"/>
      <c r="K10" s="279">
        <v>1</v>
      </c>
      <c r="L10" s="294" t="str">
        <f>Instructions!F$49</f>
        <v>Luke</v>
      </c>
      <c r="M10" s="274" t="s">
        <v>714</v>
      </c>
      <c r="N10" s="709"/>
      <c r="O10" s="279">
        <v>1</v>
      </c>
      <c r="P10" s="294" t="str">
        <f>Instructions!F$49</f>
        <v>Luke</v>
      </c>
      <c r="Q10" s="274" t="s">
        <v>714</v>
      </c>
      <c r="R10" s="709"/>
      <c r="S10" s="279">
        <v>1</v>
      </c>
      <c r="T10" s="327" t="str">
        <f>Instructions!F$49</f>
        <v>Luke</v>
      </c>
      <c r="U10" s="274" t="s">
        <v>714</v>
      </c>
      <c r="V10" s="706"/>
      <c r="W10" s="279">
        <v>1</v>
      </c>
      <c r="X10" s="280"/>
      <c r="Y10" s="190" t="str">
        <f>IFERROR( IF(Instructions!$E$11=8, D10&amp;COUNTIF(D$3:D10,D10), IF(Instructions!$E$11=10, H10&amp;COUNTIF(H$3:H10,H10),IF(Instructions!$E$11=12, L10&amp;COUNTIF(L$3:L10,L10),IF(Instructions!$E$11=14, P10&amp;COUNTIF(P$3:P10,P10),T10&amp;COUNTIF(T$3:T10,T10))))),"")</f>
        <v>Luke1</v>
      </c>
      <c r="Z10" s="321">
        <f>IF(Instructions!$E$11=8,IF($D10=Instructions!$F$42,Z9+1,Z9),IF(Instructions!$E$11=10,IF($H10=Instructions!$F$42,Z9+1,Z9),IF(Instructions!$E$11=12,IF($L10=Instructions!$F$42,Z9+1,Z9),IF(Instructions!$E$11=14,IF($P10=Instructions!$F$42,Z9+1,Z9),IF(Instructions!$E$11=16,IF($T10=Instructions!$F$42,Z9+1,Z9))))))</f>
        <v>1</v>
      </c>
      <c r="AA10" s="321" t="str">
        <f t="shared" si="8"/>
        <v>101</v>
      </c>
      <c r="AB10" s="321">
        <f>IF(Instructions!$E$11=8,IF($D10=Instructions!$F$43,AB9+1,AB9),IF(Instructions!$E$11=10,IF($H10=Instructions!$F$43,AB9+1,AB9),IF(Instructions!$E$11=12,IF($L10=Instructions!$F$43,AB9+1,AB9),IF(Instructions!$E$11=14,IF($P10=Instructions!$F$43,AB9+1,AB9),IF(Instructions!$E$11=16,IF($T10=Instructions!$F$43,AB9+1,AB9))))))</f>
        <v>1</v>
      </c>
      <c r="AC10" s="321" t="str">
        <f t="shared" si="0"/>
        <v>201</v>
      </c>
      <c r="AD10" s="321">
        <f>IF(Instructions!$E$11=8,IF($D10=Instructions!$F$44,AD9+1,AD9),IF(Instructions!$E$11=10,IF($H10=Instructions!$F$44,AD9+1,AD9),IF(Instructions!$E$11=12,IF($L10=Instructions!$F$44,AD9+1,AD9),IF(Instructions!$E$11=14,IF($P10=Instructions!$F$44,AD9+1,AD9),IF(Instructions!$E$11=16,IF($T10=Instructions!$F$44,AD9+1,AD9))))))</f>
        <v>1</v>
      </c>
      <c r="AE10" s="321" t="str">
        <f t="shared" si="1"/>
        <v>301</v>
      </c>
      <c r="AF10" s="321">
        <f>IF(Instructions!$E$11=8,IF($D10=Instructions!$F$45,AF9+1,AF9),IF(Instructions!$E$11=10,IF($H10=Instructions!$F$45,AF9+1,AF9),IF(Instructions!$E$11=12,IF($L10=Instructions!$F$45,AF9+1,AF9),IF(Instructions!$E$11=14,IF($P10=Instructions!$F$45,AF9+1,AF9),IF(Instructions!$E$11=16,IF($T10=Instructions!$F$45,AF9+1,AF9))))))</f>
        <v>1</v>
      </c>
      <c r="AG10" s="321" t="str">
        <f t="shared" si="2"/>
        <v>401</v>
      </c>
      <c r="AH10" s="321">
        <f>IF(Instructions!$E$11=8,IF($D10=Instructions!$F$46,AH9+1,AH9),IF(Instructions!$E$11=10,IF($H10=Instructions!$F$46,AH9+1,AH9),IF(Instructions!$E$11=12,IF($L10=Instructions!$F$46,AH9+1,AH9),IF(Instructions!$E$11=14,IF($P10=Instructions!$F$46,AH9+1,AH9),IF(Instructions!$E$11=16,IF($T10=Instructions!$F$46,AH9+1,AH9))))))</f>
        <v>1</v>
      </c>
      <c r="AI10" s="321" t="str">
        <f t="shared" si="3"/>
        <v>501</v>
      </c>
      <c r="AJ10" s="321">
        <f>IF(Instructions!$E$11=8,IF($D10=Instructions!$F$47,AJ9+1,AJ9),IF(Instructions!$E$11=10,IF($H10=Instructions!$F$47,AJ9+1,AJ9),IF(Instructions!$E$11=12,IF($L10=Instructions!$F$47,AJ9+1,AJ9),IF(Instructions!$E$11=14,IF($P10=Instructions!$F$47,AJ9+1,AJ9),IF(Instructions!$E$11=16,IF($T10=Instructions!$F$47,AJ9+1,AJ9))))))</f>
        <v>1</v>
      </c>
      <c r="AK10" s="321" t="str">
        <f t="shared" si="4"/>
        <v>601</v>
      </c>
      <c r="AL10" s="321">
        <f>IF(Instructions!$E$11=8,IF($D10=Instructions!$F$48,AL9+1,AL9),IF(Instructions!$E$11=10,IF($H10=Instructions!$F$48,AL9+1,AL9),IF(Instructions!$E$11=12,IF($L10=Instructions!$F$48,AL9+1,AL9),IF(Instructions!$E$11=14,IF($P10=Instructions!$F$48,AL9+1,AL9),IF(Instructions!$E$11=16,IF($T10=Instructions!$F$48,AL9+1,AL9))))))</f>
        <v>1</v>
      </c>
      <c r="AM10" s="321" t="str">
        <f t="shared" si="5"/>
        <v>701</v>
      </c>
      <c r="AN10" s="321">
        <f>IF(Instructions!$E$11=8,IF($D10=Instructions!$F$49,AN9+1,AN9),IF(Instructions!$E$11=10,IF($H10=Instructions!$F$49,AN9+1,AN9),IF(Instructions!$E$11=12,IF($L10=Instructions!$F$49,AN9+1,AN9),IF(Instructions!$E$11=14,IF($P10=Instructions!$F$49,AN9+1,AN9),IF(Instructions!$E$11=16,IF($T10=Instructions!$F$49,AN9+1,AN9))))))</f>
        <v>1</v>
      </c>
      <c r="AO10" s="321" t="str">
        <f t="shared" si="6"/>
        <v>801</v>
      </c>
      <c r="AP10" s="321">
        <f>IF(Instructions!$E$11=8,IF($D10=Instructions!$F$50,AP9+1,AP9),IF(Instructions!$E$11=10,IF($H10=Instructions!$F$50,AP9+1,AP9),IF(Instructions!$E$11=12,IF($L10=Instructions!$F$50,AP9+1,AP9),IF(Instructions!$E$11=14,IF($P10=Instructions!$F$50,AP9+1,AP9),IF(Instructions!$E$11=16,IF($T10=Instructions!$F$50,AP9+1,AP9))))))</f>
        <v>0</v>
      </c>
      <c r="AQ10" s="321" t="str">
        <f t="shared" si="7"/>
        <v>900</v>
      </c>
      <c r="AR10" s="321">
        <f>IF(Instructions!$E$11=8,IF($D10=Instructions!$F$51,AR9+1,AR9),IF(Instructions!$E$11=10,IF($H10=Instructions!$F$51,AR9+1,AR9),IF(Instructions!$E$11=12,IF($L10=Instructions!$F$51,AR9+1,AR9),IF(Instructions!$E$11=14,IF($P10=Instructions!$F$51,AR9+1,AR9),IF(Instructions!$E$11=16,IF($T10=Instructions!$F$51,AR9+1,AR9))))))</f>
        <v>0</v>
      </c>
      <c r="AS10" s="321" t="str">
        <f t="shared" si="9"/>
        <v>1000</v>
      </c>
      <c r="AT10" s="321">
        <f>IF(Instructions!$E$11=8,IF($D10=Instructions!$F$52,AT9+1,AT9),IF(Instructions!$E$11=10,IF($H10=Instructions!$F$52,AT9+1,AT9),IF(Instructions!$E$11=12,IF($L10=Instructions!$F$52,AT9+1,AT9),IF(Instructions!$E$11=14,IF($P10=Instructions!$F$52,AT9+1,AT9),IF(Instructions!$E$11=16,IF($T10=Instructions!$F$52,AT9+1,AT9))))))</f>
        <v>0</v>
      </c>
      <c r="AU10" s="321" t="str">
        <f t="shared" si="10"/>
        <v>1100</v>
      </c>
      <c r="AV10" s="321">
        <f>IF(Instructions!$E$11=8,IF($D10=Instructions!$F$53,AV9+1,AV9),IF(Instructions!$E$11=10,IF($H10=Instructions!$F$53,AV9+1,AV9),IF(Instructions!$E$11=12,IF($L10=Instructions!$F$53,AV9+1,AV9),IF(Instructions!$E$11=14,IF($P10=Instructions!$F$53,AV9+1,AV9),IF(Instructions!$E$11=16,IF($T10=Instructions!$F$53,AV9+1,AV9))))))</f>
        <v>0</v>
      </c>
      <c r="AW10" s="321" t="str">
        <f t="shared" si="11"/>
        <v>1200</v>
      </c>
      <c r="AX10" s="321">
        <f>IF(Instructions!$E$11=8,IF($D10=Instructions!$F$54,AX9+1,AX9),IF(Instructions!$E$11=10,IF($H10=Instructions!$F$54,AX9+1,AX9),IF(Instructions!$E$11=12,IF($L10=Instructions!$F$54,AX9+1,AX9),IF(Instructions!$E$11=14,IF($P10=Instructions!$F$54,AX9+1,AX9),IF(Instructions!$E$11=16,IF($T10=Instructions!$F$54,AX9+1,AX9))))))</f>
        <v>0</v>
      </c>
      <c r="AY10" s="321" t="str">
        <f t="shared" si="12"/>
        <v>1300</v>
      </c>
      <c r="AZ10" s="321">
        <f>IF(Instructions!$E$11=8,IF($D10=Instructions!$F$55,AZ9+1,AZ9),IF(Instructions!$E$11=10,IF($H10=Instructions!$F$55,AZ9+1,AZ9),IF(Instructions!$E$11=12,IF($L10=Instructions!$F$55,AZ9+1,AZ9),IF(Instructions!$E$11=14,IF($P10=Instructions!$F$55,AZ9+1,AZ9),IF(Instructions!$E$11=16,IF($T10=Instructions!$F$55,AZ9+1,AZ9))))))</f>
        <v>0</v>
      </c>
      <c r="BA10" s="321" t="str">
        <f t="shared" si="13"/>
        <v>1400</v>
      </c>
      <c r="BB10" s="321">
        <f>IF(Instructions!$E$11=8,IF($D10=Instructions!$F$56,BB9+1,BB9),IF(Instructions!$E$11=10,IF($H10=Instructions!$F$56,BB9+1,BB9),IF(Instructions!$E$11=12,IF($L10=Instructions!$F$56,BB9+1,BB9),IF(Instructions!$E$11=14,IF($P10=Instructions!$F$56,BB9+1,BB9),IF(Instructions!$E$11=16,IF($T10=Instructions!$F$56,BB9+1,BB9))))))</f>
        <v>0</v>
      </c>
      <c r="BC10" s="321" t="str">
        <f t="shared" si="14"/>
        <v>1500</v>
      </c>
      <c r="BD10" s="321">
        <f>IF(Instructions!$E$11=8,IF($D10=Instructions!$F$57,BD9+1,BD9),IF(Instructions!$E$11=10,IF($H10=Instructions!$F$57,BD9+1,BD9),IF(Instructions!$E$11=12,IF($L10=Instructions!$F$57,BD9+1,BD9),IF(Instructions!$E$11=14,IF($P10=Instructions!$F$57,BD9+1,BD9),IF(Instructions!$E$11=16,IF($T10=Instructions!$F$57,BD9+1,BD9))))))</f>
        <v>0</v>
      </c>
      <c r="BE10" s="321" t="str">
        <f t="shared" si="15"/>
        <v>1600</v>
      </c>
      <c r="BF10" s="321">
        <v>8</v>
      </c>
    </row>
    <row r="11" spans="1:58" ht="15" customHeight="1" x14ac:dyDescent="0.25">
      <c r="A11" s="280"/>
      <c r="B11" s="323" t="str">
        <f>IF(Instructions!$J$11=1,AA11,IF(Instructions!$J$11=2,AC11,IF(Instructions!$J$11=3,AE11,IF(Instructions!$J$11=4,AG11,IF(Instructions!$J$11=5,AI11,IF(Instructions!$J$11=6,AK11,IF(Instructions!$J$11=7,AM11,IF(Instructions!$J$11=8,AO11,IF(Instructions!$J$11=9,AQ11,IF(Instructions!$J$11=10,AS11,IF(Instructions!$J$11=11,AU11,IF(Instructions!$J$11=12,AW11,IF(Instructions!$J$11=13, AY11, IF(Instructions!$J$11=14,BA11,IF(Instructions!$J$11=15,BC11,BE11)))))))))))))))</f>
        <v>201</v>
      </c>
      <c r="C11" s="271">
        <v>9</v>
      </c>
      <c r="D11" s="325" t="str">
        <f>Instructions!F$49</f>
        <v>Luke</v>
      </c>
      <c r="E11" s="331" t="s">
        <v>719</v>
      </c>
      <c r="F11" s="705" t="s">
        <v>897</v>
      </c>
      <c r="G11" s="279">
        <v>2</v>
      </c>
      <c r="H11" s="293" t="str">
        <f>Instructions!F$50</f>
        <v>Dan</v>
      </c>
      <c r="I11" s="273" t="s">
        <v>715</v>
      </c>
      <c r="J11" s="709"/>
      <c r="K11" s="279">
        <v>1</v>
      </c>
      <c r="L11" s="293" t="str">
        <f>Instructions!F$50</f>
        <v>Dan</v>
      </c>
      <c r="M11" s="273" t="s">
        <v>715</v>
      </c>
      <c r="N11" s="709"/>
      <c r="O11" s="279">
        <v>1</v>
      </c>
      <c r="P11" s="293" t="str">
        <f>Instructions!F$50</f>
        <v>Dan</v>
      </c>
      <c r="Q11" s="273" t="s">
        <v>715</v>
      </c>
      <c r="R11" s="709"/>
      <c r="S11" s="279">
        <v>1</v>
      </c>
      <c r="T11" s="328" t="str">
        <f>Instructions!F$50</f>
        <v>Dan</v>
      </c>
      <c r="U11" s="273" t="s">
        <v>715</v>
      </c>
      <c r="V11" s="706"/>
      <c r="W11" s="279">
        <v>1</v>
      </c>
      <c r="X11" s="280"/>
      <c r="Y11" s="190" t="str">
        <f>IFERROR( IF(Instructions!$E$11=8, D11&amp;COUNTIF(D$3:D11,D11), IF(Instructions!$E$11=10, H11&amp;COUNTIF(H$3:H11,H11),IF(Instructions!$E$11=12, L11&amp;COUNTIF(L$3:L11,L11),IF(Instructions!$E$11=14, P11&amp;COUNTIF(P$3:P11,P11),T11&amp;COUNTIF(T$3:T11,T11))))),"")</f>
        <v>Dan1</v>
      </c>
      <c r="Z11" s="321">
        <f>IF(Instructions!$E$11=8,IF($D11=Instructions!$F$42,Z10+1,Z10),IF(Instructions!$E$11=10,IF($H11=Instructions!$F$42,Z10+1,Z10),IF(Instructions!$E$11=12,IF($L11=Instructions!$F$42,Z10+1,Z10),IF(Instructions!$E$11=14,IF($P11=Instructions!$F$42,Z10+1,Z10),IF(Instructions!$E$11=16,IF($T11=Instructions!$F$42,Z10+1,Z10))))))</f>
        <v>1</v>
      </c>
      <c r="AA11" s="321" t="str">
        <f t="shared" si="8"/>
        <v>101</v>
      </c>
      <c r="AB11" s="321">
        <f>IF(Instructions!$E$11=8,IF($D11=Instructions!$F$43,AB10+1,AB10),IF(Instructions!$E$11=10,IF($H11=Instructions!$F$43,AB10+1,AB10),IF(Instructions!$E$11=12,IF($L11=Instructions!$F$43,AB10+1,AB10),IF(Instructions!$E$11=14,IF($P11=Instructions!$F$43,AB10+1,AB10),IF(Instructions!$E$11=16,IF($T11=Instructions!$F$43,AB10+1,AB10))))))</f>
        <v>1</v>
      </c>
      <c r="AC11" s="321" t="str">
        <f t="shared" si="0"/>
        <v>201</v>
      </c>
      <c r="AD11" s="321">
        <f>IF(Instructions!$E$11=8,IF($D11=Instructions!$F$44,AD10+1,AD10),IF(Instructions!$E$11=10,IF($H11=Instructions!$F$44,AD10+1,AD10),IF(Instructions!$E$11=12,IF($L11=Instructions!$F$44,AD10+1,AD10),IF(Instructions!$E$11=14,IF($P11=Instructions!$F$44,AD10+1,AD10),IF(Instructions!$E$11=16,IF($T11=Instructions!$F$44,AD10+1,AD10))))))</f>
        <v>1</v>
      </c>
      <c r="AE11" s="321" t="str">
        <f t="shared" si="1"/>
        <v>301</v>
      </c>
      <c r="AF11" s="321">
        <f>IF(Instructions!$E$11=8,IF($D11=Instructions!$F$45,AF10+1,AF10),IF(Instructions!$E$11=10,IF($H11=Instructions!$F$45,AF10+1,AF10),IF(Instructions!$E$11=12,IF($L11=Instructions!$F$45,AF10+1,AF10),IF(Instructions!$E$11=14,IF($P11=Instructions!$F$45,AF10+1,AF10),IF(Instructions!$E$11=16,IF($T11=Instructions!$F$45,AF10+1,AF10))))))</f>
        <v>1</v>
      </c>
      <c r="AG11" s="321" t="str">
        <f t="shared" si="2"/>
        <v>401</v>
      </c>
      <c r="AH11" s="321">
        <f>IF(Instructions!$E$11=8,IF($D11=Instructions!$F$46,AH10+1,AH10),IF(Instructions!$E$11=10,IF($H11=Instructions!$F$46,AH10+1,AH10),IF(Instructions!$E$11=12,IF($L11=Instructions!$F$46,AH10+1,AH10),IF(Instructions!$E$11=14,IF($P11=Instructions!$F$46,AH10+1,AH10),IF(Instructions!$E$11=16,IF($T11=Instructions!$F$46,AH10+1,AH10))))))</f>
        <v>1</v>
      </c>
      <c r="AI11" s="321" t="str">
        <f t="shared" si="3"/>
        <v>501</v>
      </c>
      <c r="AJ11" s="321">
        <f>IF(Instructions!$E$11=8,IF($D11=Instructions!$F$47,AJ10+1,AJ10),IF(Instructions!$E$11=10,IF($H11=Instructions!$F$47,AJ10+1,AJ10),IF(Instructions!$E$11=12,IF($L11=Instructions!$F$47,AJ10+1,AJ10),IF(Instructions!$E$11=14,IF($P11=Instructions!$F$47,AJ10+1,AJ10),IF(Instructions!$E$11=16,IF($T11=Instructions!$F$47,AJ10+1,AJ10))))))</f>
        <v>1</v>
      </c>
      <c r="AK11" s="321" t="str">
        <f t="shared" si="4"/>
        <v>601</v>
      </c>
      <c r="AL11" s="321">
        <f>IF(Instructions!$E$11=8,IF($D11=Instructions!$F$48,AL10+1,AL10),IF(Instructions!$E$11=10,IF($H11=Instructions!$F$48,AL10+1,AL10),IF(Instructions!$E$11=12,IF($L11=Instructions!$F$48,AL10+1,AL10),IF(Instructions!$E$11=14,IF($P11=Instructions!$F$48,AL10+1,AL10),IF(Instructions!$E$11=16,IF($T11=Instructions!$F$48,AL10+1,AL10))))))</f>
        <v>1</v>
      </c>
      <c r="AM11" s="321" t="str">
        <f t="shared" si="5"/>
        <v>701</v>
      </c>
      <c r="AN11" s="321">
        <f>IF(Instructions!$E$11=8,IF($D11=Instructions!$F$49,AN10+1,AN10),IF(Instructions!$E$11=10,IF($H11=Instructions!$F$49,AN10+1,AN10),IF(Instructions!$E$11=12,IF($L11=Instructions!$F$49,AN10+1,AN10),IF(Instructions!$E$11=14,IF($P11=Instructions!$F$49,AN10+1,AN10),IF(Instructions!$E$11=16,IF($T11=Instructions!$F$49,AN10+1,AN10))))))</f>
        <v>1</v>
      </c>
      <c r="AO11" s="321" t="str">
        <f t="shared" si="6"/>
        <v>801</v>
      </c>
      <c r="AP11" s="321">
        <f>IF(Instructions!$E$11=8,IF($D11=Instructions!$F$50,AP10+1,AP10),IF(Instructions!$E$11=10,IF($H11=Instructions!$F$50,AP10+1,AP10),IF(Instructions!$E$11=12,IF($L11=Instructions!$F$50,AP10+1,AP10),IF(Instructions!$E$11=14,IF($P11=Instructions!$F$50,AP10+1,AP10),IF(Instructions!$E$11=16,IF($T11=Instructions!$F$50,AP10+1,AP10))))))</f>
        <v>1</v>
      </c>
      <c r="AQ11" s="321" t="str">
        <f t="shared" si="7"/>
        <v>901</v>
      </c>
      <c r="AR11" s="321">
        <f>IF(Instructions!$E$11=8,IF($D11=Instructions!$F$51,AR10+1,AR10),IF(Instructions!$E$11=10,IF($H11=Instructions!$F$51,AR10+1,AR10),IF(Instructions!$E$11=12,IF($L11=Instructions!$F$51,AR10+1,AR10),IF(Instructions!$E$11=14,IF($P11=Instructions!$F$51,AR10+1,AR10),IF(Instructions!$E$11=16,IF($T11=Instructions!$F$51,AR10+1,AR10))))))</f>
        <v>0</v>
      </c>
      <c r="AS11" s="321" t="str">
        <f t="shared" si="9"/>
        <v>1000</v>
      </c>
      <c r="AT11" s="321">
        <f>IF(Instructions!$E$11=8,IF($D11=Instructions!$F$52,AT10+1,AT10),IF(Instructions!$E$11=10,IF($H11=Instructions!$F$52,AT10+1,AT10),IF(Instructions!$E$11=12,IF($L11=Instructions!$F$52,AT10+1,AT10),IF(Instructions!$E$11=14,IF($P11=Instructions!$F$52,AT10+1,AT10),IF(Instructions!$E$11=16,IF($T11=Instructions!$F$52,AT10+1,AT10))))))</f>
        <v>0</v>
      </c>
      <c r="AU11" s="321" t="str">
        <f t="shared" si="10"/>
        <v>1100</v>
      </c>
      <c r="AV11" s="321">
        <f>IF(Instructions!$E$11=8,IF($D11=Instructions!$F$53,AV10+1,AV10),IF(Instructions!$E$11=10,IF($H11=Instructions!$F$53,AV10+1,AV10),IF(Instructions!$E$11=12,IF($L11=Instructions!$F$53,AV10+1,AV10),IF(Instructions!$E$11=14,IF($P11=Instructions!$F$53,AV10+1,AV10),IF(Instructions!$E$11=16,IF($T11=Instructions!$F$53,AV10+1,AV10))))))</f>
        <v>0</v>
      </c>
      <c r="AW11" s="321" t="str">
        <f t="shared" si="11"/>
        <v>1200</v>
      </c>
      <c r="AX11" s="321">
        <f>IF(Instructions!$E$11=8,IF($D11=Instructions!$F$54,AX10+1,AX10),IF(Instructions!$E$11=10,IF($H11=Instructions!$F$54,AX10+1,AX10),IF(Instructions!$E$11=12,IF($L11=Instructions!$F$54,AX10+1,AX10),IF(Instructions!$E$11=14,IF($P11=Instructions!$F$54,AX10+1,AX10),IF(Instructions!$E$11=16,IF($T11=Instructions!$F$54,AX10+1,AX10))))))</f>
        <v>0</v>
      </c>
      <c r="AY11" s="321" t="str">
        <f t="shared" si="12"/>
        <v>1300</v>
      </c>
      <c r="AZ11" s="321">
        <f>IF(Instructions!$E$11=8,IF($D11=Instructions!$F$55,AZ10+1,AZ10),IF(Instructions!$E$11=10,IF($H11=Instructions!$F$55,AZ10+1,AZ10),IF(Instructions!$E$11=12,IF($L11=Instructions!$F$55,AZ10+1,AZ10),IF(Instructions!$E$11=14,IF($P11=Instructions!$F$55,AZ10+1,AZ10),IF(Instructions!$E$11=16,IF($T11=Instructions!$F$55,AZ10+1,AZ10))))))</f>
        <v>0</v>
      </c>
      <c r="BA11" s="321" t="str">
        <f t="shared" si="13"/>
        <v>1400</v>
      </c>
      <c r="BB11" s="321">
        <f>IF(Instructions!$E$11=8,IF($D11=Instructions!$F$56,BB10+1,BB10),IF(Instructions!$E$11=10,IF($H11=Instructions!$F$56,BB10+1,BB10),IF(Instructions!$E$11=12,IF($L11=Instructions!$F$56,BB10+1,BB10),IF(Instructions!$E$11=14,IF($P11=Instructions!$F$56,BB10+1,BB10),IF(Instructions!$E$11=16,IF($T11=Instructions!$F$56,BB10+1,BB10))))))</f>
        <v>0</v>
      </c>
      <c r="BC11" s="321" t="str">
        <f t="shared" si="14"/>
        <v>1500</v>
      </c>
      <c r="BD11" s="321">
        <f>IF(Instructions!$E$11=8,IF($D11=Instructions!$F$57,BD10+1,BD10),IF(Instructions!$E$11=10,IF($H11=Instructions!$F$57,BD10+1,BD10),IF(Instructions!$E$11=12,IF($L11=Instructions!$F$57,BD10+1,BD10),IF(Instructions!$E$11=14,IF($P11=Instructions!$F$57,BD10+1,BD10),IF(Instructions!$E$11=16,IF($T11=Instructions!$F$57,BD10+1,BD10))))))</f>
        <v>0</v>
      </c>
      <c r="BE11" s="321" t="str">
        <f t="shared" si="15"/>
        <v>1600</v>
      </c>
      <c r="BF11" s="321">
        <v>9</v>
      </c>
    </row>
    <row r="12" spans="1:58" ht="15.75" thickBot="1" x14ac:dyDescent="0.3">
      <c r="A12" s="280"/>
      <c r="B12" s="323" t="str">
        <f>IF(Instructions!$J$11=1,AA12,IF(Instructions!$J$11=2,AC12,IF(Instructions!$J$11=3,AE12,IF(Instructions!$J$11=4,AG12,IF(Instructions!$J$11=5,AI12,IF(Instructions!$J$11=6,AK12,IF(Instructions!$J$11=7,AM12,IF(Instructions!$J$11=8,AO12,IF(Instructions!$J$11=9,AQ12,IF(Instructions!$J$11=10,AS12,IF(Instructions!$J$11=11,AU12,IF(Instructions!$J$11=12,AW12,IF(Instructions!$J$11=13, AY12, IF(Instructions!$J$11=14,BA12,IF(Instructions!$J$11=15,BC12,BE12)))))))))))))))</f>
        <v>201</v>
      </c>
      <c r="C12" s="272">
        <v>10</v>
      </c>
      <c r="D12" s="327" t="str">
        <f>Instructions!F$48</f>
        <v>Bui</v>
      </c>
      <c r="E12" s="332" t="s">
        <v>720</v>
      </c>
      <c r="F12" s="706"/>
      <c r="G12" s="279">
        <v>2</v>
      </c>
      <c r="H12" s="295" t="str">
        <f>Instructions!F$51</f>
        <v>Josh</v>
      </c>
      <c r="I12" s="277" t="s">
        <v>716</v>
      </c>
      <c r="J12" s="710"/>
      <c r="K12" s="279">
        <v>1</v>
      </c>
      <c r="L12" s="293" t="str">
        <f>Instructions!F$51</f>
        <v>Josh</v>
      </c>
      <c r="M12" s="274" t="s">
        <v>716</v>
      </c>
      <c r="N12" s="709"/>
      <c r="O12" s="279">
        <v>1</v>
      </c>
      <c r="P12" s="294" t="str">
        <f>Instructions!F$51</f>
        <v>Josh</v>
      </c>
      <c r="Q12" s="274" t="s">
        <v>716</v>
      </c>
      <c r="R12" s="709"/>
      <c r="S12" s="279">
        <v>1</v>
      </c>
      <c r="T12" s="327" t="str">
        <f>Instructions!F$51</f>
        <v>Josh</v>
      </c>
      <c r="U12" s="274" t="s">
        <v>716</v>
      </c>
      <c r="V12" s="706"/>
      <c r="W12" s="279">
        <v>1</v>
      </c>
      <c r="X12" s="280"/>
      <c r="Y12" s="190" t="str">
        <f>IFERROR( IF(Instructions!$E$11=8, D12&amp;COUNTIF(D$3:D12,D12), IF(Instructions!$E$11=10, H12&amp;COUNTIF(H$3:H12,H12),IF(Instructions!$E$11=12, L12&amp;COUNTIF(L$3:L12,L12),IF(Instructions!$E$11=14, P12&amp;COUNTIF(P$3:P12,P12),T12&amp;COUNTIF(T$3:T12,T12))))),"")</f>
        <v>Josh1</v>
      </c>
      <c r="Z12" s="321">
        <f>IF(Instructions!$E$11=8,IF($D12=Instructions!$F$42,Z11+1,Z11),IF(Instructions!$E$11=10,IF($H12=Instructions!$F$42,Z11+1,Z11),IF(Instructions!$E$11=12,IF($L12=Instructions!$F$42,Z11+1,Z11),IF(Instructions!$E$11=14,IF($P12=Instructions!$F$42,Z11+1,Z11),IF(Instructions!$E$11=16,IF($T12=Instructions!$F$42,Z11+1,Z11))))))</f>
        <v>1</v>
      </c>
      <c r="AA12" s="321" t="str">
        <f t="shared" si="8"/>
        <v>101</v>
      </c>
      <c r="AB12" s="321">
        <f>IF(Instructions!$E$11=8,IF($D12=Instructions!$F$43,AB11+1,AB11),IF(Instructions!$E$11=10,IF($H12=Instructions!$F$43,AB11+1,AB11),IF(Instructions!$E$11=12,IF($L12=Instructions!$F$43,AB11+1,AB11),IF(Instructions!$E$11=14,IF($P12=Instructions!$F$43,AB11+1,AB11),IF(Instructions!$E$11=16,IF($T12=Instructions!$F$43,AB11+1,AB11))))))</f>
        <v>1</v>
      </c>
      <c r="AC12" s="321" t="str">
        <f t="shared" si="0"/>
        <v>201</v>
      </c>
      <c r="AD12" s="321">
        <f>IF(Instructions!$E$11=8,IF($D12=Instructions!$F$44,AD11+1,AD11),IF(Instructions!$E$11=10,IF($H12=Instructions!$F$44,AD11+1,AD11),IF(Instructions!$E$11=12,IF($L12=Instructions!$F$44,AD11+1,AD11),IF(Instructions!$E$11=14,IF($P12=Instructions!$F$44,AD11+1,AD11),IF(Instructions!$E$11=16,IF($T12=Instructions!$F$44,AD11+1,AD11))))))</f>
        <v>1</v>
      </c>
      <c r="AE12" s="321" t="str">
        <f t="shared" si="1"/>
        <v>301</v>
      </c>
      <c r="AF12" s="321">
        <f>IF(Instructions!$E$11=8,IF($D12=Instructions!$F$45,AF11+1,AF11),IF(Instructions!$E$11=10,IF($H12=Instructions!$F$45,AF11+1,AF11),IF(Instructions!$E$11=12,IF($L12=Instructions!$F$45,AF11+1,AF11),IF(Instructions!$E$11=14,IF($P12=Instructions!$F$45,AF11+1,AF11),IF(Instructions!$E$11=16,IF($T12=Instructions!$F$45,AF11+1,AF11))))))</f>
        <v>1</v>
      </c>
      <c r="AG12" s="321" t="str">
        <f t="shared" si="2"/>
        <v>401</v>
      </c>
      <c r="AH12" s="321">
        <f>IF(Instructions!$E$11=8,IF($D12=Instructions!$F$46,AH11+1,AH11),IF(Instructions!$E$11=10,IF($H12=Instructions!$F$46,AH11+1,AH11),IF(Instructions!$E$11=12,IF($L12=Instructions!$F$46,AH11+1,AH11),IF(Instructions!$E$11=14,IF($P12=Instructions!$F$46,AH11+1,AH11),IF(Instructions!$E$11=16,IF($T12=Instructions!$F$46,AH11+1,AH11))))))</f>
        <v>1</v>
      </c>
      <c r="AI12" s="321" t="str">
        <f t="shared" si="3"/>
        <v>501</v>
      </c>
      <c r="AJ12" s="321">
        <f>IF(Instructions!$E$11=8,IF($D12=Instructions!$F$47,AJ11+1,AJ11),IF(Instructions!$E$11=10,IF($H12=Instructions!$F$47,AJ11+1,AJ11),IF(Instructions!$E$11=12,IF($L12=Instructions!$F$47,AJ11+1,AJ11),IF(Instructions!$E$11=14,IF($P12=Instructions!$F$47,AJ11+1,AJ11),IF(Instructions!$E$11=16,IF($T12=Instructions!$F$47,AJ11+1,AJ11))))))</f>
        <v>1</v>
      </c>
      <c r="AK12" s="321" t="str">
        <f t="shared" si="4"/>
        <v>601</v>
      </c>
      <c r="AL12" s="321">
        <f>IF(Instructions!$E$11=8,IF($D12=Instructions!$F$48,AL11+1,AL11),IF(Instructions!$E$11=10,IF($H12=Instructions!$F$48,AL11+1,AL11),IF(Instructions!$E$11=12,IF($L12=Instructions!$F$48,AL11+1,AL11),IF(Instructions!$E$11=14,IF($P12=Instructions!$F$48,AL11+1,AL11),IF(Instructions!$E$11=16,IF($T12=Instructions!$F$48,AL11+1,AL11))))))</f>
        <v>1</v>
      </c>
      <c r="AM12" s="321" t="str">
        <f t="shared" si="5"/>
        <v>701</v>
      </c>
      <c r="AN12" s="321">
        <f>IF(Instructions!$E$11=8,IF($D12=Instructions!$F$49,AN11+1,AN11),IF(Instructions!$E$11=10,IF($H12=Instructions!$F$49,AN11+1,AN11),IF(Instructions!$E$11=12,IF($L12=Instructions!$F$49,AN11+1,AN11),IF(Instructions!$E$11=14,IF($P12=Instructions!$F$49,AN11+1,AN11),IF(Instructions!$E$11=16,IF($T12=Instructions!$F$49,AN11+1,AN11))))))</f>
        <v>1</v>
      </c>
      <c r="AO12" s="321" t="str">
        <f t="shared" si="6"/>
        <v>801</v>
      </c>
      <c r="AP12" s="321">
        <f>IF(Instructions!$E$11=8,IF($D12=Instructions!$F$50,AP11+1,AP11),IF(Instructions!$E$11=10,IF($H12=Instructions!$F$50,AP11+1,AP11),IF(Instructions!$E$11=12,IF($L12=Instructions!$F$50,AP11+1,AP11),IF(Instructions!$E$11=14,IF($P12=Instructions!$F$50,AP11+1,AP11),IF(Instructions!$E$11=16,IF($T12=Instructions!$F$50,AP11+1,AP11))))))</f>
        <v>1</v>
      </c>
      <c r="AQ12" s="321" t="str">
        <f t="shared" si="7"/>
        <v>901</v>
      </c>
      <c r="AR12" s="321">
        <f>IF(Instructions!$E$11=8,IF($D12=Instructions!$F$51,AR11+1,AR11),IF(Instructions!$E$11=10,IF($H12=Instructions!$F$51,AR11+1,AR11),IF(Instructions!$E$11=12,IF($L12=Instructions!$F$51,AR11+1,AR11),IF(Instructions!$E$11=14,IF($P12=Instructions!$F$51,AR11+1,AR11),IF(Instructions!$E$11=16,IF($T12=Instructions!$F$51,AR11+1,AR11))))))</f>
        <v>1</v>
      </c>
      <c r="AS12" s="321" t="str">
        <f t="shared" si="9"/>
        <v>1001</v>
      </c>
      <c r="AT12" s="321">
        <f>IF(Instructions!$E$11=8,IF($D12=Instructions!$F$52,AT11+1,AT11),IF(Instructions!$E$11=10,IF($H12=Instructions!$F$52,AT11+1,AT11),IF(Instructions!$E$11=12,IF($L12=Instructions!$F$52,AT11+1,AT11),IF(Instructions!$E$11=14,IF($P12=Instructions!$F$52,AT11+1,AT11),IF(Instructions!$E$11=16,IF($T12=Instructions!$F$52,AT11+1,AT11))))))</f>
        <v>0</v>
      </c>
      <c r="AU12" s="321" t="str">
        <f t="shared" si="10"/>
        <v>1100</v>
      </c>
      <c r="AV12" s="321">
        <f>IF(Instructions!$E$11=8,IF($D12=Instructions!$F$53,AV11+1,AV11),IF(Instructions!$E$11=10,IF($H12=Instructions!$F$53,AV11+1,AV11),IF(Instructions!$E$11=12,IF($L12=Instructions!$F$53,AV11+1,AV11),IF(Instructions!$E$11=14,IF($P12=Instructions!$F$53,AV11+1,AV11),IF(Instructions!$E$11=16,IF($T12=Instructions!$F$53,AV11+1,AV11))))))</f>
        <v>0</v>
      </c>
      <c r="AW12" s="321" t="str">
        <f t="shared" si="11"/>
        <v>1200</v>
      </c>
      <c r="AX12" s="321">
        <f>IF(Instructions!$E$11=8,IF($D12=Instructions!$F$54,AX11+1,AX11),IF(Instructions!$E$11=10,IF($H12=Instructions!$F$54,AX11+1,AX11),IF(Instructions!$E$11=12,IF($L12=Instructions!$F$54,AX11+1,AX11),IF(Instructions!$E$11=14,IF($P12=Instructions!$F$54,AX11+1,AX11),IF(Instructions!$E$11=16,IF($T12=Instructions!$F$54,AX11+1,AX11))))))</f>
        <v>0</v>
      </c>
      <c r="AY12" s="321" t="str">
        <f t="shared" si="12"/>
        <v>1300</v>
      </c>
      <c r="AZ12" s="321">
        <f>IF(Instructions!$E$11=8,IF($D12=Instructions!$F$55,AZ11+1,AZ11),IF(Instructions!$E$11=10,IF($H12=Instructions!$F$55,AZ11+1,AZ11),IF(Instructions!$E$11=12,IF($L12=Instructions!$F$55,AZ11+1,AZ11),IF(Instructions!$E$11=14,IF($P12=Instructions!$F$55,AZ11+1,AZ11),IF(Instructions!$E$11=16,IF($T12=Instructions!$F$55,AZ11+1,AZ11))))))</f>
        <v>0</v>
      </c>
      <c r="BA12" s="321" t="str">
        <f t="shared" si="13"/>
        <v>1400</v>
      </c>
      <c r="BB12" s="321">
        <f>IF(Instructions!$E$11=8,IF($D12=Instructions!$F$56,BB11+1,BB11),IF(Instructions!$E$11=10,IF($H12=Instructions!$F$56,BB11+1,BB11),IF(Instructions!$E$11=12,IF($L12=Instructions!$F$56,BB11+1,BB11),IF(Instructions!$E$11=14,IF($P12=Instructions!$F$56,BB11+1,BB11),IF(Instructions!$E$11=16,IF($T12=Instructions!$F$56,BB11+1,BB11))))))</f>
        <v>0</v>
      </c>
      <c r="BC12" s="321" t="str">
        <f t="shared" si="14"/>
        <v>1500</v>
      </c>
      <c r="BD12" s="321">
        <f>IF(Instructions!$E$11=8,IF($D12=Instructions!$F$57,BD11+1,BD11),IF(Instructions!$E$11=10,IF($H12=Instructions!$F$57,BD11+1,BD11),IF(Instructions!$E$11=12,IF($L12=Instructions!$F$57,BD11+1,BD11),IF(Instructions!$E$11=14,IF($P12=Instructions!$F$57,BD11+1,BD11),IF(Instructions!$E$11=16,IF($T12=Instructions!$F$57,BD11+1,BD11))))))</f>
        <v>0</v>
      </c>
      <c r="BE12" s="321" t="str">
        <f t="shared" si="15"/>
        <v>1600</v>
      </c>
      <c r="BF12" s="321">
        <v>10</v>
      </c>
    </row>
    <row r="13" spans="1:58" ht="15" customHeight="1" x14ac:dyDescent="0.25">
      <c r="A13" s="280"/>
      <c r="B13" s="323" t="str">
        <f>IF(Instructions!$J$11=1,AA13,IF(Instructions!$J$11=2,AC13,IF(Instructions!$J$11=3,AE13,IF(Instructions!$J$11=4,AG13,IF(Instructions!$J$11=5,AI13,IF(Instructions!$J$11=6,AK13,IF(Instructions!$J$11=7,AM13,IF(Instructions!$J$11=8,AO13,IF(Instructions!$J$11=9,AQ13,IF(Instructions!$J$11=10,AS13,IF(Instructions!$J$11=11,AU13,IF(Instructions!$J$11=12,AW13,IF(Instructions!$J$11=13, AY13, IF(Instructions!$J$11=14,BA13,IF(Instructions!$J$11=15,BC13,BE13)))))))))))))))</f>
        <v>201</v>
      </c>
      <c r="C13" s="271">
        <v>11</v>
      </c>
      <c r="D13" s="328" t="str">
        <f>Instructions!F$47</f>
        <v>Devin</v>
      </c>
      <c r="E13" s="333" t="s">
        <v>721</v>
      </c>
      <c r="F13" s="706"/>
      <c r="G13" s="279">
        <v>2</v>
      </c>
      <c r="H13" s="292" t="str">
        <f>Instructions!F$51</f>
        <v>Josh</v>
      </c>
      <c r="I13" s="276" t="s">
        <v>719</v>
      </c>
      <c r="J13" s="708" t="s">
        <v>897</v>
      </c>
      <c r="K13" s="279">
        <v>2</v>
      </c>
      <c r="L13" s="293" t="str">
        <f>Instructions!F$52</f>
        <v>Big R</v>
      </c>
      <c r="M13" s="273" t="s">
        <v>717</v>
      </c>
      <c r="N13" s="709"/>
      <c r="O13" s="279">
        <v>1</v>
      </c>
      <c r="P13" s="293" t="str">
        <f>Instructions!F$52</f>
        <v>Big R</v>
      </c>
      <c r="Q13" s="273" t="s">
        <v>717</v>
      </c>
      <c r="R13" s="709"/>
      <c r="S13" s="279">
        <v>1</v>
      </c>
      <c r="T13" s="328" t="str">
        <f>Instructions!F$52</f>
        <v>Big R</v>
      </c>
      <c r="U13" s="273" t="s">
        <v>717</v>
      </c>
      <c r="V13" s="706"/>
      <c r="W13" s="279">
        <v>1</v>
      </c>
      <c r="X13" s="280"/>
      <c r="Y13" s="190" t="str">
        <f>IFERROR( IF(Instructions!$E$11=8, D13&amp;COUNTIF(D$3:D13,D13), IF(Instructions!$E$11=10, H13&amp;COUNTIF(H$3:H13,H13),IF(Instructions!$E$11=12, L13&amp;COUNTIF(L$3:L13,L13),IF(Instructions!$E$11=14, P13&amp;COUNTIF(P$3:P13,P13),T13&amp;COUNTIF(T$3:T13,T13))))),"")</f>
        <v>Big R1</v>
      </c>
      <c r="Z13" s="321">
        <f>IF(Instructions!$E$11=8,IF($D13=Instructions!$F$42,Z12+1,Z12),IF(Instructions!$E$11=10,IF($H13=Instructions!$F$42,Z12+1,Z12),IF(Instructions!$E$11=12,IF($L13=Instructions!$F$42,Z12+1,Z12),IF(Instructions!$E$11=14,IF($P13=Instructions!$F$42,Z12+1,Z12),IF(Instructions!$E$11=16,IF($T13=Instructions!$F$42,Z12+1,Z12))))))</f>
        <v>1</v>
      </c>
      <c r="AA13" s="321" t="str">
        <f t="shared" si="8"/>
        <v>101</v>
      </c>
      <c r="AB13" s="321">
        <f>IF(Instructions!$E$11=8,IF($D13=Instructions!$F$43,AB12+1,AB12),IF(Instructions!$E$11=10,IF($H13=Instructions!$F$43,AB12+1,AB12),IF(Instructions!$E$11=12,IF($L13=Instructions!$F$43,AB12+1,AB12),IF(Instructions!$E$11=14,IF($P13=Instructions!$F$43,AB12+1,AB12),IF(Instructions!$E$11=16,IF($T13=Instructions!$F$43,AB12+1,AB12))))))</f>
        <v>1</v>
      </c>
      <c r="AC13" s="321" t="str">
        <f t="shared" si="0"/>
        <v>201</v>
      </c>
      <c r="AD13" s="321">
        <f>IF(Instructions!$E$11=8,IF($D13=Instructions!$F$44,AD12+1,AD12),IF(Instructions!$E$11=10,IF($H13=Instructions!$F$44,AD12+1,AD12),IF(Instructions!$E$11=12,IF($L13=Instructions!$F$44,AD12+1,AD12),IF(Instructions!$E$11=14,IF($P13=Instructions!$F$44,AD12+1,AD12),IF(Instructions!$E$11=16,IF($T13=Instructions!$F$44,AD12+1,AD12))))))</f>
        <v>1</v>
      </c>
      <c r="AE13" s="321" t="str">
        <f t="shared" si="1"/>
        <v>301</v>
      </c>
      <c r="AF13" s="321">
        <f>IF(Instructions!$E$11=8,IF($D13=Instructions!$F$45,AF12+1,AF12),IF(Instructions!$E$11=10,IF($H13=Instructions!$F$45,AF12+1,AF12),IF(Instructions!$E$11=12,IF($L13=Instructions!$F$45,AF12+1,AF12),IF(Instructions!$E$11=14,IF($P13=Instructions!$F$45,AF12+1,AF12),IF(Instructions!$E$11=16,IF($T13=Instructions!$F$45,AF12+1,AF12))))))</f>
        <v>1</v>
      </c>
      <c r="AG13" s="321" t="str">
        <f t="shared" si="2"/>
        <v>401</v>
      </c>
      <c r="AH13" s="321">
        <f>IF(Instructions!$E$11=8,IF($D13=Instructions!$F$46,AH12+1,AH12),IF(Instructions!$E$11=10,IF($H13=Instructions!$F$46,AH12+1,AH12),IF(Instructions!$E$11=12,IF($L13=Instructions!$F$46,AH12+1,AH12),IF(Instructions!$E$11=14,IF($P13=Instructions!$F$46,AH12+1,AH12),IF(Instructions!$E$11=16,IF($T13=Instructions!$F$46,AH12+1,AH12))))))</f>
        <v>1</v>
      </c>
      <c r="AI13" s="321" t="str">
        <f t="shared" si="3"/>
        <v>501</v>
      </c>
      <c r="AJ13" s="321">
        <f>IF(Instructions!$E$11=8,IF($D13=Instructions!$F$47,AJ12+1,AJ12),IF(Instructions!$E$11=10,IF($H13=Instructions!$F$47,AJ12+1,AJ12),IF(Instructions!$E$11=12,IF($L13=Instructions!$F$47,AJ12+1,AJ12),IF(Instructions!$E$11=14,IF($P13=Instructions!$F$47,AJ12+1,AJ12),IF(Instructions!$E$11=16,IF($T13=Instructions!$F$47,AJ12+1,AJ12))))))</f>
        <v>1</v>
      </c>
      <c r="AK13" s="321" t="str">
        <f t="shared" si="4"/>
        <v>601</v>
      </c>
      <c r="AL13" s="321">
        <f>IF(Instructions!$E$11=8,IF($D13=Instructions!$F$48,AL12+1,AL12),IF(Instructions!$E$11=10,IF($H13=Instructions!$F$48,AL12+1,AL12),IF(Instructions!$E$11=12,IF($L13=Instructions!$F$48,AL12+1,AL12),IF(Instructions!$E$11=14,IF($P13=Instructions!$F$48,AL12+1,AL12),IF(Instructions!$E$11=16,IF($T13=Instructions!$F$48,AL12+1,AL12))))))</f>
        <v>1</v>
      </c>
      <c r="AM13" s="321" t="str">
        <f t="shared" si="5"/>
        <v>701</v>
      </c>
      <c r="AN13" s="321">
        <f>IF(Instructions!$E$11=8,IF($D13=Instructions!$F$49,AN12+1,AN12),IF(Instructions!$E$11=10,IF($H13=Instructions!$F$49,AN12+1,AN12),IF(Instructions!$E$11=12,IF($L13=Instructions!$F$49,AN12+1,AN12),IF(Instructions!$E$11=14,IF($P13=Instructions!$F$49,AN12+1,AN12),IF(Instructions!$E$11=16,IF($T13=Instructions!$F$49,AN12+1,AN12))))))</f>
        <v>1</v>
      </c>
      <c r="AO13" s="321" t="str">
        <f t="shared" si="6"/>
        <v>801</v>
      </c>
      <c r="AP13" s="321">
        <f>IF(Instructions!$E$11=8,IF($D13=Instructions!$F$50,AP12+1,AP12),IF(Instructions!$E$11=10,IF($H13=Instructions!$F$50,AP12+1,AP12),IF(Instructions!$E$11=12,IF($L13=Instructions!$F$50,AP12+1,AP12),IF(Instructions!$E$11=14,IF($P13=Instructions!$F$50,AP12+1,AP12),IF(Instructions!$E$11=16,IF($T13=Instructions!$F$50,AP12+1,AP12))))))</f>
        <v>1</v>
      </c>
      <c r="AQ13" s="321" t="str">
        <f t="shared" si="7"/>
        <v>901</v>
      </c>
      <c r="AR13" s="321">
        <f>IF(Instructions!$E$11=8,IF($D13=Instructions!$F$51,AR12+1,AR12),IF(Instructions!$E$11=10,IF($H13=Instructions!$F$51,AR12+1,AR12),IF(Instructions!$E$11=12,IF($L13=Instructions!$F$51,AR12+1,AR12),IF(Instructions!$E$11=14,IF($P13=Instructions!$F$51,AR12+1,AR12),IF(Instructions!$E$11=16,IF($T13=Instructions!$F$51,AR12+1,AR12))))))</f>
        <v>1</v>
      </c>
      <c r="AS13" s="321" t="str">
        <f t="shared" si="9"/>
        <v>1001</v>
      </c>
      <c r="AT13" s="321">
        <f>IF(Instructions!$E$11=8,IF($D13=Instructions!$F$52,AT12+1,AT12),IF(Instructions!$E$11=10,IF($H13=Instructions!$F$52,AT12+1,AT12),IF(Instructions!$E$11=12,IF($L13=Instructions!$F$52,AT12+1,AT12),IF(Instructions!$E$11=14,IF($P13=Instructions!$F$52,AT12+1,AT12),IF(Instructions!$E$11=16,IF($T13=Instructions!$F$52,AT12+1,AT12))))))</f>
        <v>1</v>
      </c>
      <c r="AU13" s="321" t="str">
        <f t="shared" si="10"/>
        <v>1101</v>
      </c>
      <c r="AV13" s="321">
        <f>IF(Instructions!$E$11=8,IF($D13=Instructions!$F$53,AV12+1,AV12),IF(Instructions!$E$11=10,IF($H13=Instructions!$F$53,AV12+1,AV12),IF(Instructions!$E$11=12,IF($L13=Instructions!$F$53,AV12+1,AV12),IF(Instructions!$E$11=14,IF($P13=Instructions!$F$53,AV12+1,AV12),IF(Instructions!$E$11=16,IF($T13=Instructions!$F$53,AV12+1,AV12))))))</f>
        <v>0</v>
      </c>
      <c r="AW13" s="321" t="str">
        <f t="shared" si="11"/>
        <v>1200</v>
      </c>
      <c r="AX13" s="321">
        <f>IF(Instructions!$E$11=8,IF($D13=Instructions!$F$54,AX12+1,AX12),IF(Instructions!$E$11=10,IF($H13=Instructions!$F$54,AX12+1,AX12),IF(Instructions!$E$11=12,IF($L13=Instructions!$F$54,AX12+1,AX12),IF(Instructions!$E$11=14,IF($P13=Instructions!$F$54,AX12+1,AX12),IF(Instructions!$E$11=16,IF($T13=Instructions!$F$54,AX12+1,AX12))))))</f>
        <v>0</v>
      </c>
      <c r="AY13" s="321" t="str">
        <f t="shared" si="12"/>
        <v>1300</v>
      </c>
      <c r="AZ13" s="321">
        <f>IF(Instructions!$E$11=8,IF($D13=Instructions!$F$55,AZ12+1,AZ12),IF(Instructions!$E$11=10,IF($H13=Instructions!$F$55,AZ12+1,AZ12),IF(Instructions!$E$11=12,IF($L13=Instructions!$F$55,AZ12+1,AZ12),IF(Instructions!$E$11=14,IF($P13=Instructions!$F$55,AZ12+1,AZ12),IF(Instructions!$E$11=16,IF($T13=Instructions!$F$55,AZ12+1,AZ12))))))</f>
        <v>0</v>
      </c>
      <c r="BA13" s="321" t="str">
        <f t="shared" si="13"/>
        <v>1400</v>
      </c>
      <c r="BB13" s="321">
        <f>IF(Instructions!$E$11=8,IF($D13=Instructions!$F$56,BB12+1,BB12),IF(Instructions!$E$11=10,IF($H13=Instructions!$F$56,BB12+1,BB12),IF(Instructions!$E$11=12,IF($L13=Instructions!$F$56,BB12+1,BB12),IF(Instructions!$E$11=14,IF($P13=Instructions!$F$56,BB12+1,BB12),IF(Instructions!$E$11=16,IF($T13=Instructions!$F$56,BB12+1,BB12))))))</f>
        <v>0</v>
      </c>
      <c r="BC13" s="321" t="str">
        <f t="shared" si="14"/>
        <v>1500</v>
      </c>
      <c r="BD13" s="321">
        <f>IF(Instructions!$E$11=8,IF($D13=Instructions!$F$57,BD12+1,BD12),IF(Instructions!$E$11=10,IF($H13=Instructions!$F$57,BD12+1,BD12),IF(Instructions!$E$11=12,IF($L13=Instructions!$F$57,BD12+1,BD12),IF(Instructions!$E$11=14,IF($P13=Instructions!$F$57,BD12+1,BD12),IF(Instructions!$E$11=16,IF($T13=Instructions!$F$57,BD12+1,BD12))))))</f>
        <v>0</v>
      </c>
      <c r="BE13" s="321" t="str">
        <f t="shared" si="15"/>
        <v>1600</v>
      </c>
      <c r="BF13" s="321">
        <v>11</v>
      </c>
    </row>
    <row r="14" spans="1:58" ht="15.75" thickBot="1" x14ac:dyDescent="0.3">
      <c r="A14" s="280"/>
      <c r="B14" s="323" t="str">
        <f>IF(Instructions!$J$11=1,AA14,IF(Instructions!$J$11=2,AC14,IF(Instructions!$J$11=3,AE14,IF(Instructions!$J$11=4,AG14,IF(Instructions!$J$11=5,AI14,IF(Instructions!$J$11=6,AK14,IF(Instructions!$J$11=7,AM14,IF(Instructions!$J$11=8,AO14,IF(Instructions!$J$11=9,AQ14,IF(Instructions!$J$11=10,AS14,IF(Instructions!$J$11=11,AU14,IF(Instructions!$J$11=12,AW14,IF(Instructions!$J$11=13, AY14, IF(Instructions!$J$11=14,BA14,IF(Instructions!$J$11=15,BC14,BE14)))))))))))))))</f>
        <v>201</v>
      </c>
      <c r="C14" s="272">
        <v>12</v>
      </c>
      <c r="D14" s="327" t="str">
        <f>Instructions!F$46</f>
        <v>Con</v>
      </c>
      <c r="E14" s="332" t="s">
        <v>722</v>
      </c>
      <c r="F14" s="706"/>
      <c r="G14" s="279">
        <v>2</v>
      </c>
      <c r="H14" s="294" t="str">
        <f>Instructions!F$50</f>
        <v>Dan</v>
      </c>
      <c r="I14" s="274" t="s">
        <v>720</v>
      </c>
      <c r="J14" s="709"/>
      <c r="K14" s="279">
        <v>2</v>
      </c>
      <c r="L14" s="295" t="str">
        <f>Instructions!F$53</f>
        <v>Zack</v>
      </c>
      <c r="M14" s="277" t="s">
        <v>718</v>
      </c>
      <c r="N14" s="710"/>
      <c r="O14" s="279">
        <v>1</v>
      </c>
      <c r="P14" s="294" t="str">
        <f>Instructions!F$53</f>
        <v>Zack</v>
      </c>
      <c r="Q14" s="274" t="s">
        <v>718</v>
      </c>
      <c r="R14" s="709"/>
      <c r="S14" s="279">
        <v>1</v>
      </c>
      <c r="T14" s="327" t="str">
        <f>Instructions!F$53</f>
        <v>Zack</v>
      </c>
      <c r="U14" s="274" t="s">
        <v>718</v>
      </c>
      <c r="V14" s="706"/>
      <c r="W14" s="279">
        <v>1</v>
      </c>
      <c r="X14" s="280"/>
      <c r="Y14" s="190" t="str">
        <f>IFERROR( IF(Instructions!$E$11=8, D14&amp;COUNTIF(D$3:D14,D14), IF(Instructions!$E$11=10, H14&amp;COUNTIF(H$3:H14,H14),IF(Instructions!$E$11=12, L14&amp;COUNTIF(L$3:L14,L14),IF(Instructions!$E$11=14, P14&amp;COUNTIF(P$3:P14,P14),T14&amp;COUNTIF(T$3:T14,T14))))),"")</f>
        <v>Zack1</v>
      </c>
      <c r="Z14" s="321">
        <f>IF(Instructions!$E$11=8,IF($D14=Instructions!$F$42,Z13+1,Z13),IF(Instructions!$E$11=10,IF($H14=Instructions!$F$42,Z13+1,Z13),IF(Instructions!$E$11=12,IF($L14=Instructions!$F$42,Z13+1,Z13),IF(Instructions!$E$11=14,IF($P14=Instructions!$F$42,Z13+1,Z13),IF(Instructions!$E$11=16,IF($T14=Instructions!$F$42,Z13+1,Z13))))))</f>
        <v>1</v>
      </c>
      <c r="AA14" s="321" t="str">
        <f t="shared" si="8"/>
        <v>101</v>
      </c>
      <c r="AB14" s="321">
        <f>IF(Instructions!$E$11=8,IF($D14=Instructions!$F$43,AB13+1,AB13),IF(Instructions!$E$11=10,IF($H14=Instructions!$F$43,AB13+1,AB13),IF(Instructions!$E$11=12,IF($L14=Instructions!$F$43,AB13+1,AB13),IF(Instructions!$E$11=14,IF($P14=Instructions!$F$43,AB13+1,AB13),IF(Instructions!$E$11=16,IF($T14=Instructions!$F$43,AB13+1,AB13))))))</f>
        <v>1</v>
      </c>
      <c r="AC14" s="321" t="str">
        <f t="shared" si="0"/>
        <v>201</v>
      </c>
      <c r="AD14" s="321">
        <f>IF(Instructions!$E$11=8,IF($D14=Instructions!$F$44,AD13+1,AD13),IF(Instructions!$E$11=10,IF($H14=Instructions!$F$44,AD13+1,AD13),IF(Instructions!$E$11=12,IF($L14=Instructions!$F$44,AD13+1,AD13),IF(Instructions!$E$11=14,IF($P14=Instructions!$F$44,AD13+1,AD13),IF(Instructions!$E$11=16,IF($T14=Instructions!$F$44,AD13+1,AD13))))))</f>
        <v>1</v>
      </c>
      <c r="AE14" s="321" t="str">
        <f t="shared" si="1"/>
        <v>301</v>
      </c>
      <c r="AF14" s="321">
        <f>IF(Instructions!$E$11=8,IF($D14=Instructions!$F$45,AF13+1,AF13),IF(Instructions!$E$11=10,IF($H14=Instructions!$F$45,AF13+1,AF13),IF(Instructions!$E$11=12,IF($L14=Instructions!$F$45,AF13+1,AF13),IF(Instructions!$E$11=14,IF($P14=Instructions!$F$45,AF13+1,AF13),IF(Instructions!$E$11=16,IF($T14=Instructions!$F$45,AF13+1,AF13))))))</f>
        <v>1</v>
      </c>
      <c r="AG14" s="321" t="str">
        <f t="shared" si="2"/>
        <v>401</v>
      </c>
      <c r="AH14" s="321">
        <f>IF(Instructions!$E$11=8,IF($D14=Instructions!$F$46,AH13+1,AH13),IF(Instructions!$E$11=10,IF($H14=Instructions!$F$46,AH13+1,AH13),IF(Instructions!$E$11=12,IF($L14=Instructions!$F$46,AH13+1,AH13),IF(Instructions!$E$11=14,IF($P14=Instructions!$F$46,AH13+1,AH13),IF(Instructions!$E$11=16,IF($T14=Instructions!$F$46,AH13+1,AH13))))))</f>
        <v>1</v>
      </c>
      <c r="AI14" s="321" t="str">
        <f t="shared" si="3"/>
        <v>501</v>
      </c>
      <c r="AJ14" s="321">
        <f>IF(Instructions!$E$11=8,IF($D14=Instructions!$F$47,AJ13+1,AJ13),IF(Instructions!$E$11=10,IF($H14=Instructions!$F$47,AJ13+1,AJ13),IF(Instructions!$E$11=12,IF($L14=Instructions!$F$47,AJ13+1,AJ13),IF(Instructions!$E$11=14,IF($P14=Instructions!$F$47,AJ13+1,AJ13),IF(Instructions!$E$11=16,IF($T14=Instructions!$F$47,AJ13+1,AJ13))))))</f>
        <v>1</v>
      </c>
      <c r="AK14" s="321" t="str">
        <f t="shared" si="4"/>
        <v>601</v>
      </c>
      <c r="AL14" s="321">
        <f>IF(Instructions!$E$11=8,IF($D14=Instructions!$F$48,AL13+1,AL13),IF(Instructions!$E$11=10,IF($H14=Instructions!$F$48,AL13+1,AL13),IF(Instructions!$E$11=12,IF($L14=Instructions!$F$48,AL13+1,AL13),IF(Instructions!$E$11=14,IF($P14=Instructions!$F$48,AL13+1,AL13),IF(Instructions!$E$11=16,IF($T14=Instructions!$F$48,AL13+1,AL13))))))</f>
        <v>1</v>
      </c>
      <c r="AM14" s="321" t="str">
        <f t="shared" si="5"/>
        <v>701</v>
      </c>
      <c r="AN14" s="321">
        <f>IF(Instructions!$E$11=8,IF($D14=Instructions!$F$49,AN13+1,AN13),IF(Instructions!$E$11=10,IF($H14=Instructions!$F$49,AN13+1,AN13),IF(Instructions!$E$11=12,IF($L14=Instructions!$F$49,AN13+1,AN13),IF(Instructions!$E$11=14,IF($P14=Instructions!$F$49,AN13+1,AN13),IF(Instructions!$E$11=16,IF($T14=Instructions!$F$49,AN13+1,AN13))))))</f>
        <v>1</v>
      </c>
      <c r="AO14" s="321" t="str">
        <f t="shared" si="6"/>
        <v>801</v>
      </c>
      <c r="AP14" s="321">
        <f>IF(Instructions!$E$11=8,IF($D14=Instructions!$F$50,AP13+1,AP13),IF(Instructions!$E$11=10,IF($H14=Instructions!$F$50,AP13+1,AP13),IF(Instructions!$E$11=12,IF($L14=Instructions!$F$50,AP13+1,AP13),IF(Instructions!$E$11=14,IF($P14=Instructions!$F$50,AP13+1,AP13),IF(Instructions!$E$11=16,IF($T14=Instructions!$F$50,AP13+1,AP13))))))</f>
        <v>1</v>
      </c>
      <c r="AQ14" s="321" t="str">
        <f t="shared" si="7"/>
        <v>901</v>
      </c>
      <c r="AR14" s="321">
        <f>IF(Instructions!$E$11=8,IF($D14=Instructions!$F$51,AR13+1,AR13),IF(Instructions!$E$11=10,IF($H14=Instructions!$F$51,AR13+1,AR13),IF(Instructions!$E$11=12,IF($L14=Instructions!$F$51,AR13+1,AR13),IF(Instructions!$E$11=14,IF($P14=Instructions!$F$51,AR13+1,AR13),IF(Instructions!$E$11=16,IF($T14=Instructions!$F$51,AR13+1,AR13))))))</f>
        <v>1</v>
      </c>
      <c r="AS14" s="321" t="str">
        <f t="shared" si="9"/>
        <v>1001</v>
      </c>
      <c r="AT14" s="321">
        <f>IF(Instructions!$E$11=8,IF($D14=Instructions!$F$52,AT13+1,AT13),IF(Instructions!$E$11=10,IF($H14=Instructions!$F$52,AT13+1,AT13),IF(Instructions!$E$11=12,IF($L14=Instructions!$F$52,AT13+1,AT13),IF(Instructions!$E$11=14,IF($P14=Instructions!$F$52,AT13+1,AT13),IF(Instructions!$E$11=16,IF($T14=Instructions!$F$52,AT13+1,AT13))))))</f>
        <v>1</v>
      </c>
      <c r="AU14" s="321" t="str">
        <f t="shared" si="10"/>
        <v>1101</v>
      </c>
      <c r="AV14" s="321">
        <f>IF(Instructions!$E$11=8,IF($D14=Instructions!$F$53,AV13+1,AV13),IF(Instructions!$E$11=10,IF($H14=Instructions!$F$53,AV13+1,AV13),IF(Instructions!$E$11=12,IF($L14=Instructions!$F$53,AV13+1,AV13),IF(Instructions!$E$11=14,IF($P14=Instructions!$F$53,AV13+1,AV13),IF(Instructions!$E$11=16,IF($T14=Instructions!$F$53,AV13+1,AV13))))))</f>
        <v>1</v>
      </c>
      <c r="AW14" s="321" t="str">
        <f t="shared" si="11"/>
        <v>1201</v>
      </c>
      <c r="AX14" s="321">
        <f>IF(Instructions!$E$11=8,IF($D14=Instructions!$F$54,AX13+1,AX13),IF(Instructions!$E$11=10,IF($H14=Instructions!$F$54,AX13+1,AX13),IF(Instructions!$E$11=12,IF($L14=Instructions!$F$54,AX13+1,AX13),IF(Instructions!$E$11=14,IF($P14=Instructions!$F$54,AX13+1,AX13),IF(Instructions!$E$11=16,IF($T14=Instructions!$F$54,AX13+1,AX13))))))</f>
        <v>0</v>
      </c>
      <c r="AY14" s="321" t="str">
        <f t="shared" si="12"/>
        <v>1300</v>
      </c>
      <c r="AZ14" s="321">
        <f>IF(Instructions!$E$11=8,IF($D14=Instructions!$F$55,AZ13+1,AZ13),IF(Instructions!$E$11=10,IF($H14=Instructions!$F$55,AZ13+1,AZ13),IF(Instructions!$E$11=12,IF($L14=Instructions!$F$55,AZ13+1,AZ13),IF(Instructions!$E$11=14,IF($P14=Instructions!$F$55,AZ13+1,AZ13),IF(Instructions!$E$11=16,IF($T14=Instructions!$F$55,AZ13+1,AZ13))))))</f>
        <v>0</v>
      </c>
      <c r="BA14" s="321" t="str">
        <f t="shared" si="13"/>
        <v>1400</v>
      </c>
      <c r="BB14" s="321">
        <f>IF(Instructions!$E$11=8,IF($D14=Instructions!$F$56,BB13+1,BB13),IF(Instructions!$E$11=10,IF($H14=Instructions!$F$56,BB13+1,BB13),IF(Instructions!$E$11=12,IF($L14=Instructions!$F$56,BB13+1,BB13),IF(Instructions!$E$11=14,IF($P14=Instructions!$F$56,BB13+1,BB13),IF(Instructions!$E$11=16,IF($T14=Instructions!$F$56,BB13+1,BB13))))))</f>
        <v>0</v>
      </c>
      <c r="BC14" s="321" t="str">
        <f t="shared" si="14"/>
        <v>1500</v>
      </c>
      <c r="BD14" s="321">
        <f>IF(Instructions!$E$11=8,IF($D14=Instructions!$F$57,BD13+1,BD13),IF(Instructions!$E$11=10,IF($H14=Instructions!$F$57,BD13+1,BD13),IF(Instructions!$E$11=12,IF($L14=Instructions!$F$57,BD13+1,BD13),IF(Instructions!$E$11=14,IF($P14=Instructions!$F$57,BD13+1,BD13),IF(Instructions!$E$11=16,IF($T14=Instructions!$F$57,BD13+1,BD13))))))</f>
        <v>0</v>
      </c>
      <c r="BE14" s="321" t="str">
        <f t="shared" si="15"/>
        <v>1600</v>
      </c>
      <c r="BF14" s="321">
        <v>12</v>
      </c>
    </row>
    <row r="15" spans="1:58" ht="15" customHeight="1" x14ac:dyDescent="0.25">
      <c r="A15" s="280"/>
      <c r="B15" s="323" t="str">
        <f>IF(Instructions!$J$11=1,AA15,IF(Instructions!$J$11=2,AC15,IF(Instructions!$J$11=3,AE15,IF(Instructions!$J$11=4,AG15,IF(Instructions!$J$11=5,AI15,IF(Instructions!$J$11=6,AK15,IF(Instructions!$J$11=7,AM15,IF(Instructions!$J$11=8,AO15,IF(Instructions!$J$11=9,AQ15,IF(Instructions!$J$11=10,AS15,IF(Instructions!$J$11=11,AU15,IF(Instructions!$J$11=12,AW15,IF(Instructions!$J$11=13, AY15, IF(Instructions!$J$11=14,BA15,IF(Instructions!$J$11=15,BC15,BE15)))))))))))))))</f>
        <v>201</v>
      </c>
      <c r="C15" s="271">
        <v>13</v>
      </c>
      <c r="D15" s="328" t="str">
        <f>Instructions!F$45</f>
        <v>Miles</v>
      </c>
      <c r="E15" s="333" t="s">
        <v>723</v>
      </c>
      <c r="F15" s="706"/>
      <c r="G15" s="279">
        <v>2</v>
      </c>
      <c r="H15" s="293" t="str">
        <f>Instructions!F$49</f>
        <v>Luke</v>
      </c>
      <c r="I15" s="273" t="s">
        <v>721</v>
      </c>
      <c r="J15" s="709"/>
      <c r="K15" s="279">
        <v>2</v>
      </c>
      <c r="L15" s="292" t="str">
        <f>Instructions!F$53</f>
        <v>Zack</v>
      </c>
      <c r="M15" s="276" t="s">
        <v>719</v>
      </c>
      <c r="N15" s="708" t="s">
        <v>897</v>
      </c>
      <c r="O15" s="279">
        <v>2</v>
      </c>
      <c r="P15" s="293" t="str">
        <f>Instructions!F$54</f>
        <v>[TEAM 13]</v>
      </c>
      <c r="Q15" s="273" t="s">
        <v>928</v>
      </c>
      <c r="R15" s="709"/>
      <c r="S15" s="279">
        <v>1</v>
      </c>
      <c r="T15" s="328" t="str">
        <f>Instructions!F$54</f>
        <v>[TEAM 13]</v>
      </c>
      <c r="U15" s="273" t="s">
        <v>928</v>
      </c>
      <c r="V15" s="706"/>
      <c r="W15" s="279">
        <v>1</v>
      </c>
      <c r="X15" s="280"/>
      <c r="Y15" s="190" t="str">
        <f>IFERROR( IF(Instructions!$E$11=8, D15&amp;COUNTIF(D$3:D15,D15), IF(Instructions!$E$11=10, H15&amp;COUNTIF(H$3:H15,H15),IF(Instructions!$E$11=12, L15&amp;COUNTIF(L$3:L15,L15),IF(Instructions!$E$11=14, P15&amp;COUNTIF(P$3:P15,P15),T15&amp;COUNTIF(T$3:T15,T15))))),"")</f>
        <v>Zack2</v>
      </c>
      <c r="Z15" s="321">
        <f>IF(Instructions!$E$11=8,IF($D15=Instructions!$F$42,Z14+1,Z14),IF(Instructions!$E$11=10,IF($H15=Instructions!$F$42,Z14+1,Z14),IF(Instructions!$E$11=12,IF($L15=Instructions!$F$42,Z14+1,Z14),IF(Instructions!$E$11=14,IF($P15=Instructions!$F$42,Z14+1,Z14),IF(Instructions!$E$11=16,IF($T15=Instructions!$F$42,Z14+1,Z14))))))</f>
        <v>1</v>
      </c>
      <c r="AA15" s="321" t="str">
        <f t="shared" si="8"/>
        <v>101</v>
      </c>
      <c r="AB15" s="321">
        <f>IF(Instructions!$E$11=8,IF($D15=Instructions!$F$43,AB14+1,AB14),IF(Instructions!$E$11=10,IF($H15=Instructions!$F$43,AB14+1,AB14),IF(Instructions!$E$11=12,IF($L15=Instructions!$F$43,AB14+1,AB14),IF(Instructions!$E$11=14,IF($P15=Instructions!$F$43,AB14+1,AB14),IF(Instructions!$E$11=16,IF($T15=Instructions!$F$43,AB14+1,AB14))))))</f>
        <v>1</v>
      </c>
      <c r="AC15" s="321" t="str">
        <f t="shared" si="0"/>
        <v>201</v>
      </c>
      <c r="AD15" s="321">
        <f>IF(Instructions!$E$11=8,IF($D15=Instructions!$F$44,AD14+1,AD14),IF(Instructions!$E$11=10,IF($H15=Instructions!$F$44,AD14+1,AD14),IF(Instructions!$E$11=12,IF($L15=Instructions!$F$44,AD14+1,AD14),IF(Instructions!$E$11=14,IF($P15=Instructions!$F$44,AD14+1,AD14),IF(Instructions!$E$11=16,IF($T15=Instructions!$F$44,AD14+1,AD14))))))</f>
        <v>1</v>
      </c>
      <c r="AE15" s="321" t="str">
        <f t="shared" si="1"/>
        <v>301</v>
      </c>
      <c r="AF15" s="321">
        <f>IF(Instructions!$E$11=8,IF($D15=Instructions!$F$45,AF14+1,AF14),IF(Instructions!$E$11=10,IF($H15=Instructions!$F$45,AF14+1,AF14),IF(Instructions!$E$11=12,IF($L15=Instructions!$F$45,AF14+1,AF14),IF(Instructions!$E$11=14,IF($P15=Instructions!$F$45,AF14+1,AF14),IF(Instructions!$E$11=16,IF($T15=Instructions!$F$45,AF14+1,AF14))))))</f>
        <v>1</v>
      </c>
      <c r="AG15" s="321" t="str">
        <f t="shared" si="2"/>
        <v>401</v>
      </c>
      <c r="AH15" s="321">
        <f>IF(Instructions!$E$11=8,IF($D15=Instructions!$F$46,AH14+1,AH14),IF(Instructions!$E$11=10,IF($H15=Instructions!$F$46,AH14+1,AH14),IF(Instructions!$E$11=12,IF($L15=Instructions!$F$46,AH14+1,AH14),IF(Instructions!$E$11=14,IF($P15=Instructions!$F$46,AH14+1,AH14),IF(Instructions!$E$11=16,IF($T15=Instructions!$F$46,AH14+1,AH14))))))</f>
        <v>1</v>
      </c>
      <c r="AI15" s="321" t="str">
        <f t="shared" si="3"/>
        <v>501</v>
      </c>
      <c r="AJ15" s="321">
        <f>IF(Instructions!$E$11=8,IF($D15=Instructions!$F$47,AJ14+1,AJ14),IF(Instructions!$E$11=10,IF($H15=Instructions!$F$47,AJ14+1,AJ14),IF(Instructions!$E$11=12,IF($L15=Instructions!$F$47,AJ14+1,AJ14),IF(Instructions!$E$11=14,IF($P15=Instructions!$F$47,AJ14+1,AJ14),IF(Instructions!$E$11=16,IF($T15=Instructions!$F$47,AJ14+1,AJ14))))))</f>
        <v>1</v>
      </c>
      <c r="AK15" s="321" t="str">
        <f t="shared" si="4"/>
        <v>601</v>
      </c>
      <c r="AL15" s="321">
        <f>IF(Instructions!$E$11=8,IF($D15=Instructions!$F$48,AL14+1,AL14),IF(Instructions!$E$11=10,IF($H15=Instructions!$F$48,AL14+1,AL14),IF(Instructions!$E$11=12,IF($L15=Instructions!$F$48,AL14+1,AL14),IF(Instructions!$E$11=14,IF($P15=Instructions!$F$48,AL14+1,AL14),IF(Instructions!$E$11=16,IF($T15=Instructions!$F$48,AL14+1,AL14))))))</f>
        <v>1</v>
      </c>
      <c r="AM15" s="321" t="str">
        <f t="shared" si="5"/>
        <v>701</v>
      </c>
      <c r="AN15" s="321">
        <f>IF(Instructions!$E$11=8,IF($D15=Instructions!$F$49,AN14+1,AN14),IF(Instructions!$E$11=10,IF($H15=Instructions!$F$49,AN14+1,AN14),IF(Instructions!$E$11=12,IF($L15=Instructions!$F$49,AN14+1,AN14),IF(Instructions!$E$11=14,IF($P15=Instructions!$F$49,AN14+1,AN14),IF(Instructions!$E$11=16,IF($T15=Instructions!$F$49,AN14+1,AN14))))))</f>
        <v>1</v>
      </c>
      <c r="AO15" s="321" t="str">
        <f t="shared" si="6"/>
        <v>801</v>
      </c>
      <c r="AP15" s="321">
        <f>IF(Instructions!$E$11=8,IF($D15=Instructions!$F$50,AP14+1,AP14),IF(Instructions!$E$11=10,IF($H15=Instructions!$F$50,AP14+1,AP14),IF(Instructions!$E$11=12,IF($L15=Instructions!$F$50,AP14+1,AP14),IF(Instructions!$E$11=14,IF($P15=Instructions!$F$50,AP14+1,AP14),IF(Instructions!$E$11=16,IF($T15=Instructions!$F$50,AP14+1,AP14))))))</f>
        <v>1</v>
      </c>
      <c r="AQ15" s="321" t="str">
        <f t="shared" si="7"/>
        <v>901</v>
      </c>
      <c r="AR15" s="321">
        <f>IF(Instructions!$E$11=8,IF($D15=Instructions!$F$51,AR14+1,AR14),IF(Instructions!$E$11=10,IF($H15=Instructions!$F$51,AR14+1,AR14),IF(Instructions!$E$11=12,IF($L15=Instructions!$F$51,AR14+1,AR14),IF(Instructions!$E$11=14,IF($P15=Instructions!$F$51,AR14+1,AR14),IF(Instructions!$E$11=16,IF($T15=Instructions!$F$51,AR14+1,AR14))))))</f>
        <v>1</v>
      </c>
      <c r="AS15" s="321" t="str">
        <f t="shared" si="9"/>
        <v>1001</v>
      </c>
      <c r="AT15" s="321">
        <f>IF(Instructions!$E$11=8,IF($D15=Instructions!$F$52,AT14+1,AT14),IF(Instructions!$E$11=10,IF($H15=Instructions!$F$52,AT14+1,AT14),IF(Instructions!$E$11=12,IF($L15=Instructions!$F$52,AT14+1,AT14),IF(Instructions!$E$11=14,IF($P15=Instructions!$F$52,AT14+1,AT14),IF(Instructions!$E$11=16,IF($T15=Instructions!$F$52,AT14+1,AT14))))))</f>
        <v>1</v>
      </c>
      <c r="AU15" s="321" t="str">
        <f t="shared" si="10"/>
        <v>1101</v>
      </c>
      <c r="AV15" s="321">
        <f>IF(Instructions!$E$11=8,IF($D15=Instructions!$F$53,AV14+1,AV14),IF(Instructions!$E$11=10,IF($H15=Instructions!$F$53,AV14+1,AV14),IF(Instructions!$E$11=12,IF($L15=Instructions!$F$53,AV14+1,AV14),IF(Instructions!$E$11=14,IF($P15=Instructions!$F$53,AV14+1,AV14),IF(Instructions!$E$11=16,IF($T15=Instructions!$F$53,AV14+1,AV14))))))</f>
        <v>2</v>
      </c>
      <c r="AW15" s="321" t="str">
        <f t="shared" si="11"/>
        <v>1202</v>
      </c>
      <c r="AX15" s="321">
        <f>IF(Instructions!$E$11=8,IF($D15=Instructions!$F$54,AX14+1,AX14),IF(Instructions!$E$11=10,IF($H15=Instructions!$F$54,AX14+1,AX14),IF(Instructions!$E$11=12,IF($L15=Instructions!$F$54,AX14+1,AX14),IF(Instructions!$E$11=14,IF($P15=Instructions!$F$54,AX14+1,AX14),IF(Instructions!$E$11=16,IF($T15=Instructions!$F$54,AX14+1,AX14))))))</f>
        <v>0</v>
      </c>
      <c r="AY15" s="321" t="str">
        <f t="shared" si="12"/>
        <v>1300</v>
      </c>
      <c r="AZ15" s="321">
        <f>IF(Instructions!$E$11=8,IF($D15=Instructions!$F$55,AZ14+1,AZ14),IF(Instructions!$E$11=10,IF($H15=Instructions!$F$55,AZ14+1,AZ14),IF(Instructions!$E$11=12,IF($L15=Instructions!$F$55,AZ14+1,AZ14),IF(Instructions!$E$11=14,IF($P15=Instructions!$F$55,AZ14+1,AZ14),IF(Instructions!$E$11=16,IF($T15=Instructions!$F$55,AZ14+1,AZ14))))))</f>
        <v>0</v>
      </c>
      <c r="BA15" s="321" t="str">
        <f t="shared" si="13"/>
        <v>1400</v>
      </c>
      <c r="BB15" s="321">
        <f>IF(Instructions!$E$11=8,IF($D15=Instructions!$F$56,BB14+1,BB14),IF(Instructions!$E$11=10,IF($H15=Instructions!$F$56,BB14+1,BB14),IF(Instructions!$E$11=12,IF($L15=Instructions!$F$56,BB14+1,BB14),IF(Instructions!$E$11=14,IF($P15=Instructions!$F$56,BB14+1,BB14),IF(Instructions!$E$11=16,IF($T15=Instructions!$F$56,BB14+1,BB14))))))</f>
        <v>0</v>
      </c>
      <c r="BC15" s="321" t="str">
        <f t="shared" si="14"/>
        <v>1500</v>
      </c>
      <c r="BD15" s="321">
        <f>IF(Instructions!$E$11=8,IF($D15=Instructions!$F$57,BD14+1,BD14),IF(Instructions!$E$11=10,IF($H15=Instructions!$F$57,BD14+1,BD14),IF(Instructions!$E$11=12,IF($L15=Instructions!$F$57,BD14+1,BD14),IF(Instructions!$E$11=14,IF($P15=Instructions!$F$57,BD14+1,BD14),IF(Instructions!$E$11=16,IF($T15=Instructions!$F$57,BD14+1,BD14))))))</f>
        <v>0</v>
      </c>
      <c r="BE15" s="321" t="str">
        <f t="shared" si="15"/>
        <v>1600</v>
      </c>
      <c r="BF15" s="321">
        <v>13</v>
      </c>
    </row>
    <row r="16" spans="1:58" ht="15.75" thickBot="1" x14ac:dyDescent="0.3">
      <c r="A16" s="280"/>
      <c r="B16" s="323" t="str">
        <f>IF(Instructions!$J$11=1,AA16,IF(Instructions!$J$11=2,AC16,IF(Instructions!$J$11=3,AE16,IF(Instructions!$J$11=4,AG16,IF(Instructions!$J$11=5,AI16,IF(Instructions!$J$11=6,AK16,IF(Instructions!$J$11=7,AM16,IF(Instructions!$J$11=8,AO16,IF(Instructions!$J$11=9,AQ16,IF(Instructions!$J$11=10,AS16,IF(Instructions!$J$11=11,AU16,IF(Instructions!$J$11=12,AW16,IF(Instructions!$J$11=13, AY16, IF(Instructions!$J$11=14,BA16,IF(Instructions!$J$11=15,BC16,BE16)))))))))))))))</f>
        <v>201</v>
      </c>
      <c r="C16" s="272">
        <v>14</v>
      </c>
      <c r="D16" s="327" t="str">
        <f>Instructions!F$44</f>
        <v>Cam</v>
      </c>
      <c r="E16" s="332" t="s">
        <v>724</v>
      </c>
      <c r="F16" s="706"/>
      <c r="G16" s="279">
        <v>2</v>
      </c>
      <c r="H16" s="294" t="str">
        <f>Instructions!F$48</f>
        <v>Bui</v>
      </c>
      <c r="I16" s="274" t="s">
        <v>722</v>
      </c>
      <c r="J16" s="709"/>
      <c r="K16" s="279">
        <v>2</v>
      </c>
      <c r="L16" s="294" t="str">
        <f>Instructions!F$52</f>
        <v>Big R</v>
      </c>
      <c r="M16" s="274" t="s">
        <v>720</v>
      </c>
      <c r="N16" s="709"/>
      <c r="O16" s="279">
        <v>2</v>
      </c>
      <c r="P16" s="295" t="str">
        <f>Instructions!F$55</f>
        <v>[TEAM 14]</v>
      </c>
      <c r="Q16" s="277" t="s">
        <v>929</v>
      </c>
      <c r="R16" s="710"/>
      <c r="S16" s="279">
        <v>1</v>
      </c>
      <c r="T16" s="327" t="str">
        <f>Instructions!F$55</f>
        <v>[TEAM 14]</v>
      </c>
      <c r="U16" s="274" t="s">
        <v>929</v>
      </c>
      <c r="V16" s="706"/>
      <c r="W16" s="279">
        <v>1</v>
      </c>
      <c r="X16" s="280"/>
      <c r="Y16" s="190" t="str">
        <f>IFERROR( IF(Instructions!$E$11=8, D16&amp;COUNTIF(D$3:D16,D16), IF(Instructions!$E$11=10, H16&amp;COUNTIF(H$3:H16,H16),IF(Instructions!$E$11=12, L16&amp;COUNTIF(L$3:L16,L16),IF(Instructions!$E$11=14, P16&amp;COUNTIF(P$3:P16,P16),T16&amp;COUNTIF(T$3:T16,T16))))),"")</f>
        <v>Big R2</v>
      </c>
      <c r="Z16" s="321">
        <f>IF(Instructions!$E$11=8,IF($D16=Instructions!$F$42,Z15+1,Z15),IF(Instructions!$E$11=10,IF($H16=Instructions!$F$42,Z15+1,Z15),IF(Instructions!$E$11=12,IF($L16=Instructions!$F$42,Z15+1,Z15),IF(Instructions!$E$11=14,IF($P16=Instructions!$F$42,Z15+1,Z15),IF(Instructions!$E$11=16,IF($T16=Instructions!$F$42,Z15+1,Z15))))))</f>
        <v>1</v>
      </c>
      <c r="AA16" s="321" t="str">
        <f t="shared" si="8"/>
        <v>101</v>
      </c>
      <c r="AB16" s="321">
        <f>IF(Instructions!$E$11=8,IF($D16=Instructions!$F$43,AB15+1,AB15),IF(Instructions!$E$11=10,IF($H16=Instructions!$F$43,AB15+1,AB15),IF(Instructions!$E$11=12,IF($L16=Instructions!$F$43,AB15+1,AB15),IF(Instructions!$E$11=14,IF($P16=Instructions!$F$43,AB15+1,AB15),IF(Instructions!$E$11=16,IF($T16=Instructions!$F$43,AB15+1,AB15))))))</f>
        <v>1</v>
      </c>
      <c r="AC16" s="321" t="str">
        <f t="shared" si="0"/>
        <v>201</v>
      </c>
      <c r="AD16" s="321">
        <f>IF(Instructions!$E$11=8,IF($D16=Instructions!$F$44,AD15+1,AD15),IF(Instructions!$E$11=10,IF($H16=Instructions!$F$44,AD15+1,AD15),IF(Instructions!$E$11=12,IF($L16=Instructions!$F$44,AD15+1,AD15),IF(Instructions!$E$11=14,IF($P16=Instructions!$F$44,AD15+1,AD15),IF(Instructions!$E$11=16,IF($T16=Instructions!$F$44,AD15+1,AD15))))))</f>
        <v>1</v>
      </c>
      <c r="AE16" s="321" t="str">
        <f t="shared" si="1"/>
        <v>301</v>
      </c>
      <c r="AF16" s="321">
        <f>IF(Instructions!$E$11=8,IF($D16=Instructions!$F$45,AF15+1,AF15),IF(Instructions!$E$11=10,IF($H16=Instructions!$F$45,AF15+1,AF15),IF(Instructions!$E$11=12,IF($L16=Instructions!$F$45,AF15+1,AF15),IF(Instructions!$E$11=14,IF($P16=Instructions!$F$45,AF15+1,AF15),IF(Instructions!$E$11=16,IF($T16=Instructions!$F$45,AF15+1,AF15))))))</f>
        <v>1</v>
      </c>
      <c r="AG16" s="321" t="str">
        <f t="shared" si="2"/>
        <v>401</v>
      </c>
      <c r="AH16" s="321">
        <f>IF(Instructions!$E$11=8,IF($D16=Instructions!$F$46,AH15+1,AH15),IF(Instructions!$E$11=10,IF($H16=Instructions!$F$46,AH15+1,AH15),IF(Instructions!$E$11=12,IF($L16=Instructions!$F$46,AH15+1,AH15),IF(Instructions!$E$11=14,IF($P16=Instructions!$F$46,AH15+1,AH15),IF(Instructions!$E$11=16,IF($T16=Instructions!$F$46,AH15+1,AH15))))))</f>
        <v>1</v>
      </c>
      <c r="AI16" s="321" t="str">
        <f t="shared" si="3"/>
        <v>501</v>
      </c>
      <c r="AJ16" s="321">
        <f>IF(Instructions!$E$11=8,IF($D16=Instructions!$F$47,AJ15+1,AJ15),IF(Instructions!$E$11=10,IF($H16=Instructions!$F$47,AJ15+1,AJ15),IF(Instructions!$E$11=12,IF($L16=Instructions!$F$47,AJ15+1,AJ15),IF(Instructions!$E$11=14,IF($P16=Instructions!$F$47,AJ15+1,AJ15),IF(Instructions!$E$11=16,IF($T16=Instructions!$F$47,AJ15+1,AJ15))))))</f>
        <v>1</v>
      </c>
      <c r="AK16" s="321" t="str">
        <f t="shared" si="4"/>
        <v>601</v>
      </c>
      <c r="AL16" s="321">
        <f>IF(Instructions!$E$11=8,IF($D16=Instructions!$F$48,AL15+1,AL15),IF(Instructions!$E$11=10,IF($H16=Instructions!$F$48,AL15+1,AL15),IF(Instructions!$E$11=12,IF($L16=Instructions!$F$48,AL15+1,AL15),IF(Instructions!$E$11=14,IF($P16=Instructions!$F$48,AL15+1,AL15),IF(Instructions!$E$11=16,IF($T16=Instructions!$F$48,AL15+1,AL15))))))</f>
        <v>1</v>
      </c>
      <c r="AM16" s="321" t="str">
        <f t="shared" si="5"/>
        <v>701</v>
      </c>
      <c r="AN16" s="321">
        <f>IF(Instructions!$E$11=8,IF($D16=Instructions!$F$49,AN15+1,AN15),IF(Instructions!$E$11=10,IF($H16=Instructions!$F$49,AN15+1,AN15),IF(Instructions!$E$11=12,IF($L16=Instructions!$F$49,AN15+1,AN15),IF(Instructions!$E$11=14,IF($P16=Instructions!$F$49,AN15+1,AN15),IF(Instructions!$E$11=16,IF($T16=Instructions!$F$49,AN15+1,AN15))))))</f>
        <v>1</v>
      </c>
      <c r="AO16" s="321" t="str">
        <f t="shared" si="6"/>
        <v>801</v>
      </c>
      <c r="AP16" s="321">
        <f>IF(Instructions!$E$11=8,IF($D16=Instructions!$F$50,AP15+1,AP15),IF(Instructions!$E$11=10,IF($H16=Instructions!$F$50,AP15+1,AP15),IF(Instructions!$E$11=12,IF($L16=Instructions!$F$50,AP15+1,AP15),IF(Instructions!$E$11=14,IF($P16=Instructions!$F$50,AP15+1,AP15),IF(Instructions!$E$11=16,IF($T16=Instructions!$F$50,AP15+1,AP15))))))</f>
        <v>1</v>
      </c>
      <c r="AQ16" s="321" t="str">
        <f t="shared" si="7"/>
        <v>901</v>
      </c>
      <c r="AR16" s="321">
        <f>IF(Instructions!$E$11=8,IF($D16=Instructions!$F$51,AR15+1,AR15),IF(Instructions!$E$11=10,IF($H16=Instructions!$F$51,AR15+1,AR15),IF(Instructions!$E$11=12,IF($L16=Instructions!$F$51,AR15+1,AR15),IF(Instructions!$E$11=14,IF($P16=Instructions!$F$51,AR15+1,AR15),IF(Instructions!$E$11=16,IF($T16=Instructions!$F$51,AR15+1,AR15))))))</f>
        <v>1</v>
      </c>
      <c r="AS16" s="321" t="str">
        <f t="shared" si="9"/>
        <v>1001</v>
      </c>
      <c r="AT16" s="321">
        <f>IF(Instructions!$E$11=8,IF($D16=Instructions!$F$52,AT15+1,AT15),IF(Instructions!$E$11=10,IF($H16=Instructions!$F$52,AT15+1,AT15),IF(Instructions!$E$11=12,IF($L16=Instructions!$F$52,AT15+1,AT15),IF(Instructions!$E$11=14,IF($P16=Instructions!$F$52,AT15+1,AT15),IF(Instructions!$E$11=16,IF($T16=Instructions!$F$52,AT15+1,AT15))))))</f>
        <v>2</v>
      </c>
      <c r="AU16" s="321" t="str">
        <f t="shared" si="10"/>
        <v>1102</v>
      </c>
      <c r="AV16" s="321">
        <f>IF(Instructions!$E$11=8,IF($D16=Instructions!$F$53,AV15+1,AV15),IF(Instructions!$E$11=10,IF($H16=Instructions!$F$53,AV15+1,AV15),IF(Instructions!$E$11=12,IF($L16=Instructions!$F$53,AV15+1,AV15),IF(Instructions!$E$11=14,IF($P16=Instructions!$F$53,AV15+1,AV15),IF(Instructions!$E$11=16,IF($T16=Instructions!$F$53,AV15+1,AV15))))))</f>
        <v>2</v>
      </c>
      <c r="AW16" s="321" t="str">
        <f t="shared" si="11"/>
        <v>1202</v>
      </c>
      <c r="AX16" s="321">
        <f>IF(Instructions!$E$11=8,IF($D16=Instructions!$F$54,AX15+1,AX15),IF(Instructions!$E$11=10,IF($H16=Instructions!$F$54,AX15+1,AX15),IF(Instructions!$E$11=12,IF($L16=Instructions!$F$54,AX15+1,AX15),IF(Instructions!$E$11=14,IF($P16=Instructions!$F$54,AX15+1,AX15),IF(Instructions!$E$11=16,IF($T16=Instructions!$F$54,AX15+1,AX15))))))</f>
        <v>0</v>
      </c>
      <c r="AY16" s="321" t="str">
        <f t="shared" si="12"/>
        <v>1300</v>
      </c>
      <c r="AZ16" s="321">
        <f>IF(Instructions!$E$11=8,IF($D16=Instructions!$F$55,AZ15+1,AZ15),IF(Instructions!$E$11=10,IF($H16=Instructions!$F$55,AZ15+1,AZ15),IF(Instructions!$E$11=12,IF($L16=Instructions!$F$55,AZ15+1,AZ15),IF(Instructions!$E$11=14,IF($P16=Instructions!$F$55,AZ15+1,AZ15),IF(Instructions!$E$11=16,IF($T16=Instructions!$F$55,AZ15+1,AZ15))))))</f>
        <v>0</v>
      </c>
      <c r="BA16" s="321" t="str">
        <f t="shared" si="13"/>
        <v>1400</v>
      </c>
      <c r="BB16" s="321">
        <f>IF(Instructions!$E$11=8,IF($D16=Instructions!$F$56,BB15+1,BB15),IF(Instructions!$E$11=10,IF($H16=Instructions!$F$56,BB15+1,BB15),IF(Instructions!$E$11=12,IF($L16=Instructions!$F$56,BB15+1,BB15),IF(Instructions!$E$11=14,IF($P16=Instructions!$F$56,BB15+1,BB15),IF(Instructions!$E$11=16,IF($T16=Instructions!$F$56,BB15+1,BB15))))))</f>
        <v>0</v>
      </c>
      <c r="BC16" s="321" t="str">
        <f t="shared" si="14"/>
        <v>1500</v>
      </c>
      <c r="BD16" s="321">
        <f>IF(Instructions!$E$11=8,IF($D16=Instructions!$F$57,BD15+1,BD15),IF(Instructions!$E$11=10,IF($H16=Instructions!$F$57,BD15+1,BD15),IF(Instructions!$E$11=12,IF($L16=Instructions!$F$57,BD15+1,BD15),IF(Instructions!$E$11=14,IF($P16=Instructions!$F$57,BD15+1,BD15),IF(Instructions!$E$11=16,IF($T16=Instructions!$F$57,BD15+1,BD15))))))</f>
        <v>0</v>
      </c>
      <c r="BE16" s="321" t="str">
        <f t="shared" si="15"/>
        <v>1600</v>
      </c>
      <c r="BF16" s="321">
        <v>14</v>
      </c>
    </row>
    <row r="17" spans="1:58" ht="15" customHeight="1" x14ac:dyDescent="0.25">
      <c r="A17" s="280"/>
      <c r="B17" s="323" t="str">
        <f>IF(Instructions!$J$11=1,AA17,IF(Instructions!$J$11=2,AC17,IF(Instructions!$J$11=3,AE17,IF(Instructions!$J$11=4,AG17,IF(Instructions!$J$11=5,AI17,IF(Instructions!$J$11=6,AK17,IF(Instructions!$J$11=7,AM17,IF(Instructions!$J$11=8,AO17,IF(Instructions!$J$11=9,AQ17,IF(Instructions!$J$11=10,AS17,IF(Instructions!$J$11=11,AU17,IF(Instructions!$J$11=12,AW17,IF(Instructions!$J$11=13, AY17, IF(Instructions!$J$11=14,BA17,IF(Instructions!$J$11=15,BC17,BE17)))))))))))))))</f>
        <v>201</v>
      </c>
      <c r="C17" s="271">
        <v>15</v>
      </c>
      <c r="D17" s="328" t="str">
        <f>Instructions!F$43</f>
        <v>Camden</v>
      </c>
      <c r="E17" s="333" t="s">
        <v>725</v>
      </c>
      <c r="F17" s="706"/>
      <c r="G17" s="279">
        <v>2</v>
      </c>
      <c r="H17" s="293" t="str">
        <f>Instructions!F$47</f>
        <v>Devin</v>
      </c>
      <c r="I17" s="273" t="s">
        <v>723</v>
      </c>
      <c r="J17" s="709"/>
      <c r="K17" s="279">
        <v>2</v>
      </c>
      <c r="L17" s="293" t="str">
        <f>Instructions!F$51</f>
        <v>Josh</v>
      </c>
      <c r="M17" s="273" t="s">
        <v>721</v>
      </c>
      <c r="N17" s="709"/>
      <c r="O17" s="279">
        <v>2</v>
      </c>
      <c r="P17" s="292" t="str">
        <f>Instructions!F$55</f>
        <v>[TEAM 14]</v>
      </c>
      <c r="Q17" s="276" t="s">
        <v>719</v>
      </c>
      <c r="R17" s="708" t="s">
        <v>897</v>
      </c>
      <c r="S17" s="279">
        <v>2</v>
      </c>
      <c r="T17" s="328" t="str">
        <f>Instructions!F$56</f>
        <v>[TEAM 15]</v>
      </c>
      <c r="U17" s="273" t="s">
        <v>1564</v>
      </c>
      <c r="V17" s="706"/>
      <c r="W17" s="279">
        <v>1</v>
      </c>
      <c r="X17" s="280"/>
      <c r="Y17" s="190" t="str">
        <f>IFERROR( IF(Instructions!$E$11=8, D17&amp;COUNTIF(D$3:D17,D17), IF(Instructions!$E$11=10, H17&amp;COUNTIF(H$3:H17,H17),IF(Instructions!$E$11=12, L17&amp;COUNTIF(L$3:L17,L17),IF(Instructions!$E$11=14, P17&amp;COUNTIF(P$3:P17,P17),T17&amp;COUNTIF(T$3:T17,T17))))),"")</f>
        <v>Josh2</v>
      </c>
      <c r="Z17" s="321">
        <f>IF(Instructions!$E$11=8,IF($D17=Instructions!$F$42,Z16+1,Z16),IF(Instructions!$E$11=10,IF($H17=Instructions!$F$42,Z16+1,Z16),IF(Instructions!$E$11=12,IF($L17=Instructions!$F$42,Z16+1,Z16),IF(Instructions!$E$11=14,IF($P17=Instructions!$F$42,Z16+1,Z16),IF(Instructions!$E$11=16,IF($T17=Instructions!$F$42,Z16+1,Z16))))))</f>
        <v>1</v>
      </c>
      <c r="AA17" s="321" t="str">
        <f t="shared" si="8"/>
        <v>101</v>
      </c>
      <c r="AB17" s="321">
        <f>IF(Instructions!$E$11=8,IF($D17=Instructions!$F$43,AB16+1,AB16),IF(Instructions!$E$11=10,IF($H17=Instructions!$F$43,AB16+1,AB16),IF(Instructions!$E$11=12,IF($L17=Instructions!$F$43,AB16+1,AB16),IF(Instructions!$E$11=14,IF($P17=Instructions!$F$43,AB16+1,AB16),IF(Instructions!$E$11=16,IF($T17=Instructions!$F$43,AB16+1,AB16))))))</f>
        <v>1</v>
      </c>
      <c r="AC17" s="321" t="str">
        <f t="shared" si="0"/>
        <v>201</v>
      </c>
      <c r="AD17" s="321">
        <f>IF(Instructions!$E$11=8,IF($D17=Instructions!$F$44,AD16+1,AD16),IF(Instructions!$E$11=10,IF($H17=Instructions!$F$44,AD16+1,AD16),IF(Instructions!$E$11=12,IF($L17=Instructions!$F$44,AD16+1,AD16),IF(Instructions!$E$11=14,IF($P17=Instructions!$F$44,AD16+1,AD16),IF(Instructions!$E$11=16,IF($T17=Instructions!$F$44,AD16+1,AD16))))))</f>
        <v>1</v>
      </c>
      <c r="AE17" s="321" t="str">
        <f t="shared" si="1"/>
        <v>301</v>
      </c>
      <c r="AF17" s="321">
        <f>IF(Instructions!$E$11=8,IF($D17=Instructions!$F$45,AF16+1,AF16),IF(Instructions!$E$11=10,IF($H17=Instructions!$F$45,AF16+1,AF16),IF(Instructions!$E$11=12,IF($L17=Instructions!$F$45,AF16+1,AF16),IF(Instructions!$E$11=14,IF($P17=Instructions!$F$45,AF16+1,AF16),IF(Instructions!$E$11=16,IF($T17=Instructions!$F$45,AF16+1,AF16))))))</f>
        <v>1</v>
      </c>
      <c r="AG17" s="321" t="str">
        <f t="shared" si="2"/>
        <v>401</v>
      </c>
      <c r="AH17" s="321">
        <f>IF(Instructions!$E$11=8,IF($D17=Instructions!$F$46,AH16+1,AH16),IF(Instructions!$E$11=10,IF($H17=Instructions!$F$46,AH16+1,AH16),IF(Instructions!$E$11=12,IF($L17=Instructions!$F$46,AH16+1,AH16),IF(Instructions!$E$11=14,IF($P17=Instructions!$F$46,AH16+1,AH16),IF(Instructions!$E$11=16,IF($T17=Instructions!$F$46,AH16+1,AH16))))))</f>
        <v>1</v>
      </c>
      <c r="AI17" s="321" t="str">
        <f t="shared" si="3"/>
        <v>501</v>
      </c>
      <c r="AJ17" s="321">
        <f>IF(Instructions!$E$11=8,IF($D17=Instructions!$F$47,AJ16+1,AJ16),IF(Instructions!$E$11=10,IF($H17=Instructions!$F$47,AJ16+1,AJ16),IF(Instructions!$E$11=12,IF($L17=Instructions!$F$47,AJ16+1,AJ16),IF(Instructions!$E$11=14,IF($P17=Instructions!$F$47,AJ16+1,AJ16),IF(Instructions!$E$11=16,IF($T17=Instructions!$F$47,AJ16+1,AJ16))))))</f>
        <v>1</v>
      </c>
      <c r="AK17" s="321" t="str">
        <f t="shared" si="4"/>
        <v>601</v>
      </c>
      <c r="AL17" s="321">
        <f>IF(Instructions!$E$11=8,IF($D17=Instructions!$F$48,AL16+1,AL16),IF(Instructions!$E$11=10,IF($H17=Instructions!$F$48,AL16+1,AL16),IF(Instructions!$E$11=12,IF($L17=Instructions!$F$48,AL16+1,AL16),IF(Instructions!$E$11=14,IF($P17=Instructions!$F$48,AL16+1,AL16),IF(Instructions!$E$11=16,IF($T17=Instructions!$F$48,AL16+1,AL16))))))</f>
        <v>1</v>
      </c>
      <c r="AM17" s="321" t="str">
        <f t="shared" si="5"/>
        <v>701</v>
      </c>
      <c r="AN17" s="321">
        <f>IF(Instructions!$E$11=8,IF($D17=Instructions!$F$49,AN16+1,AN16),IF(Instructions!$E$11=10,IF($H17=Instructions!$F$49,AN16+1,AN16),IF(Instructions!$E$11=12,IF($L17=Instructions!$F$49,AN16+1,AN16),IF(Instructions!$E$11=14,IF($P17=Instructions!$F$49,AN16+1,AN16),IF(Instructions!$E$11=16,IF($T17=Instructions!$F$49,AN16+1,AN16))))))</f>
        <v>1</v>
      </c>
      <c r="AO17" s="321" t="str">
        <f t="shared" si="6"/>
        <v>801</v>
      </c>
      <c r="AP17" s="321">
        <f>IF(Instructions!$E$11=8,IF($D17=Instructions!$F$50,AP16+1,AP16),IF(Instructions!$E$11=10,IF($H17=Instructions!$F$50,AP16+1,AP16),IF(Instructions!$E$11=12,IF($L17=Instructions!$F$50,AP16+1,AP16),IF(Instructions!$E$11=14,IF($P17=Instructions!$F$50,AP16+1,AP16),IF(Instructions!$E$11=16,IF($T17=Instructions!$F$50,AP16+1,AP16))))))</f>
        <v>1</v>
      </c>
      <c r="AQ17" s="321" t="str">
        <f t="shared" si="7"/>
        <v>901</v>
      </c>
      <c r="AR17" s="321">
        <f>IF(Instructions!$E$11=8,IF($D17=Instructions!$F$51,AR16+1,AR16),IF(Instructions!$E$11=10,IF($H17=Instructions!$F$51,AR16+1,AR16),IF(Instructions!$E$11=12,IF($L17=Instructions!$F$51,AR16+1,AR16),IF(Instructions!$E$11=14,IF($P17=Instructions!$F$51,AR16+1,AR16),IF(Instructions!$E$11=16,IF($T17=Instructions!$F$51,AR16+1,AR16))))))</f>
        <v>2</v>
      </c>
      <c r="AS17" s="321" t="str">
        <f t="shared" si="9"/>
        <v>1002</v>
      </c>
      <c r="AT17" s="321">
        <f>IF(Instructions!$E$11=8,IF($D17=Instructions!$F$52,AT16+1,AT16),IF(Instructions!$E$11=10,IF($H17=Instructions!$F$52,AT16+1,AT16),IF(Instructions!$E$11=12,IF($L17=Instructions!$F$52,AT16+1,AT16),IF(Instructions!$E$11=14,IF($P17=Instructions!$F$52,AT16+1,AT16),IF(Instructions!$E$11=16,IF($T17=Instructions!$F$52,AT16+1,AT16))))))</f>
        <v>2</v>
      </c>
      <c r="AU17" s="321" t="str">
        <f t="shared" si="10"/>
        <v>1102</v>
      </c>
      <c r="AV17" s="321">
        <f>IF(Instructions!$E$11=8,IF($D17=Instructions!$F$53,AV16+1,AV16),IF(Instructions!$E$11=10,IF($H17=Instructions!$F$53,AV16+1,AV16),IF(Instructions!$E$11=12,IF($L17=Instructions!$F$53,AV16+1,AV16),IF(Instructions!$E$11=14,IF($P17=Instructions!$F$53,AV16+1,AV16),IF(Instructions!$E$11=16,IF($T17=Instructions!$F$53,AV16+1,AV16))))))</f>
        <v>2</v>
      </c>
      <c r="AW17" s="321" t="str">
        <f t="shared" si="11"/>
        <v>1202</v>
      </c>
      <c r="AX17" s="321">
        <f>IF(Instructions!$E$11=8,IF($D17=Instructions!$F$54,AX16+1,AX16),IF(Instructions!$E$11=10,IF($H17=Instructions!$F$54,AX16+1,AX16),IF(Instructions!$E$11=12,IF($L17=Instructions!$F$54,AX16+1,AX16),IF(Instructions!$E$11=14,IF($P17=Instructions!$F$54,AX16+1,AX16),IF(Instructions!$E$11=16,IF($T17=Instructions!$F$54,AX16+1,AX16))))))</f>
        <v>0</v>
      </c>
      <c r="AY17" s="321" t="str">
        <f t="shared" si="12"/>
        <v>1300</v>
      </c>
      <c r="AZ17" s="321">
        <f>IF(Instructions!$E$11=8,IF($D17=Instructions!$F$55,AZ16+1,AZ16),IF(Instructions!$E$11=10,IF($H17=Instructions!$F$55,AZ16+1,AZ16),IF(Instructions!$E$11=12,IF($L17=Instructions!$F$55,AZ16+1,AZ16),IF(Instructions!$E$11=14,IF($P17=Instructions!$F$55,AZ16+1,AZ16),IF(Instructions!$E$11=16,IF($T17=Instructions!$F$55,AZ16+1,AZ16))))))</f>
        <v>0</v>
      </c>
      <c r="BA17" s="321" t="str">
        <f t="shared" si="13"/>
        <v>1400</v>
      </c>
      <c r="BB17" s="321">
        <f>IF(Instructions!$E$11=8,IF($D17=Instructions!$F$56,BB16+1,BB16),IF(Instructions!$E$11=10,IF($H17=Instructions!$F$56,BB16+1,BB16),IF(Instructions!$E$11=12,IF($L17=Instructions!$F$56,BB16+1,BB16),IF(Instructions!$E$11=14,IF($P17=Instructions!$F$56,BB16+1,BB16),IF(Instructions!$E$11=16,IF($T17=Instructions!$F$56,BB16+1,BB16))))))</f>
        <v>0</v>
      </c>
      <c r="BC17" s="321" t="str">
        <f t="shared" si="14"/>
        <v>1500</v>
      </c>
      <c r="BD17" s="321">
        <f>IF(Instructions!$E$11=8,IF($D17=Instructions!$F$57,BD16+1,BD16),IF(Instructions!$E$11=10,IF($H17=Instructions!$F$57,BD16+1,BD16),IF(Instructions!$E$11=12,IF($L17=Instructions!$F$57,BD16+1,BD16),IF(Instructions!$E$11=14,IF($P17=Instructions!$F$57,BD16+1,BD16),IF(Instructions!$E$11=16,IF($T17=Instructions!$F$57,BD16+1,BD16))))))</f>
        <v>0</v>
      </c>
      <c r="BE17" s="321" t="str">
        <f t="shared" si="15"/>
        <v>1600</v>
      </c>
      <c r="BF17" s="321">
        <v>15</v>
      </c>
    </row>
    <row r="18" spans="1:58" ht="15.75" thickBot="1" x14ac:dyDescent="0.3">
      <c r="A18" s="280"/>
      <c r="B18" s="323" t="str">
        <f>IF(Instructions!$J$11=1,AA18,IF(Instructions!$J$11=2,AC18,IF(Instructions!$J$11=3,AE18,IF(Instructions!$J$11=4,AG18,IF(Instructions!$J$11=5,AI18,IF(Instructions!$J$11=6,AK18,IF(Instructions!$J$11=7,AM18,IF(Instructions!$J$11=8,AO18,IF(Instructions!$J$11=9,AQ18,IF(Instructions!$J$11=10,AS18,IF(Instructions!$J$11=11,AU18,IF(Instructions!$J$11=12,AW18,IF(Instructions!$J$11=13, AY18, IF(Instructions!$J$11=14,BA18,IF(Instructions!$J$11=15,BC18,BE18)))))))))))))))</f>
        <v>201</v>
      </c>
      <c r="C18" s="272">
        <v>16</v>
      </c>
      <c r="D18" s="329" t="str">
        <f>Instructions!F$42</f>
        <v>Trumbo</v>
      </c>
      <c r="E18" s="334" t="s">
        <v>726</v>
      </c>
      <c r="F18" s="707"/>
      <c r="G18" s="279">
        <v>2</v>
      </c>
      <c r="H18" s="294" t="str">
        <f>Instructions!F$46</f>
        <v>Con</v>
      </c>
      <c r="I18" s="274" t="s">
        <v>724</v>
      </c>
      <c r="J18" s="709"/>
      <c r="K18" s="279">
        <v>2</v>
      </c>
      <c r="L18" s="294" t="str">
        <f>Instructions!F$50</f>
        <v>Dan</v>
      </c>
      <c r="M18" s="274" t="s">
        <v>722</v>
      </c>
      <c r="N18" s="709"/>
      <c r="O18" s="279">
        <v>2</v>
      </c>
      <c r="P18" s="294" t="str">
        <f>Instructions!F$54</f>
        <v>[TEAM 13]</v>
      </c>
      <c r="Q18" s="274" t="s">
        <v>720</v>
      </c>
      <c r="R18" s="709"/>
      <c r="S18" s="279">
        <v>2</v>
      </c>
      <c r="T18" s="329" t="str">
        <f>Instructions!F$57</f>
        <v>[TEAM 16]</v>
      </c>
      <c r="U18" s="330" t="s">
        <v>1565</v>
      </c>
      <c r="V18" s="707"/>
      <c r="W18" s="279">
        <v>1</v>
      </c>
      <c r="X18" s="280"/>
      <c r="Y18" s="190" t="str">
        <f>IFERROR( IF(Instructions!$E$11=8, D18&amp;COUNTIF(D$3:D18,D18), IF(Instructions!$E$11=10, H18&amp;COUNTIF(H$3:H18,H18),IF(Instructions!$E$11=12, L18&amp;COUNTIF(L$3:L18,L18),IF(Instructions!$E$11=14, P18&amp;COUNTIF(P$3:P18,P18),T18&amp;COUNTIF(T$3:T18,T18))))),"")</f>
        <v>Dan2</v>
      </c>
      <c r="Z18" s="321">
        <f>IF(Instructions!$E$11=8,IF($D18=Instructions!$F$42,Z17+1,Z17),IF(Instructions!$E$11=10,IF($H18=Instructions!$F$42,Z17+1,Z17),IF(Instructions!$E$11=12,IF($L18=Instructions!$F$42,Z17+1,Z17),IF(Instructions!$E$11=14,IF($P18=Instructions!$F$42,Z17+1,Z17),IF(Instructions!$E$11=16,IF($T18=Instructions!$F$42,Z17+1,Z17))))))</f>
        <v>1</v>
      </c>
      <c r="AA18" s="321" t="str">
        <f t="shared" si="8"/>
        <v>101</v>
      </c>
      <c r="AB18" s="321">
        <f>IF(Instructions!$E$11=8,IF($D18=Instructions!$F$43,AB17+1,AB17),IF(Instructions!$E$11=10,IF($H18=Instructions!$F$43,AB17+1,AB17),IF(Instructions!$E$11=12,IF($L18=Instructions!$F$43,AB17+1,AB17),IF(Instructions!$E$11=14,IF($P18=Instructions!$F$43,AB17+1,AB17),IF(Instructions!$E$11=16,IF($T18=Instructions!$F$43,AB17+1,AB17))))))</f>
        <v>1</v>
      </c>
      <c r="AC18" s="321" t="str">
        <f t="shared" si="0"/>
        <v>201</v>
      </c>
      <c r="AD18" s="321">
        <f>IF(Instructions!$E$11=8,IF($D18=Instructions!$F$44,AD17+1,AD17),IF(Instructions!$E$11=10,IF($H18=Instructions!$F$44,AD17+1,AD17),IF(Instructions!$E$11=12,IF($L18=Instructions!$F$44,AD17+1,AD17),IF(Instructions!$E$11=14,IF($P18=Instructions!$F$44,AD17+1,AD17),IF(Instructions!$E$11=16,IF($T18=Instructions!$F$44,AD17+1,AD17))))))</f>
        <v>1</v>
      </c>
      <c r="AE18" s="321" t="str">
        <f t="shared" si="1"/>
        <v>301</v>
      </c>
      <c r="AF18" s="321">
        <f>IF(Instructions!$E$11=8,IF($D18=Instructions!$F$45,AF17+1,AF17),IF(Instructions!$E$11=10,IF($H18=Instructions!$F$45,AF17+1,AF17),IF(Instructions!$E$11=12,IF($L18=Instructions!$F$45,AF17+1,AF17),IF(Instructions!$E$11=14,IF($P18=Instructions!$F$45,AF17+1,AF17),IF(Instructions!$E$11=16,IF($T18=Instructions!$F$45,AF17+1,AF17))))))</f>
        <v>1</v>
      </c>
      <c r="AG18" s="321" t="str">
        <f t="shared" si="2"/>
        <v>401</v>
      </c>
      <c r="AH18" s="321">
        <f>IF(Instructions!$E$11=8,IF($D18=Instructions!$F$46,AH17+1,AH17),IF(Instructions!$E$11=10,IF($H18=Instructions!$F$46,AH17+1,AH17),IF(Instructions!$E$11=12,IF($L18=Instructions!$F$46,AH17+1,AH17),IF(Instructions!$E$11=14,IF($P18=Instructions!$F$46,AH17+1,AH17),IF(Instructions!$E$11=16,IF($T18=Instructions!$F$46,AH17+1,AH17))))))</f>
        <v>1</v>
      </c>
      <c r="AI18" s="321" t="str">
        <f t="shared" si="3"/>
        <v>501</v>
      </c>
      <c r="AJ18" s="321">
        <f>IF(Instructions!$E$11=8,IF($D18=Instructions!$F$47,AJ17+1,AJ17),IF(Instructions!$E$11=10,IF($H18=Instructions!$F$47,AJ17+1,AJ17),IF(Instructions!$E$11=12,IF($L18=Instructions!$F$47,AJ17+1,AJ17),IF(Instructions!$E$11=14,IF($P18=Instructions!$F$47,AJ17+1,AJ17),IF(Instructions!$E$11=16,IF($T18=Instructions!$F$47,AJ17+1,AJ17))))))</f>
        <v>1</v>
      </c>
      <c r="AK18" s="321" t="str">
        <f t="shared" si="4"/>
        <v>601</v>
      </c>
      <c r="AL18" s="321">
        <f>IF(Instructions!$E$11=8,IF($D18=Instructions!$F$48,AL17+1,AL17),IF(Instructions!$E$11=10,IF($H18=Instructions!$F$48,AL17+1,AL17),IF(Instructions!$E$11=12,IF($L18=Instructions!$F$48,AL17+1,AL17),IF(Instructions!$E$11=14,IF($P18=Instructions!$F$48,AL17+1,AL17),IF(Instructions!$E$11=16,IF($T18=Instructions!$F$48,AL17+1,AL17))))))</f>
        <v>1</v>
      </c>
      <c r="AM18" s="321" t="str">
        <f t="shared" si="5"/>
        <v>701</v>
      </c>
      <c r="AN18" s="321">
        <f>IF(Instructions!$E$11=8,IF($D18=Instructions!$F$49,AN17+1,AN17),IF(Instructions!$E$11=10,IF($H18=Instructions!$F$49,AN17+1,AN17),IF(Instructions!$E$11=12,IF($L18=Instructions!$F$49,AN17+1,AN17),IF(Instructions!$E$11=14,IF($P18=Instructions!$F$49,AN17+1,AN17),IF(Instructions!$E$11=16,IF($T18=Instructions!$F$49,AN17+1,AN17))))))</f>
        <v>1</v>
      </c>
      <c r="AO18" s="321" t="str">
        <f t="shared" si="6"/>
        <v>801</v>
      </c>
      <c r="AP18" s="321">
        <f>IF(Instructions!$E$11=8,IF($D18=Instructions!$F$50,AP17+1,AP17),IF(Instructions!$E$11=10,IF($H18=Instructions!$F$50,AP17+1,AP17),IF(Instructions!$E$11=12,IF($L18=Instructions!$F$50,AP17+1,AP17),IF(Instructions!$E$11=14,IF($P18=Instructions!$F$50,AP17+1,AP17),IF(Instructions!$E$11=16,IF($T18=Instructions!$F$50,AP17+1,AP17))))))</f>
        <v>2</v>
      </c>
      <c r="AQ18" s="321" t="str">
        <f t="shared" si="7"/>
        <v>902</v>
      </c>
      <c r="AR18" s="321">
        <f>IF(Instructions!$E$11=8,IF($D18=Instructions!$F$51,AR17+1,AR17),IF(Instructions!$E$11=10,IF($H18=Instructions!$F$51,AR17+1,AR17),IF(Instructions!$E$11=12,IF($L18=Instructions!$F$51,AR17+1,AR17),IF(Instructions!$E$11=14,IF($P18=Instructions!$F$51,AR17+1,AR17),IF(Instructions!$E$11=16,IF($T18=Instructions!$F$51,AR17+1,AR17))))))</f>
        <v>2</v>
      </c>
      <c r="AS18" s="321" t="str">
        <f t="shared" si="9"/>
        <v>1002</v>
      </c>
      <c r="AT18" s="321">
        <f>IF(Instructions!$E$11=8,IF($D18=Instructions!$F$52,AT17+1,AT17),IF(Instructions!$E$11=10,IF($H18=Instructions!$F$52,AT17+1,AT17),IF(Instructions!$E$11=12,IF($L18=Instructions!$F$52,AT17+1,AT17),IF(Instructions!$E$11=14,IF($P18=Instructions!$F$52,AT17+1,AT17),IF(Instructions!$E$11=16,IF($T18=Instructions!$F$52,AT17+1,AT17))))))</f>
        <v>2</v>
      </c>
      <c r="AU18" s="321" t="str">
        <f t="shared" si="10"/>
        <v>1102</v>
      </c>
      <c r="AV18" s="321">
        <f>IF(Instructions!$E$11=8,IF($D18=Instructions!$F$53,AV17+1,AV17),IF(Instructions!$E$11=10,IF($H18=Instructions!$F$53,AV17+1,AV17),IF(Instructions!$E$11=12,IF($L18=Instructions!$F$53,AV17+1,AV17),IF(Instructions!$E$11=14,IF($P18=Instructions!$F$53,AV17+1,AV17),IF(Instructions!$E$11=16,IF($T18=Instructions!$F$53,AV17+1,AV17))))))</f>
        <v>2</v>
      </c>
      <c r="AW18" s="321" t="str">
        <f t="shared" si="11"/>
        <v>1202</v>
      </c>
      <c r="AX18" s="321">
        <f>IF(Instructions!$E$11=8,IF($D18=Instructions!$F$54,AX17+1,AX17),IF(Instructions!$E$11=10,IF($H18=Instructions!$F$54,AX17+1,AX17),IF(Instructions!$E$11=12,IF($L18=Instructions!$F$54,AX17+1,AX17),IF(Instructions!$E$11=14,IF($P18=Instructions!$F$54,AX17+1,AX17),IF(Instructions!$E$11=16,IF($T18=Instructions!$F$54,AX17+1,AX17))))))</f>
        <v>0</v>
      </c>
      <c r="AY18" s="321" t="str">
        <f t="shared" si="12"/>
        <v>1300</v>
      </c>
      <c r="AZ18" s="321">
        <f>IF(Instructions!$E$11=8,IF($D18=Instructions!$F$55,AZ17+1,AZ17),IF(Instructions!$E$11=10,IF($H18=Instructions!$F$55,AZ17+1,AZ17),IF(Instructions!$E$11=12,IF($L18=Instructions!$F$55,AZ17+1,AZ17),IF(Instructions!$E$11=14,IF($P18=Instructions!$F$55,AZ17+1,AZ17),IF(Instructions!$E$11=16,IF($T18=Instructions!$F$55,AZ17+1,AZ17))))))</f>
        <v>0</v>
      </c>
      <c r="BA18" s="321" t="str">
        <f t="shared" si="13"/>
        <v>1400</v>
      </c>
      <c r="BB18" s="321">
        <f>IF(Instructions!$E$11=8,IF($D18=Instructions!$F$56,BB17+1,BB17),IF(Instructions!$E$11=10,IF($H18=Instructions!$F$56,BB17+1,BB17),IF(Instructions!$E$11=12,IF($L18=Instructions!$F$56,BB17+1,BB17),IF(Instructions!$E$11=14,IF($P18=Instructions!$F$56,BB17+1,BB17),IF(Instructions!$E$11=16,IF($T18=Instructions!$F$56,BB17+1,BB17))))))</f>
        <v>0</v>
      </c>
      <c r="BC18" s="321" t="str">
        <f t="shared" si="14"/>
        <v>1500</v>
      </c>
      <c r="BD18" s="321">
        <f>IF(Instructions!$E$11=8,IF($D18=Instructions!$F$57,BD17+1,BD17),IF(Instructions!$E$11=10,IF($H18=Instructions!$F$57,BD17+1,BD17),IF(Instructions!$E$11=12,IF($L18=Instructions!$F$57,BD17+1,BD17),IF(Instructions!$E$11=14,IF($P18=Instructions!$F$57,BD17+1,BD17),IF(Instructions!$E$11=16,IF($T18=Instructions!$F$57,BD17+1,BD17))))))</f>
        <v>0</v>
      </c>
      <c r="BE18" s="321" t="str">
        <f t="shared" si="15"/>
        <v>1600</v>
      </c>
      <c r="BF18" s="321">
        <v>16</v>
      </c>
    </row>
    <row r="19" spans="1:58" ht="15" customHeight="1" x14ac:dyDescent="0.25">
      <c r="A19" s="280"/>
      <c r="B19" s="323" t="str">
        <f>IF(Instructions!$J$11=1,AA19,IF(Instructions!$J$11=2,AC19,IF(Instructions!$J$11=3,AE19,IF(Instructions!$J$11=4,AG19,IF(Instructions!$J$11=5,AI19,IF(Instructions!$J$11=6,AK19,IF(Instructions!$J$11=7,AM19,IF(Instructions!$J$11=8,AO19,IF(Instructions!$J$11=9,AQ19,IF(Instructions!$J$11=10,AS19,IF(Instructions!$J$11=11,AU19,IF(Instructions!$J$11=12,AW19,IF(Instructions!$J$11=13, AY19, IF(Instructions!$J$11=14,BA19,IF(Instructions!$J$11=15,BC19,BE19)))))))))))))))</f>
        <v>201</v>
      </c>
      <c r="C19" s="271">
        <v>17</v>
      </c>
      <c r="D19" s="325" t="str">
        <f>Instructions!F$42</f>
        <v>Trumbo</v>
      </c>
      <c r="E19" s="333" t="s">
        <v>731</v>
      </c>
      <c r="F19" s="705" t="s">
        <v>898</v>
      </c>
      <c r="G19" s="279">
        <v>3</v>
      </c>
      <c r="H19" s="293" t="str">
        <f>Instructions!F$45</f>
        <v>Miles</v>
      </c>
      <c r="I19" s="273" t="s">
        <v>725</v>
      </c>
      <c r="J19" s="709"/>
      <c r="K19" s="279">
        <v>2</v>
      </c>
      <c r="L19" s="293" t="str">
        <f>Instructions!F$49</f>
        <v>Luke</v>
      </c>
      <c r="M19" s="273" t="s">
        <v>723</v>
      </c>
      <c r="N19" s="709"/>
      <c r="O19" s="279">
        <v>2</v>
      </c>
      <c r="P19" s="293" t="str">
        <f>Instructions!F$53</f>
        <v>Zack</v>
      </c>
      <c r="Q19" s="273" t="s">
        <v>721</v>
      </c>
      <c r="R19" s="709"/>
      <c r="S19" s="279">
        <v>2</v>
      </c>
      <c r="T19" s="325" t="s">
        <v>1990</v>
      </c>
      <c r="U19" s="326" t="s">
        <v>719</v>
      </c>
      <c r="V19" s="705" t="s">
        <v>897</v>
      </c>
      <c r="W19" s="279">
        <v>2</v>
      </c>
      <c r="X19" s="280"/>
      <c r="Y19" s="190" t="str">
        <f>IFERROR( IF(Instructions!$E$11=8, D19&amp;COUNTIF(D$3:D19,D19), IF(Instructions!$E$11=10, H19&amp;COUNTIF(H$3:H19,H19),IF(Instructions!$E$11=12, L19&amp;COUNTIF(L$3:L19,L19),IF(Instructions!$E$11=14, P19&amp;COUNTIF(P$3:P19,P19),T19&amp;COUNTIF(T$3:T19,T19))))),"")</f>
        <v>Luke2</v>
      </c>
      <c r="Z19" s="321">
        <f>IF(Instructions!$E$11=8,IF($D19=Instructions!$F$42,Z18+1,Z18),IF(Instructions!$E$11=10,IF($H19=Instructions!$F$42,Z18+1,Z18),IF(Instructions!$E$11=12,IF($L19=Instructions!$F$42,Z18+1,Z18),IF(Instructions!$E$11=14,IF($P19=Instructions!$F$42,Z18+1,Z18),IF(Instructions!$E$11=16,IF($T19=Instructions!$F$42,Z18+1,Z18))))))</f>
        <v>1</v>
      </c>
      <c r="AA19" s="321" t="str">
        <f t="shared" si="8"/>
        <v>101</v>
      </c>
      <c r="AB19" s="321">
        <f>IF(Instructions!$E$11=8,IF($D19=Instructions!$F$43,AB18+1,AB18),IF(Instructions!$E$11=10,IF($H19=Instructions!$F$43,AB18+1,AB18),IF(Instructions!$E$11=12,IF($L19=Instructions!$F$43,AB18+1,AB18),IF(Instructions!$E$11=14,IF($P19=Instructions!$F$43,AB18+1,AB18),IF(Instructions!$E$11=16,IF($T19=Instructions!$F$43,AB18+1,AB18))))))</f>
        <v>1</v>
      </c>
      <c r="AC19" s="321" t="str">
        <f t="shared" si="0"/>
        <v>201</v>
      </c>
      <c r="AD19" s="321">
        <f>IF(Instructions!$E$11=8,IF($D19=Instructions!$F$44,AD18+1,AD18),IF(Instructions!$E$11=10,IF($H19=Instructions!$F$44,AD18+1,AD18),IF(Instructions!$E$11=12,IF($L19=Instructions!$F$44,AD18+1,AD18),IF(Instructions!$E$11=14,IF($P19=Instructions!$F$44,AD18+1,AD18),IF(Instructions!$E$11=16,IF($T19=Instructions!$F$44,AD18+1,AD18))))))</f>
        <v>1</v>
      </c>
      <c r="AE19" s="321" t="str">
        <f t="shared" si="1"/>
        <v>301</v>
      </c>
      <c r="AF19" s="321">
        <f>IF(Instructions!$E$11=8,IF($D19=Instructions!$F$45,AF18+1,AF18),IF(Instructions!$E$11=10,IF($H19=Instructions!$F$45,AF18+1,AF18),IF(Instructions!$E$11=12,IF($L19=Instructions!$F$45,AF18+1,AF18),IF(Instructions!$E$11=14,IF($P19=Instructions!$F$45,AF18+1,AF18),IF(Instructions!$E$11=16,IF($T19=Instructions!$F$45,AF18+1,AF18))))))</f>
        <v>1</v>
      </c>
      <c r="AG19" s="321" t="str">
        <f t="shared" si="2"/>
        <v>401</v>
      </c>
      <c r="AH19" s="321">
        <f>IF(Instructions!$E$11=8,IF($D19=Instructions!$F$46,AH18+1,AH18),IF(Instructions!$E$11=10,IF($H19=Instructions!$F$46,AH18+1,AH18),IF(Instructions!$E$11=12,IF($L19=Instructions!$F$46,AH18+1,AH18),IF(Instructions!$E$11=14,IF($P19=Instructions!$F$46,AH18+1,AH18),IF(Instructions!$E$11=16,IF($T19=Instructions!$F$46,AH18+1,AH18))))))</f>
        <v>1</v>
      </c>
      <c r="AI19" s="321" t="str">
        <f t="shared" si="3"/>
        <v>501</v>
      </c>
      <c r="AJ19" s="321">
        <f>IF(Instructions!$E$11=8,IF($D19=Instructions!$F$47,AJ18+1,AJ18),IF(Instructions!$E$11=10,IF($H19=Instructions!$F$47,AJ18+1,AJ18),IF(Instructions!$E$11=12,IF($L19=Instructions!$F$47,AJ18+1,AJ18),IF(Instructions!$E$11=14,IF($P19=Instructions!$F$47,AJ18+1,AJ18),IF(Instructions!$E$11=16,IF($T19=Instructions!$F$47,AJ18+1,AJ18))))))</f>
        <v>1</v>
      </c>
      <c r="AK19" s="321" t="str">
        <f t="shared" si="4"/>
        <v>601</v>
      </c>
      <c r="AL19" s="321">
        <f>IF(Instructions!$E$11=8,IF($D19=Instructions!$F$48,AL18+1,AL18),IF(Instructions!$E$11=10,IF($H19=Instructions!$F$48,AL18+1,AL18),IF(Instructions!$E$11=12,IF($L19=Instructions!$F$48,AL18+1,AL18),IF(Instructions!$E$11=14,IF($P19=Instructions!$F$48,AL18+1,AL18),IF(Instructions!$E$11=16,IF($T19=Instructions!$F$48,AL18+1,AL18))))))</f>
        <v>1</v>
      </c>
      <c r="AM19" s="321" t="str">
        <f t="shared" si="5"/>
        <v>701</v>
      </c>
      <c r="AN19" s="321">
        <f>IF(Instructions!$E$11=8,IF($D19=Instructions!$F$49,AN18+1,AN18),IF(Instructions!$E$11=10,IF($H19=Instructions!$F$49,AN18+1,AN18),IF(Instructions!$E$11=12,IF($L19=Instructions!$F$49,AN18+1,AN18),IF(Instructions!$E$11=14,IF($P19=Instructions!$F$49,AN18+1,AN18),IF(Instructions!$E$11=16,IF($T19=Instructions!$F$49,AN18+1,AN18))))))</f>
        <v>2</v>
      </c>
      <c r="AO19" s="321" t="str">
        <f t="shared" si="6"/>
        <v>802</v>
      </c>
      <c r="AP19" s="321">
        <f>IF(Instructions!$E$11=8,IF($D19=Instructions!$F$50,AP18+1,AP18),IF(Instructions!$E$11=10,IF($H19=Instructions!$F$50,AP18+1,AP18),IF(Instructions!$E$11=12,IF($L19=Instructions!$F$50,AP18+1,AP18),IF(Instructions!$E$11=14,IF($P19=Instructions!$F$50,AP18+1,AP18),IF(Instructions!$E$11=16,IF($T19=Instructions!$F$50,AP18+1,AP18))))))</f>
        <v>2</v>
      </c>
      <c r="AQ19" s="321" t="str">
        <f t="shared" si="7"/>
        <v>902</v>
      </c>
      <c r="AR19" s="321">
        <f>IF(Instructions!$E$11=8,IF($D19=Instructions!$F$51,AR18+1,AR18),IF(Instructions!$E$11=10,IF($H19=Instructions!$F$51,AR18+1,AR18),IF(Instructions!$E$11=12,IF($L19=Instructions!$F$51,AR18+1,AR18),IF(Instructions!$E$11=14,IF($P19=Instructions!$F$51,AR18+1,AR18),IF(Instructions!$E$11=16,IF($T19=Instructions!$F$51,AR18+1,AR18))))))</f>
        <v>2</v>
      </c>
      <c r="AS19" s="321" t="str">
        <f t="shared" si="9"/>
        <v>1002</v>
      </c>
      <c r="AT19" s="321">
        <f>IF(Instructions!$E$11=8,IF($D19=Instructions!$F$52,AT18+1,AT18),IF(Instructions!$E$11=10,IF($H19=Instructions!$F$52,AT18+1,AT18),IF(Instructions!$E$11=12,IF($L19=Instructions!$F$52,AT18+1,AT18),IF(Instructions!$E$11=14,IF($P19=Instructions!$F$52,AT18+1,AT18),IF(Instructions!$E$11=16,IF($T19=Instructions!$F$52,AT18+1,AT18))))))</f>
        <v>2</v>
      </c>
      <c r="AU19" s="321" t="str">
        <f t="shared" si="10"/>
        <v>1102</v>
      </c>
      <c r="AV19" s="321">
        <f>IF(Instructions!$E$11=8,IF($D19=Instructions!$F$53,AV18+1,AV18),IF(Instructions!$E$11=10,IF($H19=Instructions!$F$53,AV18+1,AV18),IF(Instructions!$E$11=12,IF($L19=Instructions!$F$53,AV18+1,AV18),IF(Instructions!$E$11=14,IF($P19=Instructions!$F$53,AV18+1,AV18),IF(Instructions!$E$11=16,IF($T19=Instructions!$F$53,AV18+1,AV18))))))</f>
        <v>2</v>
      </c>
      <c r="AW19" s="321" t="str">
        <f t="shared" si="11"/>
        <v>1202</v>
      </c>
      <c r="AX19" s="321">
        <f>IF(Instructions!$E$11=8,IF($D19=Instructions!$F$54,AX18+1,AX18),IF(Instructions!$E$11=10,IF($H19=Instructions!$F$54,AX18+1,AX18),IF(Instructions!$E$11=12,IF($L19=Instructions!$F$54,AX18+1,AX18),IF(Instructions!$E$11=14,IF($P19=Instructions!$F$54,AX18+1,AX18),IF(Instructions!$E$11=16,IF($T19=Instructions!$F$54,AX18+1,AX18))))))</f>
        <v>0</v>
      </c>
      <c r="AY19" s="321" t="str">
        <f t="shared" si="12"/>
        <v>1300</v>
      </c>
      <c r="AZ19" s="321">
        <f>IF(Instructions!$E$11=8,IF($D19=Instructions!$F$55,AZ18+1,AZ18),IF(Instructions!$E$11=10,IF($H19=Instructions!$F$55,AZ18+1,AZ18),IF(Instructions!$E$11=12,IF($L19=Instructions!$F$55,AZ18+1,AZ18),IF(Instructions!$E$11=14,IF($P19=Instructions!$F$55,AZ18+1,AZ18),IF(Instructions!$E$11=16,IF($T19=Instructions!$F$55,AZ18+1,AZ18))))))</f>
        <v>0</v>
      </c>
      <c r="BA19" s="321" t="str">
        <f t="shared" si="13"/>
        <v>1400</v>
      </c>
      <c r="BB19" s="321">
        <f>IF(Instructions!$E$11=8,IF($D19=Instructions!$F$56,BB18+1,BB18),IF(Instructions!$E$11=10,IF($H19=Instructions!$F$56,BB18+1,BB18),IF(Instructions!$E$11=12,IF($L19=Instructions!$F$56,BB18+1,BB18),IF(Instructions!$E$11=14,IF($P19=Instructions!$F$56,BB18+1,BB18),IF(Instructions!$E$11=16,IF($T19=Instructions!$F$56,BB18+1,BB18))))))</f>
        <v>0</v>
      </c>
      <c r="BC19" s="321" t="str">
        <f t="shared" si="14"/>
        <v>1500</v>
      </c>
      <c r="BD19" s="321">
        <f>IF(Instructions!$E$11=8,IF($D19=Instructions!$F$57,BD18+1,BD18),IF(Instructions!$E$11=10,IF($H19=Instructions!$F$57,BD18+1,BD18),IF(Instructions!$E$11=12,IF($L19=Instructions!$F$57,BD18+1,BD18),IF(Instructions!$E$11=14,IF($P19=Instructions!$F$57,BD18+1,BD18),IF(Instructions!$E$11=16,IF($T19=Instructions!$F$57,BD18+1,BD18))))))</f>
        <v>0</v>
      </c>
      <c r="BE19" s="321" t="str">
        <f t="shared" si="15"/>
        <v>1600</v>
      </c>
      <c r="BF19" s="321">
        <v>17</v>
      </c>
    </row>
    <row r="20" spans="1:58" x14ac:dyDescent="0.25">
      <c r="A20" s="280"/>
      <c r="B20" s="323" t="str">
        <f>IF(Instructions!$J$11=1,AA20,IF(Instructions!$J$11=2,AC20,IF(Instructions!$J$11=3,AE20,IF(Instructions!$J$11=4,AG20,IF(Instructions!$J$11=5,AI20,IF(Instructions!$J$11=6,AK20,IF(Instructions!$J$11=7,AM20,IF(Instructions!$J$11=8,AO20,IF(Instructions!$J$11=9,AQ20,IF(Instructions!$J$11=10,AS20,IF(Instructions!$J$11=11,AU20,IF(Instructions!$J$11=12,AW20,IF(Instructions!$J$11=13, AY20, IF(Instructions!$J$11=14,BA20,IF(Instructions!$J$11=15,BC20,BE20)))))))))))))))</f>
        <v>201</v>
      </c>
      <c r="C20" s="272">
        <v>18</v>
      </c>
      <c r="D20" s="327" t="str">
        <f>Instructions!F$43</f>
        <v>Camden</v>
      </c>
      <c r="E20" s="332" t="s">
        <v>732</v>
      </c>
      <c r="F20" s="706"/>
      <c r="G20" s="279">
        <v>3</v>
      </c>
      <c r="H20" s="294" t="str">
        <f>Instructions!F$44</f>
        <v>Cam</v>
      </c>
      <c r="I20" s="274" t="s">
        <v>726</v>
      </c>
      <c r="J20" s="709"/>
      <c r="K20" s="279">
        <v>2</v>
      </c>
      <c r="L20" s="294" t="str">
        <f>Instructions!F$48</f>
        <v>Bui</v>
      </c>
      <c r="M20" s="274" t="s">
        <v>724</v>
      </c>
      <c r="N20" s="709"/>
      <c r="O20" s="279">
        <v>2</v>
      </c>
      <c r="P20" s="294" t="str">
        <f>Instructions!F$52</f>
        <v>Big R</v>
      </c>
      <c r="Q20" s="274" t="s">
        <v>722</v>
      </c>
      <c r="R20" s="709"/>
      <c r="S20" s="279">
        <v>2</v>
      </c>
      <c r="T20" s="327" t="s">
        <v>1989</v>
      </c>
      <c r="U20" s="274" t="s">
        <v>720</v>
      </c>
      <c r="V20" s="706"/>
      <c r="W20" s="279">
        <v>2</v>
      </c>
      <c r="X20" s="280"/>
      <c r="Y20" s="190" t="str">
        <f>IFERROR( IF(Instructions!$E$11=8, D20&amp;COUNTIF(D$3:D20,D20), IF(Instructions!$E$11=10, H20&amp;COUNTIF(H$3:H20,H20),IF(Instructions!$E$11=12, L20&amp;COUNTIF(L$3:L20,L20),IF(Instructions!$E$11=14, P20&amp;COUNTIF(P$3:P20,P20),T20&amp;COUNTIF(T$3:T20,T20))))),"")</f>
        <v>Bui2</v>
      </c>
      <c r="Z20" s="321">
        <f>IF(Instructions!$E$11=8,IF($D20=Instructions!$F$42,Z19+1,Z19),IF(Instructions!$E$11=10,IF($H20=Instructions!$F$42,Z19+1,Z19),IF(Instructions!$E$11=12,IF($L20=Instructions!$F$42,Z19+1,Z19),IF(Instructions!$E$11=14,IF($P20=Instructions!$F$42,Z19+1,Z19),IF(Instructions!$E$11=16,IF($T20=Instructions!$F$42,Z19+1,Z19))))))</f>
        <v>1</v>
      </c>
      <c r="AA20" s="321" t="str">
        <f t="shared" si="8"/>
        <v>101</v>
      </c>
      <c r="AB20" s="321">
        <f>IF(Instructions!$E$11=8,IF($D20=Instructions!$F$43,AB19+1,AB19),IF(Instructions!$E$11=10,IF($H20=Instructions!$F$43,AB19+1,AB19),IF(Instructions!$E$11=12,IF($L20=Instructions!$F$43,AB19+1,AB19),IF(Instructions!$E$11=14,IF($P20=Instructions!$F$43,AB19+1,AB19),IF(Instructions!$E$11=16,IF($T20=Instructions!$F$43,AB19+1,AB19))))))</f>
        <v>1</v>
      </c>
      <c r="AC20" s="321" t="str">
        <f t="shared" si="0"/>
        <v>201</v>
      </c>
      <c r="AD20" s="321">
        <f>IF(Instructions!$E$11=8,IF($D20=Instructions!$F$44,AD19+1,AD19),IF(Instructions!$E$11=10,IF($H20=Instructions!$F$44,AD19+1,AD19),IF(Instructions!$E$11=12,IF($L20=Instructions!$F$44,AD19+1,AD19),IF(Instructions!$E$11=14,IF($P20=Instructions!$F$44,AD19+1,AD19),IF(Instructions!$E$11=16,IF($T20=Instructions!$F$44,AD19+1,AD19))))))</f>
        <v>1</v>
      </c>
      <c r="AE20" s="321" t="str">
        <f t="shared" si="1"/>
        <v>301</v>
      </c>
      <c r="AF20" s="321">
        <f>IF(Instructions!$E$11=8,IF($D20=Instructions!$F$45,AF19+1,AF19),IF(Instructions!$E$11=10,IF($H20=Instructions!$F$45,AF19+1,AF19),IF(Instructions!$E$11=12,IF($L20=Instructions!$F$45,AF19+1,AF19),IF(Instructions!$E$11=14,IF($P20=Instructions!$F$45,AF19+1,AF19),IF(Instructions!$E$11=16,IF($T20=Instructions!$F$45,AF19+1,AF19))))))</f>
        <v>1</v>
      </c>
      <c r="AG20" s="321" t="str">
        <f t="shared" si="2"/>
        <v>401</v>
      </c>
      <c r="AH20" s="321">
        <f>IF(Instructions!$E$11=8,IF($D20=Instructions!$F$46,AH19+1,AH19),IF(Instructions!$E$11=10,IF($H20=Instructions!$F$46,AH19+1,AH19),IF(Instructions!$E$11=12,IF($L20=Instructions!$F$46,AH19+1,AH19),IF(Instructions!$E$11=14,IF($P20=Instructions!$F$46,AH19+1,AH19),IF(Instructions!$E$11=16,IF($T20=Instructions!$F$46,AH19+1,AH19))))))</f>
        <v>1</v>
      </c>
      <c r="AI20" s="321" t="str">
        <f t="shared" si="3"/>
        <v>501</v>
      </c>
      <c r="AJ20" s="321">
        <f>IF(Instructions!$E$11=8,IF($D20=Instructions!$F$47,AJ19+1,AJ19),IF(Instructions!$E$11=10,IF($H20=Instructions!$F$47,AJ19+1,AJ19),IF(Instructions!$E$11=12,IF($L20=Instructions!$F$47,AJ19+1,AJ19),IF(Instructions!$E$11=14,IF($P20=Instructions!$F$47,AJ19+1,AJ19),IF(Instructions!$E$11=16,IF($T20=Instructions!$F$47,AJ19+1,AJ19))))))</f>
        <v>1</v>
      </c>
      <c r="AK20" s="321" t="str">
        <f t="shared" si="4"/>
        <v>601</v>
      </c>
      <c r="AL20" s="321">
        <f>IF(Instructions!$E$11=8,IF($D20=Instructions!$F$48,AL19+1,AL19),IF(Instructions!$E$11=10,IF($H20=Instructions!$F$48,AL19+1,AL19),IF(Instructions!$E$11=12,IF($L20=Instructions!$F$48,AL19+1,AL19),IF(Instructions!$E$11=14,IF($P20=Instructions!$F$48,AL19+1,AL19),IF(Instructions!$E$11=16,IF($T20=Instructions!$F$48,AL19+1,AL19))))))</f>
        <v>2</v>
      </c>
      <c r="AM20" s="321" t="str">
        <f t="shared" si="5"/>
        <v>702</v>
      </c>
      <c r="AN20" s="321">
        <f>IF(Instructions!$E$11=8,IF($D20=Instructions!$F$49,AN19+1,AN19),IF(Instructions!$E$11=10,IF($H20=Instructions!$F$49,AN19+1,AN19),IF(Instructions!$E$11=12,IF($L20=Instructions!$F$49,AN19+1,AN19),IF(Instructions!$E$11=14,IF($P20=Instructions!$F$49,AN19+1,AN19),IF(Instructions!$E$11=16,IF($T20=Instructions!$F$49,AN19+1,AN19))))))</f>
        <v>2</v>
      </c>
      <c r="AO20" s="321" t="str">
        <f t="shared" si="6"/>
        <v>802</v>
      </c>
      <c r="AP20" s="321">
        <f>IF(Instructions!$E$11=8,IF($D20=Instructions!$F$50,AP19+1,AP19),IF(Instructions!$E$11=10,IF($H20=Instructions!$F$50,AP19+1,AP19),IF(Instructions!$E$11=12,IF($L20=Instructions!$F$50,AP19+1,AP19),IF(Instructions!$E$11=14,IF($P20=Instructions!$F$50,AP19+1,AP19),IF(Instructions!$E$11=16,IF($T20=Instructions!$F$50,AP19+1,AP19))))))</f>
        <v>2</v>
      </c>
      <c r="AQ20" s="321" t="str">
        <f t="shared" si="7"/>
        <v>902</v>
      </c>
      <c r="AR20" s="321">
        <f>IF(Instructions!$E$11=8,IF($D20=Instructions!$F$51,AR19+1,AR19),IF(Instructions!$E$11=10,IF($H20=Instructions!$F$51,AR19+1,AR19),IF(Instructions!$E$11=12,IF($L20=Instructions!$F$51,AR19+1,AR19),IF(Instructions!$E$11=14,IF($P20=Instructions!$F$51,AR19+1,AR19),IF(Instructions!$E$11=16,IF($T20=Instructions!$F$51,AR19+1,AR19))))))</f>
        <v>2</v>
      </c>
      <c r="AS20" s="321" t="str">
        <f t="shared" si="9"/>
        <v>1002</v>
      </c>
      <c r="AT20" s="321">
        <f>IF(Instructions!$E$11=8,IF($D20=Instructions!$F$52,AT19+1,AT19),IF(Instructions!$E$11=10,IF($H20=Instructions!$F$52,AT19+1,AT19),IF(Instructions!$E$11=12,IF($L20=Instructions!$F$52,AT19+1,AT19),IF(Instructions!$E$11=14,IF($P20=Instructions!$F$52,AT19+1,AT19),IF(Instructions!$E$11=16,IF($T20=Instructions!$F$52,AT19+1,AT19))))))</f>
        <v>2</v>
      </c>
      <c r="AU20" s="321" t="str">
        <f t="shared" si="10"/>
        <v>1102</v>
      </c>
      <c r="AV20" s="321">
        <f>IF(Instructions!$E$11=8,IF($D20=Instructions!$F$53,AV19+1,AV19),IF(Instructions!$E$11=10,IF($H20=Instructions!$F$53,AV19+1,AV19),IF(Instructions!$E$11=12,IF($L20=Instructions!$F$53,AV19+1,AV19),IF(Instructions!$E$11=14,IF($P20=Instructions!$F$53,AV19+1,AV19),IF(Instructions!$E$11=16,IF($T20=Instructions!$F$53,AV19+1,AV19))))))</f>
        <v>2</v>
      </c>
      <c r="AW20" s="321" t="str">
        <f t="shared" si="11"/>
        <v>1202</v>
      </c>
      <c r="AX20" s="321">
        <f>IF(Instructions!$E$11=8,IF($D20=Instructions!$F$54,AX19+1,AX19),IF(Instructions!$E$11=10,IF($H20=Instructions!$F$54,AX19+1,AX19),IF(Instructions!$E$11=12,IF($L20=Instructions!$F$54,AX19+1,AX19),IF(Instructions!$E$11=14,IF($P20=Instructions!$F$54,AX19+1,AX19),IF(Instructions!$E$11=16,IF($T20=Instructions!$F$54,AX19+1,AX19))))))</f>
        <v>0</v>
      </c>
      <c r="AY20" s="321" t="str">
        <f t="shared" si="12"/>
        <v>1300</v>
      </c>
      <c r="AZ20" s="321">
        <f>IF(Instructions!$E$11=8,IF($D20=Instructions!$F$55,AZ19+1,AZ19),IF(Instructions!$E$11=10,IF($H20=Instructions!$F$55,AZ19+1,AZ19),IF(Instructions!$E$11=12,IF($L20=Instructions!$F$55,AZ19+1,AZ19),IF(Instructions!$E$11=14,IF($P20=Instructions!$F$55,AZ19+1,AZ19),IF(Instructions!$E$11=16,IF($T20=Instructions!$F$55,AZ19+1,AZ19))))))</f>
        <v>0</v>
      </c>
      <c r="BA20" s="321" t="str">
        <f t="shared" si="13"/>
        <v>1400</v>
      </c>
      <c r="BB20" s="321">
        <f>IF(Instructions!$E$11=8,IF($D20=Instructions!$F$56,BB19+1,BB19),IF(Instructions!$E$11=10,IF($H20=Instructions!$F$56,BB19+1,BB19),IF(Instructions!$E$11=12,IF($L20=Instructions!$F$56,BB19+1,BB19),IF(Instructions!$E$11=14,IF($P20=Instructions!$F$56,BB19+1,BB19),IF(Instructions!$E$11=16,IF($T20=Instructions!$F$56,BB19+1,BB19))))))</f>
        <v>0</v>
      </c>
      <c r="BC20" s="321" t="str">
        <f t="shared" si="14"/>
        <v>1500</v>
      </c>
      <c r="BD20" s="321">
        <f>IF(Instructions!$E$11=8,IF($D20=Instructions!$F$57,BD19+1,BD19),IF(Instructions!$E$11=10,IF($H20=Instructions!$F$57,BD19+1,BD19),IF(Instructions!$E$11=12,IF($L20=Instructions!$F$57,BD19+1,BD19),IF(Instructions!$E$11=14,IF($P20=Instructions!$F$57,BD19+1,BD19),IF(Instructions!$E$11=16,IF($T20=Instructions!$F$57,BD19+1,BD19))))))</f>
        <v>0</v>
      </c>
      <c r="BE20" s="321" t="str">
        <f t="shared" si="15"/>
        <v>1600</v>
      </c>
      <c r="BF20" s="321">
        <v>18</v>
      </c>
    </row>
    <row r="21" spans="1:58" x14ac:dyDescent="0.25">
      <c r="A21" s="280"/>
      <c r="B21" s="323" t="str">
        <f>IF(Instructions!$J$11=1,AA21,IF(Instructions!$J$11=2,AC21,IF(Instructions!$J$11=3,AE21,IF(Instructions!$J$11=4,AG21,IF(Instructions!$J$11=5,AI21,IF(Instructions!$J$11=6,AK21,IF(Instructions!$J$11=7,AM21,IF(Instructions!$J$11=8,AO21,IF(Instructions!$J$11=9,AQ21,IF(Instructions!$J$11=10,AS21,IF(Instructions!$J$11=11,AU21,IF(Instructions!$J$11=12,AW21,IF(Instructions!$J$11=13, AY21, IF(Instructions!$J$11=14,BA21,IF(Instructions!$J$11=15,BC21,BE21)))))))))))))))</f>
        <v>201</v>
      </c>
      <c r="C21" s="271">
        <v>19</v>
      </c>
      <c r="D21" s="328" t="str">
        <f>Instructions!F$44</f>
        <v>Cam</v>
      </c>
      <c r="E21" s="333" t="s">
        <v>733</v>
      </c>
      <c r="F21" s="706"/>
      <c r="G21" s="279">
        <v>3</v>
      </c>
      <c r="H21" s="293" t="str">
        <f>Instructions!F$43</f>
        <v>Camden</v>
      </c>
      <c r="I21" s="273" t="s">
        <v>727</v>
      </c>
      <c r="J21" s="709"/>
      <c r="K21" s="279">
        <v>2</v>
      </c>
      <c r="L21" s="293" t="str">
        <f>Instructions!F$47</f>
        <v>Devin</v>
      </c>
      <c r="M21" s="273" t="s">
        <v>725</v>
      </c>
      <c r="N21" s="709"/>
      <c r="O21" s="279">
        <v>2</v>
      </c>
      <c r="P21" s="293" t="str">
        <f>Instructions!F$51</f>
        <v>Josh</v>
      </c>
      <c r="Q21" s="273" t="s">
        <v>723</v>
      </c>
      <c r="R21" s="709"/>
      <c r="S21" s="279">
        <v>2</v>
      </c>
      <c r="T21" s="328" t="s">
        <v>1988</v>
      </c>
      <c r="U21" s="273" t="s">
        <v>721</v>
      </c>
      <c r="V21" s="706"/>
      <c r="W21" s="279">
        <v>2</v>
      </c>
      <c r="X21" s="280"/>
      <c r="Y21" s="190" t="str">
        <f>IFERROR( IF(Instructions!$E$11=8, D21&amp;COUNTIF(D$3:D21,D21), IF(Instructions!$E$11=10, H21&amp;COUNTIF(H$3:H21,H21),IF(Instructions!$E$11=12, L21&amp;COUNTIF(L$3:L21,L21),IF(Instructions!$E$11=14, P21&amp;COUNTIF(P$3:P21,P21),T21&amp;COUNTIF(T$3:T21,T21))))),"")</f>
        <v>Devin2</v>
      </c>
      <c r="Z21" s="321">
        <f>IF(Instructions!$E$11=8,IF($D21=Instructions!$F$42,Z20+1,Z20),IF(Instructions!$E$11=10,IF($H21=Instructions!$F$42,Z20+1,Z20),IF(Instructions!$E$11=12,IF($L21=Instructions!$F$42,Z20+1,Z20),IF(Instructions!$E$11=14,IF($P21=Instructions!$F$42,Z20+1,Z20),IF(Instructions!$E$11=16,IF($T21=Instructions!$F$42,Z20+1,Z20))))))</f>
        <v>1</v>
      </c>
      <c r="AA21" s="321" t="str">
        <f t="shared" si="8"/>
        <v>101</v>
      </c>
      <c r="AB21" s="321">
        <f>IF(Instructions!$E$11=8,IF($D21=Instructions!$F$43,AB20+1,AB20),IF(Instructions!$E$11=10,IF($H21=Instructions!$F$43,AB20+1,AB20),IF(Instructions!$E$11=12,IF($L21=Instructions!$F$43,AB20+1,AB20),IF(Instructions!$E$11=14,IF($P21=Instructions!$F$43,AB20+1,AB20),IF(Instructions!$E$11=16,IF($T21=Instructions!$F$43,AB20+1,AB20))))))</f>
        <v>1</v>
      </c>
      <c r="AC21" s="321" t="str">
        <f t="shared" si="0"/>
        <v>201</v>
      </c>
      <c r="AD21" s="321">
        <f>IF(Instructions!$E$11=8,IF($D21=Instructions!$F$44,AD20+1,AD20),IF(Instructions!$E$11=10,IF($H21=Instructions!$F$44,AD20+1,AD20),IF(Instructions!$E$11=12,IF($L21=Instructions!$F$44,AD20+1,AD20),IF(Instructions!$E$11=14,IF($P21=Instructions!$F$44,AD20+1,AD20),IF(Instructions!$E$11=16,IF($T21=Instructions!$F$44,AD20+1,AD20))))))</f>
        <v>1</v>
      </c>
      <c r="AE21" s="321" t="str">
        <f t="shared" si="1"/>
        <v>301</v>
      </c>
      <c r="AF21" s="321">
        <f>IF(Instructions!$E$11=8,IF($D21=Instructions!$F$45,AF20+1,AF20),IF(Instructions!$E$11=10,IF($H21=Instructions!$F$45,AF20+1,AF20),IF(Instructions!$E$11=12,IF($L21=Instructions!$F$45,AF20+1,AF20),IF(Instructions!$E$11=14,IF($P21=Instructions!$F$45,AF20+1,AF20),IF(Instructions!$E$11=16,IF($T21=Instructions!$F$45,AF20+1,AF20))))))</f>
        <v>1</v>
      </c>
      <c r="AG21" s="321" t="str">
        <f t="shared" si="2"/>
        <v>401</v>
      </c>
      <c r="AH21" s="321">
        <f>IF(Instructions!$E$11=8,IF($D21=Instructions!$F$46,AH20+1,AH20),IF(Instructions!$E$11=10,IF($H21=Instructions!$F$46,AH20+1,AH20),IF(Instructions!$E$11=12,IF($L21=Instructions!$F$46,AH20+1,AH20),IF(Instructions!$E$11=14,IF($P21=Instructions!$F$46,AH20+1,AH20),IF(Instructions!$E$11=16,IF($T21=Instructions!$F$46,AH20+1,AH20))))))</f>
        <v>1</v>
      </c>
      <c r="AI21" s="321" t="str">
        <f t="shared" si="3"/>
        <v>501</v>
      </c>
      <c r="AJ21" s="321">
        <f>IF(Instructions!$E$11=8,IF($D21=Instructions!$F$47,AJ20+1,AJ20),IF(Instructions!$E$11=10,IF($H21=Instructions!$F$47,AJ20+1,AJ20),IF(Instructions!$E$11=12,IF($L21=Instructions!$F$47,AJ20+1,AJ20),IF(Instructions!$E$11=14,IF($P21=Instructions!$F$47,AJ20+1,AJ20),IF(Instructions!$E$11=16,IF($T21=Instructions!$F$47,AJ20+1,AJ20))))))</f>
        <v>2</v>
      </c>
      <c r="AK21" s="321" t="str">
        <f t="shared" si="4"/>
        <v>602</v>
      </c>
      <c r="AL21" s="321">
        <f>IF(Instructions!$E$11=8,IF($D21=Instructions!$F$48,AL20+1,AL20),IF(Instructions!$E$11=10,IF($H21=Instructions!$F$48,AL20+1,AL20),IF(Instructions!$E$11=12,IF($L21=Instructions!$F$48,AL20+1,AL20),IF(Instructions!$E$11=14,IF($P21=Instructions!$F$48,AL20+1,AL20),IF(Instructions!$E$11=16,IF($T21=Instructions!$F$48,AL20+1,AL20))))))</f>
        <v>2</v>
      </c>
      <c r="AM21" s="321" t="str">
        <f t="shared" si="5"/>
        <v>702</v>
      </c>
      <c r="AN21" s="321">
        <f>IF(Instructions!$E$11=8,IF($D21=Instructions!$F$49,AN20+1,AN20),IF(Instructions!$E$11=10,IF($H21=Instructions!$F$49,AN20+1,AN20),IF(Instructions!$E$11=12,IF($L21=Instructions!$F$49,AN20+1,AN20),IF(Instructions!$E$11=14,IF($P21=Instructions!$F$49,AN20+1,AN20),IF(Instructions!$E$11=16,IF($T21=Instructions!$F$49,AN20+1,AN20))))))</f>
        <v>2</v>
      </c>
      <c r="AO21" s="321" t="str">
        <f t="shared" si="6"/>
        <v>802</v>
      </c>
      <c r="AP21" s="321">
        <f>IF(Instructions!$E$11=8,IF($D21=Instructions!$F$50,AP20+1,AP20),IF(Instructions!$E$11=10,IF($H21=Instructions!$F$50,AP20+1,AP20),IF(Instructions!$E$11=12,IF($L21=Instructions!$F$50,AP20+1,AP20),IF(Instructions!$E$11=14,IF($P21=Instructions!$F$50,AP20+1,AP20),IF(Instructions!$E$11=16,IF($T21=Instructions!$F$50,AP20+1,AP20))))))</f>
        <v>2</v>
      </c>
      <c r="AQ21" s="321" t="str">
        <f t="shared" si="7"/>
        <v>902</v>
      </c>
      <c r="AR21" s="321">
        <f>IF(Instructions!$E$11=8,IF($D21=Instructions!$F$51,AR20+1,AR20),IF(Instructions!$E$11=10,IF($H21=Instructions!$F$51,AR20+1,AR20),IF(Instructions!$E$11=12,IF($L21=Instructions!$F$51,AR20+1,AR20),IF(Instructions!$E$11=14,IF($P21=Instructions!$F$51,AR20+1,AR20),IF(Instructions!$E$11=16,IF($T21=Instructions!$F$51,AR20+1,AR20))))))</f>
        <v>2</v>
      </c>
      <c r="AS21" s="321" t="str">
        <f t="shared" si="9"/>
        <v>1002</v>
      </c>
      <c r="AT21" s="321">
        <f>IF(Instructions!$E$11=8,IF($D21=Instructions!$F$52,AT20+1,AT20),IF(Instructions!$E$11=10,IF($H21=Instructions!$F$52,AT20+1,AT20),IF(Instructions!$E$11=12,IF($L21=Instructions!$F$52,AT20+1,AT20),IF(Instructions!$E$11=14,IF($P21=Instructions!$F$52,AT20+1,AT20),IF(Instructions!$E$11=16,IF($T21=Instructions!$F$52,AT20+1,AT20))))))</f>
        <v>2</v>
      </c>
      <c r="AU21" s="321" t="str">
        <f t="shared" si="10"/>
        <v>1102</v>
      </c>
      <c r="AV21" s="321">
        <f>IF(Instructions!$E$11=8,IF($D21=Instructions!$F$53,AV20+1,AV20),IF(Instructions!$E$11=10,IF($H21=Instructions!$F$53,AV20+1,AV20),IF(Instructions!$E$11=12,IF($L21=Instructions!$F$53,AV20+1,AV20),IF(Instructions!$E$11=14,IF($P21=Instructions!$F$53,AV20+1,AV20),IF(Instructions!$E$11=16,IF($T21=Instructions!$F$53,AV20+1,AV20))))))</f>
        <v>2</v>
      </c>
      <c r="AW21" s="321" t="str">
        <f t="shared" si="11"/>
        <v>1202</v>
      </c>
      <c r="AX21" s="321">
        <f>IF(Instructions!$E$11=8,IF($D21=Instructions!$F$54,AX20+1,AX20),IF(Instructions!$E$11=10,IF($H21=Instructions!$F$54,AX20+1,AX20),IF(Instructions!$E$11=12,IF($L21=Instructions!$F$54,AX20+1,AX20),IF(Instructions!$E$11=14,IF($P21=Instructions!$F$54,AX20+1,AX20),IF(Instructions!$E$11=16,IF($T21=Instructions!$F$54,AX20+1,AX20))))))</f>
        <v>0</v>
      </c>
      <c r="AY21" s="321" t="str">
        <f t="shared" si="12"/>
        <v>1300</v>
      </c>
      <c r="AZ21" s="321">
        <f>IF(Instructions!$E$11=8,IF($D21=Instructions!$F$55,AZ20+1,AZ20),IF(Instructions!$E$11=10,IF($H21=Instructions!$F$55,AZ20+1,AZ20),IF(Instructions!$E$11=12,IF($L21=Instructions!$F$55,AZ20+1,AZ20),IF(Instructions!$E$11=14,IF($P21=Instructions!$F$55,AZ20+1,AZ20),IF(Instructions!$E$11=16,IF($T21=Instructions!$F$55,AZ20+1,AZ20))))))</f>
        <v>0</v>
      </c>
      <c r="BA21" s="321" t="str">
        <f t="shared" si="13"/>
        <v>1400</v>
      </c>
      <c r="BB21" s="321">
        <f>IF(Instructions!$E$11=8,IF($D21=Instructions!$F$56,BB20+1,BB20),IF(Instructions!$E$11=10,IF($H21=Instructions!$F$56,BB20+1,BB20),IF(Instructions!$E$11=12,IF($L21=Instructions!$F$56,BB20+1,BB20),IF(Instructions!$E$11=14,IF($P21=Instructions!$F$56,BB20+1,BB20),IF(Instructions!$E$11=16,IF($T21=Instructions!$F$56,BB20+1,BB20))))))</f>
        <v>0</v>
      </c>
      <c r="BC21" s="321" t="str">
        <f t="shared" si="14"/>
        <v>1500</v>
      </c>
      <c r="BD21" s="321">
        <f>IF(Instructions!$E$11=8,IF($D21=Instructions!$F$57,BD20+1,BD20),IF(Instructions!$E$11=10,IF($H21=Instructions!$F$57,BD20+1,BD20),IF(Instructions!$E$11=12,IF($L21=Instructions!$F$57,BD20+1,BD20),IF(Instructions!$E$11=14,IF($P21=Instructions!$F$57,BD20+1,BD20),IF(Instructions!$E$11=16,IF($T21=Instructions!$F$57,BD20+1,BD20))))))</f>
        <v>0</v>
      </c>
      <c r="BE21" s="321" t="str">
        <f t="shared" si="15"/>
        <v>1600</v>
      </c>
      <c r="BF21" s="321">
        <v>19</v>
      </c>
    </row>
    <row r="22" spans="1:58" ht="15.75" thickBot="1" x14ac:dyDescent="0.3">
      <c r="A22" s="280"/>
      <c r="B22" s="323" t="str">
        <f>IF(Instructions!$J$11=1,AA22,IF(Instructions!$J$11=2,AC22,IF(Instructions!$J$11=3,AE22,IF(Instructions!$J$11=4,AG22,IF(Instructions!$J$11=5,AI22,IF(Instructions!$J$11=6,AK22,IF(Instructions!$J$11=7,AM22,IF(Instructions!$J$11=8,AO22,IF(Instructions!$J$11=9,AQ22,IF(Instructions!$J$11=10,AS22,IF(Instructions!$J$11=11,AU22,IF(Instructions!$J$11=12,AW22,IF(Instructions!$J$11=13, AY22, IF(Instructions!$J$11=14,BA22,IF(Instructions!$J$11=15,BC22,BE22)))))))))))))))</f>
        <v>201</v>
      </c>
      <c r="C22" s="272">
        <v>20</v>
      </c>
      <c r="D22" s="327" t="str">
        <f>Instructions!F$45</f>
        <v>Miles</v>
      </c>
      <c r="E22" s="332" t="s">
        <v>734</v>
      </c>
      <c r="F22" s="706"/>
      <c r="G22" s="279">
        <v>3</v>
      </c>
      <c r="H22" s="295" t="str">
        <f>Instructions!F$42</f>
        <v>Trumbo</v>
      </c>
      <c r="I22" s="277" t="s">
        <v>728</v>
      </c>
      <c r="J22" s="710"/>
      <c r="K22" s="279">
        <v>2</v>
      </c>
      <c r="L22" s="294" t="str">
        <f>Instructions!F$46</f>
        <v>Con</v>
      </c>
      <c r="M22" s="274" t="s">
        <v>726</v>
      </c>
      <c r="N22" s="709"/>
      <c r="O22" s="279">
        <v>2</v>
      </c>
      <c r="P22" s="294" t="str">
        <f>Instructions!F$50</f>
        <v>Dan</v>
      </c>
      <c r="Q22" s="274" t="s">
        <v>724</v>
      </c>
      <c r="R22" s="709"/>
      <c r="S22" s="279">
        <v>2</v>
      </c>
      <c r="T22" s="327" t="s">
        <v>1987</v>
      </c>
      <c r="U22" s="274" t="s">
        <v>722</v>
      </c>
      <c r="V22" s="706"/>
      <c r="W22" s="279">
        <v>2</v>
      </c>
      <c r="X22" s="280"/>
      <c r="Y22" s="190" t="str">
        <f>IFERROR( IF(Instructions!$E$11=8, D22&amp;COUNTIF(D$3:D22,D22), IF(Instructions!$E$11=10, H22&amp;COUNTIF(H$3:H22,H22),IF(Instructions!$E$11=12, L22&amp;COUNTIF(L$3:L22,L22),IF(Instructions!$E$11=14, P22&amp;COUNTIF(P$3:P22,P22),T22&amp;COUNTIF(T$3:T22,T22))))),"")</f>
        <v>Con2</v>
      </c>
      <c r="Z22" s="321">
        <f>IF(Instructions!$E$11=8,IF($D22=Instructions!$F$42,Z21+1,Z21),IF(Instructions!$E$11=10,IF($H22=Instructions!$F$42,Z21+1,Z21),IF(Instructions!$E$11=12,IF($L22=Instructions!$F$42,Z21+1,Z21),IF(Instructions!$E$11=14,IF($P22=Instructions!$F$42,Z21+1,Z21),IF(Instructions!$E$11=16,IF($T22=Instructions!$F$42,Z21+1,Z21))))))</f>
        <v>1</v>
      </c>
      <c r="AA22" s="321" t="str">
        <f t="shared" si="8"/>
        <v>101</v>
      </c>
      <c r="AB22" s="321">
        <f>IF(Instructions!$E$11=8,IF($D22=Instructions!$F$43,AB21+1,AB21),IF(Instructions!$E$11=10,IF($H22=Instructions!$F$43,AB21+1,AB21),IF(Instructions!$E$11=12,IF($L22=Instructions!$F$43,AB21+1,AB21),IF(Instructions!$E$11=14,IF($P22=Instructions!$F$43,AB21+1,AB21),IF(Instructions!$E$11=16,IF($T22=Instructions!$F$43,AB21+1,AB21))))))</f>
        <v>1</v>
      </c>
      <c r="AC22" s="321" t="str">
        <f t="shared" si="0"/>
        <v>201</v>
      </c>
      <c r="AD22" s="321">
        <f>IF(Instructions!$E$11=8,IF($D22=Instructions!$F$44,AD21+1,AD21),IF(Instructions!$E$11=10,IF($H22=Instructions!$F$44,AD21+1,AD21),IF(Instructions!$E$11=12,IF($L22=Instructions!$F$44,AD21+1,AD21),IF(Instructions!$E$11=14,IF($P22=Instructions!$F$44,AD21+1,AD21),IF(Instructions!$E$11=16,IF($T22=Instructions!$F$44,AD21+1,AD21))))))</f>
        <v>1</v>
      </c>
      <c r="AE22" s="321" t="str">
        <f t="shared" si="1"/>
        <v>301</v>
      </c>
      <c r="AF22" s="321">
        <f>IF(Instructions!$E$11=8,IF($D22=Instructions!$F$45,AF21+1,AF21),IF(Instructions!$E$11=10,IF($H22=Instructions!$F$45,AF21+1,AF21),IF(Instructions!$E$11=12,IF($L22=Instructions!$F$45,AF21+1,AF21),IF(Instructions!$E$11=14,IF($P22=Instructions!$F$45,AF21+1,AF21),IF(Instructions!$E$11=16,IF($T22=Instructions!$F$45,AF21+1,AF21))))))</f>
        <v>1</v>
      </c>
      <c r="AG22" s="321" t="str">
        <f t="shared" si="2"/>
        <v>401</v>
      </c>
      <c r="AH22" s="321">
        <f>IF(Instructions!$E$11=8,IF($D22=Instructions!$F$46,AH21+1,AH21),IF(Instructions!$E$11=10,IF($H22=Instructions!$F$46,AH21+1,AH21),IF(Instructions!$E$11=12,IF($L22=Instructions!$F$46,AH21+1,AH21),IF(Instructions!$E$11=14,IF($P22=Instructions!$F$46,AH21+1,AH21),IF(Instructions!$E$11=16,IF($T22=Instructions!$F$46,AH21+1,AH21))))))</f>
        <v>2</v>
      </c>
      <c r="AI22" s="321" t="str">
        <f t="shared" si="3"/>
        <v>502</v>
      </c>
      <c r="AJ22" s="321">
        <f>IF(Instructions!$E$11=8,IF($D22=Instructions!$F$47,AJ21+1,AJ21),IF(Instructions!$E$11=10,IF($H22=Instructions!$F$47,AJ21+1,AJ21),IF(Instructions!$E$11=12,IF($L22=Instructions!$F$47,AJ21+1,AJ21),IF(Instructions!$E$11=14,IF($P22=Instructions!$F$47,AJ21+1,AJ21),IF(Instructions!$E$11=16,IF($T22=Instructions!$F$47,AJ21+1,AJ21))))))</f>
        <v>2</v>
      </c>
      <c r="AK22" s="321" t="str">
        <f t="shared" si="4"/>
        <v>602</v>
      </c>
      <c r="AL22" s="321">
        <f>IF(Instructions!$E$11=8,IF($D22=Instructions!$F$48,AL21+1,AL21),IF(Instructions!$E$11=10,IF($H22=Instructions!$F$48,AL21+1,AL21),IF(Instructions!$E$11=12,IF($L22=Instructions!$F$48,AL21+1,AL21),IF(Instructions!$E$11=14,IF($P22=Instructions!$F$48,AL21+1,AL21),IF(Instructions!$E$11=16,IF($T22=Instructions!$F$48,AL21+1,AL21))))))</f>
        <v>2</v>
      </c>
      <c r="AM22" s="321" t="str">
        <f t="shared" si="5"/>
        <v>702</v>
      </c>
      <c r="AN22" s="321">
        <f>IF(Instructions!$E$11=8,IF($D22=Instructions!$F$49,AN21+1,AN21),IF(Instructions!$E$11=10,IF($H22=Instructions!$F$49,AN21+1,AN21),IF(Instructions!$E$11=12,IF($L22=Instructions!$F$49,AN21+1,AN21),IF(Instructions!$E$11=14,IF($P22=Instructions!$F$49,AN21+1,AN21),IF(Instructions!$E$11=16,IF($T22=Instructions!$F$49,AN21+1,AN21))))))</f>
        <v>2</v>
      </c>
      <c r="AO22" s="321" t="str">
        <f t="shared" si="6"/>
        <v>802</v>
      </c>
      <c r="AP22" s="321">
        <f>IF(Instructions!$E$11=8,IF($D22=Instructions!$F$50,AP21+1,AP21),IF(Instructions!$E$11=10,IF($H22=Instructions!$F$50,AP21+1,AP21),IF(Instructions!$E$11=12,IF($L22=Instructions!$F$50,AP21+1,AP21),IF(Instructions!$E$11=14,IF($P22=Instructions!$F$50,AP21+1,AP21),IF(Instructions!$E$11=16,IF($T22=Instructions!$F$50,AP21+1,AP21))))))</f>
        <v>2</v>
      </c>
      <c r="AQ22" s="321" t="str">
        <f t="shared" si="7"/>
        <v>902</v>
      </c>
      <c r="AR22" s="321">
        <f>IF(Instructions!$E$11=8,IF($D22=Instructions!$F$51,AR21+1,AR21),IF(Instructions!$E$11=10,IF($H22=Instructions!$F$51,AR21+1,AR21),IF(Instructions!$E$11=12,IF($L22=Instructions!$F$51,AR21+1,AR21),IF(Instructions!$E$11=14,IF($P22=Instructions!$F$51,AR21+1,AR21),IF(Instructions!$E$11=16,IF($T22=Instructions!$F$51,AR21+1,AR21))))))</f>
        <v>2</v>
      </c>
      <c r="AS22" s="321" t="str">
        <f t="shared" si="9"/>
        <v>1002</v>
      </c>
      <c r="AT22" s="321">
        <f>IF(Instructions!$E$11=8,IF($D22=Instructions!$F$52,AT21+1,AT21),IF(Instructions!$E$11=10,IF($H22=Instructions!$F$52,AT21+1,AT21),IF(Instructions!$E$11=12,IF($L22=Instructions!$F$52,AT21+1,AT21),IF(Instructions!$E$11=14,IF($P22=Instructions!$F$52,AT21+1,AT21),IF(Instructions!$E$11=16,IF($T22=Instructions!$F$52,AT21+1,AT21))))))</f>
        <v>2</v>
      </c>
      <c r="AU22" s="321" t="str">
        <f t="shared" si="10"/>
        <v>1102</v>
      </c>
      <c r="AV22" s="321">
        <f>IF(Instructions!$E$11=8,IF($D22=Instructions!$F$53,AV21+1,AV21),IF(Instructions!$E$11=10,IF($H22=Instructions!$F$53,AV21+1,AV21),IF(Instructions!$E$11=12,IF($L22=Instructions!$F$53,AV21+1,AV21),IF(Instructions!$E$11=14,IF($P22=Instructions!$F$53,AV21+1,AV21),IF(Instructions!$E$11=16,IF($T22=Instructions!$F$53,AV21+1,AV21))))))</f>
        <v>2</v>
      </c>
      <c r="AW22" s="321" t="str">
        <f t="shared" si="11"/>
        <v>1202</v>
      </c>
      <c r="AX22" s="321">
        <f>IF(Instructions!$E$11=8,IF($D22=Instructions!$F$54,AX21+1,AX21),IF(Instructions!$E$11=10,IF($H22=Instructions!$F$54,AX21+1,AX21),IF(Instructions!$E$11=12,IF($L22=Instructions!$F$54,AX21+1,AX21),IF(Instructions!$E$11=14,IF($P22=Instructions!$F$54,AX21+1,AX21),IF(Instructions!$E$11=16,IF($T22=Instructions!$F$54,AX21+1,AX21))))))</f>
        <v>0</v>
      </c>
      <c r="AY22" s="321" t="str">
        <f t="shared" si="12"/>
        <v>1300</v>
      </c>
      <c r="AZ22" s="321">
        <f>IF(Instructions!$E$11=8,IF($D22=Instructions!$F$55,AZ21+1,AZ21),IF(Instructions!$E$11=10,IF($H22=Instructions!$F$55,AZ21+1,AZ21),IF(Instructions!$E$11=12,IF($L22=Instructions!$F$55,AZ21+1,AZ21),IF(Instructions!$E$11=14,IF($P22=Instructions!$F$55,AZ21+1,AZ21),IF(Instructions!$E$11=16,IF($T22=Instructions!$F$55,AZ21+1,AZ21))))))</f>
        <v>0</v>
      </c>
      <c r="BA22" s="321" t="str">
        <f t="shared" si="13"/>
        <v>1400</v>
      </c>
      <c r="BB22" s="321">
        <f>IF(Instructions!$E$11=8,IF($D22=Instructions!$F$56,BB21+1,BB21),IF(Instructions!$E$11=10,IF($H22=Instructions!$F$56,BB21+1,BB21),IF(Instructions!$E$11=12,IF($L22=Instructions!$F$56,BB21+1,BB21),IF(Instructions!$E$11=14,IF($P22=Instructions!$F$56,BB21+1,BB21),IF(Instructions!$E$11=16,IF($T22=Instructions!$F$56,BB21+1,BB21))))))</f>
        <v>0</v>
      </c>
      <c r="BC22" s="321" t="str">
        <f t="shared" si="14"/>
        <v>1500</v>
      </c>
      <c r="BD22" s="321">
        <f>IF(Instructions!$E$11=8,IF($D22=Instructions!$F$57,BD21+1,BD21),IF(Instructions!$E$11=10,IF($H22=Instructions!$F$57,BD21+1,BD21),IF(Instructions!$E$11=12,IF($L22=Instructions!$F$57,BD21+1,BD21),IF(Instructions!$E$11=14,IF($P22=Instructions!$F$57,BD21+1,BD21),IF(Instructions!$E$11=16,IF($T22=Instructions!$F$57,BD21+1,BD21))))))</f>
        <v>0</v>
      </c>
      <c r="BE22" s="321" t="str">
        <f t="shared" si="15"/>
        <v>1600</v>
      </c>
      <c r="BF22" s="321">
        <v>20</v>
      </c>
    </row>
    <row r="23" spans="1:58" ht="15" customHeight="1" x14ac:dyDescent="0.25">
      <c r="A23" s="280"/>
      <c r="B23" s="323" t="str">
        <f>IF(Instructions!$J$11=1,AA23,IF(Instructions!$J$11=2,AC23,IF(Instructions!$J$11=3,AE23,IF(Instructions!$J$11=4,AG23,IF(Instructions!$J$11=5,AI23,IF(Instructions!$J$11=6,AK23,IF(Instructions!$J$11=7,AM23,IF(Instructions!$J$11=8,AO23,IF(Instructions!$J$11=9,AQ23,IF(Instructions!$J$11=10,AS23,IF(Instructions!$J$11=11,AU23,IF(Instructions!$J$11=12,AW23,IF(Instructions!$J$11=13, AY23, IF(Instructions!$J$11=14,BA23,IF(Instructions!$J$11=15,BC23,BE23)))))))))))))))</f>
        <v>201</v>
      </c>
      <c r="C23" s="271">
        <v>21</v>
      </c>
      <c r="D23" s="328" t="str">
        <f>Instructions!F$46</f>
        <v>Con</v>
      </c>
      <c r="E23" s="333" t="s">
        <v>735</v>
      </c>
      <c r="F23" s="706"/>
      <c r="G23" s="279">
        <v>3</v>
      </c>
      <c r="H23" s="292" t="str">
        <f>Instructions!F$42</f>
        <v>Trumbo</v>
      </c>
      <c r="I23" s="276" t="s">
        <v>731</v>
      </c>
      <c r="J23" s="708" t="s">
        <v>898</v>
      </c>
      <c r="K23" s="279">
        <v>3</v>
      </c>
      <c r="L23" s="293" t="str">
        <f>Instructions!F$45</f>
        <v>Miles</v>
      </c>
      <c r="M23" s="273" t="s">
        <v>727</v>
      </c>
      <c r="N23" s="709"/>
      <c r="O23" s="279">
        <v>2</v>
      </c>
      <c r="P23" s="293" t="str">
        <f>Instructions!F$49</f>
        <v>Luke</v>
      </c>
      <c r="Q23" s="273" t="s">
        <v>725</v>
      </c>
      <c r="R23" s="709"/>
      <c r="S23" s="279">
        <v>2</v>
      </c>
      <c r="T23" s="328" t="s">
        <v>2068</v>
      </c>
      <c r="U23" s="273" t="s">
        <v>723</v>
      </c>
      <c r="V23" s="706"/>
      <c r="W23" s="279">
        <v>2</v>
      </c>
      <c r="X23" s="280"/>
      <c r="Y23" s="190" t="str">
        <f>IFERROR( IF(Instructions!$E$11=8, D23&amp;COUNTIF(D$3:D23,D23), IF(Instructions!$E$11=10, H23&amp;COUNTIF(H$3:H23,H23),IF(Instructions!$E$11=12, L23&amp;COUNTIF(L$3:L23,L23),IF(Instructions!$E$11=14, P23&amp;COUNTIF(P$3:P23,P23),T23&amp;COUNTIF(T$3:T23,T23))))),"")</f>
        <v>Miles2</v>
      </c>
      <c r="Z23" s="321">
        <f>IF(Instructions!$E$11=8,IF($D23=Instructions!$F$42,Z22+1,Z22),IF(Instructions!$E$11=10,IF($H23=Instructions!$F$42,Z22+1,Z22),IF(Instructions!$E$11=12,IF($L23=Instructions!$F$42,Z22+1,Z22),IF(Instructions!$E$11=14,IF($P23=Instructions!$F$42,Z22+1,Z22),IF(Instructions!$E$11=16,IF($T23=Instructions!$F$42,Z22+1,Z22))))))</f>
        <v>1</v>
      </c>
      <c r="AA23" s="321" t="str">
        <f t="shared" si="8"/>
        <v>101</v>
      </c>
      <c r="AB23" s="321">
        <f>IF(Instructions!$E$11=8,IF($D23=Instructions!$F$43,AB22+1,AB22),IF(Instructions!$E$11=10,IF($H23=Instructions!$F$43,AB22+1,AB22),IF(Instructions!$E$11=12,IF($L23=Instructions!$F$43,AB22+1,AB22),IF(Instructions!$E$11=14,IF($P23=Instructions!$F$43,AB22+1,AB22),IF(Instructions!$E$11=16,IF($T23=Instructions!$F$43,AB22+1,AB22))))))</f>
        <v>1</v>
      </c>
      <c r="AC23" s="321" t="str">
        <f t="shared" si="0"/>
        <v>201</v>
      </c>
      <c r="AD23" s="321">
        <f>IF(Instructions!$E$11=8,IF($D23=Instructions!$F$44,AD22+1,AD22),IF(Instructions!$E$11=10,IF($H23=Instructions!$F$44,AD22+1,AD22),IF(Instructions!$E$11=12,IF($L23=Instructions!$F$44,AD22+1,AD22),IF(Instructions!$E$11=14,IF($P23=Instructions!$F$44,AD22+1,AD22),IF(Instructions!$E$11=16,IF($T23=Instructions!$F$44,AD22+1,AD22))))))</f>
        <v>1</v>
      </c>
      <c r="AE23" s="321" t="str">
        <f t="shared" si="1"/>
        <v>301</v>
      </c>
      <c r="AF23" s="321">
        <f>IF(Instructions!$E$11=8,IF($D23=Instructions!$F$45,AF22+1,AF22),IF(Instructions!$E$11=10,IF($H23=Instructions!$F$45,AF22+1,AF22),IF(Instructions!$E$11=12,IF($L23=Instructions!$F$45,AF22+1,AF22),IF(Instructions!$E$11=14,IF($P23=Instructions!$F$45,AF22+1,AF22),IF(Instructions!$E$11=16,IF($T23=Instructions!$F$45,AF22+1,AF22))))))</f>
        <v>2</v>
      </c>
      <c r="AG23" s="321" t="str">
        <f t="shared" si="2"/>
        <v>402</v>
      </c>
      <c r="AH23" s="321">
        <f>IF(Instructions!$E$11=8,IF($D23=Instructions!$F$46,AH22+1,AH22),IF(Instructions!$E$11=10,IF($H23=Instructions!$F$46,AH22+1,AH22),IF(Instructions!$E$11=12,IF($L23=Instructions!$F$46,AH22+1,AH22),IF(Instructions!$E$11=14,IF($P23=Instructions!$F$46,AH22+1,AH22),IF(Instructions!$E$11=16,IF($T23=Instructions!$F$46,AH22+1,AH22))))))</f>
        <v>2</v>
      </c>
      <c r="AI23" s="321" t="str">
        <f t="shared" si="3"/>
        <v>502</v>
      </c>
      <c r="AJ23" s="321">
        <f>IF(Instructions!$E$11=8,IF($D23=Instructions!$F$47,AJ22+1,AJ22),IF(Instructions!$E$11=10,IF($H23=Instructions!$F$47,AJ22+1,AJ22),IF(Instructions!$E$11=12,IF($L23=Instructions!$F$47,AJ22+1,AJ22),IF(Instructions!$E$11=14,IF($P23=Instructions!$F$47,AJ22+1,AJ22),IF(Instructions!$E$11=16,IF($T23=Instructions!$F$47,AJ22+1,AJ22))))))</f>
        <v>2</v>
      </c>
      <c r="AK23" s="321" t="str">
        <f t="shared" si="4"/>
        <v>602</v>
      </c>
      <c r="AL23" s="321">
        <f>IF(Instructions!$E$11=8,IF($D23=Instructions!$F$48,AL22+1,AL22),IF(Instructions!$E$11=10,IF($H23=Instructions!$F$48,AL22+1,AL22),IF(Instructions!$E$11=12,IF($L23=Instructions!$F$48,AL22+1,AL22),IF(Instructions!$E$11=14,IF($P23=Instructions!$F$48,AL22+1,AL22),IF(Instructions!$E$11=16,IF($T23=Instructions!$F$48,AL22+1,AL22))))))</f>
        <v>2</v>
      </c>
      <c r="AM23" s="321" t="str">
        <f t="shared" si="5"/>
        <v>702</v>
      </c>
      <c r="AN23" s="321">
        <f>IF(Instructions!$E$11=8,IF($D23=Instructions!$F$49,AN22+1,AN22),IF(Instructions!$E$11=10,IF($H23=Instructions!$F$49,AN22+1,AN22),IF(Instructions!$E$11=12,IF($L23=Instructions!$F$49,AN22+1,AN22),IF(Instructions!$E$11=14,IF($P23=Instructions!$F$49,AN22+1,AN22),IF(Instructions!$E$11=16,IF($T23=Instructions!$F$49,AN22+1,AN22))))))</f>
        <v>2</v>
      </c>
      <c r="AO23" s="321" t="str">
        <f t="shared" si="6"/>
        <v>802</v>
      </c>
      <c r="AP23" s="321">
        <f>IF(Instructions!$E$11=8,IF($D23=Instructions!$F$50,AP22+1,AP22),IF(Instructions!$E$11=10,IF($H23=Instructions!$F$50,AP22+1,AP22),IF(Instructions!$E$11=12,IF($L23=Instructions!$F$50,AP22+1,AP22),IF(Instructions!$E$11=14,IF($P23=Instructions!$F$50,AP22+1,AP22),IF(Instructions!$E$11=16,IF($T23=Instructions!$F$50,AP22+1,AP22))))))</f>
        <v>2</v>
      </c>
      <c r="AQ23" s="321" t="str">
        <f t="shared" si="7"/>
        <v>902</v>
      </c>
      <c r="AR23" s="321">
        <f>IF(Instructions!$E$11=8,IF($D23=Instructions!$F$51,AR22+1,AR22),IF(Instructions!$E$11=10,IF($H23=Instructions!$F$51,AR22+1,AR22),IF(Instructions!$E$11=12,IF($L23=Instructions!$F$51,AR22+1,AR22),IF(Instructions!$E$11=14,IF($P23=Instructions!$F$51,AR22+1,AR22),IF(Instructions!$E$11=16,IF($T23=Instructions!$F$51,AR22+1,AR22))))))</f>
        <v>2</v>
      </c>
      <c r="AS23" s="321" t="str">
        <f t="shared" si="9"/>
        <v>1002</v>
      </c>
      <c r="AT23" s="321">
        <f>IF(Instructions!$E$11=8,IF($D23=Instructions!$F$52,AT22+1,AT22),IF(Instructions!$E$11=10,IF($H23=Instructions!$F$52,AT22+1,AT22),IF(Instructions!$E$11=12,IF($L23=Instructions!$F$52,AT22+1,AT22),IF(Instructions!$E$11=14,IF($P23=Instructions!$F$52,AT22+1,AT22),IF(Instructions!$E$11=16,IF($T23=Instructions!$F$52,AT22+1,AT22))))))</f>
        <v>2</v>
      </c>
      <c r="AU23" s="321" t="str">
        <f t="shared" si="10"/>
        <v>1102</v>
      </c>
      <c r="AV23" s="321">
        <f>IF(Instructions!$E$11=8,IF($D23=Instructions!$F$53,AV22+1,AV22),IF(Instructions!$E$11=10,IF($H23=Instructions!$F$53,AV22+1,AV22),IF(Instructions!$E$11=12,IF($L23=Instructions!$F$53,AV22+1,AV22),IF(Instructions!$E$11=14,IF($P23=Instructions!$F$53,AV22+1,AV22),IF(Instructions!$E$11=16,IF($T23=Instructions!$F$53,AV22+1,AV22))))))</f>
        <v>2</v>
      </c>
      <c r="AW23" s="321" t="str">
        <f t="shared" si="11"/>
        <v>1202</v>
      </c>
      <c r="AX23" s="321">
        <f>IF(Instructions!$E$11=8,IF($D23=Instructions!$F$54,AX22+1,AX22),IF(Instructions!$E$11=10,IF($H23=Instructions!$F$54,AX22+1,AX22),IF(Instructions!$E$11=12,IF($L23=Instructions!$F$54,AX22+1,AX22),IF(Instructions!$E$11=14,IF($P23=Instructions!$F$54,AX22+1,AX22),IF(Instructions!$E$11=16,IF($T23=Instructions!$F$54,AX22+1,AX22))))))</f>
        <v>0</v>
      </c>
      <c r="AY23" s="321" t="str">
        <f t="shared" si="12"/>
        <v>1300</v>
      </c>
      <c r="AZ23" s="321">
        <f>IF(Instructions!$E$11=8,IF($D23=Instructions!$F$55,AZ22+1,AZ22),IF(Instructions!$E$11=10,IF($H23=Instructions!$F$55,AZ22+1,AZ22),IF(Instructions!$E$11=12,IF($L23=Instructions!$F$55,AZ22+1,AZ22),IF(Instructions!$E$11=14,IF($P23=Instructions!$F$55,AZ22+1,AZ22),IF(Instructions!$E$11=16,IF($T23=Instructions!$F$55,AZ22+1,AZ22))))))</f>
        <v>0</v>
      </c>
      <c r="BA23" s="321" t="str">
        <f t="shared" si="13"/>
        <v>1400</v>
      </c>
      <c r="BB23" s="321">
        <f>IF(Instructions!$E$11=8,IF($D23=Instructions!$F$56,BB22+1,BB22),IF(Instructions!$E$11=10,IF($H23=Instructions!$F$56,BB22+1,BB22),IF(Instructions!$E$11=12,IF($L23=Instructions!$F$56,BB22+1,BB22),IF(Instructions!$E$11=14,IF($P23=Instructions!$F$56,BB22+1,BB22),IF(Instructions!$E$11=16,IF($T23=Instructions!$F$56,BB22+1,BB22))))))</f>
        <v>0</v>
      </c>
      <c r="BC23" s="321" t="str">
        <f t="shared" si="14"/>
        <v>1500</v>
      </c>
      <c r="BD23" s="321">
        <f>IF(Instructions!$E$11=8,IF($D23=Instructions!$F$57,BD22+1,BD22),IF(Instructions!$E$11=10,IF($H23=Instructions!$F$57,BD22+1,BD22),IF(Instructions!$E$11=12,IF($L23=Instructions!$F$57,BD22+1,BD22),IF(Instructions!$E$11=14,IF($P23=Instructions!$F$57,BD22+1,BD22),IF(Instructions!$E$11=16,IF($T23=Instructions!$F$57,BD22+1,BD22))))))</f>
        <v>0</v>
      </c>
      <c r="BE23" s="321" t="str">
        <f t="shared" si="15"/>
        <v>1600</v>
      </c>
      <c r="BF23" s="321">
        <v>21</v>
      </c>
    </row>
    <row r="24" spans="1:58" x14ac:dyDescent="0.25">
      <c r="A24" s="280"/>
      <c r="B24" s="323" t="str">
        <f>IF(Instructions!$J$11=1,AA24,IF(Instructions!$J$11=2,AC24,IF(Instructions!$J$11=3,AE24,IF(Instructions!$J$11=4,AG24,IF(Instructions!$J$11=5,AI24,IF(Instructions!$J$11=6,AK24,IF(Instructions!$J$11=7,AM24,IF(Instructions!$J$11=8,AO24,IF(Instructions!$J$11=9,AQ24,IF(Instructions!$J$11=10,AS24,IF(Instructions!$J$11=11,AU24,IF(Instructions!$J$11=12,AW24,IF(Instructions!$J$11=13, AY24, IF(Instructions!$J$11=14,BA24,IF(Instructions!$J$11=15,BC24,BE24)))))))))))))))</f>
        <v>201</v>
      </c>
      <c r="C24" s="272">
        <v>22</v>
      </c>
      <c r="D24" s="327" t="str">
        <f>Instructions!F$47</f>
        <v>Devin</v>
      </c>
      <c r="E24" s="332" t="s">
        <v>736</v>
      </c>
      <c r="F24" s="706"/>
      <c r="G24" s="279">
        <v>3</v>
      </c>
      <c r="H24" s="294" t="str">
        <f>Instructions!F$43</f>
        <v>Camden</v>
      </c>
      <c r="I24" s="274" t="s">
        <v>732</v>
      </c>
      <c r="J24" s="709"/>
      <c r="K24" s="279">
        <v>3</v>
      </c>
      <c r="L24" s="294" t="str">
        <f>Instructions!F$44</f>
        <v>Cam</v>
      </c>
      <c r="M24" s="274" t="s">
        <v>728</v>
      </c>
      <c r="N24" s="709"/>
      <c r="O24" s="279">
        <v>2</v>
      </c>
      <c r="P24" s="294" t="str">
        <f>Instructions!F$48</f>
        <v>Bui</v>
      </c>
      <c r="Q24" s="274" t="s">
        <v>726</v>
      </c>
      <c r="R24" s="709"/>
      <c r="S24" s="279">
        <v>2</v>
      </c>
      <c r="T24" s="327" t="s">
        <v>1845</v>
      </c>
      <c r="U24" s="274" t="s">
        <v>724</v>
      </c>
      <c r="V24" s="706"/>
      <c r="W24" s="279">
        <v>2</v>
      </c>
      <c r="X24" s="280"/>
      <c r="Y24" s="190" t="str">
        <f>IFERROR( IF(Instructions!$E$11=8, D24&amp;COUNTIF(D$3:D24,D24), IF(Instructions!$E$11=10, H24&amp;COUNTIF(H$3:H24,H24),IF(Instructions!$E$11=12, L24&amp;COUNTIF(L$3:L24,L24),IF(Instructions!$E$11=14, P24&amp;COUNTIF(P$3:P24,P24),T24&amp;COUNTIF(T$3:T24,T24))))),"")</f>
        <v>Cam2</v>
      </c>
      <c r="Z24" s="321">
        <f>IF(Instructions!$E$11=8,IF($D24=Instructions!$F$42,Z23+1,Z23),IF(Instructions!$E$11=10,IF($H24=Instructions!$F$42,Z23+1,Z23),IF(Instructions!$E$11=12,IF($L24=Instructions!$F$42,Z23+1,Z23),IF(Instructions!$E$11=14,IF($P24=Instructions!$F$42,Z23+1,Z23),IF(Instructions!$E$11=16,IF($T24=Instructions!$F$42,Z23+1,Z23))))))</f>
        <v>1</v>
      </c>
      <c r="AA24" s="321" t="str">
        <f t="shared" si="8"/>
        <v>101</v>
      </c>
      <c r="AB24" s="321">
        <f>IF(Instructions!$E$11=8,IF($D24=Instructions!$F$43,AB23+1,AB23),IF(Instructions!$E$11=10,IF($H24=Instructions!$F$43,AB23+1,AB23),IF(Instructions!$E$11=12,IF($L24=Instructions!$F$43,AB23+1,AB23),IF(Instructions!$E$11=14,IF($P24=Instructions!$F$43,AB23+1,AB23),IF(Instructions!$E$11=16,IF($T24=Instructions!$F$43,AB23+1,AB23))))))</f>
        <v>1</v>
      </c>
      <c r="AC24" s="321" t="str">
        <f t="shared" si="0"/>
        <v>201</v>
      </c>
      <c r="AD24" s="321">
        <f>IF(Instructions!$E$11=8,IF($D24=Instructions!$F$44,AD23+1,AD23),IF(Instructions!$E$11=10,IF($H24=Instructions!$F$44,AD23+1,AD23),IF(Instructions!$E$11=12,IF($L24=Instructions!$F$44,AD23+1,AD23),IF(Instructions!$E$11=14,IF($P24=Instructions!$F$44,AD23+1,AD23),IF(Instructions!$E$11=16,IF($T24=Instructions!$F$44,AD23+1,AD23))))))</f>
        <v>2</v>
      </c>
      <c r="AE24" s="321" t="str">
        <f t="shared" si="1"/>
        <v>302</v>
      </c>
      <c r="AF24" s="321">
        <f>IF(Instructions!$E$11=8,IF($D24=Instructions!$F$45,AF23+1,AF23),IF(Instructions!$E$11=10,IF($H24=Instructions!$F$45,AF23+1,AF23),IF(Instructions!$E$11=12,IF($L24=Instructions!$F$45,AF23+1,AF23),IF(Instructions!$E$11=14,IF($P24=Instructions!$F$45,AF23+1,AF23),IF(Instructions!$E$11=16,IF($T24=Instructions!$F$45,AF23+1,AF23))))))</f>
        <v>2</v>
      </c>
      <c r="AG24" s="321" t="str">
        <f t="shared" si="2"/>
        <v>402</v>
      </c>
      <c r="AH24" s="321">
        <f>IF(Instructions!$E$11=8,IF($D24=Instructions!$F$46,AH23+1,AH23),IF(Instructions!$E$11=10,IF($H24=Instructions!$F$46,AH23+1,AH23),IF(Instructions!$E$11=12,IF($L24=Instructions!$F$46,AH23+1,AH23),IF(Instructions!$E$11=14,IF($P24=Instructions!$F$46,AH23+1,AH23),IF(Instructions!$E$11=16,IF($T24=Instructions!$F$46,AH23+1,AH23))))))</f>
        <v>2</v>
      </c>
      <c r="AI24" s="321" t="str">
        <f t="shared" si="3"/>
        <v>502</v>
      </c>
      <c r="AJ24" s="321">
        <f>IF(Instructions!$E$11=8,IF($D24=Instructions!$F$47,AJ23+1,AJ23),IF(Instructions!$E$11=10,IF($H24=Instructions!$F$47,AJ23+1,AJ23),IF(Instructions!$E$11=12,IF($L24=Instructions!$F$47,AJ23+1,AJ23),IF(Instructions!$E$11=14,IF($P24=Instructions!$F$47,AJ23+1,AJ23),IF(Instructions!$E$11=16,IF($T24=Instructions!$F$47,AJ23+1,AJ23))))))</f>
        <v>2</v>
      </c>
      <c r="AK24" s="321" t="str">
        <f t="shared" si="4"/>
        <v>602</v>
      </c>
      <c r="AL24" s="321">
        <f>IF(Instructions!$E$11=8,IF($D24=Instructions!$F$48,AL23+1,AL23),IF(Instructions!$E$11=10,IF($H24=Instructions!$F$48,AL23+1,AL23),IF(Instructions!$E$11=12,IF($L24=Instructions!$F$48,AL23+1,AL23),IF(Instructions!$E$11=14,IF($P24=Instructions!$F$48,AL23+1,AL23),IF(Instructions!$E$11=16,IF($T24=Instructions!$F$48,AL23+1,AL23))))))</f>
        <v>2</v>
      </c>
      <c r="AM24" s="321" t="str">
        <f t="shared" si="5"/>
        <v>702</v>
      </c>
      <c r="AN24" s="321">
        <f>IF(Instructions!$E$11=8,IF($D24=Instructions!$F$49,AN23+1,AN23),IF(Instructions!$E$11=10,IF($H24=Instructions!$F$49,AN23+1,AN23),IF(Instructions!$E$11=12,IF($L24=Instructions!$F$49,AN23+1,AN23),IF(Instructions!$E$11=14,IF($P24=Instructions!$F$49,AN23+1,AN23),IF(Instructions!$E$11=16,IF($T24=Instructions!$F$49,AN23+1,AN23))))))</f>
        <v>2</v>
      </c>
      <c r="AO24" s="321" t="str">
        <f t="shared" si="6"/>
        <v>802</v>
      </c>
      <c r="AP24" s="321">
        <f>IF(Instructions!$E$11=8,IF($D24=Instructions!$F$50,AP23+1,AP23),IF(Instructions!$E$11=10,IF($H24=Instructions!$F$50,AP23+1,AP23),IF(Instructions!$E$11=12,IF($L24=Instructions!$F$50,AP23+1,AP23),IF(Instructions!$E$11=14,IF($P24=Instructions!$F$50,AP23+1,AP23),IF(Instructions!$E$11=16,IF($T24=Instructions!$F$50,AP23+1,AP23))))))</f>
        <v>2</v>
      </c>
      <c r="AQ24" s="321" t="str">
        <f t="shared" si="7"/>
        <v>902</v>
      </c>
      <c r="AR24" s="321">
        <f>IF(Instructions!$E$11=8,IF($D24=Instructions!$F$51,AR23+1,AR23),IF(Instructions!$E$11=10,IF($H24=Instructions!$F$51,AR23+1,AR23),IF(Instructions!$E$11=12,IF($L24=Instructions!$F$51,AR23+1,AR23),IF(Instructions!$E$11=14,IF($P24=Instructions!$F$51,AR23+1,AR23),IF(Instructions!$E$11=16,IF($T24=Instructions!$F$51,AR23+1,AR23))))))</f>
        <v>2</v>
      </c>
      <c r="AS24" s="321" t="str">
        <f t="shared" si="9"/>
        <v>1002</v>
      </c>
      <c r="AT24" s="321">
        <f>IF(Instructions!$E$11=8,IF($D24=Instructions!$F$52,AT23+1,AT23),IF(Instructions!$E$11=10,IF($H24=Instructions!$F$52,AT23+1,AT23),IF(Instructions!$E$11=12,IF($L24=Instructions!$F$52,AT23+1,AT23),IF(Instructions!$E$11=14,IF($P24=Instructions!$F$52,AT23+1,AT23),IF(Instructions!$E$11=16,IF($T24=Instructions!$F$52,AT23+1,AT23))))))</f>
        <v>2</v>
      </c>
      <c r="AU24" s="321" t="str">
        <f t="shared" si="10"/>
        <v>1102</v>
      </c>
      <c r="AV24" s="321">
        <f>IF(Instructions!$E$11=8,IF($D24=Instructions!$F$53,AV23+1,AV23),IF(Instructions!$E$11=10,IF($H24=Instructions!$F$53,AV23+1,AV23),IF(Instructions!$E$11=12,IF($L24=Instructions!$F$53,AV23+1,AV23),IF(Instructions!$E$11=14,IF($P24=Instructions!$F$53,AV23+1,AV23),IF(Instructions!$E$11=16,IF($T24=Instructions!$F$53,AV23+1,AV23))))))</f>
        <v>2</v>
      </c>
      <c r="AW24" s="321" t="str">
        <f t="shared" si="11"/>
        <v>1202</v>
      </c>
      <c r="AX24" s="321">
        <f>IF(Instructions!$E$11=8,IF($D24=Instructions!$F$54,AX23+1,AX23),IF(Instructions!$E$11=10,IF($H24=Instructions!$F$54,AX23+1,AX23),IF(Instructions!$E$11=12,IF($L24=Instructions!$F$54,AX23+1,AX23),IF(Instructions!$E$11=14,IF($P24=Instructions!$F$54,AX23+1,AX23),IF(Instructions!$E$11=16,IF($T24=Instructions!$F$54,AX23+1,AX23))))))</f>
        <v>0</v>
      </c>
      <c r="AY24" s="321" t="str">
        <f t="shared" si="12"/>
        <v>1300</v>
      </c>
      <c r="AZ24" s="321">
        <f>IF(Instructions!$E$11=8,IF($D24=Instructions!$F$55,AZ23+1,AZ23),IF(Instructions!$E$11=10,IF($H24=Instructions!$F$55,AZ23+1,AZ23),IF(Instructions!$E$11=12,IF($L24=Instructions!$F$55,AZ23+1,AZ23),IF(Instructions!$E$11=14,IF($P24=Instructions!$F$55,AZ23+1,AZ23),IF(Instructions!$E$11=16,IF($T24=Instructions!$F$55,AZ23+1,AZ23))))))</f>
        <v>0</v>
      </c>
      <c r="BA24" s="321" t="str">
        <f t="shared" si="13"/>
        <v>1400</v>
      </c>
      <c r="BB24" s="321">
        <f>IF(Instructions!$E$11=8,IF($D24=Instructions!$F$56,BB23+1,BB23),IF(Instructions!$E$11=10,IF($H24=Instructions!$F$56,BB23+1,BB23),IF(Instructions!$E$11=12,IF($L24=Instructions!$F$56,BB23+1,BB23),IF(Instructions!$E$11=14,IF($P24=Instructions!$F$56,BB23+1,BB23),IF(Instructions!$E$11=16,IF($T24=Instructions!$F$56,BB23+1,BB23))))))</f>
        <v>0</v>
      </c>
      <c r="BC24" s="321" t="str">
        <f t="shared" si="14"/>
        <v>1500</v>
      </c>
      <c r="BD24" s="321">
        <f>IF(Instructions!$E$11=8,IF($D24=Instructions!$F$57,BD23+1,BD23),IF(Instructions!$E$11=10,IF($H24=Instructions!$F$57,BD23+1,BD23),IF(Instructions!$E$11=12,IF($L24=Instructions!$F$57,BD23+1,BD23),IF(Instructions!$E$11=14,IF($P24=Instructions!$F$57,BD23+1,BD23),IF(Instructions!$E$11=16,IF($T24=Instructions!$F$57,BD23+1,BD23))))))</f>
        <v>0</v>
      </c>
      <c r="BE24" s="321" t="str">
        <f t="shared" si="15"/>
        <v>1600</v>
      </c>
      <c r="BF24" s="321">
        <v>22</v>
      </c>
    </row>
    <row r="25" spans="1:58" x14ac:dyDescent="0.25">
      <c r="A25" s="280"/>
      <c r="B25" s="323" t="str">
        <f>IF(Instructions!$J$11=1,AA25,IF(Instructions!$J$11=2,AC25,IF(Instructions!$J$11=3,AE25,IF(Instructions!$J$11=4,AG25,IF(Instructions!$J$11=5,AI25,IF(Instructions!$J$11=6,AK25,IF(Instructions!$J$11=7,AM25,IF(Instructions!$J$11=8,AO25,IF(Instructions!$J$11=9,AQ25,IF(Instructions!$J$11=10,AS25,IF(Instructions!$J$11=11,AU25,IF(Instructions!$J$11=12,AW25,IF(Instructions!$J$11=13, AY25, IF(Instructions!$J$11=14,BA25,IF(Instructions!$J$11=15,BC25,BE25)))))))))))))))</f>
        <v>202</v>
      </c>
      <c r="C25" s="271">
        <v>23</v>
      </c>
      <c r="D25" s="328" t="str">
        <f>Instructions!F$48</f>
        <v>Bui</v>
      </c>
      <c r="E25" s="333" t="s">
        <v>737</v>
      </c>
      <c r="F25" s="706"/>
      <c r="G25" s="279">
        <v>3</v>
      </c>
      <c r="H25" s="293" t="str">
        <f>Instructions!F$44</f>
        <v>Cam</v>
      </c>
      <c r="I25" s="273" t="s">
        <v>733</v>
      </c>
      <c r="J25" s="709"/>
      <c r="K25" s="279">
        <v>3</v>
      </c>
      <c r="L25" s="293" t="str">
        <f>Instructions!F$43</f>
        <v>Camden</v>
      </c>
      <c r="M25" s="273" t="s">
        <v>729</v>
      </c>
      <c r="N25" s="709"/>
      <c r="O25" s="279">
        <v>2</v>
      </c>
      <c r="P25" s="293" t="str">
        <f>Instructions!F$47</f>
        <v>Devin</v>
      </c>
      <c r="Q25" s="273" t="s">
        <v>727</v>
      </c>
      <c r="R25" s="709"/>
      <c r="S25" s="279">
        <v>2</v>
      </c>
      <c r="T25" s="328" t="s">
        <v>1844</v>
      </c>
      <c r="U25" s="273" t="s">
        <v>725</v>
      </c>
      <c r="V25" s="706"/>
      <c r="W25" s="279">
        <v>2</v>
      </c>
      <c r="X25" s="280"/>
      <c r="Y25" s="190" t="str">
        <f>IFERROR( IF(Instructions!$E$11=8, D25&amp;COUNTIF(D$3:D25,D25), IF(Instructions!$E$11=10, H25&amp;COUNTIF(H$3:H25,H25),IF(Instructions!$E$11=12, L25&amp;COUNTIF(L$3:L25,L25),IF(Instructions!$E$11=14, P25&amp;COUNTIF(P$3:P25,P25),T25&amp;COUNTIF(T$3:T25,T25))))),"")</f>
        <v>Camden2</v>
      </c>
      <c r="Z25" s="321">
        <f>IF(Instructions!$E$11=8,IF($D25=Instructions!$F$42,Z24+1,Z24),IF(Instructions!$E$11=10,IF($H25=Instructions!$F$42,Z24+1,Z24),IF(Instructions!$E$11=12,IF($L25=Instructions!$F$42,Z24+1,Z24),IF(Instructions!$E$11=14,IF($P25=Instructions!$F$42,Z24+1,Z24),IF(Instructions!$E$11=16,IF($T25=Instructions!$F$42,Z24+1,Z24))))))</f>
        <v>1</v>
      </c>
      <c r="AA25" s="321" t="str">
        <f t="shared" si="8"/>
        <v>101</v>
      </c>
      <c r="AB25" s="321">
        <f>IF(Instructions!$E$11=8,IF($D25=Instructions!$F$43,AB24+1,AB24),IF(Instructions!$E$11=10,IF($H25=Instructions!$F$43,AB24+1,AB24),IF(Instructions!$E$11=12,IF($L25=Instructions!$F$43,AB24+1,AB24),IF(Instructions!$E$11=14,IF($P25=Instructions!$F$43,AB24+1,AB24),IF(Instructions!$E$11=16,IF($T25=Instructions!$F$43,AB24+1,AB24))))))</f>
        <v>2</v>
      </c>
      <c r="AC25" s="321" t="str">
        <f t="shared" si="0"/>
        <v>202</v>
      </c>
      <c r="AD25" s="321">
        <f>IF(Instructions!$E$11=8,IF($D25=Instructions!$F$44,AD24+1,AD24),IF(Instructions!$E$11=10,IF($H25=Instructions!$F$44,AD24+1,AD24),IF(Instructions!$E$11=12,IF($L25=Instructions!$F$44,AD24+1,AD24),IF(Instructions!$E$11=14,IF($P25=Instructions!$F$44,AD24+1,AD24),IF(Instructions!$E$11=16,IF($T25=Instructions!$F$44,AD24+1,AD24))))))</f>
        <v>2</v>
      </c>
      <c r="AE25" s="321" t="str">
        <f t="shared" si="1"/>
        <v>302</v>
      </c>
      <c r="AF25" s="321">
        <f>IF(Instructions!$E$11=8,IF($D25=Instructions!$F$45,AF24+1,AF24),IF(Instructions!$E$11=10,IF($H25=Instructions!$F$45,AF24+1,AF24),IF(Instructions!$E$11=12,IF($L25=Instructions!$F$45,AF24+1,AF24),IF(Instructions!$E$11=14,IF($P25=Instructions!$F$45,AF24+1,AF24),IF(Instructions!$E$11=16,IF($T25=Instructions!$F$45,AF24+1,AF24))))))</f>
        <v>2</v>
      </c>
      <c r="AG25" s="321" t="str">
        <f t="shared" si="2"/>
        <v>402</v>
      </c>
      <c r="AH25" s="321">
        <f>IF(Instructions!$E$11=8,IF($D25=Instructions!$F$46,AH24+1,AH24),IF(Instructions!$E$11=10,IF($H25=Instructions!$F$46,AH24+1,AH24),IF(Instructions!$E$11=12,IF($L25=Instructions!$F$46,AH24+1,AH24),IF(Instructions!$E$11=14,IF($P25=Instructions!$F$46,AH24+1,AH24),IF(Instructions!$E$11=16,IF($T25=Instructions!$F$46,AH24+1,AH24))))))</f>
        <v>2</v>
      </c>
      <c r="AI25" s="321" t="str">
        <f t="shared" si="3"/>
        <v>502</v>
      </c>
      <c r="AJ25" s="321">
        <f>IF(Instructions!$E$11=8,IF($D25=Instructions!$F$47,AJ24+1,AJ24),IF(Instructions!$E$11=10,IF($H25=Instructions!$F$47,AJ24+1,AJ24),IF(Instructions!$E$11=12,IF($L25=Instructions!$F$47,AJ24+1,AJ24),IF(Instructions!$E$11=14,IF($P25=Instructions!$F$47,AJ24+1,AJ24),IF(Instructions!$E$11=16,IF($T25=Instructions!$F$47,AJ24+1,AJ24))))))</f>
        <v>2</v>
      </c>
      <c r="AK25" s="321" t="str">
        <f t="shared" si="4"/>
        <v>602</v>
      </c>
      <c r="AL25" s="321">
        <f>IF(Instructions!$E$11=8,IF($D25=Instructions!$F$48,AL24+1,AL24),IF(Instructions!$E$11=10,IF($H25=Instructions!$F$48,AL24+1,AL24),IF(Instructions!$E$11=12,IF($L25=Instructions!$F$48,AL24+1,AL24),IF(Instructions!$E$11=14,IF($P25=Instructions!$F$48,AL24+1,AL24),IF(Instructions!$E$11=16,IF($T25=Instructions!$F$48,AL24+1,AL24))))))</f>
        <v>2</v>
      </c>
      <c r="AM25" s="321" t="str">
        <f t="shared" si="5"/>
        <v>702</v>
      </c>
      <c r="AN25" s="321">
        <f>IF(Instructions!$E$11=8,IF($D25=Instructions!$F$49,AN24+1,AN24),IF(Instructions!$E$11=10,IF($H25=Instructions!$F$49,AN24+1,AN24),IF(Instructions!$E$11=12,IF($L25=Instructions!$F$49,AN24+1,AN24),IF(Instructions!$E$11=14,IF($P25=Instructions!$F$49,AN24+1,AN24),IF(Instructions!$E$11=16,IF($T25=Instructions!$F$49,AN24+1,AN24))))))</f>
        <v>2</v>
      </c>
      <c r="AO25" s="321" t="str">
        <f t="shared" si="6"/>
        <v>802</v>
      </c>
      <c r="AP25" s="321">
        <f>IF(Instructions!$E$11=8,IF($D25=Instructions!$F$50,AP24+1,AP24),IF(Instructions!$E$11=10,IF($H25=Instructions!$F$50,AP24+1,AP24),IF(Instructions!$E$11=12,IF($L25=Instructions!$F$50,AP24+1,AP24),IF(Instructions!$E$11=14,IF($P25=Instructions!$F$50,AP24+1,AP24),IF(Instructions!$E$11=16,IF($T25=Instructions!$F$50,AP24+1,AP24))))))</f>
        <v>2</v>
      </c>
      <c r="AQ25" s="321" t="str">
        <f t="shared" si="7"/>
        <v>902</v>
      </c>
      <c r="AR25" s="321">
        <f>IF(Instructions!$E$11=8,IF($D25=Instructions!$F$51,AR24+1,AR24),IF(Instructions!$E$11=10,IF($H25=Instructions!$F$51,AR24+1,AR24),IF(Instructions!$E$11=12,IF($L25=Instructions!$F$51,AR24+1,AR24),IF(Instructions!$E$11=14,IF($P25=Instructions!$F$51,AR24+1,AR24),IF(Instructions!$E$11=16,IF($T25=Instructions!$F$51,AR24+1,AR24))))))</f>
        <v>2</v>
      </c>
      <c r="AS25" s="321" t="str">
        <f t="shared" si="9"/>
        <v>1002</v>
      </c>
      <c r="AT25" s="321">
        <f>IF(Instructions!$E$11=8,IF($D25=Instructions!$F$52,AT24+1,AT24),IF(Instructions!$E$11=10,IF($H25=Instructions!$F$52,AT24+1,AT24),IF(Instructions!$E$11=12,IF($L25=Instructions!$F$52,AT24+1,AT24),IF(Instructions!$E$11=14,IF($P25=Instructions!$F$52,AT24+1,AT24),IF(Instructions!$E$11=16,IF($T25=Instructions!$F$52,AT24+1,AT24))))))</f>
        <v>2</v>
      </c>
      <c r="AU25" s="321" t="str">
        <f t="shared" si="10"/>
        <v>1102</v>
      </c>
      <c r="AV25" s="321">
        <f>IF(Instructions!$E$11=8,IF($D25=Instructions!$F$53,AV24+1,AV24),IF(Instructions!$E$11=10,IF($H25=Instructions!$F$53,AV24+1,AV24),IF(Instructions!$E$11=12,IF($L25=Instructions!$F$53,AV24+1,AV24),IF(Instructions!$E$11=14,IF($P25=Instructions!$F$53,AV24+1,AV24),IF(Instructions!$E$11=16,IF($T25=Instructions!$F$53,AV24+1,AV24))))))</f>
        <v>2</v>
      </c>
      <c r="AW25" s="321" t="str">
        <f t="shared" si="11"/>
        <v>1202</v>
      </c>
      <c r="AX25" s="321">
        <f>IF(Instructions!$E$11=8,IF($D25=Instructions!$F$54,AX24+1,AX24),IF(Instructions!$E$11=10,IF($H25=Instructions!$F$54,AX24+1,AX24),IF(Instructions!$E$11=12,IF($L25=Instructions!$F$54,AX24+1,AX24),IF(Instructions!$E$11=14,IF($P25=Instructions!$F$54,AX24+1,AX24),IF(Instructions!$E$11=16,IF($T25=Instructions!$F$54,AX24+1,AX24))))))</f>
        <v>0</v>
      </c>
      <c r="AY25" s="321" t="str">
        <f t="shared" si="12"/>
        <v>1300</v>
      </c>
      <c r="AZ25" s="321">
        <f>IF(Instructions!$E$11=8,IF($D25=Instructions!$F$55,AZ24+1,AZ24),IF(Instructions!$E$11=10,IF($H25=Instructions!$F$55,AZ24+1,AZ24),IF(Instructions!$E$11=12,IF($L25=Instructions!$F$55,AZ24+1,AZ24),IF(Instructions!$E$11=14,IF($P25=Instructions!$F$55,AZ24+1,AZ24),IF(Instructions!$E$11=16,IF($T25=Instructions!$F$55,AZ24+1,AZ24))))))</f>
        <v>0</v>
      </c>
      <c r="BA25" s="321" t="str">
        <f t="shared" si="13"/>
        <v>1400</v>
      </c>
      <c r="BB25" s="321">
        <f>IF(Instructions!$E$11=8,IF($D25=Instructions!$F$56,BB24+1,BB24),IF(Instructions!$E$11=10,IF($H25=Instructions!$F$56,BB24+1,BB24),IF(Instructions!$E$11=12,IF($L25=Instructions!$F$56,BB24+1,BB24),IF(Instructions!$E$11=14,IF($P25=Instructions!$F$56,BB24+1,BB24),IF(Instructions!$E$11=16,IF($T25=Instructions!$F$56,BB24+1,BB24))))))</f>
        <v>0</v>
      </c>
      <c r="BC25" s="321" t="str">
        <f t="shared" si="14"/>
        <v>1500</v>
      </c>
      <c r="BD25" s="321">
        <f>IF(Instructions!$E$11=8,IF($D25=Instructions!$F$57,BD24+1,BD24),IF(Instructions!$E$11=10,IF($H25=Instructions!$F$57,BD24+1,BD24),IF(Instructions!$E$11=12,IF($L25=Instructions!$F$57,BD24+1,BD24),IF(Instructions!$E$11=14,IF($P25=Instructions!$F$57,BD24+1,BD24),IF(Instructions!$E$11=16,IF($T25=Instructions!$F$57,BD24+1,BD24))))))</f>
        <v>0</v>
      </c>
      <c r="BE25" s="321" t="str">
        <f t="shared" si="15"/>
        <v>1600</v>
      </c>
      <c r="BF25" s="321">
        <v>23</v>
      </c>
    </row>
    <row r="26" spans="1:58" ht="15.75" thickBot="1" x14ac:dyDescent="0.3">
      <c r="A26" s="280"/>
      <c r="B26" s="323" t="str">
        <f>IF(Instructions!$J$11=1,AA26,IF(Instructions!$J$11=2,AC26,IF(Instructions!$J$11=3,AE26,IF(Instructions!$J$11=4,AG26,IF(Instructions!$J$11=5,AI26,IF(Instructions!$J$11=6,AK26,IF(Instructions!$J$11=7,AM26,IF(Instructions!$J$11=8,AO26,IF(Instructions!$J$11=9,AQ26,IF(Instructions!$J$11=10,AS26,IF(Instructions!$J$11=11,AU26,IF(Instructions!$J$11=12,AW26,IF(Instructions!$J$11=13, AY26, IF(Instructions!$J$11=14,BA26,IF(Instructions!$J$11=15,BC26,BE26)))))))))))))))</f>
        <v>202</v>
      </c>
      <c r="C26" s="272">
        <v>24</v>
      </c>
      <c r="D26" s="329" t="str">
        <f>Instructions!F$49</f>
        <v>Luke</v>
      </c>
      <c r="E26" s="332" t="s">
        <v>738</v>
      </c>
      <c r="F26" s="706"/>
      <c r="G26" s="495">
        <v>3</v>
      </c>
      <c r="H26" s="294" t="str">
        <f>Instructions!F$45</f>
        <v>Miles</v>
      </c>
      <c r="I26" s="274" t="s">
        <v>734</v>
      </c>
      <c r="J26" s="709"/>
      <c r="K26" s="279">
        <v>3</v>
      </c>
      <c r="L26" s="295" t="str">
        <f>Instructions!F$42</f>
        <v>Trumbo</v>
      </c>
      <c r="M26" s="277" t="s">
        <v>730</v>
      </c>
      <c r="N26" s="710"/>
      <c r="O26" s="279">
        <v>2</v>
      </c>
      <c r="P26" s="294" t="str">
        <f>Instructions!F$46</f>
        <v>Con</v>
      </c>
      <c r="Q26" s="274" t="s">
        <v>728</v>
      </c>
      <c r="R26" s="709"/>
      <c r="S26" s="279">
        <v>2</v>
      </c>
      <c r="T26" s="327" t="s">
        <v>1843</v>
      </c>
      <c r="U26" s="274" t="s">
        <v>726</v>
      </c>
      <c r="V26" s="706"/>
      <c r="W26" s="279">
        <v>2</v>
      </c>
      <c r="X26" s="280"/>
      <c r="Y26" s="190" t="str">
        <f>IFERROR( IF(Instructions!$E$11=8, D26&amp;COUNTIF(D$3:D26,D26), IF(Instructions!$E$11=10, H26&amp;COUNTIF(H$3:H26,H26),IF(Instructions!$E$11=12, L26&amp;COUNTIF(L$3:L26,L26),IF(Instructions!$E$11=14, P26&amp;COUNTIF(P$3:P26,P26),T26&amp;COUNTIF(T$3:T26,T26))))),"")</f>
        <v>Trumbo2</v>
      </c>
      <c r="Z26" s="321">
        <f>IF(Instructions!$E$11=8,IF($D26=Instructions!$F$42,Z25+1,Z25),IF(Instructions!$E$11=10,IF($H26=Instructions!$F$42,Z25+1,Z25),IF(Instructions!$E$11=12,IF($L26=Instructions!$F$42,Z25+1,Z25),IF(Instructions!$E$11=14,IF($P26=Instructions!$F$42,Z25+1,Z25),IF(Instructions!$E$11=16,IF($T26=Instructions!$F$42,Z25+1,Z25))))))</f>
        <v>2</v>
      </c>
      <c r="AA26" s="321" t="str">
        <f t="shared" si="8"/>
        <v>102</v>
      </c>
      <c r="AB26" s="321">
        <f>IF(Instructions!$E$11=8,IF($D26=Instructions!$F$43,AB25+1,AB25),IF(Instructions!$E$11=10,IF($H26=Instructions!$F$43,AB25+1,AB25),IF(Instructions!$E$11=12,IF($L26=Instructions!$F$43,AB25+1,AB25),IF(Instructions!$E$11=14,IF($P26=Instructions!$F$43,AB25+1,AB25),IF(Instructions!$E$11=16,IF($T26=Instructions!$F$43,AB25+1,AB25))))))</f>
        <v>2</v>
      </c>
      <c r="AC26" s="321" t="str">
        <f t="shared" si="0"/>
        <v>202</v>
      </c>
      <c r="AD26" s="321">
        <f>IF(Instructions!$E$11=8,IF($D26=Instructions!$F$44,AD25+1,AD25),IF(Instructions!$E$11=10,IF($H26=Instructions!$F$44,AD25+1,AD25),IF(Instructions!$E$11=12,IF($L26=Instructions!$F$44,AD25+1,AD25),IF(Instructions!$E$11=14,IF($P26=Instructions!$F$44,AD25+1,AD25),IF(Instructions!$E$11=16,IF($T26=Instructions!$F$44,AD25+1,AD25))))))</f>
        <v>2</v>
      </c>
      <c r="AE26" s="321" t="str">
        <f t="shared" si="1"/>
        <v>302</v>
      </c>
      <c r="AF26" s="321">
        <f>IF(Instructions!$E$11=8,IF($D26=Instructions!$F$45,AF25+1,AF25),IF(Instructions!$E$11=10,IF($H26=Instructions!$F$45,AF25+1,AF25),IF(Instructions!$E$11=12,IF($L26=Instructions!$F$45,AF25+1,AF25),IF(Instructions!$E$11=14,IF($P26=Instructions!$F$45,AF25+1,AF25),IF(Instructions!$E$11=16,IF($T26=Instructions!$F$45,AF25+1,AF25))))))</f>
        <v>2</v>
      </c>
      <c r="AG26" s="321" t="str">
        <f t="shared" si="2"/>
        <v>402</v>
      </c>
      <c r="AH26" s="321">
        <f>IF(Instructions!$E$11=8,IF($D26=Instructions!$F$46,AH25+1,AH25),IF(Instructions!$E$11=10,IF($H26=Instructions!$F$46,AH25+1,AH25),IF(Instructions!$E$11=12,IF($L26=Instructions!$F$46,AH25+1,AH25),IF(Instructions!$E$11=14,IF($P26=Instructions!$F$46,AH25+1,AH25),IF(Instructions!$E$11=16,IF($T26=Instructions!$F$46,AH25+1,AH25))))))</f>
        <v>2</v>
      </c>
      <c r="AI26" s="321" t="str">
        <f t="shared" si="3"/>
        <v>502</v>
      </c>
      <c r="AJ26" s="321">
        <f>IF(Instructions!$E$11=8,IF($D26=Instructions!$F$47,AJ25+1,AJ25),IF(Instructions!$E$11=10,IF($H26=Instructions!$F$47,AJ25+1,AJ25),IF(Instructions!$E$11=12,IF($L26=Instructions!$F$47,AJ25+1,AJ25),IF(Instructions!$E$11=14,IF($P26=Instructions!$F$47,AJ25+1,AJ25),IF(Instructions!$E$11=16,IF($T26=Instructions!$F$47,AJ25+1,AJ25))))))</f>
        <v>2</v>
      </c>
      <c r="AK26" s="321" t="str">
        <f t="shared" si="4"/>
        <v>602</v>
      </c>
      <c r="AL26" s="321">
        <f>IF(Instructions!$E$11=8,IF($D26=Instructions!$F$48,AL25+1,AL25),IF(Instructions!$E$11=10,IF($H26=Instructions!$F$48,AL25+1,AL25),IF(Instructions!$E$11=12,IF($L26=Instructions!$F$48,AL25+1,AL25),IF(Instructions!$E$11=14,IF($P26=Instructions!$F$48,AL25+1,AL25),IF(Instructions!$E$11=16,IF($T26=Instructions!$F$48,AL25+1,AL25))))))</f>
        <v>2</v>
      </c>
      <c r="AM26" s="321" t="str">
        <f t="shared" si="5"/>
        <v>702</v>
      </c>
      <c r="AN26" s="321">
        <f>IF(Instructions!$E$11=8,IF($D26=Instructions!$F$49,AN25+1,AN25),IF(Instructions!$E$11=10,IF($H26=Instructions!$F$49,AN25+1,AN25),IF(Instructions!$E$11=12,IF($L26=Instructions!$F$49,AN25+1,AN25),IF(Instructions!$E$11=14,IF($P26=Instructions!$F$49,AN25+1,AN25),IF(Instructions!$E$11=16,IF($T26=Instructions!$F$49,AN25+1,AN25))))))</f>
        <v>2</v>
      </c>
      <c r="AO26" s="321" t="str">
        <f t="shared" si="6"/>
        <v>802</v>
      </c>
      <c r="AP26" s="321">
        <f>IF(Instructions!$E$11=8,IF($D26=Instructions!$F$50,AP25+1,AP25),IF(Instructions!$E$11=10,IF($H26=Instructions!$F$50,AP25+1,AP25),IF(Instructions!$E$11=12,IF($L26=Instructions!$F$50,AP25+1,AP25),IF(Instructions!$E$11=14,IF($P26=Instructions!$F$50,AP25+1,AP25),IF(Instructions!$E$11=16,IF($T26=Instructions!$F$50,AP25+1,AP25))))))</f>
        <v>2</v>
      </c>
      <c r="AQ26" s="321" t="str">
        <f t="shared" si="7"/>
        <v>902</v>
      </c>
      <c r="AR26" s="321">
        <f>IF(Instructions!$E$11=8,IF($D26=Instructions!$F$51,AR25+1,AR25),IF(Instructions!$E$11=10,IF($H26=Instructions!$F$51,AR25+1,AR25),IF(Instructions!$E$11=12,IF($L26=Instructions!$F$51,AR25+1,AR25),IF(Instructions!$E$11=14,IF($P26=Instructions!$F$51,AR25+1,AR25),IF(Instructions!$E$11=16,IF($T26=Instructions!$F$51,AR25+1,AR25))))))</f>
        <v>2</v>
      </c>
      <c r="AS26" s="321" t="str">
        <f t="shared" si="9"/>
        <v>1002</v>
      </c>
      <c r="AT26" s="321">
        <f>IF(Instructions!$E$11=8,IF($D26=Instructions!$F$52,AT25+1,AT25),IF(Instructions!$E$11=10,IF($H26=Instructions!$F$52,AT25+1,AT25),IF(Instructions!$E$11=12,IF($L26=Instructions!$F$52,AT25+1,AT25),IF(Instructions!$E$11=14,IF($P26=Instructions!$F$52,AT25+1,AT25),IF(Instructions!$E$11=16,IF($T26=Instructions!$F$52,AT25+1,AT25))))))</f>
        <v>2</v>
      </c>
      <c r="AU26" s="321" t="str">
        <f t="shared" si="10"/>
        <v>1102</v>
      </c>
      <c r="AV26" s="321">
        <f>IF(Instructions!$E$11=8,IF($D26=Instructions!$F$53,AV25+1,AV25),IF(Instructions!$E$11=10,IF($H26=Instructions!$F$53,AV25+1,AV25),IF(Instructions!$E$11=12,IF($L26=Instructions!$F$53,AV25+1,AV25),IF(Instructions!$E$11=14,IF($P26=Instructions!$F$53,AV25+1,AV25),IF(Instructions!$E$11=16,IF($T26=Instructions!$F$53,AV25+1,AV25))))))</f>
        <v>2</v>
      </c>
      <c r="AW26" s="321" t="str">
        <f t="shared" si="11"/>
        <v>1202</v>
      </c>
      <c r="AX26" s="321">
        <f>IF(Instructions!$E$11=8,IF($D26=Instructions!$F$54,AX25+1,AX25),IF(Instructions!$E$11=10,IF($H26=Instructions!$F$54,AX25+1,AX25),IF(Instructions!$E$11=12,IF($L26=Instructions!$F$54,AX25+1,AX25),IF(Instructions!$E$11=14,IF($P26=Instructions!$F$54,AX25+1,AX25),IF(Instructions!$E$11=16,IF($T26=Instructions!$F$54,AX25+1,AX25))))))</f>
        <v>0</v>
      </c>
      <c r="AY26" s="321" t="str">
        <f t="shared" si="12"/>
        <v>1300</v>
      </c>
      <c r="AZ26" s="321">
        <f>IF(Instructions!$E$11=8,IF($D26=Instructions!$F$55,AZ25+1,AZ25),IF(Instructions!$E$11=10,IF($H26=Instructions!$F$55,AZ25+1,AZ25),IF(Instructions!$E$11=12,IF($L26=Instructions!$F$55,AZ25+1,AZ25),IF(Instructions!$E$11=14,IF($P26=Instructions!$F$55,AZ25+1,AZ25),IF(Instructions!$E$11=16,IF($T26=Instructions!$F$55,AZ25+1,AZ25))))))</f>
        <v>0</v>
      </c>
      <c r="BA26" s="321" t="str">
        <f t="shared" si="13"/>
        <v>1400</v>
      </c>
      <c r="BB26" s="321">
        <f>IF(Instructions!$E$11=8,IF($D26=Instructions!$F$56,BB25+1,BB25),IF(Instructions!$E$11=10,IF($H26=Instructions!$F$56,BB25+1,BB25),IF(Instructions!$E$11=12,IF($L26=Instructions!$F$56,BB25+1,BB25),IF(Instructions!$E$11=14,IF($P26=Instructions!$F$56,BB25+1,BB25),IF(Instructions!$E$11=16,IF($T26=Instructions!$F$56,BB25+1,BB25))))))</f>
        <v>0</v>
      </c>
      <c r="BC26" s="321" t="str">
        <f t="shared" si="14"/>
        <v>1500</v>
      </c>
      <c r="BD26" s="321">
        <f>IF(Instructions!$E$11=8,IF($D26=Instructions!$F$57,BD25+1,BD25),IF(Instructions!$E$11=10,IF($H26=Instructions!$F$57,BD25+1,BD25),IF(Instructions!$E$11=12,IF($L26=Instructions!$F$57,BD25+1,BD25),IF(Instructions!$E$11=14,IF($P26=Instructions!$F$57,BD25+1,BD25),IF(Instructions!$E$11=16,IF($T26=Instructions!$F$57,BD25+1,BD25))))))</f>
        <v>0</v>
      </c>
      <c r="BE26" s="321" t="str">
        <f t="shared" si="15"/>
        <v>1600</v>
      </c>
      <c r="BF26" s="321">
        <v>24</v>
      </c>
    </row>
    <row r="27" spans="1:58" ht="15" customHeight="1" x14ac:dyDescent="0.25">
      <c r="A27" s="280"/>
      <c r="B27" s="323" t="str">
        <f>IF(Instructions!$J$11=1,AA27,IF(Instructions!$J$11=2,AC27,IF(Instructions!$J$11=3,AE27,IF(Instructions!$J$11=4,AG27,IF(Instructions!$J$11=5,AI27,IF(Instructions!$J$11=6,AK27,IF(Instructions!$J$11=7,AM27,IF(Instructions!$J$11=8,AO27,IF(Instructions!$J$11=9,AQ27,IF(Instructions!$J$11=10,AS27,IF(Instructions!$J$11=11,AU27,IF(Instructions!$J$11=12,AW27,IF(Instructions!$J$11=13, AY27, IF(Instructions!$J$11=14,BA27,IF(Instructions!$J$11=15,BC27,BE27)))))))))))))))</f>
        <v>202</v>
      </c>
      <c r="C27" s="271">
        <v>25</v>
      </c>
      <c r="D27" s="325" t="str">
        <f>Instructions!F$49</f>
        <v>Luke</v>
      </c>
      <c r="E27" s="331" t="s">
        <v>743</v>
      </c>
      <c r="F27" s="711" t="s">
        <v>899</v>
      </c>
      <c r="G27" s="497">
        <v>4</v>
      </c>
      <c r="H27" s="491" t="str">
        <f>Instructions!F$46</f>
        <v>Con</v>
      </c>
      <c r="I27" s="273" t="s">
        <v>735</v>
      </c>
      <c r="J27" s="709"/>
      <c r="K27" s="279">
        <v>3</v>
      </c>
      <c r="L27" s="292" t="str">
        <f>Instructions!F$42</f>
        <v>Trumbo</v>
      </c>
      <c r="M27" s="276" t="s">
        <v>731</v>
      </c>
      <c r="N27" s="708" t="s">
        <v>898</v>
      </c>
      <c r="O27" s="279">
        <v>3</v>
      </c>
      <c r="P27" s="293" t="str">
        <f>Instructions!F$45</f>
        <v>Miles</v>
      </c>
      <c r="Q27" s="273" t="s">
        <v>729</v>
      </c>
      <c r="R27" s="709"/>
      <c r="S27" s="279">
        <v>2</v>
      </c>
      <c r="T27" s="328" t="s">
        <v>1842</v>
      </c>
      <c r="U27" s="273" t="s">
        <v>727</v>
      </c>
      <c r="V27" s="706"/>
      <c r="W27" s="279">
        <v>2</v>
      </c>
      <c r="X27" s="280"/>
      <c r="Y27" s="190" t="str">
        <f>IFERROR( IF(Instructions!$E$11=8, D27&amp;COUNTIF(D$3:D27,D27), IF(Instructions!$E$11=10, H27&amp;COUNTIF(H$3:H27,H27),IF(Instructions!$E$11=12, L27&amp;COUNTIF(L$3:L27,L27),IF(Instructions!$E$11=14, P27&amp;COUNTIF(P$3:P27,P27),T27&amp;COUNTIF(T$3:T27,T27))))),"")</f>
        <v>Trumbo3</v>
      </c>
      <c r="Z27" s="321">
        <f>IF(Instructions!$E$11=8,IF($D27=Instructions!$F$42,Z26+1,Z26),IF(Instructions!$E$11=10,IF($H27=Instructions!$F$42,Z26+1,Z26),IF(Instructions!$E$11=12,IF($L27=Instructions!$F$42,Z26+1,Z26),IF(Instructions!$E$11=14,IF($P27=Instructions!$F$42,Z26+1,Z26),IF(Instructions!$E$11=16,IF($T27=Instructions!$F$42,Z26+1,Z26))))))</f>
        <v>3</v>
      </c>
      <c r="AA27" s="321" t="str">
        <f t="shared" si="8"/>
        <v>103</v>
      </c>
      <c r="AB27" s="321">
        <f>IF(Instructions!$E$11=8,IF($D27=Instructions!$F$43,AB26+1,AB26),IF(Instructions!$E$11=10,IF($H27=Instructions!$F$43,AB26+1,AB26),IF(Instructions!$E$11=12,IF($L27=Instructions!$F$43,AB26+1,AB26),IF(Instructions!$E$11=14,IF($P27=Instructions!$F$43,AB26+1,AB26),IF(Instructions!$E$11=16,IF($T27=Instructions!$F$43,AB26+1,AB26))))))</f>
        <v>2</v>
      </c>
      <c r="AC27" s="321" t="str">
        <f t="shared" si="0"/>
        <v>202</v>
      </c>
      <c r="AD27" s="321">
        <f>IF(Instructions!$E$11=8,IF($D27=Instructions!$F$44,AD26+1,AD26),IF(Instructions!$E$11=10,IF($H27=Instructions!$F$44,AD26+1,AD26),IF(Instructions!$E$11=12,IF($L27=Instructions!$F$44,AD26+1,AD26),IF(Instructions!$E$11=14,IF($P27=Instructions!$F$44,AD26+1,AD26),IF(Instructions!$E$11=16,IF($T27=Instructions!$F$44,AD26+1,AD26))))))</f>
        <v>2</v>
      </c>
      <c r="AE27" s="321" t="str">
        <f t="shared" si="1"/>
        <v>302</v>
      </c>
      <c r="AF27" s="321">
        <f>IF(Instructions!$E$11=8,IF($D27=Instructions!$F$45,AF26+1,AF26),IF(Instructions!$E$11=10,IF($H27=Instructions!$F$45,AF26+1,AF26),IF(Instructions!$E$11=12,IF($L27=Instructions!$F$45,AF26+1,AF26),IF(Instructions!$E$11=14,IF($P27=Instructions!$F$45,AF26+1,AF26),IF(Instructions!$E$11=16,IF($T27=Instructions!$F$45,AF26+1,AF26))))))</f>
        <v>2</v>
      </c>
      <c r="AG27" s="321" t="str">
        <f t="shared" si="2"/>
        <v>402</v>
      </c>
      <c r="AH27" s="321">
        <f>IF(Instructions!$E$11=8,IF($D27=Instructions!$F$46,AH26+1,AH26),IF(Instructions!$E$11=10,IF($H27=Instructions!$F$46,AH26+1,AH26),IF(Instructions!$E$11=12,IF($L27=Instructions!$F$46,AH26+1,AH26),IF(Instructions!$E$11=14,IF($P27=Instructions!$F$46,AH26+1,AH26),IF(Instructions!$E$11=16,IF($T27=Instructions!$F$46,AH26+1,AH26))))))</f>
        <v>2</v>
      </c>
      <c r="AI27" s="321" t="str">
        <f t="shared" si="3"/>
        <v>502</v>
      </c>
      <c r="AJ27" s="321">
        <f>IF(Instructions!$E$11=8,IF($D27=Instructions!$F$47,AJ26+1,AJ26),IF(Instructions!$E$11=10,IF($H27=Instructions!$F$47,AJ26+1,AJ26),IF(Instructions!$E$11=12,IF($L27=Instructions!$F$47,AJ26+1,AJ26),IF(Instructions!$E$11=14,IF($P27=Instructions!$F$47,AJ26+1,AJ26),IF(Instructions!$E$11=16,IF($T27=Instructions!$F$47,AJ26+1,AJ26))))))</f>
        <v>2</v>
      </c>
      <c r="AK27" s="321" t="str">
        <f t="shared" si="4"/>
        <v>602</v>
      </c>
      <c r="AL27" s="321">
        <f>IF(Instructions!$E$11=8,IF($D27=Instructions!$F$48,AL26+1,AL26),IF(Instructions!$E$11=10,IF($H27=Instructions!$F$48,AL26+1,AL26),IF(Instructions!$E$11=12,IF($L27=Instructions!$F$48,AL26+1,AL26),IF(Instructions!$E$11=14,IF($P27=Instructions!$F$48,AL26+1,AL26),IF(Instructions!$E$11=16,IF($T27=Instructions!$F$48,AL26+1,AL26))))))</f>
        <v>2</v>
      </c>
      <c r="AM27" s="321" t="str">
        <f t="shared" si="5"/>
        <v>702</v>
      </c>
      <c r="AN27" s="321">
        <f>IF(Instructions!$E$11=8,IF($D27=Instructions!$F$49,AN26+1,AN26),IF(Instructions!$E$11=10,IF($H27=Instructions!$F$49,AN26+1,AN26),IF(Instructions!$E$11=12,IF($L27=Instructions!$F$49,AN26+1,AN26),IF(Instructions!$E$11=14,IF($P27=Instructions!$F$49,AN26+1,AN26),IF(Instructions!$E$11=16,IF($T27=Instructions!$F$49,AN26+1,AN26))))))</f>
        <v>2</v>
      </c>
      <c r="AO27" s="321" t="str">
        <f t="shared" si="6"/>
        <v>802</v>
      </c>
      <c r="AP27" s="321">
        <f>IF(Instructions!$E$11=8,IF($D27=Instructions!$F$50,AP26+1,AP26),IF(Instructions!$E$11=10,IF($H27=Instructions!$F$50,AP26+1,AP26),IF(Instructions!$E$11=12,IF($L27=Instructions!$F$50,AP26+1,AP26),IF(Instructions!$E$11=14,IF($P27=Instructions!$F$50,AP26+1,AP26),IF(Instructions!$E$11=16,IF($T27=Instructions!$F$50,AP26+1,AP26))))))</f>
        <v>2</v>
      </c>
      <c r="AQ27" s="321" t="str">
        <f t="shared" si="7"/>
        <v>902</v>
      </c>
      <c r="AR27" s="321">
        <f>IF(Instructions!$E$11=8,IF($D27=Instructions!$F$51,AR26+1,AR26),IF(Instructions!$E$11=10,IF($H27=Instructions!$F$51,AR26+1,AR26),IF(Instructions!$E$11=12,IF($L27=Instructions!$F$51,AR26+1,AR26),IF(Instructions!$E$11=14,IF($P27=Instructions!$F$51,AR26+1,AR26),IF(Instructions!$E$11=16,IF($T27=Instructions!$F$51,AR26+1,AR26))))))</f>
        <v>2</v>
      </c>
      <c r="AS27" s="321" t="str">
        <f t="shared" si="9"/>
        <v>1002</v>
      </c>
      <c r="AT27" s="321">
        <f>IF(Instructions!$E$11=8,IF($D27=Instructions!$F$52,AT26+1,AT26),IF(Instructions!$E$11=10,IF($H27=Instructions!$F$52,AT26+1,AT26),IF(Instructions!$E$11=12,IF($L27=Instructions!$F$52,AT26+1,AT26),IF(Instructions!$E$11=14,IF($P27=Instructions!$F$52,AT26+1,AT26),IF(Instructions!$E$11=16,IF($T27=Instructions!$F$52,AT26+1,AT26))))))</f>
        <v>2</v>
      </c>
      <c r="AU27" s="321" t="str">
        <f t="shared" si="10"/>
        <v>1102</v>
      </c>
      <c r="AV27" s="321">
        <f>IF(Instructions!$E$11=8,IF($D27=Instructions!$F$53,AV26+1,AV26),IF(Instructions!$E$11=10,IF($H27=Instructions!$F$53,AV26+1,AV26),IF(Instructions!$E$11=12,IF($L27=Instructions!$F$53,AV26+1,AV26),IF(Instructions!$E$11=14,IF($P27=Instructions!$F$53,AV26+1,AV26),IF(Instructions!$E$11=16,IF($T27=Instructions!$F$53,AV26+1,AV26))))))</f>
        <v>2</v>
      </c>
      <c r="AW27" s="321" t="str">
        <f t="shared" si="11"/>
        <v>1202</v>
      </c>
      <c r="AX27" s="321">
        <f>IF(Instructions!$E$11=8,IF($D27=Instructions!$F$54,AX26+1,AX26),IF(Instructions!$E$11=10,IF($H27=Instructions!$F$54,AX26+1,AX26),IF(Instructions!$E$11=12,IF($L27=Instructions!$F$54,AX26+1,AX26),IF(Instructions!$E$11=14,IF($P27=Instructions!$F$54,AX26+1,AX26),IF(Instructions!$E$11=16,IF($T27=Instructions!$F$54,AX26+1,AX26))))))</f>
        <v>0</v>
      </c>
      <c r="AY27" s="321" t="str">
        <f t="shared" si="12"/>
        <v>1300</v>
      </c>
      <c r="AZ27" s="321">
        <f>IF(Instructions!$E$11=8,IF($D27=Instructions!$F$55,AZ26+1,AZ26),IF(Instructions!$E$11=10,IF($H27=Instructions!$F$55,AZ26+1,AZ26),IF(Instructions!$E$11=12,IF($L27=Instructions!$F$55,AZ26+1,AZ26),IF(Instructions!$E$11=14,IF($P27=Instructions!$F$55,AZ26+1,AZ26),IF(Instructions!$E$11=16,IF($T27=Instructions!$F$55,AZ26+1,AZ26))))))</f>
        <v>0</v>
      </c>
      <c r="BA27" s="321" t="str">
        <f t="shared" si="13"/>
        <v>1400</v>
      </c>
      <c r="BB27" s="321">
        <f>IF(Instructions!$E$11=8,IF($D27=Instructions!$F$56,BB26+1,BB26),IF(Instructions!$E$11=10,IF($H27=Instructions!$F$56,BB26+1,BB26),IF(Instructions!$E$11=12,IF($L27=Instructions!$F$56,BB26+1,BB26),IF(Instructions!$E$11=14,IF($P27=Instructions!$F$56,BB26+1,BB26),IF(Instructions!$E$11=16,IF($T27=Instructions!$F$56,BB26+1,BB26))))))</f>
        <v>0</v>
      </c>
      <c r="BC27" s="321" t="str">
        <f t="shared" si="14"/>
        <v>1500</v>
      </c>
      <c r="BD27" s="321">
        <f>IF(Instructions!$E$11=8,IF($D27=Instructions!$F$57,BD26+1,BD26),IF(Instructions!$E$11=10,IF($H27=Instructions!$F$57,BD26+1,BD26),IF(Instructions!$E$11=12,IF($L27=Instructions!$F$57,BD26+1,BD26),IF(Instructions!$E$11=14,IF($P27=Instructions!$F$57,BD26+1,BD26),IF(Instructions!$E$11=16,IF($T27=Instructions!$F$57,BD26+1,BD26))))))</f>
        <v>0</v>
      </c>
      <c r="BE27" s="321" t="str">
        <f t="shared" si="15"/>
        <v>1600</v>
      </c>
      <c r="BF27" s="321">
        <v>25</v>
      </c>
    </row>
    <row r="28" spans="1:58" x14ac:dyDescent="0.25">
      <c r="A28" s="280"/>
      <c r="B28" s="323" t="str">
        <f>IF(Instructions!$J$11=1,AA28,IF(Instructions!$J$11=2,AC28,IF(Instructions!$J$11=3,AE28,IF(Instructions!$J$11=4,AG28,IF(Instructions!$J$11=5,AI28,IF(Instructions!$J$11=6,AK28,IF(Instructions!$J$11=7,AM28,IF(Instructions!$J$11=8,AO28,IF(Instructions!$J$11=9,AQ28,IF(Instructions!$J$11=10,AS28,IF(Instructions!$J$11=11,AU28,IF(Instructions!$J$11=12,AW28,IF(Instructions!$J$11=13, AY28, IF(Instructions!$J$11=14,BA28,IF(Instructions!$J$11=15,BC28,BE28)))))))))))))))</f>
        <v>203</v>
      </c>
      <c r="C28" s="272">
        <v>26</v>
      </c>
      <c r="D28" s="327" t="str">
        <f>Instructions!F$48</f>
        <v>Bui</v>
      </c>
      <c r="E28" s="332" t="s">
        <v>744</v>
      </c>
      <c r="F28" s="712"/>
      <c r="G28" s="498">
        <v>4</v>
      </c>
      <c r="H28" s="492" t="str">
        <f>Instructions!F$47</f>
        <v>Devin</v>
      </c>
      <c r="I28" s="274" t="s">
        <v>736</v>
      </c>
      <c r="J28" s="709"/>
      <c r="K28" s="279">
        <v>3</v>
      </c>
      <c r="L28" s="294" t="str">
        <f>Instructions!F$43</f>
        <v>Camden</v>
      </c>
      <c r="M28" s="274" t="s">
        <v>732</v>
      </c>
      <c r="N28" s="709"/>
      <c r="O28" s="279">
        <v>3</v>
      </c>
      <c r="P28" s="294" t="str">
        <f>Instructions!F$44</f>
        <v>Cam</v>
      </c>
      <c r="Q28" s="274" t="s">
        <v>730</v>
      </c>
      <c r="R28" s="709"/>
      <c r="S28" s="279">
        <v>2</v>
      </c>
      <c r="T28" s="327" t="s">
        <v>2069</v>
      </c>
      <c r="U28" s="274" t="s">
        <v>728</v>
      </c>
      <c r="V28" s="706"/>
      <c r="W28" s="279">
        <v>2</v>
      </c>
      <c r="X28" s="280"/>
      <c r="Y28" s="190" t="str">
        <f>IFERROR( IF(Instructions!$E$11=8, D28&amp;COUNTIF(D$3:D28,D28), IF(Instructions!$E$11=10, H28&amp;COUNTIF(H$3:H28,H28),IF(Instructions!$E$11=12, L28&amp;COUNTIF(L$3:L28,L28),IF(Instructions!$E$11=14, P28&amp;COUNTIF(P$3:P28,P28),T28&amp;COUNTIF(T$3:T28,T28))))),"")</f>
        <v>Camden3</v>
      </c>
      <c r="Z28" s="321">
        <f>IF(Instructions!$E$11=8,IF($D28=Instructions!$F$42,Z27+1,Z27),IF(Instructions!$E$11=10,IF($H28=Instructions!$F$42,Z27+1,Z27),IF(Instructions!$E$11=12,IF($L28=Instructions!$F$42,Z27+1,Z27),IF(Instructions!$E$11=14,IF($P28=Instructions!$F$42,Z27+1,Z27),IF(Instructions!$E$11=16,IF($T28=Instructions!$F$42,Z27+1,Z27))))))</f>
        <v>3</v>
      </c>
      <c r="AA28" s="321" t="str">
        <f t="shared" si="8"/>
        <v>103</v>
      </c>
      <c r="AB28" s="321">
        <f>IF(Instructions!$E$11=8,IF($D28=Instructions!$F$43,AB27+1,AB27),IF(Instructions!$E$11=10,IF($H28=Instructions!$F$43,AB27+1,AB27),IF(Instructions!$E$11=12,IF($L28=Instructions!$F$43,AB27+1,AB27),IF(Instructions!$E$11=14,IF($P28=Instructions!$F$43,AB27+1,AB27),IF(Instructions!$E$11=16,IF($T28=Instructions!$F$43,AB27+1,AB27))))))</f>
        <v>3</v>
      </c>
      <c r="AC28" s="321" t="str">
        <f t="shared" si="0"/>
        <v>203</v>
      </c>
      <c r="AD28" s="321">
        <f>IF(Instructions!$E$11=8,IF($D28=Instructions!$F$44,AD27+1,AD27),IF(Instructions!$E$11=10,IF($H28=Instructions!$F$44,AD27+1,AD27),IF(Instructions!$E$11=12,IF($L28=Instructions!$F$44,AD27+1,AD27),IF(Instructions!$E$11=14,IF($P28=Instructions!$F$44,AD27+1,AD27),IF(Instructions!$E$11=16,IF($T28=Instructions!$F$44,AD27+1,AD27))))))</f>
        <v>2</v>
      </c>
      <c r="AE28" s="321" t="str">
        <f t="shared" si="1"/>
        <v>302</v>
      </c>
      <c r="AF28" s="321">
        <f>IF(Instructions!$E$11=8,IF($D28=Instructions!$F$45,AF27+1,AF27),IF(Instructions!$E$11=10,IF($H28=Instructions!$F$45,AF27+1,AF27),IF(Instructions!$E$11=12,IF($L28=Instructions!$F$45,AF27+1,AF27),IF(Instructions!$E$11=14,IF($P28=Instructions!$F$45,AF27+1,AF27),IF(Instructions!$E$11=16,IF($T28=Instructions!$F$45,AF27+1,AF27))))))</f>
        <v>2</v>
      </c>
      <c r="AG28" s="321" t="str">
        <f t="shared" si="2"/>
        <v>402</v>
      </c>
      <c r="AH28" s="321">
        <f>IF(Instructions!$E$11=8,IF($D28=Instructions!$F$46,AH27+1,AH27),IF(Instructions!$E$11=10,IF($H28=Instructions!$F$46,AH27+1,AH27),IF(Instructions!$E$11=12,IF($L28=Instructions!$F$46,AH27+1,AH27),IF(Instructions!$E$11=14,IF($P28=Instructions!$F$46,AH27+1,AH27),IF(Instructions!$E$11=16,IF($T28=Instructions!$F$46,AH27+1,AH27))))))</f>
        <v>2</v>
      </c>
      <c r="AI28" s="321" t="str">
        <f t="shared" si="3"/>
        <v>502</v>
      </c>
      <c r="AJ28" s="321">
        <f>IF(Instructions!$E$11=8,IF($D28=Instructions!$F$47,AJ27+1,AJ27),IF(Instructions!$E$11=10,IF($H28=Instructions!$F$47,AJ27+1,AJ27),IF(Instructions!$E$11=12,IF($L28=Instructions!$F$47,AJ27+1,AJ27),IF(Instructions!$E$11=14,IF($P28=Instructions!$F$47,AJ27+1,AJ27),IF(Instructions!$E$11=16,IF($T28=Instructions!$F$47,AJ27+1,AJ27))))))</f>
        <v>2</v>
      </c>
      <c r="AK28" s="321" t="str">
        <f t="shared" si="4"/>
        <v>602</v>
      </c>
      <c r="AL28" s="321">
        <f>IF(Instructions!$E$11=8,IF($D28=Instructions!$F$48,AL27+1,AL27),IF(Instructions!$E$11=10,IF($H28=Instructions!$F$48,AL27+1,AL27),IF(Instructions!$E$11=12,IF($L28=Instructions!$F$48,AL27+1,AL27),IF(Instructions!$E$11=14,IF($P28=Instructions!$F$48,AL27+1,AL27),IF(Instructions!$E$11=16,IF($T28=Instructions!$F$48,AL27+1,AL27))))))</f>
        <v>2</v>
      </c>
      <c r="AM28" s="321" t="str">
        <f t="shared" si="5"/>
        <v>702</v>
      </c>
      <c r="AN28" s="321">
        <f>IF(Instructions!$E$11=8,IF($D28=Instructions!$F$49,AN27+1,AN27),IF(Instructions!$E$11=10,IF($H28=Instructions!$F$49,AN27+1,AN27),IF(Instructions!$E$11=12,IF($L28=Instructions!$F$49,AN27+1,AN27),IF(Instructions!$E$11=14,IF($P28=Instructions!$F$49,AN27+1,AN27),IF(Instructions!$E$11=16,IF($T28=Instructions!$F$49,AN27+1,AN27))))))</f>
        <v>2</v>
      </c>
      <c r="AO28" s="321" t="str">
        <f t="shared" si="6"/>
        <v>802</v>
      </c>
      <c r="AP28" s="321">
        <f>IF(Instructions!$E$11=8,IF($D28=Instructions!$F$50,AP27+1,AP27),IF(Instructions!$E$11=10,IF($H28=Instructions!$F$50,AP27+1,AP27),IF(Instructions!$E$11=12,IF($L28=Instructions!$F$50,AP27+1,AP27),IF(Instructions!$E$11=14,IF($P28=Instructions!$F$50,AP27+1,AP27),IF(Instructions!$E$11=16,IF($T28=Instructions!$F$50,AP27+1,AP27))))))</f>
        <v>2</v>
      </c>
      <c r="AQ28" s="321" t="str">
        <f t="shared" si="7"/>
        <v>902</v>
      </c>
      <c r="AR28" s="321">
        <f>IF(Instructions!$E$11=8,IF($D28=Instructions!$F$51,AR27+1,AR27),IF(Instructions!$E$11=10,IF($H28=Instructions!$F$51,AR27+1,AR27),IF(Instructions!$E$11=12,IF($L28=Instructions!$F$51,AR27+1,AR27),IF(Instructions!$E$11=14,IF($P28=Instructions!$F$51,AR27+1,AR27),IF(Instructions!$E$11=16,IF($T28=Instructions!$F$51,AR27+1,AR27))))))</f>
        <v>2</v>
      </c>
      <c r="AS28" s="321" t="str">
        <f t="shared" si="9"/>
        <v>1002</v>
      </c>
      <c r="AT28" s="321">
        <f>IF(Instructions!$E$11=8,IF($D28=Instructions!$F$52,AT27+1,AT27),IF(Instructions!$E$11=10,IF($H28=Instructions!$F$52,AT27+1,AT27),IF(Instructions!$E$11=12,IF($L28=Instructions!$F$52,AT27+1,AT27),IF(Instructions!$E$11=14,IF($P28=Instructions!$F$52,AT27+1,AT27),IF(Instructions!$E$11=16,IF($T28=Instructions!$F$52,AT27+1,AT27))))))</f>
        <v>2</v>
      </c>
      <c r="AU28" s="321" t="str">
        <f t="shared" si="10"/>
        <v>1102</v>
      </c>
      <c r="AV28" s="321">
        <f>IF(Instructions!$E$11=8,IF($D28=Instructions!$F$53,AV27+1,AV27),IF(Instructions!$E$11=10,IF($H28=Instructions!$F$53,AV27+1,AV27),IF(Instructions!$E$11=12,IF($L28=Instructions!$F$53,AV27+1,AV27),IF(Instructions!$E$11=14,IF($P28=Instructions!$F$53,AV27+1,AV27),IF(Instructions!$E$11=16,IF($T28=Instructions!$F$53,AV27+1,AV27))))))</f>
        <v>2</v>
      </c>
      <c r="AW28" s="321" t="str">
        <f t="shared" si="11"/>
        <v>1202</v>
      </c>
      <c r="AX28" s="321">
        <f>IF(Instructions!$E$11=8,IF($D28=Instructions!$F$54,AX27+1,AX27),IF(Instructions!$E$11=10,IF($H28=Instructions!$F$54,AX27+1,AX27),IF(Instructions!$E$11=12,IF($L28=Instructions!$F$54,AX27+1,AX27),IF(Instructions!$E$11=14,IF($P28=Instructions!$F$54,AX27+1,AX27),IF(Instructions!$E$11=16,IF($T28=Instructions!$F$54,AX27+1,AX27))))))</f>
        <v>0</v>
      </c>
      <c r="AY28" s="321" t="str">
        <f t="shared" si="12"/>
        <v>1300</v>
      </c>
      <c r="AZ28" s="321">
        <f>IF(Instructions!$E$11=8,IF($D28=Instructions!$F$55,AZ27+1,AZ27),IF(Instructions!$E$11=10,IF($H28=Instructions!$F$55,AZ27+1,AZ27),IF(Instructions!$E$11=12,IF($L28=Instructions!$F$55,AZ27+1,AZ27),IF(Instructions!$E$11=14,IF($P28=Instructions!$F$55,AZ27+1,AZ27),IF(Instructions!$E$11=16,IF($T28=Instructions!$F$55,AZ27+1,AZ27))))))</f>
        <v>0</v>
      </c>
      <c r="BA28" s="321" t="str">
        <f t="shared" si="13"/>
        <v>1400</v>
      </c>
      <c r="BB28" s="321">
        <f>IF(Instructions!$E$11=8,IF($D28=Instructions!$F$56,BB27+1,BB27),IF(Instructions!$E$11=10,IF($H28=Instructions!$F$56,BB27+1,BB27),IF(Instructions!$E$11=12,IF($L28=Instructions!$F$56,BB27+1,BB27),IF(Instructions!$E$11=14,IF($P28=Instructions!$F$56,BB27+1,BB27),IF(Instructions!$E$11=16,IF($T28=Instructions!$F$56,BB27+1,BB27))))))</f>
        <v>0</v>
      </c>
      <c r="BC28" s="321" t="str">
        <f t="shared" si="14"/>
        <v>1500</v>
      </c>
      <c r="BD28" s="321">
        <f>IF(Instructions!$E$11=8,IF($D28=Instructions!$F$57,BD27+1,BD27),IF(Instructions!$E$11=10,IF($H28=Instructions!$F$57,BD27+1,BD27),IF(Instructions!$E$11=12,IF($L28=Instructions!$F$57,BD27+1,BD27),IF(Instructions!$E$11=14,IF($P28=Instructions!$F$57,BD27+1,BD27),IF(Instructions!$E$11=16,IF($T28=Instructions!$F$57,BD27+1,BD27))))))</f>
        <v>0</v>
      </c>
      <c r="BE28" s="321" t="str">
        <f t="shared" si="15"/>
        <v>1600</v>
      </c>
      <c r="BF28" s="321">
        <v>26</v>
      </c>
    </row>
    <row r="29" spans="1:58" x14ac:dyDescent="0.25">
      <c r="A29" s="280"/>
      <c r="B29" s="323" t="str">
        <f>IF(Instructions!$J$11=1,AA29,IF(Instructions!$J$11=2,AC29,IF(Instructions!$J$11=3,AE29,IF(Instructions!$J$11=4,AG29,IF(Instructions!$J$11=5,AI29,IF(Instructions!$J$11=6,AK29,IF(Instructions!$J$11=7,AM29,IF(Instructions!$J$11=8,AO29,IF(Instructions!$J$11=9,AQ29,IF(Instructions!$J$11=10,AS29,IF(Instructions!$J$11=11,AU29,IF(Instructions!$J$11=12,AW29,IF(Instructions!$J$11=13, AY29, IF(Instructions!$J$11=14,BA29,IF(Instructions!$J$11=15,BC29,BE29)))))))))))))))</f>
        <v>203</v>
      </c>
      <c r="C29" s="271">
        <v>27</v>
      </c>
      <c r="D29" s="328" t="str">
        <f>Instructions!F$47</f>
        <v>Devin</v>
      </c>
      <c r="E29" s="333" t="s">
        <v>745</v>
      </c>
      <c r="F29" s="712"/>
      <c r="G29" s="498">
        <v>4</v>
      </c>
      <c r="H29" s="491" t="str">
        <f>Instructions!F$48</f>
        <v>Bui</v>
      </c>
      <c r="I29" s="273" t="s">
        <v>737</v>
      </c>
      <c r="J29" s="709"/>
      <c r="K29" s="279">
        <v>3</v>
      </c>
      <c r="L29" s="293" t="str">
        <f>Instructions!F$44</f>
        <v>Cam</v>
      </c>
      <c r="M29" s="273" t="s">
        <v>733</v>
      </c>
      <c r="N29" s="709"/>
      <c r="O29" s="279">
        <v>3</v>
      </c>
      <c r="P29" s="293" t="str">
        <f>Instructions!F$43</f>
        <v>Camden</v>
      </c>
      <c r="Q29" s="273" t="s">
        <v>931</v>
      </c>
      <c r="R29" s="709"/>
      <c r="S29" s="279">
        <v>2</v>
      </c>
      <c r="T29" s="328" t="s">
        <v>1841</v>
      </c>
      <c r="U29" s="273" t="s">
        <v>729</v>
      </c>
      <c r="V29" s="706"/>
      <c r="W29" s="279">
        <v>2</v>
      </c>
      <c r="X29" s="280"/>
      <c r="Y29" s="190" t="str">
        <f>IFERROR( IF(Instructions!$E$11=8, D29&amp;COUNTIF(D$3:D29,D29), IF(Instructions!$E$11=10, H29&amp;COUNTIF(H$3:H29,H29),IF(Instructions!$E$11=12, L29&amp;COUNTIF(L$3:L29,L29),IF(Instructions!$E$11=14, P29&amp;COUNTIF(P$3:P29,P29),T29&amp;COUNTIF(T$3:T29,T29))))),"")</f>
        <v>Cam3</v>
      </c>
      <c r="Z29" s="321">
        <f>IF(Instructions!$E$11=8,IF($D29=Instructions!$F$42,Z28+1,Z28),IF(Instructions!$E$11=10,IF($H29=Instructions!$F$42,Z28+1,Z28),IF(Instructions!$E$11=12,IF($L29=Instructions!$F$42,Z28+1,Z28),IF(Instructions!$E$11=14,IF($P29=Instructions!$F$42,Z28+1,Z28),IF(Instructions!$E$11=16,IF($T29=Instructions!$F$42,Z28+1,Z28))))))</f>
        <v>3</v>
      </c>
      <c r="AA29" s="321" t="str">
        <f t="shared" si="8"/>
        <v>103</v>
      </c>
      <c r="AB29" s="321">
        <f>IF(Instructions!$E$11=8,IF($D29=Instructions!$F$43,AB28+1,AB28),IF(Instructions!$E$11=10,IF($H29=Instructions!$F$43,AB28+1,AB28),IF(Instructions!$E$11=12,IF($L29=Instructions!$F$43,AB28+1,AB28),IF(Instructions!$E$11=14,IF($P29=Instructions!$F$43,AB28+1,AB28),IF(Instructions!$E$11=16,IF($T29=Instructions!$F$43,AB28+1,AB28))))))</f>
        <v>3</v>
      </c>
      <c r="AC29" s="321" t="str">
        <f t="shared" si="0"/>
        <v>203</v>
      </c>
      <c r="AD29" s="321">
        <f>IF(Instructions!$E$11=8,IF($D29=Instructions!$F$44,AD28+1,AD28),IF(Instructions!$E$11=10,IF($H29=Instructions!$F$44,AD28+1,AD28),IF(Instructions!$E$11=12,IF($L29=Instructions!$F$44,AD28+1,AD28),IF(Instructions!$E$11=14,IF($P29=Instructions!$F$44,AD28+1,AD28),IF(Instructions!$E$11=16,IF($T29=Instructions!$F$44,AD28+1,AD28))))))</f>
        <v>3</v>
      </c>
      <c r="AE29" s="321" t="str">
        <f t="shared" si="1"/>
        <v>303</v>
      </c>
      <c r="AF29" s="321">
        <f>IF(Instructions!$E$11=8,IF($D29=Instructions!$F$45,AF28+1,AF28),IF(Instructions!$E$11=10,IF($H29=Instructions!$F$45,AF28+1,AF28),IF(Instructions!$E$11=12,IF($L29=Instructions!$F$45,AF28+1,AF28),IF(Instructions!$E$11=14,IF($P29=Instructions!$F$45,AF28+1,AF28),IF(Instructions!$E$11=16,IF($T29=Instructions!$F$45,AF28+1,AF28))))))</f>
        <v>2</v>
      </c>
      <c r="AG29" s="321" t="str">
        <f t="shared" si="2"/>
        <v>402</v>
      </c>
      <c r="AH29" s="321">
        <f>IF(Instructions!$E$11=8,IF($D29=Instructions!$F$46,AH28+1,AH28),IF(Instructions!$E$11=10,IF($H29=Instructions!$F$46,AH28+1,AH28),IF(Instructions!$E$11=12,IF($L29=Instructions!$F$46,AH28+1,AH28),IF(Instructions!$E$11=14,IF($P29=Instructions!$F$46,AH28+1,AH28),IF(Instructions!$E$11=16,IF($T29=Instructions!$F$46,AH28+1,AH28))))))</f>
        <v>2</v>
      </c>
      <c r="AI29" s="321" t="str">
        <f t="shared" si="3"/>
        <v>502</v>
      </c>
      <c r="AJ29" s="321">
        <f>IF(Instructions!$E$11=8,IF($D29=Instructions!$F$47,AJ28+1,AJ28),IF(Instructions!$E$11=10,IF($H29=Instructions!$F$47,AJ28+1,AJ28),IF(Instructions!$E$11=12,IF($L29=Instructions!$F$47,AJ28+1,AJ28),IF(Instructions!$E$11=14,IF($P29=Instructions!$F$47,AJ28+1,AJ28),IF(Instructions!$E$11=16,IF($T29=Instructions!$F$47,AJ28+1,AJ28))))))</f>
        <v>2</v>
      </c>
      <c r="AK29" s="321" t="str">
        <f t="shared" si="4"/>
        <v>602</v>
      </c>
      <c r="AL29" s="321">
        <f>IF(Instructions!$E$11=8,IF($D29=Instructions!$F$48,AL28+1,AL28),IF(Instructions!$E$11=10,IF($H29=Instructions!$F$48,AL28+1,AL28),IF(Instructions!$E$11=12,IF($L29=Instructions!$F$48,AL28+1,AL28),IF(Instructions!$E$11=14,IF($P29=Instructions!$F$48,AL28+1,AL28),IF(Instructions!$E$11=16,IF($T29=Instructions!$F$48,AL28+1,AL28))))))</f>
        <v>2</v>
      </c>
      <c r="AM29" s="321" t="str">
        <f t="shared" si="5"/>
        <v>702</v>
      </c>
      <c r="AN29" s="321">
        <f>IF(Instructions!$E$11=8,IF($D29=Instructions!$F$49,AN28+1,AN28),IF(Instructions!$E$11=10,IF($H29=Instructions!$F$49,AN28+1,AN28),IF(Instructions!$E$11=12,IF($L29=Instructions!$F$49,AN28+1,AN28),IF(Instructions!$E$11=14,IF($P29=Instructions!$F$49,AN28+1,AN28),IF(Instructions!$E$11=16,IF($T29=Instructions!$F$49,AN28+1,AN28))))))</f>
        <v>2</v>
      </c>
      <c r="AO29" s="321" t="str">
        <f t="shared" si="6"/>
        <v>802</v>
      </c>
      <c r="AP29" s="321">
        <f>IF(Instructions!$E$11=8,IF($D29=Instructions!$F$50,AP28+1,AP28),IF(Instructions!$E$11=10,IF($H29=Instructions!$F$50,AP28+1,AP28),IF(Instructions!$E$11=12,IF($L29=Instructions!$F$50,AP28+1,AP28),IF(Instructions!$E$11=14,IF($P29=Instructions!$F$50,AP28+1,AP28),IF(Instructions!$E$11=16,IF($T29=Instructions!$F$50,AP28+1,AP28))))))</f>
        <v>2</v>
      </c>
      <c r="AQ29" s="321" t="str">
        <f t="shared" si="7"/>
        <v>902</v>
      </c>
      <c r="AR29" s="321">
        <f>IF(Instructions!$E$11=8,IF($D29=Instructions!$F$51,AR28+1,AR28),IF(Instructions!$E$11=10,IF($H29=Instructions!$F$51,AR28+1,AR28),IF(Instructions!$E$11=12,IF($L29=Instructions!$F$51,AR28+1,AR28),IF(Instructions!$E$11=14,IF($P29=Instructions!$F$51,AR28+1,AR28),IF(Instructions!$E$11=16,IF($T29=Instructions!$F$51,AR28+1,AR28))))))</f>
        <v>2</v>
      </c>
      <c r="AS29" s="321" t="str">
        <f t="shared" si="9"/>
        <v>1002</v>
      </c>
      <c r="AT29" s="321">
        <f>IF(Instructions!$E$11=8,IF($D29=Instructions!$F$52,AT28+1,AT28),IF(Instructions!$E$11=10,IF($H29=Instructions!$F$52,AT28+1,AT28),IF(Instructions!$E$11=12,IF($L29=Instructions!$F$52,AT28+1,AT28),IF(Instructions!$E$11=14,IF($P29=Instructions!$F$52,AT28+1,AT28),IF(Instructions!$E$11=16,IF($T29=Instructions!$F$52,AT28+1,AT28))))))</f>
        <v>2</v>
      </c>
      <c r="AU29" s="321" t="str">
        <f t="shared" si="10"/>
        <v>1102</v>
      </c>
      <c r="AV29" s="321">
        <f>IF(Instructions!$E$11=8,IF($D29=Instructions!$F$53,AV28+1,AV28),IF(Instructions!$E$11=10,IF($H29=Instructions!$F$53,AV28+1,AV28),IF(Instructions!$E$11=12,IF($L29=Instructions!$F$53,AV28+1,AV28),IF(Instructions!$E$11=14,IF($P29=Instructions!$F$53,AV28+1,AV28),IF(Instructions!$E$11=16,IF($T29=Instructions!$F$53,AV28+1,AV28))))))</f>
        <v>2</v>
      </c>
      <c r="AW29" s="321" t="str">
        <f t="shared" si="11"/>
        <v>1202</v>
      </c>
      <c r="AX29" s="321">
        <f>IF(Instructions!$E$11=8,IF($D29=Instructions!$F$54,AX28+1,AX28),IF(Instructions!$E$11=10,IF($H29=Instructions!$F$54,AX28+1,AX28),IF(Instructions!$E$11=12,IF($L29=Instructions!$F$54,AX28+1,AX28),IF(Instructions!$E$11=14,IF($P29=Instructions!$F$54,AX28+1,AX28),IF(Instructions!$E$11=16,IF($T29=Instructions!$F$54,AX28+1,AX28))))))</f>
        <v>0</v>
      </c>
      <c r="AY29" s="321" t="str">
        <f t="shared" si="12"/>
        <v>1300</v>
      </c>
      <c r="AZ29" s="321">
        <f>IF(Instructions!$E$11=8,IF($D29=Instructions!$F$55,AZ28+1,AZ28),IF(Instructions!$E$11=10,IF($H29=Instructions!$F$55,AZ28+1,AZ28),IF(Instructions!$E$11=12,IF($L29=Instructions!$F$55,AZ28+1,AZ28),IF(Instructions!$E$11=14,IF($P29=Instructions!$F$55,AZ28+1,AZ28),IF(Instructions!$E$11=16,IF($T29=Instructions!$F$55,AZ28+1,AZ28))))))</f>
        <v>0</v>
      </c>
      <c r="BA29" s="321" t="str">
        <f t="shared" si="13"/>
        <v>1400</v>
      </c>
      <c r="BB29" s="321">
        <f>IF(Instructions!$E$11=8,IF($D29=Instructions!$F$56,BB28+1,BB28),IF(Instructions!$E$11=10,IF($H29=Instructions!$F$56,BB28+1,BB28),IF(Instructions!$E$11=12,IF($L29=Instructions!$F$56,BB28+1,BB28),IF(Instructions!$E$11=14,IF($P29=Instructions!$F$56,BB28+1,BB28),IF(Instructions!$E$11=16,IF($T29=Instructions!$F$56,BB28+1,BB28))))))</f>
        <v>0</v>
      </c>
      <c r="BC29" s="321" t="str">
        <f t="shared" si="14"/>
        <v>1500</v>
      </c>
      <c r="BD29" s="321">
        <f>IF(Instructions!$E$11=8,IF($D29=Instructions!$F$57,BD28+1,BD28),IF(Instructions!$E$11=10,IF($H29=Instructions!$F$57,BD28+1,BD28),IF(Instructions!$E$11=12,IF($L29=Instructions!$F$57,BD28+1,BD28),IF(Instructions!$E$11=14,IF($P29=Instructions!$F$57,BD28+1,BD28),IF(Instructions!$E$11=16,IF($T29=Instructions!$F$57,BD28+1,BD28))))))</f>
        <v>0</v>
      </c>
      <c r="BE29" s="321" t="str">
        <f t="shared" si="15"/>
        <v>1600</v>
      </c>
      <c r="BF29" s="321">
        <v>27</v>
      </c>
    </row>
    <row r="30" spans="1:58" ht="15.75" thickBot="1" x14ac:dyDescent="0.3">
      <c r="A30" s="280"/>
      <c r="B30" s="323" t="str">
        <f>IF(Instructions!$J$11=1,AA30,IF(Instructions!$J$11=2,AC30,IF(Instructions!$J$11=3,AE30,IF(Instructions!$J$11=4,AG30,IF(Instructions!$J$11=5,AI30,IF(Instructions!$J$11=6,AK30,IF(Instructions!$J$11=7,AM30,IF(Instructions!$J$11=8,AO30,IF(Instructions!$J$11=9,AQ30,IF(Instructions!$J$11=10,AS30,IF(Instructions!$J$11=11,AU30,IF(Instructions!$J$11=12,AW30,IF(Instructions!$J$11=13, AY30, IF(Instructions!$J$11=14,BA30,IF(Instructions!$J$11=15,BC30,BE30)))))))))))))))</f>
        <v>203</v>
      </c>
      <c r="C30" s="272">
        <v>28</v>
      </c>
      <c r="D30" s="327" t="str">
        <f>Instructions!F$46</f>
        <v>Con</v>
      </c>
      <c r="E30" s="332" t="s">
        <v>746</v>
      </c>
      <c r="F30" s="712"/>
      <c r="G30" s="498">
        <v>4</v>
      </c>
      <c r="H30" s="492" t="str">
        <f>Instructions!F$49</f>
        <v>Luke</v>
      </c>
      <c r="I30" s="274" t="s">
        <v>738</v>
      </c>
      <c r="J30" s="709"/>
      <c r="K30" s="279">
        <v>3</v>
      </c>
      <c r="L30" s="294" t="str">
        <f>Instructions!F$45</f>
        <v>Miles</v>
      </c>
      <c r="M30" s="274" t="s">
        <v>734</v>
      </c>
      <c r="N30" s="709"/>
      <c r="O30" s="279">
        <v>3</v>
      </c>
      <c r="P30" s="295" t="str">
        <f>Instructions!F$42</f>
        <v>Trumbo</v>
      </c>
      <c r="Q30" s="277" t="s">
        <v>930</v>
      </c>
      <c r="R30" s="710"/>
      <c r="S30" s="279">
        <v>2</v>
      </c>
      <c r="T30" s="327" t="s">
        <v>1840</v>
      </c>
      <c r="U30" s="274" t="s">
        <v>730</v>
      </c>
      <c r="V30" s="706"/>
      <c r="W30" s="279">
        <v>2</v>
      </c>
      <c r="X30" s="280"/>
      <c r="Y30" s="190" t="str">
        <f>IFERROR( IF(Instructions!$E$11=8, D30&amp;COUNTIF(D$3:D30,D30), IF(Instructions!$E$11=10, H30&amp;COUNTIF(H$3:H30,H30),IF(Instructions!$E$11=12, L30&amp;COUNTIF(L$3:L30,L30),IF(Instructions!$E$11=14, P30&amp;COUNTIF(P$3:P30,P30),T30&amp;COUNTIF(T$3:T30,T30))))),"")</f>
        <v>Miles3</v>
      </c>
      <c r="Z30" s="321">
        <f>IF(Instructions!$E$11=8,IF($D30=Instructions!$F$42,Z29+1,Z29),IF(Instructions!$E$11=10,IF($H30=Instructions!$F$42,Z29+1,Z29),IF(Instructions!$E$11=12,IF($L30=Instructions!$F$42,Z29+1,Z29),IF(Instructions!$E$11=14,IF($P30=Instructions!$F$42,Z29+1,Z29),IF(Instructions!$E$11=16,IF($T30=Instructions!$F$42,Z29+1,Z29))))))</f>
        <v>3</v>
      </c>
      <c r="AA30" s="321" t="str">
        <f t="shared" si="8"/>
        <v>103</v>
      </c>
      <c r="AB30" s="321">
        <f>IF(Instructions!$E$11=8,IF($D30=Instructions!$F$43,AB29+1,AB29),IF(Instructions!$E$11=10,IF($H30=Instructions!$F$43,AB29+1,AB29),IF(Instructions!$E$11=12,IF($L30=Instructions!$F$43,AB29+1,AB29),IF(Instructions!$E$11=14,IF($P30=Instructions!$F$43,AB29+1,AB29),IF(Instructions!$E$11=16,IF($T30=Instructions!$F$43,AB29+1,AB29))))))</f>
        <v>3</v>
      </c>
      <c r="AC30" s="321" t="str">
        <f t="shared" si="0"/>
        <v>203</v>
      </c>
      <c r="AD30" s="321">
        <f>IF(Instructions!$E$11=8,IF($D30=Instructions!$F$44,AD29+1,AD29),IF(Instructions!$E$11=10,IF($H30=Instructions!$F$44,AD29+1,AD29),IF(Instructions!$E$11=12,IF($L30=Instructions!$F$44,AD29+1,AD29),IF(Instructions!$E$11=14,IF($P30=Instructions!$F$44,AD29+1,AD29),IF(Instructions!$E$11=16,IF($T30=Instructions!$F$44,AD29+1,AD29))))))</f>
        <v>3</v>
      </c>
      <c r="AE30" s="321" t="str">
        <f t="shared" si="1"/>
        <v>303</v>
      </c>
      <c r="AF30" s="321">
        <f>IF(Instructions!$E$11=8,IF($D30=Instructions!$F$45,AF29+1,AF29),IF(Instructions!$E$11=10,IF($H30=Instructions!$F$45,AF29+1,AF29),IF(Instructions!$E$11=12,IF($L30=Instructions!$F$45,AF29+1,AF29),IF(Instructions!$E$11=14,IF($P30=Instructions!$F$45,AF29+1,AF29),IF(Instructions!$E$11=16,IF($T30=Instructions!$F$45,AF29+1,AF29))))))</f>
        <v>3</v>
      </c>
      <c r="AG30" s="321" t="str">
        <f t="shared" si="2"/>
        <v>403</v>
      </c>
      <c r="AH30" s="321">
        <f>IF(Instructions!$E$11=8,IF($D30=Instructions!$F$46,AH29+1,AH29),IF(Instructions!$E$11=10,IF($H30=Instructions!$F$46,AH29+1,AH29),IF(Instructions!$E$11=12,IF($L30=Instructions!$F$46,AH29+1,AH29),IF(Instructions!$E$11=14,IF($P30=Instructions!$F$46,AH29+1,AH29),IF(Instructions!$E$11=16,IF($T30=Instructions!$F$46,AH29+1,AH29))))))</f>
        <v>2</v>
      </c>
      <c r="AI30" s="321" t="str">
        <f t="shared" si="3"/>
        <v>502</v>
      </c>
      <c r="AJ30" s="321">
        <f>IF(Instructions!$E$11=8,IF($D30=Instructions!$F$47,AJ29+1,AJ29),IF(Instructions!$E$11=10,IF($H30=Instructions!$F$47,AJ29+1,AJ29),IF(Instructions!$E$11=12,IF($L30=Instructions!$F$47,AJ29+1,AJ29),IF(Instructions!$E$11=14,IF($P30=Instructions!$F$47,AJ29+1,AJ29),IF(Instructions!$E$11=16,IF($T30=Instructions!$F$47,AJ29+1,AJ29))))))</f>
        <v>2</v>
      </c>
      <c r="AK30" s="321" t="str">
        <f t="shared" si="4"/>
        <v>602</v>
      </c>
      <c r="AL30" s="321">
        <f>IF(Instructions!$E$11=8,IF($D30=Instructions!$F$48,AL29+1,AL29),IF(Instructions!$E$11=10,IF($H30=Instructions!$F$48,AL29+1,AL29),IF(Instructions!$E$11=12,IF($L30=Instructions!$F$48,AL29+1,AL29),IF(Instructions!$E$11=14,IF($P30=Instructions!$F$48,AL29+1,AL29),IF(Instructions!$E$11=16,IF($T30=Instructions!$F$48,AL29+1,AL29))))))</f>
        <v>2</v>
      </c>
      <c r="AM30" s="321" t="str">
        <f t="shared" si="5"/>
        <v>702</v>
      </c>
      <c r="AN30" s="321">
        <f>IF(Instructions!$E$11=8,IF($D30=Instructions!$F$49,AN29+1,AN29),IF(Instructions!$E$11=10,IF($H30=Instructions!$F$49,AN29+1,AN29),IF(Instructions!$E$11=12,IF($L30=Instructions!$F$49,AN29+1,AN29),IF(Instructions!$E$11=14,IF($P30=Instructions!$F$49,AN29+1,AN29),IF(Instructions!$E$11=16,IF($T30=Instructions!$F$49,AN29+1,AN29))))))</f>
        <v>2</v>
      </c>
      <c r="AO30" s="321" t="str">
        <f t="shared" si="6"/>
        <v>802</v>
      </c>
      <c r="AP30" s="321">
        <f>IF(Instructions!$E$11=8,IF($D30=Instructions!$F$50,AP29+1,AP29),IF(Instructions!$E$11=10,IF($H30=Instructions!$F$50,AP29+1,AP29),IF(Instructions!$E$11=12,IF($L30=Instructions!$F$50,AP29+1,AP29),IF(Instructions!$E$11=14,IF($P30=Instructions!$F$50,AP29+1,AP29),IF(Instructions!$E$11=16,IF($T30=Instructions!$F$50,AP29+1,AP29))))))</f>
        <v>2</v>
      </c>
      <c r="AQ30" s="321" t="str">
        <f t="shared" si="7"/>
        <v>902</v>
      </c>
      <c r="AR30" s="321">
        <f>IF(Instructions!$E$11=8,IF($D30=Instructions!$F$51,AR29+1,AR29),IF(Instructions!$E$11=10,IF($H30=Instructions!$F$51,AR29+1,AR29),IF(Instructions!$E$11=12,IF($L30=Instructions!$F$51,AR29+1,AR29),IF(Instructions!$E$11=14,IF($P30=Instructions!$F$51,AR29+1,AR29),IF(Instructions!$E$11=16,IF($T30=Instructions!$F$51,AR29+1,AR29))))))</f>
        <v>2</v>
      </c>
      <c r="AS30" s="321" t="str">
        <f t="shared" si="9"/>
        <v>1002</v>
      </c>
      <c r="AT30" s="321">
        <f>IF(Instructions!$E$11=8,IF($D30=Instructions!$F$52,AT29+1,AT29),IF(Instructions!$E$11=10,IF($H30=Instructions!$F$52,AT29+1,AT29),IF(Instructions!$E$11=12,IF($L30=Instructions!$F$52,AT29+1,AT29),IF(Instructions!$E$11=14,IF($P30=Instructions!$F$52,AT29+1,AT29),IF(Instructions!$E$11=16,IF($T30=Instructions!$F$52,AT29+1,AT29))))))</f>
        <v>2</v>
      </c>
      <c r="AU30" s="321" t="str">
        <f t="shared" si="10"/>
        <v>1102</v>
      </c>
      <c r="AV30" s="321">
        <f>IF(Instructions!$E$11=8,IF($D30=Instructions!$F$53,AV29+1,AV29),IF(Instructions!$E$11=10,IF($H30=Instructions!$F$53,AV29+1,AV29),IF(Instructions!$E$11=12,IF($L30=Instructions!$F$53,AV29+1,AV29),IF(Instructions!$E$11=14,IF($P30=Instructions!$F$53,AV29+1,AV29),IF(Instructions!$E$11=16,IF($T30=Instructions!$F$53,AV29+1,AV29))))))</f>
        <v>2</v>
      </c>
      <c r="AW30" s="321" t="str">
        <f t="shared" si="11"/>
        <v>1202</v>
      </c>
      <c r="AX30" s="321">
        <f>IF(Instructions!$E$11=8,IF($D30=Instructions!$F$54,AX29+1,AX29),IF(Instructions!$E$11=10,IF($H30=Instructions!$F$54,AX29+1,AX29),IF(Instructions!$E$11=12,IF($L30=Instructions!$F$54,AX29+1,AX29),IF(Instructions!$E$11=14,IF($P30=Instructions!$F$54,AX29+1,AX29),IF(Instructions!$E$11=16,IF($T30=Instructions!$F$54,AX29+1,AX29))))))</f>
        <v>0</v>
      </c>
      <c r="AY30" s="321" t="str">
        <f t="shared" si="12"/>
        <v>1300</v>
      </c>
      <c r="AZ30" s="321">
        <f>IF(Instructions!$E$11=8,IF($D30=Instructions!$F$55,AZ29+1,AZ29),IF(Instructions!$E$11=10,IF($H30=Instructions!$F$55,AZ29+1,AZ29),IF(Instructions!$E$11=12,IF($L30=Instructions!$F$55,AZ29+1,AZ29),IF(Instructions!$E$11=14,IF($P30=Instructions!$F$55,AZ29+1,AZ29),IF(Instructions!$E$11=16,IF($T30=Instructions!$F$55,AZ29+1,AZ29))))))</f>
        <v>0</v>
      </c>
      <c r="BA30" s="321" t="str">
        <f t="shared" si="13"/>
        <v>1400</v>
      </c>
      <c r="BB30" s="321">
        <f>IF(Instructions!$E$11=8,IF($D30=Instructions!$F$56,BB29+1,BB29),IF(Instructions!$E$11=10,IF($H30=Instructions!$F$56,BB29+1,BB29),IF(Instructions!$E$11=12,IF($L30=Instructions!$F$56,BB29+1,BB29),IF(Instructions!$E$11=14,IF($P30=Instructions!$F$56,BB29+1,BB29),IF(Instructions!$E$11=16,IF($T30=Instructions!$F$56,BB29+1,BB29))))))</f>
        <v>0</v>
      </c>
      <c r="BC30" s="321" t="str">
        <f t="shared" si="14"/>
        <v>1500</v>
      </c>
      <c r="BD30" s="321">
        <f>IF(Instructions!$E$11=8,IF($D30=Instructions!$F$57,BD29+1,BD29),IF(Instructions!$E$11=10,IF($H30=Instructions!$F$57,BD29+1,BD29),IF(Instructions!$E$11=12,IF($L30=Instructions!$F$57,BD29+1,BD29),IF(Instructions!$E$11=14,IF($P30=Instructions!$F$57,BD29+1,BD29),IF(Instructions!$E$11=16,IF($T30=Instructions!$F$57,BD29+1,BD29))))))</f>
        <v>0</v>
      </c>
      <c r="BE30" s="321" t="str">
        <f t="shared" si="15"/>
        <v>1600</v>
      </c>
      <c r="BF30" s="321">
        <v>28</v>
      </c>
    </row>
    <row r="31" spans="1:58" ht="15" customHeight="1" x14ac:dyDescent="0.25">
      <c r="A31" s="280"/>
      <c r="B31" s="323" t="str">
        <f>IF(Instructions!$J$11=1,AA31,IF(Instructions!$J$11=2,AC31,IF(Instructions!$J$11=3,AE31,IF(Instructions!$J$11=4,AG31,IF(Instructions!$J$11=5,AI31,IF(Instructions!$J$11=6,AK31,IF(Instructions!$J$11=7,AM31,IF(Instructions!$J$11=8,AO31,IF(Instructions!$J$11=9,AQ31,IF(Instructions!$J$11=10,AS31,IF(Instructions!$J$11=11,AU31,IF(Instructions!$J$11=12,AW31,IF(Instructions!$J$11=13, AY31, IF(Instructions!$J$11=14,BA31,IF(Instructions!$J$11=15,BC31,BE31)))))))))))))))</f>
        <v>203</v>
      </c>
      <c r="C31" s="271">
        <v>29</v>
      </c>
      <c r="D31" s="328" t="str">
        <f>Instructions!F$45</f>
        <v>Miles</v>
      </c>
      <c r="E31" s="333" t="s">
        <v>747</v>
      </c>
      <c r="F31" s="712"/>
      <c r="G31" s="498">
        <v>4</v>
      </c>
      <c r="H31" s="491" t="str">
        <f>Instructions!F$50</f>
        <v>Dan</v>
      </c>
      <c r="I31" s="273" t="s">
        <v>739</v>
      </c>
      <c r="J31" s="709"/>
      <c r="K31" s="279">
        <v>3</v>
      </c>
      <c r="L31" s="293" t="str">
        <f>Instructions!F$46</f>
        <v>Con</v>
      </c>
      <c r="M31" s="273" t="s">
        <v>735</v>
      </c>
      <c r="N31" s="709"/>
      <c r="O31" s="279">
        <v>3</v>
      </c>
      <c r="P31" s="292" t="str">
        <f>Instructions!F$42</f>
        <v>Trumbo</v>
      </c>
      <c r="Q31" s="276" t="s">
        <v>731</v>
      </c>
      <c r="R31" s="708" t="s">
        <v>898</v>
      </c>
      <c r="S31" s="279">
        <v>3</v>
      </c>
      <c r="T31" s="328" t="s">
        <v>1839</v>
      </c>
      <c r="U31" s="273" t="s">
        <v>931</v>
      </c>
      <c r="V31" s="706"/>
      <c r="W31" s="279">
        <v>2</v>
      </c>
      <c r="X31" s="280"/>
      <c r="Y31" s="190" t="str">
        <f>IFERROR( IF(Instructions!$E$11=8, D31&amp;COUNTIF(D$3:D31,D31), IF(Instructions!$E$11=10, H31&amp;COUNTIF(H$3:H31,H31),IF(Instructions!$E$11=12, L31&amp;COUNTIF(L$3:L31,L31),IF(Instructions!$E$11=14, P31&amp;COUNTIF(P$3:P31,P31),T31&amp;COUNTIF(T$3:T31,T31))))),"")</f>
        <v>Con3</v>
      </c>
      <c r="Z31" s="321">
        <f>IF(Instructions!$E$11=8,IF($D31=Instructions!$F$42,Z30+1,Z30),IF(Instructions!$E$11=10,IF($H31=Instructions!$F$42,Z30+1,Z30),IF(Instructions!$E$11=12,IF($L31=Instructions!$F$42,Z30+1,Z30),IF(Instructions!$E$11=14,IF($P31=Instructions!$F$42,Z30+1,Z30),IF(Instructions!$E$11=16,IF($T31=Instructions!$F$42,Z30+1,Z30))))))</f>
        <v>3</v>
      </c>
      <c r="AA31" s="321" t="str">
        <f t="shared" si="8"/>
        <v>103</v>
      </c>
      <c r="AB31" s="321">
        <f>IF(Instructions!$E$11=8,IF($D31=Instructions!$F$43,AB30+1,AB30),IF(Instructions!$E$11=10,IF($H31=Instructions!$F$43,AB30+1,AB30),IF(Instructions!$E$11=12,IF($L31=Instructions!$F$43,AB30+1,AB30),IF(Instructions!$E$11=14,IF($P31=Instructions!$F$43,AB30+1,AB30),IF(Instructions!$E$11=16,IF($T31=Instructions!$F$43,AB30+1,AB30))))))</f>
        <v>3</v>
      </c>
      <c r="AC31" s="321" t="str">
        <f t="shared" si="0"/>
        <v>203</v>
      </c>
      <c r="AD31" s="321">
        <f>IF(Instructions!$E$11=8,IF($D31=Instructions!$F$44,AD30+1,AD30),IF(Instructions!$E$11=10,IF($H31=Instructions!$F$44,AD30+1,AD30),IF(Instructions!$E$11=12,IF($L31=Instructions!$F$44,AD30+1,AD30),IF(Instructions!$E$11=14,IF($P31=Instructions!$F$44,AD30+1,AD30),IF(Instructions!$E$11=16,IF($T31=Instructions!$F$44,AD30+1,AD30))))))</f>
        <v>3</v>
      </c>
      <c r="AE31" s="321" t="str">
        <f t="shared" si="1"/>
        <v>303</v>
      </c>
      <c r="AF31" s="321">
        <f>IF(Instructions!$E$11=8,IF($D31=Instructions!$F$45,AF30+1,AF30),IF(Instructions!$E$11=10,IF($H31=Instructions!$F$45,AF30+1,AF30),IF(Instructions!$E$11=12,IF($L31=Instructions!$F$45,AF30+1,AF30),IF(Instructions!$E$11=14,IF($P31=Instructions!$F$45,AF30+1,AF30),IF(Instructions!$E$11=16,IF($T31=Instructions!$F$45,AF30+1,AF30))))))</f>
        <v>3</v>
      </c>
      <c r="AG31" s="321" t="str">
        <f t="shared" si="2"/>
        <v>403</v>
      </c>
      <c r="AH31" s="321">
        <f>IF(Instructions!$E$11=8,IF($D31=Instructions!$F$46,AH30+1,AH30),IF(Instructions!$E$11=10,IF($H31=Instructions!$F$46,AH30+1,AH30),IF(Instructions!$E$11=12,IF($L31=Instructions!$F$46,AH30+1,AH30),IF(Instructions!$E$11=14,IF($P31=Instructions!$F$46,AH30+1,AH30),IF(Instructions!$E$11=16,IF($T31=Instructions!$F$46,AH30+1,AH30))))))</f>
        <v>3</v>
      </c>
      <c r="AI31" s="321" t="str">
        <f t="shared" si="3"/>
        <v>503</v>
      </c>
      <c r="AJ31" s="321">
        <f>IF(Instructions!$E$11=8,IF($D31=Instructions!$F$47,AJ30+1,AJ30),IF(Instructions!$E$11=10,IF($H31=Instructions!$F$47,AJ30+1,AJ30),IF(Instructions!$E$11=12,IF($L31=Instructions!$F$47,AJ30+1,AJ30),IF(Instructions!$E$11=14,IF($P31=Instructions!$F$47,AJ30+1,AJ30),IF(Instructions!$E$11=16,IF($T31=Instructions!$F$47,AJ30+1,AJ30))))))</f>
        <v>2</v>
      </c>
      <c r="AK31" s="321" t="str">
        <f t="shared" si="4"/>
        <v>602</v>
      </c>
      <c r="AL31" s="321">
        <f>IF(Instructions!$E$11=8,IF($D31=Instructions!$F$48,AL30+1,AL30),IF(Instructions!$E$11=10,IF($H31=Instructions!$F$48,AL30+1,AL30),IF(Instructions!$E$11=12,IF($L31=Instructions!$F$48,AL30+1,AL30),IF(Instructions!$E$11=14,IF($P31=Instructions!$F$48,AL30+1,AL30),IF(Instructions!$E$11=16,IF($T31=Instructions!$F$48,AL30+1,AL30))))))</f>
        <v>2</v>
      </c>
      <c r="AM31" s="321" t="str">
        <f t="shared" si="5"/>
        <v>702</v>
      </c>
      <c r="AN31" s="321">
        <f>IF(Instructions!$E$11=8,IF($D31=Instructions!$F$49,AN30+1,AN30),IF(Instructions!$E$11=10,IF($H31=Instructions!$F$49,AN30+1,AN30),IF(Instructions!$E$11=12,IF($L31=Instructions!$F$49,AN30+1,AN30),IF(Instructions!$E$11=14,IF($P31=Instructions!$F$49,AN30+1,AN30),IF(Instructions!$E$11=16,IF($T31=Instructions!$F$49,AN30+1,AN30))))))</f>
        <v>2</v>
      </c>
      <c r="AO31" s="321" t="str">
        <f t="shared" si="6"/>
        <v>802</v>
      </c>
      <c r="AP31" s="321">
        <f>IF(Instructions!$E$11=8,IF($D31=Instructions!$F$50,AP30+1,AP30),IF(Instructions!$E$11=10,IF($H31=Instructions!$F$50,AP30+1,AP30),IF(Instructions!$E$11=12,IF($L31=Instructions!$F$50,AP30+1,AP30),IF(Instructions!$E$11=14,IF($P31=Instructions!$F$50,AP30+1,AP30),IF(Instructions!$E$11=16,IF($T31=Instructions!$F$50,AP30+1,AP30))))))</f>
        <v>2</v>
      </c>
      <c r="AQ31" s="321" t="str">
        <f t="shared" si="7"/>
        <v>902</v>
      </c>
      <c r="AR31" s="321">
        <f>IF(Instructions!$E$11=8,IF($D31=Instructions!$F$51,AR30+1,AR30),IF(Instructions!$E$11=10,IF($H31=Instructions!$F$51,AR30+1,AR30),IF(Instructions!$E$11=12,IF($L31=Instructions!$F$51,AR30+1,AR30),IF(Instructions!$E$11=14,IF($P31=Instructions!$F$51,AR30+1,AR30),IF(Instructions!$E$11=16,IF($T31=Instructions!$F$51,AR30+1,AR30))))))</f>
        <v>2</v>
      </c>
      <c r="AS31" s="321" t="str">
        <f t="shared" si="9"/>
        <v>1002</v>
      </c>
      <c r="AT31" s="321">
        <f>IF(Instructions!$E$11=8,IF($D31=Instructions!$F$52,AT30+1,AT30),IF(Instructions!$E$11=10,IF($H31=Instructions!$F$52,AT30+1,AT30),IF(Instructions!$E$11=12,IF($L31=Instructions!$F$52,AT30+1,AT30),IF(Instructions!$E$11=14,IF($P31=Instructions!$F$52,AT30+1,AT30),IF(Instructions!$E$11=16,IF($T31=Instructions!$F$52,AT30+1,AT30))))))</f>
        <v>2</v>
      </c>
      <c r="AU31" s="321" t="str">
        <f t="shared" si="10"/>
        <v>1102</v>
      </c>
      <c r="AV31" s="321">
        <f>IF(Instructions!$E$11=8,IF($D31=Instructions!$F$53,AV30+1,AV30),IF(Instructions!$E$11=10,IF($H31=Instructions!$F$53,AV30+1,AV30),IF(Instructions!$E$11=12,IF($L31=Instructions!$F$53,AV30+1,AV30),IF(Instructions!$E$11=14,IF($P31=Instructions!$F$53,AV30+1,AV30),IF(Instructions!$E$11=16,IF($T31=Instructions!$F$53,AV30+1,AV30))))))</f>
        <v>2</v>
      </c>
      <c r="AW31" s="321" t="str">
        <f t="shared" si="11"/>
        <v>1202</v>
      </c>
      <c r="AX31" s="321">
        <f>IF(Instructions!$E$11=8,IF($D31=Instructions!$F$54,AX30+1,AX30),IF(Instructions!$E$11=10,IF($H31=Instructions!$F$54,AX30+1,AX30),IF(Instructions!$E$11=12,IF($L31=Instructions!$F$54,AX30+1,AX30),IF(Instructions!$E$11=14,IF($P31=Instructions!$F$54,AX30+1,AX30),IF(Instructions!$E$11=16,IF($T31=Instructions!$F$54,AX30+1,AX30))))))</f>
        <v>0</v>
      </c>
      <c r="AY31" s="321" t="str">
        <f t="shared" si="12"/>
        <v>1300</v>
      </c>
      <c r="AZ31" s="321">
        <f>IF(Instructions!$E$11=8,IF($D31=Instructions!$F$55,AZ30+1,AZ30),IF(Instructions!$E$11=10,IF($H31=Instructions!$F$55,AZ30+1,AZ30),IF(Instructions!$E$11=12,IF($L31=Instructions!$F$55,AZ30+1,AZ30),IF(Instructions!$E$11=14,IF($P31=Instructions!$F$55,AZ30+1,AZ30),IF(Instructions!$E$11=16,IF($T31=Instructions!$F$55,AZ30+1,AZ30))))))</f>
        <v>0</v>
      </c>
      <c r="BA31" s="321" t="str">
        <f t="shared" si="13"/>
        <v>1400</v>
      </c>
      <c r="BB31" s="321">
        <f>IF(Instructions!$E$11=8,IF($D31=Instructions!$F$56,BB30+1,BB30),IF(Instructions!$E$11=10,IF($H31=Instructions!$F$56,BB30+1,BB30),IF(Instructions!$E$11=12,IF($L31=Instructions!$F$56,BB30+1,BB30),IF(Instructions!$E$11=14,IF($P31=Instructions!$F$56,BB30+1,BB30),IF(Instructions!$E$11=16,IF($T31=Instructions!$F$56,BB30+1,BB30))))))</f>
        <v>0</v>
      </c>
      <c r="BC31" s="321" t="str">
        <f t="shared" si="14"/>
        <v>1500</v>
      </c>
      <c r="BD31" s="321">
        <f>IF(Instructions!$E$11=8,IF($D31=Instructions!$F$57,BD30+1,BD30),IF(Instructions!$E$11=10,IF($H31=Instructions!$F$57,BD30+1,BD30),IF(Instructions!$E$11=12,IF($L31=Instructions!$F$57,BD30+1,BD30),IF(Instructions!$E$11=14,IF($P31=Instructions!$F$57,BD30+1,BD30),IF(Instructions!$E$11=16,IF($T31=Instructions!$F$57,BD30+1,BD30))))))</f>
        <v>0</v>
      </c>
      <c r="BE31" s="321" t="str">
        <f t="shared" si="15"/>
        <v>1600</v>
      </c>
      <c r="BF31" s="321">
        <v>29</v>
      </c>
    </row>
    <row r="32" spans="1:58" ht="15.75" customHeight="1" thickBot="1" x14ac:dyDescent="0.3">
      <c r="A32" s="280"/>
      <c r="B32" s="323" t="str">
        <f>IF(Instructions!$J$11=1,AA32,IF(Instructions!$J$11=2,AC32,IF(Instructions!$J$11=3,AE32,IF(Instructions!$J$11=4,AG32,IF(Instructions!$J$11=5,AI32,IF(Instructions!$J$11=6,AK32,IF(Instructions!$J$11=7,AM32,IF(Instructions!$J$11=8,AO32,IF(Instructions!$J$11=9,AQ32,IF(Instructions!$J$11=10,AS32,IF(Instructions!$J$11=11,AU32,IF(Instructions!$J$11=12,AW32,IF(Instructions!$J$11=13, AY32, IF(Instructions!$J$11=14,BA32,IF(Instructions!$J$11=15,BC32,BE32)))))))))))))))</f>
        <v>203</v>
      </c>
      <c r="C32" s="272">
        <v>30</v>
      </c>
      <c r="D32" s="327" t="str">
        <f>Instructions!F$44</f>
        <v>Cam</v>
      </c>
      <c r="E32" s="332" t="s">
        <v>748</v>
      </c>
      <c r="F32" s="712"/>
      <c r="G32" s="498">
        <v>4</v>
      </c>
      <c r="H32" s="493" t="str">
        <f>Instructions!F$51</f>
        <v>Josh</v>
      </c>
      <c r="I32" s="277" t="s">
        <v>740</v>
      </c>
      <c r="J32" s="710"/>
      <c r="K32" s="279">
        <v>3</v>
      </c>
      <c r="L32" s="294" t="str">
        <f>Instructions!F$47</f>
        <v>Devin</v>
      </c>
      <c r="M32" s="274" t="s">
        <v>736</v>
      </c>
      <c r="N32" s="709"/>
      <c r="O32" s="279">
        <v>3</v>
      </c>
      <c r="P32" s="294" t="str">
        <f>Instructions!F$43</f>
        <v>Camden</v>
      </c>
      <c r="Q32" s="274" t="s">
        <v>732</v>
      </c>
      <c r="R32" s="709"/>
      <c r="S32" s="279">
        <v>3</v>
      </c>
      <c r="T32" s="327" t="s">
        <v>1986</v>
      </c>
      <c r="U32" s="274" t="s">
        <v>930</v>
      </c>
      <c r="V32" s="706"/>
      <c r="W32" s="279">
        <v>2</v>
      </c>
      <c r="X32" s="280"/>
      <c r="Y32" s="190" t="str">
        <f>IFERROR( IF(Instructions!$E$11=8, D32&amp;COUNTIF(D$3:D32,D32), IF(Instructions!$E$11=10, H32&amp;COUNTIF(H$3:H32,H32),IF(Instructions!$E$11=12, L32&amp;COUNTIF(L$3:L32,L32),IF(Instructions!$E$11=14, P32&amp;COUNTIF(P$3:P32,P32),T32&amp;COUNTIF(T$3:T32,T32))))),"")</f>
        <v>Devin3</v>
      </c>
      <c r="Z32" s="321">
        <f>IF(Instructions!$E$11=8,IF($D32=Instructions!$F$42,Z31+1,Z31),IF(Instructions!$E$11=10,IF($H32=Instructions!$F$42,Z31+1,Z31),IF(Instructions!$E$11=12,IF($L32=Instructions!$F$42,Z31+1,Z31),IF(Instructions!$E$11=14,IF($P32=Instructions!$F$42,Z31+1,Z31),IF(Instructions!$E$11=16,IF($T32=Instructions!$F$42,Z31+1,Z31))))))</f>
        <v>3</v>
      </c>
      <c r="AA32" s="321" t="str">
        <f t="shared" si="8"/>
        <v>103</v>
      </c>
      <c r="AB32" s="321">
        <f>IF(Instructions!$E$11=8,IF($D32=Instructions!$F$43,AB31+1,AB31),IF(Instructions!$E$11=10,IF($H32=Instructions!$F$43,AB31+1,AB31),IF(Instructions!$E$11=12,IF($L32=Instructions!$F$43,AB31+1,AB31),IF(Instructions!$E$11=14,IF($P32=Instructions!$F$43,AB31+1,AB31),IF(Instructions!$E$11=16,IF($T32=Instructions!$F$43,AB31+1,AB31))))))</f>
        <v>3</v>
      </c>
      <c r="AC32" s="321" t="str">
        <f t="shared" si="0"/>
        <v>203</v>
      </c>
      <c r="AD32" s="321">
        <f>IF(Instructions!$E$11=8,IF($D32=Instructions!$F$44,AD31+1,AD31),IF(Instructions!$E$11=10,IF($H32=Instructions!$F$44,AD31+1,AD31),IF(Instructions!$E$11=12,IF($L32=Instructions!$F$44,AD31+1,AD31),IF(Instructions!$E$11=14,IF($P32=Instructions!$F$44,AD31+1,AD31),IF(Instructions!$E$11=16,IF($T32=Instructions!$F$44,AD31+1,AD31))))))</f>
        <v>3</v>
      </c>
      <c r="AE32" s="321" t="str">
        <f t="shared" si="1"/>
        <v>303</v>
      </c>
      <c r="AF32" s="321">
        <f>IF(Instructions!$E$11=8,IF($D32=Instructions!$F$45,AF31+1,AF31),IF(Instructions!$E$11=10,IF($H32=Instructions!$F$45,AF31+1,AF31),IF(Instructions!$E$11=12,IF($L32=Instructions!$F$45,AF31+1,AF31),IF(Instructions!$E$11=14,IF($P32=Instructions!$F$45,AF31+1,AF31),IF(Instructions!$E$11=16,IF($T32=Instructions!$F$45,AF31+1,AF31))))))</f>
        <v>3</v>
      </c>
      <c r="AG32" s="321" t="str">
        <f t="shared" si="2"/>
        <v>403</v>
      </c>
      <c r="AH32" s="321">
        <f>IF(Instructions!$E$11=8,IF($D32=Instructions!$F$46,AH31+1,AH31),IF(Instructions!$E$11=10,IF($H32=Instructions!$F$46,AH31+1,AH31),IF(Instructions!$E$11=12,IF($L32=Instructions!$F$46,AH31+1,AH31),IF(Instructions!$E$11=14,IF($P32=Instructions!$F$46,AH31+1,AH31),IF(Instructions!$E$11=16,IF($T32=Instructions!$F$46,AH31+1,AH31))))))</f>
        <v>3</v>
      </c>
      <c r="AI32" s="321" t="str">
        <f t="shared" si="3"/>
        <v>503</v>
      </c>
      <c r="AJ32" s="321">
        <f>IF(Instructions!$E$11=8,IF($D32=Instructions!$F$47,AJ31+1,AJ31),IF(Instructions!$E$11=10,IF($H32=Instructions!$F$47,AJ31+1,AJ31),IF(Instructions!$E$11=12,IF($L32=Instructions!$F$47,AJ31+1,AJ31),IF(Instructions!$E$11=14,IF($P32=Instructions!$F$47,AJ31+1,AJ31),IF(Instructions!$E$11=16,IF($T32=Instructions!$F$47,AJ31+1,AJ31))))))</f>
        <v>3</v>
      </c>
      <c r="AK32" s="321" t="str">
        <f t="shared" si="4"/>
        <v>603</v>
      </c>
      <c r="AL32" s="321">
        <f>IF(Instructions!$E$11=8,IF($D32=Instructions!$F$48,AL31+1,AL31),IF(Instructions!$E$11=10,IF($H32=Instructions!$F$48,AL31+1,AL31),IF(Instructions!$E$11=12,IF($L32=Instructions!$F$48,AL31+1,AL31),IF(Instructions!$E$11=14,IF($P32=Instructions!$F$48,AL31+1,AL31),IF(Instructions!$E$11=16,IF($T32=Instructions!$F$48,AL31+1,AL31))))))</f>
        <v>2</v>
      </c>
      <c r="AM32" s="321" t="str">
        <f t="shared" si="5"/>
        <v>702</v>
      </c>
      <c r="AN32" s="321">
        <f>IF(Instructions!$E$11=8,IF($D32=Instructions!$F$49,AN31+1,AN31),IF(Instructions!$E$11=10,IF($H32=Instructions!$F$49,AN31+1,AN31),IF(Instructions!$E$11=12,IF($L32=Instructions!$F$49,AN31+1,AN31),IF(Instructions!$E$11=14,IF($P32=Instructions!$F$49,AN31+1,AN31),IF(Instructions!$E$11=16,IF($T32=Instructions!$F$49,AN31+1,AN31))))))</f>
        <v>2</v>
      </c>
      <c r="AO32" s="321" t="str">
        <f t="shared" si="6"/>
        <v>802</v>
      </c>
      <c r="AP32" s="321">
        <f>IF(Instructions!$E$11=8,IF($D32=Instructions!$F$50,AP31+1,AP31),IF(Instructions!$E$11=10,IF($H32=Instructions!$F$50,AP31+1,AP31),IF(Instructions!$E$11=12,IF($L32=Instructions!$F$50,AP31+1,AP31),IF(Instructions!$E$11=14,IF($P32=Instructions!$F$50,AP31+1,AP31),IF(Instructions!$E$11=16,IF($T32=Instructions!$F$50,AP31+1,AP31))))))</f>
        <v>2</v>
      </c>
      <c r="AQ32" s="321" t="str">
        <f t="shared" si="7"/>
        <v>902</v>
      </c>
      <c r="AR32" s="321">
        <f>IF(Instructions!$E$11=8,IF($D32=Instructions!$F$51,AR31+1,AR31),IF(Instructions!$E$11=10,IF($H32=Instructions!$F$51,AR31+1,AR31),IF(Instructions!$E$11=12,IF($L32=Instructions!$F$51,AR31+1,AR31),IF(Instructions!$E$11=14,IF($P32=Instructions!$F$51,AR31+1,AR31),IF(Instructions!$E$11=16,IF($T32=Instructions!$F$51,AR31+1,AR31))))))</f>
        <v>2</v>
      </c>
      <c r="AS32" s="321" t="str">
        <f t="shared" si="9"/>
        <v>1002</v>
      </c>
      <c r="AT32" s="321">
        <f>IF(Instructions!$E$11=8,IF($D32=Instructions!$F$52,AT31+1,AT31),IF(Instructions!$E$11=10,IF($H32=Instructions!$F$52,AT31+1,AT31),IF(Instructions!$E$11=12,IF($L32=Instructions!$F$52,AT31+1,AT31),IF(Instructions!$E$11=14,IF($P32=Instructions!$F$52,AT31+1,AT31),IF(Instructions!$E$11=16,IF($T32=Instructions!$F$52,AT31+1,AT31))))))</f>
        <v>2</v>
      </c>
      <c r="AU32" s="321" t="str">
        <f t="shared" si="10"/>
        <v>1102</v>
      </c>
      <c r="AV32" s="321">
        <f>IF(Instructions!$E$11=8,IF($D32=Instructions!$F$53,AV31+1,AV31),IF(Instructions!$E$11=10,IF($H32=Instructions!$F$53,AV31+1,AV31),IF(Instructions!$E$11=12,IF($L32=Instructions!$F$53,AV31+1,AV31),IF(Instructions!$E$11=14,IF($P32=Instructions!$F$53,AV31+1,AV31),IF(Instructions!$E$11=16,IF($T32=Instructions!$F$53,AV31+1,AV31))))))</f>
        <v>2</v>
      </c>
      <c r="AW32" s="321" t="str">
        <f t="shared" si="11"/>
        <v>1202</v>
      </c>
      <c r="AX32" s="321">
        <f>IF(Instructions!$E$11=8,IF($D32=Instructions!$F$54,AX31+1,AX31),IF(Instructions!$E$11=10,IF($H32=Instructions!$F$54,AX31+1,AX31),IF(Instructions!$E$11=12,IF($L32=Instructions!$F$54,AX31+1,AX31),IF(Instructions!$E$11=14,IF($P32=Instructions!$F$54,AX31+1,AX31),IF(Instructions!$E$11=16,IF($T32=Instructions!$F$54,AX31+1,AX31))))))</f>
        <v>0</v>
      </c>
      <c r="AY32" s="321" t="str">
        <f t="shared" si="12"/>
        <v>1300</v>
      </c>
      <c r="AZ32" s="321">
        <f>IF(Instructions!$E$11=8,IF($D32=Instructions!$F$55,AZ31+1,AZ31),IF(Instructions!$E$11=10,IF($H32=Instructions!$F$55,AZ31+1,AZ31),IF(Instructions!$E$11=12,IF($L32=Instructions!$F$55,AZ31+1,AZ31),IF(Instructions!$E$11=14,IF($P32=Instructions!$F$55,AZ31+1,AZ31),IF(Instructions!$E$11=16,IF($T32=Instructions!$F$55,AZ31+1,AZ31))))))</f>
        <v>0</v>
      </c>
      <c r="BA32" s="321" t="str">
        <f t="shared" si="13"/>
        <v>1400</v>
      </c>
      <c r="BB32" s="321">
        <f>IF(Instructions!$E$11=8,IF($D32=Instructions!$F$56,BB31+1,BB31),IF(Instructions!$E$11=10,IF($H32=Instructions!$F$56,BB31+1,BB31),IF(Instructions!$E$11=12,IF($L32=Instructions!$F$56,BB31+1,BB31),IF(Instructions!$E$11=14,IF($P32=Instructions!$F$56,BB31+1,BB31),IF(Instructions!$E$11=16,IF($T32=Instructions!$F$56,BB31+1,BB31))))))</f>
        <v>0</v>
      </c>
      <c r="BC32" s="321" t="str">
        <f t="shared" si="14"/>
        <v>1500</v>
      </c>
      <c r="BD32" s="321">
        <f>IF(Instructions!$E$11=8,IF($D32=Instructions!$F$57,BD31+1,BD31),IF(Instructions!$E$11=10,IF($H32=Instructions!$F$57,BD31+1,BD31),IF(Instructions!$E$11=12,IF($L32=Instructions!$F$57,BD31+1,BD31),IF(Instructions!$E$11=14,IF($P32=Instructions!$F$57,BD31+1,BD31),IF(Instructions!$E$11=16,IF($T32=Instructions!$F$57,BD31+1,BD31))))))</f>
        <v>0</v>
      </c>
      <c r="BE32" s="321" t="str">
        <f t="shared" si="15"/>
        <v>1600</v>
      </c>
      <c r="BF32" s="321">
        <v>30</v>
      </c>
    </row>
    <row r="33" spans="1:58" ht="15" customHeight="1" x14ac:dyDescent="0.25">
      <c r="A33" s="280"/>
      <c r="B33" s="323" t="str">
        <f>IF(Instructions!$J$11=1,AA33,IF(Instructions!$J$11=2,AC33,IF(Instructions!$J$11=3,AE33,IF(Instructions!$J$11=4,AG33,IF(Instructions!$J$11=5,AI33,IF(Instructions!$J$11=6,AK33,IF(Instructions!$J$11=7,AM33,IF(Instructions!$J$11=8,AO33,IF(Instructions!$J$11=9,AQ33,IF(Instructions!$J$11=10,AS33,IF(Instructions!$J$11=11,AU33,IF(Instructions!$J$11=12,AW33,IF(Instructions!$J$11=13, AY33, IF(Instructions!$J$11=14,BA33,IF(Instructions!$J$11=15,BC33,BE33)))))))))))))))</f>
        <v>203</v>
      </c>
      <c r="C33" s="271">
        <v>31</v>
      </c>
      <c r="D33" s="328" t="str">
        <f>Instructions!F$43</f>
        <v>Camden</v>
      </c>
      <c r="E33" s="333" t="s">
        <v>749</v>
      </c>
      <c r="F33" s="712"/>
      <c r="G33" s="498">
        <v>4</v>
      </c>
      <c r="H33" s="494" t="str">
        <f>Instructions!F$51</f>
        <v>Josh</v>
      </c>
      <c r="I33" s="276" t="s">
        <v>743</v>
      </c>
      <c r="J33" s="708" t="s">
        <v>899</v>
      </c>
      <c r="K33" s="279">
        <v>4</v>
      </c>
      <c r="L33" s="293" t="str">
        <f>Instructions!F$48</f>
        <v>Bui</v>
      </c>
      <c r="M33" s="273" t="s">
        <v>737</v>
      </c>
      <c r="N33" s="709"/>
      <c r="O33" s="279">
        <v>3</v>
      </c>
      <c r="P33" s="293" t="str">
        <f>Instructions!F$44</f>
        <v>Cam</v>
      </c>
      <c r="Q33" s="273" t="s">
        <v>733</v>
      </c>
      <c r="R33" s="709"/>
      <c r="S33" s="279">
        <v>3</v>
      </c>
      <c r="T33" s="328" t="s">
        <v>1838</v>
      </c>
      <c r="U33" s="273" t="s">
        <v>1566</v>
      </c>
      <c r="V33" s="706"/>
      <c r="W33" s="279">
        <v>2</v>
      </c>
      <c r="X33" s="280"/>
      <c r="Y33" s="190" t="str">
        <f>IFERROR( IF(Instructions!$E$11=8, D33&amp;COUNTIF(D$3:D33,D33), IF(Instructions!$E$11=10, H33&amp;COUNTIF(H$3:H33,H33),IF(Instructions!$E$11=12, L33&amp;COUNTIF(L$3:L33,L33),IF(Instructions!$E$11=14, P33&amp;COUNTIF(P$3:P33,P33),T33&amp;COUNTIF(T$3:T33,T33))))),"")</f>
        <v>Bui3</v>
      </c>
      <c r="Z33" s="321">
        <f>IF(Instructions!$E$11=8,IF($D33=Instructions!$F$42,Z32+1,Z32),IF(Instructions!$E$11=10,IF($H33=Instructions!$F$42,Z32+1,Z32),IF(Instructions!$E$11=12,IF($L33=Instructions!$F$42,Z32+1,Z32),IF(Instructions!$E$11=14,IF($P33=Instructions!$F$42,Z32+1,Z32),IF(Instructions!$E$11=16,IF($T33=Instructions!$F$42,Z32+1,Z32))))))</f>
        <v>3</v>
      </c>
      <c r="AA33" s="321" t="str">
        <f t="shared" si="8"/>
        <v>103</v>
      </c>
      <c r="AB33" s="321">
        <f>IF(Instructions!$E$11=8,IF($D33=Instructions!$F$43,AB32+1,AB32),IF(Instructions!$E$11=10,IF($H33=Instructions!$F$43,AB32+1,AB32),IF(Instructions!$E$11=12,IF($L33=Instructions!$F$43,AB32+1,AB32),IF(Instructions!$E$11=14,IF($P33=Instructions!$F$43,AB32+1,AB32),IF(Instructions!$E$11=16,IF($T33=Instructions!$F$43,AB32+1,AB32))))))</f>
        <v>3</v>
      </c>
      <c r="AC33" s="321" t="str">
        <f t="shared" si="0"/>
        <v>203</v>
      </c>
      <c r="AD33" s="321">
        <f>IF(Instructions!$E$11=8,IF($D33=Instructions!$F$44,AD32+1,AD32),IF(Instructions!$E$11=10,IF($H33=Instructions!$F$44,AD32+1,AD32),IF(Instructions!$E$11=12,IF($L33=Instructions!$F$44,AD32+1,AD32),IF(Instructions!$E$11=14,IF($P33=Instructions!$F$44,AD32+1,AD32),IF(Instructions!$E$11=16,IF($T33=Instructions!$F$44,AD32+1,AD32))))))</f>
        <v>3</v>
      </c>
      <c r="AE33" s="321" t="str">
        <f t="shared" si="1"/>
        <v>303</v>
      </c>
      <c r="AF33" s="321">
        <f>IF(Instructions!$E$11=8,IF($D33=Instructions!$F$45,AF32+1,AF32),IF(Instructions!$E$11=10,IF($H33=Instructions!$F$45,AF32+1,AF32),IF(Instructions!$E$11=12,IF($L33=Instructions!$F$45,AF32+1,AF32),IF(Instructions!$E$11=14,IF($P33=Instructions!$F$45,AF32+1,AF32),IF(Instructions!$E$11=16,IF($T33=Instructions!$F$45,AF32+1,AF32))))))</f>
        <v>3</v>
      </c>
      <c r="AG33" s="321" t="str">
        <f t="shared" si="2"/>
        <v>403</v>
      </c>
      <c r="AH33" s="321">
        <f>IF(Instructions!$E$11=8,IF($D33=Instructions!$F$46,AH32+1,AH32),IF(Instructions!$E$11=10,IF($H33=Instructions!$F$46,AH32+1,AH32),IF(Instructions!$E$11=12,IF($L33=Instructions!$F$46,AH32+1,AH32),IF(Instructions!$E$11=14,IF($P33=Instructions!$F$46,AH32+1,AH32),IF(Instructions!$E$11=16,IF($T33=Instructions!$F$46,AH32+1,AH32))))))</f>
        <v>3</v>
      </c>
      <c r="AI33" s="321" t="str">
        <f t="shared" si="3"/>
        <v>503</v>
      </c>
      <c r="AJ33" s="321">
        <f>IF(Instructions!$E$11=8,IF($D33=Instructions!$F$47,AJ32+1,AJ32),IF(Instructions!$E$11=10,IF($H33=Instructions!$F$47,AJ32+1,AJ32),IF(Instructions!$E$11=12,IF($L33=Instructions!$F$47,AJ32+1,AJ32),IF(Instructions!$E$11=14,IF($P33=Instructions!$F$47,AJ32+1,AJ32),IF(Instructions!$E$11=16,IF($T33=Instructions!$F$47,AJ32+1,AJ32))))))</f>
        <v>3</v>
      </c>
      <c r="AK33" s="321" t="str">
        <f t="shared" si="4"/>
        <v>603</v>
      </c>
      <c r="AL33" s="321">
        <f>IF(Instructions!$E$11=8,IF($D33=Instructions!$F$48,AL32+1,AL32),IF(Instructions!$E$11=10,IF($H33=Instructions!$F$48,AL32+1,AL32),IF(Instructions!$E$11=12,IF($L33=Instructions!$F$48,AL32+1,AL32),IF(Instructions!$E$11=14,IF($P33=Instructions!$F$48,AL32+1,AL32),IF(Instructions!$E$11=16,IF($T33=Instructions!$F$48,AL32+1,AL32))))))</f>
        <v>3</v>
      </c>
      <c r="AM33" s="321" t="str">
        <f t="shared" si="5"/>
        <v>703</v>
      </c>
      <c r="AN33" s="321">
        <f>IF(Instructions!$E$11=8,IF($D33=Instructions!$F$49,AN32+1,AN32),IF(Instructions!$E$11=10,IF($H33=Instructions!$F$49,AN32+1,AN32),IF(Instructions!$E$11=12,IF($L33=Instructions!$F$49,AN32+1,AN32),IF(Instructions!$E$11=14,IF($P33=Instructions!$F$49,AN32+1,AN32),IF(Instructions!$E$11=16,IF($T33=Instructions!$F$49,AN32+1,AN32))))))</f>
        <v>2</v>
      </c>
      <c r="AO33" s="321" t="str">
        <f t="shared" si="6"/>
        <v>802</v>
      </c>
      <c r="AP33" s="321">
        <f>IF(Instructions!$E$11=8,IF($D33=Instructions!$F$50,AP32+1,AP32),IF(Instructions!$E$11=10,IF($H33=Instructions!$F$50,AP32+1,AP32),IF(Instructions!$E$11=12,IF($L33=Instructions!$F$50,AP32+1,AP32),IF(Instructions!$E$11=14,IF($P33=Instructions!$F$50,AP32+1,AP32),IF(Instructions!$E$11=16,IF($T33=Instructions!$F$50,AP32+1,AP32))))))</f>
        <v>2</v>
      </c>
      <c r="AQ33" s="321" t="str">
        <f t="shared" si="7"/>
        <v>902</v>
      </c>
      <c r="AR33" s="321">
        <f>IF(Instructions!$E$11=8,IF($D33=Instructions!$F$51,AR32+1,AR32),IF(Instructions!$E$11=10,IF($H33=Instructions!$F$51,AR32+1,AR32),IF(Instructions!$E$11=12,IF($L33=Instructions!$F$51,AR32+1,AR32),IF(Instructions!$E$11=14,IF($P33=Instructions!$F$51,AR32+1,AR32),IF(Instructions!$E$11=16,IF($T33=Instructions!$F$51,AR32+1,AR32))))))</f>
        <v>2</v>
      </c>
      <c r="AS33" s="321" t="str">
        <f t="shared" si="9"/>
        <v>1002</v>
      </c>
      <c r="AT33" s="321">
        <f>IF(Instructions!$E$11=8,IF($D33=Instructions!$F$52,AT32+1,AT32),IF(Instructions!$E$11=10,IF($H33=Instructions!$F$52,AT32+1,AT32),IF(Instructions!$E$11=12,IF($L33=Instructions!$F$52,AT32+1,AT32),IF(Instructions!$E$11=14,IF($P33=Instructions!$F$52,AT32+1,AT32),IF(Instructions!$E$11=16,IF($T33=Instructions!$F$52,AT32+1,AT32))))))</f>
        <v>2</v>
      </c>
      <c r="AU33" s="321" t="str">
        <f t="shared" si="10"/>
        <v>1102</v>
      </c>
      <c r="AV33" s="321">
        <f>IF(Instructions!$E$11=8,IF($D33=Instructions!$F$53,AV32+1,AV32),IF(Instructions!$E$11=10,IF($H33=Instructions!$F$53,AV32+1,AV32),IF(Instructions!$E$11=12,IF($L33=Instructions!$F$53,AV32+1,AV32),IF(Instructions!$E$11=14,IF($P33=Instructions!$F$53,AV32+1,AV32),IF(Instructions!$E$11=16,IF($T33=Instructions!$F$53,AV32+1,AV32))))))</f>
        <v>2</v>
      </c>
      <c r="AW33" s="321" t="str">
        <f t="shared" si="11"/>
        <v>1202</v>
      </c>
      <c r="AX33" s="321">
        <f>IF(Instructions!$E$11=8,IF($D33=Instructions!$F$54,AX32+1,AX32),IF(Instructions!$E$11=10,IF($H33=Instructions!$F$54,AX32+1,AX32),IF(Instructions!$E$11=12,IF($L33=Instructions!$F$54,AX32+1,AX32),IF(Instructions!$E$11=14,IF($P33=Instructions!$F$54,AX32+1,AX32),IF(Instructions!$E$11=16,IF($T33=Instructions!$F$54,AX32+1,AX32))))))</f>
        <v>0</v>
      </c>
      <c r="AY33" s="321" t="str">
        <f t="shared" si="12"/>
        <v>1300</v>
      </c>
      <c r="AZ33" s="321">
        <f>IF(Instructions!$E$11=8,IF($D33=Instructions!$F$55,AZ32+1,AZ32),IF(Instructions!$E$11=10,IF($H33=Instructions!$F$55,AZ32+1,AZ32),IF(Instructions!$E$11=12,IF($L33=Instructions!$F$55,AZ32+1,AZ32),IF(Instructions!$E$11=14,IF($P33=Instructions!$F$55,AZ32+1,AZ32),IF(Instructions!$E$11=16,IF($T33=Instructions!$F$55,AZ32+1,AZ32))))))</f>
        <v>0</v>
      </c>
      <c r="BA33" s="321" t="str">
        <f t="shared" si="13"/>
        <v>1400</v>
      </c>
      <c r="BB33" s="321">
        <f>IF(Instructions!$E$11=8,IF($D33=Instructions!$F$56,BB32+1,BB32),IF(Instructions!$E$11=10,IF($H33=Instructions!$F$56,BB32+1,BB32),IF(Instructions!$E$11=12,IF($L33=Instructions!$F$56,BB32+1,BB32),IF(Instructions!$E$11=14,IF($P33=Instructions!$F$56,BB32+1,BB32),IF(Instructions!$E$11=16,IF($T33=Instructions!$F$56,BB32+1,BB32))))))</f>
        <v>0</v>
      </c>
      <c r="BC33" s="321" t="str">
        <f t="shared" si="14"/>
        <v>1500</v>
      </c>
      <c r="BD33" s="321">
        <f>IF(Instructions!$E$11=8,IF($D33=Instructions!$F$57,BD32+1,BD32),IF(Instructions!$E$11=10,IF($H33=Instructions!$F$57,BD32+1,BD32),IF(Instructions!$E$11=12,IF($L33=Instructions!$F$57,BD32+1,BD32),IF(Instructions!$E$11=14,IF($P33=Instructions!$F$57,BD32+1,BD32),IF(Instructions!$E$11=16,IF($T33=Instructions!$F$57,BD32+1,BD32))))))</f>
        <v>0</v>
      </c>
      <c r="BE33" s="321" t="str">
        <f t="shared" si="15"/>
        <v>1600</v>
      </c>
      <c r="BF33" s="321">
        <v>31</v>
      </c>
    </row>
    <row r="34" spans="1:58" ht="15.75" customHeight="1" thickBot="1" x14ac:dyDescent="0.3">
      <c r="A34" s="280"/>
      <c r="B34" s="323" t="str">
        <f>IF(Instructions!$J$11=1,AA34,IF(Instructions!$J$11=2,AC34,IF(Instructions!$J$11=3,AE34,IF(Instructions!$J$11=4,AG34,IF(Instructions!$J$11=5,AI34,IF(Instructions!$J$11=6,AK34,IF(Instructions!$J$11=7,AM34,IF(Instructions!$J$11=8,AO34,IF(Instructions!$J$11=9,AQ34,IF(Instructions!$J$11=10,AS34,IF(Instructions!$J$11=11,AU34,IF(Instructions!$J$11=12,AW34,IF(Instructions!$J$11=13, AY34, IF(Instructions!$J$11=14,BA34,IF(Instructions!$J$11=15,BC34,BE34)))))))))))))))</f>
        <v>203</v>
      </c>
      <c r="C34" s="272">
        <v>32</v>
      </c>
      <c r="D34" s="329" t="str">
        <f>Instructions!F$42</f>
        <v>Trumbo</v>
      </c>
      <c r="E34" s="334" t="s">
        <v>750</v>
      </c>
      <c r="F34" s="712"/>
      <c r="G34" s="498">
        <v>4</v>
      </c>
      <c r="H34" s="492" t="str">
        <f>Instructions!F$50</f>
        <v>Dan</v>
      </c>
      <c r="I34" s="274" t="s">
        <v>744</v>
      </c>
      <c r="J34" s="709"/>
      <c r="K34" s="279">
        <v>4</v>
      </c>
      <c r="L34" s="294" t="str">
        <f>Instructions!F$49</f>
        <v>Luke</v>
      </c>
      <c r="M34" s="274" t="s">
        <v>738</v>
      </c>
      <c r="N34" s="709"/>
      <c r="O34" s="279">
        <v>3</v>
      </c>
      <c r="P34" s="294" t="str">
        <f>Instructions!F$45</f>
        <v>Miles</v>
      </c>
      <c r="Q34" s="274" t="s">
        <v>734</v>
      </c>
      <c r="R34" s="709"/>
      <c r="S34" s="279">
        <v>3</v>
      </c>
      <c r="T34" s="329" t="s">
        <v>1837</v>
      </c>
      <c r="U34" s="330" t="s">
        <v>1567</v>
      </c>
      <c r="V34" s="707"/>
      <c r="W34" s="279">
        <v>2</v>
      </c>
      <c r="X34" s="280"/>
      <c r="Y34" s="190" t="str">
        <f>IFERROR( IF(Instructions!$E$11=8, D34&amp;COUNTIF(D$3:D34,D34), IF(Instructions!$E$11=10, H34&amp;COUNTIF(H$3:H34,H34),IF(Instructions!$E$11=12, L34&amp;COUNTIF(L$3:L34,L34),IF(Instructions!$E$11=14, P34&amp;COUNTIF(P$3:P34,P34),T34&amp;COUNTIF(T$3:T34,T34))))),"")</f>
        <v>Luke3</v>
      </c>
      <c r="Z34" s="321">
        <f>IF(Instructions!$E$11=8,IF($D34=Instructions!$F$42,Z33+1,Z33),IF(Instructions!$E$11=10,IF($H34=Instructions!$F$42,Z33+1,Z33),IF(Instructions!$E$11=12,IF($L34=Instructions!$F$42,Z33+1,Z33),IF(Instructions!$E$11=14,IF($P34=Instructions!$F$42,Z33+1,Z33),IF(Instructions!$E$11=16,IF($T34=Instructions!$F$42,Z33+1,Z33))))))</f>
        <v>3</v>
      </c>
      <c r="AA34" s="321" t="str">
        <f t="shared" si="8"/>
        <v>103</v>
      </c>
      <c r="AB34" s="321">
        <f>IF(Instructions!$E$11=8,IF($D34=Instructions!$F$43,AB33+1,AB33),IF(Instructions!$E$11=10,IF($H34=Instructions!$F$43,AB33+1,AB33),IF(Instructions!$E$11=12,IF($L34=Instructions!$F$43,AB33+1,AB33),IF(Instructions!$E$11=14,IF($P34=Instructions!$F$43,AB33+1,AB33),IF(Instructions!$E$11=16,IF($T34=Instructions!$F$43,AB33+1,AB33))))))</f>
        <v>3</v>
      </c>
      <c r="AC34" s="321" t="str">
        <f t="shared" si="0"/>
        <v>203</v>
      </c>
      <c r="AD34" s="321">
        <f>IF(Instructions!$E$11=8,IF($D34=Instructions!$F$44,AD33+1,AD33),IF(Instructions!$E$11=10,IF($H34=Instructions!$F$44,AD33+1,AD33),IF(Instructions!$E$11=12,IF($L34=Instructions!$F$44,AD33+1,AD33),IF(Instructions!$E$11=14,IF($P34=Instructions!$F$44,AD33+1,AD33),IF(Instructions!$E$11=16,IF($T34=Instructions!$F$44,AD33+1,AD33))))))</f>
        <v>3</v>
      </c>
      <c r="AE34" s="321" t="str">
        <f t="shared" si="1"/>
        <v>303</v>
      </c>
      <c r="AF34" s="321">
        <f>IF(Instructions!$E$11=8,IF($D34=Instructions!$F$45,AF33+1,AF33),IF(Instructions!$E$11=10,IF($H34=Instructions!$F$45,AF33+1,AF33),IF(Instructions!$E$11=12,IF($L34=Instructions!$F$45,AF33+1,AF33),IF(Instructions!$E$11=14,IF($P34=Instructions!$F$45,AF33+1,AF33),IF(Instructions!$E$11=16,IF($T34=Instructions!$F$45,AF33+1,AF33))))))</f>
        <v>3</v>
      </c>
      <c r="AG34" s="321" t="str">
        <f t="shared" si="2"/>
        <v>403</v>
      </c>
      <c r="AH34" s="321">
        <f>IF(Instructions!$E$11=8,IF($D34=Instructions!$F$46,AH33+1,AH33),IF(Instructions!$E$11=10,IF($H34=Instructions!$F$46,AH33+1,AH33),IF(Instructions!$E$11=12,IF($L34=Instructions!$F$46,AH33+1,AH33),IF(Instructions!$E$11=14,IF($P34=Instructions!$F$46,AH33+1,AH33),IF(Instructions!$E$11=16,IF($T34=Instructions!$F$46,AH33+1,AH33))))))</f>
        <v>3</v>
      </c>
      <c r="AI34" s="321" t="str">
        <f t="shared" si="3"/>
        <v>503</v>
      </c>
      <c r="AJ34" s="321">
        <f>IF(Instructions!$E$11=8,IF($D34=Instructions!$F$47,AJ33+1,AJ33),IF(Instructions!$E$11=10,IF($H34=Instructions!$F$47,AJ33+1,AJ33),IF(Instructions!$E$11=12,IF($L34=Instructions!$F$47,AJ33+1,AJ33),IF(Instructions!$E$11=14,IF($P34=Instructions!$F$47,AJ33+1,AJ33),IF(Instructions!$E$11=16,IF($T34=Instructions!$F$47,AJ33+1,AJ33))))))</f>
        <v>3</v>
      </c>
      <c r="AK34" s="321" t="str">
        <f t="shared" si="4"/>
        <v>603</v>
      </c>
      <c r="AL34" s="321">
        <f>IF(Instructions!$E$11=8,IF($D34=Instructions!$F$48,AL33+1,AL33),IF(Instructions!$E$11=10,IF($H34=Instructions!$F$48,AL33+1,AL33),IF(Instructions!$E$11=12,IF($L34=Instructions!$F$48,AL33+1,AL33),IF(Instructions!$E$11=14,IF($P34=Instructions!$F$48,AL33+1,AL33),IF(Instructions!$E$11=16,IF($T34=Instructions!$F$48,AL33+1,AL33))))))</f>
        <v>3</v>
      </c>
      <c r="AM34" s="321" t="str">
        <f t="shared" si="5"/>
        <v>703</v>
      </c>
      <c r="AN34" s="321">
        <f>IF(Instructions!$E$11=8,IF($D34=Instructions!$F$49,AN33+1,AN33),IF(Instructions!$E$11=10,IF($H34=Instructions!$F$49,AN33+1,AN33),IF(Instructions!$E$11=12,IF($L34=Instructions!$F$49,AN33+1,AN33),IF(Instructions!$E$11=14,IF($P34=Instructions!$F$49,AN33+1,AN33),IF(Instructions!$E$11=16,IF($T34=Instructions!$F$49,AN33+1,AN33))))))</f>
        <v>3</v>
      </c>
      <c r="AO34" s="321" t="str">
        <f t="shared" si="6"/>
        <v>803</v>
      </c>
      <c r="AP34" s="321">
        <f>IF(Instructions!$E$11=8,IF($D34=Instructions!$F$50,AP33+1,AP33),IF(Instructions!$E$11=10,IF($H34=Instructions!$F$50,AP33+1,AP33),IF(Instructions!$E$11=12,IF($L34=Instructions!$F$50,AP33+1,AP33),IF(Instructions!$E$11=14,IF($P34=Instructions!$F$50,AP33+1,AP33),IF(Instructions!$E$11=16,IF($T34=Instructions!$F$50,AP33+1,AP33))))))</f>
        <v>2</v>
      </c>
      <c r="AQ34" s="321" t="str">
        <f t="shared" si="7"/>
        <v>902</v>
      </c>
      <c r="AR34" s="321">
        <f>IF(Instructions!$E$11=8,IF($D34=Instructions!$F$51,AR33+1,AR33),IF(Instructions!$E$11=10,IF($H34=Instructions!$F$51,AR33+1,AR33),IF(Instructions!$E$11=12,IF($L34=Instructions!$F$51,AR33+1,AR33),IF(Instructions!$E$11=14,IF($P34=Instructions!$F$51,AR33+1,AR33),IF(Instructions!$E$11=16,IF($T34=Instructions!$F$51,AR33+1,AR33))))))</f>
        <v>2</v>
      </c>
      <c r="AS34" s="321" t="str">
        <f t="shared" si="9"/>
        <v>1002</v>
      </c>
      <c r="AT34" s="321">
        <f>IF(Instructions!$E$11=8,IF($D34=Instructions!$F$52,AT33+1,AT33),IF(Instructions!$E$11=10,IF($H34=Instructions!$F$52,AT33+1,AT33),IF(Instructions!$E$11=12,IF($L34=Instructions!$F$52,AT33+1,AT33),IF(Instructions!$E$11=14,IF($P34=Instructions!$F$52,AT33+1,AT33),IF(Instructions!$E$11=16,IF($T34=Instructions!$F$52,AT33+1,AT33))))))</f>
        <v>2</v>
      </c>
      <c r="AU34" s="321" t="str">
        <f t="shared" si="10"/>
        <v>1102</v>
      </c>
      <c r="AV34" s="321">
        <f>IF(Instructions!$E$11=8,IF($D34=Instructions!$F$53,AV33+1,AV33),IF(Instructions!$E$11=10,IF($H34=Instructions!$F$53,AV33+1,AV33),IF(Instructions!$E$11=12,IF($L34=Instructions!$F$53,AV33+1,AV33),IF(Instructions!$E$11=14,IF($P34=Instructions!$F$53,AV33+1,AV33),IF(Instructions!$E$11=16,IF($T34=Instructions!$F$53,AV33+1,AV33))))))</f>
        <v>2</v>
      </c>
      <c r="AW34" s="321" t="str">
        <f t="shared" si="11"/>
        <v>1202</v>
      </c>
      <c r="AX34" s="321">
        <f>IF(Instructions!$E$11=8,IF($D34=Instructions!$F$54,AX33+1,AX33),IF(Instructions!$E$11=10,IF($H34=Instructions!$F$54,AX33+1,AX33),IF(Instructions!$E$11=12,IF($L34=Instructions!$F$54,AX33+1,AX33),IF(Instructions!$E$11=14,IF($P34=Instructions!$F$54,AX33+1,AX33),IF(Instructions!$E$11=16,IF($T34=Instructions!$F$54,AX33+1,AX33))))))</f>
        <v>0</v>
      </c>
      <c r="AY34" s="321" t="str">
        <f t="shared" si="12"/>
        <v>1300</v>
      </c>
      <c r="AZ34" s="321">
        <f>IF(Instructions!$E$11=8,IF($D34=Instructions!$F$55,AZ33+1,AZ33),IF(Instructions!$E$11=10,IF($H34=Instructions!$F$55,AZ33+1,AZ33),IF(Instructions!$E$11=12,IF($L34=Instructions!$F$55,AZ33+1,AZ33),IF(Instructions!$E$11=14,IF($P34=Instructions!$F$55,AZ33+1,AZ33),IF(Instructions!$E$11=16,IF($T34=Instructions!$F$55,AZ33+1,AZ33))))))</f>
        <v>0</v>
      </c>
      <c r="BA34" s="321" t="str">
        <f t="shared" si="13"/>
        <v>1400</v>
      </c>
      <c r="BB34" s="321">
        <f>IF(Instructions!$E$11=8,IF($D34=Instructions!$F$56,BB33+1,BB33),IF(Instructions!$E$11=10,IF($H34=Instructions!$F$56,BB33+1,BB33),IF(Instructions!$E$11=12,IF($L34=Instructions!$F$56,BB33+1,BB33),IF(Instructions!$E$11=14,IF($P34=Instructions!$F$56,BB33+1,BB33),IF(Instructions!$E$11=16,IF($T34=Instructions!$F$56,BB33+1,BB33))))))</f>
        <v>0</v>
      </c>
      <c r="BC34" s="321" t="str">
        <f t="shared" si="14"/>
        <v>1500</v>
      </c>
      <c r="BD34" s="321">
        <f>IF(Instructions!$E$11=8,IF($D34=Instructions!$F$57,BD33+1,BD33),IF(Instructions!$E$11=10,IF($H34=Instructions!$F$57,BD33+1,BD33),IF(Instructions!$E$11=12,IF($L34=Instructions!$F$57,BD33+1,BD33),IF(Instructions!$E$11=14,IF($P34=Instructions!$F$57,BD33+1,BD33),IF(Instructions!$E$11=16,IF($T34=Instructions!$F$57,BD33+1,BD33))))))</f>
        <v>0</v>
      </c>
      <c r="BE34" s="321" t="str">
        <f t="shared" si="15"/>
        <v>1600</v>
      </c>
      <c r="BF34" s="321">
        <v>32</v>
      </c>
    </row>
    <row r="35" spans="1:58" ht="15" customHeight="1" x14ac:dyDescent="0.25">
      <c r="A35" s="280"/>
      <c r="B35" s="323" t="str">
        <f>IF(Instructions!$J$11=1,AA35,IF(Instructions!$J$11=2,AC35,IF(Instructions!$J$11=3,AE35,IF(Instructions!$J$11=4,AG35,IF(Instructions!$J$11=5,AI35,IF(Instructions!$J$11=6,AK35,IF(Instructions!$J$11=7,AM35,IF(Instructions!$J$11=8,AO35,IF(Instructions!$J$11=9,AQ35,IF(Instructions!$J$11=10,AS35,IF(Instructions!$J$11=11,AU35,IF(Instructions!$J$11=12,AW35,IF(Instructions!$J$11=13, AY35, IF(Instructions!$J$11=14,BA35,IF(Instructions!$J$11=15,BC35,BE35)))))))))))))))</f>
        <v>203</v>
      </c>
      <c r="C35" s="271">
        <v>33</v>
      </c>
      <c r="D35" s="325" t="str">
        <f>Instructions!F$42</f>
        <v>Trumbo</v>
      </c>
      <c r="E35" s="333" t="s">
        <v>755</v>
      </c>
      <c r="F35" s="712" t="s">
        <v>900</v>
      </c>
      <c r="G35" s="498">
        <v>5</v>
      </c>
      <c r="H35" s="491" t="str">
        <f>Instructions!F$49</f>
        <v>Luke</v>
      </c>
      <c r="I35" s="273" t="s">
        <v>745</v>
      </c>
      <c r="J35" s="709"/>
      <c r="K35" s="279">
        <v>4</v>
      </c>
      <c r="L35" s="293" t="str">
        <f>Instructions!F$50</f>
        <v>Dan</v>
      </c>
      <c r="M35" s="273" t="s">
        <v>739</v>
      </c>
      <c r="N35" s="709"/>
      <c r="O35" s="279">
        <v>3</v>
      </c>
      <c r="P35" s="293" t="str">
        <f>Instructions!F$46</f>
        <v>Con</v>
      </c>
      <c r="Q35" s="273" t="s">
        <v>735</v>
      </c>
      <c r="R35" s="709"/>
      <c r="S35" s="279">
        <v>3</v>
      </c>
      <c r="T35" s="325" t="str">
        <f>Instructions!F$42</f>
        <v>Trumbo</v>
      </c>
      <c r="U35" s="326" t="s">
        <v>731</v>
      </c>
      <c r="V35" s="705" t="s">
        <v>898</v>
      </c>
      <c r="W35" s="279">
        <v>3</v>
      </c>
      <c r="X35" s="280"/>
      <c r="Y35" s="190" t="str">
        <f>IFERROR( IF(Instructions!$E$11=8, D35&amp;COUNTIF(D$3:D35,D35), IF(Instructions!$E$11=10, H35&amp;COUNTIF(H$3:H35,H35),IF(Instructions!$E$11=12, L35&amp;COUNTIF(L$3:L35,L35),IF(Instructions!$E$11=14, P35&amp;COUNTIF(P$3:P35,P35),T35&amp;COUNTIF(T$3:T35,T35))))),"")</f>
        <v>Dan3</v>
      </c>
      <c r="Z35" s="321">
        <f>IF(Instructions!$E$11=8,IF($D35=Instructions!$F$42,Z34+1,Z34),IF(Instructions!$E$11=10,IF($H35=Instructions!$F$42,Z34+1,Z34),IF(Instructions!$E$11=12,IF($L35=Instructions!$F$42,Z34+1,Z34),IF(Instructions!$E$11=14,IF($P35=Instructions!$F$42,Z34+1,Z34),IF(Instructions!$E$11=16,IF($T35=Instructions!$F$42,Z34+1,Z34))))))</f>
        <v>3</v>
      </c>
      <c r="AA35" s="321" t="str">
        <f t="shared" si="8"/>
        <v>103</v>
      </c>
      <c r="AB35" s="321">
        <f>IF(Instructions!$E$11=8,IF($D35=Instructions!$F$43,AB34+1,AB34),IF(Instructions!$E$11=10,IF($H35=Instructions!$F$43,AB34+1,AB34),IF(Instructions!$E$11=12,IF($L35=Instructions!$F$43,AB34+1,AB34),IF(Instructions!$E$11=14,IF($P35=Instructions!$F$43,AB34+1,AB34),IF(Instructions!$E$11=16,IF($T35=Instructions!$F$43,AB34+1,AB34))))))</f>
        <v>3</v>
      </c>
      <c r="AC35" s="321" t="str">
        <f t="shared" si="0"/>
        <v>203</v>
      </c>
      <c r="AD35" s="321">
        <f>IF(Instructions!$E$11=8,IF($D35=Instructions!$F$44,AD34+1,AD34),IF(Instructions!$E$11=10,IF($H35=Instructions!$F$44,AD34+1,AD34),IF(Instructions!$E$11=12,IF($L35=Instructions!$F$44,AD34+1,AD34),IF(Instructions!$E$11=14,IF($P35=Instructions!$F$44,AD34+1,AD34),IF(Instructions!$E$11=16,IF($T35=Instructions!$F$44,AD34+1,AD34))))))</f>
        <v>3</v>
      </c>
      <c r="AE35" s="321" t="str">
        <f t="shared" si="1"/>
        <v>303</v>
      </c>
      <c r="AF35" s="321">
        <f>IF(Instructions!$E$11=8,IF($D35=Instructions!$F$45,AF34+1,AF34),IF(Instructions!$E$11=10,IF($H35=Instructions!$F$45,AF34+1,AF34),IF(Instructions!$E$11=12,IF($L35=Instructions!$F$45,AF34+1,AF34),IF(Instructions!$E$11=14,IF($P35=Instructions!$F$45,AF34+1,AF34),IF(Instructions!$E$11=16,IF($T35=Instructions!$F$45,AF34+1,AF34))))))</f>
        <v>3</v>
      </c>
      <c r="AG35" s="321" t="str">
        <f t="shared" si="2"/>
        <v>403</v>
      </c>
      <c r="AH35" s="321">
        <f>IF(Instructions!$E$11=8,IF($D35=Instructions!$F$46,AH34+1,AH34),IF(Instructions!$E$11=10,IF($H35=Instructions!$F$46,AH34+1,AH34),IF(Instructions!$E$11=12,IF($L35=Instructions!$F$46,AH34+1,AH34),IF(Instructions!$E$11=14,IF($P35=Instructions!$F$46,AH34+1,AH34),IF(Instructions!$E$11=16,IF($T35=Instructions!$F$46,AH34+1,AH34))))))</f>
        <v>3</v>
      </c>
      <c r="AI35" s="321" t="str">
        <f t="shared" si="3"/>
        <v>503</v>
      </c>
      <c r="AJ35" s="321">
        <f>IF(Instructions!$E$11=8,IF($D35=Instructions!$F$47,AJ34+1,AJ34),IF(Instructions!$E$11=10,IF($H35=Instructions!$F$47,AJ34+1,AJ34),IF(Instructions!$E$11=12,IF($L35=Instructions!$F$47,AJ34+1,AJ34),IF(Instructions!$E$11=14,IF($P35=Instructions!$F$47,AJ34+1,AJ34),IF(Instructions!$E$11=16,IF($T35=Instructions!$F$47,AJ34+1,AJ34))))))</f>
        <v>3</v>
      </c>
      <c r="AK35" s="321" t="str">
        <f t="shared" si="4"/>
        <v>603</v>
      </c>
      <c r="AL35" s="321">
        <f>IF(Instructions!$E$11=8,IF($D35=Instructions!$F$48,AL34+1,AL34),IF(Instructions!$E$11=10,IF($H35=Instructions!$F$48,AL34+1,AL34),IF(Instructions!$E$11=12,IF($L35=Instructions!$F$48,AL34+1,AL34),IF(Instructions!$E$11=14,IF($P35=Instructions!$F$48,AL34+1,AL34),IF(Instructions!$E$11=16,IF($T35=Instructions!$F$48,AL34+1,AL34))))))</f>
        <v>3</v>
      </c>
      <c r="AM35" s="321" t="str">
        <f t="shared" si="5"/>
        <v>703</v>
      </c>
      <c r="AN35" s="321">
        <f>IF(Instructions!$E$11=8,IF($D35=Instructions!$F$49,AN34+1,AN34),IF(Instructions!$E$11=10,IF($H35=Instructions!$F$49,AN34+1,AN34),IF(Instructions!$E$11=12,IF($L35=Instructions!$F$49,AN34+1,AN34),IF(Instructions!$E$11=14,IF($P35=Instructions!$F$49,AN34+1,AN34),IF(Instructions!$E$11=16,IF($T35=Instructions!$F$49,AN34+1,AN34))))))</f>
        <v>3</v>
      </c>
      <c r="AO35" s="321" t="str">
        <f t="shared" si="6"/>
        <v>803</v>
      </c>
      <c r="AP35" s="321">
        <f>IF(Instructions!$E$11=8,IF($D35=Instructions!$F$50,AP34+1,AP34),IF(Instructions!$E$11=10,IF($H35=Instructions!$F$50,AP34+1,AP34),IF(Instructions!$E$11=12,IF($L35=Instructions!$F$50,AP34+1,AP34),IF(Instructions!$E$11=14,IF($P35=Instructions!$F$50,AP34+1,AP34),IF(Instructions!$E$11=16,IF($T35=Instructions!$F$50,AP34+1,AP34))))))</f>
        <v>3</v>
      </c>
      <c r="AQ35" s="321" t="str">
        <f t="shared" si="7"/>
        <v>903</v>
      </c>
      <c r="AR35" s="321">
        <f>IF(Instructions!$E$11=8,IF($D35=Instructions!$F$51,AR34+1,AR34),IF(Instructions!$E$11=10,IF($H35=Instructions!$F$51,AR34+1,AR34),IF(Instructions!$E$11=12,IF($L35=Instructions!$F$51,AR34+1,AR34),IF(Instructions!$E$11=14,IF($P35=Instructions!$F$51,AR34+1,AR34),IF(Instructions!$E$11=16,IF($T35=Instructions!$F$51,AR34+1,AR34))))))</f>
        <v>2</v>
      </c>
      <c r="AS35" s="321" t="str">
        <f t="shared" si="9"/>
        <v>1002</v>
      </c>
      <c r="AT35" s="321">
        <f>IF(Instructions!$E$11=8,IF($D35=Instructions!$F$52,AT34+1,AT34),IF(Instructions!$E$11=10,IF($H35=Instructions!$F$52,AT34+1,AT34),IF(Instructions!$E$11=12,IF($L35=Instructions!$F$52,AT34+1,AT34),IF(Instructions!$E$11=14,IF($P35=Instructions!$F$52,AT34+1,AT34),IF(Instructions!$E$11=16,IF($T35=Instructions!$F$52,AT34+1,AT34))))))</f>
        <v>2</v>
      </c>
      <c r="AU35" s="321" t="str">
        <f t="shared" si="10"/>
        <v>1102</v>
      </c>
      <c r="AV35" s="321">
        <f>IF(Instructions!$E$11=8,IF($D35=Instructions!$F$53,AV34+1,AV34),IF(Instructions!$E$11=10,IF($H35=Instructions!$F$53,AV34+1,AV34),IF(Instructions!$E$11=12,IF($L35=Instructions!$F$53,AV34+1,AV34),IF(Instructions!$E$11=14,IF($P35=Instructions!$F$53,AV34+1,AV34),IF(Instructions!$E$11=16,IF($T35=Instructions!$F$53,AV34+1,AV34))))))</f>
        <v>2</v>
      </c>
      <c r="AW35" s="321" t="str">
        <f t="shared" si="11"/>
        <v>1202</v>
      </c>
      <c r="AX35" s="321">
        <f>IF(Instructions!$E$11=8,IF($D35=Instructions!$F$54,AX34+1,AX34),IF(Instructions!$E$11=10,IF($H35=Instructions!$F$54,AX34+1,AX34),IF(Instructions!$E$11=12,IF($L35=Instructions!$F$54,AX34+1,AX34),IF(Instructions!$E$11=14,IF($P35=Instructions!$F$54,AX34+1,AX34),IF(Instructions!$E$11=16,IF($T35=Instructions!$F$54,AX34+1,AX34))))))</f>
        <v>0</v>
      </c>
      <c r="AY35" s="321" t="str">
        <f t="shared" si="12"/>
        <v>1300</v>
      </c>
      <c r="AZ35" s="321">
        <f>IF(Instructions!$E$11=8,IF($D35=Instructions!$F$55,AZ34+1,AZ34),IF(Instructions!$E$11=10,IF($H35=Instructions!$F$55,AZ34+1,AZ34),IF(Instructions!$E$11=12,IF($L35=Instructions!$F$55,AZ34+1,AZ34),IF(Instructions!$E$11=14,IF($P35=Instructions!$F$55,AZ34+1,AZ34),IF(Instructions!$E$11=16,IF($T35=Instructions!$F$55,AZ34+1,AZ34))))))</f>
        <v>0</v>
      </c>
      <c r="BA35" s="321" t="str">
        <f t="shared" si="13"/>
        <v>1400</v>
      </c>
      <c r="BB35" s="321">
        <f>IF(Instructions!$E$11=8,IF($D35=Instructions!$F$56,BB34+1,BB34),IF(Instructions!$E$11=10,IF($H35=Instructions!$F$56,BB34+1,BB34),IF(Instructions!$E$11=12,IF($L35=Instructions!$F$56,BB34+1,BB34),IF(Instructions!$E$11=14,IF($P35=Instructions!$F$56,BB34+1,BB34),IF(Instructions!$E$11=16,IF($T35=Instructions!$F$56,BB34+1,BB34))))))</f>
        <v>0</v>
      </c>
      <c r="BC35" s="321" t="str">
        <f t="shared" si="14"/>
        <v>1500</v>
      </c>
      <c r="BD35" s="321">
        <f>IF(Instructions!$E$11=8,IF($D35=Instructions!$F$57,BD34+1,BD34),IF(Instructions!$E$11=10,IF($H35=Instructions!$F$57,BD34+1,BD34),IF(Instructions!$E$11=12,IF($L35=Instructions!$F$57,BD34+1,BD34),IF(Instructions!$E$11=14,IF($P35=Instructions!$F$57,BD34+1,BD34),IF(Instructions!$E$11=16,IF($T35=Instructions!$F$57,BD34+1,BD34))))))</f>
        <v>0</v>
      </c>
      <c r="BE35" s="321" t="str">
        <f t="shared" si="15"/>
        <v>1600</v>
      </c>
      <c r="BF35" s="321">
        <v>33</v>
      </c>
    </row>
    <row r="36" spans="1:58" ht="15.75" customHeight="1" x14ac:dyDescent="0.25">
      <c r="A36" s="280"/>
      <c r="B36" s="323" t="str">
        <f>IF(Instructions!$J$11=1,AA36,IF(Instructions!$J$11=2,AC36,IF(Instructions!$J$11=3,AE36,IF(Instructions!$J$11=4,AG36,IF(Instructions!$J$11=5,AI36,IF(Instructions!$J$11=6,AK36,IF(Instructions!$J$11=7,AM36,IF(Instructions!$J$11=8,AO36,IF(Instructions!$J$11=9,AQ36,IF(Instructions!$J$11=10,AS36,IF(Instructions!$J$11=11,AU36,IF(Instructions!$J$11=12,AW36,IF(Instructions!$J$11=13, AY36, IF(Instructions!$J$11=14,BA36,IF(Instructions!$J$11=15,BC36,BE36)))))))))))))))</f>
        <v>203</v>
      </c>
      <c r="C36" s="272">
        <v>34</v>
      </c>
      <c r="D36" s="327" t="str">
        <f>Instructions!F$43</f>
        <v>Camden</v>
      </c>
      <c r="E36" s="332" t="s">
        <v>756</v>
      </c>
      <c r="F36" s="712"/>
      <c r="G36" s="498">
        <v>5</v>
      </c>
      <c r="H36" s="492" t="str">
        <f>Instructions!F$48</f>
        <v>Bui</v>
      </c>
      <c r="I36" s="274" t="s">
        <v>746</v>
      </c>
      <c r="J36" s="709"/>
      <c r="K36" s="279">
        <v>4</v>
      </c>
      <c r="L36" s="294" t="str">
        <f>Instructions!F$51</f>
        <v>Josh</v>
      </c>
      <c r="M36" s="274" t="s">
        <v>740</v>
      </c>
      <c r="N36" s="709"/>
      <c r="O36" s="279">
        <v>3</v>
      </c>
      <c r="P36" s="294" t="str">
        <f>Instructions!F$47</f>
        <v>Devin</v>
      </c>
      <c r="Q36" s="274" t="s">
        <v>736</v>
      </c>
      <c r="R36" s="709"/>
      <c r="S36" s="279">
        <v>3</v>
      </c>
      <c r="T36" s="327" t="str">
        <f>Instructions!F$43</f>
        <v>Camden</v>
      </c>
      <c r="U36" s="274" t="s">
        <v>732</v>
      </c>
      <c r="V36" s="706"/>
      <c r="W36" s="279">
        <v>3</v>
      </c>
      <c r="X36" s="280"/>
      <c r="Y36" s="190" t="str">
        <f>IFERROR( IF(Instructions!$E$11=8, D36&amp;COUNTIF(D$3:D36,D36), IF(Instructions!$E$11=10, H36&amp;COUNTIF(H$3:H36,H36),IF(Instructions!$E$11=12, L36&amp;COUNTIF(L$3:L36,L36),IF(Instructions!$E$11=14, P36&amp;COUNTIF(P$3:P36,P36),T36&amp;COUNTIF(T$3:T36,T36))))),"")</f>
        <v>Josh3</v>
      </c>
      <c r="Z36" s="321">
        <f>IF(Instructions!$E$11=8,IF($D36=Instructions!$F$42,Z35+1,Z35),IF(Instructions!$E$11=10,IF($H36=Instructions!$F$42,Z35+1,Z35),IF(Instructions!$E$11=12,IF($L36=Instructions!$F$42,Z35+1,Z35),IF(Instructions!$E$11=14,IF($P36=Instructions!$F$42,Z35+1,Z35),IF(Instructions!$E$11=16,IF($T36=Instructions!$F$42,Z35+1,Z35))))))</f>
        <v>3</v>
      </c>
      <c r="AA36" s="321" t="str">
        <f t="shared" si="8"/>
        <v>103</v>
      </c>
      <c r="AB36" s="321">
        <f>IF(Instructions!$E$11=8,IF($D36=Instructions!$F$43,AB35+1,AB35),IF(Instructions!$E$11=10,IF($H36=Instructions!$F$43,AB35+1,AB35),IF(Instructions!$E$11=12,IF($L36=Instructions!$F$43,AB35+1,AB35),IF(Instructions!$E$11=14,IF($P36=Instructions!$F$43,AB35+1,AB35),IF(Instructions!$E$11=16,IF($T36=Instructions!$F$43,AB35+1,AB35))))))</f>
        <v>3</v>
      </c>
      <c r="AC36" s="321" t="str">
        <f t="shared" si="0"/>
        <v>203</v>
      </c>
      <c r="AD36" s="321">
        <f>IF(Instructions!$E$11=8,IF($D36=Instructions!$F$44,AD35+1,AD35),IF(Instructions!$E$11=10,IF($H36=Instructions!$F$44,AD35+1,AD35),IF(Instructions!$E$11=12,IF($L36=Instructions!$F$44,AD35+1,AD35),IF(Instructions!$E$11=14,IF($P36=Instructions!$F$44,AD35+1,AD35),IF(Instructions!$E$11=16,IF($T36=Instructions!$F$44,AD35+1,AD35))))))</f>
        <v>3</v>
      </c>
      <c r="AE36" s="321" t="str">
        <f t="shared" si="1"/>
        <v>303</v>
      </c>
      <c r="AF36" s="321">
        <f>IF(Instructions!$E$11=8,IF($D36=Instructions!$F$45,AF35+1,AF35),IF(Instructions!$E$11=10,IF($H36=Instructions!$F$45,AF35+1,AF35),IF(Instructions!$E$11=12,IF($L36=Instructions!$F$45,AF35+1,AF35),IF(Instructions!$E$11=14,IF($P36=Instructions!$F$45,AF35+1,AF35),IF(Instructions!$E$11=16,IF($T36=Instructions!$F$45,AF35+1,AF35))))))</f>
        <v>3</v>
      </c>
      <c r="AG36" s="321" t="str">
        <f t="shared" si="2"/>
        <v>403</v>
      </c>
      <c r="AH36" s="321">
        <f>IF(Instructions!$E$11=8,IF($D36=Instructions!$F$46,AH35+1,AH35),IF(Instructions!$E$11=10,IF($H36=Instructions!$F$46,AH35+1,AH35),IF(Instructions!$E$11=12,IF($L36=Instructions!$F$46,AH35+1,AH35),IF(Instructions!$E$11=14,IF($P36=Instructions!$F$46,AH35+1,AH35),IF(Instructions!$E$11=16,IF($T36=Instructions!$F$46,AH35+1,AH35))))))</f>
        <v>3</v>
      </c>
      <c r="AI36" s="321" t="str">
        <f t="shared" si="3"/>
        <v>503</v>
      </c>
      <c r="AJ36" s="321">
        <f>IF(Instructions!$E$11=8,IF($D36=Instructions!$F$47,AJ35+1,AJ35),IF(Instructions!$E$11=10,IF($H36=Instructions!$F$47,AJ35+1,AJ35),IF(Instructions!$E$11=12,IF($L36=Instructions!$F$47,AJ35+1,AJ35),IF(Instructions!$E$11=14,IF($P36=Instructions!$F$47,AJ35+1,AJ35),IF(Instructions!$E$11=16,IF($T36=Instructions!$F$47,AJ35+1,AJ35))))))</f>
        <v>3</v>
      </c>
      <c r="AK36" s="321" t="str">
        <f t="shared" si="4"/>
        <v>603</v>
      </c>
      <c r="AL36" s="321">
        <f>IF(Instructions!$E$11=8,IF($D36=Instructions!$F$48,AL35+1,AL35),IF(Instructions!$E$11=10,IF($H36=Instructions!$F$48,AL35+1,AL35),IF(Instructions!$E$11=12,IF($L36=Instructions!$F$48,AL35+1,AL35),IF(Instructions!$E$11=14,IF($P36=Instructions!$F$48,AL35+1,AL35),IF(Instructions!$E$11=16,IF($T36=Instructions!$F$48,AL35+1,AL35))))))</f>
        <v>3</v>
      </c>
      <c r="AM36" s="321" t="str">
        <f t="shared" si="5"/>
        <v>703</v>
      </c>
      <c r="AN36" s="321">
        <f>IF(Instructions!$E$11=8,IF($D36=Instructions!$F$49,AN35+1,AN35),IF(Instructions!$E$11=10,IF($H36=Instructions!$F$49,AN35+1,AN35),IF(Instructions!$E$11=12,IF($L36=Instructions!$F$49,AN35+1,AN35),IF(Instructions!$E$11=14,IF($P36=Instructions!$F$49,AN35+1,AN35),IF(Instructions!$E$11=16,IF($T36=Instructions!$F$49,AN35+1,AN35))))))</f>
        <v>3</v>
      </c>
      <c r="AO36" s="321" t="str">
        <f t="shared" si="6"/>
        <v>803</v>
      </c>
      <c r="AP36" s="321">
        <f>IF(Instructions!$E$11=8,IF($D36=Instructions!$F$50,AP35+1,AP35),IF(Instructions!$E$11=10,IF($H36=Instructions!$F$50,AP35+1,AP35),IF(Instructions!$E$11=12,IF($L36=Instructions!$F$50,AP35+1,AP35),IF(Instructions!$E$11=14,IF($P36=Instructions!$F$50,AP35+1,AP35),IF(Instructions!$E$11=16,IF($T36=Instructions!$F$50,AP35+1,AP35))))))</f>
        <v>3</v>
      </c>
      <c r="AQ36" s="321" t="str">
        <f t="shared" si="7"/>
        <v>903</v>
      </c>
      <c r="AR36" s="321">
        <f>IF(Instructions!$E$11=8,IF($D36=Instructions!$F$51,AR35+1,AR35),IF(Instructions!$E$11=10,IF($H36=Instructions!$F$51,AR35+1,AR35),IF(Instructions!$E$11=12,IF($L36=Instructions!$F$51,AR35+1,AR35),IF(Instructions!$E$11=14,IF($P36=Instructions!$F$51,AR35+1,AR35),IF(Instructions!$E$11=16,IF($T36=Instructions!$F$51,AR35+1,AR35))))))</f>
        <v>3</v>
      </c>
      <c r="AS36" s="321" t="str">
        <f t="shared" si="9"/>
        <v>1003</v>
      </c>
      <c r="AT36" s="321">
        <f>IF(Instructions!$E$11=8,IF($D36=Instructions!$F$52,AT35+1,AT35),IF(Instructions!$E$11=10,IF($H36=Instructions!$F$52,AT35+1,AT35),IF(Instructions!$E$11=12,IF($L36=Instructions!$F$52,AT35+1,AT35),IF(Instructions!$E$11=14,IF($P36=Instructions!$F$52,AT35+1,AT35),IF(Instructions!$E$11=16,IF($T36=Instructions!$F$52,AT35+1,AT35))))))</f>
        <v>2</v>
      </c>
      <c r="AU36" s="321" t="str">
        <f t="shared" si="10"/>
        <v>1102</v>
      </c>
      <c r="AV36" s="321">
        <f>IF(Instructions!$E$11=8,IF($D36=Instructions!$F$53,AV35+1,AV35),IF(Instructions!$E$11=10,IF($H36=Instructions!$F$53,AV35+1,AV35),IF(Instructions!$E$11=12,IF($L36=Instructions!$F$53,AV35+1,AV35),IF(Instructions!$E$11=14,IF($P36=Instructions!$F$53,AV35+1,AV35),IF(Instructions!$E$11=16,IF($T36=Instructions!$F$53,AV35+1,AV35))))))</f>
        <v>2</v>
      </c>
      <c r="AW36" s="321" t="str">
        <f t="shared" si="11"/>
        <v>1202</v>
      </c>
      <c r="AX36" s="321">
        <f>IF(Instructions!$E$11=8,IF($D36=Instructions!$F$54,AX35+1,AX35),IF(Instructions!$E$11=10,IF($H36=Instructions!$F$54,AX35+1,AX35),IF(Instructions!$E$11=12,IF($L36=Instructions!$F$54,AX35+1,AX35),IF(Instructions!$E$11=14,IF($P36=Instructions!$F$54,AX35+1,AX35),IF(Instructions!$E$11=16,IF($T36=Instructions!$F$54,AX35+1,AX35))))))</f>
        <v>0</v>
      </c>
      <c r="AY36" s="321" t="str">
        <f t="shared" si="12"/>
        <v>1300</v>
      </c>
      <c r="AZ36" s="321">
        <f>IF(Instructions!$E$11=8,IF($D36=Instructions!$F$55,AZ35+1,AZ35),IF(Instructions!$E$11=10,IF($H36=Instructions!$F$55,AZ35+1,AZ35),IF(Instructions!$E$11=12,IF($L36=Instructions!$F$55,AZ35+1,AZ35),IF(Instructions!$E$11=14,IF($P36=Instructions!$F$55,AZ35+1,AZ35),IF(Instructions!$E$11=16,IF($T36=Instructions!$F$55,AZ35+1,AZ35))))))</f>
        <v>0</v>
      </c>
      <c r="BA36" s="321" t="str">
        <f t="shared" si="13"/>
        <v>1400</v>
      </c>
      <c r="BB36" s="321">
        <f>IF(Instructions!$E$11=8,IF($D36=Instructions!$F$56,BB35+1,BB35),IF(Instructions!$E$11=10,IF($H36=Instructions!$F$56,BB35+1,BB35),IF(Instructions!$E$11=12,IF($L36=Instructions!$F$56,BB35+1,BB35),IF(Instructions!$E$11=14,IF($P36=Instructions!$F$56,BB35+1,BB35),IF(Instructions!$E$11=16,IF($T36=Instructions!$F$56,BB35+1,BB35))))))</f>
        <v>0</v>
      </c>
      <c r="BC36" s="321" t="str">
        <f t="shared" si="14"/>
        <v>1500</v>
      </c>
      <c r="BD36" s="321">
        <f>IF(Instructions!$E$11=8,IF($D36=Instructions!$F$57,BD35+1,BD35),IF(Instructions!$E$11=10,IF($H36=Instructions!$F$57,BD35+1,BD35),IF(Instructions!$E$11=12,IF($L36=Instructions!$F$57,BD35+1,BD35),IF(Instructions!$E$11=14,IF($P36=Instructions!$F$57,BD35+1,BD35),IF(Instructions!$E$11=16,IF($T36=Instructions!$F$57,BD35+1,BD35))))))</f>
        <v>0</v>
      </c>
      <c r="BE36" s="321" t="str">
        <f t="shared" si="15"/>
        <v>1600</v>
      </c>
      <c r="BF36" s="321">
        <v>34</v>
      </c>
    </row>
    <row r="37" spans="1:58" ht="15.75" customHeight="1" x14ac:dyDescent="0.25">
      <c r="A37" s="280"/>
      <c r="B37" s="323" t="str">
        <f>IF(Instructions!$J$11=1,AA37,IF(Instructions!$J$11=2,AC37,IF(Instructions!$J$11=3,AE37,IF(Instructions!$J$11=4,AG37,IF(Instructions!$J$11=5,AI37,IF(Instructions!$J$11=6,AK37,IF(Instructions!$J$11=7,AM37,IF(Instructions!$J$11=8,AO37,IF(Instructions!$J$11=9,AQ37,IF(Instructions!$J$11=10,AS37,IF(Instructions!$J$11=11,AU37,IF(Instructions!$J$11=12,AW37,IF(Instructions!$J$11=13, AY37, IF(Instructions!$J$11=14,BA37,IF(Instructions!$J$11=15,BC37,BE37)))))))))))))))</f>
        <v>203</v>
      </c>
      <c r="C37" s="271">
        <v>35</v>
      </c>
      <c r="D37" s="328" t="str">
        <f>Instructions!F$44</f>
        <v>Cam</v>
      </c>
      <c r="E37" s="333" t="s">
        <v>757</v>
      </c>
      <c r="F37" s="712"/>
      <c r="G37" s="498">
        <v>5</v>
      </c>
      <c r="H37" s="491" t="str">
        <f>Instructions!F$47</f>
        <v>Devin</v>
      </c>
      <c r="I37" s="273" t="s">
        <v>747</v>
      </c>
      <c r="J37" s="709"/>
      <c r="K37" s="279">
        <v>4</v>
      </c>
      <c r="L37" s="293" t="str">
        <f>Instructions!F$52</f>
        <v>Big R</v>
      </c>
      <c r="M37" s="273" t="s">
        <v>741</v>
      </c>
      <c r="N37" s="709"/>
      <c r="O37" s="279">
        <v>3</v>
      </c>
      <c r="P37" s="293" t="str">
        <f>Instructions!F$48</f>
        <v>Bui</v>
      </c>
      <c r="Q37" s="273" t="s">
        <v>737</v>
      </c>
      <c r="R37" s="709"/>
      <c r="S37" s="279">
        <v>3</v>
      </c>
      <c r="T37" s="328" t="str">
        <f>Instructions!F$44</f>
        <v>Cam</v>
      </c>
      <c r="U37" s="273" t="s">
        <v>733</v>
      </c>
      <c r="V37" s="706"/>
      <c r="W37" s="279">
        <v>3</v>
      </c>
      <c r="X37" s="280"/>
      <c r="Y37" s="190" t="str">
        <f>IFERROR( IF(Instructions!$E$11=8, D37&amp;COUNTIF(D$3:D37,D37), IF(Instructions!$E$11=10, H37&amp;COUNTIF(H$3:H37,H37),IF(Instructions!$E$11=12, L37&amp;COUNTIF(L$3:L37,L37),IF(Instructions!$E$11=14, P37&amp;COUNTIF(P$3:P37,P37),T37&amp;COUNTIF(T$3:T37,T37))))),"")</f>
        <v>Big R3</v>
      </c>
      <c r="Z37" s="321">
        <f>IF(Instructions!$E$11=8,IF($D37=Instructions!$F$42,Z36+1,Z36),IF(Instructions!$E$11=10,IF($H37=Instructions!$F$42,Z36+1,Z36),IF(Instructions!$E$11=12,IF($L37=Instructions!$F$42,Z36+1,Z36),IF(Instructions!$E$11=14,IF($P37=Instructions!$F$42,Z36+1,Z36),IF(Instructions!$E$11=16,IF($T37=Instructions!$F$42,Z36+1,Z36))))))</f>
        <v>3</v>
      </c>
      <c r="AA37" s="321" t="str">
        <f t="shared" si="8"/>
        <v>103</v>
      </c>
      <c r="AB37" s="321">
        <f>IF(Instructions!$E$11=8,IF($D37=Instructions!$F$43,AB36+1,AB36),IF(Instructions!$E$11=10,IF($H37=Instructions!$F$43,AB36+1,AB36),IF(Instructions!$E$11=12,IF($L37=Instructions!$F$43,AB36+1,AB36),IF(Instructions!$E$11=14,IF($P37=Instructions!$F$43,AB36+1,AB36),IF(Instructions!$E$11=16,IF($T37=Instructions!$F$43,AB36+1,AB36))))))</f>
        <v>3</v>
      </c>
      <c r="AC37" s="321" t="str">
        <f t="shared" si="0"/>
        <v>203</v>
      </c>
      <c r="AD37" s="321">
        <f>IF(Instructions!$E$11=8,IF($D37=Instructions!$F$44,AD36+1,AD36),IF(Instructions!$E$11=10,IF($H37=Instructions!$F$44,AD36+1,AD36),IF(Instructions!$E$11=12,IF($L37=Instructions!$F$44,AD36+1,AD36),IF(Instructions!$E$11=14,IF($P37=Instructions!$F$44,AD36+1,AD36),IF(Instructions!$E$11=16,IF($T37=Instructions!$F$44,AD36+1,AD36))))))</f>
        <v>3</v>
      </c>
      <c r="AE37" s="321" t="str">
        <f t="shared" si="1"/>
        <v>303</v>
      </c>
      <c r="AF37" s="321">
        <f>IF(Instructions!$E$11=8,IF($D37=Instructions!$F$45,AF36+1,AF36),IF(Instructions!$E$11=10,IF($H37=Instructions!$F$45,AF36+1,AF36),IF(Instructions!$E$11=12,IF($L37=Instructions!$F$45,AF36+1,AF36),IF(Instructions!$E$11=14,IF($P37=Instructions!$F$45,AF36+1,AF36),IF(Instructions!$E$11=16,IF($T37=Instructions!$F$45,AF36+1,AF36))))))</f>
        <v>3</v>
      </c>
      <c r="AG37" s="321" t="str">
        <f t="shared" si="2"/>
        <v>403</v>
      </c>
      <c r="AH37" s="321">
        <f>IF(Instructions!$E$11=8,IF($D37=Instructions!$F$46,AH36+1,AH36),IF(Instructions!$E$11=10,IF($H37=Instructions!$F$46,AH36+1,AH36),IF(Instructions!$E$11=12,IF($L37=Instructions!$F$46,AH36+1,AH36),IF(Instructions!$E$11=14,IF($P37=Instructions!$F$46,AH36+1,AH36),IF(Instructions!$E$11=16,IF($T37=Instructions!$F$46,AH36+1,AH36))))))</f>
        <v>3</v>
      </c>
      <c r="AI37" s="321" t="str">
        <f t="shared" si="3"/>
        <v>503</v>
      </c>
      <c r="AJ37" s="321">
        <f>IF(Instructions!$E$11=8,IF($D37=Instructions!$F$47,AJ36+1,AJ36),IF(Instructions!$E$11=10,IF($H37=Instructions!$F$47,AJ36+1,AJ36),IF(Instructions!$E$11=12,IF($L37=Instructions!$F$47,AJ36+1,AJ36),IF(Instructions!$E$11=14,IF($P37=Instructions!$F$47,AJ36+1,AJ36),IF(Instructions!$E$11=16,IF($T37=Instructions!$F$47,AJ36+1,AJ36))))))</f>
        <v>3</v>
      </c>
      <c r="AK37" s="321" t="str">
        <f t="shared" si="4"/>
        <v>603</v>
      </c>
      <c r="AL37" s="321">
        <f>IF(Instructions!$E$11=8,IF($D37=Instructions!$F$48,AL36+1,AL36),IF(Instructions!$E$11=10,IF($H37=Instructions!$F$48,AL36+1,AL36),IF(Instructions!$E$11=12,IF($L37=Instructions!$F$48,AL36+1,AL36),IF(Instructions!$E$11=14,IF($P37=Instructions!$F$48,AL36+1,AL36),IF(Instructions!$E$11=16,IF($T37=Instructions!$F$48,AL36+1,AL36))))))</f>
        <v>3</v>
      </c>
      <c r="AM37" s="321" t="str">
        <f t="shared" si="5"/>
        <v>703</v>
      </c>
      <c r="AN37" s="321">
        <f>IF(Instructions!$E$11=8,IF($D37=Instructions!$F$49,AN36+1,AN36),IF(Instructions!$E$11=10,IF($H37=Instructions!$F$49,AN36+1,AN36),IF(Instructions!$E$11=12,IF($L37=Instructions!$F$49,AN36+1,AN36),IF(Instructions!$E$11=14,IF($P37=Instructions!$F$49,AN36+1,AN36),IF(Instructions!$E$11=16,IF($T37=Instructions!$F$49,AN36+1,AN36))))))</f>
        <v>3</v>
      </c>
      <c r="AO37" s="321" t="str">
        <f t="shared" si="6"/>
        <v>803</v>
      </c>
      <c r="AP37" s="321">
        <f>IF(Instructions!$E$11=8,IF($D37=Instructions!$F$50,AP36+1,AP36),IF(Instructions!$E$11=10,IF($H37=Instructions!$F$50,AP36+1,AP36),IF(Instructions!$E$11=12,IF($L37=Instructions!$F$50,AP36+1,AP36),IF(Instructions!$E$11=14,IF($P37=Instructions!$F$50,AP36+1,AP36),IF(Instructions!$E$11=16,IF($T37=Instructions!$F$50,AP36+1,AP36))))))</f>
        <v>3</v>
      </c>
      <c r="AQ37" s="321" t="str">
        <f t="shared" si="7"/>
        <v>903</v>
      </c>
      <c r="AR37" s="321">
        <f>IF(Instructions!$E$11=8,IF($D37=Instructions!$F$51,AR36+1,AR36),IF(Instructions!$E$11=10,IF($H37=Instructions!$F$51,AR36+1,AR36),IF(Instructions!$E$11=12,IF($L37=Instructions!$F$51,AR36+1,AR36),IF(Instructions!$E$11=14,IF($P37=Instructions!$F$51,AR36+1,AR36),IF(Instructions!$E$11=16,IF($T37=Instructions!$F$51,AR36+1,AR36))))))</f>
        <v>3</v>
      </c>
      <c r="AS37" s="321" t="str">
        <f t="shared" si="9"/>
        <v>1003</v>
      </c>
      <c r="AT37" s="321">
        <f>IF(Instructions!$E$11=8,IF($D37=Instructions!$F$52,AT36+1,AT36),IF(Instructions!$E$11=10,IF($H37=Instructions!$F$52,AT36+1,AT36),IF(Instructions!$E$11=12,IF($L37=Instructions!$F$52,AT36+1,AT36),IF(Instructions!$E$11=14,IF($P37=Instructions!$F$52,AT36+1,AT36),IF(Instructions!$E$11=16,IF($T37=Instructions!$F$52,AT36+1,AT36))))))</f>
        <v>3</v>
      </c>
      <c r="AU37" s="321" t="str">
        <f t="shared" si="10"/>
        <v>1103</v>
      </c>
      <c r="AV37" s="321">
        <f>IF(Instructions!$E$11=8,IF($D37=Instructions!$F$53,AV36+1,AV36),IF(Instructions!$E$11=10,IF($H37=Instructions!$F$53,AV36+1,AV36),IF(Instructions!$E$11=12,IF($L37=Instructions!$F$53,AV36+1,AV36),IF(Instructions!$E$11=14,IF($P37=Instructions!$F$53,AV36+1,AV36),IF(Instructions!$E$11=16,IF($T37=Instructions!$F$53,AV36+1,AV36))))))</f>
        <v>2</v>
      </c>
      <c r="AW37" s="321" t="str">
        <f t="shared" si="11"/>
        <v>1202</v>
      </c>
      <c r="AX37" s="321">
        <f>IF(Instructions!$E$11=8,IF($D37=Instructions!$F$54,AX36+1,AX36),IF(Instructions!$E$11=10,IF($H37=Instructions!$F$54,AX36+1,AX36),IF(Instructions!$E$11=12,IF($L37=Instructions!$F$54,AX36+1,AX36),IF(Instructions!$E$11=14,IF($P37=Instructions!$F$54,AX36+1,AX36),IF(Instructions!$E$11=16,IF($T37=Instructions!$F$54,AX36+1,AX36))))))</f>
        <v>0</v>
      </c>
      <c r="AY37" s="321" t="str">
        <f t="shared" si="12"/>
        <v>1300</v>
      </c>
      <c r="AZ37" s="321">
        <f>IF(Instructions!$E$11=8,IF($D37=Instructions!$F$55,AZ36+1,AZ36),IF(Instructions!$E$11=10,IF($H37=Instructions!$F$55,AZ36+1,AZ36),IF(Instructions!$E$11=12,IF($L37=Instructions!$F$55,AZ36+1,AZ36),IF(Instructions!$E$11=14,IF($P37=Instructions!$F$55,AZ36+1,AZ36),IF(Instructions!$E$11=16,IF($T37=Instructions!$F$55,AZ36+1,AZ36))))))</f>
        <v>0</v>
      </c>
      <c r="BA37" s="321" t="str">
        <f t="shared" si="13"/>
        <v>1400</v>
      </c>
      <c r="BB37" s="321">
        <f>IF(Instructions!$E$11=8,IF($D37=Instructions!$F$56,BB36+1,BB36),IF(Instructions!$E$11=10,IF($H37=Instructions!$F$56,BB36+1,BB36),IF(Instructions!$E$11=12,IF($L37=Instructions!$F$56,BB36+1,BB36),IF(Instructions!$E$11=14,IF($P37=Instructions!$F$56,BB36+1,BB36),IF(Instructions!$E$11=16,IF($T37=Instructions!$F$56,BB36+1,BB36))))))</f>
        <v>0</v>
      </c>
      <c r="BC37" s="321" t="str">
        <f t="shared" si="14"/>
        <v>1500</v>
      </c>
      <c r="BD37" s="321">
        <f>IF(Instructions!$E$11=8,IF($D37=Instructions!$F$57,BD36+1,BD36),IF(Instructions!$E$11=10,IF($H37=Instructions!$F$57,BD36+1,BD36),IF(Instructions!$E$11=12,IF($L37=Instructions!$F$57,BD36+1,BD36),IF(Instructions!$E$11=14,IF($P37=Instructions!$F$57,BD36+1,BD36),IF(Instructions!$E$11=16,IF($T37=Instructions!$F$57,BD36+1,BD36))))))</f>
        <v>0</v>
      </c>
      <c r="BE37" s="321" t="str">
        <f t="shared" si="15"/>
        <v>1600</v>
      </c>
      <c r="BF37" s="321">
        <v>35</v>
      </c>
    </row>
    <row r="38" spans="1:58" ht="15.75" customHeight="1" thickBot="1" x14ac:dyDescent="0.3">
      <c r="A38" s="280"/>
      <c r="B38" s="323" t="str">
        <f>IF(Instructions!$J$11=1,AA38,IF(Instructions!$J$11=2,AC38,IF(Instructions!$J$11=3,AE38,IF(Instructions!$J$11=4,AG38,IF(Instructions!$J$11=5,AI38,IF(Instructions!$J$11=6,AK38,IF(Instructions!$J$11=7,AM38,IF(Instructions!$J$11=8,AO38,IF(Instructions!$J$11=9,AQ38,IF(Instructions!$J$11=10,AS38,IF(Instructions!$J$11=11,AU38,IF(Instructions!$J$11=12,AW38,IF(Instructions!$J$11=13, AY38, IF(Instructions!$J$11=14,BA38,IF(Instructions!$J$11=15,BC38,BE38)))))))))))))))</f>
        <v>203</v>
      </c>
      <c r="C38" s="272">
        <v>36</v>
      </c>
      <c r="D38" s="327" t="str">
        <f>Instructions!F$45</f>
        <v>Miles</v>
      </c>
      <c r="E38" s="332" t="s">
        <v>758</v>
      </c>
      <c r="F38" s="712"/>
      <c r="G38" s="498">
        <v>5</v>
      </c>
      <c r="H38" s="492" t="str">
        <f>Instructions!F$46</f>
        <v>Con</v>
      </c>
      <c r="I38" s="274" t="s">
        <v>748</v>
      </c>
      <c r="J38" s="709"/>
      <c r="K38" s="279">
        <v>4</v>
      </c>
      <c r="L38" s="295" t="str">
        <f>Instructions!F$53</f>
        <v>Zack</v>
      </c>
      <c r="M38" s="277" t="s">
        <v>742</v>
      </c>
      <c r="N38" s="710"/>
      <c r="O38" s="279">
        <v>3</v>
      </c>
      <c r="P38" s="294" t="str">
        <f>Instructions!F$49</f>
        <v>Luke</v>
      </c>
      <c r="Q38" s="274" t="s">
        <v>738</v>
      </c>
      <c r="R38" s="709"/>
      <c r="S38" s="279">
        <v>3</v>
      </c>
      <c r="T38" s="327" t="str">
        <f>Instructions!F$45</f>
        <v>Miles</v>
      </c>
      <c r="U38" s="274" t="s">
        <v>734</v>
      </c>
      <c r="V38" s="706"/>
      <c r="W38" s="279">
        <v>3</v>
      </c>
      <c r="X38" s="280"/>
      <c r="Y38" s="190" t="str">
        <f>IFERROR( IF(Instructions!$E$11=8, D38&amp;COUNTIF(D$3:D38,D38), IF(Instructions!$E$11=10, H38&amp;COUNTIF(H$3:H38,H38),IF(Instructions!$E$11=12, L38&amp;COUNTIF(L$3:L38,L38),IF(Instructions!$E$11=14, P38&amp;COUNTIF(P$3:P38,P38),T38&amp;COUNTIF(T$3:T38,T38))))),"")</f>
        <v>Zack3</v>
      </c>
      <c r="Z38" s="321">
        <f>IF(Instructions!$E$11=8,IF($D38=Instructions!$F$42,Z37+1,Z37),IF(Instructions!$E$11=10,IF($H38=Instructions!$F$42,Z37+1,Z37),IF(Instructions!$E$11=12,IF($L38=Instructions!$F$42,Z37+1,Z37),IF(Instructions!$E$11=14,IF($P38=Instructions!$F$42,Z37+1,Z37),IF(Instructions!$E$11=16,IF($T38=Instructions!$F$42,Z37+1,Z37))))))</f>
        <v>3</v>
      </c>
      <c r="AA38" s="321" t="str">
        <f t="shared" si="8"/>
        <v>103</v>
      </c>
      <c r="AB38" s="321">
        <f>IF(Instructions!$E$11=8,IF($D38=Instructions!$F$43,AB37+1,AB37),IF(Instructions!$E$11=10,IF($H38=Instructions!$F$43,AB37+1,AB37),IF(Instructions!$E$11=12,IF($L38=Instructions!$F$43,AB37+1,AB37),IF(Instructions!$E$11=14,IF($P38=Instructions!$F$43,AB37+1,AB37),IF(Instructions!$E$11=16,IF($T38=Instructions!$F$43,AB37+1,AB37))))))</f>
        <v>3</v>
      </c>
      <c r="AC38" s="321" t="str">
        <f t="shared" si="0"/>
        <v>203</v>
      </c>
      <c r="AD38" s="321">
        <f>IF(Instructions!$E$11=8,IF($D38=Instructions!$F$44,AD37+1,AD37),IF(Instructions!$E$11=10,IF($H38=Instructions!$F$44,AD37+1,AD37),IF(Instructions!$E$11=12,IF($L38=Instructions!$F$44,AD37+1,AD37),IF(Instructions!$E$11=14,IF($P38=Instructions!$F$44,AD37+1,AD37),IF(Instructions!$E$11=16,IF($T38=Instructions!$F$44,AD37+1,AD37))))))</f>
        <v>3</v>
      </c>
      <c r="AE38" s="321" t="str">
        <f t="shared" si="1"/>
        <v>303</v>
      </c>
      <c r="AF38" s="321">
        <f>IF(Instructions!$E$11=8,IF($D38=Instructions!$F$45,AF37+1,AF37),IF(Instructions!$E$11=10,IF($H38=Instructions!$F$45,AF37+1,AF37),IF(Instructions!$E$11=12,IF($L38=Instructions!$F$45,AF37+1,AF37),IF(Instructions!$E$11=14,IF($P38=Instructions!$F$45,AF37+1,AF37),IF(Instructions!$E$11=16,IF($T38=Instructions!$F$45,AF37+1,AF37))))))</f>
        <v>3</v>
      </c>
      <c r="AG38" s="321" t="str">
        <f t="shared" si="2"/>
        <v>403</v>
      </c>
      <c r="AH38" s="321">
        <f>IF(Instructions!$E$11=8,IF($D38=Instructions!$F$46,AH37+1,AH37),IF(Instructions!$E$11=10,IF($H38=Instructions!$F$46,AH37+1,AH37),IF(Instructions!$E$11=12,IF($L38=Instructions!$F$46,AH37+1,AH37),IF(Instructions!$E$11=14,IF($P38=Instructions!$F$46,AH37+1,AH37),IF(Instructions!$E$11=16,IF($T38=Instructions!$F$46,AH37+1,AH37))))))</f>
        <v>3</v>
      </c>
      <c r="AI38" s="321" t="str">
        <f t="shared" si="3"/>
        <v>503</v>
      </c>
      <c r="AJ38" s="321">
        <f>IF(Instructions!$E$11=8,IF($D38=Instructions!$F$47,AJ37+1,AJ37),IF(Instructions!$E$11=10,IF($H38=Instructions!$F$47,AJ37+1,AJ37),IF(Instructions!$E$11=12,IF($L38=Instructions!$F$47,AJ37+1,AJ37),IF(Instructions!$E$11=14,IF($P38=Instructions!$F$47,AJ37+1,AJ37),IF(Instructions!$E$11=16,IF($T38=Instructions!$F$47,AJ37+1,AJ37))))))</f>
        <v>3</v>
      </c>
      <c r="AK38" s="321" t="str">
        <f t="shared" si="4"/>
        <v>603</v>
      </c>
      <c r="AL38" s="321">
        <f>IF(Instructions!$E$11=8,IF($D38=Instructions!$F$48,AL37+1,AL37),IF(Instructions!$E$11=10,IF($H38=Instructions!$F$48,AL37+1,AL37),IF(Instructions!$E$11=12,IF($L38=Instructions!$F$48,AL37+1,AL37),IF(Instructions!$E$11=14,IF($P38=Instructions!$F$48,AL37+1,AL37),IF(Instructions!$E$11=16,IF($T38=Instructions!$F$48,AL37+1,AL37))))))</f>
        <v>3</v>
      </c>
      <c r="AM38" s="321" t="str">
        <f t="shared" si="5"/>
        <v>703</v>
      </c>
      <c r="AN38" s="321">
        <f>IF(Instructions!$E$11=8,IF($D38=Instructions!$F$49,AN37+1,AN37),IF(Instructions!$E$11=10,IF($H38=Instructions!$F$49,AN37+1,AN37),IF(Instructions!$E$11=12,IF($L38=Instructions!$F$49,AN37+1,AN37),IF(Instructions!$E$11=14,IF($P38=Instructions!$F$49,AN37+1,AN37),IF(Instructions!$E$11=16,IF($T38=Instructions!$F$49,AN37+1,AN37))))))</f>
        <v>3</v>
      </c>
      <c r="AO38" s="321" t="str">
        <f t="shared" si="6"/>
        <v>803</v>
      </c>
      <c r="AP38" s="321">
        <f>IF(Instructions!$E$11=8,IF($D38=Instructions!$F$50,AP37+1,AP37),IF(Instructions!$E$11=10,IF($H38=Instructions!$F$50,AP37+1,AP37),IF(Instructions!$E$11=12,IF($L38=Instructions!$F$50,AP37+1,AP37),IF(Instructions!$E$11=14,IF($P38=Instructions!$F$50,AP37+1,AP37),IF(Instructions!$E$11=16,IF($T38=Instructions!$F$50,AP37+1,AP37))))))</f>
        <v>3</v>
      </c>
      <c r="AQ38" s="321" t="str">
        <f t="shared" si="7"/>
        <v>903</v>
      </c>
      <c r="AR38" s="321">
        <f>IF(Instructions!$E$11=8,IF($D38=Instructions!$F$51,AR37+1,AR37),IF(Instructions!$E$11=10,IF($H38=Instructions!$F$51,AR37+1,AR37),IF(Instructions!$E$11=12,IF($L38=Instructions!$F$51,AR37+1,AR37),IF(Instructions!$E$11=14,IF($P38=Instructions!$F$51,AR37+1,AR37),IF(Instructions!$E$11=16,IF($T38=Instructions!$F$51,AR37+1,AR37))))))</f>
        <v>3</v>
      </c>
      <c r="AS38" s="321" t="str">
        <f t="shared" si="9"/>
        <v>1003</v>
      </c>
      <c r="AT38" s="321">
        <f>IF(Instructions!$E$11=8,IF($D38=Instructions!$F$52,AT37+1,AT37),IF(Instructions!$E$11=10,IF($H38=Instructions!$F$52,AT37+1,AT37),IF(Instructions!$E$11=12,IF($L38=Instructions!$F$52,AT37+1,AT37),IF(Instructions!$E$11=14,IF($P38=Instructions!$F$52,AT37+1,AT37),IF(Instructions!$E$11=16,IF($T38=Instructions!$F$52,AT37+1,AT37))))))</f>
        <v>3</v>
      </c>
      <c r="AU38" s="321" t="str">
        <f t="shared" si="10"/>
        <v>1103</v>
      </c>
      <c r="AV38" s="321">
        <f>IF(Instructions!$E$11=8,IF($D38=Instructions!$F$53,AV37+1,AV37),IF(Instructions!$E$11=10,IF($H38=Instructions!$F$53,AV37+1,AV37),IF(Instructions!$E$11=12,IF($L38=Instructions!$F$53,AV37+1,AV37),IF(Instructions!$E$11=14,IF($P38=Instructions!$F$53,AV37+1,AV37),IF(Instructions!$E$11=16,IF($T38=Instructions!$F$53,AV37+1,AV37))))))</f>
        <v>3</v>
      </c>
      <c r="AW38" s="321" t="str">
        <f t="shared" si="11"/>
        <v>1203</v>
      </c>
      <c r="AX38" s="321">
        <f>IF(Instructions!$E$11=8,IF($D38=Instructions!$F$54,AX37+1,AX37),IF(Instructions!$E$11=10,IF($H38=Instructions!$F$54,AX37+1,AX37),IF(Instructions!$E$11=12,IF($L38=Instructions!$F$54,AX37+1,AX37),IF(Instructions!$E$11=14,IF($P38=Instructions!$F$54,AX37+1,AX37),IF(Instructions!$E$11=16,IF($T38=Instructions!$F$54,AX37+1,AX37))))))</f>
        <v>0</v>
      </c>
      <c r="AY38" s="321" t="str">
        <f t="shared" si="12"/>
        <v>1300</v>
      </c>
      <c r="AZ38" s="321">
        <f>IF(Instructions!$E$11=8,IF($D38=Instructions!$F$55,AZ37+1,AZ37),IF(Instructions!$E$11=10,IF($H38=Instructions!$F$55,AZ37+1,AZ37),IF(Instructions!$E$11=12,IF($L38=Instructions!$F$55,AZ37+1,AZ37),IF(Instructions!$E$11=14,IF($P38=Instructions!$F$55,AZ37+1,AZ37),IF(Instructions!$E$11=16,IF($T38=Instructions!$F$55,AZ37+1,AZ37))))))</f>
        <v>0</v>
      </c>
      <c r="BA38" s="321" t="str">
        <f t="shared" si="13"/>
        <v>1400</v>
      </c>
      <c r="BB38" s="321">
        <f>IF(Instructions!$E$11=8,IF($D38=Instructions!$F$56,BB37+1,BB37),IF(Instructions!$E$11=10,IF($H38=Instructions!$F$56,BB37+1,BB37),IF(Instructions!$E$11=12,IF($L38=Instructions!$F$56,BB37+1,BB37),IF(Instructions!$E$11=14,IF($P38=Instructions!$F$56,BB37+1,BB37),IF(Instructions!$E$11=16,IF($T38=Instructions!$F$56,BB37+1,BB37))))))</f>
        <v>0</v>
      </c>
      <c r="BC38" s="321" t="str">
        <f t="shared" si="14"/>
        <v>1500</v>
      </c>
      <c r="BD38" s="321">
        <f>IF(Instructions!$E$11=8,IF($D38=Instructions!$F$57,BD37+1,BD37),IF(Instructions!$E$11=10,IF($H38=Instructions!$F$57,BD37+1,BD37),IF(Instructions!$E$11=12,IF($L38=Instructions!$F$57,BD37+1,BD37),IF(Instructions!$E$11=14,IF($P38=Instructions!$F$57,BD37+1,BD37),IF(Instructions!$E$11=16,IF($T38=Instructions!$F$57,BD37+1,BD37))))))</f>
        <v>0</v>
      </c>
      <c r="BE38" s="321" t="str">
        <f t="shared" si="15"/>
        <v>1600</v>
      </c>
      <c r="BF38" s="321">
        <v>36</v>
      </c>
    </row>
    <row r="39" spans="1:58" ht="15" customHeight="1" x14ac:dyDescent="0.25">
      <c r="A39" s="280"/>
      <c r="B39" s="323" t="str">
        <f>IF(Instructions!$J$11=1,AA39,IF(Instructions!$J$11=2,AC39,IF(Instructions!$J$11=3,AE39,IF(Instructions!$J$11=4,AG39,IF(Instructions!$J$11=5,AI39,IF(Instructions!$J$11=6,AK39,IF(Instructions!$J$11=7,AM39,IF(Instructions!$J$11=8,AO39,IF(Instructions!$J$11=9,AQ39,IF(Instructions!$J$11=10,AS39,IF(Instructions!$J$11=11,AU39,IF(Instructions!$J$11=12,AW39,IF(Instructions!$J$11=13, AY39, IF(Instructions!$J$11=14,BA39,IF(Instructions!$J$11=15,BC39,BE39)))))))))))))))</f>
        <v>203</v>
      </c>
      <c r="C39" s="271">
        <v>37</v>
      </c>
      <c r="D39" s="328" t="str">
        <f>Instructions!F$46</f>
        <v>Con</v>
      </c>
      <c r="E39" s="333" t="s">
        <v>759</v>
      </c>
      <c r="F39" s="712"/>
      <c r="G39" s="498">
        <v>5</v>
      </c>
      <c r="H39" s="491" t="str">
        <f>Instructions!F$45</f>
        <v>Miles</v>
      </c>
      <c r="I39" s="273" t="s">
        <v>749</v>
      </c>
      <c r="J39" s="709"/>
      <c r="K39" s="279">
        <v>4</v>
      </c>
      <c r="L39" s="292" t="str">
        <f>Instructions!F$53</f>
        <v>Zack</v>
      </c>
      <c r="M39" s="276" t="s">
        <v>743</v>
      </c>
      <c r="N39" s="708" t="s">
        <v>899</v>
      </c>
      <c r="O39" s="279">
        <v>4</v>
      </c>
      <c r="P39" s="293" t="str">
        <f>Instructions!F$50</f>
        <v>Dan</v>
      </c>
      <c r="Q39" s="273" t="s">
        <v>739</v>
      </c>
      <c r="R39" s="709"/>
      <c r="S39" s="279">
        <v>3</v>
      </c>
      <c r="T39" s="328" t="str">
        <f>Instructions!F$46</f>
        <v>Con</v>
      </c>
      <c r="U39" s="273" t="s">
        <v>735</v>
      </c>
      <c r="V39" s="706"/>
      <c r="W39" s="279">
        <v>3</v>
      </c>
      <c r="X39" s="280"/>
      <c r="Y39" s="190" t="str">
        <f>IFERROR( IF(Instructions!$E$11=8, D39&amp;COUNTIF(D$3:D39,D39), IF(Instructions!$E$11=10, H39&amp;COUNTIF(H$3:H39,H39),IF(Instructions!$E$11=12, L39&amp;COUNTIF(L$3:L39,L39),IF(Instructions!$E$11=14, P39&amp;COUNTIF(P$3:P39,P39),T39&amp;COUNTIF(T$3:T39,T39))))),"")</f>
        <v>Zack4</v>
      </c>
      <c r="Z39" s="321">
        <f>IF(Instructions!$E$11=8,IF($D39=Instructions!$F$42,Z38+1,Z38),IF(Instructions!$E$11=10,IF($H39=Instructions!$F$42,Z38+1,Z38),IF(Instructions!$E$11=12,IF($L39=Instructions!$F$42,Z38+1,Z38),IF(Instructions!$E$11=14,IF($P39=Instructions!$F$42,Z38+1,Z38),IF(Instructions!$E$11=16,IF($T39=Instructions!$F$42,Z38+1,Z38))))))</f>
        <v>3</v>
      </c>
      <c r="AA39" s="321" t="str">
        <f t="shared" si="8"/>
        <v>103</v>
      </c>
      <c r="AB39" s="321">
        <f>IF(Instructions!$E$11=8,IF($D39=Instructions!$F$43,AB38+1,AB38),IF(Instructions!$E$11=10,IF($H39=Instructions!$F$43,AB38+1,AB38),IF(Instructions!$E$11=12,IF($L39=Instructions!$F$43,AB38+1,AB38),IF(Instructions!$E$11=14,IF($P39=Instructions!$F$43,AB38+1,AB38),IF(Instructions!$E$11=16,IF($T39=Instructions!$F$43,AB38+1,AB38))))))</f>
        <v>3</v>
      </c>
      <c r="AC39" s="321" t="str">
        <f t="shared" si="0"/>
        <v>203</v>
      </c>
      <c r="AD39" s="321">
        <f>IF(Instructions!$E$11=8,IF($D39=Instructions!$F$44,AD38+1,AD38),IF(Instructions!$E$11=10,IF($H39=Instructions!$F$44,AD38+1,AD38),IF(Instructions!$E$11=12,IF($L39=Instructions!$F$44,AD38+1,AD38),IF(Instructions!$E$11=14,IF($P39=Instructions!$F$44,AD38+1,AD38),IF(Instructions!$E$11=16,IF($T39=Instructions!$F$44,AD38+1,AD38))))))</f>
        <v>3</v>
      </c>
      <c r="AE39" s="321" t="str">
        <f t="shared" si="1"/>
        <v>303</v>
      </c>
      <c r="AF39" s="321">
        <f>IF(Instructions!$E$11=8,IF($D39=Instructions!$F$45,AF38+1,AF38),IF(Instructions!$E$11=10,IF($H39=Instructions!$F$45,AF38+1,AF38),IF(Instructions!$E$11=12,IF($L39=Instructions!$F$45,AF38+1,AF38),IF(Instructions!$E$11=14,IF($P39=Instructions!$F$45,AF38+1,AF38),IF(Instructions!$E$11=16,IF($T39=Instructions!$F$45,AF38+1,AF38))))))</f>
        <v>3</v>
      </c>
      <c r="AG39" s="321" t="str">
        <f t="shared" si="2"/>
        <v>403</v>
      </c>
      <c r="AH39" s="321">
        <f>IF(Instructions!$E$11=8,IF($D39=Instructions!$F$46,AH38+1,AH38),IF(Instructions!$E$11=10,IF($H39=Instructions!$F$46,AH38+1,AH38),IF(Instructions!$E$11=12,IF($L39=Instructions!$F$46,AH38+1,AH38),IF(Instructions!$E$11=14,IF($P39=Instructions!$F$46,AH38+1,AH38),IF(Instructions!$E$11=16,IF($T39=Instructions!$F$46,AH38+1,AH38))))))</f>
        <v>3</v>
      </c>
      <c r="AI39" s="321" t="str">
        <f t="shared" si="3"/>
        <v>503</v>
      </c>
      <c r="AJ39" s="321">
        <f>IF(Instructions!$E$11=8,IF($D39=Instructions!$F$47,AJ38+1,AJ38),IF(Instructions!$E$11=10,IF($H39=Instructions!$F$47,AJ38+1,AJ38),IF(Instructions!$E$11=12,IF($L39=Instructions!$F$47,AJ38+1,AJ38),IF(Instructions!$E$11=14,IF($P39=Instructions!$F$47,AJ38+1,AJ38),IF(Instructions!$E$11=16,IF($T39=Instructions!$F$47,AJ38+1,AJ38))))))</f>
        <v>3</v>
      </c>
      <c r="AK39" s="321" t="str">
        <f t="shared" si="4"/>
        <v>603</v>
      </c>
      <c r="AL39" s="321">
        <f>IF(Instructions!$E$11=8,IF($D39=Instructions!$F$48,AL38+1,AL38),IF(Instructions!$E$11=10,IF($H39=Instructions!$F$48,AL38+1,AL38),IF(Instructions!$E$11=12,IF($L39=Instructions!$F$48,AL38+1,AL38),IF(Instructions!$E$11=14,IF($P39=Instructions!$F$48,AL38+1,AL38),IF(Instructions!$E$11=16,IF($T39=Instructions!$F$48,AL38+1,AL38))))))</f>
        <v>3</v>
      </c>
      <c r="AM39" s="321" t="str">
        <f t="shared" si="5"/>
        <v>703</v>
      </c>
      <c r="AN39" s="321">
        <f>IF(Instructions!$E$11=8,IF($D39=Instructions!$F$49,AN38+1,AN38),IF(Instructions!$E$11=10,IF($H39=Instructions!$F$49,AN38+1,AN38),IF(Instructions!$E$11=12,IF($L39=Instructions!$F$49,AN38+1,AN38),IF(Instructions!$E$11=14,IF($P39=Instructions!$F$49,AN38+1,AN38),IF(Instructions!$E$11=16,IF($T39=Instructions!$F$49,AN38+1,AN38))))))</f>
        <v>3</v>
      </c>
      <c r="AO39" s="321" t="str">
        <f t="shared" si="6"/>
        <v>803</v>
      </c>
      <c r="AP39" s="321">
        <f>IF(Instructions!$E$11=8,IF($D39=Instructions!$F$50,AP38+1,AP38),IF(Instructions!$E$11=10,IF($H39=Instructions!$F$50,AP38+1,AP38),IF(Instructions!$E$11=12,IF($L39=Instructions!$F$50,AP38+1,AP38),IF(Instructions!$E$11=14,IF($P39=Instructions!$F$50,AP38+1,AP38),IF(Instructions!$E$11=16,IF($T39=Instructions!$F$50,AP38+1,AP38))))))</f>
        <v>3</v>
      </c>
      <c r="AQ39" s="321" t="str">
        <f t="shared" si="7"/>
        <v>903</v>
      </c>
      <c r="AR39" s="321">
        <f>IF(Instructions!$E$11=8,IF($D39=Instructions!$F$51,AR38+1,AR38),IF(Instructions!$E$11=10,IF($H39=Instructions!$F$51,AR38+1,AR38),IF(Instructions!$E$11=12,IF($L39=Instructions!$F$51,AR38+1,AR38),IF(Instructions!$E$11=14,IF($P39=Instructions!$F$51,AR38+1,AR38),IF(Instructions!$E$11=16,IF($T39=Instructions!$F$51,AR38+1,AR38))))))</f>
        <v>3</v>
      </c>
      <c r="AS39" s="321" t="str">
        <f t="shared" si="9"/>
        <v>1003</v>
      </c>
      <c r="AT39" s="321">
        <f>IF(Instructions!$E$11=8,IF($D39=Instructions!$F$52,AT38+1,AT38),IF(Instructions!$E$11=10,IF($H39=Instructions!$F$52,AT38+1,AT38),IF(Instructions!$E$11=12,IF($L39=Instructions!$F$52,AT38+1,AT38),IF(Instructions!$E$11=14,IF($P39=Instructions!$F$52,AT38+1,AT38),IF(Instructions!$E$11=16,IF($T39=Instructions!$F$52,AT38+1,AT38))))))</f>
        <v>3</v>
      </c>
      <c r="AU39" s="321" t="str">
        <f t="shared" si="10"/>
        <v>1103</v>
      </c>
      <c r="AV39" s="321">
        <f>IF(Instructions!$E$11=8,IF($D39=Instructions!$F$53,AV38+1,AV38),IF(Instructions!$E$11=10,IF($H39=Instructions!$F$53,AV38+1,AV38),IF(Instructions!$E$11=12,IF($L39=Instructions!$F$53,AV38+1,AV38),IF(Instructions!$E$11=14,IF($P39=Instructions!$F$53,AV38+1,AV38),IF(Instructions!$E$11=16,IF($T39=Instructions!$F$53,AV38+1,AV38))))))</f>
        <v>4</v>
      </c>
      <c r="AW39" s="321" t="str">
        <f t="shared" si="11"/>
        <v>1204</v>
      </c>
      <c r="AX39" s="321">
        <f>IF(Instructions!$E$11=8,IF($D39=Instructions!$F$54,AX38+1,AX38),IF(Instructions!$E$11=10,IF($H39=Instructions!$F$54,AX38+1,AX38),IF(Instructions!$E$11=12,IF($L39=Instructions!$F$54,AX38+1,AX38),IF(Instructions!$E$11=14,IF($P39=Instructions!$F$54,AX38+1,AX38),IF(Instructions!$E$11=16,IF($T39=Instructions!$F$54,AX38+1,AX38))))))</f>
        <v>0</v>
      </c>
      <c r="AY39" s="321" t="str">
        <f t="shared" si="12"/>
        <v>1300</v>
      </c>
      <c r="AZ39" s="321">
        <f>IF(Instructions!$E$11=8,IF($D39=Instructions!$F$55,AZ38+1,AZ38),IF(Instructions!$E$11=10,IF($H39=Instructions!$F$55,AZ38+1,AZ38),IF(Instructions!$E$11=12,IF($L39=Instructions!$F$55,AZ38+1,AZ38),IF(Instructions!$E$11=14,IF($P39=Instructions!$F$55,AZ38+1,AZ38),IF(Instructions!$E$11=16,IF($T39=Instructions!$F$55,AZ38+1,AZ38))))))</f>
        <v>0</v>
      </c>
      <c r="BA39" s="321" t="str">
        <f t="shared" si="13"/>
        <v>1400</v>
      </c>
      <c r="BB39" s="321">
        <f>IF(Instructions!$E$11=8,IF($D39=Instructions!$F$56,BB38+1,BB38),IF(Instructions!$E$11=10,IF($H39=Instructions!$F$56,BB38+1,BB38),IF(Instructions!$E$11=12,IF($L39=Instructions!$F$56,BB38+1,BB38),IF(Instructions!$E$11=14,IF($P39=Instructions!$F$56,BB38+1,BB38),IF(Instructions!$E$11=16,IF($T39=Instructions!$F$56,BB38+1,BB38))))))</f>
        <v>0</v>
      </c>
      <c r="BC39" s="321" t="str">
        <f t="shared" si="14"/>
        <v>1500</v>
      </c>
      <c r="BD39" s="321">
        <f>IF(Instructions!$E$11=8,IF($D39=Instructions!$F$57,BD38+1,BD38),IF(Instructions!$E$11=10,IF($H39=Instructions!$F$57,BD38+1,BD38),IF(Instructions!$E$11=12,IF($L39=Instructions!$F$57,BD38+1,BD38),IF(Instructions!$E$11=14,IF($P39=Instructions!$F$57,BD38+1,BD38),IF(Instructions!$E$11=16,IF($T39=Instructions!$F$57,BD38+1,BD38))))))</f>
        <v>0</v>
      </c>
      <c r="BE39" s="321" t="str">
        <f t="shared" si="15"/>
        <v>1600</v>
      </c>
      <c r="BF39" s="321">
        <v>37</v>
      </c>
    </row>
    <row r="40" spans="1:58" ht="15.75" customHeight="1" x14ac:dyDescent="0.25">
      <c r="A40" s="280"/>
      <c r="B40" s="323" t="str">
        <f>IF(Instructions!$J$11=1,AA40,IF(Instructions!$J$11=2,AC40,IF(Instructions!$J$11=3,AE40,IF(Instructions!$J$11=4,AG40,IF(Instructions!$J$11=5,AI40,IF(Instructions!$J$11=6,AK40,IF(Instructions!$J$11=7,AM40,IF(Instructions!$J$11=8,AO40,IF(Instructions!$J$11=9,AQ40,IF(Instructions!$J$11=10,AS40,IF(Instructions!$J$11=11,AU40,IF(Instructions!$J$11=12,AW40,IF(Instructions!$J$11=13, AY40, IF(Instructions!$J$11=14,BA40,IF(Instructions!$J$11=15,BC40,BE40)))))))))))))))</f>
        <v>203</v>
      </c>
      <c r="C40" s="272">
        <v>38</v>
      </c>
      <c r="D40" s="327" t="str">
        <f>Instructions!F$47</f>
        <v>Devin</v>
      </c>
      <c r="E40" s="332" t="s">
        <v>760</v>
      </c>
      <c r="F40" s="712"/>
      <c r="G40" s="498">
        <v>5</v>
      </c>
      <c r="H40" s="492" t="str">
        <f>Instructions!F$44</f>
        <v>Cam</v>
      </c>
      <c r="I40" s="274" t="s">
        <v>750</v>
      </c>
      <c r="J40" s="709"/>
      <c r="K40" s="279">
        <v>4</v>
      </c>
      <c r="L40" s="294" t="str">
        <f>Instructions!F$52</f>
        <v>Big R</v>
      </c>
      <c r="M40" s="274" t="s">
        <v>744</v>
      </c>
      <c r="N40" s="709"/>
      <c r="O40" s="279">
        <v>4</v>
      </c>
      <c r="P40" s="294" t="str">
        <f>Instructions!F$51</f>
        <v>Josh</v>
      </c>
      <c r="Q40" s="274" t="s">
        <v>740</v>
      </c>
      <c r="R40" s="709"/>
      <c r="S40" s="279">
        <v>3</v>
      </c>
      <c r="T40" s="327" t="str">
        <f>Instructions!F$47</f>
        <v>Devin</v>
      </c>
      <c r="U40" s="274" t="s">
        <v>736</v>
      </c>
      <c r="V40" s="706"/>
      <c r="W40" s="279">
        <v>3</v>
      </c>
      <c r="X40" s="280"/>
      <c r="Y40" s="190" t="str">
        <f>IFERROR( IF(Instructions!$E$11=8, D40&amp;COUNTIF(D$3:D40,D40), IF(Instructions!$E$11=10, H40&amp;COUNTIF(H$3:H40,H40),IF(Instructions!$E$11=12, L40&amp;COUNTIF(L$3:L40,L40),IF(Instructions!$E$11=14, P40&amp;COUNTIF(P$3:P40,P40),T40&amp;COUNTIF(T$3:T40,T40))))),"")</f>
        <v>Big R4</v>
      </c>
      <c r="Z40" s="321">
        <f>IF(Instructions!$E$11=8,IF($D40=Instructions!$F$42,Z39+1,Z39),IF(Instructions!$E$11=10,IF($H40=Instructions!$F$42,Z39+1,Z39),IF(Instructions!$E$11=12,IF($L40=Instructions!$F$42,Z39+1,Z39),IF(Instructions!$E$11=14,IF($P40=Instructions!$F$42,Z39+1,Z39),IF(Instructions!$E$11=16,IF($T40=Instructions!$F$42,Z39+1,Z39))))))</f>
        <v>3</v>
      </c>
      <c r="AA40" s="321" t="str">
        <f t="shared" si="8"/>
        <v>103</v>
      </c>
      <c r="AB40" s="321">
        <f>IF(Instructions!$E$11=8,IF($D40=Instructions!$F$43,AB39+1,AB39),IF(Instructions!$E$11=10,IF($H40=Instructions!$F$43,AB39+1,AB39),IF(Instructions!$E$11=12,IF($L40=Instructions!$F$43,AB39+1,AB39),IF(Instructions!$E$11=14,IF($P40=Instructions!$F$43,AB39+1,AB39),IF(Instructions!$E$11=16,IF($T40=Instructions!$F$43,AB39+1,AB39))))))</f>
        <v>3</v>
      </c>
      <c r="AC40" s="321" t="str">
        <f t="shared" si="0"/>
        <v>203</v>
      </c>
      <c r="AD40" s="321">
        <f>IF(Instructions!$E$11=8,IF($D40=Instructions!$F$44,AD39+1,AD39),IF(Instructions!$E$11=10,IF($H40=Instructions!$F$44,AD39+1,AD39),IF(Instructions!$E$11=12,IF($L40=Instructions!$F$44,AD39+1,AD39),IF(Instructions!$E$11=14,IF($P40=Instructions!$F$44,AD39+1,AD39),IF(Instructions!$E$11=16,IF($T40=Instructions!$F$44,AD39+1,AD39))))))</f>
        <v>3</v>
      </c>
      <c r="AE40" s="321" t="str">
        <f t="shared" si="1"/>
        <v>303</v>
      </c>
      <c r="AF40" s="321">
        <f>IF(Instructions!$E$11=8,IF($D40=Instructions!$F$45,AF39+1,AF39),IF(Instructions!$E$11=10,IF($H40=Instructions!$F$45,AF39+1,AF39),IF(Instructions!$E$11=12,IF($L40=Instructions!$F$45,AF39+1,AF39),IF(Instructions!$E$11=14,IF($P40=Instructions!$F$45,AF39+1,AF39),IF(Instructions!$E$11=16,IF($T40=Instructions!$F$45,AF39+1,AF39))))))</f>
        <v>3</v>
      </c>
      <c r="AG40" s="321" t="str">
        <f t="shared" si="2"/>
        <v>403</v>
      </c>
      <c r="AH40" s="321">
        <f>IF(Instructions!$E$11=8,IF($D40=Instructions!$F$46,AH39+1,AH39),IF(Instructions!$E$11=10,IF($H40=Instructions!$F$46,AH39+1,AH39),IF(Instructions!$E$11=12,IF($L40=Instructions!$F$46,AH39+1,AH39),IF(Instructions!$E$11=14,IF($P40=Instructions!$F$46,AH39+1,AH39),IF(Instructions!$E$11=16,IF($T40=Instructions!$F$46,AH39+1,AH39))))))</f>
        <v>3</v>
      </c>
      <c r="AI40" s="321" t="str">
        <f t="shared" si="3"/>
        <v>503</v>
      </c>
      <c r="AJ40" s="321">
        <f>IF(Instructions!$E$11=8,IF($D40=Instructions!$F$47,AJ39+1,AJ39),IF(Instructions!$E$11=10,IF($H40=Instructions!$F$47,AJ39+1,AJ39),IF(Instructions!$E$11=12,IF($L40=Instructions!$F$47,AJ39+1,AJ39),IF(Instructions!$E$11=14,IF($P40=Instructions!$F$47,AJ39+1,AJ39),IF(Instructions!$E$11=16,IF($T40=Instructions!$F$47,AJ39+1,AJ39))))))</f>
        <v>3</v>
      </c>
      <c r="AK40" s="321" t="str">
        <f t="shared" si="4"/>
        <v>603</v>
      </c>
      <c r="AL40" s="321">
        <f>IF(Instructions!$E$11=8,IF($D40=Instructions!$F$48,AL39+1,AL39),IF(Instructions!$E$11=10,IF($H40=Instructions!$F$48,AL39+1,AL39),IF(Instructions!$E$11=12,IF($L40=Instructions!$F$48,AL39+1,AL39),IF(Instructions!$E$11=14,IF($P40=Instructions!$F$48,AL39+1,AL39),IF(Instructions!$E$11=16,IF($T40=Instructions!$F$48,AL39+1,AL39))))))</f>
        <v>3</v>
      </c>
      <c r="AM40" s="321" t="str">
        <f t="shared" si="5"/>
        <v>703</v>
      </c>
      <c r="AN40" s="321">
        <f>IF(Instructions!$E$11=8,IF($D40=Instructions!$F$49,AN39+1,AN39),IF(Instructions!$E$11=10,IF($H40=Instructions!$F$49,AN39+1,AN39),IF(Instructions!$E$11=12,IF($L40=Instructions!$F$49,AN39+1,AN39),IF(Instructions!$E$11=14,IF($P40=Instructions!$F$49,AN39+1,AN39),IF(Instructions!$E$11=16,IF($T40=Instructions!$F$49,AN39+1,AN39))))))</f>
        <v>3</v>
      </c>
      <c r="AO40" s="321" t="str">
        <f t="shared" si="6"/>
        <v>803</v>
      </c>
      <c r="AP40" s="321">
        <f>IF(Instructions!$E$11=8,IF($D40=Instructions!$F$50,AP39+1,AP39),IF(Instructions!$E$11=10,IF($H40=Instructions!$F$50,AP39+1,AP39),IF(Instructions!$E$11=12,IF($L40=Instructions!$F$50,AP39+1,AP39),IF(Instructions!$E$11=14,IF($P40=Instructions!$F$50,AP39+1,AP39),IF(Instructions!$E$11=16,IF($T40=Instructions!$F$50,AP39+1,AP39))))))</f>
        <v>3</v>
      </c>
      <c r="AQ40" s="321" t="str">
        <f t="shared" si="7"/>
        <v>903</v>
      </c>
      <c r="AR40" s="321">
        <f>IF(Instructions!$E$11=8,IF($D40=Instructions!$F$51,AR39+1,AR39),IF(Instructions!$E$11=10,IF($H40=Instructions!$F$51,AR39+1,AR39),IF(Instructions!$E$11=12,IF($L40=Instructions!$F$51,AR39+1,AR39),IF(Instructions!$E$11=14,IF($P40=Instructions!$F$51,AR39+1,AR39),IF(Instructions!$E$11=16,IF($T40=Instructions!$F$51,AR39+1,AR39))))))</f>
        <v>3</v>
      </c>
      <c r="AS40" s="321" t="str">
        <f t="shared" si="9"/>
        <v>1003</v>
      </c>
      <c r="AT40" s="321">
        <f>IF(Instructions!$E$11=8,IF($D40=Instructions!$F$52,AT39+1,AT39),IF(Instructions!$E$11=10,IF($H40=Instructions!$F$52,AT39+1,AT39),IF(Instructions!$E$11=12,IF($L40=Instructions!$F$52,AT39+1,AT39),IF(Instructions!$E$11=14,IF($P40=Instructions!$F$52,AT39+1,AT39),IF(Instructions!$E$11=16,IF($T40=Instructions!$F$52,AT39+1,AT39))))))</f>
        <v>4</v>
      </c>
      <c r="AU40" s="321" t="str">
        <f t="shared" si="10"/>
        <v>1104</v>
      </c>
      <c r="AV40" s="321">
        <f>IF(Instructions!$E$11=8,IF($D40=Instructions!$F$53,AV39+1,AV39),IF(Instructions!$E$11=10,IF($H40=Instructions!$F$53,AV39+1,AV39),IF(Instructions!$E$11=12,IF($L40=Instructions!$F$53,AV39+1,AV39),IF(Instructions!$E$11=14,IF($P40=Instructions!$F$53,AV39+1,AV39),IF(Instructions!$E$11=16,IF($T40=Instructions!$F$53,AV39+1,AV39))))))</f>
        <v>4</v>
      </c>
      <c r="AW40" s="321" t="str">
        <f t="shared" si="11"/>
        <v>1204</v>
      </c>
      <c r="AX40" s="321">
        <f>IF(Instructions!$E$11=8,IF($D40=Instructions!$F$54,AX39+1,AX39),IF(Instructions!$E$11=10,IF($H40=Instructions!$F$54,AX39+1,AX39),IF(Instructions!$E$11=12,IF($L40=Instructions!$F$54,AX39+1,AX39),IF(Instructions!$E$11=14,IF($P40=Instructions!$F$54,AX39+1,AX39),IF(Instructions!$E$11=16,IF($T40=Instructions!$F$54,AX39+1,AX39))))))</f>
        <v>0</v>
      </c>
      <c r="AY40" s="321" t="str">
        <f t="shared" si="12"/>
        <v>1300</v>
      </c>
      <c r="AZ40" s="321">
        <f>IF(Instructions!$E$11=8,IF($D40=Instructions!$F$55,AZ39+1,AZ39),IF(Instructions!$E$11=10,IF($H40=Instructions!$F$55,AZ39+1,AZ39),IF(Instructions!$E$11=12,IF($L40=Instructions!$F$55,AZ39+1,AZ39),IF(Instructions!$E$11=14,IF($P40=Instructions!$F$55,AZ39+1,AZ39),IF(Instructions!$E$11=16,IF($T40=Instructions!$F$55,AZ39+1,AZ39))))))</f>
        <v>0</v>
      </c>
      <c r="BA40" s="321" t="str">
        <f t="shared" si="13"/>
        <v>1400</v>
      </c>
      <c r="BB40" s="321">
        <f>IF(Instructions!$E$11=8,IF($D40=Instructions!$F$56,BB39+1,BB39),IF(Instructions!$E$11=10,IF($H40=Instructions!$F$56,BB39+1,BB39),IF(Instructions!$E$11=12,IF($L40=Instructions!$F$56,BB39+1,BB39),IF(Instructions!$E$11=14,IF($P40=Instructions!$F$56,BB39+1,BB39),IF(Instructions!$E$11=16,IF($T40=Instructions!$F$56,BB39+1,BB39))))))</f>
        <v>0</v>
      </c>
      <c r="BC40" s="321" t="str">
        <f t="shared" si="14"/>
        <v>1500</v>
      </c>
      <c r="BD40" s="321">
        <f>IF(Instructions!$E$11=8,IF($D40=Instructions!$F$57,BD39+1,BD39),IF(Instructions!$E$11=10,IF($H40=Instructions!$F$57,BD39+1,BD39),IF(Instructions!$E$11=12,IF($L40=Instructions!$F$57,BD39+1,BD39),IF(Instructions!$E$11=14,IF($P40=Instructions!$F$57,BD39+1,BD39),IF(Instructions!$E$11=16,IF($T40=Instructions!$F$57,BD39+1,BD39))))))</f>
        <v>0</v>
      </c>
      <c r="BE40" s="321" t="str">
        <f t="shared" si="15"/>
        <v>1600</v>
      </c>
      <c r="BF40" s="321">
        <v>38</v>
      </c>
    </row>
    <row r="41" spans="1:58" ht="15.75" customHeight="1" x14ac:dyDescent="0.25">
      <c r="A41" s="280"/>
      <c r="B41" s="323" t="str">
        <f>IF(Instructions!$J$11=1,AA41,IF(Instructions!$J$11=2,AC41,IF(Instructions!$J$11=3,AE41,IF(Instructions!$J$11=4,AG41,IF(Instructions!$J$11=5,AI41,IF(Instructions!$J$11=6,AK41,IF(Instructions!$J$11=7,AM41,IF(Instructions!$J$11=8,AO41,IF(Instructions!$J$11=9,AQ41,IF(Instructions!$J$11=10,AS41,IF(Instructions!$J$11=11,AU41,IF(Instructions!$J$11=12,AW41,IF(Instructions!$J$11=13, AY41, IF(Instructions!$J$11=14,BA41,IF(Instructions!$J$11=15,BC41,BE41)))))))))))))))</f>
        <v>203</v>
      </c>
      <c r="C41" s="271">
        <v>39</v>
      </c>
      <c r="D41" s="328" t="str">
        <f>Instructions!F$48</f>
        <v>Bui</v>
      </c>
      <c r="E41" s="333" t="s">
        <v>761</v>
      </c>
      <c r="F41" s="712"/>
      <c r="G41" s="498">
        <v>5</v>
      </c>
      <c r="H41" s="491" t="str">
        <f>Instructions!F$43</f>
        <v>Camden</v>
      </c>
      <c r="I41" s="273" t="s">
        <v>751</v>
      </c>
      <c r="J41" s="709"/>
      <c r="K41" s="279">
        <v>4</v>
      </c>
      <c r="L41" s="293" t="str">
        <f>Instructions!F$51</f>
        <v>Josh</v>
      </c>
      <c r="M41" s="273" t="s">
        <v>745</v>
      </c>
      <c r="N41" s="709"/>
      <c r="O41" s="279">
        <v>4</v>
      </c>
      <c r="P41" s="293" t="str">
        <f>Instructions!F$52</f>
        <v>Big R</v>
      </c>
      <c r="Q41" s="273" t="s">
        <v>741</v>
      </c>
      <c r="R41" s="709"/>
      <c r="S41" s="279">
        <v>3</v>
      </c>
      <c r="T41" s="328" t="str">
        <f>Instructions!F$48</f>
        <v>Bui</v>
      </c>
      <c r="U41" s="273" t="s">
        <v>737</v>
      </c>
      <c r="V41" s="706"/>
      <c r="W41" s="279">
        <v>3</v>
      </c>
      <c r="X41" s="280"/>
      <c r="Y41" s="190" t="str">
        <f>IFERROR( IF(Instructions!$E$11=8, D41&amp;COUNTIF(D$3:D41,D41), IF(Instructions!$E$11=10, H41&amp;COUNTIF(H$3:H41,H41),IF(Instructions!$E$11=12, L41&amp;COUNTIF(L$3:L41,L41),IF(Instructions!$E$11=14, P41&amp;COUNTIF(P$3:P41,P41),T41&amp;COUNTIF(T$3:T41,T41))))),"")</f>
        <v>Josh4</v>
      </c>
      <c r="Z41" s="321">
        <f>IF(Instructions!$E$11=8,IF($D41=Instructions!$F$42,Z40+1,Z40),IF(Instructions!$E$11=10,IF($H41=Instructions!$F$42,Z40+1,Z40),IF(Instructions!$E$11=12,IF($L41=Instructions!$F$42,Z40+1,Z40),IF(Instructions!$E$11=14,IF($P41=Instructions!$F$42,Z40+1,Z40),IF(Instructions!$E$11=16,IF($T41=Instructions!$F$42,Z40+1,Z40))))))</f>
        <v>3</v>
      </c>
      <c r="AA41" s="321" t="str">
        <f t="shared" si="8"/>
        <v>103</v>
      </c>
      <c r="AB41" s="321">
        <f>IF(Instructions!$E$11=8,IF($D41=Instructions!$F$43,AB40+1,AB40),IF(Instructions!$E$11=10,IF($H41=Instructions!$F$43,AB40+1,AB40),IF(Instructions!$E$11=12,IF($L41=Instructions!$F$43,AB40+1,AB40),IF(Instructions!$E$11=14,IF($P41=Instructions!$F$43,AB40+1,AB40),IF(Instructions!$E$11=16,IF($T41=Instructions!$F$43,AB40+1,AB40))))))</f>
        <v>3</v>
      </c>
      <c r="AC41" s="321" t="str">
        <f t="shared" si="0"/>
        <v>203</v>
      </c>
      <c r="AD41" s="321">
        <f>IF(Instructions!$E$11=8,IF($D41=Instructions!$F$44,AD40+1,AD40),IF(Instructions!$E$11=10,IF($H41=Instructions!$F$44,AD40+1,AD40),IF(Instructions!$E$11=12,IF($L41=Instructions!$F$44,AD40+1,AD40),IF(Instructions!$E$11=14,IF($P41=Instructions!$F$44,AD40+1,AD40),IF(Instructions!$E$11=16,IF($T41=Instructions!$F$44,AD40+1,AD40))))))</f>
        <v>3</v>
      </c>
      <c r="AE41" s="321" t="str">
        <f t="shared" si="1"/>
        <v>303</v>
      </c>
      <c r="AF41" s="321">
        <f>IF(Instructions!$E$11=8,IF($D41=Instructions!$F$45,AF40+1,AF40),IF(Instructions!$E$11=10,IF($H41=Instructions!$F$45,AF40+1,AF40),IF(Instructions!$E$11=12,IF($L41=Instructions!$F$45,AF40+1,AF40),IF(Instructions!$E$11=14,IF($P41=Instructions!$F$45,AF40+1,AF40),IF(Instructions!$E$11=16,IF($T41=Instructions!$F$45,AF40+1,AF40))))))</f>
        <v>3</v>
      </c>
      <c r="AG41" s="321" t="str">
        <f t="shared" si="2"/>
        <v>403</v>
      </c>
      <c r="AH41" s="321">
        <f>IF(Instructions!$E$11=8,IF($D41=Instructions!$F$46,AH40+1,AH40),IF(Instructions!$E$11=10,IF($H41=Instructions!$F$46,AH40+1,AH40),IF(Instructions!$E$11=12,IF($L41=Instructions!$F$46,AH40+1,AH40),IF(Instructions!$E$11=14,IF($P41=Instructions!$F$46,AH40+1,AH40),IF(Instructions!$E$11=16,IF($T41=Instructions!$F$46,AH40+1,AH40))))))</f>
        <v>3</v>
      </c>
      <c r="AI41" s="321" t="str">
        <f t="shared" si="3"/>
        <v>503</v>
      </c>
      <c r="AJ41" s="321">
        <f>IF(Instructions!$E$11=8,IF($D41=Instructions!$F$47,AJ40+1,AJ40),IF(Instructions!$E$11=10,IF($H41=Instructions!$F$47,AJ40+1,AJ40),IF(Instructions!$E$11=12,IF($L41=Instructions!$F$47,AJ40+1,AJ40),IF(Instructions!$E$11=14,IF($P41=Instructions!$F$47,AJ40+1,AJ40),IF(Instructions!$E$11=16,IF($T41=Instructions!$F$47,AJ40+1,AJ40))))))</f>
        <v>3</v>
      </c>
      <c r="AK41" s="321" t="str">
        <f t="shared" si="4"/>
        <v>603</v>
      </c>
      <c r="AL41" s="321">
        <f>IF(Instructions!$E$11=8,IF($D41=Instructions!$F$48,AL40+1,AL40),IF(Instructions!$E$11=10,IF($H41=Instructions!$F$48,AL40+1,AL40),IF(Instructions!$E$11=12,IF($L41=Instructions!$F$48,AL40+1,AL40),IF(Instructions!$E$11=14,IF($P41=Instructions!$F$48,AL40+1,AL40),IF(Instructions!$E$11=16,IF($T41=Instructions!$F$48,AL40+1,AL40))))))</f>
        <v>3</v>
      </c>
      <c r="AM41" s="321" t="str">
        <f t="shared" si="5"/>
        <v>703</v>
      </c>
      <c r="AN41" s="321">
        <f>IF(Instructions!$E$11=8,IF($D41=Instructions!$F$49,AN40+1,AN40),IF(Instructions!$E$11=10,IF($H41=Instructions!$F$49,AN40+1,AN40),IF(Instructions!$E$11=12,IF($L41=Instructions!$F$49,AN40+1,AN40),IF(Instructions!$E$11=14,IF($P41=Instructions!$F$49,AN40+1,AN40),IF(Instructions!$E$11=16,IF($T41=Instructions!$F$49,AN40+1,AN40))))))</f>
        <v>3</v>
      </c>
      <c r="AO41" s="321" t="str">
        <f t="shared" si="6"/>
        <v>803</v>
      </c>
      <c r="AP41" s="321">
        <f>IF(Instructions!$E$11=8,IF($D41=Instructions!$F$50,AP40+1,AP40),IF(Instructions!$E$11=10,IF($H41=Instructions!$F$50,AP40+1,AP40),IF(Instructions!$E$11=12,IF($L41=Instructions!$F$50,AP40+1,AP40),IF(Instructions!$E$11=14,IF($P41=Instructions!$F$50,AP40+1,AP40),IF(Instructions!$E$11=16,IF($T41=Instructions!$F$50,AP40+1,AP40))))))</f>
        <v>3</v>
      </c>
      <c r="AQ41" s="321" t="str">
        <f t="shared" si="7"/>
        <v>903</v>
      </c>
      <c r="AR41" s="321">
        <f>IF(Instructions!$E$11=8,IF($D41=Instructions!$F$51,AR40+1,AR40),IF(Instructions!$E$11=10,IF($H41=Instructions!$F$51,AR40+1,AR40),IF(Instructions!$E$11=12,IF($L41=Instructions!$F$51,AR40+1,AR40),IF(Instructions!$E$11=14,IF($P41=Instructions!$F$51,AR40+1,AR40),IF(Instructions!$E$11=16,IF($T41=Instructions!$F$51,AR40+1,AR40))))))</f>
        <v>4</v>
      </c>
      <c r="AS41" s="321" t="str">
        <f t="shared" si="9"/>
        <v>1004</v>
      </c>
      <c r="AT41" s="321">
        <f>IF(Instructions!$E$11=8,IF($D41=Instructions!$F$52,AT40+1,AT40),IF(Instructions!$E$11=10,IF($H41=Instructions!$F$52,AT40+1,AT40),IF(Instructions!$E$11=12,IF($L41=Instructions!$F$52,AT40+1,AT40),IF(Instructions!$E$11=14,IF($P41=Instructions!$F$52,AT40+1,AT40),IF(Instructions!$E$11=16,IF($T41=Instructions!$F$52,AT40+1,AT40))))))</f>
        <v>4</v>
      </c>
      <c r="AU41" s="321" t="str">
        <f t="shared" si="10"/>
        <v>1104</v>
      </c>
      <c r="AV41" s="321">
        <f>IF(Instructions!$E$11=8,IF($D41=Instructions!$F$53,AV40+1,AV40),IF(Instructions!$E$11=10,IF($H41=Instructions!$F$53,AV40+1,AV40),IF(Instructions!$E$11=12,IF($L41=Instructions!$F$53,AV40+1,AV40),IF(Instructions!$E$11=14,IF($P41=Instructions!$F$53,AV40+1,AV40),IF(Instructions!$E$11=16,IF($T41=Instructions!$F$53,AV40+1,AV40))))))</f>
        <v>4</v>
      </c>
      <c r="AW41" s="321" t="str">
        <f t="shared" si="11"/>
        <v>1204</v>
      </c>
      <c r="AX41" s="321">
        <f>IF(Instructions!$E$11=8,IF($D41=Instructions!$F$54,AX40+1,AX40),IF(Instructions!$E$11=10,IF($H41=Instructions!$F$54,AX40+1,AX40),IF(Instructions!$E$11=12,IF($L41=Instructions!$F$54,AX40+1,AX40),IF(Instructions!$E$11=14,IF($P41=Instructions!$F$54,AX40+1,AX40),IF(Instructions!$E$11=16,IF($T41=Instructions!$F$54,AX40+1,AX40))))))</f>
        <v>0</v>
      </c>
      <c r="AY41" s="321" t="str">
        <f t="shared" si="12"/>
        <v>1300</v>
      </c>
      <c r="AZ41" s="321">
        <f>IF(Instructions!$E$11=8,IF($D41=Instructions!$F$55,AZ40+1,AZ40),IF(Instructions!$E$11=10,IF($H41=Instructions!$F$55,AZ40+1,AZ40),IF(Instructions!$E$11=12,IF($L41=Instructions!$F$55,AZ40+1,AZ40),IF(Instructions!$E$11=14,IF($P41=Instructions!$F$55,AZ40+1,AZ40),IF(Instructions!$E$11=16,IF($T41=Instructions!$F$55,AZ40+1,AZ40))))))</f>
        <v>0</v>
      </c>
      <c r="BA41" s="321" t="str">
        <f t="shared" si="13"/>
        <v>1400</v>
      </c>
      <c r="BB41" s="321">
        <f>IF(Instructions!$E$11=8,IF($D41=Instructions!$F$56,BB40+1,BB40),IF(Instructions!$E$11=10,IF($H41=Instructions!$F$56,BB40+1,BB40),IF(Instructions!$E$11=12,IF($L41=Instructions!$F$56,BB40+1,BB40),IF(Instructions!$E$11=14,IF($P41=Instructions!$F$56,BB40+1,BB40),IF(Instructions!$E$11=16,IF($T41=Instructions!$F$56,BB40+1,BB40))))))</f>
        <v>0</v>
      </c>
      <c r="BC41" s="321" t="str">
        <f t="shared" si="14"/>
        <v>1500</v>
      </c>
      <c r="BD41" s="321">
        <f>IF(Instructions!$E$11=8,IF($D41=Instructions!$F$57,BD40+1,BD40),IF(Instructions!$E$11=10,IF($H41=Instructions!$F$57,BD40+1,BD40),IF(Instructions!$E$11=12,IF($L41=Instructions!$F$57,BD40+1,BD40),IF(Instructions!$E$11=14,IF($P41=Instructions!$F$57,BD40+1,BD40),IF(Instructions!$E$11=16,IF($T41=Instructions!$F$57,BD40+1,BD40))))))</f>
        <v>0</v>
      </c>
      <c r="BE41" s="321" t="str">
        <f t="shared" si="15"/>
        <v>1600</v>
      </c>
      <c r="BF41" s="321">
        <v>39</v>
      </c>
    </row>
    <row r="42" spans="1:58" ht="15.75" customHeight="1" thickBot="1" x14ac:dyDescent="0.3">
      <c r="A42" s="280"/>
      <c r="B42" s="323" t="str">
        <f>IF(Instructions!$J$11=1,AA42,IF(Instructions!$J$11=2,AC42,IF(Instructions!$J$11=3,AE42,IF(Instructions!$J$11=4,AG42,IF(Instructions!$J$11=5,AI42,IF(Instructions!$J$11=6,AK42,IF(Instructions!$J$11=7,AM42,IF(Instructions!$J$11=8,AO42,IF(Instructions!$J$11=9,AQ42,IF(Instructions!$J$11=10,AS42,IF(Instructions!$J$11=11,AU42,IF(Instructions!$J$11=12,AW42,IF(Instructions!$J$11=13, AY42, IF(Instructions!$J$11=14,BA42,IF(Instructions!$J$11=15,BC42,BE42)))))))))))))))</f>
        <v>203</v>
      </c>
      <c r="C42" s="272">
        <v>40</v>
      </c>
      <c r="D42" s="329" t="str">
        <f>Instructions!F$49</f>
        <v>Luke</v>
      </c>
      <c r="E42" s="332" t="s">
        <v>762</v>
      </c>
      <c r="F42" s="713"/>
      <c r="G42" s="499">
        <v>5</v>
      </c>
      <c r="H42" s="493" t="str">
        <f>Instructions!F$42</f>
        <v>Trumbo</v>
      </c>
      <c r="I42" s="277" t="s">
        <v>752</v>
      </c>
      <c r="J42" s="710"/>
      <c r="K42" s="279">
        <v>4</v>
      </c>
      <c r="L42" s="294" t="str">
        <f>Instructions!F$50</f>
        <v>Dan</v>
      </c>
      <c r="M42" s="274" t="s">
        <v>746</v>
      </c>
      <c r="N42" s="709"/>
      <c r="O42" s="279">
        <v>4</v>
      </c>
      <c r="P42" s="294" t="str">
        <f>Instructions!F$53</f>
        <v>Zack</v>
      </c>
      <c r="Q42" s="274" t="s">
        <v>742</v>
      </c>
      <c r="R42" s="709"/>
      <c r="S42" s="279">
        <v>3</v>
      </c>
      <c r="T42" s="327" t="str">
        <f>Instructions!F$49</f>
        <v>Luke</v>
      </c>
      <c r="U42" s="274" t="s">
        <v>738</v>
      </c>
      <c r="V42" s="706"/>
      <c r="W42" s="279">
        <v>3</v>
      </c>
      <c r="X42" s="280"/>
      <c r="Y42" s="190" t="str">
        <f>IFERROR( IF(Instructions!$E$11=8, D42&amp;COUNTIF(D$3:D42,D42), IF(Instructions!$E$11=10, H42&amp;COUNTIF(H$3:H42,H42),IF(Instructions!$E$11=12, L42&amp;COUNTIF(L$3:L42,L42),IF(Instructions!$E$11=14, P42&amp;COUNTIF(P$3:P42,P42),T42&amp;COUNTIF(T$3:T42,T42))))),"")</f>
        <v>Dan4</v>
      </c>
      <c r="Z42" s="321">
        <f>IF(Instructions!$E$11=8,IF($D42=Instructions!$F$42,Z41+1,Z41),IF(Instructions!$E$11=10,IF($H42=Instructions!$F$42,Z41+1,Z41),IF(Instructions!$E$11=12,IF($L42=Instructions!$F$42,Z41+1,Z41),IF(Instructions!$E$11=14,IF($P42=Instructions!$F$42,Z41+1,Z41),IF(Instructions!$E$11=16,IF($T42=Instructions!$F$42,Z41+1,Z41))))))</f>
        <v>3</v>
      </c>
      <c r="AA42" s="321" t="str">
        <f t="shared" si="8"/>
        <v>103</v>
      </c>
      <c r="AB42" s="321">
        <f>IF(Instructions!$E$11=8,IF($D42=Instructions!$F$43,AB41+1,AB41),IF(Instructions!$E$11=10,IF($H42=Instructions!$F$43,AB41+1,AB41),IF(Instructions!$E$11=12,IF($L42=Instructions!$F$43,AB41+1,AB41),IF(Instructions!$E$11=14,IF($P42=Instructions!$F$43,AB41+1,AB41),IF(Instructions!$E$11=16,IF($T42=Instructions!$F$43,AB41+1,AB41))))))</f>
        <v>3</v>
      </c>
      <c r="AC42" s="321" t="str">
        <f t="shared" si="0"/>
        <v>203</v>
      </c>
      <c r="AD42" s="321">
        <f>IF(Instructions!$E$11=8,IF($D42=Instructions!$F$44,AD41+1,AD41),IF(Instructions!$E$11=10,IF($H42=Instructions!$F$44,AD41+1,AD41),IF(Instructions!$E$11=12,IF($L42=Instructions!$F$44,AD41+1,AD41),IF(Instructions!$E$11=14,IF($P42=Instructions!$F$44,AD41+1,AD41),IF(Instructions!$E$11=16,IF($T42=Instructions!$F$44,AD41+1,AD41))))))</f>
        <v>3</v>
      </c>
      <c r="AE42" s="321" t="str">
        <f t="shared" si="1"/>
        <v>303</v>
      </c>
      <c r="AF42" s="321">
        <f>IF(Instructions!$E$11=8,IF($D42=Instructions!$F$45,AF41+1,AF41),IF(Instructions!$E$11=10,IF($H42=Instructions!$F$45,AF41+1,AF41),IF(Instructions!$E$11=12,IF($L42=Instructions!$F$45,AF41+1,AF41),IF(Instructions!$E$11=14,IF($P42=Instructions!$F$45,AF41+1,AF41),IF(Instructions!$E$11=16,IF($T42=Instructions!$F$45,AF41+1,AF41))))))</f>
        <v>3</v>
      </c>
      <c r="AG42" s="321" t="str">
        <f t="shared" si="2"/>
        <v>403</v>
      </c>
      <c r="AH42" s="321">
        <f>IF(Instructions!$E$11=8,IF($D42=Instructions!$F$46,AH41+1,AH41),IF(Instructions!$E$11=10,IF($H42=Instructions!$F$46,AH41+1,AH41),IF(Instructions!$E$11=12,IF($L42=Instructions!$F$46,AH41+1,AH41),IF(Instructions!$E$11=14,IF($P42=Instructions!$F$46,AH41+1,AH41),IF(Instructions!$E$11=16,IF($T42=Instructions!$F$46,AH41+1,AH41))))))</f>
        <v>3</v>
      </c>
      <c r="AI42" s="321" t="str">
        <f t="shared" si="3"/>
        <v>503</v>
      </c>
      <c r="AJ42" s="321">
        <f>IF(Instructions!$E$11=8,IF($D42=Instructions!$F$47,AJ41+1,AJ41),IF(Instructions!$E$11=10,IF($H42=Instructions!$F$47,AJ41+1,AJ41),IF(Instructions!$E$11=12,IF($L42=Instructions!$F$47,AJ41+1,AJ41),IF(Instructions!$E$11=14,IF($P42=Instructions!$F$47,AJ41+1,AJ41),IF(Instructions!$E$11=16,IF($T42=Instructions!$F$47,AJ41+1,AJ41))))))</f>
        <v>3</v>
      </c>
      <c r="AK42" s="321" t="str">
        <f t="shared" si="4"/>
        <v>603</v>
      </c>
      <c r="AL42" s="321">
        <f>IF(Instructions!$E$11=8,IF($D42=Instructions!$F$48,AL41+1,AL41),IF(Instructions!$E$11=10,IF($H42=Instructions!$F$48,AL41+1,AL41),IF(Instructions!$E$11=12,IF($L42=Instructions!$F$48,AL41+1,AL41),IF(Instructions!$E$11=14,IF($P42=Instructions!$F$48,AL41+1,AL41),IF(Instructions!$E$11=16,IF($T42=Instructions!$F$48,AL41+1,AL41))))))</f>
        <v>3</v>
      </c>
      <c r="AM42" s="321" t="str">
        <f t="shared" si="5"/>
        <v>703</v>
      </c>
      <c r="AN42" s="321">
        <f>IF(Instructions!$E$11=8,IF($D42=Instructions!$F$49,AN41+1,AN41),IF(Instructions!$E$11=10,IF($H42=Instructions!$F$49,AN41+1,AN41),IF(Instructions!$E$11=12,IF($L42=Instructions!$F$49,AN41+1,AN41),IF(Instructions!$E$11=14,IF($P42=Instructions!$F$49,AN41+1,AN41),IF(Instructions!$E$11=16,IF($T42=Instructions!$F$49,AN41+1,AN41))))))</f>
        <v>3</v>
      </c>
      <c r="AO42" s="321" t="str">
        <f t="shared" si="6"/>
        <v>803</v>
      </c>
      <c r="AP42" s="321">
        <f>IF(Instructions!$E$11=8,IF($D42=Instructions!$F$50,AP41+1,AP41),IF(Instructions!$E$11=10,IF($H42=Instructions!$F$50,AP41+1,AP41),IF(Instructions!$E$11=12,IF($L42=Instructions!$F$50,AP41+1,AP41),IF(Instructions!$E$11=14,IF($P42=Instructions!$F$50,AP41+1,AP41),IF(Instructions!$E$11=16,IF($T42=Instructions!$F$50,AP41+1,AP41))))))</f>
        <v>4</v>
      </c>
      <c r="AQ42" s="321" t="str">
        <f t="shared" si="7"/>
        <v>904</v>
      </c>
      <c r="AR42" s="321">
        <f>IF(Instructions!$E$11=8,IF($D42=Instructions!$F$51,AR41+1,AR41),IF(Instructions!$E$11=10,IF($H42=Instructions!$F$51,AR41+1,AR41),IF(Instructions!$E$11=12,IF($L42=Instructions!$F$51,AR41+1,AR41),IF(Instructions!$E$11=14,IF($P42=Instructions!$F$51,AR41+1,AR41),IF(Instructions!$E$11=16,IF($T42=Instructions!$F$51,AR41+1,AR41))))))</f>
        <v>4</v>
      </c>
      <c r="AS42" s="321" t="str">
        <f t="shared" si="9"/>
        <v>1004</v>
      </c>
      <c r="AT42" s="321">
        <f>IF(Instructions!$E$11=8,IF($D42=Instructions!$F$52,AT41+1,AT41),IF(Instructions!$E$11=10,IF($H42=Instructions!$F$52,AT41+1,AT41),IF(Instructions!$E$11=12,IF($L42=Instructions!$F$52,AT41+1,AT41),IF(Instructions!$E$11=14,IF($P42=Instructions!$F$52,AT41+1,AT41),IF(Instructions!$E$11=16,IF($T42=Instructions!$F$52,AT41+1,AT41))))))</f>
        <v>4</v>
      </c>
      <c r="AU42" s="321" t="str">
        <f t="shared" si="10"/>
        <v>1104</v>
      </c>
      <c r="AV42" s="321">
        <f>IF(Instructions!$E$11=8,IF($D42=Instructions!$F$53,AV41+1,AV41),IF(Instructions!$E$11=10,IF($H42=Instructions!$F$53,AV41+1,AV41),IF(Instructions!$E$11=12,IF($L42=Instructions!$F$53,AV41+1,AV41),IF(Instructions!$E$11=14,IF($P42=Instructions!$F$53,AV41+1,AV41),IF(Instructions!$E$11=16,IF($T42=Instructions!$F$53,AV41+1,AV41))))))</f>
        <v>4</v>
      </c>
      <c r="AW42" s="321" t="str">
        <f t="shared" si="11"/>
        <v>1204</v>
      </c>
      <c r="AX42" s="321">
        <f>IF(Instructions!$E$11=8,IF($D42=Instructions!$F$54,AX41+1,AX41),IF(Instructions!$E$11=10,IF($H42=Instructions!$F$54,AX41+1,AX41),IF(Instructions!$E$11=12,IF($L42=Instructions!$F$54,AX41+1,AX41),IF(Instructions!$E$11=14,IF($P42=Instructions!$F$54,AX41+1,AX41),IF(Instructions!$E$11=16,IF($T42=Instructions!$F$54,AX41+1,AX41))))))</f>
        <v>0</v>
      </c>
      <c r="AY42" s="321" t="str">
        <f t="shared" si="12"/>
        <v>1300</v>
      </c>
      <c r="AZ42" s="321">
        <f>IF(Instructions!$E$11=8,IF($D42=Instructions!$F$55,AZ41+1,AZ41),IF(Instructions!$E$11=10,IF($H42=Instructions!$F$55,AZ41+1,AZ41),IF(Instructions!$E$11=12,IF($L42=Instructions!$F$55,AZ41+1,AZ41),IF(Instructions!$E$11=14,IF($P42=Instructions!$F$55,AZ41+1,AZ41),IF(Instructions!$E$11=16,IF($T42=Instructions!$F$55,AZ41+1,AZ41))))))</f>
        <v>0</v>
      </c>
      <c r="BA42" s="321" t="str">
        <f t="shared" si="13"/>
        <v>1400</v>
      </c>
      <c r="BB42" s="321">
        <f>IF(Instructions!$E$11=8,IF($D42=Instructions!$F$56,BB41+1,BB41),IF(Instructions!$E$11=10,IF($H42=Instructions!$F$56,BB41+1,BB41),IF(Instructions!$E$11=12,IF($L42=Instructions!$F$56,BB41+1,BB41),IF(Instructions!$E$11=14,IF($P42=Instructions!$F$56,BB41+1,BB41),IF(Instructions!$E$11=16,IF($T42=Instructions!$F$56,BB41+1,BB41))))))</f>
        <v>0</v>
      </c>
      <c r="BC42" s="321" t="str">
        <f t="shared" si="14"/>
        <v>1500</v>
      </c>
      <c r="BD42" s="321">
        <f>IF(Instructions!$E$11=8,IF($D42=Instructions!$F$57,BD41+1,BD41),IF(Instructions!$E$11=10,IF($H42=Instructions!$F$57,BD41+1,BD41),IF(Instructions!$E$11=12,IF($L42=Instructions!$F$57,BD41+1,BD41),IF(Instructions!$E$11=14,IF($P42=Instructions!$F$57,BD41+1,BD41),IF(Instructions!$E$11=16,IF($T42=Instructions!$F$57,BD41+1,BD41))))))</f>
        <v>0</v>
      </c>
      <c r="BE42" s="321" t="str">
        <f t="shared" si="15"/>
        <v>1600</v>
      </c>
      <c r="BF42" s="321">
        <v>40</v>
      </c>
    </row>
    <row r="43" spans="1:58" ht="15" customHeight="1" x14ac:dyDescent="0.25">
      <c r="A43" s="280"/>
      <c r="B43" s="323" t="str">
        <f>IF(Instructions!$J$11=1,AA43,IF(Instructions!$J$11=2,AC43,IF(Instructions!$J$11=3,AE43,IF(Instructions!$J$11=4,AG43,IF(Instructions!$J$11=5,AI43,IF(Instructions!$J$11=6,AK43,IF(Instructions!$J$11=7,AM43,IF(Instructions!$J$11=8,AO43,IF(Instructions!$J$11=9,AQ43,IF(Instructions!$J$11=10,AS43,IF(Instructions!$J$11=11,AU43,IF(Instructions!$J$11=12,AW43,IF(Instructions!$J$11=13, AY43, IF(Instructions!$J$11=14,BA43,IF(Instructions!$J$11=15,BC43,BE43)))))))))))))))</f>
        <v>203</v>
      </c>
      <c r="C43" s="271">
        <v>41</v>
      </c>
      <c r="D43" s="325" t="str">
        <f>Instructions!F$49</f>
        <v>Luke</v>
      </c>
      <c r="E43" s="331" t="s">
        <v>767</v>
      </c>
      <c r="F43" s="706" t="s">
        <v>901</v>
      </c>
      <c r="G43" s="496">
        <v>6</v>
      </c>
      <c r="H43" s="292" t="str">
        <f>Instructions!F$42</f>
        <v>Trumbo</v>
      </c>
      <c r="I43" s="276" t="s">
        <v>755</v>
      </c>
      <c r="J43" s="708" t="s">
        <v>900</v>
      </c>
      <c r="K43" s="279">
        <v>5</v>
      </c>
      <c r="L43" s="293" t="str">
        <f>Instructions!F$49</f>
        <v>Luke</v>
      </c>
      <c r="M43" s="273" t="s">
        <v>747</v>
      </c>
      <c r="N43" s="709"/>
      <c r="O43" s="279">
        <v>4</v>
      </c>
      <c r="P43" s="293" t="str">
        <f>Instructions!F$54</f>
        <v>[TEAM 13]</v>
      </c>
      <c r="Q43" s="273" t="s">
        <v>932</v>
      </c>
      <c r="R43" s="709"/>
      <c r="S43" s="279">
        <v>3</v>
      </c>
      <c r="T43" s="328" t="str">
        <f>Instructions!F$50</f>
        <v>Dan</v>
      </c>
      <c r="U43" s="273" t="s">
        <v>739</v>
      </c>
      <c r="V43" s="706"/>
      <c r="W43" s="279">
        <v>3</v>
      </c>
      <c r="X43" s="280"/>
      <c r="Y43" s="190" t="str">
        <f>IFERROR( IF(Instructions!$E$11=8, D43&amp;COUNTIF(D$3:D43,D43), IF(Instructions!$E$11=10, H43&amp;COUNTIF(H$3:H43,H43),IF(Instructions!$E$11=12, L43&amp;COUNTIF(L$3:L43,L43),IF(Instructions!$E$11=14, P43&amp;COUNTIF(P$3:P43,P43),T43&amp;COUNTIF(T$3:T43,T43))))),"")</f>
        <v>Luke4</v>
      </c>
      <c r="Z43" s="321">
        <f>IF(Instructions!$E$11=8,IF($D43=Instructions!$F$42,Z42+1,Z42),IF(Instructions!$E$11=10,IF($H43=Instructions!$F$42,Z42+1,Z42),IF(Instructions!$E$11=12,IF($L43=Instructions!$F$42,Z42+1,Z42),IF(Instructions!$E$11=14,IF($P43=Instructions!$F$42,Z42+1,Z42),IF(Instructions!$E$11=16,IF($T43=Instructions!$F$42,Z42+1,Z42))))))</f>
        <v>3</v>
      </c>
      <c r="AA43" s="321" t="str">
        <f t="shared" si="8"/>
        <v>103</v>
      </c>
      <c r="AB43" s="321">
        <f>IF(Instructions!$E$11=8,IF($D43=Instructions!$F$43,AB42+1,AB42),IF(Instructions!$E$11=10,IF($H43=Instructions!$F$43,AB42+1,AB42),IF(Instructions!$E$11=12,IF($L43=Instructions!$F$43,AB42+1,AB42),IF(Instructions!$E$11=14,IF($P43=Instructions!$F$43,AB42+1,AB42),IF(Instructions!$E$11=16,IF($T43=Instructions!$F$43,AB42+1,AB42))))))</f>
        <v>3</v>
      </c>
      <c r="AC43" s="321" t="str">
        <f t="shared" si="0"/>
        <v>203</v>
      </c>
      <c r="AD43" s="321">
        <f>IF(Instructions!$E$11=8,IF($D43=Instructions!$F$44,AD42+1,AD42),IF(Instructions!$E$11=10,IF($H43=Instructions!$F$44,AD42+1,AD42),IF(Instructions!$E$11=12,IF($L43=Instructions!$F$44,AD42+1,AD42),IF(Instructions!$E$11=14,IF($P43=Instructions!$F$44,AD42+1,AD42),IF(Instructions!$E$11=16,IF($T43=Instructions!$F$44,AD42+1,AD42))))))</f>
        <v>3</v>
      </c>
      <c r="AE43" s="321" t="str">
        <f t="shared" si="1"/>
        <v>303</v>
      </c>
      <c r="AF43" s="321">
        <f>IF(Instructions!$E$11=8,IF($D43=Instructions!$F$45,AF42+1,AF42),IF(Instructions!$E$11=10,IF($H43=Instructions!$F$45,AF42+1,AF42),IF(Instructions!$E$11=12,IF($L43=Instructions!$F$45,AF42+1,AF42),IF(Instructions!$E$11=14,IF($P43=Instructions!$F$45,AF42+1,AF42),IF(Instructions!$E$11=16,IF($T43=Instructions!$F$45,AF42+1,AF42))))))</f>
        <v>3</v>
      </c>
      <c r="AG43" s="321" t="str">
        <f t="shared" si="2"/>
        <v>403</v>
      </c>
      <c r="AH43" s="321">
        <f>IF(Instructions!$E$11=8,IF($D43=Instructions!$F$46,AH42+1,AH42),IF(Instructions!$E$11=10,IF($H43=Instructions!$F$46,AH42+1,AH42),IF(Instructions!$E$11=12,IF($L43=Instructions!$F$46,AH42+1,AH42),IF(Instructions!$E$11=14,IF($P43=Instructions!$F$46,AH42+1,AH42),IF(Instructions!$E$11=16,IF($T43=Instructions!$F$46,AH42+1,AH42))))))</f>
        <v>3</v>
      </c>
      <c r="AI43" s="321" t="str">
        <f t="shared" si="3"/>
        <v>503</v>
      </c>
      <c r="AJ43" s="321">
        <f>IF(Instructions!$E$11=8,IF($D43=Instructions!$F$47,AJ42+1,AJ42),IF(Instructions!$E$11=10,IF($H43=Instructions!$F$47,AJ42+1,AJ42),IF(Instructions!$E$11=12,IF($L43=Instructions!$F$47,AJ42+1,AJ42),IF(Instructions!$E$11=14,IF($P43=Instructions!$F$47,AJ42+1,AJ42),IF(Instructions!$E$11=16,IF($T43=Instructions!$F$47,AJ42+1,AJ42))))))</f>
        <v>3</v>
      </c>
      <c r="AK43" s="321" t="str">
        <f t="shared" si="4"/>
        <v>603</v>
      </c>
      <c r="AL43" s="321">
        <f>IF(Instructions!$E$11=8,IF($D43=Instructions!$F$48,AL42+1,AL42),IF(Instructions!$E$11=10,IF($H43=Instructions!$F$48,AL42+1,AL42),IF(Instructions!$E$11=12,IF($L43=Instructions!$F$48,AL42+1,AL42),IF(Instructions!$E$11=14,IF($P43=Instructions!$F$48,AL42+1,AL42),IF(Instructions!$E$11=16,IF($T43=Instructions!$F$48,AL42+1,AL42))))))</f>
        <v>3</v>
      </c>
      <c r="AM43" s="321" t="str">
        <f t="shared" si="5"/>
        <v>703</v>
      </c>
      <c r="AN43" s="321">
        <f>IF(Instructions!$E$11=8,IF($D43=Instructions!$F$49,AN42+1,AN42),IF(Instructions!$E$11=10,IF($H43=Instructions!$F$49,AN42+1,AN42),IF(Instructions!$E$11=12,IF($L43=Instructions!$F$49,AN42+1,AN42),IF(Instructions!$E$11=14,IF($P43=Instructions!$F$49,AN42+1,AN42),IF(Instructions!$E$11=16,IF($T43=Instructions!$F$49,AN42+1,AN42))))))</f>
        <v>4</v>
      </c>
      <c r="AO43" s="321" t="str">
        <f t="shared" si="6"/>
        <v>804</v>
      </c>
      <c r="AP43" s="321">
        <f>IF(Instructions!$E$11=8,IF($D43=Instructions!$F$50,AP42+1,AP42),IF(Instructions!$E$11=10,IF($H43=Instructions!$F$50,AP42+1,AP42),IF(Instructions!$E$11=12,IF($L43=Instructions!$F$50,AP42+1,AP42),IF(Instructions!$E$11=14,IF($P43=Instructions!$F$50,AP42+1,AP42),IF(Instructions!$E$11=16,IF($T43=Instructions!$F$50,AP42+1,AP42))))))</f>
        <v>4</v>
      </c>
      <c r="AQ43" s="321" t="str">
        <f t="shared" si="7"/>
        <v>904</v>
      </c>
      <c r="AR43" s="321">
        <f>IF(Instructions!$E$11=8,IF($D43=Instructions!$F$51,AR42+1,AR42),IF(Instructions!$E$11=10,IF($H43=Instructions!$F$51,AR42+1,AR42),IF(Instructions!$E$11=12,IF($L43=Instructions!$F$51,AR42+1,AR42),IF(Instructions!$E$11=14,IF($P43=Instructions!$F$51,AR42+1,AR42),IF(Instructions!$E$11=16,IF($T43=Instructions!$F$51,AR42+1,AR42))))))</f>
        <v>4</v>
      </c>
      <c r="AS43" s="321" t="str">
        <f t="shared" si="9"/>
        <v>1004</v>
      </c>
      <c r="AT43" s="321">
        <f>IF(Instructions!$E$11=8,IF($D43=Instructions!$F$52,AT42+1,AT42),IF(Instructions!$E$11=10,IF($H43=Instructions!$F$52,AT42+1,AT42),IF(Instructions!$E$11=12,IF($L43=Instructions!$F$52,AT42+1,AT42),IF(Instructions!$E$11=14,IF($P43=Instructions!$F$52,AT42+1,AT42),IF(Instructions!$E$11=16,IF($T43=Instructions!$F$52,AT42+1,AT42))))))</f>
        <v>4</v>
      </c>
      <c r="AU43" s="321" t="str">
        <f t="shared" si="10"/>
        <v>1104</v>
      </c>
      <c r="AV43" s="321">
        <f>IF(Instructions!$E$11=8,IF($D43=Instructions!$F$53,AV42+1,AV42),IF(Instructions!$E$11=10,IF($H43=Instructions!$F$53,AV42+1,AV42),IF(Instructions!$E$11=12,IF($L43=Instructions!$F$53,AV42+1,AV42),IF(Instructions!$E$11=14,IF($P43=Instructions!$F$53,AV42+1,AV42),IF(Instructions!$E$11=16,IF($T43=Instructions!$F$53,AV42+1,AV42))))))</f>
        <v>4</v>
      </c>
      <c r="AW43" s="321" t="str">
        <f t="shared" si="11"/>
        <v>1204</v>
      </c>
      <c r="AX43" s="321">
        <f>IF(Instructions!$E$11=8,IF($D43=Instructions!$F$54,AX42+1,AX42),IF(Instructions!$E$11=10,IF($H43=Instructions!$F$54,AX42+1,AX42),IF(Instructions!$E$11=12,IF($L43=Instructions!$F$54,AX42+1,AX42),IF(Instructions!$E$11=14,IF($P43=Instructions!$F$54,AX42+1,AX42),IF(Instructions!$E$11=16,IF($T43=Instructions!$F$54,AX42+1,AX42))))))</f>
        <v>0</v>
      </c>
      <c r="AY43" s="321" t="str">
        <f t="shared" si="12"/>
        <v>1300</v>
      </c>
      <c r="AZ43" s="321">
        <f>IF(Instructions!$E$11=8,IF($D43=Instructions!$F$55,AZ42+1,AZ42),IF(Instructions!$E$11=10,IF($H43=Instructions!$F$55,AZ42+1,AZ42),IF(Instructions!$E$11=12,IF($L43=Instructions!$F$55,AZ42+1,AZ42),IF(Instructions!$E$11=14,IF($P43=Instructions!$F$55,AZ42+1,AZ42),IF(Instructions!$E$11=16,IF($T43=Instructions!$F$55,AZ42+1,AZ42))))))</f>
        <v>0</v>
      </c>
      <c r="BA43" s="321" t="str">
        <f t="shared" si="13"/>
        <v>1400</v>
      </c>
      <c r="BB43" s="321">
        <f>IF(Instructions!$E$11=8,IF($D43=Instructions!$F$56,BB42+1,BB42),IF(Instructions!$E$11=10,IF($H43=Instructions!$F$56,BB42+1,BB42),IF(Instructions!$E$11=12,IF($L43=Instructions!$F$56,BB42+1,BB42),IF(Instructions!$E$11=14,IF($P43=Instructions!$F$56,BB42+1,BB42),IF(Instructions!$E$11=16,IF($T43=Instructions!$F$56,BB42+1,BB42))))))</f>
        <v>0</v>
      </c>
      <c r="BC43" s="321" t="str">
        <f t="shared" si="14"/>
        <v>1500</v>
      </c>
      <c r="BD43" s="321">
        <f>IF(Instructions!$E$11=8,IF($D43=Instructions!$F$57,BD42+1,BD42),IF(Instructions!$E$11=10,IF($H43=Instructions!$F$57,BD42+1,BD42),IF(Instructions!$E$11=12,IF($L43=Instructions!$F$57,BD42+1,BD42),IF(Instructions!$E$11=14,IF($P43=Instructions!$F$57,BD42+1,BD42),IF(Instructions!$E$11=16,IF($T43=Instructions!$F$57,BD42+1,BD42))))))</f>
        <v>0</v>
      </c>
      <c r="BE43" s="321" t="str">
        <f t="shared" si="15"/>
        <v>1600</v>
      </c>
      <c r="BF43" s="321">
        <v>41</v>
      </c>
    </row>
    <row r="44" spans="1:58" ht="15.75" customHeight="1" thickBot="1" x14ac:dyDescent="0.3">
      <c r="A44" s="280"/>
      <c r="B44" s="323" t="str">
        <f>IF(Instructions!$J$11=1,AA44,IF(Instructions!$J$11=2,AC44,IF(Instructions!$J$11=3,AE44,IF(Instructions!$J$11=4,AG44,IF(Instructions!$J$11=5,AI44,IF(Instructions!$J$11=6,AK44,IF(Instructions!$J$11=7,AM44,IF(Instructions!$J$11=8,AO44,IF(Instructions!$J$11=9,AQ44,IF(Instructions!$J$11=10,AS44,IF(Instructions!$J$11=11,AU44,IF(Instructions!$J$11=12,AW44,IF(Instructions!$J$11=13, AY44, IF(Instructions!$J$11=14,BA44,IF(Instructions!$J$11=15,BC44,BE44)))))))))))))))</f>
        <v>203</v>
      </c>
      <c r="C44" s="272">
        <v>42</v>
      </c>
      <c r="D44" s="327" t="str">
        <f>Instructions!F$48</f>
        <v>Bui</v>
      </c>
      <c r="E44" s="332" t="s">
        <v>768</v>
      </c>
      <c r="F44" s="706"/>
      <c r="G44" s="279">
        <v>6</v>
      </c>
      <c r="H44" s="294" t="str">
        <f>Instructions!F$43</f>
        <v>Camden</v>
      </c>
      <c r="I44" s="274" t="s">
        <v>756</v>
      </c>
      <c r="J44" s="709"/>
      <c r="K44" s="279">
        <v>5</v>
      </c>
      <c r="L44" s="294" t="str">
        <f>Instructions!F$48</f>
        <v>Bui</v>
      </c>
      <c r="M44" s="274" t="s">
        <v>748</v>
      </c>
      <c r="N44" s="709"/>
      <c r="O44" s="279">
        <v>4</v>
      </c>
      <c r="P44" s="295" t="str">
        <f>Instructions!F$55</f>
        <v>[TEAM 14]</v>
      </c>
      <c r="Q44" s="277" t="s">
        <v>933</v>
      </c>
      <c r="R44" s="710"/>
      <c r="S44" s="279">
        <v>3</v>
      </c>
      <c r="T44" s="327" t="str">
        <f>Instructions!F$51</f>
        <v>Josh</v>
      </c>
      <c r="U44" s="274" t="s">
        <v>740</v>
      </c>
      <c r="V44" s="706"/>
      <c r="W44" s="279">
        <v>3</v>
      </c>
      <c r="X44" s="280"/>
      <c r="Y44" s="190" t="str">
        <f>IFERROR( IF(Instructions!$E$11=8, D44&amp;COUNTIF(D$3:D44,D44), IF(Instructions!$E$11=10, H44&amp;COUNTIF(H$3:H44,H44),IF(Instructions!$E$11=12, L44&amp;COUNTIF(L$3:L44,L44),IF(Instructions!$E$11=14, P44&amp;COUNTIF(P$3:P44,P44),T44&amp;COUNTIF(T$3:T44,T44))))),"")</f>
        <v>Bui4</v>
      </c>
      <c r="Z44" s="321">
        <f>IF(Instructions!$E$11=8,IF($D44=Instructions!$F$42,Z43+1,Z43),IF(Instructions!$E$11=10,IF($H44=Instructions!$F$42,Z43+1,Z43),IF(Instructions!$E$11=12,IF($L44=Instructions!$F$42,Z43+1,Z43),IF(Instructions!$E$11=14,IF($P44=Instructions!$F$42,Z43+1,Z43),IF(Instructions!$E$11=16,IF($T44=Instructions!$F$42,Z43+1,Z43))))))</f>
        <v>3</v>
      </c>
      <c r="AA44" s="321" t="str">
        <f t="shared" si="8"/>
        <v>103</v>
      </c>
      <c r="AB44" s="321">
        <f>IF(Instructions!$E$11=8,IF($D44=Instructions!$F$43,AB43+1,AB43),IF(Instructions!$E$11=10,IF($H44=Instructions!$F$43,AB43+1,AB43),IF(Instructions!$E$11=12,IF($L44=Instructions!$F$43,AB43+1,AB43),IF(Instructions!$E$11=14,IF($P44=Instructions!$F$43,AB43+1,AB43),IF(Instructions!$E$11=16,IF($T44=Instructions!$F$43,AB43+1,AB43))))))</f>
        <v>3</v>
      </c>
      <c r="AC44" s="321" t="str">
        <f t="shared" si="0"/>
        <v>203</v>
      </c>
      <c r="AD44" s="321">
        <f>IF(Instructions!$E$11=8,IF($D44=Instructions!$F$44,AD43+1,AD43),IF(Instructions!$E$11=10,IF($H44=Instructions!$F$44,AD43+1,AD43),IF(Instructions!$E$11=12,IF($L44=Instructions!$F$44,AD43+1,AD43),IF(Instructions!$E$11=14,IF($P44=Instructions!$F$44,AD43+1,AD43),IF(Instructions!$E$11=16,IF($T44=Instructions!$F$44,AD43+1,AD43))))))</f>
        <v>3</v>
      </c>
      <c r="AE44" s="321" t="str">
        <f t="shared" si="1"/>
        <v>303</v>
      </c>
      <c r="AF44" s="321">
        <f>IF(Instructions!$E$11=8,IF($D44=Instructions!$F$45,AF43+1,AF43),IF(Instructions!$E$11=10,IF($H44=Instructions!$F$45,AF43+1,AF43),IF(Instructions!$E$11=12,IF($L44=Instructions!$F$45,AF43+1,AF43),IF(Instructions!$E$11=14,IF($P44=Instructions!$F$45,AF43+1,AF43),IF(Instructions!$E$11=16,IF($T44=Instructions!$F$45,AF43+1,AF43))))))</f>
        <v>3</v>
      </c>
      <c r="AG44" s="321" t="str">
        <f t="shared" si="2"/>
        <v>403</v>
      </c>
      <c r="AH44" s="321">
        <f>IF(Instructions!$E$11=8,IF($D44=Instructions!$F$46,AH43+1,AH43),IF(Instructions!$E$11=10,IF($H44=Instructions!$F$46,AH43+1,AH43),IF(Instructions!$E$11=12,IF($L44=Instructions!$F$46,AH43+1,AH43),IF(Instructions!$E$11=14,IF($P44=Instructions!$F$46,AH43+1,AH43),IF(Instructions!$E$11=16,IF($T44=Instructions!$F$46,AH43+1,AH43))))))</f>
        <v>3</v>
      </c>
      <c r="AI44" s="321" t="str">
        <f t="shared" si="3"/>
        <v>503</v>
      </c>
      <c r="AJ44" s="321">
        <f>IF(Instructions!$E$11=8,IF($D44=Instructions!$F$47,AJ43+1,AJ43),IF(Instructions!$E$11=10,IF($H44=Instructions!$F$47,AJ43+1,AJ43),IF(Instructions!$E$11=12,IF($L44=Instructions!$F$47,AJ43+1,AJ43),IF(Instructions!$E$11=14,IF($P44=Instructions!$F$47,AJ43+1,AJ43),IF(Instructions!$E$11=16,IF($T44=Instructions!$F$47,AJ43+1,AJ43))))))</f>
        <v>3</v>
      </c>
      <c r="AK44" s="321" t="str">
        <f t="shared" si="4"/>
        <v>603</v>
      </c>
      <c r="AL44" s="321">
        <f>IF(Instructions!$E$11=8,IF($D44=Instructions!$F$48,AL43+1,AL43),IF(Instructions!$E$11=10,IF($H44=Instructions!$F$48,AL43+1,AL43),IF(Instructions!$E$11=12,IF($L44=Instructions!$F$48,AL43+1,AL43),IF(Instructions!$E$11=14,IF($P44=Instructions!$F$48,AL43+1,AL43),IF(Instructions!$E$11=16,IF($T44=Instructions!$F$48,AL43+1,AL43))))))</f>
        <v>4</v>
      </c>
      <c r="AM44" s="321" t="str">
        <f t="shared" si="5"/>
        <v>704</v>
      </c>
      <c r="AN44" s="321">
        <f>IF(Instructions!$E$11=8,IF($D44=Instructions!$F$49,AN43+1,AN43),IF(Instructions!$E$11=10,IF($H44=Instructions!$F$49,AN43+1,AN43),IF(Instructions!$E$11=12,IF($L44=Instructions!$F$49,AN43+1,AN43),IF(Instructions!$E$11=14,IF($P44=Instructions!$F$49,AN43+1,AN43),IF(Instructions!$E$11=16,IF($T44=Instructions!$F$49,AN43+1,AN43))))))</f>
        <v>4</v>
      </c>
      <c r="AO44" s="321" t="str">
        <f t="shared" si="6"/>
        <v>804</v>
      </c>
      <c r="AP44" s="321">
        <f>IF(Instructions!$E$11=8,IF($D44=Instructions!$F$50,AP43+1,AP43),IF(Instructions!$E$11=10,IF($H44=Instructions!$F$50,AP43+1,AP43),IF(Instructions!$E$11=12,IF($L44=Instructions!$F$50,AP43+1,AP43),IF(Instructions!$E$11=14,IF($P44=Instructions!$F$50,AP43+1,AP43),IF(Instructions!$E$11=16,IF($T44=Instructions!$F$50,AP43+1,AP43))))))</f>
        <v>4</v>
      </c>
      <c r="AQ44" s="321" t="str">
        <f t="shared" si="7"/>
        <v>904</v>
      </c>
      <c r="AR44" s="321">
        <f>IF(Instructions!$E$11=8,IF($D44=Instructions!$F$51,AR43+1,AR43),IF(Instructions!$E$11=10,IF($H44=Instructions!$F$51,AR43+1,AR43),IF(Instructions!$E$11=12,IF($L44=Instructions!$F$51,AR43+1,AR43),IF(Instructions!$E$11=14,IF($P44=Instructions!$F$51,AR43+1,AR43),IF(Instructions!$E$11=16,IF($T44=Instructions!$F$51,AR43+1,AR43))))))</f>
        <v>4</v>
      </c>
      <c r="AS44" s="321" t="str">
        <f t="shared" si="9"/>
        <v>1004</v>
      </c>
      <c r="AT44" s="321">
        <f>IF(Instructions!$E$11=8,IF($D44=Instructions!$F$52,AT43+1,AT43),IF(Instructions!$E$11=10,IF($H44=Instructions!$F$52,AT43+1,AT43),IF(Instructions!$E$11=12,IF($L44=Instructions!$F$52,AT43+1,AT43),IF(Instructions!$E$11=14,IF($P44=Instructions!$F$52,AT43+1,AT43),IF(Instructions!$E$11=16,IF($T44=Instructions!$F$52,AT43+1,AT43))))))</f>
        <v>4</v>
      </c>
      <c r="AU44" s="321" t="str">
        <f t="shared" si="10"/>
        <v>1104</v>
      </c>
      <c r="AV44" s="321">
        <f>IF(Instructions!$E$11=8,IF($D44=Instructions!$F$53,AV43+1,AV43),IF(Instructions!$E$11=10,IF($H44=Instructions!$F$53,AV43+1,AV43),IF(Instructions!$E$11=12,IF($L44=Instructions!$F$53,AV43+1,AV43),IF(Instructions!$E$11=14,IF($P44=Instructions!$F$53,AV43+1,AV43),IF(Instructions!$E$11=16,IF($T44=Instructions!$F$53,AV43+1,AV43))))))</f>
        <v>4</v>
      </c>
      <c r="AW44" s="321" t="str">
        <f t="shared" si="11"/>
        <v>1204</v>
      </c>
      <c r="AX44" s="321">
        <f>IF(Instructions!$E$11=8,IF($D44=Instructions!$F$54,AX43+1,AX43),IF(Instructions!$E$11=10,IF($H44=Instructions!$F$54,AX43+1,AX43),IF(Instructions!$E$11=12,IF($L44=Instructions!$F$54,AX43+1,AX43),IF(Instructions!$E$11=14,IF($P44=Instructions!$F$54,AX43+1,AX43),IF(Instructions!$E$11=16,IF($T44=Instructions!$F$54,AX43+1,AX43))))))</f>
        <v>0</v>
      </c>
      <c r="AY44" s="321" t="str">
        <f t="shared" si="12"/>
        <v>1300</v>
      </c>
      <c r="AZ44" s="321">
        <f>IF(Instructions!$E$11=8,IF($D44=Instructions!$F$55,AZ43+1,AZ43),IF(Instructions!$E$11=10,IF($H44=Instructions!$F$55,AZ43+1,AZ43),IF(Instructions!$E$11=12,IF($L44=Instructions!$F$55,AZ43+1,AZ43),IF(Instructions!$E$11=14,IF($P44=Instructions!$F$55,AZ43+1,AZ43),IF(Instructions!$E$11=16,IF($T44=Instructions!$F$55,AZ43+1,AZ43))))))</f>
        <v>0</v>
      </c>
      <c r="BA44" s="321" t="str">
        <f t="shared" si="13"/>
        <v>1400</v>
      </c>
      <c r="BB44" s="321">
        <f>IF(Instructions!$E$11=8,IF($D44=Instructions!$F$56,BB43+1,BB43),IF(Instructions!$E$11=10,IF($H44=Instructions!$F$56,BB43+1,BB43),IF(Instructions!$E$11=12,IF($L44=Instructions!$F$56,BB43+1,BB43),IF(Instructions!$E$11=14,IF($P44=Instructions!$F$56,BB43+1,BB43),IF(Instructions!$E$11=16,IF($T44=Instructions!$F$56,BB43+1,BB43))))))</f>
        <v>0</v>
      </c>
      <c r="BC44" s="321" t="str">
        <f t="shared" si="14"/>
        <v>1500</v>
      </c>
      <c r="BD44" s="321">
        <f>IF(Instructions!$E$11=8,IF($D44=Instructions!$F$57,BD43+1,BD43),IF(Instructions!$E$11=10,IF($H44=Instructions!$F$57,BD43+1,BD43),IF(Instructions!$E$11=12,IF($L44=Instructions!$F$57,BD43+1,BD43),IF(Instructions!$E$11=14,IF($P44=Instructions!$F$57,BD43+1,BD43),IF(Instructions!$E$11=16,IF($T44=Instructions!$F$57,BD43+1,BD43))))))</f>
        <v>0</v>
      </c>
      <c r="BE44" s="321" t="str">
        <f t="shared" si="15"/>
        <v>1600</v>
      </c>
      <c r="BF44" s="321">
        <v>42</v>
      </c>
    </row>
    <row r="45" spans="1:58" ht="15" customHeight="1" x14ac:dyDescent="0.25">
      <c r="A45" s="280"/>
      <c r="B45" s="323" t="str">
        <f>IF(Instructions!$J$11=1,AA45,IF(Instructions!$J$11=2,AC45,IF(Instructions!$J$11=3,AE45,IF(Instructions!$J$11=4,AG45,IF(Instructions!$J$11=5,AI45,IF(Instructions!$J$11=6,AK45,IF(Instructions!$J$11=7,AM45,IF(Instructions!$J$11=8,AO45,IF(Instructions!$J$11=9,AQ45,IF(Instructions!$J$11=10,AS45,IF(Instructions!$J$11=11,AU45,IF(Instructions!$J$11=12,AW45,IF(Instructions!$J$11=13, AY45, IF(Instructions!$J$11=14,BA45,IF(Instructions!$J$11=15,BC45,BE45)))))))))))))))</f>
        <v>203</v>
      </c>
      <c r="C45" s="271">
        <v>43</v>
      </c>
      <c r="D45" s="328" t="str">
        <f>Instructions!F$47</f>
        <v>Devin</v>
      </c>
      <c r="E45" s="333" t="s">
        <v>769</v>
      </c>
      <c r="F45" s="706"/>
      <c r="G45" s="279">
        <v>6</v>
      </c>
      <c r="H45" s="293" t="str">
        <f>Instructions!F$44</f>
        <v>Cam</v>
      </c>
      <c r="I45" s="273" t="s">
        <v>757</v>
      </c>
      <c r="J45" s="709"/>
      <c r="K45" s="279">
        <v>5</v>
      </c>
      <c r="L45" s="293" t="str">
        <f>Instructions!F$47</f>
        <v>Devin</v>
      </c>
      <c r="M45" s="273" t="s">
        <v>749</v>
      </c>
      <c r="N45" s="709"/>
      <c r="O45" s="279">
        <v>4</v>
      </c>
      <c r="P45" s="292" t="str">
        <f>Instructions!F$55</f>
        <v>[TEAM 14]</v>
      </c>
      <c r="Q45" s="276" t="s">
        <v>743</v>
      </c>
      <c r="R45" s="708" t="s">
        <v>899</v>
      </c>
      <c r="S45" s="279">
        <v>4</v>
      </c>
      <c r="T45" s="328" t="str">
        <f>Instructions!F$52</f>
        <v>Big R</v>
      </c>
      <c r="U45" s="273" t="s">
        <v>741</v>
      </c>
      <c r="V45" s="706"/>
      <c r="W45" s="279">
        <v>3</v>
      </c>
      <c r="X45" s="280"/>
      <c r="Y45" s="190" t="str">
        <f>IFERROR( IF(Instructions!$E$11=8, D45&amp;COUNTIF(D$3:D45,D45), IF(Instructions!$E$11=10, H45&amp;COUNTIF(H$3:H45,H45),IF(Instructions!$E$11=12, L45&amp;COUNTIF(L$3:L45,L45),IF(Instructions!$E$11=14, P45&amp;COUNTIF(P$3:P45,P45),T45&amp;COUNTIF(T$3:T45,T45))))),"")</f>
        <v>Devin4</v>
      </c>
      <c r="Z45" s="321">
        <f>IF(Instructions!$E$11=8,IF($D45=Instructions!$F$42,Z44+1,Z44),IF(Instructions!$E$11=10,IF($H45=Instructions!$F$42,Z44+1,Z44),IF(Instructions!$E$11=12,IF($L45=Instructions!$F$42,Z44+1,Z44),IF(Instructions!$E$11=14,IF($P45=Instructions!$F$42,Z44+1,Z44),IF(Instructions!$E$11=16,IF($T45=Instructions!$F$42,Z44+1,Z44))))))</f>
        <v>3</v>
      </c>
      <c r="AA45" s="321" t="str">
        <f t="shared" si="8"/>
        <v>103</v>
      </c>
      <c r="AB45" s="321">
        <f>IF(Instructions!$E$11=8,IF($D45=Instructions!$F$43,AB44+1,AB44),IF(Instructions!$E$11=10,IF($H45=Instructions!$F$43,AB44+1,AB44),IF(Instructions!$E$11=12,IF($L45=Instructions!$F$43,AB44+1,AB44),IF(Instructions!$E$11=14,IF($P45=Instructions!$F$43,AB44+1,AB44),IF(Instructions!$E$11=16,IF($T45=Instructions!$F$43,AB44+1,AB44))))))</f>
        <v>3</v>
      </c>
      <c r="AC45" s="321" t="str">
        <f t="shared" si="0"/>
        <v>203</v>
      </c>
      <c r="AD45" s="321">
        <f>IF(Instructions!$E$11=8,IF($D45=Instructions!$F$44,AD44+1,AD44),IF(Instructions!$E$11=10,IF($H45=Instructions!$F$44,AD44+1,AD44),IF(Instructions!$E$11=12,IF($L45=Instructions!$F$44,AD44+1,AD44),IF(Instructions!$E$11=14,IF($P45=Instructions!$F$44,AD44+1,AD44),IF(Instructions!$E$11=16,IF($T45=Instructions!$F$44,AD44+1,AD44))))))</f>
        <v>3</v>
      </c>
      <c r="AE45" s="321" t="str">
        <f t="shared" si="1"/>
        <v>303</v>
      </c>
      <c r="AF45" s="321">
        <f>IF(Instructions!$E$11=8,IF($D45=Instructions!$F$45,AF44+1,AF44),IF(Instructions!$E$11=10,IF($H45=Instructions!$F$45,AF44+1,AF44),IF(Instructions!$E$11=12,IF($L45=Instructions!$F$45,AF44+1,AF44),IF(Instructions!$E$11=14,IF($P45=Instructions!$F$45,AF44+1,AF44),IF(Instructions!$E$11=16,IF($T45=Instructions!$F$45,AF44+1,AF44))))))</f>
        <v>3</v>
      </c>
      <c r="AG45" s="321" t="str">
        <f t="shared" si="2"/>
        <v>403</v>
      </c>
      <c r="AH45" s="321">
        <f>IF(Instructions!$E$11=8,IF($D45=Instructions!$F$46,AH44+1,AH44),IF(Instructions!$E$11=10,IF($H45=Instructions!$F$46,AH44+1,AH44),IF(Instructions!$E$11=12,IF($L45=Instructions!$F$46,AH44+1,AH44),IF(Instructions!$E$11=14,IF($P45=Instructions!$F$46,AH44+1,AH44),IF(Instructions!$E$11=16,IF($T45=Instructions!$F$46,AH44+1,AH44))))))</f>
        <v>3</v>
      </c>
      <c r="AI45" s="321" t="str">
        <f t="shared" si="3"/>
        <v>503</v>
      </c>
      <c r="AJ45" s="321">
        <f>IF(Instructions!$E$11=8,IF($D45=Instructions!$F$47,AJ44+1,AJ44),IF(Instructions!$E$11=10,IF($H45=Instructions!$F$47,AJ44+1,AJ44),IF(Instructions!$E$11=12,IF($L45=Instructions!$F$47,AJ44+1,AJ44),IF(Instructions!$E$11=14,IF($P45=Instructions!$F$47,AJ44+1,AJ44),IF(Instructions!$E$11=16,IF($T45=Instructions!$F$47,AJ44+1,AJ44))))))</f>
        <v>4</v>
      </c>
      <c r="AK45" s="321" t="str">
        <f t="shared" si="4"/>
        <v>604</v>
      </c>
      <c r="AL45" s="321">
        <f>IF(Instructions!$E$11=8,IF($D45=Instructions!$F$48,AL44+1,AL44),IF(Instructions!$E$11=10,IF($H45=Instructions!$F$48,AL44+1,AL44),IF(Instructions!$E$11=12,IF($L45=Instructions!$F$48,AL44+1,AL44),IF(Instructions!$E$11=14,IF($P45=Instructions!$F$48,AL44+1,AL44),IF(Instructions!$E$11=16,IF($T45=Instructions!$F$48,AL44+1,AL44))))))</f>
        <v>4</v>
      </c>
      <c r="AM45" s="321" t="str">
        <f t="shared" si="5"/>
        <v>704</v>
      </c>
      <c r="AN45" s="321">
        <f>IF(Instructions!$E$11=8,IF($D45=Instructions!$F$49,AN44+1,AN44),IF(Instructions!$E$11=10,IF($H45=Instructions!$F$49,AN44+1,AN44),IF(Instructions!$E$11=12,IF($L45=Instructions!$F$49,AN44+1,AN44),IF(Instructions!$E$11=14,IF($P45=Instructions!$F$49,AN44+1,AN44),IF(Instructions!$E$11=16,IF($T45=Instructions!$F$49,AN44+1,AN44))))))</f>
        <v>4</v>
      </c>
      <c r="AO45" s="321" t="str">
        <f t="shared" si="6"/>
        <v>804</v>
      </c>
      <c r="AP45" s="321">
        <f>IF(Instructions!$E$11=8,IF($D45=Instructions!$F$50,AP44+1,AP44),IF(Instructions!$E$11=10,IF($H45=Instructions!$F$50,AP44+1,AP44),IF(Instructions!$E$11=12,IF($L45=Instructions!$F$50,AP44+1,AP44),IF(Instructions!$E$11=14,IF($P45=Instructions!$F$50,AP44+1,AP44),IF(Instructions!$E$11=16,IF($T45=Instructions!$F$50,AP44+1,AP44))))))</f>
        <v>4</v>
      </c>
      <c r="AQ45" s="321" t="str">
        <f t="shared" si="7"/>
        <v>904</v>
      </c>
      <c r="AR45" s="321">
        <f>IF(Instructions!$E$11=8,IF($D45=Instructions!$F$51,AR44+1,AR44),IF(Instructions!$E$11=10,IF($H45=Instructions!$F$51,AR44+1,AR44),IF(Instructions!$E$11=12,IF($L45=Instructions!$F$51,AR44+1,AR44),IF(Instructions!$E$11=14,IF($P45=Instructions!$F$51,AR44+1,AR44),IF(Instructions!$E$11=16,IF($T45=Instructions!$F$51,AR44+1,AR44))))))</f>
        <v>4</v>
      </c>
      <c r="AS45" s="321" t="str">
        <f t="shared" si="9"/>
        <v>1004</v>
      </c>
      <c r="AT45" s="321">
        <f>IF(Instructions!$E$11=8,IF($D45=Instructions!$F$52,AT44+1,AT44),IF(Instructions!$E$11=10,IF($H45=Instructions!$F$52,AT44+1,AT44),IF(Instructions!$E$11=12,IF($L45=Instructions!$F$52,AT44+1,AT44),IF(Instructions!$E$11=14,IF($P45=Instructions!$F$52,AT44+1,AT44),IF(Instructions!$E$11=16,IF($T45=Instructions!$F$52,AT44+1,AT44))))))</f>
        <v>4</v>
      </c>
      <c r="AU45" s="321" t="str">
        <f t="shared" si="10"/>
        <v>1104</v>
      </c>
      <c r="AV45" s="321">
        <f>IF(Instructions!$E$11=8,IF($D45=Instructions!$F$53,AV44+1,AV44),IF(Instructions!$E$11=10,IF($H45=Instructions!$F$53,AV44+1,AV44),IF(Instructions!$E$11=12,IF($L45=Instructions!$F$53,AV44+1,AV44),IF(Instructions!$E$11=14,IF($P45=Instructions!$F$53,AV44+1,AV44),IF(Instructions!$E$11=16,IF($T45=Instructions!$F$53,AV44+1,AV44))))))</f>
        <v>4</v>
      </c>
      <c r="AW45" s="321" t="str">
        <f t="shared" si="11"/>
        <v>1204</v>
      </c>
      <c r="AX45" s="321">
        <f>IF(Instructions!$E$11=8,IF($D45=Instructions!$F$54,AX44+1,AX44),IF(Instructions!$E$11=10,IF($H45=Instructions!$F$54,AX44+1,AX44),IF(Instructions!$E$11=12,IF($L45=Instructions!$F$54,AX44+1,AX44),IF(Instructions!$E$11=14,IF($P45=Instructions!$F$54,AX44+1,AX44),IF(Instructions!$E$11=16,IF($T45=Instructions!$F$54,AX44+1,AX44))))))</f>
        <v>0</v>
      </c>
      <c r="AY45" s="321" t="str">
        <f t="shared" si="12"/>
        <v>1300</v>
      </c>
      <c r="AZ45" s="321">
        <f>IF(Instructions!$E$11=8,IF($D45=Instructions!$F$55,AZ44+1,AZ44),IF(Instructions!$E$11=10,IF($H45=Instructions!$F$55,AZ44+1,AZ44),IF(Instructions!$E$11=12,IF($L45=Instructions!$F$55,AZ44+1,AZ44),IF(Instructions!$E$11=14,IF($P45=Instructions!$F$55,AZ44+1,AZ44),IF(Instructions!$E$11=16,IF($T45=Instructions!$F$55,AZ44+1,AZ44))))))</f>
        <v>0</v>
      </c>
      <c r="BA45" s="321" t="str">
        <f t="shared" si="13"/>
        <v>1400</v>
      </c>
      <c r="BB45" s="321">
        <f>IF(Instructions!$E$11=8,IF($D45=Instructions!$F$56,BB44+1,BB44),IF(Instructions!$E$11=10,IF($H45=Instructions!$F$56,BB44+1,BB44),IF(Instructions!$E$11=12,IF($L45=Instructions!$F$56,BB44+1,BB44),IF(Instructions!$E$11=14,IF($P45=Instructions!$F$56,BB44+1,BB44),IF(Instructions!$E$11=16,IF($T45=Instructions!$F$56,BB44+1,BB44))))))</f>
        <v>0</v>
      </c>
      <c r="BC45" s="321" t="str">
        <f t="shared" si="14"/>
        <v>1500</v>
      </c>
      <c r="BD45" s="321">
        <f>IF(Instructions!$E$11=8,IF($D45=Instructions!$F$57,BD44+1,BD44),IF(Instructions!$E$11=10,IF($H45=Instructions!$F$57,BD44+1,BD44),IF(Instructions!$E$11=12,IF($L45=Instructions!$F$57,BD44+1,BD44),IF(Instructions!$E$11=14,IF($P45=Instructions!$F$57,BD44+1,BD44),IF(Instructions!$E$11=16,IF($T45=Instructions!$F$57,BD44+1,BD44))))))</f>
        <v>0</v>
      </c>
      <c r="BE45" s="321" t="str">
        <f t="shared" si="15"/>
        <v>1600</v>
      </c>
      <c r="BF45" s="321">
        <v>43</v>
      </c>
    </row>
    <row r="46" spans="1:58" x14ac:dyDescent="0.25">
      <c r="A46" s="280"/>
      <c r="B46" s="323" t="str">
        <f>IF(Instructions!$J$11=1,AA46,IF(Instructions!$J$11=2,AC46,IF(Instructions!$J$11=3,AE46,IF(Instructions!$J$11=4,AG46,IF(Instructions!$J$11=5,AI46,IF(Instructions!$J$11=6,AK46,IF(Instructions!$J$11=7,AM46,IF(Instructions!$J$11=8,AO46,IF(Instructions!$J$11=9,AQ46,IF(Instructions!$J$11=10,AS46,IF(Instructions!$J$11=11,AU46,IF(Instructions!$J$11=12,AW46,IF(Instructions!$J$11=13, AY46, IF(Instructions!$J$11=14,BA46,IF(Instructions!$J$11=15,BC46,BE46)))))))))))))))</f>
        <v>203</v>
      </c>
      <c r="C46" s="272">
        <v>44</v>
      </c>
      <c r="D46" s="327" t="str">
        <f>Instructions!F$46</f>
        <v>Con</v>
      </c>
      <c r="E46" s="332" t="s">
        <v>770</v>
      </c>
      <c r="F46" s="706"/>
      <c r="G46" s="279">
        <v>6</v>
      </c>
      <c r="H46" s="294" t="str">
        <f>Instructions!F$45</f>
        <v>Miles</v>
      </c>
      <c r="I46" s="274" t="s">
        <v>758</v>
      </c>
      <c r="J46" s="709"/>
      <c r="K46" s="279">
        <v>5</v>
      </c>
      <c r="L46" s="294" t="str">
        <f>Instructions!F$46</f>
        <v>Con</v>
      </c>
      <c r="M46" s="274" t="s">
        <v>750</v>
      </c>
      <c r="N46" s="709"/>
      <c r="O46" s="279">
        <v>4</v>
      </c>
      <c r="P46" s="294" t="str">
        <f>Instructions!F$54</f>
        <v>[TEAM 13]</v>
      </c>
      <c r="Q46" s="274" t="s">
        <v>744</v>
      </c>
      <c r="R46" s="709"/>
      <c r="S46" s="279">
        <v>4</v>
      </c>
      <c r="T46" s="327" t="str">
        <f>Instructions!F$53</f>
        <v>Zack</v>
      </c>
      <c r="U46" s="274" t="s">
        <v>742</v>
      </c>
      <c r="V46" s="706"/>
      <c r="W46" s="279">
        <v>3</v>
      </c>
      <c r="X46" s="280"/>
      <c r="Y46" s="190" t="str">
        <f>IFERROR( IF(Instructions!$E$11=8, D46&amp;COUNTIF(D$3:D46,D46), IF(Instructions!$E$11=10, H46&amp;COUNTIF(H$3:H46,H46),IF(Instructions!$E$11=12, L46&amp;COUNTIF(L$3:L46,L46),IF(Instructions!$E$11=14, P46&amp;COUNTIF(P$3:P46,P46),T46&amp;COUNTIF(T$3:T46,T46))))),"")</f>
        <v>Con4</v>
      </c>
      <c r="Z46" s="321">
        <f>IF(Instructions!$E$11=8,IF($D46=Instructions!$F$42,Z45+1,Z45),IF(Instructions!$E$11=10,IF($H46=Instructions!$F$42,Z45+1,Z45),IF(Instructions!$E$11=12,IF($L46=Instructions!$F$42,Z45+1,Z45),IF(Instructions!$E$11=14,IF($P46=Instructions!$F$42,Z45+1,Z45),IF(Instructions!$E$11=16,IF($T46=Instructions!$F$42,Z45+1,Z45))))))</f>
        <v>3</v>
      </c>
      <c r="AA46" s="321" t="str">
        <f t="shared" si="8"/>
        <v>103</v>
      </c>
      <c r="AB46" s="321">
        <f>IF(Instructions!$E$11=8,IF($D46=Instructions!$F$43,AB45+1,AB45),IF(Instructions!$E$11=10,IF($H46=Instructions!$F$43,AB45+1,AB45),IF(Instructions!$E$11=12,IF($L46=Instructions!$F$43,AB45+1,AB45),IF(Instructions!$E$11=14,IF($P46=Instructions!$F$43,AB45+1,AB45),IF(Instructions!$E$11=16,IF($T46=Instructions!$F$43,AB45+1,AB45))))))</f>
        <v>3</v>
      </c>
      <c r="AC46" s="321" t="str">
        <f t="shared" si="0"/>
        <v>203</v>
      </c>
      <c r="AD46" s="321">
        <f>IF(Instructions!$E$11=8,IF($D46=Instructions!$F$44,AD45+1,AD45),IF(Instructions!$E$11=10,IF($H46=Instructions!$F$44,AD45+1,AD45),IF(Instructions!$E$11=12,IF($L46=Instructions!$F$44,AD45+1,AD45),IF(Instructions!$E$11=14,IF($P46=Instructions!$F$44,AD45+1,AD45),IF(Instructions!$E$11=16,IF($T46=Instructions!$F$44,AD45+1,AD45))))))</f>
        <v>3</v>
      </c>
      <c r="AE46" s="321" t="str">
        <f t="shared" si="1"/>
        <v>303</v>
      </c>
      <c r="AF46" s="321">
        <f>IF(Instructions!$E$11=8,IF($D46=Instructions!$F$45,AF45+1,AF45),IF(Instructions!$E$11=10,IF($H46=Instructions!$F$45,AF45+1,AF45),IF(Instructions!$E$11=12,IF($L46=Instructions!$F$45,AF45+1,AF45),IF(Instructions!$E$11=14,IF($P46=Instructions!$F$45,AF45+1,AF45),IF(Instructions!$E$11=16,IF($T46=Instructions!$F$45,AF45+1,AF45))))))</f>
        <v>3</v>
      </c>
      <c r="AG46" s="321" t="str">
        <f t="shared" si="2"/>
        <v>403</v>
      </c>
      <c r="AH46" s="321">
        <f>IF(Instructions!$E$11=8,IF($D46=Instructions!$F$46,AH45+1,AH45),IF(Instructions!$E$11=10,IF($H46=Instructions!$F$46,AH45+1,AH45),IF(Instructions!$E$11=12,IF($L46=Instructions!$F$46,AH45+1,AH45),IF(Instructions!$E$11=14,IF($P46=Instructions!$F$46,AH45+1,AH45),IF(Instructions!$E$11=16,IF($T46=Instructions!$F$46,AH45+1,AH45))))))</f>
        <v>4</v>
      </c>
      <c r="AI46" s="321" t="str">
        <f t="shared" si="3"/>
        <v>504</v>
      </c>
      <c r="AJ46" s="321">
        <f>IF(Instructions!$E$11=8,IF($D46=Instructions!$F$47,AJ45+1,AJ45),IF(Instructions!$E$11=10,IF($H46=Instructions!$F$47,AJ45+1,AJ45),IF(Instructions!$E$11=12,IF($L46=Instructions!$F$47,AJ45+1,AJ45),IF(Instructions!$E$11=14,IF($P46=Instructions!$F$47,AJ45+1,AJ45),IF(Instructions!$E$11=16,IF($T46=Instructions!$F$47,AJ45+1,AJ45))))))</f>
        <v>4</v>
      </c>
      <c r="AK46" s="321" t="str">
        <f t="shared" si="4"/>
        <v>604</v>
      </c>
      <c r="AL46" s="321">
        <f>IF(Instructions!$E$11=8,IF($D46=Instructions!$F$48,AL45+1,AL45),IF(Instructions!$E$11=10,IF($H46=Instructions!$F$48,AL45+1,AL45),IF(Instructions!$E$11=12,IF($L46=Instructions!$F$48,AL45+1,AL45),IF(Instructions!$E$11=14,IF($P46=Instructions!$F$48,AL45+1,AL45),IF(Instructions!$E$11=16,IF($T46=Instructions!$F$48,AL45+1,AL45))))))</f>
        <v>4</v>
      </c>
      <c r="AM46" s="321" t="str">
        <f t="shared" si="5"/>
        <v>704</v>
      </c>
      <c r="AN46" s="321">
        <f>IF(Instructions!$E$11=8,IF($D46=Instructions!$F$49,AN45+1,AN45),IF(Instructions!$E$11=10,IF($H46=Instructions!$F$49,AN45+1,AN45),IF(Instructions!$E$11=12,IF($L46=Instructions!$F$49,AN45+1,AN45),IF(Instructions!$E$11=14,IF($P46=Instructions!$F$49,AN45+1,AN45),IF(Instructions!$E$11=16,IF($T46=Instructions!$F$49,AN45+1,AN45))))))</f>
        <v>4</v>
      </c>
      <c r="AO46" s="321" t="str">
        <f t="shared" si="6"/>
        <v>804</v>
      </c>
      <c r="AP46" s="321">
        <f>IF(Instructions!$E$11=8,IF($D46=Instructions!$F$50,AP45+1,AP45),IF(Instructions!$E$11=10,IF($H46=Instructions!$F$50,AP45+1,AP45),IF(Instructions!$E$11=12,IF($L46=Instructions!$F$50,AP45+1,AP45),IF(Instructions!$E$11=14,IF($P46=Instructions!$F$50,AP45+1,AP45),IF(Instructions!$E$11=16,IF($T46=Instructions!$F$50,AP45+1,AP45))))))</f>
        <v>4</v>
      </c>
      <c r="AQ46" s="321" t="str">
        <f t="shared" si="7"/>
        <v>904</v>
      </c>
      <c r="AR46" s="321">
        <f>IF(Instructions!$E$11=8,IF($D46=Instructions!$F$51,AR45+1,AR45),IF(Instructions!$E$11=10,IF($H46=Instructions!$F$51,AR45+1,AR45),IF(Instructions!$E$11=12,IF($L46=Instructions!$F$51,AR45+1,AR45),IF(Instructions!$E$11=14,IF($P46=Instructions!$F$51,AR45+1,AR45),IF(Instructions!$E$11=16,IF($T46=Instructions!$F$51,AR45+1,AR45))))))</f>
        <v>4</v>
      </c>
      <c r="AS46" s="321" t="str">
        <f t="shared" si="9"/>
        <v>1004</v>
      </c>
      <c r="AT46" s="321">
        <f>IF(Instructions!$E$11=8,IF($D46=Instructions!$F$52,AT45+1,AT45),IF(Instructions!$E$11=10,IF($H46=Instructions!$F$52,AT45+1,AT45),IF(Instructions!$E$11=12,IF($L46=Instructions!$F$52,AT45+1,AT45),IF(Instructions!$E$11=14,IF($P46=Instructions!$F$52,AT45+1,AT45),IF(Instructions!$E$11=16,IF($T46=Instructions!$F$52,AT45+1,AT45))))))</f>
        <v>4</v>
      </c>
      <c r="AU46" s="321" t="str">
        <f t="shared" si="10"/>
        <v>1104</v>
      </c>
      <c r="AV46" s="321">
        <f>IF(Instructions!$E$11=8,IF($D46=Instructions!$F$53,AV45+1,AV45),IF(Instructions!$E$11=10,IF($H46=Instructions!$F$53,AV45+1,AV45),IF(Instructions!$E$11=12,IF($L46=Instructions!$F$53,AV45+1,AV45),IF(Instructions!$E$11=14,IF($P46=Instructions!$F$53,AV45+1,AV45),IF(Instructions!$E$11=16,IF($T46=Instructions!$F$53,AV45+1,AV45))))))</f>
        <v>4</v>
      </c>
      <c r="AW46" s="321" t="str">
        <f t="shared" si="11"/>
        <v>1204</v>
      </c>
      <c r="AX46" s="321">
        <f>IF(Instructions!$E$11=8,IF($D46=Instructions!$F$54,AX45+1,AX45),IF(Instructions!$E$11=10,IF($H46=Instructions!$F$54,AX45+1,AX45),IF(Instructions!$E$11=12,IF($L46=Instructions!$F$54,AX45+1,AX45),IF(Instructions!$E$11=14,IF($P46=Instructions!$F$54,AX45+1,AX45),IF(Instructions!$E$11=16,IF($T46=Instructions!$F$54,AX45+1,AX45))))))</f>
        <v>0</v>
      </c>
      <c r="AY46" s="321" t="str">
        <f t="shared" si="12"/>
        <v>1300</v>
      </c>
      <c r="AZ46" s="321">
        <f>IF(Instructions!$E$11=8,IF($D46=Instructions!$F$55,AZ45+1,AZ45),IF(Instructions!$E$11=10,IF($H46=Instructions!$F$55,AZ45+1,AZ45),IF(Instructions!$E$11=12,IF($L46=Instructions!$F$55,AZ45+1,AZ45),IF(Instructions!$E$11=14,IF($P46=Instructions!$F$55,AZ45+1,AZ45),IF(Instructions!$E$11=16,IF($T46=Instructions!$F$55,AZ45+1,AZ45))))))</f>
        <v>0</v>
      </c>
      <c r="BA46" s="321" t="str">
        <f t="shared" si="13"/>
        <v>1400</v>
      </c>
      <c r="BB46" s="321">
        <f>IF(Instructions!$E$11=8,IF($D46=Instructions!$F$56,BB45+1,BB45),IF(Instructions!$E$11=10,IF($H46=Instructions!$F$56,BB45+1,BB45),IF(Instructions!$E$11=12,IF($L46=Instructions!$F$56,BB45+1,BB45),IF(Instructions!$E$11=14,IF($P46=Instructions!$F$56,BB45+1,BB45),IF(Instructions!$E$11=16,IF($T46=Instructions!$F$56,BB45+1,BB45))))))</f>
        <v>0</v>
      </c>
      <c r="BC46" s="321" t="str">
        <f t="shared" si="14"/>
        <v>1500</v>
      </c>
      <c r="BD46" s="321">
        <f>IF(Instructions!$E$11=8,IF($D46=Instructions!$F$57,BD45+1,BD45),IF(Instructions!$E$11=10,IF($H46=Instructions!$F$57,BD45+1,BD45),IF(Instructions!$E$11=12,IF($L46=Instructions!$F$57,BD45+1,BD45),IF(Instructions!$E$11=14,IF($P46=Instructions!$F$57,BD45+1,BD45),IF(Instructions!$E$11=16,IF($T46=Instructions!$F$57,BD45+1,BD45))))))</f>
        <v>0</v>
      </c>
      <c r="BE46" s="321" t="str">
        <f t="shared" si="15"/>
        <v>1600</v>
      </c>
      <c r="BF46" s="321">
        <v>44</v>
      </c>
    </row>
    <row r="47" spans="1:58" x14ac:dyDescent="0.25">
      <c r="A47" s="280"/>
      <c r="B47" s="323" t="str">
        <f>IF(Instructions!$J$11=1,AA47,IF(Instructions!$J$11=2,AC47,IF(Instructions!$J$11=3,AE47,IF(Instructions!$J$11=4,AG47,IF(Instructions!$J$11=5,AI47,IF(Instructions!$J$11=6,AK47,IF(Instructions!$J$11=7,AM47,IF(Instructions!$J$11=8,AO47,IF(Instructions!$J$11=9,AQ47,IF(Instructions!$J$11=10,AS47,IF(Instructions!$J$11=11,AU47,IF(Instructions!$J$11=12,AW47,IF(Instructions!$J$11=13, AY47, IF(Instructions!$J$11=14,BA47,IF(Instructions!$J$11=15,BC47,BE47)))))))))))))))</f>
        <v>203</v>
      </c>
      <c r="C47" s="271">
        <v>45</v>
      </c>
      <c r="D47" s="328" t="str">
        <f>Instructions!F$45</f>
        <v>Miles</v>
      </c>
      <c r="E47" s="333" t="s">
        <v>771</v>
      </c>
      <c r="F47" s="706"/>
      <c r="G47" s="279">
        <v>6</v>
      </c>
      <c r="H47" s="293" t="str">
        <f>Instructions!F$46</f>
        <v>Con</v>
      </c>
      <c r="I47" s="273" t="s">
        <v>759</v>
      </c>
      <c r="J47" s="709"/>
      <c r="K47" s="279">
        <v>5</v>
      </c>
      <c r="L47" s="293" t="str">
        <f>Instructions!F$45</f>
        <v>Miles</v>
      </c>
      <c r="M47" s="273" t="s">
        <v>751</v>
      </c>
      <c r="N47" s="709"/>
      <c r="O47" s="279">
        <v>4</v>
      </c>
      <c r="P47" s="293" t="str">
        <f>Instructions!F$53</f>
        <v>Zack</v>
      </c>
      <c r="Q47" s="273" t="s">
        <v>745</v>
      </c>
      <c r="R47" s="709"/>
      <c r="S47" s="279">
        <v>4</v>
      </c>
      <c r="T47" s="328" t="str">
        <f>Instructions!F$54</f>
        <v>[TEAM 13]</v>
      </c>
      <c r="U47" s="273" t="s">
        <v>932</v>
      </c>
      <c r="V47" s="706"/>
      <c r="W47" s="279">
        <v>3</v>
      </c>
      <c r="X47" s="280"/>
      <c r="Y47" s="190" t="str">
        <f>IFERROR( IF(Instructions!$E$11=8, D47&amp;COUNTIF(D$3:D47,D47), IF(Instructions!$E$11=10, H47&amp;COUNTIF(H$3:H47,H47),IF(Instructions!$E$11=12, L47&amp;COUNTIF(L$3:L47,L47),IF(Instructions!$E$11=14, P47&amp;COUNTIF(P$3:P47,P47),T47&amp;COUNTIF(T$3:T47,T47))))),"")</f>
        <v>Miles4</v>
      </c>
      <c r="Z47" s="321">
        <f>IF(Instructions!$E$11=8,IF($D47=Instructions!$F$42,Z46+1,Z46),IF(Instructions!$E$11=10,IF($H47=Instructions!$F$42,Z46+1,Z46),IF(Instructions!$E$11=12,IF($L47=Instructions!$F$42,Z46+1,Z46),IF(Instructions!$E$11=14,IF($P47=Instructions!$F$42,Z46+1,Z46),IF(Instructions!$E$11=16,IF($T47=Instructions!$F$42,Z46+1,Z46))))))</f>
        <v>3</v>
      </c>
      <c r="AA47" s="321" t="str">
        <f t="shared" si="8"/>
        <v>103</v>
      </c>
      <c r="AB47" s="321">
        <f>IF(Instructions!$E$11=8,IF($D47=Instructions!$F$43,AB46+1,AB46),IF(Instructions!$E$11=10,IF($H47=Instructions!$F$43,AB46+1,AB46),IF(Instructions!$E$11=12,IF($L47=Instructions!$F$43,AB46+1,AB46),IF(Instructions!$E$11=14,IF($P47=Instructions!$F$43,AB46+1,AB46),IF(Instructions!$E$11=16,IF($T47=Instructions!$F$43,AB46+1,AB46))))))</f>
        <v>3</v>
      </c>
      <c r="AC47" s="321" t="str">
        <f t="shared" si="0"/>
        <v>203</v>
      </c>
      <c r="AD47" s="321">
        <f>IF(Instructions!$E$11=8,IF($D47=Instructions!$F$44,AD46+1,AD46),IF(Instructions!$E$11=10,IF($H47=Instructions!$F$44,AD46+1,AD46),IF(Instructions!$E$11=12,IF($L47=Instructions!$F$44,AD46+1,AD46),IF(Instructions!$E$11=14,IF($P47=Instructions!$F$44,AD46+1,AD46),IF(Instructions!$E$11=16,IF($T47=Instructions!$F$44,AD46+1,AD46))))))</f>
        <v>3</v>
      </c>
      <c r="AE47" s="321" t="str">
        <f t="shared" si="1"/>
        <v>303</v>
      </c>
      <c r="AF47" s="321">
        <f>IF(Instructions!$E$11=8,IF($D47=Instructions!$F$45,AF46+1,AF46),IF(Instructions!$E$11=10,IF($H47=Instructions!$F$45,AF46+1,AF46),IF(Instructions!$E$11=12,IF($L47=Instructions!$F$45,AF46+1,AF46),IF(Instructions!$E$11=14,IF($P47=Instructions!$F$45,AF46+1,AF46),IF(Instructions!$E$11=16,IF($T47=Instructions!$F$45,AF46+1,AF46))))))</f>
        <v>4</v>
      </c>
      <c r="AG47" s="321" t="str">
        <f t="shared" si="2"/>
        <v>404</v>
      </c>
      <c r="AH47" s="321">
        <f>IF(Instructions!$E$11=8,IF($D47=Instructions!$F$46,AH46+1,AH46),IF(Instructions!$E$11=10,IF($H47=Instructions!$F$46,AH46+1,AH46),IF(Instructions!$E$11=12,IF($L47=Instructions!$F$46,AH46+1,AH46),IF(Instructions!$E$11=14,IF($P47=Instructions!$F$46,AH46+1,AH46),IF(Instructions!$E$11=16,IF($T47=Instructions!$F$46,AH46+1,AH46))))))</f>
        <v>4</v>
      </c>
      <c r="AI47" s="321" t="str">
        <f t="shared" si="3"/>
        <v>504</v>
      </c>
      <c r="AJ47" s="321">
        <f>IF(Instructions!$E$11=8,IF($D47=Instructions!$F$47,AJ46+1,AJ46),IF(Instructions!$E$11=10,IF($H47=Instructions!$F$47,AJ46+1,AJ46),IF(Instructions!$E$11=12,IF($L47=Instructions!$F$47,AJ46+1,AJ46),IF(Instructions!$E$11=14,IF($P47=Instructions!$F$47,AJ46+1,AJ46),IF(Instructions!$E$11=16,IF($T47=Instructions!$F$47,AJ46+1,AJ46))))))</f>
        <v>4</v>
      </c>
      <c r="AK47" s="321" t="str">
        <f t="shared" si="4"/>
        <v>604</v>
      </c>
      <c r="AL47" s="321">
        <f>IF(Instructions!$E$11=8,IF($D47=Instructions!$F$48,AL46+1,AL46),IF(Instructions!$E$11=10,IF($H47=Instructions!$F$48,AL46+1,AL46),IF(Instructions!$E$11=12,IF($L47=Instructions!$F$48,AL46+1,AL46),IF(Instructions!$E$11=14,IF($P47=Instructions!$F$48,AL46+1,AL46),IF(Instructions!$E$11=16,IF($T47=Instructions!$F$48,AL46+1,AL46))))))</f>
        <v>4</v>
      </c>
      <c r="AM47" s="321" t="str">
        <f t="shared" si="5"/>
        <v>704</v>
      </c>
      <c r="AN47" s="321">
        <f>IF(Instructions!$E$11=8,IF($D47=Instructions!$F$49,AN46+1,AN46),IF(Instructions!$E$11=10,IF($H47=Instructions!$F$49,AN46+1,AN46),IF(Instructions!$E$11=12,IF($L47=Instructions!$F$49,AN46+1,AN46),IF(Instructions!$E$11=14,IF($P47=Instructions!$F$49,AN46+1,AN46),IF(Instructions!$E$11=16,IF($T47=Instructions!$F$49,AN46+1,AN46))))))</f>
        <v>4</v>
      </c>
      <c r="AO47" s="321" t="str">
        <f t="shared" si="6"/>
        <v>804</v>
      </c>
      <c r="AP47" s="321">
        <f>IF(Instructions!$E$11=8,IF($D47=Instructions!$F$50,AP46+1,AP46),IF(Instructions!$E$11=10,IF($H47=Instructions!$F$50,AP46+1,AP46),IF(Instructions!$E$11=12,IF($L47=Instructions!$F$50,AP46+1,AP46),IF(Instructions!$E$11=14,IF($P47=Instructions!$F$50,AP46+1,AP46),IF(Instructions!$E$11=16,IF($T47=Instructions!$F$50,AP46+1,AP46))))))</f>
        <v>4</v>
      </c>
      <c r="AQ47" s="321" t="str">
        <f t="shared" si="7"/>
        <v>904</v>
      </c>
      <c r="AR47" s="321">
        <f>IF(Instructions!$E$11=8,IF($D47=Instructions!$F$51,AR46+1,AR46),IF(Instructions!$E$11=10,IF($H47=Instructions!$F$51,AR46+1,AR46),IF(Instructions!$E$11=12,IF($L47=Instructions!$F$51,AR46+1,AR46),IF(Instructions!$E$11=14,IF($P47=Instructions!$F$51,AR46+1,AR46),IF(Instructions!$E$11=16,IF($T47=Instructions!$F$51,AR46+1,AR46))))))</f>
        <v>4</v>
      </c>
      <c r="AS47" s="321" t="str">
        <f t="shared" si="9"/>
        <v>1004</v>
      </c>
      <c r="AT47" s="321">
        <f>IF(Instructions!$E$11=8,IF($D47=Instructions!$F$52,AT46+1,AT46),IF(Instructions!$E$11=10,IF($H47=Instructions!$F$52,AT46+1,AT46),IF(Instructions!$E$11=12,IF($L47=Instructions!$F$52,AT46+1,AT46),IF(Instructions!$E$11=14,IF($P47=Instructions!$F$52,AT46+1,AT46),IF(Instructions!$E$11=16,IF($T47=Instructions!$F$52,AT46+1,AT46))))))</f>
        <v>4</v>
      </c>
      <c r="AU47" s="321" t="str">
        <f t="shared" si="10"/>
        <v>1104</v>
      </c>
      <c r="AV47" s="321">
        <f>IF(Instructions!$E$11=8,IF($D47=Instructions!$F$53,AV46+1,AV46),IF(Instructions!$E$11=10,IF($H47=Instructions!$F$53,AV46+1,AV46),IF(Instructions!$E$11=12,IF($L47=Instructions!$F$53,AV46+1,AV46),IF(Instructions!$E$11=14,IF($P47=Instructions!$F$53,AV46+1,AV46),IF(Instructions!$E$11=16,IF($T47=Instructions!$F$53,AV46+1,AV46))))))</f>
        <v>4</v>
      </c>
      <c r="AW47" s="321" t="str">
        <f t="shared" si="11"/>
        <v>1204</v>
      </c>
      <c r="AX47" s="321">
        <f>IF(Instructions!$E$11=8,IF($D47=Instructions!$F$54,AX46+1,AX46),IF(Instructions!$E$11=10,IF($H47=Instructions!$F$54,AX46+1,AX46),IF(Instructions!$E$11=12,IF($L47=Instructions!$F$54,AX46+1,AX46),IF(Instructions!$E$11=14,IF($P47=Instructions!$F$54,AX46+1,AX46),IF(Instructions!$E$11=16,IF($T47=Instructions!$F$54,AX46+1,AX46))))))</f>
        <v>0</v>
      </c>
      <c r="AY47" s="321" t="str">
        <f t="shared" si="12"/>
        <v>1300</v>
      </c>
      <c r="AZ47" s="321">
        <f>IF(Instructions!$E$11=8,IF($D47=Instructions!$F$55,AZ46+1,AZ46),IF(Instructions!$E$11=10,IF($H47=Instructions!$F$55,AZ46+1,AZ46),IF(Instructions!$E$11=12,IF($L47=Instructions!$F$55,AZ46+1,AZ46),IF(Instructions!$E$11=14,IF($P47=Instructions!$F$55,AZ46+1,AZ46),IF(Instructions!$E$11=16,IF($T47=Instructions!$F$55,AZ46+1,AZ46))))))</f>
        <v>0</v>
      </c>
      <c r="BA47" s="321" t="str">
        <f t="shared" si="13"/>
        <v>1400</v>
      </c>
      <c r="BB47" s="321">
        <f>IF(Instructions!$E$11=8,IF($D47=Instructions!$F$56,BB46+1,BB46),IF(Instructions!$E$11=10,IF($H47=Instructions!$F$56,BB46+1,BB46),IF(Instructions!$E$11=12,IF($L47=Instructions!$F$56,BB46+1,BB46),IF(Instructions!$E$11=14,IF($P47=Instructions!$F$56,BB46+1,BB46),IF(Instructions!$E$11=16,IF($T47=Instructions!$F$56,BB46+1,BB46))))))</f>
        <v>0</v>
      </c>
      <c r="BC47" s="321" t="str">
        <f t="shared" si="14"/>
        <v>1500</v>
      </c>
      <c r="BD47" s="321">
        <f>IF(Instructions!$E$11=8,IF($D47=Instructions!$F$57,BD46+1,BD46),IF(Instructions!$E$11=10,IF($H47=Instructions!$F$57,BD46+1,BD46),IF(Instructions!$E$11=12,IF($L47=Instructions!$F$57,BD46+1,BD46),IF(Instructions!$E$11=14,IF($P47=Instructions!$F$57,BD46+1,BD46),IF(Instructions!$E$11=16,IF($T47=Instructions!$F$57,BD46+1,BD46))))))</f>
        <v>0</v>
      </c>
      <c r="BE47" s="321" t="str">
        <f t="shared" si="15"/>
        <v>1600</v>
      </c>
      <c r="BF47" s="321">
        <v>45</v>
      </c>
    </row>
    <row r="48" spans="1:58" x14ac:dyDescent="0.25">
      <c r="A48" s="280"/>
      <c r="B48" s="323" t="str">
        <f>IF(Instructions!$J$11=1,AA48,IF(Instructions!$J$11=2,AC48,IF(Instructions!$J$11=3,AE48,IF(Instructions!$J$11=4,AG48,IF(Instructions!$J$11=5,AI48,IF(Instructions!$J$11=6,AK48,IF(Instructions!$J$11=7,AM48,IF(Instructions!$J$11=8,AO48,IF(Instructions!$J$11=9,AQ48,IF(Instructions!$J$11=10,AS48,IF(Instructions!$J$11=11,AU48,IF(Instructions!$J$11=12,AW48,IF(Instructions!$J$11=13, AY48, IF(Instructions!$J$11=14,BA48,IF(Instructions!$J$11=15,BC48,BE48)))))))))))))))</f>
        <v>203</v>
      </c>
      <c r="C48" s="272">
        <v>46</v>
      </c>
      <c r="D48" s="327" t="str">
        <f>Instructions!F$44</f>
        <v>Cam</v>
      </c>
      <c r="E48" s="332" t="s">
        <v>772</v>
      </c>
      <c r="F48" s="706"/>
      <c r="G48" s="279">
        <v>6</v>
      </c>
      <c r="H48" s="294" t="str">
        <f>Instructions!F$47</f>
        <v>Devin</v>
      </c>
      <c r="I48" s="274" t="s">
        <v>760</v>
      </c>
      <c r="J48" s="709"/>
      <c r="K48" s="279">
        <v>5</v>
      </c>
      <c r="L48" s="294" t="str">
        <f>Instructions!F$44</f>
        <v>Cam</v>
      </c>
      <c r="M48" s="274" t="s">
        <v>752</v>
      </c>
      <c r="N48" s="709"/>
      <c r="O48" s="279">
        <v>4</v>
      </c>
      <c r="P48" s="294" t="str">
        <f>Instructions!F$52</f>
        <v>Big R</v>
      </c>
      <c r="Q48" s="274" t="s">
        <v>746</v>
      </c>
      <c r="R48" s="709"/>
      <c r="S48" s="279">
        <v>4</v>
      </c>
      <c r="T48" s="327" t="str">
        <f>Instructions!F$55</f>
        <v>[TEAM 14]</v>
      </c>
      <c r="U48" s="274" t="s">
        <v>933</v>
      </c>
      <c r="V48" s="706"/>
      <c r="W48" s="279">
        <v>3</v>
      </c>
      <c r="X48" s="280"/>
      <c r="Y48" s="190" t="str">
        <f>IFERROR( IF(Instructions!$E$11=8, D48&amp;COUNTIF(D$3:D48,D48), IF(Instructions!$E$11=10, H48&amp;COUNTIF(H$3:H48,H48),IF(Instructions!$E$11=12, L48&amp;COUNTIF(L$3:L48,L48),IF(Instructions!$E$11=14, P48&amp;COUNTIF(P$3:P48,P48),T48&amp;COUNTIF(T$3:T48,T48))))),"")</f>
        <v>Cam4</v>
      </c>
      <c r="Z48" s="321">
        <f>IF(Instructions!$E$11=8,IF($D48=Instructions!$F$42,Z47+1,Z47),IF(Instructions!$E$11=10,IF($H48=Instructions!$F$42,Z47+1,Z47),IF(Instructions!$E$11=12,IF($L48=Instructions!$F$42,Z47+1,Z47),IF(Instructions!$E$11=14,IF($P48=Instructions!$F$42,Z47+1,Z47),IF(Instructions!$E$11=16,IF($T48=Instructions!$F$42,Z47+1,Z47))))))</f>
        <v>3</v>
      </c>
      <c r="AA48" s="321" t="str">
        <f t="shared" si="8"/>
        <v>103</v>
      </c>
      <c r="AB48" s="321">
        <f>IF(Instructions!$E$11=8,IF($D48=Instructions!$F$43,AB47+1,AB47),IF(Instructions!$E$11=10,IF($H48=Instructions!$F$43,AB47+1,AB47),IF(Instructions!$E$11=12,IF($L48=Instructions!$F$43,AB47+1,AB47),IF(Instructions!$E$11=14,IF($P48=Instructions!$F$43,AB47+1,AB47),IF(Instructions!$E$11=16,IF($T48=Instructions!$F$43,AB47+1,AB47))))))</f>
        <v>3</v>
      </c>
      <c r="AC48" s="321" t="str">
        <f t="shared" si="0"/>
        <v>203</v>
      </c>
      <c r="AD48" s="321">
        <f>IF(Instructions!$E$11=8,IF($D48=Instructions!$F$44,AD47+1,AD47),IF(Instructions!$E$11=10,IF($H48=Instructions!$F$44,AD47+1,AD47),IF(Instructions!$E$11=12,IF($L48=Instructions!$F$44,AD47+1,AD47),IF(Instructions!$E$11=14,IF($P48=Instructions!$F$44,AD47+1,AD47),IF(Instructions!$E$11=16,IF($T48=Instructions!$F$44,AD47+1,AD47))))))</f>
        <v>4</v>
      </c>
      <c r="AE48" s="321" t="str">
        <f t="shared" si="1"/>
        <v>304</v>
      </c>
      <c r="AF48" s="321">
        <f>IF(Instructions!$E$11=8,IF($D48=Instructions!$F$45,AF47+1,AF47),IF(Instructions!$E$11=10,IF($H48=Instructions!$F$45,AF47+1,AF47),IF(Instructions!$E$11=12,IF($L48=Instructions!$F$45,AF47+1,AF47),IF(Instructions!$E$11=14,IF($P48=Instructions!$F$45,AF47+1,AF47),IF(Instructions!$E$11=16,IF($T48=Instructions!$F$45,AF47+1,AF47))))))</f>
        <v>4</v>
      </c>
      <c r="AG48" s="321" t="str">
        <f t="shared" si="2"/>
        <v>404</v>
      </c>
      <c r="AH48" s="321">
        <f>IF(Instructions!$E$11=8,IF($D48=Instructions!$F$46,AH47+1,AH47),IF(Instructions!$E$11=10,IF($H48=Instructions!$F$46,AH47+1,AH47),IF(Instructions!$E$11=12,IF($L48=Instructions!$F$46,AH47+1,AH47),IF(Instructions!$E$11=14,IF($P48=Instructions!$F$46,AH47+1,AH47),IF(Instructions!$E$11=16,IF($T48=Instructions!$F$46,AH47+1,AH47))))))</f>
        <v>4</v>
      </c>
      <c r="AI48" s="321" t="str">
        <f t="shared" si="3"/>
        <v>504</v>
      </c>
      <c r="AJ48" s="321">
        <f>IF(Instructions!$E$11=8,IF($D48=Instructions!$F$47,AJ47+1,AJ47),IF(Instructions!$E$11=10,IF($H48=Instructions!$F$47,AJ47+1,AJ47),IF(Instructions!$E$11=12,IF($L48=Instructions!$F$47,AJ47+1,AJ47),IF(Instructions!$E$11=14,IF($P48=Instructions!$F$47,AJ47+1,AJ47),IF(Instructions!$E$11=16,IF($T48=Instructions!$F$47,AJ47+1,AJ47))))))</f>
        <v>4</v>
      </c>
      <c r="AK48" s="321" t="str">
        <f t="shared" si="4"/>
        <v>604</v>
      </c>
      <c r="AL48" s="321">
        <f>IF(Instructions!$E$11=8,IF($D48=Instructions!$F$48,AL47+1,AL47),IF(Instructions!$E$11=10,IF($H48=Instructions!$F$48,AL47+1,AL47),IF(Instructions!$E$11=12,IF($L48=Instructions!$F$48,AL47+1,AL47),IF(Instructions!$E$11=14,IF($P48=Instructions!$F$48,AL47+1,AL47),IF(Instructions!$E$11=16,IF($T48=Instructions!$F$48,AL47+1,AL47))))))</f>
        <v>4</v>
      </c>
      <c r="AM48" s="321" t="str">
        <f t="shared" si="5"/>
        <v>704</v>
      </c>
      <c r="AN48" s="321">
        <f>IF(Instructions!$E$11=8,IF($D48=Instructions!$F$49,AN47+1,AN47),IF(Instructions!$E$11=10,IF($H48=Instructions!$F$49,AN47+1,AN47),IF(Instructions!$E$11=12,IF($L48=Instructions!$F$49,AN47+1,AN47),IF(Instructions!$E$11=14,IF($P48=Instructions!$F$49,AN47+1,AN47),IF(Instructions!$E$11=16,IF($T48=Instructions!$F$49,AN47+1,AN47))))))</f>
        <v>4</v>
      </c>
      <c r="AO48" s="321" t="str">
        <f t="shared" si="6"/>
        <v>804</v>
      </c>
      <c r="AP48" s="321">
        <f>IF(Instructions!$E$11=8,IF($D48=Instructions!$F$50,AP47+1,AP47),IF(Instructions!$E$11=10,IF($H48=Instructions!$F$50,AP47+1,AP47),IF(Instructions!$E$11=12,IF($L48=Instructions!$F$50,AP47+1,AP47),IF(Instructions!$E$11=14,IF($P48=Instructions!$F$50,AP47+1,AP47),IF(Instructions!$E$11=16,IF($T48=Instructions!$F$50,AP47+1,AP47))))))</f>
        <v>4</v>
      </c>
      <c r="AQ48" s="321" t="str">
        <f t="shared" si="7"/>
        <v>904</v>
      </c>
      <c r="AR48" s="321">
        <f>IF(Instructions!$E$11=8,IF($D48=Instructions!$F$51,AR47+1,AR47),IF(Instructions!$E$11=10,IF($H48=Instructions!$F$51,AR47+1,AR47),IF(Instructions!$E$11=12,IF($L48=Instructions!$F$51,AR47+1,AR47),IF(Instructions!$E$11=14,IF($P48=Instructions!$F$51,AR47+1,AR47),IF(Instructions!$E$11=16,IF($T48=Instructions!$F$51,AR47+1,AR47))))))</f>
        <v>4</v>
      </c>
      <c r="AS48" s="321" t="str">
        <f t="shared" si="9"/>
        <v>1004</v>
      </c>
      <c r="AT48" s="321">
        <f>IF(Instructions!$E$11=8,IF($D48=Instructions!$F$52,AT47+1,AT47),IF(Instructions!$E$11=10,IF($H48=Instructions!$F$52,AT47+1,AT47),IF(Instructions!$E$11=12,IF($L48=Instructions!$F$52,AT47+1,AT47),IF(Instructions!$E$11=14,IF($P48=Instructions!$F$52,AT47+1,AT47),IF(Instructions!$E$11=16,IF($T48=Instructions!$F$52,AT47+1,AT47))))))</f>
        <v>4</v>
      </c>
      <c r="AU48" s="321" t="str">
        <f t="shared" si="10"/>
        <v>1104</v>
      </c>
      <c r="AV48" s="321">
        <f>IF(Instructions!$E$11=8,IF($D48=Instructions!$F$53,AV47+1,AV47),IF(Instructions!$E$11=10,IF($H48=Instructions!$F$53,AV47+1,AV47),IF(Instructions!$E$11=12,IF($L48=Instructions!$F$53,AV47+1,AV47),IF(Instructions!$E$11=14,IF($P48=Instructions!$F$53,AV47+1,AV47),IF(Instructions!$E$11=16,IF($T48=Instructions!$F$53,AV47+1,AV47))))))</f>
        <v>4</v>
      </c>
      <c r="AW48" s="321" t="str">
        <f t="shared" si="11"/>
        <v>1204</v>
      </c>
      <c r="AX48" s="321">
        <f>IF(Instructions!$E$11=8,IF($D48=Instructions!$F$54,AX47+1,AX47),IF(Instructions!$E$11=10,IF($H48=Instructions!$F$54,AX47+1,AX47),IF(Instructions!$E$11=12,IF($L48=Instructions!$F$54,AX47+1,AX47),IF(Instructions!$E$11=14,IF($P48=Instructions!$F$54,AX47+1,AX47),IF(Instructions!$E$11=16,IF($T48=Instructions!$F$54,AX47+1,AX47))))))</f>
        <v>0</v>
      </c>
      <c r="AY48" s="321" t="str">
        <f t="shared" si="12"/>
        <v>1300</v>
      </c>
      <c r="AZ48" s="321">
        <f>IF(Instructions!$E$11=8,IF($D48=Instructions!$F$55,AZ47+1,AZ47),IF(Instructions!$E$11=10,IF($H48=Instructions!$F$55,AZ47+1,AZ47),IF(Instructions!$E$11=12,IF($L48=Instructions!$F$55,AZ47+1,AZ47),IF(Instructions!$E$11=14,IF($P48=Instructions!$F$55,AZ47+1,AZ47),IF(Instructions!$E$11=16,IF($T48=Instructions!$F$55,AZ47+1,AZ47))))))</f>
        <v>0</v>
      </c>
      <c r="BA48" s="321" t="str">
        <f t="shared" si="13"/>
        <v>1400</v>
      </c>
      <c r="BB48" s="321">
        <f>IF(Instructions!$E$11=8,IF($D48=Instructions!$F$56,BB47+1,BB47),IF(Instructions!$E$11=10,IF($H48=Instructions!$F$56,BB47+1,BB47),IF(Instructions!$E$11=12,IF($L48=Instructions!$F$56,BB47+1,BB47),IF(Instructions!$E$11=14,IF($P48=Instructions!$F$56,BB47+1,BB47),IF(Instructions!$E$11=16,IF($T48=Instructions!$F$56,BB47+1,BB47))))))</f>
        <v>0</v>
      </c>
      <c r="BC48" s="321" t="str">
        <f t="shared" si="14"/>
        <v>1500</v>
      </c>
      <c r="BD48" s="321">
        <f>IF(Instructions!$E$11=8,IF($D48=Instructions!$F$57,BD47+1,BD47),IF(Instructions!$E$11=10,IF($H48=Instructions!$F$57,BD47+1,BD47),IF(Instructions!$E$11=12,IF($L48=Instructions!$F$57,BD47+1,BD47),IF(Instructions!$E$11=14,IF($P48=Instructions!$F$57,BD47+1,BD47),IF(Instructions!$E$11=16,IF($T48=Instructions!$F$57,BD47+1,BD47))))))</f>
        <v>0</v>
      </c>
      <c r="BE48" s="321" t="str">
        <f t="shared" si="15"/>
        <v>1600</v>
      </c>
      <c r="BF48" s="321">
        <v>46</v>
      </c>
    </row>
    <row r="49" spans="1:58" x14ac:dyDescent="0.25">
      <c r="A49" s="280"/>
      <c r="B49" s="323" t="str">
        <f>IF(Instructions!$J$11=1,AA49,IF(Instructions!$J$11=2,AC49,IF(Instructions!$J$11=3,AE49,IF(Instructions!$J$11=4,AG49,IF(Instructions!$J$11=5,AI49,IF(Instructions!$J$11=6,AK49,IF(Instructions!$J$11=7,AM49,IF(Instructions!$J$11=8,AO49,IF(Instructions!$J$11=9,AQ49,IF(Instructions!$J$11=10,AS49,IF(Instructions!$J$11=11,AU49,IF(Instructions!$J$11=12,AW49,IF(Instructions!$J$11=13, AY49, IF(Instructions!$J$11=14,BA49,IF(Instructions!$J$11=15,BC49,BE49)))))))))))))))</f>
        <v>204</v>
      </c>
      <c r="C49" s="271">
        <v>47</v>
      </c>
      <c r="D49" s="328" t="str">
        <f>Instructions!F$43</f>
        <v>Camden</v>
      </c>
      <c r="E49" s="333" t="s">
        <v>773</v>
      </c>
      <c r="F49" s="706"/>
      <c r="G49" s="279">
        <v>6</v>
      </c>
      <c r="H49" s="293" t="str">
        <f>Instructions!F$48</f>
        <v>Bui</v>
      </c>
      <c r="I49" s="273" t="s">
        <v>761</v>
      </c>
      <c r="J49" s="709"/>
      <c r="K49" s="279">
        <v>5</v>
      </c>
      <c r="L49" s="293" t="str">
        <f>Instructions!F$43</f>
        <v>Camden</v>
      </c>
      <c r="M49" s="273" t="s">
        <v>753</v>
      </c>
      <c r="N49" s="709"/>
      <c r="O49" s="279">
        <v>4</v>
      </c>
      <c r="P49" s="293" t="str">
        <f>Instructions!F$51</f>
        <v>Josh</v>
      </c>
      <c r="Q49" s="273" t="s">
        <v>747</v>
      </c>
      <c r="R49" s="709"/>
      <c r="S49" s="279">
        <v>4</v>
      </c>
      <c r="T49" s="328" t="str">
        <f>Instructions!F$56</f>
        <v>[TEAM 15]</v>
      </c>
      <c r="U49" s="273" t="s">
        <v>1568</v>
      </c>
      <c r="V49" s="706"/>
      <c r="W49" s="279">
        <v>3</v>
      </c>
      <c r="X49" s="280"/>
      <c r="Y49" s="190" t="str">
        <f>IFERROR( IF(Instructions!$E$11=8, D49&amp;COUNTIF(D$3:D49,D49), IF(Instructions!$E$11=10, H49&amp;COUNTIF(H$3:H49,H49),IF(Instructions!$E$11=12, L49&amp;COUNTIF(L$3:L49,L49),IF(Instructions!$E$11=14, P49&amp;COUNTIF(P$3:P49,P49),T49&amp;COUNTIF(T$3:T49,T49))))),"")</f>
        <v>Camden4</v>
      </c>
      <c r="Z49" s="321">
        <f>IF(Instructions!$E$11=8,IF($D49=Instructions!$F$42,Z48+1,Z48),IF(Instructions!$E$11=10,IF($H49=Instructions!$F$42,Z48+1,Z48),IF(Instructions!$E$11=12,IF($L49=Instructions!$F$42,Z48+1,Z48),IF(Instructions!$E$11=14,IF($P49=Instructions!$F$42,Z48+1,Z48),IF(Instructions!$E$11=16,IF($T49=Instructions!$F$42,Z48+1,Z48))))))</f>
        <v>3</v>
      </c>
      <c r="AA49" s="321" t="str">
        <f t="shared" si="8"/>
        <v>103</v>
      </c>
      <c r="AB49" s="321">
        <f>IF(Instructions!$E$11=8,IF($D49=Instructions!$F$43,AB48+1,AB48),IF(Instructions!$E$11=10,IF($H49=Instructions!$F$43,AB48+1,AB48),IF(Instructions!$E$11=12,IF($L49=Instructions!$F$43,AB48+1,AB48),IF(Instructions!$E$11=14,IF($P49=Instructions!$F$43,AB48+1,AB48),IF(Instructions!$E$11=16,IF($T49=Instructions!$F$43,AB48+1,AB48))))))</f>
        <v>4</v>
      </c>
      <c r="AC49" s="321" t="str">
        <f t="shared" si="0"/>
        <v>204</v>
      </c>
      <c r="AD49" s="321">
        <f>IF(Instructions!$E$11=8,IF($D49=Instructions!$F$44,AD48+1,AD48),IF(Instructions!$E$11=10,IF($H49=Instructions!$F$44,AD48+1,AD48),IF(Instructions!$E$11=12,IF($L49=Instructions!$F$44,AD48+1,AD48),IF(Instructions!$E$11=14,IF($P49=Instructions!$F$44,AD48+1,AD48),IF(Instructions!$E$11=16,IF($T49=Instructions!$F$44,AD48+1,AD48))))))</f>
        <v>4</v>
      </c>
      <c r="AE49" s="321" t="str">
        <f t="shared" si="1"/>
        <v>304</v>
      </c>
      <c r="AF49" s="321">
        <f>IF(Instructions!$E$11=8,IF($D49=Instructions!$F$45,AF48+1,AF48),IF(Instructions!$E$11=10,IF($H49=Instructions!$F$45,AF48+1,AF48),IF(Instructions!$E$11=12,IF($L49=Instructions!$F$45,AF48+1,AF48),IF(Instructions!$E$11=14,IF($P49=Instructions!$F$45,AF48+1,AF48),IF(Instructions!$E$11=16,IF($T49=Instructions!$F$45,AF48+1,AF48))))))</f>
        <v>4</v>
      </c>
      <c r="AG49" s="321" t="str">
        <f t="shared" si="2"/>
        <v>404</v>
      </c>
      <c r="AH49" s="321">
        <f>IF(Instructions!$E$11=8,IF($D49=Instructions!$F$46,AH48+1,AH48),IF(Instructions!$E$11=10,IF($H49=Instructions!$F$46,AH48+1,AH48),IF(Instructions!$E$11=12,IF($L49=Instructions!$F$46,AH48+1,AH48),IF(Instructions!$E$11=14,IF($P49=Instructions!$F$46,AH48+1,AH48),IF(Instructions!$E$11=16,IF($T49=Instructions!$F$46,AH48+1,AH48))))))</f>
        <v>4</v>
      </c>
      <c r="AI49" s="321" t="str">
        <f t="shared" si="3"/>
        <v>504</v>
      </c>
      <c r="AJ49" s="321">
        <f>IF(Instructions!$E$11=8,IF($D49=Instructions!$F$47,AJ48+1,AJ48),IF(Instructions!$E$11=10,IF($H49=Instructions!$F$47,AJ48+1,AJ48),IF(Instructions!$E$11=12,IF($L49=Instructions!$F$47,AJ48+1,AJ48),IF(Instructions!$E$11=14,IF($P49=Instructions!$F$47,AJ48+1,AJ48),IF(Instructions!$E$11=16,IF($T49=Instructions!$F$47,AJ48+1,AJ48))))))</f>
        <v>4</v>
      </c>
      <c r="AK49" s="321" t="str">
        <f t="shared" si="4"/>
        <v>604</v>
      </c>
      <c r="AL49" s="321">
        <f>IF(Instructions!$E$11=8,IF($D49=Instructions!$F$48,AL48+1,AL48),IF(Instructions!$E$11=10,IF($H49=Instructions!$F$48,AL48+1,AL48),IF(Instructions!$E$11=12,IF($L49=Instructions!$F$48,AL48+1,AL48),IF(Instructions!$E$11=14,IF($P49=Instructions!$F$48,AL48+1,AL48),IF(Instructions!$E$11=16,IF($T49=Instructions!$F$48,AL48+1,AL48))))))</f>
        <v>4</v>
      </c>
      <c r="AM49" s="321" t="str">
        <f t="shared" si="5"/>
        <v>704</v>
      </c>
      <c r="AN49" s="321">
        <f>IF(Instructions!$E$11=8,IF($D49=Instructions!$F$49,AN48+1,AN48),IF(Instructions!$E$11=10,IF($H49=Instructions!$F$49,AN48+1,AN48),IF(Instructions!$E$11=12,IF($L49=Instructions!$F$49,AN48+1,AN48),IF(Instructions!$E$11=14,IF($P49=Instructions!$F$49,AN48+1,AN48),IF(Instructions!$E$11=16,IF($T49=Instructions!$F$49,AN48+1,AN48))))))</f>
        <v>4</v>
      </c>
      <c r="AO49" s="321" t="str">
        <f t="shared" si="6"/>
        <v>804</v>
      </c>
      <c r="AP49" s="321">
        <f>IF(Instructions!$E$11=8,IF($D49=Instructions!$F$50,AP48+1,AP48),IF(Instructions!$E$11=10,IF($H49=Instructions!$F$50,AP48+1,AP48),IF(Instructions!$E$11=12,IF($L49=Instructions!$F$50,AP48+1,AP48),IF(Instructions!$E$11=14,IF($P49=Instructions!$F$50,AP48+1,AP48),IF(Instructions!$E$11=16,IF($T49=Instructions!$F$50,AP48+1,AP48))))))</f>
        <v>4</v>
      </c>
      <c r="AQ49" s="321" t="str">
        <f t="shared" si="7"/>
        <v>904</v>
      </c>
      <c r="AR49" s="321">
        <f>IF(Instructions!$E$11=8,IF($D49=Instructions!$F$51,AR48+1,AR48),IF(Instructions!$E$11=10,IF($H49=Instructions!$F$51,AR48+1,AR48),IF(Instructions!$E$11=12,IF($L49=Instructions!$F$51,AR48+1,AR48),IF(Instructions!$E$11=14,IF($P49=Instructions!$F$51,AR48+1,AR48),IF(Instructions!$E$11=16,IF($T49=Instructions!$F$51,AR48+1,AR48))))))</f>
        <v>4</v>
      </c>
      <c r="AS49" s="321" t="str">
        <f t="shared" si="9"/>
        <v>1004</v>
      </c>
      <c r="AT49" s="321">
        <f>IF(Instructions!$E$11=8,IF($D49=Instructions!$F$52,AT48+1,AT48),IF(Instructions!$E$11=10,IF($H49=Instructions!$F$52,AT48+1,AT48),IF(Instructions!$E$11=12,IF($L49=Instructions!$F$52,AT48+1,AT48),IF(Instructions!$E$11=14,IF($P49=Instructions!$F$52,AT48+1,AT48),IF(Instructions!$E$11=16,IF($T49=Instructions!$F$52,AT48+1,AT48))))))</f>
        <v>4</v>
      </c>
      <c r="AU49" s="321" t="str">
        <f t="shared" si="10"/>
        <v>1104</v>
      </c>
      <c r="AV49" s="321">
        <f>IF(Instructions!$E$11=8,IF($D49=Instructions!$F$53,AV48+1,AV48),IF(Instructions!$E$11=10,IF($H49=Instructions!$F$53,AV48+1,AV48),IF(Instructions!$E$11=12,IF($L49=Instructions!$F$53,AV48+1,AV48),IF(Instructions!$E$11=14,IF($P49=Instructions!$F$53,AV48+1,AV48),IF(Instructions!$E$11=16,IF($T49=Instructions!$F$53,AV48+1,AV48))))))</f>
        <v>4</v>
      </c>
      <c r="AW49" s="321" t="str">
        <f t="shared" si="11"/>
        <v>1204</v>
      </c>
      <c r="AX49" s="321">
        <f>IF(Instructions!$E$11=8,IF($D49=Instructions!$F$54,AX48+1,AX48),IF(Instructions!$E$11=10,IF($H49=Instructions!$F$54,AX48+1,AX48),IF(Instructions!$E$11=12,IF($L49=Instructions!$F$54,AX48+1,AX48),IF(Instructions!$E$11=14,IF($P49=Instructions!$F$54,AX48+1,AX48),IF(Instructions!$E$11=16,IF($T49=Instructions!$F$54,AX48+1,AX48))))))</f>
        <v>0</v>
      </c>
      <c r="AY49" s="321" t="str">
        <f t="shared" si="12"/>
        <v>1300</v>
      </c>
      <c r="AZ49" s="321">
        <f>IF(Instructions!$E$11=8,IF($D49=Instructions!$F$55,AZ48+1,AZ48),IF(Instructions!$E$11=10,IF($H49=Instructions!$F$55,AZ48+1,AZ48),IF(Instructions!$E$11=12,IF($L49=Instructions!$F$55,AZ48+1,AZ48),IF(Instructions!$E$11=14,IF($P49=Instructions!$F$55,AZ48+1,AZ48),IF(Instructions!$E$11=16,IF($T49=Instructions!$F$55,AZ48+1,AZ48))))))</f>
        <v>0</v>
      </c>
      <c r="BA49" s="321" t="str">
        <f t="shared" si="13"/>
        <v>1400</v>
      </c>
      <c r="BB49" s="321">
        <f>IF(Instructions!$E$11=8,IF($D49=Instructions!$F$56,BB48+1,BB48),IF(Instructions!$E$11=10,IF($H49=Instructions!$F$56,BB48+1,BB48),IF(Instructions!$E$11=12,IF($L49=Instructions!$F$56,BB48+1,BB48),IF(Instructions!$E$11=14,IF($P49=Instructions!$F$56,BB48+1,BB48),IF(Instructions!$E$11=16,IF($T49=Instructions!$F$56,BB48+1,BB48))))))</f>
        <v>0</v>
      </c>
      <c r="BC49" s="321" t="str">
        <f t="shared" si="14"/>
        <v>1500</v>
      </c>
      <c r="BD49" s="321">
        <f>IF(Instructions!$E$11=8,IF($D49=Instructions!$F$57,BD48+1,BD48),IF(Instructions!$E$11=10,IF($H49=Instructions!$F$57,BD48+1,BD48),IF(Instructions!$E$11=12,IF($L49=Instructions!$F$57,BD48+1,BD48),IF(Instructions!$E$11=14,IF($P49=Instructions!$F$57,BD48+1,BD48),IF(Instructions!$E$11=16,IF($T49=Instructions!$F$57,BD48+1,BD48))))))</f>
        <v>0</v>
      </c>
      <c r="BE49" s="321" t="str">
        <f t="shared" si="15"/>
        <v>1600</v>
      </c>
      <c r="BF49" s="321">
        <v>47</v>
      </c>
    </row>
    <row r="50" spans="1:58" ht="15.75" thickBot="1" x14ac:dyDescent="0.3">
      <c r="A50" s="280"/>
      <c r="B50" s="323" t="str">
        <f>IF(Instructions!$J$11=1,AA50,IF(Instructions!$J$11=2,AC50,IF(Instructions!$J$11=3,AE50,IF(Instructions!$J$11=4,AG50,IF(Instructions!$J$11=5,AI50,IF(Instructions!$J$11=6,AK50,IF(Instructions!$J$11=7,AM50,IF(Instructions!$J$11=8,AO50,IF(Instructions!$J$11=9,AQ50,IF(Instructions!$J$11=10,AS50,IF(Instructions!$J$11=11,AU50,IF(Instructions!$J$11=12,AW50,IF(Instructions!$J$11=13, AY50, IF(Instructions!$J$11=14,BA50,IF(Instructions!$J$11=15,BC50,BE50)))))))))))))))</f>
        <v>204</v>
      </c>
      <c r="C50" s="272">
        <v>48</v>
      </c>
      <c r="D50" s="329" t="str">
        <f>Instructions!F$42</f>
        <v>Trumbo</v>
      </c>
      <c r="E50" s="334" t="s">
        <v>774</v>
      </c>
      <c r="F50" s="707"/>
      <c r="G50" s="279">
        <v>6</v>
      </c>
      <c r="H50" s="294" t="str">
        <f>Instructions!F$49</f>
        <v>Luke</v>
      </c>
      <c r="I50" s="274" t="s">
        <v>762</v>
      </c>
      <c r="J50" s="709"/>
      <c r="K50" s="279">
        <v>5</v>
      </c>
      <c r="L50" s="295" t="str">
        <f>Instructions!F$42</f>
        <v>Trumbo</v>
      </c>
      <c r="M50" s="277" t="s">
        <v>754</v>
      </c>
      <c r="N50" s="710"/>
      <c r="O50" s="279">
        <v>4</v>
      </c>
      <c r="P50" s="294" t="str">
        <f>Instructions!F$50</f>
        <v>Dan</v>
      </c>
      <c r="Q50" s="274" t="s">
        <v>748</v>
      </c>
      <c r="R50" s="709"/>
      <c r="S50" s="279">
        <v>4</v>
      </c>
      <c r="T50" s="329" t="str">
        <f>Instructions!F$57</f>
        <v>[TEAM 16]</v>
      </c>
      <c r="U50" s="330" t="s">
        <v>1569</v>
      </c>
      <c r="V50" s="707"/>
      <c r="W50" s="279">
        <v>3</v>
      </c>
      <c r="X50" s="280"/>
      <c r="Y50" s="190" t="str">
        <f>IFERROR( IF(Instructions!$E$11=8, D50&amp;COUNTIF(D$3:D50,D50), IF(Instructions!$E$11=10, H50&amp;COUNTIF(H$3:H50,H50),IF(Instructions!$E$11=12, L50&amp;COUNTIF(L$3:L50,L50),IF(Instructions!$E$11=14, P50&amp;COUNTIF(P$3:P50,P50),T50&amp;COUNTIF(T$3:T50,T50))))),"")</f>
        <v>Trumbo4</v>
      </c>
      <c r="Z50" s="321">
        <f>IF(Instructions!$E$11=8,IF($D50=Instructions!$F$42,Z49+1,Z49),IF(Instructions!$E$11=10,IF($H50=Instructions!$F$42,Z49+1,Z49),IF(Instructions!$E$11=12,IF($L50=Instructions!$F$42,Z49+1,Z49),IF(Instructions!$E$11=14,IF($P50=Instructions!$F$42,Z49+1,Z49),IF(Instructions!$E$11=16,IF($T50=Instructions!$F$42,Z49+1,Z49))))))</f>
        <v>4</v>
      </c>
      <c r="AA50" s="321" t="str">
        <f t="shared" si="8"/>
        <v>104</v>
      </c>
      <c r="AB50" s="321">
        <f>IF(Instructions!$E$11=8,IF($D50=Instructions!$F$43,AB49+1,AB49),IF(Instructions!$E$11=10,IF($H50=Instructions!$F$43,AB49+1,AB49),IF(Instructions!$E$11=12,IF($L50=Instructions!$F$43,AB49+1,AB49),IF(Instructions!$E$11=14,IF($P50=Instructions!$F$43,AB49+1,AB49),IF(Instructions!$E$11=16,IF($T50=Instructions!$F$43,AB49+1,AB49))))))</f>
        <v>4</v>
      </c>
      <c r="AC50" s="321" t="str">
        <f t="shared" si="0"/>
        <v>204</v>
      </c>
      <c r="AD50" s="321">
        <f>IF(Instructions!$E$11=8,IF($D50=Instructions!$F$44,AD49+1,AD49),IF(Instructions!$E$11=10,IF($H50=Instructions!$F$44,AD49+1,AD49),IF(Instructions!$E$11=12,IF($L50=Instructions!$F$44,AD49+1,AD49),IF(Instructions!$E$11=14,IF($P50=Instructions!$F$44,AD49+1,AD49),IF(Instructions!$E$11=16,IF($T50=Instructions!$F$44,AD49+1,AD49))))))</f>
        <v>4</v>
      </c>
      <c r="AE50" s="321" t="str">
        <f t="shared" si="1"/>
        <v>304</v>
      </c>
      <c r="AF50" s="321">
        <f>IF(Instructions!$E$11=8,IF($D50=Instructions!$F$45,AF49+1,AF49),IF(Instructions!$E$11=10,IF($H50=Instructions!$F$45,AF49+1,AF49),IF(Instructions!$E$11=12,IF($L50=Instructions!$F$45,AF49+1,AF49),IF(Instructions!$E$11=14,IF($P50=Instructions!$F$45,AF49+1,AF49),IF(Instructions!$E$11=16,IF($T50=Instructions!$F$45,AF49+1,AF49))))))</f>
        <v>4</v>
      </c>
      <c r="AG50" s="321" t="str">
        <f t="shared" si="2"/>
        <v>404</v>
      </c>
      <c r="AH50" s="321">
        <f>IF(Instructions!$E$11=8,IF($D50=Instructions!$F$46,AH49+1,AH49),IF(Instructions!$E$11=10,IF($H50=Instructions!$F$46,AH49+1,AH49),IF(Instructions!$E$11=12,IF($L50=Instructions!$F$46,AH49+1,AH49),IF(Instructions!$E$11=14,IF($P50=Instructions!$F$46,AH49+1,AH49),IF(Instructions!$E$11=16,IF($T50=Instructions!$F$46,AH49+1,AH49))))))</f>
        <v>4</v>
      </c>
      <c r="AI50" s="321" t="str">
        <f t="shared" si="3"/>
        <v>504</v>
      </c>
      <c r="AJ50" s="321">
        <f>IF(Instructions!$E$11=8,IF($D50=Instructions!$F$47,AJ49+1,AJ49),IF(Instructions!$E$11=10,IF($H50=Instructions!$F$47,AJ49+1,AJ49),IF(Instructions!$E$11=12,IF($L50=Instructions!$F$47,AJ49+1,AJ49),IF(Instructions!$E$11=14,IF($P50=Instructions!$F$47,AJ49+1,AJ49),IF(Instructions!$E$11=16,IF($T50=Instructions!$F$47,AJ49+1,AJ49))))))</f>
        <v>4</v>
      </c>
      <c r="AK50" s="321" t="str">
        <f t="shared" si="4"/>
        <v>604</v>
      </c>
      <c r="AL50" s="321">
        <f>IF(Instructions!$E$11=8,IF($D50=Instructions!$F$48,AL49+1,AL49),IF(Instructions!$E$11=10,IF($H50=Instructions!$F$48,AL49+1,AL49),IF(Instructions!$E$11=12,IF($L50=Instructions!$F$48,AL49+1,AL49),IF(Instructions!$E$11=14,IF($P50=Instructions!$F$48,AL49+1,AL49),IF(Instructions!$E$11=16,IF($T50=Instructions!$F$48,AL49+1,AL49))))))</f>
        <v>4</v>
      </c>
      <c r="AM50" s="321" t="str">
        <f t="shared" si="5"/>
        <v>704</v>
      </c>
      <c r="AN50" s="321">
        <f>IF(Instructions!$E$11=8,IF($D50=Instructions!$F$49,AN49+1,AN49),IF(Instructions!$E$11=10,IF($H50=Instructions!$F$49,AN49+1,AN49),IF(Instructions!$E$11=12,IF($L50=Instructions!$F$49,AN49+1,AN49),IF(Instructions!$E$11=14,IF($P50=Instructions!$F$49,AN49+1,AN49),IF(Instructions!$E$11=16,IF($T50=Instructions!$F$49,AN49+1,AN49))))))</f>
        <v>4</v>
      </c>
      <c r="AO50" s="321" t="str">
        <f t="shared" si="6"/>
        <v>804</v>
      </c>
      <c r="AP50" s="321">
        <f>IF(Instructions!$E$11=8,IF($D50=Instructions!$F$50,AP49+1,AP49),IF(Instructions!$E$11=10,IF($H50=Instructions!$F$50,AP49+1,AP49),IF(Instructions!$E$11=12,IF($L50=Instructions!$F$50,AP49+1,AP49),IF(Instructions!$E$11=14,IF($P50=Instructions!$F$50,AP49+1,AP49),IF(Instructions!$E$11=16,IF($T50=Instructions!$F$50,AP49+1,AP49))))))</f>
        <v>4</v>
      </c>
      <c r="AQ50" s="321" t="str">
        <f t="shared" si="7"/>
        <v>904</v>
      </c>
      <c r="AR50" s="321">
        <f>IF(Instructions!$E$11=8,IF($D50=Instructions!$F$51,AR49+1,AR49),IF(Instructions!$E$11=10,IF($H50=Instructions!$F$51,AR49+1,AR49),IF(Instructions!$E$11=12,IF($L50=Instructions!$F$51,AR49+1,AR49),IF(Instructions!$E$11=14,IF($P50=Instructions!$F$51,AR49+1,AR49),IF(Instructions!$E$11=16,IF($T50=Instructions!$F$51,AR49+1,AR49))))))</f>
        <v>4</v>
      </c>
      <c r="AS50" s="321" t="str">
        <f t="shared" si="9"/>
        <v>1004</v>
      </c>
      <c r="AT50" s="321">
        <f>IF(Instructions!$E$11=8,IF($D50=Instructions!$F$52,AT49+1,AT49),IF(Instructions!$E$11=10,IF($H50=Instructions!$F$52,AT49+1,AT49),IF(Instructions!$E$11=12,IF($L50=Instructions!$F$52,AT49+1,AT49),IF(Instructions!$E$11=14,IF($P50=Instructions!$F$52,AT49+1,AT49),IF(Instructions!$E$11=16,IF($T50=Instructions!$F$52,AT49+1,AT49))))))</f>
        <v>4</v>
      </c>
      <c r="AU50" s="321" t="str">
        <f t="shared" si="10"/>
        <v>1104</v>
      </c>
      <c r="AV50" s="321">
        <f>IF(Instructions!$E$11=8,IF($D50=Instructions!$F$53,AV49+1,AV49),IF(Instructions!$E$11=10,IF($H50=Instructions!$F$53,AV49+1,AV49),IF(Instructions!$E$11=12,IF($L50=Instructions!$F$53,AV49+1,AV49),IF(Instructions!$E$11=14,IF($P50=Instructions!$F$53,AV49+1,AV49),IF(Instructions!$E$11=16,IF($T50=Instructions!$F$53,AV49+1,AV49))))))</f>
        <v>4</v>
      </c>
      <c r="AW50" s="321" t="str">
        <f t="shared" si="11"/>
        <v>1204</v>
      </c>
      <c r="AX50" s="321">
        <f>IF(Instructions!$E$11=8,IF($D50=Instructions!$F$54,AX49+1,AX49),IF(Instructions!$E$11=10,IF($H50=Instructions!$F$54,AX49+1,AX49),IF(Instructions!$E$11=12,IF($L50=Instructions!$F$54,AX49+1,AX49),IF(Instructions!$E$11=14,IF($P50=Instructions!$F$54,AX49+1,AX49),IF(Instructions!$E$11=16,IF($T50=Instructions!$F$54,AX49+1,AX49))))))</f>
        <v>0</v>
      </c>
      <c r="AY50" s="321" t="str">
        <f t="shared" si="12"/>
        <v>1300</v>
      </c>
      <c r="AZ50" s="321">
        <f>IF(Instructions!$E$11=8,IF($D50=Instructions!$F$55,AZ49+1,AZ49),IF(Instructions!$E$11=10,IF($H50=Instructions!$F$55,AZ49+1,AZ49),IF(Instructions!$E$11=12,IF($L50=Instructions!$F$55,AZ49+1,AZ49),IF(Instructions!$E$11=14,IF($P50=Instructions!$F$55,AZ49+1,AZ49),IF(Instructions!$E$11=16,IF($T50=Instructions!$F$55,AZ49+1,AZ49))))))</f>
        <v>0</v>
      </c>
      <c r="BA50" s="321" t="str">
        <f t="shared" si="13"/>
        <v>1400</v>
      </c>
      <c r="BB50" s="321">
        <f>IF(Instructions!$E$11=8,IF($D50=Instructions!$F$56,BB49+1,BB49),IF(Instructions!$E$11=10,IF($H50=Instructions!$F$56,BB49+1,BB49),IF(Instructions!$E$11=12,IF($L50=Instructions!$F$56,BB49+1,BB49),IF(Instructions!$E$11=14,IF($P50=Instructions!$F$56,BB49+1,BB49),IF(Instructions!$E$11=16,IF($T50=Instructions!$F$56,BB49+1,BB49))))))</f>
        <v>0</v>
      </c>
      <c r="BC50" s="321" t="str">
        <f t="shared" si="14"/>
        <v>1500</v>
      </c>
      <c r="BD50" s="321">
        <f>IF(Instructions!$E$11=8,IF($D50=Instructions!$F$57,BD49+1,BD49),IF(Instructions!$E$11=10,IF($H50=Instructions!$F$57,BD49+1,BD49),IF(Instructions!$E$11=12,IF($L50=Instructions!$F$57,BD49+1,BD49),IF(Instructions!$E$11=14,IF($P50=Instructions!$F$57,BD49+1,BD49),IF(Instructions!$E$11=16,IF($T50=Instructions!$F$57,BD49+1,BD49))))))</f>
        <v>0</v>
      </c>
      <c r="BE50" s="321" t="str">
        <f t="shared" si="15"/>
        <v>1600</v>
      </c>
      <c r="BF50" s="321">
        <v>48</v>
      </c>
    </row>
    <row r="51" spans="1:58" ht="15" customHeight="1" x14ac:dyDescent="0.25">
      <c r="A51" s="280"/>
      <c r="B51" s="323" t="str">
        <f>IF(Instructions!$J$11=1,AA51,IF(Instructions!$J$11=2,AC51,IF(Instructions!$J$11=3,AE51,IF(Instructions!$J$11=4,AG51,IF(Instructions!$J$11=5,AI51,IF(Instructions!$J$11=6,AK51,IF(Instructions!$J$11=7,AM51,IF(Instructions!$J$11=8,AO51,IF(Instructions!$J$11=9,AQ51,IF(Instructions!$J$11=10,AS51,IF(Instructions!$J$11=11,AU51,IF(Instructions!$J$11=12,AW51,IF(Instructions!$J$11=13, AY51, IF(Instructions!$J$11=14,BA51,IF(Instructions!$J$11=15,BC51,BE51)))))))))))))))</f>
        <v>204</v>
      </c>
      <c r="C51" s="271">
        <v>49</v>
      </c>
      <c r="D51" s="325" t="str">
        <f>Instructions!F$42</f>
        <v>Trumbo</v>
      </c>
      <c r="E51" s="331" t="s">
        <v>779</v>
      </c>
      <c r="F51" s="705" t="s">
        <v>902</v>
      </c>
      <c r="G51" s="279">
        <v>7</v>
      </c>
      <c r="H51" s="293" t="str">
        <f>Instructions!F$50</f>
        <v>Dan</v>
      </c>
      <c r="I51" s="273" t="s">
        <v>763</v>
      </c>
      <c r="J51" s="709"/>
      <c r="K51" s="279">
        <v>5</v>
      </c>
      <c r="L51" s="292" t="str">
        <f>Instructions!F$42</f>
        <v>Trumbo</v>
      </c>
      <c r="M51" s="276" t="s">
        <v>755</v>
      </c>
      <c r="N51" s="708" t="s">
        <v>900</v>
      </c>
      <c r="O51" s="279">
        <v>5</v>
      </c>
      <c r="P51" s="293" t="str">
        <f>Instructions!F$49</f>
        <v>Luke</v>
      </c>
      <c r="Q51" s="273" t="s">
        <v>749</v>
      </c>
      <c r="R51" s="709"/>
      <c r="S51" s="279">
        <v>4</v>
      </c>
      <c r="T51" s="325" t="str">
        <f>Instructions!F$57</f>
        <v>[TEAM 16]</v>
      </c>
      <c r="U51" s="326" t="s">
        <v>743</v>
      </c>
      <c r="V51" s="705" t="s">
        <v>899</v>
      </c>
      <c r="W51" s="279">
        <v>4</v>
      </c>
      <c r="X51" s="280"/>
      <c r="Y51" s="190" t="str">
        <f>IFERROR( IF(Instructions!$E$11=8, D51&amp;COUNTIF(D$3:D51,D51), IF(Instructions!$E$11=10, H51&amp;COUNTIF(H$3:H51,H51),IF(Instructions!$E$11=12, L51&amp;COUNTIF(L$3:L51,L51),IF(Instructions!$E$11=14, P51&amp;COUNTIF(P$3:P51,P51),T51&amp;COUNTIF(T$3:T51,T51))))),"")</f>
        <v>Trumbo5</v>
      </c>
      <c r="Z51" s="321">
        <f>IF(Instructions!$E$11=8,IF($D51=Instructions!$F$42,Z50+1,Z50),IF(Instructions!$E$11=10,IF($H51=Instructions!$F$42,Z50+1,Z50),IF(Instructions!$E$11=12,IF($L51=Instructions!$F$42,Z50+1,Z50),IF(Instructions!$E$11=14,IF($P51=Instructions!$F$42,Z50+1,Z50),IF(Instructions!$E$11=16,IF($T51=Instructions!$F$42,Z50+1,Z50))))))</f>
        <v>5</v>
      </c>
      <c r="AA51" s="321" t="str">
        <f t="shared" si="8"/>
        <v>105</v>
      </c>
      <c r="AB51" s="321">
        <f>IF(Instructions!$E$11=8,IF($D51=Instructions!$F$43,AB50+1,AB50),IF(Instructions!$E$11=10,IF($H51=Instructions!$F$43,AB50+1,AB50),IF(Instructions!$E$11=12,IF($L51=Instructions!$F$43,AB50+1,AB50),IF(Instructions!$E$11=14,IF($P51=Instructions!$F$43,AB50+1,AB50),IF(Instructions!$E$11=16,IF($T51=Instructions!$F$43,AB50+1,AB50))))))</f>
        <v>4</v>
      </c>
      <c r="AC51" s="321" t="str">
        <f t="shared" si="0"/>
        <v>204</v>
      </c>
      <c r="AD51" s="321">
        <f>IF(Instructions!$E$11=8,IF($D51=Instructions!$F$44,AD50+1,AD50),IF(Instructions!$E$11=10,IF($H51=Instructions!$F$44,AD50+1,AD50),IF(Instructions!$E$11=12,IF($L51=Instructions!$F$44,AD50+1,AD50),IF(Instructions!$E$11=14,IF($P51=Instructions!$F$44,AD50+1,AD50),IF(Instructions!$E$11=16,IF($T51=Instructions!$F$44,AD50+1,AD50))))))</f>
        <v>4</v>
      </c>
      <c r="AE51" s="321" t="str">
        <f t="shared" si="1"/>
        <v>304</v>
      </c>
      <c r="AF51" s="321">
        <f>IF(Instructions!$E$11=8,IF($D51=Instructions!$F$45,AF50+1,AF50),IF(Instructions!$E$11=10,IF($H51=Instructions!$F$45,AF50+1,AF50),IF(Instructions!$E$11=12,IF($L51=Instructions!$F$45,AF50+1,AF50),IF(Instructions!$E$11=14,IF($P51=Instructions!$F$45,AF50+1,AF50),IF(Instructions!$E$11=16,IF($T51=Instructions!$F$45,AF50+1,AF50))))))</f>
        <v>4</v>
      </c>
      <c r="AG51" s="321" t="str">
        <f t="shared" si="2"/>
        <v>404</v>
      </c>
      <c r="AH51" s="321">
        <f>IF(Instructions!$E$11=8,IF($D51=Instructions!$F$46,AH50+1,AH50),IF(Instructions!$E$11=10,IF($H51=Instructions!$F$46,AH50+1,AH50),IF(Instructions!$E$11=12,IF($L51=Instructions!$F$46,AH50+1,AH50),IF(Instructions!$E$11=14,IF($P51=Instructions!$F$46,AH50+1,AH50),IF(Instructions!$E$11=16,IF($T51=Instructions!$F$46,AH50+1,AH50))))))</f>
        <v>4</v>
      </c>
      <c r="AI51" s="321" t="str">
        <f t="shared" si="3"/>
        <v>504</v>
      </c>
      <c r="AJ51" s="321">
        <f>IF(Instructions!$E$11=8,IF($D51=Instructions!$F$47,AJ50+1,AJ50),IF(Instructions!$E$11=10,IF($H51=Instructions!$F$47,AJ50+1,AJ50),IF(Instructions!$E$11=12,IF($L51=Instructions!$F$47,AJ50+1,AJ50),IF(Instructions!$E$11=14,IF($P51=Instructions!$F$47,AJ50+1,AJ50),IF(Instructions!$E$11=16,IF($T51=Instructions!$F$47,AJ50+1,AJ50))))))</f>
        <v>4</v>
      </c>
      <c r="AK51" s="321" t="str">
        <f t="shared" si="4"/>
        <v>604</v>
      </c>
      <c r="AL51" s="321">
        <f>IF(Instructions!$E$11=8,IF($D51=Instructions!$F$48,AL50+1,AL50),IF(Instructions!$E$11=10,IF($H51=Instructions!$F$48,AL50+1,AL50),IF(Instructions!$E$11=12,IF($L51=Instructions!$F$48,AL50+1,AL50),IF(Instructions!$E$11=14,IF($P51=Instructions!$F$48,AL50+1,AL50),IF(Instructions!$E$11=16,IF($T51=Instructions!$F$48,AL50+1,AL50))))))</f>
        <v>4</v>
      </c>
      <c r="AM51" s="321" t="str">
        <f t="shared" si="5"/>
        <v>704</v>
      </c>
      <c r="AN51" s="321">
        <f>IF(Instructions!$E$11=8,IF($D51=Instructions!$F$49,AN50+1,AN50),IF(Instructions!$E$11=10,IF($H51=Instructions!$F$49,AN50+1,AN50),IF(Instructions!$E$11=12,IF($L51=Instructions!$F$49,AN50+1,AN50),IF(Instructions!$E$11=14,IF($P51=Instructions!$F$49,AN50+1,AN50),IF(Instructions!$E$11=16,IF($T51=Instructions!$F$49,AN50+1,AN50))))))</f>
        <v>4</v>
      </c>
      <c r="AO51" s="321" t="str">
        <f t="shared" si="6"/>
        <v>804</v>
      </c>
      <c r="AP51" s="321">
        <f>IF(Instructions!$E$11=8,IF($D51=Instructions!$F$50,AP50+1,AP50),IF(Instructions!$E$11=10,IF($H51=Instructions!$F$50,AP50+1,AP50),IF(Instructions!$E$11=12,IF($L51=Instructions!$F$50,AP50+1,AP50),IF(Instructions!$E$11=14,IF($P51=Instructions!$F$50,AP50+1,AP50),IF(Instructions!$E$11=16,IF($T51=Instructions!$F$50,AP50+1,AP50))))))</f>
        <v>4</v>
      </c>
      <c r="AQ51" s="321" t="str">
        <f t="shared" si="7"/>
        <v>904</v>
      </c>
      <c r="AR51" s="321">
        <f>IF(Instructions!$E$11=8,IF($D51=Instructions!$F$51,AR50+1,AR50),IF(Instructions!$E$11=10,IF($H51=Instructions!$F$51,AR50+1,AR50),IF(Instructions!$E$11=12,IF($L51=Instructions!$F$51,AR50+1,AR50),IF(Instructions!$E$11=14,IF($P51=Instructions!$F$51,AR50+1,AR50),IF(Instructions!$E$11=16,IF($T51=Instructions!$F$51,AR50+1,AR50))))))</f>
        <v>4</v>
      </c>
      <c r="AS51" s="321" t="str">
        <f t="shared" si="9"/>
        <v>1004</v>
      </c>
      <c r="AT51" s="321">
        <f>IF(Instructions!$E$11=8,IF($D51=Instructions!$F$52,AT50+1,AT50),IF(Instructions!$E$11=10,IF($H51=Instructions!$F$52,AT50+1,AT50),IF(Instructions!$E$11=12,IF($L51=Instructions!$F$52,AT50+1,AT50),IF(Instructions!$E$11=14,IF($P51=Instructions!$F$52,AT50+1,AT50),IF(Instructions!$E$11=16,IF($T51=Instructions!$F$52,AT50+1,AT50))))))</f>
        <v>4</v>
      </c>
      <c r="AU51" s="321" t="str">
        <f t="shared" si="10"/>
        <v>1104</v>
      </c>
      <c r="AV51" s="321">
        <f>IF(Instructions!$E$11=8,IF($D51=Instructions!$F$53,AV50+1,AV50),IF(Instructions!$E$11=10,IF($H51=Instructions!$F$53,AV50+1,AV50),IF(Instructions!$E$11=12,IF($L51=Instructions!$F$53,AV50+1,AV50),IF(Instructions!$E$11=14,IF($P51=Instructions!$F$53,AV50+1,AV50),IF(Instructions!$E$11=16,IF($T51=Instructions!$F$53,AV50+1,AV50))))))</f>
        <v>4</v>
      </c>
      <c r="AW51" s="321" t="str">
        <f t="shared" si="11"/>
        <v>1204</v>
      </c>
      <c r="AX51" s="321">
        <f>IF(Instructions!$E$11=8,IF($D51=Instructions!$F$54,AX50+1,AX50),IF(Instructions!$E$11=10,IF($H51=Instructions!$F$54,AX50+1,AX50),IF(Instructions!$E$11=12,IF($L51=Instructions!$F$54,AX50+1,AX50),IF(Instructions!$E$11=14,IF($P51=Instructions!$F$54,AX50+1,AX50),IF(Instructions!$E$11=16,IF($T51=Instructions!$F$54,AX50+1,AX50))))))</f>
        <v>0</v>
      </c>
      <c r="AY51" s="321" t="str">
        <f t="shared" si="12"/>
        <v>1300</v>
      </c>
      <c r="AZ51" s="321">
        <f>IF(Instructions!$E$11=8,IF($D51=Instructions!$F$55,AZ50+1,AZ50),IF(Instructions!$E$11=10,IF($H51=Instructions!$F$55,AZ50+1,AZ50),IF(Instructions!$E$11=12,IF($L51=Instructions!$F$55,AZ50+1,AZ50),IF(Instructions!$E$11=14,IF($P51=Instructions!$F$55,AZ50+1,AZ50),IF(Instructions!$E$11=16,IF($T51=Instructions!$F$55,AZ50+1,AZ50))))))</f>
        <v>0</v>
      </c>
      <c r="BA51" s="321" t="str">
        <f t="shared" si="13"/>
        <v>1400</v>
      </c>
      <c r="BB51" s="321">
        <f>IF(Instructions!$E$11=8,IF($D51=Instructions!$F$56,BB50+1,BB50),IF(Instructions!$E$11=10,IF($H51=Instructions!$F$56,BB50+1,BB50),IF(Instructions!$E$11=12,IF($L51=Instructions!$F$56,BB50+1,BB50),IF(Instructions!$E$11=14,IF($P51=Instructions!$F$56,BB50+1,BB50),IF(Instructions!$E$11=16,IF($T51=Instructions!$F$56,BB50+1,BB50))))))</f>
        <v>0</v>
      </c>
      <c r="BC51" s="321" t="str">
        <f t="shared" si="14"/>
        <v>1500</v>
      </c>
      <c r="BD51" s="321">
        <f>IF(Instructions!$E$11=8,IF($D51=Instructions!$F$57,BD50+1,BD50),IF(Instructions!$E$11=10,IF($H51=Instructions!$F$57,BD50+1,BD50),IF(Instructions!$E$11=12,IF($L51=Instructions!$F$57,BD50+1,BD50),IF(Instructions!$E$11=14,IF($P51=Instructions!$F$57,BD50+1,BD50),IF(Instructions!$E$11=16,IF($T51=Instructions!$F$57,BD50+1,BD50))))))</f>
        <v>0</v>
      </c>
      <c r="BE51" s="321" t="str">
        <f t="shared" si="15"/>
        <v>1600</v>
      </c>
      <c r="BF51" s="321">
        <v>49</v>
      </c>
    </row>
    <row r="52" spans="1:58" ht="15.75" thickBot="1" x14ac:dyDescent="0.3">
      <c r="A52" s="280"/>
      <c r="B52" s="323" t="str">
        <f>IF(Instructions!$J$11=1,AA52,IF(Instructions!$J$11=2,AC52,IF(Instructions!$J$11=3,AE52,IF(Instructions!$J$11=4,AG52,IF(Instructions!$J$11=5,AI52,IF(Instructions!$J$11=6,AK52,IF(Instructions!$J$11=7,AM52,IF(Instructions!$J$11=8,AO52,IF(Instructions!$J$11=9,AQ52,IF(Instructions!$J$11=10,AS52,IF(Instructions!$J$11=11,AU52,IF(Instructions!$J$11=12,AW52,IF(Instructions!$J$11=13, AY52, IF(Instructions!$J$11=14,BA52,IF(Instructions!$J$11=15,BC52,BE52)))))))))))))))</f>
        <v>205</v>
      </c>
      <c r="C52" s="272">
        <v>50</v>
      </c>
      <c r="D52" s="327" t="str">
        <f>Instructions!F$43</f>
        <v>Camden</v>
      </c>
      <c r="E52" s="332" t="s">
        <v>780</v>
      </c>
      <c r="F52" s="706"/>
      <c r="G52" s="279">
        <v>7</v>
      </c>
      <c r="H52" s="295" t="str">
        <f>Instructions!F$51</f>
        <v>Josh</v>
      </c>
      <c r="I52" s="277" t="s">
        <v>764</v>
      </c>
      <c r="J52" s="710"/>
      <c r="K52" s="279">
        <v>5</v>
      </c>
      <c r="L52" s="294" t="str">
        <f>Instructions!F$43</f>
        <v>Camden</v>
      </c>
      <c r="M52" s="274" t="s">
        <v>756</v>
      </c>
      <c r="N52" s="709"/>
      <c r="O52" s="279">
        <v>5</v>
      </c>
      <c r="P52" s="294" t="str">
        <f>Instructions!F$48</f>
        <v>Bui</v>
      </c>
      <c r="Q52" s="274" t="s">
        <v>750</v>
      </c>
      <c r="R52" s="709"/>
      <c r="S52" s="279">
        <v>4</v>
      </c>
      <c r="T52" s="327" t="str">
        <f>Instructions!F$56</f>
        <v>[TEAM 15]</v>
      </c>
      <c r="U52" s="274" t="s">
        <v>744</v>
      </c>
      <c r="V52" s="706"/>
      <c r="W52" s="279">
        <v>4</v>
      </c>
      <c r="X52" s="280"/>
      <c r="Y52" s="190" t="str">
        <f>IFERROR( IF(Instructions!$E$11=8, D52&amp;COUNTIF(D$3:D52,D52), IF(Instructions!$E$11=10, H52&amp;COUNTIF(H$3:H52,H52),IF(Instructions!$E$11=12, L52&amp;COUNTIF(L$3:L52,L52),IF(Instructions!$E$11=14, P52&amp;COUNTIF(P$3:P52,P52),T52&amp;COUNTIF(T$3:T52,T52))))),"")</f>
        <v>Camden5</v>
      </c>
      <c r="Z52" s="321">
        <f>IF(Instructions!$E$11=8,IF($D52=Instructions!$F$42,Z51+1,Z51),IF(Instructions!$E$11=10,IF($H52=Instructions!$F$42,Z51+1,Z51),IF(Instructions!$E$11=12,IF($L52=Instructions!$F$42,Z51+1,Z51),IF(Instructions!$E$11=14,IF($P52=Instructions!$F$42,Z51+1,Z51),IF(Instructions!$E$11=16,IF($T52=Instructions!$F$42,Z51+1,Z51))))))</f>
        <v>5</v>
      </c>
      <c r="AA52" s="321" t="str">
        <f t="shared" si="8"/>
        <v>105</v>
      </c>
      <c r="AB52" s="321">
        <f>IF(Instructions!$E$11=8,IF($D52=Instructions!$F$43,AB51+1,AB51),IF(Instructions!$E$11=10,IF($H52=Instructions!$F$43,AB51+1,AB51),IF(Instructions!$E$11=12,IF($L52=Instructions!$F$43,AB51+1,AB51),IF(Instructions!$E$11=14,IF($P52=Instructions!$F$43,AB51+1,AB51),IF(Instructions!$E$11=16,IF($T52=Instructions!$F$43,AB51+1,AB51))))))</f>
        <v>5</v>
      </c>
      <c r="AC52" s="321" t="str">
        <f t="shared" si="0"/>
        <v>205</v>
      </c>
      <c r="AD52" s="321">
        <f>IF(Instructions!$E$11=8,IF($D52=Instructions!$F$44,AD51+1,AD51),IF(Instructions!$E$11=10,IF($H52=Instructions!$F$44,AD51+1,AD51),IF(Instructions!$E$11=12,IF($L52=Instructions!$F$44,AD51+1,AD51),IF(Instructions!$E$11=14,IF($P52=Instructions!$F$44,AD51+1,AD51),IF(Instructions!$E$11=16,IF($T52=Instructions!$F$44,AD51+1,AD51))))))</f>
        <v>4</v>
      </c>
      <c r="AE52" s="321" t="str">
        <f t="shared" si="1"/>
        <v>304</v>
      </c>
      <c r="AF52" s="321">
        <f>IF(Instructions!$E$11=8,IF($D52=Instructions!$F$45,AF51+1,AF51),IF(Instructions!$E$11=10,IF($H52=Instructions!$F$45,AF51+1,AF51),IF(Instructions!$E$11=12,IF($L52=Instructions!$F$45,AF51+1,AF51),IF(Instructions!$E$11=14,IF($P52=Instructions!$F$45,AF51+1,AF51),IF(Instructions!$E$11=16,IF($T52=Instructions!$F$45,AF51+1,AF51))))))</f>
        <v>4</v>
      </c>
      <c r="AG52" s="321" t="str">
        <f t="shared" si="2"/>
        <v>404</v>
      </c>
      <c r="AH52" s="321">
        <f>IF(Instructions!$E$11=8,IF($D52=Instructions!$F$46,AH51+1,AH51),IF(Instructions!$E$11=10,IF($H52=Instructions!$F$46,AH51+1,AH51),IF(Instructions!$E$11=12,IF($L52=Instructions!$F$46,AH51+1,AH51),IF(Instructions!$E$11=14,IF($P52=Instructions!$F$46,AH51+1,AH51),IF(Instructions!$E$11=16,IF($T52=Instructions!$F$46,AH51+1,AH51))))))</f>
        <v>4</v>
      </c>
      <c r="AI52" s="321" t="str">
        <f t="shared" si="3"/>
        <v>504</v>
      </c>
      <c r="AJ52" s="321">
        <f>IF(Instructions!$E$11=8,IF($D52=Instructions!$F$47,AJ51+1,AJ51),IF(Instructions!$E$11=10,IF($H52=Instructions!$F$47,AJ51+1,AJ51),IF(Instructions!$E$11=12,IF($L52=Instructions!$F$47,AJ51+1,AJ51),IF(Instructions!$E$11=14,IF($P52=Instructions!$F$47,AJ51+1,AJ51),IF(Instructions!$E$11=16,IF($T52=Instructions!$F$47,AJ51+1,AJ51))))))</f>
        <v>4</v>
      </c>
      <c r="AK52" s="321" t="str">
        <f t="shared" si="4"/>
        <v>604</v>
      </c>
      <c r="AL52" s="321">
        <f>IF(Instructions!$E$11=8,IF($D52=Instructions!$F$48,AL51+1,AL51),IF(Instructions!$E$11=10,IF($H52=Instructions!$F$48,AL51+1,AL51),IF(Instructions!$E$11=12,IF($L52=Instructions!$F$48,AL51+1,AL51),IF(Instructions!$E$11=14,IF($P52=Instructions!$F$48,AL51+1,AL51),IF(Instructions!$E$11=16,IF($T52=Instructions!$F$48,AL51+1,AL51))))))</f>
        <v>4</v>
      </c>
      <c r="AM52" s="321" t="str">
        <f t="shared" si="5"/>
        <v>704</v>
      </c>
      <c r="AN52" s="321">
        <f>IF(Instructions!$E$11=8,IF($D52=Instructions!$F$49,AN51+1,AN51),IF(Instructions!$E$11=10,IF($H52=Instructions!$F$49,AN51+1,AN51),IF(Instructions!$E$11=12,IF($L52=Instructions!$F$49,AN51+1,AN51),IF(Instructions!$E$11=14,IF($P52=Instructions!$F$49,AN51+1,AN51),IF(Instructions!$E$11=16,IF($T52=Instructions!$F$49,AN51+1,AN51))))))</f>
        <v>4</v>
      </c>
      <c r="AO52" s="321" t="str">
        <f t="shared" si="6"/>
        <v>804</v>
      </c>
      <c r="AP52" s="321">
        <f>IF(Instructions!$E$11=8,IF($D52=Instructions!$F$50,AP51+1,AP51),IF(Instructions!$E$11=10,IF($H52=Instructions!$F$50,AP51+1,AP51),IF(Instructions!$E$11=12,IF($L52=Instructions!$F$50,AP51+1,AP51),IF(Instructions!$E$11=14,IF($P52=Instructions!$F$50,AP51+1,AP51),IF(Instructions!$E$11=16,IF($T52=Instructions!$F$50,AP51+1,AP51))))))</f>
        <v>4</v>
      </c>
      <c r="AQ52" s="321" t="str">
        <f t="shared" si="7"/>
        <v>904</v>
      </c>
      <c r="AR52" s="321">
        <f>IF(Instructions!$E$11=8,IF($D52=Instructions!$F$51,AR51+1,AR51),IF(Instructions!$E$11=10,IF($H52=Instructions!$F$51,AR51+1,AR51),IF(Instructions!$E$11=12,IF($L52=Instructions!$F$51,AR51+1,AR51),IF(Instructions!$E$11=14,IF($P52=Instructions!$F$51,AR51+1,AR51),IF(Instructions!$E$11=16,IF($T52=Instructions!$F$51,AR51+1,AR51))))))</f>
        <v>4</v>
      </c>
      <c r="AS52" s="321" t="str">
        <f t="shared" si="9"/>
        <v>1004</v>
      </c>
      <c r="AT52" s="321">
        <f>IF(Instructions!$E$11=8,IF($D52=Instructions!$F$52,AT51+1,AT51),IF(Instructions!$E$11=10,IF($H52=Instructions!$F$52,AT51+1,AT51),IF(Instructions!$E$11=12,IF($L52=Instructions!$F$52,AT51+1,AT51),IF(Instructions!$E$11=14,IF($P52=Instructions!$F$52,AT51+1,AT51),IF(Instructions!$E$11=16,IF($T52=Instructions!$F$52,AT51+1,AT51))))))</f>
        <v>4</v>
      </c>
      <c r="AU52" s="321" t="str">
        <f t="shared" si="10"/>
        <v>1104</v>
      </c>
      <c r="AV52" s="321">
        <f>IF(Instructions!$E$11=8,IF($D52=Instructions!$F$53,AV51+1,AV51),IF(Instructions!$E$11=10,IF($H52=Instructions!$F$53,AV51+1,AV51),IF(Instructions!$E$11=12,IF($L52=Instructions!$F$53,AV51+1,AV51),IF(Instructions!$E$11=14,IF($P52=Instructions!$F$53,AV51+1,AV51),IF(Instructions!$E$11=16,IF($T52=Instructions!$F$53,AV51+1,AV51))))))</f>
        <v>4</v>
      </c>
      <c r="AW52" s="321" t="str">
        <f t="shared" si="11"/>
        <v>1204</v>
      </c>
      <c r="AX52" s="321">
        <f>IF(Instructions!$E$11=8,IF($D52=Instructions!$F$54,AX51+1,AX51),IF(Instructions!$E$11=10,IF($H52=Instructions!$F$54,AX51+1,AX51),IF(Instructions!$E$11=12,IF($L52=Instructions!$F$54,AX51+1,AX51),IF(Instructions!$E$11=14,IF($P52=Instructions!$F$54,AX51+1,AX51),IF(Instructions!$E$11=16,IF($T52=Instructions!$F$54,AX51+1,AX51))))))</f>
        <v>0</v>
      </c>
      <c r="AY52" s="321" t="str">
        <f t="shared" si="12"/>
        <v>1300</v>
      </c>
      <c r="AZ52" s="321">
        <f>IF(Instructions!$E$11=8,IF($D52=Instructions!$F$55,AZ51+1,AZ51),IF(Instructions!$E$11=10,IF($H52=Instructions!$F$55,AZ51+1,AZ51),IF(Instructions!$E$11=12,IF($L52=Instructions!$F$55,AZ51+1,AZ51),IF(Instructions!$E$11=14,IF($P52=Instructions!$F$55,AZ51+1,AZ51),IF(Instructions!$E$11=16,IF($T52=Instructions!$F$55,AZ51+1,AZ51))))))</f>
        <v>0</v>
      </c>
      <c r="BA52" s="321" t="str">
        <f t="shared" si="13"/>
        <v>1400</v>
      </c>
      <c r="BB52" s="321">
        <f>IF(Instructions!$E$11=8,IF($D52=Instructions!$F$56,BB51+1,BB51),IF(Instructions!$E$11=10,IF($H52=Instructions!$F$56,BB51+1,BB51),IF(Instructions!$E$11=12,IF($L52=Instructions!$F$56,BB51+1,BB51),IF(Instructions!$E$11=14,IF($P52=Instructions!$F$56,BB51+1,BB51),IF(Instructions!$E$11=16,IF($T52=Instructions!$F$56,BB51+1,BB51))))))</f>
        <v>0</v>
      </c>
      <c r="BC52" s="321" t="str">
        <f t="shared" si="14"/>
        <v>1500</v>
      </c>
      <c r="BD52" s="321">
        <f>IF(Instructions!$E$11=8,IF($D52=Instructions!$F$57,BD51+1,BD51),IF(Instructions!$E$11=10,IF($H52=Instructions!$F$57,BD51+1,BD51),IF(Instructions!$E$11=12,IF($L52=Instructions!$F$57,BD51+1,BD51),IF(Instructions!$E$11=14,IF($P52=Instructions!$F$57,BD51+1,BD51),IF(Instructions!$E$11=16,IF($T52=Instructions!$F$57,BD51+1,BD51))))))</f>
        <v>0</v>
      </c>
      <c r="BE52" s="321" t="str">
        <f t="shared" si="15"/>
        <v>1600</v>
      </c>
      <c r="BF52" s="321">
        <v>50</v>
      </c>
    </row>
    <row r="53" spans="1:58" ht="15" customHeight="1" x14ac:dyDescent="0.25">
      <c r="A53" s="280"/>
      <c r="B53" s="323" t="str">
        <f>IF(Instructions!$J$11=1,AA53,IF(Instructions!$J$11=2,AC53,IF(Instructions!$J$11=3,AE53,IF(Instructions!$J$11=4,AG53,IF(Instructions!$J$11=5,AI53,IF(Instructions!$J$11=6,AK53,IF(Instructions!$J$11=7,AM53,IF(Instructions!$J$11=8,AO53,IF(Instructions!$J$11=9,AQ53,IF(Instructions!$J$11=10,AS53,IF(Instructions!$J$11=11,AU53,IF(Instructions!$J$11=12,AW53,IF(Instructions!$J$11=13, AY53, IF(Instructions!$J$11=14,BA53,IF(Instructions!$J$11=15,BC53,BE53)))))))))))))))</f>
        <v>205</v>
      </c>
      <c r="C53" s="271">
        <v>51</v>
      </c>
      <c r="D53" s="328" t="str">
        <f>Instructions!F$44</f>
        <v>Cam</v>
      </c>
      <c r="E53" s="333" t="s">
        <v>781</v>
      </c>
      <c r="F53" s="706"/>
      <c r="G53" s="279">
        <v>7</v>
      </c>
      <c r="H53" s="292" t="str">
        <f>Instructions!F$51</f>
        <v>Josh</v>
      </c>
      <c r="I53" s="278" t="s">
        <v>767</v>
      </c>
      <c r="J53" s="708" t="s">
        <v>901</v>
      </c>
      <c r="K53" s="279">
        <v>6</v>
      </c>
      <c r="L53" s="293" t="str">
        <f>Instructions!F$44</f>
        <v>Cam</v>
      </c>
      <c r="M53" s="273" t="s">
        <v>757</v>
      </c>
      <c r="N53" s="709"/>
      <c r="O53" s="279">
        <v>5</v>
      </c>
      <c r="P53" s="293" t="str">
        <f>Instructions!F$47</f>
        <v>Devin</v>
      </c>
      <c r="Q53" s="273" t="s">
        <v>751</v>
      </c>
      <c r="R53" s="709"/>
      <c r="S53" s="279">
        <v>4</v>
      </c>
      <c r="T53" s="328" t="str">
        <f>Instructions!F$55</f>
        <v>[TEAM 14]</v>
      </c>
      <c r="U53" s="273" t="s">
        <v>745</v>
      </c>
      <c r="V53" s="706"/>
      <c r="W53" s="279">
        <v>4</v>
      </c>
      <c r="X53" s="280"/>
      <c r="Y53" s="190" t="str">
        <f>IFERROR( IF(Instructions!$E$11=8, D53&amp;COUNTIF(D$3:D53,D53), IF(Instructions!$E$11=10, H53&amp;COUNTIF(H$3:H53,H53),IF(Instructions!$E$11=12, L53&amp;COUNTIF(L$3:L53,L53),IF(Instructions!$E$11=14, P53&amp;COUNTIF(P$3:P53,P53),T53&amp;COUNTIF(T$3:T53,T53))))),"")</f>
        <v>Cam5</v>
      </c>
      <c r="Z53" s="321">
        <f>IF(Instructions!$E$11=8,IF($D53=Instructions!$F$42,Z52+1,Z52),IF(Instructions!$E$11=10,IF($H53=Instructions!$F$42,Z52+1,Z52),IF(Instructions!$E$11=12,IF($L53=Instructions!$F$42,Z52+1,Z52),IF(Instructions!$E$11=14,IF($P53=Instructions!$F$42,Z52+1,Z52),IF(Instructions!$E$11=16,IF($T53=Instructions!$F$42,Z52+1,Z52))))))</f>
        <v>5</v>
      </c>
      <c r="AA53" s="321" t="str">
        <f t="shared" si="8"/>
        <v>105</v>
      </c>
      <c r="AB53" s="321">
        <f>IF(Instructions!$E$11=8,IF($D53=Instructions!$F$43,AB52+1,AB52),IF(Instructions!$E$11=10,IF($H53=Instructions!$F$43,AB52+1,AB52),IF(Instructions!$E$11=12,IF($L53=Instructions!$F$43,AB52+1,AB52),IF(Instructions!$E$11=14,IF($P53=Instructions!$F$43,AB52+1,AB52),IF(Instructions!$E$11=16,IF($T53=Instructions!$F$43,AB52+1,AB52))))))</f>
        <v>5</v>
      </c>
      <c r="AC53" s="321" t="str">
        <f t="shared" si="0"/>
        <v>205</v>
      </c>
      <c r="AD53" s="321">
        <f>IF(Instructions!$E$11=8,IF($D53=Instructions!$F$44,AD52+1,AD52),IF(Instructions!$E$11=10,IF($H53=Instructions!$F$44,AD52+1,AD52),IF(Instructions!$E$11=12,IF($L53=Instructions!$F$44,AD52+1,AD52),IF(Instructions!$E$11=14,IF($P53=Instructions!$F$44,AD52+1,AD52),IF(Instructions!$E$11=16,IF($T53=Instructions!$F$44,AD52+1,AD52))))))</f>
        <v>5</v>
      </c>
      <c r="AE53" s="321" t="str">
        <f t="shared" si="1"/>
        <v>305</v>
      </c>
      <c r="AF53" s="321">
        <f>IF(Instructions!$E$11=8,IF($D53=Instructions!$F$45,AF52+1,AF52),IF(Instructions!$E$11=10,IF($H53=Instructions!$F$45,AF52+1,AF52),IF(Instructions!$E$11=12,IF($L53=Instructions!$F$45,AF52+1,AF52),IF(Instructions!$E$11=14,IF($P53=Instructions!$F$45,AF52+1,AF52),IF(Instructions!$E$11=16,IF($T53=Instructions!$F$45,AF52+1,AF52))))))</f>
        <v>4</v>
      </c>
      <c r="AG53" s="321" t="str">
        <f t="shared" si="2"/>
        <v>404</v>
      </c>
      <c r="AH53" s="321">
        <f>IF(Instructions!$E$11=8,IF($D53=Instructions!$F$46,AH52+1,AH52),IF(Instructions!$E$11=10,IF($H53=Instructions!$F$46,AH52+1,AH52),IF(Instructions!$E$11=12,IF($L53=Instructions!$F$46,AH52+1,AH52),IF(Instructions!$E$11=14,IF($P53=Instructions!$F$46,AH52+1,AH52),IF(Instructions!$E$11=16,IF($T53=Instructions!$F$46,AH52+1,AH52))))))</f>
        <v>4</v>
      </c>
      <c r="AI53" s="321" t="str">
        <f t="shared" si="3"/>
        <v>504</v>
      </c>
      <c r="AJ53" s="321">
        <f>IF(Instructions!$E$11=8,IF($D53=Instructions!$F$47,AJ52+1,AJ52),IF(Instructions!$E$11=10,IF($H53=Instructions!$F$47,AJ52+1,AJ52),IF(Instructions!$E$11=12,IF($L53=Instructions!$F$47,AJ52+1,AJ52),IF(Instructions!$E$11=14,IF($P53=Instructions!$F$47,AJ52+1,AJ52),IF(Instructions!$E$11=16,IF($T53=Instructions!$F$47,AJ52+1,AJ52))))))</f>
        <v>4</v>
      </c>
      <c r="AK53" s="321" t="str">
        <f t="shared" si="4"/>
        <v>604</v>
      </c>
      <c r="AL53" s="321">
        <f>IF(Instructions!$E$11=8,IF($D53=Instructions!$F$48,AL52+1,AL52),IF(Instructions!$E$11=10,IF($H53=Instructions!$F$48,AL52+1,AL52),IF(Instructions!$E$11=12,IF($L53=Instructions!$F$48,AL52+1,AL52),IF(Instructions!$E$11=14,IF($P53=Instructions!$F$48,AL52+1,AL52),IF(Instructions!$E$11=16,IF($T53=Instructions!$F$48,AL52+1,AL52))))))</f>
        <v>4</v>
      </c>
      <c r="AM53" s="321" t="str">
        <f t="shared" si="5"/>
        <v>704</v>
      </c>
      <c r="AN53" s="321">
        <f>IF(Instructions!$E$11=8,IF($D53=Instructions!$F$49,AN52+1,AN52),IF(Instructions!$E$11=10,IF($H53=Instructions!$F$49,AN52+1,AN52),IF(Instructions!$E$11=12,IF($L53=Instructions!$F$49,AN52+1,AN52),IF(Instructions!$E$11=14,IF($P53=Instructions!$F$49,AN52+1,AN52),IF(Instructions!$E$11=16,IF($T53=Instructions!$F$49,AN52+1,AN52))))))</f>
        <v>4</v>
      </c>
      <c r="AO53" s="321" t="str">
        <f t="shared" si="6"/>
        <v>804</v>
      </c>
      <c r="AP53" s="321">
        <f>IF(Instructions!$E$11=8,IF($D53=Instructions!$F$50,AP52+1,AP52),IF(Instructions!$E$11=10,IF($H53=Instructions!$F$50,AP52+1,AP52),IF(Instructions!$E$11=12,IF($L53=Instructions!$F$50,AP52+1,AP52),IF(Instructions!$E$11=14,IF($P53=Instructions!$F$50,AP52+1,AP52),IF(Instructions!$E$11=16,IF($T53=Instructions!$F$50,AP52+1,AP52))))))</f>
        <v>4</v>
      </c>
      <c r="AQ53" s="321" t="str">
        <f t="shared" si="7"/>
        <v>904</v>
      </c>
      <c r="AR53" s="321">
        <f>IF(Instructions!$E$11=8,IF($D53=Instructions!$F$51,AR52+1,AR52),IF(Instructions!$E$11=10,IF($H53=Instructions!$F$51,AR52+1,AR52),IF(Instructions!$E$11=12,IF($L53=Instructions!$F$51,AR52+1,AR52),IF(Instructions!$E$11=14,IF($P53=Instructions!$F$51,AR52+1,AR52),IF(Instructions!$E$11=16,IF($T53=Instructions!$F$51,AR52+1,AR52))))))</f>
        <v>4</v>
      </c>
      <c r="AS53" s="321" t="str">
        <f t="shared" si="9"/>
        <v>1004</v>
      </c>
      <c r="AT53" s="321">
        <f>IF(Instructions!$E$11=8,IF($D53=Instructions!$F$52,AT52+1,AT52),IF(Instructions!$E$11=10,IF($H53=Instructions!$F$52,AT52+1,AT52),IF(Instructions!$E$11=12,IF($L53=Instructions!$F$52,AT52+1,AT52),IF(Instructions!$E$11=14,IF($P53=Instructions!$F$52,AT52+1,AT52),IF(Instructions!$E$11=16,IF($T53=Instructions!$F$52,AT52+1,AT52))))))</f>
        <v>4</v>
      </c>
      <c r="AU53" s="321" t="str">
        <f t="shared" si="10"/>
        <v>1104</v>
      </c>
      <c r="AV53" s="321">
        <f>IF(Instructions!$E$11=8,IF($D53=Instructions!$F$53,AV52+1,AV52),IF(Instructions!$E$11=10,IF($H53=Instructions!$F$53,AV52+1,AV52),IF(Instructions!$E$11=12,IF($L53=Instructions!$F$53,AV52+1,AV52),IF(Instructions!$E$11=14,IF($P53=Instructions!$F$53,AV52+1,AV52),IF(Instructions!$E$11=16,IF($T53=Instructions!$F$53,AV52+1,AV52))))))</f>
        <v>4</v>
      </c>
      <c r="AW53" s="321" t="str">
        <f t="shared" si="11"/>
        <v>1204</v>
      </c>
      <c r="AX53" s="321">
        <f>IF(Instructions!$E$11=8,IF($D53=Instructions!$F$54,AX52+1,AX52),IF(Instructions!$E$11=10,IF($H53=Instructions!$F$54,AX52+1,AX52),IF(Instructions!$E$11=12,IF($L53=Instructions!$F$54,AX52+1,AX52),IF(Instructions!$E$11=14,IF($P53=Instructions!$F$54,AX52+1,AX52),IF(Instructions!$E$11=16,IF($T53=Instructions!$F$54,AX52+1,AX52))))))</f>
        <v>0</v>
      </c>
      <c r="AY53" s="321" t="str">
        <f t="shared" si="12"/>
        <v>1300</v>
      </c>
      <c r="AZ53" s="321">
        <f>IF(Instructions!$E$11=8,IF($D53=Instructions!$F$55,AZ52+1,AZ52),IF(Instructions!$E$11=10,IF($H53=Instructions!$F$55,AZ52+1,AZ52),IF(Instructions!$E$11=12,IF($L53=Instructions!$F$55,AZ52+1,AZ52),IF(Instructions!$E$11=14,IF($P53=Instructions!$F$55,AZ52+1,AZ52),IF(Instructions!$E$11=16,IF($T53=Instructions!$F$55,AZ52+1,AZ52))))))</f>
        <v>0</v>
      </c>
      <c r="BA53" s="321" t="str">
        <f t="shared" si="13"/>
        <v>1400</v>
      </c>
      <c r="BB53" s="321">
        <f>IF(Instructions!$E$11=8,IF($D53=Instructions!$F$56,BB52+1,BB52),IF(Instructions!$E$11=10,IF($H53=Instructions!$F$56,BB52+1,BB52),IF(Instructions!$E$11=12,IF($L53=Instructions!$F$56,BB52+1,BB52),IF(Instructions!$E$11=14,IF($P53=Instructions!$F$56,BB52+1,BB52),IF(Instructions!$E$11=16,IF($T53=Instructions!$F$56,BB52+1,BB52))))))</f>
        <v>0</v>
      </c>
      <c r="BC53" s="321" t="str">
        <f t="shared" si="14"/>
        <v>1500</v>
      </c>
      <c r="BD53" s="321">
        <f>IF(Instructions!$E$11=8,IF($D53=Instructions!$F$57,BD52+1,BD52),IF(Instructions!$E$11=10,IF($H53=Instructions!$F$57,BD52+1,BD52),IF(Instructions!$E$11=12,IF($L53=Instructions!$F$57,BD52+1,BD52),IF(Instructions!$E$11=14,IF($P53=Instructions!$F$57,BD52+1,BD52),IF(Instructions!$E$11=16,IF($T53=Instructions!$F$57,BD52+1,BD52))))))</f>
        <v>0</v>
      </c>
      <c r="BE53" s="321" t="str">
        <f t="shared" si="15"/>
        <v>1600</v>
      </c>
      <c r="BF53" s="321">
        <v>51</v>
      </c>
    </row>
    <row r="54" spans="1:58" x14ac:dyDescent="0.25">
      <c r="A54" s="280"/>
      <c r="B54" s="323" t="str">
        <f>IF(Instructions!$J$11=1,AA54,IF(Instructions!$J$11=2,AC54,IF(Instructions!$J$11=3,AE54,IF(Instructions!$J$11=4,AG54,IF(Instructions!$J$11=5,AI54,IF(Instructions!$J$11=6,AK54,IF(Instructions!$J$11=7,AM54,IF(Instructions!$J$11=8,AO54,IF(Instructions!$J$11=9,AQ54,IF(Instructions!$J$11=10,AS54,IF(Instructions!$J$11=11,AU54,IF(Instructions!$J$11=12,AW54,IF(Instructions!$J$11=13, AY54, IF(Instructions!$J$11=14,BA54,IF(Instructions!$J$11=15,BC54,BE54)))))))))))))))</f>
        <v>205</v>
      </c>
      <c r="C54" s="272">
        <v>52</v>
      </c>
      <c r="D54" s="327" t="str">
        <f>Instructions!F$45</f>
        <v>Miles</v>
      </c>
      <c r="E54" s="332" t="s">
        <v>782</v>
      </c>
      <c r="F54" s="706"/>
      <c r="G54" s="279">
        <v>7</v>
      </c>
      <c r="H54" s="294" t="str">
        <f>Instructions!F$50</f>
        <v>Dan</v>
      </c>
      <c r="I54" s="274" t="s">
        <v>768</v>
      </c>
      <c r="J54" s="709"/>
      <c r="K54" s="279">
        <v>6</v>
      </c>
      <c r="L54" s="294" t="str">
        <f>Instructions!F$45</f>
        <v>Miles</v>
      </c>
      <c r="M54" s="274" t="s">
        <v>758</v>
      </c>
      <c r="N54" s="709"/>
      <c r="O54" s="279">
        <v>5</v>
      </c>
      <c r="P54" s="294" t="str">
        <f>Instructions!F$46</f>
        <v>Con</v>
      </c>
      <c r="Q54" s="274" t="s">
        <v>752</v>
      </c>
      <c r="R54" s="709"/>
      <c r="S54" s="279">
        <v>4</v>
      </c>
      <c r="T54" s="327" t="str">
        <f>Instructions!F$54</f>
        <v>[TEAM 13]</v>
      </c>
      <c r="U54" s="274" t="s">
        <v>746</v>
      </c>
      <c r="V54" s="706"/>
      <c r="W54" s="279">
        <v>4</v>
      </c>
      <c r="X54" s="280"/>
      <c r="Y54" s="190" t="str">
        <f>IFERROR( IF(Instructions!$E$11=8, D54&amp;COUNTIF(D$3:D54,D54), IF(Instructions!$E$11=10, H54&amp;COUNTIF(H$3:H54,H54),IF(Instructions!$E$11=12, L54&amp;COUNTIF(L$3:L54,L54),IF(Instructions!$E$11=14, P54&amp;COUNTIF(P$3:P54,P54),T54&amp;COUNTIF(T$3:T54,T54))))),"")</f>
        <v>Miles5</v>
      </c>
      <c r="Z54" s="321">
        <f>IF(Instructions!$E$11=8,IF($D54=Instructions!$F$42,Z53+1,Z53),IF(Instructions!$E$11=10,IF($H54=Instructions!$F$42,Z53+1,Z53),IF(Instructions!$E$11=12,IF($L54=Instructions!$F$42,Z53+1,Z53),IF(Instructions!$E$11=14,IF($P54=Instructions!$F$42,Z53+1,Z53),IF(Instructions!$E$11=16,IF($T54=Instructions!$F$42,Z53+1,Z53))))))</f>
        <v>5</v>
      </c>
      <c r="AA54" s="321" t="str">
        <f t="shared" si="8"/>
        <v>105</v>
      </c>
      <c r="AB54" s="321">
        <f>IF(Instructions!$E$11=8,IF($D54=Instructions!$F$43,AB53+1,AB53),IF(Instructions!$E$11=10,IF($H54=Instructions!$F$43,AB53+1,AB53),IF(Instructions!$E$11=12,IF($L54=Instructions!$F$43,AB53+1,AB53),IF(Instructions!$E$11=14,IF($P54=Instructions!$F$43,AB53+1,AB53),IF(Instructions!$E$11=16,IF($T54=Instructions!$F$43,AB53+1,AB53))))))</f>
        <v>5</v>
      </c>
      <c r="AC54" s="321" t="str">
        <f t="shared" si="0"/>
        <v>205</v>
      </c>
      <c r="AD54" s="321">
        <f>IF(Instructions!$E$11=8,IF($D54=Instructions!$F$44,AD53+1,AD53),IF(Instructions!$E$11=10,IF($H54=Instructions!$F$44,AD53+1,AD53),IF(Instructions!$E$11=12,IF($L54=Instructions!$F$44,AD53+1,AD53),IF(Instructions!$E$11=14,IF($P54=Instructions!$F$44,AD53+1,AD53),IF(Instructions!$E$11=16,IF($T54=Instructions!$F$44,AD53+1,AD53))))))</f>
        <v>5</v>
      </c>
      <c r="AE54" s="321" t="str">
        <f t="shared" si="1"/>
        <v>305</v>
      </c>
      <c r="AF54" s="321">
        <f>IF(Instructions!$E$11=8,IF($D54=Instructions!$F$45,AF53+1,AF53),IF(Instructions!$E$11=10,IF($H54=Instructions!$F$45,AF53+1,AF53),IF(Instructions!$E$11=12,IF($L54=Instructions!$F$45,AF53+1,AF53),IF(Instructions!$E$11=14,IF($P54=Instructions!$F$45,AF53+1,AF53),IF(Instructions!$E$11=16,IF($T54=Instructions!$F$45,AF53+1,AF53))))))</f>
        <v>5</v>
      </c>
      <c r="AG54" s="321" t="str">
        <f t="shared" si="2"/>
        <v>405</v>
      </c>
      <c r="AH54" s="321">
        <f>IF(Instructions!$E$11=8,IF($D54=Instructions!$F$46,AH53+1,AH53),IF(Instructions!$E$11=10,IF($H54=Instructions!$F$46,AH53+1,AH53),IF(Instructions!$E$11=12,IF($L54=Instructions!$F$46,AH53+1,AH53),IF(Instructions!$E$11=14,IF($P54=Instructions!$F$46,AH53+1,AH53),IF(Instructions!$E$11=16,IF($T54=Instructions!$F$46,AH53+1,AH53))))))</f>
        <v>4</v>
      </c>
      <c r="AI54" s="321" t="str">
        <f t="shared" si="3"/>
        <v>504</v>
      </c>
      <c r="AJ54" s="321">
        <f>IF(Instructions!$E$11=8,IF($D54=Instructions!$F$47,AJ53+1,AJ53),IF(Instructions!$E$11=10,IF($H54=Instructions!$F$47,AJ53+1,AJ53),IF(Instructions!$E$11=12,IF($L54=Instructions!$F$47,AJ53+1,AJ53),IF(Instructions!$E$11=14,IF($P54=Instructions!$F$47,AJ53+1,AJ53),IF(Instructions!$E$11=16,IF($T54=Instructions!$F$47,AJ53+1,AJ53))))))</f>
        <v>4</v>
      </c>
      <c r="AK54" s="321" t="str">
        <f t="shared" si="4"/>
        <v>604</v>
      </c>
      <c r="AL54" s="321">
        <f>IF(Instructions!$E$11=8,IF($D54=Instructions!$F$48,AL53+1,AL53),IF(Instructions!$E$11=10,IF($H54=Instructions!$F$48,AL53+1,AL53),IF(Instructions!$E$11=12,IF($L54=Instructions!$F$48,AL53+1,AL53),IF(Instructions!$E$11=14,IF($P54=Instructions!$F$48,AL53+1,AL53),IF(Instructions!$E$11=16,IF($T54=Instructions!$F$48,AL53+1,AL53))))))</f>
        <v>4</v>
      </c>
      <c r="AM54" s="321" t="str">
        <f t="shared" si="5"/>
        <v>704</v>
      </c>
      <c r="AN54" s="321">
        <f>IF(Instructions!$E$11=8,IF($D54=Instructions!$F$49,AN53+1,AN53),IF(Instructions!$E$11=10,IF($H54=Instructions!$F$49,AN53+1,AN53),IF(Instructions!$E$11=12,IF($L54=Instructions!$F$49,AN53+1,AN53),IF(Instructions!$E$11=14,IF($P54=Instructions!$F$49,AN53+1,AN53),IF(Instructions!$E$11=16,IF($T54=Instructions!$F$49,AN53+1,AN53))))))</f>
        <v>4</v>
      </c>
      <c r="AO54" s="321" t="str">
        <f t="shared" si="6"/>
        <v>804</v>
      </c>
      <c r="AP54" s="321">
        <f>IF(Instructions!$E$11=8,IF($D54=Instructions!$F$50,AP53+1,AP53),IF(Instructions!$E$11=10,IF($H54=Instructions!$F$50,AP53+1,AP53),IF(Instructions!$E$11=12,IF($L54=Instructions!$F$50,AP53+1,AP53),IF(Instructions!$E$11=14,IF($P54=Instructions!$F$50,AP53+1,AP53),IF(Instructions!$E$11=16,IF($T54=Instructions!$F$50,AP53+1,AP53))))))</f>
        <v>4</v>
      </c>
      <c r="AQ54" s="321" t="str">
        <f t="shared" si="7"/>
        <v>904</v>
      </c>
      <c r="AR54" s="321">
        <f>IF(Instructions!$E$11=8,IF($D54=Instructions!$F$51,AR53+1,AR53),IF(Instructions!$E$11=10,IF($H54=Instructions!$F$51,AR53+1,AR53),IF(Instructions!$E$11=12,IF($L54=Instructions!$F$51,AR53+1,AR53),IF(Instructions!$E$11=14,IF($P54=Instructions!$F$51,AR53+1,AR53),IF(Instructions!$E$11=16,IF($T54=Instructions!$F$51,AR53+1,AR53))))))</f>
        <v>4</v>
      </c>
      <c r="AS54" s="321" t="str">
        <f t="shared" si="9"/>
        <v>1004</v>
      </c>
      <c r="AT54" s="321">
        <f>IF(Instructions!$E$11=8,IF($D54=Instructions!$F$52,AT53+1,AT53),IF(Instructions!$E$11=10,IF($H54=Instructions!$F$52,AT53+1,AT53),IF(Instructions!$E$11=12,IF($L54=Instructions!$F$52,AT53+1,AT53),IF(Instructions!$E$11=14,IF($P54=Instructions!$F$52,AT53+1,AT53),IF(Instructions!$E$11=16,IF($T54=Instructions!$F$52,AT53+1,AT53))))))</f>
        <v>4</v>
      </c>
      <c r="AU54" s="321" t="str">
        <f t="shared" si="10"/>
        <v>1104</v>
      </c>
      <c r="AV54" s="321">
        <f>IF(Instructions!$E$11=8,IF($D54=Instructions!$F$53,AV53+1,AV53),IF(Instructions!$E$11=10,IF($H54=Instructions!$F$53,AV53+1,AV53),IF(Instructions!$E$11=12,IF($L54=Instructions!$F$53,AV53+1,AV53),IF(Instructions!$E$11=14,IF($P54=Instructions!$F$53,AV53+1,AV53),IF(Instructions!$E$11=16,IF($T54=Instructions!$F$53,AV53+1,AV53))))))</f>
        <v>4</v>
      </c>
      <c r="AW54" s="321" t="str">
        <f t="shared" si="11"/>
        <v>1204</v>
      </c>
      <c r="AX54" s="321">
        <f>IF(Instructions!$E$11=8,IF($D54=Instructions!$F$54,AX53+1,AX53),IF(Instructions!$E$11=10,IF($H54=Instructions!$F$54,AX53+1,AX53),IF(Instructions!$E$11=12,IF($L54=Instructions!$F$54,AX53+1,AX53),IF(Instructions!$E$11=14,IF($P54=Instructions!$F$54,AX53+1,AX53),IF(Instructions!$E$11=16,IF($T54=Instructions!$F$54,AX53+1,AX53))))))</f>
        <v>0</v>
      </c>
      <c r="AY54" s="321" t="str">
        <f t="shared" si="12"/>
        <v>1300</v>
      </c>
      <c r="AZ54" s="321">
        <f>IF(Instructions!$E$11=8,IF($D54=Instructions!$F$55,AZ53+1,AZ53),IF(Instructions!$E$11=10,IF($H54=Instructions!$F$55,AZ53+1,AZ53),IF(Instructions!$E$11=12,IF($L54=Instructions!$F$55,AZ53+1,AZ53),IF(Instructions!$E$11=14,IF($P54=Instructions!$F$55,AZ53+1,AZ53),IF(Instructions!$E$11=16,IF($T54=Instructions!$F$55,AZ53+1,AZ53))))))</f>
        <v>0</v>
      </c>
      <c r="BA54" s="321" t="str">
        <f t="shared" si="13"/>
        <v>1400</v>
      </c>
      <c r="BB54" s="321">
        <f>IF(Instructions!$E$11=8,IF($D54=Instructions!$F$56,BB53+1,BB53),IF(Instructions!$E$11=10,IF($H54=Instructions!$F$56,BB53+1,BB53),IF(Instructions!$E$11=12,IF($L54=Instructions!$F$56,BB53+1,BB53),IF(Instructions!$E$11=14,IF($P54=Instructions!$F$56,BB53+1,BB53),IF(Instructions!$E$11=16,IF($T54=Instructions!$F$56,BB53+1,BB53))))))</f>
        <v>0</v>
      </c>
      <c r="BC54" s="321" t="str">
        <f t="shared" si="14"/>
        <v>1500</v>
      </c>
      <c r="BD54" s="321">
        <f>IF(Instructions!$E$11=8,IF($D54=Instructions!$F$57,BD53+1,BD53),IF(Instructions!$E$11=10,IF($H54=Instructions!$F$57,BD53+1,BD53),IF(Instructions!$E$11=12,IF($L54=Instructions!$F$57,BD53+1,BD53),IF(Instructions!$E$11=14,IF($P54=Instructions!$F$57,BD53+1,BD53),IF(Instructions!$E$11=16,IF($T54=Instructions!$F$57,BD53+1,BD53))))))</f>
        <v>0</v>
      </c>
      <c r="BE54" s="321" t="str">
        <f t="shared" si="15"/>
        <v>1600</v>
      </c>
      <c r="BF54" s="321">
        <v>52</v>
      </c>
    </row>
    <row r="55" spans="1:58" x14ac:dyDescent="0.25">
      <c r="A55" s="280"/>
      <c r="B55" s="323" t="str">
        <f>IF(Instructions!$J$11=1,AA55,IF(Instructions!$J$11=2,AC55,IF(Instructions!$J$11=3,AE55,IF(Instructions!$J$11=4,AG55,IF(Instructions!$J$11=5,AI55,IF(Instructions!$J$11=6,AK55,IF(Instructions!$J$11=7,AM55,IF(Instructions!$J$11=8,AO55,IF(Instructions!$J$11=9,AQ55,IF(Instructions!$J$11=10,AS55,IF(Instructions!$J$11=11,AU55,IF(Instructions!$J$11=12,AW55,IF(Instructions!$J$11=13, AY55, IF(Instructions!$J$11=14,BA55,IF(Instructions!$J$11=15,BC55,BE55)))))))))))))))</f>
        <v>205</v>
      </c>
      <c r="C55" s="271">
        <v>53</v>
      </c>
      <c r="D55" s="328" t="str">
        <f>Instructions!F$46</f>
        <v>Con</v>
      </c>
      <c r="E55" s="333" t="s">
        <v>783</v>
      </c>
      <c r="F55" s="706"/>
      <c r="G55" s="279">
        <v>7</v>
      </c>
      <c r="H55" s="293" t="str">
        <f>Instructions!F$49</f>
        <v>Luke</v>
      </c>
      <c r="I55" s="273" t="s">
        <v>769</v>
      </c>
      <c r="J55" s="709"/>
      <c r="K55" s="279">
        <v>6</v>
      </c>
      <c r="L55" s="293" t="str">
        <f>Instructions!F$46</f>
        <v>Con</v>
      </c>
      <c r="M55" s="273" t="s">
        <v>759</v>
      </c>
      <c r="N55" s="709"/>
      <c r="O55" s="279">
        <v>5</v>
      </c>
      <c r="P55" s="293" t="str">
        <f>Instructions!F$45</f>
        <v>Miles</v>
      </c>
      <c r="Q55" s="273" t="s">
        <v>753</v>
      </c>
      <c r="R55" s="709"/>
      <c r="S55" s="279">
        <v>4</v>
      </c>
      <c r="T55" s="328" t="str">
        <f>Instructions!F$53</f>
        <v>Zack</v>
      </c>
      <c r="U55" s="273" t="s">
        <v>747</v>
      </c>
      <c r="V55" s="706"/>
      <c r="W55" s="279">
        <v>4</v>
      </c>
      <c r="X55" s="280"/>
      <c r="Y55" s="190" t="str">
        <f>IFERROR( IF(Instructions!$E$11=8, D55&amp;COUNTIF(D$3:D55,D55), IF(Instructions!$E$11=10, H55&amp;COUNTIF(H$3:H55,H55),IF(Instructions!$E$11=12, L55&amp;COUNTIF(L$3:L55,L55),IF(Instructions!$E$11=14, P55&amp;COUNTIF(P$3:P55,P55),T55&amp;COUNTIF(T$3:T55,T55))))),"")</f>
        <v>Con5</v>
      </c>
      <c r="Z55" s="321">
        <f>IF(Instructions!$E$11=8,IF($D55=Instructions!$F$42,Z54+1,Z54),IF(Instructions!$E$11=10,IF($H55=Instructions!$F$42,Z54+1,Z54),IF(Instructions!$E$11=12,IF($L55=Instructions!$F$42,Z54+1,Z54),IF(Instructions!$E$11=14,IF($P55=Instructions!$F$42,Z54+1,Z54),IF(Instructions!$E$11=16,IF($T55=Instructions!$F$42,Z54+1,Z54))))))</f>
        <v>5</v>
      </c>
      <c r="AA55" s="321" t="str">
        <f t="shared" si="8"/>
        <v>105</v>
      </c>
      <c r="AB55" s="321">
        <f>IF(Instructions!$E$11=8,IF($D55=Instructions!$F$43,AB54+1,AB54),IF(Instructions!$E$11=10,IF($H55=Instructions!$F$43,AB54+1,AB54),IF(Instructions!$E$11=12,IF($L55=Instructions!$F$43,AB54+1,AB54),IF(Instructions!$E$11=14,IF($P55=Instructions!$F$43,AB54+1,AB54),IF(Instructions!$E$11=16,IF($T55=Instructions!$F$43,AB54+1,AB54))))))</f>
        <v>5</v>
      </c>
      <c r="AC55" s="321" t="str">
        <f t="shared" si="0"/>
        <v>205</v>
      </c>
      <c r="AD55" s="321">
        <f>IF(Instructions!$E$11=8,IF($D55=Instructions!$F$44,AD54+1,AD54),IF(Instructions!$E$11=10,IF($H55=Instructions!$F$44,AD54+1,AD54),IF(Instructions!$E$11=12,IF($L55=Instructions!$F$44,AD54+1,AD54),IF(Instructions!$E$11=14,IF($P55=Instructions!$F$44,AD54+1,AD54),IF(Instructions!$E$11=16,IF($T55=Instructions!$F$44,AD54+1,AD54))))))</f>
        <v>5</v>
      </c>
      <c r="AE55" s="321" t="str">
        <f t="shared" si="1"/>
        <v>305</v>
      </c>
      <c r="AF55" s="321">
        <f>IF(Instructions!$E$11=8,IF($D55=Instructions!$F$45,AF54+1,AF54),IF(Instructions!$E$11=10,IF($H55=Instructions!$F$45,AF54+1,AF54),IF(Instructions!$E$11=12,IF($L55=Instructions!$F$45,AF54+1,AF54),IF(Instructions!$E$11=14,IF($P55=Instructions!$F$45,AF54+1,AF54),IF(Instructions!$E$11=16,IF($T55=Instructions!$F$45,AF54+1,AF54))))))</f>
        <v>5</v>
      </c>
      <c r="AG55" s="321" t="str">
        <f t="shared" si="2"/>
        <v>405</v>
      </c>
      <c r="AH55" s="321">
        <f>IF(Instructions!$E$11=8,IF($D55=Instructions!$F$46,AH54+1,AH54),IF(Instructions!$E$11=10,IF($H55=Instructions!$F$46,AH54+1,AH54),IF(Instructions!$E$11=12,IF($L55=Instructions!$F$46,AH54+1,AH54),IF(Instructions!$E$11=14,IF($P55=Instructions!$F$46,AH54+1,AH54),IF(Instructions!$E$11=16,IF($T55=Instructions!$F$46,AH54+1,AH54))))))</f>
        <v>5</v>
      </c>
      <c r="AI55" s="321" t="str">
        <f t="shared" si="3"/>
        <v>505</v>
      </c>
      <c r="AJ55" s="321">
        <f>IF(Instructions!$E$11=8,IF($D55=Instructions!$F$47,AJ54+1,AJ54),IF(Instructions!$E$11=10,IF($H55=Instructions!$F$47,AJ54+1,AJ54),IF(Instructions!$E$11=12,IF($L55=Instructions!$F$47,AJ54+1,AJ54),IF(Instructions!$E$11=14,IF($P55=Instructions!$F$47,AJ54+1,AJ54),IF(Instructions!$E$11=16,IF($T55=Instructions!$F$47,AJ54+1,AJ54))))))</f>
        <v>4</v>
      </c>
      <c r="AK55" s="321" t="str">
        <f t="shared" si="4"/>
        <v>604</v>
      </c>
      <c r="AL55" s="321">
        <f>IF(Instructions!$E$11=8,IF($D55=Instructions!$F$48,AL54+1,AL54),IF(Instructions!$E$11=10,IF($H55=Instructions!$F$48,AL54+1,AL54),IF(Instructions!$E$11=12,IF($L55=Instructions!$F$48,AL54+1,AL54),IF(Instructions!$E$11=14,IF($P55=Instructions!$F$48,AL54+1,AL54),IF(Instructions!$E$11=16,IF($T55=Instructions!$F$48,AL54+1,AL54))))))</f>
        <v>4</v>
      </c>
      <c r="AM55" s="321" t="str">
        <f t="shared" si="5"/>
        <v>704</v>
      </c>
      <c r="AN55" s="321">
        <f>IF(Instructions!$E$11=8,IF($D55=Instructions!$F$49,AN54+1,AN54),IF(Instructions!$E$11=10,IF($H55=Instructions!$F$49,AN54+1,AN54),IF(Instructions!$E$11=12,IF($L55=Instructions!$F$49,AN54+1,AN54),IF(Instructions!$E$11=14,IF($P55=Instructions!$F$49,AN54+1,AN54),IF(Instructions!$E$11=16,IF($T55=Instructions!$F$49,AN54+1,AN54))))))</f>
        <v>4</v>
      </c>
      <c r="AO55" s="321" t="str">
        <f t="shared" si="6"/>
        <v>804</v>
      </c>
      <c r="AP55" s="321">
        <f>IF(Instructions!$E$11=8,IF($D55=Instructions!$F$50,AP54+1,AP54),IF(Instructions!$E$11=10,IF($H55=Instructions!$F$50,AP54+1,AP54),IF(Instructions!$E$11=12,IF($L55=Instructions!$F$50,AP54+1,AP54),IF(Instructions!$E$11=14,IF($P55=Instructions!$F$50,AP54+1,AP54),IF(Instructions!$E$11=16,IF($T55=Instructions!$F$50,AP54+1,AP54))))))</f>
        <v>4</v>
      </c>
      <c r="AQ55" s="321" t="str">
        <f t="shared" si="7"/>
        <v>904</v>
      </c>
      <c r="AR55" s="321">
        <f>IF(Instructions!$E$11=8,IF($D55=Instructions!$F$51,AR54+1,AR54),IF(Instructions!$E$11=10,IF($H55=Instructions!$F$51,AR54+1,AR54),IF(Instructions!$E$11=12,IF($L55=Instructions!$F$51,AR54+1,AR54),IF(Instructions!$E$11=14,IF($P55=Instructions!$F$51,AR54+1,AR54),IF(Instructions!$E$11=16,IF($T55=Instructions!$F$51,AR54+1,AR54))))))</f>
        <v>4</v>
      </c>
      <c r="AS55" s="321" t="str">
        <f t="shared" si="9"/>
        <v>1004</v>
      </c>
      <c r="AT55" s="321">
        <f>IF(Instructions!$E$11=8,IF($D55=Instructions!$F$52,AT54+1,AT54),IF(Instructions!$E$11=10,IF($H55=Instructions!$F$52,AT54+1,AT54),IF(Instructions!$E$11=12,IF($L55=Instructions!$F$52,AT54+1,AT54),IF(Instructions!$E$11=14,IF($P55=Instructions!$F$52,AT54+1,AT54),IF(Instructions!$E$11=16,IF($T55=Instructions!$F$52,AT54+1,AT54))))))</f>
        <v>4</v>
      </c>
      <c r="AU55" s="321" t="str">
        <f t="shared" si="10"/>
        <v>1104</v>
      </c>
      <c r="AV55" s="321">
        <f>IF(Instructions!$E$11=8,IF($D55=Instructions!$F$53,AV54+1,AV54),IF(Instructions!$E$11=10,IF($H55=Instructions!$F$53,AV54+1,AV54),IF(Instructions!$E$11=12,IF($L55=Instructions!$F$53,AV54+1,AV54),IF(Instructions!$E$11=14,IF($P55=Instructions!$F$53,AV54+1,AV54),IF(Instructions!$E$11=16,IF($T55=Instructions!$F$53,AV54+1,AV54))))))</f>
        <v>4</v>
      </c>
      <c r="AW55" s="321" t="str">
        <f t="shared" si="11"/>
        <v>1204</v>
      </c>
      <c r="AX55" s="321">
        <f>IF(Instructions!$E$11=8,IF($D55=Instructions!$F$54,AX54+1,AX54),IF(Instructions!$E$11=10,IF($H55=Instructions!$F$54,AX54+1,AX54),IF(Instructions!$E$11=12,IF($L55=Instructions!$F$54,AX54+1,AX54),IF(Instructions!$E$11=14,IF($P55=Instructions!$F$54,AX54+1,AX54),IF(Instructions!$E$11=16,IF($T55=Instructions!$F$54,AX54+1,AX54))))))</f>
        <v>0</v>
      </c>
      <c r="AY55" s="321" t="str">
        <f t="shared" si="12"/>
        <v>1300</v>
      </c>
      <c r="AZ55" s="321">
        <f>IF(Instructions!$E$11=8,IF($D55=Instructions!$F$55,AZ54+1,AZ54),IF(Instructions!$E$11=10,IF($H55=Instructions!$F$55,AZ54+1,AZ54),IF(Instructions!$E$11=12,IF($L55=Instructions!$F$55,AZ54+1,AZ54),IF(Instructions!$E$11=14,IF($P55=Instructions!$F$55,AZ54+1,AZ54),IF(Instructions!$E$11=16,IF($T55=Instructions!$F$55,AZ54+1,AZ54))))))</f>
        <v>0</v>
      </c>
      <c r="BA55" s="321" t="str">
        <f t="shared" si="13"/>
        <v>1400</v>
      </c>
      <c r="BB55" s="321">
        <f>IF(Instructions!$E$11=8,IF($D55=Instructions!$F$56,BB54+1,BB54),IF(Instructions!$E$11=10,IF($H55=Instructions!$F$56,BB54+1,BB54),IF(Instructions!$E$11=12,IF($L55=Instructions!$F$56,BB54+1,BB54),IF(Instructions!$E$11=14,IF($P55=Instructions!$F$56,BB54+1,BB54),IF(Instructions!$E$11=16,IF($T55=Instructions!$F$56,BB54+1,BB54))))))</f>
        <v>0</v>
      </c>
      <c r="BC55" s="321" t="str">
        <f t="shared" si="14"/>
        <v>1500</v>
      </c>
      <c r="BD55" s="321">
        <f>IF(Instructions!$E$11=8,IF($D55=Instructions!$F$57,BD54+1,BD54),IF(Instructions!$E$11=10,IF($H55=Instructions!$F$57,BD54+1,BD54),IF(Instructions!$E$11=12,IF($L55=Instructions!$F$57,BD54+1,BD54),IF(Instructions!$E$11=14,IF($P55=Instructions!$F$57,BD54+1,BD54),IF(Instructions!$E$11=16,IF($T55=Instructions!$F$57,BD54+1,BD54))))))</f>
        <v>0</v>
      </c>
      <c r="BE55" s="321" t="str">
        <f t="shared" si="15"/>
        <v>1600</v>
      </c>
      <c r="BF55" s="321">
        <v>53</v>
      </c>
    </row>
    <row r="56" spans="1:58" x14ac:dyDescent="0.25">
      <c r="A56" s="280"/>
      <c r="B56" s="323" t="str">
        <f>IF(Instructions!$J$11=1,AA56,IF(Instructions!$J$11=2,AC56,IF(Instructions!$J$11=3,AE56,IF(Instructions!$J$11=4,AG56,IF(Instructions!$J$11=5,AI56,IF(Instructions!$J$11=6,AK56,IF(Instructions!$J$11=7,AM56,IF(Instructions!$J$11=8,AO56,IF(Instructions!$J$11=9,AQ56,IF(Instructions!$J$11=10,AS56,IF(Instructions!$J$11=11,AU56,IF(Instructions!$J$11=12,AW56,IF(Instructions!$J$11=13, AY56, IF(Instructions!$J$11=14,BA56,IF(Instructions!$J$11=15,BC56,BE56)))))))))))))))</f>
        <v>205</v>
      </c>
      <c r="C56" s="272">
        <v>54</v>
      </c>
      <c r="D56" s="327" t="str">
        <f>Instructions!F$47</f>
        <v>Devin</v>
      </c>
      <c r="E56" s="332" t="s">
        <v>784</v>
      </c>
      <c r="F56" s="706"/>
      <c r="G56" s="279">
        <v>7</v>
      </c>
      <c r="H56" s="294" t="str">
        <f>Instructions!F$48</f>
        <v>Bui</v>
      </c>
      <c r="I56" s="274" t="s">
        <v>770</v>
      </c>
      <c r="J56" s="709"/>
      <c r="K56" s="279">
        <v>6</v>
      </c>
      <c r="L56" s="294" t="str">
        <f>Instructions!F$47</f>
        <v>Devin</v>
      </c>
      <c r="M56" s="274" t="s">
        <v>760</v>
      </c>
      <c r="N56" s="709"/>
      <c r="O56" s="279">
        <v>5</v>
      </c>
      <c r="P56" s="294" t="str">
        <f>Instructions!F$44</f>
        <v>Cam</v>
      </c>
      <c r="Q56" s="274" t="s">
        <v>754</v>
      </c>
      <c r="R56" s="709"/>
      <c r="S56" s="279">
        <v>4</v>
      </c>
      <c r="T56" s="327" t="str">
        <f>Instructions!F$52</f>
        <v>Big R</v>
      </c>
      <c r="U56" s="274" t="s">
        <v>748</v>
      </c>
      <c r="V56" s="706"/>
      <c r="W56" s="279">
        <v>4</v>
      </c>
      <c r="X56" s="280"/>
      <c r="Y56" s="190" t="str">
        <f>IFERROR( IF(Instructions!$E$11=8, D56&amp;COUNTIF(D$3:D56,D56), IF(Instructions!$E$11=10, H56&amp;COUNTIF(H$3:H56,H56),IF(Instructions!$E$11=12, L56&amp;COUNTIF(L$3:L56,L56),IF(Instructions!$E$11=14, P56&amp;COUNTIF(P$3:P56,P56),T56&amp;COUNTIF(T$3:T56,T56))))),"")</f>
        <v>Devin5</v>
      </c>
      <c r="Z56" s="321">
        <f>IF(Instructions!$E$11=8,IF($D56=Instructions!$F$42,Z55+1,Z55),IF(Instructions!$E$11=10,IF($H56=Instructions!$F$42,Z55+1,Z55),IF(Instructions!$E$11=12,IF($L56=Instructions!$F$42,Z55+1,Z55),IF(Instructions!$E$11=14,IF($P56=Instructions!$F$42,Z55+1,Z55),IF(Instructions!$E$11=16,IF($T56=Instructions!$F$42,Z55+1,Z55))))))</f>
        <v>5</v>
      </c>
      <c r="AA56" s="321" t="str">
        <f t="shared" si="8"/>
        <v>105</v>
      </c>
      <c r="AB56" s="321">
        <f>IF(Instructions!$E$11=8,IF($D56=Instructions!$F$43,AB55+1,AB55),IF(Instructions!$E$11=10,IF($H56=Instructions!$F$43,AB55+1,AB55),IF(Instructions!$E$11=12,IF($L56=Instructions!$F$43,AB55+1,AB55),IF(Instructions!$E$11=14,IF($P56=Instructions!$F$43,AB55+1,AB55),IF(Instructions!$E$11=16,IF($T56=Instructions!$F$43,AB55+1,AB55))))))</f>
        <v>5</v>
      </c>
      <c r="AC56" s="321" t="str">
        <f t="shared" si="0"/>
        <v>205</v>
      </c>
      <c r="AD56" s="321">
        <f>IF(Instructions!$E$11=8,IF($D56=Instructions!$F$44,AD55+1,AD55),IF(Instructions!$E$11=10,IF($H56=Instructions!$F$44,AD55+1,AD55),IF(Instructions!$E$11=12,IF($L56=Instructions!$F$44,AD55+1,AD55),IF(Instructions!$E$11=14,IF($P56=Instructions!$F$44,AD55+1,AD55),IF(Instructions!$E$11=16,IF($T56=Instructions!$F$44,AD55+1,AD55))))))</f>
        <v>5</v>
      </c>
      <c r="AE56" s="321" t="str">
        <f t="shared" si="1"/>
        <v>305</v>
      </c>
      <c r="AF56" s="321">
        <f>IF(Instructions!$E$11=8,IF($D56=Instructions!$F$45,AF55+1,AF55),IF(Instructions!$E$11=10,IF($H56=Instructions!$F$45,AF55+1,AF55),IF(Instructions!$E$11=12,IF($L56=Instructions!$F$45,AF55+1,AF55),IF(Instructions!$E$11=14,IF($P56=Instructions!$F$45,AF55+1,AF55),IF(Instructions!$E$11=16,IF($T56=Instructions!$F$45,AF55+1,AF55))))))</f>
        <v>5</v>
      </c>
      <c r="AG56" s="321" t="str">
        <f t="shared" si="2"/>
        <v>405</v>
      </c>
      <c r="AH56" s="321">
        <f>IF(Instructions!$E$11=8,IF($D56=Instructions!$F$46,AH55+1,AH55),IF(Instructions!$E$11=10,IF($H56=Instructions!$F$46,AH55+1,AH55),IF(Instructions!$E$11=12,IF($L56=Instructions!$F$46,AH55+1,AH55),IF(Instructions!$E$11=14,IF($P56=Instructions!$F$46,AH55+1,AH55),IF(Instructions!$E$11=16,IF($T56=Instructions!$F$46,AH55+1,AH55))))))</f>
        <v>5</v>
      </c>
      <c r="AI56" s="321" t="str">
        <f t="shared" si="3"/>
        <v>505</v>
      </c>
      <c r="AJ56" s="321">
        <f>IF(Instructions!$E$11=8,IF($D56=Instructions!$F$47,AJ55+1,AJ55),IF(Instructions!$E$11=10,IF($H56=Instructions!$F$47,AJ55+1,AJ55),IF(Instructions!$E$11=12,IF($L56=Instructions!$F$47,AJ55+1,AJ55),IF(Instructions!$E$11=14,IF($P56=Instructions!$F$47,AJ55+1,AJ55),IF(Instructions!$E$11=16,IF($T56=Instructions!$F$47,AJ55+1,AJ55))))))</f>
        <v>5</v>
      </c>
      <c r="AK56" s="321" t="str">
        <f t="shared" si="4"/>
        <v>605</v>
      </c>
      <c r="AL56" s="321">
        <f>IF(Instructions!$E$11=8,IF($D56=Instructions!$F$48,AL55+1,AL55),IF(Instructions!$E$11=10,IF($H56=Instructions!$F$48,AL55+1,AL55),IF(Instructions!$E$11=12,IF($L56=Instructions!$F$48,AL55+1,AL55),IF(Instructions!$E$11=14,IF($P56=Instructions!$F$48,AL55+1,AL55),IF(Instructions!$E$11=16,IF($T56=Instructions!$F$48,AL55+1,AL55))))))</f>
        <v>4</v>
      </c>
      <c r="AM56" s="321" t="str">
        <f t="shared" si="5"/>
        <v>704</v>
      </c>
      <c r="AN56" s="321">
        <f>IF(Instructions!$E$11=8,IF($D56=Instructions!$F$49,AN55+1,AN55),IF(Instructions!$E$11=10,IF($H56=Instructions!$F$49,AN55+1,AN55),IF(Instructions!$E$11=12,IF($L56=Instructions!$F$49,AN55+1,AN55),IF(Instructions!$E$11=14,IF($P56=Instructions!$F$49,AN55+1,AN55),IF(Instructions!$E$11=16,IF($T56=Instructions!$F$49,AN55+1,AN55))))))</f>
        <v>4</v>
      </c>
      <c r="AO56" s="321" t="str">
        <f t="shared" si="6"/>
        <v>804</v>
      </c>
      <c r="AP56" s="321">
        <f>IF(Instructions!$E$11=8,IF($D56=Instructions!$F$50,AP55+1,AP55),IF(Instructions!$E$11=10,IF($H56=Instructions!$F$50,AP55+1,AP55),IF(Instructions!$E$11=12,IF($L56=Instructions!$F$50,AP55+1,AP55),IF(Instructions!$E$11=14,IF($P56=Instructions!$F$50,AP55+1,AP55),IF(Instructions!$E$11=16,IF($T56=Instructions!$F$50,AP55+1,AP55))))))</f>
        <v>4</v>
      </c>
      <c r="AQ56" s="321" t="str">
        <f t="shared" si="7"/>
        <v>904</v>
      </c>
      <c r="AR56" s="321">
        <f>IF(Instructions!$E$11=8,IF($D56=Instructions!$F$51,AR55+1,AR55),IF(Instructions!$E$11=10,IF($H56=Instructions!$F$51,AR55+1,AR55),IF(Instructions!$E$11=12,IF($L56=Instructions!$F$51,AR55+1,AR55),IF(Instructions!$E$11=14,IF($P56=Instructions!$F$51,AR55+1,AR55),IF(Instructions!$E$11=16,IF($T56=Instructions!$F$51,AR55+1,AR55))))))</f>
        <v>4</v>
      </c>
      <c r="AS56" s="321" t="str">
        <f t="shared" si="9"/>
        <v>1004</v>
      </c>
      <c r="AT56" s="321">
        <f>IF(Instructions!$E$11=8,IF($D56=Instructions!$F$52,AT55+1,AT55),IF(Instructions!$E$11=10,IF($H56=Instructions!$F$52,AT55+1,AT55),IF(Instructions!$E$11=12,IF($L56=Instructions!$F$52,AT55+1,AT55),IF(Instructions!$E$11=14,IF($P56=Instructions!$F$52,AT55+1,AT55),IF(Instructions!$E$11=16,IF($T56=Instructions!$F$52,AT55+1,AT55))))))</f>
        <v>4</v>
      </c>
      <c r="AU56" s="321" t="str">
        <f t="shared" si="10"/>
        <v>1104</v>
      </c>
      <c r="AV56" s="321">
        <f>IF(Instructions!$E$11=8,IF($D56=Instructions!$F$53,AV55+1,AV55),IF(Instructions!$E$11=10,IF($H56=Instructions!$F$53,AV55+1,AV55),IF(Instructions!$E$11=12,IF($L56=Instructions!$F$53,AV55+1,AV55),IF(Instructions!$E$11=14,IF($P56=Instructions!$F$53,AV55+1,AV55),IF(Instructions!$E$11=16,IF($T56=Instructions!$F$53,AV55+1,AV55))))))</f>
        <v>4</v>
      </c>
      <c r="AW56" s="321" t="str">
        <f t="shared" si="11"/>
        <v>1204</v>
      </c>
      <c r="AX56" s="321">
        <f>IF(Instructions!$E$11=8,IF($D56=Instructions!$F$54,AX55+1,AX55),IF(Instructions!$E$11=10,IF($H56=Instructions!$F$54,AX55+1,AX55),IF(Instructions!$E$11=12,IF($L56=Instructions!$F$54,AX55+1,AX55),IF(Instructions!$E$11=14,IF($P56=Instructions!$F$54,AX55+1,AX55),IF(Instructions!$E$11=16,IF($T56=Instructions!$F$54,AX55+1,AX55))))))</f>
        <v>0</v>
      </c>
      <c r="AY56" s="321" t="str">
        <f t="shared" si="12"/>
        <v>1300</v>
      </c>
      <c r="AZ56" s="321">
        <f>IF(Instructions!$E$11=8,IF($D56=Instructions!$F$55,AZ55+1,AZ55),IF(Instructions!$E$11=10,IF($H56=Instructions!$F$55,AZ55+1,AZ55),IF(Instructions!$E$11=12,IF($L56=Instructions!$F$55,AZ55+1,AZ55),IF(Instructions!$E$11=14,IF($P56=Instructions!$F$55,AZ55+1,AZ55),IF(Instructions!$E$11=16,IF($T56=Instructions!$F$55,AZ55+1,AZ55))))))</f>
        <v>0</v>
      </c>
      <c r="BA56" s="321" t="str">
        <f t="shared" si="13"/>
        <v>1400</v>
      </c>
      <c r="BB56" s="321">
        <f>IF(Instructions!$E$11=8,IF($D56=Instructions!$F$56,BB55+1,BB55),IF(Instructions!$E$11=10,IF($H56=Instructions!$F$56,BB55+1,BB55),IF(Instructions!$E$11=12,IF($L56=Instructions!$F$56,BB55+1,BB55),IF(Instructions!$E$11=14,IF($P56=Instructions!$F$56,BB55+1,BB55),IF(Instructions!$E$11=16,IF($T56=Instructions!$F$56,BB55+1,BB55))))))</f>
        <v>0</v>
      </c>
      <c r="BC56" s="321" t="str">
        <f t="shared" si="14"/>
        <v>1500</v>
      </c>
      <c r="BD56" s="321">
        <f>IF(Instructions!$E$11=8,IF($D56=Instructions!$F$57,BD55+1,BD55),IF(Instructions!$E$11=10,IF($H56=Instructions!$F$57,BD55+1,BD55),IF(Instructions!$E$11=12,IF($L56=Instructions!$F$57,BD55+1,BD55),IF(Instructions!$E$11=14,IF($P56=Instructions!$F$57,BD55+1,BD55),IF(Instructions!$E$11=16,IF($T56=Instructions!$F$57,BD55+1,BD55))))))</f>
        <v>0</v>
      </c>
      <c r="BE56" s="321" t="str">
        <f t="shared" si="15"/>
        <v>1600</v>
      </c>
      <c r="BF56" s="321">
        <v>54</v>
      </c>
    </row>
    <row r="57" spans="1:58" x14ac:dyDescent="0.25">
      <c r="A57" s="280"/>
      <c r="B57" s="323" t="str">
        <f>IF(Instructions!$J$11=1,AA57,IF(Instructions!$J$11=2,AC57,IF(Instructions!$J$11=3,AE57,IF(Instructions!$J$11=4,AG57,IF(Instructions!$J$11=5,AI57,IF(Instructions!$J$11=6,AK57,IF(Instructions!$J$11=7,AM57,IF(Instructions!$J$11=8,AO57,IF(Instructions!$J$11=9,AQ57,IF(Instructions!$J$11=10,AS57,IF(Instructions!$J$11=11,AU57,IF(Instructions!$J$11=12,AW57,IF(Instructions!$J$11=13, AY57, IF(Instructions!$J$11=14,BA57,IF(Instructions!$J$11=15,BC57,BE57)))))))))))))))</f>
        <v>205</v>
      </c>
      <c r="C57" s="271">
        <v>55</v>
      </c>
      <c r="D57" s="328" t="str">
        <f>Instructions!F$48</f>
        <v>Bui</v>
      </c>
      <c r="E57" s="333" t="s">
        <v>785</v>
      </c>
      <c r="F57" s="706"/>
      <c r="G57" s="279">
        <v>7</v>
      </c>
      <c r="H57" s="293" t="str">
        <f>Instructions!F$47</f>
        <v>Devin</v>
      </c>
      <c r="I57" s="273" t="s">
        <v>771</v>
      </c>
      <c r="J57" s="709"/>
      <c r="K57" s="279">
        <v>6</v>
      </c>
      <c r="L57" s="293" t="str">
        <f>Instructions!F$48</f>
        <v>Bui</v>
      </c>
      <c r="M57" s="273" t="s">
        <v>761</v>
      </c>
      <c r="N57" s="709"/>
      <c r="O57" s="279">
        <v>5</v>
      </c>
      <c r="P57" s="293" t="str">
        <f>Instructions!F$43</f>
        <v>Camden</v>
      </c>
      <c r="Q57" s="273" t="s">
        <v>935</v>
      </c>
      <c r="R57" s="709"/>
      <c r="S57" s="279">
        <v>4</v>
      </c>
      <c r="T57" s="328" t="str">
        <f>Instructions!F$51</f>
        <v>Josh</v>
      </c>
      <c r="U57" s="273" t="s">
        <v>749</v>
      </c>
      <c r="V57" s="706"/>
      <c r="W57" s="279">
        <v>4</v>
      </c>
      <c r="X57" s="280"/>
      <c r="Y57" s="190" t="str">
        <f>IFERROR( IF(Instructions!$E$11=8, D57&amp;COUNTIF(D$3:D57,D57), IF(Instructions!$E$11=10, H57&amp;COUNTIF(H$3:H57,H57),IF(Instructions!$E$11=12, L57&amp;COUNTIF(L$3:L57,L57),IF(Instructions!$E$11=14, P57&amp;COUNTIF(P$3:P57,P57),T57&amp;COUNTIF(T$3:T57,T57))))),"")</f>
        <v>Bui5</v>
      </c>
      <c r="Z57" s="321">
        <f>IF(Instructions!$E$11=8,IF($D57=Instructions!$F$42,Z56+1,Z56),IF(Instructions!$E$11=10,IF($H57=Instructions!$F$42,Z56+1,Z56),IF(Instructions!$E$11=12,IF($L57=Instructions!$F$42,Z56+1,Z56),IF(Instructions!$E$11=14,IF($P57=Instructions!$F$42,Z56+1,Z56),IF(Instructions!$E$11=16,IF($T57=Instructions!$F$42,Z56+1,Z56))))))</f>
        <v>5</v>
      </c>
      <c r="AA57" s="321" t="str">
        <f t="shared" si="8"/>
        <v>105</v>
      </c>
      <c r="AB57" s="321">
        <f>IF(Instructions!$E$11=8,IF($D57=Instructions!$F$43,AB56+1,AB56),IF(Instructions!$E$11=10,IF($H57=Instructions!$F$43,AB56+1,AB56),IF(Instructions!$E$11=12,IF($L57=Instructions!$F$43,AB56+1,AB56),IF(Instructions!$E$11=14,IF($P57=Instructions!$F$43,AB56+1,AB56),IF(Instructions!$E$11=16,IF($T57=Instructions!$F$43,AB56+1,AB56))))))</f>
        <v>5</v>
      </c>
      <c r="AC57" s="321" t="str">
        <f t="shared" si="0"/>
        <v>205</v>
      </c>
      <c r="AD57" s="321">
        <f>IF(Instructions!$E$11=8,IF($D57=Instructions!$F$44,AD56+1,AD56),IF(Instructions!$E$11=10,IF($H57=Instructions!$F$44,AD56+1,AD56),IF(Instructions!$E$11=12,IF($L57=Instructions!$F$44,AD56+1,AD56),IF(Instructions!$E$11=14,IF($P57=Instructions!$F$44,AD56+1,AD56),IF(Instructions!$E$11=16,IF($T57=Instructions!$F$44,AD56+1,AD56))))))</f>
        <v>5</v>
      </c>
      <c r="AE57" s="321" t="str">
        <f t="shared" si="1"/>
        <v>305</v>
      </c>
      <c r="AF57" s="321">
        <f>IF(Instructions!$E$11=8,IF($D57=Instructions!$F$45,AF56+1,AF56),IF(Instructions!$E$11=10,IF($H57=Instructions!$F$45,AF56+1,AF56),IF(Instructions!$E$11=12,IF($L57=Instructions!$F$45,AF56+1,AF56),IF(Instructions!$E$11=14,IF($P57=Instructions!$F$45,AF56+1,AF56),IF(Instructions!$E$11=16,IF($T57=Instructions!$F$45,AF56+1,AF56))))))</f>
        <v>5</v>
      </c>
      <c r="AG57" s="321" t="str">
        <f t="shared" si="2"/>
        <v>405</v>
      </c>
      <c r="AH57" s="321">
        <f>IF(Instructions!$E$11=8,IF($D57=Instructions!$F$46,AH56+1,AH56),IF(Instructions!$E$11=10,IF($H57=Instructions!$F$46,AH56+1,AH56),IF(Instructions!$E$11=12,IF($L57=Instructions!$F$46,AH56+1,AH56),IF(Instructions!$E$11=14,IF($P57=Instructions!$F$46,AH56+1,AH56),IF(Instructions!$E$11=16,IF($T57=Instructions!$F$46,AH56+1,AH56))))))</f>
        <v>5</v>
      </c>
      <c r="AI57" s="321" t="str">
        <f t="shared" si="3"/>
        <v>505</v>
      </c>
      <c r="AJ57" s="321">
        <f>IF(Instructions!$E$11=8,IF($D57=Instructions!$F$47,AJ56+1,AJ56),IF(Instructions!$E$11=10,IF($H57=Instructions!$F$47,AJ56+1,AJ56),IF(Instructions!$E$11=12,IF($L57=Instructions!$F$47,AJ56+1,AJ56),IF(Instructions!$E$11=14,IF($P57=Instructions!$F$47,AJ56+1,AJ56),IF(Instructions!$E$11=16,IF($T57=Instructions!$F$47,AJ56+1,AJ56))))))</f>
        <v>5</v>
      </c>
      <c r="AK57" s="321" t="str">
        <f t="shared" si="4"/>
        <v>605</v>
      </c>
      <c r="AL57" s="321">
        <f>IF(Instructions!$E$11=8,IF($D57=Instructions!$F$48,AL56+1,AL56),IF(Instructions!$E$11=10,IF($H57=Instructions!$F$48,AL56+1,AL56),IF(Instructions!$E$11=12,IF($L57=Instructions!$F$48,AL56+1,AL56),IF(Instructions!$E$11=14,IF($P57=Instructions!$F$48,AL56+1,AL56),IF(Instructions!$E$11=16,IF($T57=Instructions!$F$48,AL56+1,AL56))))))</f>
        <v>5</v>
      </c>
      <c r="AM57" s="321" t="str">
        <f t="shared" si="5"/>
        <v>705</v>
      </c>
      <c r="AN57" s="321">
        <f>IF(Instructions!$E$11=8,IF($D57=Instructions!$F$49,AN56+1,AN56),IF(Instructions!$E$11=10,IF($H57=Instructions!$F$49,AN56+1,AN56),IF(Instructions!$E$11=12,IF($L57=Instructions!$F$49,AN56+1,AN56),IF(Instructions!$E$11=14,IF($P57=Instructions!$F$49,AN56+1,AN56),IF(Instructions!$E$11=16,IF($T57=Instructions!$F$49,AN56+1,AN56))))))</f>
        <v>4</v>
      </c>
      <c r="AO57" s="321" t="str">
        <f t="shared" si="6"/>
        <v>804</v>
      </c>
      <c r="AP57" s="321">
        <f>IF(Instructions!$E$11=8,IF($D57=Instructions!$F$50,AP56+1,AP56),IF(Instructions!$E$11=10,IF($H57=Instructions!$F$50,AP56+1,AP56),IF(Instructions!$E$11=12,IF($L57=Instructions!$F$50,AP56+1,AP56),IF(Instructions!$E$11=14,IF($P57=Instructions!$F$50,AP56+1,AP56),IF(Instructions!$E$11=16,IF($T57=Instructions!$F$50,AP56+1,AP56))))))</f>
        <v>4</v>
      </c>
      <c r="AQ57" s="321" t="str">
        <f t="shared" si="7"/>
        <v>904</v>
      </c>
      <c r="AR57" s="321">
        <f>IF(Instructions!$E$11=8,IF($D57=Instructions!$F$51,AR56+1,AR56),IF(Instructions!$E$11=10,IF($H57=Instructions!$F$51,AR56+1,AR56),IF(Instructions!$E$11=12,IF($L57=Instructions!$F$51,AR56+1,AR56),IF(Instructions!$E$11=14,IF($P57=Instructions!$F$51,AR56+1,AR56),IF(Instructions!$E$11=16,IF($T57=Instructions!$F$51,AR56+1,AR56))))))</f>
        <v>4</v>
      </c>
      <c r="AS57" s="321" t="str">
        <f t="shared" si="9"/>
        <v>1004</v>
      </c>
      <c r="AT57" s="321">
        <f>IF(Instructions!$E$11=8,IF($D57=Instructions!$F$52,AT56+1,AT56),IF(Instructions!$E$11=10,IF($H57=Instructions!$F$52,AT56+1,AT56),IF(Instructions!$E$11=12,IF($L57=Instructions!$F$52,AT56+1,AT56),IF(Instructions!$E$11=14,IF($P57=Instructions!$F$52,AT56+1,AT56),IF(Instructions!$E$11=16,IF($T57=Instructions!$F$52,AT56+1,AT56))))))</f>
        <v>4</v>
      </c>
      <c r="AU57" s="321" t="str">
        <f t="shared" si="10"/>
        <v>1104</v>
      </c>
      <c r="AV57" s="321">
        <f>IF(Instructions!$E$11=8,IF($D57=Instructions!$F$53,AV56+1,AV56),IF(Instructions!$E$11=10,IF($H57=Instructions!$F$53,AV56+1,AV56),IF(Instructions!$E$11=12,IF($L57=Instructions!$F$53,AV56+1,AV56),IF(Instructions!$E$11=14,IF($P57=Instructions!$F$53,AV56+1,AV56),IF(Instructions!$E$11=16,IF($T57=Instructions!$F$53,AV56+1,AV56))))))</f>
        <v>4</v>
      </c>
      <c r="AW57" s="321" t="str">
        <f t="shared" si="11"/>
        <v>1204</v>
      </c>
      <c r="AX57" s="321">
        <f>IF(Instructions!$E$11=8,IF($D57=Instructions!$F$54,AX56+1,AX56),IF(Instructions!$E$11=10,IF($H57=Instructions!$F$54,AX56+1,AX56),IF(Instructions!$E$11=12,IF($L57=Instructions!$F$54,AX56+1,AX56),IF(Instructions!$E$11=14,IF($P57=Instructions!$F$54,AX56+1,AX56),IF(Instructions!$E$11=16,IF($T57=Instructions!$F$54,AX56+1,AX56))))))</f>
        <v>0</v>
      </c>
      <c r="AY57" s="321" t="str">
        <f t="shared" si="12"/>
        <v>1300</v>
      </c>
      <c r="AZ57" s="321">
        <f>IF(Instructions!$E$11=8,IF($D57=Instructions!$F$55,AZ56+1,AZ56),IF(Instructions!$E$11=10,IF($H57=Instructions!$F$55,AZ56+1,AZ56),IF(Instructions!$E$11=12,IF($L57=Instructions!$F$55,AZ56+1,AZ56),IF(Instructions!$E$11=14,IF($P57=Instructions!$F$55,AZ56+1,AZ56),IF(Instructions!$E$11=16,IF($T57=Instructions!$F$55,AZ56+1,AZ56))))))</f>
        <v>0</v>
      </c>
      <c r="BA57" s="321" t="str">
        <f t="shared" si="13"/>
        <v>1400</v>
      </c>
      <c r="BB57" s="321">
        <f>IF(Instructions!$E$11=8,IF($D57=Instructions!$F$56,BB56+1,BB56),IF(Instructions!$E$11=10,IF($H57=Instructions!$F$56,BB56+1,BB56),IF(Instructions!$E$11=12,IF($L57=Instructions!$F$56,BB56+1,BB56),IF(Instructions!$E$11=14,IF($P57=Instructions!$F$56,BB56+1,BB56),IF(Instructions!$E$11=16,IF($T57=Instructions!$F$56,BB56+1,BB56))))))</f>
        <v>0</v>
      </c>
      <c r="BC57" s="321" t="str">
        <f t="shared" si="14"/>
        <v>1500</v>
      </c>
      <c r="BD57" s="321">
        <f>IF(Instructions!$E$11=8,IF($D57=Instructions!$F$57,BD56+1,BD56),IF(Instructions!$E$11=10,IF($H57=Instructions!$F$57,BD56+1,BD56),IF(Instructions!$E$11=12,IF($L57=Instructions!$F$57,BD56+1,BD56),IF(Instructions!$E$11=14,IF($P57=Instructions!$F$57,BD56+1,BD56),IF(Instructions!$E$11=16,IF($T57=Instructions!$F$57,BD56+1,BD56))))))</f>
        <v>0</v>
      </c>
      <c r="BE57" s="321" t="str">
        <f t="shared" si="15"/>
        <v>1600</v>
      </c>
      <c r="BF57" s="321">
        <v>55</v>
      </c>
    </row>
    <row r="58" spans="1:58" ht="15.75" thickBot="1" x14ac:dyDescent="0.3">
      <c r="A58" s="280"/>
      <c r="B58" s="323" t="str">
        <f>IF(Instructions!$J$11=1,AA58,IF(Instructions!$J$11=2,AC58,IF(Instructions!$J$11=3,AE58,IF(Instructions!$J$11=4,AG58,IF(Instructions!$J$11=5,AI58,IF(Instructions!$J$11=6,AK58,IF(Instructions!$J$11=7,AM58,IF(Instructions!$J$11=8,AO58,IF(Instructions!$J$11=9,AQ58,IF(Instructions!$J$11=10,AS58,IF(Instructions!$J$11=11,AU58,IF(Instructions!$J$11=12,AW58,IF(Instructions!$J$11=13, AY58, IF(Instructions!$J$11=14,BA58,IF(Instructions!$J$11=15,BC58,BE58)))))))))))))))</f>
        <v>205</v>
      </c>
      <c r="C58" s="272">
        <v>56</v>
      </c>
      <c r="D58" s="329" t="str">
        <f>Instructions!F$49</f>
        <v>Luke</v>
      </c>
      <c r="E58" s="334" t="s">
        <v>786</v>
      </c>
      <c r="F58" s="707"/>
      <c r="G58" s="279">
        <v>7</v>
      </c>
      <c r="H58" s="294" t="str">
        <f>Instructions!F$46</f>
        <v>Con</v>
      </c>
      <c r="I58" s="274" t="s">
        <v>772</v>
      </c>
      <c r="J58" s="709"/>
      <c r="K58" s="279">
        <v>6</v>
      </c>
      <c r="L58" s="294" t="str">
        <f>Instructions!F$49</f>
        <v>Luke</v>
      </c>
      <c r="M58" s="274" t="s">
        <v>762</v>
      </c>
      <c r="N58" s="709"/>
      <c r="O58" s="279">
        <v>5</v>
      </c>
      <c r="P58" s="295" t="str">
        <f>Instructions!F$42</f>
        <v>Trumbo</v>
      </c>
      <c r="Q58" s="277" t="s">
        <v>934</v>
      </c>
      <c r="R58" s="710"/>
      <c r="S58" s="279">
        <v>4</v>
      </c>
      <c r="T58" s="327" t="str">
        <f>Instructions!F$50</f>
        <v>Dan</v>
      </c>
      <c r="U58" s="274" t="s">
        <v>750</v>
      </c>
      <c r="V58" s="706"/>
      <c r="W58" s="279">
        <v>4</v>
      </c>
      <c r="X58" s="280"/>
      <c r="Y58" s="190" t="str">
        <f>IFERROR( IF(Instructions!$E$11=8, D58&amp;COUNTIF(D$3:D58,D58), IF(Instructions!$E$11=10, H58&amp;COUNTIF(H$3:H58,H58),IF(Instructions!$E$11=12, L58&amp;COUNTIF(L$3:L58,L58),IF(Instructions!$E$11=14, P58&amp;COUNTIF(P$3:P58,P58),T58&amp;COUNTIF(T$3:T58,T58))))),"")</f>
        <v>Luke5</v>
      </c>
      <c r="Z58" s="321">
        <f>IF(Instructions!$E$11=8,IF($D58=Instructions!$F$42,Z57+1,Z57),IF(Instructions!$E$11=10,IF($H58=Instructions!$F$42,Z57+1,Z57),IF(Instructions!$E$11=12,IF($L58=Instructions!$F$42,Z57+1,Z57),IF(Instructions!$E$11=14,IF($P58=Instructions!$F$42,Z57+1,Z57),IF(Instructions!$E$11=16,IF($T58=Instructions!$F$42,Z57+1,Z57))))))</f>
        <v>5</v>
      </c>
      <c r="AA58" s="321" t="str">
        <f t="shared" si="8"/>
        <v>105</v>
      </c>
      <c r="AB58" s="321">
        <f>IF(Instructions!$E$11=8,IF($D58=Instructions!$F$43,AB57+1,AB57),IF(Instructions!$E$11=10,IF($H58=Instructions!$F$43,AB57+1,AB57),IF(Instructions!$E$11=12,IF($L58=Instructions!$F$43,AB57+1,AB57),IF(Instructions!$E$11=14,IF($P58=Instructions!$F$43,AB57+1,AB57),IF(Instructions!$E$11=16,IF($T58=Instructions!$F$43,AB57+1,AB57))))))</f>
        <v>5</v>
      </c>
      <c r="AC58" s="321" t="str">
        <f t="shared" si="0"/>
        <v>205</v>
      </c>
      <c r="AD58" s="321">
        <f>IF(Instructions!$E$11=8,IF($D58=Instructions!$F$44,AD57+1,AD57),IF(Instructions!$E$11=10,IF($H58=Instructions!$F$44,AD57+1,AD57),IF(Instructions!$E$11=12,IF($L58=Instructions!$F$44,AD57+1,AD57),IF(Instructions!$E$11=14,IF($P58=Instructions!$F$44,AD57+1,AD57),IF(Instructions!$E$11=16,IF($T58=Instructions!$F$44,AD57+1,AD57))))))</f>
        <v>5</v>
      </c>
      <c r="AE58" s="321" t="str">
        <f t="shared" si="1"/>
        <v>305</v>
      </c>
      <c r="AF58" s="321">
        <f>IF(Instructions!$E$11=8,IF($D58=Instructions!$F$45,AF57+1,AF57),IF(Instructions!$E$11=10,IF($H58=Instructions!$F$45,AF57+1,AF57),IF(Instructions!$E$11=12,IF($L58=Instructions!$F$45,AF57+1,AF57),IF(Instructions!$E$11=14,IF($P58=Instructions!$F$45,AF57+1,AF57),IF(Instructions!$E$11=16,IF($T58=Instructions!$F$45,AF57+1,AF57))))))</f>
        <v>5</v>
      </c>
      <c r="AG58" s="321" t="str">
        <f t="shared" si="2"/>
        <v>405</v>
      </c>
      <c r="AH58" s="321">
        <f>IF(Instructions!$E$11=8,IF($D58=Instructions!$F$46,AH57+1,AH57),IF(Instructions!$E$11=10,IF($H58=Instructions!$F$46,AH57+1,AH57),IF(Instructions!$E$11=12,IF($L58=Instructions!$F$46,AH57+1,AH57),IF(Instructions!$E$11=14,IF($P58=Instructions!$F$46,AH57+1,AH57),IF(Instructions!$E$11=16,IF($T58=Instructions!$F$46,AH57+1,AH57))))))</f>
        <v>5</v>
      </c>
      <c r="AI58" s="321" t="str">
        <f t="shared" si="3"/>
        <v>505</v>
      </c>
      <c r="AJ58" s="321">
        <f>IF(Instructions!$E$11=8,IF($D58=Instructions!$F$47,AJ57+1,AJ57),IF(Instructions!$E$11=10,IF($H58=Instructions!$F$47,AJ57+1,AJ57),IF(Instructions!$E$11=12,IF($L58=Instructions!$F$47,AJ57+1,AJ57),IF(Instructions!$E$11=14,IF($P58=Instructions!$F$47,AJ57+1,AJ57),IF(Instructions!$E$11=16,IF($T58=Instructions!$F$47,AJ57+1,AJ57))))))</f>
        <v>5</v>
      </c>
      <c r="AK58" s="321" t="str">
        <f t="shared" si="4"/>
        <v>605</v>
      </c>
      <c r="AL58" s="321">
        <f>IF(Instructions!$E$11=8,IF($D58=Instructions!$F$48,AL57+1,AL57),IF(Instructions!$E$11=10,IF($H58=Instructions!$F$48,AL57+1,AL57),IF(Instructions!$E$11=12,IF($L58=Instructions!$F$48,AL57+1,AL57),IF(Instructions!$E$11=14,IF($P58=Instructions!$F$48,AL57+1,AL57),IF(Instructions!$E$11=16,IF($T58=Instructions!$F$48,AL57+1,AL57))))))</f>
        <v>5</v>
      </c>
      <c r="AM58" s="321" t="str">
        <f t="shared" si="5"/>
        <v>705</v>
      </c>
      <c r="AN58" s="321">
        <f>IF(Instructions!$E$11=8,IF($D58=Instructions!$F$49,AN57+1,AN57),IF(Instructions!$E$11=10,IF($H58=Instructions!$F$49,AN57+1,AN57),IF(Instructions!$E$11=12,IF($L58=Instructions!$F$49,AN57+1,AN57),IF(Instructions!$E$11=14,IF($P58=Instructions!$F$49,AN57+1,AN57),IF(Instructions!$E$11=16,IF($T58=Instructions!$F$49,AN57+1,AN57))))))</f>
        <v>5</v>
      </c>
      <c r="AO58" s="321" t="str">
        <f t="shared" si="6"/>
        <v>805</v>
      </c>
      <c r="AP58" s="321">
        <f>IF(Instructions!$E$11=8,IF($D58=Instructions!$F$50,AP57+1,AP57),IF(Instructions!$E$11=10,IF($H58=Instructions!$F$50,AP57+1,AP57),IF(Instructions!$E$11=12,IF($L58=Instructions!$F$50,AP57+1,AP57),IF(Instructions!$E$11=14,IF($P58=Instructions!$F$50,AP57+1,AP57),IF(Instructions!$E$11=16,IF($T58=Instructions!$F$50,AP57+1,AP57))))))</f>
        <v>4</v>
      </c>
      <c r="AQ58" s="321" t="str">
        <f t="shared" si="7"/>
        <v>904</v>
      </c>
      <c r="AR58" s="321">
        <f>IF(Instructions!$E$11=8,IF($D58=Instructions!$F$51,AR57+1,AR57),IF(Instructions!$E$11=10,IF($H58=Instructions!$F$51,AR57+1,AR57),IF(Instructions!$E$11=12,IF($L58=Instructions!$F$51,AR57+1,AR57),IF(Instructions!$E$11=14,IF($P58=Instructions!$F$51,AR57+1,AR57),IF(Instructions!$E$11=16,IF($T58=Instructions!$F$51,AR57+1,AR57))))))</f>
        <v>4</v>
      </c>
      <c r="AS58" s="321" t="str">
        <f t="shared" si="9"/>
        <v>1004</v>
      </c>
      <c r="AT58" s="321">
        <f>IF(Instructions!$E$11=8,IF($D58=Instructions!$F$52,AT57+1,AT57),IF(Instructions!$E$11=10,IF($H58=Instructions!$F$52,AT57+1,AT57),IF(Instructions!$E$11=12,IF($L58=Instructions!$F$52,AT57+1,AT57),IF(Instructions!$E$11=14,IF($P58=Instructions!$F$52,AT57+1,AT57),IF(Instructions!$E$11=16,IF($T58=Instructions!$F$52,AT57+1,AT57))))))</f>
        <v>4</v>
      </c>
      <c r="AU58" s="321" t="str">
        <f t="shared" si="10"/>
        <v>1104</v>
      </c>
      <c r="AV58" s="321">
        <f>IF(Instructions!$E$11=8,IF($D58=Instructions!$F$53,AV57+1,AV57),IF(Instructions!$E$11=10,IF($H58=Instructions!$F$53,AV57+1,AV57),IF(Instructions!$E$11=12,IF($L58=Instructions!$F$53,AV57+1,AV57),IF(Instructions!$E$11=14,IF($P58=Instructions!$F$53,AV57+1,AV57),IF(Instructions!$E$11=16,IF($T58=Instructions!$F$53,AV57+1,AV57))))))</f>
        <v>4</v>
      </c>
      <c r="AW58" s="321" t="str">
        <f t="shared" si="11"/>
        <v>1204</v>
      </c>
      <c r="AX58" s="321">
        <f>IF(Instructions!$E$11=8,IF($D58=Instructions!$F$54,AX57+1,AX57),IF(Instructions!$E$11=10,IF($H58=Instructions!$F$54,AX57+1,AX57),IF(Instructions!$E$11=12,IF($L58=Instructions!$F$54,AX57+1,AX57),IF(Instructions!$E$11=14,IF($P58=Instructions!$F$54,AX57+1,AX57),IF(Instructions!$E$11=16,IF($T58=Instructions!$F$54,AX57+1,AX57))))))</f>
        <v>0</v>
      </c>
      <c r="AY58" s="321" t="str">
        <f t="shared" si="12"/>
        <v>1300</v>
      </c>
      <c r="AZ58" s="321">
        <f>IF(Instructions!$E$11=8,IF($D58=Instructions!$F$55,AZ57+1,AZ57),IF(Instructions!$E$11=10,IF($H58=Instructions!$F$55,AZ57+1,AZ57),IF(Instructions!$E$11=12,IF($L58=Instructions!$F$55,AZ57+1,AZ57),IF(Instructions!$E$11=14,IF($P58=Instructions!$F$55,AZ57+1,AZ57),IF(Instructions!$E$11=16,IF($T58=Instructions!$F$55,AZ57+1,AZ57))))))</f>
        <v>0</v>
      </c>
      <c r="BA58" s="321" t="str">
        <f t="shared" si="13"/>
        <v>1400</v>
      </c>
      <c r="BB58" s="321">
        <f>IF(Instructions!$E$11=8,IF($D58=Instructions!$F$56,BB57+1,BB57),IF(Instructions!$E$11=10,IF($H58=Instructions!$F$56,BB57+1,BB57),IF(Instructions!$E$11=12,IF($L58=Instructions!$F$56,BB57+1,BB57),IF(Instructions!$E$11=14,IF($P58=Instructions!$F$56,BB57+1,BB57),IF(Instructions!$E$11=16,IF($T58=Instructions!$F$56,BB57+1,BB57))))))</f>
        <v>0</v>
      </c>
      <c r="BC58" s="321" t="str">
        <f t="shared" si="14"/>
        <v>1500</v>
      </c>
      <c r="BD58" s="321">
        <f>IF(Instructions!$E$11=8,IF($D58=Instructions!$F$57,BD57+1,BD57),IF(Instructions!$E$11=10,IF($H58=Instructions!$F$57,BD57+1,BD57),IF(Instructions!$E$11=12,IF($L58=Instructions!$F$57,BD57+1,BD57),IF(Instructions!$E$11=14,IF($P58=Instructions!$F$57,BD57+1,BD57),IF(Instructions!$E$11=16,IF($T58=Instructions!$F$57,BD57+1,BD57))))))</f>
        <v>0</v>
      </c>
      <c r="BE58" s="321" t="str">
        <f t="shared" si="15"/>
        <v>1600</v>
      </c>
      <c r="BF58" s="321">
        <v>56</v>
      </c>
    </row>
    <row r="59" spans="1:58" ht="15" customHeight="1" x14ac:dyDescent="0.25">
      <c r="A59" s="280"/>
      <c r="B59" s="323" t="str">
        <f>IF(Instructions!$J$11=1,AA59,IF(Instructions!$J$11=2,AC59,IF(Instructions!$J$11=3,AE59,IF(Instructions!$J$11=4,AG59,IF(Instructions!$J$11=5,AI59,IF(Instructions!$J$11=6,AK59,IF(Instructions!$J$11=7,AM59,IF(Instructions!$J$11=8,AO59,IF(Instructions!$J$11=9,AQ59,IF(Instructions!$J$11=10,AS59,IF(Instructions!$J$11=11,AU59,IF(Instructions!$J$11=12,AW59,IF(Instructions!$J$11=13, AY59, IF(Instructions!$J$11=14,BA59,IF(Instructions!$J$11=15,BC59,BE59)))))))))))))))</f>
        <v>205</v>
      </c>
      <c r="C59" s="271">
        <v>57</v>
      </c>
      <c r="D59" s="325" t="str">
        <f>Instructions!F$49</f>
        <v>Luke</v>
      </c>
      <c r="E59" s="333" t="s">
        <v>791</v>
      </c>
      <c r="F59" s="705" t="s">
        <v>903</v>
      </c>
      <c r="G59" s="279">
        <v>8</v>
      </c>
      <c r="H59" s="293" t="str">
        <f>Instructions!F$45</f>
        <v>Miles</v>
      </c>
      <c r="I59" s="273" t="s">
        <v>773</v>
      </c>
      <c r="J59" s="709"/>
      <c r="K59" s="279">
        <v>6</v>
      </c>
      <c r="L59" s="293" t="str">
        <f>Instructions!F$50</f>
        <v>Dan</v>
      </c>
      <c r="M59" s="273" t="s">
        <v>763</v>
      </c>
      <c r="N59" s="709"/>
      <c r="O59" s="279">
        <v>5</v>
      </c>
      <c r="P59" s="292" t="str">
        <f>Instructions!F$42</f>
        <v>Trumbo</v>
      </c>
      <c r="Q59" s="276" t="s">
        <v>755</v>
      </c>
      <c r="R59" s="708" t="s">
        <v>900</v>
      </c>
      <c r="S59" s="279">
        <v>5</v>
      </c>
      <c r="T59" s="328" t="str">
        <f>Instructions!F$49</f>
        <v>Luke</v>
      </c>
      <c r="U59" s="273" t="s">
        <v>751</v>
      </c>
      <c r="V59" s="706"/>
      <c r="W59" s="279">
        <v>4</v>
      </c>
      <c r="X59" s="280"/>
      <c r="Y59" s="190" t="str">
        <f>IFERROR( IF(Instructions!$E$11=8, D59&amp;COUNTIF(D$3:D59,D59), IF(Instructions!$E$11=10, H59&amp;COUNTIF(H$3:H59,H59),IF(Instructions!$E$11=12, L59&amp;COUNTIF(L$3:L59,L59),IF(Instructions!$E$11=14, P59&amp;COUNTIF(P$3:P59,P59),T59&amp;COUNTIF(T$3:T59,T59))))),"")</f>
        <v>Dan5</v>
      </c>
      <c r="Z59" s="321">
        <f>IF(Instructions!$E$11=8,IF($D59=Instructions!$F$42,Z58+1,Z58),IF(Instructions!$E$11=10,IF($H59=Instructions!$F$42,Z58+1,Z58),IF(Instructions!$E$11=12,IF($L59=Instructions!$F$42,Z58+1,Z58),IF(Instructions!$E$11=14,IF($P59=Instructions!$F$42,Z58+1,Z58),IF(Instructions!$E$11=16,IF($T59=Instructions!$F$42,Z58+1,Z58))))))</f>
        <v>5</v>
      </c>
      <c r="AA59" s="321" t="str">
        <f t="shared" si="8"/>
        <v>105</v>
      </c>
      <c r="AB59" s="321">
        <f>IF(Instructions!$E$11=8,IF($D59=Instructions!$F$43,AB58+1,AB58),IF(Instructions!$E$11=10,IF($H59=Instructions!$F$43,AB58+1,AB58),IF(Instructions!$E$11=12,IF($L59=Instructions!$F$43,AB58+1,AB58),IF(Instructions!$E$11=14,IF($P59=Instructions!$F$43,AB58+1,AB58),IF(Instructions!$E$11=16,IF($T59=Instructions!$F$43,AB58+1,AB58))))))</f>
        <v>5</v>
      </c>
      <c r="AC59" s="321" t="str">
        <f t="shared" si="0"/>
        <v>205</v>
      </c>
      <c r="AD59" s="321">
        <f>IF(Instructions!$E$11=8,IF($D59=Instructions!$F$44,AD58+1,AD58),IF(Instructions!$E$11=10,IF($H59=Instructions!$F$44,AD58+1,AD58),IF(Instructions!$E$11=12,IF($L59=Instructions!$F$44,AD58+1,AD58),IF(Instructions!$E$11=14,IF($P59=Instructions!$F$44,AD58+1,AD58),IF(Instructions!$E$11=16,IF($T59=Instructions!$F$44,AD58+1,AD58))))))</f>
        <v>5</v>
      </c>
      <c r="AE59" s="321" t="str">
        <f t="shared" si="1"/>
        <v>305</v>
      </c>
      <c r="AF59" s="321">
        <f>IF(Instructions!$E$11=8,IF($D59=Instructions!$F$45,AF58+1,AF58),IF(Instructions!$E$11=10,IF($H59=Instructions!$F$45,AF58+1,AF58),IF(Instructions!$E$11=12,IF($L59=Instructions!$F$45,AF58+1,AF58),IF(Instructions!$E$11=14,IF($P59=Instructions!$F$45,AF58+1,AF58),IF(Instructions!$E$11=16,IF($T59=Instructions!$F$45,AF58+1,AF58))))))</f>
        <v>5</v>
      </c>
      <c r="AG59" s="321" t="str">
        <f t="shared" si="2"/>
        <v>405</v>
      </c>
      <c r="AH59" s="321">
        <f>IF(Instructions!$E$11=8,IF($D59=Instructions!$F$46,AH58+1,AH58),IF(Instructions!$E$11=10,IF($H59=Instructions!$F$46,AH58+1,AH58),IF(Instructions!$E$11=12,IF($L59=Instructions!$F$46,AH58+1,AH58),IF(Instructions!$E$11=14,IF($P59=Instructions!$F$46,AH58+1,AH58),IF(Instructions!$E$11=16,IF($T59=Instructions!$F$46,AH58+1,AH58))))))</f>
        <v>5</v>
      </c>
      <c r="AI59" s="321" t="str">
        <f t="shared" si="3"/>
        <v>505</v>
      </c>
      <c r="AJ59" s="321">
        <f>IF(Instructions!$E$11=8,IF($D59=Instructions!$F$47,AJ58+1,AJ58),IF(Instructions!$E$11=10,IF($H59=Instructions!$F$47,AJ58+1,AJ58),IF(Instructions!$E$11=12,IF($L59=Instructions!$F$47,AJ58+1,AJ58),IF(Instructions!$E$11=14,IF($P59=Instructions!$F$47,AJ58+1,AJ58),IF(Instructions!$E$11=16,IF($T59=Instructions!$F$47,AJ58+1,AJ58))))))</f>
        <v>5</v>
      </c>
      <c r="AK59" s="321" t="str">
        <f t="shared" si="4"/>
        <v>605</v>
      </c>
      <c r="AL59" s="321">
        <f>IF(Instructions!$E$11=8,IF($D59=Instructions!$F$48,AL58+1,AL58),IF(Instructions!$E$11=10,IF($H59=Instructions!$F$48,AL58+1,AL58),IF(Instructions!$E$11=12,IF($L59=Instructions!$F$48,AL58+1,AL58),IF(Instructions!$E$11=14,IF($P59=Instructions!$F$48,AL58+1,AL58),IF(Instructions!$E$11=16,IF($T59=Instructions!$F$48,AL58+1,AL58))))))</f>
        <v>5</v>
      </c>
      <c r="AM59" s="321" t="str">
        <f t="shared" si="5"/>
        <v>705</v>
      </c>
      <c r="AN59" s="321">
        <f>IF(Instructions!$E$11=8,IF($D59=Instructions!$F$49,AN58+1,AN58),IF(Instructions!$E$11=10,IF($H59=Instructions!$F$49,AN58+1,AN58),IF(Instructions!$E$11=12,IF($L59=Instructions!$F$49,AN58+1,AN58),IF(Instructions!$E$11=14,IF($P59=Instructions!$F$49,AN58+1,AN58),IF(Instructions!$E$11=16,IF($T59=Instructions!$F$49,AN58+1,AN58))))))</f>
        <v>5</v>
      </c>
      <c r="AO59" s="321" t="str">
        <f t="shared" si="6"/>
        <v>805</v>
      </c>
      <c r="AP59" s="321">
        <f>IF(Instructions!$E$11=8,IF($D59=Instructions!$F$50,AP58+1,AP58),IF(Instructions!$E$11=10,IF($H59=Instructions!$F$50,AP58+1,AP58),IF(Instructions!$E$11=12,IF($L59=Instructions!$F$50,AP58+1,AP58),IF(Instructions!$E$11=14,IF($P59=Instructions!$F$50,AP58+1,AP58),IF(Instructions!$E$11=16,IF($T59=Instructions!$F$50,AP58+1,AP58))))))</f>
        <v>5</v>
      </c>
      <c r="AQ59" s="321" t="str">
        <f t="shared" si="7"/>
        <v>905</v>
      </c>
      <c r="AR59" s="321">
        <f>IF(Instructions!$E$11=8,IF($D59=Instructions!$F$51,AR58+1,AR58),IF(Instructions!$E$11=10,IF($H59=Instructions!$F$51,AR58+1,AR58),IF(Instructions!$E$11=12,IF($L59=Instructions!$F$51,AR58+1,AR58),IF(Instructions!$E$11=14,IF($P59=Instructions!$F$51,AR58+1,AR58),IF(Instructions!$E$11=16,IF($T59=Instructions!$F$51,AR58+1,AR58))))))</f>
        <v>4</v>
      </c>
      <c r="AS59" s="321" t="str">
        <f t="shared" si="9"/>
        <v>1004</v>
      </c>
      <c r="AT59" s="321">
        <f>IF(Instructions!$E$11=8,IF($D59=Instructions!$F$52,AT58+1,AT58),IF(Instructions!$E$11=10,IF($H59=Instructions!$F$52,AT58+1,AT58),IF(Instructions!$E$11=12,IF($L59=Instructions!$F$52,AT58+1,AT58),IF(Instructions!$E$11=14,IF($P59=Instructions!$F$52,AT58+1,AT58),IF(Instructions!$E$11=16,IF($T59=Instructions!$F$52,AT58+1,AT58))))))</f>
        <v>4</v>
      </c>
      <c r="AU59" s="321" t="str">
        <f t="shared" si="10"/>
        <v>1104</v>
      </c>
      <c r="AV59" s="321">
        <f>IF(Instructions!$E$11=8,IF($D59=Instructions!$F$53,AV58+1,AV58),IF(Instructions!$E$11=10,IF($H59=Instructions!$F$53,AV58+1,AV58),IF(Instructions!$E$11=12,IF($L59=Instructions!$F$53,AV58+1,AV58),IF(Instructions!$E$11=14,IF($P59=Instructions!$F$53,AV58+1,AV58),IF(Instructions!$E$11=16,IF($T59=Instructions!$F$53,AV58+1,AV58))))))</f>
        <v>4</v>
      </c>
      <c r="AW59" s="321" t="str">
        <f t="shared" si="11"/>
        <v>1204</v>
      </c>
      <c r="AX59" s="321">
        <f>IF(Instructions!$E$11=8,IF($D59=Instructions!$F$54,AX58+1,AX58),IF(Instructions!$E$11=10,IF($H59=Instructions!$F$54,AX58+1,AX58),IF(Instructions!$E$11=12,IF($L59=Instructions!$F$54,AX58+1,AX58),IF(Instructions!$E$11=14,IF($P59=Instructions!$F$54,AX58+1,AX58),IF(Instructions!$E$11=16,IF($T59=Instructions!$F$54,AX58+1,AX58))))))</f>
        <v>0</v>
      </c>
      <c r="AY59" s="321" t="str">
        <f t="shared" si="12"/>
        <v>1300</v>
      </c>
      <c r="AZ59" s="321">
        <f>IF(Instructions!$E$11=8,IF($D59=Instructions!$F$55,AZ58+1,AZ58),IF(Instructions!$E$11=10,IF($H59=Instructions!$F$55,AZ58+1,AZ58),IF(Instructions!$E$11=12,IF($L59=Instructions!$F$55,AZ58+1,AZ58),IF(Instructions!$E$11=14,IF($P59=Instructions!$F$55,AZ58+1,AZ58),IF(Instructions!$E$11=16,IF($T59=Instructions!$F$55,AZ58+1,AZ58))))))</f>
        <v>0</v>
      </c>
      <c r="BA59" s="321" t="str">
        <f t="shared" si="13"/>
        <v>1400</v>
      </c>
      <c r="BB59" s="321">
        <f>IF(Instructions!$E$11=8,IF($D59=Instructions!$F$56,BB58+1,BB58),IF(Instructions!$E$11=10,IF($H59=Instructions!$F$56,BB58+1,BB58),IF(Instructions!$E$11=12,IF($L59=Instructions!$F$56,BB58+1,BB58),IF(Instructions!$E$11=14,IF($P59=Instructions!$F$56,BB58+1,BB58),IF(Instructions!$E$11=16,IF($T59=Instructions!$F$56,BB58+1,BB58))))))</f>
        <v>0</v>
      </c>
      <c r="BC59" s="321" t="str">
        <f t="shared" si="14"/>
        <v>1500</v>
      </c>
      <c r="BD59" s="321">
        <f>IF(Instructions!$E$11=8,IF($D59=Instructions!$F$57,BD58+1,BD58),IF(Instructions!$E$11=10,IF($H59=Instructions!$F$57,BD58+1,BD58),IF(Instructions!$E$11=12,IF($L59=Instructions!$F$57,BD58+1,BD58),IF(Instructions!$E$11=14,IF($P59=Instructions!$F$57,BD58+1,BD58),IF(Instructions!$E$11=16,IF($T59=Instructions!$F$57,BD58+1,BD58))))))</f>
        <v>0</v>
      </c>
      <c r="BE59" s="321" t="str">
        <f t="shared" si="15"/>
        <v>1600</v>
      </c>
      <c r="BF59" s="321">
        <v>57</v>
      </c>
    </row>
    <row r="60" spans="1:58" x14ac:dyDescent="0.25">
      <c r="A60" s="280"/>
      <c r="B60" s="323" t="str">
        <f>IF(Instructions!$J$11=1,AA60,IF(Instructions!$J$11=2,AC60,IF(Instructions!$J$11=3,AE60,IF(Instructions!$J$11=4,AG60,IF(Instructions!$J$11=5,AI60,IF(Instructions!$J$11=6,AK60,IF(Instructions!$J$11=7,AM60,IF(Instructions!$J$11=8,AO60,IF(Instructions!$J$11=9,AQ60,IF(Instructions!$J$11=10,AS60,IF(Instructions!$J$11=11,AU60,IF(Instructions!$J$11=12,AW60,IF(Instructions!$J$11=13, AY60, IF(Instructions!$J$11=14,BA60,IF(Instructions!$J$11=15,BC60,BE60)))))))))))))))</f>
        <v>205</v>
      </c>
      <c r="C60" s="272">
        <v>58</v>
      </c>
      <c r="D60" s="327" t="str">
        <f>Instructions!F$48</f>
        <v>Bui</v>
      </c>
      <c r="E60" s="332" t="s">
        <v>792</v>
      </c>
      <c r="F60" s="706"/>
      <c r="G60" s="279">
        <v>8</v>
      </c>
      <c r="H60" s="294" t="str">
        <f>Instructions!F$44</f>
        <v>Cam</v>
      </c>
      <c r="I60" s="274" t="s">
        <v>774</v>
      </c>
      <c r="J60" s="709"/>
      <c r="K60" s="279">
        <v>6</v>
      </c>
      <c r="L60" s="294" t="str">
        <f>Instructions!F$51</f>
        <v>Josh</v>
      </c>
      <c r="M60" s="274" t="s">
        <v>764</v>
      </c>
      <c r="N60" s="709"/>
      <c r="O60" s="279">
        <v>5</v>
      </c>
      <c r="P60" s="294" t="str">
        <f>Instructions!F$43</f>
        <v>Camden</v>
      </c>
      <c r="Q60" s="274" t="s">
        <v>756</v>
      </c>
      <c r="R60" s="709"/>
      <c r="S60" s="279">
        <v>5</v>
      </c>
      <c r="T60" s="327" t="str">
        <f>Instructions!F$48</f>
        <v>Bui</v>
      </c>
      <c r="U60" s="274" t="s">
        <v>752</v>
      </c>
      <c r="V60" s="706"/>
      <c r="W60" s="279">
        <v>4</v>
      </c>
      <c r="X60" s="280"/>
      <c r="Y60" s="190" t="str">
        <f>IFERROR( IF(Instructions!$E$11=8, D60&amp;COUNTIF(D$3:D60,D60), IF(Instructions!$E$11=10, H60&amp;COUNTIF(H$3:H60,H60),IF(Instructions!$E$11=12, L60&amp;COUNTIF(L$3:L60,L60),IF(Instructions!$E$11=14, P60&amp;COUNTIF(P$3:P60,P60),T60&amp;COUNTIF(T$3:T60,T60))))),"")</f>
        <v>Josh5</v>
      </c>
      <c r="Z60" s="321">
        <f>IF(Instructions!$E$11=8,IF($D60=Instructions!$F$42,Z59+1,Z59),IF(Instructions!$E$11=10,IF($H60=Instructions!$F$42,Z59+1,Z59),IF(Instructions!$E$11=12,IF($L60=Instructions!$F$42,Z59+1,Z59),IF(Instructions!$E$11=14,IF($P60=Instructions!$F$42,Z59+1,Z59),IF(Instructions!$E$11=16,IF($T60=Instructions!$F$42,Z59+1,Z59))))))</f>
        <v>5</v>
      </c>
      <c r="AA60" s="321" t="str">
        <f t="shared" si="8"/>
        <v>105</v>
      </c>
      <c r="AB60" s="321">
        <f>IF(Instructions!$E$11=8,IF($D60=Instructions!$F$43,AB59+1,AB59),IF(Instructions!$E$11=10,IF($H60=Instructions!$F$43,AB59+1,AB59),IF(Instructions!$E$11=12,IF($L60=Instructions!$F$43,AB59+1,AB59),IF(Instructions!$E$11=14,IF($P60=Instructions!$F$43,AB59+1,AB59),IF(Instructions!$E$11=16,IF($T60=Instructions!$F$43,AB59+1,AB59))))))</f>
        <v>5</v>
      </c>
      <c r="AC60" s="321" t="str">
        <f t="shared" si="0"/>
        <v>205</v>
      </c>
      <c r="AD60" s="321">
        <f>IF(Instructions!$E$11=8,IF($D60=Instructions!$F$44,AD59+1,AD59),IF(Instructions!$E$11=10,IF($H60=Instructions!$F$44,AD59+1,AD59),IF(Instructions!$E$11=12,IF($L60=Instructions!$F$44,AD59+1,AD59),IF(Instructions!$E$11=14,IF($P60=Instructions!$F$44,AD59+1,AD59),IF(Instructions!$E$11=16,IF($T60=Instructions!$F$44,AD59+1,AD59))))))</f>
        <v>5</v>
      </c>
      <c r="AE60" s="321" t="str">
        <f t="shared" si="1"/>
        <v>305</v>
      </c>
      <c r="AF60" s="321">
        <f>IF(Instructions!$E$11=8,IF($D60=Instructions!$F$45,AF59+1,AF59),IF(Instructions!$E$11=10,IF($H60=Instructions!$F$45,AF59+1,AF59),IF(Instructions!$E$11=12,IF($L60=Instructions!$F$45,AF59+1,AF59),IF(Instructions!$E$11=14,IF($P60=Instructions!$F$45,AF59+1,AF59),IF(Instructions!$E$11=16,IF($T60=Instructions!$F$45,AF59+1,AF59))))))</f>
        <v>5</v>
      </c>
      <c r="AG60" s="321" t="str">
        <f t="shared" si="2"/>
        <v>405</v>
      </c>
      <c r="AH60" s="321">
        <f>IF(Instructions!$E$11=8,IF($D60=Instructions!$F$46,AH59+1,AH59),IF(Instructions!$E$11=10,IF($H60=Instructions!$F$46,AH59+1,AH59),IF(Instructions!$E$11=12,IF($L60=Instructions!$F$46,AH59+1,AH59),IF(Instructions!$E$11=14,IF($P60=Instructions!$F$46,AH59+1,AH59),IF(Instructions!$E$11=16,IF($T60=Instructions!$F$46,AH59+1,AH59))))))</f>
        <v>5</v>
      </c>
      <c r="AI60" s="321" t="str">
        <f t="shared" si="3"/>
        <v>505</v>
      </c>
      <c r="AJ60" s="321">
        <f>IF(Instructions!$E$11=8,IF($D60=Instructions!$F$47,AJ59+1,AJ59),IF(Instructions!$E$11=10,IF($H60=Instructions!$F$47,AJ59+1,AJ59),IF(Instructions!$E$11=12,IF($L60=Instructions!$F$47,AJ59+1,AJ59),IF(Instructions!$E$11=14,IF($P60=Instructions!$F$47,AJ59+1,AJ59),IF(Instructions!$E$11=16,IF($T60=Instructions!$F$47,AJ59+1,AJ59))))))</f>
        <v>5</v>
      </c>
      <c r="AK60" s="321" t="str">
        <f t="shared" si="4"/>
        <v>605</v>
      </c>
      <c r="AL60" s="321">
        <f>IF(Instructions!$E$11=8,IF($D60=Instructions!$F$48,AL59+1,AL59),IF(Instructions!$E$11=10,IF($H60=Instructions!$F$48,AL59+1,AL59),IF(Instructions!$E$11=12,IF($L60=Instructions!$F$48,AL59+1,AL59),IF(Instructions!$E$11=14,IF($P60=Instructions!$F$48,AL59+1,AL59),IF(Instructions!$E$11=16,IF($T60=Instructions!$F$48,AL59+1,AL59))))))</f>
        <v>5</v>
      </c>
      <c r="AM60" s="321" t="str">
        <f t="shared" si="5"/>
        <v>705</v>
      </c>
      <c r="AN60" s="321">
        <f>IF(Instructions!$E$11=8,IF($D60=Instructions!$F$49,AN59+1,AN59),IF(Instructions!$E$11=10,IF($H60=Instructions!$F$49,AN59+1,AN59),IF(Instructions!$E$11=12,IF($L60=Instructions!$F$49,AN59+1,AN59),IF(Instructions!$E$11=14,IF($P60=Instructions!$F$49,AN59+1,AN59),IF(Instructions!$E$11=16,IF($T60=Instructions!$F$49,AN59+1,AN59))))))</f>
        <v>5</v>
      </c>
      <c r="AO60" s="321" t="str">
        <f t="shared" si="6"/>
        <v>805</v>
      </c>
      <c r="AP60" s="321">
        <f>IF(Instructions!$E$11=8,IF($D60=Instructions!$F$50,AP59+1,AP59),IF(Instructions!$E$11=10,IF($H60=Instructions!$F$50,AP59+1,AP59),IF(Instructions!$E$11=12,IF($L60=Instructions!$F$50,AP59+1,AP59),IF(Instructions!$E$11=14,IF($P60=Instructions!$F$50,AP59+1,AP59),IF(Instructions!$E$11=16,IF($T60=Instructions!$F$50,AP59+1,AP59))))))</f>
        <v>5</v>
      </c>
      <c r="AQ60" s="321" t="str">
        <f t="shared" si="7"/>
        <v>905</v>
      </c>
      <c r="AR60" s="321">
        <f>IF(Instructions!$E$11=8,IF($D60=Instructions!$F$51,AR59+1,AR59),IF(Instructions!$E$11=10,IF($H60=Instructions!$F$51,AR59+1,AR59),IF(Instructions!$E$11=12,IF($L60=Instructions!$F$51,AR59+1,AR59),IF(Instructions!$E$11=14,IF($P60=Instructions!$F$51,AR59+1,AR59),IF(Instructions!$E$11=16,IF($T60=Instructions!$F$51,AR59+1,AR59))))))</f>
        <v>5</v>
      </c>
      <c r="AS60" s="321" t="str">
        <f t="shared" si="9"/>
        <v>1005</v>
      </c>
      <c r="AT60" s="321">
        <f>IF(Instructions!$E$11=8,IF($D60=Instructions!$F$52,AT59+1,AT59),IF(Instructions!$E$11=10,IF($H60=Instructions!$F$52,AT59+1,AT59),IF(Instructions!$E$11=12,IF($L60=Instructions!$F$52,AT59+1,AT59),IF(Instructions!$E$11=14,IF($P60=Instructions!$F$52,AT59+1,AT59),IF(Instructions!$E$11=16,IF($T60=Instructions!$F$52,AT59+1,AT59))))))</f>
        <v>4</v>
      </c>
      <c r="AU60" s="321" t="str">
        <f t="shared" si="10"/>
        <v>1104</v>
      </c>
      <c r="AV60" s="321">
        <f>IF(Instructions!$E$11=8,IF($D60=Instructions!$F$53,AV59+1,AV59),IF(Instructions!$E$11=10,IF($H60=Instructions!$F$53,AV59+1,AV59),IF(Instructions!$E$11=12,IF($L60=Instructions!$F$53,AV59+1,AV59),IF(Instructions!$E$11=14,IF($P60=Instructions!$F$53,AV59+1,AV59),IF(Instructions!$E$11=16,IF($T60=Instructions!$F$53,AV59+1,AV59))))))</f>
        <v>4</v>
      </c>
      <c r="AW60" s="321" t="str">
        <f t="shared" si="11"/>
        <v>1204</v>
      </c>
      <c r="AX60" s="321">
        <f>IF(Instructions!$E$11=8,IF($D60=Instructions!$F$54,AX59+1,AX59),IF(Instructions!$E$11=10,IF($H60=Instructions!$F$54,AX59+1,AX59),IF(Instructions!$E$11=12,IF($L60=Instructions!$F$54,AX59+1,AX59),IF(Instructions!$E$11=14,IF($P60=Instructions!$F$54,AX59+1,AX59),IF(Instructions!$E$11=16,IF($T60=Instructions!$F$54,AX59+1,AX59))))))</f>
        <v>0</v>
      </c>
      <c r="AY60" s="321" t="str">
        <f t="shared" si="12"/>
        <v>1300</v>
      </c>
      <c r="AZ60" s="321">
        <f>IF(Instructions!$E$11=8,IF($D60=Instructions!$F$55,AZ59+1,AZ59),IF(Instructions!$E$11=10,IF($H60=Instructions!$F$55,AZ59+1,AZ59),IF(Instructions!$E$11=12,IF($L60=Instructions!$F$55,AZ59+1,AZ59),IF(Instructions!$E$11=14,IF($P60=Instructions!$F$55,AZ59+1,AZ59),IF(Instructions!$E$11=16,IF($T60=Instructions!$F$55,AZ59+1,AZ59))))))</f>
        <v>0</v>
      </c>
      <c r="BA60" s="321" t="str">
        <f t="shared" si="13"/>
        <v>1400</v>
      </c>
      <c r="BB60" s="321">
        <f>IF(Instructions!$E$11=8,IF($D60=Instructions!$F$56,BB59+1,BB59),IF(Instructions!$E$11=10,IF($H60=Instructions!$F$56,BB59+1,BB59),IF(Instructions!$E$11=12,IF($L60=Instructions!$F$56,BB59+1,BB59),IF(Instructions!$E$11=14,IF($P60=Instructions!$F$56,BB59+1,BB59),IF(Instructions!$E$11=16,IF($T60=Instructions!$F$56,BB59+1,BB59))))))</f>
        <v>0</v>
      </c>
      <c r="BC60" s="321" t="str">
        <f t="shared" si="14"/>
        <v>1500</v>
      </c>
      <c r="BD60" s="321">
        <f>IF(Instructions!$E$11=8,IF($D60=Instructions!$F$57,BD59+1,BD59),IF(Instructions!$E$11=10,IF($H60=Instructions!$F$57,BD59+1,BD59),IF(Instructions!$E$11=12,IF($L60=Instructions!$F$57,BD59+1,BD59),IF(Instructions!$E$11=14,IF($P60=Instructions!$F$57,BD59+1,BD59),IF(Instructions!$E$11=16,IF($T60=Instructions!$F$57,BD59+1,BD59))))))</f>
        <v>0</v>
      </c>
      <c r="BE60" s="321" t="str">
        <f t="shared" si="15"/>
        <v>1600</v>
      </c>
      <c r="BF60" s="321">
        <v>58</v>
      </c>
    </row>
    <row r="61" spans="1:58" x14ac:dyDescent="0.25">
      <c r="A61" s="280"/>
      <c r="B61" s="323" t="str">
        <f>IF(Instructions!$J$11=1,AA61,IF(Instructions!$J$11=2,AC61,IF(Instructions!$J$11=3,AE61,IF(Instructions!$J$11=4,AG61,IF(Instructions!$J$11=5,AI61,IF(Instructions!$J$11=6,AK61,IF(Instructions!$J$11=7,AM61,IF(Instructions!$J$11=8,AO61,IF(Instructions!$J$11=9,AQ61,IF(Instructions!$J$11=10,AS61,IF(Instructions!$J$11=11,AU61,IF(Instructions!$J$11=12,AW61,IF(Instructions!$J$11=13, AY61, IF(Instructions!$J$11=14,BA61,IF(Instructions!$J$11=15,BC61,BE61)))))))))))))))</f>
        <v>205</v>
      </c>
      <c r="C61" s="271">
        <v>59</v>
      </c>
      <c r="D61" s="328" t="str">
        <f>Instructions!F$47</f>
        <v>Devin</v>
      </c>
      <c r="E61" s="333" t="s">
        <v>793</v>
      </c>
      <c r="F61" s="706"/>
      <c r="G61" s="279">
        <v>8</v>
      </c>
      <c r="H61" s="293" t="str">
        <f>Instructions!F$43</f>
        <v>Camden</v>
      </c>
      <c r="I61" s="273" t="s">
        <v>775</v>
      </c>
      <c r="J61" s="709"/>
      <c r="K61" s="279">
        <v>6</v>
      </c>
      <c r="L61" s="293" t="str">
        <f>Instructions!F$52</f>
        <v>Big R</v>
      </c>
      <c r="M61" s="273" t="s">
        <v>765</v>
      </c>
      <c r="N61" s="709"/>
      <c r="O61" s="279">
        <v>5</v>
      </c>
      <c r="P61" s="293" t="str">
        <f>Instructions!F$44</f>
        <v>Cam</v>
      </c>
      <c r="Q61" s="273" t="s">
        <v>757</v>
      </c>
      <c r="R61" s="709"/>
      <c r="S61" s="279">
        <v>5</v>
      </c>
      <c r="T61" s="328" t="str">
        <f>Instructions!F$47</f>
        <v>Devin</v>
      </c>
      <c r="U61" s="273" t="s">
        <v>753</v>
      </c>
      <c r="V61" s="706"/>
      <c r="W61" s="279">
        <v>4</v>
      </c>
      <c r="X61" s="280"/>
      <c r="Y61" s="190" t="str">
        <f>IFERROR( IF(Instructions!$E$11=8, D61&amp;COUNTIF(D$3:D61,D61), IF(Instructions!$E$11=10, H61&amp;COUNTIF(H$3:H61,H61),IF(Instructions!$E$11=12, L61&amp;COUNTIF(L$3:L61,L61),IF(Instructions!$E$11=14, P61&amp;COUNTIF(P$3:P61,P61),T61&amp;COUNTIF(T$3:T61,T61))))),"")</f>
        <v>Big R5</v>
      </c>
      <c r="Z61" s="321">
        <f>IF(Instructions!$E$11=8,IF($D61=Instructions!$F$42,Z60+1,Z60),IF(Instructions!$E$11=10,IF($H61=Instructions!$F$42,Z60+1,Z60),IF(Instructions!$E$11=12,IF($L61=Instructions!$F$42,Z60+1,Z60),IF(Instructions!$E$11=14,IF($P61=Instructions!$F$42,Z60+1,Z60),IF(Instructions!$E$11=16,IF($T61=Instructions!$F$42,Z60+1,Z60))))))</f>
        <v>5</v>
      </c>
      <c r="AA61" s="321" t="str">
        <f t="shared" si="8"/>
        <v>105</v>
      </c>
      <c r="AB61" s="321">
        <f>IF(Instructions!$E$11=8,IF($D61=Instructions!$F$43,AB60+1,AB60),IF(Instructions!$E$11=10,IF($H61=Instructions!$F$43,AB60+1,AB60),IF(Instructions!$E$11=12,IF($L61=Instructions!$F$43,AB60+1,AB60),IF(Instructions!$E$11=14,IF($P61=Instructions!$F$43,AB60+1,AB60),IF(Instructions!$E$11=16,IF($T61=Instructions!$F$43,AB60+1,AB60))))))</f>
        <v>5</v>
      </c>
      <c r="AC61" s="321" t="str">
        <f t="shared" si="0"/>
        <v>205</v>
      </c>
      <c r="AD61" s="321">
        <f>IF(Instructions!$E$11=8,IF($D61=Instructions!$F$44,AD60+1,AD60),IF(Instructions!$E$11=10,IF($H61=Instructions!$F$44,AD60+1,AD60),IF(Instructions!$E$11=12,IF($L61=Instructions!$F$44,AD60+1,AD60),IF(Instructions!$E$11=14,IF($P61=Instructions!$F$44,AD60+1,AD60),IF(Instructions!$E$11=16,IF($T61=Instructions!$F$44,AD60+1,AD60))))))</f>
        <v>5</v>
      </c>
      <c r="AE61" s="321" t="str">
        <f t="shared" si="1"/>
        <v>305</v>
      </c>
      <c r="AF61" s="321">
        <f>IF(Instructions!$E$11=8,IF($D61=Instructions!$F$45,AF60+1,AF60),IF(Instructions!$E$11=10,IF($H61=Instructions!$F$45,AF60+1,AF60),IF(Instructions!$E$11=12,IF($L61=Instructions!$F$45,AF60+1,AF60),IF(Instructions!$E$11=14,IF($P61=Instructions!$F$45,AF60+1,AF60),IF(Instructions!$E$11=16,IF($T61=Instructions!$F$45,AF60+1,AF60))))))</f>
        <v>5</v>
      </c>
      <c r="AG61" s="321" t="str">
        <f t="shared" si="2"/>
        <v>405</v>
      </c>
      <c r="AH61" s="321">
        <f>IF(Instructions!$E$11=8,IF($D61=Instructions!$F$46,AH60+1,AH60),IF(Instructions!$E$11=10,IF($H61=Instructions!$F$46,AH60+1,AH60),IF(Instructions!$E$11=12,IF($L61=Instructions!$F$46,AH60+1,AH60),IF(Instructions!$E$11=14,IF($P61=Instructions!$F$46,AH60+1,AH60),IF(Instructions!$E$11=16,IF($T61=Instructions!$F$46,AH60+1,AH60))))))</f>
        <v>5</v>
      </c>
      <c r="AI61" s="321" t="str">
        <f t="shared" si="3"/>
        <v>505</v>
      </c>
      <c r="AJ61" s="321">
        <f>IF(Instructions!$E$11=8,IF($D61=Instructions!$F$47,AJ60+1,AJ60),IF(Instructions!$E$11=10,IF($H61=Instructions!$F$47,AJ60+1,AJ60),IF(Instructions!$E$11=12,IF($L61=Instructions!$F$47,AJ60+1,AJ60),IF(Instructions!$E$11=14,IF($P61=Instructions!$F$47,AJ60+1,AJ60),IF(Instructions!$E$11=16,IF($T61=Instructions!$F$47,AJ60+1,AJ60))))))</f>
        <v>5</v>
      </c>
      <c r="AK61" s="321" t="str">
        <f t="shared" si="4"/>
        <v>605</v>
      </c>
      <c r="AL61" s="321">
        <f>IF(Instructions!$E$11=8,IF($D61=Instructions!$F$48,AL60+1,AL60),IF(Instructions!$E$11=10,IF($H61=Instructions!$F$48,AL60+1,AL60),IF(Instructions!$E$11=12,IF($L61=Instructions!$F$48,AL60+1,AL60),IF(Instructions!$E$11=14,IF($P61=Instructions!$F$48,AL60+1,AL60),IF(Instructions!$E$11=16,IF($T61=Instructions!$F$48,AL60+1,AL60))))))</f>
        <v>5</v>
      </c>
      <c r="AM61" s="321" t="str">
        <f t="shared" si="5"/>
        <v>705</v>
      </c>
      <c r="AN61" s="321">
        <f>IF(Instructions!$E$11=8,IF($D61=Instructions!$F$49,AN60+1,AN60),IF(Instructions!$E$11=10,IF($H61=Instructions!$F$49,AN60+1,AN60),IF(Instructions!$E$11=12,IF($L61=Instructions!$F$49,AN60+1,AN60),IF(Instructions!$E$11=14,IF($P61=Instructions!$F$49,AN60+1,AN60),IF(Instructions!$E$11=16,IF($T61=Instructions!$F$49,AN60+1,AN60))))))</f>
        <v>5</v>
      </c>
      <c r="AO61" s="321" t="str">
        <f t="shared" si="6"/>
        <v>805</v>
      </c>
      <c r="AP61" s="321">
        <f>IF(Instructions!$E$11=8,IF($D61=Instructions!$F$50,AP60+1,AP60),IF(Instructions!$E$11=10,IF($H61=Instructions!$F$50,AP60+1,AP60),IF(Instructions!$E$11=12,IF($L61=Instructions!$F$50,AP60+1,AP60),IF(Instructions!$E$11=14,IF($P61=Instructions!$F$50,AP60+1,AP60),IF(Instructions!$E$11=16,IF($T61=Instructions!$F$50,AP60+1,AP60))))))</f>
        <v>5</v>
      </c>
      <c r="AQ61" s="321" t="str">
        <f t="shared" si="7"/>
        <v>905</v>
      </c>
      <c r="AR61" s="321">
        <f>IF(Instructions!$E$11=8,IF($D61=Instructions!$F$51,AR60+1,AR60),IF(Instructions!$E$11=10,IF($H61=Instructions!$F$51,AR60+1,AR60),IF(Instructions!$E$11=12,IF($L61=Instructions!$F$51,AR60+1,AR60),IF(Instructions!$E$11=14,IF($P61=Instructions!$F$51,AR60+1,AR60),IF(Instructions!$E$11=16,IF($T61=Instructions!$F$51,AR60+1,AR60))))))</f>
        <v>5</v>
      </c>
      <c r="AS61" s="321" t="str">
        <f t="shared" si="9"/>
        <v>1005</v>
      </c>
      <c r="AT61" s="321">
        <f>IF(Instructions!$E$11=8,IF($D61=Instructions!$F$52,AT60+1,AT60),IF(Instructions!$E$11=10,IF($H61=Instructions!$F$52,AT60+1,AT60),IF(Instructions!$E$11=12,IF($L61=Instructions!$F$52,AT60+1,AT60),IF(Instructions!$E$11=14,IF($P61=Instructions!$F$52,AT60+1,AT60),IF(Instructions!$E$11=16,IF($T61=Instructions!$F$52,AT60+1,AT60))))))</f>
        <v>5</v>
      </c>
      <c r="AU61" s="321" t="str">
        <f t="shared" si="10"/>
        <v>1105</v>
      </c>
      <c r="AV61" s="321">
        <f>IF(Instructions!$E$11=8,IF($D61=Instructions!$F$53,AV60+1,AV60),IF(Instructions!$E$11=10,IF($H61=Instructions!$F$53,AV60+1,AV60),IF(Instructions!$E$11=12,IF($L61=Instructions!$F$53,AV60+1,AV60),IF(Instructions!$E$11=14,IF($P61=Instructions!$F$53,AV60+1,AV60),IF(Instructions!$E$11=16,IF($T61=Instructions!$F$53,AV60+1,AV60))))))</f>
        <v>4</v>
      </c>
      <c r="AW61" s="321" t="str">
        <f t="shared" si="11"/>
        <v>1204</v>
      </c>
      <c r="AX61" s="321">
        <f>IF(Instructions!$E$11=8,IF($D61=Instructions!$F$54,AX60+1,AX60),IF(Instructions!$E$11=10,IF($H61=Instructions!$F$54,AX60+1,AX60),IF(Instructions!$E$11=12,IF($L61=Instructions!$F$54,AX60+1,AX60),IF(Instructions!$E$11=14,IF($P61=Instructions!$F$54,AX60+1,AX60),IF(Instructions!$E$11=16,IF($T61=Instructions!$F$54,AX60+1,AX60))))))</f>
        <v>0</v>
      </c>
      <c r="AY61" s="321" t="str">
        <f t="shared" si="12"/>
        <v>1300</v>
      </c>
      <c r="AZ61" s="321">
        <f>IF(Instructions!$E$11=8,IF($D61=Instructions!$F$55,AZ60+1,AZ60),IF(Instructions!$E$11=10,IF($H61=Instructions!$F$55,AZ60+1,AZ60),IF(Instructions!$E$11=12,IF($L61=Instructions!$F$55,AZ60+1,AZ60),IF(Instructions!$E$11=14,IF($P61=Instructions!$F$55,AZ60+1,AZ60),IF(Instructions!$E$11=16,IF($T61=Instructions!$F$55,AZ60+1,AZ60))))))</f>
        <v>0</v>
      </c>
      <c r="BA61" s="321" t="str">
        <f t="shared" si="13"/>
        <v>1400</v>
      </c>
      <c r="BB61" s="321">
        <f>IF(Instructions!$E$11=8,IF($D61=Instructions!$F$56,BB60+1,BB60),IF(Instructions!$E$11=10,IF($H61=Instructions!$F$56,BB60+1,BB60),IF(Instructions!$E$11=12,IF($L61=Instructions!$F$56,BB60+1,BB60),IF(Instructions!$E$11=14,IF($P61=Instructions!$F$56,BB60+1,BB60),IF(Instructions!$E$11=16,IF($T61=Instructions!$F$56,BB60+1,BB60))))))</f>
        <v>0</v>
      </c>
      <c r="BC61" s="321" t="str">
        <f t="shared" si="14"/>
        <v>1500</v>
      </c>
      <c r="BD61" s="321">
        <f>IF(Instructions!$E$11=8,IF($D61=Instructions!$F$57,BD60+1,BD60),IF(Instructions!$E$11=10,IF($H61=Instructions!$F$57,BD60+1,BD60),IF(Instructions!$E$11=12,IF($L61=Instructions!$F$57,BD60+1,BD60),IF(Instructions!$E$11=14,IF($P61=Instructions!$F$57,BD60+1,BD60),IF(Instructions!$E$11=16,IF($T61=Instructions!$F$57,BD60+1,BD60))))))</f>
        <v>0</v>
      </c>
      <c r="BE61" s="321" t="str">
        <f t="shared" si="15"/>
        <v>1600</v>
      </c>
      <c r="BF61" s="321">
        <v>59</v>
      </c>
    </row>
    <row r="62" spans="1:58" ht="15.75" thickBot="1" x14ac:dyDescent="0.3">
      <c r="A62" s="280"/>
      <c r="B62" s="323" t="str">
        <f>IF(Instructions!$J$11=1,AA62,IF(Instructions!$J$11=2,AC62,IF(Instructions!$J$11=3,AE62,IF(Instructions!$J$11=4,AG62,IF(Instructions!$J$11=5,AI62,IF(Instructions!$J$11=6,AK62,IF(Instructions!$J$11=7,AM62,IF(Instructions!$J$11=8,AO62,IF(Instructions!$J$11=9,AQ62,IF(Instructions!$J$11=10,AS62,IF(Instructions!$J$11=11,AU62,IF(Instructions!$J$11=12,AW62,IF(Instructions!$J$11=13, AY62, IF(Instructions!$J$11=14,BA62,IF(Instructions!$J$11=15,BC62,BE62)))))))))))))))</f>
        <v>205</v>
      </c>
      <c r="C62" s="272">
        <v>60</v>
      </c>
      <c r="D62" s="327" t="str">
        <f>Instructions!F$46</f>
        <v>Con</v>
      </c>
      <c r="E62" s="332" t="s">
        <v>794</v>
      </c>
      <c r="F62" s="706"/>
      <c r="G62" s="279">
        <v>8</v>
      </c>
      <c r="H62" s="295" t="str">
        <f>Instructions!F$42</f>
        <v>Trumbo</v>
      </c>
      <c r="I62" s="275" t="s">
        <v>776</v>
      </c>
      <c r="J62" s="710"/>
      <c r="K62" s="279">
        <v>6</v>
      </c>
      <c r="L62" s="295" t="str">
        <f>Instructions!F$53</f>
        <v>Zack</v>
      </c>
      <c r="M62" s="277" t="s">
        <v>766</v>
      </c>
      <c r="N62" s="710"/>
      <c r="O62" s="279">
        <v>5</v>
      </c>
      <c r="P62" s="294" t="str">
        <f>Instructions!F$45</f>
        <v>Miles</v>
      </c>
      <c r="Q62" s="274" t="s">
        <v>758</v>
      </c>
      <c r="R62" s="709"/>
      <c r="S62" s="279">
        <v>5</v>
      </c>
      <c r="T62" s="327" t="str">
        <f>Instructions!F$46</f>
        <v>Con</v>
      </c>
      <c r="U62" s="274" t="s">
        <v>754</v>
      </c>
      <c r="V62" s="706"/>
      <c r="W62" s="279">
        <v>4</v>
      </c>
      <c r="X62" s="280"/>
      <c r="Y62" s="190" t="str">
        <f>IFERROR( IF(Instructions!$E$11=8, D62&amp;COUNTIF(D$3:D62,D62), IF(Instructions!$E$11=10, H62&amp;COUNTIF(H$3:H62,H62),IF(Instructions!$E$11=12, L62&amp;COUNTIF(L$3:L62,L62),IF(Instructions!$E$11=14, P62&amp;COUNTIF(P$3:P62,P62),T62&amp;COUNTIF(T$3:T62,T62))))),"")</f>
        <v>Zack5</v>
      </c>
      <c r="Z62" s="321">
        <f>IF(Instructions!$E$11=8,IF($D62=Instructions!$F$42,Z61+1,Z61),IF(Instructions!$E$11=10,IF($H62=Instructions!$F$42,Z61+1,Z61),IF(Instructions!$E$11=12,IF($L62=Instructions!$F$42,Z61+1,Z61),IF(Instructions!$E$11=14,IF($P62=Instructions!$F$42,Z61+1,Z61),IF(Instructions!$E$11=16,IF($T62=Instructions!$F$42,Z61+1,Z61))))))</f>
        <v>5</v>
      </c>
      <c r="AA62" s="321" t="str">
        <f t="shared" si="8"/>
        <v>105</v>
      </c>
      <c r="AB62" s="321">
        <f>IF(Instructions!$E$11=8,IF($D62=Instructions!$F$43,AB61+1,AB61),IF(Instructions!$E$11=10,IF($H62=Instructions!$F$43,AB61+1,AB61),IF(Instructions!$E$11=12,IF($L62=Instructions!$F$43,AB61+1,AB61),IF(Instructions!$E$11=14,IF($P62=Instructions!$F$43,AB61+1,AB61),IF(Instructions!$E$11=16,IF($T62=Instructions!$F$43,AB61+1,AB61))))))</f>
        <v>5</v>
      </c>
      <c r="AC62" s="321" t="str">
        <f t="shared" si="0"/>
        <v>205</v>
      </c>
      <c r="AD62" s="321">
        <f>IF(Instructions!$E$11=8,IF($D62=Instructions!$F$44,AD61+1,AD61),IF(Instructions!$E$11=10,IF($H62=Instructions!$F$44,AD61+1,AD61),IF(Instructions!$E$11=12,IF($L62=Instructions!$F$44,AD61+1,AD61),IF(Instructions!$E$11=14,IF($P62=Instructions!$F$44,AD61+1,AD61),IF(Instructions!$E$11=16,IF($T62=Instructions!$F$44,AD61+1,AD61))))))</f>
        <v>5</v>
      </c>
      <c r="AE62" s="321" t="str">
        <f t="shared" si="1"/>
        <v>305</v>
      </c>
      <c r="AF62" s="321">
        <f>IF(Instructions!$E$11=8,IF($D62=Instructions!$F$45,AF61+1,AF61),IF(Instructions!$E$11=10,IF($H62=Instructions!$F$45,AF61+1,AF61),IF(Instructions!$E$11=12,IF($L62=Instructions!$F$45,AF61+1,AF61),IF(Instructions!$E$11=14,IF($P62=Instructions!$F$45,AF61+1,AF61),IF(Instructions!$E$11=16,IF($T62=Instructions!$F$45,AF61+1,AF61))))))</f>
        <v>5</v>
      </c>
      <c r="AG62" s="321" t="str">
        <f t="shared" si="2"/>
        <v>405</v>
      </c>
      <c r="AH62" s="321">
        <f>IF(Instructions!$E$11=8,IF($D62=Instructions!$F$46,AH61+1,AH61),IF(Instructions!$E$11=10,IF($H62=Instructions!$F$46,AH61+1,AH61),IF(Instructions!$E$11=12,IF($L62=Instructions!$F$46,AH61+1,AH61),IF(Instructions!$E$11=14,IF($P62=Instructions!$F$46,AH61+1,AH61),IF(Instructions!$E$11=16,IF($T62=Instructions!$F$46,AH61+1,AH61))))))</f>
        <v>5</v>
      </c>
      <c r="AI62" s="321" t="str">
        <f t="shared" si="3"/>
        <v>505</v>
      </c>
      <c r="AJ62" s="321">
        <f>IF(Instructions!$E$11=8,IF($D62=Instructions!$F$47,AJ61+1,AJ61),IF(Instructions!$E$11=10,IF($H62=Instructions!$F$47,AJ61+1,AJ61),IF(Instructions!$E$11=12,IF($L62=Instructions!$F$47,AJ61+1,AJ61),IF(Instructions!$E$11=14,IF($P62=Instructions!$F$47,AJ61+1,AJ61),IF(Instructions!$E$11=16,IF($T62=Instructions!$F$47,AJ61+1,AJ61))))))</f>
        <v>5</v>
      </c>
      <c r="AK62" s="321" t="str">
        <f t="shared" si="4"/>
        <v>605</v>
      </c>
      <c r="AL62" s="321">
        <f>IF(Instructions!$E$11=8,IF($D62=Instructions!$F$48,AL61+1,AL61),IF(Instructions!$E$11=10,IF($H62=Instructions!$F$48,AL61+1,AL61),IF(Instructions!$E$11=12,IF($L62=Instructions!$F$48,AL61+1,AL61),IF(Instructions!$E$11=14,IF($P62=Instructions!$F$48,AL61+1,AL61),IF(Instructions!$E$11=16,IF($T62=Instructions!$F$48,AL61+1,AL61))))))</f>
        <v>5</v>
      </c>
      <c r="AM62" s="321" t="str">
        <f t="shared" si="5"/>
        <v>705</v>
      </c>
      <c r="AN62" s="321">
        <f>IF(Instructions!$E$11=8,IF($D62=Instructions!$F$49,AN61+1,AN61),IF(Instructions!$E$11=10,IF($H62=Instructions!$F$49,AN61+1,AN61),IF(Instructions!$E$11=12,IF($L62=Instructions!$F$49,AN61+1,AN61),IF(Instructions!$E$11=14,IF($P62=Instructions!$F$49,AN61+1,AN61),IF(Instructions!$E$11=16,IF($T62=Instructions!$F$49,AN61+1,AN61))))))</f>
        <v>5</v>
      </c>
      <c r="AO62" s="321" t="str">
        <f t="shared" si="6"/>
        <v>805</v>
      </c>
      <c r="AP62" s="321">
        <f>IF(Instructions!$E$11=8,IF($D62=Instructions!$F$50,AP61+1,AP61),IF(Instructions!$E$11=10,IF($H62=Instructions!$F$50,AP61+1,AP61),IF(Instructions!$E$11=12,IF($L62=Instructions!$F$50,AP61+1,AP61),IF(Instructions!$E$11=14,IF($P62=Instructions!$F$50,AP61+1,AP61),IF(Instructions!$E$11=16,IF($T62=Instructions!$F$50,AP61+1,AP61))))))</f>
        <v>5</v>
      </c>
      <c r="AQ62" s="321" t="str">
        <f t="shared" si="7"/>
        <v>905</v>
      </c>
      <c r="AR62" s="321">
        <f>IF(Instructions!$E$11=8,IF($D62=Instructions!$F$51,AR61+1,AR61),IF(Instructions!$E$11=10,IF($H62=Instructions!$F$51,AR61+1,AR61),IF(Instructions!$E$11=12,IF($L62=Instructions!$F$51,AR61+1,AR61),IF(Instructions!$E$11=14,IF($P62=Instructions!$F$51,AR61+1,AR61),IF(Instructions!$E$11=16,IF($T62=Instructions!$F$51,AR61+1,AR61))))))</f>
        <v>5</v>
      </c>
      <c r="AS62" s="321" t="str">
        <f t="shared" si="9"/>
        <v>1005</v>
      </c>
      <c r="AT62" s="321">
        <f>IF(Instructions!$E$11=8,IF($D62=Instructions!$F$52,AT61+1,AT61),IF(Instructions!$E$11=10,IF($H62=Instructions!$F$52,AT61+1,AT61),IF(Instructions!$E$11=12,IF($L62=Instructions!$F$52,AT61+1,AT61),IF(Instructions!$E$11=14,IF($P62=Instructions!$F$52,AT61+1,AT61),IF(Instructions!$E$11=16,IF($T62=Instructions!$F$52,AT61+1,AT61))))))</f>
        <v>5</v>
      </c>
      <c r="AU62" s="321" t="str">
        <f t="shared" si="10"/>
        <v>1105</v>
      </c>
      <c r="AV62" s="321">
        <f>IF(Instructions!$E$11=8,IF($D62=Instructions!$F$53,AV61+1,AV61),IF(Instructions!$E$11=10,IF($H62=Instructions!$F$53,AV61+1,AV61),IF(Instructions!$E$11=12,IF($L62=Instructions!$F$53,AV61+1,AV61),IF(Instructions!$E$11=14,IF($P62=Instructions!$F$53,AV61+1,AV61),IF(Instructions!$E$11=16,IF($T62=Instructions!$F$53,AV61+1,AV61))))))</f>
        <v>5</v>
      </c>
      <c r="AW62" s="321" t="str">
        <f t="shared" si="11"/>
        <v>1205</v>
      </c>
      <c r="AX62" s="321">
        <f>IF(Instructions!$E$11=8,IF($D62=Instructions!$F$54,AX61+1,AX61),IF(Instructions!$E$11=10,IF($H62=Instructions!$F$54,AX61+1,AX61),IF(Instructions!$E$11=12,IF($L62=Instructions!$F$54,AX61+1,AX61),IF(Instructions!$E$11=14,IF($P62=Instructions!$F$54,AX61+1,AX61),IF(Instructions!$E$11=16,IF($T62=Instructions!$F$54,AX61+1,AX61))))))</f>
        <v>0</v>
      </c>
      <c r="AY62" s="321" t="str">
        <f t="shared" si="12"/>
        <v>1300</v>
      </c>
      <c r="AZ62" s="321">
        <f>IF(Instructions!$E$11=8,IF($D62=Instructions!$F$55,AZ61+1,AZ61),IF(Instructions!$E$11=10,IF($H62=Instructions!$F$55,AZ61+1,AZ61),IF(Instructions!$E$11=12,IF($L62=Instructions!$F$55,AZ61+1,AZ61),IF(Instructions!$E$11=14,IF($P62=Instructions!$F$55,AZ61+1,AZ61),IF(Instructions!$E$11=16,IF($T62=Instructions!$F$55,AZ61+1,AZ61))))))</f>
        <v>0</v>
      </c>
      <c r="BA62" s="321" t="str">
        <f t="shared" si="13"/>
        <v>1400</v>
      </c>
      <c r="BB62" s="321">
        <f>IF(Instructions!$E$11=8,IF($D62=Instructions!$F$56,BB61+1,BB61),IF(Instructions!$E$11=10,IF($H62=Instructions!$F$56,BB61+1,BB61),IF(Instructions!$E$11=12,IF($L62=Instructions!$F$56,BB61+1,BB61),IF(Instructions!$E$11=14,IF($P62=Instructions!$F$56,BB61+1,BB61),IF(Instructions!$E$11=16,IF($T62=Instructions!$F$56,BB61+1,BB61))))))</f>
        <v>0</v>
      </c>
      <c r="BC62" s="321" t="str">
        <f t="shared" si="14"/>
        <v>1500</v>
      </c>
      <c r="BD62" s="321">
        <f>IF(Instructions!$E$11=8,IF($D62=Instructions!$F$57,BD61+1,BD61),IF(Instructions!$E$11=10,IF($H62=Instructions!$F$57,BD61+1,BD61),IF(Instructions!$E$11=12,IF($L62=Instructions!$F$57,BD61+1,BD61),IF(Instructions!$E$11=14,IF($P62=Instructions!$F$57,BD61+1,BD61),IF(Instructions!$E$11=16,IF($T62=Instructions!$F$57,BD61+1,BD61))))))</f>
        <v>0</v>
      </c>
      <c r="BE62" s="321" t="str">
        <f t="shared" si="15"/>
        <v>1600</v>
      </c>
      <c r="BF62" s="321">
        <v>60</v>
      </c>
    </row>
    <row r="63" spans="1:58" ht="15" customHeight="1" x14ac:dyDescent="0.25">
      <c r="A63" s="280"/>
      <c r="B63" s="323" t="str">
        <f>IF(Instructions!$J$11=1,AA63,IF(Instructions!$J$11=2,AC63,IF(Instructions!$J$11=3,AE63,IF(Instructions!$J$11=4,AG63,IF(Instructions!$J$11=5,AI63,IF(Instructions!$J$11=6,AK63,IF(Instructions!$J$11=7,AM63,IF(Instructions!$J$11=8,AO63,IF(Instructions!$J$11=9,AQ63,IF(Instructions!$J$11=10,AS63,IF(Instructions!$J$11=11,AU63,IF(Instructions!$J$11=12,AW63,IF(Instructions!$J$11=13, AY63, IF(Instructions!$J$11=14,BA63,IF(Instructions!$J$11=15,BC63,BE63)))))))))))))))</f>
        <v>205</v>
      </c>
      <c r="C63" s="271">
        <v>61</v>
      </c>
      <c r="D63" s="328" t="str">
        <f>Instructions!F$45</f>
        <v>Miles</v>
      </c>
      <c r="E63" s="333" t="s">
        <v>795</v>
      </c>
      <c r="F63" s="706"/>
      <c r="G63" s="279">
        <v>8</v>
      </c>
      <c r="H63" s="292" t="str">
        <f>Instructions!F$42</f>
        <v>Trumbo</v>
      </c>
      <c r="I63" s="276" t="s">
        <v>779</v>
      </c>
      <c r="J63" s="708" t="s">
        <v>902</v>
      </c>
      <c r="K63" s="279">
        <v>7</v>
      </c>
      <c r="L63" s="292" t="str">
        <f>Instructions!F$53</f>
        <v>Zack</v>
      </c>
      <c r="M63" s="276" t="s">
        <v>767</v>
      </c>
      <c r="N63" s="708" t="s">
        <v>901</v>
      </c>
      <c r="O63" s="279">
        <v>6</v>
      </c>
      <c r="P63" s="293" t="str">
        <f>Instructions!F$46</f>
        <v>Con</v>
      </c>
      <c r="Q63" s="273" t="s">
        <v>759</v>
      </c>
      <c r="R63" s="709"/>
      <c r="S63" s="279">
        <v>5</v>
      </c>
      <c r="T63" s="328" t="str">
        <f>Instructions!F$45</f>
        <v>Miles</v>
      </c>
      <c r="U63" s="273" t="s">
        <v>935</v>
      </c>
      <c r="V63" s="706"/>
      <c r="W63" s="279">
        <v>4</v>
      </c>
      <c r="X63" s="280"/>
      <c r="Y63" s="190" t="str">
        <f>IFERROR( IF(Instructions!$E$11=8, D63&amp;COUNTIF(D$3:D63,D63), IF(Instructions!$E$11=10, H63&amp;COUNTIF(H$3:H63,H63),IF(Instructions!$E$11=12, L63&amp;COUNTIF(L$3:L63,L63),IF(Instructions!$E$11=14, P63&amp;COUNTIF(P$3:P63,P63),T63&amp;COUNTIF(T$3:T63,T63))))),"")</f>
        <v>Zack6</v>
      </c>
      <c r="Z63" s="321">
        <f>IF(Instructions!$E$11=8,IF($D63=Instructions!$F$42,Z62+1,Z62),IF(Instructions!$E$11=10,IF($H63=Instructions!$F$42,Z62+1,Z62),IF(Instructions!$E$11=12,IF($L63=Instructions!$F$42,Z62+1,Z62),IF(Instructions!$E$11=14,IF($P63=Instructions!$F$42,Z62+1,Z62),IF(Instructions!$E$11=16,IF($T63=Instructions!$F$42,Z62+1,Z62))))))</f>
        <v>5</v>
      </c>
      <c r="AA63" s="321" t="str">
        <f t="shared" si="8"/>
        <v>105</v>
      </c>
      <c r="AB63" s="321">
        <f>IF(Instructions!$E$11=8,IF($D63=Instructions!$F$43,AB62+1,AB62),IF(Instructions!$E$11=10,IF($H63=Instructions!$F$43,AB62+1,AB62),IF(Instructions!$E$11=12,IF($L63=Instructions!$F$43,AB62+1,AB62),IF(Instructions!$E$11=14,IF($P63=Instructions!$F$43,AB62+1,AB62),IF(Instructions!$E$11=16,IF($T63=Instructions!$F$43,AB62+1,AB62))))))</f>
        <v>5</v>
      </c>
      <c r="AC63" s="321" t="str">
        <f t="shared" si="0"/>
        <v>205</v>
      </c>
      <c r="AD63" s="321">
        <f>IF(Instructions!$E$11=8,IF($D63=Instructions!$F$44,AD62+1,AD62),IF(Instructions!$E$11=10,IF($H63=Instructions!$F$44,AD62+1,AD62),IF(Instructions!$E$11=12,IF($L63=Instructions!$F$44,AD62+1,AD62),IF(Instructions!$E$11=14,IF($P63=Instructions!$F$44,AD62+1,AD62),IF(Instructions!$E$11=16,IF($T63=Instructions!$F$44,AD62+1,AD62))))))</f>
        <v>5</v>
      </c>
      <c r="AE63" s="321" t="str">
        <f t="shared" si="1"/>
        <v>305</v>
      </c>
      <c r="AF63" s="321">
        <f>IF(Instructions!$E$11=8,IF($D63=Instructions!$F$45,AF62+1,AF62),IF(Instructions!$E$11=10,IF($H63=Instructions!$F$45,AF62+1,AF62),IF(Instructions!$E$11=12,IF($L63=Instructions!$F$45,AF62+1,AF62),IF(Instructions!$E$11=14,IF($P63=Instructions!$F$45,AF62+1,AF62),IF(Instructions!$E$11=16,IF($T63=Instructions!$F$45,AF62+1,AF62))))))</f>
        <v>5</v>
      </c>
      <c r="AG63" s="321" t="str">
        <f t="shared" si="2"/>
        <v>405</v>
      </c>
      <c r="AH63" s="321">
        <f>IF(Instructions!$E$11=8,IF($D63=Instructions!$F$46,AH62+1,AH62),IF(Instructions!$E$11=10,IF($H63=Instructions!$F$46,AH62+1,AH62),IF(Instructions!$E$11=12,IF($L63=Instructions!$F$46,AH62+1,AH62),IF(Instructions!$E$11=14,IF($P63=Instructions!$F$46,AH62+1,AH62),IF(Instructions!$E$11=16,IF($T63=Instructions!$F$46,AH62+1,AH62))))))</f>
        <v>5</v>
      </c>
      <c r="AI63" s="321" t="str">
        <f t="shared" si="3"/>
        <v>505</v>
      </c>
      <c r="AJ63" s="321">
        <f>IF(Instructions!$E$11=8,IF($D63=Instructions!$F$47,AJ62+1,AJ62),IF(Instructions!$E$11=10,IF($H63=Instructions!$F$47,AJ62+1,AJ62),IF(Instructions!$E$11=12,IF($L63=Instructions!$F$47,AJ62+1,AJ62),IF(Instructions!$E$11=14,IF($P63=Instructions!$F$47,AJ62+1,AJ62),IF(Instructions!$E$11=16,IF($T63=Instructions!$F$47,AJ62+1,AJ62))))))</f>
        <v>5</v>
      </c>
      <c r="AK63" s="321" t="str">
        <f t="shared" si="4"/>
        <v>605</v>
      </c>
      <c r="AL63" s="321">
        <f>IF(Instructions!$E$11=8,IF($D63=Instructions!$F$48,AL62+1,AL62),IF(Instructions!$E$11=10,IF($H63=Instructions!$F$48,AL62+1,AL62),IF(Instructions!$E$11=12,IF($L63=Instructions!$F$48,AL62+1,AL62),IF(Instructions!$E$11=14,IF($P63=Instructions!$F$48,AL62+1,AL62),IF(Instructions!$E$11=16,IF($T63=Instructions!$F$48,AL62+1,AL62))))))</f>
        <v>5</v>
      </c>
      <c r="AM63" s="321" t="str">
        <f t="shared" si="5"/>
        <v>705</v>
      </c>
      <c r="AN63" s="321">
        <f>IF(Instructions!$E$11=8,IF($D63=Instructions!$F$49,AN62+1,AN62),IF(Instructions!$E$11=10,IF($H63=Instructions!$F$49,AN62+1,AN62),IF(Instructions!$E$11=12,IF($L63=Instructions!$F$49,AN62+1,AN62),IF(Instructions!$E$11=14,IF($P63=Instructions!$F$49,AN62+1,AN62),IF(Instructions!$E$11=16,IF($T63=Instructions!$F$49,AN62+1,AN62))))))</f>
        <v>5</v>
      </c>
      <c r="AO63" s="321" t="str">
        <f t="shared" si="6"/>
        <v>805</v>
      </c>
      <c r="AP63" s="321">
        <f>IF(Instructions!$E$11=8,IF($D63=Instructions!$F$50,AP62+1,AP62),IF(Instructions!$E$11=10,IF($H63=Instructions!$F$50,AP62+1,AP62),IF(Instructions!$E$11=12,IF($L63=Instructions!$F$50,AP62+1,AP62),IF(Instructions!$E$11=14,IF($P63=Instructions!$F$50,AP62+1,AP62),IF(Instructions!$E$11=16,IF($T63=Instructions!$F$50,AP62+1,AP62))))))</f>
        <v>5</v>
      </c>
      <c r="AQ63" s="321" t="str">
        <f t="shared" si="7"/>
        <v>905</v>
      </c>
      <c r="AR63" s="321">
        <f>IF(Instructions!$E$11=8,IF($D63=Instructions!$F$51,AR62+1,AR62),IF(Instructions!$E$11=10,IF($H63=Instructions!$F$51,AR62+1,AR62),IF(Instructions!$E$11=12,IF($L63=Instructions!$F$51,AR62+1,AR62),IF(Instructions!$E$11=14,IF($P63=Instructions!$F$51,AR62+1,AR62),IF(Instructions!$E$11=16,IF($T63=Instructions!$F$51,AR62+1,AR62))))))</f>
        <v>5</v>
      </c>
      <c r="AS63" s="321" t="str">
        <f t="shared" si="9"/>
        <v>1005</v>
      </c>
      <c r="AT63" s="321">
        <f>IF(Instructions!$E$11=8,IF($D63=Instructions!$F$52,AT62+1,AT62),IF(Instructions!$E$11=10,IF($H63=Instructions!$F$52,AT62+1,AT62),IF(Instructions!$E$11=12,IF($L63=Instructions!$F$52,AT62+1,AT62),IF(Instructions!$E$11=14,IF($P63=Instructions!$F$52,AT62+1,AT62),IF(Instructions!$E$11=16,IF($T63=Instructions!$F$52,AT62+1,AT62))))))</f>
        <v>5</v>
      </c>
      <c r="AU63" s="321" t="str">
        <f t="shared" si="10"/>
        <v>1105</v>
      </c>
      <c r="AV63" s="321">
        <f>IF(Instructions!$E$11=8,IF($D63=Instructions!$F$53,AV62+1,AV62),IF(Instructions!$E$11=10,IF($H63=Instructions!$F$53,AV62+1,AV62),IF(Instructions!$E$11=12,IF($L63=Instructions!$F$53,AV62+1,AV62),IF(Instructions!$E$11=14,IF($P63=Instructions!$F$53,AV62+1,AV62),IF(Instructions!$E$11=16,IF($T63=Instructions!$F$53,AV62+1,AV62))))))</f>
        <v>6</v>
      </c>
      <c r="AW63" s="321" t="str">
        <f t="shared" si="11"/>
        <v>1206</v>
      </c>
      <c r="AX63" s="321">
        <f>IF(Instructions!$E$11=8,IF($D63=Instructions!$F$54,AX62+1,AX62),IF(Instructions!$E$11=10,IF($H63=Instructions!$F$54,AX62+1,AX62),IF(Instructions!$E$11=12,IF($L63=Instructions!$F$54,AX62+1,AX62),IF(Instructions!$E$11=14,IF($P63=Instructions!$F$54,AX62+1,AX62),IF(Instructions!$E$11=16,IF($T63=Instructions!$F$54,AX62+1,AX62))))))</f>
        <v>0</v>
      </c>
      <c r="AY63" s="321" t="str">
        <f t="shared" si="12"/>
        <v>1300</v>
      </c>
      <c r="AZ63" s="321">
        <f>IF(Instructions!$E$11=8,IF($D63=Instructions!$F$55,AZ62+1,AZ62),IF(Instructions!$E$11=10,IF($H63=Instructions!$F$55,AZ62+1,AZ62),IF(Instructions!$E$11=12,IF($L63=Instructions!$F$55,AZ62+1,AZ62),IF(Instructions!$E$11=14,IF($P63=Instructions!$F$55,AZ62+1,AZ62),IF(Instructions!$E$11=16,IF($T63=Instructions!$F$55,AZ62+1,AZ62))))))</f>
        <v>0</v>
      </c>
      <c r="BA63" s="321" t="str">
        <f t="shared" si="13"/>
        <v>1400</v>
      </c>
      <c r="BB63" s="321">
        <f>IF(Instructions!$E$11=8,IF($D63=Instructions!$F$56,BB62+1,BB62),IF(Instructions!$E$11=10,IF($H63=Instructions!$F$56,BB62+1,BB62),IF(Instructions!$E$11=12,IF($L63=Instructions!$F$56,BB62+1,BB62),IF(Instructions!$E$11=14,IF($P63=Instructions!$F$56,BB62+1,BB62),IF(Instructions!$E$11=16,IF($T63=Instructions!$F$56,BB62+1,BB62))))))</f>
        <v>0</v>
      </c>
      <c r="BC63" s="321" t="str">
        <f t="shared" si="14"/>
        <v>1500</v>
      </c>
      <c r="BD63" s="321">
        <f>IF(Instructions!$E$11=8,IF($D63=Instructions!$F$57,BD62+1,BD62),IF(Instructions!$E$11=10,IF($H63=Instructions!$F$57,BD62+1,BD62),IF(Instructions!$E$11=12,IF($L63=Instructions!$F$57,BD62+1,BD62),IF(Instructions!$E$11=14,IF($P63=Instructions!$F$57,BD62+1,BD62),IF(Instructions!$E$11=16,IF($T63=Instructions!$F$57,BD62+1,BD62))))))</f>
        <v>0</v>
      </c>
      <c r="BE63" s="321" t="str">
        <f t="shared" si="15"/>
        <v>1600</v>
      </c>
      <c r="BF63" s="321">
        <v>61</v>
      </c>
    </row>
    <row r="64" spans="1:58" x14ac:dyDescent="0.25">
      <c r="A64" s="280"/>
      <c r="B64" s="323" t="str">
        <f>IF(Instructions!$J$11=1,AA64,IF(Instructions!$J$11=2,AC64,IF(Instructions!$J$11=3,AE64,IF(Instructions!$J$11=4,AG64,IF(Instructions!$J$11=5,AI64,IF(Instructions!$J$11=6,AK64,IF(Instructions!$J$11=7,AM64,IF(Instructions!$J$11=8,AO64,IF(Instructions!$J$11=9,AQ64,IF(Instructions!$J$11=10,AS64,IF(Instructions!$J$11=11,AU64,IF(Instructions!$J$11=12,AW64,IF(Instructions!$J$11=13, AY64, IF(Instructions!$J$11=14,BA64,IF(Instructions!$J$11=15,BC64,BE64)))))))))))))))</f>
        <v>205</v>
      </c>
      <c r="C64" s="272">
        <v>62</v>
      </c>
      <c r="D64" s="327" t="str">
        <f>Instructions!F$44</f>
        <v>Cam</v>
      </c>
      <c r="E64" s="332" t="s">
        <v>796</v>
      </c>
      <c r="F64" s="706"/>
      <c r="G64" s="279">
        <v>8</v>
      </c>
      <c r="H64" s="294" t="str">
        <f>Instructions!F$43</f>
        <v>Camden</v>
      </c>
      <c r="I64" s="274" t="s">
        <v>780</v>
      </c>
      <c r="J64" s="709"/>
      <c r="K64" s="279">
        <v>7</v>
      </c>
      <c r="L64" s="294" t="str">
        <f>Instructions!F$52</f>
        <v>Big R</v>
      </c>
      <c r="M64" s="274" t="s">
        <v>768</v>
      </c>
      <c r="N64" s="709"/>
      <c r="O64" s="279">
        <v>6</v>
      </c>
      <c r="P64" s="294" t="str">
        <f>Instructions!F$47</f>
        <v>Devin</v>
      </c>
      <c r="Q64" s="274" t="s">
        <v>760</v>
      </c>
      <c r="R64" s="709"/>
      <c r="S64" s="279">
        <v>5</v>
      </c>
      <c r="T64" s="327" t="str">
        <f>Instructions!F$44</f>
        <v>Cam</v>
      </c>
      <c r="U64" s="274" t="s">
        <v>934</v>
      </c>
      <c r="V64" s="706"/>
      <c r="W64" s="279">
        <v>4</v>
      </c>
      <c r="X64" s="280"/>
      <c r="Y64" s="190" t="str">
        <f>IFERROR( IF(Instructions!$E$11=8, D64&amp;COUNTIF(D$3:D64,D64), IF(Instructions!$E$11=10, H64&amp;COUNTIF(H$3:H64,H64),IF(Instructions!$E$11=12, L64&amp;COUNTIF(L$3:L64,L64),IF(Instructions!$E$11=14, P64&amp;COUNTIF(P$3:P64,P64),T64&amp;COUNTIF(T$3:T64,T64))))),"")</f>
        <v>Big R6</v>
      </c>
      <c r="Z64" s="321">
        <f>IF(Instructions!$E$11=8,IF($D64=Instructions!$F$42,Z63+1,Z63),IF(Instructions!$E$11=10,IF($H64=Instructions!$F$42,Z63+1,Z63),IF(Instructions!$E$11=12,IF($L64=Instructions!$F$42,Z63+1,Z63),IF(Instructions!$E$11=14,IF($P64=Instructions!$F$42,Z63+1,Z63),IF(Instructions!$E$11=16,IF($T64=Instructions!$F$42,Z63+1,Z63))))))</f>
        <v>5</v>
      </c>
      <c r="AA64" s="321" t="str">
        <f t="shared" si="8"/>
        <v>105</v>
      </c>
      <c r="AB64" s="321">
        <f>IF(Instructions!$E$11=8,IF($D64=Instructions!$F$43,AB63+1,AB63),IF(Instructions!$E$11=10,IF($H64=Instructions!$F$43,AB63+1,AB63),IF(Instructions!$E$11=12,IF($L64=Instructions!$F$43,AB63+1,AB63),IF(Instructions!$E$11=14,IF($P64=Instructions!$F$43,AB63+1,AB63),IF(Instructions!$E$11=16,IF($T64=Instructions!$F$43,AB63+1,AB63))))))</f>
        <v>5</v>
      </c>
      <c r="AC64" s="321" t="str">
        <f t="shared" si="0"/>
        <v>205</v>
      </c>
      <c r="AD64" s="321">
        <f>IF(Instructions!$E$11=8,IF($D64=Instructions!$F$44,AD63+1,AD63),IF(Instructions!$E$11=10,IF($H64=Instructions!$F$44,AD63+1,AD63),IF(Instructions!$E$11=12,IF($L64=Instructions!$F$44,AD63+1,AD63),IF(Instructions!$E$11=14,IF($P64=Instructions!$F$44,AD63+1,AD63),IF(Instructions!$E$11=16,IF($T64=Instructions!$F$44,AD63+1,AD63))))))</f>
        <v>5</v>
      </c>
      <c r="AE64" s="321" t="str">
        <f t="shared" si="1"/>
        <v>305</v>
      </c>
      <c r="AF64" s="321">
        <f>IF(Instructions!$E$11=8,IF($D64=Instructions!$F$45,AF63+1,AF63),IF(Instructions!$E$11=10,IF($H64=Instructions!$F$45,AF63+1,AF63),IF(Instructions!$E$11=12,IF($L64=Instructions!$F$45,AF63+1,AF63),IF(Instructions!$E$11=14,IF($P64=Instructions!$F$45,AF63+1,AF63),IF(Instructions!$E$11=16,IF($T64=Instructions!$F$45,AF63+1,AF63))))))</f>
        <v>5</v>
      </c>
      <c r="AG64" s="321" t="str">
        <f t="shared" si="2"/>
        <v>405</v>
      </c>
      <c r="AH64" s="321">
        <f>IF(Instructions!$E$11=8,IF($D64=Instructions!$F$46,AH63+1,AH63),IF(Instructions!$E$11=10,IF($H64=Instructions!$F$46,AH63+1,AH63),IF(Instructions!$E$11=12,IF($L64=Instructions!$F$46,AH63+1,AH63),IF(Instructions!$E$11=14,IF($P64=Instructions!$F$46,AH63+1,AH63),IF(Instructions!$E$11=16,IF($T64=Instructions!$F$46,AH63+1,AH63))))))</f>
        <v>5</v>
      </c>
      <c r="AI64" s="321" t="str">
        <f t="shared" si="3"/>
        <v>505</v>
      </c>
      <c r="AJ64" s="321">
        <f>IF(Instructions!$E$11=8,IF($D64=Instructions!$F$47,AJ63+1,AJ63),IF(Instructions!$E$11=10,IF($H64=Instructions!$F$47,AJ63+1,AJ63),IF(Instructions!$E$11=12,IF($L64=Instructions!$F$47,AJ63+1,AJ63),IF(Instructions!$E$11=14,IF($P64=Instructions!$F$47,AJ63+1,AJ63),IF(Instructions!$E$11=16,IF($T64=Instructions!$F$47,AJ63+1,AJ63))))))</f>
        <v>5</v>
      </c>
      <c r="AK64" s="321" t="str">
        <f t="shared" si="4"/>
        <v>605</v>
      </c>
      <c r="AL64" s="321">
        <f>IF(Instructions!$E$11=8,IF($D64=Instructions!$F$48,AL63+1,AL63),IF(Instructions!$E$11=10,IF($H64=Instructions!$F$48,AL63+1,AL63),IF(Instructions!$E$11=12,IF($L64=Instructions!$F$48,AL63+1,AL63),IF(Instructions!$E$11=14,IF($P64=Instructions!$F$48,AL63+1,AL63),IF(Instructions!$E$11=16,IF($T64=Instructions!$F$48,AL63+1,AL63))))))</f>
        <v>5</v>
      </c>
      <c r="AM64" s="321" t="str">
        <f t="shared" si="5"/>
        <v>705</v>
      </c>
      <c r="AN64" s="321">
        <f>IF(Instructions!$E$11=8,IF($D64=Instructions!$F$49,AN63+1,AN63),IF(Instructions!$E$11=10,IF($H64=Instructions!$F$49,AN63+1,AN63),IF(Instructions!$E$11=12,IF($L64=Instructions!$F$49,AN63+1,AN63),IF(Instructions!$E$11=14,IF($P64=Instructions!$F$49,AN63+1,AN63),IF(Instructions!$E$11=16,IF($T64=Instructions!$F$49,AN63+1,AN63))))))</f>
        <v>5</v>
      </c>
      <c r="AO64" s="321" t="str">
        <f t="shared" si="6"/>
        <v>805</v>
      </c>
      <c r="AP64" s="321">
        <f>IF(Instructions!$E$11=8,IF($D64=Instructions!$F$50,AP63+1,AP63),IF(Instructions!$E$11=10,IF($H64=Instructions!$F$50,AP63+1,AP63),IF(Instructions!$E$11=12,IF($L64=Instructions!$F$50,AP63+1,AP63),IF(Instructions!$E$11=14,IF($P64=Instructions!$F$50,AP63+1,AP63),IF(Instructions!$E$11=16,IF($T64=Instructions!$F$50,AP63+1,AP63))))))</f>
        <v>5</v>
      </c>
      <c r="AQ64" s="321" t="str">
        <f t="shared" si="7"/>
        <v>905</v>
      </c>
      <c r="AR64" s="321">
        <f>IF(Instructions!$E$11=8,IF($D64=Instructions!$F$51,AR63+1,AR63),IF(Instructions!$E$11=10,IF($H64=Instructions!$F$51,AR63+1,AR63),IF(Instructions!$E$11=12,IF($L64=Instructions!$F$51,AR63+1,AR63),IF(Instructions!$E$11=14,IF($P64=Instructions!$F$51,AR63+1,AR63),IF(Instructions!$E$11=16,IF($T64=Instructions!$F$51,AR63+1,AR63))))))</f>
        <v>5</v>
      </c>
      <c r="AS64" s="321" t="str">
        <f t="shared" si="9"/>
        <v>1005</v>
      </c>
      <c r="AT64" s="321">
        <f>IF(Instructions!$E$11=8,IF($D64=Instructions!$F$52,AT63+1,AT63),IF(Instructions!$E$11=10,IF($H64=Instructions!$F$52,AT63+1,AT63),IF(Instructions!$E$11=12,IF($L64=Instructions!$F$52,AT63+1,AT63),IF(Instructions!$E$11=14,IF($P64=Instructions!$F$52,AT63+1,AT63),IF(Instructions!$E$11=16,IF($T64=Instructions!$F$52,AT63+1,AT63))))))</f>
        <v>6</v>
      </c>
      <c r="AU64" s="321" t="str">
        <f t="shared" si="10"/>
        <v>1106</v>
      </c>
      <c r="AV64" s="321">
        <f>IF(Instructions!$E$11=8,IF($D64=Instructions!$F$53,AV63+1,AV63),IF(Instructions!$E$11=10,IF($H64=Instructions!$F$53,AV63+1,AV63),IF(Instructions!$E$11=12,IF($L64=Instructions!$F$53,AV63+1,AV63),IF(Instructions!$E$11=14,IF($P64=Instructions!$F$53,AV63+1,AV63),IF(Instructions!$E$11=16,IF($T64=Instructions!$F$53,AV63+1,AV63))))))</f>
        <v>6</v>
      </c>
      <c r="AW64" s="321" t="str">
        <f t="shared" si="11"/>
        <v>1206</v>
      </c>
      <c r="AX64" s="321">
        <f>IF(Instructions!$E$11=8,IF($D64=Instructions!$F$54,AX63+1,AX63),IF(Instructions!$E$11=10,IF($H64=Instructions!$F$54,AX63+1,AX63),IF(Instructions!$E$11=12,IF($L64=Instructions!$F$54,AX63+1,AX63),IF(Instructions!$E$11=14,IF($P64=Instructions!$F$54,AX63+1,AX63),IF(Instructions!$E$11=16,IF($T64=Instructions!$F$54,AX63+1,AX63))))))</f>
        <v>0</v>
      </c>
      <c r="AY64" s="321" t="str">
        <f t="shared" si="12"/>
        <v>1300</v>
      </c>
      <c r="AZ64" s="321">
        <f>IF(Instructions!$E$11=8,IF($D64=Instructions!$F$55,AZ63+1,AZ63),IF(Instructions!$E$11=10,IF($H64=Instructions!$F$55,AZ63+1,AZ63),IF(Instructions!$E$11=12,IF($L64=Instructions!$F$55,AZ63+1,AZ63),IF(Instructions!$E$11=14,IF($P64=Instructions!$F$55,AZ63+1,AZ63),IF(Instructions!$E$11=16,IF($T64=Instructions!$F$55,AZ63+1,AZ63))))))</f>
        <v>0</v>
      </c>
      <c r="BA64" s="321" t="str">
        <f t="shared" si="13"/>
        <v>1400</v>
      </c>
      <c r="BB64" s="321">
        <f>IF(Instructions!$E$11=8,IF($D64=Instructions!$F$56,BB63+1,BB63),IF(Instructions!$E$11=10,IF($H64=Instructions!$F$56,BB63+1,BB63),IF(Instructions!$E$11=12,IF($L64=Instructions!$F$56,BB63+1,BB63),IF(Instructions!$E$11=14,IF($P64=Instructions!$F$56,BB63+1,BB63),IF(Instructions!$E$11=16,IF($T64=Instructions!$F$56,BB63+1,BB63))))))</f>
        <v>0</v>
      </c>
      <c r="BC64" s="321" t="str">
        <f t="shared" si="14"/>
        <v>1500</v>
      </c>
      <c r="BD64" s="321">
        <f>IF(Instructions!$E$11=8,IF($D64=Instructions!$F$57,BD63+1,BD63),IF(Instructions!$E$11=10,IF($H64=Instructions!$F$57,BD63+1,BD63),IF(Instructions!$E$11=12,IF($L64=Instructions!$F$57,BD63+1,BD63),IF(Instructions!$E$11=14,IF($P64=Instructions!$F$57,BD63+1,BD63),IF(Instructions!$E$11=16,IF($T64=Instructions!$F$57,BD63+1,BD63))))))</f>
        <v>0</v>
      </c>
      <c r="BE64" s="321" t="str">
        <f t="shared" si="15"/>
        <v>1600</v>
      </c>
      <c r="BF64" s="321">
        <v>62</v>
      </c>
    </row>
    <row r="65" spans="1:58" x14ac:dyDescent="0.25">
      <c r="A65" s="280"/>
      <c r="B65" s="323" t="str">
        <f>IF(Instructions!$J$11=1,AA65,IF(Instructions!$J$11=2,AC65,IF(Instructions!$J$11=3,AE65,IF(Instructions!$J$11=4,AG65,IF(Instructions!$J$11=5,AI65,IF(Instructions!$J$11=6,AK65,IF(Instructions!$J$11=7,AM65,IF(Instructions!$J$11=8,AO65,IF(Instructions!$J$11=9,AQ65,IF(Instructions!$J$11=10,AS65,IF(Instructions!$J$11=11,AU65,IF(Instructions!$J$11=12,AW65,IF(Instructions!$J$11=13, AY65, IF(Instructions!$J$11=14,BA65,IF(Instructions!$J$11=15,BC65,BE65)))))))))))))))</f>
        <v>205</v>
      </c>
      <c r="C65" s="271">
        <v>63</v>
      </c>
      <c r="D65" s="328" t="str">
        <f>Instructions!F$43</f>
        <v>Camden</v>
      </c>
      <c r="E65" s="333" t="s">
        <v>797</v>
      </c>
      <c r="F65" s="706"/>
      <c r="G65" s="279">
        <v>8</v>
      </c>
      <c r="H65" s="293" t="str">
        <f>Instructions!F$44</f>
        <v>Cam</v>
      </c>
      <c r="I65" s="273" t="s">
        <v>781</v>
      </c>
      <c r="J65" s="709"/>
      <c r="K65" s="279">
        <v>7</v>
      </c>
      <c r="L65" s="293" t="str">
        <f>Instructions!F$51</f>
        <v>Josh</v>
      </c>
      <c r="M65" s="273" t="s">
        <v>769</v>
      </c>
      <c r="N65" s="709"/>
      <c r="O65" s="279">
        <v>6</v>
      </c>
      <c r="P65" s="293" t="str">
        <f>Instructions!F$48</f>
        <v>Bui</v>
      </c>
      <c r="Q65" s="273" t="s">
        <v>761</v>
      </c>
      <c r="R65" s="709"/>
      <c r="S65" s="279">
        <v>5</v>
      </c>
      <c r="T65" s="328" t="str">
        <f>Instructions!F$43</f>
        <v>Camden</v>
      </c>
      <c r="U65" s="273" t="s">
        <v>1570</v>
      </c>
      <c r="V65" s="706"/>
      <c r="W65" s="279">
        <v>4</v>
      </c>
      <c r="X65" s="280"/>
      <c r="Y65" s="190" t="str">
        <f>IFERROR( IF(Instructions!$E$11=8, D65&amp;COUNTIF(D$3:D65,D65), IF(Instructions!$E$11=10, H65&amp;COUNTIF(H$3:H65,H65),IF(Instructions!$E$11=12, L65&amp;COUNTIF(L$3:L65,L65),IF(Instructions!$E$11=14, P65&amp;COUNTIF(P$3:P65,P65),T65&amp;COUNTIF(T$3:T65,T65))))),"")</f>
        <v>Josh6</v>
      </c>
      <c r="Z65" s="321">
        <f>IF(Instructions!$E$11=8,IF($D65=Instructions!$F$42,Z64+1,Z64),IF(Instructions!$E$11=10,IF($H65=Instructions!$F$42,Z64+1,Z64),IF(Instructions!$E$11=12,IF($L65=Instructions!$F$42,Z64+1,Z64),IF(Instructions!$E$11=14,IF($P65=Instructions!$F$42,Z64+1,Z64),IF(Instructions!$E$11=16,IF($T65=Instructions!$F$42,Z64+1,Z64))))))</f>
        <v>5</v>
      </c>
      <c r="AA65" s="321" t="str">
        <f t="shared" si="8"/>
        <v>105</v>
      </c>
      <c r="AB65" s="321">
        <f>IF(Instructions!$E$11=8,IF($D65=Instructions!$F$43,AB64+1,AB64),IF(Instructions!$E$11=10,IF($H65=Instructions!$F$43,AB64+1,AB64),IF(Instructions!$E$11=12,IF($L65=Instructions!$F$43,AB64+1,AB64),IF(Instructions!$E$11=14,IF($P65=Instructions!$F$43,AB64+1,AB64),IF(Instructions!$E$11=16,IF($T65=Instructions!$F$43,AB64+1,AB64))))))</f>
        <v>5</v>
      </c>
      <c r="AC65" s="321" t="str">
        <f t="shared" si="0"/>
        <v>205</v>
      </c>
      <c r="AD65" s="321">
        <f>IF(Instructions!$E$11=8,IF($D65=Instructions!$F$44,AD64+1,AD64),IF(Instructions!$E$11=10,IF($H65=Instructions!$F$44,AD64+1,AD64),IF(Instructions!$E$11=12,IF($L65=Instructions!$F$44,AD64+1,AD64),IF(Instructions!$E$11=14,IF($P65=Instructions!$F$44,AD64+1,AD64),IF(Instructions!$E$11=16,IF($T65=Instructions!$F$44,AD64+1,AD64))))))</f>
        <v>5</v>
      </c>
      <c r="AE65" s="321" t="str">
        <f t="shared" si="1"/>
        <v>305</v>
      </c>
      <c r="AF65" s="321">
        <f>IF(Instructions!$E$11=8,IF($D65=Instructions!$F$45,AF64+1,AF64),IF(Instructions!$E$11=10,IF($H65=Instructions!$F$45,AF64+1,AF64),IF(Instructions!$E$11=12,IF($L65=Instructions!$F$45,AF64+1,AF64),IF(Instructions!$E$11=14,IF($P65=Instructions!$F$45,AF64+1,AF64),IF(Instructions!$E$11=16,IF($T65=Instructions!$F$45,AF64+1,AF64))))))</f>
        <v>5</v>
      </c>
      <c r="AG65" s="321" t="str">
        <f t="shared" si="2"/>
        <v>405</v>
      </c>
      <c r="AH65" s="321">
        <f>IF(Instructions!$E$11=8,IF($D65=Instructions!$F$46,AH64+1,AH64),IF(Instructions!$E$11=10,IF($H65=Instructions!$F$46,AH64+1,AH64),IF(Instructions!$E$11=12,IF($L65=Instructions!$F$46,AH64+1,AH64),IF(Instructions!$E$11=14,IF($P65=Instructions!$F$46,AH64+1,AH64),IF(Instructions!$E$11=16,IF($T65=Instructions!$F$46,AH64+1,AH64))))))</f>
        <v>5</v>
      </c>
      <c r="AI65" s="321" t="str">
        <f t="shared" si="3"/>
        <v>505</v>
      </c>
      <c r="AJ65" s="321">
        <f>IF(Instructions!$E$11=8,IF($D65=Instructions!$F$47,AJ64+1,AJ64),IF(Instructions!$E$11=10,IF($H65=Instructions!$F$47,AJ64+1,AJ64),IF(Instructions!$E$11=12,IF($L65=Instructions!$F$47,AJ64+1,AJ64),IF(Instructions!$E$11=14,IF($P65=Instructions!$F$47,AJ64+1,AJ64),IF(Instructions!$E$11=16,IF($T65=Instructions!$F$47,AJ64+1,AJ64))))))</f>
        <v>5</v>
      </c>
      <c r="AK65" s="321" t="str">
        <f t="shared" si="4"/>
        <v>605</v>
      </c>
      <c r="AL65" s="321">
        <f>IF(Instructions!$E$11=8,IF($D65=Instructions!$F$48,AL64+1,AL64),IF(Instructions!$E$11=10,IF($H65=Instructions!$F$48,AL64+1,AL64),IF(Instructions!$E$11=12,IF($L65=Instructions!$F$48,AL64+1,AL64),IF(Instructions!$E$11=14,IF($P65=Instructions!$F$48,AL64+1,AL64),IF(Instructions!$E$11=16,IF($T65=Instructions!$F$48,AL64+1,AL64))))))</f>
        <v>5</v>
      </c>
      <c r="AM65" s="321" t="str">
        <f t="shared" si="5"/>
        <v>705</v>
      </c>
      <c r="AN65" s="321">
        <f>IF(Instructions!$E$11=8,IF($D65=Instructions!$F$49,AN64+1,AN64),IF(Instructions!$E$11=10,IF($H65=Instructions!$F$49,AN64+1,AN64),IF(Instructions!$E$11=12,IF($L65=Instructions!$F$49,AN64+1,AN64),IF(Instructions!$E$11=14,IF($P65=Instructions!$F$49,AN64+1,AN64),IF(Instructions!$E$11=16,IF($T65=Instructions!$F$49,AN64+1,AN64))))))</f>
        <v>5</v>
      </c>
      <c r="AO65" s="321" t="str">
        <f t="shared" si="6"/>
        <v>805</v>
      </c>
      <c r="AP65" s="321">
        <f>IF(Instructions!$E$11=8,IF($D65=Instructions!$F$50,AP64+1,AP64),IF(Instructions!$E$11=10,IF($H65=Instructions!$F$50,AP64+1,AP64),IF(Instructions!$E$11=12,IF($L65=Instructions!$F$50,AP64+1,AP64),IF(Instructions!$E$11=14,IF($P65=Instructions!$F$50,AP64+1,AP64),IF(Instructions!$E$11=16,IF($T65=Instructions!$F$50,AP64+1,AP64))))))</f>
        <v>5</v>
      </c>
      <c r="AQ65" s="321" t="str">
        <f t="shared" si="7"/>
        <v>905</v>
      </c>
      <c r="AR65" s="321">
        <f>IF(Instructions!$E$11=8,IF($D65=Instructions!$F$51,AR64+1,AR64),IF(Instructions!$E$11=10,IF($H65=Instructions!$F$51,AR64+1,AR64),IF(Instructions!$E$11=12,IF($L65=Instructions!$F$51,AR64+1,AR64),IF(Instructions!$E$11=14,IF($P65=Instructions!$F$51,AR64+1,AR64),IF(Instructions!$E$11=16,IF($T65=Instructions!$F$51,AR64+1,AR64))))))</f>
        <v>6</v>
      </c>
      <c r="AS65" s="321" t="str">
        <f t="shared" si="9"/>
        <v>1006</v>
      </c>
      <c r="AT65" s="321">
        <f>IF(Instructions!$E$11=8,IF($D65=Instructions!$F$52,AT64+1,AT64),IF(Instructions!$E$11=10,IF($H65=Instructions!$F$52,AT64+1,AT64),IF(Instructions!$E$11=12,IF($L65=Instructions!$F$52,AT64+1,AT64),IF(Instructions!$E$11=14,IF($P65=Instructions!$F$52,AT64+1,AT64),IF(Instructions!$E$11=16,IF($T65=Instructions!$F$52,AT64+1,AT64))))))</f>
        <v>6</v>
      </c>
      <c r="AU65" s="321" t="str">
        <f t="shared" si="10"/>
        <v>1106</v>
      </c>
      <c r="AV65" s="321">
        <f>IF(Instructions!$E$11=8,IF($D65=Instructions!$F$53,AV64+1,AV64),IF(Instructions!$E$11=10,IF($H65=Instructions!$F$53,AV64+1,AV64),IF(Instructions!$E$11=12,IF($L65=Instructions!$F$53,AV64+1,AV64),IF(Instructions!$E$11=14,IF($P65=Instructions!$F$53,AV64+1,AV64),IF(Instructions!$E$11=16,IF($T65=Instructions!$F$53,AV64+1,AV64))))))</f>
        <v>6</v>
      </c>
      <c r="AW65" s="321" t="str">
        <f t="shared" si="11"/>
        <v>1206</v>
      </c>
      <c r="AX65" s="321">
        <f>IF(Instructions!$E$11=8,IF($D65=Instructions!$F$54,AX64+1,AX64),IF(Instructions!$E$11=10,IF($H65=Instructions!$F$54,AX64+1,AX64),IF(Instructions!$E$11=12,IF($L65=Instructions!$F$54,AX64+1,AX64),IF(Instructions!$E$11=14,IF($P65=Instructions!$F$54,AX64+1,AX64),IF(Instructions!$E$11=16,IF($T65=Instructions!$F$54,AX64+1,AX64))))))</f>
        <v>0</v>
      </c>
      <c r="AY65" s="321" t="str">
        <f t="shared" si="12"/>
        <v>1300</v>
      </c>
      <c r="AZ65" s="321">
        <f>IF(Instructions!$E$11=8,IF($D65=Instructions!$F$55,AZ64+1,AZ64),IF(Instructions!$E$11=10,IF($H65=Instructions!$F$55,AZ64+1,AZ64),IF(Instructions!$E$11=12,IF($L65=Instructions!$F$55,AZ64+1,AZ64),IF(Instructions!$E$11=14,IF($P65=Instructions!$F$55,AZ64+1,AZ64),IF(Instructions!$E$11=16,IF($T65=Instructions!$F$55,AZ64+1,AZ64))))))</f>
        <v>0</v>
      </c>
      <c r="BA65" s="321" t="str">
        <f t="shared" si="13"/>
        <v>1400</v>
      </c>
      <c r="BB65" s="321">
        <f>IF(Instructions!$E$11=8,IF($D65=Instructions!$F$56,BB64+1,BB64),IF(Instructions!$E$11=10,IF($H65=Instructions!$F$56,BB64+1,BB64),IF(Instructions!$E$11=12,IF($L65=Instructions!$F$56,BB64+1,BB64),IF(Instructions!$E$11=14,IF($P65=Instructions!$F$56,BB64+1,BB64),IF(Instructions!$E$11=16,IF($T65=Instructions!$F$56,BB64+1,BB64))))))</f>
        <v>0</v>
      </c>
      <c r="BC65" s="321" t="str">
        <f t="shared" si="14"/>
        <v>1500</v>
      </c>
      <c r="BD65" s="321">
        <f>IF(Instructions!$E$11=8,IF($D65=Instructions!$F$57,BD64+1,BD64),IF(Instructions!$E$11=10,IF($H65=Instructions!$F$57,BD64+1,BD64),IF(Instructions!$E$11=12,IF($L65=Instructions!$F$57,BD64+1,BD64),IF(Instructions!$E$11=14,IF($P65=Instructions!$F$57,BD64+1,BD64),IF(Instructions!$E$11=16,IF($T65=Instructions!$F$57,BD64+1,BD64))))))</f>
        <v>0</v>
      </c>
      <c r="BE65" s="321" t="str">
        <f t="shared" si="15"/>
        <v>1600</v>
      </c>
      <c r="BF65" s="321">
        <v>63</v>
      </c>
    </row>
    <row r="66" spans="1:58" ht="15.75" thickBot="1" x14ac:dyDescent="0.3">
      <c r="A66" s="280"/>
      <c r="B66" s="323" t="str">
        <f>IF(Instructions!$J$11=1,AA66,IF(Instructions!$J$11=2,AC66,IF(Instructions!$J$11=3,AE66,IF(Instructions!$J$11=4,AG66,IF(Instructions!$J$11=5,AI66,IF(Instructions!$J$11=6,AK66,IF(Instructions!$J$11=7,AM66,IF(Instructions!$J$11=8,AO66,IF(Instructions!$J$11=9,AQ66,IF(Instructions!$J$11=10,AS66,IF(Instructions!$J$11=11,AU66,IF(Instructions!$J$11=12,AW66,IF(Instructions!$J$11=13, AY66, IF(Instructions!$J$11=14,BA66,IF(Instructions!$J$11=15,BC66,BE66)))))))))))))))</f>
        <v>205</v>
      </c>
      <c r="C66" s="272">
        <v>64</v>
      </c>
      <c r="D66" s="329" t="str">
        <f>Instructions!F$42</f>
        <v>Trumbo</v>
      </c>
      <c r="E66" s="332" t="s">
        <v>798</v>
      </c>
      <c r="F66" s="707"/>
      <c r="G66" s="279">
        <v>8</v>
      </c>
      <c r="H66" s="294" t="str">
        <f>Instructions!F$45</f>
        <v>Miles</v>
      </c>
      <c r="I66" s="274" t="s">
        <v>782</v>
      </c>
      <c r="J66" s="709"/>
      <c r="K66" s="279">
        <v>7</v>
      </c>
      <c r="L66" s="294" t="str">
        <f>Instructions!F$50</f>
        <v>Dan</v>
      </c>
      <c r="M66" s="274" t="s">
        <v>770</v>
      </c>
      <c r="N66" s="709"/>
      <c r="O66" s="279">
        <v>6</v>
      </c>
      <c r="P66" s="294" t="str">
        <f>Instructions!F$49</f>
        <v>Luke</v>
      </c>
      <c r="Q66" s="274" t="s">
        <v>762</v>
      </c>
      <c r="R66" s="709"/>
      <c r="S66" s="279">
        <v>5</v>
      </c>
      <c r="T66" s="329" t="str">
        <f>Instructions!F$42</f>
        <v>Trumbo</v>
      </c>
      <c r="U66" s="330" t="s">
        <v>1571</v>
      </c>
      <c r="V66" s="707"/>
      <c r="W66" s="279">
        <v>4</v>
      </c>
      <c r="X66" s="280"/>
      <c r="Y66" s="190" t="str">
        <f>IFERROR( IF(Instructions!$E$11=8, D66&amp;COUNTIF(D$3:D66,D66), IF(Instructions!$E$11=10, H66&amp;COUNTIF(H$3:H66,H66),IF(Instructions!$E$11=12, L66&amp;COUNTIF(L$3:L66,L66),IF(Instructions!$E$11=14, P66&amp;COUNTIF(P$3:P66,P66),T66&amp;COUNTIF(T$3:T66,T66))))),"")</f>
        <v>Dan6</v>
      </c>
      <c r="Z66" s="321">
        <f>IF(Instructions!$E$11=8,IF($D66=Instructions!$F$42,Z65+1,Z65),IF(Instructions!$E$11=10,IF($H66=Instructions!$F$42,Z65+1,Z65),IF(Instructions!$E$11=12,IF($L66=Instructions!$F$42,Z65+1,Z65),IF(Instructions!$E$11=14,IF($P66=Instructions!$F$42,Z65+1,Z65),IF(Instructions!$E$11=16,IF($T66=Instructions!$F$42,Z65+1,Z65))))))</f>
        <v>5</v>
      </c>
      <c r="AA66" s="321" t="str">
        <f t="shared" si="8"/>
        <v>105</v>
      </c>
      <c r="AB66" s="321">
        <f>IF(Instructions!$E$11=8,IF($D66=Instructions!$F$43,AB65+1,AB65),IF(Instructions!$E$11=10,IF($H66=Instructions!$F$43,AB65+1,AB65),IF(Instructions!$E$11=12,IF($L66=Instructions!$F$43,AB65+1,AB65),IF(Instructions!$E$11=14,IF($P66=Instructions!$F$43,AB65+1,AB65),IF(Instructions!$E$11=16,IF($T66=Instructions!$F$43,AB65+1,AB65))))))</f>
        <v>5</v>
      </c>
      <c r="AC66" s="321" t="str">
        <f t="shared" si="0"/>
        <v>205</v>
      </c>
      <c r="AD66" s="321">
        <f>IF(Instructions!$E$11=8,IF($D66=Instructions!$F$44,AD65+1,AD65),IF(Instructions!$E$11=10,IF($H66=Instructions!$F$44,AD65+1,AD65),IF(Instructions!$E$11=12,IF($L66=Instructions!$F$44,AD65+1,AD65),IF(Instructions!$E$11=14,IF($P66=Instructions!$F$44,AD65+1,AD65),IF(Instructions!$E$11=16,IF($T66=Instructions!$F$44,AD65+1,AD65))))))</f>
        <v>5</v>
      </c>
      <c r="AE66" s="321" t="str">
        <f t="shared" si="1"/>
        <v>305</v>
      </c>
      <c r="AF66" s="321">
        <f>IF(Instructions!$E$11=8,IF($D66=Instructions!$F$45,AF65+1,AF65),IF(Instructions!$E$11=10,IF($H66=Instructions!$F$45,AF65+1,AF65),IF(Instructions!$E$11=12,IF($L66=Instructions!$F$45,AF65+1,AF65),IF(Instructions!$E$11=14,IF($P66=Instructions!$F$45,AF65+1,AF65),IF(Instructions!$E$11=16,IF($T66=Instructions!$F$45,AF65+1,AF65))))))</f>
        <v>5</v>
      </c>
      <c r="AG66" s="321" t="str">
        <f t="shared" si="2"/>
        <v>405</v>
      </c>
      <c r="AH66" s="321">
        <f>IF(Instructions!$E$11=8,IF($D66=Instructions!$F$46,AH65+1,AH65),IF(Instructions!$E$11=10,IF($H66=Instructions!$F$46,AH65+1,AH65),IF(Instructions!$E$11=12,IF($L66=Instructions!$F$46,AH65+1,AH65),IF(Instructions!$E$11=14,IF($P66=Instructions!$F$46,AH65+1,AH65),IF(Instructions!$E$11=16,IF($T66=Instructions!$F$46,AH65+1,AH65))))))</f>
        <v>5</v>
      </c>
      <c r="AI66" s="321" t="str">
        <f t="shared" si="3"/>
        <v>505</v>
      </c>
      <c r="AJ66" s="321">
        <f>IF(Instructions!$E$11=8,IF($D66=Instructions!$F$47,AJ65+1,AJ65),IF(Instructions!$E$11=10,IF($H66=Instructions!$F$47,AJ65+1,AJ65),IF(Instructions!$E$11=12,IF($L66=Instructions!$F$47,AJ65+1,AJ65),IF(Instructions!$E$11=14,IF($P66=Instructions!$F$47,AJ65+1,AJ65),IF(Instructions!$E$11=16,IF($T66=Instructions!$F$47,AJ65+1,AJ65))))))</f>
        <v>5</v>
      </c>
      <c r="AK66" s="321" t="str">
        <f t="shared" si="4"/>
        <v>605</v>
      </c>
      <c r="AL66" s="321">
        <f>IF(Instructions!$E$11=8,IF($D66=Instructions!$F$48,AL65+1,AL65),IF(Instructions!$E$11=10,IF($H66=Instructions!$F$48,AL65+1,AL65),IF(Instructions!$E$11=12,IF($L66=Instructions!$F$48,AL65+1,AL65),IF(Instructions!$E$11=14,IF($P66=Instructions!$F$48,AL65+1,AL65),IF(Instructions!$E$11=16,IF($T66=Instructions!$F$48,AL65+1,AL65))))))</f>
        <v>5</v>
      </c>
      <c r="AM66" s="321" t="str">
        <f t="shared" si="5"/>
        <v>705</v>
      </c>
      <c r="AN66" s="321">
        <f>IF(Instructions!$E$11=8,IF($D66=Instructions!$F$49,AN65+1,AN65),IF(Instructions!$E$11=10,IF($H66=Instructions!$F$49,AN65+1,AN65),IF(Instructions!$E$11=12,IF($L66=Instructions!$F$49,AN65+1,AN65),IF(Instructions!$E$11=14,IF($P66=Instructions!$F$49,AN65+1,AN65),IF(Instructions!$E$11=16,IF($T66=Instructions!$F$49,AN65+1,AN65))))))</f>
        <v>5</v>
      </c>
      <c r="AO66" s="321" t="str">
        <f t="shared" si="6"/>
        <v>805</v>
      </c>
      <c r="AP66" s="321">
        <f>IF(Instructions!$E$11=8,IF($D66=Instructions!$F$50,AP65+1,AP65),IF(Instructions!$E$11=10,IF($H66=Instructions!$F$50,AP65+1,AP65),IF(Instructions!$E$11=12,IF($L66=Instructions!$F$50,AP65+1,AP65),IF(Instructions!$E$11=14,IF($P66=Instructions!$F$50,AP65+1,AP65),IF(Instructions!$E$11=16,IF($T66=Instructions!$F$50,AP65+1,AP65))))))</f>
        <v>6</v>
      </c>
      <c r="AQ66" s="321" t="str">
        <f t="shared" si="7"/>
        <v>906</v>
      </c>
      <c r="AR66" s="321">
        <f>IF(Instructions!$E$11=8,IF($D66=Instructions!$F$51,AR65+1,AR65),IF(Instructions!$E$11=10,IF($H66=Instructions!$F$51,AR65+1,AR65),IF(Instructions!$E$11=12,IF($L66=Instructions!$F$51,AR65+1,AR65),IF(Instructions!$E$11=14,IF($P66=Instructions!$F$51,AR65+1,AR65),IF(Instructions!$E$11=16,IF($T66=Instructions!$F$51,AR65+1,AR65))))))</f>
        <v>6</v>
      </c>
      <c r="AS66" s="321" t="str">
        <f t="shared" si="9"/>
        <v>1006</v>
      </c>
      <c r="AT66" s="321">
        <f>IF(Instructions!$E$11=8,IF($D66=Instructions!$F$52,AT65+1,AT65),IF(Instructions!$E$11=10,IF($H66=Instructions!$F$52,AT65+1,AT65),IF(Instructions!$E$11=12,IF($L66=Instructions!$F$52,AT65+1,AT65),IF(Instructions!$E$11=14,IF($P66=Instructions!$F$52,AT65+1,AT65),IF(Instructions!$E$11=16,IF($T66=Instructions!$F$52,AT65+1,AT65))))))</f>
        <v>6</v>
      </c>
      <c r="AU66" s="321" t="str">
        <f t="shared" si="10"/>
        <v>1106</v>
      </c>
      <c r="AV66" s="321">
        <f>IF(Instructions!$E$11=8,IF($D66=Instructions!$F$53,AV65+1,AV65),IF(Instructions!$E$11=10,IF($H66=Instructions!$F$53,AV65+1,AV65),IF(Instructions!$E$11=12,IF($L66=Instructions!$F$53,AV65+1,AV65),IF(Instructions!$E$11=14,IF($P66=Instructions!$F$53,AV65+1,AV65),IF(Instructions!$E$11=16,IF($T66=Instructions!$F$53,AV65+1,AV65))))))</f>
        <v>6</v>
      </c>
      <c r="AW66" s="321" t="str">
        <f t="shared" si="11"/>
        <v>1206</v>
      </c>
      <c r="AX66" s="321">
        <f>IF(Instructions!$E$11=8,IF($D66=Instructions!$F$54,AX65+1,AX65),IF(Instructions!$E$11=10,IF($H66=Instructions!$F$54,AX65+1,AX65),IF(Instructions!$E$11=12,IF($L66=Instructions!$F$54,AX65+1,AX65),IF(Instructions!$E$11=14,IF($P66=Instructions!$F$54,AX65+1,AX65),IF(Instructions!$E$11=16,IF($T66=Instructions!$F$54,AX65+1,AX65))))))</f>
        <v>0</v>
      </c>
      <c r="AY66" s="321" t="str">
        <f t="shared" si="12"/>
        <v>1300</v>
      </c>
      <c r="AZ66" s="321">
        <f>IF(Instructions!$E$11=8,IF($D66=Instructions!$F$55,AZ65+1,AZ65),IF(Instructions!$E$11=10,IF($H66=Instructions!$F$55,AZ65+1,AZ65),IF(Instructions!$E$11=12,IF($L66=Instructions!$F$55,AZ65+1,AZ65),IF(Instructions!$E$11=14,IF($P66=Instructions!$F$55,AZ65+1,AZ65),IF(Instructions!$E$11=16,IF($T66=Instructions!$F$55,AZ65+1,AZ65))))))</f>
        <v>0</v>
      </c>
      <c r="BA66" s="321" t="str">
        <f t="shared" si="13"/>
        <v>1400</v>
      </c>
      <c r="BB66" s="321">
        <f>IF(Instructions!$E$11=8,IF($D66=Instructions!$F$56,BB65+1,BB65),IF(Instructions!$E$11=10,IF($H66=Instructions!$F$56,BB65+1,BB65),IF(Instructions!$E$11=12,IF($L66=Instructions!$F$56,BB65+1,BB65),IF(Instructions!$E$11=14,IF($P66=Instructions!$F$56,BB65+1,BB65),IF(Instructions!$E$11=16,IF($T66=Instructions!$F$56,BB65+1,BB65))))))</f>
        <v>0</v>
      </c>
      <c r="BC66" s="321" t="str">
        <f t="shared" si="14"/>
        <v>1500</v>
      </c>
      <c r="BD66" s="321">
        <f>IF(Instructions!$E$11=8,IF($D66=Instructions!$F$57,BD65+1,BD65),IF(Instructions!$E$11=10,IF($H66=Instructions!$F$57,BD65+1,BD65),IF(Instructions!$E$11=12,IF($L66=Instructions!$F$57,BD65+1,BD65),IF(Instructions!$E$11=14,IF($P66=Instructions!$F$57,BD65+1,BD65),IF(Instructions!$E$11=16,IF($T66=Instructions!$F$57,BD65+1,BD65))))))</f>
        <v>0</v>
      </c>
      <c r="BE66" s="321" t="str">
        <f t="shared" si="15"/>
        <v>1600</v>
      </c>
      <c r="BF66" s="321">
        <v>64</v>
      </c>
    </row>
    <row r="67" spans="1:58" ht="15" customHeight="1" x14ac:dyDescent="0.25">
      <c r="A67" s="280"/>
      <c r="B67" s="323" t="str">
        <f>IF(Instructions!$J$11=1,AA67,IF(Instructions!$J$11=2,AC67,IF(Instructions!$J$11=3,AE67,IF(Instructions!$J$11=4,AG67,IF(Instructions!$J$11=5,AI67,IF(Instructions!$J$11=6,AK67,IF(Instructions!$J$11=7,AM67,IF(Instructions!$J$11=8,AO67,IF(Instructions!$J$11=9,AQ67,IF(Instructions!$J$11=10,AS67,IF(Instructions!$J$11=11,AU67,IF(Instructions!$J$11=12,AW67,IF(Instructions!$J$11=13, AY67, IF(Instructions!$J$11=14,BA67,IF(Instructions!$J$11=15,BC67,BE67)))))))))))))))</f>
        <v>205</v>
      </c>
      <c r="C67" s="271">
        <v>65</v>
      </c>
      <c r="D67" s="325" t="str">
        <f>Instructions!F$42</f>
        <v>Trumbo</v>
      </c>
      <c r="E67" s="331" t="s">
        <v>803</v>
      </c>
      <c r="F67" s="705" t="s">
        <v>904</v>
      </c>
      <c r="G67" s="279">
        <v>9</v>
      </c>
      <c r="H67" s="293" t="str">
        <f>Instructions!F$46</f>
        <v>Con</v>
      </c>
      <c r="I67" s="273" t="s">
        <v>783</v>
      </c>
      <c r="J67" s="709"/>
      <c r="K67" s="279">
        <v>7</v>
      </c>
      <c r="L67" s="293" t="str">
        <f>Instructions!F$49</f>
        <v>Luke</v>
      </c>
      <c r="M67" s="273" t="s">
        <v>771</v>
      </c>
      <c r="N67" s="709"/>
      <c r="O67" s="279">
        <v>6</v>
      </c>
      <c r="P67" s="293" t="str">
        <f>Instructions!F$50</f>
        <v>Dan</v>
      </c>
      <c r="Q67" s="273" t="s">
        <v>763</v>
      </c>
      <c r="R67" s="709"/>
      <c r="S67" s="279">
        <v>5</v>
      </c>
      <c r="T67" s="325" t="str">
        <f>Instructions!F$42</f>
        <v>Trumbo</v>
      </c>
      <c r="U67" s="326" t="s">
        <v>755</v>
      </c>
      <c r="V67" s="705" t="s">
        <v>900</v>
      </c>
      <c r="W67" s="279">
        <v>5</v>
      </c>
      <c r="X67" s="280"/>
      <c r="Y67" s="190" t="str">
        <f>IFERROR( IF(Instructions!$E$11=8, D67&amp;COUNTIF(D$3:D67,D67), IF(Instructions!$E$11=10, H67&amp;COUNTIF(H$3:H67,H67),IF(Instructions!$E$11=12, L67&amp;COUNTIF(L$3:L67,L67),IF(Instructions!$E$11=14, P67&amp;COUNTIF(P$3:P67,P67),T67&amp;COUNTIF(T$3:T67,T67))))),"")</f>
        <v>Luke6</v>
      </c>
      <c r="Z67" s="321">
        <f>IF(Instructions!$E$11=8,IF($D67=Instructions!$F$42,Z66+1,Z66),IF(Instructions!$E$11=10,IF($H67=Instructions!$F$42,Z66+1,Z66),IF(Instructions!$E$11=12,IF($L67=Instructions!$F$42,Z66+1,Z66),IF(Instructions!$E$11=14,IF($P67=Instructions!$F$42,Z66+1,Z66),IF(Instructions!$E$11=16,IF($T67=Instructions!$F$42,Z66+1,Z66))))))</f>
        <v>5</v>
      </c>
      <c r="AA67" s="321" t="str">
        <f t="shared" si="8"/>
        <v>105</v>
      </c>
      <c r="AB67" s="321">
        <f>IF(Instructions!$E$11=8,IF($D67=Instructions!$F$43,AB66+1,AB66),IF(Instructions!$E$11=10,IF($H67=Instructions!$F$43,AB66+1,AB66),IF(Instructions!$E$11=12,IF($L67=Instructions!$F$43,AB66+1,AB66),IF(Instructions!$E$11=14,IF($P67=Instructions!$F$43,AB66+1,AB66),IF(Instructions!$E$11=16,IF($T67=Instructions!$F$43,AB66+1,AB66))))))</f>
        <v>5</v>
      </c>
      <c r="AC67" s="321" t="str">
        <f t="shared" ref="AC67:AC130" si="16">IF(AB67&lt;10, 2&amp;0&amp;AB67, 2&amp;AB67)</f>
        <v>205</v>
      </c>
      <c r="AD67" s="321">
        <f>IF(Instructions!$E$11=8,IF($D67=Instructions!$F$44,AD66+1,AD66),IF(Instructions!$E$11=10,IF($H67=Instructions!$F$44,AD66+1,AD66),IF(Instructions!$E$11=12,IF($L67=Instructions!$F$44,AD66+1,AD66),IF(Instructions!$E$11=14,IF($P67=Instructions!$F$44,AD66+1,AD66),IF(Instructions!$E$11=16,IF($T67=Instructions!$F$44,AD66+1,AD66))))))</f>
        <v>5</v>
      </c>
      <c r="AE67" s="321" t="str">
        <f t="shared" ref="AE67:AE130" si="17">IF(AD67&lt;10, 3&amp;0&amp;AD67, 3&amp;AD67)</f>
        <v>305</v>
      </c>
      <c r="AF67" s="321">
        <f>IF(Instructions!$E$11=8,IF($D67=Instructions!$F$45,AF66+1,AF66),IF(Instructions!$E$11=10,IF($H67=Instructions!$F$45,AF66+1,AF66),IF(Instructions!$E$11=12,IF($L67=Instructions!$F$45,AF66+1,AF66),IF(Instructions!$E$11=14,IF($P67=Instructions!$F$45,AF66+1,AF66),IF(Instructions!$E$11=16,IF($T67=Instructions!$F$45,AF66+1,AF66))))))</f>
        <v>5</v>
      </c>
      <c r="AG67" s="321" t="str">
        <f t="shared" ref="AG67:AG130" si="18">IF(AF67&lt;10, 4&amp;0&amp;AF67, 4&amp;AF67)</f>
        <v>405</v>
      </c>
      <c r="AH67" s="321">
        <f>IF(Instructions!$E$11=8,IF($D67=Instructions!$F$46,AH66+1,AH66),IF(Instructions!$E$11=10,IF($H67=Instructions!$F$46,AH66+1,AH66),IF(Instructions!$E$11=12,IF($L67=Instructions!$F$46,AH66+1,AH66),IF(Instructions!$E$11=14,IF($P67=Instructions!$F$46,AH66+1,AH66),IF(Instructions!$E$11=16,IF($T67=Instructions!$F$46,AH66+1,AH66))))))</f>
        <v>5</v>
      </c>
      <c r="AI67" s="321" t="str">
        <f t="shared" ref="AI67:AI130" si="19">IF(AH67&lt;10, 5&amp;0&amp;AH67, 5&amp;AH67)</f>
        <v>505</v>
      </c>
      <c r="AJ67" s="321">
        <f>IF(Instructions!$E$11=8,IF($D67=Instructions!$F$47,AJ66+1,AJ66),IF(Instructions!$E$11=10,IF($H67=Instructions!$F$47,AJ66+1,AJ66),IF(Instructions!$E$11=12,IF($L67=Instructions!$F$47,AJ66+1,AJ66),IF(Instructions!$E$11=14,IF($P67=Instructions!$F$47,AJ66+1,AJ66),IF(Instructions!$E$11=16,IF($T67=Instructions!$F$47,AJ66+1,AJ66))))))</f>
        <v>5</v>
      </c>
      <c r="AK67" s="321" t="str">
        <f t="shared" ref="AK67:AK130" si="20">IF(AJ67&lt;10, 6&amp;0&amp;AJ67, 6&amp;AJ67)</f>
        <v>605</v>
      </c>
      <c r="AL67" s="321">
        <f>IF(Instructions!$E$11=8,IF($D67=Instructions!$F$48,AL66+1,AL66),IF(Instructions!$E$11=10,IF($H67=Instructions!$F$48,AL66+1,AL66),IF(Instructions!$E$11=12,IF($L67=Instructions!$F$48,AL66+1,AL66),IF(Instructions!$E$11=14,IF($P67=Instructions!$F$48,AL66+1,AL66),IF(Instructions!$E$11=16,IF($T67=Instructions!$F$48,AL66+1,AL66))))))</f>
        <v>5</v>
      </c>
      <c r="AM67" s="321" t="str">
        <f t="shared" ref="AM67:AM130" si="21">IF(AL67&lt;10, 7&amp;0&amp;AL67, 7&amp;AL67)</f>
        <v>705</v>
      </c>
      <c r="AN67" s="321">
        <f>IF(Instructions!$E$11=8,IF($D67=Instructions!$F$49,AN66+1,AN66),IF(Instructions!$E$11=10,IF($H67=Instructions!$F$49,AN66+1,AN66),IF(Instructions!$E$11=12,IF($L67=Instructions!$F$49,AN66+1,AN66),IF(Instructions!$E$11=14,IF($P67=Instructions!$F$49,AN66+1,AN66),IF(Instructions!$E$11=16,IF($T67=Instructions!$F$49,AN66+1,AN66))))))</f>
        <v>6</v>
      </c>
      <c r="AO67" s="321" t="str">
        <f t="shared" ref="AO67:AO130" si="22">IF(AN67&lt;10, 8&amp;0&amp;AN67, 8&amp;AN67)</f>
        <v>806</v>
      </c>
      <c r="AP67" s="321">
        <f>IF(Instructions!$E$11=8,IF($D67=Instructions!$F$50,AP66+1,AP66),IF(Instructions!$E$11=10,IF($H67=Instructions!$F$50,AP66+1,AP66),IF(Instructions!$E$11=12,IF($L67=Instructions!$F$50,AP66+1,AP66),IF(Instructions!$E$11=14,IF($P67=Instructions!$F$50,AP66+1,AP66),IF(Instructions!$E$11=16,IF($T67=Instructions!$F$50,AP66+1,AP66))))))</f>
        <v>6</v>
      </c>
      <c r="AQ67" s="321" t="str">
        <f t="shared" ref="AQ67:AQ130" si="23">IF(AP67&lt;10, 9&amp;0&amp;AP67, 9&amp;AP67)</f>
        <v>906</v>
      </c>
      <c r="AR67" s="321">
        <f>IF(Instructions!$E$11=8,IF($D67=Instructions!$F$51,AR66+1,AR66),IF(Instructions!$E$11=10,IF($H67=Instructions!$F$51,AR66+1,AR66),IF(Instructions!$E$11=12,IF($L67=Instructions!$F$51,AR66+1,AR66),IF(Instructions!$E$11=14,IF($P67=Instructions!$F$51,AR66+1,AR66),IF(Instructions!$E$11=16,IF($T67=Instructions!$F$51,AR66+1,AR66))))))</f>
        <v>6</v>
      </c>
      <c r="AS67" s="321" t="str">
        <f t="shared" si="9"/>
        <v>1006</v>
      </c>
      <c r="AT67" s="321">
        <f>IF(Instructions!$E$11=8,IF($D67=Instructions!$F$52,AT66+1,AT66),IF(Instructions!$E$11=10,IF($H67=Instructions!$F$52,AT66+1,AT66),IF(Instructions!$E$11=12,IF($L67=Instructions!$F$52,AT66+1,AT66),IF(Instructions!$E$11=14,IF($P67=Instructions!$F$52,AT66+1,AT66),IF(Instructions!$E$11=16,IF($T67=Instructions!$F$52,AT66+1,AT66))))))</f>
        <v>6</v>
      </c>
      <c r="AU67" s="321" t="str">
        <f t="shared" si="10"/>
        <v>1106</v>
      </c>
      <c r="AV67" s="321">
        <f>IF(Instructions!$E$11=8,IF($D67=Instructions!$F$53,AV66+1,AV66),IF(Instructions!$E$11=10,IF($H67=Instructions!$F$53,AV66+1,AV66),IF(Instructions!$E$11=12,IF($L67=Instructions!$F$53,AV66+1,AV66),IF(Instructions!$E$11=14,IF($P67=Instructions!$F$53,AV66+1,AV66),IF(Instructions!$E$11=16,IF($T67=Instructions!$F$53,AV66+1,AV66))))))</f>
        <v>6</v>
      </c>
      <c r="AW67" s="321" t="str">
        <f t="shared" si="11"/>
        <v>1206</v>
      </c>
      <c r="AX67" s="321">
        <f>IF(Instructions!$E$11=8,IF($D67=Instructions!$F$54,AX66+1,AX66),IF(Instructions!$E$11=10,IF($H67=Instructions!$F$54,AX66+1,AX66),IF(Instructions!$E$11=12,IF($L67=Instructions!$F$54,AX66+1,AX66),IF(Instructions!$E$11=14,IF($P67=Instructions!$F$54,AX66+1,AX66),IF(Instructions!$E$11=16,IF($T67=Instructions!$F$54,AX66+1,AX66))))))</f>
        <v>0</v>
      </c>
      <c r="AY67" s="321" t="str">
        <f t="shared" si="12"/>
        <v>1300</v>
      </c>
      <c r="AZ67" s="321">
        <f>IF(Instructions!$E$11=8,IF($D67=Instructions!$F$55,AZ66+1,AZ66),IF(Instructions!$E$11=10,IF($H67=Instructions!$F$55,AZ66+1,AZ66),IF(Instructions!$E$11=12,IF($L67=Instructions!$F$55,AZ66+1,AZ66),IF(Instructions!$E$11=14,IF($P67=Instructions!$F$55,AZ66+1,AZ66),IF(Instructions!$E$11=16,IF($T67=Instructions!$F$55,AZ66+1,AZ66))))))</f>
        <v>0</v>
      </c>
      <c r="BA67" s="321" t="str">
        <f t="shared" si="13"/>
        <v>1400</v>
      </c>
      <c r="BB67" s="321">
        <f>IF(Instructions!$E$11=8,IF($D67=Instructions!$F$56,BB66+1,BB66),IF(Instructions!$E$11=10,IF($H67=Instructions!$F$56,BB66+1,BB66),IF(Instructions!$E$11=12,IF($L67=Instructions!$F$56,BB66+1,BB66),IF(Instructions!$E$11=14,IF($P67=Instructions!$F$56,BB66+1,BB66),IF(Instructions!$E$11=16,IF($T67=Instructions!$F$56,BB66+1,BB66))))))</f>
        <v>0</v>
      </c>
      <c r="BC67" s="321" t="str">
        <f t="shared" si="14"/>
        <v>1500</v>
      </c>
      <c r="BD67" s="321">
        <f>IF(Instructions!$E$11=8,IF($D67=Instructions!$F$57,BD66+1,BD66),IF(Instructions!$E$11=10,IF($H67=Instructions!$F$57,BD66+1,BD66),IF(Instructions!$E$11=12,IF($L67=Instructions!$F$57,BD66+1,BD66),IF(Instructions!$E$11=14,IF($P67=Instructions!$F$57,BD66+1,BD66),IF(Instructions!$E$11=16,IF($T67=Instructions!$F$57,BD66+1,BD66))))))</f>
        <v>0</v>
      </c>
      <c r="BE67" s="321" t="str">
        <f t="shared" si="15"/>
        <v>1600</v>
      </c>
      <c r="BF67" s="321">
        <v>65</v>
      </c>
    </row>
    <row r="68" spans="1:58" x14ac:dyDescent="0.25">
      <c r="A68" s="280"/>
      <c r="B68" s="323" t="str">
        <f>IF(Instructions!$J$11=1,AA68,IF(Instructions!$J$11=2,AC68,IF(Instructions!$J$11=3,AE68,IF(Instructions!$J$11=4,AG68,IF(Instructions!$J$11=5,AI68,IF(Instructions!$J$11=6,AK68,IF(Instructions!$J$11=7,AM68,IF(Instructions!$J$11=8,AO68,IF(Instructions!$J$11=9,AQ68,IF(Instructions!$J$11=10,AS68,IF(Instructions!$J$11=11,AU68,IF(Instructions!$J$11=12,AW68,IF(Instructions!$J$11=13, AY68, IF(Instructions!$J$11=14,BA68,IF(Instructions!$J$11=15,BC68,BE68)))))))))))))))</f>
        <v>205</v>
      </c>
      <c r="C68" s="272">
        <v>66</v>
      </c>
      <c r="D68" s="327" t="str">
        <f>Instructions!F$43</f>
        <v>Camden</v>
      </c>
      <c r="E68" s="332" t="s">
        <v>804</v>
      </c>
      <c r="F68" s="706"/>
      <c r="G68" s="279">
        <v>9</v>
      </c>
      <c r="H68" s="294" t="str">
        <f>Instructions!F$47</f>
        <v>Devin</v>
      </c>
      <c r="I68" s="274" t="s">
        <v>784</v>
      </c>
      <c r="J68" s="709"/>
      <c r="K68" s="279">
        <v>7</v>
      </c>
      <c r="L68" s="294" t="str">
        <f>Instructions!F$48</f>
        <v>Bui</v>
      </c>
      <c r="M68" s="274" t="s">
        <v>772</v>
      </c>
      <c r="N68" s="709"/>
      <c r="O68" s="279">
        <v>6</v>
      </c>
      <c r="P68" s="294" t="str">
        <f>Instructions!F$51</f>
        <v>Josh</v>
      </c>
      <c r="Q68" s="274" t="s">
        <v>764</v>
      </c>
      <c r="R68" s="709"/>
      <c r="S68" s="279">
        <v>5</v>
      </c>
      <c r="T68" s="327" t="str">
        <f>Instructions!F$43</f>
        <v>Camden</v>
      </c>
      <c r="U68" s="274" t="s">
        <v>756</v>
      </c>
      <c r="V68" s="706"/>
      <c r="W68" s="279">
        <v>5</v>
      </c>
      <c r="X68" s="280"/>
      <c r="Y68" s="190" t="str">
        <f>IFERROR( IF(Instructions!$E$11=8, D68&amp;COUNTIF(D$3:D68,D68), IF(Instructions!$E$11=10, H68&amp;COUNTIF(H$3:H68,H68),IF(Instructions!$E$11=12, L68&amp;COUNTIF(L$3:L68,L68),IF(Instructions!$E$11=14, P68&amp;COUNTIF(P$3:P68,P68),T68&amp;COUNTIF(T$3:T68,T68))))),"")</f>
        <v>Bui6</v>
      </c>
      <c r="Z68" s="321">
        <f>IF(Instructions!$E$11=8,IF($D68=Instructions!$F$42,Z67+1,Z67),IF(Instructions!$E$11=10,IF($H68=Instructions!$F$42,Z67+1,Z67),IF(Instructions!$E$11=12,IF($L68=Instructions!$F$42,Z67+1,Z67),IF(Instructions!$E$11=14,IF($P68=Instructions!$F$42,Z67+1,Z67),IF(Instructions!$E$11=16,IF($T68=Instructions!$F$42,Z67+1,Z67))))))</f>
        <v>5</v>
      </c>
      <c r="AA68" s="321" t="str">
        <f t="shared" ref="AA68:AA131" si="24">IF(Z68&lt;10, 1&amp;0&amp;Z68, 1&amp;Z68)</f>
        <v>105</v>
      </c>
      <c r="AB68" s="321">
        <f>IF(Instructions!$E$11=8,IF($D68=Instructions!$F$43,AB67+1,AB67),IF(Instructions!$E$11=10,IF($H68=Instructions!$F$43,AB67+1,AB67),IF(Instructions!$E$11=12,IF($L68=Instructions!$F$43,AB67+1,AB67),IF(Instructions!$E$11=14,IF($P68=Instructions!$F$43,AB67+1,AB67),IF(Instructions!$E$11=16,IF($T68=Instructions!$F$43,AB67+1,AB67))))))</f>
        <v>5</v>
      </c>
      <c r="AC68" s="321" t="str">
        <f t="shared" si="16"/>
        <v>205</v>
      </c>
      <c r="AD68" s="321">
        <f>IF(Instructions!$E$11=8,IF($D68=Instructions!$F$44,AD67+1,AD67),IF(Instructions!$E$11=10,IF($H68=Instructions!$F$44,AD67+1,AD67),IF(Instructions!$E$11=12,IF($L68=Instructions!$F$44,AD67+1,AD67),IF(Instructions!$E$11=14,IF($P68=Instructions!$F$44,AD67+1,AD67),IF(Instructions!$E$11=16,IF($T68=Instructions!$F$44,AD67+1,AD67))))))</f>
        <v>5</v>
      </c>
      <c r="AE68" s="321" t="str">
        <f t="shared" si="17"/>
        <v>305</v>
      </c>
      <c r="AF68" s="321">
        <f>IF(Instructions!$E$11=8,IF($D68=Instructions!$F$45,AF67+1,AF67),IF(Instructions!$E$11=10,IF($H68=Instructions!$F$45,AF67+1,AF67),IF(Instructions!$E$11=12,IF($L68=Instructions!$F$45,AF67+1,AF67),IF(Instructions!$E$11=14,IF($P68=Instructions!$F$45,AF67+1,AF67),IF(Instructions!$E$11=16,IF($T68=Instructions!$F$45,AF67+1,AF67))))))</f>
        <v>5</v>
      </c>
      <c r="AG68" s="321" t="str">
        <f t="shared" si="18"/>
        <v>405</v>
      </c>
      <c r="AH68" s="321">
        <f>IF(Instructions!$E$11=8,IF($D68=Instructions!$F$46,AH67+1,AH67),IF(Instructions!$E$11=10,IF($H68=Instructions!$F$46,AH67+1,AH67),IF(Instructions!$E$11=12,IF($L68=Instructions!$F$46,AH67+1,AH67),IF(Instructions!$E$11=14,IF($P68=Instructions!$F$46,AH67+1,AH67),IF(Instructions!$E$11=16,IF($T68=Instructions!$F$46,AH67+1,AH67))))))</f>
        <v>5</v>
      </c>
      <c r="AI68" s="321" t="str">
        <f t="shared" si="19"/>
        <v>505</v>
      </c>
      <c r="AJ68" s="321">
        <f>IF(Instructions!$E$11=8,IF($D68=Instructions!$F$47,AJ67+1,AJ67),IF(Instructions!$E$11=10,IF($H68=Instructions!$F$47,AJ67+1,AJ67),IF(Instructions!$E$11=12,IF($L68=Instructions!$F$47,AJ67+1,AJ67),IF(Instructions!$E$11=14,IF($P68=Instructions!$F$47,AJ67+1,AJ67),IF(Instructions!$E$11=16,IF($T68=Instructions!$F$47,AJ67+1,AJ67))))))</f>
        <v>5</v>
      </c>
      <c r="AK68" s="321" t="str">
        <f t="shared" si="20"/>
        <v>605</v>
      </c>
      <c r="AL68" s="321">
        <f>IF(Instructions!$E$11=8,IF($D68=Instructions!$F$48,AL67+1,AL67),IF(Instructions!$E$11=10,IF($H68=Instructions!$F$48,AL67+1,AL67),IF(Instructions!$E$11=12,IF($L68=Instructions!$F$48,AL67+1,AL67),IF(Instructions!$E$11=14,IF($P68=Instructions!$F$48,AL67+1,AL67),IF(Instructions!$E$11=16,IF($T68=Instructions!$F$48,AL67+1,AL67))))))</f>
        <v>6</v>
      </c>
      <c r="AM68" s="321" t="str">
        <f t="shared" si="21"/>
        <v>706</v>
      </c>
      <c r="AN68" s="321">
        <f>IF(Instructions!$E$11=8,IF($D68=Instructions!$F$49,AN67+1,AN67),IF(Instructions!$E$11=10,IF($H68=Instructions!$F$49,AN67+1,AN67),IF(Instructions!$E$11=12,IF($L68=Instructions!$F$49,AN67+1,AN67),IF(Instructions!$E$11=14,IF($P68=Instructions!$F$49,AN67+1,AN67),IF(Instructions!$E$11=16,IF($T68=Instructions!$F$49,AN67+1,AN67))))))</f>
        <v>6</v>
      </c>
      <c r="AO68" s="321" t="str">
        <f t="shared" si="22"/>
        <v>806</v>
      </c>
      <c r="AP68" s="321">
        <f>IF(Instructions!$E$11=8,IF($D68=Instructions!$F$50,AP67+1,AP67),IF(Instructions!$E$11=10,IF($H68=Instructions!$F$50,AP67+1,AP67),IF(Instructions!$E$11=12,IF($L68=Instructions!$F$50,AP67+1,AP67),IF(Instructions!$E$11=14,IF($P68=Instructions!$F$50,AP67+1,AP67),IF(Instructions!$E$11=16,IF($T68=Instructions!$F$50,AP67+1,AP67))))))</f>
        <v>6</v>
      </c>
      <c r="AQ68" s="321" t="str">
        <f t="shared" si="23"/>
        <v>906</v>
      </c>
      <c r="AR68" s="321">
        <f>IF(Instructions!$E$11=8,IF($D68=Instructions!$F$51,AR67+1,AR67),IF(Instructions!$E$11=10,IF($H68=Instructions!$F$51,AR67+1,AR67),IF(Instructions!$E$11=12,IF($L68=Instructions!$F$51,AR67+1,AR67),IF(Instructions!$E$11=14,IF($P68=Instructions!$F$51,AR67+1,AR67),IF(Instructions!$E$11=16,IF($T68=Instructions!$F$51,AR67+1,AR67))))))</f>
        <v>6</v>
      </c>
      <c r="AS68" s="321" t="str">
        <f t="shared" ref="AS68:AS131" si="25">IF(AR68&gt;9, 10&amp;AR68, 100&amp;AR68)</f>
        <v>1006</v>
      </c>
      <c r="AT68" s="321">
        <f>IF(Instructions!$E$11=8,IF($D68=Instructions!$F$52,AT67+1,AT67),IF(Instructions!$E$11=10,IF($H68=Instructions!$F$52,AT67+1,AT67),IF(Instructions!$E$11=12,IF($L68=Instructions!$F$52,AT67+1,AT67),IF(Instructions!$E$11=14,IF($P68=Instructions!$F$52,AT67+1,AT67),IF(Instructions!$E$11=16,IF($T68=Instructions!$F$52,AT67+1,AT67))))))</f>
        <v>6</v>
      </c>
      <c r="AU68" s="321" t="str">
        <f t="shared" ref="AU68:AU131" si="26">IF(AT68&gt;9, 11&amp;AT68, 110&amp;AT68)</f>
        <v>1106</v>
      </c>
      <c r="AV68" s="321">
        <f>IF(Instructions!$E$11=8,IF($D68=Instructions!$F$53,AV67+1,AV67),IF(Instructions!$E$11=10,IF($H68=Instructions!$F$53,AV67+1,AV67),IF(Instructions!$E$11=12,IF($L68=Instructions!$F$53,AV67+1,AV67),IF(Instructions!$E$11=14,IF($P68=Instructions!$F$53,AV67+1,AV67),IF(Instructions!$E$11=16,IF($T68=Instructions!$F$53,AV67+1,AV67))))))</f>
        <v>6</v>
      </c>
      <c r="AW68" s="321" t="str">
        <f t="shared" ref="AW68:AW131" si="27">IF(AV68&gt;9, 12&amp;AV68, 120&amp;AV68)</f>
        <v>1206</v>
      </c>
      <c r="AX68" s="321">
        <f>IF(Instructions!$E$11=8,IF($D68=Instructions!$F$54,AX67+1,AX67),IF(Instructions!$E$11=10,IF($H68=Instructions!$F$54,AX67+1,AX67),IF(Instructions!$E$11=12,IF($L68=Instructions!$F$54,AX67+1,AX67),IF(Instructions!$E$11=14,IF($P68=Instructions!$F$54,AX67+1,AX67),IF(Instructions!$E$11=16,IF($T68=Instructions!$F$54,AX67+1,AX67))))))</f>
        <v>0</v>
      </c>
      <c r="AY68" s="321" t="str">
        <f t="shared" ref="AY68:AY131" si="28">IF(AX68&gt;9, 13&amp;AX68, 130&amp;AX68)</f>
        <v>1300</v>
      </c>
      <c r="AZ68" s="321">
        <f>IF(Instructions!$E$11=8,IF($D68=Instructions!$F$55,AZ67+1,AZ67),IF(Instructions!$E$11=10,IF($H68=Instructions!$F$55,AZ67+1,AZ67),IF(Instructions!$E$11=12,IF($L68=Instructions!$F$55,AZ67+1,AZ67),IF(Instructions!$E$11=14,IF($P68=Instructions!$F$55,AZ67+1,AZ67),IF(Instructions!$E$11=16,IF($T68=Instructions!$F$55,AZ67+1,AZ67))))))</f>
        <v>0</v>
      </c>
      <c r="BA68" s="321" t="str">
        <f t="shared" ref="BA68:BA131" si="29">IF(AZ68&gt;9, 14&amp;AZ68, 140&amp;AZ68)</f>
        <v>1400</v>
      </c>
      <c r="BB68" s="321">
        <f>IF(Instructions!$E$11=8,IF($D68=Instructions!$F$56,BB67+1,BB67),IF(Instructions!$E$11=10,IF($H68=Instructions!$F$56,BB67+1,BB67),IF(Instructions!$E$11=12,IF($L68=Instructions!$F$56,BB67+1,BB67),IF(Instructions!$E$11=14,IF($P68=Instructions!$F$56,BB67+1,BB67),IF(Instructions!$E$11=16,IF($T68=Instructions!$F$56,BB67+1,BB67))))))</f>
        <v>0</v>
      </c>
      <c r="BC68" s="321" t="str">
        <f t="shared" ref="BC68:BC131" si="30">IF(BB68&gt;9, 15&amp;BB68, 150&amp;BB68)</f>
        <v>1500</v>
      </c>
      <c r="BD68" s="321">
        <f>IF(Instructions!$E$11=8,IF($D68=Instructions!$F$57,BD67+1,BD67),IF(Instructions!$E$11=10,IF($H68=Instructions!$F$57,BD67+1,BD67),IF(Instructions!$E$11=12,IF($L68=Instructions!$F$57,BD67+1,BD67),IF(Instructions!$E$11=14,IF($P68=Instructions!$F$57,BD67+1,BD67),IF(Instructions!$E$11=16,IF($T68=Instructions!$F$57,BD67+1,BD67))))))</f>
        <v>0</v>
      </c>
      <c r="BE68" s="321" t="str">
        <f t="shared" ref="BE68:BE131" si="31">IF(BD68&gt;9, 16&amp;BD68, 160&amp;BD68)</f>
        <v>1600</v>
      </c>
      <c r="BF68" s="321">
        <v>66</v>
      </c>
    </row>
    <row r="69" spans="1:58" x14ac:dyDescent="0.25">
      <c r="A69" s="280"/>
      <c r="B69" s="323" t="str">
        <f>IF(Instructions!$J$11=1,AA69,IF(Instructions!$J$11=2,AC69,IF(Instructions!$J$11=3,AE69,IF(Instructions!$J$11=4,AG69,IF(Instructions!$J$11=5,AI69,IF(Instructions!$J$11=6,AK69,IF(Instructions!$J$11=7,AM69,IF(Instructions!$J$11=8,AO69,IF(Instructions!$J$11=9,AQ69,IF(Instructions!$J$11=10,AS69,IF(Instructions!$J$11=11,AU69,IF(Instructions!$J$11=12,AW69,IF(Instructions!$J$11=13, AY69, IF(Instructions!$J$11=14,BA69,IF(Instructions!$J$11=15,BC69,BE69)))))))))))))))</f>
        <v>205</v>
      </c>
      <c r="C69" s="271">
        <v>67</v>
      </c>
      <c r="D69" s="328" t="str">
        <f>Instructions!F$44</f>
        <v>Cam</v>
      </c>
      <c r="E69" s="333" t="s">
        <v>805</v>
      </c>
      <c r="F69" s="706"/>
      <c r="G69" s="279">
        <v>9</v>
      </c>
      <c r="H69" s="293" t="str">
        <f>Instructions!F$48</f>
        <v>Bui</v>
      </c>
      <c r="I69" s="273" t="s">
        <v>785</v>
      </c>
      <c r="J69" s="709"/>
      <c r="K69" s="279">
        <v>7</v>
      </c>
      <c r="L69" s="293" t="str">
        <f>Instructions!F$47</f>
        <v>Devin</v>
      </c>
      <c r="M69" s="273" t="s">
        <v>773</v>
      </c>
      <c r="N69" s="709"/>
      <c r="O69" s="279">
        <v>6</v>
      </c>
      <c r="P69" s="293" t="str">
        <f>Instructions!F$52</f>
        <v>Big R</v>
      </c>
      <c r="Q69" s="273" t="s">
        <v>765</v>
      </c>
      <c r="R69" s="709"/>
      <c r="S69" s="279">
        <v>5</v>
      </c>
      <c r="T69" s="328" t="str">
        <f>Instructions!F$44</f>
        <v>Cam</v>
      </c>
      <c r="U69" s="273" t="s">
        <v>757</v>
      </c>
      <c r="V69" s="706"/>
      <c r="W69" s="279">
        <v>5</v>
      </c>
      <c r="X69" s="280"/>
      <c r="Y69" s="190" t="str">
        <f>IFERROR( IF(Instructions!$E$11=8, D69&amp;COUNTIF(D$3:D69,D69), IF(Instructions!$E$11=10, H69&amp;COUNTIF(H$3:H69,H69),IF(Instructions!$E$11=12, L69&amp;COUNTIF(L$3:L69,L69),IF(Instructions!$E$11=14, P69&amp;COUNTIF(P$3:P69,P69),T69&amp;COUNTIF(T$3:T69,T69))))),"")</f>
        <v>Devin6</v>
      </c>
      <c r="Z69" s="321">
        <f>IF(Instructions!$E$11=8,IF($D69=Instructions!$F$42,Z68+1,Z68),IF(Instructions!$E$11=10,IF($H69=Instructions!$F$42,Z68+1,Z68),IF(Instructions!$E$11=12,IF($L69=Instructions!$F$42,Z68+1,Z68),IF(Instructions!$E$11=14,IF($P69=Instructions!$F$42,Z68+1,Z68),IF(Instructions!$E$11=16,IF($T69=Instructions!$F$42,Z68+1,Z68))))))</f>
        <v>5</v>
      </c>
      <c r="AA69" s="321" t="str">
        <f t="shared" si="24"/>
        <v>105</v>
      </c>
      <c r="AB69" s="321">
        <f>IF(Instructions!$E$11=8,IF($D69=Instructions!$F$43,AB68+1,AB68),IF(Instructions!$E$11=10,IF($H69=Instructions!$F$43,AB68+1,AB68),IF(Instructions!$E$11=12,IF($L69=Instructions!$F$43,AB68+1,AB68),IF(Instructions!$E$11=14,IF($P69=Instructions!$F$43,AB68+1,AB68),IF(Instructions!$E$11=16,IF($T69=Instructions!$F$43,AB68+1,AB68))))))</f>
        <v>5</v>
      </c>
      <c r="AC69" s="321" t="str">
        <f t="shared" si="16"/>
        <v>205</v>
      </c>
      <c r="AD69" s="321">
        <f>IF(Instructions!$E$11=8,IF($D69=Instructions!$F$44,AD68+1,AD68),IF(Instructions!$E$11=10,IF($H69=Instructions!$F$44,AD68+1,AD68),IF(Instructions!$E$11=12,IF($L69=Instructions!$F$44,AD68+1,AD68),IF(Instructions!$E$11=14,IF($P69=Instructions!$F$44,AD68+1,AD68),IF(Instructions!$E$11=16,IF($T69=Instructions!$F$44,AD68+1,AD68))))))</f>
        <v>5</v>
      </c>
      <c r="AE69" s="321" t="str">
        <f t="shared" si="17"/>
        <v>305</v>
      </c>
      <c r="AF69" s="321">
        <f>IF(Instructions!$E$11=8,IF($D69=Instructions!$F$45,AF68+1,AF68),IF(Instructions!$E$11=10,IF($H69=Instructions!$F$45,AF68+1,AF68),IF(Instructions!$E$11=12,IF($L69=Instructions!$F$45,AF68+1,AF68),IF(Instructions!$E$11=14,IF($P69=Instructions!$F$45,AF68+1,AF68),IF(Instructions!$E$11=16,IF($T69=Instructions!$F$45,AF68+1,AF68))))))</f>
        <v>5</v>
      </c>
      <c r="AG69" s="321" t="str">
        <f t="shared" si="18"/>
        <v>405</v>
      </c>
      <c r="AH69" s="321">
        <f>IF(Instructions!$E$11=8,IF($D69=Instructions!$F$46,AH68+1,AH68),IF(Instructions!$E$11=10,IF($H69=Instructions!$F$46,AH68+1,AH68),IF(Instructions!$E$11=12,IF($L69=Instructions!$F$46,AH68+1,AH68),IF(Instructions!$E$11=14,IF($P69=Instructions!$F$46,AH68+1,AH68),IF(Instructions!$E$11=16,IF($T69=Instructions!$F$46,AH68+1,AH68))))))</f>
        <v>5</v>
      </c>
      <c r="AI69" s="321" t="str">
        <f t="shared" si="19"/>
        <v>505</v>
      </c>
      <c r="AJ69" s="321">
        <f>IF(Instructions!$E$11=8,IF($D69=Instructions!$F$47,AJ68+1,AJ68),IF(Instructions!$E$11=10,IF($H69=Instructions!$F$47,AJ68+1,AJ68),IF(Instructions!$E$11=12,IF($L69=Instructions!$F$47,AJ68+1,AJ68),IF(Instructions!$E$11=14,IF($P69=Instructions!$F$47,AJ68+1,AJ68),IF(Instructions!$E$11=16,IF($T69=Instructions!$F$47,AJ68+1,AJ68))))))</f>
        <v>6</v>
      </c>
      <c r="AK69" s="321" t="str">
        <f t="shared" si="20"/>
        <v>606</v>
      </c>
      <c r="AL69" s="321">
        <f>IF(Instructions!$E$11=8,IF($D69=Instructions!$F$48,AL68+1,AL68),IF(Instructions!$E$11=10,IF($H69=Instructions!$F$48,AL68+1,AL68),IF(Instructions!$E$11=12,IF($L69=Instructions!$F$48,AL68+1,AL68),IF(Instructions!$E$11=14,IF($P69=Instructions!$F$48,AL68+1,AL68),IF(Instructions!$E$11=16,IF($T69=Instructions!$F$48,AL68+1,AL68))))))</f>
        <v>6</v>
      </c>
      <c r="AM69" s="321" t="str">
        <f t="shared" si="21"/>
        <v>706</v>
      </c>
      <c r="AN69" s="321">
        <f>IF(Instructions!$E$11=8,IF($D69=Instructions!$F$49,AN68+1,AN68),IF(Instructions!$E$11=10,IF($H69=Instructions!$F$49,AN68+1,AN68),IF(Instructions!$E$11=12,IF($L69=Instructions!$F$49,AN68+1,AN68),IF(Instructions!$E$11=14,IF($P69=Instructions!$F$49,AN68+1,AN68),IF(Instructions!$E$11=16,IF($T69=Instructions!$F$49,AN68+1,AN68))))))</f>
        <v>6</v>
      </c>
      <c r="AO69" s="321" t="str">
        <f t="shared" si="22"/>
        <v>806</v>
      </c>
      <c r="AP69" s="321">
        <f>IF(Instructions!$E$11=8,IF($D69=Instructions!$F$50,AP68+1,AP68),IF(Instructions!$E$11=10,IF($H69=Instructions!$F$50,AP68+1,AP68),IF(Instructions!$E$11=12,IF($L69=Instructions!$F$50,AP68+1,AP68),IF(Instructions!$E$11=14,IF($P69=Instructions!$F$50,AP68+1,AP68),IF(Instructions!$E$11=16,IF($T69=Instructions!$F$50,AP68+1,AP68))))))</f>
        <v>6</v>
      </c>
      <c r="AQ69" s="321" t="str">
        <f t="shared" si="23"/>
        <v>906</v>
      </c>
      <c r="AR69" s="321">
        <f>IF(Instructions!$E$11=8,IF($D69=Instructions!$F$51,AR68+1,AR68),IF(Instructions!$E$11=10,IF($H69=Instructions!$F$51,AR68+1,AR68),IF(Instructions!$E$11=12,IF($L69=Instructions!$F$51,AR68+1,AR68),IF(Instructions!$E$11=14,IF($P69=Instructions!$F$51,AR68+1,AR68),IF(Instructions!$E$11=16,IF($T69=Instructions!$F$51,AR68+1,AR68))))))</f>
        <v>6</v>
      </c>
      <c r="AS69" s="321" t="str">
        <f t="shared" si="25"/>
        <v>1006</v>
      </c>
      <c r="AT69" s="321">
        <f>IF(Instructions!$E$11=8,IF($D69=Instructions!$F$52,AT68+1,AT68),IF(Instructions!$E$11=10,IF($H69=Instructions!$F$52,AT68+1,AT68),IF(Instructions!$E$11=12,IF($L69=Instructions!$F$52,AT68+1,AT68),IF(Instructions!$E$11=14,IF($P69=Instructions!$F$52,AT68+1,AT68),IF(Instructions!$E$11=16,IF($T69=Instructions!$F$52,AT68+1,AT68))))))</f>
        <v>6</v>
      </c>
      <c r="AU69" s="321" t="str">
        <f t="shared" si="26"/>
        <v>1106</v>
      </c>
      <c r="AV69" s="321">
        <f>IF(Instructions!$E$11=8,IF($D69=Instructions!$F$53,AV68+1,AV68),IF(Instructions!$E$11=10,IF($H69=Instructions!$F$53,AV68+1,AV68),IF(Instructions!$E$11=12,IF($L69=Instructions!$F$53,AV68+1,AV68),IF(Instructions!$E$11=14,IF($P69=Instructions!$F$53,AV68+1,AV68),IF(Instructions!$E$11=16,IF($T69=Instructions!$F$53,AV68+1,AV68))))))</f>
        <v>6</v>
      </c>
      <c r="AW69" s="321" t="str">
        <f t="shared" si="27"/>
        <v>1206</v>
      </c>
      <c r="AX69" s="321">
        <f>IF(Instructions!$E$11=8,IF($D69=Instructions!$F$54,AX68+1,AX68),IF(Instructions!$E$11=10,IF($H69=Instructions!$F$54,AX68+1,AX68),IF(Instructions!$E$11=12,IF($L69=Instructions!$F$54,AX68+1,AX68),IF(Instructions!$E$11=14,IF($P69=Instructions!$F$54,AX68+1,AX68),IF(Instructions!$E$11=16,IF($T69=Instructions!$F$54,AX68+1,AX68))))))</f>
        <v>0</v>
      </c>
      <c r="AY69" s="321" t="str">
        <f t="shared" si="28"/>
        <v>1300</v>
      </c>
      <c r="AZ69" s="321">
        <f>IF(Instructions!$E$11=8,IF($D69=Instructions!$F$55,AZ68+1,AZ68),IF(Instructions!$E$11=10,IF($H69=Instructions!$F$55,AZ68+1,AZ68),IF(Instructions!$E$11=12,IF($L69=Instructions!$F$55,AZ68+1,AZ68),IF(Instructions!$E$11=14,IF($P69=Instructions!$F$55,AZ68+1,AZ68),IF(Instructions!$E$11=16,IF($T69=Instructions!$F$55,AZ68+1,AZ68))))))</f>
        <v>0</v>
      </c>
      <c r="BA69" s="321" t="str">
        <f t="shared" si="29"/>
        <v>1400</v>
      </c>
      <c r="BB69" s="321">
        <f>IF(Instructions!$E$11=8,IF($D69=Instructions!$F$56,BB68+1,BB68),IF(Instructions!$E$11=10,IF($H69=Instructions!$F$56,BB68+1,BB68),IF(Instructions!$E$11=12,IF($L69=Instructions!$F$56,BB68+1,BB68),IF(Instructions!$E$11=14,IF($P69=Instructions!$F$56,BB68+1,BB68),IF(Instructions!$E$11=16,IF($T69=Instructions!$F$56,BB68+1,BB68))))))</f>
        <v>0</v>
      </c>
      <c r="BC69" s="321" t="str">
        <f t="shared" si="30"/>
        <v>1500</v>
      </c>
      <c r="BD69" s="321">
        <f>IF(Instructions!$E$11=8,IF($D69=Instructions!$F$57,BD68+1,BD68),IF(Instructions!$E$11=10,IF($H69=Instructions!$F$57,BD68+1,BD68),IF(Instructions!$E$11=12,IF($L69=Instructions!$F$57,BD68+1,BD68),IF(Instructions!$E$11=14,IF($P69=Instructions!$F$57,BD68+1,BD68),IF(Instructions!$E$11=16,IF($T69=Instructions!$F$57,BD68+1,BD68))))))</f>
        <v>0</v>
      </c>
      <c r="BE69" s="321" t="str">
        <f t="shared" si="31"/>
        <v>1600</v>
      </c>
      <c r="BF69" s="321">
        <v>67</v>
      </c>
    </row>
    <row r="70" spans="1:58" x14ac:dyDescent="0.25">
      <c r="A70" s="280"/>
      <c r="B70" s="323" t="str">
        <f>IF(Instructions!$J$11=1,AA70,IF(Instructions!$J$11=2,AC70,IF(Instructions!$J$11=3,AE70,IF(Instructions!$J$11=4,AG70,IF(Instructions!$J$11=5,AI70,IF(Instructions!$J$11=6,AK70,IF(Instructions!$J$11=7,AM70,IF(Instructions!$J$11=8,AO70,IF(Instructions!$J$11=9,AQ70,IF(Instructions!$J$11=10,AS70,IF(Instructions!$J$11=11,AU70,IF(Instructions!$J$11=12,AW70,IF(Instructions!$J$11=13, AY70, IF(Instructions!$J$11=14,BA70,IF(Instructions!$J$11=15,BC70,BE70)))))))))))))))</f>
        <v>205</v>
      </c>
      <c r="C70" s="272">
        <v>68</v>
      </c>
      <c r="D70" s="327" t="str">
        <f>Instructions!F$45</f>
        <v>Miles</v>
      </c>
      <c r="E70" s="332" t="s">
        <v>806</v>
      </c>
      <c r="F70" s="706"/>
      <c r="G70" s="279">
        <v>9</v>
      </c>
      <c r="H70" s="294" t="str">
        <f>Instructions!F$49</f>
        <v>Luke</v>
      </c>
      <c r="I70" s="274" t="s">
        <v>786</v>
      </c>
      <c r="J70" s="709"/>
      <c r="K70" s="279">
        <v>7</v>
      </c>
      <c r="L70" s="294" t="str">
        <f>Instructions!F$46</f>
        <v>Con</v>
      </c>
      <c r="M70" s="274" t="s">
        <v>774</v>
      </c>
      <c r="N70" s="709"/>
      <c r="O70" s="279">
        <v>6</v>
      </c>
      <c r="P70" s="294" t="str">
        <f>Instructions!F$53</f>
        <v>Zack</v>
      </c>
      <c r="Q70" s="274" t="s">
        <v>766</v>
      </c>
      <c r="R70" s="709"/>
      <c r="S70" s="279">
        <v>5</v>
      </c>
      <c r="T70" s="327" t="str">
        <f>Instructions!F$45</f>
        <v>Miles</v>
      </c>
      <c r="U70" s="274" t="s">
        <v>758</v>
      </c>
      <c r="V70" s="706"/>
      <c r="W70" s="279">
        <v>5</v>
      </c>
      <c r="X70" s="280"/>
      <c r="Y70" s="190" t="str">
        <f>IFERROR( IF(Instructions!$E$11=8, D70&amp;COUNTIF(D$3:D70,D70), IF(Instructions!$E$11=10, H70&amp;COUNTIF(H$3:H70,H70),IF(Instructions!$E$11=12, L70&amp;COUNTIF(L$3:L70,L70),IF(Instructions!$E$11=14, P70&amp;COUNTIF(P$3:P70,P70),T70&amp;COUNTIF(T$3:T70,T70))))),"")</f>
        <v>Con6</v>
      </c>
      <c r="Z70" s="321">
        <f>IF(Instructions!$E$11=8,IF($D70=Instructions!$F$42,Z69+1,Z69),IF(Instructions!$E$11=10,IF($H70=Instructions!$F$42,Z69+1,Z69),IF(Instructions!$E$11=12,IF($L70=Instructions!$F$42,Z69+1,Z69),IF(Instructions!$E$11=14,IF($P70=Instructions!$F$42,Z69+1,Z69),IF(Instructions!$E$11=16,IF($T70=Instructions!$F$42,Z69+1,Z69))))))</f>
        <v>5</v>
      </c>
      <c r="AA70" s="321" t="str">
        <f t="shared" si="24"/>
        <v>105</v>
      </c>
      <c r="AB70" s="321">
        <f>IF(Instructions!$E$11=8,IF($D70=Instructions!$F$43,AB69+1,AB69),IF(Instructions!$E$11=10,IF($H70=Instructions!$F$43,AB69+1,AB69),IF(Instructions!$E$11=12,IF($L70=Instructions!$F$43,AB69+1,AB69),IF(Instructions!$E$11=14,IF($P70=Instructions!$F$43,AB69+1,AB69),IF(Instructions!$E$11=16,IF($T70=Instructions!$F$43,AB69+1,AB69))))))</f>
        <v>5</v>
      </c>
      <c r="AC70" s="321" t="str">
        <f t="shared" si="16"/>
        <v>205</v>
      </c>
      <c r="AD70" s="321">
        <f>IF(Instructions!$E$11=8,IF($D70=Instructions!$F$44,AD69+1,AD69),IF(Instructions!$E$11=10,IF($H70=Instructions!$F$44,AD69+1,AD69),IF(Instructions!$E$11=12,IF($L70=Instructions!$F$44,AD69+1,AD69),IF(Instructions!$E$11=14,IF($P70=Instructions!$F$44,AD69+1,AD69),IF(Instructions!$E$11=16,IF($T70=Instructions!$F$44,AD69+1,AD69))))))</f>
        <v>5</v>
      </c>
      <c r="AE70" s="321" t="str">
        <f t="shared" si="17"/>
        <v>305</v>
      </c>
      <c r="AF70" s="321">
        <f>IF(Instructions!$E$11=8,IF($D70=Instructions!$F$45,AF69+1,AF69),IF(Instructions!$E$11=10,IF($H70=Instructions!$F$45,AF69+1,AF69),IF(Instructions!$E$11=12,IF($L70=Instructions!$F$45,AF69+1,AF69),IF(Instructions!$E$11=14,IF($P70=Instructions!$F$45,AF69+1,AF69),IF(Instructions!$E$11=16,IF($T70=Instructions!$F$45,AF69+1,AF69))))))</f>
        <v>5</v>
      </c>
      <c r="AG70" s="321" t="str">
        <f t="shared" si="18"/>
        <v>405</v>
      </c>
      <c r="AH70" s="321">
        <f>IF(Instructions!$E$11=8,IF($D70=Instructions!$F$46,AH69+1,AH69),IF(Instructions!$E$11=10,IF($H70=Instructions!$F$46,AH69+1,AH69),IF(Instructions!$E$11=12,IF($L70=Instructions!$F$46,AH69+1,AH69),IF(Instructions!$E$11=14,IF($P70=Instructions!$F$46,AH69+1,AH69),IF(Instructions!$E$11=16,IF($T70=Instructions!$F$46,AH69+1,AH69))))))</f>
        <v>6</v>
      </c>
      <c r="AI70" s="321" t="str">
        <f t="shared" si="19"/>
        <v>506</v>
      </c>
      <c r="AJ70" s="321">
        <f>IF(Instructions!$E$11=8,IF($D70=Instructions!$F$47,AJ69+1,AJ69),IF(Instructions!$E$11=10,IF($H70=Instructions!$F$47,AJ69+1,AJ69),IF(Instructions!$E$11=12,IF($L70=Instructions!$F$47,AJ69+1,AJ69),IF(Instructions!$E$11=14,IF($P70=Instructions!$F$47,AJ69+1,AJ69),IF(Instructions!$E$11=16,IF($T70=Instructions!$F$47,AJ69+1,AJ69))))))</f>
        <v>6</v>
      </c>
      <c r="AK70" s="321" t="str">
        <f t="shared" si="20"/>
        <v>606</v>
      </c>
      <c r="AL70" s="321">
        <f>IF(Instructions!$E$11=8,IF($D70=Instructions!$F$48,AL69+1,AL69),IF(Instructions!$E$11=10,IF($H70=Instructions!$F$48,AL69+1,AL69),IF(Instructions!$E$11=12,IF($L70=Instructions!$F$48,AL69+1,AL69),IF(Instructions!$E$11=14,IF($P70=Instructions!$F$48,AL69+1,AL69),IF(Instructions!$E$11=16,IF($T70=Instructions!$F$48,AL69+1,AL69))))))</f>
        <v>6</v>
      </c>
      <c r="AM70" s="321" t="str">
        <f t="shared" si="21"/>
        <v>706</v>
      </c>
      <c r="AN70" s="321">
        <f>IF(Instructions!$E$11=8,IF($D70=Instructions!$F$49,AN69+1,AN69),IF(Instructions!$E$11=10,IF($H70=Instructions!$F$49,AN69+1,AN69),IF(Instructions!$E$11=12,IF($L70=Instructions!$F$49,AN69+1,AN69),IF(Instructions!$E$11=14,IF($P70=Instructions!$F$49,AN69+1,AN69),IF(Instructions!$E$11=16,IF($T70=Instructions!$F$49,AN69+1,AN69))))))</f>
        <v>6</v>
      </c>
      <c r="AO70" s="321" t="str">
        <f t="shared" si="22"/>
        <v>806</v>
      </c>
      <c r="AP70" s="321">
        <f>IF(Instructions!$E$11=8,IF($D70=Instructions!$F$50,AP69+1,AP69),IF(Instructions!$E$11=10,IF($H70=Instructions!$F$50,AP69+1,AP69),IF(Instructions!$E$11=12,IF($L70=Instructions!$F$50,AP69+1,AP69),IF(Instructions!$E$11=14,IF($P70=Instructions!$F$50,AP69+1,AP69),IF(Instructions!$E$11=16,IF($T70=Instructions!$F$50,AP69+1,AP69))))))</f>
        <v>6</v>
      </c>
      <c r="AQ70" s="321" t="str">
        <f t="shared" si="23"/>
        <v>906</v>
      </c>
      <c r="AR70" s="321">
        <f>IF(Instructions!$E$11=8,IF($D70=Instructions!$F$51,AR69+1,AR69),IF(Instructions!$E$11=10,IF($H70=Instructions!$F$51,AR69+1,AR69),IF(Instructions!$E$11=12,IF($L70=Instructions!$F$51,AR69+1,AR69),IF(Instructions!$E$11=14,IF($P70=Instructions!$F$51,AR69+1,AR69),IF(Instructions!$E$11=16,IF($T70=Instructions!$F$51,AR69+1,AR69))))))</f>
        <v>6</v>
      </c>
      <c r="AS70" s="321" t="str">
        <f t="shared" si="25"/>
        <v>1006</v>
      </c>
      <c r="AT70" s="321">
        <f>IF(Instructions!$E$11=8,IF($D70=Instructions!$F$52,AT69+1,AT69),IF(Instructions!$E$11=10,IF($H70=Instructions!$F$52,AT69+1,AT69),IF(Instructions!$E$11=12,IF($L70=Instructions!$F$52,AT69+1,AT69),IF(Instructions!$E$11=14,IF($P70=Instructions!$F$52,AT69+1,AT69),IF(Instructions!$E$11=16,IF($T70=Instructions!$F$52,AT69+1,AT69))))))</f>
        <v>6</v>
      </c>
      <c r="AU70" s="321" t="str">
        <f t="shared" si="26"/>
        <v>1106</v>
      </c>
      <c r="AV70" s="321">
        <f>IF(Instructions!$E$11=8,IF($D70=Instructions!$F$53,AV69+1,AV69),IF(Instructions!$E$11=10,IF($H70=Instructions!$F$53,AV69+1,AV69),IF(Instructions!$E$11=12,IF($L70=Instructions!$F$53,AV69+1,AV69),IF(Instructions!$E$11=14,IF($P70=Instructions!$F$53,AV69+1,AV69),IF(Instructions!$E$11=16,IF($T70=Instructions!$F$53,AV69+1,AV69))))))</f>
        <v>6</v>
      </c>
      <c r="AW70" s="321" t="str">
        <f t="shared" si="27"/>
        <v>1206</v>
      </c>
      <c r="AX70" s="321">
        <f>IF(Instructions!$E$11=8,IF($D70=Instructions!$F$54,AX69+1,AX69),IF(Instructions!$E$11=10,IF($H70=Instructions!$F$54,AX69+1,AX69),IF(Instructions!$E$11=12,IF($L70=Instructions!$F$54,AX69+1,AX69),IF(Instructions!$E$11=14,IF($P70=Instructions!$F$54,AX69+1,AX69),IF(Instructions!$E$11=16,IF($T70=Instructions!$F$54,AX69+1,AX69))))))</f>
        <v>0</v>
      </c>
      <c r="AY70" s="321" t="str">
        <f t="shared" si="28"/>
        <v>1300</v>
      </c>
      <c r="AZ70" s="321">
        <f>IF(Instructions!$E$11=8,IF($D70=Instructions!$F$55,AZ69+1,AZ69),IF(Instructions!$E$11=10,IF($H70=Instructions!$F$55,AZ69+1,AZ69),IF(Instructions!$E$11=12,IF($L70=Instructions!$F$55,AZ69+1,AZ69),IF(Instructions!$E$11=14,IF($P70=Instructions!$F$55,AZ69+1,AZ69),IF(Instructions!$E$11=16,IF($T70=Instructions!$F$55,AZ69+1,AZ69))))))</f>
        <v>0</v>
      </c>
      <c r="BA70" s="321" t="str">
        <f t="shared" si="29"/>
        <v>1400</v>
      </c>
      <c r="BB70" s="321">
        <f>IF(Instructions!$E$11=8,IF($D70=Instructions!$F$56,BB69+1,BB69),IF(Instructions!$E$11=10,IF($H70=Instructions!$F$56,BB69+1,BB69),IF(Instructions!$E$11=12,IF($L70=Instructions!$F$56,BB69+1,BB69),IF(Instructions!$E$11=14,IF($P70=Instructions!$F$56,BB69+1,BB69),IF(Instructions!$E$11=16,IF($T70=Instructions!$F$56,BB69+1,BB69))))))</f>
        <v>0</v>
      </c>
      <c r="BC70" s="321" t="str">
        <f t="shared" si="30"/>
        <v>1500</v>
      </c>
      <c r="BD70" s="321">
        <f>IF(Instructions!$E$11=8,IF($D70=Instructions!$F$57,BD69+1,BD69),IF(Instructions!$E$11=10,IF($H70=Instructions!$F$57,BD69+1,BD69),IF(Instructions!$E$11=12,IF($L70=Instructions!$F$57,BD69+1,BD69),IF(Instructions!$E$11=14,IF($P70=Instructions!$F$57,BD69+1,BD69),IF(Instructions!$E$11=16,IF($T70=Instructions!$F$57,BD69+1,BD69))))))</f>
        <v>0</v>
      </c>
      <c r="BE70" s="321" t="str">
        <f t="shared" si="31"/>
        <v>1600</v>
      </c>
      <c r="BF70" s="321">
        <v>68</v>
      </c>
    </row>
    <row r="71" spans="1:58" x14ac:dyDescent="0.25">
      <c r="A71" s="280"/>
      <c r="B71" s="323" t="str">
        <f>IF(Instructions!$J$11=1,AA71,IF(Instructions!$J$11=2,AC71,IF(Instructions!$J$11=3,AE71,IF(Instructions!$J$11=4,AG71,IF(Instructions!$J$11=5,AI71,IF(Instructions!$J$11=6,AK71,IF(Instructions!$J$11=7,AM71,IF(Instructions!$J$11=8,AO71,IF(Instructions!$J$11=9,AQ71,IF(Instructions!$J$11=10,AS71,IF(Instructions!$J$11=11,AU71,IF(Instructions!$J$11=12,AW71,IF(Instructions!$J$11=13, AY71, IF(Instructions!$J$11=14,BA71,IF(Instructions!$J$11=15,BC71,BE71)))))))))))))))</f>
        <v>205</v>
      </c>
      <c r="C71" s="271">
        <v>69</v>
      </c>
      <c r="D71" s="328" t="str">
        <f>Instructions!F$46</f>
        <v>Con</v>
      </c>
      <c r="E71" s="333" t="s">
        <v>807</v>
      </c>
      <c r="F71" s="706"/>
      <c r="G71" s="279">
        <v>9</v>
      </c>
      <c r="H71" s="293" t="str">
        <f>Instructions!F$50</f>
        <v>Dan</v>
      </c>
      <c r="I71" s="273" t="s">
        <v>787</v>
      </c>
      <c r="J71" s="709"/>
      <c r="K71" s="279">
        <v>7</v>
      </c>
      <c r="L71" s="293" t="str">
        <f>Instructions!F$45</f>
        <v>Miles</v>
      </c>
      <c r="M71" s="273" t="s">
        <v>775</v>
      </c>
      <c r="N71" s="709"/>
      <c r="O71" s="279">
        <v>6</v>
      </c>
      <c r="P71" s="293" t="str">
        <f>Instructions!F$54</f>
        <v>[TEAM 13]</v>
      </c>
      <c r="Q71" s="273" t="s">
        <v>936</v>
      </c>
      <c r="R71" s="709"/>
      <c r="S71" s="279">
        <v>5</v>
      </c>
      <c r="T71" s="328" t="str">
        <f>Instructions!F$46</f>
        <v>Con</v>
      </c>
      <c r="U71" s="273" t="s">
        <v>759</v>
      </c>
      <c r="V71" s="706"/>
      <c r="W71" s="279">
        <v>5</v>
      </c>
      <c r="X71" s="280"/>
      <c r="Y71" s="190" t="str">
        <f>IFERROR( IF(Instructions!$E$11=8, D71&amp;COUNTIF(D$3:D71,D71), IF(Instructions!$E$11=10, H71&amp;COUNTIF(H$3:H71,H71),IF(Instructions!$E$11=12, L71&amp;COUNTIF(L$3:L71,L71),IF(Instructions!$E$11=14, P71&amp;COUNTIF(P$3:P71,P71),T71&amp;COUNTIF(T$3:T71,T71))))),"")</f>
        <v>Miles6</v>
      </c>
      <c r="Z71" s="321">
        <f>IF(Instructions!$E$11=8,IF($D71=Instructions!$F$42,Z70+1,Z70),IF(Instructions!$E$11=10,IF($H71=Instructions!$F$42,Z70+1,Z70),IF(Instructions!$E$11=12,IF($L71=Instructions!$F$42,Z70+1,Z70),IF(Instructions!$E$11=14,IF($P71=Instructions!$F$42,Z70+1,Z70),IF(Instructions!$E$11=16,IF($T71=Instructions!$F$42,Z70+1,Z70))))))</f>
        <v>5</v>
      </c>
      <c r="AA71" s="321" t="str">
        <f t="shared" si="24"/>
        <v>105</v>
      </c>
      <c r="AB71" s="321">
        <f>IF(Instructions!$E$11=8,IF($D71=Instructions!$F$43,AB70+1,AB70),IF(Instructions!$E$11=10,IF($H71=Instructions!$F$43,AB70+1,AB70),IF(Instructions!$E$11=12,IF($L71=Instructions!$F$43,AB70+1,AB70),IF(Instructions!$E$11=14,IF($P71=Instructions!$F$43,AB70+1,AB70),IF(Instructions!$E$11=16,IF($T71=Instructions!$F$43,AB70+1,AB70))))))</f>
        <v>5</v>
      </c>
      <c r="AC71" s="321" t="str">
        <f t="shared" si="16"/>
        <v>205</v>
      </c>
      <c r="AD71" s="321">
        <f>IF(Instructions!$E$11=8,IF($D71=Instructions!$F$44,AD70+1,AD70),IF(Instructions!$E$11=10,IF($H71=Instructions!$F$44,AD70+1,AD70),IF(Instructions!$E$11=12,IF($L71=Instructions!$F$44,AD70+1,AD70),IF(Instructions!$E$11=14,IF($P71=Instructions!$F$44,AD70+1,AD70),IF(Instructions!$E$11=16,IF($T71=Instructions!$F$44,AD70+1,AD70))))))</f>
        <v>5</v>
      </c>
      <c r="AE71" s="321" t="str">
        <f t="shared" si="17"/>
        <v>305</v>
      </c>
      <c r="AF71" s="321">
        <f>IF(Instructions!$E$11=8,IF($D71=Instructions!$F$45,AF70+1,AF70),IF(Instructions!$E$11=10,IF($H71=Instructions!$F$45,AF70+1,AF70),IF(Instructions!$E$11=12,IF($L71=Instructions!$F$45,AF70+1,AF70),IF(Instructions!$E$11=14,IF($P71=Instructions!$F$45,AF70+1,AF70),IF(Instructions!$E$11=16,IF($T71=Instructions!$F$45,AF70+1,AF70))))))</f>
        <v>6</v>
      </c>
      <c r="AG71" s="321" t="str">
        <f t="shared" si="18"/>
        <v>406</v>
      </c>
      <c r="AH71" s="321">
        <f>IF(Instructions!$E$11=8,IF($D71=Instructions!$F$46,AH70+1,AH70),IF(Instructions!$E$11=10,IF($H71=Instructions!$F$46,AH70+1,AH70),IF(Instructions!$E$11=12,IF($L71=Instructions!$F$46,AH70+1,AH70),IF(Instructions!$E$11=14,IF($P71=Instructions!$F$46,AH70+1,AH70),IF(Instructions!$E$11=16,IF($T71=Instructions!$F$46,AH70+1,AH70))))))</f>
        <v>6</v>
      </c>
      <c r="AI71" s="321" t="str">
        <f t="shared" si="19"/>
        <v>506</v>
      </c>
      <c r="AJ71" s="321">
        <f>IF(Instructions!$E$11=8,IF($D71=Instructions!$F$47,AJ70+1,AJ70),IF(Instructions!$E$11=10,IF($H71=Instructions!$F$47,AJ70+1,AJ70),IF(Instructions!$E$11=12,IF($L71=Instructions!$F$47,AJ70+1,AJ70),IF(Instructions!$E$11=14,IF($P71=Instructions!$F$47,AJ70+1,AJ70),IF(Instructions!$E$11=16,IF($T71=Instructions!$F$47,AJ70+1,AJ70))))))</f>
        <v>6</v>
      </c>
      <c r="AK71" s="321" t="str">
        <f t="shared" si="20"/>
        <v>606</v>
      </c>
      <c r="AL71" s="321">
        <f>IF(Instructions!$E$11=8,IF($D71=Instructions!$F$48,AL70+1,AL70),IF(Instructions!$E$11=10,IF($H71=Instructions!$F$48,AL70+1,AL70),IF(Instructions!$E$11=12,IF($L71=Instructions!$F$48,AL70+1,AL70),IF(Instructions!$E$11=14,IF($P71=Instructions!$F$48,AL70+1,AL70),IF(Instructions!$E$11=16,IF($T71=Instructions!$F$48,AL70+1,AL70))))))</f>
        <v>6</v>
      </c>
      <c r="AM71" s="321" t="str">
        <f t="shared" si="21"/>
        <v>706</v>
      </c>
      <c r="AN71" s="321">
        <f>IF(Instructions!$E$11=8,IF($D71=Instructions!$F$49,AN70+1,AN70),IF(Instructions!$E$11=10,IF($H71=Instructions!$F$49,AN70+1,AN70),IF(Instructions!$E$11=12,IF($L71=Instructions!$F$49,AN70+1,AN70),IF(Instructions!$E$11=14,IF($P71=Instructions!$F$49,AN70+1,AN70),IF(Instructions!$E$11=16,IF($T71=Instructions!$F$49,AN70+1,AN70))))))</f>
        <v>6</v>
      </c>
      <c r="AO71" s="321" t="str">
        <f t="shared" si="22"/>
        <v>806</v>
      </c>
      <c r="AP71" s="321">
        <f>IF(Instructions!$E$11=8,IF($D71=Instructions!$F$50,AP70+1,AP70),IF(Instructions!$E$11=10,IF($H71=Instructions!$F$50,AP70+1,AP70),IF(Instructions!$E$11=12,IF($L71=Instructions!$F$50,AP70+1,AP70),IF(Instructions!$E$11=14,IF($P71=Instructions!$F$50,AP70+1,AP70),IF(Instructions!$E$11=16,IF($T71=Instructions!$F$50,AP70+1,AP70))))))</f>
        <v>6</v>
      </c>
      <c r="AQ71" s="321" t="str">
        <f t="shared" si="23"/>
        <v>906</v>
      </c>
      <c r="AR71" s="321">
        <f>IF(Instructions!$E$11=8,IF($D71=Instructions!$F$51,AR70+1,AR70),IF(Instructions!$E$11=10,IF($H71=Instructions!$F$51,AR70+1,AR70),IF(Instructions!$E$11=12,IF($L71=Instructions!$F$51,AR70+1,AR70),IF(Instructions!$E$11=14,IF($P71=Instructions!$F$51,AR70+1,AR70),IF(Instructions!$E$11=16,IF($T71=Instructions!$F$51,AR70+1,AR70))))))</f>
        <v>6</v>
      </c>
      <c r="AS71" s="321" t="str">
        <f t="shared" si="25"/>
        <v>1006</v>
      </c>
      <c r="AT71" s="321">
        <f>IF(Instructions!$E$11=8,IF($D71=Instructions!$F$52,AT70+1,AT70),IF(Instructions!$E$11=10,IF($H71=Instructions!$F$52,AT70+1,AT70),IF(Instructions!$E$11=12,IF($L71=Instructions!$F$52,AT70+1,AT70),IF(Instructions!$E$11=14,IF($P71=Instructions!$F$52,AT70+1,AT70),IF(Instructions!$E$11=16,IF($T71=Instructions!$F$52,AT70+1,AT70))))))</f>
        <v>6</v>
      </c>
      <c r="AU71" s="321" t="str">
        <f t="shared" si="26"/>
        <v>1106</v>
      </c>
      <c r="AV71" s="321">
        <f>IF(Instructions!$E$11=8,IF($D71=Instructions!$F$53,AV70+1,AV70),IF(Instructions!$E$11=10,IF($H71=Instructions!$F$53,AV70+1,AV70),IF(Instructions!$E$11=12,IF($L71=Instructions!$F$53,AV70+1,AV70),IF(Instructions!$E$11=14,IF($P71=Instructions!$F$53,AV70+1,AV70),IF(Instructions!$E$11=16,IF($T71=Instructions!$F$53,AV70+1,AV70))))))</f>
        <v>6</v>
      </c>
      <c r="AW71" s="321" t="str">
        <f t="shared" si="27"/>
        <v>1206</v>
      </c>
      <c r="AX71" s="321">
        <f>IF(Instructions!$E$11=8,IF($D71=Instructions!$F$54,AX70+1,AX70),IF(Instructions!$E$11=10,IF($H71=Instructions!$F$54,AX70+1,AX70),IF(Instructions!$E$11=12,IF($L71=Instructions!$F$54,AX70+1,AX70),IF(Instructions!$E$11=14,IF($P71=Instructions!$F$54,AX70+1,AX70),IF(Instructions!$E$11=16,IF($T71=Instructions!$F$54,AX70+1,AX70))))))</f>
        <v>0</v>
      </c>
      <c r="AY71" s="321" t="str">
        <f t="shared" si="28"/>
        <v>1300</v>
      </c>
      <c r="AZ71" s="321">
        <f>IF(Instructions!$E$11=8,IF($D71=Instructions!$F$55,AZ70+1,AZ70),IF(Instructions!$E$11=10,IF($H71=Instructions!$F$55,AZ70+1,AZ70),IF(Instructions!$E$11=12,IF($L71=Instructions!$F$55,AZ70+1,AZ70),IF(Instructions!$E$11=14,IF($P71=Instructions!$F$55,AZ70+1,AZ70),IF(Instructions!$E$11=16,IF($T71=Instructions!$F$55,AZ70+1,AZ70))))))</f>
        <v>0</v>
      </c>
      <c r="BA71" s="321" t="str">
        <f t="shared" si="29"/>
        <v>1400</v>
      </c>
      <c r="BB71" s="321">
        <f>IF(Instructions!$E$11=8,IF($D71=Instructions!$F$56,BB70+1,BB70),IF(Instructions!$E$11=10,IF($H71=Instructions!$F$56,BB70+1,BB70),IF(Instructions!$E$11=12,IF($L71=Instructions!$F$56,BB70+1,BB70),IF(Instructions!$E$11=14,IF($P71=Instructions!$F$56,BB70+1,BB70),IF(Instructions!$E$11=16,IF($T71=Instructions!$F$56,BB70+1,BB70))))))</f>
        <v>0</v>
      </c>
      <c r="BC71" s="321" t="str">
        <f t="shared" si="30"/>
        <v>1500</v>
      </c>
      <c r="BD71" s="321">
        <f>IF(Instructions!$E$11=8,IF($D71=Instructions!$F$57,BD70+1,BD70),IF(Instructions!$E$11=10,IF($H71=Instructions!$F$57,BD70+1,BD70),IF(Instructions!$E$11=12,IF($L71=Instructions!$F$57,BD70+1,BD70),IF(Instructions!$E$11=14,IF($P71=Instructions!$F$57,BD70+1,BD70),IF(Instructions!$E$11=16,IF($T71=Instructions!$F$57,BD70+1,BD70))))))</f>
        <v>0</v>
      </c>
      <c r="BE71" s="321" t="str">
        <f t="shared" si="31"/>
        <v>1600</v>
      </c>
      <c r="BF71" s="321">
        <v>69</v>
      </c>
    </row>
    <row r="72" spans="1:58" ht="15.75" thickBot="1" x14ac:dyDescent="0.3">
      <c r="A72" s="280"/>
      <c r="B72" s="323" t="str">
        <f>IF(Instructions!$J$11=1,AA72,IF(Instructions!$J$11=2,AC72,IF(Instructions!$J$11=3,AE72,IF(Instructions!$J$11=4,AG72,IF(Instructions!$J$11=5,AI72,IF(Instructions!$J$11=6,AK72,IF(Instructions!$J$11=7,AM72,IF(Instructions!$J$11=8,AO72,IF(Instructions!$J$11=9,AQ72,IF(Instructions!$J$11=10,AS72,IF(Instructions!$J$11=11,AU72,IF(Instructions!$J$11=12,AW72,IF(Instructions!$J$11=13, AY72, IF(Instructions!$J$11=14,BA72,IF(Instructions!$J$11=15,BC72,BE72)))))))))))))))</f>
        <v>205</v>
      </c>
      <c r="C72" s="272">
        <v>70</v>
      </c>
      <c r="D72" s="327" t="str">
        <f>Instructions!F$47</f>
        <v>Devin</v>
      </c>
      <c r="E72" s="332" t="s">
        <v>808</v>
      </c>
      <c r="F72" s="706"/>
      <c r="G72" s="279">
        <v>9</v>
      </c>
      <c r="H72" s="295" t="str">
        <f>Instructions!F$51</f>
        <v>Josh</v>
      </c>
      <c r="I72" s="277" t="s">
        <v>788</v>
      </c>
      <c r="J72" s="710"/>
      <c r="K72" s="279">
        <v>7</v>
      </c>
      <c r="L72" s="294" t="str">
        <f>Instructions!F$44</f>
        <v>Cam</v>
      </c>
      <c r="M72" s="274" t="s">
        <v>776</v>
      </c>
      <c r="N72" s="709"/>
      <c r="O72" s="279">
        <v>6</v>
      </c>
      <c r="P72" s="295" t="str">
        <f>Instructions!F$55</f>
        <v>[TEAM 14]</v>
      </c>
      <c r="Q72" s="277" t="s">
        <v>937</v>
      </c>
      <c r="R72" s="710"/>
      <c r="S72" s="279">
        <v>5</v>
      </c>
      <c r="T72" s="327" t="str">
        <f>Instructions!F$47</f>
        <v>Devin</v>
      </c>
      <c r="U72" s="274" t="s">
        <v>760</v>
      </c>
      <c r="V72" s="706"/>
      <c r="W72" s="279">
        <v>5</v>
      </c>
      <c r="X72" s="280"/>
      <c r="Y72" s="190" t="str">
        <f>IFERROR( IF(Instructions!$E$11=8, D72&amp;COUNTIF(D$3:D72,D72), IF(Instructions!$E$11=10, H72&amp;COUNTIF(H$3:H72,H72),IF(Instructions!$E$11=12, L72&amp;COUNTIF(L$3:L72,L72),IF(Instructions!$E$11=14, P72&amp;COUNTIF(P$3:P72,P72),T72&amp;COUNTIF(T$3:T72,T72))))),"")</f>
        <v>Cam6</v>
      </c>
      <c r="Z72" s="321">
        <f>IF(Instructions!$E$11=8,IF($D72=Instructions!$F$42,Z71+1,Z71),IF(Instructions!$E$11=10,IF($H72=Instructions!$F$42,Z71+1,Z71),IF(Instructions!$E$11=12,IF($L72=Instructions!$F$42,Z71+1,Z71),IF(Instructions!$E$11=14,IF($P72=Instructions!$F$42,Z71+1,Z71),IF(Instructions!$E$11=16,IF($T72=Instructions!$F$42,Z71+1,Z71))))))</f>
        <v>5</v>
      </c>
      <c r="AA72" s="321" t="str">
        <f t="shared" si="24"/>
        <v>105</v>
      </c>
      <c r="AB72" s="321">
        <f>IF(Instructions!$E$11=8,IF($D72=Instructions!$F$43,AB71+1,AB71),IF(Instructions!$E$11=10,IF($H72=Instructions!$F$43,AB71+1,AB71),IF(Instructions!$E$11=12,IF($L72=Instructions!$F$43,AB71+1,AB71),IF(Instructions!$E$11=14,IF($P72=Instructions!$F$43,AB71+1,AB71),IF(Instructions!$E$11=16,IF($T72=Instructions!$F$43,AB71+1,AB71))))))</f>
        <v>5</v>
      </c>
      <c r="AC72" s="321" t="str">
        <f t="shared" si="16"/>
        <v>205</v>
      </c>
      <c r="AD72" s="321">
        <f>IF(Instructions!$E$11=8,IF($D72=Instructions!$F$44,AD71+1,AD71),IF(Instructions!$E$11=10,IF($H72=Instructions!$F$44,AD71+1,AD71),IF(Instructions!$E$11=12,IF($L72=Instructions!$F$44,AD71+1,AD71),IF(Instructions!$E$11=14,IF($P72=Instructions!$F$44,AD71+1,AD71),IF(Instructions!$E$11=16,IF($T72=Instructions!$F$44,AD71+1,AD71))))))</f>
        <v>6</v>
      </c>
      <c r="AE72" s="321" t="str">
        <f t="shared" si="17"/>
        <v>306</v>
      </c>
      <c r="AF72" s="321">
        <f>IF(Instructions!$E$11=8,IF($D72=Instructions!$F$45,AF71+1,AF71),IF(Instructions!$E$11=10,IF($H72=Instructions!$F$45,AF71+1,AF71),IF(Instructions!$E$11=12,IF($L72=Instructions!$F$45,AF71+1,AF71),IF(Instructions!$E$11=14,IF($P72=Instructions!$F$45,AF71+1,AF71),IF(Instructions!$E$11=16,IF($T72=Instructions!$F$45,AF71+1,AF71))))))</f>
        <v>6</v>
      </c>
      <c r="AG72" s="321" t="str">
        <f t="shared" si="18"/>
        <v>406</v>
      </c>
      <c r="AH72" s="321">
        <f>IF(Instructions!$E$11=8,IF($D72=Instructions!$F$46,AH71+1,AH71),IF(Instructions!$E$11=10,IF($H72=Instructions!$F$46,AH71+1,AH71),IF(Instructions!$E$11=12,IF($L72=Instructions!$F$46,AH71+1,AH71),IF(Instructions!$E$11=14,IF($P72=Instructions!$F$46,AH71+1,AH71),IF(Instructions!$E$11=16,IF($T72=Instructions!$F$46,AH71+1,AH71))))))</f>
        <v>6</v>
      </c>
      <c r="AI72" s="321" t="str">
        <f t="shared" si="19"/>
        <v>506</v>
      </c>
      <c r="AJ72" s="321">
        <f>IF(Instructions!$E$11=8,IF($D72=Instructions!$F$47,AJ71+1,AJ71),IF(Instructions!$E$11=10,IF($H72=Instructions!$F$47,AJ71+1,AJ71),IF(Instructions!$E$11=12,IF($L72=Instructions!$F$47,AJ71+1,AJ71),IF(Instructions!$E$11=14,IF($P72=Instructions!$F$47,AJ71+1,AJ71),IF(Instructions!$E$11=16,IF($T72=Instructions!$F$47,AJ71+1,AJ71))))))</f>
        <v>6</v>
      </c>
      <c r="AK72" s="321" t="str">
        <f t="shared" si="20"/>
        <v>606</v>
      </c>
      <c r="AL72" s="321">
        <f>IF(Instructions!$E$11=8,IF($D72=Instructions!$F$48,AL71+1,AL71),IF(Instructions!$E$11=10,IF($H72=Instructions!$F$48,AL71+1,AL71),IF(Instructions!$E$11=12,IF($L72=Instructions!$F$48,AL71+1,AL71),IF(Instructions!$E$11=14,IF($P72=Instructions!$F$48,AL71+1,AL71),IF(Instructions!$E$11=16,IF($T72=Instructions!$F$48,AL71+1,AL71))))))</f>
        <v>6</v>
      </c>
      <c r="AM72" s="321" t="str">
        <f t="shared" si="21"/>
        <v>706</v>
      </c>
      <c r="AN72" s="321">
        <f>IF(Instructions!$E$11=8,IF($D72=Instructions!$F$49,AN71+1,AN71),IF(Instructions!$E$11=10,IF($H72=Instructions!$F$49,AN71+1,AN71),IF(Instructions!$E$11=12,IF($L72=Instructions!$F$49,AN71+1,AN71),IF(Instructions!$E$11=14,IF($P72=Instructions!$F$49,AN71+1,AN71),IF(Instructions!$E$11=16,IF($T72=Instructions!$F$49,AN71+1,AN71))))))</f>
        <v>6</v>
      </c>
      <c r="AO72" s="321" t="str">
        <f t="shared" si="22"/>
        <v>806</v>
      </c>
      <c r="AP72" s="321">
        <f>IF(Instructions!$E$11=8,IF($D72=Instructions!$F$50,AP71+1,AP71),IF(Instructions!$E$11=10,IF($H72=Instructions!$F$50,AP71+1,AP71),IF(Instructions!$E$11=12,IF($L72=Instructions!$F$50,AP71+1,AP71),IF(Instructions!$E$11=14,IF($P72=Instructions!$F$50,AP71+1,AP71),IF(Instructions!$E$11=16,IF($T72=Instructions!$F$50,AP71+1,AP71))))))</f>
        <v>6</v>
      </c>
      <c r="AQ72" s="321" t="str">
        <f t="shared" si="23"/>
        <v>906</v>
      </c>
      <c r="AR72" s="321">
        <f>IF(Instructions!$E$11=8,IF($D72=Instructions!$F$51,AR71+1,AR71),IF(Instructions!$E$11=10,IF($H72=Instructions!$F$51,AR71+1,AR71),IF(Instructions!$E$11=12,IF($L72=Instructions!$F$51,AR71+1,AR71),IF(Instructions!$E$11=14,IF($P72=Instructions!$F$51,AR71+1,AR71),IF(Instructions!$E$11=16,IF($T72=Instructions!$F$51,AR71+1,AR71))))))</f>
        <v>6</v>
      </c>
      <c r="AS72" s="321" t="str">
        <f t="shared" si="25"/>
        <v>1006</v>
      </c>
      <c r="AT72" s="321">
        <f>IF(Instructions!$E$11=8,IF($D72=Instructions!$F$52,AT71+1,AT71),IF(Instructions!$E$11=10,IF($H72=Instructions!$F$52,AT71+1,AT71),IF(Instructions!$E$11=12,IF($L72=Instructions!$F$52,AT71+1,AT71),IF(Instructions!$E$11=14,IF($P72=Instructions!$F$52,AT71+1,AT71),IF(Instructions!$E$11=16,IF($T72=Instructions!$F$52,AT71+1,AT71))))))</f>
        <v>6</v>
      </c>
      <c r="AU72" s="321" t="str">
        <f t="shared" si="26"/>
        <v>1106</v>
      </c>
      <c r="AV72" s="321">
        <f>IF(Instructions!$E$11=8,IF($D72=Instructions!$F$53,AV71+1,AV71),IF(Instructions!$E$11=10,IF($H72=Instructions!$F$53,AV71+1,AV71),IF(Instructions!$E$11=12,IF($L72=Instructions!$F$53,AV71+1,AV71),IF(Instructions!$E$11=14,IF($P72=Instructions!$F$53,AV71+1,AV71),IF(Instructions!$E$11=16,IF($T72=Instructions!$F$53,AV71+1,AV71))))))</f>
        <v>6</v>
      </c>
      <c r="AW72" s="321" t="str">
        <f t="shared" si="27"/>
        <v>1206</v>
      </c>
      <c r="AX72" s="321">
        <f>IF(Instructions!$E$11=8,IF($D72=Instructions!$F$54,AX71+1,AX71),IF(Instructions!$E$11=10,IF($H72=Instructions!$F$54,AX71+1,AX71),IF(Instructions!$E$11=12,IF($L72=Instructions!$F$54,AX71+1,AX71),IF(Instructions!$E$11=14,IF($P72=Instructions!$F$54,AX71+1,AX71),IF(Instructions!$E$11=16,IF($T72=Instructions!$F$54,AX71+1,AX71))))))</f>
        <v>0</v>
      </c>
      <c r="AY72" s="321" t="str">
        <f t="shared" si="28"/>
        <v>1300</v>
      </c>
      <c r="AZ72" s="321">
        <f>IF(Instructions!$E$11=8,IF($D72=Instructions!$F$55,AZ71+1,AZ71),IF(Instructions!$E$11=10,IF($H72=Instructions!$F$55,AZ71+1,AZ71),IF(Instructions!$E$11=12,IF($L72=Instructions!$F$55,AZ71+1,AZ71),IF(Instructions!$E$11=14,IF($P72=Instructions!$F$55,AZ71+1,AZ71),IF(Instructions!$E$11=16,IF($T72=Instructions!$F$55,AZ71+1,AZ71))))))</f>
        <v>0</v>
      </c>
      <c r="BA72" s="321" t="str">
        <f t="shared" si="29"/>
        <v>1400</v>
      </c>
      <c r="BB72" s="321">
        <f>IF(Instructions!$E$11=8,IF($D72=Instructions!$F$56,BB71+1,BB71),IF(Instructions!$E$11=10,IF($H72=Instructions!$F$56,BB71+1,BB71),IF(Instructions!$E$11=12,IF($L72=Instructions!$F$56,BB71+1,BB71),IF(Instructions!$E$11=14,IF($P72=Instructions!$F$56,BB71+1,BB71),IF(Instructions!$E$11=16,IF($T72=Instructions!$F$56,BB71+1,BB71))))))</f>
        <v>0</v>
      </c>
      <c r="BC72" s="321" t="str">
        <f t="shared" si="30"/>
        <v>1500</v>
      </c>
      <c r="BD72" s="321">
        <f>IF(Instructions!$E$11=8,IF($D72=Instructions!$F$57,BD71+1,BD71),IF(Instructions!$E$11=10,IF($H72=Instructions!$F$57,BD71+1,BD71),IF(Instructions!$E$11=12,IF($L72=Instructions!$F$57,BD71+1,BD71),IF(Instructions!$E$11=14,IF($P72=Instructions!$F$57,BD71+1,BD71),IF(Instructions!$E$11=16,IF($T72=Instructions!$F$57,BD71+1,BD71))))))</f>
        <v>0</v>
      </c>
      <c r="BE72" s="321" t="str">
        <f t="shared" si="31"/>
        <v>1600</v>
      </c>
      <c r="BF72" s="321">
        <v>70</v>
      </c>
    </row>
    <row r="73" spans="1:58" ht="15" customHeight="1" x14ac:dyDescent="0.25">
      <c r="A73" s="280"/>
      <c r="B73" s="323" t="str">
        <f>IF(Instructions!$J$11=1,AA73,IF(Instructions!$J$11=2,AC73,IF(Instructions!$J$11=3,AE73,IF(Instructions!$J$11=4,AG73,IF(Instructions!$J$11=5,AI73,IF(Instructions!$J$11=6,AK73,IF(Instructions!$J$11=7,AM73,IF(Instructions!$J$11=8,AO73,IF(Instructions!$J$11=9,AQ73,IF(Instructions!$J$11=10,AS73,IF(Instructions!$J$11=11,AU73,IF(Instructions!$J$11=12,AW73,IF(Instructions!$J$11=13, AY73, IF(Instructions!$J$11=14,BA73,IF(Instructions!$J$11=15,BC73,BE73)))))))))))))))</f>
        <v>206</v>
      </c>
      <c r="C73" s="271">
        <v>71</v>
      </c>
      <c r="D73" s="328" t="str">
        <f>Instructions!F$48</f>
        <v>Bui</v>
      </c>
      <c r="E73" s="333" t="s">
        <v>809</v>
      </c>
      <c r="F73" s="706"/>
      <c r="G73" s="279">
        <v>9</v>
      </c>
      <c r="H73" s="292" t="str">
        <f>Instructions!F$51</f>
        <v>Josh</v>
      </c>
      <c r="I73" s="278" t="s">
        <v>791</v>
      </c>
      <c r="J73" s="708" t="s">
        <v>903</v>
      </c>
      <c r="K73" s="279">
        <v>8</v>
      </c>
      <c r="L73" s="293" t="str">
        <f>Instructions!F$43</f>
        <v>Camden</v>
      </c>
      <c r="M73" s="273" t="s">
        <v>777</v>
      </c>
      <c r="N73" s="709"/>
      <c r="O73" s="279">
        <v>6</v>
      </c>
      <c r="P73" s="292" t="str">
        <f>Instructions!F$55</f>
        <v>[TEAM 14]</v>
      </c>
      <c r="Q73" s="276" t="s">
        <v>767</v>
      </c>
      <c r="R73" s="708" t="s">
        <v>901</v>
      </c>
      <c r="S73" s="279">
        <v>6</v>
      </c>
      <c r="T73" s="328" t="str">
        <f>Instructions!F$48</f>
        <v>Bui</v>
      </c>
      <c r="U73" s="273" t="s">
        <v>761</v>
      </c>
      <c r="V73" s="706"/>
      <c r="W73" s="279">
        <v>5</v>
      </c>
      <c r="X73" s="280"/>
      <c r="Y73" s="190" t="str">
        <f>IFERROR( IF(Instructions!$E$11=8, D73&amp;COUNTIF(D$3:D73,D73), IF(Instructions!$E$11=10, H73&amp;COUNTIF(H$3:H73,H73),IF(Instructions!$E$11=12, L73&amp;COUNTIF(L$3:L73,L73),IF(Instructions!$E$11=14, P73&amp;COUNTIF(P$3:P73,P73),T73&amp;COUNTIF(T$3:T73,T73))))),"")</f>
        <v>Camden6</v>
      </c>
      <c r="Z73" s="321">
        <f>IF(Instructions!$E$11=8,IF($D73=Instructions!$F$42,Z72+1,Z72),IF(Instructions!$E$11=10,IF($H73=Instructions!$F$42,Z72+1,Z72),IF(Instructions!$E$11=12,IF($L73=Instructions!$F$42,Z72+1,Z72),IF(Instructions!$E$11=14,IF($P73=Instructions!$F$42,Z72+1,Z72),IF(Instructions!$E$11=16,IF($T73=Instructions!$F$42,Z72+1,Z72))))))</f>
        <v>5</v>
      </c>
      <c r="AA73" s="321" t="str">
        <f t="shared" si="24"/>
        <v>105</v>
      </c>
      <c r="AB73" s="321">
        <f>IF(Instructions!$E$11=8,IF($D73=Instructions!$F$43,AB72+1,AB72),IF(Instructions!$E$11=10,IF($H73=Instructions!$F$43,AB72+1,AB72),IF(Instructions!$E$11=12,IF($L73=Instructions!$F$43,AB72+1,AB72),IF(Instructions!$E$11=14,IF($P73=Instructions!$F$43,AB72+1,AB72),IF(Instructions!$E$11=16,IF($T73=Instructions!$F$43,AB72+1,AB72))))))</f>
        <v>6</v>
      </c>
      <c r="AC73" s="321" t="str">
        <f t="shared" si="16"/>
        <v>206</v>
      </c>
      <c r="AD73" s="321">
        <f>IF(Instructions!$E$11=8,IF($D73=Instructions!$F$44,AD72+1,AD72),IF(Instructions!$E$11=10,IF($H73=Instructions!$F$44,AD72+1,AD72),IF(Instructions!$E$11=12,IF($L73=Instructions!$F$44,AD72+1,AD72),IF(Instructions!$E$11=14,IF($P73=Instructions!$F$44,AD72+1,AD72),IF(Instructions!$E$11=16,IF($T73=Instructions!$F$44,AD72+1,AD72))))))</f>
        <v>6</v>
      </c>
      <c r="AE73" s="321" t="str">
        <f t="shared" si="17"/>
        <v>306</v>
      </c>
      <c r="AF73" s="321">
        <f>IF(Instructions!$E$11=8,IF($D73=Instructions!$F$45,AF72+1,AF72),IF(Instructions!$E$11=10,IF($H73=Instructions!$F$45,AF72+1,AF72),IF(Instructions!$E$11=12,IF($L73=Instructions!$F$45,AF72+1,AF72),IF(Instructions!$E$11=14,IF($P73=Instructions!$F$45,AF72+1,AF72),IF(Instructions!$E$11=16,IF($T73=Instructions!$F$45,AF72+1,AF72))))))</f>
        <v>6</v>
      </c>
      <c r="AG73" s="321" t="str">
        <f t="shared" si="18"/>
        <v>406</v>
      </c>
      <c r="AH73" s="321">
        <f>IF(Instructions!$E$11=8,IF($D73=Instructions!$F$46,AH72+1,AH72),IF(Instructions!$E$11=10,IF($H73=Instructions!$F$46,AH72+1,AH72),IF(Instructions!$E$11=12,IF($L73=Instructions!$F$46,AH72+1,AH72),IF(Instructions!$E$11=14,IF($P73=Instructions!$F$46,AH72+1,AH72),IF(Instructions!$E$11=16,IF($T73=Instructions!$F$46,AH72+1,AH72))))))</f>
        <v>6</v>
      </c>
      <c r="AI73" s="321" t="str">
        <f t="shared" si="19"/>
        <v>506</v>
      </c>
      <c r="AJ73" s="321">
        <f>IF(Instructions!$E$11=8,IF($D73=Instructions!$F$47,AJ72+1,AJ72),IF(Instructions!$E$11=10,IF($H73=Instructions!$F$47,AJ72+1,AJ72),IF(Instructions!$E$11=12,IF($L73=Instructions!$F$47,AJ72+1,AJ72),IF(Instructions!$E$11=14,IF($P73=Instructions!$F$47,AJ72+1,AJ72),IF(Instructions!$E$11=16,IF($T73=Instructions!$F$47,AJ72+1,AJ72))))))</f>
        <v>6</v>
      </c>
      <c r="AK73" s="321" t="str">
        <f t="shared" si="20"/>
        <v>606</v>
      </c>
      <c r="AL73" s="321">
        <f>IF(Instructions!$E$11=8,IF($D73=Instructions!$F$48,AL72+1,AL72),IF(Instructions!$E$11=10,IF($H73=Instructions!$F$48,AL72+1,AL72),IF(Instructions!$E$11=12,IF($L73=Instructions!$F$48,AL72+1,AL72),IF(Instructions!$E$11=14,IF($P73=Instructions!$F$48,AL72+1,AL72),IF(Instructions!$E$11=16,IF($T73=Instructions!$F$48,AL72+1,AL72))))))</f>
        <v>6</v>
      </c>
      <c r="AM73" s="321" t="str">
        <f t="shared" si="21"/>
        <v>706</v>
      </c>
      <c r="AN73" s="321">
        <f>IF(Instructions!$E$11=8,IF($D73=Instructions!$F$49,AN72+1,AN72),IF(Instructions!$E$11=10,IF($H73=Instructions!$F$49,AN72+1,AN72),IF(Instructions!$E$11=12,IF($L73=Instructions!$F$49,AN72+1,AN72),IF(Instructions!$E$11=14,IF($P73=Instructions!$F$49,AN72+1,AN72),IF(Instructions!$E$11=16,IF($T73=Instructions!$F$49,AN72+1,AN72))))))</f>
        <v>6</v>
      </c>
      <c r="AO73" s="321" t="str">
        <f t="shared" si="22"/>
        <v>806</v>
      </c>
      <c r="AP73" s="321">
        <f>IF(Instructions!$E$11=8,IF($D73=Instructions!$F$50,AP72+1,AP72),IF(Instructions!$E$11=10,IF($H73=Instructions!$F$50,AP72+1,AP72),IF(Instructions!$E$11=12,IF($L73=Instructions!$F$50,AP72+1,AP72),IF(Instructions!$E$11=14,IF($P73=Instructions!$F$50,AP72+1,AP72),IF(Instructions!$E$11=16,IF($T73=Instructions!$F$50,AP72+1,AP72))))))</f>
        <v>6</v>
      </c>
      <c r="AQ73" s="321" t="str">
        <f t="shared" si="23"/>
        <v>906</v>
      </c>
      <c r="AR73" s="321">
        <f>IF(Instructions!$E$11=8,IF($D73=Instructions!$F$51,AR72+1,AR72),IF(Instructions!$E$11=10,IF($H73=Instructions!$F$51,AR72+1,AR72),IF(Instructions!$E$11=12,IF($L73=Instructions!$F$51,AR72+1,AR72),IF(Instructions!$E$11=14,IF($P73=Instructions!$F$51,AR72+1,AR72),IF(Instructions!$E$11=16,IF($T73=Instructions!$F$51,AR72+1,AR72))))))</f>
        <v>6</v>
      </c>
      <c r="AS73" s="321" t="str">
        <f t="shared" si="25"/>
        <v>1006</v>
      </c>
      <c r="AT73" s="321">
        <f>IF(Instructions!$E$11=8,IF($D73=Instructions!$F$52,AT72+1,AT72),IF(Instructions!$E$11=10,IF($H73=Instructions!$F$52,AT72+1,AT72),IF(Instructions!$E$11=12,IF($L73=Instructions!$F$52,AT72+1,AT72),IF(Instructions!$E$11=14,IF($P73=Instructions!$F$52,AT72+1,AT72),IF(Instructions!$E$11=16,IF($T73=Instructions!$F$52,AT72+1,AT72))))))</f>
        <v>6</v>
      </c>
      <c r="AU73" s="321" t="str">
        <f t="shared" si="26"/>
        <v>1106</v>
      </c>
      <c r="AV73" s="321">
        <f>IF(Instructions!$E$11=8,IF($D73=Instructions!$F$53,AV72+1,AV72),IF(Instructions!$E$11=10,IF($H73=Instructions!$F$53,AV72+1,AV72),IF(Instructions!$E$11=12,IF($L73=Instructions!$F$53,AV72+1,AV72),IF(Instructions!$E$11=14,IF($P73=Instructions!$F$53,AV72+1,AV72),IF(Instructions!$E$11=16,IF($T73=Instructions!$F$53,AV72+1,AV72))))))</f>
        <v>6</v>
      </c>
      <c r="AW73" s="321" t="str">
        <f t="shared" si="27"/>
        <v>1206</v>
      </c>
      <c r="AX73" s="321">
        <f>IF(Instructions!$E$11=8,IF($D73=Instructions!$F$54,AX72+1,AX72),IF(Instructions!$E$11=10,IF($H73=Instructions!$F$54,AX72+1,AX72),IF(Instructions!$E$11=12,IF($L73=Instructions!$F$54,AX72+1,AX72),IF(Instructions!$E$11=14,IF($P73=Instructions!$F$54,AX72+1,AX72),IF(Instructions!$E$11=16,IF($T73=Instructions!$F$54,AX72+1,AX72))))))</f>
        <v>0</v>
      </c>
      <c r="AY73" s="321" t="str">
        <f t="shared" si="28"/>
        <v>1300</v>
      </c>
      <c r="AZ73" s="321">
        <f>IF(Instructions!$E$11=8,IF($D73=Instructions!$F$55,AZ72+1,AZ72),IF(Instructions!$E$11=10,IF($H73=Instructions!$F$55,AZ72+1,AZ72),IF(Instructions!$E$11=12,IF($L73=Instructions!$F$55,AZ72+1,AZ72),IF(Instructions!$E$11=14,IF($P73=Instructions!$F$55,AZ72+1,AZ72),IF(Instructions!$E$11=16,IF($T73=Instructions!$F$55,AZ72+1,AZ72))))))</f>
        <v>0</v>
      </c>
      <c r="BA73" s="321" t="str">
        <f t="shared" si="29"/>
        <v>1400</v>
      </c>
      <c r="BB73" s="321">
        <f>IF(Instructions!$E$11=8,IF($D73=Instructions!$F$56,BB72+1,BB72),IF(Instructions!$E$11=10,IF($H73=Instructions!$F$56,BB72+1,BB72),IF(Instructions!$E$11=12,IF($L73=Instructions!$F$56,BB72+1,BB72),IF(Instructions!$E$11=14,IF($P73=Instructions!$F$56,BB72+1,BB72),IF(Instructions!$E$11=16,IF($T73=Instructions!$F$56,BB72+1,BB72))))))</f>
        <v>0</v>
      </c>
      <c r="BC73" s="321" t="str">
        <f t="shared" si="30"/>
        <v>1500</v>
      </c>
      <c r="BD73" s="321">
        <f>IF(Instructions!$E$11=8,IF($D73=Instructions!$F$57,BD72+1,BD72),IF(Instructions!$E$11=10,IF($H73=Instructions!$F$57,BD72+1,BD72),IF(Instructions!$E$11=12,IF($L73=Instructions!$F$57,BD72+1,BD72),IF(Instructions!$E$11=14,IF($P73=Instructions!$F$57,BD72+1,BD72),IF(Instructions!$E$11=16,IF($T73=Instructions!$F$57,BD72+1,BD72))))))</f>
        <v>0</v>
      </c>
      <c r="BE73" s="321" t="str">
        <f t="shared" si="31"/>
        <v>1600</v>
      </c>
      <c r="BF73" s="321">
        <v>71</v>
      </c>
    </row>
    <row r="74" spans="1:58" ht="15.75" thickBot="1" x14ac:dyDescent="0.3">
      <c r="A74" s="280"/>
      <c r="B74" s="323" t="str">
        <f>IF(Instructions!$J$11=1,AA74,IF(Instructions!$J$11=2,AC74,IF(Instructions!$J$11=3,AE74,IF(Instructions!$J$11=4,AG74,IF(Instructions!$J$11=5,AI74,IF(Instructions!$J$11=6,AK74,IF(Instructions!$J$11=7,AM74,IF(Instructions!$J$11=8,AO74,IF(Instructions!$J$11=9,AQ74,IF(Instructions!$J$11=10,AS74,IF(Instructions!$J$11=11,AU74,IF(Instructions!$J$11=12,AW74,IF(Instructions!$J$11=13, AY74, IF(Instructions!$J$11=14,BA74,IF(Instructions!$J$11=15,BC74,BE74)))))))))))))))</f>
        <v>206</v>
      </c>
      <c r="C74" s="272">
        <v>72</v>
      </c>
      <c r="D74" s="329" t="str">
        <f>Instructions!F$49</f>
        <v>Luke</v>
      </c>
      <c r="E74" s="334" t="s">
        <v>810</v>
      </c>
      <c r="F74" s="707"/>
      <c r="G74" s="279">
        <v>9</v>
      </c>
      <c r="H74" s="294" t="str">
        <f>Instructions!F$50</f>
        <v>Dan</v>
      </c>
      <c r="I74" s="274" t="s">
        <v>792</v>
      </c>
      <c r="J74" s="709"/>
      <c r="K74" s="279">
        <v>8</v>
      </c>
      <c r="L74" s="295" t="str">
        <f>Instructions!F$42</f>
        <v>Trumbo</v>
      </c>
      <c r="M74" s="277" t="s">
        <v>778</v>
      </c>
      <c r="N74" s="710"/>
      <c r="O74" s="279">
        <v>6</v>
      </c>
      <c r="P74" s="294" t="str">
        <f>Instructions!F$54</f>
        <v>[TEAM 13]</v>
      </c>
      <c r="Q74" s="274" t="s">
        <v>768</v>
      </c>
      <c r="R74" s="709"/>
      <c r="S74" s="279">
        <v>6</v>
      </c>
      <c r="T74" s="327" t="str">
        <f>Instructions!F$49</f>
        <v>Luke</v>
      </c>
      <c r="U74" s="274" t="s">
        <v>762</v>
      </c>
      <c r="V74" s="706"/>
      <c r="W74" s="279">
        <v>5</v>
      </c>
      <c r="X74" s="280"/>
      <c r="Y74" s="190" t="str">
        <f>IFERROR( IF(Instructions!$E$11=8, D74&amp;COUNTIF(D$3:D74,D74), IF(Instructions!$E$11=10, H74&amp;COUNTIF(H$3:H74,H74),IF(Instructions!$E$11=12, L74&amp;COUNTIF(L$3:L74,L74),IF(Instructions!$E$11=14, P74&amp;COUNTIF(P$3:P74,P74),T74&amp;COUNTIF(T$3:T74,T74))))),"")</f>
        <v>Trumbo6</v>
      </c>
      <c r="Z74" s="321">
        <f>IF(Instructions!$E$11=8,IF($D74=Instructions!$F$42,Z73+1,Z73),IF(Instructions!$E$11=10,IF($H74=Instructions!$F$42,Z73+1,Z73),IF(Instructions!$E$11=12,IF($L74=Instructions!$F$42,Z73+1,Z73),IF(Instructions!$E$11=14,IF($P74=Instructions!$F$42,Z73+1,Z73),IF(Instructions!$E$11=16,IF($T74=Instructions!$F$42,Z73+1,Z73))))))</f>
        <v>6</v>
      </c>
      <c r="AA74" s="321" t="str">
        <f t="shared" si="24"/>
        <v>106</v>
      </c>
      <c r="AB74" s="321">
        <f>IF(Instructions!$E$11=8,IF($D74=Instructions!$F$43,AB73+1,AB73),IF(Instructions!$E$11=10,IF($H74=Instructions!$F$43,AB73+1,AB73),IF(Instructions!$E$11=12,IF($L74=Instructions!$F$43,AB73+1,AB73),IF(Instructions!$E$11=14,IF($P74=Instructions!$F$43,AB73+1,AB73),IF(Instructions!$E$11=16,IF($T74=Instructions!$F$43,AB73+1,AB73))))))</f>
        <v>6</v>
      </c>
      <c r="AC74" s="321" t="str">
        <f t="shared" si="16"/>
        <v>206</v>
      </c>
      <c r="AD74" s="321">
        <f>IF(Instructions!$E$11=8,IF($D74=Instructions!$F$44,AD73+1,AD73),IF(Instructions!$E$11=10,IF($H74=Instructions!$F$44,AD73+1,AD73),IF(Instructions!$E$11=12,IF($L74=Instructions!$F$44,AD73+1,AD73),IF(Instructions!$E$11=14,IF($P74=Instructions!$F$44,AD73+1,AD73),IF(Instructions!$E$11=16,IF($T74=Instructions!$F$44,AD73+1,AD73))))))</f>
        <v>6</v>
      </c>
      <c r="AE74" s="321" t="str">
        <f t="shared" si="17"/>
        <v>306</v>
      </c>
      <c r="AF74" s="321">
        <f>IF(Instructions!$E$11=8,IF($D74=Instructions!$F$45,AF73+1,AF73),IF(Instructions!$E$11=10,IF($H74=Instructions!$F$45,AF73+1,AF73),IF(Instructions!$E$11=12,IF($L74=Instructions!$F$45,AF73+1,AF73),IF(Instructions!$E$11=14,IF($P74=Instructions!$F$45,AF73+1,AF73),IF(Instructions!$E$11=16,IF($T74=Instructions!$F$45,AF73+1,AF73))))))</f>
        <v>6</v>
      </c>
      <c r="AG74" s="321" t="str">
        <f t="shared" si="18"/>
        <v>406</v>
      </c>
      <c r="AH74" s="321">
        <f>IF(Instructions!$E$11=8,IF($D74=Instructions!$F$46,AH73+1,AH73),IF(Instructions!$E$11=10,IF($H74=Instructions!$F$46,AH73+1,AH73),IF(Instructions!$E$11=12,IF($L74=Instructions!$F$46,AH73+1,AH73),IF(Instructions!$E$11=14,IF($P74=Instructions!$F$46,AH73+1,AH73),IF(Instructions!$E$11=16,IF($T74=Instructions!$F$46,AH73+1,AH73))))))</f>
        <v>6</v>
      </c>
      <c r="AI74" s="321" t="str">
        <f t="shared" si="19"/>
        <v>506</v>
      </c>
      <c r="AJ74" s="321">
        <f>IF(Instructions!$E$11=8,IF($D74=Instructions!$F$47,AJ73+1,AJ73),IF(Instructions!$E$11=10,IF($H74=Instructions!$F$47,AJ73+1,AJ73),IF(Instructions!$E$11=12,IF($L74=Instructions!$F$47,AJ73+1,AJ73),IF(Instructions!$E$11=14,IF($P74=Instructions!$F$47,AJ73+1,AJ73),IF(Instructions!$E$11=16,IF($T74=Instructions!$F$47,AJ73+1,AJ73))))))</f>
        <v>6</v>
      </c>
      <c r="AK74" s="321" t="str">
        <f t="shared" si="20"/>
        <v>606</v>
      </c>
      <c r="AL74" s="321">
        <f>IF(Instructions!$E$11=8,IF($D74=Instructions!$F$48,AL73+1,AL73),IF(Instructions!$E$11=10,IF($H74=Instructions!$F$48,AL73+1,AL73),IF(Instructions!$E$11=12,IF($L74=Instructions!$F$48,AL73+1,AL73),IF(Instructions!$E$11=14,IF($P74=Instructions!$F$48,AL73+1,AL73),IF(Instructions!$E$11=16,IF($T74=Instructions!$F$48,AL73+1,AL73))))))</f>
        <v>6</v>
      </c>
      <c r="AM74" s="321" t="str">
        <f t="shared" si="21"/>
        <v>706</v>
      </c>
      <c r="AN74" s="321">
        <f>IF(Instructions!$E$11=8,IF($D74=Instructions!$F$49,AN73+1,AN73),IF(Instructions!$E$11=10,IF($H74=Instructions!$F$49,AN73+1,AN73),IF(Instructions!$E$11=12,IF($L74=Instructions!$F$49,AN73+1,AN73),IF(Instructions!$E$11=14,IF($P74=Instructions!$F$49,AN73+1,AN73),IF(Instructions!$E$11=16,IF($T74=Instructions!$F$49,AN73+1,AN73))))))</f>
        <v>6</v>
      </c>
      <c r="AO74" s="321" t="str">
        <f t="shared" si="22"/>
        <v>806</v>
      </c>
      <c r="AP74" s="321">
        <f>IF(Instructions!$E$11=8,IF($D74=Instructions!$F$50,AP73+1,AP73),IF(Instructions!$E$11=10,IF($H74=Instructions!$F$50,AP73+1,AP73),IF(Instructions!$E$11=12,IF($L74=Instructions!$F$50,AP73+1,AP73),IF(Instructions!$E$11=14,IF($P74=Instructions!$F$50,AP73+1,AP73),IF(Instructions!$E$11=16,IF($T74=Instructions!$F$50,AP73+1,AP73))))))</f>
        <v>6</v>
      </c>
      <c r="AQ74" s="321" t="str">
        <f t="shared" si="23"/>
        <v>906</v>
      </c>
      <c r="AR74" s="321">
        <f>IF(Instructions!$E$11=8,IF($D74=Instructions!$F$51,AR73+1,AR73),IF(Instructions!$E$11=10,IF($H74=Instructions!$F$51,AR73+1,AR73),IF(Instructions!$E$11=12,IF($L74=Instructions!$F$51,AR73+1,AR73),IF(Instructions!$E$11=14,IF($P74=Instructions!$F$51,AR73+1,AR73),IF(Instructions!$E$11=16,IF($T74=Instructions!$F$51,AR73+1,AR73))))))</f>
        <v>6</v>
      </c>
      <c r="AS74" s="321" t="str">
        <f t="shared" si="25"/>
        <v>1006</v>
      </c>
      <c r="AT74" s="321">
        <f>IF(Instructions!$E$11=8,IF($D74=Instructions!$F$52,AT73+1,AT73),IF(Instructions!$E$11=10,IF($H74=Instructions!$F$52,AT73+1,AT73),IF(Instructions!$E$11=12,IF($L74=Instructions!$F$52,AT73+1,AT73),IF(Instructions!$E$11=14,IF($P74=Instructions!$F$52,AT73+1,AT73),IF(Instructions!$E$11=16,IF($T74=Instructions!$F$52,AT73+1,AT73))))))</f>
        <v>6</v>
      </c>
      <c r="AU74" s="321" t="str">
        <f t="shared" si="26"/>
        <v>1106</v>
      </c>
      <c r="AV74" s="321">
        <f>IF(Instructions!$E$11=8,IF($D74=Instructions!$F$53,AV73+1,AV73),IF(Instructions!$E$11=10,IF($H74=Instructions!$F$53,AV73+1,AV73),IF(Instructions!$E$11=12,IF($L74=Instructions!$F$53,AV73+1,AV73),IF(Instructions!$E$11=14,IF($P74=Instructions!$F$53,AV73+1,AV73),IF(Instructions!$E$11=16,IF($T74=Instructions!$F$53,AV73+1,AV73))))))</f>
        <v>6</v>
      </c>
      <c r="AW74" s="321" t="str">
        <f t="shared" si="27"/>
        <v>1206</v>
      </c>
      <c r="AX74" s="321">
        <f>IF(Instructions!$E$11=8,IF($D74=Instructions!$F$54,AX73+1,AX73),IF(Instructions!$E$11=10,IF($H74=Instructions!$F$54,AX73+1,AX73),IF(Instructions!$E$11=12,IF($L74=Instructions!$F$54,AX73+1,AX73),IF(Instructions!$E$11=14,IF($P74=Instructions!$F$54,AX73+1,AX73),IF(Instructions!$E$11=16,IF($T74=Instructions!$F$54,AX73+1,AX73))))))</f>
        <v>0</v>
      </c>
      <c r="AY74" s="321" t="str">
        <f t="shared" si="28"/>
        <v>1300</v>
      </c>
      <c r="AZ74" s="321">
        <f>IF(Instructions!$E$11=8,IF($D74=Instructions!$F$55,AZ73+1,AZ73),IF(Instructions!$E$11=10,IF($H74=Instructions!$F$55,AZ73+1,AZ73),IF(Instructions!$E$11=12,IF($L74=Instructions!$F$55,AZ73+1,AZ73),IF(Instructions!$E$11=14,IF($P74=Instructions!$F$55,AZ73+1,AZ73),IF(Instructions!$E$11=16,IF($T74=Instructions!$F$55,AZ73+1,AZ73))))))</f>
        <v>0</v>
      </c>
      <c r="BA74" s="321" t="str">
        <f t="shared" si="29"/>
        <v>1400</v>
      </c>
      <c r="BB74" s="321">
        <f>IF(Instructions!$E$11=8,IF($D74=Instructions!$F$56,BB73+1,BB73),IF(Instructions!$E$11=10,IF($H74=Instructions!$F$56,BB73+1,BB73),IF(Instructions!$E$11=12,IF($L74=Instructions!$F$56,BB73+1,BB73),IF(Instructions!$E$11=14,IF($P74=Instructions!$F$56,BB73+1,BB73),IF(Instructions!$E$11=16,IF($T74=Instructions!$F$56,BB73+1,BB73))))))</f>
        <v>0</v>
      </c>
      <c r="BC74" s="321" t="str">
        <f t="shared" si="30"/>
        <v>1500</v>
      </c>
      <c r="BD74" s="321">
        <f>IF(Instructions!$E$11=8,IF($D74=Instructions!$F$57,BD73+1,BD73),IF(Instructions!$E$11=10,IF($H74=Instructions!$F$57,BD73+1,BD73),IF(Instructions!$E$11=12,IF($L74=Instructions!$F$57,BD73+1,BD73),IF(Instructions!$E$11=14,IF($P74=Instructions!$F$57,BD73+1,BD73),IF(Instructions!$E$11=16,IF($T74=Instructions!$F$57,BD73+1,BD73))))))</f>
        <v>0</v>
      </c>
      <c r="BE74" s="321" t="str">
        <f t="shared" si="31"/>
        <v>1600</v>
      </c>
      <c r="BF74" s="321">
        <v>72</v>
      </c>
    </row>
    <row r="75" spans="1:58" ht="15" customHeight="1" x14ac:dyDescent="0.25">
      <c r="A75" s="280"/>
      <c r="B75" s="323" t="str">
        <f>IF(Instructions!$J$11=1,AA75,IF(Instructions!$J$11=2,AC75,IF(Instructions!$J$11=3,AE75,IF(Instructions!$J$11=4,AG75,IF(Instructions!$J$11=5,AI75,IF(Instructions!$J$11=6,AK75,IF(Instructions!$J$11=7,AM75,IF(Instructions!$J$11=8,AO75,IF(Instructions!$J$11=9,AQ75,IF(Instructions!$J$11=10,AS75,IF(Instructions!$J$11=11,AU75,IF(Instructions!$J$11=12,AW75,IF(Instructions!$J$11=13, AY75, IF(Instructions!$J$11=14,BA75,IF(Instructions!$J$11=15,BC75,BE75)))))))))))))))</f>
        <v>206</v>
      </c>
      <c r="C75" s="271">
        <v>73</v>
      </c>
      <c r="D75" s="325" t="str">
        <f>Instructions!F$49</f>
        <v>Luke</v>
      </c>
      <c r="E75" s="333" t="s">
        <v>815</v>
      </c>
      <c r="F75" s="705" t="s">
        <v>905</v>
      </c>
      <c r="G75" s="279">
        <v>10</v>
      </c>
      <c r="H75" s="293" t="str">
        <f>Instructions!F$49</f>
        <v>Luke</v>
      </c>
      <c r="I75" s="273" t="s">
        <v>793</v>
      </c>
      <c r="J75" s="709"/>
      <c r="K75" s="279">
        <v>8</v>
      </c>
      <c r="L75" s="292" t="str">
        <f>Instructions!F$42</f>
        <v>Trumbo</v>
      </c>
      <c r="M75" s="276" t="s">
        <v>779</v>
      </c>
      <c r="N75" s="708" t="s">
        <v>902</v>
      </c>
      <c r="O75" s="279">
        <v>7</v>
      </c>
      <c r="P75" s="293" t="str">
        <f>Instructions!F$53</f>
        <v>Zack</v>
      </c>
      <c r="Q75" s="273" t="s">
        <v>769</v>
      </c>
      <c r="R75" s="709"/>
      <c r="S75" s="279">
        <v>6</v>
      </c>
      <c r="T75" s="328" t="str">
        <f>Instructions!F$50</f>
        <v>Dan</v>
      </c>
      <c r="U75" s="273" t="s">
        <v>763</v>
      </c>
      <c r="V75" s="706"/>
      <c r="W75" s="279">
        <v>5</v>
      </c>
      <c r="X75" s="280"/>
      <c r="Y75" s="190" t="str">
        <f>IFERROR( IF(Instructions!$E$11=8, D75&amp;COUNTIF(D$3:D75,D75), IF(Instructions!$E$11=10, H75&amp;COUNTIF(H$3:H75,H75),IF(Instructions!$E$11=12, L75&amp;COUNTIF(L$3:L75,L75),IF(Instructions!$E$11=14, P75&amp;COUNTIF(P$3:P75,P75),T75&amp;COUNTIF(T$3:T75,T75))))),"")</f>
        <v>Trumbo7</v>
      </c>
      <c r="Z75" s="321">
        <f>IF(Instructions!$E$11=8,IF($D75=Instructions!$F$42,Z74+1,Z74),IF(Instructions!$E$11=10,IF($H75=Instructions!$F$42,Z74+1,Z74),IF(Instructions!$E$11=12,IF($L75=Instructions!$F$42,Z74+1,Z74),IF(Instructions!$E$11=14,IF($P75=Instructions!$F$42,Z74+1,Z74),IF(Instructions!$E$11=16,IF($T75=Instructions!$F$42,Z74+1,Z74))))))</f>
        <v>7</v>
      </c>
      <c r="AA75" s="321" t="str">
        <f t="shared" si="24"/>
        <v>107</v>
      </c>
      <c r="AB75" s="321">
        <f>IF(Instructions!$E$11=8,IF($D75=Instructions!$F$43,AB74+1,AB74),IF(Instructions!$E$11=10,IF($H75=Instructions!$F$43,AB74+1,AB74),IF(Instructions!$E$11=12,IF($L75=Instructions!$F$43,AB74+1,AB74),IF(Instructions!$E$11=14,IF($P75=Instructions!$F$43,AB74+1,AB74),IF(Instructions!$E$11=16,IF($T75=Instructions!$F$43,AB74+1,AB74))))))</f>
        <v>6</v>
      </c>
      <c r="AC75" s="321" t="str">
        <f t="shared" si="16"/>
        <v>206</v>
      </c>
      <c r="AD75" s="321">
        <f>IF(Instructions!$E$11=8,IF($D75=Instructions!$F$44,AD74+1,AD74),IF(Instructions!$E$11=10,IF($H75=Instructions!$F$44,AD74+1,AD74),IF(Instructions!$E$11=12,IF($L75=Instructions!$F$44,AD74+1,AD74),IF(Instructions!$E$11=14,IF($P75=Instructions!$F$44,AD74+1,AD74),IF(Instructions!$E$11=16,IF($T75=Instructions!$F$44,AD74+1,AD74))))))</f>
        <v>6</v>
      </c>
      <c r="AE75" s="321" t="str">
        <f t="shared" si="17"/>
        <v>306</v>
      </c>
      <c r="AF75" s="321">
        <f>IF(Instructions!$E$11=8,IF($D75=Instructions!$F$45,AF74+1,AF74),IF(Instructions!$E$11=10,IF($H75=Instructions!$F$45,AF74+1,AF74),IF(Instructions!$E$11=12,IF($L75=Instructions!$F$45,AF74+1,AF74),IF(Instructions!$E$11=14,IF($P75=Instructions!$F$45,AF74+1,AF74),IF(Instructions!$E$11=16,IF($T75=Instructions!$F$45,AF74+1,AF74))))))</f>
        <v>6</v>
      </c>
      <c r="AG75" s="321" t="str">
        <f t="shared" si="18"/>
        <v>406</v>
      </c>
      <c r="AH75" s="321">
        <f>IF(Instructions!$E$11=8,IF($D75=Instructions!$F$46,AH74+1,AH74),IF(Instructions!$E$11=10,IF($H75=Instructions!$F$46,AH74+1,AH74),IF(Instructions!$E$11=12,IF($L75=Instructions!$F$46,AH74+1,AH74),IF(Instructions!$E$11=14,IF($P75=Instructions!$F$46,AH74+1,AH74),IF(Instructions!$E$11=16,IF($T75=Instructions!$F$46,AH74+1,AH74))))))</f>
        <v>6</v>
      </c>
      <c r="AI75" s="321" t="str">
        <f t="shared" si="19"/>
        <v>506</v>
      </c>
      <c r="AJ75" s="321">
        <f>IF(Instructions!$E$11=8,IF($D75=Instructions!$F$47,AJ74+1,AJ74),IF(Instructions!$E$11=10,IF($H75=Instructions!$F$47,AJ74+1,AJ74),IF(Instructions!$E$11=12,IF($L75=Instructions!$F$47,AJ74+1,AJ74),IF(Instructions!$E$11=14,IF($P75=Instructions!$F$47,AJ74+1,AJ74),IF(Instructions!$E$11=16,IF($T75=Instructions!$F$47,AJ74+1,AJ74))))))</f>
        <v>6</v>
      </c>
      <c r="AK75" s="321" t="str">
        <f t="shared" si="20"/>
        <v>606</v>
      </c>
      <c r="AL75" s="321">
        <f>IF(Instructions!$E$11=8,IF($D75=Instructions!$F$48,AL74+1,AL74),IF(Instructions!$E$11=10,IF($H75=Instructions!$F$48,AL74+1,AL74),IF(Instructions!$E$11=12,IF($L75=Instructions!$F$48,AL74+1,AL74),IF(Instructions!$E$11=14,IF($P75=Instructions!$F$48,AL74+1,AL74),IF(Instructions!$E$11=16,IF($T75=Instructions!$F$48,AL74+1,AL74))))))</f>
        <v>6</v>
      </c>
      <c r="AM75" s="321" t="str">
        <f t="shared" si="21"/>
        <v>706</v>
      </c>
      <c r="AN75" s="321">
        <f>IF(Instructions!$E$11=8,IF($D75=Instructions!$F$49,AN74+1,AN74),IF(Instructions!$E$11=10,IF($H75=Instructions!$F$49,AN74+1,AN74),IF(Instructions!$E$11=12,IF($L75=Instructions!$F$49,AN74+1,AN74),IF(Instructions!$E$11=14,IF($P75=Instructions!$F$49,AN74+1,AN74),IF(Instructions!$E$11=16,IF($T75=Instructions!$F$49,AN74+1,AN74))))))</f>
        <v>6</v>
      </c>
      <c r="AO75" s="321" t="str">
        <f t="shared" si="22"/>
        <v>806</v>
      </c>
      <c r="AP75" s="321">
        <f>IF(Instructions!$E$11=8,IF($D75=Instructions!$F$50,AP74+1,AP74),IF(Instructions!$E$11=10,IF($H75=Instructions!$F$50,AP74+1,AP74),IF(Instructions!$E$11=12,IF($L75=Instructions!$F$50,AP74+1,AP74),IF(Instructions!$E$11=14,IF($P75=Instructions!$F$50,AP74+1,AP74),IF(Instructions!$E$11=16,IF($T75=Instructions!$F$50,AP74+1,AP74))))))</f>
        <v>6</v>
      </c>
      <c r="AQ75" s="321" t="str">
        <f t="shared" si="23"/>
        <v>906</v>
      </c>
      <c r="AR75" s="321">
        <f>IF(Instructions!$E$11=8,IF($D75=Instructions!$F$51,AR74+1,AR74),IF(Instructions!$E$11=10,IF($H75=Instructions!$F$51,AR74+1,AR74),IF(Instructions!$E$11=12,IF($L75=Instructions!$F$51,AR74+1,AR74),IF(Instructions!$E$11=14,IF($P75=Instructions!$F$51,AR74+1,AR74),IF(Instructions!$E$11=16,IF($T75=Instructions!$F$51,AR74+1,AR74))))))</f>
        <v>6</v>
      </c>
      <c r="AS75" s="321" t="str">
        <f t="shared" si="25"/>
        <v>1006</v>
      </c>
      <c r="AT75" s="321">
        <f>IF(Instructions!$E$11=8,IF($D75=Instructions!$F$52,AT74+1,AT74),IF(Instructions!$E$11=10,IF($H75=Instructions!$F$52,AT74+1,AT74),IF(Instructions!$E$11=12,IF($L75=Instructions!$F$52,AT74+1,AT74),IF(Instructions!$E$11=14,IF($P75=Instructions!$F$52,AT74+1,AT74),IF(Instructions!$E$11=16,IF($T75=Instructions!$F$52,AT74+1,AT74))))))</f>
        <v>6</v>
      </c>
      <c r="AU75" s="321" t="str">
        <f t="shared" si="26"/>
        <v>1106</v>
      </c>
      <c r="AV75" s="321">
        <f>IF(Instructions!$E$11=8,IF($D75=Instructions!$F$53,AV74+1,AV74),IF(Instructions!$E$11=10,IF($H75=Instructions!$F$53,AV74+1,AV74),IF(Instructions!$E$11=12,IF($L75=Instructions!$F$53,AV74+1,AV74),IF(Instructions!$E$11=14,IF($P75=Instructions!$F$53,AV74+1,AV74),IF(Instructions!$E$11=16,IF($T75=Instructions!$F$53,AV74+1,AV74))))))</f>
        <v>6</v>
      </c>
      <c r="AW75" s="321" t="str">
        <f t="shared" si="27"/>
        <v>1206</v>
      </c>
      <c r="AX75" s="321">
        <f>IF(Instructions!$E$11=8,IF($D75=Instructions!$F$54,AX74+1,AX74),IF(Instructions!$E$11=10,IF($H75=Instructions!$F$54,AX74+1,AX74),IF(Instructions!$E$11=12,IF($L75=Instructions!$F$54,AX74+1,AX74),IF(Instructions!$E$11=14,IF($P75=Instructions!$F$54,AX74+1,AX74),IF(Instructions!$E$11=16,IF($T75=Instructions!$F$54,AX74+1,AX74))))))</f>
        <v>0</v>
      </c>
      <c r="AY75" s="321" t="str">
        <f t="shared" si="28"/>
        <v>1300</v>
      </c>
      <c r="AZ75" s="321">
        <f>IF(Instructions!$E$11=8,IF($D75=Instructions!$F$55,AZ74+1,AZ74),IF(Instructions!$E$11=10,IF($H75=Instructions!$F$55,AZ74+1,AZ74),IF(Instructions!$E$11=12,IF($L75=Instructions!$F$55,AZ74+1,AZ74),IF(Instructions!$E$11=14,IF($P75=Instructions!$F$55,AZ74+1,AZ74),IF(Instructions!$E$11=16,IF($T75=Instructions!$F$55,AZ74+1,AZ74))))))</f>
        <v>0</v>
      </c>
      <c r="BA75" s="321" t="str">
        <f t="shared" si="29"/>
        <v>1400</v>
      </c>
      <c r="BB75" s="321">
        <f>IF(Instructions!$E$11=8,IF($D75=Instructions!$F$56,BB74+1,BB74),IF(Instructions!$E$11=10,IF($H75=Instructions!$F$56,BB74+1,BB74),IF(Instructions!$E$11=12,IF($L75=Instructions!$F$56,BB74+1,BB74),IF(Instructions!$E$11=14,IF($P75=Instructions!$F$56,BB74+1,BB74),IF(Instructions!$E$11=16,IF($T75=Instructions!$F$56,BB74+1,BB74))))))</f>
        <v>0</v>
      </c>
      <c r="BC75" s="321" t="str">
        <f t="shared" si="30"/>
        <v>1500</v>
      </c>
      <c r="BD75" s="321">
        <f>IF(Instructions!$E$11=8,IF($D75=Instructions!$F$57,BD74+1,BD74),IF(Instructions!$E$11=10,IF($H75=Instructions!$F$57,BD74+1,BD74),IF(Instructions!$E$11=12,IF($L75=Instructions!$F$57,BD74+1,BD74),IF(Instructions!$E$11=14,IF($P75=Instructions!$F$57,BD74+1,BD74),IF(Instructions!$E$11=16,IF($T75=Instructions!$F$57,BD74+1,BD74))))))</f>
        <v>0</v>
      </c>
      <c r="BE75" s="321" t="str">
        <f t="shared" si="31"/>
        <v>1600</v>
      </c>
      <c r="BF75" s="321">
        <v>73</v>
      </c>
    </row>
    <row r="76" spans="1:58" x14ac:dyDescent="0.25">
      <c r="A76" s="280"/>
      <c r="B76" s="323" t="str">
        <f>IF(Instructions!$J$11=1,AA76,IF(Instructions!$J$11=2,AC76,IF(Instructions!$J$11=3,AE76,IF(Instructions!$J$11=4,AG76,IF(Instructions!$J$11=5,AI76,IF(Instructions!$J$11=6,AK76,IF(Instructions!$J$11=7,AM76,IF(Instructions!$J$11=8,AO76,IF(Instructions!$J$11=9,AQ76,IF(Instructions!$J$11=10,AS76,IF(Instructions!$J$11=11,AU76,IF(Instructions!$J$11=12,AW76,IF(Instructions!$J$11=13, AY76, IF(Instructions!$J$11=14,BA76,IF(Instructions!$J$11=15,BC76,BE76)))))))))))))))</f>
        <v>207</v>
      </c>
      <c r="C76" s="272">
        <v>74</v>
      </c>
      <c r="D76" s="327" t="str">
        <f>Instructions!F$48</f>
        <v>Bui</v>
      </c>
      <c r="E76" s="332" t="s">
        <v>816</v>
      </c>
      <c r="F76" s="706"/>
      <c r="G76" s="279">
        <v>10</v>
      </c>
      <c r="H76" s="294" t="str">
        <f>Instructions!F$48</f>
        <v>Bui</v>
      </c>
      <c r="I76" s="274" t="s">
        <v>794</v>
      </c>
      <c r="J76" s="709"/>
      <c r="K76" s="279">
        <v>8</v>
      </c>
      <c r="L76" s="294" t="str">
        <f>Instructions!F$43</f>
        <v>Camden</v>
      </c>
      <c r="M76" s="274" t="s">
        <v>780</v>
      </c>
      <c r="N76" s="709"/>
      <c r="O76" s="279">
        <v>7</v>
      </c>
      <c r="P76" s="294" t="str">
        <f>Instructions!F$52</f>
        <v>Big R</v>
      </c>
      <c r="Q76" s="274" t="s">
        <v>770</v>
      </c>
      <c r="R76" s="709"/>
      <c r="S76" s="279">
        <v>6</v>
      </c>
      <c r="T76" s="327" t="str">
        <f>Instructions!F$51</f>
        <v>Josh</v>
      </c>
      <c r="U76" s="274" t="s">
        <v>764</v>
      </c>
      <c r="V76" s="706"/>
      <c r="W76" s="279">
        <v>5</v>
      </c>
      <c r="X76" s="280"/>
      <c r="Y76" s="190" t="str">
        <f>IFERROR( IF(Instructions!$E$11=8, D76&amp;COUNTIF(D$3:D76,D76), IF(Instructions!$E$11=10, H76&amp;COUNTIF(H$3:H76,H76),IF(Instructions!$E$11=12, L76&amp;COUNTIF(L$3:L76,L76),IF(Instructions!$E$11=14, P76&amp;COUNTIF(P$3:P76,P76),T76&amp;COUNTIF(T$3:T76,T76))))),"")</f>
        <v>Camden7</v>
      </c>
      <c r="Z76" s="321">
        <f>IF(Instructions!$E$11=8,IF($D76=Instructions!$F$42,Z75+1,Z75),IF(Instructions!$E$11=10,IF($H76=Instructions!$F$42,Z75+1,Z75),IF(Instructions!$E$11=12,IF($L76=Instructions!$F$42,Z75+1,Z75),IF(Instructions!$E$11=14,IF($P76=Instructions!$F$42,Z75+1,Z75),IF(Instructions!$E$11=16,IF($T76=Instructions!$F$42,Z75+1,Z75))))))</f>
        <v>7</v>
      </c>
      <c r="AA76" s="321" t="str">
        <f t="shared" si="24"/>
        <v>107</v>
      </c>
      <c r="AB76" s="321">
        <f>IF(Instructions!$E$11=8,IF($D76=Instructions!$F$43,AB75+1,AB75),IF(Instructions!$E$11=10,IF($H76=Instructions!$F$43,AB75+1,AB75),IF(Instructions!$E$11=12,IF($L76=Instructions!$F$43,AB75+1,AB75),IF(Instructions!$E$11=14,IF($P76=Instructions!$F$43,AB75+1,AB75),IF(Instructions!$E$11=16,IF($T76=Instructions!$F$43,AB75+1,AB75))))))</f>
        <v>7</v>
      </c>
      <c r="AC76" s="321" t="str">
        <f t="shared" si="16"/>
        <v>207</v>
      </c>
      <c r="AD76" s="321">
        <f>IF(Instructions!$E$11=8,IF($D76=Instructions!$F$44,AD75+1,AD75),IF(Instructions!$E$11=10,IF($H76=Instructions!$F$44,AD75+1,AD75),IF(Instructions!$E$11=12,IF($L76=Instructions!$F$44,AD75+1,AD75),IF(Instructions!$E$11=14,IF($P76=Instructions!$F$44,AD75+1,AD75),IF(Instructions!$E$11=16,IF($T76=Instructions!$F$44,AD75+1,AD75))))))</f>
        <v>6</v>
      </c>
      <c r="AE76" s="321" t="str">
        <f t="shared" si="17"/>
        <v>306</v>
      </c>
      <c r="AF76" s="321">
        <f>IF(Instructions!$E$11=8,IF($D76=Instructions!$F$45,AF75+1,AF75),IF(Instructions!$E$11=10,IF($H76=Instructions!$F$45,AF75+1,AF75),IF(Instructions!$E$11=12,IF($L76=Instructions!$F$45,AF75+1,AF75),IF(Instructions!$E$11=14,IF($P76=Instructions!$F$45,AF75+1,AF75),IF(Instructions!$E$11=16,IF($T76=Instructions!$F$45,AF75+1,AF75))))))</f>
        <v>6</v>
      </c>
      <c r="AG76" s="321" t="str">
        <f t="shared" si="18"/>
        <v>406</v>
      </c>
      <c r="AH76" s="321">
        <f>IF(Instructions!$E$11=8,IF($D76=Instructions!$F$46,AH75+1,AH75),IF(Instructions!$E$11=10,IF($H76=Instructions!$F$46,AH75+1,AH75),IF(Instructions!$E$11=12,IF($L76=Instructions!$F$46,AH75+1,AH75),IF(Instructions!$E$11=14,IF($P76=Instructions!$F$46,AH75+1,AH75),IF(Instructions!$E$11=16,IF($T76=Instructions!$F$46,AH75+1,AH75))))))</f>
        <v>6</v>
      </c>
      <c r="AI76" s="321" t="str">
        <f t="shared" si="19"/>
        <v>506</v>
      </c>
      <c r="AJ76" s="321">
        <f>IF(Instructions!$E$11=8,IF($D76=Instructions!$F$47,AJ75+1,AJ75),IF(Instructions!$E$11=10,IF($H76=Instructions!$F$47,AJ75+1,AJ75),IF(Instructions!$E$11=12,IF($L76=Instructions!$F$47,AJ75+1,AJ75),IF(Instructions!$E$11=14,IF($P76=Instructions!$F$47,AJ75+1,AJ75),IF(Instructions!$E$11=16,IF($T76=Instructions!$F$47,AJ75+1,AJ75))))))</f>
        <v>6</v>
      </c>
      <c r="AK76" s="321" t="str">
        <f t="shared" si="20"/>
        <v>606</v>
      </c>
      <c r="AL76" s="321">
        <f>IF(Instructions!$E$11=8,IF($D76=Instructions!$F$48,AL75+1,AL75),IF(Instructions!$E$11=10,IF($H76=Instructions!$F$48,AL75+1,AL75),IF(Instructions!$E$11=12,IF($L76=Instructions!$F$48,AL75+1,AL75),IF(Instructions!$E$11=14,IF($P76=Instructions!$F$48,AL75+1,AL75),IF(Instructions!$E$11=16,IF($T76=Instructions!$F$48,AL75+1,AL75))))))</f>
        <v>6</v>
      </c>
      <c r="AM76" s="321" t="str">
        <f t="shared" si="21"/>
        <v>706</v>
      </c>
      <c r="AN76" s="321">
        <f>IF(Instructions!$E$11=8,IF($D76=Instructions!$F$49,AN75+1,AN75),IF(Instructions!$E$11=10,IF($H76=Instructions!$F$49,AN75+1,AN75),IF(Instructions!$E$11=12,IF($L76=Instructions!$F$49,AN75+1,AN75),IF(Instructions!$E$11=14,IF($P76=Instructions!$F$49,AN75+1,AN75),IF(Instructions!$E$11=16,IF($T76=Instructions!$F$49,AN75+1,AN75))))))</f>
        <v>6</v>
      </c>
      <c r="AO76" s="321" t="str">
        <f t="shared" si="22"/>
        <v>806</v>
      </c>
      <c r="AP76" s="321">
        <f>IF(Instructions!$E$11=8,IF($D76=Instructions!$F$50,AP75+1,AP75),IF(Instructions!$E$11=10,IF($H76=Instructions!$F$50,AP75+1,AP75),IF(Instructions!$E$11=12,IF($L76=Instructions!$F$50,AP75+1,AP75),IF(Instructions!$E$11=14,IF($P76=Instructions!$F$50,AP75+1,AP75),IF(Instructions!$E$11=16,IF($T76=Instructions!$F$50,AP75+1,AP75))))))</f>
        <v>6</v>
      </c>
      <c r="AQ76" s="321" t="str">
        <f t="shared" si="23"/>
        <v>906</v>
      </c>
      <c r="AR76" s="321">
        <f>IF(Instructions!$E$11=8,IF($D76=Instructions!$F$51,AR75+1,AR75),IF(Instructions!$E$11=10,IF($H76=Instructions!$F$51,AR75+1,AR75),IF(Instructions!$E$11=12,IF($L76=Instructions!$F$51,AR75+1,AR75),IF(Instructions!$E$11=14,IF($P76=Instructions!$F$51,AR75+1,AR75),IF(Instructions!$E$11=16,IF($T76=Instructions!$F$51,AR75+1,AR75))))))</f>
        <v>6</v>
      </c>
      <c r="AS76" s="321" t="str">
        <f t="shared" si="25"/>
        <v>1006</v>
      </c>
      <c r="AT76" s="321">
        <f>IF(Instructions!$E$11=8,IF($D76=Instructions!$F$52,AT75+1,AT75),IF(Instructions!$E$11=10,IF($H76=Instructions!$F$52,AT75+1,AT75),IF(Instructions!$E$11=12,IF($L76=Instructions!$F$52,AT75+1,AT75),IF(Instructions!$E$11=14,IF($P76=Instructions!$F$52,AT75+1,AT75),IF(Instructions!$E$11=16,IF($T76=Instructions!$F$52,AT75+1,AT75))))))</f>
        <v>6</v>
      </c>
      <c r="AU76" s="321" t="str">
        <f t="shared" si="26"/>
        <v>1106</v>
      </c>
      <c r="AV76" s="321">
        <f>IF(Instructions!$E$11=8,IF($D76=Instructions!$F$53,AV75+1,AV75),IF(Instructions!$E$11=10,IF($H76=Instructions!$F$53,AV75+1,AV75),IF(Instructions!$E$11=12,IF($L76=Instructions!$F$53,AV75+1,AV75),IF(Instructions!$E$11=14,IF($P76=Instructions!$F$53,AV75+1,AV75),IF(Instructions!$E$11=16,IF($T76=Instructions!$F$53,AV75+1,AV75))))))</f>
        <v>6</v>
      </c>
      <c r="AW76" s="321" t="str">
        <f t="shared" si="27"/>
        <v>1206</v>
      </c>
      <c r="AX76" s="321">
        <f>IF(Instructions!$E$11=8,IF($D76=Instructions!$F$54,AX75+1,AX75),IF(Instructions!$E$11=10,IF($H76=Instructions!$F$54,AX75+1,AX75),IF(Instructions!$E$11=12,IF($L76=Instructions!$F$54,AX75+1,AX75),IF(Instructions!$E$11=14,IF($P76=Instructions!$F$54,AX75+1,AX75),IF(Instructions!$E$11=16,IF($T76=Instructions!$F$54,AX75+1,AX75))))))</f>
        <v>0</v>
      </c>
      <c r="AY76" s="321" t="str">
        <f t="shared" si="28"/>
        <v>1300</v>
      </c>
      <c r="AZ76" s="321">
        <f>IF(Instructions!$E$11=8,IF($D76=Instructions!$F$55,AZ75+1,AZ75),IF(Instructions!$E$11=10,IF($H76=Instructions!$F$55,AZ75+1,AZ75),IF(Instructions!$E$11=12,IF($L76=Instructions!$F$55,AZ75+1,AZ75),IF(Instructions!$E$11=14,IF($P76=Instructions!$F$55,AZ75+1,AZ75),IF(Instructions!$E$11=16,IF($T76=Instructions!$F$55,AZ75+1,AZ75))))))</f>
        <v>0</v>
      </c>
      <c r="BA76" s="321" t="str">
        <f t="shared" si="29"/>
        <v>1400</v>
      </c>
      <c r="BB76" s="321">
        <f>IF(Instructions!$E$11=8,IF($D76=Instructions!$F$56,BB75+1,BB75),IF(Instructions!$E$11=10,IF($H76=Instructions!$F$56,BB75+1,BB75),IF(Instructions!$E$11=12,IF($L76=Instructions!$F$56,BB75+1,BB75),IF(Instructions!$E$11=14,IF($P76=Instructions!$F$56,BB75+1,BB75),IF(Instructions!$E$11=16,IF($T76=Instructions!$F$56,BB75+1,BB75))))))</f>
        <v>0</v>
      </c>
      <c r="BC76" s="321" t="str">
        <f t="shared" si="30"/>
        <v>1500</v>
      </c>
      <c r="BD76" s="321">
        <f>IF(Instructions!$E$11=8,IF($D76=Instructions!$F$57,BD75+1,BD75),IF(Instructions!$E$11=10,IF($H76=Instructions!$F$57,BD75+1,BD75),IF(Instructions!$E$11=12,IF($L76=Instructions!$F$57,BD75+1,BD75),IF(Instructions!$E$11=14,IF($P76=Instructions!$F$57,BD75+1,BD75),IF(Instructions!$E$11=16,IF($T76=Instructions!$F$57,BD75+1,BD75))))))</f>
        <v>0</v>
      </c>
      <c r="BE76" s="321" t="str">
        <f t="shared" si="31"/>
        <v>1600</v>
      </c>
      <c r="BF76" s="321">
        <v>74</v>
      </c>
    </row>
    <row r="77" spans="1:58" x14ac:dyDescent="0.25">
      <c r="A77" s="280"/>
      <c r="B77" s="323" t="str">
        <f>IF(Instructions!$J$11=1,AA77,IF(Instructions!$J$11=2,AC77,IF(Instructions!$J$11=3,AE77,IF(Instructions!$J$11=4,AG77,IF(Instructions!$J$11=5,AI77,IF(Instructions!$J$11=6,AK77,IF(Instructions!$J$11=7,AM77,IF(Instructions!$J$11=8,AO77,IF(Instructions!$J$11=9,AQ77,IF(Instructions!$J$11=10,AS77,IF(Instructions!$J$11=11,AU77,IF(Instructions!$J$11=12,AW77,IF(Instructions!$J$11=13, AY77, IF(Instructions!$J$11=14,BA77,IF(Instructions!$J$11=15,BC77,BE77)))))))))))))))</f>
        <v>207</v>
      </c>
      <c r="C77" s="271">
        <v>75</v>
      </c>
      <c r="D77" s="328" t="str">
        <f>Instructions!F$47</f>
        <v>Devin</v>
      </c>
      <c r="E77" s="333" t="s">
        <v>817</v>
      </c>
      <c r="F77" s="706"/>
      <c r="G77" s="279">
        <v>10</v>
      </c>
      <c r="H77" s="293" t="str">
        <f>Instructions!F$47</f>
        <v>Devin</v>
      </c>
      <c r="I77" s="273" t="s">
        <v>795</v>
      </c>
      <c r="J77" s="709"/>
      <c r="K77" s="279">
        <v>8</v>
      </c>
      <c r="L77" s="293" t="str">
        <f>Instructions!F$44</f>
        <v>Cam</v>
      </c>
      <c r="M77" s="273" t="s">
        <v>781</v>
      </c>
      <c r="N77" s="709"/>
      <c r="O77" s="279">
        <v>7</v>
      </c>
      <c r="P77" s="293" t="str">
        <f>Instructions!F$51</f>
        <v>Josh</v>
      </c>
      <c r="Q77" s="273" t="s">
        <v>771</v>
      </c>
      <c r="R77" s="709"/>
      <c r="S77" s="279">
        <v>6</v>
      </c>
      <c r="T77" s="328" t="str">
        <f>Instructions!F$52</f>
        <v>Big R</v>
      </c>
      <c r="U77" s="273" t="s">
        <v>765</v>
      </c>
      <c r="V77" s="706"/>
      <c r="W77" s="279">
        <v>5</v>
      </c>
      <c r="X77" s="280"/>
      <c r="Y77" s="190" t="str">
        <f>IFERROR( IF(Instructions!$E$11=8, D77&amp;COUNTIF(D$3:D77,D77), IF(Instructions!$E$11=10, H77&amp;COUNTIF(H$3:H77,H77),IF(Instructions!$E$11=12, L77&amp;COUNTIF(L$3:L77,L77),IF(Instructions!$E$11=14, P77&amp;COUNTIF(P$3:P77,P77),T77&amp;COUNTIF(T$3:T77,T77))))),"")</f>
        <v>Cam7</v>
      </c>
      <c r="Z77" s="321">
        <f>IF(Instructions!$E$11=8,IF($D77=Instructions!$F$42,Z76+1,Z76),IF(Instructions!$E$11=10,IF($H77=Instructions!$F$42,Z76+1,Z76),IF(Instructions!$E$11=12,IF($L77=Instructions!$F$42,Z76+1,Z76),IF(Instructions!$E$11=14,IF($P77=Instructions!$F$42,Z76+1,Z76),IF(Instructions!$E$11=16,IF($T77=Instructions!$F$42,Z76+1,Z76))))))</f>
        <v>7</v>
      </c>
      <c r="AA77" s="321" t="str">
        <f t="shared" si="24"/>
        <v>107</v>
      </c>
      <c r="AB77" s="321">
        <f>IF(Instructions!$E$11=8,IF($D77=Instructions!$F$43,AB76+1,AB76),IF(Instructions!$E$11=10,IF($H77=Instructions!$F$43,AB76+1,AB76),IF(Instructions!$E$11=12,IF($L77=Instructions!$F$43,AB76+1,AB76),IF(Instructions!$E$11=14,IF($P77=Instructions!$F$43,AB76+1,AB76),IF(Instructions!$E$11=16,IF($T77=Instructions!$F$43,AB76+1,AB76))))))</f>
        <v>7</v>
      </c>
      <c r="AC77" s="321" t="str">
        <f t="shared" si="16"/>
        <v>207</v>
      </c>
      <c r="AD77" s="321">
        <f>IF(Instructions!$E$11=8,IF($D77=Instructions!$F$44,AD76+1,AD76),IF(Instructions!$E$11=10,IF($H77=Instructions!$F$44,AD76+1,AD76),IF(Instructions!$E$11=12,IF($L77=Instructions!$F$44,AD76+1,AD76),IF(Instructions!$E$11=14,IF($P77=Instructions!$F$44,AD76+1,AD76),IF(Instructions!$E$11=16,IF($T77=Instructions!$F$44,AD76+1,AD76))))))</f>
        <v>7</v>
      </c>
      <c r="AE77" s="321" t="str">
        <f t="shared" si="17"/>
        <v>307</v>
      </c>
      <c r="AF77" s="321">
        <f>IF(Instructions!$E$11=8,IF($D77=Instructions!$F$45,AF76+1,AF76),IF(Instructions!$E$11=10,IF($H77=Instructions!$F$45,AF76+1,AF76),IF(Instructions!$E$11=12,IF($L77=Instructions!$F$45,AF76+1,AF76),IF(Instructions!$E$11=14,IF($P77=Instructions!$F$45,AF76+1,AF76),IF(Instructions!$E$11=16,IF($T77=Instructions!$F$45,AF76+1,AF76))))))</f>
        <v>6</v>
      </c>
      <c r="AG77" s="321" t="str">
        <f t="shared" si="18"/>
        <v>406</v>
      </c>
      <c r="AH77" s="321">
        <f>IF(Instructions!$E$11=8,IF($D77=Instructions!$F$46,AH76+1,AH76),IF(Instructions!$E$11=10,IF($H77=Instructions!$F$46,AH76+1,AH76),IF(Instructions!$E$11=12,IF($L77=Instructions!$F$46,AH76+1,AH76),IF(Instructions!$E$11=14,IF($P77=Instructions!$F$46,AH76+1,AH76),IF(Instructions!$E$11=16,IF($T77=Instructions!$F$46,AH76+1,AH76))))))</f>
        <v>6</v>
      </c>
      <c r="AI77" s="321" t="str">
        <f t="shared" si="19"/>
        <v>506</v>
      </c>
      <c r="AJ77" s="321">
        <f>IF(Instructions!$E$11=8,IF($D77=Instructions!$F$47,AJ76+1,AJ76),IF(Instructions!$E$11=10,IF($H77=Instructions!$F$47,AJ76+1,AJ76),IF(Instructions!$E$11=12,IF($L77=Instructions!$F$47,AJ76+1,AJ76),IF(Instructions!$E$11=14,IF($P77=Instructions!$F$47,AJ76+1,AJ76),IF(Instructions!$E$11=16,IF($T77=Instructions!$F$47,AJ76+1,AJ76))))))</f>
        <v>6</v>
      </c>
      <c r="AK77" s="321" t="str">
        <f t="shared" si="20"/>
        <v>606</v>
      </c>
      <c r="AL77" s="321">
        <f>IF(Instructions!$E$11=8,IF($D77=Instructions!$F$48,AL76+1,AL76),IF(Instructions!$E$11=10,IF($H77=Instructions!$F$48,AL76+1,AL76),IF(Instructions!$E$11=12,IF($L77=Instructions!$F$48,AL76+1,AL76),IF(Instructions!$E$11=14,IF($P77=Instructions!$F$48,AL76+1,AL76),IF(Instructions!$E$11=16,IF($T77=Instructions!$F$48,AL76+1,AL76))))))</f>
        <v>6</v>
      </c>
      <c r="AM77" s="321" t="str">
        <f t="shared" si="21"/>
        <v>706</v>
      </c>
      <c r="AN77" s="321">
        <f>IF(Instructions!$E$11=8,IF($D77=Instructions!$F$49,AN76+1,AN76),IF(Instructions!$E$11=10,IF($H77=Instructions!$F$49,AN76+1,AN76),IF(Instructions!$E$11=12,IF($L77=Instructions!$F$49,AN76+1,AN76),IF(Instructions!$E$11=14,IF($P77=Instructions!$F$49,AN76+1,AN76),IF(Instructions!$E$11=16,IF($T77=Instructions!$F$49,AN76+1,AN76))))))</f>
        <v>6</v>
      </c>
      <c r="AO77" s="321" t="str">
        <f t="shared" si="22"/>
        <v>806</v>
      </c>
      <c r="AP77" s="321">
        <f>IF(Instructions!$E$11=8,IF($D77=Instructions!$F$50,AP76+1,AP76),IF(Instructions!$E$11=10,IF($H77=Instructions!$F$50,AP76+1,AP76),IF(Instructions!$E$11=12,IF($L77=Instructions!$F$50,AP76+1,AP76),IF(Instructions!$E$11=14,IF($P77=Instructions!$F$50,AP76+1,AP76),IF(Instructions!$E$11=16,IF($T77=Instructions!$F$50,AP76+1,AP76))))))</f>
        <v>6</v>
      </c>
      <c r="AQ77" s="321" t="str">
        <f t="shared" si="23"/>
        <v>906</v>
      </c>
      <c r="AR77" s="321">
        <f>IF(Instructions!$E$11=8,IF($D77=Instructions!$F$51,AR76+1,AR76),IF(Instructions!$E$11=10,IF($H77=Instructions!$F$51,AR76+1,AR76),IF(Instructions!$E$11=12,IF($L77=Instructions!$F$51,AR76+1,AR76),IF(Instructions!$E$11=14,IF($P77=Instructions!$F$51,AR76+1,AR76),IF(Instructions!$E$11=16,IF($T77=Instructions!$F$51,AR76+1,AR76))))))</f>
        <v>6</v>
      </c>
      <c r="AS77" s="321" t="str">
        <f t="shared" si="25"/>
        <v>1006</v>
      </c>
      <c r="AT77" s="321">
        <f>IF(Instructions!$E$11=8,IF($D77=Instructions!$F$52,AT76+1,AT76),IF(Instructions!$E$11=10,IF($H77=Instructions!$F$52,AT76+1,AT76),IF(Instructions!$E$11=12,IF($L77=Instructions!$F$52,AT76+1,AT76),IF(Instructions!$E$11=14,IF($P77=Instructions!$F$52,AT76+1,AT76),IF(Instructions!$E$11=16,IF($T77=Instructions!$F$52,AT76+1,AT76))))))</f>
        <v>6</v>
      </c>
      <c r="AU77" s="321" t="str">
        <f t="shared" si="26"/>
        <v>1106</v>
      </c>
      <c r="AV77" s="321">
        <f>IF(Instructions!$E$11=8,IF($D77=Instructions!$F$53,AV76+1,AV76),IF(Instructions!$E$11=10,IF($H77=Instructions!$F$53,AV76+1,AV76),IF(Instructions!$E$11=12,IF($L77=Instructions!$F$53,AV76+1,AV76),IF(Instructions!$E$11=14,IF($P77=Instructions!$F$53,AV76+1,AV76),IF(Instructions!$E$11=16,IF($T77=Instructions!$F$53,AV76+1,AV76))))))</f>
        <v>6</v>
      </c>
      <c r="AW77" s="321" t="str">
        <f t="shared" si="27"/>
        <v>1206</v>
      </c>
      <c r="AX77" s="321">
        <f>IF(Instructions!$E$11=8,IF($D77=Instructions!$F$54,AX76+1,AX76),IF(Instructions!$E$11=10,IF($H77=Instructions!$F$54,AX76+1,AX76),IF(Instructions!$E$11=12,IF($L77=Instructions!$F$54,AX76+1,AX76),IF(Instructions!$E$11=14,IF($P77=Instructions!$F$54,AX76+1,AX76),IF(Instructions!$E$11=16,IF($T77=Instructions!$F$54,AX76+1,AX76))))))</f>
        <v>0</v>
      </c>
      <c r="AY77" s="321" t="str">
        <f t="shared" si="28"/>
        <v>1300</v>
      </c>
      <c r="AZ77" s="321">
        <f>IF(Instructions!$E$11=8,IF($D77=Instructions!$F$55,AZ76+1,AZ76),IF(Instructions!$E$11=10,IF($H77=Instructions!$F$55,AZ76+1,AZ76),IF(Instructions!$E$11=12,IF($L77=Instructions!$F$55,AZ76+1,AZ76),IF(Instructions!$E$11=14,IF($P77=Instructions!$F$55,AZ76+1,AZ76),IF(Instructions!$E$11=16,IF($T77=Instructions!$F$55,AZ76+1,AZ76))))))</f>
        <v>0</v>
      </c>
      <c r="BA77" s="321" t="str">
        <f t="shared" si="29"/>
        <v>1400</v>
      </c>
      <c r="BB77" s="321">
        <f>IF(Instructions!$E$11=8,IF($D77=Instructions!$F$56,BB76+1,BB76),IF(Instructions!$E$11=10,IF($H77=Instructions!$F$56,BB76+1,BB76),IF(Instructions!$E$11=12,IF($L77=Instructions!$F$56,BB76+1,BB76),IF(Instructions!$E$11=14,IF($P77=Instructions!$F$56,BB76+1,BB76),IF(Instructions!$E$11=16,IF($T77=Instructions!$F$56,BB76+1,BB76))))))</f>
        <v>0</v>
      </c>
      <c r="BC77" s="321" t="str">
        <f t="shared" si="30"/>
        <v>1500</v>
      </c>
      <c r="BD77" s="321">
        <f>IF(Instructions!$E$11=8,IF($D77=Instructions!$F$57,BD76+1,BD76),IF(Instructions!$E$11=10,IF($H77=Instructions!$F$57,BD76+1,BD76),IF(Instructions!$E$11=12,IF($L77=Instructions!$F$57,BD76+1,BD76),IF(Instructions!$E$11=14,IF($P77=Instructions!$F$57,BD76+1,BD76),IF(Instructions!$E$11=16,IF($T77=Instructions!$F$57,BD76+1,BD76))))))</f>
        <v>0</v>
      </c>
      <c r="BE77" s="321" t="str">
        <f t="shared" si="31"/>
        <v>1600</v>
      </c>
      <c r="BF77" s="321">
        <v>75</v>
      </c>
    </row>
    <row r="78" spans="1:58" x14ac:dyDescent="0.25">
      <c r="A78" s="280"/>
      <c r="B78" s="323" t="str">
        <f>IF(Instructions!$J$11=1,AA78,IF(Instructions!$J$11=2,AC78,IF(Instructions!$J$11=3,AE78,IF(Instructions!$J$11=4,AG78,IF(Instructions!$J$11=5,AI78,IF(Instructions!$J$11=6,AK78,IF(Instructions!$J$11=7,AM78,IF(Instructions!$J$11=8,AO78,IF(Instructions!$J$11=9,AQ78,IF(Instructions!$J$11=10,AS78,IF(Instructions!$J$11=11,AU78,IF(Instructions!$J$11=12,AW78,IF(Instructions!$J$11=13, AY78, IF(Instructions!$J$11=14,BA78,IF(Instructions!$J$11=15,BC78,BE78)))))))))))))))</f>
        <v>207</v>
      </c>
      <c r="C78" s="272">
        <v>76</v>
      </c>
      <c r="D78" s="327" t="str">
        <f>Instructions!F$46</f>
        <v>Con</v>
      </c>
      <c r="E78" s="332" t="s">
        <v>818</v>
      </c>
      <c r="F78" s="706"/>
      <c r="G78" s="279">
        <v>10</v>
      </c>
      <c r="H78" s="294" t="str">
        <f>Instructions!F$46</f>
        <v>Con</v>
      </c>
      <c r="I78" s="274" t="s">
        <v>796</v>
      </c>
      <c r="J78" s="709"/>
      <c r="K78" s="279">
        <v>8</v>
      </c>
      <c r="L78" s="294" t="str">
        <f>Instructions!F$45</f>
        <v>Miles</v>
      </c>
      <c r="M78" s="274" t="s">
        <v>782</v>
      </c>
      <c r="N78" s="709"/>
      <c r="O78" s="279">
        <v>7</v>
      </c>
      <c r="P78" s="294" t="str">
        <f>Instructions!F$50</f>
        <v>Dan</v>
      </c>
      <c r="Q78" s="274" t="s">
        <v>772</v>
      </c>
      <c r="R78" s="709"/>
      <c r="S78" s="279">
        <v>6</v>
      </c>
      <c r="T78" s="327" t="str">
        <f>Instructions!F$53</f>
        <v>Zack</v>
      </c>
      <c r="U78" s="274" t="s">
        <v>766</v>
      </c>
      <c r="V78" s="706"/>
      <c r="W78" s="279">
        <v>5</v>
      </c>
      <c r="X78" s="280"/>
      <c r="Y78" s="190" t="str">
        <f>IFERROR( IF(Instructions!$E$11=8, D78&amp;COUNTIF(D$3:D78,D78), IF(Instructions!$E$11=10, H78&amp;COUNTIF(H$3:H78,H78),IF(Instructions!$E$11=12, L78&amp;COUNTIF(L$3:L78,L78),IF(Instructions!$E$11=14, P78&amp;COUNTIF(P$3:P78,P78),T78&amp;COUNTIF(T$3:T78,T78))))),"")</f>
        <v>Miles7</v>
      </c>
      <c r="Z78" s="321">
        <f>IF(Instructions!$E$11=8,IF($D78=Instructions!$F$42,Z77+1,Z77),IF(Instructions!$E$11=10,IF($H78=Instructions!$F$42,Z77+1,Z77),IF(Instructions!$E$11=12,IF($L78=Instructions!$F$42,Z77+1,Z77),IF(Instructions!$E$11=14,IF($P78=Instructions!$F$42,Z77+1,Z77),IF(Instructions!$E$11=16,IF($T78=Instructions!$F$42,Z77+1,Z77))))))</f>
        <v>7</v>
      </c>
      <c r="AA78" s="321" t="str">
        <f t="shared" si="24"/>
        <v>107</v>
      </c>
      <c r="AB78" s="321">
        <f>IF(Instructions!$E$11=8,IF($D78=Instructions!$F$43,AB77+1,AB77),IF(Instructions!$E$11=10,IF($H78=Instructions!$F$43,AB77+1,AB77),IF(Instructions!$E$11=12,IF($L78=Instructions!$F$43,AB77+1,AB77),IF(Instructions!$E$11=14,IF($P78=Instructions!$F$43,AB77+1,AB77),IF(Instructions!$E$11=16,IF($T78=Instructions!$F$43,AB77+1,AB77))))))</f>
        <v>7</v>
      </c>
      <c r="AC78" s="321" t="str">
        <f t="shared" si="16"/>
        <v>207</v>
      </c>
      <c r="AD78" s="321">
        <f>IF(Instructions!$E$11=8,IF($D78=Instructions!$F$44,AD77+1,AD77),IF(Instructions!$E$11=10,IF($H78=Instructions!$F$44,AD77+1,AD77),IF(Instructions!$E$11=12,IF($L78=Instructions!$F$44,AD77+1,AD77),IF(Instructions!$E$11=14,IF($P78=Instructions!$F$44,AD77+1,AD77),IF(Instructions!$E$11=16,IF($T78=Instructions!$F$44,AD77+1,AD77))))))</f>
        <v>7</v>
      </c>
      <c r="AE78" s="321" t="str">
        <f t="shared" si="17"/>
        <v>307</v>
      </c>
      <c r="AF78" s="321">
        <f>IF(Instructions!$E$11=8,IF($D78=Instructions!$F$45,AF77+1,AF77),IF(Instructions!$E$11=10,IF($H78=Instructions!$F$45,AF77+1,AF77),IF(Instructions!$E$11=12,IF($L78=Instructions!$F$45,AF77+1,AF77),IF(Instructions!$E$11=14,IF($P78=Instructions!$F$45,AF77+1,AF77),IF(Instructions!$E$11=16,IF($T78=Instructions!$F$45,AF77+1,AF77))))))</f>
        <v>7</v>
      </c>
      <c r="AG78" s="321" t="str">
        <f t="shared" si="18"/>
        <v>407</v>
      </c>
      <c r="AH78" s="321">
        <f>IF(Instructions!$E$11=8,IF($D78=Instructions!$F$46,AH77+1,AH77),IF(Instructions!$E$11=10,IF($H78=Instructions!$F$46,AH77+1,AH77),IF(Instructions!$E$11=12,IF($L78=Instructions!$F$46,AH77+1,AH77),IF(Instructions!$E$11=14,IF($P78=Instructions!$F$46,AH77+1,AH77),IF(Instructions!$E$11=16,IF($T78=Instructions!$F$46,AH77+1,AH77))))))</f>
        <v>6</v>
      </c>
      <c r="AI78" s="321" t="str">
        <f t="shared" si="19"/>
        <v>506</v>
      </c>
      <c r="AJ78" s="321">
        <f>IF(Instructions!$E$11=8,IF($D78=Instructions!$F$47,AJ77+1,AJ77),IF(Instructions!$E$11=10,IF($H78=Instructions!$F$47,AJ77+1,AJ77),IF(Instructions!$E$11=12,IF($L78=Instructions!$F$47,AJ77+1,AJ77),IF(Instructions!$E$11=14,IF($P78=Instructions!$F$47,AJ77+1,AJ77),IF(Instructions!$E$11=16,IF($T78=Instructions!$F$47,AJ77+1,AJ77))))))</f>
        <v>6</v>
      </c>
      <c r="AK78" s="321" t="str">
        <f t="shared" si="20"/>
        <v>606</v>
      </c>
      <c r="AL78" s="321">
        <f>IF(Instructions!$E$11=8,IF($D78=Instructions!$F$48,AL77+1,AL77),IF(Instructions!$E$11=10,IF($H78=Instructions!$F$48,AL77+1,AL77),IF(Instructions!$E$11=12,IF($L78=Instructions!$F$48,AL77+1,AL77),IF(Instructions!$E$11=14,IF($P78=Instructions!$F$48,AL77+1,AL77),IF(Instructions!$E$11=16,IF($T78=Instructions!$F$48,AL77+1,AL77))))))</f>
        <v>6</v>
      </c>
      <c r="AM78" s="321" t="str">
        <f t="shared" si="21"/>
        <v>706</v>
      </c>
      <c r="AN78" s="321">
        <f>IF(Instructions!$E$11=8,IF($D78=Instructions!$F$49,AN77+1,AN77),IF(Instructions!$E$11=10,IF($H78=Instructions!$F$49,AN77+1,AN77),IF(Instructions!$E$11=12,IF($L78=Instructions!$F$49,AN77+1,AN77),IF(Instructions!$E$11=14,IF($P78=Instructions!$F$49,AN77+1,AN77),IF(Instructions!$E$11=16,IF($T78=Instructions!$F$49,AN77+1,AN77))))))</f>
        <v>6</v>
      </c>
      <c r="AO78" s="321" t="str">
        <f t="shared" si="22"/>
        <v>806</v>
      </c>
      <c r="AP78" s="321">
        <f>IF(Instructions!$E$11=8,IF($D78=Instructions!$F$50,AP77+1,AP77),IF(Instructions!$E$11=10,IF($H78=Instructions!$F$50,AP77+1,AP77),IF(Instructions!$E$11=12,IF($L78=Instructions!$F$50,AP77+1,AP77),IF(Instructions!$E$11=14,IF($P78=Instructions!$F$50,AP77+1,AP77),IF(Instructions!$E$11=16,IF($T78=Instructions!$F$50,AP77+1,AP77))))))</f>
        <v>6</v>
      </c>
      <c r="AQ78" s="321" t="str">
        <f t="shared" si="23"/>
        <v>906</v>
      </c>
      <c r="AR78" s="321">
        <f>IF(Instructions!$E$11=8,IF($D78=Instructions!$F$51,AR77+1,AR77),IF(Instructions!$E$11=10,IF($H78=Instructions!$F$51,AR77+1,AR77),IF(Instructions!$E$11=12,IF($L78=Instructions!$F$51,AR77+1,AR77),IF(Instructions!$E$11=14,IF($P78=Instructions!$F$51,AR77+1,AR77),IF(Instructions!$E$11=16,IF($T78=Instructions!$F$51,AR77+1,AR77))))))</f>
        <v>6</v>
      </c>
      <c r="AS78" s="321" t="str">
        <f t="shared" si="25"/>
        <v>1006</v>
      </c>
      <c r="AT78" s="321">
        <f>IF(Instructions!$E$11=8,IF($D78=Instructions!$F$52,AT77+1,AT77),IF(Instructions!$E$11=10,IF($H78=Instructions!$F$52,AT77+1,AT77),IF(Instructions!$E$11=12,IF($L78=Instructions!$F$52,AT77+1,AT77),IF(Instructions!$E$11=14,IF($P78=Instructions!$F$52,AT77+1,AT77),IF(Instructions!$E$11=16,IF($T78=Instructions!$F$52,AT77+1,AT77))))))</f>
        <v>6</v>
      </c>
      <c r="AU78" s="321" t="str">
        <f t="shared" si="26"/>
        <v>1106</v>
      </c>
      <c r="AV78" s="321">
        <f>IF(Instructions!$E$11=8,IF($D78=Instructions!$F$53,AV77+1,AV77),IF(Instructions!$E$11=10,IF($H78=Instructions!$F$53,AV77+1,AV77),IF(Instructions!$E$11=12,IF($L78=Instructions!$F$53,AV77+1,AV77),IF(Instructions!$E$11=14,IF($P78=Instructions!$F$53,AV77+1,AV77),IF(Instructions!$E$11=16,IF($T78=Instructions!$F$53,AV77+1,AV77))))))</f>
        <v>6</v>
      </c>
      <c r="AW78" s="321" t="str">
        <f t="shared" si="27"/>
        <v>1206</v>
      </c>
      <c r="AX78" s="321">
        <f>IF(Instructions!$E$11=8,IF($D78=Instructions!$F$54,AX77+1,AX77),IF(Instructions!$E$11=10,IF($H78=Instructions!$F$54,AX77+1,AX77),IF(Instructions!$E$11=12,IF($L78=Instructions!$F$54,AX77+1,AX77),IF(Instructions!$E$11=14,IF($P78=Instructions!$F$54,AX77+1,AX77),IF(Instructions!$E$11=16,IF($T78=Instructions!$F$54,AX77+1,AX77))))))</f>
        <v>0</v>
      </c>
      <c r="AY78" s="321" t="str">
        <f t="shared" si="28"/>
        <v>1300</v>
      </c>
      <c r="AZ78" s="321">
        <f>IF(Instructions!$E$11=8,IF($D78=Instructions!$F$55,AZ77+1,AZ77),IF(Instructions!$E$11=10,IF($H78=Instructions!$F$55,AZ77+1,AZ77),IF(Instructions!$E$11=12,IF($L78=Instructions!$F$55,AZ77+1,AZ77),IF(Instructions!$E$11=14,IF($P78=Instructions!$F$55,AZ77+1,AZ77),IF(Instructions!$E$11=16,IF($T78=Instructions!$F$55,AZ77+1,AZ77))))))</f>
        <v>0</v>
      </c>
      <c r="BA78" s="321" t="str">
        <f t="shared" si="29"/>
        <v>1400</v>
      </c>
      <c r="BB78" s="321">
        <f>IF(Instructions!$E$11=8,IF($D78=Instructions!$F$56,BB77+1,BB77),IF(Instructions!$E$11=10,IF($H78=Instructions!$F$56,BB77+1,BB77),IF(Instructions!$E$11=12,IF($L78=Instructions!$F$56,BB77+1,BB77),IF(Instructions!$E$11=14,IF($P78=Instructions!$F$56,BB77+1,BB77),IF(Instructions!$E$11=16,IF($T78=Instructions!$F$56,BB77+1,BB77))))))</f>
        <v>0</v>
      </c>
      <c r="BC78" s="321" t="str">
        <f t="shared" si="30"/>
        <v>1500</v>
      </c>
      <c r="BD78" s="321">
        <f>IF(Instructions!$E$11=8,IF($D78=Instructions!$F$57,BD77+1,BD77),IF(Instructions!$E$11=10,IF($H78=Instructions!$F$57,BD77+1,BD77),IF(Instructions!$E$11=12,IF($L78=Instructions!$F$57,BD77+1,BD77),IF(Instructions!$E$11=14,IF($P78=Instructions!$F$57,BD77+1,BD77),IF(Instructions!$E$11=16,IF($T78=Instructions!$F$57,BD77+1,BD77))))))</f>
        <v>0</v>
      </c>
      <c r="BE78" s="321" t="str">
        <f t="shared" si="31"/>
        <v>1600</v>
      </c>
      <c r="BF78" s="321">
        <v>76</v>
      </c>
    </row>
    <row r="79" spans="1:58" x14ac:dyDescent="0.25">
      <c r="A79" s="280"/>
      <c r="B79" s="323" t="str">
        <f>IF(Instructions!$J$11=1,AA79,IF(Instructions!$J$11=2,AC79,IF(Instructions!$J$11=3,AE79,IF(Instructions!$J$11=4,AG79,IF(Instructions!$J$11=5,AI79,IF(Instructions!$J$11=6,AK79,IF(Instructions!$J$11=7,AM79,IF(Instructions!$J$11=8,AO79,IF(Instructions!$J$11=9,AQ79,IF(Instructions!$J$11=10,AS79,IF(Instructions!$J$11=11,AU79,IF(Instructions!$J$11=12,AW79,IF(Instructions!$J$11=13, AY79, IF(Instructions!$J$11=14,BA79,IF(Instructions!$J$11=15,BC79,BE79)))))))))))))))</f>
        <v>207</v>
      </c>
      <c r="C79" s="271">
        <v>77</v>
      </c>
      <c r="D79" s="328" t="str">
        <f>Instructions!F$45</f>
        <v>Miles</v>
      </c>
      <c r="E79" s="333" t="s">
        <v>819</v>
      </c>
      <c r="F79" s="706"/>
      <c r="G79" s="279">
        <v>10</v>
      </c>
      <c r="H79" s="293" t="str">
        <f>Instructions!F$45</f>
        <v>Miles</v>
      </c>
      <c r="I79" s="273" t="s">
        <v>797</v>
      </c>
      <c r="J79" s="709"/>
      <c r="K79" s="279">
        <v>8</v>
      </c>
      <c r="L79" s="293" t="str">
        <f>Instructions!F$46</f>
        <v>Con</v>
      </c>
      <c r="M79" s="273" t="s">
        <v>783</v>
      </c>
      <c r="N79" s="709"/>
      <c r="O79" s="279">
        <v>7</v>
      </c>
      <c r="P79" s="293" t="str">
        <f>Instructions!F$49</f>
        <v>Luke</v>
      </c>
      <c r="Q79" s="273" t="s">
        <v>773</v>
      </c>
      <c r="R79" s="709"/>
      <c r="S79" s="279">
        <v>6</v>
      </c>
      <c r="T79" s="328" t="str">
        <f>Instructions!F$54</f>
        <v>[TEAM 13]</v>
      </c>
      <c r="U79" s="273" t="s">
        <v>936</v>
      </c>
      <c r="V79" s="706"/>
      <c r="W79" s="279">
        <v>5</v>
      </c>
      <c r="X79" s="280"/>
      <c r="Y79" s="190" t="str">
        <f>IFERROR( IF(Instructions!$E$11=8, D79&amp;COUNTIF(D$3:D79,D79), IF(Instructions!$E$11=10, H79&amp;COUNTIF(H$3:H79,H79),IF(Instructions!$E$11=12, L79&amp;COUNTIF(L$3:L79,L79),IF(Instructions!$E$11=14, P79&amp;COUNTIF(P$3:P79,P79),T79&amp;COUNTIF(T$3:T79,T79))))),"")</f>
        <v>Con7</v>
      </c>
      <c r="Z79" s="321">
        <f>IF(Instructions!$E$11=8,IF($D79=Instructions!$F$42,Z78+1,Z78),IF(Instructions!$E$11=10,IF($H79=Instructions!$F$42,Z78+1,Z78),IF(Instructions!$E$11=12,IF($L79=Instructions!$F$42,Z78+1,Z78),IF(Instructions!$E$11=14,IF($P79=Instructions!$F$42,Z78+1,Z78),IF(Instructions!$E$11=16,IF($T79=Instructions!$F$42,Z78+1,Z78))))))</f>
        <v>7</v>
      </c>
      <c r="AA79" s="321" t="str">
        <f t="shared" si="24"/>
        <v>107</v>
      </c>
      <c r="AB79" s="321">
        <f>IF(Instructions!$E$11=8,IF($D79=Instructions!$F$43,AB78+1,AB78),IF(Instructions!$E$11=10,IF($H79=Instructions!$F$43,AB78+1,AB78),IF(Instructions!$E$11=12,IF($L79=Instructions!$F$43,AB78+1,AB78),IF(Instructions!$E$11=14,IF($P79=Instructions!$F$43,AB78+1,AB78),IF(Instructions!$E$11=16,IF($T79=Instructions!$F$43,AB78+1,AB78))))))</f>
        <v>7</v>
      </c>
      <c r="AC79" s="321" t="str">
        <f t="shared" si="16"/>
        <v>207</v>
      </c>
      <c r="AD79" s="321">
        <f>IF(Instructions!$E$11=8,IF($D79=Instructions!$F$44,AD78+1,AD78),IF(Instructions!$E$11=10,IF($H79=Instructions!$F$44,AD78+1,AD78),IF(Instructions!$E$11=12,IF($L79=Instructions!$F$44,AD78+1,AD78),IF(Instructions!$E$11=14,IF($P79=Instructions!$F$44,AD78+1,AD78),IF(Instructions!$E$11=16,IF($T79=Instructions!$F$44,AD78+1,AD78))))))</f>
        <v>7</v>
      </c>
      <c r="AE79" s="321" t="str">
        <f t="shared" si="17"/>
        <v>307</v>
      </c>
      <c r="AF79" s="321">
        <f>IF(Instructions!$E$11=8,IF($D79=Instructions!$F$45,AF78+1,AF78),IF(Instructions!$E$11=10,IF($H79=Instructions!$F$45,AF78+1,AF78),IF(Instructions!$E$11=12,IF($L79=Instructions!$F$45,AF78+1,AF78),IF(Instructions!$E$11=14,IF($P79=Instructions!$F$45,AF78+1,AF78),IF(Instructions!$E$11=16,IF($T79=Instructions!$F$45,AF78+1,AF78))))))</f>
        <v>7</v>
      </c>
      <c r="AG79" s="321" t="str">
        <f t="shared" si="18"/>
        <v>407</v>
      </c>
      <c r="AH79" s="321">
        <f>IF(Instructions!$E$11=8,IF($D79=Instructions!$F$46,AH78+1,AH78),IF(Instructions!$E$11=10,IF($H79=Instructions!$F$46,AH78+1,AH78),IF(Instructions!$E$11=12,IF($L79=Instructions!$F$46,AH78+1,AH78),IF(Instructions!$E$11=14,IF($P79=Instructions!$F$46,AH78+1,AH78),IF(Instructions!$E$11=16,IF($T79=Instructions!$F$46,AH78+1,AH78))))))</f>
        <v>7</v>
      </c>
      <c r="AI79" s="321" t="str">
        <f t="shared" si="19"/>
        <v>507</v>
      </c>
      <c r="AJ79" s="321">
        <f>IF(Instructions!$E$11=8,IF($D79=Instructions!$F$47,AJ78+1,AJ78),IF(Instructions!$E$11=10,IF($H79=Instructions!$F$47,AJ78+1,AJ78),IF(Instructions!$E$11=12,IF($L79=Instructions!$F$47,AJ78+1,AJ78),IF(Instructions!$E$11=14,IF($P79=Instructions!$F$47,AJ78+1,AJ78),IF(Instructions!$E$11=16,IF($T79=Instructions!$F$47,AJ78+1,AJ78))))))</f>
        <v>6</v>
      </c>
      <c r="AK79" s="321" t="str">
        <f t="shared" si="20"/>
        <v>606</v>
      </c>
      <c r="AL79" s="321">
        <f>IF(Instructions!$E$11=8,IF($D79=Instructions!$F$48,AL78+1,AL78),IF(Instructions!$E$11=10,IF($H79=Instructions!$F$48,AL78+1,AL78),IF(Instructions!$E$11=12,IF($L79=Instructions!$F$48,AL78+1,AL78),IF(Instructions!$E$11=14,IF($P79=Instructions!$F$48,AL78+1,AL78),IF(Instructions!$E$11=16,IF($T79=Instructions!$F$48,AL78+1,AL78))))))</f>
        <v>6</v>
      </c>
      <c r="AM79" s="321" t="str">
        <f t="shared" si="21"/>
        <v>706</v>
      </c>
      <c r="AN79" s="321">
        <f>IF(Instructions!$E$11=8,IF($D79=Instructions!$F$49,AN78+1,AN78),IF(Instructions!$E$11=10,IF($H79=Instructions!$F$49,AN78+1,AN78),IF(Instructions!$E$11=12,IF($L79=Instructions!$F$49,AN78+1,AN78),IF(Instructions!$E$11=14,IF($P79=Instructions!$F$49,AN78+1,AN78),IF(Instructions!$E$11=16,IF($T79=Instructions!$F$49,AN78+1,AN78))))))</f>
        <v>6</v>
      </c>
      <c r="AO79" s="321" t="str">
        <f t="shared" si="22"/>
        <v>806</v>
      </c>
      <c r="AP79" s="321">
        <f>IF(Instructions!$E$11=8,IF($D79=Instructions!$F$50,AP78+1,AP78),IF(Instructions!$E$11=10,IF($H79=Instructions!$F$50,AP78+1,AP78),IF(Instructions!$E$11=12,IF($L79=Instructions!$F$50,AP78+1,AP78),IF(Instructions!$E$11=14,IF($P79=Instructions!$F$50,AP78+1,AP78),IF(Instructions!$E$11=16,IF($T79=Instructions!$F$50,AP78+1,AP78))))))</f>
        <v>6</v>
      </c>
      <c r="AQ79" s="321" t="str">
        <f t="shared" si="23"/>
        <v>906</v>
      </c>
      <c r="AR79" s="321">
        <f>IF(Instructions!$E$11=8,IF($D79=Instructions!$F$51,AR78+1,AR78),IF(Instructions!$E$11=10,IF($H79=Instructions!$F$51,AR78+1,AR78),IF(Instructions!$E$11=12,IF($L79=Instructions!$F$51,AR78+1,AR78),IF(Instructions!$E$11=14,IF($P79=Instructions!$F$51,AR78+1,AR78),IF(Instructions!$E$11=16,IF($T79=Instructions!$F$51,AR78+1,AR78))))))</f>
        <v>6</v>
      </c>
      <c r="AS79" s="321" t="str">
        <f t="shared" si="25"/>
        <v>1006</v>
      </c>
      <c r="AT79" s="321">
        <f>IF(Instructions!$E$11=8,IF($D79=Instructions!$F$52,AT78+1,AT78),IF(Instructions!$E$11=10,IF($H79=Instructions!$F$52,AT78+1,AT78),IF(Instructions!$E$11=12,IF($L79=Instructions!$F$52,AT78+1,AT78),IF(Instructions!$E$11=14,IF($P79=Instructions!$F$52,AT78+1,AT78),IF(Instructions!$E$11=16,IF($T79=Instructions!$F$52,AT78+1,AT78))))))</f>
        <v>6</v>
      </c>
      <c r="AU79" s="321" t="str">
        <f t="shared" si="26"/>
        <v>1106</v>
      </c>
      <c r="AV79" s="321">
        <f>IF(Instructions!$E$11=8,IF($D79=Instructions!$F$53,AV78+1,AV78),IF(Instructions!$E$11=10,IF($H79=Instructions!$F$53,AV78+1,AV78),IF(Instructions!$E$11=12,IF($L79=Instructions!$F$53,AV78+1,AV78),IF(Instructions!$E$11=14,IF($P79=Instructions!$F$53,AV78+1,AV78),IF(Instructions!$E$11=16,IF($T79=Instructions!$F$53,AV78+1,AV78))))))</f>
        <v>6</v>
      </c>
      <c r="AW79" s="321" t="str">
        <f t="shared" si="27"/>
        <v>1206</v>
      </c>
      <c r="AX79" s="321">
        <f>IF(Instructions!$E$11=8,IF($D79=Instructions!$F$54,AX78+1,AX78),IF(Instructions!$E$11=10,IF($H79=Instructions!$F$54,AX78+1,AX78),IF(Instructions!$E$11=12,IF($L79=Instructions!$F$54,AX78+1,AX78),IF(Instructions!$E$11=14,IF($P79=Instructions!$F$54,AX78+1,AX78),IF(Instructions!$E$11=16,IF($T79=Instructions!$F$54,AX78+1,AX78))))))</f>
        <v>0</v>
      </c>
      <c r="AY79" s="321" t="str">
        <f t="shared" si="28"/>
        <v>1300</v>
      </c>
      <c r="AZ79" s="321">
        <f>IF(Instructions!$E$11=8,IF($D79=Instructions!$F$55,AZ78+1,AZ78),IF(Instructions!$E$11=10,IF($H79=Instructions!$F$55,AZ78+1,AZ78),IF(Instructions!$E$11=12,IF($L79=Instructions!$F$55,AZ78+1,AZ78),IF(Instructions!$E$11=14,IF($P79=Instructions!$F$55,AZ78+1,AZ78),IF(Instructions!$E$11=16,IF($T79=Instructions!$F$55,AZ78+1,AZ78))))))</f>
        <v>0</v>
      </c>
      <c r="BA79" s="321" t="str">
        <f t="shared" si="29"/>
        <v>1400</v>
      </c>
      <c r="BB79" s="321">
        <f>IF(Instructions!$E$11=8,IF($D79=Instructions!$F$56,BB78+1,BB78),IF(Instructions!$E$11=10,IF($H79=Instructions!$F$56,BB78+1,BB78),IF(Instructions!$E$11=12,IF($L79=Instructions!$F$56,BB78+1,BB78),IF(Instructions!$E$11=14,IF($P79=Instructions!$F$56,BB78+1,BB78),IF(Instructions!$E$11=16,IF($T79=Instructions!$F$56,BB78+1,BB78))))))</f>
        <v>0</v>
      </c>
      <c r="BC79" s="321" t="str">
        <f t="shared" si="30"/>
        <v>1500</v>
      </c>
      <c r="BD79" s="321">
        <f>IF(Instructions!$E$11=8,IF($D79=Instructions!$F$57,BD78+1,BD78),IF(Instructions!$E$11=10,IF($H79=Instructions!$F$57,BD78+1,BD78),IF(Instructions!$E$11=12,IF($L79=Instructions!$F$57,BD78+1,BD78),IF(Instructions!$E$11=14,IF($P79=Instructions!$F$57,BD78+1,BD78),IF(Instructions!$E$11=16,IF($T79=Instructions!$F$57,BD78+1,BD78))))))</f>
        <v>0</v>
      </c>
      <c r="BE79" s="321" t="str">
        <f t="shared" si="31"/>
        <v>1600</v>
      </c>
      <c r="BF79" s="321">
        <v>77</v>
      </c>
    </row>
    <row r="80" spans="1:58" x14ac:dyDescent="0.25">
      <c r="A80" s="280"/>
      <c r="B80" s="323" t="str">
        <f>IF(Instructions!$J$11=1,AA80,IF(Instructions!$J$11=2,AC80,IF(Instructions!$J$11=3,AE80,IF(Instructions!$J$11=4,AG80,IF(Instructions!$J$11=5,AI80,IF(Instructions!$J$11=6,AK80,IF(Instructions!$J$11=7,AM80,IF(Instructions!$J$11=8,AO80,IF(Instructions!$J$11=9,AQ80,IF(Instructions!$J$11=10,AS80,IF(Instructions!$J$11=11,AU80,IF(Instructions!$J$11=12,AW80,IF(Instructions!$J$11=13, AY80, IF(Instructions!$J$11=14,BA80,IF(Instructions!$J$11=15,BC80,BE80)))))))))))))))</f>
        <v>207</v>
      </c>
      <c r="C80" s="272">
        <v>78</v>
      </c>
      <c r="D80" s="327" t="str">
        <f>Instructions!F$44</f>
        <v>Cam</v>
      </c>
      <c r="E80" s="332" t="s">
        <v>820</v>
      </c>
      <c r="F80" s="706"/>
      <c r="G80" s="279">
        <v>10</v>
      </c>
      <c r="H80" s="294" t="str">
        <f>Instructions!F$44</f>
        <v>Cam</v>
      </c>
      <c r="I80" s="274" t="s">
        <v>798</v>
      </c>
      <c r="J80" s="709"/>
      <c r="K80" s="279">
        <v>8</v>
      </c>
      <c r="L80" s="294" t="str">
        <f>Instructions!F$47</f>
        <v>Devin</v>
      </c>
      <c r="M80" s="274" t="s">
        <v>784</v>
      </c>
      <c r="N80" s="709"/>
      <c r="O80" s="279">
        <v>7</v>
      </c>
      <c r="P80" s="294" t="str">
        <f>Instructions!F$48</f>
        <v>Bui</v>
      </c>
      <c r="Q80" s="274" t="s">
        <v>774</v>
      </c>
      <c r="R80" s="709"/>
      <c r="S80" s="279">
        <v>6</v>
      </c>
      <c r="T80" s="327" t="str">
        <f>Instructions!F$55</f>
        <v>[TEAM 14]</v>
      </c>
      <c r="U80" s="274" t="s">
        <v>937</v>
      </c>
      <c r="V80" s="706"/>
      <c r="W80" s="279">
        <v>5</v>
      </c>
      <c r="X80" s="280"/>
      <c r="Y80" s="190" t="str">
        <f>IFERROR( IF(Instructions!$E$11=8, D80&amp;COUNTIF(D$3:D80,D80), IF(Instructions!$E$11=10, H80&amp;COUNTIF(H$3:H80,H80),IF(Instructions!$E$11=12, L80&amp;COUNTIF(L$3:L80,L80),IF(Instructions!$E$11=14, P80&amp;COUNTIF(P$3:P80,P80),T80&amp;COUNTIF(T$3:T80,T80))))),"")</f>
        <v>Devin7</v>
      </c>
      <c r="Z80" s="321">
        <f>IF(Instructions!$E$11=8,IF($D80=Instructions!$F$42,Z79+1,Z79),IF(Instructions!$E$11=10,IF($H80=Instructions!$F$42,Z79+1,Z79),IF(Instructions!$E$11=12,IF($L80=Instructions!$F$42,Z79+1,Z79),IF(Instructions!$E$11=14,IF($P80=Instructions!$F$42,Z79+1,Z79),IF(Instructions!$E$11=16,IF($T80=Instructions!$F$42,Z79+1,Z79))))))</f>
        <v>7</v>
      </c>
      <c r="AA80" s="321" t="str">
        <f t="shared" si="24"/>
        <v>107</v>
      </c>
      <c r="AB80" s="321">
        <f>IF(Instructions!$E$11=8,IF($D80=Instructions!$F$43,AB79+1,AB79),IF(Instructions!$E$11=10,IF($H80=Instructions!$F$43,AB79+1,AB79),IF(Instructions!$E$11=12,IF($L80=Instructions!$F$43,AB79+1,AB79),IF(Instructions!$E$11=14,IF($P80=Instructions!$F$43,AB79+1,AB79),IF(Instructions!$E$11=16,IF($T80=Instructions!$F$43,AB79+1,AB79))))))</f>
        <v>7</v>
      </c>
      <c r="AC80" s="321" t="str">
        <f t="shared" si="16"/>
        <v>207</v>
      </c>
      <c r="AD80" s="321">
        <f>IF(Instructions!$E$11=8,IF($D80=Instructions!$F$44,AD79+1,AD79),IF(Instructions!$E$11=10,IF($H80=Instructions!$F$44,AD79+1,AD79),IF(Instructions!$E$11=12,IF($L80=Instructions!$F$44,AD79+1,AD79),IF(Instructions!$E$11=14,IF($P80=Instructions!$F$44,AD79+1,AD79),IF(Instructions!$E$11=16,IF($T80=Instructions!$F$44,AD79+1,AD79))))))</f>
        <v>7</v>
      </c>
      <c r="AE80" s="321" t="str">
        <f t="shared" si="17"/>
        <v>307</v>
      </c>
      <c r="AF80" s="321">
        <f>IF(Instructions!$E$11=8,IF($D80=Instructions!$F$45,AF79+1,AF79),IF(Instructions!$E$11=10,IF($H80=Instructions!$F$45,AF79+1,AF79),IF(Instructions!$E$11=12,IF($L80=Instructions!$F$45,AF79+1,AF79),IF(Instructions!$E$11=14,IF($P80=Instructions!$F$45,AF79+1,AF79),IF(Instructions!$E$11=16,IF($T80=Instructions!$F$45,AF79+1,AF79))))))</f>
        <v>7</v>
      </c>
      <c r="AG80" s="321" t="str">
        <f t="shared" si="18"/>
        <v>407</v>
      </c>
      <c r="AH80" s="321">
        <f>IF(Instructions!$E$11=8,IF($D80=Instructions!$F$46,AH79+1,AH79),IF(Instructions!$E$11=10,IF($H80=Instructions!$F$46,AH79+1,AH79),IF(Instructions!$E$11=12,IF($L80=Instructions!$F$46,AH79+1,AH79),IF(Instructions!$E$11=14,IF($P80=Instructions!$F$46,AH79+1,AH79),IF(Instructions!$E$11=16,IF($T80=Instructions!$F$46,AH79+1,AH79))))))</f>
        <v>7</v>
      </c>
      <c r="AI80" s="321" t="str">
        <f t="shared" si="19"/>
        <v>507</v>
      </c>
      <c r="AJ80" s="321">
        <f>IF(Instructions!$E$11=8,IF($D80=Instructions!$F$47,AJ79+1,AJ79),IF(Instructions!$E$11=10,IF($H80=Instructions!$F$47,AJ79+1,AJ79),IF(Instructions!$E$11=12,IF($L80=Instructions!$F$47,AJ79+1,AJ79),IF(Instructions!$E$11=14,IF($P80=Instructions!$F$47,AJ79+1,AJ79),IF(Instructions!$E$11=16,IF($T80=Instructions!$F$47,AJ79+1,AJ79))))))</f>
        <v>7</v>
      </c>
      <c r="AK80" s="321" t="str">
        <f t="shared" si="20"/>
        <v>607</v>
      </c>
      <c r="AL80" s="321">
        <f>IF(Instructions!$E$11=8,IF($D80=Instructions!$F$48,AL79+1,AL79),IF(Instructions!$E$11=10,IF($H80=Instructions!$F$48,AL79+1,AL79),IF(Instructions!$E$11=12,IF($L80=Instructions!$F$48,AL79+1,AL79),IF(Instructions!$E$11=14,IF($P80=Instructions!$F$48,AL79+1,AL79),IF(Instructions!$E$11=16,IF($T80=Instructions!$F$48,AL79+1,AL79))))))</f>
        <v>6</v>
      </c>
      <c r="AM80" s="321" t="str">
        <f t="shared" si="21"/>
        <v>706</v>
      </c>
      <c r="AN80" s="321">
        <f>IF(Instructions!$E$11=8,IF($D80=Instructions!$F$49,AN79+1,AN79),IF(Instructions!$E$11=10,IF($H80=Instructions!$F$49,AN79+1,AN79),IF(Instructions!$E$11=12,IF($L80=Instructions!$F$49,AN79+1,AN79),IF(Instructions!$E$11=14,IF($P80=Instructions!$F$49,AN79+1,AN79),IF(Instructions!$E$11=16,IF($T80=Instructions!$F$49,AN79+1,AN79))))))</f>
        <v>6</v>
      </c>
      <c r="AO80" s="321" t="str">
        <f t="shared" si="22"/>
        <v>806</v>
      </c>
      <c r="AP80" s="321">
        <f>IF(Instructions!$E$11=8,IF($D80=Instructions!$F$50,AP79+1,AP79),IF(Instructions!$E$11=10,IF($H80=Instructions!$F$50,AP79+1,AP79),IF(Instructions!$E$11=12,IF($L80=Instructions!$F$50,AP79+1,AP79),IF(Instructions!$E$11=14,IF($P80=Instructions!$F$50,AP79+1,AP79),IF(Instructions!$E$11=16,IF($T80=Instructions!$F$50,AP79+1,AP79))))))</f>
        <v>6</v>
      </c>
      <c r="AQ80" s="321" t="str">
        <f t="shared" si="23"/>
        <v>906</v>
      </c>
      <c r="AR80" s="321">
        <f>IF(Instructions!$E$11=8,IF($D80=Instructions!$F$51,AR79+1,AR79),IF(Instructions!$E$11=10,IF($H80=Instructions!$F$51,AR79+1,AR79),IF(Instructions!$E$11=12,IF($L80=Instructions!$F$51,AR79+1,AR79),IF(Instructions!$E$11=14,IF($P80=Instructions!$F$51,AR79+1,AR79),IF(Instructions!$E$11=16,IF($T80=Instructions!$F$51,AR79+1,AR79))))))</f>
        <v>6</v>
      </c>
      <c r="AS80" s="321" t="str">
        <f t="shared" si="25"/>
        <v>1006</v>
      </c>
      <c r="AT80" s="321">
        <f>IF(Instructions!$E$11=8,IF($D80=Instructions!$F$52,AT79+1,AT79),IF(Instructions!$E$11=10,IF($H80=Instructions!$F$52,AT79+1,AT79),IF(Instructions!$E$11=12,IF($L80=Instructions!$F$52,AT79+1,AT79),IF(Instructions!$E$11=14,IF($P80=Instructions!$F$52,AT79+1,AT79),IF(Instructions!$E$11=16,IF($T80=Instructions!$F$52,AT79+1,AT79))))))</f>
        <v>6</v>
      </c>
      <c r="AU80" s="321" t="str">
        <f t="shared" si="26"/>
        <v>1106</v>
      </c>
      <c r="AV80" s="321">
        <f>IF(Instructions!$E$11=8,IF($D80=Instructions!$F$53,AV79+1,AV79),IF(Instructions!$E$11=10,IF($H80=Instructions!$F$53,AV79+1,AV79),IF(Instructions!$E$11=12,IF($L80=Instructions!$F$53,AV79+1,AV79),IF(Instructions!$E$11=14,IF($P80=Instructions!$F$53,AV79+1,AV79),IF(Instructions!$E$11=16,IF($T80=Instructions!$F$53,AV79+1,AV79))))))</f>
        <v>6</v>
      </c>
      <c r="AW80" s="321" t="str">
        <f t="shared" si="27"/>
        <v>1206</v>
      </c>
      <c r="AX80" s="321">
        <f>IF(Instructions!$E$11=8,IF($D80=Instructions!$F$54,AX79+1,AX79),IF(Instructions!$E$11=10,IF($H80=Instructions!$F$54,AX79+1,AX79),IF(Instructions!$E$11=12,IF($L80=Instructions!$F$54,AX79+1,AX79),IF(Instructions!$E$11=14,IF($P80=Instructions!$F$54,AX79+1,AX79),IF(Instructions!$E$11=16,IF($T80=Instructions!$F$54,AX79+1,AX79))))))</f>
        <v>0</v>
      </c>
      <c r="AY80" s="321" t="str">
        <f t="shared" si="28"/>
        <v>1300</v>
      </c>
      <c r="AZ80" s="321">
        <f>IF(Instructions!$E$11=8,IF($D80=Instructions!$F$55,AZ79+1,AZ79),IF(Instructions!$E$11=10,IF($H80=Instructions!$F$55,AZ79+1,AZ79),IF(Instructions!$E$11=12,IF($L80=Instructions!$F$55,AZ79+1,AZ79),IF(Instructions!$E$11=14,IF($P80=Instructions!$F$55,AZ79+1,AZ79),IF(Instructions!$E$11=16,IF($T80=Instructions!$F$55,AZ79+1,AZ79))))))</f>
        <v>0</v>
      </c>
      <c r="BA80" s="321" t="str">
        <f t="shared" si="29"/>
        <v>1400</v>
      </c>
      <c r="BB80" s="321">
        <f>IF(Instructions!$E$11=8,IF($D80=Instructions!$F$56,BB79+1,BB79),IF(Instructions!$E$11=10,IF($H80=Instructions!$F$56,BB79+1,BB79),IF(Instructions!$E$11=12,IF($L80=Instructions!$F$56,BB79+1,BB79),IF(Instructions!$E$11=14,IF($P80=Instructions!$F$56,BB79+1,BB79),IF(Instructions!$E$11=16,IF($T80=Instructions!$F$56,BB79+1,BB79))))))</f>
        <v>0</v>
      </c>
      <c r="BC80" s="321" t="str">
        <f t="shared" si="30"/>
        <v>1500</v>
      </c>
      <c r="BD80" s="321">
        <f>IF(Instructions!$E$11=8,IF($D80=Instructions!$F$57,BD79+1,BD79),IF(Instructions!$E$11=10,IF($H80=Instructions!$F$57,BD79+1,BD79),IF(Instructions!$E$11=12,IF($L80=Instructions!$F$57,BD79+1,BD79),IF(Instructions!$E$11=14,IF($P80=Instructions!$F$57,BD79+1,BD79),IF(Instructions!$E$11=16,IF($T80=Instructions!$F$57,BD79+1,BD79))))))</f>
        <v>0</v>
      </c>
      <c r="BE80" s="321" t="str">
        <f t="shared" si="31"/>
        <v>1600</v>
      </c>
      <c r="BF80" s="321">
        <v>78</v>
      </c>
    </row>
    <row r="81" spans="1:58" x14ac:dyDescent="0.25">
      <c r="A81" s="280"/>
      <c r="B81" s="323" t="str">
        <f>IF(Instructions!$J$11=1,AA81,IF(Instructions!$J$11=2,AC81,IF(Instructions!$J$11=3,AE81,IF(Instructions!$J$11=4,AG81,IF(Instructions!$J$11=5,AI81,IF(Instructions!$J$11=6,AK81,IF(Instructions!$J$11=7,AM81,IF(Instructions!$J$11=8,AO81,IF(Instructions!$J$11=9,AQ81,IF(Instructions!$J$11=10,AS81,IF(Instructions!$J$11=11,AU81,IF(Instructions!$J$11=12,AW81,IF(Instructions!$J$11=13, AY81, IF(Instructions!$J$11=14,BA81,IF(Instructions!$J$11=15,BC81,BE81)))))))))))))))</f>
        <v>207</v>
      </c>
      <c r="C81" s="271">
        <v>79</v>
      </c>
      <c r="D81" s="328" t="str">
        <f>Instructions!F$43</f>
        <v>Camden</v>
      </c>
      <c r="E81" s="333" t="s">
        <v>821</v>
      </c>
      <c r="F81" s="706"/>
      <c r="G81" s="279">
        <v>10</v>
      </c>
      <c r="H81" s="293" t="str">
        <f>Instructions!F$43</f>
        <v>Camden</v>
      </c>
      <c r="I81" s="273" t="s">
        <v>799</v>
      </c>
      <c r="J81" s="709"/>
      <c r="K81" s="279">
        <v>8</v>
      </c>
      <c r="L81" s="293" t="str">
        <f>Instructions!F$48</f>
        <v>Bui</v>
      </c>
      <c r="M81" s="273" t="s">
        <v>785</v>
      </c>
      <c r="N81" s="709"/>
      <c r="O81" s="279">
        <v>7</v>
      </c>
      <c r="P81" s="293" t="str">
        <f>Instructions!F$47</f>
        <v>Devin</v>
      </c>
      <c r="Q81" s="273" t="s">
        <v>775</v>
      </c>
      <c r="R81" s="709"/>
      <c r="S81" s="279">
        <v>6</v>
      </c>
      <c r="T81" s="328" t="str">
        <f>Instructions!F$56</f>
        <v>[TEAM 15]</v>
      </c>
      <c r="U81" s="273" t="s">
        <v>1572</v>
      </c>
      <c r="V81" s="706"/>
      <c r="W81" s="279">
        <v>5</v>
      </c>
      <c r="X81" s="280"/>
      <c r="Y81" s="190" t="str">
        <f>IFERROR( IF(Instructions!$E$11=8, D81&amp;COUNTIF(D$3:D81,D81), IF(Instructions!$E$11=10, H81&amp;COUNTIF(H$3:H81,H81),IF(Instructions!$E$11=12, L81&amp;COUNTIF(L$3:L81,L81),IF(Instructions!$E$11=14, P81&amp;COUNTIF(P$3:P81,P81),T81&amp;COUNTIF(T$3:T81,T81))))),"")</f>
        <v>Bui7</v>
      </c>
      <c r="Z81" s="321">
        <f>IF(Instructions!$E$11=8,IF($D81=Instructions!$F$42,Z80+1,Z80),IF(Instructions!$E$11=10,IF($H81=Instructions!$F$42,Z80+1,Z80),IF(Instructions!$E$11=12,IF($L81=Instructions!$F$42,Z80+1,Z80),IF(Instructions!$E$11=14,IF($P81=Instructions!$F$42,Z80+1,Z80),IF(Instructions!$E$11=16,IF($T81=Instructions!$F$42,Z80+1,Z80))))))</f>
        <v>7</v>
      </c>
      <c r="AA81" s="321" t="str">
        <f t="shared" si="24"/>
        <v>107</v>
      </c>
      <c r="AB81" s="321">
        <f>IF(Instructions!$E$11=8,IF($D81=Instructions!$F$43,AB80+1,AB80),IF(Instructions!$E$11=10,IF($H81=Instructions!$F$43,AB80+1,AB80),IF(Instructions!$E$11=12,IF($L81=Instructions!$F$43,AB80+1,AB80),IF(Instructions!$E$11=14,IF($P81=Instructions!$F$43,AB80+1,AB80),IF(Instructions!$E$11=16,IF($T81=Instructions!$F$43,AB80+1,AB80))))))</f>
        <v>7</v>
      </c>
      <c r="AC81" s="321" t="str">
        <f t="shared" si="16"/>
        <v>207</v>
      </c>
      <c r="AD81" s="321">
        <f>IF(Instructions!$E$11=8,IF($D81=Instructions!$F$44,AD80+1,AD80),IF(Instructions!$E$11=10,IF($H81=Instructions!$F$44,AD80+1,AD80),IF(Instructions!$E$11=12,IF($L81=Instructions!$F$44,AD80+1,AD80),IF(Instructions!$E$11=14,IF($P81=Instructions!$F$44,AD80+1,AD80),IF(Instructions!$E$11=16,IF($T81=Instructions!$F$44,AD80+1,AD80))))))</f>
        <v>7</v>
      </c>
      <c r="AE81" s="321" t="str">
        <f t="shared" si="17"/>
        <v>307</v>
      </c>
      <c r="AF81" s="321">
        <f>IF(Instructions!$E$11=8,IF($D81=Instructions!$F$45,AF80+1,AF80),IF(Instructions!$E$11=10,IF($H81=Instructions!$F$45,AF80+1,AF80),IF(Instructions!$E$11=12,IF($L81=Instructions!$F$45,AF80+1,AF80),IF(Instructions!$E$11=14,IF($P81=Instructions!$F$45,AF80+1,AF80),IF(Instructions!$E$11=16,IF($T81=Instructions!$F$45,AF80+1,AF80))))))</f>
        <v>7</v>
      </c>
      <c r="AG81" s="321" t="str">
        <f t="shared" si="18"/>
        <v>407</v>
      </c>
      <c r="AH81" s="321">
        <f>IF(Instructions!$E$11=8,IF($D81=Instructions!$F$46,AH80+1,AH80),IF(Instructions!$E$11=10,IF($H81=Instructions!$F$46,AH80+1,AH80),IF(Instructions!$E$11=12,IF($L81=Instructions!$F$46,AH80+1,AH80),IF(Instructions!$E$11=14,IF($P81=Instructions!$F$46,AH80+1,AH80),IF(Instructions!$E$11=16,IF($T81=Instructions!$F$46,AH80+1,AH80))))))</f>
        <v>7</v>
      </c>
      <c r="AI81" s="321" t="str">
        <f t="shared" si="19"/>
        <v>507</v>
      </c>
      <c r="AJ81" s="321">
        <f>IF(Instructions!$E$11=8,IF($D81=Instructions!$F$47,AJ80+1,AJ80),IF(Instructions!$E$11=10,IF($H81=Instructions!$F$47,AJ80+1,AJ80),IF(Instructions!$E$11=12,IF($L81=Instructions!$F$47,AJ80+1,AJ80),IF(Instructions!$E$11=14,IF($P81=Instructions!$F$47,AJ80+1,AJ80),IF(Instructions!$E$11=16,IF($T81=Instructions!$F$47,AJ80+1,AJ80))))))</f>
        <v>7</v>
      </c>
      <c r="AK81" s="321" t="str">
        <f t="shared" si="20"/>
        <v>607</v>
      </c>
      <c r="AL81" s="321">
        <f>IF(Instructions!$E$11=8,IF($D81=Instructions!$F$48,AL80+1,AL80),IF(Instructions!$E$11=10,IF($H81=Instructions!$F$48,AL80+1,AL80),IF(Instructions!$E$11=12,IF($L81=Instructions!$F$48,AL80+1,AL80),IF(Instructions!$E$11=14,IF($P81=Instructions!$F$48,AL80+1,AL80),IF(Instructions!$E$11=16,IF($T81=Instructions!$F$48,AL80+1,AL80))))))</f>
        <v>7</v>
      </c>
      <c r="AM81" s="321" t="str">
        <f t="shared" si="21"/>
        <v>707</v>
      </c>
      <c r="AN81" s="321">
        <f>IF(Instructions!$E$11=8,IF($D81=Instructions!$F$49,AN80+1,AN80),IF(Instructions!$E$11=10,IF($H81=Instructions!$F$49,AN80+1,AN80),IF(Instructions!$E$11=12,IF($L81=Instructions!$F$49,AN80+1,AN80),IF(Instructions!$E$11=14,IF($P81=Instructions!$F$49,AN80+1,AN80),IF(Instructions!$E$11=16,IF($T81=Instructions!$F$49,AN80+1,AN80))))))</f>
        <v>6</v>
      </c>
      <c r="AO81" s="321" t="str">
        <f t="shared" si="22"/>
        <v>806</v>
      </c>
      <c r="AP81" s="321">
        <f>IF(Instructions!$E$11=8,IF($D81=Instructions!$F$50,AP80+1,AP80),IF(Instructions!$E$11=10,IF($H81=Instructions!$F$50,AP80+1,AP80),IF(Instructions!$E$11=12,IF($L81=Instructions!$F$50,AP80+1,AP80),IF(Instructions!$E$11=14,IF($P81=Instructions!$F$50,AP80+1,AP80),IF(Instructions!$E$11=16,IF($T81=Instructions!$F$50,AP80+1,AP80))))))</f>
        <v>6</v>
      </c>
      <c r="AQ81" s="321" t="str">
        <f t="shared" si="23"/>
        <v>906</v>
      </c>
      <c r="AR81" s="321">
        <f>IF(Instructions!$E$11=8,IF($D81=Instructions!$F$51,AR80+1,AR80),IF(Instructions!$E$11=10,IF($H81=Instructions!$F$51,AR80+1,AR80),IF(Instructions!$E$11=12,IF($L81=Instructions!$F$51,AR80+1,AR80),IF(Instructions!$E$11=14,IF($P81=Instructions!$F$51,AR80+1,AR80),IF(Instructions!$E$11=16,IF($T81=Instructions!$F$51,AR80+1,AR80))))))</f>
        <v>6</v>
      </c>
      <c r="AS81" s="321" t="str">
        <f t="shared" si="25"/>
        <v>1006</v>
      </c>
      <c r="AT81" s="321">
        <f>IF(Instructions!$E$11=8,IF($D81=Instructions!$F$52,AT80+1,AT80),IF(Instructions!$E$11=10,IF($H81=Instructions!$F$52,AT80+1,AT80),IF(Instructions!$E$11=12,IF($L81=Instructions!$F$52,AT80+1,AT80),IF(Instructions!$E$11=14,IF($P81=Instructions!$F$52,AT80+1,AT80),IF(Instructions!$E$11=16,IF($T81=Instructions!$F$52,AT80+1,AT80))))))</f>
        <v>6</v>
      </c>
      <c r="AU81" s="321" t="str">
        <f t="shared" si="26"/>
        <v>1106</v>
      </c>
      <c r="AV81" s="321">
        <f>IF(Instructions!$E$11=8,IF($D81=Instructions!$F$53,AV80+1,AV80),IF(Instructions!$E$11=10,IF($H81=Instructions!$F$53,AV80+1,AV80),IF(Instructions!$E$11=12,IF($L81=Instructions!$F$53,AV80+1,AV80),IF(Instructions!$E$11=14,IF($P81=Instructions!$F$53,AV80+1,AV80),IF(Instructions!$E$11=16,IF($T81=Instructions!$F$53,AV80+1,AV80))))))</f>
        <v>6</v>
      </c>
      <c r="AW81" s="321" t="str">
        <f t="shared" si="27"/>
        <v>1206</v>
      </c>
      <c r="AX81" s="321">
        <f>IF(Instructions!$E$11=8,IF($D81=Instructions!$F$54,AX80+1,AX80),IF(Instructions!$E$11=10,IF($H81=Instructions!$F$54,AX80+1,AX80),IF(Instructions!$E$11=12,IF($L81=Instructions!$F$54,AX80+1,AX80),IF(Instructions!$E$11=14,IF($P81=Instructions!$F$54,AX80+1,AX80),IF(Instructions!$E$11=16,IF($T81=Instructions!$F$54,AX80+1,AX80))))))</f>
        <v>0</v>
      </c>
      <c r="AY81" s="321" t="str">
        <f t="shared" si="28"/>
        <v>1300</v>
      </c>
      <c r="AZ81" s="321">
        <f>IF(Instructions!$E$11=8,IF($D81=Instructions!$F$55,AZ80+1,AZ80),IF(Instructions!$E$11=10,IF($H81=Instructions!$F$55,AZ80+1,AZ80),IF(Instructions!$E$11=12,IF($L81=Instructions!$F$55,AZ80+1,AZ80),IF(Instructions!$E$11=14,IF($P81=Instructions!$F$55,AZ80+1,AZ80),IF(Instructions!$E$11=16,IF($T81=Instructions!$F$55,AZ80+1,AZ80))))))</f>
        <v>0</v>
      </c>
      <c r="BA81" s="321" t="str">
        <f t="shared" si="29"/>
        <v>1400</v>
      </c>
      <c r="BB81" s="321">
        <f>IF(Instructions!$E$11=8,IF($D81=Instructions!$F$56,BB80+1,BB80),IF(Instructions!$E$11=10,IF($H81=Instructions!$F$56,BB80+1,BB80),IF(Instructions!$E$11=12,IF($L81=Instructions!$F$56,BB80+1,BB80),IF(Instructions!$E$11=14,IF($P81=Instructions!$F$56,BB80+1,BB80),IF(Instructions!$E$11=16,IF($T81=Instructions!$F$56,BB80+1,BB80))))))</f>
        <v>0</v>
      </c>
      <c r="BC81" s="321" t="str">
        <f t="shared" si="30"/>
        <v>1500</v>
      </c>
      <c r="BD81" s="321">
        <f>IF(Instructions!$E$11=8,IF($D81=Instructions!$F$57,BD80+1,BD80),IF(Instructions!$E$11=10,IF($H81=Instructions!$F$57,BD80+1,BD80),IF(Instructions!$E$11=12,IF($L81=Instructions!$F$57,BD80+1,BD80),IF(Instructions!$E$11=14,IF($P81=Instructions!$F$57,BD80+1,BD80),IF(Instructions!$E$11=16,IF($T81=Instructions!$F$57,BD80+1,BD80))))))</f>
        <v>0</v>
      </c>
      <c r="BE81" s="321" t="str">
        <f t="shared" si="31"/>
        <v>1600</v>
      </c>
      <c r="BF81" s="321">
        <v>79</v>
      </c>
    </row>
    <row r="82" spans="1:58" ht="15.75" thickBot="1" x14ac:dyDescent="0.3">
      <c r="A82" s="280"/>
      <c r="B82" s="323" t="str">
        <f>IF(Instructions!$J$11=1,AA82,IF(Instructions!$J$11=2,AC82,IF(Instructions!$J$11=3,AE82,IF(Instructions!$J$11=4,AG82,IF(Instructions!$J$11=5,AI82,IF(Instructions!$J$11=6,AK82,IF(Instructions!$J$11=7,AM82,IF(Instructions!$J$11=8,AO82,IF(Instructions!$J$11=9,AQ82,IF(Instructions!$J$11=10,AS82,IF(Instructions!$J$11=11,AU82,IF(Instructions!$J$11=12,AW82,IF(Instructions!$J$11=13, AY82, IF(Instructions!$J$11=14,BA82,IF(Instructions!$J$11=15,BC82,BE82)))))))))))))))</f>
        <v>207</v>
      </c>
      <c r="C82" s="272">
        <v>80</v>
      </c>
      <c r="D82" s="329" t="str">
        <f>Instructions!F$42</f>
        <v>Trumbo</v>
      </c>
      <c r="E82" s="332" t="s">
        <v>822</v>
      </c>
      <c r="F82" s="707"/>
      <c r="G82" s="279">
        <v>10</v>
      </c>
      <c r="H82" s="295" t="str">
        <f>Instructions!F$42</f>
        <v>Trumbo</v>
      </c>
      <c r="I82" s="275" t="s">
        <v>800</v>
      </c>
      <c r="J82" s="710"/>
      <c r="K82" s="279">
        <v>8</v>
      </c>
      <c r="L82" s="294" t="str">
        <f>Instructions!F$49</f>
        <v>Luke</v>
      </c>
      <c r="M82" s="274" t="s">
        <v>786</v>
      </c>
      <c r="N82" s="709"/>
      <c r="O82" s="279">
        <v>7</v>
      </c>
      <c r="P82" s="294" t="str">
        <f>Instructions!F$46</f>
        <v>Con</v>
      </c>
      <c r="Q82" s="274" t="s">
        <v>776</v>
      </c>
      <c r="R82" s="709"/>
      <c r="S82" s="279">
        <v>6</v>
      </c>
      <c r="T82" s="329" t="str">
        <f>Instructions!F$57</f>
        <v>[TEAM 16]</v>
      </c>
      <c r="U82" s="330" t="s">
        <v>1573</v>
      </c>
      <c r="V82" s="707"/>
      <c r="W82" s="279">
        <v>5</v>
      </c>
      <c r="X82" s="280"/>
      <c r="Y82" s="190" t="str">
        <f>IFERROR( IF(Instructions!$E$11=8, D82&amp;COUNTIF(D$3:D82,D82), IF(Instructions!$E$11=10, H82&amp;COUNTIF(H$3:H82,H82),IF(Instructions!$E$11=12, L82&amp;COUNTIF(L$3:L82,L82),IF(Instructions!$E$11=14, P82&amp;COUNTIF(P$3:P82,P82),T82&amp;COUNTIF(T$3:T82,T82))))),"")</f>
        <v>Luke7</v>
      </c>
      <c r="Z82" s="321">
        <f>IF(Instructions!$E$11=8,IF($D82=Instructions!$F$42,Z81+1,Z81),IF(Instructions!$E$11=10,IF($H82=Instructions!$F$42,Z81+1,Z81),IF(Instructions!$E$11=12,IF($L82=Instructions!$F$42,Z81+1,Z81),IF(Instructions!$E$11=14,IF($P82=Instructions!$F$42,Z81+1,Z81),IF(Instructions!$E$11=16,IF($T82=Instructions!$F$42,Z81+1,Z81))))))</f>
        <v>7</v>
      </c>
      <c r="AA82" s="321" t="str">
        <f t="shared" si="24"/>
        <v>107</v>
      </c>
      <c r="AB82" s="321">
        <f>IF(Instructions!$E$11=8,IF($D82=Instructions!$F$43,AB81+1,AB81),IF(Instructions!$E$11=10,IF($H82=Instructions!$F$43,AB81+1,AB81),IF(Instructions!$E$11=12,IF($L82=Instructions!$F$43,AB81+1,AB81),IF(Instructions!$E$11=14,IF($P82=Instructions!$F$43,AB81+1,AB81),IF(Instructions!$E$11=16,IF($T82=Instructions!$F$43,AB81+1,AB81))))))</f>
        <v>7</v>
      </c>
      <c r="AC82" s="321" t="str">
        <f t="shared" si="16"/>
        <v>207</v>
      </c>
      <c r="AD82" s="321">
        <f>IF(Instructions!$E$11=8,IF($D82=Instructions!$F$44,AD81+1,AD81),IF(Instructions!$E$11=10,IF($H82=Instructions!$F$44,AD81+1,AD81),IF(Instructions!$E$11=12,IF($L82=Instructions!$F$44,AD81+1,AD81),IF(Instructions!$E$11=14,IF($P82=Instructions!$F$44,AD81+1,AD81),IF(Instructions!$E$11=16,IF($T82=Instructions!$F$44,AD81+1,AD81))))))</f>
        <v>7</v>
      </c>
      <c r="AE82" s="321" t="str">
        <f t="shared" si="17"/>
        <v>307</v>
      </c>
      <c r="AF82" s="321">
        <f>IF(Instructions!$E$11=8,IF($D82=Instructions!$F$45,AF81+1,AF81),IF(Instructions!$E$11=10,IF($H82=Instructions!$F$45,AF81+1,AF81),IF(Instructions!$E$11=12,IF($L82=Instructions!$F$45,AF81+1,AF81),IF(Instructions!$E$11=14,IF($P82=Instructions!$F$45,AF81+1,AF81),IF(Instructions!$E$11=16,IF($T82=Instructions!$F$45,AF81+1,AF81))))))</f>
        <v>7</v>
      </c>
      <c r="AG82" s="321" t="str">
        <f t="shared" si="18"/>
        <v>407</v>
      </c>
      <c r="AH82" s="321">
        <f>IF(Instructions!$E$11=8,IF($D82=Instructions!$F$46,AH81+1,AH81),IF(Instructions!$E$11=10,IF($H82=Instructions!$F$46,AH81+1,AH81),IF(Instructions!$E$11=12,IF($L82=Instructions!$F$46,AH81+1,AH81),IF(Instructions!$E$11=14,IF($P82=Instructions!$F$46,AH81+1,AH81),IF(Instructions!$E$11=16,IF($T82=Instructions!$F$46,AH81+1,AH81))))))</f>
        <v>7</v>
      </c>
      <c r="AI82" s="321" t="str">
        <f t="shared" si="19"/>
        <v>507</v>
      </c>
      <c r="AJ82" s="321">
        <f>IF(Instructions!$E$11=8,IF($D82=Instructions!$F$47,AJ81+1,AJ81),IF(Instructions!$E$11=10,IF($H82=Instructions!$F$47,AJ81+1,AJ81),IF(Instructions!$E$11=12,IF($L82=Instructions!$F$47,AJ81+1,AJ81),IF(Instructions!$E$11=14,IF($P82=Instructions!$F$47,AJ81+1,AJ81),IF(Instructions!$E$11=16,IF($T82=Instructions!$F$47,AJ81+1,AJ81))))))</f>
        <v>7</v>
      </c>
      <c r="AK82" s="321" t="str">
        <f t="shared" si="20"/>
        <v>607</v>
      </c>
      <c r="AL82" s="321">
        <f>IF(Instructions!$E$11=8,IF($D82=Instructions!$F$48,AL81+1,AL81),IF(Instructions!$E$11=10,IF($H82=Instructions!$F$48,AL81+1,AL81),IF(Instructions!$E$11=12,IF($L82=Instructions!$F$48,AL81+1,AL81),IF(Instructions!$E$11=14,IF($P82=Instructions!$F$48,AL81+1,AL81),IF(Instructions!$E$11=16,IF($T82=Instructions!$F$48,AL81+1,AL81))))))</f>
        <v>7</v>
      </c>
      <c r="AM82" s="321" t="str">
        <f t="shared" si="21"/>
        <v>707</v>
      </c>
      <c r="AN82" s="321">
        <f>IF(Instructions!$E$11=8,IF($D82=Instructions!$F$49,AN81+1,AN81),IF(Instructions!$E$11=10,IF($H82=Instructions!$F$49,AN81+1,AN81),IF(Instructions!$E$11=12,IF($L82=Instructions!$F$49,AN81+1,AN81),IF(Instructions!$E$11=14,IF($P82=Instructions!$F$49,AN81+1,AN81),IF(Instructions!$E$11=16,IF($T82=Instructions!$F$49,AN81+1,AN81))))))</f>
        <v>7</v>
      </c>
      <c r="AO82" s="321" t="str">
        <f t="shared" si="22"/>
        <v>807</v>
      </c>
      <c r="AP82" s="321">
        <f>IF(Instructions!$E$11=8,IF($D82=Instructions!$F$50,AP81+1,AP81),IF(Instructions!$E$11=10,IF($H82=Instructions!$F$50,AP81+1,AP81),IF(Instructions!$E$11=12,IF($L82=Instructions!$F$50,AP81+1,AP81),IF(Instructions!$E$11=14,IF($P82=Instructions!$F$50,AP81+1,AP81),IF(Instructions!$E$11=16,IF($T82=Instructions!$F$50,AP81+1,AP81))))))</f>
        <v>6</v>
      </c>
      <c r="AQ82" s="321" t="str">
        <f t="shared" si="23"/>
        <v>906</v>
      </c>
      <c r="AR82" s="321">
        <f>IF(Instructions!$E$11=8,IF($D82=Instructions!$F$51,AR81+1,AR81),IF(Instructions!$E$11=10,IF($H82=Instructions!$F$51,AR81+1,AR81),IF(Instructions!$E$11=12,IF($L82=Instructions!$F$51,AR81+1,AR81),IF(Instructions!$E$11=14,IF($P82=Instructions!$F$51,AR81+1,AR81),IF(Instructions!$E$11=16,IF($T82=Instructions!$F$51,AR81+1,AR81))))))</f>
        <v>6</v>
      </c>
      <c r="AS82" s="321" t="str">
        <f t="shared" si="25"/>
        <v>1006</v>
      </c>
      <c r="AT82" s="321">
        <f>IF(Instructions!$E$11=8,IF($D82=Instructions!$F$52,AT81+1,AT81),IF(Instructions!$E$11=10,IF($H82=Instructions!$F$52,AT81+1,AT81),IF(Instructions!$E$11=12,IF($L82=Instructions!$F$52,AT81+1,AT81),IF(Instructions!$E$11=14,IF($P82=Instructions!$F$52,AT81+1,AT81),IF(Instructions!$E$11=16,IF($T82=Instructions!$F$52,AT81+1,AT81))))))</f>
        <v>6</v>
      </c>
      <c r="AU82" s="321" t="str">
        <f t="shared" si="26"/>
        <v>1106</v>
      </c>
      <c r="AV82" s="321">
        <f>IF(Instructions!$E$11=8,IF($D82=Instructions!$F$53,AV81+1,AV81),IF(Instructions!$E$11=10,IF($H82=Instructions!$F$53,AV81+1,AV81),IF(Instructions!$E$11=12,IF($L82=Instructions!$F$53,AV81+1,AV81),IF(Instructions!$E$11=14,IF($P82=Instructions!$F$53,AV81+1,AV81),IF(Instructions!$E$11=16,IF($T82=Instructions!$F$53,AV81+1,AV81))))))</f>
        <v>6</v>
      </c>
      <c r="AW82" s="321" t="str">
        <f t="shared" si="27"/>
        <v>1206</v>
      </c>
      <c r="AX82" s="321">
        <f>IF(Instructions!$E$11=8,IF($D82=Instructions!$F$54,AX81+1,AX81),IF(Instructions!$E$11=10,IF($H82=Instructions!$F$54,AX81+1,AX81),IF(Instructions!$E$11=12,IF($L82=Instructions!$F$54,AX81+1,AX81),IF(Instructions!$E$11=14,IF($P82=Instructions!$F$54,AX81+1,AX81),IF(Instructions!$E$11=16,IF($T82=Instructions!$F$54,AX81+1,AX81))))))</f>
        <v>0</v>
      </c>
      <c r="AY82" s="321" t="str">
        <f t="shared" si="28"/>
        <v>1300</v>
      </c>
      <c r="AZ82" s="321">
        <f>IF(Instructions!$E$11=8,IF($D82=Instructions!$F$55,AZ81+1,AZ81),IF(Instructions!$E$11=10,IF($H82=Instructions!$F$55,AZ81+1,AZ81),IF(Instructions!$E$11=12,IF($L82=Instructions!$F$55,AZ81+1,AZ81),IF(Instructions!$E$11=14,IF($P82=Instructions!$F$55,AZ81+1,AZ81),IF(Instructions!$E$11=16,IF($T82=Instructions!$F$55,AZ81+1,AZ81))))))</f>
        <v>0</v>
      </c>
      <c r="BA82" s="321" t="str">
        <f t="shared" si="29"/>
        <v>1400</v>
      </c>
      <c r="BB82" s="321">
        <f>IF(Instructions!$E$11=8,IF($D82=Instructions!$F$56,BB81+1,BB81),IF(Instructions!$E$11=10,IF($H82=Instructions!$F$56,BB81+1,BB81),IF(Instructions!$E$11=12,IF($L82=Instructions!$F$56,BB81+1,BB81),IF(Instructions!$E$11=14,IF($P82=Instructions!$F$56,BB81+1,BB81),IF(Instructions!$E$11=16,IF($T82=Instructions!$F$56,BB81+1,BB81))))))</f>
        <v>0</v>
      </c>
      <c r="BC82" s="321" t="str">
        <f t="shared" si="30"/>
        <v>1500</v>
      </c>
      <c r="BD82" s="321">
        <f>IF(Instructions!$E$11=8,IF($D82=Instructions!$F$57,BD81+1,BD81),IF(Instructions!$E$11=10,IF($H82=Instructions!$F$57,BD81+1,BD81),IF(Instructions!$E$11=12,IF($L82=Instructions!$F$57,BD81+1,BD81),IF(Instructions!$E$11=14,IF($P82=Instructions!$F$57,BD81+1,BD81),IF(Instructions!$E$11=16,IF($T82=Instructions!$F$57,BD81+1,BD81))))))</f>
        <v>0</v>
      </c>
      <c r="BE82" s="321" t="str">
        <f t="shared" si="31"/>
        <v>1600</v>
      </c>
      <c r="BF82" s="321">
        <v>80</v>
      </c>
    </row>
    <row r="83" spans="1:58" ht="15" customHeight="1" x14ac:dyDescent="0.25">
      <c r="A83" s="280"/>
      <c r="B83" s="323" t="str">
        <f>IF(Instructions!$J$11=1,AA83,IF(Instructions!$J$11=2,AC83,IF(Instructions!$J$11=3,AE83,IF(Instructions!$J$11=4,AG83,IF(Instructions!$J$11=5,AI83,IF(Instructions!$J$11=6,AK83,IF(Instructions!$J$11=7,AM83,IF(Instructions!$J$11=8,AO83,IF(Instructions!$J$11=9,AQ83,IF(Instructions!$J$11=10,AS83,IF(Instructions!$J$11=11,AU83,IF(Instructions!$J$11=12,AW83,IF(Instructions!$J$11=13, AY83, IF(Instructions!$J$11=14,BA83,IF(Instructions!$J$11=15,BC83,BE83)))))))))))))))</f>
        <v>207</v>
      </c>
      <c r="C83" s="271">
        <v>81</v>
      </c>
      <c r="D83" s="325" t="str">
        <f>Instructions!F$42</f>
        <v>Trumbo</v>
      </c>
      <c r="E83" s="331" t="s">
        <v>827</v>
      </c>
      <c r="F83" s="705" t="s">
        <v>906</v>
      </c>
      <c r="G83" s="279">
        <v>11</v>
      </c>
      <c r="H83" s="292" t="str">
        <f>Instructions!F$42</f>
        <v>Trumbo</v>
      </c>
      <c r="I83" s="276" t="s">
        <v>803</v>
      </c>
      <c r="J83" s="708" t="s">
        <v>904</v>
      </c>
      <c r="K83" s="279">
        <v>9</v>
      </c>
      <c r="L83" s="293" t="str">
        <f>Instructions!F$50</f>
        <v>Dan</v>
      </c>
      <c r="M83" s="273" t="s">
        <v>787</v>
      </c>
      <c r="N83" s="709"/>
      <c r="O83" s="279">
        <v>7</v>
      </c>
      <c r="P83" s="293" t="str">
        <f>Instructions!F$45</f>
        <v>Miles</v>
      </c>
      <c r="Q83" s="273" t="s">
        <v>777</v>
      </c>
      <c r="R83" s="709"/>
      <c r="S83" s="279">
        <v>6</v>
      </c>
      <c r="T83" s="325" t="str">
        <f>Instructions!F$57</f>
        <v>[TEAM 16]</v>
      </c>
      <c r="U83" s="326" t="s">
        <v>767</v>
      </c>
      <c r="V83" s="705" t="s">
        <v>901</v>
      </c>
      <c r="W83" s="279">
        <v>6</v>
      </c>
      <c r="X83" s="280"/>
      <c r="Y83" s="190" t="str">
        <f>IFERROR( IF(Instructions!$E$11=8, D83&amp;COUNTIF(D$3:D83,D83), IF(Instructions!$E$11=10, H83&amp;COUNTIF(H$3:H83,H83),IF(Instructions!$E$11=12, L83&amp;COUNTIF(L$3:L83,L83),IF(Instructions!$E$11=14, P83&amp;COUNTIF(P$3:P83,P83),T83&amp;COUNTIF(T$3:T83,T83))))),"")</f>
        <v>Dan7</v>
      </c>
      <c r="Z83" s="321">
        <f>IF(Instructions!$E$11=8,IF($D83=Instructions!$F$42,Z82+1,Z82),IF(Instructions!$E$11=10,IF($H83=Instructions!$F$42,Z82+1,Z82),IF(Instructions!$E$11=12,IF($L83=Instructions!$F$42,Z82+1,Z82),IF(Instructions!$E$11=14,IF($P83=Instructions!$F$42,Z82+1,Z82),IF(Instructions!$E$11=16,IF($T83=Instructions!$F$42,Z82+1,Z82))))))</f>
        <v>7</v>
      </c>
      <c r="AA83" s="321" t="str">
        <f t="shared" si="24"/>
        <v>107</v>
      </c>
      <c r="AB83" s="321">
        <f>IF(Instructions!$E$11=8,IF($D83=Instructions!$F$43,AB82+1,AB82),IF(Instructions!$E$11=10,IF($H83=Instructions!$F$43,AB82+1,AB82),IF(Instructions!$E$11=12,IF($L83=Instructions!$F$43,AB82+1,AB82),IF(Instructions!$E$11=14,IF($P83=Instructions!$F$43,AB82+1,AB82),IF(Instructions!$E$11=16,IF($T83=Instructions!$F$43,AB82+1,AB82))))))</f>
        <v>7</v>
      </c>
      <c r="AC83" s="321" t="str">
        <f t="shared" si="16"/>
        <v>207</v>
      </c>
      <c r="AD83" s="321">
        <f>IF(Instructions!$E$11=8,IF($D83=Instructions!$F$44,AD82+1,AD82),IF(Instructions!$E$11=10,IF($H83=Instructions!$F$44,AD82+1,AD82),IF(Instructions!$E$11=12,IF($L83=Instructions!$F$44,AD82+1,AD82),IF(Instructions!$E$11=14,IF($P83=Instructions!$F$44,AD82+1,AD82),IF(Instructions!$E$11=16,IF($T83=Instructions!$F$44,AD82+1,AD82))))))</f>
        <v>7</v>
      </c>
      <c r="AE83" s="321" t="str">
        <f t="shared" si="17"/>
        <v>307</v>
      </c>
      <c r="AF83" s="321">
        <f>IF(Instructions!$E$11=8,IF($D83=Instructions!$F$45,AF82+1,AF82),IF(Instructions!$E$11=10,IF($H83=Instructions!$F$45,AF82+1,AF82),IF(Instructions!$E$11=12,IF($L83=Instructions!$F$45,AF82+1,AF82),IF(Instructions!$E$11=14,IF($P83=Instructions!$F$45,AF82+1,AF82),IF(Instructions!$E$11=16,IF($T83=Instructions!$F$45,AF82+1,AF82))))))</f>
        <v>7</v>
      </c>
      <c r="AG83" s="321" t="str">
        <f t="shared" si="18"/>
        <v>407</v>
      </c>
      <c r="AH83" s="321">
        <f>IF(Instructions!$E$11=8,IF($D83=Instructions!$F$46,AH82+1,AH82),IF(Instructions!$E$11=10,IF($H83=Instructions!$F$46,AH82+1,AH82),IF(Instructions!$E$11=12,IF($L83=Instructions!$F$46,AH82+1,AH82),IF(Instructions!$E$11=14,IF($P83=Instructions!$F$46,AH82+1,AH82),IF(Instructions!$E$11=16,IF($T83=Instructions!$F$46,AH82+1,AH82))))))</f>
        <v>7</v>
      </c>
      <c r="AI83" s="321" t="str">
        <f t="shared" si="19"/>
        <v>507</v>
      </c>
      <c r="AJ83" s="321">
        <f>IF(Instructions!$E$11=8,IF($D83=Instructions!$F$47,AJ82+1,AJ82),IF(Instructions!$E$11=10,IF($H83=Instructions!$F$47,AJ82+1,AJ82),IF(Instructions!$E$11=12,IF($L83=Instructions!$F$47,AJ82+1,AJ82),IF(Instructions!$E$11=14,IF($P83=Instructions!$F$47,AJ82+1,AJ82),IF(Instructions!$E$11=16,IF($T83=Instructions!$F$47,AJ82+1,AJ82))))))</f>
        <v>7</v>
      </c>
      <c r="AK83" s="321" t="str">
        <f t="shared" si="20"/>
        <v>607</v>
      </c>
      <c r="AL83" s="321">
        <f>IF(Instructions!$E$11=8,IF($D83=Instructions!$F$48,AL82+1,AL82),IF(Instructions!$E$11=10,IF($H83=Instructions!$F$48,AL82+1,AL82),IF(Instructions!$E$11=12,IF($L83=Instructions!$F$48,AL82+1,AL82),IF(Instructions!$E$11=14,IF($P83=Instructions!$F$48,AL82+1,AL82),IF(Instructions!$E$11=16,IF($T83=Instructions!$F$48,AL82+1,AL82))))))</f>
        <v>7</v>
      </c>
      <c r="AM83" s="321" t="str">
        <f t="shared" si="21"/>
        <v>707</v>
      </c>
      <c r="AN83" s="321">
        <f>IF(Instructions!$E$11=8,IF($D83=Instructions!$F$49,AN82+1,AN82),IF(Instructions!$E$11=10,IF($H83=Instructions!$F$49,AN82+1,AN82),IF(Instructions!$E$11=12,IF($L83=Instructions!$F$49,AN82+1,AN82),IF(Instructions!$E$11=14,IF($P83=Instructions!$F$49,AN82+1,AN82),IF(Instructions!$E$11=16,IF($T83=Instructions!$F$49,AN82+1,AN82))))))</f>
        <v>7</v>
      </c>
      <c r="AO83" s="321" t="str">
        <f t="shared" si="22"/>
        <v>807</v>
      </c>
      <c r="AP83" s="321">
        <f>IF(Instructions!$E$11=8,IF($D83=Instructions!$F$50,AP82+1,AP82),IF(Instructions!$E$11=10,IF($H83=Instructions!$F$50,AP82+1,AP82),IF(Instructions!$E$11=12,IF($L83=Instructions!$F$50,AP82+1,AP82),IF(Instructions!$E$11=14,IF($P83=Instructions!$F$50,AP82+1,AP82),IF(Instructions!$E$11=16,IF($T83=Instructions!$F$50,AP82+1,AP82))))))</f>
        <v>7</v>
      </c>
      <c r="AQ83" s="321" t="str">
        <f t="shared" si="23"/>
        <v>907</v>
      </c>
      <c r="AR83" s="321">
        <f>IF(Instructions!$E$11=8,IF($D83=Instructions!$F$51,AR82+1,AR82),IF(Instructions!$E$11=10,IF($H83=Instructions!$F$51,AR82+1,AR82),IF(Instructions!$E$11=12,IF($L83=Instructions!$F$51,AR82+1,AR82),IF(Instructions!$E$11=14,IF($P83=Instructions!$F$51,AR82+1,AR82),IF(Instructions!$E$11=16,IF($T83=Instructions!$F$51,AR82+1,AR82))))))</f>
        <v>6</v>
      </c>
      <c r="AS83" s="321" t="str">
        <f t="shared" si="25"/>
        <v>1006</v>
      </c>
      <c r="AT83" s="321">
        <f>IF(Instructions!$E$11=8,IF($D83=Instructions!$F$52,AT82+1,AT82),IF(Instructions!$E$11=10,IF($H83=Instructions!$F$52,AT82+1,AT82),IF(Instructions!$E$11=12,IF($L83=Instructions!$F$52,AT82+1,AT82),IF(Instructions!$E$11=14,IF($P83=Instructions!$F$52,AT82+1,AT82),IF(Instructions!$E$11=16,IF($T83=Instructions!$F$52,AT82+1,AT82))))))</f>
        <v>6</v>
      </c>
      <c r="AU83" s="321" t="str">
        <f t="shared" si="26"/>
        <v>1106</v>
      </c>
      <c r="AV83" s="321">
        <f>IF(Instructions!$E$11=8,IF($D83=Instructions!$F$53,AV82+1,AV82),IF(Instructions!$E$11=10,IF($H83=Instructions!$F$53,AV82+1,AV82),IF(Instructions!$E$11=12,IF($L83=Instructions!$F$53,AV82+1,AV82),IF(Instructions!$E$11=14,IF($P83=Instructions!$F$53,AV82+1,AV82),IF(Instructions!$E$11=16,IF($T83=Instructions!$F$53,AV82+1,AV82))))))</f>
        <v>6</v>
      </c>
      <c r="AW83" s="321" t="str">
        <f t="shared" si="27"/>
        <v>1206</v>
      </c>
      <c r="AX83" s="321">
        <f>IF(Instructions!$E$11=8,IF($D83=Instructions!$F$54,AX82+1,AX82),IF(Instructions!$E$11=10,IF($H83=Instructions!$F$54,AX82+1,AX82),IF(Instructions!$E$11=12,IF($L83=Instructions!$F$54,AX82+1,AX82),IF(Instructions!$E$11=14,IF($P83=Instructions!$F$54,AX82+1,AX82),IF(Instructions!$E$11=16,IF($T83=Instructions!$F$54,AX82+1,AX82))))))</f>
        <v>0</v>
      </c>
      <c r="AY83" s="321" t="str">
        <f t="shared" si="28"/>
        <v>1300</v>
      </c>
      <c r="AZ83" s="321">
        <f>IF(Instructions!$E$11=8,IF($D83=Instructions!$F$55,AZ82+1,AZ82),IF(Instructions!$E$11=10,IF($H83=Instructions!$F$55,AZ82+1,AZ82),IF(Instructions!$E$11=12,IF($L83=Instructions!$F$55,AZ82+1,AZ82),IF(Instructions!$E$11=14,IF($P83=Instructions!$F$55,AZ82+1,AZ82),IF(Instructions!$E$11=16,IF($T83=Instructions!$F$55,AZ82+1,AZ82))))))</f>
        <v>0</v>
      </c>
      <c r="BA83" s="321" t="str">
        <f t="shared" si="29"/>
        <v>1400</v>
      </c>
      <c r="BB83" s="321">
        <f>IF(Instructions!$E$11=8,IF($D83=Instructions!$F$56,BB82+1,BB82),IF(Instructions!$E$11=10,IF($H83=Instructions!$F$56,BB82+1,BB82),IF(Instructions!$E$11=12,IF($L83=Instructions!$F$56,BB82+1,BB82),IF(Instructions!$E$11=14,IF($P83=Instructions!$F$56,BB82+1,BB82),IF(Instructions!$E$11=16,IF($T83=Instructions!$F$56,BB82+1,BB82))))))</f>
        <v>0</v>
      </c>
      <c r="BC83" s="321" t="str">
        <f t="shared" si="30"/>
        <v>1500</v>
      </c>
      <c r="BD83" s="321">
        <f>IF(Instructions!$E$11=8,IF($D83=Instructions!$F$57,BD82+1,BD82),IF(Instructions!$E$11=10,IF($H83=Instructions!$F$57,BD82+1,BD82),IF(Instructions!$E$11=12,IF($L83=Instructions!$F$57,BD82+1,BD82),IF(Instructions!$E$11=14,IF($P83=Instructions!$F$57,BD82+1,BD82),IF(Instructions!$E$11=16,IF($T83=Instructions!$F$57,BD82+1,BD82))))))</f>
        <v>0</v>
      </c>
      <c r="BE83" s="321" t="str">
        <f t="shared" si="31"/>
        <v>1600</v>
      </c>
      <c r="BF83" s="321">
        <v>81</v>
      </c>
    </row>
    <row r="84" spans="1:58" x14ac:dyDescent="0.25">
      <c r="A84" s="280"/>
      <c r="B84" s="323" t="str">
        <f>IF(Instructions!$J$11=1,AA84,IF(Instructions!$J$11=2,AC84,IF(Instructions!$J$11=3,AE84,IF(Instructions!$J$11=4,AG84,IF(Instructions!$J$11=5,AI84,IF(Instructions!$J$11=6,AK84,IF(Instructions!$J$11=7,AM84,IF(Instructions!$J$11=8,AO84,IF(Instructions!$J$11=9,AQ84,IF(Instructions!$J$11=10,AS84,IF(Instructions!$J$11=11,AU84,IF(Instructions!$J$11=12,AW84,IF(Instructions!$J$11=13, AY84, IF(Instructions!$J$11=14,BA84,IF(Instructions!$J$11=15,BC84,BE84)))))))))))))))</f>
        <v>207</v>
      </c>
      <c r="C84" s="272">
        <v>82</v>
      </c>
      <c r="D84" s="327" t="str">
        <f>Instructions!F$43</f>
        <v>Camden</v>
      </c>
      <c r="E84" s="332" t="s">
        <v>828</v>
      </c>
      <c r="F84" s="706"/>
      <c r="G84" s="279">
        <v>11</v>
      </c>
      <c r="H84" s="294" t="str">
        <f>Instructions!F$43</f>
        <v>Camden</v>
      </c>
      <c r="I84" s="274" t="s">
        <v>804</v>
      </c>
      <c r="J84" s="709"/>
      <c r="K84" s="279">
        <v>9</v>
      </c>
      <c r="L84" s="294" t="str">
        <f>Instructions!F$51</f>
        <v>Josh</v>
      </c>
      <c r="M84" s="274" t="s">
        <v>788</v>
      </c>
      <c r="N84" s="709"/>
      <c r="O84" s="279">
        <v>7</v>
      </c>
      <c r="P84" s="294" t="str">
        <f>Instructions!F$44</f>
        <v>Cam</v>
      </c>
      <c r="Q84" s="274" t="s">
        <v>778</v>
      </c>
      <c r="R84" s="709"/>
      <c r="S84" s="279">
        <v>6</v>
      </c>
      <c r="T84" s="327" t="str">
        <f>Instructions!F$56</f>
        <v>[TEAM 15]</v>
      </c>
      <c r="U84" s="274" t="s">
        <v>768</v>
      </c>
      <c r="V84" s="706"/>
      <c r="W84" s="279">
        <v>6</v>
      </c>
      <c r="X84" s="280"/>
      <c r="Y84" s="190" t="str">
        <f>IFERROR( IF(Instructions!$E$11=8, D84&amp;COUNTIF(D$3:D84,D84), IF(Instructions!$E$11=10, H84&amp;COUNTIF(H$3:H84,H84),IF(Instructions!$E$11=12, L84&amp;COUNTIF(L$3:L84,L84),IF(Instructions!$E$11=14, P84&amp;COUNTIF(P$3:P84,P84),T84&amp;COUNTIF(T$3:T84,T84))))),"")</f>
        <v>Josh7</v>
      </c>
      <c r="Z84" s="321">
        <f>IF(Instructions!$E$11=8,IF($D84=Instructions!$F$42,Z83+1,Z83),IF(Instructions!$E$11=10,IF($H84=Instructions!$F$42,Z83+1,Z83),IF(Instructions!$E$11=12,IF($L84=Instructions!$F$42,Z83+1,Z83),IF(Instructions!$E$11=14,IF($P84=Instructions!$F$42,Z83+1,Z83),IF(Instructions!$E$11=16,IF($T84=Instructions!$F$42,Z83+1,Z83))))))</f>
        <v>7</v>
      </c>
      <c r="AA84" s="321" t="str">
        <f t="shared" si="24"/>
        <v>107</v>
      </c>
      <c r="AB84" s="321">
        <f>IF(Instructions!$E$11=8,IF($D84=Instructions!$F$43,AB83+1,AB83),IF(Instructions!$E$11=10,IF($H84=Instructions!$F$43,AB83+1,AB83),IF(Instructions!$E$11=12,IF($L84=Instructions!$F$43,AB83+1,AB83),IF(Instructions!$E$11=14,IF($P84=Instructions!$F$43,AB83+1,AB83),IF(Instructions!$E$11=16,IF($T84=Instructions!$F$43,AB83+1,AB83))))))</f>
        <v>7</v>
      </c>
      <c r="AC84" s="321" t="str">
        <f t="shared" si="16"/>
        <v>207</v>
      </c>
      <c r="AD84" s="321">
        <f>IF(Instructions!$E$11=8,IF($D84=Instructions!$F$44,AD83+1,AD83),IF(Instructions!$E$11=10,IF($H84=Instructions!$F$44,AD83+1,AD83),IF(Instructions!$E$11=12,IF($L84=Instructions!$F$44,AD83+1,AD83),IF(Instructions!$E$11=14,IF($P84=Instructions!$F$44,AD83+1,AD83),IF(Instructions!$E$11=16,IF($T84=Instructions!$F$44,AD83+1,AD83))))))</f>
        <v>7</v>
      </c>
      <c r="AE84" s="321" t="str">
        <f t="shared" si="17"/>
        <v>307</v>
      </c>
      <c r="AF84" s="321">
        <f>IF(Instructions!$E$11=8,IF($D84=Instructions!$F$45,AF83+1,AF83),IF(Instructions!$E$11=10,IF($H84=Instructions!$F$45,AF83+1,AF83),IF(Instructions!$E$11=12,IF($L84=Instructions!$F$45,AF83+1,AF83),IF(Instructions!$E$11=14,IF($P84=Instructions!$F$45,AF83+1,AF83),IF(Instructions!$E$11=16,IF($T84=Instructions!$F$45,AF83+1,AF83))))))</f>
        <v>7</v>
      </c>
      <c r="AG84" s="321" t="str">
        <f t="shared" si="18"/>
        <v>407</v>
      </c>
      <c r="AH84" s="321">
        <f>IF(Instructions!$E$11=8,IF($D84=Instructions!$F$46,AH83+1,AH83),IF(Instructions!$E$11=10,IF($H84=Instructions!$F$46,AH83+1,AH83),IF(Instructions!$E$11=12,IF($L84=Instructions!$F$46,AH83+1,AH83),IF(Instructions!$E$11=14,IF($P84=Instructions!$F$46,AH83+1,AH83),IF(Instructions!$E$11=16,IF($T84=Instructions!$F$46,AH83+1,AH83))))))</f>
        <v>7</v>
      </c>
      <c r="AI84" s="321" t="str">
        <f t="shared" si="19"/>
        <v>507</v>
      </c>
      <c r="AJ84" s="321">
        <f>IF(Instructions!$E$11=8,IF($D84=Instructions!$F$47,AJ83+1,AJ83),IF(Instructions!$E$11=10,IF($H84=Instructions!$F$47,AJ83+1,AJ83),IF(Instructions!$E$11=12,IF($L84=Instructions!$F$47,AJ83+1,AJ83),IF(Instructions!$E$11=14,IF($P84=Instructions!$F$47,AJ83+1,AJ83),IF(Instructions!$E$11=16,IF($T84=Instructions!$F$47,AJ83+1,AJ83))))))</f>
        <v>7</v>
      </c>
      <c r="AK84" s="321" t="str">
        <f t="shared" si="20"/>
        <v>607</v>
      </c>
      <c r="AL84" s="321">
        <f>IF(Instructions!$E$11=8,IF($D84=Instructions!$F$48,AL83+1,AL83),IF(Instructions!$E$11=10,IF($H84=Instructions!$F$48,AL83+1,AL83),IF(Instructions!$E$11=12,IF($L84=Instructions!$F$48,AL83+1,AL83),IF(Instructions!$E$11=14,IF($P84=Instructions!$F$48,AL83+1,AL83),IF(Instructions!$E$11=16,IF($T84=Instructions!$F$48,AL83+1,AL83))))))</f>
        <v>7</v>
      </c>
      <c r="AM84" s="321" t="str">
        <f t="shared" si="21"/>
        <v>707</v>
      </c>
      <c r="AN84" s="321">
        <f>IF(Instructions!$E$11=8,IF($D84=Instructions!$F$49,AN83+1,AN83),IF(Instructions!$E$11=10,IF($H84=Instructions!$F$49,AN83+1,AN83),IF(Instructions!$E$11=12,IF($L84=Instructions!$F$49,AN83+1,AN83),IF(Instructions!$E$11=14,IF($P84=Instructions!$F$49,AN83+1,AN83),IF(Instructions!$E$11=16,IF($T84=Instructions!$F$49,AN83+1,AN83))))))</f>
        <v>7</v>
      </c>
      <c r="AO84" s="321" t="str">
        <f t="shared" si="22"/>
        <v>807</v>
      </c>
      <c r="AP84" s="321">
        <f>IF(Instructions!$E$11=8,IF($D84=Instructions!$F$50,AP83+1,AP83),IF(Instructions!$E$11=10,IF($H84=Instructions!$F$50,AP83+1,AP83),IF(Instructions!$E$11=12,IF($L84=Instructions!$F$50,AP83+1,AP83),IF(Instructions!$E$11=14,IF($P84=Instructions!$F$50,AP83+1,AP83),IF(Instructions!$E$11=16,IF($T84=Instructions!$F$50,AP83+1,AP83))))))</f>
        <v>7</v>
      </c>
      <c r="AQ84" s="321" t="str">
        <f t="shared" si="23"/>
        <v>907</v>
      </c>
      <c r="AR84" s="321">
        <f>IF(Instructions!$E$11=8,IF($D84=Instructions!$F$51,AR83+1,AR83),IF(Instructions!$E$11=10,IF($H84=Instructions!$F$51,AR83+1,AR83),IF(Instructions!$E$11=12,IF($L84=Instructions!$F$51,AR83+1,AR83),IF(Instructions!$E$11=14,IF($P84=Instructions!$F$51,AR83+1,AR83),IF(Instructions!$E$11=16,IF($T84=Instructions!$F$51,AR83+1,AR83))))))</f>
        <v>7</v>
      </c>
      <c r="AS84" s="321" t="str">
        <f t="shared" si="25"/>
        <v>1007</v>
      </c>
      <c r="AT84" s="321">
        <f>IF(Instructions!$E$11=8,IF($D84=Instructions!$F$52,AT83+1,AT83),IF(Instructions!$E$11=10,IF($H84=Instructions!$F$52,AT83+1,AT83),IF(Instructions!$E$11=12,IF($L84=Instructions!$F$52,AT83+1,AT83),IF(Instructions!$E$11=14,IF($P84=Instructions!$F$52,AT83+1,AT83),IF(Instructions!$E$11=16,IF($T84=Instructions!$F$52,AT83+1,AT83))))))</f>
        <v>6</v>
      </c>
      <c r="AU84" s="321" t="str">
        <f t="shared" si="26"/>
        <v>1106</v>
      </c>
      <c r="AV84" s="321">
        <f>IF(Instructions!$E$11=8,IF($D84=Instructions!$F$53,AV83+1,AV83),IF(Instructions!$E$11=10,IF($H84=Instructions!$F$53,AV83+1,AV83),IF(Instructions!$E$11=12,IF($L84=Instructions!$F$53,AV83+1,AV83),IF(Instructions!$E$11=14,IF($P84=Instructions!$F$53,AV83+1,AV83),IF(Instructions!$E$11=16,IF($T84=Instructions!$F$53,AV83+1,AV83))))))</f>
        <v>6</v>
      </c>
      <c r="AW84" s="321" t="str">
        <f t="shared" si="27"/>
        <v>1206</v>
      </c>
      <c r="AX84" s="321">
        <f>IF(Instructions!$E$11=8,IF($D84=Instructions!$F$54,AX83+1,AX83),IF(Instructions!$E$11=10,IF($H84=Instructions!$F$54,AX83+1,AX83),IF(Instructions!$E$11=12,IF($L84=Instructions!$F$54,AX83+1,AX83),IF(Instructions!$E$11=14,IF($P84=Instructions!$F$54,AX83+1,AX83),IF(Instructions!$E$11=16,IF($T84=Instructions!$F$54,AX83+1,AX83))))))</f>
        <v>0</v>
      </c>
      <c r="AY84" s="321" t="str">
        <f t="shared" si="28"/>
        <v>1300</v>
      </c>
      <c r="AZ84" s="321">
        <f>IF(Instructions!$E$11=8,IF($D84=Instructions!$F$55,AZ83+1,AZ83),IF(Instructions!$E$11=10,IF($H84=Instructions!$F$55,AZ83+1,AZ83),IF(Instructions!$E$11=12,IF($L84=Instructions!$F$55,AZ83+1,AZ83),IF(Instructions!$E$11=14,IF($P84=Instructions!$F$55,AZ83+1,AZ83),IF(Instructions!$E$11=16,IF($T84=Instructions!$F$55,AZ83+1,AZ83))))))</f>
        <v>0</v>
      </c>
      <c r="BA84" s="321" t="str">
        <f t="shared" si="29"/>
        <v>1400</v>
      </c>
      <c r="BB84" s="321">
        <f>IF(Instructions!$E$11=8,IF($D84=Instructions!$F$56,BB83+1,BB83),IF(Instructions!$E$11=10,IF($H84=Instructions!$F$56,BB83+1,BB83),IF(Instructions!$E$11=12,IF($L84=Instructions!$F$56,BB83+1,BB83),IF(Instructions!$E$11=14,IF($P84=Instructions!$F$56,BB83+1,BB83),IF(Instructions!$E$11=16,IF($T84=Instructions!$F$56,BB83+1,BB83))))))</f>
        <v>0</v>
      </c>
      <c r="BC84" s="321" t="str">
        <f t="shared" si="30"/>
        <v>1500</v>
      </c>
      <c r="BD84" s="321">
        <f>IF(Instructions!$E$11=8,IF($D84=Instructions!$F$57,BD83+1,BD83),IF(Instructions!$E$11=10,IF($H84=Instructions!$F$57,BD83+1,BD83),IF(Instructions!$E$11=12,IF($L84=Instructions!$F$57,BD83+1,BD83),IF(Instructions!$E$11=14,IF($P84=Instructions!$F$57,BD83+1,BD83),IF(Instructions!$E$11=16,IF($T84=Instructions!$F$57,BD83+1,BD83))))))</f>
        <v>0</v>
      </c>
      <c r="BE84" s="321" t="str">
        <f t="shared" si="31"/>
        <v>1600</v>
      </c>
      <c r="BF84" s="321">
        <v>82</v>
      </c>
    </row>
    <row r="85" spans="1:58" x14ac:dyDescent="0.25">
      <c r="A85" s="280"/>
      <c r="B85" s="323" t="str">
        <f>IF(Instructions!$J$11=1,AA85,IF(Instructions!$J$11=2,AC85,IF(Instructions!$J$11=3,AE85,IF(Instructions!$J$11=4,AG85,IF(Instructions!$J$11=5,AI85,IF(Instructions!$J$11=6,AK85,IF(Instructions!$J$11=7,AM85,IF(Instructions!$J$11=8,AO85,IF(Instructions!$J$11=9,AQ85,IF(Instructions!$J$11=10,AS85,IF(Instructions!$J$11=11,AU85,IF(Instructions!$J$11=12,AW85,IF(Instructions!$J$11=13, AY85, IF(Instructions!$J$11=14,BA85,IF(Instructions!$J$11=15,BC85,BE85)))))))))))))))</f>
        <v>207</v>
      </c>
      <c r="C85" s="271">
        <v>83</v>
      </c>
      <c r="D85" s="328" t="str">
        <f>Instructions!F$44</f>
        <v>Cam</v>
      </c>
      <c r="E85" s="333" t="s">
        <v>829</v>
      </c>
      <c r="F85" s="706"/>
      <c r="G85" s="279">
        <v>11</v>
      </c>
      <c r="H85" s="293" t="str">
        <f>Instructions!F$44</f>
        <v>Cam</v>
      </c>
      <c r="I85" s="273" t="s">
        <v>805</v>
      </c>
      <c r="J85" s="709"/>
      <c r="K85" s="279">
        <v>9</v>
      </c>
      <c r="L85" s="293" t="str">
        <f>Instructions!F$52</f>
        <v>Big R</v>
      </c>
      <c r="M85" s="273" t="s">
        <v>789</v>
      </c>
      <c r="N85" s="709"/>
      <c r="O85" s="279">
        <v>7</v>
      </c>
      <c r="P85" s="293" t="str">
        <f>Instructions!F$43</f>
        <v>Camden</v>
      </c>
      <c r="Q85" s="273" t="s">
        <v>939</v>
      </c>
      <c r="R85" s="709"/>
      <c r="S85" s="279">
        <v>6</v>
      </c>
      <c r="T85" s="328" t="str">
        <f>Instructions!F$55</f>
        <v>[TEAM 14]</v>
      </c>
      <c r="U85" s="273" t="s">
        <v>769</v>
      </c>
      <c r="V85" s="706"/>
      <c r="W85" s="279">
        <v>6</v>
      </c>
      <c r="X85" s="280"/>
      <c r="Y85" s="190" t="str">
        <f>IFERROR( IF(Instructions!$E$11=8, D85&amp;COUNTIF(D$3:D85,D85), IF(Instructions!$E$11=10, H85&amp;COUNTIF(H$3:H85,H85),IF(Instructions!$E$11=12, L85&amp;COUNTIF(L$3:L85,L85),IF(Instructions!$E$11=14, P85&amp;COUNTIF(P$3:P85,P85),T85&amp;COUNTIF(T$3:T85,T85))))),"")</f>
        <v>Big R7</v>
      </c>
      <c r="Z85" s="321">
        <f>IF(Instructions!$E$11=8,IF($D85=Instructions!$F$42,Z84+1,Z84),IF(Instructions!$E$11=10,IF($H85=Instructions!$F$42,Z84+1,Z84),IF(Instructions!$E$11=12,IF($L85=Instructions!$F$42,Z84+1,Z84),IF(Instructions!$E$11=14,IF($P85=Instructions!$F$42,Z84+1,Z84),IF(Instructions!$E$11=16,IF($T85=Instructions!$F$42,Z84+1,Z84))))))</f>
        <v>7</v>
      </c>
      <c r="AA85" s="321" t="str">
        <f t="shared" si="24"/>
        <v>107</v>
      </c>
      <c r="AB85" s="321">
        <f>IF(Instructions!$E$11=8,IF($D85=Instructions!$F$43,AB84+1,AB84),IF(Instructions!$E$11=10,IF($H85=Instructions!$F$43,AB84+1,AB84),IF(Instructions!$E$11=12,IF($L85=Instructions!$F$43,AB84+1,AB84),IF(Instructions!$E$11=14,IF($P85=Instructions!$F$43,AB84+1,AB84),IF(Instructions!$E$11=16,IF($T85=Instructions!$F$43,AB84+1,AB84))))))</f>
        <v>7</v>
      </c>
      <c r="AC85" s="321" t="str">
        <f t="shared" si="16"/>
        <v>207</v>
      </c>
      <c r="AD85" s="321">
        <f>IF(Instructions!$E$11=8,IF($D85=Instructions!$F$44,AD84+1,AD84),IF(Instructions!$E$11=10,IF($H85=Instructions!$F$44,AD84+1,AD84),IF(Instructions!$E$11=12,IF($L85=Instructions!$F$44,AD84+1,AD84),IF(Instructions!$E$11=14,IF($P85=Instructions!$F$44,AD84+1,AD84),IF(Instructions!$E$11=16,IF($T85=Instructions!$F$44,AD84+1,AD84))))))</f>
        <v>7</v>
      </c>
      <c r="AE85" s="321" t="str">
        <f t="shared" si="17"/>
        <v>307</v>
      </c>
      <c r="AF85" s="321">
        <f>IF(Instructions!$E$11=8,IF($D85=Instructions!$F$45,AF84+1,AF84),IF(Instructions!$E$11=10,IF($H85=Instructions!$F$45,AF84+1,AF84),IF(Instructions!$E$11=12,IF($L85=Instructions!$F$45,AF84+1,AF84),IF(Instructions!$E$11=14,IF($P85=Instructions!$F$45,AF84+1,AF84),IF(Instructions!$E$11=16,IF($T85=Instructions!$F$45,AF84+1,AF84))))))</f>
        <v>7</v>
      </c>
      <c r="AG85" s="321" t="str">
        <f t="shared" si="18"/>
        <v>407</v>
      </c>
      <c r="AH85" s="321">
        <f>IF(Instructions!$E$11=8,IF($D85=Instructions!$F$46,AH84+1,AH84),IF(Instructions!$E$11=10,IF($H85=Instructions!$F$46,AH84+1,AH84),IF(Instructions!$E$11=12,IF($L85=Instructions!$F$46,AH84+1,AH84),IF(Instructions!$E$11=14,IF($P85=Instructions!$F$46,AH84+1,AH84),IF(Instructions!$E$11=16,IF($T85=Instructions!$F$46,AH84+1,AH84))))))</f>
        <v>7</v>
      </c>
      <c r="AI85" s="321" t="str">
        <f t="shared" si="19"/>
        <v>507</v>
      </c>
      <c r="AJ85" s="321">
        <f>IF(Instructions!$E$11=8,IF($D85=Instructions!$F$47,AJ84+1,AJ84),IF(Instructions!$E$11=10,IF($H85=Instructions!$F$47,AJ84+1,AJ84),IF(Instructions!$E$11=12,IF($L85=Instructions!$F$47,AJ84+1,AJ84),IF(Instructions!$E$11=14,IF($P85=Instructions!$F$47,AJ84+1,AJ84),IF(Instructions!$E$11=16,IF($T85=Instructions!$F$47,AJ84+1,AJ84))))))</f>
        <v>7</v>
      </c>
      <c r="AK85" s="321" t="str">
        <f t="shared" si="20"/>
        <v>607</v>
      </c>
      <c r="AL85" s="321">
        <f>IF(Instructions!$E$11=8,IF($D85=Instructions!$F$48,AL84+1,AL84),IF(Instructions!$E$11=10,IF($H85=Instructions!$F$48,AL84+1,AL84),IF(Instructions!$E$11=12,IF($L85=Instructions!$F$48,AL84+1,AL84),IF(Instructions!$E$11=14,IF($P85=Instructions!$F$48,AL84+1,AL84),IF(Instructions!$E$11=16,IF($T85=Instructions!$F$48,AL84+1,AL84))))))</f>
        <v>7</v>
      </c>
      <c r="AM85" s="321" t="str">
        <f t="shared" si="21"/>
        <v>707</v>
      </c>
      <c r="AN85" s="321">
        <f>IF(Instructions!$E$11=8,IF($D85=Instructions!$F$49,AN84+1,AN84),IF(Instructions!$E$11=10,IF($H85=Instructions!$F$49,AN84+1,AN84),IF(Instructions!$E$11=12,IF($L85=Instructions!$F$49,AN84+1,AN84),IF(Instructions!$E$11=14,IF($P85=Instructions!$F$49,AN84+1,AN84),IF(Instructions!$E$11=16,IF($T85=Instructions!$F$49,AN84+1,AN84))))))</f>
        <v>7</v>
      </c>
      <c r="AO85" s="321" t="str">
        <f t="shared" si="22"/>
        <v>807</v>
      </c>
      <c r="AP85" s="321">
        <f>IF(Instructions!$E$11=8,IF($D85=Instructions!$F$50,AP84+1,AP84),IF(Instructions!$E$11=10,IF($H85=Instructions!$F$50,AP84+1,AP84),IF(Instructions!$E$11=12,IF($L85=Instructions!$F$50,AP84+1,AP84),IF(Instructions!$E$11=14,IF($P85=Instructions!$F$50,AP84+1,AP84),IF(Instructions!$E$11=16,IF($T85=Instructions!$F$50,AP84+1,AP84))))))</f>
        <v>7</v>
      </c>
      <c r="AQ85" s="321" t="str">
        <f t="shared" si="23"/>
        <v>907</v>
      </c>
      <c r="AR85" s="321">
        <f>IF(Instructions!$E$11=8,IF($D85=Instructions!$F$51,AR84+1,AR84),IF(Instructions!$E$11=10,IF($H85=Instructions!$F$51,AR84+1,AR84),IF(Instructions!$E$11=12,IF($L85=Instructions!$F$51,AR84+1,AR84),IF(Instructions!$E$11=14,IF($P85=Instructions!$F$51,AR84+1,AR84),IF(Instructions!$E$11=16,IF($T85=Instructions!$F$51,AR84+1,AR84))))))</f>
        <v>7</v>
      </c>
      <c r="AS85" s="321" t="str">
        <f t="shared" si="25"/>
        <v>1007</v>
      </c>
      <c r="AT85" s="321">
        <f>IF(Instructions!$E$11=8,IF($D85=Instructions!$F$52,AT84+1,AT84),IF(Instructions!$E$11=10,IF($H85=Instructions!$F$52,AT84+1,AT84),IF(Instructions!$E$11=12,IF($L85=Instructions!$F$52,AT84+1,AT84),IF(Instructions!$E$11=14,IF($P85=Instructions!$F$52,AT84+1,AT84),IF(Instructions!$E$11=16,IF($T85=Instructions!$F$52,AT84+1,AT84))))))</f>
        <v>7</v>
      </c>
      <c r="AU85" s="321" t="str">
        <f t="shared" si="26"/>
        <v>1107</v>
      </c>
      <c r="AV85" s="321">
        <f>IF(Instructions!$E$11=8,IF($D85=Instructions!$F$53,AV84+1,AV84),IF(Instructions!$E$11=10,IF($H85=Instructions!$F$53,AV84+1,AV84),IF(Instructions!$E$11=12,IF($L85=Instructions!$F$53,AV84+1,AV84),IF(Instructions!$E$11=14,IF($P85=Instructions!$F$53,AV84+1,AV84),IF(Instructions!$E$11=16,IF($T85=Instructions!$F$53,AV84+1,AV84))))))</f>
        <v>6</v>
      </c>
      <c r="AW85" s="321" t="str">
        <f t="shared" si="27"/>
        <v>1206</v>
      </c>
      <c r="AX85" s="321">
        <f>IF(Instructions!$E$11=8,IF($D85=Instructions!$F$54,AX84+1,AX84),IF(Instructions!$E$11=10,IF($H85=Instructions!$F$54,AX84+1,AX84),IF(Instructions!$E$11=12,IF($L85=Instructions!$F$54,AX84+1,AX84),IF(Instructions!$E$11=14,IF($P85=Instructions!$F$54,AX84+1,AX84),IF(Instructions!$E$11=16,IF($T85=Instructions!$F$54,AX84+1,AX84))))))</f>
        <v>0</v>
      </c>
      <c r="AY85" s="321" t="str">
        <f t="shared" si="28"/>
        <v>1300</v>
      </c>
      <c r="AZ85" s="321">
        <f>IF(Instructions!$E$11=8,IF($D85=Instructions!$F$55,AZ84+1,AZ84),IF(Instructions!$E$11=10,IF($H85=Instructions!$F$55,AZ84+1,AZ84),IF(Instructions!$E$11=12,IF($L85=Instructions!$F$55,AZ84+1,AZ84),IF(Instructions!$E$11=14,IF($P85=Instructions!$F$55,AZ84+1,AZ84),IF(Instructions!$E$11=16,IF($T85=Instructions!$F$55,AZ84+1,AZ84))))))</f>
        <v>0</v>
      </c>
      <c r="BA85" s="321" t="str">
        <f t="shared" si="29"/>
        <v>1400</v>
      </c>
      <c r="BB85" s="321">
        <f>IF(Instructions!$E$11=8,IF($D85=Instructions!$F$56,BB84+1,BB84),IF(Instructions!$E$11=10,IF($H85=Instructions!$F$56,BB84+1,BB84),IF(Instructions!$E$11=12,IF($L85=Instructions!$F$56,BB84+1,BB84),IF(Instructions!$E$11=14,IF($P85=Instructions!$F$56,BB84+1,BB84),IF(Instructions!$E$11=16,IF($T85=Instructions!$F$56,BB84+1,BB84))))))</f>
        <v>0</v>
      </c>
      <c r="BC85" s="321" t="str">
        <f t="shared" si="30"/>
        <v>1500</v>
      </c>
      <c r="BD85" s="321">
        <f>IF(Instructions!$E$11=8,IF($D85=Instructions!$F$57,BD84+1,BD84),IF(Instructions!$E$11=10,IF($H85=Instructions!$F$57,BD84+1,BD84),IF(Instructions!$E$11=12,IF($L85=Instructions!$F$57,BD84+1,BD84),IF(Instructions!$E$11=14,IF($P85=Instructions!$F$57,BD84+1,BD84),IF(Instructions!$E$11=16,IF($T85=Instructions!$F$57,BD84+1,BD84))))))</f>
        <v>0</v>
      </c>
      <c r="BE85" s="321" t="str">
        <f t="shared" si="31"/>
        <v>1600</v>
      </c>
      <c r="BF85" s="321">
        <v>83</v>
      </c>
    </row>
    <row r="86" spans="1:58" ht="15.75" thickBot="1" x14ac:dyDescent="0.3">
      <c r="A86" s="280"/>
      <c r="B86" s="323" t="str">
        <f>IF(Instructions!$J$11=1,AA86,IF(Instructions!$J$11=2,AC86,IF(Instructions!$J$11=3,AE86,IF(Instructions!$J$11=4,AG86,IF(Instructions!$J$11=5,AI86,IF(Instructions!$J$11=6,AK86,IF(Instructions!$J$11=7,AM86,IF(Instructions!$J$11=8,AO86,IF(Instructions!$J$11=9,AQ86,IF(Instructions!$J$11=10,AS86,IF(Instructions!$J$11=11,AU86,IF(Instructions!$J$11=12,AW86,IF(Instructions!$J$11=13, AY86, IF(Instructions!$J$11=14,BA86,IF(Instructions!$J$11=15,BC86,BE86)))))))))))))))</f>
        <v>207</v>
      </c>
      <c r="C86" s="272">
        <v>84</v>
      </c>
      <c r="D86" s="327" t="str">
        <f>Instructions!F$45</f>
        <v>Miles</v>
      </c>
      <c r="E86" s="332" t="s">
        <v>830</v>
      </c>
      <c r="F86" s="706"/>
      <c r="G86" s="279">
        <v>11</v>
      </c>
      <c r="H86" s="294" t="str">
        <f>Instructions!F$45</f>
        <v>Miles</v>
      </c>
      <c r="I86" s="274" t="s">
        <v>806</v>
      </c>
      <c r="J86" s="709"/>
      <c r="K86" s="279">
        <v>9</v>
      </c>
      <c r="L86" s="295" t="str">
        <f>Instructions!F$53</f>
        <v>Zack</v>
      </c>
      <c r="M86" s="277" t="s">
        <v>790</v>
      </c>
      <c r="N86" s="710"/>
      <c r="O86" s="279">
        <v>7</v>
      </c>
      <c r="P86" s="295" t="str">
        <f>Instructions!F$42</f>
        <v>Trumbo</v>
      </c>
      <c r="Q86" s="277" t="s">
        <v>938</v>
      </c>
      <c r="R86" s="710"/>
      <c r="S86" s="279">
        <v>6</v>
      </c>
      <c r="T86" s="327" t="str">
        <f>Instructions!F$54</f>
        <v>[TEAM 13]</v>
      </c>
      <c r="U86" s="274" t="s">
        <v>770</v>
      </c>
      <c r="V86" s="706"/>
      <c r="W86" s="279">
        <v>6</v>
      </c>
      <c r="X86" s="280"/>
      <c r="Y86" s="190" t="str">
        <f>IFERROR( IF(Instructions!$E$11=8, D86&amp;COUNTIF(D$3:D86,D86), IF(Instructions!$E$11=10, H86&amp;COUNTIF(H$3:H86,H86),IF(Instructions!$E$11=12, L86&amp;COUNTIF(L$3:L86,L86),IF(Instructions!$E$11=14, P86&amp;COUNTIF(P$3:P86,P86),T86&amp;COUNTIF(T$3:T86,T86))))),"")</f>
        <v>Zack7</v>
      </c>
      <c r="Z86" s="321">
        <f>IF(Instructions!$E$11=8,IF($D86=Instructions!$F$42,Z85+1,Z85),IF(Instructions!$E$11=10,IF($H86=Instructions!$F$42,Z85+1,Z85),IF(Instructions!$E$11=12,IF($L86=Instructions!$F$42,Z85+1,Z85),IF(Instructions!$E$11=14,IF($P86=Instructions!$F$42,Z85+1,Z85),IF(Instructions!$E$11=16,IF($T86=Instructions!$F$42,Z85+1,Z85))))))</f>
        <v>7</v>
      </c>
      <c r="AA86" s="321" t="str">
        <f t="shared" si="24"/>
        <v>107</v>
      </c>
      <c r="AB86" s="321">
        <f>IF(Instructions!$E$11=8,IF($D86=Instructions!$F$43,AB85+1,AB85),IF(Instructions!$E$11=10,IF($H86=Instructions!$F$43,AB85+1,AB85),IF(Instructions!$E$11=12,IF($L86=Instructions!$F$43,AB85+1,AB85),IF(Instructions!$E$11=14,IF($P86=Instructions!$F$43,AB85+1,AB85),IF(Instructions!$E$11=16,IF($T86=Instructions!$F$43,AB85+1,AB85))))))</f>
        <v>7</v>
      </c>
      <c r="AC86" s="321" t="str">
        <f t="shared" si="16"/>
        <v>207</v>
      </c>
      <c r="AD86" s="321">
        <f>IF(Instructions!$E$11=8,IF($D86=Instructions!$F$44,AD85+1,AD85),IF(Instructions!$E$11=10,IF($H86=Instructions!$F$44,AD85+1,AD85),IF(Instructions!$E$11=12,IF($L86=Instructions!$F$44,AD85+1,AD85),IF(Instructions!$E$11=14,IF($P86=Instructions!$F$44,AD85+1,AD85),IF(Instructions!$E$11=16,IF($T86=Instructions!$F$44,AD85+1,AD85))))))</f>
        <v>7</v>
      </c>
      <c r="AE86" s="321" t="str">
        <f t="shared" si="17"/>
        <v>307</v>
      </c>
      <c r="AF86" s="321">
        <f>IF(Instructions!$E$11=8,IF($D86=Instructions!$F$45,AF85+1,AF85),IF(Instructions!$E$11=10,IF($H86=Instructions!$F$45,AF85+1,AF85),IF(Instructions!$E$11=12,IF($L86=Instructions!$F$45,AF85+1,AF85),IF(Instructions!$E$11=14,IF($P86=Instructions!$F$45,AF85+1,AF85),IF(Instructions!$E$11=16,IF($T86=Instructions!$F$45,AF85+1,AF85))))))</f>
        <v>7</v>
      </c>
      <c r="AG86" s="321" t="str">
        <f t="shared" si="18"/>
        <v>407</v>
      </c>
      <c r="AH86" s="321">
        <f>IF(Instructions!$E$11=8,IF($D86=Instructions!$F$46,AH85+1,AH85),IF(Instructions!$E$11=10,IF($H86=Instructions!$F$46,AH85+1,AH85),IF(Instructions!$E$11=12,IF($L86=Instructions!$F$46,AH85+1,AH85),IF(Instructions!$E$11=14,IF($P86=Instructions!$F$46,AH85+1,AH85),IF(Instructions!$E$11=16,IF($T86=Instructions!$F$46,AH85+1,AH85))))))</f>
        <v>7</v>
      </c>
      <c r="AI86" s="321" t="str">
        <f t="shared" si="19"/>
        <v>507</v>
      </c>
      <c r="AJ86" s="321">
        <f>IF(Instructions!$E$11=8,IF($D86=Instructions!$F$47,AJ85+1,AJ85),IF(Instructions!$E$11=10,IF($H86=Instructions!$F$47,AJ85+1,AJ85),IF(Instructions!$E$11=12,IF($L86=Instructions!$F$47,AJ85+1,AJ85),IF(Instructions!$E$11=14,IF($P86=Instructions!$F$47,AJ85+1,AJ85),IF(Instructions!$E$11=16,IF($T86=Instructions!$F$47,AJ85+1,AJ85))))))</f>
        <v>7</v>
      </c>
      <c r="AK86" s="321" t="str">
        <f t="shared" si="20"/>
        <v>607</v>
      </c>
      <c r="AL86" s="321">
        <f>IF(Instructions!$E$11=8,IF($D86=Instructions!$F$48,AL85+1,AL85),IF(Instructions!$E$11=10,IF($H86=Instructions!$F$48,AL85+1,AL85),IF(Instructions!$E$11=12,IF($L86=Instructions!$F$48,AL85+1,AL85),IF(Instructions!$E$11=14,IF($P86=Instructions!$F$48,AL85+1,AL85),IF(Instructions!$E$11=16,IF($T86=Instructions!$F$48,AL85+1,AL85))))))</f>
        <v>7</v>
      </c>
      <c r="AM86" s="321" t="str">
        <f t="shared" si="21"/>
        <v>707</v>
      </c>
      <c r="AN86" s="321">
        <f>IF(Instructions!$E$11=8,IF($D86=Instructions!$F$49,AN85+1,AN85),IF(Instructions!$E$11=10,IF($H86=Instructions!$F$49,AN85+1,AN85),IF(Instructions!$E$11=12,IF($L86=Instructions!$F$49,AN85+1,AN85),IF(Instructions!$E$11=14,IF($P86=Instructions!$F$49,AN85+1,AN85),IF(Instructions!$E$11=16,IF($T86=Instructions!$F$49,AN85+1,AN85))))))</f>
        <v>7</v>
      </c>
      <c r="AO86" s="321" t="str">
        <f t="shared" si="22"/>
        <v>807</v>
      </c>
      <c r="AP86" s="321">
        <f>IF(Instructions!$E$11=8,IF($D86=Instructions!$F$50,AP85+1,AP85),IF(Instructions!$E$11=10,IF($H86=Instructions!$F$50,AP85+1,AP85),IF(Instructions!$E$11=12,IF($L86=Instructions!$F$50,AP85+1,AP85),IF(Instructions!$E$11=14,IF($P86=Instructions!$F$50,AP85+1,AP85),IF(Instructions!$E$11=16,IF($T86=Instructions!$F$50,AP85+1,AP85))))))</f>
        <v>7</v>
      </c>
      <c r="AQ86" s="321" t="str">
        <f t="shared" si="23"/>
        <v>907</v>
      </c>
      <c r="AR86" s="321">
        <f>IF(Instructions!$E$11=8,IF($D86=Instructions!$F$51,AR85+1,AR85),IF(Instructions!$E$11=10,IF($H86=Instructions!$F$51,AR85+1,AR85),IF(Instructions!$E$11=12,IF($L86=Instructions!$F$51,AR85+1,AR85),IF(Instructions!$E$11=14,IF($P86=Instructions!$F$51,AR85+1,AR85),IF(Instructions!$E$11=16,IF($T86=Instructions!$F$51,AR85+1,AR85))))))</f>
        <v>7</v>
      </c>
      <c r="AS86" s="321" t="str">
        <f t="shared" si="25"/>
        <v>1007</v>
      </c>
      <c r="AT86" s="321">
        <f>IF(Instructions!$E$11=8,IF($D86=Instructions!$F$52,AT85+1,AT85),IF(Instructions!$E$11=10,IF($H86=Instructions!$F$52,AT85+1,AT85),IF(Instructions!$E$11=12,IF($L86=Instructions!$F$52,AT85+1,AT85),IF(Instructions!$E$11=14,IF($P86=Instructions!$F$52,AT85+1,AT85),IF(Instructions!$E$11=16,IF($T86=Instructions!$F$52,AT85+1,AT85))))))</f>
        <v>7</v>
      </c>
      <c r="AU86" s="321" t="str">
        <f t="shared" si="26"/>
        <v>1107</v>
      </c>
      <c r="AV86" s="321">
        <f>IF(Instructions!$E$11=8,IF($D86=Instructions!$F$53,AV85+1,AV85),IF(Instructions!$E$11=10,IF($H86=Instructions!$F$53,AV85+1,AV85),IF(Instructions!$E$11=12,IF($L86=Instructions!$F$53,AV85+1,AV85),IF(Instructions!$E$11=14,IF($P86=Instructions!$F$53,AV85+1,AV85),IF(Instructions!$E$11=16,IF($T86=Instructions!$F$53,AV85+1,AV85))))))</f>
        <v>7</v>
      </c>
      <c r="AW86" s="321" t="str">
        <f t="shared" si="27"/>
        <v>1207</v>
      </c>
      <c r="AX86" s="321">
        <f>IF(Instructions!$E$11=8,IF($D86=Instructions!$F$54,AX85+1,AX85),IF(Instructions!$E$11=10,IF($H86=Instructions!$F$54,AX85+1,AX85),IF(Instructions!$E$11=12,IF($L86=Instructions!$F$54,AX85+1,AX85),IF(Instructions!$E$11=14,IF($P86=Instructions!$F$54,AX85+1,AX85),IF(Instructions!$E$11=16,IF($T86=Instructions!$F$54,AX85+1,AX85))))))</f>
        <v>0</v>
      </c>
      <c r="AY86" s="321" t="str">
        <f t="shared" si="28"/>
        <v>1300</v>
      </c>
      <c r="AZ86" s="321">
        <f>IF(Instructions!$E$11=8,IF($D86=Instructions!$F$55,AZ85+1,AZ85),IF(Instructions!$E$11=10,IF($H86=Instructions!$F$55,AZ85+1,AZ85),IF(Instructions!$E$11=12,IF($L86=Instructions!$F$55,AZ85+1,AZ85),IF(Instructions!$E$11=14,IF($P86=Instructions!$F$55,AZ85+1,AZ85),IF(Instructions!$E$11=16,IF($T86=Instructions!$F$55,AZ85+1,AZ85))))))</f>
        <v>0</v>
      </c>
      <c r="BA86" s="321" t="str">
        <f t="shared" si="29"/>
        <v>1400</v>
      </c>
      <c r="BB86" s="321">
        <f>IF(Instructions!$E$11=8,IF($D86=Instructions!$F$56,BB85+1,BB85),IF(Instructions!$E$11=10,IF($H86=Instructions!$F$56,BB85+1,BB85),IF(Instructions!$E$11=12,IF($L86=Instructions!$F$56,BB85+1,BB85),IF(Instructions!$E$11=14,IF($P86=Instructions!$F$56,BB85+1,BB85),IF(Instructions!$E$11=16,IF($T86=Instructions!$F$56,BB85+1,BB85))))))</f>
        <v>0</v>
      </c>
      <c r="BC86" s="321" t="str">
        <f t="shared" si="30"/>
        <v>1500</v>
      </c>
      <c r="BD86" s="321">
        <f>IF(Instructions!$E$11=8,IF($D86=Instructions!$F$57,BD85+1,BD85),IF(Instructions!$E$11=10,IF($H86=Instructions!$F$57,BD85+1,BD85),IF(Instructions!$E$11=12,IF($L86=Instructions!$F$57,BD85+1,BD85),IF(Instructions!$E$11=14,IF($P86=Instructions!$F$57,BD85+1,BD85),IF(Instructions!$E$11=16,IF($T86=Instructions!$F$57,BD85+1,BD85))))))</f>
        <v>0</v>
      </c>
      <c r="BE86" s="321" t="str">
        <f t="shared" si="31"/>
        <v>1600</v>
      </c>
      <c r="BF86" s="321">
        <v>84</v>
      </c>
    </row>
    <row r="87" spans="1:58" ht="15" customHeight="1" x14ac:dyDescent="0.25">
      <c r="A87" s="280"/>
      <c r="B87" s="323" t="str">
        <f>IF(Instructions!$J$11=1,AA87,IF(Instructions!$J$11=2,AC87,IF(Instructions!$J$11=3,AE87,IF(Instructions!$J$11=4,AG87,IF(Instructions!$J$11=5,AI87,IF(Instructions!$J$11=6,AK87,IF(Instructions!$J$11=7,AM87,IF(Instructions!$J$11=8,AO87,IF(Instructions!$J$11=9,AQ87,IF(Instructions!$J$11=10,AS87,IF(Instructions!$J$11=11,AU87,IF(Instructions!$J$11=12,AW87,IF(Instructions!$J$11=13, AY87, IF(Instructions!$J$11=14,BA87,IF(Instructions!$J$11=15,BC87,BE87)))))))))))))))</f>
        <v>207</v>
      </c>
      <c r="C87" s="271">
        <v>85</v>
      </c>
      <c r="D87" s="328" t="str">
        <f>Instructions!F$46</f>
        <v>Con</v>
      </c>
      <c r="E87" s="333" t="s">
        <v>831</v>
      </c>
      <c r="F87" s="706"/>
      <c r="G87" s="279">
        <v>11</v>
      </c>
      <c r="H87" s="293" t="str">
        <f>Instructions!F$46</f>
        <v>Con</v>
      </c>
      <c r="I87" s="273" t="s">
        <v>807</v>
      </c>
      <c r="J87" s="709"/>
      <c r="K87" s="279">
        <v>9</v>
      </c>
      <c r="L87" s="292" t="str">
        <f>Instructions!F$53</f>
        <v>Zack</v>
      </c>
      <c r="M87" s="276" t="s">
        <v>791</v>
      </c>
      <c r="N87" s="708" t="s">
        <v>903</v>
      </c>
      <c r="O87" s="279">
        <v>8</v>
      </c>
      <c r="P87" s="292" t="str">
        <f>Instructions!F$42</f>
        <v>Trumbo</v>
      </c>
      <c r="Q87" s="276" t="s">
        <v>779</v>
      </c>
      <c r="R87" s="708" t="s">
        <v>902</v>
      </c>
      <c r="S87" s="279">
        <v>7</v>
      </c>
      <c r="T87" s="328" t="str">
        <f>Instructions!F$53</f>
        <v>Zack</v>
      </c>
      <c r="U87" s="273" t="s">
        <v>771</v>
      </c>
      <c r="V87" s="706"/>
      <c r="W87" s="279">
        <v>6</v>
      </c>
      <c r="X87" s="280"/>
      <c r="Y87" s="190" t="str">
        <f>IFERROR( IF(Instructions!$E$11=8, D87&amp;COUNTIF(D$3:D87,D87), IF(Instructions!$E$11=10, H87&amp;COUNTIF(H$3:H87,H87),IF(Instructions!$E$11=12, L87&amp;COUNTIF(L$3:L87,L87),IF(Instructions!$E$11=14, P87&amp;COUNTIF(P$3:P87,P87),T87&amp;COUNTIF(T$3:T87,T87))))),"")</f>
        <v>Zack8</v>
      </c>
      <c r="Z87" s="321">
        <f>IF(Instructions!$E$11=8,IF($D87=Instructions!$F$42,Z86+1,Z86),IF(Instructions!$E$11=10,IF($H87=Instructions!$F$42,Z86+1,Z86),IF(Instructions!$E$11=12,IF($L87=Instructions!$F$42,Z86+1,Z86),IF(Instructions!$E$11=14,IF($P87=Instructions!$F$42,Z86+1,Z86),IF(Instructions!$E$11=16,IF($T87=Instructions!$F$42,Z86+1,Z86))))))</f>
        <v>7</v>
      </c>
      <c r="AA87" s="321" t="str">
        <f t="shared" si="24"/>
        <v>107</v>
      </c>
      <c r="AB87" s="321">
        <f>IF(Instructions!$E$11=8,IF($D87=Instructions!$F$43,AB86+1,AB86),IF(Instructions!$E$11=10,IF($H87=Instructions!$F$43,AB86+1,AB86),IF(Instructions!$E$11=12,IF($L87=Instructions!$F$43,AB86+1,AB86),IF(Instructions!$E$11=14,IF($P87=Instructions!$F$43,AB86+1,AB86),IF(Instructions!$E$11=16,IF($T87=Instructions!$F$43,AB86+1,AB86))))))</f>
        <v>7</v>
      </c>
      <c r="AC87" s="321" t="str">
        <f t="shared" si="16"/>
        <v>207</v>
      </c>
      <c r="AD87" s="321">
        <f>IF(Instructions!$E$11=8,IF($D87=Instructions!$F$44,AD86+1,AD86),IF(Instructions!$E$11=10,IF($H87=Instructions!$F$44,AD86+1,AD86),IF(Instructions!$E$11=12,IF($L87=Instructions!$F$44,AD86+1,AD86),IF(Instructions!$E$11=14,IF($P87=Instructions!$F$44,AD86+1,AD86),IF(Instructions!$E$11=16,IF($T87=Instructions!$F$44,AD86+1,AD86))))))</f>
        <v>7</v>
      </c>
      <c r="AE87" s="321" t="str">
        <f t="shared" si="17"/>
        <v>307</v>
      </c>
      <c r="AF87" s="321">
        <f>IF(Instructions!$E$11=8,IF($D87=Instructions!$F$45,AF86+1,AF86),IF(Instructions!$E$11=10,IF($H87=Instructions!$F$45,AF86+1,AF86),IF(Instructions!$E$11=12,IF($L87=Instructions!$F$45,AF86+1,AF86),IF(Instructions!$E$11=14,IF($P87=Instructions!$F$45,AF86+1,AF86),IF(Instructions!$E$11=16,IF($T87=Instructions!$F$45,AF86+1,AF86))))))</f>
        <v>7</v>
      </c>
      <c r="AG87" s="321" t="str">
        <f t="shared" si="18"/>
        <v>407</v>
      </c>
      <c r="AH87" s="321">
        <f>IF(Instructions!$E$11=8,IF($D87=Instructions!$F$46,AH86+1,AH86),IF(Instructions!$E$11=10,IF($H87=Instructions!$F$46,AH86+1,AH86),IF(Instructions!$E$11=12,IF($L87=Instructions!$F$46,AH86+1,AH86),IF(Instructions!$E$11=14,IF($P87=Instructions!$F$46,AH86+1,AH86),IF(Instructions!$E$11=16,IF($T87=Instructions!$F$46,AH86+1,AH86))))))</f>
        <v>7</v>
      </c>
      <c r="AI87" s="321" t="str">
        <f t="shared" si="19"/>
        <v>507</v>
      </c>
      <c r="AJ87" s="321">
        <f>IF(Instructions!$E$11=8,IF($D87=Instructions!$F$47,AJ86+1,AJ86),IF(Instructions!$E$11=10,IF($H87=Instructions!$F$47,AJ86+1,AJ86),IF(Instructions!$E$11=12,IF($L87=Instructions!$F$47,AJ86+1,AJ86),IF(Instructions!$E$11=14,IF($P87=Instructions!$F$47,AJ86+1,AJ86),IF(Instructions!$E$11=16,IF($T87=Instructions!$F$47,AJ86+1,AJ86))))))</f>
        <v>7</v>
      </c>
      <c r="AK87" s="321" t="str">
        <f t="shared" si="20"/>
        <v>607</v>
      </c>
      <c r="AL87" s="321">
        <f>IF(Instructions!$E$11=8,IF($D87=Instructions!$F$48,AL86+1,AL86),IF(Instructions!$E$11=10,IF($H87=Instructions!$F$48,AL86+1,AL86),IF(Instructions!$E$11=12,IF($L87=Instructions!$F$48,AL86+1,AL86),IF(Instructions!$E$11=14,IF($P87=Instructions!$F$48,AL86+1,AL86),IF(Instructions!$E$11=16,IF($T87=Instructions!$F$48,AL86+1,AL86))))))</f>
        <v>7</v>
      </c>
      <c r="AM87" s="321" t="str">
        <f t="shared" si="21"/>
        <v>707</v>
      </c>
      <c r="AN87" s="321">
        <f>IF(Instructions!$E$11=8,IF($D87=Instructions!$F$49,AN86+1,AN86),IF(Instructions!$E$11=10,IF($H87=Instructions!$F$49,AN86+1,AN86),IF(Instructions!$E$11=12,IF($L87=Instructions!$F$49,AN86+1,AN86),IF(Instructions!$E$11=14,IF($P87=Instructions!$F$49,AN86+1,AN86),IF(Instructions!$E$11=16,IF($T87=Instructions!$F$49,AN86+1,AN86))))))</f>
        <v>7</v>
      </c>
      <c r="AO87" s="321" t="str">
        <f t="shared" si="22"/>
        <v>807</v>
      </c>
      <c r="AP87" s="321">
        <f>IF(Instructions!$E$11=8,IF($D87=Instructions!$F$50,AP86+1,AP86),IF(Instructions!$E$11=10,IF($H87=Instructions!$F$50,AP86+1,AP86),IF(Instructions!$E$11=12,IF($L87=Instructions!$F$50,AP86+1,AP86),IF(Instructions!$E$11=14,IF($P87=Instructions!$F$50,AP86+1,AP86),IF(Instructions!$E$11=16,IF($T87=Instructions!$F$50,AP86+1,AP86))))))</f>
        <v>7</v>
      </c>
      <c r="AQ87" s="321" t="str">
        <f t="shared" si="23"/>
        <v>907</v>
      </c>
      <c r="AR87" s="321">
        <f>IF(Instructions!$E$11=8,IF($D87=Instructions!$F$51,AR86+1,AR86),IF(Instructions!$E$11=10,IF($H87=Instructions!$F$51,AR86+1,AR86),IF(Instructions!$E$11=12,IF($L87=Instructions!$F$51,AR86+1,AR86),IF(Instructions!$E$11=14,IF($P87=Instructions!$F$51,AR86+1,AR86),IF(Instructions!$E$11=16,IF($T87=Instructions!$F$51,AR86+1,AR86))))))</f>
        <v>7</v>
      </c>
      <c r="AS87" s="321" t="str">
        <f t="shared" si="25"/>
        <v>1007</v>
      </c>
      <c r="AT87" s="321">
        <f>IF(Instructions!$E$11=8,IF($D87=Instructions!$F$52,AT86+1,AT86),IF(Instructions!$E$11=10,IF($H87=Instructions!$F$52,AT86+1,AT86),IF(Instructions!$E$11=12,IF($L87=Instructions!$F$52,AT86+1,AT86),IF(Instructions!$E$11=14,IF($P87=Instructions!$F$52,AT86+1,AT86),IF(Instructions!$E$11=16,IF($T87=Instructions!$F$52,AT86+1,AT86))))))</f>
        <v>7</v>
      </c>
      <c r="AU87" s="321" t="str">
        <f t="shared" si="26"/>
        <v>1107</v>
      </c>
      <c r="AV87" s="321">
        <f>IF(Instructions!$E$11=8,IF($D87=Instructions!$F$53,AV86+1,AV86),IF(Instructions!$E$11=10,IF($H87=Instructions!$F$53,AV86+1,AV86),IF(Instructions!$E$11=12,IF($L87=Instructions!$F$53,AV86+1,AV86),IF(Instructions!$E$11=14,IF($P87=Instructions!$F$53,AV86+1,AV86),IF(Instructions!$E$11=16,IF($T87=Instructions!$F$53,AV86+1,AV86))))))</f>
        <v>8</v>
      </c>
      <c r="AW87" s="321" t="str">
        <f t="shared" si="27"/>
        <v>1208</v>
      </c>
      <c r="AX87" s="321">
        <f>IF(Instructions!$E$11=8,IF($D87=Instructions!$F$54,AX86+1,AX86),IF(Instructions!$E$11=10,IF($H87=Instructions!$F$54,AX86+1,AX86),IF(Instructions!$E$11=12,IF($L87=Instructions!$F$54,AX86+1,AX86),IF(Instructions!$E$11=14,IF($P87=Instructions!$F$54,AX86+1,AX86),IF(Instructions!$E$11=16,IF($T87=Instructions!$F$54,AX86+1,AX86))))))</f>
        <v>0</v>
      </c>
      <c r="AY87" s="321" t="str">
        <f t="shared" si="28"/>
        <v>1300</v>
      </c>
      <c r="AZ87" s="321">
        <f>IF(Instructions!$E$11=8,IF($D87=Instructions!$F$55,AZ86+1,AZ86),IF(Instructions!$E$11=10,IF($H87=Instructions!$F$55,AZ86+1,AZ86),IF(Instructions!$E$11=12,IF($L87=Instructions!$F$55,AZ86+1,AZ86),IF(Instructions!$E$11=14,IF($P87=Instructions!$F$55,AZ86+1,AZ86),IF(Instructions!$E$11=16,IF($T87=Instructions!$F$55,AZ86+1,AZ86))))))</f>
        <v>0</v>
      </c>
      <c r="BA87" s="321" t="str">
        <f t="shared" si="29"/>
        <v>1400</v>
      </c>
      <c r="BB87" s="321">
        <f>IF(Instructions!$E$11=8,IF($D87=Instructions!$F$56,BB86+1,BB86),IF(Instructions!$E$11=10,IF($H87=Instructions!$F$56,BB86+1,BB86),IF(Instructions!$E$11=12,IF($L87=Instructions!$F$56,BB86+1,BB86),IF(Instructions!$E$11=14,IF($P87=Instructions!$F$56,BB86+1,BB86),IF(Instructions!$E$11=16,IF($T87=Instructions!$F$56,BB86+1,BB86))))))</f>
        <v>0</v>
      </c>
      <c r="BC87" s="321" t="str">
        <f t="shared" si="30"/>
        <v>1500</v>
      </c>
      <c r="BD87" s="321">
        <f>IF(Instructions!$E$11=8,IF($D87=Instructions!$F$57,BD86+1,BD86),IF(Instructions!$E$11=10,IF($H87=Instructions!$F$57,BD86+1,BD86),IF(Instructions!$E$11=12,IF($L87=Instructions!$F$57,BD86+1,BD86),IF(Instructions!$E$11=14,IF($P87=Instructions!$F$57,BD86+1,BD86),IF(Instructions!$E$11=16,IF($T87=Instructions!$F$57,BD86+1,BD86))))))</f>
        <v>0</v>
      </c>
      <c r="BE87" s="321" t="str">
        <f t="shared" si="31"/>
        <v>1600</v>
      </c>
      <c r="BF87" s="321">
        <v>85</v>
      </c>
    </row>
    <row r="88" spans="1:58" x14ac:dyDescent="0.25">
      <c r="A88" s="280"/>
      <c r="B88" s="323" t="str">
        <f>IF(Instructions!$J$11=1,AA88,IF(Instructions!$J$11=2,AC88,IF(Instructions!$J$11=3,AE88,IF(Instructions!$J$11=4,AG88,IF(Instructions!$J$11=5,AI88,IF(Instructions!$J$11=6,AK88,IF(Instructions!$J$11=7,AM88,IF(Instructions!$J$11=8,AO88,IF(Instructions!$J$11=9,AQ88,IF(Instructions!$J$11=10,AS88,IF(Instructions!$J$11=11,AU88,IF(Instructions!$J$11=12,AW88,IF(Instructions!$J$11=13, AY88, IF(Instructions!$J$11=14,BA88,IF(Instructions!$J$11=15,BC88,BE88)))))))))))))))</f>
        <v>207</v>
      </c>
      <c r="C88" s="272">
        <v>86</v>
      </c>
      <c r="D88" s="327" t="str">
        <f>Instructions!F$47</f>
        <v>Devin</v>
      </c>
      <c r="E88" s="332" t="s">
        <v>832</v>
      </c>
      <c r="F88" s="706"/>
      <c r="G88" s="279">
        <v>11</v>
      </c>
      <c r="H88" s="294" t="str">
        <f>Instructions!F$47</f>
        <v>Devin</v>
      </c>
      <c r="I88" s="274" t="s">
        <v>808</v>
      </c>
      <c r="J88" s="709"/>
      <c r="K88" s="279">
        <v>9</v>
      </c>
      <c r="L88" s="294" t="str">
        <f>Instructions!F$52</f>
        <v>Big R</v>
      </c>
      <c r="M88" s="274" t="s">
        <v>792</v>
      </c>
      <c r="N88" s="709"/>
      <c r="O88" s="279">
        <v>8</v>
      </c>
      <c r="P88" s="294" t="str">
        <f>Instructions!F$43</f>
        <v>Camden</v>
      </c>
      <c r="Q88" s="274" t="s">
        <v>780</v>
      </c>
      <c r="R88" s="709"/>
      <c r="S88" s="279">
        <v>7</v>
      </c>
      <c r="T88" s="327" t="str">
        <f>Instructions!F$52</f>
        <v>Big R</v>
      </c>
      <c r="U88" s="274" t="s">
        <v>772</v>
      </c>
      <c r="V88" s="706"/>
      <c r="W88" s="279">
        <v>6</v>
      </c>
      <c r="X88" s="280"/>
      <c r="Y88" s="190" t="str">
        <f>IFERROR( IF(Instructions!$E$11=8, D88&amp;COUNTIF(D$3:D88,D88), IF(Instructions!$E$11=10, H88&amp;COUNTIF(H$3:H88,H88),IF(Instructions!$E$11=12, L88&amp;COUNTIF(L$3:L88,L88),IF(Instructions!$E$11=14, P88&amp;COUNTIF(P$3:P88,P88),T88&amp;COUNTIF(T$3:T88,T88))))),"")</f>
        <v>Big R8</v>
      </c>
      <c r="Z88" s="321">
        <f>IF(Instructions!$E$11=8,IF($D88=Instructions!$F$42,Z87+1,Z87),IF(Instructions!$E$11=10,IF($H88=Instructions!$F$42,Z87+1,Z87),IF(Instructions!$E$11=12,IF($L88=Instructions!$F$42,Z87+1,Z87),IF(Instructions!$E$11=14,IF($P88=Instructions!$F$42,Z87+1,Z87),IF(Instructions!$E$11=16,IF($T88=Instructions!$F$42,Z87+1,Z87))))))</f>
        <v>7</v>
      </c>
      <c r="AA88" s="321" t="str">
        <f t="shared" si="24"/>
        <v>107</v>
      </c>
      <c r="AB88" s="321">
        <f>IF(Instructions!$E$11=8,IF($D88=Instructions!$F$43,AB87+1,AB87),IF(Instructions!$E$11=10,IF($H88=Instructions!$F$43,AB87+1,AB87),IF(Instructions!$E$11=12,IF($L88=Instructions!$F$43,AB87+1,AB87),IF(Instructions!$E$11=14,IF($P88=Instructions!$F$43,AB87+1,AB87),IF(Instructions!$E$11=16,IF($T88=Instructions!$F$43,AB87+1,AB87))))))</f>
        <v>7</v>
      </c>
      <c r="AC88" s="321" t="str">
        <f t="shared" si="16"/>
        <v>207</v>
      </c>
      <c r="AD88" s="321">
        <f>IF(Instructions!$E$11=8,IF($D88=Instructions!$F$44,AD87+1,AD87),IF(Instructions!$E$11=10,IF($H88=Instructions!$F$44,AD87+1,AD87),IF(Instructions!$E$11=12,IF($L88=Instructions!$F$44,AD87+1,AD87),IF(Instructions!$E$11=14,IF($P88=Instructions!$F$44,AD87+1,AD87),IF(Instructions!$E$11=16,IF($T88=Instructions!$F$44,AD87+1,AD87))))))</f>
        <v>7</v>
      </c>
      <c r="AE88" s="321" t="str">
        <f t="shared" si="17"/>
        <v>307</v>
      </c>
      <c r="AF88" s="321">
        <f>IF(Instructions!$E$11=8,IF($D88=Instructions!$F$45,AF87+1,AF87),IF(Instructions!$E$11=10,IF($H88=Instructions!$F$45,AF87+1,AF87),IF(Instructions!$E$11=12,IF($L88=Instructions!$F$45,AF87+1,AF87),IF(Instructions!$E$11=14,IF($P88=Instructions!$F$45,AF87+1,AF87),IF(Instructions!$E$11=16,IF($T88=Instructions!$F$45,AF87+1,AF87))))))</f>
        <v>7</v>
      </c>
      <c r="AG88" s="321" t="str">
        <f t="shared" si="18"/>
        <v>407</v>
      </c>
      <c r="AH88" s="321">
        <f>IF(Instructions!$E$11=8,IF($D88=Instructions!$F$46,AH87+1,AH87),IF(Instructions!$E$11=10,IF($H88=Instructions!$F$46,AH87+1,AH87),IF(Instructions!$E$11=12,IF($L88=Instructions!$F$46,AH87+1,AH87),IF(Instructions!$E$11=14,IF($P88=Instructions!$F$46,AH87+1,AH87),IF(Instructions!$E$11=16,IF($T88=Instructions!$F$46,AH87+1,AH87))))))</f>
        <v>7</v>
      </c>
      <c r="AI88" s="321" t="str">
        <f t="shared" si="19"/>
        <v>507</v>
      </c>
      <c r="AJ88" s="321">
        <f>IF(Instructions!$E$11=8,IF($D88=Instructions!$F$47,AJ87+1,AJ87),IF(Instructions!$E$11=10,IF($H88=Instructions!$F$47,AJ87+1,AJ87),IF(Instructions!$E$11=12,IF($L88=Instructions!$F$47,AJ87+1,AJ87),IF(Instructions!$E$11=14,IF($P88=Instructions!$F$47,AJ87+1,AJ87),IF(Instructions!$E$11=16,IF($T88=Instructions!$F$47,AJ87+1,AJ87))))))</f>
        <v>7</v>
      </c>
      <c r="AK88" s="321" t="str">
        <f t="shared" si="20"/>
        <v>607</v>
      </c>
      <c r="AL88" s="321">
        <f>IF(Instructions!$E$11=8,IF($D88=Instructions!$F$48,AL87+1,AL87),IF(Instructions!$E$11=10,IF($H88=Instructions!$F$48,AL87+1,AL87),IF(Instructions!$E$11=12,IF($L88=Instructions!$F$48,AL87+1,AL87),IF(Instructions!$E$11=14,IF($P88=Instructions!$F$48,AL87+1,AL87),IF(Instructions!$E$11=16,IF($T88=Instructions!$F$48,AL87+1,AL87))))))</f>
        <v>7</v>
      </c>
      <c r="AM88" s="321" t="str">
        <f t="shared" si="21"/>
        <v>707</v>
      </c>
      <c r="AN88" s="321">
        <f>IF(Instructions!$E$11=8,IF($D88=Instructions!$F$49,AN87+1,AN87),IF(Instructions!$E$11=10,IF($H88=Instructions!$F$49,AN87+1,AN87),IF(Instructions!$E$11=12,IF($L88=Instructions!$F$49,AN87+1,AN87),IF(Instructions!$E$11=14,IF($P88=Instructions!$F$49,AN87+1,AN87),IF(Instructions!$E$11=16,IF($T88=Instructions!$F$49,AN87+1,AN87))))))</f>
        <v>7</v>
      </c>
      <c r="AO88" s="321" t="str">
        <f t="shared" si="22"/>
        <v>807</v>
      </c>
      <c r="AP88" s="321">
        <f>IF(Instructions!$E$11=8,IF($D88=Instructions!$F$50,AP87+1,AP87),IF(Instructions!$E$11=10,IF($H88=Instructions!$F$50,AP87+1,AP87),IF(Instructions!$E$11=12,IF($L88=Instructions!$F$50,AP87+1,AP87),IF(Instructions!$E$11=14,IF($P88=Instructions!$F$50,AP87+1,AP87),IF(Instructions!$E$11=16,IF($T88=Instructions!$F$50,AP87+1,AP87))))))</f>
        <v>7</v>
      </c>
      <c r="AQ88" s="321" t="str">
        <f t="shared" si="23"/>
        <v>907</v>
      </c>
      <c r="AR88" s="321">
        <f>IF(Instructions!$E$11=8,IF($D88=Instructions!$F$51,AR87+1,AR87),IF(Instructions!$E$11=10,IF($H88=Instructions!$F$51,AR87+1,AR87),IF(Instructions!$E$11=12,IF($L88=Instructions!$F$51,AR87+1,AR87),IF(Instructions!$E$11=14,IF($P88=Instructions!$F$51,AR87+1,AR87),IF(Instructions!$E$11=16,IF($T88=Instructions!$F$51,AR87+1,AR87))))))</f>
        <v>7</v>
      </c>
      <c r="AS88" s="321" t="str">
        <f t="shared" si="25"/>
        <v>1007</v>
      </c>
      <c r="AT88" s="321">
        <f>IF(Instructions!$E$11=8,IF($D88=Instructions!$F$52,AT87+1,AT87),IF(Instructions!$E$11=10,IF($H88=Instructions!$F$52,AT87+1,AT87),IF(Instructions!$E$11=12,IF($L88=Instructions!$F$52,AT87+1,AT87),IF(Instructions!$E$11=14,IF($P88=Instructions!$F$52,AT87+1,AT87),IF(Instructions!$E$11=16,IF($T88=Instructions!$F$52,AT87+1,AT87))))))</f>
        <v>8</v>
      </c>
      <c r="AU88" s="321" t="str">
        <f t="shared" si="26"/>
        <v>1108</v>
      </c>
      <c r="AV88" s="321">
        <f>IF(Instructions!$E$11=8,IF($D88=Instructions!$F$53,AV87+1,AV87),IF(Instructions!$E$11=10,IF($H88=Instructions!$F$53,AV87+1,AV87),IF(Instructions!$E$11=12,IF($L88=Instructions!$F$53,AV87+1,AV87),IF(Instructions!$E$11=14,IF($P88=Instructions!$F$53,AV87+1,AV87),IF(Instructions!$E$11=16,IF($T88=Instructions!$F$53,AV87+1,AV87))))))</f>
        <v>8</v>
      </c>
      <c r="AW88" s="321" t="str">
        <f t="shared" si="27"/>
        <v>1208</v>
      </c>
      <c r="AX88" s="321">
        <f>IF(Instructions!$E$11=8,IF($D88=Instructions!$F$54,AX87+1,AX87),IF(Instructions!$E$11=10,IF($H88=Instructions!$F$54,AX87+1,AX87),IF(Instructions!$E$11=12,IF($L88=Instructions!$F$54,AX87+1,AX87),IF(Instructions!$E$11=14,IF($P88=Instructions!$F$54,AX87+1,AX87),IF(Instructions!$E$11=16,IF($T88=Instructions!$F$54,AX87+1,AX87))))))</f>
        <v>0</v>
      </c>
      <c r="AY88" s="321" t="str">
        <f t="shared" si="28"/>
        <v>1300</v>
      </c>
      <c r="AZ88" s="321">
        <f>IF(Instructions!$E$11=8,IF($D88=Instructions!$F$55,AZ87+1,AZ87),IF(Instructions!$E$11=10,IF($H88=Instructions!$F$55,AZ87+1,AZ87),IF(Instructions!$E$11=12,IF($L88=Instructions!$F$55,AZ87+1,AZ87),IF(Instructions!$E$11=14,IF($P88=Instructions!$F$55,AZ87+1,AZ87),IF(Instructions!$E$11=16,IF($T88=Instructions!$F$55,AZ87+1,AZ87))))))</f>
        <v>0</v>
      </c>
      <c r="BA88" s="321" t="str">
        <f t="shared" si="29"/>
        <v>1400</v>
      </c>
      <c r="BB88" s="321">
        <f>IF(Instructions!$E$11=8,IF($D88=Instructions!$F$56,BB87+1,BB87),IF(Instructions!$E$11=10,IF($H88=Instructions!$F$56,BB87+1,BB87),IF(Instructions!$E$11=12,IF($L88=Instructions!$F$56,BB87+1,BB87),IF(Instructions!$E$11=14,IF($P88=Instructions!$F$56,BB87+1,BB87),IF(Instructions!$E$11=16,IF($T88=Instructions!$F$56,BB87+1,BB87))))))</f>
        <v>0</v>
      </c>
      <c r="BC88" s="321" t="str">
        <f t="shared" si="30"/>
        <v>1500</v>
      </c>
      <c r="BD88" s="321">
        <f>IF(Instructions!$E$11=8,IF($D88=Instructions!$F$57,BD87+1,BD87),IF(Instructions!$E$11=10,IF($H88=Instructions!$F$57,BD87+1,BD87),IF(Instructions!$E$11=12,IF($L88=Instructions!$F$57,BD87+1,BD87),IF(Instructions!$E$11=14,IF($P88=Instructions!$F$57,BD87+1,BD87),IF(Instructions!$E$11=16,IF($T88=Instructions!$F$57,BD87+1,BD87))))))</f>
        <v>0</v>
      </c>
      <c r="BE88" s="321" t="str">
        <f t="shared" si="31"/>
        <v>1600</v>
      </c>
      <c r="BF88" s="321">
        <v>86</v>
      </c>
    </row>
    <row r="89" spans="1:58" x14ac:dyDescent="0.25">
      <c r="A89" s="280"/>
      <c r="B89" s="323" t="str">
        <f>IF(Instructions!$J$11=1,AA89,IF(Instructions!$J$11=2,AC89,IF(Instructions!$J$11=3,AE89,IF(Instructions!$J$11=4,AG89,IF(Instructions!$J$11=5,AI89,IF(Instructions!$J$11=6,AK89,IF(Instructions!$J$11=7,AM89,IF(Instructions!$J$11=8,AO89,IF(Instructions!$J$11=9,AQ89,IF(Instructions!$J$11=10,AS89,IF(Instructions!$J$11=11,AU89,IF(Instructions!$J$11=12,AW89,IF(Instructions!$J$11=13, AY89, IF(Instructions!$J$11=14,BA89,IF(Instructions!$J$11=15,BC89,BE89)))))))))))))))</f>
        <v>207</v>
      </c>
      <c r="C89" s="271">
        <v>87</v>
      </c>
      <c r="D89" s="328" t="str">
        <f>Instructions!F$48</f>
        <v>Bui</v>
      </c>
      <c r="E89" s="333" t="s">
        <v>833</v>
      </c>
      <c r="F89" s="706"/>
      <c r="G89" s="279">
        <v>11</v>
      </c>
      <c r="H89" s="293" t="str">
        <f>Instructions!F$48</f>
        <v>Bui</v>
      </c>
      <c r="I89" s="273" t="s">
        <v>809</v>
      </c>
      <c r="J89" s="709"/>
      <c r="K89" s="279">
        <v>9</v>
      </c>
      <c r="L89" s="293" t="str">
        <f>Instructions!F$51</f>
        <v>Josh</v>
      </c>
      <c r="M89" s="273" t="s">
        <v>793</v>
      </c>
      <c r="N89" s="709"/>
      <c r="O89" s="279">
        <v>8</v>
      </c>
      <c r="P89" s="293" t="str">
        <f>Instructions!F$44</f>
        <v>Cam</v>
      </c>
      <c r="Q89" s="273" t="s">
        <v>781</v>
      </c>
      <c r="R89" s="709"/>
      <c r="S89" s="279">
        <v>7</v>
      </c>
      <c r="T89" s="328" t="str">
        <f>Instructions!F$51</f>
        <v>Josh</v>
      </c>
      <c r="U89" s="273" t="s">
        <v>773</v>
      </c>
      <c r="V89" s="706"/>
      <c r="W89" s="279">
        <v>6</v>
      </c>
      <c r="X89" s="280"/>
      <c r="Y89" s="190" t="str">
        <f>IFERROR( IF(Instructions!$E$11=8, D89&amp;COUNTIF(D$3:D89,D89), IF(Instructions!$E$11=10, H89&amp;COUNTIF(H$3:H89,H89),IF(Instructions!$E$11=12, L89&amp;COUNTIF(L$3:L89,L89),IF(Instructions!$E$11=14, P89&amp;COUNTIF(P$3:P89,P89),T89&amp;COUNTIF(T$3:T89,T89))))),"")</f>
        <v>Josh8</v>
      </c>
      <c r="Z89" s="321">
        <f>IF(Instructions!$E$11=8,IF($D89=Instructions!$F$42,Z88+1,Z88),IF(Instructions!$E$11=10,IF($H89=Instructions!$F$42,Z88+1,Z88),IF(Instructions!$E$11=12,IF($L89=Instructions!$F$42,Z88+1,Z88),IF(Instructions!$E$11=14,IF($P89=Instructions!$F$42,Z88+1,Z88),IF(Instructions!$E$11=16,IF($T89=Instructions!$F$42,Z88+1,Z88))))))</f>
        <v>7</v>
      </c>
      <c r="AA89" s="321" t="str">
        <f t="shared" si="24"/>
        <v>107</v>
      </c>
      <c r="AB89" s="321">
        <f>IF(Instructions!$E$11=8,IF($D89=Instructions!$F$43,AB88+1,AB88),IF(Instructions!$E$11=10,IF($H89=Instructions!$F$43,AB88+1,AB88),IF(Instructions!$E$11=12,IF($L89=Instructions!$F$43,AB88+1,AB88),IF(Instructions!$E$11=14,IF($P89=Instructions!$F$43,AB88+1,AB88),IF(Instructions!$E$11=16,IF($T89=Instructions!$F$43,AB88+1,AB88))))))</f>
        <v>7</v>
      </c>
      <c r="AC89" s="321" t="str">
        <f t="shared" si="16"/>
        <v>207</v>
      </c>
      <c r="AD89" s="321">
        <f>IF(Instructions!$E$11=8,IF($D89=Instructions!$F$44,AD88+1,AD88),IF(Instructions!$E$11=10,IF($H89=Instructions!$F$44,AD88+1,AD88),IF(Instructions!$E$11=12,IF($L89=Instructions!$F$44,AD88+1,AD88),IF(Instructions!$E$11=14,IF($P89=Instructions!$F$44,AD88+1,AD88),IF(Instructions!$E$11=16,IF($T89=Instructions!$F$44,AD88+1,AD88))))))</f>
        <v>7</v>
      </c>
      <c r="AE89" s="321" t="str">
        <f t="shared" si="17"/>
        <v>307</v>
      </c>
      <c r="AF89" s="321">
        <f>IF(Instructions!$E$11=8,IF($D89=Instructions!$F$45,AF88+1,AF88),IF(Instructions!$E$11=10,IF($H89=Instructions!$F$45,AF88+1,AF88),IF(Instructions!$E$11=12,IF($L89=Instructions!$F$45,AF88+1,AF88),IF(Instructions!$E$11=14,IF($P89=Instructions!$F$45,AF88+1,AF88),IF(Instructions!$E$11=16,IF($T89=Instructions!$F$45,AF88+1,AF88))))))</f>
        <v>7</v>
      </c>
      <c r="AG89" s="321" t="str">
        <f t="shared" si="18"/>
        <v>407</v>
      </c>
      <c r="AH89" s="321">
        <f>IF(Instructions!$E$11=8,IF($D89=Instructions!$F$46,AH88+1,AH88),IF(Instructions!$E$11=10,IF($H89=Instructions!$F$46,AH88+1,AH88),IF(Instructions!$E$11=12,IF($L89=Instructions!$F$46,AH88+1,AH88),IF(Instructions!$E$11=14,IF($P89=Instructions!$F$46,AH88+1,AH88),IF(Instructions!$E$11=16,IF($T89=Instructions!$F$46,AH88+1,AH88))))))</f>
        <v>7</v>
      </c>
      <c r="AI89" s="321" t="str">
        <f t="shared" si="19"/>
        <v>507</v>
      </c>
      <c r="AJ89" s="321">
        <f>IF(Instructions!$E$11=8,IF($D89=Instructions!$F$47,AJ88+1,AJ88),IF(Instructions!$E$11=10,IF($H89=Instructions!$F$47,AJ88+1,AJ88),IF(Instructions!$E$11=12,IF($L89=Instructions!$F$47,AJ88+1,AJ88),IF(Instructions!$E$11=14,IF($P89=Instructions!$F$47,AJ88+1,AJ88),IF(Instructions!$E$11=16,IF($T89=Instructions!$F$47,AJ88+1,AJ88))))))</f>
        <v>7</v>
      </c>
      <c r="AK89" s="321" t="str">
        <f t="shared" si="20"/>
        <v>607</v>
      </c>
      <c r="AL89" s="321">
        <f>IF(Instructions!$E$11=8,IF($D89=Instructions!$F$48,AL88+1,AL88),IF(Instructions!$E$11=10,IF($H89=Instructions!$F$48,AL88+1,AL88),IF(Instructions!$E$11=12,IF($L89=Instructions!$F$48,AL88+1,AL88),IF(Instructions!$E$11=14,IF($P89=Instructions!$F$48,AL88+1,AL88),IF(Instructions!$E$11=16,IF($T89=Instructions!$F$48,AL88+1,AL88))))))</f>
        <v>7</v>
      </c>
      <c r="AM89" s="321" t="str">
        <f t="shared" si="21"/>
        <v>707</v>
      </c>
      <c r="AN89" s="321">
        <f>IF(Instructions!$E$11=8,IF($D89=Instructions!$F$49,AN88+1,AN88),IF(Instructions!$E$11=10,IF($H89=Instructions!$F$49,AN88+1,AN88),IF(Instructions!$E$11=12,IF($L89=Instructions!$F$49,AN88+1,AN88),IF(Instructions!$E$11=14,IF($P89=Instructions!$F$49,AN88+1,AN88),IF(Instructions!$E$11=16,IF($T89=Instructions!$F$49,AN88+1,AN88))))))</f>
        <v>7</v>
      </c>
      <c r="AO89" s="321" t="str">
        <f t="shared" si="22"/>
        <v>807</v>
      </c>
      <c r="AP89" s="321">
        <f>IF(Instructions!$E$11=8,IF($D89=Instructions!$F$50,AP88+1,AP88),IF(Instructions!$E$11=10,IF($H89=Instructions!$F$50,AP88+1,AP88),IF(Instructions!$E$11=12,IF($L89=Instructions!$F$50,AP88+1,AP88),IF(Instructions!$E$11=14,IF($P89=Instructions!$F$50,AP88+1,AP88),IF(Instructions!$E$11=16,IF($T89=Instructions!$F$50,AP88+1,AP88))))))</f>
        <v>7</v>
      </c>
      <c r="AQ89" s="321" t="str">
        <f t="shared" si="23"/>
        <v>907</v>
      </c>
      <c r="AR89" s="321">
        <f>IF(Instructions!$E$11=8,IF($D89=Instructions!$F$51,AR88+1,AR88),IF(Instructions!$E$11=10,IF($H89=Instructions!$F$51,AR88+1,AR88),IF(Instructions!$E$11=12,IF($L89=Instructions!$F$51,AR88+1,AR88),IF(Instructions!$E$11=14,IF($P89=Instructions!$F$51,AR88+1,AR88),IF(Instructions!$E$11=16,IF($T89=Instructions!$F$51,AR88+1,AR88))))))</f>
        <v>8</v>
      </c>
      <c r="AS89" s="321" t="str">
        <f t="shared" si="25"/>
        <v>1008</v>
      </c>
      <c r="AT89" s="321">
        <f>IF(Instructions!$E$11=8,IF($D89=Instructions!$F$52,AT88+1,AT88),IF(Instructions!$E$11=10,IF($H89=Instructions!$F$52,AT88+1,AT88),IF(Instructions!$E$11=12,IF($L89=Instructions!$F$52,AT88+1,AT88),IF(Instructions!$E$11=14,IF($P89=Instructions!$F$52,AT88+1,AT88),IF(Instructions!$E$11=16,IF($T89=Instructions!$F$52,AT88+1,AT88))))))</f>
        <v>8</v>
      </c>
      <c r="AU89" s="321" t="str">
        <f t="shared" si="26"/>
        <v>1108</v>
      </c>
      <c r="AV89" s="321">
        <f>IF(Instructions!$E$11=8,IF($D89=Instructions!$F$53,AV88+1,AV88),IF(Instructions!$E$11=10,IF($H89=Instructions!$F$53,AV88+1,AV88),IF(Instructions!$E$11=12,IF($L89=Instructions!$F$53,AV88+1,AV88),IF(Instructions!$E$11=14,IF($P89=Instructions!$F$53,AV88+1,AV88),IF(Instructions!$E$11=16,IF($T89=Instructions!$F$53,AV88+1,AV88))))))</f>
        <v>8</v>
      </c>
      <c r="AW89" s="321" t="str">
        <f t="shared" si="27"/>
        <v>1208</v>
      </c>
      <c r="AX89" s="321">
        <f>IF(Instructions!$E$11=8,IF($D89=Instructions!$F$54,AX88+1,AX88),IF(Instructions!$E$11=10,IF($H89=Instructions!$F$54,AX88+1,AX88),IF(Instructions!$E$11=12,IF($L89=Instructions!$F$54,AX88+1,AX88),IF(Instructions!$E$11=14,IF($P89=Instructions!$F$54,AX88+1,AX88),IF(Instructions!$E$11=16,IF($T89=Instructions!$F$54,AX88+1,AX88))))))</f>
        <v>0</v>
      </c>
      <c r="AY89" s="321" t="str">
        <f t="shared" si="28"/>
        <v>1300</v>
      </c>
      <c r="AZ89" s="321">
        <f>IF(Instructions!$E$11=8,IF($D89=Instructions!$F$55,AZ88+1,AZ88),IF(Instructions!$E$11=10,IF($H89=Instructions!$F$55,AZ88+1,AZ88),IF(Instructions!$E$11=12,IF($L89=Instructions!$F$55,AZ88+1,AZ88),IF(Instructions!$E$11=14,IF($P89=Instructions!$F$55,AZ88+1,AZ88),IF(Instructions!$E$11=16,IF($T89=Instructions!$F$55,AZ88+1,AZ88))))))</f>
        <v>0</v>
      </c>
      <c r="BA89" s="321" t="str">
        <f t="shared" si="29"/>
        <v>1400</v>
      </c>
      <c r="BB89" s="321">
        <f>IF(Instructions!$E$11=8,IF($D89=Instructions!$F$56,BB88+1,BB88),IF(Instructions!$E$11=10,IF($H89=Instructions!$F$56,BB88+1,BB88),IF(Instructions!$E$11=12,IF($L89=Instructions!$F$56,BB88+1,BB88),IF(Instructions!$E$11=14,IF($P89=Instructions!$F$56,BB88+1,BB88),IF(Instructions!$E$11=16,IF($T89=Instructions!$F$56,BB88+1,BB88))))))</f>
        <v>0</v>
      </c>
      <c r="BC89" s="321" t="str">
        <f t="shared" si="30"/>
        <v>1500</v>
      </c>
      <c r="BD89" s="321">
        <f>IF(Instructions!$E$11=8,IF($D89=Instructions!$F$57,BD88+1,BD88),IF(Instructions!$E$11=10,IF($H89=Instructions!$F$57,BD88+1,BD88),IF(Instructions!$E$11=12,IF($L89=Instructions!$F$57,BD88+1,BD88),IF(Instructions!$E$11=14,IF($P89=Instructions!$F$57,BD88+1,BD88),IF(Instructions!$E$11=16,IF($T89=Instructions!$F$57,BD88+1,BD88))))))</f>
        <v>0</v>
      </c>
      <c r="BE89" s="321" t="str">
        <f t="shared" si="31"/>
        <v>1600</v>
      </c>
      <c r="BF89" s="321">
        <v>87</v>
      </c>
    </row>
    <row r="90" spans="1:58" ht="15.75" thickBot="1" x14ac:dyDescent="0.3">
      <c r="A90" s="280"/>
      <c r="B90" s="323" t="str">
        <f>IF(Instructions!$J$11=1,AA90,IF(Instructions!$J$11=2,AC90,IF(Instructions!$J$11=3,AE90,IF(Instructions!$J$11=4,AG90,IF(Instructions!$J$11=5,AI90,IF(Instructions!$J$11=6,AK90,IF(Instructions!$J$11=7,AM90,IF(Instructions!$J$11=8,AO90,IF(Instructions!$J$11=9,AQ90,IF(Instructions!$J$11=10,AS90,IF(Instructions!$J$11=11,AU90,IF(Instructions!$J$11=12,AW90,IF(Instructions!$J$11=13, AY90, IF(Instructions!$J$11=14,BA90,IF(Instructions!$J$11=15,BC90,BE90)))))))))))))))</f>
        <v>207</v>
      </c>
      <c r="C90" s="272">
        <v>88</v>
      </c>
      <c r="D90" s="329" t="str">
        <f>Instructions!F$49</f>
        <v>Luke</v>
      </c>
      <c r="E90" s="334" t="s">
        <v>834</v>
      </c>
      <c r="F90" s="707"/>
      <c r="G90" s="279">
        <v>11</v>
      </c>
      <c r="H90" s="294" t="str">
        <f>Instructions!F$49</f>
        <v>Luke</v>
      </c>
      <c r="I90" s="274" t="s">
        <v>810</v>
      </c>
      <c r="J90" s="709"/>
      <c r="K90" s="279">
        <v>9</v>
      </c>
      <c r="L90" s="294" t="str">
        <f>Instructions!F$50</f>
        <v>Dan</v>
      </c>
      <c r="M90" s="274" t="s">
        <v>794</v>
      </c>
      <c r="N90" s="709"/>
      <c r="O90" s="279">
        <v>8</v>
      </c>
      <c r="P90" s="294" t="str">
        <f>Instructions!F$45</f>
        <v>Miles</v>
      </c>
      <c r="Q90" s="274" t="s">
        <v>782</v>
      </c>
      <c r="R90" s="709"/>
      <c r="S90" s="279">
        <v>7</v>
      </c>
      <c r="T90" s="327" t="str">
        <f>Instructions!F$50</f>
        <v>Dan</v>
      </c>
      <c r="U90" s="274" t="s">
        <v>774</v>
      </c>
      <c r="V90" s="706"/>
      <c r="W90" s="279">
        <v>6</v>
      </c>
      <c r="X90" s="280"/>
      <c r="Y90" s="190" t="str">
        <f>IFERROR( IF(Instructions!$E$11=8, D90&amp;COUNTIF(D$3:D90,D90), IF(Instructions!$E$11=10, H90&amp;COUNTIF(H$3:H90,H90),IF(Instructions!$E$11=12, L90&amp;COUNTIF(L$3:L90,L90),IF(Instructions!$E$11=14, P90&amp;COUNTIF(P$3:P90,P90),T90&amp;COUNTIF(T$3:T90,T90))))),"")</f>
        <v>Dan8</v>
      </c>
      <c r="Z90" s="321">
        <f>IF(Instructions!$E$11=8,IF($D90=Instructions!$F$42,Z89+1,Z89),IF(Instructions!$E$11=10,IF($H90=Instructions!$F$42,Z89+1,Z89),IF(Instructions!$E$11=12,IF($L90=Instructions!$F$42,Z89+1,Z89),IF(Instructions!$E$11=14,IF($P90=Instructions!$F$42,Z89+1,Z89),IF(Instructions!$E$11=16,IF($T90=Instructions!$F$42,Z89+1,Z89))))))</f>
        <v>7</v>
      </c>
      <c r="AA90" s="321" t="str">
        <f t="shared" si="24"/>
        <v>107</v>
      </c>
      <c r="AB90" s="321">
        <f>IF(Instructions!$E$11=8,IF($D90=Instructions!$F$43,AB89+1,AB89),IF(Instructions!$E$11=10,IF($H90=Instructions!$F$43,AB89+1,AB89),IF(Instructions!$E$11=12,IF($L90=Instructions!$F$43,AB89+1,AB89),IF(Instructions!$E$11=14,IF($P90=Instructions!$F$43,AB89+1,AB89),IF(Instructions!$E$11=16,IF($T90=Instructions!$F$43,AB89+1,AB89))))))</f>
        <v>7</v>
      </c>
      <c r="AC90" s="321" t="str">
        <f t="shared" si="16"/>
        <v>207</v>
      </c>
      <c r="AD90" s="321">
        <f>IF(Instructions!$E$11=8,IF($D90=Instructions!$F$44,AD89+1,AD89),IF(Instructions!$E$11=10,IF($H90=Instructions!$F$44,AD89+1,AD89),IF(Instructions!$E$11=12,IF($L90=Instructions!$F$44,AD89+1,AD89),IF(Instructions!$E$11=14,IF($P90=Instructions!$F$44,AD89+1,AD89),IF(Instructions!$E$11=16,IF($T90=Instructions!$F$44,AD89+1,AD89))))))</f>
        <v>7</v>
      </c>
      <c r="AE90" s="321" t="str">
        <f t="shared" si="17"/>
        <v>307</v>
      </c>
      <c r="AF90" s="321">
        <f>IF(Instructions!$E$11=8,IF($D90=Instructions!$F$45,AF89+1,AF89),IF(Instructions!$E$11=10,IF($H90=Instructions!$F$45,AF89+1,AF89),IF(Instructions!$E$11=12,IF($L90=Instructions!$F$45,AF89+1,AF89),IF(Instructions!$E$11=14,IF($P90=Instructions!$F$45,AF89+1,AF89),IF(Instructions!$E$11=16,IF($T90=Instructions!$F$45,AF89+1,AF89))))))</f>
        <v>7</v>
      </c>
      <c r="AG90" s="321" t="str">
        <f t="shared" si="18"/>
        <v>407</v>
      </c>
      <c r="AH90" s="321">
        <f>IF(Instructions!$E$11=8,IF($D90=Instructions!$F$46,AH89+1,AH89),IF(Instructions!$E$11=10,IF($H90=Instructions!$F$46,AH89+1,AH89),IF(Instructions!$E$11=12,IF($L90=Instructions!$F$46,AH89+1,AH89),IF(Instructions!$E$11=14,IF($P90=Instructions!$F$46,AH89+1,AH89),IF(Instructions!$E$11=16,IF($T90=Instructions!$F$46,AH89+1,AH89))))))</f>
        <v>7</v>
      </c>
      <c r="AI90" s="321" t="str">
        <f t="shared" si="19"/>
        <v>507</v>
      </c>
      <c r="AJ90" s="321">
        <f>IF(Instructions!$E$11=8,IF($D90=Instructions!$F$47,AJ89+1,AJ89),IF(Instructions!$E$11=10,IF($H90=Instructions!$F$47,AJ89+1,AJ89),IF(Instructions!$E$11=12,IF($L90=Instructions!$F$47,AJ89+1,AJ89),IF(Instructions!$E$11=14,IF($P90=Instructions!$F$47,AJ89+1,AJ89),IF(Instructions!$E$11=16,IF($T90=Instructions!$F$47,AJ89+1,AJ89))))))</f>
        <v>7</v>
      </c>
      <c r="AK90" s="321" t="str">
        <f t="shared" si="20"/>
        <v>607</v>
      </c>
      <c r="AL90" s="321">
        <f>IF(Instructions!$E$11=8,IF($D90=Instructions!$F$48,AL89+1,AL89),IF(Instructions!$E$11=10,IF($H90=Instructions!$F$48,AL89+1,AL89),IF(Instructions!$E$11=12,IF($L90=Instructions!$F$48,AL89+1,AL89),IF(Instructions!$E$11=14,IF($P90=Instructions!$F$48,AL89+1,AL89),IF(Instructions!$E$11=16,IF($T90=Instructions!$F$48,AL89+1,AL89))))))</f>
        <v>7</v>
      </c>
      <c r="AM90" s="321" t="str">
        <f t="shared" si="21"/>
        <v>707</v>
      </c>
      <c r="AN90" s="321">
        <f>IF(Instructions!$E$11=8,IF($D90=Instructions!$F$49,AN89+1,AN89),IF(Instructions!$E$11=10,IF($H90=Instructions!$F$49,AN89+1,AN89),IF(Instructions!$E$11=12,IF($L90=Instructions!$F$49,AN89+1,AN89),IF(Instructions!$E$11=14,IF($P90=Instructions!$F$49,AN89+1,AN89),IF(Instructions!$E$11=16,IF($T90=Instructions!$F$49,AN89+1,AN89))))))</f>
        <v>7</v>
      </c>
      <c r="AO90" s="321" t="str">
        <f t="shared" si="22"/>
        <v>807</v>
      </c>
      <c r="AP90" s="321">
        <f>IF(Instructions!$E$11=8,IF($D90=Instructions!$F$50,AP89+1,AP89),IF(Instructions!$E$11=10,IF($H90=Instructions!$F$50,AP89+1,AP89),IF(Instructions!$E$11=12,IF($L90=Instructions!$F$50,AP89+1,AP89),IF(Instructions!$E$11=14,IF($P90=Instructions!$F$50,AP89+1,AP89),IF(Instructions!$E$11=16,IF($T90=Instructions!$F$50,AP89+1,AP89))))))</f>
        <v>8</v>
      </c>
      <c r="AQ90" s="321" t="str">
        <f t="shared" si="23"/>
        <v>908</v>
      </c>
      <c r="AR90" s="321">
        <f>IF(Instructions!$E$11=8,IF($D90=Instructions!$F$51,AR89+1,AR89),IF(Instructions!$E$11=10,IF($H90=Instructions!$F$51,AR89+1,AR89),IF(Instructions!$E$11=12,IF($L90=Instructions!$F$51,AR89+1,AR89),IF(Instructions!$E$11=14,IF($P90=Instructions!$F$51,AR89+1,AR89),IF(Instructions!$E$11=16,IF($T90=Instructions!$F$51,AR89+1,AR89))))))</f>
        <v>8</v>
      </c>
      <c r="AS90" s="321" t="str">
        <f t="shared" si="25"/>
        <v>1008</v>
      </c>
      <c r="AT90" s="321">
        <f>IF(Instructions!$E$11=8,IF($D90=Instructions!$F$52,AT89+1,AT89),IF(Instructions!$E$11=10,IF($H90=Instructions!$F$52,AT89+1,AT89),IF(Instructions!$E$11=12,IF($L90=Instructions!$F$52,AT89+1,AT89),IF(Instructions!$E$11=14,IF($P90=Instructions!$F$52,AT89+1,AT89),IF(Instructions!$E$11=16,IF($T90=Instructions!$F$52,AT89+1,AT89))))))</f>
        <v>8</v>
      </c>
      <c r="AU90" s="321" t="str">
        <f t="shared" si="26"/>
        <v>1108</v>
      </c>
      <c r="AV90" s="321">
        <f>IF(Instructions!$E$11=8,IF($D90=Instructions!$F$53,AV89+1,AV89),IF(Instructions!$E$11=10,IF($H90=Instructions!$F$53,AV89+1,AV89),IF(Instructions!$E$11=12,IF($L90=Instructions!$F$53,AV89+1,AV89),IF(Instructions!$E$11=14,IF($P90=Instructions!$F$53,AV89+1,AV89),IF(Instructions!$E$11=16,IF($T90=Instructions!$F$53,AV89+1,AV89))))))</f>
        <v>8</v>
      </c>
      <c r="AW90" s="321" t="str">
        <f t="shared" si="27"/>
        <v>1208</v>
      </c>
      <c r="AX90" s="321">
        <f>IF(Instructions!$E$11=8,IF($D90=Instructions!$F$54,AX89+1,AX89),IF(Instructions!$E$11=10,IF($H90=Instructions!$F$54,AX89+1,AX89),IF(Instructions!$E$11=12,IF($L90=Instructions!$F$54,AX89+1,AX89),IF(Instructions!$E$11=14,IF($P90=Instructions!$F$54,AX89+1,AX89),IF(Instructions!$E$11=16,IF($T90=Instructions!$F$54,AX89+1,AX89))))))</f>
        <v>0</v>
      </c>
      <c r="AY90" s="321" t="str">
        <f t="shared" si="28"/>
        <v>1300</v>
      </c>
      <c r="AZ90" s="321">
        <f>IF(Instructions!$E$11=8,IF($D90=Instructions!$F$55,AZ89+1,AZ89),IF(Instructions!$E$11=10,IF($H90=Instructions!$F$55,AZ89+1,AZ89),IF(Instructions!$E$11=12,IF($L90=Instructions!$F$55,AZ89+1,AZ89),IF(Instructions!$E$11=14,IF($P90=Instructions!$F$55,AZ89+1,AZ89),IF(Instructions!$E$11=16,IF($T90=Instructions!$F$55,AZ89+1,AZ89))))))</f>
        <v>0</v>
      </c>
      <c r="BA90" s="321" t="str">
        <f t="shared" si="29"/>
        <v>1400</v>
      </c>
      <c r="BB90" s="321">
        <f>IF(Instructions!$E$11=8,IF($D90=Instructions!$F$56,BB89+1,BB89),IF(Instructions!$E$11=10,IF($H90=Instructions!$F$56,BB89+1,BB89),IF(Instructions!$E$11=12,IF($L90=Instructions!$F$56,BB89+1,BB89),IF(Instructions!$E$11=14,IF($P90=Instructions!$F$56,BB89+1,BB89),IF(Instructions!$E$11=16,IF($T90=Instructions!$F$56,BB89+1,BB89))))))</f>
        <v>0</v>
      </c>
      <c r="BC90" s="321" t="str">
        <f t="shared" si="30"/>
        <v>1500</v>
      </c>
      <c r="BD90" s="321">
        <f>IF(Instructions!$E$11=8,IF($D90=Instructions!$F$57,BD89+1,BD89),IF(Instructions!$E$11=10,IF($H90=Instructions!$F$57,BD89+1,BD89),IF(Instructions!$E$11=12,IF($L90=Instructions!$F$57,BD89+1,BD89),IF(Instructions!$E$11=14,IF($P90=Instructions!$F$57,BD89+1,BD89),IF(Instructions!$E$11=16,IF($T90=Instructions!$F$57,BD89+1,BD89))))))</f>
        <v>0</v>
      </c>
      <c r="BE90" s="321" t="str">
        <f t="shared" si="31"/>
        <v>1600</v>
      </c>
      <c r="BF90" s="321">
        <v>88</v>
      </c>
    </row>
    <row r="91" spans="1:58" x14ac:dyDescent="0.25">
      <c r="A91" s="280"/>
      <c r="B91" s="323" t="str">
        <f>IF(Instructions!$J$11=1,AA91,IF(Instructions!$J$11=2,AC91,IF(Instructions!$J$11=3,AE91,IF(Instructions!$J$11=4,AG91,IF(Instructions!$J$11=5,AI91,IF(Instructions!$J$11=6,AK91,IF(Instructions!$J$11=7,AM91,IF(Instructions!$J$11=8,AO91,IF(Instructions!$J$11=9,AQ91,IF(Instructions!$J$11=10,AS91,IF(Instructions!$J$11=11,AU91,IF(Instructions!$J$11=12,AW91,IF(Instructions!$J$11=13, AY91, IF(Instructions!$J$11=14,BA91,IF(Instructions!$J$11=15,BC91,BE91)))))))))))))))</f>
        <v>207</v>
      </c>
      <c r="C91" s="271">
        <v>89</v>
      </c>
      <c r="D91" s="325" t="str">
        <f>Instructions!F$49</f>
        <v>Luke</v>
      </c>
      <c r="E91" s="331" t="s">
        <v>839</v>
      </c>
      <c r="F91" s="705" t="s">
        <v>907</v>
      </c>
      <c r="G91" s="279">
        <v>12</v>
      </c>
      <c r="H91" s="293" t="str">
        <f>Instructions!F$50</f>
        <v>Dan</v>
      </c>
      <c r="I91" s="273" t="s">
        <v>811</v>
      </c>
      <c r="J91" s="709"/>
      <c r="K91" s="279">
        <v>9</v>
      </c>
      <c r="L91" s="293" t="str">
        <f>Instructions!F$49</f>
        <v>Luke</v>
      </c>
      <c r="M91" s="273" t="s">
        <v>795</v>
      </c>
      <c r="N91" s="709"/>
      <c r="O91" s="279">
        <v>8</v>
      </c>
      <c r="P91" s="293" t="str">
        <f>Instructions!F$46</f>
        <v>Con</v>
      </c>
      <c r="Q91" s="273" t="s">
        <v>783</v>
      </c>
      <c r="R91" s="709"/>
      <c r="S91" s="279">
        <v>7</v>
      </c>
      <c r="T91" s="328" t="str">
        <f>Instructions!F$49</f>
        <v>Luke</v>
      </c>
      <c r="U91" s="273" t="s">
        <v>775</v>
      </c>
      <c r="V91" s="706"/>
      <c r="W91" s="279">
        <v>6</v>
      </c>
      <c r="X91" s="280"/>
      <c r="Y91" s="190" t="str">
        <f>IFERROR( IF(Instructions!$E$11=8, D91&amp;COUNTIF(D$3:D91,D91), IF(Instructions!$E$11=10, H91&amp;COUNTIF(H$3:H91,H91),IF(Instructions!$E$11=12, L91&amp;COUNTIF(L$3:L91,L91),IF(Instructions!$E$11=14, P91&amp;COUNTIF(P$3:P91,P91),T91&amp;COUNTIF(T$3:T91,T91))))),"")</f>
        <v>Luke8</v>
      </c>
      <c r="Z91" s="321">
        <f>IF(Instructions!$E$11=8,IF($D91=Instructions!$F$42,Z90+1,Z90),IF(Instructions!$E$11=10,IF($H91=Instructions!$F$42,Z90+1,Z90),IF(Instructions!$E$11=12,IF($L91=Instructions!$F$42,Z90+1,Z90),IF(Instructions!$E$11=14,IF($P91=Instructions!$F$42,Z90+1,Z90),IF(Instructions!$E$11=16,IF($T91=Instructions!$F$42,Z90+1,Z90))))))</f>
        <v>7</v>
      </c>
      <c r="AA91" s="321" t="str">
        <f t="shared" si="24"/>
        <v>107</v>
      </c>
      <c r="AB91" s="321">
        <f>IF(Instructions!$E$11=8,IF($D91=Instructions!$F$43,AB90+1,AB90),IF(Instructions!$E$11=10,IF($H91=Instructions!$F$43,AB90+1,AB90),IF(Instructions!$E$11=12,IF($L91=Instructions!$F$43,AB90+1,AB90),IF(Instructions!$E$11=14,IF($P91=Instructions!$F$43,AB90+1,AB90),IF(Instructions!$E$11=16,IF($T91=Instructions!$F$43,AB90+1,AB90))))))</f>
        <v>7</v>
      </c>
      <c r="AC91" s="321" t="str">
        <f t="shared" si="16"/>
        <v>207</v>
      </c>
      <c r="AD91" s="321">
        <f>IF(Instructions!$E$11=8,IF($D91=Instructions!$F$44,AD90+1,AD90),IF(Instructions!$E$11=10,IF($H91=Instructions!$F$44,AD90+1,AD90),IF(Instructions!$E$11=12,IF($L91=Instructions!$F$44,AD90+1,AD90),IF(Instructions!$E$11=14,IF($P91=Instructions!$F$44,AD90+1,AD90),IF(Instructions!$E$11=16,IF($T91=Instructions!$F$44,AD90+1,AD90))))))</f>
        <v>7</v>
      </c>
      <c r="AE91" s="321" t="str">
        <f t="shared" si="17"/>
        <v>307</v>
      </c>
      <c r="AF91" s="321">
        <f>IF(Instructions!$E$11=8,IF($D91=Instructions!$F$45,AF90+1,AF90),IF(Instructions!$E$11=10,IF($H91=Instructions!$F$45,AF90+1,AF90),IF(Instructions!$E$11=12,IF($L91=Instructions!$F$45,AF90+1,AF90),IF(Instructions!$E$11=14,IF($P91=Instructions!$F$45,AF90+1,AF90),IF(Instructions!$E$11=16,IF($T91=Instructions!$F$45,AF90+1,AF90))))))</f>
        <v>7</v>
      </c>
      <c r="AG91" s="321" t="str">
        <f t="shared" si="18"/>
        <v>407</v>
      </c>
      <c r="AH91" s="321">
        <f>IF(Instructions!$E$11=8,IF($D91=Instructions!$F$46,AH90+1,AH90),IF(Instructions!$E$11=10,IF($H91=Instructions!$F$46,AH90+1,AH90),IF(Instructions!$E$11=12,IF($L91=Instructions!$F$46,AH90+1,AH90),IF(Instructions!$E$11=14,IF($P91=Instructions!$F$46,AH90+1,AH90),IF(Instructions!$E$11=16,IF($T91=Instructions!$F$46,AH90+1,AH90))))))</f>
        <v>7</v>
      </c>
      <c r="AI91" s="321" t="str">
        <f t="shared" si="19"/>
        <v>507</v>
      </c>
      <c r="AJ91" s="321">
        <f>IF(Instructions!$E$11=8,IF($D91=Instructions!$F$47,AJ90+1,AJ90),IF(Instructions!$E$11=10,IF($H91=Instructions!$F$47,AJ90+1,AJ90),IF(Instructions!$E$11=12,IF($L91=Instructions!$F$47,AJ90+1,AJ90),IF(Instructions!$E$11=14,IF($P91=Instructions!$F$47,AJ90+1,AJ90),IF(Instructions!$E$11=16,IF($T91=Instructions!$F$47,AJ90+1,AJ90))))))</f>
        <v>7</v>
      </c>
      <c r="AK91" s="321" t="str">
        <f t="shared" si="20"/>
        <v>607</v>
      </c>
      <c r="AL91" s="321">
        <f>IF(Instructions!$E$11=8,IF($D91=Instructions!$F$48,AL90+1,AL90),IF(Instructions!$E$11=10,IF($H91=Instructions!$F$48,AL90+1,AL90),IF(Instructions!$E$11=12,IF($L91=Instructions!$F$48,AL90+1,AL90),IF(Instructions!$E$11=14,IF($P91=Instructions!$F$48,AL90+1,AL90),IF(Instructions!$E$11=16,IF($T91=Instructions!$F$48,AL90+1,AL90))))))</f>
        <v>7</v>
      </c>
      <c r="AM91" s="321" t="str">
        <f t="shared" si="21"/>
        <v>707</v>
      </c>
      <c r="AN91" s="321">
        <f>IF(Instructions!$E$11=8,IF($D91=Instructions!$F$49,AN90+1,AN90),IF(Instructions!$E$11=10,IF($H91=Instructions!$F$49,AN90+1,AN90),IF(Instructions!$E$11=12,IF($L91=Instructions!$F$49,AN90+1,AN90),IF(Instructions!$E$11=14,IF($P91=Instructions!$F$49,AN90+1,AN90),IF(Instructions!$E$11=16,IF($T91=Instructions!$F$49,AN90+1,AN90))))))</f>
        <v>8</v>
      </c>
      <c r="AO91" s="321" t="str">
        <f t="shared" si="22"/>
        <v>808</v>
      </c>
      <c r="AP91" s="321">
        <f>IF(Instructions!$E$11=8,IF($D91=Instructions!$F$50,AP90+1,AP90),IF(Instructions!$E$11=10,IF($H91=Instructions!$F$50,AP90+1,AP90),IF(Instructions!$E$11=12,IF($L91=Instructions!$F$50,AP90+1,AP90),IF(Instructions!$E$11=14,IF($P91=Instructions!$F$50,AP90+1,AP90),IF(Instructions!$E$11=16,IF($T91=Instructions!$F$50,AP90+1,AP90))))))</f>
        <v>8</v>
      </c>
      <c r="AQ91" s="321" t="str">
        <f t="shared" si="23"/>
        <v>908</v>
      </c>
      <c r="AR91" s="321">
        <f>IF(Instructions!$E$11=8,IF($D91=Instructions!$F$51,AR90+1,AR90),IF(Instructions!$E$11=10,IF($H91=Instructions!$F$51,AR90+1,AR90),IF(Instructions!$E$11=12,IF($L91=Instructions!$F$51,AR90+1,AR90),IF(Instructions!$E$11=14,IF($P91=Instructions!$F$51,AR90+1,AR90),IF(Instructions!$E$11=16,IF($T91=Instructions!$F$51,AR90+1,AR90))))))</f>
        <v>8</v>
      </c>
      <c r="AS91" s="321" t="str">
        <f t="shared" si="25"/>
        <v>1008</v>
      </c>
      <c r="AT91" s="321">
        <f>IF(Instructions!$E$11=8,IF($D91=Instructions!$F$52,AT90+1,AT90),IF(Instructions!$E$11=10,IF($H91=Instructions!$F$52,AT90+1,AT90),IF(Instructions!$E$11=12,IF($L91=Instructions!$F$52,AT90+1,AT90),IF(Instructions!$E$11=14,IF($P91=Instructions!$F$52,AT90+1,AT90),IF(Instructions!$E$11=16,IF($T91=Instructions!$F$52,AT90+1,AT90))))))</f>
        <v>8</v>
      </c>
      <c r="AU91" s="321" t="str">
        <f t="shared" si="26"/>
        <v>1108</v>
      </c>
      <c r="AV91" s="321">
        <f>IF(Instructions!$E$11=8,IF($D91=Instructions!$F$53,AV90+1,AV90),IF(Instructions!$E$11=10,IF($H91=Instructions!$F$53,AV90+1,AV90),IF(Instructions!$E$11=12,IF($L91=Instructions!$F$53,AV90+1,AV90),IF(Instructions!$E$11=14,IF($P91=Instructions!$F$53,AV90+1,AV90),IF(Instructions!$E$11=16,IF($T91=Instructions!$F$53,AV90+1,AV90))))))</f>
        <v>8</v>
      </c>
      <c r="AW91" s="321" t="str">
        <f t="shared" si="27"/>
        <v>1208</v>
      </c>
      <c r="AX91" s="321">
        <f>IF(Instructions!$E$11=8,IF($D91=Instructions!$F$54,AX90+1,AX90),IF(Instructions!$E$11=10,IF($H91=Instructions!$F$54,AX90+1,AX90),IF(Instructions!$E$11=12,IF($L91=Instructions!$F$54,AX90+1,AX90),IF(Instructions!$E$11=14,IF($P91=Instructions!$F$54,AX90+1,AX90),IF(Instructions!$E$11=16,IF($T91=Instructions!$F$54,AX90+1,AX90))))))</f>
        <v>0</v>
      </c>
      <c r="AY91" s="321" t="str">
        <f t="shared" si="28"/>
        <v>1300</v>
      </c>
      <c r="AZ91" s="321">
        <f>IF(Instructions!$E$11=8,IF($D91=Instructions!$F$55,AZ90+1,AZ90),IF(Instructions!$E$11=10,IF($H91=Instructions!$F$55,AZ90+1,AZ90),IF(Instructions!$E$11=12,IF($L91=Instructions!$F$55,AZ90+1,AZ90),IF(Instructions!$E$11=14,IF($P91=Instructions!$F$55,AZ90+1,AZ90),IF(Instructions!$E$11=16,IF($T91=Instructions!$F$55,AZ90+1,AZ90))))))</f>
        <v>0</v>
      </c>
      <c r="BA91" s="321" t="str">
        <f t="shared" si="29"/>
        <v>1400</v>
      </c>
      <c r="BB91" s="321">
        <f>IF(Instructions!$E$11=8,IF($D91=Instructions!$F$56,BB90+1,BB90),IF(Instructions!$E$11=10,IF($H91=Instructions!$F$56,BB90+1,BB90),IF(Instructions!$E$11=12,IF($L91=Instructions!$F$56,BB90+1,BB90),IF(Instructions!$E$11=14,IF($P91=Instructions!$F$56,BB90+1,BB90),IF(Instructions!$E$11=16,IF($T91=Instructions!$F$56,BB90+1,BB90))))))</f>
        <v>0</v>
      </c>
      <c r="BC91" s="321" t="str">
        <f t="shared" si="30"/>
        <v>1500</v>
      </c>
      <c r="BD91" s="321">
        <f>IF(Instructions!$E$11=8,IF($D91=Instructions!$F$57,BD90+1,BD90),IF(Instructions!$E$11=10,IF($H91=Instructions!$F$57,BD90+1,BD90),IF(Instructions!$E$11=12,IF($L91=Instructions!$F$57,BD90+1,BD90),IF(Instructions!$E$11=14,IF($P91=Instructions!$F$57,BD90+1,BD90),IF(Instructions!$E$11=16,IF($T91=Instructions!$F$57,BD90+1,BD90))))))</f>
        <v>0</v>
      </c>
      <c r="BE91" s="321" t="str">
        <f t="shared" si="31"/>
        <v>1600</v>
      </c>
      <c r="BF91" s="321">
        <v>89</v>
      </c>
    </row>
    <row r="92" spans="1:58" ht="15.75" thickBot="1" x14ac:dyDescent="0.3">
      <c r="A92" s="280"/>
      <c r="B92" s="323" t="str">
        <f>IF(Instructions!$J$11=1,AA92,IF(Instructions!$J$11=2,AC92,IF(Instructions!$J$11=3,AE92,IF(Instructions!$J$11=4,AG92,IF(Instructions!$J$11=5,AI92,IF(Instructions!$J$11=6,AK92,IF(Instructions!$J$11=7,AM92,IF(Instructions!$J$11=8,AO92,IF(Instructions!$J$11=9,AQ92,IF(Instructions!$J$11=10,AS92,IF(Instructions!$J$11=11,AU92,IF(Instructions!$J$11=12,AW92,IF(Instructions!$J$11=13, AY92, IF(Instructions!$J$11=14,BA92,IF(Instructions!$J$11=15,BC92,BE92)))))))))))))))</f>
        <v>207</v>
      </c>
      <c r="C92" s="272">
        <v>90</v>
      </c>
      <c r="D92" s="327" t="str">
        <f>Instructions!F$48</f>
        <v>Bui</v>
      </c>
      <c r="E92" s="332" t="s">
        <v>840</v>
      </c>
      <c r="F92" s="706"/>
      <c r="G92" s="279">
        <v>12</v>
      </c>
      <c r="H92" s="295" t="str">
        <f>Instructions!F$51</f>
        <v>Josh</v>
      </c>
      <c r="I92" s="277" t="s">
        <v>812</v>
      </c>
      <c r="J92" s="710"/>
      <c r="K92" s="279">
        <v>9</v>
      </c>
      <c r="L92" s="294" t="str">
        <f>Instructions!F$48</f>
        <v>Bui</v>
      </c>
      <c r="M92" s="274" t="s">
        <v>796</v>
      </c>
      <c r="N92" s="709"/>
      <c r="O92" s="279">
        <v>8</v>
      </c>
      <c r="P92" s="294" t="str">
        <f>Instructions!F$47</f>
        <v>Devin</v>
      </c>
      <c r="Q92" s="274" t="s">
        <v>784</v>
      </c>
      <c r="R92" s="709"/>
      <c r="S92" s="279">
        <v>7</v>
      </c>
      <c r="T92" s="327" t="str">
        <f>Instructions!F$48</f>
        <v>Bui</v>
      </c>
      <c r="U92" s="274" t="s">
        <v>776</v>
      </c>
      <c r="V92" s="706"/>
      <c r="W92" s="279">
        <v>6</v>
      </c>
      <c r="X92" s="280"/>
      <c r="Y92" s="190" t="str">
        <f>IFERROR( IF(Instructions!$E$11=8, D92&amp;COUNTIF(D$3:D92,D92), IF(Instructions!$E$11=10, H92&amp;COUNTIF(H$3:H92,H92),IF(Instructions!$E$11=12, L92&amp;COUNTIF(L$3:L92,L92),IF(Instructions!$E$11=14, P92&amp;COUNTIF(P$3:P92,P92),T92&amp;COUNTIF(T$3:T92,T92))))),"")</f>
        <v>Bui8</v>
      </c>
      <c r="Z92" s="321">
        <f>IF(Instructions!$E$11=8,IF($D92=Instructions!$F$42,Z91+1,Z91),IF(Instructions!$E$11=10,IF($H92=Instructions!$F$42,Z91+1,Z91),IF(Instructions!$E$11=12,IF($L92=Instructions!$F$42,Z91+1,Z91),IF(Instructions!$E$11=14,IF($P92=Instructions!$F$42,Z91+1,Z91),IF(Instructions!$E$11=16,IF($T92=Instructions!$F$42,Z91+1,Z91))))))</f>
        <v>7</v>
      </c>
      <c r="AA92" s="321" t="str">
        <f t="shared" si="24"/>
        <v>107</v>
      </c>
      <c r="AB92" s="321">
        <f>IF(Instructions!$E$11=8,IF($D92=Instructions!$F$43,AB91+1,AB91),IF(Instructions!$E$11=10,IF($H92=Instructions!$F$43,AB91+1,AB91),IF(Instructions!$E$11=12,IF($L92=Instructions!$F$43,AB91+1,AB91),IF(Instructions!$E$11=14,IF($P92=Instructions!$F$43,AB91+1,AB91),IF(Instructions!$E$11=16,IF($T92=Instructions!$F$43,AB91+1,AB91))))))</f>
        <v>7</v>
      </c>
      <c r="AC92" s="321" t="str">
        <f t="shared" si="16"/>
        <v>207</v>
      </c>
      <c r="AD92" s="321">
        <f>IF(Instructions!$E$11=8,IF($D92=Instructions!$F$44,AD91+1,AD91),IF(Instructions!$E$11=10,IF($H92=Instructions!$F$44,AD91+1,AD91),IF(Instructions!$E$11=12,IF($L92=Instructions!$F$44,AD91+1,AD91),IF(Instructions!$E$11=14,IF($P92=Instructions!$F$44,AD91+1,AD91),IF(Instructions!$E$11=16,IF($T92=Instructions!$F$44,AD91+1,AD91))))))</f>
        <v>7</v>
      </c>
      <c r="AE92" s="321" t="str">
        <f t="shared" si="17"/>
        <v>307</v>
      </c>
      <c r="AF92" s="321">
        <f>IF(Instructions!$E$11=8,IF($D92=Instructions!$F$45,AF91+1,AF91),IF(Instructions!$E$11=10,IF($H92=Instructions!$F$45,AF91+1,AF91),IF(Instructions!$E$11=12,IF($L92=Instructions!$F$45,AF91+1,AF91),IF(Instructions!$E$11=14,IF($P92=Instructions!$F$45,AF91+1,AF91),IF(Instructions!$E$11=16,IF($T92=Instructions!$F$45,AF91+1,AF91))))))</f>
        <v>7</v>
      </c>
      <c r="AG92" s="321" t="str">
        <f t="shared" si="18"/>
        <v>407</v>
      </c>
      <c r="AH92" s="321">
        <f>IF(Instructions!$E$11=8,IF($D92=Instructions!$F$46,AH91+1,AH91),IF(Instructions!$E$11=10,IF($H92=Instructions!$F$46,AH91+1,AH91),IF(Instructions!$E$11=12,IF($L92=Instructions!$F$46,AH91+1,AH91),IF(Instructions!$E$11=14,IF($P92=Instructions!$F$46,AH91+1,AH91),IF(Instructions!$E$11=16,IF($T92=Instructions!$F$46,AH91+1,AH91))))))</f>
        <v>7</v>
      </c>
      <c r="AI92" s="321" t="str">
        <f t="shared" si="19"/>
        <v>507</v>
      </c>
      <c r="AJ92" s="321">
        <f>IF(Instructions!$E$11=8,IF($D92=Instructions!$F$47,AJ91+1,AJ91),IF(Instructions!$E$11=10,IF($H92=Instructions!$F$47,AJ91+1,AJ91),IF(Instructions!$E$11=12,IF($L92=Instructions!$F$47,AJ91+1,AJ91),IF(Instructions!$E$11=14,IF($P92=Instructions!$F$47,AJ91+1,AJ91),IF(Instructions!$E$11=16,IF($T92=Instructions!$F$47,AJ91+1,AJ91))))))</f>
        <v>7</v>
      </c>
      <c r="AK92" s="321" t="str">
        <f t="shared" si="20"/>
        <v>607</v>
      </c>
      <c r="AL92" s="321">
        <f>IF(Instructions!$E$11=8,IF($D92=Instructions!$F$48,AL91+1,AL91),IF(Instructions!$E$11=10,IF($H92=Instructions!$F$48,AL91+1,AL91),IF(Instructions!$E$11=12,IF($L92=Instructions!$F$48,AL91+1,AL91),IF(Instructions!$E$11=14,IF($P92=Instructions!$F$48,AL91+1,AL91),IF(Instructions!$E$11=16,IF($T92=Instructions!$F$48,AL91+1,AL91))))))</f>
        <v>8</v>
      </c>
      <c r="AM92" s="321" t="str">
        <f t="shared" si="21"/>
        <v>708</v>
      </c>
      <c r="AN92" s="321">
        <f>IF(Instructions!$E$11=8,IF($D92=Instructions!$F$49,AN91+1,AN91),IF(Instructions!$E$11=10,IF($H92=Instructions!$F$49,AN91+1,AN91),IF(Instructions!$E$11=12,IF($L92=Instructions!$F$49,AN91+1,AN91),IF(Instructions!$E$11=14,IF($P92=Instructions!$F$49,AN91+1,AN91),IF(Instructions!$E$11=16,IF($T92=Instructions!$F$49,AN91+1,AN91))))))</f>
        <v>8</v>
      </c>
      <c r="AO92" s="321" t="str">
        <f t="shared" si="22"/>
        <v>808</v>
      </c>
      <c r="AP92" s="321">
        <f>IF(Instructions!$E$11=8,IF($D92=Instructions!$F$50,AP91+1,AP91),IF(Instructions!$E$11=10,IF($H92=Instructions!$F$50,AP91+1,AP91),IF(Instructions!$E$11=12,IF($L92=Instructions!$F$50,AP91+1,AP91),IF(Instructions!$E$11=14,IF($P92=Instructions!$F$50,AP91+1,AP91),IF(Instructions!$E$11=16,IF($T92=Instructions!$F$50,AP91+1,AP91))))))</f>
        <v>8</v>
      </c>
      <c r="AQ92" s="321" t="str">
        <f t="shared" si="23"/>
        <v>908</v>
      </c>
      <c r="AR92" s="321">
        <f>IF(Instructions!$E$11=8,IF($D92=Instructions!$F$51,AR91+1,AR91),IF(Instructions!$E$11=10,IF($H92=Instructions!$F$51,AR91+1,AR91),IF(Instructions!$E$11=12,IF($L92=Instructions!$F$51,AR91+1,AR91),IF(Instructions!$E$11=14,IF($P92=Instructions!$F$51,AR91+1,AR91),IF(Instructions!$E$11=16,IF($T92=Instructions!$F$51,AR91+1,AR91))))))</f>
        <v>8</v>
      </c>
      <c r="AS92" s="321" t="str">
        <f t="shared" si="25"/>
        <v>1008</v>
      </c>
      <c r="AT92" s="321">
        <f>IF(Instructions!$E$11=8,IF($D92=Instructions!$F$52,AT91+1,AT91),IF(Instructions!$E$11=10,IF($H92=Instructions!$F$52,AT91+1,AT91),IF(Instructions!$E$11=12,IF($L92=Instructions!$F$52,AT91+1,AT91),IF(Instructions!$E$11=14,IF($P92=Instructions!$F$52,AT91+1,AT91),IF(Instructions!$E$11=16,IF($T92=Instructions!$F$52,AT91+1,AT91))))))</f>
        <v>8</v>
      </c>
      <c r="AU92" s="321" t="str">
        <f t="shared" si="26"/>
        <v>1108</v>
      </c>
      <c r="AV92" s="321">
        <f>IF(Instructions!$E$11=8,IF($D92=Instructions!$F$53,AV91+1,AV91),IF(Instructions!$E$11=10,IF($H92=Instructions!$F$53,AV91+1,AV91),IF(Instructions!$E$11=12,IF($L92=Instructions!$F$53,AV91+1,AV91),IF(Instructions!$E$11=14,IF($P92=Instructions!$F$53,AV91+1,AV91),IF(Instructions!$E$11=16,IF($T92=Instructions!$F$53,AV91+1,AV91))))))</f>
        <v>8</v>
      </c>
      <c r="AW92" s="321" t="str">
        <f t="shared" si="27"/>
        <v>1208</v>
      </c>
      <c r="AX92" s="321">
        <f>IF(Instructions!$E$11=8,IF($D92=Instructions!$F$54,AX91+1,AX91),IF(Instructions!$E$11=10,IF($H92=Instructions!$F$54,AX91+1,AX91),IF(Instructions!$E$11=12,IF($L92=Instructions!$F$54,AX91+1,AX91),IF(Instructions!$E$11=14,IF($P92=Instructions!$F$54,AX91+1,AX91),IF(Instructions!$E$11=16,IF($T92=Instructions!$F$54,AX91+1,AX91))))))</f>
        <v>0</v>
      </c>
      <c r="AY92" s="321" t="str">
        <f t="shared" si="28"/>
        <v>1300</v>
      </c>
      <c r="AZ92" s="321">
        <f>IF(Instructions!$E$11=8,IF($D92=Instructions!$F$55,AZ91+1,AZ91),IF(Instructions!$E$11=10,IF($H92=Instructions!$F$55,AZ91+1,AZ91),IF(Instructions!$E$11=12,IF($L92=Instructions!$F$55,AZ91+1,AZ91),IF(Instructions!$E$11=14,IF($P92=Instructions!$F$55,AZ91+1,AZ91),IF(Instructions!$E$11=16,IF($T92=Instructions!$F$55,AZ91+1,AZ91))))))</f>
        <v>0</v>
      </c>
      <c r="BA92" s="321" t="str">
        <f t="shared" si="29"/>
        <v>1400</v>
      </c>
      <c r="BB92" s="321">
        <f>IF(Instructions!$E$11=8,IF($D92=Instructions!$F$56,BB91+1,BB91),IF(Instructions!$E$11=10,IF($H92=Instructions!$F$56,BB91+1,BB91),IF(Instructions!$E$11=12,IF($L92=Instructions!$F$56,BB91+1,BB91),IF(Instructions!$E$11=14,IF($P92=Instructions!$F$56,BB91+1,BB91),IF(Instructions!$E$11=16,IF($T92=Instructions!$F$56,BB91+1,BB91))))))</f>
        <v>0</v>
      </c>
      <c r="BC92" s="321" t="str">
        <f t="shared" si="30"/>
        <v>1500</v>
      </c>
      <c r="BD92" s="321">
        <f>IF(Instructions!$E$11=8,IF($D92=Instructions!$F$57,BD91+1,BD91),IF(Instructions!$E$11=10,IF($H92=Instructions!$F$57,BD91+1,BD91),IF(Instructions!$E$11=12,IF($L92=Instructions!$F$57,BD91+1,BD91),IF(Instructions!$E$11=14,IF($P92=Instructions!$F$57,BD91+1,BD91),IF(Instructions!$E$11=16,IF($T92=Instructions!$F$57,BD91+1,BD91))))))</f>
        <v>0</v>
      </c>
      <c r="BE92" s="321" t="str">
        <f t="shared" si="31"/>
        <v>1600</v>
      </c>
      <c r="BF92" s="321">
        <v>90</v>
      </c>
    </row>
    <row r="93" spans="1:58" ht="15" customHeight="1" x14ac:dyDescent="0.25">
      <c r="A93" s="280"/>
      <c r="B93" s="323" t="str">
        <f>IF(Instructions!$J$11=1,AA93,IF(Instructions!$J$11=2,AC93,IF(Instructions!$J$11=3,AE93,IF(Instructions!$J$11=4,AG93,IF(Instructions!$J$11=5,AI93,IF(Instructions!$J$11=6,AK93,IF(Instructions!$J$11=7,AM93,IF(Instructions!$J$11=8,AO93,IF(Instructions!$J$11=9,AQ93,IF(Instructions!$J$11=10,AS93,IF(Instructions!$J$11=11,AU93,IF(Instructions!$J$11=12,AW93,IF(Instructions!$J$11=13, AY93, IF(Instructions!$J$11=14,BA93,IF(Instructions!$J$11=15,BC93,BE93)))))))))))))))</f>
        <v>207</v>
      </c>
      <c r="C93" s="271">
        <v>91</v>
      </c>
      <c r="D93" s="328" t="str">
        <f>Instructions!F$47</f>
        <v>Devin</v>
      </c>
      <c r="E93" s="333" t="s">
        <v>841</v>
      </c>
      <c r="F93" s="706"/>
      <c r="G93" s="279">
        <v>12</v>
      </c>
      <c r="H93" s="292" t="str">
        <f>Instructions!F$51</f>
        <v>Josh</v>
      </c>
      <c r="I93" s="278" t="s">
        <v>815</v>
      </c>
      <c r="J93" s="708" t="s">
        <v>905</v>
      </c>
      <c r="K93" s="279">
        <v>10</v>
      </c>
      <c r="L93" s="293" t="str">
        <f>Instructions!F$47</f>
        <v>Devin</v>
      </c>
      <c r="M93" s="273" t="s">
        <v>797</v>
      </c>
      <c r="N93" s="709"/>
      <c r="O93" s="279">
        <v>8</v>
      </c>
      <c r="P93" s="293" t="str">
        <f>Instructions!F$48</f>
        <v>Bui</v>
      </c>
      <c r="Q93" s="273" t="s">
        <v>785</v>
      </c>
      <c r="R93" s="709"/>
      <c r="S93" s="279">
        <v>7</v>
      </c>
      <c r="T93" s="328" t="str">
        <f>Instructions!F$47</f>
        <v>Devin</v>
      </c>
      <c r="U93" s="273" t="s">
        <v>777</v>
      </c>
      <c r="V93" s="706"/>
      <c r="W93" s="279">
        <v>6</v>
      </c>
      <c r="X93" s="280"/>
      <c r="Y93" s="190" t="str">
        <f>IFERROR( IF(Instructions!$E$11=8, D93&amp;COUNTIF(D$3:D93,D93), IF(Instructions!$E$11=10, H93&amp;COUNTIF(H$3:H93,H93),IF(Instructions!$E$11=12, L93&amp;COUNTIF(L$3:L93,L93),IF(Instructions!$E$11=14, P93&amp;COUNTIF(P$3:P93,P93),T93&amp;COUNTIF(T$3:T93,T93))))),"")</f>
        <v>Devin8</v>
      </c>
      <c r="Z93" s="321">
        <f>IF(Instructions!$E$11=8,IF($D93=Instructions!$F$42,Z92+1,Z92),IF(Instructions!$E$11=10,IF($H93=Instructions!$F$42,Z92+1,Z92),IF(Instructions!$E$11=12,IF($L93=Instructions!$F$42,Z92+1,Z92),IF(Instructions!$E$11=14,IF($P93=Instructions!$F$42,Z92+1,Z92),IF(Instructions!$E$11=16,IF($T93=Instructions!$F$42,Z92+1,Z92))))))</f>
        <v>7</v>
      </c>
      <c r="AA93" s="321" t="str">
        <f t="shared" si="24"/>
        <v>107</v>
      </c>
      <c r="AB93" s="321">
        <f>IF(Instructions!$E$11=8,IF($D93=Instructions!$F$43,AB92+1,AB92),IF(Instructions!$E$11=10,IF($H93=Instructions!$F$43,AB92+1,AB92),IF(Instructions!$E$11=12,IF($L93=Instructions!$F$43,AB92+1,AB92),IF(Instructions!$E$11=14,IF($P93=Instructions!$F$43,AB92+1,AB92),IF(Instructions!$E$11=16,IF($T93=Instructions!$F$43,AB92+1,AB92))))))</f>
        <v>7</v>
      </c>
      <c r="AC93" s="321" t="str">
        <f t="shared" si="16"/>
        <v>207</v>
      </c>
      <c r="AD93" s="321">
        <f>IF(Instructions!$E$11=8,IF($D93=Instructions!$F$44,AD92+1,AD92),IF(Instructions!$E$11=10,IF($H93=Instructions!$F$44,AD92+1,AD92),IF(Instructions!$E$11=12,IF($L93=Instructions!$F$44,AD92+1,AD92),IF(Instructions!$E$11=14,IF($P93=Instructions!$F$44,AD92+1,AD92),IF(Instructions!$E$11=16,IF($T93=Instructions!$F$44,AD92+1,AD92))))))</f>
        <v>7</v>
      </c>
      <c r="AE93" s="321" t="str">
        <f t="shared" si="17"/>
        <v>307</v>
      </c>
      <c r="AF93" s="321">
        <f>IF(Instructions!$E$11=8,IF($D93=Instructions!$F$45,AF92+1,AF92),IF(Instructions!$E$11=10,IF($H93=Instructions!$F$45,AF92+1,AF92),IF(Instructions!$E$11=12,IF($L93=Instructions!$F$45,AF92+1,AF92),IF(Instructions!$E$11=14,IF($P93=Instructions!$F$45,AF92+1,AF92),IF(Instructions!$E$11=16,IF($T93=Instructions!$F$45,AF92+1,AF92))))))</f>
        <v>7</v>
      </c>
      <c r="AG93" s="321" t="str">
        <f t="shared" si="18"/>
        <v>407</v>
      </c>
      <c r="AH93" s="321">
        <f>IF(Instructions!$E$11=8,IF($D93=Instructions!$F$46,AH92+1,AH92),IF(Instructions!$E$11=10,IF($H93=Instructions!$F$46,AH92+1,AH92),IF(Instructions!$E$11=12,IF($L93=Instructions!$F$46,AH92+1,AH92),IF(Instructions!$E$11=14,IF($P93=Instructions!$F$46,AH92+1,AH92),IF(Instructions!$E$11=16,IF($T93=Instructions!$F$46,AH92+1,AH92))))))</f>
        <v>7</v>
      </c>
      <c r="AI93" s="321" t="str">
        <f t="shared" si="19"/>
        <v>507</v>
      </c>
      <c r="AJ93" s="321">
        <f>IF(Instructions!$E$11=8,IF($D93=Instructions!$F$47,AJ92+1,AJ92),IF(Instructions!$E$11=10,IF($H93=Instructions!$F$47,AJ92+1,AJ92),IF(Instructions!$E$11=12,IF($L93=Instructions!$F$47,AJ92+1,AJ92),IF(Instructions!$E$11=14,IF($P93=Instructions!$F$47,AJ92+1,AJ92),IF(Instructions!$E$11=16,IF($T93=Instructions!$F$47,AJ92+1,AJ92))))))</f>
        <v>8</v>
      </c>
      <c r="AK93" s="321" t="str">
        <f t="shared" si="20"/>
        <v>608</v>
      </c>
      <c r="AL93" s="321">
        <f>IF(Instructions!$E$11=8,IF($D93=Instructions!$F$48,AL92+1,AL92),IF(Instructions!$E$11=10,IF($H93=Instructions!$F$48,AL92+1,AL92),IF(Instructions!$E$11=12,IF($L93=Instructions!$F$48,AL92+1,AL92),IF(Instructions!$E$11=14,IF($P93=Instructions!$F$48,AL92+1,AL92),IF(Instructions!$E$11=16,IF($T93=Instructions!$F$48,AL92+1,AL92))))))</f>
        <v>8</v>
      </c>
      <c r="AM93" s="321" t="str">
        <f t="shared" si="21"/>
        <v>708</v>
      </c>
      <c r="AN93" s="321">
        <f>IF(Instructions!$E$11=8,IF($D93=Instructions!$F$49,AN92+1,AN92),IF(Instructions!$E$11=10,IF($H93=Instructions!$F$49,AN92+1,AN92),IF(Instructions!$E$11=12,IF($L93=Instructions!$F$49,AN92+1,AN92),IF(Instructions!$E$11=14,IF($P93=Instructions!$F$49,AN92+1,AN92),IF(Instructions!$E$11=16,IF($T93=Instructions!$F$49,AN92+1,AN92))))))</f>
        <v>8</v>
      </c>
      <c r="AO93" s="321" t="str">
        <f t="shared" si="22"/>
        <v>808</v>
      </c>
      <c r="AP93" s="321">
        <f>IF(Instructions!$E$11=8,IF($D93=Instructions!$F$50,AP92+1,AP92),IF(Instructions!$E$11=10,IF($H93=Instructions!$F$50,AP92+1,AP92),IF(Instructions!$E$11=12,IF($L93=Instructions!$F$50,AP92+1,AP92),IF(Instructions!$E$11=14,IF($P93=Instructions!$F$50,AP92+1,AP92),IF(Instructions!$E$11=16,IF($T93=Instructions!$F$50,AP92+1,AP92))))))</f>
        <v>8</v>
      </c>
      <c r="AQ93" s="321" t="str">
        <f t="shared" si="23"/>
        <v>908</v>
      </c>
      <c r="AR93" s="321">
        <f>IF(Instructions!$E$11=8,IF($D93=Instructions!$F$51,AR92+1,AR92),IF(Instructions!$E$11=10,IF($H93=Instructions!$F$51,AR92+1,AR92),IF(Instructions!$E$11=12,IF($L93=Instructions!$F$51,AR92+1,AR92),IF(Instructions!$E$11=14,IF($P93=Instructions!$F$51,AR92+1,AR92),IF(Instructions!$E$11=16,IF($T93=Instructions!$F$51,AR92+1,AR92))))))</f>
        <v>8</v>
      </c>
      <c r="AS93" s="321" t="str">
        <f t="shared" si="25"/>
        <v>1008</v>
      </c>
      <c r="AT93" s="321">
        <f>IF(Instructions!$E$11=8,IF($D93=Instructions!$F$52,AT92+1,AT92),IF(Instructions!$E$11=10,IF($H93=Instructions!$F$52,AT92+1,AT92),IF(Instructions!$E$11=12,IF($L93=Instructions!$F$52,AT92+1,AT92),IF(Instructions!$E$11=14,IF($P93=Instructions!$F$52,AT92+1,AT92),IF(Instructions!$E$11=16,IF($T93=Instructions!$F$52,AT92+1,AT92))))))</f>
        <v>8</v>
      </c>
      <c r="AU93" s="321" t="str">
        <f t="shared" si="26"/>
        <v>1108</v>
      </c>
      <c r="AV93" s="321">
        <f>IF(Instructions!$E$11=8,IF($D93=Instructions!$F$53,AV92+1,AV92),IF(Instructions!$E$11=10,IF($H93=Instructions!$F$53,AV92+1,AV92),IF(Instructions!$E$11=12,IF($L93=Instructions!$F$53,AV92+1,AV92),IF(Instructions!$E$11=14,IF($P93=Instructions!$F$53,AV92+1,AV92),IF(Instructions!$E$11=16,IF($T93=Instructions!$F$53,AV92+1,AV92))))))</f>
        <v>8</v>
      </c>
      <c r="AW93" s="321" t="str">
        <f t="shared" si="27"/>
        <v>1208</v>
      </c>
      <c r="AX93" s="321">
        <f>IF(Instructions!$E$11=8,IF($D93=Instructions!$F$54,AX92+1,AX92),IF(Instructions!$E$11=10,IF($H93=Instructions!$F$54,AX92+1,AX92),IF(Instructions!$E$11=12,IF($L93=Instructions!$F$54,AX92+1,AX92),IF(Instructions!$E$11=14,IF($P93=Instructions!$F$54,AX92+1,AX92),IF(Instructions!$E$11=16,IF($T93=Instructions!$F$54,AX92+1,AX92))))))</f>
        <v>0</v>
      </c>
      <c r="AY93" s="321" t="str">
        <f t="shared" si="28"/>
        <v>1300</v>
      </c>
      <c r="AZ93" s="321">
        <f>IF(Instructions!$E$11=8,IF($D93=Instructions!$F$55,AZ92+1,AZ92),IF(Instructions!$E$11=10,IF($H93=Instructions!$F$55,AZ92+1,AZ92),IF(Instructions!$E$11=12,IF($L93=Instructions!$F$55,AZ92+1,AZ92),IF(Instructions!$E$11=14,IF($P93=Instructions!$F$55,AZ92+1,AZ92),IF(Instructions!$E$11=16,IF($T93=Instructions!$F$55,AZ92+1,AZ92))))))</f>
        <v>0</v>
      </c>
      <c r="BA93" s="321" t="str">
        <f t="shared" si="29"/>
        <v>1400</v>
      </c>
      <c r="BB93" s="321">
        <f>IF(Instructions!$E$11=8,IF($D93=Instructions!$F$56,BB92+1,BB92),IF(Instructions!$E$11=10,IF($H93=Instructions!$F$56,BB92+1,BB92),IF(Instructions!$E$11=12,IF($L93=Instructions!$F$56,BB92+1,BB92),IF(Instructions!$E$11=14,IF($P93=Instructions!$F$56,BB92+1,BB92),IF(Instructions!$E$11=16,IF($T93=Instructions!$F$56,BB92+1,BB92))))))</f>
        <v>0</v>
      </c>
      <c r="BC93" s="321" t="str">
        <f t="shared" si="30"/>
        <v>1500</v>
      </c>
      <c r="BD93" s="321">
        <f>IF(Instructions!$E$11=8,IF($D93=Instructions!$F$57,BD92+1,BD92),IF(Instructions!$E$11=10,IF($H93=Instructions!$F$57,BD92+1,BD92),IF(Instructions!$E$11=12,IF($L93=Instructions!$F$57,BD92+1,BD92),IF(Instructions!$E$11=14,IF($P93=Instructions!$F$57,BD92+1,BD92),IF(Instructions!$E$11=16,IF($T93=Instructions!$F$57,BD92+1,BD92))))))</f>
        <v>0</v>
      </c>
      <c r="BE93" s="321" t="str">
        <f t="shared" si="31"/>
        <v>1600</v>
      </c>
      <c r="BF93" s="321">
        <v>91</v>
      </c>
    </row>
    <row r="94" spans="1:58" x14ac:dyDescent="0.25">
      <c r="A94" s="280"/>
      <c r="B94" s="323" t="str">
        <f>IF(Instructions!$J$11=1,AA94,IF(Instructions!$J$11=2,AC94,IF(Instructions!$J$11=3,AE94,IF(Instructions!$J$11=4,AG94,IF(Instructions!$J$11=5,AI94,IF(Instructions!$J$11=6,AK94,IF(Instructions!$J$11=7,AM94,IF(Instructions!$J$11=8,AO94,IF(Instructions!$J$11=9,AQ94,IF(Instructions!$J$11=10,AS94,IF(Instructions!$J$11=11,AU94,IF(Instructions!$J$11=12,AW94,IF(Instructions!$J$11=13, AY94, IF(Instructions!$J$11=14,BA94,IF(Instructions!$J$11=15,BC94,BE94)))))))))))))))</f>
        <v>207</v>
      </c>
      <c r="C94" s="272">
        <v>92</v>
      </c>
      <c r="D94" s="327" t="str">
        <f>Instructions!F$46</f>
        <v>Con</v>
      </c>
      <c r="E94" s="332" t="s">
        <v>842</v>
      </c>
      <c r="F94" s="706"/>
      <c r="G94" s="279">
        <v>12</v>
      </c>
      <c r="H94" s="294" t="str">
        <f>Instructions!F$50</f>
        <v>Dan</v>
      </c>
      <c r="I94" s="274" t="s">
        <v>816</v>
      </c>
      <c r="J94" s="709"/>
      <c r="K94" s="279">
        <v>10</v>
      </c>
      <c r="L94" s="294" t="str">
        <f>Instructions!F$46</f>
        <v>Con</v>
      </c>
      <c r="M94" s="274" t="s">
        <v>798</v>
      </c>
      <c r="N94" s="709"/>
      <c r="O94" s="279">
        <v>8</v>
      </c>
      <c r="P94" s="294" t="str">
        <f>Instructions!F$49</f>
        <v>Luke</v>
      </c>
      <c r="Q94" s="274" t="s">
        <v>786</v>
      </c>
      <c r="R94" s="709"/>
      <c r="S94" s="279">
        <v>7</v>
      </c>
      <c r="T94" s="327" t="str">
        <f>Instructions!F$46</f>
        <v>Con</v>
      </c>
      <c r="U94" s="274" t="s">
        <v>778</v>
      </c>
      <c r="V94" s="706"/>
      <c r="W94" s="279">
        <v>6</v>
      </c>
      <c r="X94" s="280"/>
      <c r="Y94" s="190" t="str">
        <f>IFERROR( IF(Instructions!$E$11=8, D94&amp;COUNTIF(D$3:D94,D94), IF(Instructions!$E$11=10, H94&amp;COUNTIF(H$3:H94,H94),IF(Instructions!$E$11=12, L94&amp;COUNTIF(L$3:L94,L94),IF(Instructions!$E$11=14, P94&amp;COUNTIF(P$3:P94,P94),T94&amp;COUNTIF(T$3:T94,T94))))),"")</f>
        <v>Con8</v>
      </c>
      <c r="Z94" s="321">
        <f>IF(Instructions!$E$11=8,IF($D94=Instructions!$F$42,Z93+1,Z93),IF(Instructions!$E$11=10,IF($H94=Instructions!$F$42,Z93+1,Z93),IF(Instructions!$E$11=12,IF($L94=Instructions!$F$42,Z93+1,Z93),IF(Instructions!$E$11=14,IF($P94=Instructions!$F$42,Z93+1,Z93),IF(Instructions!$E$11=16,IF($T94=Instructions!$F$42,Z93+1,Z93))))))</f>
        <v>7</v>
      </c>
      <c r="AA94" s="321" t="str">
        <f t="shared" si="24"/>
        <v>107</v>
      </c>
      <c r="AB94" s="321">
        <f>IF(Instructions!$E$11=8,IF($D94=Instructions!$F$43,AB93+1,AB93),IF(Instructions!$E$11=10,IF($H94=Instructions!$F$43,AB93+1,AB93),IF(Instructions!$E$11=12,IF($L94=Instructions!$F$43,AB93+1,AB93),IF(Instructions!$E$11=14,IF($P94=Instructions!$F$43,AB93+1,AB93),IF(Instructions!$E$11=16,IF($T94=Instructions!$F$43,AB93+1,AB93))))))</f>
        <v>7</v>
      </c>
      <c r="AC94" s="321" t="str">
        <f t="shared" si="16"/>
        <v>207</v>
      </c>
      <c r="AD94" s="321">
        <f>IF(Instructions!$E$11=8,IF($D94=Instructions!$F$44,AD93+1,AD93),IF(Instructions!$E$11=10,IF($H94=Instructions!$F$44,AD93+1,AD93),IF(Instructions!$E$11=12,IF($L94=Instructions!$F$44,AD93+1,AD93),IF(Instructions!$E$11=14,IF($P94=Instructions!$F$44,AD93+1,AD93),IF(Instructions!$E$11=16,IF($T94=Instructions!$F$44,AD93+1,AD93))))))</f>
        <v>7</v>
      </c>
      <c r="AE94" s="321" t="str">
        <f t="shared" si="17"/>
        <v>307</v>
      </c>
      <c r="AF94" s="321">
        <f>IF(Instructions!$E$11=8,IF($D94=Instructions!$F$45,AF93+1,AF93),IF(Instructions!$E$11=10,IF($H94=Instructions!$F$45,AF93+1,AF93),IF(Instructions!$E$11=12,IF($L94=Instructions!$F$45,AF93+1,AF93),IF(Instructions!$E$11=14,IF($P94=Instructions!$F$45,AF93+1,AF93),IF(Instructions!$E$11=16,IF($T94=Instructions!$F$45,AF93+1,AF93))))))</f>
        <v>7</v>
      </c>
      <c r="AG94" s="321" t="str">
        <f t="shared" si="18"/>
        <v>407</v>
      </c>
      <c r="AH94" s="321">
        <f>IF(Instructions!$E$11=8,IF($D94=Instructions!$F$46,AH93+1,AH93),IF(Instructions!$E$11=10,IF($H94=Instructions!$F$46,AH93+1,AH93),IF(Instructions!$E$11=12,IF($L94=Instructions!$F$46,AH93+1,AH93),IF(Instructions!$E$11=14,IF($P94=Instructions!$F$46,AH93+1,AH93),IF(Instructions!$E$11=16,IF($T94=Instructions!$F$46,AH93+1,AH93))))))</f>
        <v>8</v>
      </c>
      <c r="AI94" s="321" t="str">
        <f t="shared" si="19"/>
        <v>508</v>
      </c>
      <c r="AJ94" s="321">
        <f>IF(Instructions!$E$11=8,IF($D94=Instructions!$F$47,AJ93+1,AJ93),IF(Instructions!$E$11=10,IF($H94=Instructions!$F$47,AJ93+1,AJ93),IF(Instructions!$E$11=12,IF($L94=Instructions!$F$47,AJ93+1,AJ93),IF(Instructions!$E$11=14,IF($P94=Instructions!$F$47,AJ93+1,AJ93),IF(Instructions!$E$11=16,IF($T94=Instructions!$F$47,AJ93+1,AJ93))))))</f>
        <v>8</v>
      </c>
      <c r="AK94" s="321" t="str">
        <f t="shared" si="20"/>
        <v>608</v>
      </c>
      <c r="AL94" s="321">
        <f>IF(Instructions!$E$11=8,IF($D94=Instructions!$F$48,AL93+1,AL93),IF(Instructions!$E$11=10,IF($H94=Instructions!$F$48,AL93+1,AL93),IF(Instructions!$E$11=12,IF($L94=Instructions!$F$48,AL93+1,AL93),IF(Instructions!$E$11=14,IF($P94=Instructions!$F$48,AL93+1,AL93),IF(Instructions!$E$11=16,IF($T94=Instructions!$F$48,AL93+1,AL93))))))</f>
        <v>8</v>
      </c>
      <c r="AM94" s="321" t="str">
        <f t="shared" si="21"/>
        <v>708</v>
      </c>
      <c r="AN94" s="321">
        <f>IF(Instructions!$E$11=8,IF($D94=Instructions!$F$49,AN93+1,AN93),IF(Instructions!$E$11=10,IF($H94=Instructions!$F$49,AN93+1,AN93),IF(Instructions!$E$11=12,IF($L94=Instructions!$F$49,AN93+1,AN93),IF(Instructions!$E$11=14,IF($P94=Instructions!$F$49,AN93+1,AN93),IF(Instructions!$E$11=16,IF($T94=Instructions!$F$49,AN93+1,AN93))))))</f>
        <v>8</v>
      </c>
      <c r="AO94" s="321" t="str">
        <f t="shared" si="22"/>
        <v>808</v>
      </c>
      <c r="AP94" s="321">
        <f>IF(Instructions!$E$11=8,IF($D94=Instructions!$F$50,AP93+1,AP93),IF(Instructions!$E$11=10,IF($H94=Instructions!$F$50,AP93+1,AP93),IF(Instructions!$E$11=12,IF($L94=Instructions!$F$50,AP93+1,AP93),IF(Instructions!$E$11=14,IF($P94=Instructions!$F$50,AP93+1,AP93),IF(Instructions!$E$11=16,IF($T94=Instructions!$F$50,AP93+1,AP93))))))</f>
        <v>8</v>
      </c>
      <c r="AQ94" s="321" t="str">
        <f t="shared" si="23"/>
        <v>908</v>
      </c>
      <c r="AR94" s="321">
        <f>IF(Instructions!$E$11=8,IF($D94=Instructions!$F$51,AR93+1,AR93),IF(Instructions!$E$11=10,IF($H94=Instructions!$F$51,AR93+1,AR93),IF(Instructions!$E$11=12,IF($L94=Instructions!$F$51,AR93+1,AR93),IF(Instructions!$E$11=14,IF($P94=Instructions!$F$51,AR93+1,AR93),IF(Instructions!$E$11=16,IF($T94=Instructions!$F$51,AR93+1,AR93))))))</f>
        <v>8</v>
      </c>
      <c r="AS94" s="321" t="str">
        <f t="shared" si="25"/>
        <v>1008</v>
      </c>
      <c r="AT94" s="321">
        <f>IF(Instructions!$E$11=8,IF($D94=Instructions!$F$52,AT93+1,AT93),IF(Instructions!$E$11=10,IF($H94=Instructions!$F$52,AT93+1,AT93),IF(Instructions!$E$11=12,IF($L94=Instructions!$F$52,AT93+1,AT93),IF(Instructions!$E$11=14,IF($P94=Instructions!$F$52,AT93+1,AT93),IF(Instructions!$E$11=16,IF($T94=Instructions!$F$52,AT93+1,AT93))))))</f>
        <v>8</v>
      </c>
      <c r="AU94" s="321" t="str">
        <f t="shared" si="26"/>
        <v>1108</v>
      </c>
      <c r="AV94" s="321">
        <f>IF(Instructions!$E$11=8,IF($D94=Instructions!$F$53,AV93+1,AV93),IF(Instructions!$E$11=10,IF($H94=Instructions!$F$53,AV93+1,AV93),IF(Instructions!$E$11=12,IF($L94=Instructions!$F$53,AV93+1,AV93),IF(Instructions!$E$11=14,IF($P94=Instructions!$F$53,AV93+1,AV93),IF(Instructions!$E$11=16,IF($T94=Instructions!$F$53,AV93+1,AV93))))))</f>
        <v>8</v>
      </c>
      <c r="AW94" s="321" t="str">
        <f t="shared" si="27"/>
        <v>1208</v>
      </c>
      <c r="AX94" s="321">
        <f>IF(Instructions!$E$11=8,IF($D94=Instructions!$F$54,AX93+1,AX93),IF(Instructions!$E$11=10,IF($H94=Instructions!$F$54,AX93+1,AX93),IF(Instructions!$E$11=12,IF($L94=Instructions!$F$54,AX93+1,AX93),IF(Instructions!$E$11=14,IF($P94=Instructions!$F$54,AX93+1,AX93),IF(Instructions!$E$11=16,IF($T94=Instructions!$F$54,AX93+1,AX93))))))</f>
        <v>0</v>
      </c>
      <c r="AY94" s="321" t="str">
        <f t="shared" si="28"/>
        <v>1300</v>
      </c>
      <c r="AZ94" s="321">
        <f>IF(Instructions!$E$11=8,IF($D94=Instructions!$F$55,AZ93+1,AZ93),IF(Instructions!$E$11=10,IF($H94=Instructions!$F$55,AZ93+1,AZ93),IF(Instructions!$E$11=12,IF($L94=Instructions!$F$55,AZ93+1,AZ93),IF(Instructions!$E$11=14,IF($P94=Instructions!$F$55,AZ93+1,AZ93),IF(Instructions!$E$11=16,IF($T94=Instructions!$F$55,AZ93+1,AZ93))))))</f>
        <v>0</v>
      </c>
      <c r="BA94" s="321" t="str">
        <f t="shared" si="29"/>
        <v>1400</v>
      </c>
      <c r="BB94" s="321">
        <f>IF(Instructions!$E$11=8,IF($D94=Instructions!$F$56,BB93+1,BB93),IF(Instructions!$E$11=10,IF($H94=Instructions!$F$56,BB93+1,BB93),IF(Instructions!$E$11=12,IF($L94=Instructions!$F$56,BB93+1,BB93),IF(Instructions!$E$11=14,IF($P94=Instructions!$F$56,BB93+1,BB93),IF(Instructions!$E$11=16,IF($T94=Instructions!$F$56,BB93+1,BB93))))))</f>
        <v>0</v>
      </c>
      <c r="BC94" s="321" t="str">
        <f t="shared" si="30"/>
        <v>1500</v>
      </c>
      <c r="BD94" s="321">
        <f>IF(Instructions!$E$11=8,IF($D94=Instructions!$F$57,BD93+1,BD93),IF(Instructions!$E$11=10,IF($H94=Instructions!$F$57,BD93+1,BD93),IF(Instructions!$E$11=12,IF($L94=Instructions!$F$57,BD93+1,BD93),IF(Instructions!$E$11=14,IF($P94=Instructions!$F$57,BD93+1,BD93),IF(Instructions!$E$11=16,IF($T94=Instructions!$F$57,BD93+1,BD93))))))</f>
        <v>0</v>
      </c>
      <c r="BE94" s="321" t="str">
        <f t="shared" si="31"/>
        <v>1600</v>
      </c>
      <c r="BF94" s="321">
        <v>92</v>
      </c>
    </row>
    <row r="95" spans="1:58" x14ac:dyDescent="0.25">
      <c r="A95" s="280"/>
      <c r="B95" s="323" t="str">
        <f>IF(Instructions!$J$11=1,AA95,IF(Instructions!$J$11=2,AC95,IF(Instructions!$J$11=3,AE95,IF(Instructions!$J$11=4,AG95,IF(Instructions!$J$11=5,AI95,IF(Instructions!$J$11=6,AK95,IF(Instructions!$J$11=7,AM95,IF(Instructions!$J$11=8,AO95,IF(Instructions!$J$11=9,AQ95,IF(Instructions!$J$11=10,AS95,IF(Instructions!$J$11=11,AU95,IF(Instructions!$J$11=12,AW95,IF(Instructions!$J$11=13, AY95, IF(Instructions!$J$11=14,BA95,IF(Instructions!$J$11=15,BC95,BE95)))))))))))))))</f>
        <v>207</v>
      </c>
      <c r="C95" s="271">
        <v>93</v>
      </c>
      <c r="D95" s="328" t="str">
        <f>Instructions!F$45</f>
        <v>Miles</v>
      </c>
      <c r="E95" s="333" t="s">
        <v>843</v>
      </c>
      <c r="F95" s="706"/>
      <c r="G95" s="279">
        <v>12</v>
      </c>
      <c r="H95" s="293" t="str">
        <f>Instructions!F$49</f>
        <v>Luke</v>
      </c>
      <c r="I95" s="273" t="s">
        <v>817</v>
      </c>
      <c r="J95" s="709"/>
      <c r="K95" s="279">
        <v>10</v>
      </c>
      <c r="L95" s="293" t="str">
        <f>Instructions!F$45</f>
        <v>Miles</v>
      </c>
      <c r="M95" s="273" t="s">
        <v>799</v>
      </c>
      <c r="N95" s="709"/>
      <c r="O95" s="279">
        <v>8</v>
      </c>
      <c r="P95" s="293" t="str">
        <f>Instructions!F$50</f>
        <v>Dan</v>
      </c>
      <c r="Q95" s="273" t="s">
        <v>787</v>
      </c>
      <c r="R95" s="709"/>
      <c r="S95" s="279">
        <v>7</v>
      </c>
      <c r="T95" s="328" t="str">
        <f>Instructions!F$45</f>
        <v>Miles</v>
      </c>
      <c r="U95" s="273" t="s">
        <v>939</v>
      </c>
      <c r="V95" s="706"/>
      <c r="W95" s="279">
        <v>6</v>
      </c>
      <c r="X95" s="280"/>
      <c r="Y95" s="190" t="str">
        <f>IFERROR( IF(Instructions!$E$11=8, D95&amp;COUNTIF(D$3:D95,D95), IF(Instructions!$E$11=10, H95&amp;COUNTIF(H$3:H95,H95),IF(Instructions!$E$11=12, L95&amp;COUNTIF(L$3:L95,L95),IF(Instructions!$E$11=14, P95&amp;COUNTIF(P$3:P95,P95),T95&amp;COUNTIF(T$3:T95,T95))))),"")</f>
        <v>Miles8</v>
      </c>
      <c r="Z95" s="321">
        <f>IF(Instructions!$E$11=8,IF($D95=Instructions!$F$42,Z94+1,Z94),IF(Instructions!$E$11=10,IF($H95=Instructions!$F$42,Z94+1,Z94),IF(Instructions!$E$11=12,IF($L95=Instructions!$F$42,Z94+1,Z94),IF(Instructions!$E$11=14,IF($P95=Instructions!$F$42,Z94+1,Z94),IF(Instructions!$E$11=16,IF($T95=Instructions!$F$42,Z94+1,Z94))))))</f>
        <v>7</v>
      </c>
      <c r="AA95" s="321" t="str">
        <f t="shared" si="24"/>
        <v>107</v>
      </c>
      <c r="AB95" s="321">
        <f>IF(Instructions!$E$11=8,IF($D95=Instructions!$F$43,AB94+1,AB94),IF(Instructions!$E$11=10,IF($H95=Instructions!$F$43,AB94+1,AB94),IF(Instructions!$E$11=12,IF($L95=Instructions!$F$43,AB94+1,AB94),IF(Instructions!$E$11=14,IF($P95=Instructions!$F$43,AB94+1,AB94),IF(Instructions!$E$11=16,IF($T95=Instructions!$F$43,AB94+1,AB94))))))</f>
        <v>7</v>
      </c>
      <c r="AC95" s="321" t="str">
        <f t="shared" si="16"/>
        <v>207</v>
      </c>
      <c r="AD95" s="321">
        <f>IF(Instructions!$E$11=8,IF($D95=Instructions!$F$44,AD94+1,AD94),IF(Instructions!$E$11=10,IF($H95=Instructions!$F$44,AD94+1,AD94),IF(Instructions!$E$11=12,IF($L95=Instructions!$F$44,AD94+1,AD94),IF(Instructions!$E$11=14,IF($P95=Instructions!$F$44,AD94+1,AD94),IF(Instructions!$E$11=16,IF($T95=Instructions!$F$44,AD94+1,AD94))))))</f>
        <v>7</v>
      </c>
      <c r="AE95" s="321" t="str">
        <f t="shared" si="17"/>
        <v>307</v>
      </c>
      <c r="AF95" s="321">
        <f>IF(Instructions!$E$11=8,IF($D95=Instructions!$F$45,AF94+1,AF94),IF(Instructions!$E$11=10,IF($H95=Instructions!$F$45,AF94+1,AF94),IF(Instructions!$E$11=12,IF($L95=Instructions!$F$45,AF94+1,AF94),IF(Instructions!$E$11=14,IF($P95=Instructions!$F$45,AF94+1,AF94),IF(Instructions!$E$11=16,IF($T95=Instructions!$F$45,AF94+1,AF94))))))</f>
        <v>8</v>
      </c>
      <c r="AG95" s="321" t="str">
        <f t="shared" si="18"/>
        <v>408</v>
      </c>
      <c r="AH95" s="321">
        <f>IF(Instructions!$E$11=8,IF($D95=Instructions!$F$46,AH94+1,AH94),IF(Instructions!$E$11=10,IF($H95=Instructions!$F$46,AH94+1,AH94),IF(Instructions!$E$11=12,IF($L95=Instructions!$F$46,AH94+1,AH94),IF(Instructions!$E$11=14,IF($P95=Instructions!$F$46,AH94+1,AH94),IF(Instructions!$E$11=16,IF($T95=Instructions!$F$46,AH94+1,AH94))))))</f>
        <v>8</v>
      </c>
      <c r="AI95" s="321" t="str">
        <f t="shared" si="19"/>
        <v>508</v>
      </c>
      <c r="AJ95" s="321">
        <f>IF(Instructions!$E$11=8,IF($D95=Instructions!$F$47,AJ94+1,AJ94),IF(Instructions!$E$11=10,IF($H95=Instructions!$F$47,AJ94+1,AJ94),IF(Instructions!$E$11=12,IF($L95=Instructions!$F$47,AJ94+1,AJ94),IF(Instructions!$E$11=14,IF($P95=Instructions!$F$47,AJ94+1,AJ94),IF(Instructions!$E$11=16,IF($T95=Instructions!$F$47,AJ94+1,AJ94))))))</f>
        <v>8</v>
      </c>
      <c r="AK95" s="321" t="str">
        <f t="shared" si="20"/>
        <v>608</v>
      </c>
      <c r="AL95" s="321">
        <f>IF(Instructions!$E$11=8,IF($D95=Instructions!$F$48,AL94+1,AL94),IF(Instructions!$E$11=10,IF($H95=Instructions!$F$48,AL94+1,AL94),IF(Instructions!$E$11=12,IF($L95=Instructions!$F$48,AL94+1,AL94),IF(Instructions!$E$11=14,IF($P95=Instructions!$F$48,AL94+1,AL94),IF(Instructions!$E$11=16,IF($T95=Instructions!$F$48,AL94+1,AL94))))))</f>
        <v>8</v>
      </c>
      <c r="AM95" s="321" t="str">
        <f t="shared" si="21"/>
        <v>708</v>
      </c>
      <c r="AN95" s="321">
        <f>IF(Instructions!$E$11=8,IF($D95=Instructions!$F$49,AN94+1,AN94),IF(Instructions!$E$11=10,IF($H95=Instructions!$F$49,AN94+1,AN94),IF(Instructions!$E$11=12,IF($L95=Instructions!$F$49,AN94+1,AN94),IF(Instructions!$E$11=14,IF($P95=Instructions!$F$49,AN94+1,AN94),IF(Instructions!$E$11=16,IF($T95=Instructions!$F$49,AN94+1,AN94))))))</f>
        <v>8</v>
      </c>
      <c r="AO95" s="321" t="str">
        <f t="shared" si="22"/>
        <v>808</v>
      </c>
      <c r="AP95" s="321">
        <f>IF(Instructions!$E$11=8,IF($D95=Instructions!$F$50,AP94+1,AP94),IF(Instructions!$E$11=10,IF($H95=Instructions!$F$50,AP94+1,AP94),IF(Instructions!$E$11=12,IF($L95=Instructions!$F$50,AP94+1,AP94),IF(Instructions!$E$11=14,IF($P95=Instructions!$F$50,AP94+1,AP94),IF(Instructions!$E$11=16,IF($T95=Instructions!$F$50,AP94+1,AP94))))))</f>
        <v>8</v>
      </c>
      <c r="AQ95" s="321" t="str">
        <f t="shared" si="23"/>
        <v>908</v>
      </c>
      <c r="AR95" s="321">
        <f>IF(Instructions!$E$11=8,IF($D95=Instructions!$F$51,AR94+1,AR94),IF(Instructions!$E$11=10,IF($H95=Instructions!$F$51,AR94+1,AR94),IF(Instructions!$E$11=12,IF($L95=Instructions!$F$51,AR94+1,AR94),IF(Instructions!$E$11=14,IF($P95=Instructions!$F$51,AR94+1,AR94),IF(Instructions!$E$11=16,IF($T95=Instructions!$F$51,AR94+1,AR94))))))</f>
        <v>8</v>
      </c>
      <c r="AS95" s="321" t="str">
        <f t="shared" si="25"/>
        <v>1008</v>
      </c>
      <c r="AT95" s="321">
        <f>IF(Instructions!$E$11=8,IF($D95=Instructions!$F$52,AT94+1,AT94),IF(Instructions!$E$11=10,IF($H95=Instructions!$F$52,AT94+1,AT94),IF(Instructions!$E$11=12,IF($L95=Instructions!$F$52,AT94+1,AT94),IF(Instructions!$E$11=14,IF($P95=Instructions!$F$52,AT94+1,AT94),IF(Instructions!$E$11=16,IF($T95=Instructions!$F$52,AT94+1,AT94))))))</f>
        <v>8</v>
      </c>
      <c r="AU95" s="321" t="str">
        <f t="shared" si="26"/>
        <v>1108</v>
      </c>
      <c r="AV95" s="321">
        <f>IF(Instructions!$E$11=8,IF($D95=Instructions!$F$53,AV94+1,AV94),IF(Instructions!$E$11=10,IF($H95=Instructions!$F$53,AV94+1,AV94),IF(Instructions!$E$11=12,IF($L95=Instructions!$F$53,AV94+1,AV94),IF(Instructions!$E$11=14,IF($P95=Instructions!$F$53,AV94+1,AV94),IF(Instructions!$E$11=16,IF($T95=Instructions!$F$53,AV94+1,AV94))))))</f>
        <v>8</v>
      </c>
      <c r="AW95" s="321" t="str">
        <f t="shared" si="27"/>
        <v>1208</v>
      </c>
      <c r="AX95" s="321">
        <f>IF(Instructions!$E$11=8,IF($D95=Instructions!$F$54,AX94+1,AX94),IF(Instructions!$E$11=10,IF($H95=Instructions!$F$54,AX94+1,AX94),IF(Instructions!$E$11=12,IF($L95=Instructions!$F$54,AX94+1,AX94),IF(Instructions!$E$11=14,IF($P95=Instructions!$F$54,AX94+1,AX94),IF(Instructions!$E$11=16,IF($T95=Instructions!$F$54,AX94+1,AX94))))))</f>
        <v>0</v>
      </c>
      <c r="AY95" s="321" t="str">
        <f t="shared" si="28"/>
        <v>1300</v>
      </c>
      <c r="AZ95" s="321">
        <f>IF(Instructions!$E$11=8,IF($D95=Instructions!$F$55,AZ94+1,AZ94),IF(Instructions!$E$11=10,IF($H95=Instructions!$F$55,AZ94+1,AZ94),IF(Instructions!$E$11=12,IF($L95=Instructions!$F$55,AZ94+1,AZ94),IF(Instructions!$E$11=14,IF($P95=Instructions!$F$55,AZ94+1,AZ94),IF(Instructions!$E$11=16,IF($T95=Instructions!$F$55,AZ94+1,AZ94))))))</f>
        <v>0</v>
      </c>
      <c r="BA95" s="321" t="str">
        <f t="shared" si="29"/>
        <v>1400</v>
      </c>
      <c r="BB95" s="321">
        <f>IF(Instructions!$E$11=8,IF($D95=Instructions!$F$56,BB94+1,BB94),IF(Instructions!$E$11=10,IF($H95=Instructions!$F$56,BB94+1,BB94),IF(Instructions!$E$11=12,IF($L95=Instructions!$F$56,BB94+1,BB94),IF(Instructions!$E$11=14,IF($P95=Instructions!$F$56,BB94+1,BB94),IF(Instructions!$E$11=16,IF($T95=Instructions!$F$56,BB94+1,BB94))))))</f>
        <v>0</v>
      </c>
      <c r="BC95" s="321" t="str">
        <f t="shared" si="30"/>
        <v>1500</v>
      </c>
      <c r="BD95" s="321">
        <f>IF(Instructions!$E$11=8,IF($D95=Instructions!$F$57,BD94+1,BD94),IF(Instructions!$E$11=10,IF($H95=Instructions!$F$57,BD94+1,BD94),IF(Instructions!$E$11=12,IF($L95=Instructions!$F$57,BD94+1,BD94),IF(Instructions!$E$11=14,IF($P95=Instructions!$F$57,BD94+1,BD94),IF(Instructions!$E$11=16,IF($T95=Instructions!$F$57,BD94+1,BD94))))))</f>
        <v>0</v>
      </c>
      <c r="BE95" s="321" t="str">
        <f t="shared" si="31"/>
        <v>1600</v>
      </c>
      <c r="BF95" s="321">
        <v>93</v>
      </c>
    </row>
    <row r="96" spans="1:58" x14ac:dyDescent="0.25">
      <c r="A96" s="280"/>
      <c r="B96" s="323" t="str">
        <f>IF(Instructions!$J$11=1,AA96,IF(Instructions!$J$11=2,AC96,IF(Instructions!$J$11=3,AE96,IF(Instructions!$J$11=4,AG96,IF(Instructions!$J$11=5,AI96,IF(Instructions!$J$11=6,AK96,IF(Instructions!$J$11=7,AM96,IF(Instructions!$J$11=8,AO96,IF(Instructions!$J$11=9,AQ96,IF(Instructions!$J$11=10,AS96,IF(Instructions!$J$11=11,AU96,IF(Instructions!$J$11=12,AW96,IF(Instructions!$J$11=13, AY96, IF(Instructions!$J$11=14,BA96,IF(Instructions!$J$11=15,BC96,BE96)))))))))))))))</f>
        <v>207</v>
      </c>
      <c r="C96" s="272">
        <v>94</v>
      </c>
      <c r="D96" s="327" t="str">
        <f>Instructions!F$44</f>
        <v>Cam</v>
      </c>
      <c r="E96" s="332" t="s">
        <v>844</v>
      </c>
      <c r="F96" s="706"/>
      <c r="G96" s="279">
        <v>12</v>
      </c>
      <c r="H96" s="294" t="str">
        <f>Instructions!F$48</f>
        <v>Bui</v>
      </c>
      <c r="I96" s="274" t="s">
        <v>818</v>
      </c>
      <c r="J96" s="709"/>
      <c r="K96" s="279">
        <v>10</v>
      </c>
      <c r="L96" s="294" t="str">
        <f>Instructions!F$44</f>
        <v>Cam</v>
      </c>
      <c r="M96" s="274" t="s">
        <v>800</v>
      </c>
      <c r="N96" s="709"/>
      <c r="O96" s="279">
        <v>8</v>
      </c>
      <c r="P96" s="294" t="str">
        <f>Instructions!F$51</f>
        <v>Josh</v>
      </c>
      <c r="Q96" s="274" t="s">
        <v>788</v>
      </c>
      <c r="R96" s="709"/>
      <c r="S96" s="279">
        <v>7</v>
      </c>
      <c r="T96" s="327" t="str">
        <f>Instructions!F$44</f>
        <v>Cam</v>
      </c>
      <c r="U96" s="274" t="s">
        <v>938</v>
      </c>
      <c r="V96" s="706"/>
      <c r="W96" s="279">
        <v>6</v>
      </c>
      <c r="X96" s="280"/>
      <c r="Y96" s="190" t="str">
        <f>IFERROR( IF(Instructions!$E$11=8, D96&amp;COUNTIF(D$3:D96,D96), IF(Instructions!$E$11=10, H96&amp;COUNTIF(H$3:H96,H96),IF(Instructions!$E$11=12, L96&amp;COUNTIF(L$3:L96,L96),IF(Instructions!$E$11=14, P96&amp;COUNTIF(P$3:P96,P96),T96&amp;COUNTIF(T$3:T96,T96))))),"")</f>
        <v>Cam8</v>
      </c>
      <c r="Z96" s="321">
        <f>IF(Instructions!$E$11=8,IF($D96=Instructions!$F$42,Z95+1,Z95),IF(Instructions!$E$11=10,IF($H96=Instructions!$F$42,Z95+1,Z95),IF(Instructions!$E$11=12,IF($L96=Instructions!$F$42,Z95+1,Z95),IF(Instructions!$E$11=14,IF($P96=Instructions!$F$42,Z95+1,Z95),IF(Instructions!$E$11=16,IF($T96=Instructions!$F$42,Z95+1,Z95))))))</f>
        <v>7</v>
      </c>
      <c r="AA96" s="321" t="str">
        <f t="shared" si="24"/>
        <v>107</v>
      </c>
      <c r="AB96" s="321">
        <f>IF(Instructions!$E$11=8,IF($D96=Instructions!$F$43,AB95+1,AB95),IF(Instructions!$E$11=10,IF($H96=Instructions!$F$43,AB95+1,AB95),IF(Instructions!$E$11=12,IF($L96=Instructions!$F$43,AB95+1,AB95),IF(Instructions!$E$11=14,IF($P96=Instructions!$F$43,AB95+1,AB95),IF(Instructions!$E$11=16,IF($T96=Instructions!$F$43,AB95+1,AB95))))))</f>
        <v>7</v>
      </c>
      <c r="AC96" s="321" t="str">
        <f t="shared" si="16"/>
        <v>207</v>
      </c>
      <c r="AD96" s="321">
        <f>IF(Instructions!$E$11=8,IF($D96=Instructions!$F$44,AD95+1,AD95),IF(Instructions!$E$11=10,IF($H96=Instructions!$F$44,AD95+1,AD95),IF(Instructions!$E$11=12,IF($L96=Instructions!$F$44,AD95+1,AD95),IF(Instructions!$E$11=14,IF($P96=Instructions!$F$44,AD95+1,AD95),IF(Instructions!$E$11=16,IF($T96=Instructions!$F$44,AD95+1,AD95))))))</f>
        <v>8</v>
      </c>
      <c r="AE96" s="321" t="str">
        <f t="shared" si="17"/>
        <v>308</v>
      </c>
      <c r="AF96" s="321">
        <f>IF(Instructions!$E$11=8,IF($D96=Instructions!$F$45,AF95+1,AF95),IF(Instructions!$E$11=10,IF($H96=Instructions!$F$45,AF95+1,AF95),IF(Instructions!$E$11=12,IF($L96=Instructions!$F$45,AF95+1,AF95),IF(Instructions!$E$11=14,IF($P96=Instructions!$F$45,AF95+1,AF95),IF(Instructions!$E$11=16,IF($T96=Instructions!$F$45,AF95+1,AF95))))))</f>
        <v>8</v>
      </c>
      <c r="AG96" s="321" t="str">
        <f t="shared" si="18"/>
        <v>408</v>
      </c>
      <c r="AH96" s="321">
        <f>IF(Instructions!$E$11=8,IF($D96=Instructions!$F$46,AH95+1,AH95),IF(Instructions!$E$11=10,IF($H96=Instructions!$F$46,AH95+1,AH95),IF(Instructions!$E$11=12,IF($L96=Instructions!$F$46,AH95+1,AH95),IF(Instructions!$E$11=14,IF($P96=Instructions!$F$46,AH95+1,AH95),IF(Instructions!$E$11=16,IF($T96=Instructions!$F$46,AH95+1,AH95))))))</f>
        <v>8</v>
      </c>
      <c r="AI96" s="321" t="str">
        <f t="shared" si="19"/>
        <v>508</v>
      </c>
      <c r="AJ96" s="321">
        <f>IF(Instructions!$E$11=8,IF($D96=Instructions!$F$47,AJ95+1,AJ95),IF(Instructions!$E$11=10,IF($H96=Instructions!$F$47,AJ95+1,AJ95),IF(Instructions!$E$11=12,IF($L96=Instructions!$F$47,AJ95+1,AJ95),IF(Instructions!$E$11=14,IF($P96=Instructions!$F$47,AJ95+1,AJ95),IF(Instructions!$E$11=16,IF($T96=Instructions!$F$47,AJ95+1,AJ95))))))</f>
        <v>8</v>
      </c>
      <c r="AK96" s="321" t="str">
        <f t="shared" si="20"/>
        <v>608</v>
      </c>
      <c r="AL96" s="321">
        <f>IF(Instructions!$E$11=8,IF($D96=Instructions!$F$48,AL95+1,AL95),IF(Instructions!$E$11=10,IF($H96=Instructions!$F$48,AL95+1,AL95),IF(Instructions!$E$11=12,IF($L96=Instructions!$F$48,AL95+1,AL95),IF(Instructions!$E$11=14,IF($P96=Instructions!$F$48,AL95+1,AL95),IF(Instructions!$E$11=16,IF($T96=Instructions!$F$48,AL95+1,AL95))))))</f>
        <v>8</v>
      </c>
      <c r="AM96" s="321" t="str">
        <f t="shared" si="21"/>
        <v>708</v>
      </c>
      <c r="AN96" s="321">
        <f>IF(Instructions!$E$11=8,IF($D96=Instructions!$F$49,AN95+1,AN95),IF(Instructions!$E$11=10,IF($H96=Instructions!$F$49,AN95+1,AN95),IF(Instructions!$E$11=12,IF($L96=Instructions!$F$49,AN95+1,AN95),IF(Instructions!$E$11=14,IF($P96=Instructions!$F$49,AN95+1,AN95),IF(Instructions!$E$11=16,IF($T96=Instructions!$F$49,AN95+1,AN95))))))</f>
        <v>8</v>
      </c>
      <c r="AO96" s="321" t="str">
        <f t="shared" si="22"/>
        <v>808</v>
      </c>
      <c r="AP96" s="321">
        <f>IF(Instructions!$E$11=8,IF($D96=Instructions!$F$50,AP95+1,AP95),IF(Instructions!$E$11=10,IF($H96=Instructions!$F$50,AP95+1,AP95),IF(Instructions!$E$11=12,IF($L96=Instructions!$F$50,AP95+1,AP95),IF(Instructions!$E$11=14,IF($P96=Instructions!$F$50,AP95+1,AP95),IF(Instructions!$E$11=16,IF($T96=Instructions!$F$50,AP95+1,AP95))))))</f>
        <v>8</v>
      </c>
      <c r="AQ96" s="321" t="str">
        <f t="shared" si="23"/>
        <v>908</v>
      </c>
      <c r="AR96" s="321">
        <f>IF(Instructions!$E$11=8,IF($D96=Instructions!$F$51,AR95+1,AR95),IF(Instructions!$E$11=10,IF($H96=Instructions!$F$51,AR95+1,AR95),IF(Instructions!$E$11=12,IF($L96=Instructions!$F$51,AR95+1,AR95),IF(Instructions!$E$11=14,IF($P96=Instructions!$F$51,AR95+1,AR95),IF(Instructions!$E$11=16,IF($T96=Instructions!$F$51,AR95+1,AR95))))))</f>
        <v>8</v>
      </c>
      <c r="AS96" s="321" t="str">
        <f t="shared" si="25"/>
        <v>1008</v>
      </c>
      <c r="AT96" s="321">
        <f>IF(Instructions!$E$11=8,IF($D96=Instructions!$F$52,AT95+1,AT95),IF(Instructions!$E$11=10,IF($H96=Instructions!$F$52,AT95+1,AT95),IF(Instructions!$E$11=12,IF($L96=Instructions!$F$52,AT95+1,AT95),IF(Instructions!$E$11=14,IF($P96=Instructions!$F$52,AT95+1,AT95),IF(Instructions!$E$11=16,IF($T96=Instructions!$F$52,AT95+1,AT95))))))</f>
        <v>8</v>
      </c>
      <c r="AU96" s="321" t="str">
        <f t="shared" si="26"/>
        <v>1108</v>
      </c>
      <c r="AV96" s="321">
        <f>IF(Instructions!$E$11=8,IF($D96=Instructions!$F$53,AV95+1,AV95),IF(Instructions!$E$11=10,IF($H96=Instructions!$F$53,AV95+1,AV95),IF(Instructions!$E$11=12,IF($L96=Instructions!$F$53,AV95+1,AV95),IF(Instructions!$E$11=14,IF($P96=Instructions!$F$53,AV95+1,AV95),IF(Instructions!$E$11=16,IF($T96=Instructions!$F$53,AV95+1,AV95))))))</f>
        <v>8</v>
      </c>
      <c r="AW96" s="321" t="str">
        <f t="shared" si="27"/>
        <v>1208</v>
      </c>
      <c r="AX96" s="321">
        <f>IF(Instructions!$E$11=8,IF($D96=Instructions!$F$54,AX95+1,AX95),IF(Instructions!$E$11=10,IF($H96=Instructions!$F$54,AX95+1,AX95),IF(Instructions!$E$11=12,IF($L96=Instructions!$F$54,AX95+1,AX95),IF(Instructions!$E$11=14,IF($P96=Instructions!$F$54,AX95+1,AX95),IF(Instructions!$E$11=16,IF($T96=Instructions!$F$54,AX95+1,AX95))))))</f>
        <v>0</v>
      </c>
      <c r="AY96" s="321" t="str">
        <f t="shared" si="28"/>
        <v>1300</v>
      </c>
      <c r="AZ96" s="321">
        <f>IF(Instructions!$E$11=8,IF($D96=Instructions!$F$55,AZ95+1,AZ95),IF(Instructions!$E$11=10,IF($H96=Instructions!$F$55,AZ95+1,AZ95),IF(Instructions!$E$11=12,IF($L96=Instructions!$F$55,AZ95+1,AZ95),IF(Instructions!$E$11=14,IF($P96=Instructions!$F$55,AZ95+1,AZ95),IF(Instructions!$E$11=16,IF($T96=Instructions!$F$55,AZ95+1,AZ95))))))</f>
        <v>0</v>
      </c>
      <c r="BA96" s="321" t="str">
        <f t="shared" si="29"/>
        <v>1400</v>
      </c>
      <c r="BB96" s="321">
        <f>IF(Instructions!$E$11=8,IF($D96=Instructions!$F$56,BB95+1,BB95),IF(Instructions!$E$11=10,IF($H96=Instructions!$F$56,BB95+1,BB95),IF(Instructions!$E$11=12,IF($L96=Instructions!$F$56,BB95+1,BB95),IF(Instructions!$E$11=14,IF($P96=Instructions!$F$56,BB95+1,BB95),IF(Instructions!$E$11=16,IF($T96=Instructions!$F$56,BB95+1,BB95))))))</f>
        <v>0</v>
      </c>
      <c r="BC96" s="321" t="str">
        <f t="shared" si="30"/>
        <v>1500</v>
      </c>
      <c r="BD96" s="321">
        <f>IF(Instructions!$E$11=8,IF($D96=Instructions!$F$57,BD95+1,BD95),IF(Instructions!$E$11=10,IF($H96=Instructions!$F$57,BD95+1,BD95),IF(Instructions!$E$11=12,IF($L96=Instructions!$F$57,BD95+1,BD95),IF(Instructions!$E$11=14,IF($P96=Instructions!$F$57,BD95+1,BD95),IF(Instructions!$E$11=16,IF($T96=Instructions!$F$57,BD95+1,BD95))))))</f>
        <v>0</v>
      </c>
      <c r="BE96" s="321" t="str">
        <f t="shared" si="31"/>
        <v>1600</v>
      </c>
      <c r="BF96" s="321">
        <v>94</v>
      </c>
    </row>
    <row r="97" spans="1:58" x14ac:dyDescent="0.25">
      <c r="A97" s="280"/>
      <c r="B97" s="323" t="str">
        <f>IF(Instructions!$J$11=1,AA97,IF(Instructions!$J$11=2,AC97,IF(Instructions!$J$11=3,AE97,IF(Instructions!$J$11=4,AG97,IF(Instructions!$J$11=5,AI97,IF(Instructions!$J$11=6,AK97,IF(Instructions!$J$11=7,AM97,IF(Instructions!$J$11=8,AO97,IF(Instructions!$J$11=9,AQ97,IF(Instructions!$J$11=10,AS97,IF(Instructions!$J$11=11,AU97,IF(Instructions!$J$11=12,AW97,IF(Instructions!$J$11=13, AY97, IF(Instructions!$J$11=14,BA97,IF(Instructions!$J$11=15,BC97,BE97)))))))))))))))</f>
        <v>208</v>
      </c>
      <c r="C97" s="271">
        <v>95</v>
      </c>
      <c r="D97" s="328" t="str">
        <f>Instructions!F$43</f>
        <v>Camden</v>
      </c>
      <c r="E97" s="333" t="s">
        <v>845</v>
      </c>
      <c r="F97" s="706"/>
      <c r="G97" s="279">
        <v>12</v>
      </c>
      <c r="H97" s="293" t="str">
        <f>Instructions!F$47</f>
        <v>Devin</v>
      </c>
      <c r="I97" s="273" t="s">
        <v>819</v>
      </c>
      <c r="J97" s="709"/>
      <c r="K97" s="279">
        <v>10</v>
      </c>
      <c r="L97" s="293" t="str">
        <f>Instructions!F$43</f>
        <v>Camden</v>
      </c>
      <c r="M97" s="273" t="s">
        <v>801</v>
      </c>
      <c r="N97" s="709"/>
      <c r="O97" s="279">
        <v>8</v>
      </c>
      <c r="P97" s="293" t="str">
        <f>Instructions!F$52</f>
        <v>Big R</v>
      </c>
      <c r="Q97" s="273" t="s">
        <v>789</v>
      </c>
      <c r="R97" s="709"/>
      <c r="S97" s="279">
        <v>7</v>
      </c>
      <c r="T97" s="328" t="str">
        <f>Instructions!F$43</f>
        <v>Camden</v>
      </c>
      <c r="U97" s="273" t="s">
        <v>1574</v>
      </c>
      <c r="V97" s="706"/>
      <c r="W97" s="279">
        <v>6</v>
      </c>
      <c r="X97" s="280"/>
      <c r="Y97" s="190" t="str">
        <f>IFERROR( IF(Instructions!$E$11=8, D97&amp;COUNTIF(D$3:D97,D97), IF(Instructions!$E$11=10, H97&amp;COUNTIF(H$3:H97,H97),IF(Instructions!$E$11=12, L97&amp;COUNTIF(L$3:L97,L97),IF(Instructions!$E$11=14, P97&amp;COUNTIF(P$3:P97,P97),T97&amp;COUNTIF(T$3:T97,T97))))),"")</f>
        <v>Camden8</v>
      </c>
      <c r="Z97" s="321">
        <f>IF(Instructions!$E$11=8,IF($D97=Instructions!$F$42,Z96+1,Z96),IF(Instructions!$E$11=10,IF($H97=Instructions!$F$42,Z96+1,Z96),IF(Instructions!$E$11=12,IF($L97=Instructions!$F$42,Z96+1,Z96),IF(Instructions!$E$11=14,IF($P97=Instructions!$F$42,Z96+1,Z96),IF(Instructions!$E$11=16,IF($T97=Instructions!$F$42,Z96+1,Z96))))))</f>
        <v>7</v>
      </c>
      <c r="AA97" s="321" t="str">
        <f t="shared" si="24"/>
        <v>107</v>
      </c>
      <c r="AB97" s="321">
        <f>IF(Instructions!$E$11=8,IF($D97=Instructions!$F$43,AB96+1,AB96),IF(Instructions!$E$11=10,IF($H97=Instructions!$F$43,AB96+1,AB96),IF(Instructions!$E$11=12,IF($L97=Instructions!$F$43,AB96+1,AB96),IF(Instructions!$E$11=14,IF($P97=Instructions!$F$43,AB96+1,AB96),IF(Instructions!$E$11=16,IF($T97=Instructions!$F$43,AB96+1,AB96))))))</f>
        <v>8</v>
      </c>
      <c r="AC97" s="321" t="str">
        <f t="shared" si="16"/>
        <v>208</v>
      </c>
      <c r="AD97" s="321">
        <f>IF(Instructions!$E$11=8,IF($D97=Instructions!$F$44,AD96+1,AD96),IF(Instructions!$E$11=10,IF($H97=Instructions!$F$44,AD96+1,AD96),IF(Instructions!$E$11=12,IF($L97=Instructions!$F$44,AD96+1,AD96),IF(Instructions!$E$11=14,IF($P97=Instructions!$F$44,AD96+1,AD96),IF(Instructions!$E$11=16,IF($T97=Instructions!$F$44,AD96+1,AD96))))))</f>
        <v>8</v>
      </c>
      <c r="AE97" s="321" t="str">
        <f t="shared" si="17"/>
        <v>308</v>
      </c>
      <c r="AF97" s="321">
        <f>IF(Instructions!$E$11=8,IF($D97=Instructions!$F$45,AF96+1,AF96),IF(Instructions!$E$11=10,IF($H97=Instructions!$F$45,AF96+1,AF96),IF(Instructions!$E$11=12,IF($L97=Instructions!$F$45,AF96+1,AF96),IF(Instructions!$E$11=14,IF($P97=Instructions!$F$45,AF96+1,AF96),IF(Instructions!$E$11=16,IF($T97=Instructions!$F$45,AF96+1,AF96))))))</f>
        <v>8</v>
      </c>
      <c r="AG97" s="321" t="str">
        <f t="shared" si="18"/>
        <v>408</v>
      </c>
      <c r="AH97" s="321">
        <f>IF(Instructions!$E$11=8,IF($D97=Instructions!$F$46,AH96+1,AH96),IF(Instructions!$E$11=10,IF($H97=Instructions!$F$46,AH96+1,AH96),IF(Instructions!$E$11=12,IF($L97=Instructions!$F$46,AH96+1,AH96),IF(Instructions!$E$11=14,IF($P97=Instructions!$F$46,AH96+1,AH96),IF(Instructions!$E$11=16,IF($T97=Instructions!$F$46,AH96+1,AH96))))))</f>
        <v>8</v>
      </c>
      <c r="AI97" s="321" t="str">
        <f t="shared" si="19"/>
        <v>508</v>
      </c>
      <c r="AJ97" s="321">
        <f>IF(Instructions!$E$11=8,IF($D97=Instructions!$F$47,AJ96+1,AJ96),IF(Instructions!$E$11=10,IF($H97=Instructions!$F$47,AJ96+1,AJ96),IF(Instructions!$E$11=12,IF($L97=Instructions!$F$47,AJ96+1,AJ96),IF(Instructions!$E$11=14,IF($P97=Instructions!$F$47,AJ96+1,AJ96),IF(Instructions!$E$11=16,IF($T97=Instructions!$F$47,AJ96+1,AJ96))))))</f>
        <v>8</v>
      </c>
      <c r="AK97" s="321" t="str">
        <f t="shared" si="20"/>
        <v>608</v>
      </c>
      <c r="AL97" s="321">
        <f>IF(Instructions!$E$11=8,IF($D97=Instructions!$F$48,AL96+1,AL96),IF(Instructions!$E$11=10,IF($H97=Instructions!$F$48,AL96+1,AL96),IF(Instructions!$E$11=12,IF($L97=Instructions!$F$48,AL96+1,AL96),IF(Instructions!$E$11=14,IF($P97=Instructions!$F$48,AL96+1,AL96),IF(Instructions!$E$11=16,IF($T97=Instructions!$F$48,AL96+1,AL96))))))</f>
        <v>8</v>
      </c>
      <c r="AM97" s="321" t="str">
        <f t="shared" si="21"/>
        <v>708</v>
      </c>
      <c r="AN97" s="321">
        <f>IF(Instructions!$E$11=8,IF($D97=Instructions!$F$49,AN96+1,AN96),IF(Instructions!$E$11=10,IF($H97=Instructions!$F$49,AN96+1,AN96),IF(Instructions!$E$11=12,IF($L97=Instructions!$F$49,AN96+1,AN96),IF(Instructions!$E$11=14,IF($P97=Instructions!$F$49,AN96+1,AN96),IF(Instructions!$E$11=16,IF($T97=Instructions!$F$49,AN96+1,AN96))))))</f>
        <v>8</v>
      </c>
      <c r="AO97" s="321" t="str">
        <f t="shared" si="22"/>
        <v>808</v>
      </c>
      <c r="AP97" s="321">
        <f>IF(Instructions!$E$11=8,IF($D97=Instructions!$F$50,AP96+1,AP96),IF(Instructions!$E$11=10,IF($H97=Instructions!$F$50,AP96+1,AP96),IF(Instructions!$E$11=12,IF($L97=Instructions!$F$50,AP96+1,AP96),IF(Instructions!$E$11=14,IF($P97=Instructions!$F$50,AP96+1,AP96),IF(Instructions!$E$11=16,IF($T97=Instructions!$F$50,AP96+1,AP96))))))</f>
        <v>8</v>
      </c>
      <c r="AQ97" s="321" t="str">
        <f t="shared" si="23"/>
        <v>908</v>
      </c>
      <c r="AR97" s="321">
        <f>IF(Instructions!$E$11=8,IF($D97=Instructions!$F$51,AR96+1,AR96),IF(Instructions!$E$11=10,IF($H97=Instructions!$F$51,AR96+1,AR96),IF(Instructions!$E$11=12,IF($L97=Instructions!$F$51,AR96+1,AR96),IF(Instructions!$E$11=14,IF($P97=Instructions!$F$51,AR96+1,AR96),IF(Instructions!$E$11=16,IF($T97=Instructions!$F$51,AR96+1,AR96))))))</f>
        <v>8</v>
      </c>
      <c r="AS97" s="321" t="str">
        <f t="shared" si="25"/>
        <v>1008</v>
      </c>
      <c r="AT97" s="321">
        <f>IF(Instructions!$E$11=8,IF($D97=Instructions!$F$52,AT96+1,AT96),IF(Instructions!$E$11=10,IF($H97=Instructions!$F$52,AT96+1,AT96),IF(Instructions!$E$11=12,IF($L97=Instructions!$F$52,AT96+1,AT96),IF(Instructions!$E$11=14,IF($P97=Instructions!$F$52,AT96+1,AT96),IF(Instructions!$E$11=16,IF($T97=Instructions!$F$52,AT96+1,AT96))))))</f>
        <v>8</v>
      </c>
      <c r="AU97" s="321" t="str">
        <f t="shared" si="26"/>
        <v>1108</v>
      </c>
      <c r="AV97" s="321">
        <f>IF(Instructions!$E$11=8,IF($D97=Instructions!$F$53,AV96+1,AV96),IF(Instructions!$E$11=10,IF($H97=Instructions!$F$53,AV96+1,AV96),IF(Instructions!$E$11=12,IF($L97=Instructions!$F$53,AV96+1,AV96),IF(Instructions!$E$11=14,IF($P97=Instructions!$F$53,AV96+1,AV96),IF(Instructions!$E$11=16,IF($T97=Instructions!$F$53,AV96+1,AV96))))))</f>
        <v>8</v>
      </c>
      <c r="AW97" s="321" t="str">
        <f t="shared" si="27"/>
        <v>1208</v>
      </c>
      <c r="AX97" s="321">
        <f>IF(Instructions!$E$11=8,IF($D97=Instructions!$F$54,AX96+1,AX96),IF(Instructions!$E$11=10,IF($H97=Instructions!$F$54,AX96+1,AX96),IF(Instructions!$E$11=12,IF($L97=Instructions!$F$54,AX96+1,AX96),IF(Instructions!$E$11=14,IF($P97=Instructions!$F$54,AX96+1,AX96),IF(Instructions!$E$11=16,IF($T97=Instructions!$F$54,AX96+1,AX96))))))</f>
        <v>0</v>
      </c>
      <c r="AY97" s="321" t="str">
        <f t="shared" si="28"/>
        <v>1300</v>
      </c>
      <c r="AZ97" s="321">
        <f>IF(Instructions!$E$11=8,IF($D97=Instructions!$F$55,AZ96+1,AZ96),IF(Instructions!$E$11=10,IF($H97=Instructions!$F$55,AZ96+1,AZ96),IF(Instructions!$E$11=12,IF($L97=Instructions!$F$55,AZ96+1,AZ96),IF(Instructions!$E$11=14,IF($P97=Instructions!$F$55,AZ96+1,AZ96),IF(Instructions!$E$11=16,IF($T97=Instructions!$F$55,AZ96+1,AZ96))))))</f>
        <v>0</v>
      </c>
      <c r="BA97" s="321" t="str">
        <f t="shared" si="29"/>
        <v>1400</v>
      </c>
      <c r="BB97" s="321">
        <f>IF(Instructions!$E$11=8,IF($D97=Instructions!$F$56,BB96+1,BB96),IF(Instructions!$E$11=10,IF($H97=Instructions!$F$56,BB96+1,BB96),IF(Instructions!$E$11=12,IF($L97=Instructions!$F$56,BB96+1,BB96),IF(Instructions!$E$11=14,IF($P97=Instructions!$F$56,BB96+1,BB96),IF(Instructions!$E$11=16,IF($T97=Instructions!$F$56,BB96+1,BB96))))))</f>
        <v>0</v>
      </c>
      <c r="BC97" s="321" t="str">
        <f t="shared" si="30"/>
        <v>1500</v>
      </c>
      <c r="BD97" s="321">
        <f>IF(Instructions!$E$11=8,IF($D97=Instructions!$F$57,BD96+1,BD96),IF(Instructions!$E$11=10,IF($H97=Instructions!$F$57,BD96+1,BD96),IF(Instructions!$E$11=12,IF($L97=Instructions!$F$57,BD96+1,BD96),IF(Instructions!$E$11=14,IF($P97=Instructions!$F$57,BD96+1,BD96),IF(Instructions!$E$11=16,IF($T97=Instructions!$F$57,BD96+1,BD96))))))</f>
        <v>0</v>
      </c>
      <c r="BE97" s="321" t="str">
        <f t="shared" si="31"/>
        <v>1600</v>
      </c>
      <c r="BF97" s="321">
        <v>95</v>
      </c>
    </row>
    <row r="98" spans="1:58" ht="15.75" thickBot="1" x14ac:dyDescent="0.3">
      <c r="A98" s="280"/>
      <c r="B98" s="323" t="str">
        <f>IF(Instructions!$J$11=1,AA98,IF(Instructions!$J$11=2,AC98,IF(Instructions!$J$11=3,AE98,IF(Instructions!$J$11=4,AG98,IF(Instructions!$J$11=5,AI98,IF(Instructions!$J$11=6,AK98,IF(Instructions!$J$11=7,AM98,IF(Instructions!$J$11=8,AO98,IF(Instructions!$J$11=9,AQ98,IF(Instructions!$J$11=10,AS98,IF(Instructions!$J$11=11,AU98,IF(Instructions!$J$11=12,AW98,IF(Instructions!$J$11=13, AY98, IF(Instructions!$J$11=14,BA98,IF(Instructions!$J$11=15,BC98,BE98)))))))))))))))</f>
        <v>208</v>
      </c>
      <c r="C98" s="272">
        <v>96</v>
      </c>
      <c r="D98" s="329" t="str">
        <f>Instructions!F$42</f>
        <v>Trumbo</v>
      </c>
      <c r="E98" s="334" t="s">
        <v>846</v>
      </c>
      <c r="F98" s="707"/>
      <c r="G98" s="279">
        <v>12</v>
      </c>
      <c r="H98" s="294" t="str">
        <f>Instructions!F$46</f>
        <v>Con</v>
      </c>
      <c r="I98" s="274" t="s">
        <v>820</v>
      </c>
      <c r="J98" s="709"/>
      <c r="K98" s="279">
        <v>10</v>
      </c>
      <c r="L98" s="295" t="str">
        <f>Instructions!F$42</f>
        <v>Trumbo</v>
      </c>
      <c r="M98" s="277" t="s">
        <v>802</v>
      </c>
      <c r="N98" s="710"/>
      <c r="O98" s="279">
        <v>8</v>
      </c>
      <c r="P98" s="294" t="str">
        <f>Instructions!F$53</f>
        <v>Zack</v>
      </c>
      <c r="Q98" s="274" t="s">
        <v>790</v>
      </c>
      <c r="R98" s="709"/>
      <c r="S98" s="279">
        <v>7</v>
      </c>
      <c r="T98" s="329" t="str">
        <f>Instructions!F$42</f>
        <v>Trumbo</v>
      </c>
      <c r="U98" s="330" t="s">
        <v>1575</v>
      </c>
      <c r="V98" s="707"/>
      <c r="W98" s="279">
        <v>6</v>
      </c>
      <c r="X98" s="280"/>
      <c r="Y98" s="190" t="str">
        <f>IFERROR( IF(Instructions!$E$11=8, D98&amp;COUNTIF(D$3:D98,D98), IF(Instructions!$E$11=10, H98&amp;COUNTIF(H$3:H98,H98),IF(Instructions!$E$11=12, L98&amp;COUNTIF(L$3:L98,L98),IF(Instructions!$E$11=14, P98&amp;COUNTIF(P$3:P98,P98),T98&amp;COUNTIF(T$3:T98,T98))))),"")</f>
        <v>Trumbo8</v>
      </c>
      <c r="Z98" s="321">
        <f>IF(Instructions!$E$11=8,IF($D98=Instructions!$F$42,Z97+1,Z97),IF(Instructions!$E$11=10,IF($H98=Instructions!$F$42,Z97+1,Z97),IF(Instructions!$E$11=12,IF($L98=Instructions!$F$42,Z97+1,Z97),IF(Instructions!$E$11=14,IF($P98=Instructions!$F$42,Z97+1,Z97),IF(Instructions!$E$11=16,IF($T98=Instructions!$F$42,Z97+1,Z97))))))</f>
        <v>8</v>
      </c>
      <c r="AA98" s="321" t="str">
        <f t="shared" si="24"/>
        <v>108</v>
      </c>
      <c r="AB98" s="321">
        <f>IF(Instructions!$E$11=8,IF($D98=Instructions!$F$43,AB97+1,AB97),IF(Instructions!$E$11=10,IF($H98=Instructions!$F$43,AB97+1,AB97),IF(Instructions!$E$11=12,IF($L98=Instructions!$F$43,AB97+1,AB97),IF(Instructions!$E$11=14,IF($P98=Instructions!$F$43,AB97+1,AB97),IF(Instructions!$E$11=16,IF($T98=Instructions!$F$43,AB97+1,AB97))))))</f>
        <v>8</v>
      </c>
      <c r="AC98" s="321" t="str">
        <f t="shared" si="16"/>
        <v>208</v>
      </c>
      <c r="AD98" s="321">
        <f>IF(Instructions!$E$11=8,IF($D98=Instructions!$F$44,AD97+1,AD97),IF(Instructions!$E$11=10,IF($H98=Instructions!$F$44,AD97+1,AD97),IF(Instructions!$E$11=12,IF($L98=Instructions!$F$44,AD97+1,AD97),IF(Instructions!$E$11=14,IF($P98=Instructions!$F$44,AD97+1,AD97),IF(Instructions!$E$11=16,IF($T98=Instructions!$F$44,AD97+1,AD97))))))</f>
        <v>8</v>
      </c>
      <c r="AE98" s="321" t="str">
        <f t="shared" si="17"/>
        <v>308</v>
      </c>
      <c r="AF98" s="321">
        <f>IF(Instructions!$E$11=8,IF($D98=Instructions!$F$45,AF97+1,AF97),IF(Instructions!$E$11=10,IF($H98=Instructions!$F$45,AF97+1,AF97),IF(Instructions!$E$11=12,IF($L98=Instructions!$F$45,AF97+1,AF97),IF(Instructions!$E$11=14,IF($P98=Instructions!$F$45,AF97+1,AF97),IF(Instructions!$E$11=16,IF($T98=Instructions!$F$45,AF97+1,AF97))))))</f>
        <v>8</v>
      </c>
      <c r="AG98" s="321" t="str">
        <f t="shared" si="18"/>
        <v>408</v>
      </c>
      <c r="AH98" s="321">
        <f>IF(Instructions!$E$11=8,IF($D98=Instructions!$F$46,AH97+1,AH97),IF(Instructions!$E$11=10,IF($H98=Instructions!$F$46,AH97+1,AH97),IF(Instructions!$E$11=12,IF($L98=Instructions!$F$46,AH97+1,AH97),IF(Instructions!$E$11=14,IF($P98=Instructions!$F$46,AH97+1,AH97),IF(Instructions!$E$11=16,IF($T98=Instructions!$F$46,AH97+1,AH97))))))</f>
        <v>8</v>
      </c>
      <c r="AI98" s="321" t="str">
        <f t="shared" si="19"/>
        <v>508</v>
      </c>
      <c r="AJ98" s="321">
        <f>IF(Instructions!$E$11=8,IF($D98=Instructions!$F$47,AJ97+1,AJ97),IF(Instructions!$E$11=10,IF($H98=Instructions!$F$47,AJ97+1,AJ97),IF(Instructions!$E$11=12,IF($L98=Instructions!$F$47,AJ97+1,AJ97),IF(Instructions!$E$11=14,IF($P98=Instructions!$F$47,AJ97+1,AJ97),IF(Instructions!$E$11=16,IF($T98=Instructions!$F$47,AJ97+1,AJ97))))))</f>
        <v>8</v>
      </c>
      <c r="AK98" s="321" t="str">
        <f t="shared" si="20"/>
        <v>608</v>
      </c>
      <c r="AL98" s="321">
        <f>IF(Instructions!$E$11=8,IF($D98=Instructions!$F$48,AL97+1,AL97),IF(Instructions!$E$11=10,IF($H98=Instructions!$F$48,AL97+1,AL97),IF(Instructions!$E$11=12,IF($L98=Instructions!$F$48,AL97+1,AL97),IF(Instructions!$E$11=14,IF($P98=Instructions!$F$48,AL97+1,AL97),IF(Instructions!$E$11=16,IF($T98=Instructions!$F$48,AL97+1,AL97))))))</f>
        <v>8</v>
      </c>
      <c r="AM98" s="321" t="str">
        <f t="shared" si="21"/>
        <v>708</v>
      </c>
      <c r="AN98" s="321">
        <f>IF(Instructions!$E$11=8,IF($D98=Instructions!$F$49,AN97+1,AN97),IF(Instructions!$E$11=10,IF($H98=Instructions!$F$49,AN97+1,AN97),IF(Instructions!$E$11=12,IF($L98=Instructions!$F$49,AN97+1,AN97),IF(Instructions!$E$11=14,IF($P98=Instructions!$F$49,AN97+1,AN97),IF(Instructions!$E$11=16,IF($T98=Instructions!$F$49,AN97+1,AN97))))))</f>
        <v>8</v>
      </c>
      <c r="AO98" s="321" t="str">
        <f t="shared" si="22"/>
        <v>808</v>
      </c>
      <c r="AP98" s="321">
        <f>IF(Instructions!$E$11=8,IF($D98=Instructions!$F$50,AP97+1,AP97),IF(Instructions!$E$11=10,IF($H98=Instructions!$F$50,AP97+1,AP97),IF(Instructions!$E$11=12,IF($L98=Instructions!$F$50,AP97+1,AP97),IF(Instructions!$E$11=14,IF($P98=Instructions!$F$50,AP97+1,AP97),IF(Instructions!$E$11=16,IF($T98=Instructions!$F$50,AP97+1,AP97))))))</f>
        <v>8</v>
      </c>
      <c r="AQ98" s="321" t="str">
        <f t="shared" si="23"/>
        <v>908</v>
      </c>
      <c r="AR98" s="321">
        <f>IF(Instructions!$E$11=8,IF($D98=Instructions!$F$51,AR97+1,AR97),IF(Instructions!$E$11=10,IF($H98=Instructions!$F$51,AR97+1,AR97),IF(Instructions!$E$11=12,IF($L98=Instructions!$F$51,AR97+1,AR97),IF(Instructions!$E$11=14,IF($P98=Instructions!$F$51,AR97+1,AR97),IF(Instructions!$E$11=16,IF($T98=Instructions!$F$51,AR97+1,AR97))))))</f>
        <v>8</v>
      </c>
      <c r="AS98" s="321" t="str">
        <f t="shared" si="25"/>
        <v>1008</v>
      </c>
      <c r="AT98" s="321">
        <f>IF(Instructions!$E$11=8,IF($D98=Instructions!$F$52,AT97+1,AT97),IF(Instructions!$E$11=10,IF($H98=Instructions!$F$52,AT97+1,AT97),IF(Instructions!$E$11=12,IF($L98=Instructions!$F$52,AT97+1,AT97),IF(Instructions!$E$11=14,IF($P98=Instructions!$F$52,AT97+1,AT97),IF(Instructions!$E$11=16,IF($T98=Instructions!$F$52,AT97+1,AT97))))))</f>
        <v>8</v>
      </c>
      <c r="AU98" s="321" t="str">
        <f t="shared" si="26"/>
        <v>1108</v>
      </c>
      <c r="AV98" s="321">
        <f>IF(Instructions!$E$11=8,IF($D98=Instructions!$F$53,AV97+1,AV97),IF(Instructions!$E$11=10,IF($H98=Instructions!$F$53,AV97+1,AV97),IF(Instructions!$E$11=12,IF($L98=Instructions!$F$53,AV97+1,AV97),IF(Instructions!$E$11=14,IF($P98=Instructions!$F$53,AV97+1,AV97),IF(Instructions!$E$11=16,IF($T98=Instructions!$F$53,AV97+1,AV97))))))</f>
        <v>8</v>
      </c>
      <c r="AW98" s="321" t="str">
        <f t="shared" si="27"/>
        <v>1208</v>
      </c>
      <c r="AX98" s="321">
        <f>IF(Instructions!$E$11=8,IF($D98=Instructions!$F$54,AX97+1,AX97),IF(Instructions!$E$11=10,IF($H98=Instructions!$F$54,AX97+1,AX97),IF(Instructions!$E$11=12,IF($L98=Instructions!$F$54,AX97+1,AX97),IF(Instructions!$E$11=14,IF($P98=Instructions!$F$54,AX97+1,AX97),IF(Instructions!$E$11=16,IF($T98=Instructions!$F$54,AX97+1,AX97))))))</f>
        <v>0</v>
      </c>
      <c r="AY98" s="321" t="str">
        <f t="shared" si="28"/>
        <v>1300</v>
      </c>
      <c r="AZ98" s="321">
        <f>IF(Instructions!$E$11=8,IF($D98=Instructions!$F$55,AZ97+1,AZ97),IF(Instructions!$E$11=10,IF($H98=Instructions!$F$55,AZ97+1,AZ97),IF(Instructions!$E$11=12,IF($L98=Instructions!$F$55,AZ97+1,AZ97),IF(Instructions!$E$11=14,IF($P98=Instructions!$F$55,AZ97+1,AZ97),IF(Instructions!$E$11=16,IF($T98=Instructions!$F$55,AZ97+1,AZ97))))))</f>
        <v>0</v>
      </c>
      <c r="BA98" s="321" t="str">
        <f t="shared" si="29"/>
        <v>1400</v>
      </c>
      <c r="BB98" s="321">
        <f>IF(Instructions!$E$11=8,IF($D98=Instructions!$F$56,BB97+1,BB97),IF(Instructions!$E$11=10,IF($H98=Instructions!$F$56,BB97+1,BB97),IF(Instructions!$E$11=12,IF($L98=Instructions!$F$56,BB97+1,BB97),IF(Instructions!$E$11=14,IF($P98=Instructions!$F$56,BB97+1,BB97),IF(Instructions!$E$11=16,IF($T98=Instructions!$F$56,BB97+1,BB97))))))</f>
        <v>0</v>
      </c>
      <c r="BC98" s="321" t="str">
        <f t="shared" si="30"/>
        <v>1500</v>
      </c>
      <c r="BD98" s="321">
        <f>IF(Instructions!$E$11=8,IF($D98=Instructions!$F$57,BD97+1,BD97),IF(Instructions!$E$11=10,IF($H98=Instructions!$F$57,BD97+1,BD97),IF(Instructions!$E$11=12,IF($L98=Instructions!$F$57,BD97+1,BD97),IF(Instructions!$E$11=14,IF($P98=Instructions!$F$57,BD97+1,BD97),IF(Instructions!$E$11=16,IF($T98=Instructions!$F$57,BD97+1,BD97))))))</f>
        <v>0</v>
      </c>
      <c r="BE98" s="321" t="str">
        <f t="shared" si="31"/>
        <v>1600</v>
      </c>
      <c r="BF98" s="321">
        <v>96</v>
      </c>
    </row>
    <row r="99" spans="1:58" ht="15" customHeight="1" x14ac:dyDescent="0.25">
      <c r="A99" s="280"/>
      <c r="B99" s="323" t="str">
        <f>IF(Instructions!$J$11=1,AA99,IF(Instructions!$J$11=2,AC99,IF(Instructions!$J$11=3,AE99,IF(Instructions!$J$11=4,AG99,IF(Instructions!$J$11=5,AI99,IF(Instructions!$J$11=6,AK99,IF(Instructions!$J$11=7,AM99,IF(Instructions!$J$11=8,AO99,IF(Instructions!$J$11=9,AQ99,IF(Instructions!$J$11=10,AS99,IF(Instructions!$J$11=11,AU99,IF(Instructions!$J$11=12,AW99,IF(Instructions!$J$11=13, AY99, IF(Instructions!$J$11=14,BA99,IF(Instructions!$J$11=15,BC99,BE99)))))))))))))))</f>
        <v>208</v>
      </c>
      <c r="C99" s="271">
        <v>97</v>
      </c>
      <c r="D99" s="325" t="str">
        <f>Instructions!F$42</f>
        <v>Trumbo</v>
      </c>
      <c r="E99" s="333" t="s">
        <v>851</v>
      </c>
      <c r="F99" s="705" t="s">
        <v>908</v>
      </c>
      <c r="G99" s="279">
        <v>13</v>
      </c>
      <c r="H99" s="293" t="str">
        <f>Instructions!F$45</f>
        <v>Miles</v>
      </c>
      <c r="I99" s="273" t="s">
        <v>821</v>
      </c>
      <c r="J99" s="709"/>
      <c r="K99" s="279">
        <v>10</v>
      </c>
      <c r="L99" s="292" t="str">
        <f>Instructions!F$42</f>
        <v>Trumbo</v>
      </c>
      <c r="M99" s="276" t="s">
        <v>803</v>
      </c>
      <c r="N99" s="708" t="s">
        <v>904</v>
      </c>
      <c r="O99" s="279">
        <v>9</v>
      </c>
      <c r="P99" s="293" t="str">
        <f>Instructions!F$54</f>
        <v>[TEAM 13]</v>
      </c>
      <c r="Q99" s="273" t="s">
        <v>940</v>
      </c>
      <c r="R99" s="709"/>
      <c r="S99" s="279">
        <v>7</v>
      </c>
      <c r="T99" s="325" t="str">
        <f>Instructions!F$42</f>
        <v>Trumbo</v>
      </c>
      <c r="U99" s="326" t="s">
        <v>779</v>
      </c>
      <c r="V99" s="705" t="s">
        <v>902</v>
      </c>
      <c r="W99" s="279">
        <v>7</v>
      </c>
      <c r="X99" s="280"/>
      <c r="Y99" s="190" t="str">
        <f>IFERROR( IF(Instructions!$E$11=8, D99&amp;COUNTIF(D$3:D99,D99), IF(Instructions!$E$11=10, H99&amp;COUNTIF(H$3:H99,H99),IF(Instructions!$E$11=12, L99&amp;COUNTIF(L$3:L99,L99),IF(Instructions!$E$11=14, P99&amp;COUNTIF(P$3:P99,P99),T99&amp;COUNTIF(T$3:T99,T99))))),"")</f>
        <v>Trumbo9</v>
      </c>
      <c r="Z99" s="321">
        <f>IF(Instructions!$E$11=8,IF($D99=Instructions!$F$42,Z98+1,Z98),IF(Instructions!$E$11=10,IF($H99=Instructions!$F$42,Z98+1,Z98),IF(Instructions!$E$11=12,IF($L99=Instructions!$F$42,Z98+1,Z98),IF(Instructions!$E$11=14,IF($P99=Instructions!$F$42,Z98+1,Z98),IF(Instructions!$E$11=16,IF($T99=Instructions!$F$42,Z98+1,Z98))))))</f>
        <v>9</v>
      </c>
      <c r="AA99" s="321" t="str">
        <f t="shared" si="24"/>
        <v>109</v>
      </c>
      <c r="AB99" s="321">
        <f>IF(Instructions!$E$11=8,IF($D99=Instructions!$F$43,AB98+1,AB98),IF(Instructions!$E$11=10,IF($H99=Instructions!$F$43,AB98+1,AB98),IF(Instructions!$E$11=12,IF($L99=Instructions!$F$43,AB98+1,AB98),IF(Instructions!$E$11=14,IF($P99=Instructions!$F$43,AB98+1,AB98),IF(Instructions!$E$11=16,IF($T99=Instructions!$F$43,AB98+1,AB98))))))</f>
        <v>8</v>
      </c>
      <c r="AC99" s="321" t="str">
        <f t="shared" si="16"/>
        <v>208</v>
      </c>
      <c r="AD99" s="321">
        <f>IF(Instructions!$E$11=8,IF($D99=Instructions!$F$44,AD98+1,AD98),IF(Instructions!$E$11=10,IF($H99=Instructions!$F$44,AD98+1,AD98),IF(Instructions!$E$11=12,IF($L99=Instructions!$F$44,AD98+1,AD98),IF(Instructions!$E$11=14,IF($P99=Instructions!$F$44,AD98+1,AD98),IF(Instructions!$E$11=16,IF($T99=Instructions!$F$44,AD98+1,AD98))))))</f>
        <v>8</v>
      </c>
      <c r="AE99" s="321" t="str">
        <f t="shared" si="17"/>
        <v>308</v>
      </c>
      <c r="AF99" s="321">
        <f>IF(Instructions!$E$11=8,IF($D99=Instructions!$F$45,AF98+1,AF98),IF(Instructions!$E$11=10,IF($H99=Instructions!$F$45,AF98+1,AF98),IF(Instructions!$E$11=12,IF($L99=Instructions!$F$45,AF98+1,AF98),IF(Instructions!$E$11=14,IF($P99=Instructions!$F$45,AF98+1,AF98),IF(Instructions!$E$11=16,IF($T99=Instructions!$F$45,AF98+1,AF98))))))</f>
        <v>8</v>
      </c>
      <c r="AG99" s="321" t="str">
        <f t="shared" si="18"/>
        <v>408</v>
      </c>
      <c r="AH99" s="321">
        <f>IF(Instructions!$E$11=8,IF($D99=Instructions!$F$46,AH98+1,AH98),IF(Instructions!$E$11=10,IF($H99=Instructions!$F$46,AH98+1,AH98),IF(Instructions!$E$11=12,IF($L99=Instructions!$F$46,AH98+1,AH98),IF(Instructions!$E$11=14,IF($P99=Instructions!$F$46,AH98+1,AH98),IF(Instructions!$E$11=16,IF($T99=Instructions!$F$46,AH98+1,AH98))))))</f>
        <v>8</v>
      </c>
      <c r="AI99" s="321" t="str">
        <f t="shared" si="19"/>
        <v>508</v>
      </c>
      <c r="AJ99" s="321">
        <f>IF(Instructions!$E$11=8,IF($D99=Instructions!$F$47,AJ98+1,AJ98),IF(Instructions!$E$11=10,IF($H99=Instructions!$F$47,AJ98+1,AJ98),IF(Instructions!$E$11=12,IF($L99=Instructions!$F$47,AJ98+1,AJ98),IF(Instructions!$E$11=14,IF($P99=Instructions!$F$47,AJ98+1,AJ98),IF(Instructions!$E$11=16,IF($T99=Instructions!$F$47,AJ98+1,AJ98))))))</f>
        <v>8</v>
      </c>
      <c r="AK99" s="321" t="str">
        <f t="shared" si="20"/>
        <v>608</v>
      </c>
      <c r="AL99" s="321">
        <f>IF(Instructions!$E$11=8,IF($D99=Instructions!$F$48,AL98+1,AL98),IF(Instructions!$E$11=10,IF($H99=Instructions!$F$48,AL98+1,AL98),IF(Instructions!$E$11=12,IF($L99=Instructions!$F$48,AL98+1,AL98),IF(Instructions!$E$11=14,IF($P99=Instructions!$F$48,AL98+1,AL98),IF(Instructions!$E$11=16,IF($T99=Instructions!$F$48,AL98+1,AL98))))))</f>
        <v>8</v>
      </c>
      <c r="AM99" s="321" t="str">
        <f t="shared" si="21"/>
        <v>708</v>
      </c>
      <c r="AN99" s="321">
        <f>IF(Instructions!$E$11=8,IF($D99=Instructions!$F$49,AN98+1,AN98),IF(Instructions!$E$11=10,IF($H99=Instructions!$F$49,AN98+1,AN98),IF(Instructions!$E$11=12,IF($L99=Instructions!$F$49,AN98+1,AN98),IF(Instructions!$E$11=14,IF($P99=Instructions!$F$49,AN98+1,AN98),IF(Instructions!$E$11=16,IF($T99=Instructions!$F$49,AN98+1,AN98))))))</f>
        <v>8</v>
      </c>
      <c r="AO99" s="321" t="str">
        <f t="shared" si="22"/>
        <v>808</v>
      </c>
      <c r="AP99" s="321">
        <f>IF(Instructions!$E$11=8,IF($D99=Instructions!$F$50,AP98+1,AP98),IF(Instructions!$E$11=10,IF($H99=Instructions!$F$50,AP98+1,AP98),IF(Instructions!$E$11=12,IF($L99=Instructions!$F$50,AP98+1,AP98),IF(Instructions!$E$11=14,IF($P99=Instructions!$F$50,AP98+1,AP98),IF(Instructions!$E$11=16,IF($T99=Instructions!$F$50,AP98+1,AP98))))))</f>
        <v>8</v>
      </c>
      <c r="AQ99" s="321" t="str">
        <f t="shared" si="23"/>
        <v>908</v>
      </c>
      <c r="AR99" s="321">
        <f>IF(Instructions!$E$11=8,IF($D99=Instructions!$F$51,AR98+1,AR98),IF(Instructions!$E$11=10,IF($H99=Instructions!$F$51,AR98+1,AR98),IF(Instructions!$E$11=12,IF($L99=Instructions!$F$51,AR98+1,AR98),IF(Instructions!$E$11=14,IF($P99=Instructions!$F$51,AR98+1,AR98),IF(Instructions!$E$11=16,IF($T99=Instructions!$F$51,AR98+1,AR98))))))</f>
        <v>8</v>
      </c>
      <c r="AS99" s="321" t="str">
        <f t="shared" si="25"/>
        <v>1008</v>
      </c>
      <c r="AT99" s="321">
        <f>IF(Instructions!$E$11=8,IF($D99=Instructions!$F$52,AT98+1,AT98),IF(Instructions!$E$11=10,IF($H99=Instructions!$F$52,AT98+1,AT98),IF(Instructions!$E$11=12,IF($L99=Instructions!$F$52,AT98+1,AT98),IF(Instructions!$E$11=14,IF($P99=Instructions!$F$52,AT98+1,AT98),IF(Instructions!$E$11=16,IF($T99=Instructions!$F$52,AT98+1,AT98))))))</f>
        <v>8</v>
      </c>
      <c r="AU99" s="321" t="str">
        <f t="shared" si="26"/>
        <v>1108</v>
      </c>
      <c r="AV99" s="321">
        <f>IF(Instructions!$E$11=8,IF($D99=Instructions!$F$53,AV98+1,AV98),IF(Instructions!$E$11=10,IF($H99=Instructions!$F$53,AV98+1,AV98),IF(Instructions!$E$11=12,IF($L99=Instructions!$F$53,AV98+1,AV98),IF(Instructions!$E$11=14,IF($P99=Instructions!$F$53,AV98+1,AV98),IF(Instructions!$E$11=16,IF($T99=Instructions!$F$53,AV98+1,AV98))))))</f>
        <v>8</v>
      </c>
      <c r="AW99" s="321" t="str">
        <f t="shared" si="27"/>
        <v>1208</v>
      </c>
      <c r="AX99" s="321">
        <f>IF(Instructions!$E$11=8,IF($D99=Instructions!$F$54,AX98+1,AX98),IF(Instructions!$E$11=10,IF($H99=Instructions!$F$54,AX98+1,AX98),IF(Instructions!$E$11=12,IF($L99=Instructions!$F$54,AX98+1,AX98),IF(Instructions!$E$11=14,IF($P99=Instructions!$F$54,AX98+1,AX98),IF(Instructions!$E$11=16,IF($T99=Instructions!$F$54,AX98+1,AX98))))))</f>
        <v>0</v>
      </c>
      <c r="AY99" s="321" t="str">
        <f t="shared" si="28"/>
        <v>1300</v>
      </c>
      <c r="AZ99" s="321">
        <f>IF(Instructions!$E$11=8,IF($D99=Instructions!$F$55,AZ98+1,AZ98),IF(Instructions!$E$11=10,IF($H99=Instructions!$F$55,AZ98+1,AZ98),IF(Instructions!$E$11=12,IF($L99=Instructions!$F$55,AZ98+1,AZ98),IF(Instructions!$E$11=14,IF($P99=Instructions!$F$55,AZ98+1,AZ98),IF(Instructions!$E$11=16,IF($T99=Instructions!$F$55,AZ98+1,AZ98))))))</f>
        <v>0</v>
      </c>
      <c r="BA99" s="321" t="str">
        <f t="shared" si="29"/>
        <v>1400</v>
      </c>
      <c r="BB99" s="321">
        <f>IF(Instructions!$E$11=8,IF($D99=Instructions!$F$56,BB98+1,BB98),IF(Instructions!$E$11=10,IF($H99=Instructions!$F$56,BB98+1,BB98),IF(Instructions!$E$11=12,IF($L99=Instructions!$F$56,BB98+1,BB98),IF(Instructions!$E$11=14,IF($P99=Instructions!$F$56,BB98+1,BB98),IF(Instructions!$E$11=16,IF($T99=Instructions!$F$56,BB98+1,BB98))))))</f>
        <v>0</v>
      </c>
      <c r="BC99" s="321" t="str">
        <f t="shared" si="30"/>
        <v>1500</v>
      </c>
      <c r="BD99" s="321">
        <f>IF(Instructions!$E$11=8,IF($D99=Instructions!$F$57,BD98+1,BD98),IF(Instructions!$E$11=10,IF($H99=Instructions!$F$57,BD98+1,BD98),IF(Instructions!$E$11=12,IF($L99=Instructions!$F$57,BD98+1,BD98),IF(Instructions!$E$11=14,IF($P99=Instructions!$F$57,BD98+1,BD98),IF(Instructions!$E$11=16,IF($T99=Instructions!$F$57,BD98+1,BD98))))))</f>
        <v>0</v>
      </c>
      <c r="BE99" s="321" t="str">
        <f t="shared" si="31"/>
        <v>1600</v>
      </c>
      <c r="BF99" s="321">
        <v>97</v>
      </c>
    </row>
    <row r="100" spans="1:58" ht="15.75" thickBot="1" x14ac:dyDescent="0.3">
      <c r="A100" s="280"/>
      <c r="B100" s="323" t="str">
        <f>IF(Instructions!$J$11=1,AA100,IF(Instructions!$J$11=2,AC100,IF(Instructions!$J$11=3,AE100,IF(Instructions!$J$11=4,AG100,IF(Instructions!$J$11=5,AI100,IF(Instructions!$J$11=6,AK100,IF(Instructions!$J$11=7,AM100,IF(Instructions!$J$11=8,AO100,IF(Instructions!$J$11=9,AQ100,IF(Instructions!$J$11=10,AS100,IF(Instructions!$J$11=11,AU100,IF(Instructions!$J$11=12,AW100,IF(Instructions!$J$11=13, AY100, IF(Instructions!$J$11=14,BA100,IF(Instructions!$J$11=15,BC100,BE100)))))))))))))))</f>
        <v>209</v>
      </c>
      <c r="C100" s="272">
        <v>98</v>
      </c>
      <c r="D100" s="327" t="str">
        <f>Instructions!F$43</f>
        <v>Camden</v>
      </c>
      <c r="E100" s="332" t="s">
        <v>852</v>
      </c>
      <c r="F100" s="706"/>
      <c r="G100" s="279">
        <v>13</v>
      </c>
      <c r="H100" s="294" t="str">
        <f>Instructions!F$44</f>
        <v>Cam</v>
      </c>
      <c r="I100" s="274" t="s">
        <v>822</v>
      </c>
      <c r="J100" s="709"/>
      <c r="K100" s="279">
        <v>10</v>
      </c>
      <c r="L100" s="294" t="str">
        <f>Instructions!F$43</f>
        <v>Camden</v>
      </c>
      <c r="M100" s="274" t="s">
        <v>804</v>
      </c>
      <c r="N100" s="709"/>
      <c r="O100" s="279">
        <v>9</v>
      </c>
      <c r="P100" s="295" t="str">
        <f>Instructions!F$55</f>
        <v>[TEAM 14]</v>
      </c>
      <c r="Q100" s="277" t="s">
        <v>941</v>
      </c>
      <c r="R100" s="710"/>
      <c r="S100" s="279">
        <v>7</v>
      </c>
      <c r="T100" s="327" t="str">
        <f>Instructions!F$43</f>
        <v>Camden</v>
      </c>
      <c r="U100" s="274" t="s">
        <v>780</v>
      </c>
      <c r="V100" s="706"/>
      <c r="W100" s="279">
        <v>7</v>
      </c>
      <c r="X100" s="280"/>
      <c r="Y100" s="190" t="str">
        <f>IFERROR( IF(Instructions!$E$11=8, D100&amp;COUNTIF(D$3:D100,D100), IF(Instructions!$E$11=10, H100&amp;COUNTIF(H$3:H100,H100),IF(Instructions!$E$11=12, L100&amp;COUNTIF(L$3:L100,L100),IF(Instructions!$E$11=14, P100&amp;COUNTIF(P$3:P100,P100),T100&amp;COUNTIF(T$3:T100,T100))))),"")</f>
        <v>Camden9</v>
      </c>
      <c r="Z100" s="321">
        <f>IF(Instructions!$E$11=8,IF($D100=Instructions!$F$42,Z99+1,Z99),IF(Instructions!$E$11=10,IF($H100=Instructions!$F$42,Z99+1,Z99),IF(Instructions!$E$11=12,IF($L100=Instructions!$F$42,Z99+1,Z99),IF(Instructions!$E$11=14,IF($P100=Instructions!$F$42,Z99+1,Z99),IF(Instructions!$E$11=16,IF($T100=Instructions!$F$42,Z99+1,Z99))))))</f>
        <v>9</v>
      </c>
      <c r="AA100" s="321" t="str">
        <f t="shared" si="24"/>
        <v>109</v>
      </c>
      <c r="AB100" s="321">
        <f>IF(Instructions!$E$11=8,IF($D100=Instructions!$F$43,AB99+1,AB99),IF(Instructions!$E$11=10,IF($H100=Instructions!$F$43,AB99+1,AB99),IF(Instructions!$E$11=12,IF($L100=Instructions!$F$43,AB99+1,AB99),IF(Instructions!$E$11=14,IF($P100=Instructions!$F$43,AB99+1,AB99),IF(Instructions!$E$11=16,IF($T100=Instructions!$F$43,AB99+1,AB99))))))</f>
        <v>9</v>
      </c>
      <c r="AC100" s="321" t="str">
        <f t="shared" si="16"/>
        <v>209</v>
      </c>
      <c r="AD100" s="321">
        <f>IF(Instructions!$E$11=8,IF($D100=Instructions!$F$44,AD99+1,AD99),IF(Instructions!$E$11=10,IF($H100=Instructions!$F$44,AD99+1,AD99),IF(Instructions!$E$11=12,IF($L100=Instructions!$F$44,AD99+1,AD99),IF(Instructions!$E$11=14,IF($P100=Instructions!$F$44,AD99+1,AD99),IF(Instructions!$E$11=16,IF($T100=Instructions!$F$44,AD99+1,AD99))))))</f>
        <v>8</v>
      </c>
      <c r="AE100" s="321" t="str">
        <f t="shared" si="17"/>
        <v>308</v>
      </c>
      <c r="AF100" s="321">
        <f>IF(Instructions!$E$11=8,IF($D100=Instructions!$F$45,AF99+1,AF99),IF(Instructions!$E$11=10,IF($H100=Instructions!$F$45,AF99+1,AF99),IF(Instructions!$E$11=12,IF($L100=Instructions!$F$45,AF99+1,AF99),IF(Instructions!$E$11=14,IF($P100=Instructions!$F$45,AF99+1,AF99),IF(Instructions!$E$11=16,IF($T100=Instructions!$F$45,AF99+1,AF99))))))</f>
        <v>8</v>
      </c>
      <c r="AG100" s="321" t="str">
        <f t="shared" si="18"/>
        <v>408</v>
      </c>
      <c r="AH100" s="321">
        <f>IF(Instructions!$E$11=8,IF($D100=Instructions!$F$46,AH99+1,AH99),IF(Instructions!$E$11=10,IF($H100=Instructions!$F$46,AH99+1,AH99),IF(Instructions!$E$11=12,IF($L100=Instructions!$F$46,AH99+1,AH99),IF(Instructions!$E$11=14,IF($P100=Instructions!$F$46,AH99+1,AH99),IF(Instructions!$E$11=16,IF($T100=Instructions!$F$46,AH99+1,AH99))))))</f>
        <v>8</v>
      </c>
      <c r="AI100" s="321" t="str">
        <f t="shared" si="19"/>
        <v>508</v>
      </c>
      <c r="AJ100" s="321">
        <f>IF(Instructions!$E$11=8,IF($D100=Instructions!$F$47,AJ99+1,AJ99),IF(Instructions!$E$11=10,IF($H100=Instructions!$F$47,AJ99+1,AJ99),IF(Instructions!$E$11=12,IF($L100=Instructions!$F$47,AJ99+1,AJ99),IF(Instructions!$E$11=14,IF($P100=Instructions!$F$47,AJ99+1,AJ99),IF(Instructions!$E$11=16,IF($T100=Instructions!$F$47,AJ99+1,AJ99))))))</f>
        <v>8</v>
      </c>
      <c r="AK100" s="321" t="str">
        <f t="shared" si="20"/>
        <v>608</v>
      </c>
      <c r="AL100" s="321">
        <f>IF(Instructions!$E$11=8,IF($D100=Instructions!$F$48,AL99+1,AL99),IF(Instructions!$E$11=10,IF($H100=Instructions!$F$48,AL99+1,AL99),IF(Instructions!$E$11=12,IF($L100=Instructions!$F$48,AL99+1,AL99),IF(Instructions!$E$11=14,IF($P100=Instructions!$F$48,AL99+1,AL99),IF(Instructions!$E$11=16,IF($T100=Instructions!$F$48,AL99+1,AL99))))))</f>
        <v>8</v>
      </c>
      <c r="AM100" s="321" t="str">
        <f t="shared" si="21"/>
        <v>708</v>
      </c>
      <c r="AN100" s="321">
        <f>IF(Instructions!$E$11=8,IF($D100=Instructions!$F$49,AN99+1,AN99),IF(Instructions!$E$11=10,IF($H100=Instructions!$F$49,AN99+1,AN99),IF(Instructions!$E$11=12,IF($L100=Instructions!$F$49,AN99+1,AN99),IF(Instructions!$E$11=14,IF($P100=Instructions!$F$49,AN99+1,AN99),IF(Instructions!$E$11=16,IF($T100=Instructions!$F$49,AN99+1,AN99))))))</f>
        <v>8</v>
      </c>
      <c r="AO100" s="321" t="str">
        <f t="shared" si="22"/>
        <v>808</v>
      </c>
      <c r="AP100" s="321">
        <f>IF(Instructions!$E$11=8,IF($D100=Instructions!$F$50,AP99+1,AP99),IF(Instructions!$E$11=10,IF($H100=Instructions!$F$50,AP99+1,AP99),IF(Instructions!$E$11=12,IF($L100=Instructions!$F$50,AP99+1,AP99),IF(Instructions!$E$11=14,IF($P100=Instructions!$F$50,AP99+1,AP99),IF(Instructions!$E$11=16,IF($T100=Instructions!$F$50,AP99+1,AP99))))))</f>
        <v>8</v>
      </c>
      <c r="AQ100" s="321" t="str">
        <f t="shared" si="23"/>
        <v>908</v>
      </c>
      <c r="AR100" s="321">
        <f>IF(Instructions!$E$11=8,IF($D100=Instructions!$F$51,AR99+1,AR99),IF(Instructions!$E$11=10,IF($H100=Instructions!$F$51,AR99+1,AR99),IF(Instructions!$E$11=12,IF($L100=Instructions!$F$51,AR99+1,AR99),IF(Instructions!$E$11=14,IF($P100=Instructions!$F$51,AR99+1,AR99),IF(Instructions!$E$11=16,IF($T100=Instructions!$F$51,AR99+1,AR99))))))</f>
        <v>8</v>
      </c>
      <c r="AS100" s="321" t="str">
        <f t="shared" si="25"/>
        <v>1008</v>
      </c>
      <c r="AT100" s="321">
        <f>IF(Instructions!$E$11=8,IF($D100=Instructions!$F$52,AT99+1,AT99),IF(Instructions!$E$11=10,IF($H100=Instructions!$F$52,AT99+1,AT99),IF(Instructions!$E$11=12,IF($L100=Instructions!$F$52,AT99+1,AT99),IF(Instructions!$E$11=14,IF($P100=Instructions!$F$52,AT99+1,AT99),IF(Instructions!$E$11=16,IF($T100=Instructions!$F$52,AT99+1,AT99))))))</f>
        <v>8</v>
      </c>
      <c r="AU100" s="321" t="str">
        <f t="shared" si="26"/>
        <v>1108</v>
      </c>
      <c r="AV100" s="321">
        <f>IF(Instructions!$E$11=8,IF($D100=Instructions!$F$53,AV99+1,AV99),IF(Instructions!$E$11=10,IF($H100=Instructions!$F$53,AV99+1,AV99),IF(Instructions!$E$11=12,IF($L100=Instructions!$F$53,AV99+1,AV99),IF(Instructions!$E$11=14,IF($P100=Instructions!$F$53,AV99+1,AV99),IF(Instructions!$E$11=16,IF($T100=Instructions!$F$53,AV99+1,AV99))))))</f>
        <v>8</v>
      </c>
      <c r="AW100" s="321" t="str">
        <f t="shared" si="27"/>
        <v>1208</v>
      </c>
      <c r="AX100" s="321">
        <f>IF(Instructions!$E$11=8,IF($D100=Instructions!$F$54,AX99+1,AX99),IF(Instructions!$E$11=10,IF($H100=Instructions!$F$54,AX99+1,AX99),IF(Instructions!$E$11=12,IF($L100=Instructions!$F$54,AX99+1,AX99),IF(Instructions!$E$11=14,IF($P100=Instructions!$F$54,AX99+1,AX99),IF(Instructions!$E$11=16,IF($T100=Instructions!$F$54,AX99+1,AX99))))))</f>
        <v>0</v>
      </c>
      <c r="AY100" s="321" t="str">
        <f t="shared" si="28"/>
        <v>1300</v>
      </c>
      <c r="AZ100" s="321">
        <f>IF(Instructions!$E$11=8,IF($D100=Instructions!$F$55,AZ99+1,AZ99),IF(Instructions!$E$11=10,IF($H100=Instructions!$F$55,AZ99+1,AZ99),IF(Instructions!$E$11=12,IF($L100=Instructions!$F$55,AZ99+1,AZ99),IF(Instructions!$E$11=14,IF($P100=Instructions!$F$55,AZ99+1,AZ99),IF(Instructions!$E$11=16,IF($T100=Instructions!$F$55,AZ99+1,AZ99))))))</f>
        <v>0</v>
      </c>
      <c r="BA100" s="321" t="str">
        <f t="shared" si="29"/>
        <v>1400</v>
      </c>
      <c r="BB100" s="321">
        <f>IF(Instructions!$E$11=8,IF($D100=Instructions!$F$56,BB99+1,BB99),IF(Instructions!$E$11=10,IF($H100=Instructions!$F$56,BB99+1,BB99),IF(Instructions!$E$11=12,IF($L100=Instructions!$F$56,BB99+1,BB99),IF(Instructions!$E$11=14,IF($P100=Instructions!$F$56,BB99+1,BB99),IF(Instructions!$E$11=16,IF($T100=Instructions!$F$56,BB99+1,BB99))))))</f>
        <v>0</v>
      </c>
      <c r="BC100" s="321" t="str">
        <f t="shared" si="30"/>
        <v>1500</v>
      </c>
      <c r="BD100" s="321">
        <f>IF(Instructions!$E$11=8,IF($D100=Instructions!$F$57,BD99+1,BD99),IF(Instructions!$E$11=10,IF($H100=Instructions!$F$57,BD99+1,BD99),IF(Instructions!$E$11=12,IF($L100=Instructions!$F$57,BD99+1,BD99),IF(Instructions!$E$11=14,IF($P100=Instructions!$F$57,BD99+1,BD99),IF(Instructions!$E$11=16,IF($T100=Instructions!$F$57,BD99+1,BD99))))))</f>
        <v>0</v>
      </c>
      <c r="BE100" s="321" t="str">
        <f t="shared" si="31"/>
        <v>1600</v>
      </c>
      <c r="BF100" s="321">
        <v>98</v>
      </c>
    </row>
    <row r="101" spans="1:58" ht="15" customHeight="1" x14ac:dyDescent="0.25">
      <c r="A101" s="280"/>
      <c r="B101" s="323" t="str">
        <f>IF(Instructions!$J$11=1,AA101,IF(Instructions!$J$11=2,AC101,IF(Instructions!$J$11=3,AE101,IF(Instructions!$J$11=4,AG101,IF(Instructions!$J$11=5,AI101,IF(Instructions!$J$11=6,AK101,IF(Instructions!$J$11=7,AM101,IF(Instructions!$J$11=8,AO101,IF(Instructions!$J$11=9,AQ101,IF(Instructions!$J$11=10,AS101,IF(Instructions!$J$11=11,AU101,IF(Instructions!$J$11=12,AW101,IF(Instructions!$J$11=13, AY101, IF(Instructions!$J$11=14,BA101,IF(Instructions!$J$11=15,BC101,BE101)))))))))))))))</f>
        <v>209</v>
      </c>
      <c r="C101" s="271">
        <v>99</v>
      </c>
      <c r="D101" s="328" t="str">
        <f>Instructions!F$44</f>
        <v>Cam</v>
      </c>
      <c r="E101" s="333" t="s">
        <v>853</v>
      </c>
      <c r="F101" s="706"/>
      <c r="G101" s="279">
        <v>13</v>
      </c>
      <c r="H101" s="293" t="str">
        <f>Instructions!F$43</f>
        <v>Camden</v>
      </c>
      <c r="I101" s="273" t="s">
        <v>823</v>
      </c>
      <c r="J101" s="709"/>
      <c r="K101" s="279">
        <v>10</v>
      </c>
      <c r="L101" s="293" t="str">
        <f>Instructions!F$44</f>
        <v>Cam</v>
      </c>
      <c r="M101" s="273" t="s">
        <v>805</v>
      </c>
      <c r="N101" s="709"/>
      <c r="O101" s="279">
        <v>9</v>
      </c>
      <c r="P101" s="292" t="str">
        <f>Instructions!F$55</f>
        <v>[TEAM 14]</v>
      </c>
      <c r="Q101" s="276" t="s">
        <v>791</v>
      </c>
      <c r="R101" s="708" t="s">
        <v>903</v>
      </c>
      <c r="S101" s="279">
        <v>8</v>
      </c>
      <c r="T101" s="328" t="str">
        <f>Instructions!F$44</f>
        <v>Cam</v>
      </c>
      <c r="U101" s="273" t="s">
        <v>781</v>
      </c>
      <c r="V101" s="706"/>
      <c r="W101" s="279">
        <v>7</v>
      </c>
      <c r="X101" s="280"/>
      <c r="Y101" s="190" t="str">
        <f>IFERROR( IF(Instructions!$E$11=8, D101&amp;COUNTIF(D$3:D101,D101), IF(Instructions!$E$11=10, H101&amp;COUNTIF(H$3:H101,H101),IF(Instructions!$E$11=12, L101&amp;COUNTIF(L$3:L101,L101),IF(Instructions!$E$11=14, P101&amp;COUNTIF(P$3:P101,P101),T101&amp;COUNTIF(T$3:T101,T101))))),"")</f>
        <v>Cam9</v>
      </c>
      <c r="Z101" s="321">
        <f>IF(Instructions!$E$11=8,IF($D101=Instructions!$F$42,Z100+1,Z100),IF(Instructions!$E$11=10,IF($H101=Instructions!$F$42,Z100+1,Z100),IF(Instructions!$E$11=12,IF($L101=Instructions!$F$42,Z100+1,Z100),IF(Instructions!$E$11=14,IF($P101=Instructions!$F$42,Z100+1,Z100),IF(Instructions!$E$11=16,IF($T101=Instructions!$F$42,Z100+1,Z100))))))</f>
        <v>9</v>
      </c>
      <c r="AA101" s="321" t="str">
        <f t="shared" si="24"/>
        <v>109</v>
      </c>
      <c r="AB101" s="321">
        <f>IF(Instructions!$E$11=8,IF($D101=Instructions!$F$43,AB100+1,AB100),IF(Instructions!$E$11=10,IF($H101=Instructions!$F$43,AB100+1,AB100),IF(Instructions!$E$11=12,IF($L101=Instructions!$F$43,AB100+1,AB100),IF(Instructions!$E$11=14,IF($P101=Instructions!$F$43,AB100+1,AB100),IF(Instructions!$E$11=16,IF($T101=Instructions!$F$43,AB100+1,AB100))))))</f>
        <v>9</v>
      </c>
      <c r="AC101" s="321" t="str">
        <f t="shared" si="16"/>
        <v>209</v>
      </c>
      <c r="AD101" s="321">
        <f>IF(Instructions!$E$11=8,IF($D101=Instructions!$F$44,AD100+1,AD100),IF(Instructions!$E$11=10,IF($H101=Instructions!$F$44,AD100+1,AD100),IF(Instructions!$E$11=12,IF($L101=Instructions!$F$44,AD100+1,AD100),IF(Instructions!$E$11=14,IF($P101=Instructions!$F$44,AD100+1,AD100),IF(Instructions!$E$11=16,IF($T101=Instructions!$F$44,AD100+1,AD100))))))</f>
        <v>9</v>
      </c>
      <c r="AE101" s="321" t="str">
        <f t="shared" si="17"/>
        <v>309</v>
      </c>
      <c r="AF101" s="321">
        <f>IF(Instructions!$E$11=8,IF($D101=Instructions!$F$45,AF100+1,AF100),IF(Instructions!$E$11=10,IF($H101=Instructions!$F$45,AF100+1,AF100),IF(Instructions!$E$11=12,IF($L101=Instructions!$F$45,AF100+1,AF100),IF(Instructions!$E$11=14,IF($P101=Instructions!$F$45,AF100+1,AF100),IF(Instructions!$E$11=16,IF($T101=Instructions!$F$45,AF100+1,AF100))))))</f>
        <v>8</v>
      </c>
      <c r="AG101" s="321" t="str">
        <f t="shared" si="18"/>
        <v>408</v>
      </c>
      <c r="AH101" s="321">
        <f>IF(Instructions!$E$11=8,IF($D101=Instructions!$F$46,AH100+1,AH100),IF(Instructions!$E$11=10,IF($H101=Instructions!$F$46,AH100+1,AH100),IF(Instructions!$E$11=12,IF($L101=Instructions!$F$46,AH100+1,AH100),IF(Instructions!$E$11=14,IF($P101=Instructions!$F$46,AH100+1,AH100),IF(Instructions!$E$11=16,IF($T101=Instructions!$F$46,AH100+1,AH100))))))</f>
        <v>8</v>
      </c>
      <c r="AI101" s="321" t="str">
        <f t="shared" si="19"/>
        <v>508</v>
      </c>
      <c r="AJ101" s="321">
        <f>IF(Instructions!$E$11=8,IF($D101=Instructions!$F$47,AJ100+1,AJ100),IF(Instructions!$E$11=10,IF($H101=Instructions!$F$47,AJ100+1,AJ100),IF(Instructions!$E$11=12,IF($L101=Instructions!$F$47,AJ100+1,AJ100),IF(Instructions!$E$11=14,IF($P101=Instructions!$F$47,AJ100+1,AJ100),IF(Instructions!$E$11=16,IF($T101=Instructions!$F$47,AJ100+1,AJ100))))))</f>
        <v>8</v>
      </c>
      <c r="AK101" s="321" t="str">
        <f t="shared" si="20"/>
        <v>608</v>
      </c>
      <c r="AL101" s="321">
        <f>IF(Instructions!$E$11=8,IF($D101=Instructions!$F$48,AL100+1,AL100),IF(Instructions!$E$11=10,IF($H101=Instructions!$F$48,AL100+1,AL100),IF(Instructions!$E$11=12,IF($L101=Instructions!$F$48,AL100+1,AL100),IF(Instructions!$E$11=14,IF($P101=Instructions!$F$48,AL100+1,AL100),IF(Instructions!$E$11=16,IF($T101=Instructions!$F$48,AL100+1,AL100))))))</f>
        <v>8</v>
      </c>
      <c r="AM101" s="321" t="str">
        <f t="shared" si="21"/>
        <v>708</v>
      </c>
      <c r="AN101" s="321">
        <f>IF(Instructions!$E$11=8,IF($D101=Instructions!$F$49,AN100+1,AN100),IF(Instructions!$E$11=10,IF($H101=Instructions!$F$49,AN100+1,AN100),IF(Instructions!$E$11=12,IF($L101=Instructions!$F$49,AN100+1,AN100),IF(Instructions!$E$11=14,IF($P101=Instructions!$F$49,AN100+1,AN100),IF(Instructions!$E$11=16,IF($T101=Instructions!$F$49,AN100+1,AN100))))))</f>
        <v>8</v>
      </c>
      <c r="AO101" s="321" t="str">
        <f t="shared" si="22"/>
        <v>808</v>
      </c>
      <c r="AP101" s="321">
        <f>IF(Instructions!$E$11=8,IF($D101=Instructions!$F$50,AP100+1,AP100),IF(Instructions!$E$11=10,IF($H101=Instructions!$F$50,AP100+1,AP100),IF(Instructions!$E$11=12,IF($L101=Instructions!$F$50,AP100+1,AP100),IF(Instructions!$E$11=14,IF($P101=Instructions!$F$50,AP100+1,AP100),IF(Instructions!$E$11=16,IF($T101=Instructions!$F$50,AP100+1,AP100))))))</f>
        <v>8</v>
      </c>
      <c r="AQ101" s="321" t="str">
        <f t="shared" si="23"/>
        <v>908</v>
      </c>
      <c r="AR101" s="321">
        <f>IF(Instructions!$E$11=8,IF($D101=Instructions!$F$51,AR100+1,AR100),IF(Instructions!$E$11=10,IF($H101=Instructions!$F$51,AR100+1,AR100),IF(Instructions!$E$11=12,IF($L101=Instructions!$F$51,AR100+1,AR100),IF(Instructions!$E$11=14,IF($P101=Instructions!$F$51,AR100+1,AR100),IF(Instructions!$E$11=16,IF($T101=Instructions!$F$51,AR100+1,AR100))))))</f>
        <v>8</v>
      </c>
      <c r="AS101" s="321" t="str">
        <f t="shared" si="25"/>
        <v>1008</v>
      </c>
      <c r="AT101" s="321">
        <f>IF(Instructions!$E$11=8,IF($D101=Instructions!$F$52,AT100+1,AT100),IF(Instructions!$E$11=10,IF($H101=Instructions!$F$52,AT100+1,AT100),IF(Instructions!$E$11=12,IF($L101=Instructions!$F$52,AT100+1,AT100),IF(Instructions!$E$11=14,IF($P101=Instructions!$F$52,AT100+1,AT100),IF(Instructions!$E$11=16,IF($T101=Instructions!$F$52,AT100+1,AT100))))))</f>
        <v>8</v>
      </c>
      <c r="AU101" s="321" t="str">
        <f t="shared" si="26"/>
        <v>1108</v>
      </c>
      <c r="AV101" s="321">
        <f>IF(Instructions!$E$11=8,IF($D101=Instructions!$F$53,AV100+1,AV100),IF(Instructions!$E$11=10,IF($H101=Instructions!$F$53,AV100+1,AV100),IF(Instructions!$E$11=12,IF($L101=Instructions!$F$53,AV100+1,AV100),IF(Instructions!$E$11=14,IF($P101=Instructions!$F$53,AV100+1,AV100),IF(Instructions!$E$11=16,IF($T101=Instructions!$F$53,AV100+1,AV100))))))</f>
        <v>8</v>
      </c>
      <c r="AW101" s="321" t="str">
        <f t="shared" si="27"/>
        <v>1208</v>
      </c>
      <c r="AX101" s="321">
        <f>IF(Instructions!$E$11=8,IF($D101=Instructions!$F$54,AX100+1,AX100),IF(Instructions!$E$11=10,IF($H101=Instructions!$F$54,AX100+1,AX100),IF(Instructions!$E$11=12,IF($L101=Instructions!$F$54,AX100+1,AX100),IF(Instructions!$E$11=14,IF($P101=Instructions!$F$54,AX100+1,AX100),IF(Instructions!$E$11=16,IF($T101=Instructions!$F$54,AX100+1,AX100))))))</f>
        <v>0</v>
      </c>
      <c r="AY101" s="321" t="str">
        <f t="shared" si="28"/>
        <v>1300</v>
      </c>
      <c r="AZ101" s="321">
        <f>IF(Instructions!$E$11=8,IF($D101=Instructions!$F$55,AZ100+1,AZ100),IF(Instructions!$E$11=10,IF($H101=Instructions!$F$55,AZ100+1,AZ100),IF(Instructions!$E$11=12,IF($L101=Instructions!$F$55,AZ100+1,AZ100),IF(Instructions!$E$11=14,IF($P101=Instructions!$F$55,AZ100+1,AZ100),IF(Instructions!$E$11=16,IF($T101=Instructions!$F$55,AZ100+1,AZ100))))))</f>
        <v>0</v>
      </c>
      <c r="BA101" s="321" t="str">
        <f t="shared" si="29"/>
        <v>1400</v>
      </c>
      <c r="BB101" s="321">
        <f>IF(Instructions!$E$11=8,IF($D101=Instructions!$F$56,BB100+1,BB100),IF(Instructions!$E$11=10,IF($H101=Instructions!$F$56,BB100+1,BB100),IF(Instructions!$E$11=12,IF($L101=Instructions!$F$56,BB100+1,BB100),IF(Instructions!$E$11=14,IF($P101=Instructions!$F$56,BB100+1,BB100),IF(Instructions!$E$11=16,IF($T101=Instructions!$F$56,BB100+1,BB100))))))</f>
        <v>0</v>
      </c>
      <c r="BC101" s="321" t="str">
        <f t="shared" si="30"/>
        <v>1500</v>
      </c>
      <c r="BD101" s="321">
        <f>IF(Instructions!$E$11=8,IF($D101=Instructions!$F$57,BD100+1,BD100),IF(Instructions!$E$11=10,IF($H101=Instructions!$F$57,BD100+1,BD100),IF(Instructions!$E$11=12,IF($L101=Instructions!$F$57,BD100+1,BD100),IF(Instructions!$E$11=14,IF($P101=Instructions!$F$57,BD100+1,BD100),IF(Instructions!$E$11=16,IF($T101=Instructions!$F$57,BD100+1,BD100))))))</f>
        <v>0</v>
      </c>
      <c r="BE101" s="321" t="str">
        <f t="shared" si="31"/>
        <v>1600</v>
      </c>
      <c r="BF101" s="321">
        <v>99</v>
      </c>
    </row>
    <row r="102" spans="1:58" ht="15.75" thickBot="1" x14ac:dyDescent="0.3">
      <c r="A102" s="280"/>
      <c r="B102" s="323" t="str">
        <f>IF(Instructions!$J$11=1,AA102,IF(Instructions!$J$11=2,AC102,IF(Instructions!$J$11=3,AE102,IF(Instructions!$J$11=4,AG102,IF(Instructions!$J$11=5,AI102,IF(Instructions!$J$11=6,AK102,IF(Instructions!$J$11=7,AM102,IF(Instructions!$J$11=8,AO102,IF(Instructions!$J$11=9,AQ102,IF(Instructions!$J$11=10,AS102,IF(Instructions!$J$11=11,AU102,IF(Instructions!$J$11=12,AW102,IF(Instructions!$J$11=13, AY102, IF(Instructions!$J$11=14,BA102,IF(Instructions!$J$11=15,BC102,BE102)))))))))))))))</f>
        <v>209</v>
      </c>
      <c r="C102" s="272">
        <v>100</v>
      </c>
      <c r="D102" s="327" t="str">
        <f>Instructions!F$45</f>
        <v>Miles</v>
      </c>
      <c r="E102" s="332" t="s">
        <v>854</v>
      </c>
      <c r="F102" s="706"/>
      <c r="G102" s="279">
        <v>13</v>
      </c>
      <c r="H102" s="295" t="str">
        <f>Instructions!F$42</f>
        <v>Trumbo</v>
      </c>
      <c r="I102" s="275" t="s">
        <v>824</v>
      </c>
      <c r="J102" s="710"/>
      <c r="K102" s="279">
        <v>10</v>
      </c>
      <c r="L102" s="294" t="str">
        <f>Instructions!F$45</f>
        <v>Miles</v>
      </c>
      <c r="M102" s="274" t="s">
        <v>806</v>
      </c>
      <c r="N102" s="709"/>
      <c r="O102" s="279">
        <v>9</v>
      </c>
      <c r="P102" s="294" t="str">
        <f>Instructions!F$54</f>
        <v>[TEAM 13]</v>
      </c>
      <c r="Q102" s="274" t="s">
        <v>792</v>
      </c>
      <c r="R102" s="709"/>
      <c r="S102" s="279">
        <v>8</v>
      </c>
      <c r="T102" s="327" t="str">
        <f>Instructions!F$45</f>
        <v>Miles</v>
      </c>
      <c r="U102" s="274" t="s">
        <v>782</v>
      </c>
      <c r="V102" s="706"/>
      <c r="W102" s="279">
        <v>7</v>
      </c>
      <c r="X102" s="280"/>
      <c r="Y102" s="190" t="str">
        <f>IFERROR( IF(Instructions!$E$11=8, D102&amp;COUNTIF(D$3:D102,D102), IF(Instructions!$E$11=10, H102&amp;COUNTIF(H$3:H102,H102),IF(Instructions!$E$11=12, L102&amp;COUNTIF(L$3:L102,L102),IF(Instructions!$E$11=14, P102&amp;COUNTIF(P$3:P102,P102),T102&amp;COUNTIF(T$3:T102,T102))))),"")</f>
        <v>Miles9</v>
      </c>
      <c r="Z102" s="321">
        <f>IF(Instructions!$E$11=8,IF($D102=Instructions!$F$42,Z101+1,Z101),IF(Instructions!$E$11=10,IF($H102=Instructions!$F$42,Z101+1,Z101),IF(Instructions!$E$11=12,IF($L102=Instructions!$F$42,Z101+1,Z101),IF(Instructions!$E$11=14,IF($P102=Instructions!$F$42,Z101+1,Z101),IF(Instructions!$E$11=16,IF($T102=Instructions!$F$42,Z101+1,Z101))))))</f>
        <v>9</v>
      </c>
      <c r="AA102" s="321" t="str">
        <f t="shared" si="24"/>
        <v>109</v>
      </c>
      <c r="AB102" s="321">
        <f>IF(Instructions!$E$11=8,IF($D102=Instructions!$F$43,AB101+1,AB101),IF(Instructions!$E$11=10,IF($H102=Instructions!$F$43,AB101+1,AB101),IF(Instructions!$E$11=12,IF($L102=Instructions!$F$43,AB101+1,AB101),IF(Instructions!$E$11=14,IF($P102=Instructions!$F$43,AB101+1,AB101),IF(Instructions!$E$11=16,IF($T102=Instructions!$F$43,AB101+1,AB101))))))</f>
        <v>9</v>
      </c>
      <c r="AC102" s="321" t="str">
        <f t="shared" si="16"/>
        <v>209</v>
      </c>
      <c r="AD102" s="321">
        <f>IF(Instructions!$E$11=8,IF($D102=Instructions!$F$44,AD101+1,AD101),IF(Instructions!$E$11=10,IF($H102=Instructions!$F$44,AD101+1,AD101),IF(Instructions!$E$11=12,IF($L102=Instructions!$F$44,AD101+1,AD101),IF(Instructions!$E$11=14,IF($P102=Instructions!$F$44,AD101+1,AD101),IF(Instructions!$E$11=16,IF($T102=Instructions!$F$44,AD101+1,AD101))))))</f>
        <v>9</v>
      </c>
      <c r="AE102" s="321" t="str">
        <f t="shared" si="17"/>
        <v>309</v>
      </c>
      <c r="AF102" s="321">
        <f>IF(Instructions!$E$11=8,IF($D102=Instructions!$F$45,AF101+1,AF101),IF(Instructions!$E$11=10,IF($H102=Instructions!$F$45,AF101+1,AF101),IF(Instructions!$E$11=12,IF($L102=Instructions!$F$45,AF101+1,AF101),IF(Instructions!$E$11=14,IF($P102=Instructions!$F$45,AF101+1,AF101),IF(Instructions!$E$11=16,IF($T102=Instructions!$F$45,AF101+1,AF101))))))</f>
        <v>9</v>
      </c>
      <c r="AG102" s="321" t="str">
        <f t="shared" si="18"/>
        <v>409</v>
      </c>
      <c r="AH102" s="321">
        <f>IF(Instructions!$E$11=8,IF($D102=Instructions!$F$46,AH101+1,AH101),IF(Instructions!$E$11=10,IF($H102=Instructions!$F$46,AH101+1,AH101),IF(Instructions!$E$11=12,IF($L102=Instructions!$F$46,AH101+1,AH101),IF(Instructions!$E$11=14,IF($P102=Instructions!$F$46,AH101+1,AH101),IF(Instructions!$E$11=16,IF($T102=Instructions!$F$46,AH101+1,AH101))))))</f>
        <v>8</v>
      </c>
      <c r="AI102" s="321" t="str">
        <f t="shared" si="19"/>
        <v>508</v>
      </c>
      <c r="AJ102" s="321">
        <f>IF(Instructions!$E$11=8,IF($D102=Instructions!$F$47,AJ101+1,AJ101),IF(Instructions!$E$11=10,IF($H102=Instructions!$F$47,AJ101+1,AJ101),IF(Instructions!$E$11=12,IF($L102=Instructions!$F$47,AJ101+1,AJ101),IF(Instructions!$E$11=14,IF($P102=Instructions!$F$47,AJ101+1,AJ101),IF(Instructions!$E$11=16,IF($T102=Instructions!$F$47,AJ101+1,AJ101))))))</f>
        <v>8</v>
      </c>
      <c r="AK102" s="321" t="str">
        <f t="shared" si="20"/>
        <v>608</v>
      </c>
      <c r="AL102" s="321">
        <f>IF(Instructions!$E$11=8,IF($D102=Instructions!$F$48,AL101+1,AL101),IF(Instructions!$E$11=10,IF($H102=Instructions!$F$48,AL101+1,AL101),IF(Instructions!$E$11=12,IF($L102=Instructions!$F$48,AL101+1,AL101),IF(Instructions!$E$11=14,IF($P102=Instructions!$F$48,AL101+1,AL101),IF(Instructions!$E$11=16,IF($T102=Instructions!$F$48,AL101+1,AL101))))))</f>
        <v>8</v>
      </c>
      <c r="AM102" s="321" t="str">
        <f t="shared" si="21"/>
        <v>708</v>
      </c>
      <c r="AN102" s="321">
        <f>IF(Instructions!$E$11=8,IF($D102=Instructions!$F$49,AN101+1,AN101),IF(Instructions!$E$11=10,IF($H102=Instructions!$F$49,AN101+1,AN101),IF(Instructions!$E$11=12,IF($L102=Instructions!$F$49,AN101+1,AN101),IF(Instructions!$E$11=14,IF($P102=Instructions!$F$49,AN101+1,AN101),IF(Instructions!$E$11=16,IF($T102=Instructions!$F$49,AN101+1,AN101))))))</f>
        <v>8</v>
      </c>
      <c r="AO102" s="321" t="str">
        <f t="shared" si="22"/>
        <v>808</v>
      </c>
      <c r="AP102" s="321">
        <f>IF(Instructions!$E$11=8,IF($D102=Instructions!$F$50,AP101+1,AP101),IF(Instructions!$E$11=10,IF($H102=Instructions!$F$50,AP101+1,AP101),IF(Instructions!$E$11=12,IF($L102=Instructions!$F$50,AP101+1,AP101),IF(Instructions!$E$11=14,IF($P102=Instructions!$F$50,AP101+1,AP101),IF(Instructions!$E$11=16,IF($T102=Instructions!$F$50,AP101+1,AP101))))))</f>
        <v>8</v>
      </c>
      <c r="AQ102" s="321" t="str">
        <f t="shared" si="23"/>
        <v>908</v>
      </c>
      <c r="AR102" s="321">
        <f>IF(Instructions!$E$11=8,IF($D102=Instructions!$F$51,AR101+1,AR101),IF(Instructions!$E$11=10,IF($H102=Instructions!$F$51,AR101+1,AR101),IF(Instructions!$E$11=12,IF($L102=Instructions!$F$51,AR101+1,AR101),IF(Instructions!$E$11=14,IF($P102=Instructions!$F$51,AR101+1,AR101),IF(Instructions!$E$11=16,IF($T102=Instructions!$F$51,AR101+1,AR101))))))</f>
        <v>8</v>
      </c>
      <c r="AS102" s="321" t="str">
        <f t="shared" si="25"/>
        <v>1008</v>
      </c>
      <c r="AT102" s="321">
        <f>IF(Instructions!$E$11=8,IF($D102=Instructions!$F$52,AT101+1,AT101),IF(Instructions!$E$11=10,IF($H102=Instructions!$F$52,AT101+1,AT101),IF(Instructions!$E$11=12,IF($L102=Instructions!$F$52,AT101+1,AT101),IF(Instructions!$E$11=14,IF($P102=Instructions!$F$52,AT101+1,AT101),IF(Instructions!$E$11=16,IF($T102=Instructions!$F$52,AT101+1,AT101))))))</f>
        <v>8</v>
      </c>
      <c r="AU102" s="321" t="str">
        <f t="shared" si="26"/>
        <v>1108</v>
      </c>
      <c r="AV102" s="321">
        <f>IF(Instructions!$E$11=8,IF($D102=Instructions!$F$53,AV101+1,AV101),IF(Instructions!$E$11=10,IF($H102=Instructions!$F$53,AV101+1,AV101),IF(Instructions!$E$11=12,IF($L102=Instructions!$F$53,AV101+1,AV101),IF(Instructions!$E$11=14,IF($P102=Instructions!$F$53,AV101+1,AV101),IF(Instructions!$E$11=16,IF($T102=Instructions!$F$53,AV101+1,AV101))))))</f>
        <v>8</v>
      </c>
      <c r="AW102" s="321" t="str">
        <f t="shared" si="27"/>
        <v>1208</v>
      </c>
      <c r="AX102" s="321">
        <f>IF(Instructions!$E$11=8,IF($D102=Instructions!$F$54,AX101+1,AX101),IF(Instructions!$E$11=10,IF($H102=Instructions!$F$54,AX101+1,AX101),IF(Instructions!$E$11=12,IF($L102=Instructions!$F$54,AX101+1,AX101),IF(Instructions!$E$11=14,IF($P102=Instructions!$F$54,AX101+1,AX101),IF(Instructions!$E$11=16,IF($T102=Instructions!$F$54,AX101+1,AX101))))))</f>
        <v>0</v>
      </c>
      <c r="AY102" s="321" t="str">
        <f t="shared" si="28"/>
        <v>1300</v>
      </c>
      <c r="AZ102" s="321">
        <f>IF(Instructions!$E$11=8,IF($D102=Instructions!$F$55,AZ101+1,AZ101),IF(Instructions!$E$11=10,IF($H102=Instructions!$F$55,AZ101+1,AZ101),IF(Instructions!$E$11=12,IF($L102=Instructions!$F$55,AZ101+1,AZ101),IF(Instructions!$E$11=14,IF($P102=Instructions!$F$55,AZ101+1,AZ101),IF(Instructions!$E$11=16,IF($T102=Instructions!$F$55,AZ101+1,AZ101))))))</f>
        <v>0</v>
      </c>
      <c r="BA102" s="321" t="str">
        <f t="shared" si="29"/>
        <v>1400</v>
      </c>
      <c r="BB102" s="321">
        <f>IF(Instructions!$E$11=8,IF($D102=Instructions!$F$56,BB101+1,BB101),IF(Instructions!$E$11=10,IF($H102=Instructions!$F$56,BB101+1,BB101),IF(Instructions!$E$11=12,IF($L102=Instructions!$F$56,BB101+1,BB101),IF(Instructions!$E$11=14,IF($P102=Instructions!$F$56,BB101+1,BB101),IF(Instructions!$E$11=16,IF($T102=Instructions!$F$56,BB101+1,BB101))))))</f>
        <v>0</v>
      </c>
      <c r="BC102" s="321" t="str">
        <f t="shared" si="30"/>
        <v>1500</v>
      </c>
      <c r="BD102" s="321">
        <f>IF(Instructions!$E$11=8,IF($D102=Instructions!$F$57,BD101+1,BD101),IF(Instructions!$E$11=10,IF($H102=Instructions!$F$57,BD101+1,BD101),IF(Instructions!$E$11=12,IF($L102=Instructions!$F$57,BD101+1,BD101),IF(Instructions!$E$11=14,IF($P102=Instructions!$F$57,BD101+1,BD101),IF(Instructions!$E$11=16,IF($T102=Instructions!$F$57,BD101+1,BD101))))))</f>
        <v>0</v>
      </c>
      <c r="BE102" s="321" t="str">
        <f t="shared" si="31"/>
        <v>1600</v>
      </c>
      <c r="BF102" s="321">
        <v>100</v>
      </c>
    </row>
    <row r="103" spans="1:58" ht="15" customHeight="1" x14ac:dyDescent="0.25">
      <c r="A103" s="280"/>
      <c r="B103" s="323" t="str">
        <f>IF(Instructions!$J$11=1,AA103,IF(Instructions!$J$11=2,AC103,IF(Instructions!$J$11=3,AE103,IF(Instructions!$J$11=4,AG103,IF(Instructions!$J$11=5,AI103,IF(Instructions!$J$11=6,AK103,IF(Instructions!$J$11=7,AM103,IF(Instructions!$J$11=8,AO103,IF(Instructions!$J$11=9,AQ103,IF(Instructions!$J$11=10,AS103,IF(Instructions!$J$11=11,AU103,IF(Instructions!$J$11=12,AW103,IF(Instructions!$J$11=13, AY103, IF(Instructions!$J$11=14,BA103,IF(Instructions!$J$11=15,BC103,BE103)))))))))))))))</f>
        <v>209</v>
      </c>
      <c r="C103" s="271">
        <v>101</v>
      </c>
      <c r="D103" s="328" t="str">
        <f>Instructions!F$46</f>
        <v>Con</v>
      </c>
      <c r="E103" s="333" t="s">
        <v>855</v>
      </c>
      <c r="F103" s="706"/>
      <c r="G103" s="279">
        <v>13</v>
      </c>
      <c r="H103" s="292" t="str">
        <f>Instructions!F$42</f>
        <v>Trumbo</v>
      </c>
      <c r="I103" s="276" t="s">
        <v>827</v>
      </c>
      <c r="J103" s="708" t="s">
        <v>906</v>
      </c>
      <c r="K103" s="279">
        <v>11</v>
      </c>
      <c r="L103" s="293" t="str">
        <f>Instructions!F$46</f>
        <v>Con</v>
      </c>
      <c r="M103" s="273" t="s">
        <v>807</v>
      </c>
      <c r="N103" s="709"/>
      <c r="O103" s="279">
        <v>9</v>
      </c>
      <c r="P103" s="293" t="str">
        <f>Instructions!F$53</f>
        <v>Zack</v>
      </c>
      <c r="Q103" s="273" t="s">
        <v>793</v>
      </c>
      <c r="R103" s="709"/>
      <c r="S103" s="279">
        <v>8</v>
      </c>
      <c r="T103" s="328" t="str">
        <f>Instructions!F$46</f>
        <v>Con</v>
      </c>
      <c r="U103" s="273" t="s">
        <v>783</v>
      </c>
      <c r="V103" s="706"/>
      <c r="W103" s="279">
        <v>7</v>
      </c>
      <c r="X103" s="280"/>
      <c r="Y103" s="190" t="str">
        <f>IFERROR( IF(Instructions!$E$11=8, D103&amp;COUNTIF(D$3:D103,D103), IF(Instructions!$E$11=10, H103&amp;COUNTIF(H$3:H103,H103),IF(Instructions!$E$11=12, L103&amp;COUNTIF(L$3:L103,L103),IF(Instructions!$E$11=14, P103&amp;COUNTIF(P$3:P103,P103),T103&amp;COUNTIF(T$3:T103,T103))))),"")</f>
        <v>Con9</v>
      </c>
      <c r="Z103" s="321">
        <f>IF(Instructions!$E$11=8,IF($D103=Instructions!$F$42,Z102+1,Z102),IF(Instructions!$E$11=10,IF($H103=Instructions!$F$42,Z102+1,Z102),IF(Instructions!$E$11=12,IF($L103=Instructions!$F$42,Z102+1,Z102),IF(Instructions!$E$11=14,IF($P103=Instructions!$F$42,Z102+1,Z102),IF(Instructions!$E$11=16,IF($T103=Instructions!$F$42,Z102+1,Z102))))))</f>
        <v>9</v>
      </c>
      <c r="AA103" s="321" t="str">
        <f t="shared" si="24"/>
        <v>109</v>
      </c>
      <c r="AB103" s="321">
        <f>IF(Instructions!$E$11=8,IF($D103=Instructions!$F$43,AB102+1,AB102),IF(Instructions!$E$11=10,IF($H103=Instructions!$F$43,AB102+1,AB102),IF(Instructions!$E$11=12,IF($L103=Instructions!$F$43,AB102+1,AB102),IF(Instructions!$E$11=14,IF($P103=Instructions!$F$43,AB102+1,AB102),IF(Instructions!$E$11=16,IF($T103=Instructions!$F$43,AB102+1,AB102))))))</f>
        <v>9</v>
      </c>
      <c r="AC103" s="321" t="str">
        <f t="shared" si="16"/>
        <v>209</v>
      </c>
      <c r="AD103" s="321">
        <f>IF(Instructions!$E$11=8,IF($D103=Instructions!$F$44,AD102+1,AD102),IF(Instructions!$E$11=10,IF($H103=Instructions!$F$44,AD102+1,AD102),IF(Instructions!$E$11=12,IF($L103=Instructions!$F$44,AD102+1,AD102),IF(Instructions!$E$11=14,IF($P103=Instructions!$F$44,AD102+1,AD102),IF(Instructions!$E$11=16,IF($T103=Instructions!$F$44,AD102+1,AD102))))))</f>
        <v>9</v>
      </c>
      <c r="AE103" s="321" t="str">
        <f t="shared" si="17"/>
        <v>309</v>
      </c>
      <c r="AF103" s="321">
        <f>IF(Instructions!$E$11=8,IF($D103=Instructions!$F$45,AF102+1,AF102),IF(Instructions!$E$11=10,IF($H103=Instructions!$F$45,AF102+1,AF102),IF(Instructions!$E$11=12,IF($L103=Instructions!$F$45,AF102+1,AF102),IF(Instructions!$E$11=14,IF($P103=Instructions!$F$45,AF102+1,AF102),IF(Instructions!$E$11=16,IF($T103=Instructions!$F$45,AF102+1,AF102))))))</f>
        <v>9</v>
      </c>
      <c r="AG103" s="321" t="str">
        <f t="shared" si="18"/>
        <v>409</v>
      </c>
      <c r="AH103" s="321">
        <f>IF(Instructions!$E$11=8,IF($D103=Instructions!$F$46,AH102+1,AH102),IF(Instructions!$E$11=10,IF($H103=Instructions!$F$46,AH102+1,AH102),IF(Instructions!$E$11=12,IF($L103=Instructions!$F$46,AH102+1,AH102),IF(Instructions!$E$11=14,IF($P103=Instructions!$F$46,AH102+1,AH102),IF(Instructions!$E$11=16,IF($T103=Instructions!$F$46,AH102+1,AH102))))))</f>
        <v>9</v>
      </c>
      <c r="AI103" s="321" t="str">
        <f t="shared" si="19"/>
        <v>509</v>
      </c>
      <c r="AJ103" s="321">
        <f>IF(Instructions!$E$11=8,IF($D103=Instructions!$F$47,AJ102+1,AJ102),IF(Instructions!$E$11=10,IF($H103=Instructions!$F$47,AJ102+1,AJ102),IF(Instructions!$E$11=12,IF($L103=Instructions!$F$47,AJ102+1,AJ102),IF(Instructions!$E$11=14,IF($P103=Instructions!$F$47,AJ102+1,AJ102),IF(Instructions!$E$11=16,IF($T103=Instructions!$F$47,AJ102+1,AJ102))))))</f>
        <v>8</v>
      </c>
      <c r="AK103" s="321" t="str">
        <f t="shared" si="20"/>
        <v>608</v>
      </c>
      <c r="AL103" s="321">
        <f>IF(Instructions!$E$11=8,IF($D103=Instructions!$F$48,AL102+1,AL102),IF(Instructions!$E$11=10,IF($H103=Instructions!$F$48,AL102+1,AL102),IF(Instructions!$E$11=12,IF($L103=Instructions!$F$48,AL102+1,AL102),IF(Instructions!$E$11=14,IF($P103=Instructions!$F$48,AL102+1,AL102),IF(Instructions!$E$11=16,IF($T103=Instructions!$F$48,AL102+1,AL102))))))</f>
        <v>8</v>
      </c>
      <c r="AM103" s="321" t="str">
        <f t="shared" si="21"/>
        <v>708</v>
      </c>
      <c r="AN103" s="321">
        <f>IF(Instructions!$E$11=8,IF($D103=Instructions!$F$49,AN102+1,AN102),IF(Instructions!$E$11=10,IF($H103=Instructions!$F$49,AN102+1,AN102),IF(Instructions!$E$11=12,IF($L103=Instructions!$F$49,AN102+1,AN102),IF(Instructions!$E$11=14,IF($P103=Instructions!$F$49,AN102+1,AN102),IF(Instructions!$E$11=16,IF($T103=Instructions!$F$49,AN102+1,AN102))))))</f>
        <v>8</v>
      </c>
      <c r="AO103" s="321" t="str">
        <f t="shared" si="22"/>
        <v>808</v>
      </c>
      <c r="AP103" s="321">
        <f>IF(Instructions!$E$11=8,IF($D103=Instructions!$F$50,AP102+1,AP102),IF(Instructions!$E$11=10,IF($H103=Instructions!$F$50,AP102+1,AP102),IF(Instructions!$E$11=12,IF($L103=Instructions!$F$50,AP102+1,AP102),IF(Instructions!$E$11=14,IF($P103=Instructions!$F$50,AP102+1,AP102),IF(Instructions!$E$11=16,IF($T103=Instructions!$F$50,AP102+1,AP102))))))</f>
        <v>8</v>
      </c>
      <c r="AQ103" s="321" t="str">
        <f t="shared" si="23"/>
        <v>908</v>
      </c>
      <c r="AR103" s="321">
        <f>IF(Instructions!$E$11=8,IF($D103=Instructions!$F$51,AR102+1,AR102),IF(Instructions!$E$11=10,IF($H103=Instructions!$F$51,AR102+1,AR102),IF(Instructions!$E$11=12,IF($L103=Instructions!$F$51,AR102+1,AR102),IF(Instructions!$E$11=14,IF($P103=Instructions!$F$51,AR102+1,AR102),IF(Instructions!$E$11=16,IF($T103=Instructions!$F$51,AR102+1,AR102))))))</f>
        <v>8</v>
      </c>
      <c r="AS103" s="321" t="str">
        <f t="shared" si="25"/>
        <v>1008</v>
      </c>
      <c r="AT103" s="321">
        <f>IF(Instructions!$E$11=8,IF($D103=Instructions!$F$52,AT102+1,AT102),IF(Instructions!$E$11=10,IF($H103=Instructions!$F$52,AT102+1,AT102),IF(Instructions!$E$11=12,IF($L103=Instructions!$F$52,AT102+1,AT102),IF(Instructions!$E$11=14,IF($P103=Instructions!$F$52,AT102+1,AT102),IF(Instructions!$E$11=16,IF($T103=Instructions!$F$52,AT102+1,AT102))))))</f>
        <v>8</v>
      </c>
      <c r="AU103" s="321" t="str">
        <f t="shared" si="26"/>
        <v>1108</v>
      </c>
      <c r="AV103" s="321">
        <f>IF(Instructions!$E$11=8,IF($D103=Instructions!$F$53,AV102+1,AV102),IF(Instructions!$E$11=10,IF($H103=Instructions!$F$53,AV102+1,AV102),IF(Instructions!$E$11=12,IF($L103=Instructions!$F$53,AV102+1,AV102),IF(Instructions!$E$11=14,IF($P103=Instructions!$F$53,AV102+1,AV102),IF(Instructions!$E$11=16,IF($T103=Instructions!$F$53,AV102+1,AV102))))))</f>
        <v>8</v>
      </c>
      <c r="AW103" s="321" t="str">
        <f t="shared" si="27"/>
        <v>1208</v>
      </c>
      <c r="AX103" s="321">
        <f>IF(Instructions!$E$11=8,IF($D103=Instructions!$F$54,AX102+1,AX102),IF(Instructions!$E$11=10,IF($H103=Instructions!$F$54,AX102+1,AX102),IF(Instructions!$E$11=12,IF($L103=Instructions!$F$54,AX102+1,AX102),IF(Instructions!$E$11=14,IF($P103=Instructions!$F$54,AX102+1,AX102),IF(Instructions!$E$11=16,IF($T103=Instructions!$F$54,AX102+1,AX102))))))</f>
        <v>0</v>
      </c>
      <c r="AY103" s="321" t="str">
        <f t="shared" si="28"/>
        <v>1300</v>
      </c>
      <c r="AZ103" s="321">
        <f>IF(Instructions!$E$11=8,IF($D103=Instructions!$F$55,AZ102+1,AZ102),IF(Instructions!$E$11=10,IF($H103=Instructions!$F$55,AZ102+1,AZ102),IF(Instructions!$E$11=12,IF($L103=Instructions!$F$55,AZ102+1,AZ102),IF(Instructions!$E$11=14,IF($P103=Instructions!$F$55,AZ102+1,AZ102),IF(Instructions!$E$11=16,IF($T103=Instructions!$F$55,AZ102+1,AZ102))))))</f>
        <v>0</v>
      </c>
      <c r="BA103" s="321" t="str">
        <f t="shared" si="29"/>
        <v>1400</v>
      </c>
      <c r="BB103" s="321">
        <f>IF(Instructions!$E$11=8,IF($D103=Instructions!$F$56,BB102+1,BB102),IF(Instructions!$E$11=10,IF($H103=Instructions!$F$56,BB102+1,BB102),IF(Instructions!$E$11=12,IF($L103=Instructions!$F$56,BB102+1,BB102),IF(Instructions!$E$11=14,IF($P103=Instructions!$F$56,BB102+1,BB102),IF(Instructions!$E$11=16,IF($T103=Instructions!$F$56,BB102+1,BB102))))))</f>
        <v>0</v>
      </c>
      <c r="BC103" s="321" t="str">
        <f t="shared" si="30"/>
        <v>1500</v>
      </c>
      <c r="BD103" s="321">
        <f>IF(Instructions!$E$11=8,IF($D103=Instructions!$F$57,BD102+1,BD102),IF(Instructions!$E$11=10,IF($H103=Instructions!$F$57,BD102+1,BD102),IF(Instructions!$E$11=12,IF($L103=Instructions!$F$57,BD102+1,BD102),IF(Instructions!$E$11=14,IF($P103=Instructions!$F$57,BD102+1,BD102),IF(Instructions!$E$11=16,IF($T103=Instructions!$F$57,BD102+1,BD102))))))</f>
        <v>0</v>
      </c>
      <c r="BE103" s="321" t="str">
        <f t="shared" si="31"/>
        <v>1600</v>
      </c>
      <c r="BF103" s="321">
        <v>101</v>
      </c>
    </row>
    <row r="104" spans="1:58" x14ac:dyDescent="0.25">
      <c r="A104" s="280"/>
      <c r="B104" s="323" t="str">
        <f>IF(Instructions!$J$11=1,AA104,IF(Instructions!$J$11=2,AC104,IF(Instructions!$J$11=3,AE104,IF(Instructions!$J$11=4,AG104,IF(Instructions!$J$11=5,AI104,IF(Instructions!$J$11=6,AK104,IF(Instructions!$J$11=7,AM104,IF(Instructions!$J$11=8,AO104,IF(Instructions!$J$11=9,AQ104,IF(Instructions!$J$11=10,AS104,IF(Instructions!$J$11=11,AU104,IF(Instructions!$J$11=12,AW104,IF(Instructions!$J$11=13, AY104, IF(Instructions!$J$11=14,BA104,IF(Instructions!$J$11=15,BC104,BE104)))))))))))))))</f>
        <v>209</v>
      </c>
      <c r="C104" s="272">
        <v>102</v>
      </c>
      <c r="D104" s="327" t="str">
        <f>Instructions!F$47</f>
        <v>Devin</v>
      </c>
      <c r="E104" s="332" t="s">
        <v>856</v>
      </c>
      <c r="F104" s="706"/>
      <c r="G104" s="279">
        <v>13</v>
      </c>
      <c r="H104" s="294" t="str">
        <f>Instructions!F$43</f>
        <v>Camden</v>
      </c>
      <c r="I104" s="274" t="s">
        <v>828</v>
      </c>
      <c r="J104" s="709"/>
      <c r="K104" s="279">
        <v>11</v>
      </c>
      <c r="L104" s="294" t="str">
        <f>Instructions!F$47</f>
        <v>Devin</v>
      </c>
      <c r="M104" s="274" t="s">
        <v>808</v>
      </c>
      <c r="N104" s="709"/>
      <c r="O104" s="279">
        <v>9</v>
      </c>
      <c r="P104" s="294" t="str">
        <f>Instructions!F$52</f>
        <v>Big R</v>
      </c>
      <c r="Q104" s="274" t="s">
        <v>794</v>
      </c>
      <c r="R104" s="709"/>
      <c r="S104" s="279">
        <v>8</v>
      </c>
      <c r="T104" s="327" t="str">
        <f>Instructions!F$47</f>
        <v>Devin</v>
      </c>
      <c r="U104" s="274" t="s">
        <v>784</v>
      </c>
      <c r="V104" s="706"/>
      <c r="W104" s="279">
        <v>7</v>
      </c>
      <c r="X104" s="280"/>
      <c r="Y104" s="190" t="str">
        <f>IFERROR( IF(Instructions!$E$11=8, D104&amp;COUNTIF(D$3:D104,D104), IF(Instructions!$E$11=10, H104&amp;COUNTIF(H$3:H104,H104),IF(Instructions!$E$11=12, L104&amp;COUNTIF(L$3:L104,L104),IF(Instructions!$E$11=14, P104&amp;COUNTIF(P$3:P104,P104),T104&amp;COUNTIF(T$3:T104,T104))))),"")</f>
        <v>Devin9</v>
      </c>
      <c r="Z104" s="321">
        <f>IF(Instructions!$E$11=8,IF($D104=Instructions!$F$42,Z103+1,Z103),IF(Instructions!$E$11=10,IF($H104=Instructions!$F$42,Z103+1,Z103),IF(Instructions!$E$11=12,IF($L104=Instructions!$F$42,Z103+1,Z103),IF(Instructions!$E$11=14,IF($P104=Instructions!$F$42,Z103+1,Z103),IF(Instructions!$E$11=16,IF($T104=Instructions!$F$42,Z103+1,Z103))))))</f>
        <v>9</v>
      </c>
      <c r="AA104" s="321" t="str">
        <f t="shared" si="24"/>
        <v>109</v>
      </c>
      <c r="AB104" s="321">
        <f>IF(Instructions!$E$11=8,IF($D104=Instructions!$F$43,AB103+1,AB103),IF(Instructions!$E$11=10,IF($H104=Instructions!$F$43,AB103+1,AB103),IF(Instructions!$E$11=12,IF($L104=Instructions!$F$43,AB103+1,AB103),IF(Instructions!$E$11=14,IF($P104=Instructions!$F$43,AB103+1,AB103),IF(Instructions!$E$11=16,IF($T104=Instructions!$F$43,AB103+1,AB103))))))</f>
        <v>9</v>
      </c>
      <c r="AC104" s="321" t="str">
        <f t="shared" si="16"/>
        <v>209</v>
      </c>
      <c r="AD104" s="321">
        <f>IF(Instructions!$E$11=8,IF($D104=Instructions!$F$44,AD103+1,AD103),IF(Instructions!$E$11=10,IF($H104=Instructions!$F$44,AD103+1,AD103),IF(Instructions!$E$11=12,IF($L104=Instructions!$F$44,AD103+1,AD103),IF(Instructions!$E$11=14,IF($P104=Instructions!$F$44,AD103+1,AD103),IF(Instructions!$E$11=16,IF($T104=Instructions!$F$44,AD103+1,AD103))))))</f>
        <v>9</v>
      </c>
      <c r="AE104" s="321" t="str">
        <f t="shared" si="17"/>
        <v>309</v>
      </c>
      <c r="AF104" s="321">
        <f>IF(Instructions!$E$11=8,IF($D104=Instructions!$F$45,AF103+1,AF103),IF(Instructions!$E$11=10,IF($H104=Instructions!$F$45,AF103+1,AF103),IF(Instructions!$E$11=12,IF($L104=Instructions!$F$45,AF103+1,AF103),IF(Instructions!$E$11=14,IF($P104=Instructions!$F$45,AF103+1,AF103),IF(Instructions!$E$11=16,IF($T104=Instructions!$F$45,AF103+1,AF103))))))</f>
        <v>9</v>
      </c>
      <c r="AG104" s="321" t="str">
        <f t="shared" si="18"/>
        <v>409</v>
      </c>
      <c r="AH104" s="321">
        <f>IF(Instructions!$E$11=8,IF($D104=Instructions!$F$46,AH103+1,AH103),IF(Instructions!$E$11=10,IF($H104=Instructions!$F$46,AH103+1,AH103),IF(Instructions!$E$11=12,IF($L104=Instructions!$F$46,AH103+1,AH103),IF(Instructions!$E$11=14,IF($P104=Instructions!$F$46,AH103+1,AH103),IF(Instructions!$E$11=16,IF($T104=Instructions!$F$46,AH103+1,AH103))))))</f>
        <v>9</v>
      </c>
      <c r="AI104" s="321" t="str">
        <f t="shared" si="19"/>
        <v>509</v>
      </c>
      <c r="AJ104" s="321">
        <f>IF(Instructions!$E$11=8,IF($D104=Instructions!$F$47,AJ103+1,AJ103),IF(Instructions!$E$11=10,IF($H104=Instructions!$F$47,AJ103+1,AJ103),IF(Instructions!$E$11=12,IF($L104=Instructions!$F$47,AJ103+1,AJ103),IF(Instructions!$E$11=14,IF($P104=Instructions!$F$47,AJ103+1,AJ103),IF(Instructions!$E$11=16,IF($T104=Instructions!$F$47,AJ103+1,AJ103))))))</f>
        <v>9</v>
      </c>
      <c r="AK104" s="321" t="str">
        <f t="shared" si="20"/>
        <v>609</v>
      </c>
      <c r="AL104" s="321">
        <f>IF(Instructions!$E$11=8,IF($D104=Instructions!$F$48,AL103+1,AL103),IF(Instructions!$E$11=10,IF($H104=Instructions!$F$48,AL103+1,AL103),IF(Instructions!$E$11=12,IF($L104=Instructions!$F$48,AL103+1,AL103),IF(Instructions!$E$11=14,IF($P104=Instructions!$F$48,AL103+1,AL103),IF(Instructions!$E$11=16,IF($T104=Instructions!$F$48,AL103+1,AL103))))))</f>
        <v>8</v>
      </c>
      <c r="AM104" s="321" t="str">
        <f t="shared" si="21"/>
        <v>708</v>
      </c>
      <c r="AN104" s="321">
        <f>IF(Instructions!$E$11=8,IF($D104=Instructions!$F$49,AN103+1,AN103),IF(Instructions!$E$11=10,IF($H104=Instructions!$F$49,AN103+1,AN103),IF(Instructions!$E$11=12,IF($L104=Instructions!$F$49,AN103+1,AN103),IF(Instructions!$E$11=14,IF($P104=Instructions!$F$49,AN103+1,AN103),IF(Instructions!$E$11=16,IF($T104=Instructions!$F$49,AN103+1,AN103))))))</f>
        <v>8</v>
      </c>
      <c r="AO104" s="321" t="str">
        <f t="shared" si="22"/>
        <v>808</v>
      </c>
      <c r="AP104" s="321">
        <f>IF(Instructions!$E$11=8,IF($D104=Instructions!$F$50,AP103+1,AP103),IF(Instructions!$E$11=10,IF($H104=Instructions!$F$50,AP103+1,AP103),IF(Instructions!$E$11=12,IF($L104=Instructions!$F$50,AP103+1,AP103),IF(Instructions!$E$11=14,IF($P104=Instructions!$F$50,AP103+1,AP103),IF(Instructions!$E$11=16,IF($T104=Instructions!$F$50,AP103+1,AP103))))))</f>
        <v>8</v>
      </c>
      <c r="AQ104" s="321" t="str">
        <f t="shared" si="23"/>
        <v>908</v>
      </c>
      <c r="AR104" s="321">
        <f>IF(Instructions!$E$11=8,IF($D104=Instructions!$F$51,AR103+1,AR103),IF(Instructions!$E$11=10,IF($H104=Instructions!$F$51,AR103+1,AR103),IF(Instructions!$E$11=12,IF($L104=Instructions!$F$51,AR103+1,AR103),IF(Instructions!$E$11=14,IF($P104=Instructions!$F$51,AR103+1,AR103),IF(Instructions!$E$11=16,IF($T104=Instructions!$F$51,AR103+1,AR103))))))</f>
        <v>8</v>
      </c>
      <c r="AS104" s="321" t="str">
        <f t="shared" si="25"/>
        <v>1008</v>
      </c>
      <c r="AT104" s="321">
        <f>IF(Instructions!$E$11=8,IF($D104=Instructions!$F$52,AT103+1,AT103),IF(Instructions!$E$11=10,IF($H104=Instructions!$F$52,AT103+1,AT103),IF(Instructions!$E$11=12,IF($L104=Instructions!$F$52,AT103+1,AT103),IF(Instructions!$E$11=14,IF($P104=Instructions!$F$52,AT103+1,AT103),IF(Instructions!$E$11=16,IF($T104=Instructions!$F$52,AT103+1,AT103))))))</f>
        <v>8</v>
      </c>
      <c r="AU104" s="321" t="str">
        <f t="shared" si="26"/>
        <v>1108</v>
      </c>
      <c r="AV104" s="321">
        <f>IF(Instructions!$E$11=8,IF($D104=Instructions!$F$53,AV103+1,AV103),IF(Instructions!$E$11=10,IF($H104=Instructions!$F$53,AV103+1,AV103),IF(Instructions!$E$11=12,IF($L104=Instructions!$F$53,AV103+1,AV103),IF(Instructions!$E$11=14,IF($P104=Instructions!$F$53,AV103+1,AV103),IF(Instructions!$E$11=16,IF($T104=Instructions!$F$53,AV103+1,AV103))))))</f>
        <v>8</v>
      </c>
      <c r="AW104" s="321" t="str">
        <f t="shared" si="27"/>
        <v>1208</v>
      </c>
      <c r="AX104" s="321">
        <f>IF(Instructions!$E$11=8,IF($D104=Instructions!$F$54,AX103+1,AX103),IF(Instructions!$E$11=10,IF($H104=Instructions!$F$54,AX103+1,AX103),IF(Instructions!$E$11=12,IF($L104=Instructions!$F$54,AX103+1,AX103),IF(Instructions!$E$11=14,IF($P104=Instructions!$F$54,AX103+1,AX103),IF(Instructions!$E$11=16,IF($T104=Instructions!$F$54,AX103+1,AX103))))))</f>
        <v>0</v>
      </c>
      <c r="AY104" s="321" t="str">
        <f t="shared" si="28"/>
        <v>1300</v>
      </c>
      <c r="AZ104" s="321">
        <f>IF(Instructions!$E$11=8,IF($D104=Instructions!$F$55,AZ103+1,AZ103),IF(Instructions!$E$11=10,IF($H104=Instructions!$F$55,AZ103+1,AZ103),IF(Instructions!$E$11=12,IF($L104=Instructions!$F$55,AZ103+1,AZ103),IF(Instructions!$E$11=14,IF($P104=Instructions!$F$55,AZ103+1,AZ103),IF(Instructions!$E$11=16,IF($T104=Instructions!$F$55,AZ103+1,AZ103))))))</f>
        <v>0</v>
      </c>
      <c r="BA104" s="321" t="str">
        <f t="shared" si="29"/>
        <v>1400</v>
      </c>
      <c r="BB104" s="321">
        <f>IF(Instructions!$E$11=8,IF($D104=Instructions!$F$56,BB103+1,BB103),IF(Instructions!$E$11=10,IF($H104=Instructions!$F$56,BB103+1,BB103),IF(Instructions!$E$11=12,IF($L104=Instructions!$F$56,BB103+1,BB103),IF(Instructions!$E$11=14,IF($P104=Instructions!$F$56,BB103+1,BB103),IF(Instructions!$E$11=16,IF($T104=Instructions!$F$56,BB103+1,BB103))))))</f>
        <v>0</v>
      </c>
      <c r="BC104" s="321" t="str">
        <f t="shared" si="30"/>
        <v>1500</v>
      </c>
      <c r="BD104" s="321">
        <f>IF(Instructions!$E$11=8,IF($D104=Instructions!$F$57,BD103+1,BD103),IF(Instructions!$E$11=10,IF($H104=Instructions!$F$57,BD103+1,BD103),IF(Instructions!$E$11=12,IF($L104=Instructions!$F$57,BD103+1,BD103),IF(Instructions!$E$11=14,IF($P104=Instructions!$F$57,BD103+1,BD103),IF(Instructions!$E$11=16,IF($T104=Instructions!$F$57,BD103+1,BD103))))))</f>
        <v>0</v>
      </c>
      <c r="BE104" s="321" t="str">
        <f t="shared" si="31"/>
        <v>1600</v>
      </c>
      <c r="BF104" s="321">
        <v>102</v>
      </c>
    </row>
    <row r="105" spans="1:58" x14ac:dyDescent="0.25">
      <c r="A105" s="280"/>
      <c r="B105" s="323" t="str">
        <f>IF(Instructions!$J$11=1,AA105,IF(Instructions!$J$11=2,AC105,IF(Instructions!$J$11=3,AE105,IF(Instructions!$J$11=4,AG105,IF(Instructions!$J$11=5,AI105,IF(Instructions!$J$11=6,AK105,IF(Instructions!$J$11=7,AM105,IF(Instructions!$J$11=8,AO105,IF(Instructions!$J$11=9,AQ105,IF(Instructions!$J$11=10,AS105,IF(Instructions!$J$11=11,AU105,IF(Instructions!$J$11=12,AW105,IF(Instructions!$J$11=13, AY105, IF(Instructions!$J$11=14,BA105,IF(Instructions!$J$11=15,BC105,BE105)))))))))))))))</f>
        <v>209</v>
      </c>
      <c r="C105" s="271">
        <v>103</v>
      </c>
      <c r="D105" s="328" t="str">
        <f>Instructions!F$48</f>
        <v>Bui</v>
      </c>
      <c r="E105" s="333" t="s">
        <v>857</v>
      </c>
      <c r="F105" s="706"/>
      <c r="G105" s="279">
        <v>13</v>
      </c>
      <c r="H105" s="293" t="str">
        <f>Instructions!F$44</f>
        <v>Cam</v>
      </c>
      <c r="I105" s="273" t="s">
        <v>829</v>
      </c>
      <c r="J105" s="709"/>
      <c r="K105" s="279">
        <v>11</v>
      </c>
      <c r="L105" s="293" t="str">
        <f>Instructions!F$48</f>
        <v>Bui</v>
      </c>
      <c r="M105" s="273" t="s">
        <v>809</v>
      </c>
      <c r="N105" s="709"/>
      <c r="O105" s="279">
        <v>9</v>
      </c>
      <c r="P105" s="293" t="str">
        <f>Instructions!F$51</f>
        <v>Josh</v>
      </c>
      <c r="Q105" s="273" t="s">
        <v>795</v>
      </c>
      <c r="R105" s="709"/>
      <c r="S105" s="279">
        <v>8</v>
      </c>
      <c r="T105" s="328" t="str">
        <f>Instructions!F$48</f>
        <v>Bui</v>
      </c>
      <c r="U105" s="273" t="s">
        <v>785</v>
      </c>
      <c r="V105" s="706"/>
      <c r="W105" s="279">
        <v>7</v>
      </c>
      <c r="X105" s="280"/>
      <c r="Y105" s="190" t="str">
        <f>IFERROR( IF(Instructions!$E$11=8, D105&amp;COUNTIF(D$3:D105,D105), IF(Instructions!$E$11=10, H105&amp;COUNTIF(H$3:H105,H105),IF(Instructions!$E$11=12, L105&amp;COUNTIF(L$3:L105,L105),IF(Instructions!$E$11=14, P105&amp;COUNTIF(P$3:P105,P105),T105&amp;COUNTIF(T$3:T105,T105))))),"")</f>
        <v>Bui9</v>
      </c>
      <c r="Z105" s="321">
        <f>IF(Instructions!$E$11=8,IF($D105=Instructions!$F$42,Z104+1,Z104),IF(Instructions!$E$11=10,IF($H105=Instructions!$F$42,Z104+1,Z104),IF(Instructions!$E$11=12,IF($L105=Instructions!$F$42,Z104+1,Z104),IF(Instructions!$E$11=14,IF($P105=Instructions!$F$42,Z104+1,Z104),IF(Instructions!$E$11=16,IF($T105=Instructions!$F$42,Z104+1,Z104))))))</f>
        <v>9</v>
      </c>
      <c r="AA105" s="321" t="str">
        <f t="shared" si="24"/>
        <v>109</v>
      </c>
      <c r="AB105" s="321">
        <f>IF(Instructions!$E$11=8,IF($D105=Instructions!$F$43,AB104+1,AB104),IF(Instructions!$E$11=10,IF($H105=Instructions!$F$43,AB104+1,AB104),IF(Instructions!$E$11=12,IF($L105=Instructions!$F$43,AB104+1,AB104),IF(Instructions!$E$11=14,IF($P105=Instructions!$F$43,AB104+1,AB104),IF(Instructions!$E$11=16,IF($T105=Instructions!$F$43,AB104+1,AB104))))))</f>
        <v>9</v>
      </c>
      <c r="AC105" s="321" t="str">
        <f t="shared" si="16"/>
        <v>209</v>
      </c>
      <c r="AD105" s="321">
        <f>IF(Instructions!$E$11=8,IF($D105=Instructions!$F$44,AD104+1,AD104),IF(Instructions!$E$11=10,IF($H105=Instructions!$F$44,AD104+1,AD104),IF(Instructions!$E$11=12,IF($L105=Instructions!$F$44,AD104+1,AD104),IF(Instructions!$E$11=14,IF($P105=Instructions!$F$44,AD104+1,AD104),IF(Instructions!$E$11=16,IF($T105=Instructions!$F$44,AD104+1,AD104))))))</f>
        <v>9</v>
      </c>
      <c r="AE105" s="321" t="str">
        <f t="shared" si="17"/>
        <v>309</v>
      </c>
      <c r="AF105" s="321">
        <f>IF(Instructions!$E$11=8,IF($D105=Instructions!$F$45,AF104+1,AF104),IF(Instructions!$E$11=10,IF($H105=Instructions!$F$45,AF104+1,AF104),IF(Instructions!$E$11=12,IF($L105=Instructions!$F$45,AF104+1,AF104),IF(Instructions!$E$11=14,IF($P105=Instructions!$F$45,AF104+1,AF104),IF(Instructions!$E$11=16,IF($T105=Instructions!$F$45,AF104+1,AF104))))))</f>
        <v>9</v>
      </c>
      <c r="AG105" s="321" t="str">
        <f t="shared" si="18"/>
        <v>409</v>
      </c>
      <c r="AH105" s="321">
        <f>IF(Instructions!$E$11=8,IF($D105=Instructions!$F$46,AH104+1,AH104),IF(Instructions!$E$11=10,IF($H105=Instructions!$F$46,AH104+1,AH104),IF(Instructions!$E$11=12,IF($L105=Instructions!$F$46,AH104+1,AH104),IF(Instructions!$E$11=14,IF($P105=Instructions!$F$46,AH104+1,AH104),IF(Instructions!$E$11=16,IF($T105=Instructions!$F$46,AH104+1,AH104))))))</f>
        <v>9</v>
      </c>
      <c r="AI105" s="321" t="str">
        <f t="shared" si="19"/>
        <v>509</v>
      </c>
      <c r="AJ105" s="321">
        <f>IF(Instructions!$E$11=8,IF($D105=Instructions!$F$47,AJ104+1,AJ104),IF(Instructions!$E$11=10,IF($H105=Instructions!$F$47,AJ104+1,AJ104),IF(Instructions!$E$11=12,IF($L105=Instructions!$F$47,AJ104+1,AJ104),IF(Instructions!$E$11=14,IF($P105=Instructions!$F$47,AJ104+1,AJ104),IF(Instructions!$E$11=16,IF($T105=Instructions!$F$47,AJ104+1,AJ104))))))</f>
        <v>9</v>
      </c>
      <c r="AK105" s="321" t="str">
        <f t="shared" si="20"/>
        <v>609</v>
      </c>
      <c r="AL105" s="321">
        <f>IF(Instructions!$E$11=8,IF($D105=Instructions!$F$48,AL104+1,AL104),IF(Instructions!$E$11=10,IF($H105=Instructions!$F$48,AL104+1,AL104),IF(Instructions!$E$11=12,IF($L105=Instructions!$F$48,AL104+1,AL104),IF(Instructions!$E$11=14,IF($P105=Instructions!$F$48,AL104+1,AL104),IF(Instructions!$E$11=16,IF($T105=Instructions!$F$48,AL104+1,AL104))))))</f>
        <v>9</v>
      </c>
      <c r="AM105" s="321" t="str">
        <f t="shared" si="21"/>
        <v>709</v>
      </c>
      <c r="AN105" s="321">
        <f>IF(Instructions!$E$11=8,IF($D105=Instructions!$F$49,AN104+1,AN104),IF(Instructions!$E$11=10,IF($H105=Instructions!$F$49,AN104+1,AN104),IF(Instructions!$E$11=12,IF($L105=Instructions!$F$49,AN104+1,AN104),IF(Instructions!$E$11=14,IF($P105=Instructions!$F$49,AN104+1,AN104),IF(Instructions!$E$11=16,IF($T105=Instructions!$F$49,AN104+1,AN104))))))</f>
        <v>8</v>
      </c>
      <c r="AO105" s="321" t="str">
        <f t="shared" si="22"/>
        <v>808</v>
      </c>
      <c r="AP105" s="321">
        <f>IF(Instructions!$E$11=8,IF($D105=Instructions!$F$50,AP104+1,AP104),IF(Instructions!$E$11=10,IF($H105=Instructions!$F$50,AP104+1,AP104),IF(Instructions!$E$11=12,IF($L105=Instructions!$F$50,AP104+1,AP104),IF(Instructions!$E$11=14,IF($P105=Instructions!$F$50,AP104+1,AP104),IF(Instructions!$E$11=16,IF($T105=Instructions!$F$50,AP104+1,AP104))))))</f>
        <v>8</v>
      </c>
      <c r="AQ105" s="321" t="str">
        <f t="shared" si="23"/>
        <v>908</v>
      </c>
      <c r="AR105" s="321">
        <f>IF(Instructions!$E$11=8,IF($D105=Instructions!$F$51,AR104+1,AR104),IF(Instructions!$E$11=10,IF($H105=Instructions!$F$51,AR104+1,AR104),IF(Instructions!$E$11=12,IF($L105=Instructions!$F$51,AR104+1,AR104),IF(Instructions!$E$11=14,IF($P105=Instructions!$F$51,AR104+1,AR104),IF(Instructions!$E$11=16,IF($T105=Instructions!$F$51,AR104+1,AR104))))))</f>
        <v>8</v>
      </c>
      <c r="AS105" s="321" t="str">
        <f t="shared" si="25"/>
        <v>1008</v>
      </c>
      <c r="AT105" s="321">
        <f>IF(Instructions!$E$11=8,IF($D105=Instructions!$F$52,AT104+1,AT104),IF(Instructions!$E$11=10,IF($H105=Instructions!$F$52,AT104+1,AT104),IF(Instructions!$E$11=12,IF($L105=Instructions!$F$52,AT104+1,AT104),IF(Instructions!$E$11=14,IF($P105=Instructions!$F$52,AT104+1,AT104),IF(Instructions!$E$11=16,IF($T105=Instructions!$F$52,AT104+1,AT104))))))</f>
        <v>8</v>
      </c>
      <c r="AU105" s="321" t="str">
        <f t="shared" si="26"/>
        <v>1108</v>
      </c>
      <c r="AV105" s="321">
        <f>IF(Instructions!$E$11=8,IF($D105=Instructions!$F$53,AV104+1,AV104),IF(Instructions!$E$11=10,IF($H105=Instructions!$F$53,AV104+1,AV104),IF(Instructions!$E$11=12,IF($L105=Instructions!$F$53,AV104+1,AV104),IF(Instructions!$E$11=14,IF($P105=Instructions!$F$53,AV104+1,AV104),IF(Instructions!$E$11=16,IF($T105=Instructions!$F$53,AV104+1,AV104))))))</f>
        <v>8</v>
      </c>
      <c r="AW105" s="321" t="str">
        <f t="shared" si="27"/>
        <v>1208</v>
      </c>
      <c r="AX105" s="321">
        <f>IF(Instructions!$E$11=8,IF($D105=Instructions!$F$54,AX104+1,AX104),IF(Instructions!$E$11=10,IF($H105=Instructions!$F$54,AX104+1,AX104),IF(Instructions!$E$11=12,IF($L105=Instructions!$F$54,AX104+1,AX104),IF(Instructions!$E$11=14,IF($P105=Instructions!$F$54,AX104+1,AX104),IF(Instructions!$E$11=16,IF($T105=Instructions!$F$54,AX104+1,AX104))))))</f>
        <v>0</v>
      </c>
      <c r="AY105" s="321" t="str">
        <f t="shared" si="28"/>
        <v>1300</v>
      </c>
      <c r="AZ105" s="321">
        <f>IF(Instructions!$E$11=8,IF($D105=Instructions!$F$55,AZ104+1,AZ104),IF(Instructions!$E$11=10,IF($H105=Instructions!$F$55,AZ104+1,AZ104),IF(Instructions!$E$11=12,IF($L105=Instructions!$F$55,AZ104+1,AZ104),IF(Instructions!$E$11=14,IF($P105=Instructions!$F$55,AZ104+1,AZ104),IF(Instructions!$E$11=16,IF($T105=Instructions!$F$55,AZ104+1,AZ104))))))</f>
        <v>0</v>
      </c>
      <c r="BA105" s="321" t="str">
        <f t="shared" si="29"/>
        <v>1400</v>
      </c>
      <c r="BB105" s="321">
        <f>IF(Instructions!$E$11=8,IF($D105=Instructions!$F$56,BB104+1,BB104),IF(Instructions!$E$11=10,IF($H105=Instructions!$F$56,BB104+1,BB104),IF(Instructions!$E$11=12,IF($L105=Instructions!$F$56,BB104+1,BB104),IF(Instructions!$E$11=14,IF($P105=Instructions!$F$56,BB104+1,BB104),IF(Instructions!$E$11=16,IF($T105=Instructions!$F$56,BB104+1,BB104))))))</f>
        <v>0</v>
      </c>
      <c r="BC105" s="321" t="str">
        <f t="shared" si="30"/>
        <v>1500</v>
      </c>
      <c r="BD105" s="321">
        <f>IF(Instructions!$E$11=8,IF($D105=Instructions!$F$57,BD104+1,BD104),IF(Instructions!$E$11=10,IF($H105=Instructions!$F$57,BD104+1,BD104),IF(Instructions!$E$11=12,IF($L105=Instructions!$F$57,BD104+1,BD104),IF(Instructions!$E$11=14,IF($P105=Instructions!$F$57,BD104+1,BD104),IF(Instructions!$E$11=16,IF($T105=Instructions!$F$57,BD104+1,BD104))))))</f>
        <v>0</v>
      </c>
      <c r="BE105" s="321" t="str">
        <f t="shared" si="31"/>
        <v>1600</v>
      </c>
      <c r="BF105" s="321">
        <v>103</v>
      </c>
    </row>
    <row r="106" spans="1:58" ht="15.75" thickBot="1" x14ac:dyDescent="0.3">
      <c r="A106" s="280"/>
      <c r="B106" s="323" t="str">
        <f>IF(Instructions!$J$11=1,AA106,IF(Instructions!$J$11=2,AC106,IF(Instructions!$J$11=3,AE106,IF(Instructions!$J$11=4,AG106,IF(Instructions!$J$11=5,AI106,IF(Instructions!$J$11=6,AK106,IF(Instructions!$J$11=7,AM106,IF(Instructions!$J$11=8,AO106,IF(Instructions!$J$11=9,AQ106,IF(Instructions!$J$11=10,AS106,IF(Instructions!$J$11=11,AU106,IF(Instructions!$J$11=12,AW106,IF(Instructions!$J$11=13, AY106, IF(Instructions!$J$11=14,BA106,IF(Instructions!$J$11=15,BC106,BE106)))))))))))))))</f>
        <v>209</v>
      </c>
      <c r="C106" s="272">
        <v>104</v>
      </c>
      <c r="D106" s="329" t="str">
        <f>Instructions!F$49</f>
        <v>Luke</v>
      </c>
      <c r="E106" s="332" t="s">
        <v>858</v>
      </c>
      <c r="F106" s="707"/>
      <c r="G106" s="279">
        <v>13</v>
      </c>
      <c r="H106" s="294" t="str">
        <f>Instructions!F$45</f>
        <v>Miles</v>
      </c>
      <c r="I106" s="274" t="s">
        <v>830</v>
      </c>
      <c r="J106" s="709"/>
      <c r="K106" s="279">
        <v>11</v>
      </c>
      <c r="L106" s="294" t="str">
        <f>Instructions!F$49</f>
        <v>Luke</v>
      </c>
      <c r="M106" s="274" t="s">
        <v>810</v>
      </c>
      <c r="N106" s="709"/>
      <c r="O106" s="279">
        <v>9</v>
      </c>
      <c r="P106" s="294" t="str">
        <f>Instructions!F$50</f>
        <v>Dan</v>
      </c>
      <c r="Q106" s="274" t="s">
        <v>796</v>
      </c>
      <c r="R106" s="709"/>
      <c r="S106" s="279">
        <v>8</v>
      </c>
      <c r="T106" s="327" t="str">
        <f>Instructions!F$49</f>
        <v>Luke</v>
      </c>
      <c r="U106" s="274" t="s">
        <v>786</v>
      </c>
      <c r="V106" s="706"/>
      <c r="W106" s="279">
        <v>7</v>
      </c>
      <c r="X106" s="280"/>
      <c r="Y106" s="190" t="str">
        <f>IFERROR( IF(Instructions!$E$11=8, D106&amp;COUNTIF(D$3:D106,D106), IF(Instructions!$E$11=10, H106&amp;COUNTIF(H$3:H106,H106),IF(Instructions!$E$11=12, L106&amp;COUNTIF(L$3:L106,L106),IF(Instructions!$E$11=14, P106&amp;COUNTIF(P$3:P106,P106),T106&amp;COUNTIF(T$3:T106,T106))))),"")</f>
        <v>Luke9</v>
      </c>
      <c r="Z106" s="321">
        <f>IF(Instructions!$E$11=8,IF($D106=Instructions!$F$42,Z105+1,Z105),IF(Instructions!$E$11=10,IF($H106=Instructions!$F$42,Z105+1,Z105),IF(Instructions!$E$11=12,IF($L106=Instructions!$F$42,Z105+1,Z105),IF(Instructions!$E$11=14,IF($P106=Instructions!$F$42,Z105+1,Z105),IF(Instructions!$E$11=16,IF($T106=Instructions!$F$42,Z105+1,Z105))))))</f>
        <v>9</v>
      </c>
      <c r="AA106" s="321" t="str">
        <f t="shared" si="24"/>
        <v>109</v>
      </c>
      <c r="AB106" s="321">
        <f>IF(Instructions!$E$11=8,IF($D106=Instructions!$F$43,AB105+1,AB105),IF(Instructions!$E$11=10,IF($H106=Instructions!$F$43,AB105+1,AB105),IF(Instructions!$E$11=12,IF($L106=Instructions!$F$43,AB105+1,AB105),IF(Instructions!$E$11=14,IF($P106=Instructions!$F$43,AB105+1,AB105),IF(Instructions!$E$11=16,IF($T106=Instructions!$F$43,AB105+1,AB105))))))</f>
        <v>9</v>
      </c>
      <c r="AC106" s="321" t="str">
        <f t="shared" si="16"/>
        <v>209</v>
      </c>
      <c r="AD106" s="321">
        <f>IF(Instructions!$E$11=8,IF($D106=Instructions!$F$44,AD105+1,AD105),IF(Instructions!$E$11=10,IF($H106=Instructions!$F$44,AD105+1,AD105),IF(Instructions!$E$11=12,IF($L106=Instructions!$F$44,AD105+1,AD105),IF(Instructions!$E$11=14,IF($P106=Instructions!$F$44,AD105+1,AD105),IF(Instructions!$E$11=16,IF($T106=Instructions!$F$44,AD105+1,AD105))))))</f>
        <v>9</v>
      </c>
      <c r="AE106" s="321" t="str">
        <f t="shared" si="17"/>
        <v>309</v>
      </c>
      <c r="AF106" s="321">
        <f>IF(Instructions!$E$11=8,IF($D106=Instructions!$F$45,AF105+1,AF105),IF(Instructions!$E$11=10,IF($H106=Instructions!$F$45,AF105+1,AF105),IF(Instructions!$E$11=12,IF($L106=Instructions!$F$45,AF105+1,AF105),IF(Instructions!$E$11=14,IF($P106=Instructions!$F$45,AF105+1,AF105),IF(Instructions!$E$11=16,IF($T106=Instructions!$F$45,AF105+1,AF105))))))</f>
        <v>9</v>
      </c>
      <c r="AG106" s="321" t="str">
        <f t="shared" si="18"/>
        <v>409</v>
      </c>
      <c r="AH106" s="321">
        <f>IF(Instructions!$E$11=8,IF($D106=Instructions!$F$46,AH105+1,AH105),IF(Instructions!$E$11=10,IF($H106=Instructions!$F$46,AH105+1,AH105),IF(Instructions!$E$11=12,IF($L106=Instructions!$F$46,AH105+1,AH105),IF(Instructions!$E$11=14,IF($P106=Instructions!$F$46,AH105+1,AH105),IF(Instructions!$E$11=16,IF($T106=Instructions!$F$46,AH105+1,AH105))))))</f>
        <v>9</v>
      </c>
      <c r="AI106" s="321" t="str">
        <f t="shared" si="19"/>
        <v>509</v>
      </c>
      <c r="AJ106" s="321">
        <f>IF(Instructions!$E$11=8,IF($D106=Instructions!$F$47,AJ105+1,AJ105),IF(Instructions!$E$11=10,IF($H106=Instructions!$F$47,AJ105+1,AJ105),IF(Instructions!$E$11=12,IF($L106=Instructions!$F$47,AJ105+1,AJ105),IF(Instructions!$E$11=14,IF($P106=Instructions!$F$47,AJ105+1,AJ105),IF(Instructions!$E$11=16,IF($T106=Instructions!$F$47,AJ105+1,AJ105))))))</f>
        <v>9</v>
      </c>
      <c r="AK106" s="321" t="str">
        <f t="shared" si="20"/>
        <v>609</v>
      </c>
      <c r="AL106" s="321">
        <f>IF(Instructions!$E$11=8,IF($D106=Instructions!$F$48,AL105+1,AL105),IF(Instructions!$E$11=10,IF($H106=Instructions!$F$48,AL105+1,AL105),IF(Instructions!$E$11=12,IF($L106=Instructions!$F$48,AL105+1,AL105),IF(Instructions!$E$11=14,IF($P106=Instructions!$F$48,AL105+1,AL105),IF(Instructions!$E$11=16,IF($T106=Instructions!$F$48,AL105+1,AL105))))))</f>
        <v>9</v>
      </c>
      <c r="AM106" s="321" t="str">
        <f t="shared" si="21"/>
        <v>709</v>
      </c>
      <c r="AN106" s="321">
        <f>IF(Instructions!$E$11=8,IF($D106=Instructions!$F$49,AN105+1,AN105),IF(Instructions!$E$11=10,IF($H106=Instructions!$F$49,AN105+1,AN105),IF(Instructions!$E$11=12,IF($L106=Instructions!$F$49,AN105+1,AN105),IF(Instructions!$E$11=14,IF($P106=Instructions!$F$49,AN105+1,AN105),IF(Instructions!$E$11=16,IF($T106=Instructions!$F$49,AN105+1,AN105))))))</f>
        <v>9</v>
      </c>
      <c r="AO106" s="321" t="str">
        <f t="shared" si="22"/>
        <v>809</v>
      </c>
      <c r="AP106" s="321">
        <f>IF(Instructions!$E$11=8,IF($D106=Instructions!$F$50,AP105+1,AP105),IF(Instructions!$E$11=10,IF($H106=Instructions!$F$50,AP105+1,AP105),IF(Instructions!$E$11=12,IF($L106=Instructions!$F$50,AP105+1,AP105),IF(Instructions!$E$11=14,IF($P106=Instructions!$F$50,AP105+1,AP105),IF(Instructions!$E$11=16,IF($T106=Instructions!$F$50,AP105+1,AP105))))))</f>
        <v>8</v>
      </c>
      <c r="AQ106" s="321" t="str">
        <f t="shared" si="23"/>
        <v>908</v>
      </c>
      <c r="AR106" s="321">
        <f>IF(Instructions!$E$11=8,IF($D106=Instructions!$F$51,AR105+1,AR105),IF(Instructions!$E$11=10,IF($H106=Instructions!$F$51,AR105+1,AR105),IF(Instructions!$E$11=12,IF($L106=Instructions!$F$51,AR105+1,AR105),IF(Instructions!$E$11=14,IF($P106=Instructions!$F$51,AR105+1,AR105),IF(Instructions!$E$11=16,IF($T106=Instructions!$F$51,AR105+1,AR105))))))</f>
        <v>8</v>
      </c>
      <c r="AS106" s="321" t="str">
        <f t="shared" si="25"/>
        <v>1008</v>
      </c>
      <c r="AT106" s="321">
        <f>IF(Instructions!$E$11=8,IF($D106=Instructions!$F$52,AT105+1,AT105),IF(Instructions!$E$11=10,IF($H106=Instructions!$F$52,AT105+1,AT105),IF(Instructions!$E$11=12,IF($L106=Instructions!$F$52,AT105+1,AT105),IF(Instructions!$E$11=14,IF($P106=Instructions!$F$52,AT105+1,AT105),IF(Instructions!$E$11=16,IF($T106=Instructions!$F$52,AT105+1,AT105))))))</f>
        <v>8</v>
      </c>
      <c r="AU106" s="321" t="str">
        <f t="shared" si="26"/>
        <v>1108</v>
      </c>
      <c r="AV106" s="321">
        <f>IF(Instructions!$E$11=8,IF($D106=Instructions!$F$53,AV105+1,AV105),IF(Instructions!$E$11=10,IF($H106=Instructions!$F$53,AV105+1,AV105),IF(Instructions!$E$11=12,IF($L106=Instructions!$F$53,AV105+1,AV105),IF(Instructions!$E$11=14,IF($P106=Instructions!$F$53,AV105+1,AV105),IF(Instructions!$E$11=16,IF($T106=Instructions!$F$53,AV105+1,AV105))))))</f>
        <v>8</v>
      </c>
      <c r="AW106" s="321" t="str">
        <f t="shared" si="27"/>
        <v>1208</v>
      </c>
      <c r="AX106" s="321">
        <f>IF(Instructions!$E$11=8,IF($D106=Instructions!$F$54,AX105+1,AX105),IF(Instructions!$E$11=10,IF($H106=Instructions!$F$54,AX105+1,AX105),IF(Instructions!$E$11=12,IF($L106=Instructions!$F$54,AX105+1,AX105),IF(Instructions!$E$11=14,IF($P106=Instructions!$F$54,AX105+1,AX105),IF(Instructions!$E$11=16,IF($T106=Instructions!$F$54,AX105+1,AX105))))))</f>
        <v>0</v>
      </c>
      <c r="AY106" s="321" t="str">
        <f t="shared" si="28"/>
        <v>1300</v>
      </c>
      <c r="AZ106" s="321">
        <f>IF(Instructions!$E$11=8,IF($D106=Instructions!$F$55,AZ105+1,AZ105),IF(Instructions!$E$11=10,IF($H106=Instructions!$F$55,AZ105+1,AZ105),IF(Instructions!$E$11=12,IF($L106=Instructions!$F$55,AZ105+1,AZ105),IF(Instructions!$E$11=14,IF($P106=Instructions!$F$55,AZ105+1,AZ105),IF(Instructions!$E$11=16,IF($T106=Instructions!$F$55,AZ105+1,AZ105))))))</f>
        <v>0</v>
      </c>
      <c r="BA106" s="321" t="str">
        <f t="shared" si="29"/>
        <v>1400</v>
      </c>
      <c r="BB106" s="321">
        <f>IF(Instructions!$E$11=8,IF($D106=Instructions!$F$56,BB105+1,BB105),IF(Instructions!$E$11=10,IF($H106=Instructions!$F$56,BB105+1,BB105),IF(Instructions!$E$11=12,IF($L106=Instructions!$F$56,BB105+1,BB105),IF(Instructions!$E$11=14,IF($P106=Instructions!$F$56,BB105+1,BB105),IF(Instructions!$E$11=16,IF($T106=Instructions!$F$56,BB105+1,BB105))))))</f>
        <v>0</v>
      </c>
      <c r="BC106" s="321" t="str">
        <f t="shared" si="30"/>
        <v>1500</v>
      </c>
      <c r="BD106" s="321">
        <f>IF(Instructions!$E$11=8,IF($D106=Instructions!$F$57,BD105+1,BD105),IF(Instructions!$E$11=10,IF($H106=Instructions!$F$57,BD105+1,BD105),IF(Instructions!$E$11=12,IF($L106=Instructions!$F$57,BD105+1,BD105),IF(Instructions!$E$11=14,IF($P106=Instructions!$F$57,BD105+1,BD105),IF(Instructions!$E$11=16,IF($T106=Instructions!$F$57,BD105+1,BD105))))))</f>
        <v>0</v>
      </c>
      <c r="BE106" s="321" t="str">
        <f t="shared" si="31"/>
        <v>1600</v>
      </c>
      <c r="BF106" s="321">
        <v>104</v>
      </c>
    </row>
    <row r="107" spans="1:58" x14ac:dyDescent="0.25">
      <c r="A107" s="280"/>
      <c r="B107" s="323" t="str">
        <f>IF(Instructions!$J$11=1,AA107,IF(Instructions!$J$11=2,AC107,IF(Instructions!$J$11=3,AE107,IF(Instructions!$J$11=4,AG107,IF(Instructions!$J$11=5,AI107,IF(Instructions!$J$11=6,AK107,IF(Instructions!$J$11=7,AM107,IF(Instructions!$J$11=8,AO107,IF(Instructions!$J$11=9,AQ107,IF(Instructions!$J$11=10,AS107,IF(Instructions!$J$11=11,AU107,IF(Instructions!$J$11=12,AW107,IF(Instructions!$J$11=13, AY107, IF(Instructions!$J$11=14,BA107,IF(Instructions!$J$11=15,BC107,BE107)))))))))))))))</f>
        <v>209</v>
      </c>
      <c r="C107" s="271">
        <v>105</v>
      </c>
      <c r="D107" s="325" t="str">
        <f>Instructions!F$49</f>
        <v>Luke</v>
      </c>
      <c r="E107" s="331" t="s">
        <v>863</v>
      </c>
      <c r="F107" s="705" t="s">
        <v>909</v>
      </c>
      <c r="G107" s="279">
        <v>14</v>
      </c>
      <c r="H107" s="293" t="str">
        <f>Instructions!F$46</f>
        <v>Con</v>
      </c>
      <c r="I107" s="273" t="s">
        <v>831</v>
      </c>
      <c r="J107" s="709"/>
      <c r="K107" s="279">
        <v>11</v>
      </c>
      <c r="L107" s="293" t="str">
        <f>Instructions!F$50</f>
        <v>Dan</v>
      </c>
      <c r="M107" s="273" t="s">
        <v>811</v>
      </c>
      <c r="N107" s="709"/>
      <c r="O107" s="279">
        <v>9</v>
      </c>
      <c r="P107" s="293" t="str">
        <f>Instructions!F$49</f>
        <v>Luke</v>
      </c>
      <c r="Q107" s="273" t="s">
        <v>797</v>
      </c>
      <c r="R107" s="709"/>
      <c r="S107" s="279">
        <v>8</v>
      </c>
      <c r="T107" s="328" t="str">
        <f>Instructions!F$50</f>
        <v>Dan</v>
      </c>
      <c r="U107" s="273" t="s">
        <v>787</v>
      </c>
      <c r="V107" s="706"/>
      <c r="W107" s="279">
        <v>7</v>
      </c>
      <c r="X107" s="280"/>
      <c r="Y107" s="190" t="str">
        <f>IFERROR( IF(Instructions!$E$11=8, D107&amp;COUNTIF(D$3:D107,D107), IF(Instructions!$E$11=10, H107&amp;COUNTIF(H$3:H107,H107),IF(Instructions!$E$11=12, L107&amp;COUNTIF(L$3:L107,L107),IF(Instructions!$E$11=14, P107&amp;COUNTIF(P$3:P107,P107),T107&amp;COUNTIF(T$3:T107,T107))))),"")</f>
        <v>Dan9</v>
      </c>
      <c r="Z107" s="321">
        <f>IF(Instructions!$E$11=8,IF($D107=Instructions!$F$42,Z106+1,Z106),IF(Instructions!$E$11=10,IF($H107=Instructions!$F$42,Z106+1,Z106),IF(Instructions!$E$11=12,IF($L107=Instructions!$F$42,Z106+1,Z106),IF(Instructions!$E$11=14,IF($P107=Instructions!$F$42,Z106+1,Z106),IF(Instructions!$E$11=16,IF($T107=Instructions!$F$42,Z106+1,Z106))))))</f>
        <v>9</v>
      </c>
      <c r="AA107" s="321" t="str">
        <f t="shared" si="24"/>
        <v>109</v>
      </c>
      <c r="AB107" s="321">
        <f>IF(Instructions!$E$11=8,IF($D107=Instructions!$F$43,AB106+1,AB106),IF(Instructions!$E$11=10,IF($H107=Instructions!$F$43,AB106+1,AB106),IF(Instructions!$E$11=12,IF($L107=Instructions!$F$43,AB106+1,AB106),IF(Instructions!$E$11=14,IF($P107=Instructions!$F$43,AB106+1,AB106),IF(Instructions!$E$11=16,IF($T107=Instructions!$F$43,AB106+1,AB106))))))</f>
        <v>9</v>
      </c>
      <c r="AC107" s="321" t="str">
        <f t="shared" si="16"/>
        <v>209</v>
      </c>
      <c r="AD107" s="321">
        <f>IF(Instructions!$E$11=8,IF($D107=Instructions!$F$44,AD106+1,AD106),IF(Instructions!$E$11=10,IF($H107=Instructions!$F$44,AD106+1,AD106),IF(Instructions!$E$11=12,IF($L107=Instructions!$F$44,AD106+1,AD106),IF(Instructions!$E$11=14,IF($P107=Instructions!$F$44,AD106+1,AD106),IF(Instructions!$E$11=16,IF($T107=Instructions!$F$44,AD106+1,AD106))))))</f>
        <v>9</v>
      </c>
      <c r="AE107" s="321" t="str">
        <f t="shared" si="17"/>
        <v>309</v>
      </c>
      <c r="AF107" s="321">
        <f>IF(Instructions!$E$11=8,IF($D107=Instructions!$F$45,AF106+1,AF106),IF(Instructions!$E$11=10,IF($H107=Instructions!$F$45,AF106+1,AF106),IF(Instructions!$E$11=12,IF($L107=Instructions!$F$45,AF106+1,AF106),IF(Instructions!$E$11=14,IF($P107=Instructions!$F$45,AF106+1,AF106),IF(Instructions!$E$11=16,IF($T107=Instructions!$F$45,AF106+1,AF106))))))</f>
        <v>9</v>
      </c>
      <c r="AG107" s="321" t="str">
        <f t="shared" si="18"/>
        <v>409</v>
      </c>
      <c r="AH107" s="321">
        <f>IF(Instructions!$E$11=8,IF($D107=Instructions!$F$46,AH106+1,AH106),IF(Instructions!$E$11=10,IF($H107=Instructions!$F$46,AH106+1,AH106),IF(Instructions!$E$11=12,IF($L107=Instructions!$F$46,AH106+1,AH106),IF(Instructions!$E$11=14,IF($P107=Instructions!$F$46,AH106+1,AH106),IF(Instructions!$E$11=16,IF($T107=Instructions!$F$46,AH106+1,AH106))))))</f>
        <v>9</v>
      </c>
      <c r="AI107" s="321" t="str">
        <f t="shared" si="19"/>
        <v>509</v>
      </c>
      <c r="AJ107" s="321">
        <f>IF(Instructions!$E$11=8,IF($D107=Instructions!$F$47,AJ106+1,AJ106),IF(Instructions!$E$11=10,IF($H107=Instructions!$F$47,AJ106+1,AJ106),IF(Instructions!$E$11=12,IF($L107=Instructions!$F$47,AJ106+1,AJ106),IF(Instructions!$E$11=14,IF($P107=Instructions!$F$47,AJ106+1,AJ106),IF(Instructions!$E$11=16,IF($T107=Instructions!$F$47,AJ106+1,AJ106))))))</f>
        <v>9</v>
      </c>
      <c r="AK107" s="321" t="str">
        <f t="shared" si="20"/>
        <v>609</v>
      </c>
      <c r="AL107" s="321">
        <f>IF(Instructions!$E$11=8,IF($D107=Instructions!$F$48,AL106+1,AL106),IF(Instructions!$E$11=10,IF($H107=Instructions!$F$48,AL106+1,AL106),IF(Instructions!$E$11=12,IF($L107=Instructions!$F$48,AL106+1,AL106),IF(Instructions!$E$11=14,IF($P107=Instructions!$F$48,AL106+1,AL106),IF(Instructions!$E$11=16,IF($T107=Instructions!$F$48,AL106+1,AL106))))))</f>
        <v>9</v>
      </c>
      <c r="AM107" s="321" t="str">
        <f t="shared" si="21"/>
        <v>709</v>
      </c>
      <c r="AN107" s="321">
        <f>IF(Instructions!$E$11=8,IF($D107=Instructions!$F$49,AN106+1,AN106),IF(Instructions!$E$11=10,IF($H107=Instructions!$F$49,AN106+1,AN106),IF(Instructions!$E$11=12,IF($L107=Instructions!$F$49,AN106+1,AN106),IF(Instructions!$E$11=14,IF($P107=Instructions!$F$49,AN106+1,AN106),IF(Instructions!$E$11=16,IF($T107=Instructions!$F$49,AN106+1,AN106))))))</f>
        <v>9</v>
      </c>
      <c r="AO107" s="321" t="str">
        <f t="shared" si="22"/>
        <v>809</v>
      </c>
      <c r="AP107" s="321">
        <f>IF(Instructions!$E$11=8,IF($D107=Instructions!$F$50,AP106+1,AP106),IF(Instructions!$E$11=10,IF($H107=Instructions!$F$50,AP106+1,AP106),IF(Instructions!$E$11=12,IF($L107=Instructions!$F$50,AP106+1,AP106),IF(Instructions!$E$11=14,IF($P107=Instructions!$F$50,AP106+1,AP106),IF(Instructions!$E$11=16,IF($T107=Instructions!$F$50,AP106+1,AP106))))))</f>
        <v>9</v>
      </c>
      <c r="AQ107" s="321" t="str">
        <f t="shared" si="23"/>
        <v>909</v>
      </c>
      <c r="AR107" s="321">
        <f>IF(Instructions!$E$11=8,IF($D107=Instructions!$F$51,AR106+1,AR106),IF(Instructions!$E$11=10,IF($H107=Instructions!$F$51,AR106+1,AR106),IF(Instructions!$E$11=12,IF($L107=Instructions!$F$51,AR106+1,AR106),IF(Instructions!$E$11=14,IF($P107=Instructions!$F$51,AR106+1,AR106),IF(Instructions!$E$11=16,IF($T107=Instructions!$F$51,AR106+1,AR106))))))</f>
        <v>8</v>
      </c>
      <c r="AS107" s="321" t="str">
        <f t="shared" si="25"/>
        <v>1008</v>
      </c>
      <c r="AT107" s="321">
        <f>IF(Instructions!$E$11=8,IF($D107=Instructions!$F$52,AT106+1,AT106),IF(Instructions!$E$11=10,IF($H107=Instructions!$F$52,AT106+1,AT106),IF(Instructions!$E$11=12,IF($L107=Instructions!$F$52,AT106+1,AT106),IF(Instructions!$E$11=14,IF($P107=Instructions!$F$52,AT106+1,AT106),IF(Instructions!$E$11=16,IF($T107=Instructions!$F$52,AT106+1,AT106))))))</f>
        <v>8</v>
      </c>
      <c r="AU107" s="321" t="str">
        <f t="shared" si="26"/>
        <v>1108</v>
      </c>
      <c r="AV107" s="321">
        <f>IF(Instructions!$E$11=8,IF($D107=Instructions!$F$53,AV106+1,AV106),IF(Instructions!$E$11=10,IF($H107=Instructions!$F$53,AV106+1,AV106),IF(Instructions!$E$11=12,IF($L107=Instructions!$F$53,AV106+1,AV106),IF(Instructions!$E$11=14,IF($P107=Instructions!$F$53,AV106+1,AV106),IF(Instructions!$E$11=16,IF($T107=Instructions!$F$53,AV106+1,AV106))))))</f>
        <v>8</v>
      </c>
      <c r="AW107" s="321" t="str">
        <f t="shared" si="27"/>
        <v>1208</v>
      </c>
      <c r="AX107" s="321">
        <f>IF(Instructions!$E$11=8,IF($D107=Instructions!$F$54,AX106+1,AX106),IF(Instructions!$E$11=10,IF($H107=Instructions!$F$54,AX106+1,AX106),IF(Instructions!$E$11=12,IF($L107=Instructions!$F$54,AX106+1,AX106),IF(Instructions!$E$11=14,IF($P107=Instructions!$F$54,AX106+1,AX106),IF(Instructions!$E$11=16,IF($T107=Instructions!$F$54,AX106+1,AX106))))))</f>
        <v>0</v>
      </c>
      <c r="AY107" s="321" t="str">
        <f t="shared" si="28"/>
        <v>1300</v>
      </c>
      <c r="AZ107" s="321">
        <f>IF(Instructions!$E$11=8,IF($D107=Instructions!$F$55,AZ106+1,AZ106),IF(Instructions!$E$11=10,IF($H107=Instructions!$F$55,AZ106+1,AZ106),IF(Instructions!$E$11=12,IF($L107=Instructions!$F$55,AZ106+1,AZ106),IF(Instructions!$E$11=14,IF($P107=Instructions!$F$55,AZ106+1,AZ106),IF(Instructions!$E$11=16,IF($T107=Instructions!$F$55,AZ106+1,AZ106))))))</f>
        <v>0</v>
      </c>
      <c r="BA107" s="321" t="str">
        <f t="shared" si="29"/>
        <v>1400</v>
      </c>
      <c r="BB107" s="321">
        <f>IF(Instructions!$E$11=8,IF($D107=Instructions!$F$56,BB106+1,BB106),IF(Instructions!$E$11=10,IF($H107=Instructions!$F$56,BB106+1,BB106),IF(Instructions!$E$11=12,IF($L107=Instructions!$F$56,BB106+1,BB106),IF(Instructions!$E$11=14,IF($P107=Instructions!$F$56,BB106+1,BB106),IF(Instructions!$E$11=16,IF($T107=Instructions!$F$56,BB106+1,BB106))))))</f>
        <v>0</v>
      </c>
      <c r="BC107" s="321" t="str">
        <f t="shared" si="30"/>
        <v>1500</v>
      </c>
      <c r="BD107" s="321">
        <f>IF(Instructions!$E$11=8,IF($D107=Instructions!$F$57,BD106+1,BD106),IF(Instructions!$E$11=10,IF($H107=Instructions!$F$57,BD106+1,BD106),IF(Instructions!$E$11=12,IF($L107=Instructions!$F$57,BD106+1,BD106),IF(Instructions!$E$11=14,IF($P107=Instructions!$F$57,BD106+1,BD106),IF(Instructions!$E$11=16,IF($T107=Instructions!$F$57,BD106+1,BD106))))))</f>
        <v>0</v>
      </c>
      <c r="BE107" s="321" t="str">
        <f t="shared" si="31"/>
        <v>1600</v>
      </c>
      <c r="BF107" s="321">
        <v>105</v>
      </c>
    </row>
    <row r="108" spans="1:58" x14ac:dyDescent="0.25">
      <c r="A108" s="280"/>
      <c r="B108" s="323" t="str">
        <f>IF(Instructions!$J$11=1,AA108,IF(Instructions!$J$11=2,AC108,IF(Instructions!$J$11=3,AE108,IF(Instructions!$J$11=4,AG108,IF(Instructions!$J$11=5,AI108,IF(Instructions!$J$11=6,AK108,IF(Instructions!$J$11=7,AM108,IF(Instructions!$J$11=8,AO108,IF(Instructions!$J$11=9,AQ108,IF(Instructions!$J$11=10,AS108,IF(Instructions!$J$11=11,AU108,IF(Instructions!$J$11=12,AW108,IF(Instructions!$J$11=13, AY108, IF(Instructions!$J$11=14,BA108,IF(Instructions!$J$11=15,BC108,BE108)))))))))))))))</f>
        <v>209</v>
      </c>
      <c r="C108" s="272">
        <v>106</v>
      </c>
      <c r="D108" s="327" t="str">
        <f>Instructions!F$48</f>
        <v>Bui</v>
      </c>
      <c r="E108" s="332" t="s">
        <v>864</v>
      </c>
      <c r="F108" s="706"/>
      <c r="G108" s="279">
        <v>14</v>
      </c>
      <c r="H108" s="294" t="str">
        <f>Instructions!F$47</f>
        <v>Devin</v>
      </c>
      <c r="I108" s="274" t="s">
        <v>832</v>
      </c>
      <c r="J108" s="709"/>
      <c r="K108" s="279">
        <v>11</v>
      </c>
      <c r="L108" s="294" t="str">
        <f>Instructions!F$51</f>
        <v>Josh</v>
      </c>
      <c r="M108" s="274" t="s">
        <v>812</v>
      </c>
      <c r="N108" s="709"/>
      <c r="O108" s="279">
        <v>9</v>
      </c>
      <c r="P108" s="294" t="str">
        <f>Instructions!F$48</f>
        <v>Bui</v>
      </c>
      <c r="Q108" s="274" t="s">
        <v>798</v>
      </c>
      <c r="R108" s="709"/>
      <c r="S108" s="279">
        <v>8</v>
      </c>
      <c r="T108" s="327" t="str">
        <f>Instructions!F$51</f>
        <v>Josh</v>
      </c>
      <c r="U108" s="274" t="s">
        <v>788</v>
      </c>
      <c r="V108" s="706"/>
      <c r="W108" s="279">
        <v>7</v>
      </c>
      <c r="X108" s="280"/>
      <c r="Y108" s="190" t="str">
        <f>IFERROR( IF(Instructions!$E$11=8, D108&amp;COUNTIF(D$3:D108,D108), IF(Instructions!$E$11=10, H108&amp;COUNTIF(H$3:H108,H108),IF(Instructions!$E$11=12, L108&amp;COUNTIF(L$3:L108,L108),IF(Instructions!$E$11=14, P108&amp;COUNTIF(P$3:P108,P108),T108&amp;COUNTIF(T$3:T108,T108))))),"")</f>
        <v>Josh9</v>
      </c>
      <c r="Z108" s="321">
        <f>IF(Instructions!$E$11=8,IF($D108=Instructions!$F$42,Z107+1,Z107),IF(Instructions!$E$11=10,IF($H108=Instructions!$F$42,Z107+1,Z107),IF(Instructions!$E$11=12,IF($L108=Instructions!$F$42,Z107+1,Z107),IF(Instructions!$E$11=14,IF($P108=Instructions!$F$42,Z107+1,Z107),IF(Instructions!$E$11=16,IF($T108=Instructions!$F$42,Z107+1,Z107))))))</f>
        <v>9</v>
      </c>
      <c r="AA108" s="321" t="str">
        <f t="shared" si="24"/>
        <v>109</v>
      </c>
      <c r="AB108" s="321">
        <f>IF(Instructions!$E$11=8,IF($D108=Instructions!$F$43,AB107+1,AB107),IF(Instructions!$E$11=10,IF($H108=Instructions!$F$43,AB107+1,AB107),IF(Instructions!$E$11=12,IF($L108=Instructions!$F$43,AB107+1,AB107),IF(Instructions!$E$11=14,IF($P108=Instructions!$F$43,AB107+1,AB107),IF(Instructions!$E$11=16,IF($T108=Instructions!$F$43,AB107+1,AB107))))))</f>
        <v>9</v>
      </c>
      <c r="AC108" s="321" t="str">
        <f t="shared" si="16"/>
        <v>209</v>
      </c>
      <c r="AD108" s="321">
        <f>IF(Instructions!$E$11=8,IF($D108=Instructions!$F$44,AD107+1,AD107),IF(Instructions!$E$11=10,IF($H108=Instructions!$F$44,AD107+1,AD107),IF(Instructions!$E$11=12,IF($L108=Instructions!$F$44,AD107+1,AD107),IF(Instructions!$E$11=14,IF($P108=Instructions!$F$44,AD107+1,AD107),IF(Instructions!$E$11=16,IF($T108=Instructions!$F$44,AD107+1,AD107))))))</f>
        <v>9</v>
      </c>
      <c r="AE108" s="321" t="str">
        <f t="shared" si="17"/>
        <v>309</v>
      </c>
      <c r="AF108" s="321">
        <f>IF(Instructions!$E$11=8,IF($D108=Instructions!$F$45,AF107+1,AF107),IF(Instructions!$E$11=10,IF($H108=Instructions!$F$45,AF107+1,AF107),IF(Instructions!$E$11=12,IF($L108=Instructions!$F$45,AF107+1,AF107),IF(Instructions!$E$11=14,IF($P108=Instructions!$F$45,AF107+1,AF107),IF(Instructions!$E$11=16,IF($T108=Instructions!$F$45,AF107+1,AF107))))))</f>
        <v>9</v>
      </c>
      <c r="AG108" s="321" t="str">
        <f t="shared" si="18"/>
        <v>409</v>
      </c>
      <c r="AH108" s="321">
        <f>IF(Instructions!$E$11=8,IF($D108=Instructions!$F$46,AH107+1,AH107),IF(Instructions!$E$11=10,IF($H108=Instructions!$F$46,AH107+1,AH107),IF(Instructions!$E$11=12,IF($L108=Instructions!$F$46,AH107+1,AH107),IF(Instructions!$E$11=14,IF($P108=Instructions!$F$46,AH107+1,AH107),IF(Instructions!$E$11=16,IF($T108=Instructions!$F$46,AH107+1,AH107))))))</f>
        <v>9</v>
      </c>
      <c r="AI108" s="321" t="str">
        <f t="shared" si="19"/>
        <v>509</v>
      </c>
      <c r="AJ108" s="321">
        <f>IF(Instructions!$E$11=8,IF($D108=Instructions!$F$47,AJ107+1,AJ107),IF(Instructions!$E$11=10,IF($H108=Instructions!$F$47,AJ107+1,AJ107),IF(Instructions!$E$11=12,IF($L108=Instructions!$F$47,AJ107+1,AJ107),IF(Instructions!$E$11=14,IF($P108=Instructions!$F$47,AJ107+1,AJ107),IF(Instructions!$E$11=16,IF($T108=Instructions!$F$47,AJ107+1,AJ107))))))</f>
        <v>9</v>
      </c>
      <c r="AK108" s="321" t="str">
        <f t="shared" si="20"/>
        <v>609</v>
      </c>
      <c r="AL108" s="321">
        <f>IF(Instructions!$E$11=8,IF($D108=Instructions!$F$48,AL107+1,AL107),IF(Instructions!$E$11=10,IF($H108=Instructions!$F$48,AL107+1,AL107),IF(Instructions!$E$11=12,IF($L108=Instructions!$F$48,AL107+1,AL107),IF(Instructions!$E$11=14,IF($P108=Instructions!$F$48,AL107+1,AL107),IF(Instructions!$E$11=16,IF($T108=Instructions!$F$48,AL107+1,AL107))))))</f>
        <v>9</v>
      </c>
      <c r="AM108" s="321" t="str">
        <f t="shared" si="21"/>
        <v>709</v>
      </c>
      <c r="AN108" s="321">
        <f>IF(Instructions!$E$11=8,IF($D108=Instructions!$F$49,AN107+1,AN107),IF(Instructions!$E$11=10,IF($H108=Instructions!$F$49,AN107+1,AN107),IF(Instructions!$E$11=12,IF($L108=Instructions!$F$49,AN107+1,AN107),IF(Instructions!$E$11=14,IF($P108=Instructions!$F$49,AN107+1,AN107),IF(Instructions!$E$11=16,IF($T108=Instructions!$F$49,AN107+1,AN107))))))</f>
        <v>9</v>
      </c>
      <c r="AO108" s="321" t="str">
        <f t="shared" si="22"/>
        <v>809</v>
      </c>
      <c r="AP108" s="321">
        <f>IF(Instructions!$E$11=8,IF($D108=Instructions!$F$50,AP107+1,AP107),IF(Instructions!$E$11=10,IF($H108=Instructions!$F$50,AP107+1,AP107),IF(Instructions!$E$11=12,IF($L108=Instructions!$F$50,AP107+1,AP107),IF(Instructions!$E$11=14,IF($P108=Instructions!$F$50,AP107+1,AP107),IF(Instructions!$E$11=16,IF($T108=Instructions!$F$50,AP107+1,AP107))))))</f>
        <v>9</v>
      </c>
      <c r="AQ108" s="321" t="str">
        <f t="shared" si="23"/>
        <v>909</v>
      </c>
      <c r="AR108" s="321">
        <f>IF(Instructions!$E$11=8,IF($D108=Instructions!$F$51,AR107+1,AR107),IF(Instructions!$E$11=10,IF($H108=Instructions!$F$51,AR107+1,AR107),IF(Instructions!$E$11=12,IF($L108=Instructions!$F$51,AR107+1,AR107),IF(Instructions!$E$11=14,IF($P108=Instructions!$F$51,AR107+1,AR107),IF(Instructions!$E$11=16,IF($T108=Instructions!$F$51,AR107+1,AR107))))))</f>
        <v>9</v>
      </c>
      <c r="AS108" s="321" t="str">
        <f t="shared" si="25"/>
        <v>1009</v>
      </c>
      <c r="AT108" s="321">
        <f>IF(Instructions!$E$11=8,IF($D108=Instructions!$F$52,AT107+1,AT107),IF(Instructions!$E$11=10,IF($H108=Instructions!$F$52,AT107+1,AT107),IF(Instructions!$E$11=12,IF($L108=Instructions!$F$52,AT107+1,AT107),IF(Instructions!$E$11=14,IF($P108=Instructions!$F$52,AT107+1,AT107),IF(Instructions!$E$11=16,IF($T108=Instructions!$F$52,AT107+1,AT107))))))</f>
        <v>8</v>
      </c>
      <c r="AU108" s="321" t="str">
        <f t="shared" si="26"/>
        <v>1108</v>
      </c>
      <c r="AV108" s="321">
        <f>IF(Instructions!$E$11=8,IF($D108=Instructions!$F$53,AV107+1,AV107),IF(Instructions!$E$11=10,IF($H108=Instructions!$F$53,AV107+1,AV107),IF(Instructions!$E$11=12,IF($L108=Instructions!$F$53,AV107+1,AV107),IF(Instructions!$E$11=14,IF($P108=Instructions!$F$53,AV107+1,AV107),IF(Instructions!$E$11=16,IF($T108=Instructions!$F$53,AV107+1,AV107))))))</f>
        <v>8</v>
      </c>
      <c r="AW108" s="321" t="str">
        <f t="shared" si="27"/>
        <v>1208</v>
      </c>
      <c r="AX108" s="321">
        <f>IF(Instructions!$E$11=8,IF($D108=Instructions!$F$54,AX107+1,AX107),IF(Instructions!$E$11=10,IF($H108=Instructions!$F$54,AX107+1,AX107),IF(Instructions!$E$11=12,IF($L108=Instructions!$F$54,AX107+1,AX107),IF(Instructions!$E$11=14,IF($P108=Instructions!$F$54,AX107+1,AX107),IF(Instructions!$E$11=16,IF($T108=Instructions!$F$54,AX107+1,AX107))))))</f>
        <v>0</v>
      </c>
      <c r="AY108" s="321" t="str">
        <f t="shared" si="28"/>
        <v>1300</v>
      </c>
      <c r="AZ108" s="321">
        <f>IF(Instructions!$E$11=8,IF($D108=Instructions!$F$55,AZ107+1,AZ107),IF(Instructions!$E$11=10,IF($H108=Instructions!$F$55,AZ107+1,AZ107),IF(Instructions!$E$11=12,IF($L108=Instructions!$F$55,AZ107+1,AZ107),IF(Instructions!$E$11=14,IF($P108=Instructions!$F$55,AZ107+1,AZ107),IF(Instructions!$E$11=16,IF($T108=Instructions!$F$55,AZ107+1,AZ107))))))</f>
        <v>0</v>
      </c>
      <c r="BA108" s="321" t="str">
        <f t="shared" si="29"/>
        <v>1400</v>
      </c>
      <c r="BB108" s="321">
        <f>IF(Instructions!$E$11=8,IF($D108=Instructions!$F$56,BB107+1,BB107),IF(Instructions!$E$11=10,IF($H108=Instructions!$F$56,BB107+1,BB107),IF(Instructions!$E$11=12,IF($L108=Instructions!$F$56,BB107+1,BB107),IF(Instructions!$E$11=14,IF($P108=Instructions!$F$56,BB107+1,BB107),IF(Instructions!$E$11=16,IF($T108=Instructions!$F$56,BB107+1,BB107))))))</f>
        <v>0</v>
      </c>
      <c r="BC108" s="321" t="str">
        <f t="shared" si="30"/>
        <v>1500</v>
      </c>
      <c r="BD108" s="321">
        <f>IF(Instructions!$E$11=8,IF($D108=Instructions!$F$57,BD107+1,BD107),IF(Instructions!$E$11=10,IF($H108=Instructions!$F$57,BD107+1,BD107),IF(Instructions!$E$11=12,IF($L108=Instructions!$F$57,BD107+1,BD107),IF(Instructions!$E$11=14,IF($P108=Instructions!$F$57,BD107+1,BD107),IF(Instructions!$E$11=16,IF($T108=Instructions!$F$57,BD107+1,BD107))))))</f>
        <v>0</v>
      </c>
      <c r="BE108" s="321" t="str">
        <f t="shared" si="31"/>
        <v>1600</v>
      </c>
      <c r="BF108" s="321">
        <v>106</v>
      </c>
    </row>
    <row r="109" spans="1:58" x14ac:dyDescent="0.25">
      <c r="A109" s="280"/>
      <c r="B109" s="323" t="str">
        <f>IF(Instructions!$J$11=1,AA109,IF(Instructions!$J$11=2,AC109,IF(Instructions!$J$11=3,AE109,IF(Instructions!$J$11=4,AG109,IF(Instructions!$J$11=5,AI109,IF(Instructions!$J$11=6,AK109,IF(Instructions!$J$11=7,AM109,IF(Instructions!$J$11=8,AO109,IF(Instructions!$J$11=9,AQ109,IF(Instructions!$J$11=10,AS109,IF(Instructions!$J$11=11,AU109,IF(Instructions!$J$11=12,AW109,IF(Instructions!$J$11=13, AY109, IF(Instructions!$J$11=14,BA109,IF(Instructions!$J$11=15,BC109,BE109)))))))))))))))</f>
        <v>209</v>
      </c>
      <c r="C109" s="271">
        <v>107</v>
      </c>
      <c r="D109" s="328" t="str">
        <f>Instructions!F$47</f>
        <v>Devin</v>
      </c>
      <c r="E109" s="333" t="s">
        <v>865</v>
      </c>
      <c r="F109" s="706"/>
      <c r="G109" s="279">
        <v>14</v>
      </c>
      <c r="H109" s="293" t="str">
        <f>Instructions!F$48</f>
        <v>Bui</v>
      </c>
      <c r="I109" s="273" t="s">
        <v>833</v>
      </c>
      <c r="J109" s="709"/>
      <c r="K109" s="279">
        <v>11</v>
      </c>
      <c r="L109" s="293" t="str">
        <f>Instructions!F$52</f>
        <v>Big R</v>
      </c>
      <c r="M109" s="273" t="s">
        <v>813</v>
      </c>
      <c r="N109" s="709"/>
      <c r="O109" s="279">
        <v>9</v>
      </c>
      <c r="P109" s="293" t="str">
        <f>Instructions!F$47</f>
        <v>Devin</v>
      </c>
      <c r="Q109" s="273" t="s">
        <v>799</v>
      </c>
      <c r="R109" s="709"/>
      <c r="S109" s="279">
        <v>8</v>
      </c>
      <c r="T109" s="328" t="str">
        <f>Instructions!F$52</f>
        <v>Big R</v>
      </c>
      <c r="U109" s="273" t="s">
        <v>789</v>
      </c>
      <c r="V109" s="706"/>
      <c r="W109" s="279">
        <v>7</v>
      </c>
      <c r="X109" s="280"/>
      <c r="Y109" s="190" t="str">
        <f>IFERROR( IF(Instructions!$E$11=8, D109&amp;COUNTIF(D$3:D109,D109), IF(Instructions!$E$11=10, H109&amp;COUNTIF(H$3:H109,H109),IF(Instructions!$E$11=12, L109&amp;COUNTIF(L$3:L109,L109),IF(Instructions!$E$11=14, P109&amp;COUNTIF(P$3:P109,P109),T109&amp;COUNTIF(T$3:T109,T109))))),"")</f>
        <v>Big R9</v>
      </c>
      <c r="Z109" s="321">
        <f>IF(Instructions!$E$11=8,IF($D109=Instructions!$F$42,Z108+1,Z108),IF(Instructions!$E$11=10,IF($H109=Instructions!$F$42,Z108+1,Z108),IF(Instructions!$E$11=12,IF($L109=Instructions!$F$42,Z108+1,Z108),IF(Instructions!$E$11=14,IF($P109=Instructions!$F$42,Z108+1,Z108),IF(Instructions!$E$11=16,IF($T109=Instructions!$F$42,Z108+1,Z108))))))</f>
        <v>9</v>
      </c>
      <c r="AA109" s="321" t="str">
        <f t="shared" si="24"/>
        <v>109</v>
      </c>
      <c r="AB109" s="321">
        <f>IF(Instructions!$E$11=8,IF($D109=Instructions!$F$43,AB108+1,AB108),IF(Instructions!$E$11=10,IF($H109=Instructions!$F$43,AB108+1,AB108),IF(Instructions!$E$11=12,IF($L109=Instructions!$F$43,AB108+1,AB108),IF(Instructions!$E$11=14,IF($P109=Instructions!$F$43,AB108+1,AB108),IF(Instructions!$E$11=16,IF($T109=Instructions!$F$43,AB108+1,AB108))))))</f>
        <v>9</v>
      </c>
      <c r="AC109" s="321" t="str">
        <f t="shared" si="16"/>
        <v>209</v>
      </c>
      <c r="AD109" s="321">
        <f>IF(Instructions!$E$11=8,IF($D109=Instructions!$F$44,AD108+1,AD108),IF(Instructions!$E$11=10,IF($H109=Instructions!$F$44,AD108+1,AD108),IF(Instructions!$E$11=12,IF($L109=Instructions!$F$44,AD108+1,AD108),IF(Instructions!$E$11=14,IF($P109=Instructions!$F$44,AD108+1,AD108),IF(Instructions!$E$11=16,IF($T109=Instructions!$F$44,AD108+1,AD108))))))</f>
        <v>9</v>
      </c>
      <c r="AE109" s="321" t="str">
        <f t="shared" si="17"/>
        <v>309</v>
      </c>
      <c r="AF109" s="321">
        <f>IF(Instructions!$E$11=8,IF($D109=Instructions!$F$45,AF108+1,AF108),IF(Instructions!$E$11=10,IF($H109=Instructions!$F$45,AF108+1,AF108),IF(Instructions!$E$11=12,IF($L109=Instructions!$F$45,AF108+1,AF108),IF(Instructions!$E$11=14,IF($P109=Instructions!$F$45,AF108+1,AF108),IF(Instructions!$E$11=16,IF($T109=Instructions!$F$45,AF108+1,AF108))))))</f>
        <v>9</v>
      </c>
      <c r="AG109" s="321" t="str">
        <f t="shared" si="18"/>
        <v>409</v>
      </c>
      <c r="AH109" s="321">
        <f>IF(Instructions!$E$11=8,IF($D109=Instructions!$F$46,AH108+1,AH108),IF(Instructions!$E$11=10,IF($H109=Instructions!$F$46,AH108+1,AH108),IF(Instructions!$E$11=12,IF($L109=Instructions!$F$46,AH108+1,AH108),IF(Instructions!$E$11=14,IF($P109=Instructions!$F$46,AH108+1,AH108),IF(Instructions!$E$11=16,IF($T109=Instructions!$F$46,AH108+1,AH108))))))</f>
        <v>9</v>
      </c>
      <c r="AI109" s="321" t="str">
        <f t="shared" si="19"/>
        <v>509</v>
      </c>
      <c r="AJ109" s="321">
        <f>IF(Instructions!$E$11=8,IF($D109=Instructions!$F$47,AJ108+1,AJ108),IF(Instructions!$E$11=10,IF($H109=Instructions!$F$47,AJ108+1,AJ108),IF(Instructions!$E$11=12,IF($L109=Instructions!$F$47,AJ108+1,AJ108),IF(Instructions!$E$11=14,IF($P109=Instructions!$F$47,AJ108+1,AJ108),IF(Instructions!$E$11=16,IF($T109=Instructions!$F$47,AJ108+1,AJ108))))))</f>
        <v>9</v>
      </c>
      <c r="AK109" s="321" t="str">
        <f t="shared" si="20"/>
        <v>609</v>
      </c>
      <c r="AL109" s="321">
        <f>IF(Instructions!$E$11=8,IF($D109=Instructions!$F$48,AL108+1,AL108),IF(Instructions!$E$11=10,IF($H109=Instructions!$F$48,AL108+1,AL108),IF(Instructions!$E$11=12,IF($L109=Instructions!$F$48,AL108+1,AL108),IF(Instructions!$E$11=14,IF($P109=Instructions!$F$48,AL108+1,AL108),IF(Instructions!$E$11=16,IF($T109=Instructions!$F$48,AL108+1,AL108))))))</f>
        <v>9</v>
      </c>
      <c r="AM109" s="321" t="str">
        <f t="shared" si="21"/>
        <v>709</v>
      </c>
      <c r="AN109" s="321">
        <f>IF(Instructions!$E$11=8,IF($D109=Instructions!$F$49,AN108+1,AN108),IF(Instructions!$E$11=10,IF($H109=Instructions!$F$49,AN108+1,AN108),IF(Instructions!$E$11=12,IF($L109=Instructions!$F$49,AN108+1,AN108),IF(Instructions!$E$11=14,IF($P109=Instructions!$F$49,AN108+1,AN108),IF(Instructions!$E$11=16,IF($T109=Instructions!$F$49,AN108+1,AN108))))))</f>
        <v>9</v>
      </c>
      <c r="AO109" s="321" t="str">
        <f t="shared" si="22"/>
        <v>809</v>
      </c>
      <c r="AP109" s="321">
        <f>IF(Instructions!$E$11=8,IF($D109=Instructions!$F$50,AP108+1,AP108),IF(Instructions!$E$11=10,IF($H109=Instructions!$F$50,AP108+1,AP108),IF(Instructions!$E$11=12,IF($L109=Instructions!$F$50,AP108+1,AP108),IF(Instructions!$E$11=14,IF($P109=Instructions!$F$50,AP108+1,AP108),IF(Instructions!$E$11=16,IF($T109=Instructions!$F$50,AP108+1,AP108))))))</f>
        <v>9</v>
      </c>
      <c r="AQ109" s="321" t="str">
        <f t="shared" si="23"/>
        <v>909</v>
      </c>
      <c r="AR109" s="321">
        <f>IF(Instructions!$E$11=8,IF($D109=Instructions!$F$51,AR108+1,AR108),IF(Instructions!$E$11=10,IF($H109=Instructions!$F$51,AR108+1,AR108),IF(Instructions!$E$11=12,IF($L109=Instructions!$F$51,AR108+1,AR108),IF(Instructions!$E$11=14,IF($P109=Instructions!$F$51,AR108+1,AR108),IF(Instructions!$E$11=16,IF($T109=Instructions!$F$51,AR108+1,AR108))))))</f>
        <v>9</v>
      </c>
      <c r="AS109" s="321" t="str">
        <f t="shared" si="25"/>
        <v>1009</v>
      </c>
      <c r="AT109" s="321">
        <f>IF(Instructions!$E$11=8,IF($D109=Instructions!$F$52,AT108+1,AT108),IF(Instructions!$E$11=10,IF($H109=Instructions!$F$52,AT108+1,AT108),IF(Instructions!$E$11=12,IF($L109=Instructions!$F$52,AT108+1,AT108),IF(Instructions!$E$11=14,IF($P109=Instructions!$F$52,AT108+1,AT108),IF(Instructions!$E$11=16,IF($T109=Instructions!$F$52,AT108+1,AT108))))))</f>
        <v>9</v>
      </c>
      <c r="AU109" s="321" t="str">
        <f t="shared" si="26"/>
        <v>1109</v>
      </c>
      <c r="AV109" s="321">
        <f>IF(Instructions!$E$11=8,IF($D109=Instructions!$F$53,AV108+1,AV108),IF(Instructions!$E$11=10,IF($H109=Instructions!$F$53,AV108+1,AV108),IF(Instructions!$E$11=12,IF($L109=Instructions!$F$53,AV108+1,AV108),IF(Instructions!$E$11=14,IF($P109=Instructions!$F$53,AV108+1,AV108),IF(Instructions!$E$11=16,IF($T109=Instructions!$F$53,AV108+1,AV108))))))</f>
        <v>8</v>
      </c>
      <c r="AW109" s="321" t="str">
        <f t="shared" si="27"/>
        <v>1208</v>
      </c>
      <c r="AX109" s="321">
        <f>IF(Instructions!$E$11=8,IF($D109=Instructions!$F$54,AX108+1,AX108),IF(Instructions!$E$11=10,IF($H109=Instructions!$F$54,AX108+1,AX108),IF(Instructions!$E$11=12,IF($L109=Instructions!$F$54,AX108+1,AX108),IF(Instructions!$E$11=14,IF($P109=Instructions!$F$54,AX108+1,AX108),IF(Instructions!$E$11=16,IF($T109=Instructions!$F$54,AX108+1,AX108))))))</f>
        <v>0</v>
      </c>
      <c r="AY109" s="321" t="str">
        <f t="shared" si="28"/>
        <v>1300</v>
      </c>
      <c r="AZ109" s="321">
        <f>IF(Instructions!$E$11=8,IF($D109=Instructions!$F$55,AZ108+1,AZ108),IF(Instructions!$E$11=10,IF($H109=Instructions!$F$55,AZ108+1,AZ108),IF(Instructions!$E$11=12,IF($L109=Instructions!$F$55,AZ108+1,AZ108),IF(Instructions!$E$11=14,IF($P109=Instructions!$F$55,AZ108+1,AZ108),IF(Instructions!$E$11=16,IF($T109=Instructions!$F$55,AZ108+1,AZ108))))))</f>
        <v>0</v>
      </c>
      <c r="BA109" s="321" t="str">
        <f t="shared" si="29"/>
        <v>1400</v>
      </c>
      <c r="BB109" s="321">
        <f>IF(Instructions!$E$11=8,IF($D109=Instructions!$F$56,BB108+1,BB108),IF(Instructions!$E$11=10,IF($H109=Instructions!$F$56,BB108+1,BB108),IF(Instructions!$E$11=12,IF($L109=Instructions!$F$56,BB108+1,BB108),IF(Instructions!$E$11=14,IF($P109=Instructions!$F$56,BB108+1,BB108),IF(Instructions!$E$11=16,IF($T109=Instructions!$F$56,BB108+1,BB108))))))</f>
        <v>0</v>
      </c>
      <c r="BC109" s="321" t="str">
        <f t="shared" si="30"/>
        <v>1500</v>
      </c>
      <c r="BD109" s="321">
        <f>IF(Instructions!$E$11=8,IF($D109=Instructions!$F$57,BD108+1,BD108),IF(Instructions!$E$11=10,IF($H109=Instructions!$F$57,BD108+1,BD108),IF(Instructions!$E$11=12,IF($L109=Instructions!$F$57,BD108+1,BD108),IF(Instructions!$E$11=14,IF($P109=Instructions!$F$57,BD108+1,BD108),IF(Instructions!$E$11=16,IF($T109=Instructions!$F$57,BD108+1,BD108))))))</f>
        <v>0</v>
      </c>
      <c r="BE109" s="321" t="str">
        <f t="shared" si="31"/>
        <v>1600</v>
      </c>
      <c r="BF109" s="321">
        <v>107</v>
      </c>
    </row>
    <row r="110" spans="1:58" ht="15.75" thickBot="1" x14ac:dyDescent="0.3">
      <c r="A110" s="280"/>
      <c r="B110" s="323" t="str">
        <f>IF(Instructions!$J$11=1,AA110,IF(Instructions!$J$11=2,AC110,IF(Instructions!$J$11=3,AE110,IF(Instructions!$J$11=4,AG110,IF(Instructions!$J$11=5,AI110,IF(Instructions!$J$11=6,AK110,IF(Instructions!$J$11=7,AM110,IF(Instructions!$J$11=8,AO110,IF(Instructions!$J$11=9,AQ110,IF(Instructions!$J$11=10,AS110,IF(Instructions!$J$11=11,AU110,IF(Instructions!$J$11=12,AW110,IF(Instructions!$J$11=13, AY110, IF(Instructions!$J$11=14,BA110,IF(Instructions!$J$11=15,BC110,BE110)))))))))))))))</f>
        <v>209</v>
      </c>
      <c r="C110" s="272">
        <v>108</v>
      </c>
      <c r="D110" s="327" t="str">
        <f>Instructions!F$46</f>
        <v>Con</v>
      </c>
      <c r="E110" s="332" t="s">
        <v>866</v>
      </c>
      <c r="F110" s="706"/>
      <c r="G110" s="279">
        <v>14</v>
      </c>
      <c r="H110" s="294" t="str">
        <f>Instructions!F$49</f>
        <v>Luke</v>
      </c>
      <c r="I110" s="274" t="s">
        <v>834</v>
      </c>
      <c r="J110" s="709"/>
      <c r="K110" s="279">
        <v>11</v>
      </c>
      <c r="L110" s="295" t="str">
        <f>Instructions!F$53</f>
        <v>Zack</v>
      </c>
      <c r="M110" s="277" t="s">
        <v>814</v>
      </c>
      <c r="N110" s="710"/>
      <c r="O110" s="279">
        <v>9</v>
      </c>
      <c r="P110" s="294" t="str">
        <f>Instructions!F$46</f>
        <v>Con</v>
      </c>
      <c r="Q110" s="274" t="s">
        <v>800</v>
      </c>
      <c r="R110" s="709"/>
      <c r="S110" s="279">
        <v>8</v>
      </c>
      <c r="T110" s="327" t="str">
        <f>Instructions!F$53</f>
        <v>Zack</v>
      </c>
      <c r="U110" s="274" t="s">
        <v>790</v>
      </c>
      <c r="V110" s="706"/>
      <c r="W110" s="279">
        <v>7</v>
      </c>
      <c r="X110" s="280"/>
      <c r="Y110" s="190" t="str">
        <f>IFERROR( IF(Instructions!$E$11=8, D110&amp;COUNTIF(D$3:D110,D110), IF(Instructions!$E$11=10, H110&amp;COUNTIF(H$3:H110,H110),IF(Instructions!$E$11=12, L110&amp;COUNTIF(L$3:L110,L110),IF(Instructions!$E$11=14, P110&amp;COUNTIF(P$3:P110,P110),T110&amp;COUNTIF(T$3:T110,T110))))),"")</f>
        <v>Zack9</v>
      </c>
      <c r="Z110" s="321">
        <f>IF(Instructions!$E$11=8,IF($D110=Instructions!$F$42,Z109+1,Z109),IF(Instructions!$E$11=10,IF($H110=Instructions!$F$42,Z109+1,Z109),IF(Instructions!$E$11=12,IF($L110=Instructions!$F$42,Z109+1,Z109),IF(Instructions!$E$11=14,IF($P110=Instructions!$F$42,Z109+1,Z109),IF(Instructions!$E$11=16,IF($T110=Instructions!$F$42,Z109+1,Z109))))))</f>
        <v>9</v>
      </c>
      <c r="AA110" s="321" t="str">
        <f t="shared" si="24"/>
        <v>109</v>
      </c>
      <c r="AB110" s="321">
        <f>IF(Instructions!$E$11=8,IF($D110=Instructions!$F$43,AB109+1,AB109),IF(Instructions!$E$11=10,IF($H110=Instructions!$F$43,AB109+1,AB109),IF(Instructions!$E$11=12,IF($L110=Instructions!$F$43,AB109+1,AB109),IF(Instructions!$E$11=14,IF($P110=Instructions!$F$43,AB109+1,AB109),IF(Instructions!$E$11=16,IF($T110=Instructions!$F$43,AB109+1,AB109))))))</f>
        <v>9</v>
      </c>
      <c r="AC110" s="321" t="str">
        <f t="shared" si="16"/>
        <v>209</v>
      </c>
      <c r="AD110" s="321">
        <f>IF(Instructions!$E$11=8,IF($D110=Instructions!$F$44,AD109+1,AD109),IF(Instructions!$E$11=10,IF($H110=Instructions!$F$44,AD109+1,AD109),IF(Instructions!$E$11=12,IF($L110=Instructions!$F$44,AD109+1,AD109),IF(Instructions!$E$11=14,IF($P110=Instructions!$F$44,AD109+1,AD109),IF(Instructions!$E$11=16,IF($T110=Instructions!$F$44,AD109+1,AD109))))))</f>
        <v>9</v>
      </c>
      <c r="AE110" s="321" t="str">
        <f t="shared" si="17"/>
        <v>309</v>
      </c>
      <c r="AF110" s="321">
        <f>IF(Instructions!$E$11=8,IF($D110=Instructions!$F$45,AF109+1,AF109),IF(Instructions!$E$11=10,IF($H110=Instructions!$F$45,AF109+1,AF109),IF(Instructions!$E$11=12,IF($L110=Instructions!$F$45,AF109+1,AF109),IF(Instructions!$E$11=14,IF($P110=Instructions!$F$45,AF109+1,AF109),IF(Instructions!$E$11=16,IF($T110=Instructions!$F$45,AF109+1,AF109))))))</f>
        <v>9</v>
      </c>
      <c r="AG110" s="321" t="str">
        <f t="shared" si="18"/>
        <v>409</v>
      </c>
      <c r="AH110" s="321">
        <f>IF(Instructions!$E$11=8,IF($D110=Instructions!$F$46,AH109+1,AH109),IF(Instructions!$E$11=10,IF($H110=Instructions!$F$46,AH109+1,AH109),IF(Instructions!$E$11=12,IF($L110=Instructions!$F$46,AH109+1,AH109),IF(Instructions!$E$11=14,IF($P110=Instructions!$F$46,AH109+1,AH109),IF(Instructions!$E$11=16,IF($T110=Instructions!$F$46,AH109+1,AH109))))))</f>
        <v>9</v>
      </c>
      <c r="AI110" s="321" t="str">
        <f t="shared" si="19"/>
        <v>509</v>
      </c>
      <c r="AJ110" s="321">
        <f>IF(Instructions!$E$11=8,IF($D110=Instructions!$F$47,AJ109+1,AJ109),IF(Instructions!$E$11=10,IF($H110=Instructions!$F$47,AJ109+1,AJ109),IF(Instructions!$E$11=12,IF($L110=Instructions!$F$47,AJ109+1,AJ109),IF(Instructions!$E$11=14,IF($P110=Instructions!$F$47,AJ109+1,AJ109),IF(Instructions!$E$11=16,IF($T110=Instructions!$F$47,AJ109+1,AJ109))))))</f>
        <v>9</v>
      </c>
      <c r="AK110" s="321" t="str">
        <f t="shared" si="20"/>
        <v>609</v>
      </c>
      <c r="AL110" s="321">
        <f>IF(Instructions!$E$11=8,IF($D110=Instructions!$F$48,AL109+1,AL109),IF(Instructions!$E$11=10,IF($H110=Instructions!$F$48,AL109+1,AL109),IF(Instructions!$E$11=12,IF($L110=Instructions!$F$48,AL109+1,AL109),IF(Instructions!$E$11=14,IF($P110=Instructions!$F$48,AL109+1,AL109),IF(Instructions!$E$11=16,IF($T110=Instructions!$F$48,AL109+1,AL109))))))</f>
        <v>9</v>
      </c>
      <c r="AM110" s="321" t="str">
        <f t="shared" si="21"/>
        <v>709</v>
      </c>
      <c r="AN110" s="321">
        <f>IF(Instructions!$E$11=8,IF($D110=Instructions!$F$49,AN109+1,AN109),IF(Instructions!$E$11=10,IF($H110=Instructions!$F$49,AN109+1,AN109),IF(Instructions!$E$11=12,IF($L110=Instructions!$F$49,AN109+1,AN109),IF(Instructions!$E$11=14,IF($P110=Instructions!$F$49,AN109+1,AN109),IF(Instructions!$E$11=16,IF($T110=Instructions!$F$49,AN109+1,AN109))))))</f>
        <v>9</v>
      </c>
      <c r="AO110" s="321" t="str">
        <f t="shared" si="22"/>
        <v>809</v>
      </c>
      <c r="AP110" s="321">
        <f>IF(Instructions!$E$11=8,IF($D110=Instructions!$F$50,AP109+1,AP109),IF(Instructions!$E$11=10,IF($H110=Instructions!$F$50,AP109+1,AP109),IF(Instructions!$E$11=12,IF($L110=Instructions!$F$50,AP109+1,AP109),IF(Instructions!$E$11=14,IF($P110=Instructions!$F$50,AP109+1,AP109),IF(Instructions!$E$11=16,IF($T110=Instructions!$F$50,AP109+1,AP109))))))</f>
        <v>9</v>
      </c>
      <c r="AQ110" s="321" t="str">
        <f t="shared" si="23"/>
        <v>909</v>
      </c>
      <c r="AR110" s="321">
        <f>IF(Instructions!$E$11=8,IF($D110=Instructions!$F$51,AR109+1,AR109),IF(Instructions!$E$11=10,IF($H110=Instructions!$F$51,AR109+1,AR109),IF(Instructions!$E$11=12,IF($L110=Instructions!$F$51,AR109+1,AR109),IF(Instructions!$E$11=14,IF($P110=Instructions!$F$51,AR109+1,AR109),IF(Instructions!$E$11=16,IF($T110=Instructions!$F$51,AR109+1,AR109))))))</f>
        <v>9</v>
      </c>
      <c r="AS110" s="321" t="str">
        <f t="shared" si="25"/>
        <v>1009</v>
      </c>
      <c r="AT110" s="321">
        <f>IF(Instructions!$E$11=8,IF($D110=Instructions!$F$52,AT109+1,AT109),IF(Instructions!$E$11=10,IF($H110=Instructions!$F$52,AT109+1,AT109),IF(Instructions!$E$11=12,IF($L110=Instructions!$F$52,AT109+1,AT109),IF(Instructions!$E$11=14,IF($P110=Instructions!$F$52,AT109+1,AT109),IF(Instructions!$E$11=16,IF($T110=Instructions!$F$52,AT109+1,AT109))))))</f>
        <v>9</v>
      </c>
      <c r="AU110" s="321" t="str">
        <f t="shared" si="26"/>
        <v>1109</v>
      </c>
      <c r="AV110" s="321">
        <f>IF(Instructions!$E$11=8,IF($D110=Instructions!$F$53,AV109+1,AV109),IF(Instructions!$E$11=10,IF($H110=Instructions!$F$53,AV109+1,AV109),IF(Instructions!$E$11=12,IF($L110=Instructions!$F$53,AV109+1,AV109),IF(Instructions!$E$11=14,IF($P110=Instructions!$F$53,AV109+1,AV109),IF(Instructions!$E$11=16,IF($T110=Instructions!$F$53,AV109+1,AV109))))))</f>
        <v>9</v>
      </c>
      <c r="AW110" s="321" t="str">
        <f t="shared" si="27"/>
        <v>1209</v>
      </c>
      <c r="AX110" s="321">
        <f>IF(Instructions!$E$11=8,IF($D110=Instructions!$F$54,AX109+1,AX109),IF(Instructions!$E$11=10,IF($H110=Instructions!$F$54,AX109+1,AX109),IF(Instructions!$E$11=12,IF($L110=Instructions!$F$54,AX109+1,AX109),IF(Instructions!$E$11=14,IF($P110=Instructions!$F$54,AX109+1,AX109),IF(Instructions!$E$11=16,IF($T110=Instructions!$F$54,AX109+1,AX109))))))</f>
        <v>0</v>
      </c>
      <c r="AY110" s="321" t="str">
        <f t="shared" si="28"/>
        <v>1300</v>
      </c>
      <c r="AZ110" s="321">
        <f>IF(Instructions!$E$11=8,IF($D110=Instructions!$F$55,AZ109+1,AZ109),IF(Instructions!$E$11=10,IF($H110=Instructions!$F$55,AZ109+1,AZ109),IF(Instructions!$E$11=12,IF($L110=Instructions!$F$55,AZ109+1,AZ109),IF(Instructions!$E$11=14,IF($P110=Instructions!$F$55,AZ109+1,AZ109),IF(Instructions!$E$11=16,IF($T110=Instructions!$F$55,AZ109+1,AZ109))))))</f>
        <v>0</v>
      </c>
      <c r="BA110" s="321" t="str">
        <f t="shared" si="29"/>
        <v>1400</v>
      </c>
      <c r="BB110" s="321">
        <f>IF(Instructions!$E$11=8,IF($D110=Instructions!$F$56,BB109+1,BB109),IF(Instructions!$E$11=10,IF($H110=Instructions!$F$56,BB109+1,BB109),IF(Instructions!$E$11=12,IF($L110=Instructions!$F$56,BB109+1,BB109),IF(Instructions!$E$11=14,IF($P110=Instructions!$F$56,BB109+1,BB109),IF(Instructions!$E$11=16,IF($T110=Instructions!$F$56,BB109+1,BB109))))))</f>
        <v>0</v>
      </c>
      <c r="BC110" s="321" t="str">
        <f t="shared" si="30"/>
        <v>1500</v>
      </c>
      <c r="BD110" s="321">
        <f>IF(Instructions!$E$11=8,IF($D110=Instructions!$F$57,BD109+1,BD109),IF(Instructions!$E$11=10,IF($H110=Instructions!$F$57,BD109+1,BD109),IF(Instructions!$E$11=12,IF($L110=Instructions!$F$57,BD109+1,BD109),IF(Instructions!$E$11=14,IF($P110=Instructions!$F$57,BD109+1,BD109),IF(Instructions!$E$11=16,IF($T110=Instructions!$F$57,BD109+1,BD109))))))</f>
        <v>0</v>
      </c>
      <c r="BE110" s="321" t="str">
        <f t="shared" si="31"/>
        <v>1600</v>
      </c>
      <c r="BF110" s="321">
        <v>108</v>
      </c>
    </row>
    <row r="111" spans="1:58" ht="15" customHeight="1" x14ac:dyDescent="0.25">
      <c r="A111" s="280"/>
      <c r="B111" s="323" t="str">
        <f>IF(Instructions!$J$11=1,AA111,IF(Instructions!$J$11=2,AC111,IF(Instructions!$J$11=3,AE111,IF(Instructions!$J$11=4,AG111,IF(Instructions!$J$11=5,AI111,IF(Instructions!$J$11=6,AK111,IF(Instructions!$J$11=7,AM111,IF(Instructions!$J$11=8,AO111,IF(Instructions!$J$11=9,AQ111,IF(Instructions!$J$11=10,AS111,IF(Instructions!$J$11=11,AU111,IF(Instructions!$J$11=12,AW111,IF(Instructions!$J$11=13, AY111, IF(Instructions!$J$11=14,BA111,IF(Instructions!$J$11=15,BC111,BE111)))))))))))))))</f>
        <v>209</v>
      </c>
      <c r="C111" s="271">
        <v>109</v>
      </c>
      <c r="D111" s="328" t="str">
        <f>Instructions!F$45</f>
        <v>Miles</v>
      </c>
      <c r="E111" s="333" t="s">
        <v>867</v>
      </c>
      <c r="F111" s="706"/>
      <c r="G111" s="279">
        <v>14</v>
      </c>
      <c r="H111" s="293" t="str">
        <f>Instructions!F$50</f>
        <v>Dan</v>
      </c>
      <c r="I111" s="273" t="s">
        <v>835</v>
      </c>
      <c r="J111" s="709"/>
      <c r="K111" s="279">
        <v>11</v>
      </c>
      <c r="L111" s="292" t="str">
        <f>Instructions!F$53</f>
        <v>Zack</v>
      </c>
      <c r="M111" s="276" t="s">
        <v>815</v>
      </c>
      <c r="N111" s="708" t="s">
        <v>905</v>
      </c>
      <c r="O111" s="279">
        <v>10</v>
      </c>
      <c r="P111" s="293" t="str">
        <f>Instructions!F$45</f>
        <v>Miles</v>
      </c>
      <c r="Q111" s="273" t="s">
        <v>801</v>
      </c>
      <c r="R111" s="709"/>
      <c r="S111" s="279">
        <v>8</v>
      </c>
      <c r="T111" s="328" t="str">
        <f>Instructions!F$54</f>
        <v>[TEAM 13]</v>
      </c>
      <c r="U111" s="273" t="s">
        <v>940</v>
      </c>
      <c r="V111" s="706"/>
      <c r="W111" s="279">
        <v>7</v>
      </c>
      <c r="X111" s="280"/>
      <c r="Y111" s="190" t="str">
        <f>IFERROR( IF(Instructions!$E$11=8, D111&amp;COUNTIF(D$3:D111,D111), IF(Instructions!$E$11=10, H111&amp;COUNTIF(H$3:H111,H111),IF(Instructions!$E$11=12, L111&amp;COUNTIF(L$3:L111,L111),IF(Instructions!$E$11=14, P111&amp;COUNTIF(P$3:P111,P111),T111&amp;COUNTIF(T$3:T111,T111))))),"")</f>
        <v>Zack10</v>
      </c>
      <c r="Z111" s="321">
        <f>IF(Instructions!$E$11=8,IF($D111=Instructions!$F$42,Z110+1,Z110),IF(Instructions!$E$11=10,IF($H111=Instructions!$F$42,Z110+1,Z110),IF(Instructions!$E$11=12,IF($L111=Instructions!$F$42,Z110+1,Z110),IF(Instructions!$E$11=14,IF($P111=Instructions!$F$42,Z110+1,Z110),IF(Instructions!$E$11=16,IF($T111=Instructions!$F$42,Z110+1,Z110))))))</f>
        <v>9</v>
      </c>
      <c r="AA111" s="321" t="str">
        <f t="shared" si="24"/>
        <v>109</v>
      </c>
      <c r="AB111" s="321">
        <f>IF(Instructions!$E$11=8,IF($D111=Instructions!$F$43,AB110+1,AB110),IF(Instructions!$E$11=10,IF($H111=Instructions!$F$43,AB110+1,AB110),IF(Instructions!$E$11=12,IF($L111=Instructions!$F$43,AB110+1,AB110),IF(Instructions!$E$11=14,IF($P111=Instructions!$F$43,AB110+1,AB110),IF(Instructions!$E$11=16,IF($T111=Instructions!$F$43,AB110+1,AB110))))))</f>
        <v>9</v>
      </c>
      <c r="AC111" s="321" t="str">
        <f t="shared" si="16"/>
        <v>209</v>
      </c>
      <c r="AD111" s="321">
        <f>IF(Instructions!$E$11=8,IF($D111=Instructions!$F$44,AD110+1,AD110),IF(Instructions!$E$11=10,IF($H111=Instructions!$F$44,AD110+1,AD110),IF(Instructions!$E$11=12,IF($L111=Instructions!$F$44,AD110+1,AD110),IF(Instructions!$E$11=14,IF($P111=Instructions!$F$44,AD110+1,AD110),IF(Instructions!$E$11=16,IF($T111=Instructions!$F$44,AD110+1,AD110))))))</f>
        <v>9</v>
      </c>
      <c r="AE111" s="321" t="str">
        <f t="shared" si="17"/>
        <v>309</v>
      </c>
      <c r="AF111" s="321">
        <f>IF(Instructions!$E$11=8,IF($D111=Instructions!$F$45,AF110+1,AF110),IF(Instructions!$E$11=10,IF($H111=Instructions!$F$45,AF110+1,AF110),IF(Instructions!$E$11=12,IF($L111=Instructions!$F$45,AF110+1,AF110),IF(Instructions!$E$11=14,IF($P111=Instructions!$F$45,AF110+1,AF110),IF(Instructions!$E$11=16,IF($T111=Instructions!$F$45,AF110+1,AF110))))))</f>
        <v>9</v>
      </c>
      <c r="AG111" s="321" t="str">
        <f t="shared" si="18"/>
        <v>409</v>
      </c>
      <c r="AH111" s="321">
        <f>IF(Instructions!$E$11=8,IF($D111=Instructions!$F$46,AH110+1,AH110),IF(Instructions!$E$11=10,IF($H111=Instructions!$F$46,AH110+1,AH110),IF(Instructions!$E$11=12,IF($L111=Instructions!$F$46,AH110+1,AH110),IF(Instructions!$E$11=14,IF($P111=Instructions!$F$46,AH110+1,AH110),IF(Instructions!$E$11=16,IF($T111=Instructions!$F$46,AH110+1,AH110))))))</f>
        <v>9</v>
      </c>
      <c r="AI111" s="321" t="str">
        <f t="shared" si="19"/>
        <v>509</v>
      </c>
      <c r="AJ111" s="321">
        <f>IF(Instructions!$E$11=8,IF($D111=Instructions!$F$47,AJ110+1,AJ110),IF(Instructions!$E$11=10,IF($H111=Instructions!$F$47,AJ110+1,AJ110),IF(Instructions!$E$11=12,IF($L111=Instructions!$F$47,AJ110+1,AJ110),IF(Instructions!$E$11=14,IF($P111=Instructions!$F$47,AJ110+1,AJ110),IF(Instructions!$E$11=16,IF($T111=Instructions!$F$47,AJ110+1,AJ110))))))</f>
        <v>9</v>
      </c>
      <c r="AK111" s="321" t="str">
        <f t="shared" si="20"/>
        <v>609</v>
      </c>
      <c r="AL111" s="321">
        <f>IF(Instructions!$E$11=8,IF($D111=Instructions!$F$48,AL110+1,AL110),IF(Instructions!$E$11=10,IF($H111=Instructions!$F$48,AL110+1,AL110),IF(Instructions!$E$11=12,IF($L111=Instructions!$F$48,AL110+1,AL110),IF(Instructions!$E$11=14,IF($P111=Instructions!$F$48,AL110+1,AL110),IF(Instructions!$E$11=16,IF($T111=Instructions!$F$48,AL110+1,AL110))))))</f>
        <v>9</v>
      </c>
      <c r="AM111" s="321" t="str">
        <f t="shared" si="21"/>
        <v>709</v>
      </c>
      <c r="AN111" s="321">
        <f>IF(Instructions!$E$11=8,IF($D111=Instructions!$F$49,AN110+1,AN110),IF(Instructions!$E$11=10,IF($H111=Instructions!$F$49,AN110+1,AN110),IF(Instructions!$E$11=12,IF($L111=Instructions!$F$49,AN110+1,AN110),IF(Instructions!$E$11=14,IF($P111=Instructions!$F$49,AN110+1,AN110),IF(Instructions!$E$11=16,IF($T111=Instructions!$F$49,AN110+1,AN110))))))</f>
        <v>9</v>
      </c>
      <c r="AO111" s="321" t="str">
        <f t="shared" si="22"/>
        <v>809</v>
      </c>
      <c r="AP111" s="321">
        <f>IF(Instructions!$E$11=8,IF($D111=Instructions!$F$50,AP110+1,AP110),IF(Instructions!$E$11=10,IF($H111=Instructions!$F$50,AP110+1,AP110),IF(Instructions!$E$11=12,IF($L111=Instructions!$F$50,AP110+1,AP110),IF(Instructions!$E$11=14,IF($P111=Instructions!$F$50,AP110+1,AP110),IF(Instructions!$E$11=16,IF($T111=Instructions!$F$50,AP110+1,AP110))))))</f>
        <v>9</v>
      </c>
      <c r="AQ111" s="321" t="str">
        <f t="shared" si="23"/>
        <v>909</v>
      </c>
      <c r="AR111" s="321">
        <f>IF(Instructions!$E$11=8,IF($D111=Instructions!$F$51,AR110+1,AR110),IF(Instructions!$E$11=10,IF($H111=Instructions!$F$51,AR110+1,AR110),IF(Instructions!$E$11=12,IF($L111=Instructions!$F$51,AR110+1,AR110),IF(Instructions!$E$11=14,IF($P111=Instructions!$F$51,AR110+1,AR110),IF(Instructions!$E$11=16,IF($T111=Instructions!$F$51,AR110+1,AR110))))))</f>
        <v>9</v>
      </c>
      <c r="AS111" s="321" t="str">
        <f t="shared" si="25"/>
        <v>1009</v>
      </c>
      <c r="AT111" s="321">
        <f>IF(Instructions!$E$11=8,IF($D111=Instructions!$F$52,AT110+1,AT110),IF(Instructions!$E$11=10,IF($H111=Instructions!$F$52,AT110+1,AT110),IF(Instructions!$E$11=12,IF($L111=Instructions!$F$52,AT110+1,AT110),IF(Instructions!$E$11=14,IF($P111=Instructions!$F$52,AT110+1,AT110),IF(Instructions!$E$11=16,IF($T111=Instructions!$F$52,AT110+1,AT110))))))</f>
        <v>9</v>
      </c>
      <c r="AU111" s="321" t="str">
        <f t="shared" si="26"/>
        <v>1109</v>
      </c>
      <c r="AV111" s="321">
        <f>IF(Instructions!$E$11=8,IF($D111=Instructions!$F$53,AV110+1,AV110),IF(Instructions!$E$11=10,IF($H111=Instructions!$F$53,AV110+1,AV110),IF(Instructions!$E$11=12,IF($L111=Instructions!$F$53,AV110+1,AV110),IF(Instructions!$E$11=14,IF($P111=Instructions!$F$53,AV110+1,AV110),IF(Instructions!$E$11=16,IF($T111=Instructions!$F$53,AV110+1,AV110))))))</f>
        <v>10</v>
      </c>
      <c r="AW111" s="321" t="str">
        <f t="shared" si="27"/>
        <v>1210</v>
      </c>
      <c r="AX111" s="321">
        <f>IF(Instructions!$E$11=8,IF($D111=Instructions!$F$54,AX110+1,AX110),IF(Instructions!$E$11=10,IF($H111=Instructions!$F$54,AX110+1,AX110),IF(Instructions!$E$11=12,IF($L111=Instructions!$F$54,AX110+1,AX110),IF(Instructions!$E$11=14,IF($P111=Instructions!$F$54,AX110+1,AX110),IF(Instructions!$E$11=16,IF($T111=Instructions!$F$54,AX110+1,AX110))))))</f>
        <v>0</v>
      </c>
      <c r="AY111" s="321" t="str">
        <f t="shared" si="28"/>
        <v>1300</v>
      </c>
      <c r="AZ111" s="321">
        <f>IF(Instructions!$E$11=8,IF($D111=Instructions!$F$55,AZ110+1,AZ110),IF(Instructions!$E$11=10,IF($H111=Instructions!$F$55,AZ110+1,AZ110),IF(Instructions!$E$11=12,IF($L111=Instructions!$F$55,AZ110+1,AZ110),IF(Instructions!$E$11=14,IF($P111=Instructions!$F$55,AZ110+1,AZ110),IF(Instructions!$E$11=16,IF($T111=Instructions!$F$55,AZ110+1,AZ110))))))</f>
        <v>0</v>
      </c>
      <c r="BA111" s="321" t="str">
        <f t="shared" si="29"/>
        <v>1400</v>
      </c>
      <c r="BB111" s="321">
        <f>IF(Instructions!$E$11=8,IF($D111=Instructions!$F$56,BB110+1,BB110),IF(Instructions!$E$11=10,IF($H111=Instructions!$F$56,BB110+1,BB110),IF(Instructions!$E$11=12,IF($L111=Instructions!$F$56,BB110+1,BB110),IF(Instructions!$E$11=14,IF($P111=Instructions!$F$56,BB110+1,BB110),IF(Instructions!$E$11=16,IF($T111=Instructions!$F$56,BB110+1,BB110))))))</f>
        <v>0</v>
      </c>
      <c r="BC111" s="321" t="str">
        <f t="shared" si="30"/>
        <v>1500</v>
      </c>
      <c r="BD111" s="321">
        <f>IF(Instructions!$E$11=8,IF($D111=Instructions!$F$57,BD110+1,BD110),IF(Instructions!$E$11=10,IF($H111=Instructions!$F$57,BD110+1,BD110),IF(Instructions!$E$11=12,IF($L111=Instructions!$F$57,BD110+1,BD110),IF(Instructions!$E$11=14,IF($P111=Instructions!$F$57,BD110+1,BD110),IF(Instructions!$E$11=16,IF($T111=Instructions!$F$57,BD110+1,BD110))))))</f>
        <v>0</v>
      </c>
      <c r="BE111" s="321" t="str">
        <f t="shared" si="31"/>
        <v>1600</v>
      </c>
      <c r="BF111" s="321">
        <v>109</v>
      </c>
    </row>
    <row r="112" spans="1:58" ht="15.75" thickBot="1" x14ac:dyDescent="0.3">
      <c r="A112" s="280"/>
      <c r="B112" s="323" t="str">
        <f>IF(Instructions!$J$11=1,AA112,IF(Instructions!$J$11=2,AC112,IF(Instructions!$J$11=3,AE112,IF(Instructions!$J$11=4,AG112,IF(Instructions!$J$11=5,AI112,IF(Instructions!$J$11=6,AK112,IF(Instructions!$J$11=7,AM112,IF(Instructions!$J$11=8,AO112,IF(Instructions!$J$11=9,AQ112,IF(Instructions!$J$11=10,AS112,IF(Instructions!$J$11=11,AU112,IF(Instructions!$J$11=12,AW112,IF(Instructions!$J$11=13, AY112, IF(Instructions!$J$11=14,BA112,IF(Instructions!$J$11=15,BC112,BE112)))))))))))))))</f>
        <v>209</v>
      </c>
      <c r="C112" s="272">
        <v>110</v>
      </c>
      <c r="D112" s="327" t="str">
        <f>Instructions!F$44</f>
        <v>Cam</v>
      </c>
      <c r="E112" s="332" t="s">
        <v>868</v>
      </c>
      <c r="F112" s="706"/>
      <c r="G112" s="279">
        <v>14</v>
      </c>
      <c r="H112" s="295" t="str">
        <f>Instructions!F$51</f>
        <v>Josh</v>
      </c>
      <c r="I112" s="277" t="s">
        <v>836</v>
      </c>
      <c r="J112" s="710"/>
      <c r="K112" s="279">
        <v>11</v>
      </c>
      <c r="L112" s="294" t="str">
        <f>Instructions!F$52</f>
        <v>Big R</v>
      </c>
      <c r="M112" s="274" t="s">
        <v>816</v>
      </c>
      <c r="N112" s="709"/>
      <c r="O112" s="279">
        <v>10</v>
      </c>
      <c r="P112" s="294" t="str">
        <f>Instructions!F$44</f>
        <v>Cam</v>
      </c>
      <c r="Q112" s="274" t="s">
        <v>802</v>
      </c>
      <c r="R112" s="709"/>
      <c r="S112" s="279">
        <v>8</v>
      </c>
      <c r="T112" s="327" t="str">
        <f>Instructions!F$55</f>
        <v>[TEAM 14]</v>
      </c>
      <c r="U112" s="274" t="s">
        <v>941</v>
      </c>
      <c r="V112" s="706"/>
      <c r="W112" s="279">
        <v>7</v>
      </c>
      <c r="X112" s="280"/>
      <c r="Y112" s="190" t="str">
        <f>IFERROR( IF(Instructions!$E$11=8, D112&amp;COUNTIF(D$3:D112,D112), IF(Instructions!$E$11=10, H112&amp;COUNTIF(H$3:H112,H112),IF(Instructions!$E$11=12, L112&amp;COUNTIF(L$3:L112,L112),IF(Instructions!$E$11=14, P112&amp;COUNTIF(P$3:P112,P112),T112&amp;COUNTIF(T$3:T112,T112))))),"")</f>
        <v>Big R10</v>
      </c>
      <c r="Z112" s="321">
        <f>IF(Instructions!$E$11=8,IF($D112=Instructions!$F$42,Z111+1,Z111),IF(Instructions!$E$11=10,IF($H112=Instructions!$F$42,Z111+1,Z111),IF(Instructions!$E$11=12,IF($L112=Instructions!$F$42,Z111+1,Z111),IF(Instructions!$E$11=14,IF($P112=Instructions!$F$42,Z111+1,Z111),IF(Instructions!$E$11=16,IF($T112=Instructions!$F$42,Z111+1,Z111))))))</f>
        <v>9</v>
      </c>
      <c r="AA112" s="321" t="str">
        <f t="shared" si="24"/>
        <v>109</v>
      </c>
      <c r="AB112" s="321">
        <f>IF(Instructions!$E$11=8,IF($D112=Instructions!$F$43,AB111+1,AB111),IF(Instructions!$E$11=10,IF($H112=Instructions!$F$43,AB111+1,AB111),IF(Instructions!$E$11=12,IF($L112=Instructions!$F$43,AB111+1,AB111),IF(Instructions!$E$11=14,IF($P112=Instructions!$F$43,AB111+1,AB111),IF(Instructions!$E$11=16,IF($T112=Instructions!$F$43,AB111+1,AB111))))))</f>
        <v>9</v>
      </c>
      <c r="AC112" s="321" t="str">
        <f t="shared" si="16"/>
        <v>209</v>
      </c>
      <c r="AD112" s="321">
        <f>IF(Instructions!$E$11=8,IF($D112=Instructions!$F$44,AD111+1,AD111),IF(Instructions!$E$11=10,IF($H112=Instructions!$F$44,AD111+1,AD111),IF(Instructions!$E$11=12,IF($L112=Instructions!$F$44,AD111+1,AD111),IF(Instructions!$E$11=14,IF($P112=Instructions!$F$44,AD111+1,AD111),IF(Instructions!$E$11=16,IF($T112=Instructions!$F$44,AD111+1,AD111))))))</f>
        <v>9</v>
      </c>
      <c r="AE112" s="321" t="str">
        <f t="shared" si="17"/>
        <v>309</v>
      </c>
      <c r="AF112" s="321">
        <f>IF(Instructions!$E$11=8,IF($D112=Instructions!$F$45,AF111+1,AF111),IF(Instructions!$E$11=10,IF($H112=Instructions!$F$45,AF111+1,AF111),IF(Instructions!$E$11=12,IF($L112=Instructions!$F$45,AF111+1,AF111),IF(Instructions!$E$11=14,IF($P112=Instructions!$F$45,AF111+1,AF111),IF(Instructions!$E$11=16,IF($T112=Instructions!$F$45,AF111+1,AF111))))))</f>
        <v>9</v>
      </c>
      <c r="AG112" s="321" t="str">
        <f t="shared" si="18"/>
        <v>409</v>
      </c>
      <c r="AH112" s="321">
        <f>IF(Instructions!$E$11=8,IF($D112=Instructions!$F$46,AH111+1,AH111),IF(Instructions!$E$11=10,IF($H112=Instructions!$F$46,AH111+1,AH111),IF(Instructions!$E$11=12,IF($L112=Instructions!$F$46,AH111+1,AH111),IF(Instructions!$E$11=14,IF($P112=Instructions!$F$46,AH111+1,AH111),IF(Instructions!$E$11=16,IF($T112=Instructions!$F$46,AH111+1,AH111))))))</f>
        <v>9</v>
      </c>
      <c r="AI112" s="321" t="str">
        <f t="shared" si="19"/>
        <v>509</v>
      </c>
      <c r="AJ112" s="321">
        <f>IF(Instructions!$E$11=8,IF($D112=Instructions!$F$47,AJ111+1,AJ111),IF(Instructions!$E$11=10,IF($H112=Instructions!$F$47,AJ111+1,AJ111),IF(Instructions!$E$11=12,IF($L112=Instructions!$F$47,AJ111+1,AJ111),IF(Instructions!$E$11=14,IF($P112=Instructions!$F$47,AJ111+1,AJ111),IF(Instructions!$E$11=16,IF($T112=Instructions!$F$47,AJ111+1,AJ111))))))</f>
        <v>9</v>
      </c>
      <c r="AK112" s="321" t="str">
        <f t="shared" si="20"/>
        <v>609</v>
      </c>
      <c r="AL112" s="321">
        <f>IF(Instructions!$E$11=8,IF($D112=Instructions!$F$48,AL111+1,AL111),IF(Instructions!$E$11=10,IF($H112=Instructions!$F$48,AL111+1,AL111),IF(Instructions!$E$11=12,IF($L112=Instructions!$F$48,AL111+1,AL111),IF(Instructions!$E$11=14,IF($P112=Instructions!$F$48,AL111+1,AL111),IF(Instructions!$E$11=16,IF($T112=Instructions!$F$48,AL111+1,AL111))))))</f>
        <v>9</v>
      </c>
      <c r="AM112" s="321" t="str">
        <f t="shared" si="21"/>
        <v>709</v>
      </c>
      <c r="AN112" s="321">
        <f>IF(Instructions!$E$11=8,IF($D112=Instructions!$F$49,AN111+1,AN111),IF(Instructions!$E$11=10,IF($H112=Instructions!$F$49,AN111+1,AN111),IF(Instructions!$E$11=12,IF($L112=Instructions!$F$49,AN111+1,AN111),IF(Instructions!$E$11=14,IF($P112=Instructions!$F$49,AN111+1,AN111),IF(Instructions!$E$11=16,IF($T112=Instructions!$F$49,AN111+1,AN111))))))</f>
        <v>9</v>
      </c>
      <c r="AO112" s="321" t="str">
        <f t="shared" si="22"/>
        <v>809</v>
      </c>
      <c r="AP112" s="321">
        <f>IF(Instructions!$E$11=8,IF($D112=Instructions!$F$50,AP111+1,AP111),IF(Instructions!$E$11=10,IF($H112=Instructions!$F$50,AP111+1,AP111),IF(Instructions!$E$11=12,IF($L112=Instructions!$F$50,AP111+1,AP111),IF(Instructions!$E$11=14,IF($P112=Instructions!$F$50,AP111+1,AP111),IF(Instructions!$E$11=16,IF($T112=Instructions!$F$50,AP111+1,AP111))))))</f>
        <v>9</v>
      </c>
      <c r="AQ112" s="321" t="str">
        <f t="shared" si="23"/>
        <v>909</v>
      </c>
      <c r="AR112" s="321">
        <f>IF(Instructions!$E$11=8,IF($D112=Instructions!$F$51,AR111+1,AR111),IF(Instructions!$E$11=10,IF($H112=Instructions!$F$51,AR111+1,AR111),IF(Instructions!$E$11=12,IF($L112=Instructions!$F$51,AR111+1,AR111),IF(Instructions!$E$11=14,IF($P112=Instructions!$F$51,AR111+1,AR111),IF(Instructions!$E$11=16,IF($T112=Instructions!$F$51,AR111+1,AR111))))))</f>
        <v>9</v>
      </c>
      <c r="AS112" s="321" t="str">
        <f t="shared" si="25"/>
        <v>1009</v>
      </c>
      <c r="AT112" s="321">
        <f>IF(Instructions!$E$11=8,IF($D112=Instructions!$F$52,AT111+1,AT111),IF(Instructions!$E$11=10,IF($H112=Instructions!$F$52,AT111+1,AT111),IF(Instructions!$E$11=12,IF($L112=Instructions!$F$52,AT111+1,AT111),IF(Instructions!$E$11=14,IF($P112=Instructions!$F$52,AT111+1,AT111),IF(Instructions!$E$11=16,IF($T112=Instructions!$F$52,AT111+1,AT111))))))</f>
        <v>10</v>
      </c>
      <c r="AU112" s="321" t="str">
        <f t="shared" si="26"/>
        <v>1110</v>
      </c>
      <c r="AV112" s="321">
        <f>IF(Instructions!$E$11=8,IF($D112=Instructions!$F$53,AV111+1,AV111),IF(Instructions!$E$11=10,IF($H112=Instructions!$F$53,AV111+1,AV111),IF(Instructions!$E$11=12,IF($L112=Instructions!$F$53,AV111+1,AV111),IF(Instructions!$E$11=14,IF($P112=Instructions!$F$53,AV111+1,AV111),IF(Instructions!$E$11=16,IF($T112=Instructions!$F$53,AV111+1,AV111))))))</f>
        <v>10</v>
      </c>
      <c r="AW112" s="321" t="str">
        <f t="shared" si="27"/>
        <v>1210</v>
      </c>
      <c r="AX112" s="321">
        <f>IF(Instructions!$E$11=8,IF($D112=Instructions!$F$54,AX111+1,AX111),IF(Instructions!$E$11=10,IF($H112=Instructions!$F$54,AX111+1,AX111),IF(Instructions!$E$11=12,IF($L112=Instructions!$F$54,AX111+1,AX111),IF(Instructions!$E$11=14,IF($P112=Instructions!$F$54,AX111+1,AX111),IF(Instructions!$E$11=16,IF($T112=Instructions!$F$54,AX111+1,AX111))))))</f>
        <v>0</v>
      </c>
      <c r="AY112" s="321" t="str">
        <f t="shared" si="28"/>
        <v>1300</v>
      </c>
      <c r="AZ112" s="321">
        <f>IF(Instructions!$E$11=8,IF($D112=Instructions!$F$55,AZ111+1,AZ111),IF(Instructions!$E$11=10,IF($H112=Instructions!$F$55,AZ111+1,AZ111),IF(Instructions!$E$11=12,IF($L112=Instructions!$F$55,AZ111+1,AZ111),IF(Instructions!$E$11=14,IF($P112=Instructions!$F$55,AZ111+1,AZ111),IF(Instructions!$E$11=16,IF($T112=Instructions!$F$55,AZ111+1,AZ111))))))</f>
        <v>0</v>
      </c>
      <c r="BA112" s="321" t="str">
        <f t="shared" si="29"/>
        <v>1400</v>
      </c>
      <c r="BB112" s="321">
        <f>IF(Instructions!$E$11=8,IF($D112=Instructions!$F$56,BB111+1,BB111),IF(Instructions!$E$11=10,IF($H112=Instructions!$F$56,BB111+1,BB111),IF(Instructions!$E$11=12,IF($L112=Instructions!$F$56,BB111+1,BB111),IF(Instructions!$E$11=14,IF($P112=Instructions!$F$56,BB111+1,BB111),IF(Instructions!$E$11=16,IF($T112=Instructions!$F$56,BB111+1,BB111))))))</f>
        <v>0</v>
      </c>
      <c r="BC112" s="321" t="str">
        <f t="shared" si="30"/>
        <v>1500</v>
      </c>
      <c r="BD112" s="321">
        <f>IF(Instructions!$E$11=8,IF($D112=Instructions!$F$57,BD111+1,BD111),IF(Instructions!$E$11=10,IF($H112=Instructions!$F$57,BD111+1,BD111),IF(Instructions!$E$11=12,IF($L112=Instructions!$F$57,BD111+1,BD111),IF(Instructions!$E$11=14,IF($P112=Instructions!$F$57,BD111+1,BD111),IF(Instructions!$E$11=16,IF($T112=Instructions!$F$57,BD111+1,BD111))))))</f>
        <v>0</v>
      </c>
      <c r="BE112" s="321" t="str">
        <f t="shared" si="31"/>
        <v>1600</v>
      </c>
      <c r="BF112" s="321">
        <v>110</v>
      </c>
    </row>
    <row r="113" spans="1:58" ht="15" customHeight="1" x14ac:dyDescent="0.25">
      <c r="A113" s="280"/>
      <c r="B113" s="323" t="str">
        <f>IF(Instructions!$J$11=1,AA113,IF(Instructions!$J$11=2,AC113,IF(Instructions!$J$11=3,AE113,IF(Instructions!$J$11=4,AG113,IF(Instructions!$J$11=5,AI113,IF(Instructions!$J$11=6,AK113,IF(Instructions!$J$11=7,AM113,IF(Instructions!$J$11=8,AO113,IF(Instructions!$J$11=9,AQ113,IF(Instructions!$J$11=10,AS113,IF(Instructions!$J$11=11,AU113,IF(Instructions!$J$11=12,AW113,IF(Instructions!$J$11=13, AY113, IF(Instructions!$J$11=14,BA113,IF(Instructions!$J$11=15,BC113,BE113)))))))))))))))</f>
        <v>209</v>
      </c>
      <c r="C113" s="271">
        <v>111</v>
      </c>
      <c r="D113" s="328" t="str">
        <f>Instructions!F$43</f>
        <v>Camden</v>
      </c>
      <c r="E113" s="333" t="s">
        <v>869</v>
      </c>
      <c r="F113" s="706"/>
      <c r="G113" s="279">
        <v>14</v>
      </c>
      <c r="H113" s="292" t="str">
        <f>Instructions!F$51</f>
        <v>Josh</v>
      </c>
      <c r="I113" s="278" t="s">
        <v>839</v>
      </c>
      <c r="J113" s="708" t="s">
        <v>907</v>
      </c>
      <c r="K113" s="279">
        <v>12</v>
      </c>
      <c r="L113" s="293" t="str">
        <f>Instructions!F$51</f>
        <v>Josh</v>
      </c>
      <c r="M113" s="273" t="s">
        <v>817</v>
      </c>
      <c r="N113" s="709"/>
      <c r="O113" s="279">
        <v>10</v>
      </c>
      <c r="P113" s="293" t="str">
        <f>Instructions!F$43</f>
        <v>Camden</v>
      </c>
      <c r="Q113" s="273" t="s">
        <v>943</v>
      </c>
      <c r="R113" s="709"/>
      <c r="S113" s="279">
        <v>8</v>
      </c>
      <c r="T113" s="328" t="str">
        <f>Instructions!F$56</f>
        <v>[TEAM 15]</v>
      </c>
      <c r="U113" s="273" t="s">
        <v>1576</v>
      </c>
      <c r="V113" s="706"/>
      <c r="W113" s="279">
        <v>7</v>
      </c>
      <c r="X113" s="280"/>
      <c r="Y113" s="190" t="str">
        <f>IFERROR( IF(Instructions!$E$11=8, D113&amp;COUNTIF(D$3:D113,D113), IF(Instructions!$E$11=10, H113&amp;COUNTIF(H$3:H113,H113),IF(Instructions!$E$11=12, L113&amp;COUNTIF(L$3:L113,L113),IF(Instructions!$E$11=14, P113&amp;COUNTIF(P$3:P113,P113),T113&amp;COUNTIF(T$3:T113,T113))))),"")</f>
        <v>Josh10</v>
      </c>
      <c r="Z113" s="321">
        <f>IF(Instructions!$E$11=8,IF($D113=Instructions!$F$42,Z112+1,Z112),IF(Instructions!$E$11=10,IF($H113=Instructions!$F$42,Z112+1,Z112),IF(Instructions!$E$11=12,IF($L113=Instructions!$F$42,Z112+1,Z112),IF(Instructions!$E$11=14,IF($P113=Instructions!$F$42,Z112+1,Z112),IF(Instructions!$E$11=16,IF($T113=Instructions!$F$42,Z112+1,Z112))))))</f>
        <v>9</v>
      </c>
      <c r="AA113" s="321" t="str">
        <f t="shared" si="24"/>
        <v>109</v>
      </c>
      <c r="AB113" s="321">
        <f>IF(Instructions!$E$11=8,IF($D113=Instructions!$F$43,AB112+1,AB112),IF(Instructions!$E$11=10,IF($H113=Instructions!$F$43,AB112+1,AB112),IF(Instructions!$E$11=12,IF($L113=Instructions!$F$43,AB112+1,AB112),IF(Instructions!$E$11=14,IF($P113=Instructions!$F$43,AB112+1,AB112),IF(Instructions!$E$11=16,IF($T113=Instructions!$F$43,AB112+1,AB112))))))</f>
        <v>9</v>
      </c>
      <c r="AC113" s="321" t="str">
        <f t="shared" si="16"/>
        <v>209</v>
      </c>
      <c r="AD113" s="321">
        <f>IF(Instructions!$E$11=8,IF($D113=Instructions!$F$44,AD112+1,AD112),IF(Instructions!$E$11=10,IF($H113=Instructions!$F$44,AD112+1,AD112),IF(Instructions!$E$11=12,IF($L113=Instructions!$F$44,AD112+1,AD112),IF(Instructions!$E$11=14,IF($P113=Instructions!$F$44,AD112+1,AD112),IF(Instructions!$E$11=16,IF($T113=Instructions!$F$44,AD112+1,AD112))))))</f>
        <v>9</v>
      </c>
      <c r="AE113" s="321" t="str">
        <f t="shared" si="17"/>
        <v>309</v>
      </c>
      <c r="AF113" s="321">
        <f>IF(Instructions!$E$11=8,IF($D113=Instructions!$F$45,AF112+1,AF112),IF(Instructions!$E$11=10,IF($H113=Instructions!$F$45,AF112+1,AF112),IF(Instructions!$E$11=12,IF($L113=Instructions!$F$45,AF112+1,AF112),IF(Instructions!$E$11=14,IF($P113=Instructions!$F$45,AF112+1,AF112),IF(Instructions!$E$11=16,IF($T113=Instructions!$F$45,AF112+1,AF112))))))</f>
        <v>9</v>
      </c>
      <c r="AG113" s="321" t="str">
        <f t="shared" si="18"/>
        <v>409</v>
      </c>
      <c r="AH113" s="321">
        <f>IF(Instructions!$E$11=8,IF($D113=Instructions!$F$46,AH112+1,AH112),IF(Instructions!$E$11=10,IF($H113=Instructions!$F$46,AH112+1,AH112),IF(Instructions!$E$11=12,IF($L113=Instructions!$F$46,AH112+1,AH112),IF(Instructions!$E$11=14,IF($P113=Instructions!$F$46,AH112+1,AH112),IF(Instructions!$E$11=16,IF($T113=Instructions!$F$46,AH112+1,AH112))))))</f>
        <v>9</v>
      </c>
      <c r="AI113" s="321" t="str">
        <f t="shared" si="19"/>
        <v>509</v>
      </c>
      <c r="AJ113" s="321">
        <f>IF(Instructions!$E$11=8,IF($D113=Instructions!$F$47,AJ112+1,AJ112),IF(Instructions!$E$11=10,IF($H113=Instructions!$F$47,AJ112+1,AJ112),IF(Instructions!$E$11=12,IF($L113=Instructions!$F$47,AJ112+1,AJ112),IF(Instructions!$E$11=14,IF($P113=Instructions!$F$47,AJ112+1,AJ112),IF(Instructions!$E$11=16,IF($T113=Instructions!$F$47,AJ112+1,AJ112))))))</f>
        <v>9</v>
      </c>
      <c r="AK113" s="321" t="str">
        <f t="shared" si="20"/>
        <v>609</v>
      </c>
      <c r="AL113" s="321">
        <f>IF(Instructions!$E$11=8,IF($D113=Instructions!$F$48,AL112+1,AL112),IF(Instructions!$E$11=10,IF($H113=Instructions!$F$48,AL112+1,AL112),IF(Instructions!$E$11=12,IF($L113=Instructions!$F$48,AL112+1,AL112),IF(Instructions!$E$11=14,IF($P113=Instructions!$F$48,AL112+1,AL112),IF(Instructions!$E$11=16,IF($T113=Instructions!$F$48,AL112+1,AL112))))))</f>
        <v>9</v>
      </c>
      <c r="AM113" s="321" t="str">
        <f t="shared" si="21"/>
        <v>709</v>
      </c>
      <c r="AN113" s="321">
        <f>IF(Instructions!$E$11=8,IF($D113=Instructions!$F$49,AN112+1,AN112),IF(Instructions!$E$11=10,IF($H113=Instructions!$F$49,AN112+1,AN112),IF(Instructions!$E$11=12,IF($L113=Instructions!$F$49,AN112+1,AN112),IF(Instructions!$E$11=14,IF($P113=Instructions!$F$49,AN112+1,AN112),IF(Instructions!$E$11=16,IF($T113=Instructions!$F$49,AN112+1,AN112))))))</f>
        <v>9</v>
      </c>
      <c r="AO113" s="321" t="str">
        <f t="shared" si="22"/>
        <v>809</v>
      </c>
      <c r="AP113" s="321">
        <f>IF(Instructions!$E$11=8,IF($D113=Instructions!$F$50,AP112+1,AP112),IF(Instructions!$E$11=10,IF($H113=Instructions!$F$50,AP112+1,AP112),IF(Instructions!$E$11=12,IF($L113=Instructions!$F$50,AP112+1,AP112),IF(Instructions!$E$11=14,IF($P113=Instructions!$F$50,AP112+1,AP112),IF(Instructions!$E$11=16,IF($T113=Instructions!$F$50,AP112+1,AP112))))))</f>
        <v>9</v>
      </c>
      <c r="AQ113" s="321" t="str">
        <f t="shared" si="23"/>
        <v>909</v>
      </c>
      <c r="AR113" s="321">
        <f>IF(Instructions!$E$11=8,IF($D113=Instructions!$F$51,AR112+1,AR112),IF(Instructions!$E$11=10,IF($H113=Instructions!$F$51,AR112+1,AR112),IF(Instructions!$E$11=12,IF($L113=Instructions!$F$51,AR112+1,AR112),IF(Instructions!$E$11=14,IF($P113=Instructions!$F$51,AR112+1,AR112),IF(Instructions!$E$11=16,IF($T113=Instructions!$F$51,AR112+1,AR112))))))</f>
        <v>10</v>
      </c>
      <c r="AS113" s="321" t="str">
        <f t="shared" si="25"/>
        <v>1010</v>
      </c>
      <c r="AT113" s="321">
        <f>IF(Instructions!$E$11=8,IF($D113=Instructions!$F$52,AT112+1,AT112),IF(Instructions!$E$11=10,IF($H113=Instructions!$F$52,AT112+1,AT112),IF(Instructions!$E$11=12,IF($L113=Instructions!$F$52,AT112+1,AT112),IF(Instructions!$E$11=14,IF($P113=Instructions!$F$52,AT112+1,AT112),IF(Instructions!$E$11=16,IF($T113=Instructions!$F$52,AT112+1,AT112))))))</f>
        <v>10</v>
      </c>
      <c r="AU113" s="321" t="str">
        <f t="shared" si="26"/>
        <v>1110</v>
      </c>
      <c r="AV113" s="321">
        <f>IF(Instructions!$E$11=8,IF($D113=Instructions!$F$53,AV112+1,AV112),IF(Instructions!$E$11=10,IF($H113=Instructions!$F$53,AV112+1,AV112),IF(Instructions!$E$11=12,IF($L113=Instructions!$F$53,AV112+1,AV112),IF(Instructions!$E$11=14,IF($P113=Instructions!$F$53,AV112+1,AV112),IF(Instructions!$E$11=16,IF($T113=Instructions!$F$53,AV112+1,AV112))))))</f>
        <v>10</v>
      </c>
      <c r="AW113" s="321" t="str">
        <f t="shared" si="27"/>
        <v>1210</v>
      </c>
      <c r="AX113" s="321">
        <f>IF(Instructions!$E$11=8,IF($D113=Instructions!$F$54,AX112+1,AX112),IF(Instructions!$E$11=10,IF($H113=Instructions!$F$54,AX112+1,AX112),IF(Instructions!$E$11=12,IF($L113=Instructions!$F$54,AX112+1,AX112),IF(Instructions!$E$11=14,IF($P113=Instructions!$F$54,AX112+1,AX112),IF(Instructions!$E$11=16,IF($T113=Instructions!$F$54,AX112+1,AX112))))))</f>
        <v>0</v>
      </c>
      <c r="AY113" s="321" t="str">
        <f t="shared" si="28"/>
        <v>1300</v>
      </c>
      <c r="AZ113" s="321">
        <f>IF(Instructions!$E$11=8,IF($D113=Instructions!$F$55,AZ112+1,AZ112),IF(Instructions!$E$11=10,IF($H113=Instructions!$F$55,AZ112+1,AZ112),IF(Instructions!$E$11=12,IF($L113=Instructions!$F$55,AZ112+1,AZ112),IF(Instructions!$E$11=14,IF($P113=Instructions!$F$55,AZ112+1,AZ112),IF(Instructions!$E$11=16,IF($T113=Instructions!$F$55,AZ112+1,AZ112))))))</f>
        <v>0</v>
      </c>
      <c r="BA113" s="321" t="str">
        <f t="shared" si="29"/>
        <v>1400</v>
      </c>
      <c r="BB113" s="321">
        <f>IF(Instructions!$E$11=8,IF($D113=Instructions!$F$56,BB112+1,BB112),IF(Instructions!$E$11=10,IF($H113=Instructions!$F$56,BB112+1,BB112),IF(Instructions!$E$11=12,IF($L113=Instructions!$F$56,BB112+1,BB112),IF(Instructions!$E$11=14,IF($P113=Instructions!$F$56,BB112+1,BB112),IF(Instructions!$E$11=16,IF($T113=Instructions!$F$56,BB112+1,BB112))))))</f>
        <v>0</v>
      </c>
      <c r="BC113" s="321" t="str">
        <f t="shared" si="30"/>
        <v>1500</v>
      </c>
      <c r="BD113" s="321">
        <f>IF(Instructions!$E$11=8,IF($D113=Instructions!$F$57,BD112+1,BD112),IF(Instructions!$E$11=10,IF($H113=Instructions!$F$57,BD112+1,BD112),IF(Instructions!$E$11=12,IF($L113=Instructions!$F$57,BD112+1,BD112),IF(Instructions!$E$11=14,IF($P113=Instructions!$F$57,BD112+1,BD112),IF(Instructions!$E$11=16,IF($T113=Instructions!$F$57,BD112+1,BD112))))))</f>
        <v>0</v>
      </c>
      <c r="BE113" s="321" t="str">
        <f t="shared" si="31"/>
        <v>1600</v>
      </c>
      <c r="BF113" s="321">
        <v>111</v>
      </c>
    </row>
    <row r="114" spans="1:58" ht="15.75" thickBot="1" x14ac:dyDescent="0.3">
      <c r="A114" s="280"/>
      <c r="B114" s="323" t="str">
        <f>IF(Instructions!$J$11=1,AA114,IF(Instructions!$J$11=2,AC114,IF(Instructions!$J$11=3,AE114,IF(Instructions!$J$11=4,AG114,IF(Instructions!$J$11=5,AI114,IF(Instructions!$J$11=6,AK114,IF(Instructions!$J$11=7,AM114,IF(Instructions!$J$11=8,AO114,IF(Instructions!$J$11=9,AQ114,IF(Instructions!$J$11=10,AS114,IF(Instructions!$J$11=11,AU114,IF(Instructions!$J$11=12,AW114,IF(Instructions!$J$11=13, AY114, IF(Instructions!$J$11=14,BA114,IF(Instructions!$J$11=15,BC114,BE114)))))))))))))))</f>
        <v>209</v>
      </c>
      <c r="C114" s="272">
        <v>112</v>
      </c>
      <c r="D114" s="329" t="str">
        <f>Instructions!F$42</f>
        <v>Trumbo</v>
      </c>
      <c r="E114" s="334" t="s">
        <v>870</v>
      </c>
      <c r="F114" s="707"/>
      <c r="G114" s="279">
        <v>14</v>
      </c>
      <c r="H114" s="294" t="str">
        <f>Instructions!F$50</f>
        <v>Dan</v>
      </c>
      <c r="I114" s="274" t="s">
        <v>840</v>
      </c>
      <c r="J114" s="709"/>
      <c r="K114" s="279">
        <v>12</v>
      </c>
      <c r="L114" s="294" t="str">
        <f>Instructions!F$50</f>
        <v>Dan</v>
      </c>
      <c r="M114" s="274" t="s">
        <v>818</v>
      </c>
      <c r="N114" s="709"/>
      <c r="O114" s="279">
        <v>10</v>
      </c>
      <c r="P114" s="295" t="str">
        <f>Instructions!F$42</f>
        <v>Trumbo</v>
      </c>
      <c r="Q114" s="277" t="s">
        <v>942</v>
      </c>
      <c r="R114" s="710"/>
      <c r="S114" s="279">
        <v>8</v>
      </c>
      <c r="T114" s="329" t="str">
        <f>Instructions!F$57</f>
        <v>[TEAM 16]</v>
      </c>
      <c r="U114" s="330" t="s">
        <v>1577</v>
      </c>
      <c r="V114" s="707"/>
      <c r="W114" s="279">
        <v>7</v>
      </c>
      <c r="X114" s="280"/>
      <c r="Y114" s="190" t="str">
        <f>IFERROR( IF(Instructions!$E$11=8, D114&amp;COUNTIF(D$3:D114,D114), IF(Instructions!$E$11=10, H114&amp;COUNTIF(H$3:H114,H114),IF(Instructions!$E$11=12, L114&amp;COUNTIF(L$3:L114,L114),IF(Instructions!$E$11=14, P114&amp;COUNTIF(P$3:P114,P114),T114&amp;COUNTIF(T$3:T114,T114))))),"")</f>
        <v>Dan10</v>
      </c>
      <c r="Z114" s="321">
        <f>IF(Instructions!$E$11=8,IF($D114=Instructions!$F$42,Z113+1,Z113),IF(Instructions!$E$11=10,IF($H114=Instructions!$F$42,Z113+1,Z113),IF(Instructions!$E$11=12,IF($L114=Instructions!$F$42,Z113+1,Z113),IF(Instructions!$E$11=14,IF($P114=Instructions!$F$42,Z113+1,Z113),IF(Instructions!$E$11=16,IF($T114=Instructions!$F$42,Z113+1,Z113))))))</f>
        <v>9</v>
      </c>
      <c r="AA114" s="321" t="str">
        <f t="shared" si="24"/>
        <v>109</v>
      </c>
      <c r="AB114" s="321">
        <f>IF(Instructions!$E$11=8,IF($D114=Instructions!$F$43,AB113+1,AB113),IF(Instructions!$E$11=10,IF($H114=Instructions!$F$43,AB113+1,AB113),IF(Instructions!$E$11=12,IF($L114=Instructions!$F$43,AB113+1,AB113),IF(Instructions!$E$11=14,IF($P114=Instructions!$F$43,AB113+1,AB113),IF(Instructions!$E$11=16,IF($T114=Instructions!$F$43,AB113+1,AB113))))))</f>
        <v>9</v>
      </c>
      <c r="AC114" s="321" t="str">
        <f t="shared" si="16"/>
        <v>209</v>
      </c>
      <c r="AD114" s="321">
        <f>IF(Instructions!$E$11=8,IF($D114=Instructions!$F$44,AD113+1,AD113),IF(Instructions!$E$11=10,IF($H114=Instructions!$F$44,AD113+1,AD113),IF(Instructions!$E$11=12,IF($L114=Instructions!$F$44,AD113+1,AD113),IF(Instructions!$E$11=14,IF($P114=Instructions!$F$44,AD113+1,AD113),IF(Instructions!$E$11=16,IF($T114=Instructions!$F$44,AD113+1,AD113))))))</f>
        <v>9</v>
      </c>
      <c r="AE114" s="321" t="str">
        <f t="shared" si="17"/>
        <v>309</v>
      </c>
      <c r="AF114" s="321">
        <f>IF(Instructions!$E$11=8,IF($D114=Instructions!$F$45,AF113+1,AF113),IF(Instructions!$E$11=10,IF($H114=Instructions!$F$45,AF113+1,AF113),IF(Instructions!$E$11=12,IF($L114=Instructions!$F$45,AF113+1,AF113),IF(Instructions!$E$11=14,IF($P114=Instructions!$F$45,AF113+1,AF113),IF(Instructions!$E$11=16,IF($T114=Instructions!$F$45,AF113+1,AF113))))))</f>
        <v>9</v>
      </c>
      <c r="AG114" s="321" t="str">
        <f t="shared" si="18"/>
        <v>409</v>
      </c>
      <c r="AH114" s="321">
        <f>IF(Instructions!$E$11=8,IF($D114=Instructions!$F$46,AH113+1,AH113),IF(Instructions!$E$11=10,IF($H114=Instructions!$F$46,AH113+1,AH113),IF(Instructions!$E$11=12,IF($L114=Instructions!$F$46,AH113+1,AH113),IF(Instructions!$E$11=14,IF($P114=Instructions!$F$46,AH113+1,AH113),IF(Instructions!$E$11=16,IF($T114=Instructions!$F$46,AH113+1,AH113))))))</f>
        <v>9</v>
      </c>
      <c r="AI114" s="321" t="str">
        <f t="shared" si="19"/>
        <v>509</v>
      </c>
      <c r="AJ114" s="321">
        <f>IF(Instructions!$E$11=8,IF($D114=Instructions!$F$47,AJ113+1,AJ113),IF(Instructions!$E$11=10,IF($H114=Instructions!$F$47,AJ113+1,AJ113),IF(Instructions!$E$11=12,IF($L114=Instructions!$F$47,AJ113+1,AJ113),IF(Instructions!$E$11=14,IF($P114=Instructions!$F$47,AJ113+1,AJ113),IF(Instructions!$E$11=16,IF($T114=Instructions!$F$47,AJ113+1,AJ113))))))</f>
        <v>9</v>
      </c>
      <c r="AK114" s="321" t="str">
        <f t="shared" si="20"/>
        <v>609</v>
      </c>
      <c r="AL114" s="321">
        <f>IF(Instructions!$E$11=8,IF($D114=Instructions!$F$48,AL113+1,AL113),IF(Instructions!$E$11=10,IF($H114=Instructions!$F$48,AL113+1,AL113),IF(Instructions!$E$11=12,IF($L114=Instructions!$F$48,AL113+1,AL113),IF(Instructions!$E$11=14,IF($P114=Instructions!$F$48,AL113+1,AL113),IF(Instructions!$E$11=16,IF($T114=Instructions!$F$48,AL113+1,AL113))))))</f>
        <v>9</v>
      </c>
      <c r="AM114" s="321" t="str">
        <f t="shared" si="21"/>
        <v>709</v>
      </c>
      <c r="AN114" s="321">
        <f>IF(Instructions!$E$11=8,IF($D114=Instructions!$F$49,AN113+1,AN113),IF(Instructions!$E$11=10,IF($H114=Instructions!$F$49,AN113+1,AN113),IF(Instructions!$E$11=12,IF($L114=Instructions!$F$49,AN113+1,AN113),IF(Instructions!$E$11=14,IF($P114=Instructions!$F$49,AN113+1,AN113),IF(Instructions!$E$11=16,IF($T114=Instructions!$F$49,AN113+1,AN113))))))</f>
        <v>9</v>
      </c>
      <c r="AO114" s="321" t="str">
        <f t="shared" si="22"/>
        <v>809</v>
      </c>
      <c r="AP114" s="321">
        <f>IF(Instructions!$E$11=8,IF($D114=Instructions!$F$50,AP113+1,AP113),IF(Instructions!$E$11=10,IF($H114=Instructions!$F$50,AP113+1,AP113),IF(Instructions!$E$11=12,IF($L114=Instructions!$F$50,AP113+1,AP113),IF(Instructions!$E$11=14,IF($P114=Instructions!$F$50,AP113+1,AP113),IF(Instructions!$E$11=16,IF($T114=Instructions!$F$50,AP113+1,AP113))))))</f>
        <v>10</v>
      </c>
      <c r="AQ114" s="321" t="str">
        <f t="shared" si="23"/>
        <v>910</v>
      </c>
      <c r="AR114" s="321">
        <f>IF(Instructions!$E$11=8,IF($D114=Instructions!$F$51,AR113+1,AR113),IF(Instructions!$E$11=10,IF($H114=Instructions!$F$51,AR113+1,AR113),IF(Instructions!$E$11=12,IF($L114=Instructions!$F$51,AR113+1,AR113),IF(Instructions!$E$11=14,IF($P114=Instructions!$F$51,AR113+1,AR113),IF(Instructions!$E$11=16,IF($T114=Instructions!$F$51,AR113+1,AR113))))))</f>
        <v>10</v>
      </c>
      <c r="AS114" s="321" t="str">
        <f t="shared" si="25"/>
        <v>1010</v>
      </c>
      <c r="AT114" s="321">
        <f>IF(Instructions!$E$11=8,IF($D114=Instructions!$F$52,AT113+1,AT113),IF(Instructions!$E$11=10,IF($H114=Instructions!$F$52,AT113+1,AT113),IF(Instructions!$E$11=12,IF($L114=Instructions!$F$52,AT113+1,AT113),IF(Instructions!$E$11=14,IF($P114=Instructions!$F$52,AT113+1,AT113),IF(Instructions!$E$11=16,IF($T114=Instructions!$F$52,AT113+1,AT113))))))</f>
        <v>10</v>
      </c>
      <c r="AU114" s="321" t="str">
        <f t="shared" si="26"/>
        <v>1110</v>
      </c>
      <c r="AV114" s="321">
        <f>IF(Instructions!$E$11=8,IF($D114=Instructions!$F$53,AV113+1,AV113),IF(Instructions!$E$11=10,IF($H114=Instructions!$F$53,AV113+1,AV113),IF(Instructions!$E$11=12,IF($L114=Instructions!$F$53,AV113+1,AV113),IF(Instructions!$E$11=14,IF($P114=Instructions!$F$53,AV113+1,AV113),IF(Instructions!$E$11=16,IF($T114=Instructions!$F$53,AV113+1,AV113))))))</f>
        <v>10</v>
      </c>
      <c r="AW114" s="321" t="str">
        <f t="shared" si="27"/>
        <v>1210</v>
      </c>
      <c r="AX114" s="321">
        <f>IF(Instructions!$E$11=8,IF($D114=Instructions!$F$54,AX113+1,AX113),IF(Instructions!$E$11=10,IF($H114=Instructions!$F$54,AX113+1,AX113),IF(Instructions!$E$11=12,IF($L114=Instructions!$F$54,AX113+1,AX113),IF(Instructions!$E$11=14,IF($P114=Instructions!$F$54,AX113+1,AX113),IF(Instructions!$E$11=16,IF($T114=Instructions!$F$54,AX113+1,AX113))))))</f>
        <v>0</v>
      </c>
      <c r="AY114" s="321" t="str">
        <f t="shared" si="28"/>
        <v>1300</v>
      </c>
      <c r="AZ114" s="321">
        <f>IF(Instructions!$E$11=8,IF($D114=Instructions!$F$55,AZ113+1,AZ113),IF(Instructions!$E$11=10,IF($H114=Instructions!$F$55,AZ113+1,AZ113),IF(Instructions!$E$11=12,IF($L114=Instructions!$F$55,AZ113+1,AZ113),IF(Instructions!$E$11=14,IF($P114=Instructions!$F$55,AZ113+1,AZ113),IF(Instructions!$E$11=16,IF($T114=Instructions!$F$55,AZ113+1,AZ113))))))</f>
        <v>0</v>
      </c>
      <c r="BA114" s="321" t="str">
        <f t="shared" si="29"/>
        <v>1400</v>
      </c>
      <c r="BB114" s="321">
        <f>IF(Instructions!$E$11=8,IF($D114=Instructions!$F$56,BB113+1,BB113),IF(Instructions!$E$11=10,IF($H114=Instructions!$F$56,BB113+1,BB113),IF(Instructions!$E$11=12,IF($L114=Instructions!$F$56,BB113+1,BB113),IF(Instructions!$E$11=14,IF($P114=Instructions!$F$56,BB113+1,BB113),IF(Instructions!$E$11=16,IF($T114=Instructions!$F$56,BB113+1,BB113))))))</f>
        <v>0</v>
      </c>
      <c r="BC114" s="321" t="str">
        <f t="shared" si="30"/>
        <v>1500</v>
      </c>
      <c r="BD114" s="321">
        <f>IF(Instructions!$E$11=8,IF($D114=Instructions!$F$57,BD113+1,BD113),IF(Instructions!$E$11=10,IF($H114=Instructions!$F$57,BD113+1,BD113),IF(Instructions!$E$11=12,IF($L114=Instructions!$F$57,BD113+1,BD113),IF(Instructions!$E$11=14,IF($P114=Instructions!$F$57,BD113+1,BD113),IF(Instructions!$E$11=16,IF($T114=Instructions!$F$57,BD113+1,BD113))))))</f>
        <v>0</v>
      </c>
      <c r="BE114" s="321" t="str">
        <f t="shared" si="31"/>
        <v>1600</v>
      </c>
      <c r="BF114" s="321">
        <v>112</v>
      </c>
    </row>
    <row r="115" spans="1:58" ht="15" customHeight="1" x14ac:dyDescent="0.25">
      <c r="A115" s="280"/>
      <c r="B115" s="323" t="str">
        <f>IF(Instructions!$J$11=1,AA115,IF(Instructions!$J$11=2,AC115,IF(Instructions!$J$11=3,AE115,IF(Instructions!$J$11=4,AG115,IF(Instructions!$J$11=5,AI115,IF(Instructions!$J$11=6,AK115,IF(Instructions!$J$11=7,AM115,IF(Instructions!$J$11=8,AO115,IF(Instructions!$J$11=9,AQ115,IF(Instructions!$J$11=10,AS115,IF(Instructions!$J$11=11,AU115,IF(Instructions!$J$11=12,AW115,IF(Instructions!$J$11=13, AY115, IF(Instructions!$J$11=14,BA115,IF(Instructions!$J$11=15,BC115,BE115)))))))))))))))</f>
        <v>209</v>
      </c>
      <c r="C115" s="271">
        <v>113</v>
      </c>
      <c r="D115" s="325" t="str">
        <f>Instructions!F$42</f>
        <v>Trumbo</v>
      </c>
      <c r="E115" s="333" t="s">
        <v>875</v>
      </c>
      <c r="F115" s="705" t="s">
        <v>910</v>
      </c>
      <c r="G115" s="279">
        <v>15</v>
      </c>
      <c r="H115" s="293" t="str">
        <f>Instructions!F$49</f>
        <v>Luke</v>
      </c>
      <c r="I115" s="273" t="s">
        <v>841</v>
      </c>
      <c r="J115" s="709"/>
      <c r="K115" s="279">
        <v>12</v>
      </c>
      <c r="L115" s="293" t="str">
        <f>Instructions!F$49</f>
        <v>Luke</v>
      </c>
      <c r="M115" s="273" t="s">
        <v>819</v>
      </c>
      <c r="N115" s="709"/>
      <c r="O115" s="279">
        <v>10</v>
      </c>
      <c r="P115" s="292" t="str">
        <f>Instructions!F$42</f>
        <v>Trumbo</v>
      </c>
      <c r="Q115" s="276" t="s">
        <v>803</v>
      </c>
      <c r="R115" s="708" t="s">
        <v>904</v>
      </c>
      <c r="S115" s="279">
        <v>9</v>
      </c>
      <c r="T115" s="325" t="str">
        <f>Instructions!F$57</f>
        <v>[TEAM 16]</v>
      </c>
      <c r="U115" s="326" t="s">
        <v>791</v>
      </c>
      <c r="V115" s="705" t="s">
        <v>903</v>
      </c>
      <c r="W115" s="279">
        <v>8</v>
      </c>
      <c r="X115" s="280"/>
      <c r="Y115" s="190" t="str">
        <f>IFERROR( IF(Instructions!$E$11=8, D115&amp;COUNTIF(D$3:D115,D115), IF(Instructions!$E$11=10, H115&amp;COUNTIF(H$3:H115,H115),IF(Instructions!$E$11=12, L115&amp;COUNTIF(L$3:L115,L115),IF(Instructions!$E$11=14, P115&amp;COUNTIF(P$3:P115,P115),T115&amp;COUNTIF(T$3:T115,T115))))),"")</f>
        <v>Luke10</v>
      </c>
      <c r="Z115" s="321">
        <f>IF(Instructions!$E$11=8,IF($D115=Instructions!$F$42,Z114+1,Z114),IF(Instructions!$E$11=10,IF($H115=Instructions!$F$42,Z114+1,Z114),IF(Instructions!$E$11=12,IF($L115=Instructions!$F$42,Z114+1,Z114),IF(Instructions!$E$11=14,IF($P115=Instructions!$F$42,Z114+1,Z114),IF(Instructions!$E$11=16,IF($T115=Instructions!$F$42,Z114+1,Z114))))))</f>
        <v>9</v>
      </c>
      <c r="AA115" s="321" t="str">
        <f t="shared" si="24"/>
        <v>109</v>
      </c>
      <c r="AB115" s="321">
        <f>IF(Instructions!$E$11=8,IF($D115=Instructions!$F$43,AB114+1,AB114),IF(Instructions!$E$11=10,IF($H115=Instructions!$F$43,AB114+1,AB114),IF(Instructions!$E$11=12,IF($L115=Instructions!$F$43,AB114+1,AB114),IF(Instructions!$E$11=14,IF($P115=Instructions!$F$43,AB114+1,AB114),IF(Instructions!$E$11=16,IF($T115=Instructions!$F$43,AB114+1,AB114))))))</f>
        <v>9</v>
      </c>
      <c r="AC115" s="321" t="str">
        <f t="shared" si="16"/>
        <v>209</v>
      </c>
      <c r="AD115" s="321">
        <f>IF(Instructions!$E$11=8,IF($D115=Instructions!$F$44,AD114+1,AD114),IF(Instructions!$E$11=10,IF($H115=Instructions!$F$44,AD114+1,AD114),IF(Instructions!$E$11=12,IF($L115=Instructions!$F$44,AD114+1,AD114),IF(Instructions!$E$11=14,IF($P115=Instructions!$F$44,AD114+1,AD114),IF(Instructions!$E$11=16,IF($T115=Instructions!$F$44,AD114+1,AD114))))))</f>
        <v>9</v>
      </c>
      <c r="AE115" s="321" t="str">
        <f t="shared" si="17"/>
        <v>309</v>
      </c>
      <c r="AF115" s="321">
        <f>IF(Instructions!$E$11=8,IF($D115=Instructions!$F$45,AF114+1,AF114),IF(Instructions!$E$11=10,IF($H115=Instructions!$F$45,AF114+1,AF114),IF(Instructions!$E$11=12,IF($L115=Instructions!$F$45,AF114+1,AF114),IF(Instructions!$E$11=14,IF($P115=Instructions!$F$45,AF114+1,AF114),IF(Instructions!$E$11=16,IF($T115=Instructions!$F$45,AF114+1,AF114))))))</f>
        <v>9</v>
      </c>
      <c r="AG115" s="321" t="str">
        <f t="shared" si="18"/>
        <v>409</v>
      </c>
      <c r="AH115" s="321">
        <f>IF(Instructions!$E$11=8,IF($D115=Instructions!$F$46,AH114+1,AH114),IF(Instructions!$E$11=10,IF($H115=Instructions!$F$46,AH114+1,AH114),IF(Instructions!$E$11=12,IF($L115=Instructions!$F$46,AH114+1,AH114),IF(Instructions!$E$11=14,IF($P115=Instructions!$F$46,AH114+1,AH114),IF(Instructions!$E$11=16,IF($T115=Instructions!$F$46,AH114+1,AH114))))))</f>
        <v>9</v>
      </c>
      <c r="AI115" s="321" t="str">
        <f t="shared" si="19"/>
        <v>509</v>
      </c>
      <c r="AJ115" s="321">
        <f>IF(Instructions!$E$11=8,IF($D115=Instructions!$F$47,AJ114+1,AJ114),IF(Instructions!$E$11=10,IF($H115=Instructions!$F$47,AJ114+1,AJ114),IF(Instructions!$E$11=12,IF($L115=Instructions!$F$47,AJ114+1,AJ114),IF(Instructions!$E$11=14,IF($P115=Instructions!$F$47,AJ114+1,AJ114),IF(Instructions!$E$11=16,IF($T115=Instructions!$F$47,AJ114+1,AJ114))))))</f>
        <v>9</v>
      </c>
      <c r="AK115" s="321" t="str">
        <f t="shared" si="20"/>
        <v>609</v>
      </c>
      <c r="AL115" s="321">
        <f>IF(Instructions!$E$11=8,IF($D115=Instructions!$F$48,AL114+1,AL114),IF(Instructions!$E$11=10,IF($H115=Instructions!$F$48,AL114+1,AL114),IF(Instructions!$E$11=12,IF($L115=Instructions!$F$48,AL114+1,AL114),IF(Instructions!$E$11=14,IF($P115=Instructions!$F$48,AL114+1,AL114),IF(Instructions!$E$11=16,IF($T115=Instructions!$F$48,AL114+1,AL114))))))</f>
        <v>9</v>
      </c>
      <c r="AM115" s="321" t="str">
        <f t="shared" si="21"/>
        <v>709</v>
      </c>
      <c r="AN115" s="321">
        <f>IF(Instructions!$E$11=8,IF($D115=Instructions!$F$49,AN114+1,AN114),IF(Instructions!$E$11=10,IF($H115=Instructions!$F$49,AN114+1,AN114),IF(Instructions!$E$11=12,IF($L115=Instructions!$F$49,AN114+1,AN114),IF(Instructions!$E$11=14,IF($P115=Instructions!$F$49,AN114+1,AN114),IF(Instructions!$E$11=16,IF($T115=Instructions!$F$49,AN114+1,AN114))))))</f>
        <v>10</v>
      </c>
      <c r="AO115" s="321" t="str">
        <f t="shared" si="22"/>
        <v>810</v>
      </c>
      <c r="AP115" s="321">
        <f>IF(Instructions!$E$11=8,IF($D115=Instructions!$F$50,AP114+1,AP114),IF(Instructions!$E$11=10,IF($H115=Instructions!$F$50,AP114+1,AP114),IF(Instructions!$E$11=12,IF($L115=Instructions!$F$50,AP114+1,AP114),IF(Instructions!$E$11=14,IF($P115=Instructions!$F$50,AP114+1,AP114),IF(Instructions!$E$11=16,IF($T115=Instructions!$F$50,AP114+1,AP114))))))</f>
        <v>10</v>
      </c>
      <c r="AQ115" s="321" t="str">
        <f t="shared" si="23"/>
        <v>910</v>
      </c>
      <c r="AR115" s="321">
        <f>IF(Instructions!$E$11=8,IF($D115=Instructions!$F$51,AR114+1,AR114),IF(Instructions!$E$11=10,IF($H115=Instructions!$F$51,AR114+1,AR114),IF(Instructions!$E$11=12,IF($L115=Instructions!$F$51,AR114+1,AR114),IF(Instructions!$E$11=14,IF($P115=Instructions!$F$51,AR114+1,AR114),IF(Instructions!$E$11=16,IF($T115=Instructions!$F$51,AR114+1,AR114))))))</f>
        <v>10</v>
      </c>
      <c r="AS115" s="321" t="str">
        <f t="shared" si="25"/>
        <v>1010</v>
      </c>
      <c r="AT115" s="321">
        <f>IF(Instructions!$E$11=8,IF($D115=Instructions!$F$52,AT114+1,AT114),IF(Instructions!$E$11=10,IF($H115=Instructions!$F$52,AT114+1,AT114),IF(Instructions!$E$11=12,IF($L115=Instructions!$F$52,AT114+1,AT114),IF(Instructions!$E$11=14,IF($P115=Instructions!$F$52,AT114+1,AT114),IF(Instructions!$E$11=16,IF($T115=Instructions!$F$52,AT114+1,AT114))))))</f>
        <v>10</v>
      </c>
      <c r="AU115" s="321" t="str">
        <f t="shared" si="26"/>
        <v>1110</v>
      </c>
      <c r="AV115" s="321">
        <f>IF(Instructions!$E$11=8,IF($D115=Instructions!$F$53,AV114+1,AV114),IF(Instructions!$E$11=10,IF($H115=Instructions!$F$53,AV114+1,AV114),IF(Instructions!$E$11=12,IF($L115=Instructions!$F$53,AV114+1,AV114),IF(Instructions!$E$11=14,IF($P115=Instructions!$F$53,AV114+1,AV114),IF(Instructions!$E$11=16,IF($T115=Instructions!$F$53,AV114+1,AV114))))))</f>
        <v>10</v>
      </c>
      <c r="AW115" s="321" t="str">
        <f t="shared" si="27"/>
        <v>1210</v>
      </c>
      <c r="AX115" s="321">
        <f>IF(Instructions!$E$11=8,IF($D115=Instructions!$F$54,AX114+1,AX114),IF(Instructions!$E$11=10,IF($H115=Instructions!$F$54,AX114+1,AX114),IF(Instructions!$E$11=12,IF($L115=Instructions!$F$54,AX114+1,AX114),IF(Instructions!$E$11=14,IF($P115=Instructions!$F$54,AX114+1,AX114),IF(Instructions!$E$11=16,IF($T115=Instructions!$F$54,AX114+1,AX114))))))</f>
        <v>0</v>
      </c>
      <c r="AY115" s="321" t="str">
        <f t="shared" si="28"/>
        <v>1300</v>
      </c>
      <c r="AZ115" s="321">
        <f>IF(Instructions!$E$11=8,IF($D115=Instructions!$F$55,AZ114+1,AZ114),IF(Instructions!$E$11=10,IF($H115=Instructions!$F$55,AZ114+1,AZ114),IF(Instructions!$E$11=12,IF($L115=Instructions!$F$55,AZ114+1,AZ114),IF(Instructions!$E$11=14,IF($P115=Instructions!$F$55,AZ114+1,AZ114),IF(Instructions!$E$11=16,IF($T115=Instructions!$F$55,AZ114+1,AZ114))))))</f>
        <v>0</v>
      </c>
      <c r="BA115" s="321" t="str">
        <f t="shared" si="29"/>
        <v>1400</v>
      </c>
      <c r="BB115" s="321">
        <f>IF(Instructions!$E$11=8,IF($D115=Instructions!$F$56,BB114+1,BB114),IF(Instructions!$E$11=10,IF($H115=Instructions!$F$56,BB114+1,BB114),IF(Instructions!$E$11=12,IF($L115=Instructions!$F$56,BB114+1,BB114),IF(Instructions!$E$11=14,IF($P115=Instructions!$F$56,BB114+1,BB114),IF(Instructions!$E$11=16,IF($T115=Instructions!$F$56,BB114+1,BB114))))))</f>
        <v>0</v>
      </c>
      <c r="BC115" s="321" t="str">
        <f t="shared" si="30"/>
        <v>1500</v>
      </c>
      <c r="BD115" s="321">
        <f>IF(Instructions!$E$11=8,IF($D115=Instructions!$F$57,BD114+1,BD114),IF(Instructions!$E$11=10,IF($H115=Instructions!$F$57,BD114+1,BD114),IF(Instructions!$E$11=12,IF($L115=Instructions!$F$57,BD114+1,BD114),IF(Instructions!$E$11=14,IF($P115=Instructions!$F$57,BD114+1,BD114),IF(Instructions!$E$11=16,IF($T115=Instructions!$F$57,BD114+1,BD114))))))</f>
        <v>0</v>
      </c>
      <c r="BE115" s="321" t="str">
        <f t="shared" si="31"/>
        <v>1600</v>
      </c>
      <c r="BF115" s="321">
        <v>113</v>
      </c>
    </row>
    <row r="116" spans="1:58" x14ac:dyDescent="0.25">
      <c r="A116" s="280"/>
      <c r="B116" s="323" t="str">
        <f>IF(Instructions!$J$11=1,AA116,IF(Instructions!$J$11=2,AC116,IF(Instructions!$J$11=3,AE116,IF(Instructions!$J$11=4,AG116,IF(Instructions!$J$11=5,AI116,IF(Instructions!$J$11=6,AK116,IF(Instructions!$J$11=7,AM116,IF(Instructions!$J$11=8,AO116,IF(Instructions!$J$11=9,AQ116,IF(Instructions!$J$11=10,AS116,IF(Instructions!$J$11=11,AU116,IF(Instructions!$J$11=12,AW116,IF(Instructions!$J$11=13, AY116, IF(Instructions!$J$11=14,BA116,IF(Instructions!$J$11=15,BC116,BE116)))))))))))))))</f>
        <v>209</v>
      </c>
      <c r="C116" s="272">
        <v>114</v>
      </c>
      <c r="D116" s="327" t="str">
        <f>Instructions!F$43</f>
        <v>Camden</v>
      </c>
      <c r="E116" s="332" t="s">
        <v>876</v>
      </c>
      <c r="F116" s="706"/>
      <c r="G116" s="279">
        <v>15</v>
      </c>
      <c r="H116" s="294" t="str">
        <f>Instructions!F$48</f>
        <v>Bui</v>
      </c>
      <c r="I116" s="274" t="s">
        <v>842</v>
      </c>
      <c r="J116" s="709"/>
      <c r="K116" s="279">
        <v>12</v>
      </c>
      <c r="L116" s="294" t="str">
        <f>Instructions!F$48</f>
        <v>Bui</v>
      </c>
      <c r="M116" s="274" t="s">
        <v>820</v>
      </c>
      <c r="N116" s="709"/>
      <c r="O116" s="279">
        <v>10</v>
      </c>
      <c r="P116" s="294" t="str">
        <f>Instructions!F$43</f>
        <v>Camden</v>
      </c>
      <c r="Q116" s="274" t="s">
        <v>804</v>
      </c>
      <c r="R116" s="709"/>
      <c r="S116" s="279">
        <v>9</v>
      </c>
      <c r="T116" s="327" t="str">
        <f>Instructions!F$56</f>
        <v>[TEAM 15]</v>
      </c>
      <c r="U116" s="274" t="s">
        <v>792</v>
      </c>
      <c r="V116" s="706"/>
      <c r="W116" s="279">
        <v>8</v>
      </c>
      <c r="X116" s="280"/>
      <c r="Y116" s="190" t="str">
        <f>IFERROR( IF(Instructions!$E$11=8, D116&amp;COUNTIF(D$3:D116,D116), IF(Instructions!$E$11=10, H116&amp;COUNTIF(H$3:H116,H116),IF(Instructions!$E$11=12, L116&amp;COUNTIF(L$3:L116,L116),IF(Instructions!$E$11=14, P116&amp;COUNTIF(P$3:P116,P116),T116&amp;COUNTIF(T$3:T116,T116))))),"")</f>
        <v>Bui10</v>
      </c>
      <c r="Z116" s="321">
        <f>IF(Instructions!$E$11=8,IF($D116=Instructions!$F$42,Z115+1,Z115),IF(Instructions!$E$11=10,IF($H116=Instructions!$F$42,Z115+1,Z115),IF(Instructions!$E$11=12,IF($L116=Instructions!$F$42,Z115+1,Z115),IF(Instructions!$E$11=14,IF($P116=Instructions!$F$42,Z115+1,Z115),IF(Instructions!$E$11=16,IF($T116=Instructions!$F$42,Z115+1,Z115))))))</f>
        <v>9</v>
      </c>
      <c r="AA116" s="321" t="str">
        <f t="shared" si="24"/>
        <v>109</v>
      </c>
      <c r="AB116" s="321">
        <f>IF(Instructions!$E$11=8,IF($D116=Instructions!$F$43,AB115+1,AB115),IF(Instructions!$E$11=10,IF($H116=Instructions!$F$43,AB115+1,AB115),IF(Instructions!$E$11=12,IF($L116=Instructions!$F$43,AB115+1,AB115),IF(Instructions!$E$11=14,IF($P116=Instructions!$F$43,AB115+1,AB115),IF(Instructions!$E$11=16,IF($T116=Instructions!$F$43,AB115+1,AB115))))))</f>
        <v>9</v>
      </c>
      <c r="AC116" s="321" t="str">
        <f t="shared" si="16"/>
        <v>209</v>
      </c>
      <c r="AD116" s="321">
        <f>IF(Instructions!$E$11=8,IF($D116=Instructions!$F$44,AD115+1,AD115),IF(Instructions!$E$11=10,IF($H116=Instructions!$F$44,AD115+1,AD115),IF(Instructions!$E$11=12,IF($L116=Instructions!$F$44,AD115+1,AD115),IF(Instructions!$E$11=14,IF($P116=Instructions!$F$44,AD115+1,AD115),IF(Instructions!$E$11=16,IF($T116=Instructions!$F$44,AD115+1,AD115))))))</f>
        <v>9</v>
      </c>
      <c r="AE116" s="321" t="str">
        <f t="shared" si="17"/>
        <v>309</v>
      </c>
      <c r="AF116" s="321">
        <f>IF(Instructions!$E$11=8,IF($D116=Instructions!$F$45,AF115+1,AF115),IF(Instructions!$E$11=10,IF($H116=Instructions!$F$45,AF115+1,AF115),IF(Instructions!$E$11=12,IF($L116=Instructions!$F$45,AF115+1,AF115),IF(Instructions!$E$11=14,IF($P116=Instructions!$F$45,AF115+1,AF115),IF(Instructions!$E$11=16,IF($T116=Instructions!$F$45,AF115+1,AF115))))))</f>
        <v>9</v>
      </c>
      <c r="AG116" s="321" t="str">
        <f t="shared" si="18"/>
        <v>409</v>
      </c>
      <c r="AH116" s="321">
        <f>IF(Instructions!$E$11=8,IF($D116=Instructions!$F$46,AH115+1,AH115),IF(Instructions!$E$11=10,IF($H116=Instructions!$F$46,AH115+1,AH115),IF(Instructions!$E$11=12,IF($L116=Instructions!$F$46,AH115+1,AH115),IF(Instructions!$E$11=14,IF($P116=Instructions!$F$46,AH115+1,AH115),IF(Instructions!$E$11=16,IF($T116=Instructions!$F$46,AH115+1,AH115))))))</f>
        <v>9</v>
      </c>
      <c r="AI116" s="321" t="str">
        <f t="shared" si="19"/>
        <v>509</v>
      </c>
      <c r="AJ116" s="321">
        <f>IF(Instructions!$E$11=8,IF($D116=Instructions!$F$47,AJ115+1,AJ115),IF(Instructions!$E$11=10,IF($H116=Instructions!$F$47,AJ115+1,AJ115),IF(Instructions!$E$11=12,IF($L116=Instructions!$F$47,AJ115+1,AJ115),IF(Instructions!$E$11=14,IF($P116=Instructions!$F$47,AJ115+1,AJ115),IF(Instructions!$E$11=16,IF($T116=Instructions!$F$47,AJ115+1,AJ115))))))</f>
        <v>9</v>
      </c>
      <c r="AK116" s="321" t="str">
        <f t="shared" si="20"/>
        <v>609</v>
      </c>
      <c r="AL116" s="321">
        <f>IF(Instructions!$E$11=8,IF($D116=Instructions!$F$48,AL115+1,AL115),IF(Instructions!$E$11=10,IF($H116=Instructions!$F$48,AL115+1,AL115),IF(Instructions!$E$11=12,IF($L116=Instructions!$F$48,AL115+1,AL115),IF(Instructions!$E$11=14,IF($P116=Instructions!$F$48,AL115+1,AL115),IF(Instructions!$E$11=16,IF($T116=Instructions!$F$48,AL115+1,AL115))))))</f>
        <v>10</v>
      </c>
      <c r="AM116" s="321" t="str">
        <f t="shared" si="21"/>
        <v>710</v>
      </c>
      <c r="AN116" s="321">
        <f>IF(Instructions!$E$11=8,IF($D116=Instructions!$F$49,AN115+1,AN115),IF(Instructions!$E$11=10,IF($H116=Instructions!$F$49,AN115+1,AN115),IF(Instructions!$E$11=12,IF($L116=Instructions!$F$49,AN115+1,AN115),IF(Instructions!$E$11=14,IF($P116=Instructions!$F$49,AN115+1,AN115),IF(Instructions!$E$11=16,IF($T116=Instructions!$F$49,AN115+1,AN115))))))</f>
        <v>10</v>
      </c>
      <c r="AO116" s="321" t="str">
        <f t="shared" si="22"/>
        <v>810</v>
      </c>
      <c r="AP116" s="321">
        <f>IF(Instructions!$E$11=8,IF($D116=Instructions!$F$50,AP115+1,AP115),IF(Instructions!$E$11=10,IF($H116=Instructions!$F$50,AP115+1,AP115),IF(Instructions!$E$11=12,IF($L116=Instructions!$F$50,AP115+1,AP115),IF(Instructions!$E$11=14,IF($P116=Instructions!$F$50,AP115+1,AP115),IF(Instructions!$E$11=16,IF($T116=Instructions!$F$50,AP115+1,AP115))))))</f>
        <v>10</v>
      </c>
      <c r="AQ116" s="321" t="str">
        <f t="shared" si="23"/>
        <v>910</v>
      </c>
      <c r="AR116" s="321">
        <f>IF(Instructions!$E$11=8,IF($D116=Instructions!$F$51,AR115+1,AR115),IF(Instructions!$E$11=10,IF($H116=Instructions!$F$51,AR115+1,AR115),IF(Instructions!$E$11=12,IF($L116=Instructions!$F$51,AR115+1,AR115),IF(Instructions!$E$11=14,IF($P116=Instructions!$F$51,AR115+1,AR115),IF(Instructions!$E$11=16,IF($T116=Instructions!$F$51,AR115+1,AR115))))))</f>
        <v>10</v>
      </c>
      <c r="AS116" s="321" t="str">
        <f t="shared" si="25"/>
        <v>1010</v>
      </c>
      <c r="AT116" s="321">
        <f>IF(Instructions!$E$11=8,IF($D116=Instructions!$F$52,AT115+1,AT115),IF(Instructions!$E$11=10,IF($H116=Instructions!$F$52,AT115+1,AT115),IF(Instructions!$E$11=12,IF($L116=Instructions!$F$52,AT115+1,AT115),IF(Instructions!$E$11=14,IF($P116=Instructions!$F$52,AT115+1,AT115),IF(Instructions!$E$11=16,IF($T116=Instructions!$F$52,AT115+1,AT115))))))</f>
        <v>10</v>
      </c>
      <c r="AU116" s="321" t="str">
        <f t="shared" si="26"/>
        <v>1110</v>
      </c>
      <c r="AV116" s="321">
        <f>IF(Instructions!$E$11=8,IF($D116=Instructions!$F$53,AV115+1,AV115),IF(Instructions!$E$11=10,IF($H116=Instructions!$F$53,AV115+1,AV115),IF(Instructions!$E$11=12,IF($L116=Instructions!$F$53,AV115+1,AV115),IF(Instructions!$E$11=14,IF($P116=Instructions!$F$53,AV115+1,AV115),IF(Instructions!$E$11=16,IF($T116=Instructions!$F$53,AV115+1,AV115))))))</f>
        <v>10</v>
      </c>
      <c r="AW116" s="321" t="str">
        <f t="shared" si="27"/>
        <v>1210</v>
      </c>
      <c r="AX116" s="321">
        <f>IF(Instructions!$E$11=8,IF($D116=Instructions!$F$54,AX115+1,AX115),IF(Instructions!$E$11=10,IF($H116=Instructions!$F$54,AX115+1,AX115),IF(Instructions!$E$11=12,IF($L116=Instructions!$F$54,AX115+1,AX115),IF(Instructions!$E$11=14,IF($P116=Instructions!$F$54,AX115+1,AX115),IF(Instructions!$E$11=16,IF($T116=Instructions!$F$54,AX115+1,AX115))))))</f>
        <v>0</v>
      </c>
      <c r="AY116" s="321" t="str">
        <f t="shared" si="28"/>
        <v>1300</v>
      </c>
      <c r="AZ116" s="321">
        <f>IF(Instructions!$E$11=8,IF($D116=Instructions!$F$55,AZ115+1,AZ115),IF(Instructions!$E$11=10,IF($H116=Instructions!$F$55,AZ115+1,AZ115),IF(Instructions!$E$11=12,IF($L116=Instructions!$F$55,AZ115+1,AZ115),IF(Instructions!$E$11=14,IF($P116=Instructions!$F$55,AZ115+1,AZ115),IF(Instructions!$E$11=16,IF($T116=Instructions!$F$55,AZ115+1,AZ115))))))</f>
        <v>0</v>
      </c>
      <c r="BA116" s="321" t="str">
        <f t="shared" si="29"/>
        <v>1400</v>
      </c>
      <c r="BB116" s="321">
        <f>IF(Instructions!$E$11=8,IF($D116=Instructions!$F$56,BB115+1,BB115),IF(Instructions!$E$11=10,IF($H116=Instructions!$F$56,BB115+1,BB115),IF(Instructions!$E$11=12,IF($L116=Instructions!$F$56,BB115+1,BB115),IF(Instructions!$E$11=14,IF($P116=Instructions!$F$56,BB115+1,BB115),IF(Instructions!$E$11=16,IF($T116=Instructions!$F$56,BB115+1,BB115))))))</f>
        <v>0</v>
      </c>
      <c r="BC116" s="321" t="str">
        <f t="shared" si="30"/>
        <v>1500</v>
      </c>
      <c r="BD116" s="321">
        <f>IF(Instructions!$E$11=8,IF($D116=Instructions!$F$57,BD115+1,BD115),IF(Instructions!$E$11=10,IF($H116=Instructions!$F$57,BD115+1,BD115),IF(Instructions!$E$11=12,IF($L116=Instructions!$F$57,BD115+1,BD115),IF(Instructions!$E$11=14,IF($P116=Instructions!$F$57,BD115+1,BD115),IF(Instructions!$E$11=16,IF($T116=Instructions!$F$57,BD115+1,BD115))))))</f>
        <v>0</v>
      </c>
      <c r="BE116" s="321" t="str">
        <f t="shared" si="31"/>
        <v>1600</v>
      </c>
      <c r="BF116" s="321">
        <v>114</v>
      </c>
    </row>
    <row r="117" spans="1:58" x14ac:dyDescent="0.25">
      <c r="A117" s="280"/>
      <c r="B117" s="323" t="str">
        <f>IF(Instructions!$J$11=1,AA117,IF(Instructions!$J$11=2,AC117,IF(Instructions!$J$11=3,AE117,IF(Instructions!$J$11=4,AG117,IF(Instructions!$J$11=5,AI117,IF(Instructions!$J$11=6,AK117,IF(Instructions!$J$11=7,AM117,IF(Instructions!$J$11=8,AO117,IF(Instructions!$J$11=9,AQ117,IF(Instructions!$J$11=10,AS117,IF(Instructions!$J$11=11,AU117,IF(Instructions!$J$11=12,AW117,IF(Instructions!$J$11=13, AY117, IF(Instructions!$J$11=14,BA117,IF(Instructions!$J$11=15,BC117,BE117)))))))))))))))</f>
        <v>209</v>
      </c>
      <c r="C117" s="271">
        <v>115</v>
      </c>
      <c r="D117" s="328" t="str">
        <f>Instructions!F$44</f>
        <v>Cam</v>
      </c>
      <c r="E117" s="333" t="s">
        <v>877</v>
      </c>
      <c r="F117" s="706"/>
      <c r="G117" s="279">
        <v>15</v>
      </c>
      <c r="H117" s="293" t="str">
        <f>Instructions!F$47</f>
        <v>Devin</v>
      </c>
      <c r="I117" s="273" t="s">
        <v>843</v>
      </c>
      <c r="J117" s="709"/>
      <c r="K117" s="279">
        <v>12</v>
      </c>
      <c r="L117" s="293" t="str">
        <f>Instructions!F$47</f>
        <v>Devin</v>
      </c>
      <c r="M117" s="273" t="s">
        <v>821</v>
      </c>
      <c r="N117" s="709"/>
      <c r="O117" s="279">
        <v>10</v>
      </c>
      <c r="P117" s="293" t="str">
        <f>Instructions!F$44</f>
        <v>Cam</v>
      </c>
      <c r="Q117" s="273" t="s">
        <v>805</v>
      </c>
      <c r="R117" s="709"/>
      <c r="S117" s="279">
        <v>9</v>
      </c>
      <c r="T117" s="328" t="str">
        <f>Instructions!F$55</f>
        <v>[TEAM 14]</v>
      </c>
      <c r="U117" s="273" t="s">
        <v>793</v>
      </c>
      <c r="V117" s="706"/>
      <c r="W117" s="279">
        <v>8</v>
      </c>
      <c r="X117" s="280"/>
      <c r="Y117" s="190" t="str">
        <f>IFERROR( IF(Instructions!$E$11=8, D117&amp;COUNTIF(D$3:D117,D117), IF(Instructions!$E$11=10, H117&amp;COUNTIF(H$3:H117,H117),IF(Instructions!$E$11=12, L117&amp;COUNTIF(L$3:L117,L117),IF(Instructions!$E$11=14, P117&amp;COUNTIF(P$3:P117,P117),T117&amp;COUNTIF(T$3:T117,T117))))),"")</f>
        <v>Devin10</v>
      </c>
      <c r="Z117" s="321">
        <f>IF(Instructions!$E$11=8,IF($D117=Instructions!$F$42,Z116+1,Z116),IF(Instructions!$E$11=10,IF($H117=Instructions!$F$42,Z116+1,Z116),IF(Instructions!$E$11=12,IF($L117=Instructions!$F$42,Z116+1,Z116),IF(Instructions!$E$11=14,IF($P117=Instructions!$F$42,Z116+1,Z116),IF(Instructions!$E$11=16,IF($T117=Instructions!$F$42,Z116+1,Z116))))))</f>
        <v>9</v>
      </c>
      <c r="AA117" s="321" t="str">
        <f t="shared" si="24"/>
        <v>109</v>
      </c>
      <c r="AB117" s="321">
        <f>IF(Instructions!$E$11=8,IF($D117=Instructions!$F$43,AB116+1,AB116),IF(Instructions!$E$11=10,IF($H117=Instructions!$F$43,AB116+1,AB116),IF(Instructions!$E$11=12,IF($L117=Instructions!$F$43,AB116+1,AB116),IF(Instructions!$E$11=14,IF($P117=Instructions!$F$43,AB116+1,AB116),IF(Instructions!$E$11=16,IF($T117=Instructions!$F$43,AB116+1,AB116))))))</f>
        <v>9</v>
      </c>
      <c r="AC117" s="321" t="str">
        <f t="shared" si="16"/>
        <v>209</v>
      </c>
      <c r="AD117" s="321">
        <f>IF(Instructions!$E$11=8,IF($D117=Instructions!$F$44,AD116+1,AD116),IF(Instructions!$E$11=10,IF($H117=Instructions!$F$44,AD116+1,AD116),IF(Instructions!$E$11=12,IF($L117=Instructions!$F$44,AD116+1,AD116),IF(Instructions!$E$11=14,IF($P117=Instructions!$F$44,AD116+1,AD116),IF(Instructions!$E$11=16,IF($T117=Instructions!$F$44,AD116+1,AD116))))))</f>
        <v>9</v>
      </c>
      <c r="AE117" s="321" t="str">
        <f t="shared" si="17"/>
        <v>309</v>
      </c>
      <c r="AF117" s="321">
        <f>IF(Instructions!$E$11=8,IF($D117=Instructions!$F$45,AF116+1,AF116),IF(Instructions!$E$11=10,IF($H117=Instructions!$F$45,AF116+1,AF116),IF(Instructions!$E$11=12,IF($L117=Instructions!$F$45,AF116+1,AF116),IF(Instructions!$E$11=14,IF($P117=Instructions!$F$45,AF116+1,AF116),IF(Instructions!$E$11=16,IF($T117=Instructions!$F$45,AF116+1,AF116))))))</f>
        <v>9</v>
      </c>
      <c r="AG117" s="321" t="str">
        <f t="shared" si="18"/>
        <v>409</v>
      </c>
      <c r="AH117" s="321">
        <f>IF(Instructions!$E$11=8,IF($D117=Instructions!$F$46,AH116+1,AH116),IF(Instructions!$E$11=10,IF($H117=Instructions!$F$46,AH116+1,AH116),IF(Instructions!$E$11=12,IF($L117=Instructions!$F$46,AH116+1,AH116),IF(Instructions!$E$11=14,IF($P117=Instructions!$F$46,AH116+1,AH116),IF(Instructions!$E$11=16,IF($T117=Instructions!$F$46,AH116+1,AH116))))))</f>
        <v>9</v>
      </c>
      <c r="AI117" s="321" t="str">
        <f t="shared" si="19"/>
        <v>509</v>
      </c>
      <c r="AJ117" s="321">
        <f>IF(Instructions!$E$11=8,IF($D117=Instructions!$F$47,AJ116+1,AJ116),IF(Instructions!$E$11=10,IF($H117=Instructions!$F$47,AJ116+1,AJ116),IF(Instructions!$E$11=12,IF($L117=Instructions!$F$47,AJ116+1,AJ116),IF(Instructions!$E$11=14,IF($P117=Instructions!$F$47,AJ116+1,AJ116),IF(Instructions!$E$11=16,IF($T117=Instructions!$F$47,AJ116+1,AJ116))))))</f>
        <v>10</v>
      </c>
      <c r="AK117" s="321" t="str">
        <f t="shared" si="20"/>
        <v>610</v>
      </c>
      <c r="AL117" s="321">
        <f>IF(Instructions!$E$11=8,IF($D117=Instructions!$F$48,AL116+1,AL116),IF(Instructions!$E$11=10,IF($H117=Instructions!$F$48,AL116+1,AL116),IF(Instructions!$E$11=12,IF($L117=Instructions!$F$48,AL116+1,AL116),IF(Instructions!$E$11=14,IF($P117=Instructions!$F$48,AL116+1,AL116),IF(Instructions!$E$11=16,IF($T117=Instructions!$F$48,AL116+1,AL116))))))</f>
        <v>10</v>
      </c>
      <c r="AM117" s="321" t="str">
        <f t="shared" si="21"/>
        <v>710</v>
      </c>
      <c r="AN117" s="321">
        <f>IF(Instructions!$E$11=8,IF($D117=Instructions!$F$49,AN116+1,AN116),IF(Instructions!$E$11=10,IF($H117=Instructions!$F$49,AN116+1,AN116),IF(Instructions!$E$11=12,IF($L117=Instructions!$F$49,AN116+1,AN116),IF(Instructions!$E$11=14,IF($P117=Instructions!$F$49,AN116+1,AN116),IF(Instructions!$E$11=16,IF($T117=Instructions!$F$49,AN116+1,AN116))))))</f>
        <v>10</v>
      </c>
      <c r="AO117" s="321" t="str">
        <f t="shared" si="22"/>
        <v>810</v>
      </c>
      <c r="AP117" s="321">
        <f>IF(Instructions!$E$11=8,IF($D117=Instructions!$F$50,AP116+1,AP116),IF(Instructions!$E$11=10,IF($H117=Instructions!$F$50,AP116+1,AP116),IF(Instructions!$E$11=12,IF($L117=Instructions!$F$50,AP116+1,AP116),IF(Instructions!$E$11=14,IF($P117=Instructions!$F$50,AP116+1,AP116),IF(Instructions!$E$11=16,IF($T117=Instructions!$F$50,AP116+1,AP116))))))</f>
        <v>10</v>
      </c>
      <c r="AQ117" s="321" t="str">
        <f t="shared" si="23"/>
        <v>910</v>
      </c>
      <c r="AR117" s="321">
        <f>IF(Instructions!$E$11=8,IF($D117=Instructions!$F$51,AR116+1,AR116),IF(Instructions!$E$11=10,IF($H117=Instructions!$F$51,AR116+1,AR116),IF(Instructions!$E$11=12,IF($L117=Instructions!$F$51,AR116+1,AR116),IF(Instructions!$E$11=14,IF($P117=Instructions!$F$51,AR116+1,AR116),IF(Instructions!$E$11=16,IF($T117=Instructions!$F$51,AR116+1,AR116))))))</f>
        <v>10</v>
      </c>
      <c r="AS117" s="321" t="str">
        <f t="shared" si="25"/>
        <v>1010</v>
      </c>
      <c r="AT117" s="321">
        <f>IF(Instructions!$E$11=8,IF($D117=Instructions!$F$52,AT116+1,AT116),IF(Instructions!$E$11=10,IF($H117=Instructions!$F$52,AT116+1,AT116),IF(Instructions!$E$11=12,IF($L117=Instructions!$F$52,AT116+1,AT116),IF(Instructions!$E$11=14,IF($P117=Instructions!$F$52,AT116+1,AT116),IF(Instructions!$E$11=16,IF($T117=Instructions!$F$52,AT116+1,AT116))))))</f>
        <v>10</v>
      </c>
      <c r="AU117" s="321" t="str">
        <f t="shared" si="26"/>
        <v>1110</v>
      </c>
      <c r="AV117" s="321">
        <f>IF(Instructions!$E$11=8,IF($D117=Instructions!$F$53,AV116+1,AV116),IF(Instructions!$E$11=10,IF($H117=Instructions!$F$53,AV116+1,AV116),IF(Instructions!$E$11=12,IF($L117=Instructions!$F$53,AV116+1,AV116),IF(Instructions!$E$11=14,IF($P117=Instructions!$F$53,AV116+1,AV116),IF(Instructions!$E$11=16,IF($T117=Instructions!$F$53,AV116+1,AV116))))))</f>
        <v>10</v>
      </c>
      <c r="AW117" s="321" t="str">
        <f t="shared" si="27"/>
        <v>1210</v>
      </c>
      <c r="AX117" s="321">
        <f>IF(Instructions!$E$11=8,IF($D117=Instructions!$F$54,AX116+1,AX116),IF(Instructions!$E$11=10,IF($H117=Instructions!$F$54,AX116+1,AX116),IF(Instructions!$E$11=12,IF($L117=Instructions!$F$54,AX116+1,AX116),IF(Instructions!$E$11=14,IF($P117=Instructions!$F$54,AX116+1,AX116),IF(Instructions!$E$11=16,IF($T117=Instructions!$F$54,AX116+1,AX116))))))</f>
        <v>0</v>
      </c>
      <c r="AY117" s="321" t="str">
        <f t="shared" si="28"/>
        <v>1300</v>
      </c>
      <c r="AZ117" s="321">
        <f>IF(Instructions!$E$11=8,IF($D117=Instructions!$F$55,AZ116+1,AZ116),IF(Instructions!$E$11=10,IF($H117=Instructions!$F$55,AZ116+1,AZ116),IF(Instructions!$E$11=12,IF($L117=Instructions!$F$55,AZ116+1,AZ116),IF(Instructions!$E$11=14,IF($P117=Instructions!$F$55,AZ116+1,AZ116),IF(Instructions!$E$11=16,IF($T117=Instructions!$F$55,AZ116+1,AZ116))))))</f>
        <v>0</v>
      </c>
      <c r="BA117" s="321" t="str">
        <f t="shared" si="29"/>
        <v>1400</v>
      </c>
      <c r="BB117" s="321">
        <f>IF(Instructions!$E$11=8,IF($D117=Instructions!$F$56,BB116+1,BB116),IF(Instructions!$E$11=10,IF($H117=Instructions!$F$56,BB116+1,BB116),IF(Instructions!$E$11=12,IF($L117=Instructions!$F$56,BB116+1,BB116),IF(Instructions!$E$11=14,IF($P117=Instructions!$F$56,BB116+1,BB116),IF(Instructions!$E$11=16,IF($T117=Instructions!$F$56,BB116+1,BB116))))))</f>
        <v>0</v>
      </c>
      <c r="BC117" s="321" t="str">
        <f t="shared" si="30"/>
        <v>1500</v>
      </c>
      <c r="BD117" s="321">
        <f>IF(Instructions!$E$11=8,IF($D117=Instructions!$F$57,BD116+1,BD116),IF(Instructions!$E$11=10,IF($H117=Instructions!$F$57,BD116+1,BD116),IF(Instructions!$E$11=12,IF($L117=Instructions!$F$57,BD116+1,BD116),IF(Instructions!$E$11=14,IF($P117=Instructions!$F$57,BD116+1,BD116),IF(Instructions!$E$11=16,IF($T117=Instructions!$F$57,BD116+1,BD116))))))</f>
        <v>0</v>
      </c>
      <c r="BE117" s="321" t="str">
        <f t="shared" si="31"/>
        <v>1600</v>
      </c>
      <c r="BF117" s="321">
        <v>115</v>
      </c>
    </row>
    <row r="118" spans="1:58" x14ac:dyDescent="0.25">
      <c r="A118" s="280"/>
      <c r="B118" s="323" t="str">
        <f>IF(Instructions!$J$11=1,AA118,IF(Instructions!$J$11=2,AC118,IF(Instructions!$J$11=3,AE118,IF(Instructions!$J$11=4,AG118,IF(Instructions!$J$11=5,AI118,IF(Instructions!$J$11=6,AK118,IF(Instructions!$J$11=7,AM118,IF(Instructions!$J$11=8,AO118,IF(Instructions!$J$11=9,AQ118,IF(Instructions!$J$11=10,AS118,IF(Instructions!$J$11=11,AU118,IF(Instructions!$J$11=12,AW118,IF(Instructions!$J$11=13, AY118, IF(Instructions!$J$11=14,BA118,IF(Instructions!$J$11=15,BC118,BE118)))))))))))))))</f>
        <v>209</v>
      </c>
      <c r="C118" s="272">
        <v>116</v>
      </c>
      <c r="D118" s="327" t="str">
        <f>Instructions!F$45</f>
        <v>Miles</v>
      </c>
      <c r="E118" s="332" t="s">
        <v>878</v>
      </c>
      <c r="F118" s="706"/>
      <c r="G118" s="279">
        <v>15</v>
      </c>
      <c r="H118" s="294" t="str">
        <f>Instructions!F$46</f>
        <v>Con</v>
      </c>
      <c r="I118" s="274" t="s">
        <v>844</v>
      </c>
      <c r="J118" s="709"/>
      <c r="K118" s="279">
        <v>12</v>
      </c>
      <c r="L118" s="294" t="str">
        <f>Instructions!F$46</f>
        <v>Con</v>
      </c>
      <c r="M118" s="274" t="s">
        <v>822</v>
      </c>
      <c r="N118" s="709"/>
      <c r="O118" s="279">
        <v>10</v>
      </c>
      <c r="P118" s="294" t="str">
        <f>Instructions!F$45</f>
        <v>Miles</v>
      </c>
      <c r="Q118" s="274" t="s">
        <v>806</v>
      </c>
      <c r="R118" s="709"/>
      <c r="S118" s="279">
        <v>9</v>
      </c>
      <c r="T118" s="327" t="str">
        <f>Instructions!F$54</f>
        <v>[TEAM 13]</v>
      </c>
      <c r="U118" s="274" t="s">
        <v>794</v>
      </c>
      <c r="V118" s="706"/>
      <c r="W118" s="279">
        <v>8</v>
      </c>
      <c r="X118" s="280"/>
      <c r="Y118" s="190" t="str">
        <f>IFERROR( IF(Instructions!$E$11=8, D118&amp;COUNTIF(D$3:D118,D118), IF(Instructions!$E$11=10, H118&amp;COUNTIF(H$3:H118,H118),IF(Instructions!$E$11=12, L118&amp;COUNTIF(L$3:L118,L118),IF(Instructions!$E$11=14, P118&amp;COUNTIF(P$3:P118,P118),T118&amp;COUNTIF(T$3:T118,T118))))),"")</f>
        <v>Con10</v>
      </c>
      <c r="Z118" s="321">
        <f>IF(Instructions!$E$11=8,IF($D118=Instructions!$F$42,Z117+1,Z117),IF(Instructions!$E$11=10,IF($H118=Instructions!$F$42,Z117+1,Z117),IF(Instructions!$E$11=12,IF($L118=Instructions!$F$42,Z117+1,Z117),IF(Instructions!$E$11=14,IF($P118=Instructions!$F$42,Z117+1,Z117),IF(Instructions!$E$11=16,IF($T118=Instructions!$F$42,Z117+1,Z117))))))</f>
        <v>9</v>
      </c>
      <c r="AA118" s="321" t="str">
        <f t="shared" si="24"/>
        <v>109</v>
      </c>
      <c r="AB118" s="321">
        <f>IF(Instructions!$E$11=8,IF($D118=Instructions!$F$43,AB117+1,AB117),IF(Instructions!$E$11=10,IF($H118=Instructions!$F$43,AB117+1,AB117),IF(Instructions!$E$11=12,IF($L118=Instructions!$F$43,AB117+1,AB117),IF(Instructions!$E$11=14,IF($P118=Instructions!$F$43,AB117+1,AB117),IF(Instructions!$E$11=16,IF($T118=Instructions!$F$43,AB117+1,AB117))))))</f>
        <v>9</v>
      </c>
      <c r="AC118" s="321" t="str">
        <f t="shared" si="16"/>
        <v>209</v>
      </c>
      <c r="AD118" s="321">
        <f>IF(Instructions!$E$11=8,IF($D118=Instructions!$F$44,AD117+1,AD117),IF(Instructions!$E$11=10,IF($H118=Instructions!$F$44,AD117+1,AD117),IF(Instructions!$E$11=12,IF($L118=Instructions!$F$44,AD117+1,AD117),IF(Instructions!$E$11=14,IF($P118=Instructions!$F$44,AD117+1,AD117),IF(Instructions!$E$11=16,IF($T118=Instructions!$F$44,AD117+1,AD117))))))</f>
        <v>9</v>
      </c>
      <c r="AE118" s="321" t="str">
        <f t="shared" si="17"/>
        <v>309</v>
      </c>
      <c r="AF118" s="321">
        <f>IF(Instructions!$E$11=8,IF($D118=Instructions!$F$45,AF117+1,AF117),IF(Instructions!$E$11=10,IF($H118=Instructions!$F$45,AF117+1,AF117),IF(Instructions!$E$11=12,IF($L118=Instructions!$F$45,AF117+1,AF117),IF(Instructions!$E$11=14,IF($P118=Instructions!$F$45,AF117+1,AF117),IF(Instructions!$E$11=16,IF($T118=Instructions!$F$45,AF117+1,AF117))))))</f>
        <v>9</v>
      </c>
      <c r="AG118" s="321" t="str">
        <f t="shared" si="18"/>
        <v>409</v>
      </c>
      <c r="AH118" s="321">
        <f>IF(Instructions!$E$11=8,IF($D118=Instructions!$F$46,AH117+1,AH117),IF(Instructions!$E$11=10,IF($H118=Instructions!$F$46,AH117+1,AH117),IF(Instructions!$E$11=12,IF($L118=Instructions!$F$46,AH117+1,AH117),IF(Instructions!$E$11=14,IF($P118=Instructions!$F$46,AH117+1,AH117),IF(Instructions!$E$11=16,IF($T118=Instructions!$F$46,AH117+1,AH117))))))</f>
        <v>10</v>
      </c>
      <c r="AI118" s="321" t="str">
        <f t="shared" si="19"/>
        <v>510</v>
      </c>
      <c r="AJ118" s="321">
        <f>IF(Instructions!$E$11=8,IF($D118=Instructions!$F$47,AJ117+1,AJ117),IF(Instructions!$E$11=10,IF($H118=Instructions!$F$47,AJ117+1,AJ117),IF(Instructions!$E$11=12,IF($L118=Instructions!$F$47,AJ117+1,AJ117),IF(Instructions!$E$11=14,IF($P118=Instructions!$F$47,AJ117+1,AJ117),IF(Instructions!$E$11=16,IF($T118=Instructions!$F$47,AJ117+1,AJ117))))))</f>
        <v>10</v>
      </c>
      <c r="AK118" s="321" t="str">
        <f t="shared" si="20"/>
        <v>610</v>
      </c>
      <c r="AL118" s="321">
        <f>IF(Instructions!$E$11=8,IF($D118=Instructions!$F$48,AL117+1,AL117),IF(Instructions!$E$11=10,IF($H118=Instructions!$F$48,AL117+1,AL117),IF(Instructions!$E$11=12,IF($L118=Instructions!$F$48,AL117+1,AL117),IF(Instructions!$E$11=14,IF($P118=Instructions!$F$48,AL117+1,AL117),IF(Instructions!$E$11=16,IF($T118=Instructions!$F$48,AL117+1,AL117))))))</f>
        <v>10</v>
      </c>
      <c r="AM118" s="321" t="str">
        <f t="shared" si="21"/>
        <v>710</v>
      </c>
      <c r="AN118" s="321">
        <f>IF(Instructions!$E$11=8,IF($D118=Instructions!$F$49,AN117+1,AN117),IF(Instructions!$E$11=10,IF($H118=Instructions!$F$49,AN117+1,AN117),IF(Instructions!$E$11=12,IF($L118=Instructions!$F$49,AN117+1,AN117),IF(Instructions!$E$11=14,IF($P118=Instructions!$F$49,AN117+1,AN117),IF(Instructions!$E$11=16,IF($T118=Instructions!$F$49,AN117+1,AN117))))))</f>
        <v>10</v>
      </c>
      <c r="AO118" s="321" t="str">
        <f t="shared" si="22"/>
        <v>810</v>
      </c>
      <c r="AP118" s="321">
        <f>IF(Instructions!$E$11=8,IF($D118=Instructions!$F$50,AP117+1,AP117),IF(Instructions!$E$11=10,IF($H118=Instructions!$F$50,AP117+1,AP117),IF(Instructions!$E$11=12,IF($L118=Instructions!$F$50,AP117+1,AP117),IF(Instructions!$E$11=14,IF($P118=Instructions!$F$50,AP117+1,AP117),IF(Instructions!$E$11=16,IF($T118=Instructions!$F$50,AP117+1,AP117))))))</f>
        <v>10</v>
      </c>
      <c r="AQ118" s="321" t="str">
        <f t="shared" si="23"/>
        <v>910</v>
      </c>
      <c r="AR118" s="321">
        <f>IF(Instructions!$E$11=8,IF($D118=Instructions!$F$51,AR117+1,AR117),IF(Instructions!$E$11=10,IF($H118=Instructions!$F$51,AR117+1,AR117),IF(Instructions!$E$11=12,IF($L118=Instructions!$F$51,AR117+1,AR117),IF(Instructions!$E$11=14,IF($P118=Instructions!$F$51,AR117+1,AR117),IF(Instructions!$E$11=16,IF($T118=Instructions!$F$51,AR117+1,AR117))))))</f>
        <v>10</v>
      </c>
      <c r="AS118" s="321" t="str">
        <f t="shared" si="25"/>
        <v>1010</v>
      </c>
      <c r="AT118" s="321">
        <f>IF(Instructions!$E$11=8,IF($D118=Instructions!$F$52,AT117+1,AT117),IF(Instructions!$E$11=10,IF($H118=Instructions!$F$52,AT117+1,AT117),IF(Instructions!$E$11=12,IF($L118=Instructions!$F$52,AT117+1,AT117),IF(Instructions!$E$11=14,IF($P118=Instructions!$F$52,AT117+1,AT117),IF(Instructions!$E$11=16,IF($T118=Instructions!$F$52,AT117+1,AT117))))))</f>
        <v>10</v>
      </c>
      <c r="AU118" s="321" t="str">
        <f t="shared" si="26"/>
        <v>1110</v>
      </c>
      <c r="AV118" s="321">
        <f>IF(Instructions!$E$11=8,IF($D118=Instructions!$F$53,AV117+1,AV117),IF(Instructions!$E$11=10,IF($H118=Instructions!$F$53,AV117+1,AV117),IF(Instructions!$E$11=12,IF($L118=Instructions!$F$53,AV117+1,AV117),IF(Instructions!$E$11=14,IF($P118=Instructions!$F$53,AV117+1,AV117),IF(Instructions!$E$11=16,IF($T118=Instructions!$F$53,AV117+1,AV117))))))</f>
        <v>10</v>
      </c>
      <c r="AW118" s="321" t="str">
        <f t="shared" si="27"/>
        <v>1210</v>
      </c>
      <c r="AX118" s="321">
        <f>IF(Instructions!$E$11=8,IF($D118=Instructions!$F$54,AX117+1,AX117),IF(Instructions!$E$11=10,IF($H118=Instructions!$F$54,AX117+1,AX117),IF(Instructions!$E$11=12,IF($L118=Instructions!$F$54,AX117+1,AX117),IF(Instructions!$E$11=14,IF($P118=Instructions!$F$54,AX117+1,AX117),IF(Instructions!$E$11=16,IF($T118=Instructions!$F$54,AX117+1,AX117))))))</f>
        <v>0</v>
      </c>
      <c r="AY118" s="321" t="str">
        <f t="shared" si="28"/>
        <v>1300</v>
      </c>
      <c r="AZ118" s="321">
        <f>IF(Instructions!$E$11=8,IF($D118=Instructions!$F$55,AZ117+1,AZ117),IF(Instructions!$E$11=10,IF($H118=Instructions!$F$55,AZ117+1,AZ117),IF(Instructions!$E$11=12,IF($L118=Instructions!$F$55,AZ117+1,AZ117),IF(Instructions!$E$11=14,IF($P118=Instructions!$F$55,AZ117+1,AZ117),IF(Instructions!$E$11=16,IF($T118=Instructions!$F$55,AZ117+1,AZ117))))))</f>
        <v>0</v>
      </c>
      <c r="BA118" s="321" t="str">
        <f t="shared" si="29"/>
        <v>1400</v>
      </c>
      <c r="BB118" s="321">
        <f>IF(Instructions!$E$11=8,IF($D118=Instructions!$F$56,BB117+1,BB117),IF(Instructions!$E$11=10,IF($H118=Instructions!$F$56,BB117+1,BB117),IF(Instructions!$E$11=12,IF($L118=Instructions!$F$56,BB117+1,BB117),IF(Instructions!$E$11=14,IF($P118=Instructions!$F$56,BB117+1,BB117),IF(Instructions!$E$11=16,IF($T118=Instructions!$F$56,BB117+1,BB117))))))</f>
        <v>0</v>
      </c>
      <c r="BC118" s="321" t="str">
        <f t="shared" si="30"/>
        <v>1500</v>
      </c>
      <c r="BD118" s="321">
        <f>IF(Instructions!$E$11=8,IF($D118=Instructions!$F$57,BD117+1,BD117),IF(Instructions!$E$11=10,IF($H118=Instructions!$F$57,BD117+1,BD117),IF(Instructions!$E$11=12,IF($L118=Instructions!$F$57,BD117+1,BD117),IF(Instructions!$E$11=14,IF($P118=Instructions!$F$57,BD117+1,BD117),IF(Instructions!$E$11=16,IF($T118=Instructions!$F$57,BD117+1,BD117))))))</f>
        <v>0</v>
      </c>
      <c r="BE118" s="321" t="str">
        <f t="shared" si="31"/>
        <v>1600</v>
      </c>
      <c r="BF118" s="321">
        <v>116</v>
      </c>
    </row>
    <row r="119" spans="1:58" x14ac:dyDescent="0.25">
      <c r="A119" s="280"/>
      <c r="B119" s="323" t="str">
        <f>IF(Instructions!$J$11=1,AA119,IF(Instructions!$J$11=2,AC119,IF(Instructions!$J$11=3,AE119,IF(Instructions!$J$11=4,AG119,IF(Instructions!$J$11=5,AI119,IF(Instructions!$J$11=6,AK119,IF(Instructions!$J$11=7,AM119,IF(Instructions!$J$11=8,AO119,IF(Instructions!$J$11=9,AQ119,IF(Instructions!$J$11=10,AS119,IF(Instructions!$J$11=11,AU119,IF(Instructions!$J$11=12,AW119,IF(Instructions!$J$11=13, AY119, IF(Instructions!$J$11=14,BA119,IF(Instructions!$J$11=15,BC119,BE119)))))))))))))))</f>
        <v>209</v>
      </c>
      <c r="C119" s="271">
        <v>117</v>
      </c>
      <c r="D119" s="328" t="str">
        <f>Instructions!F$46</f>
        <v>Con</v>
      </c>
      <c r="E119" s="333" t="s">
        <v>879</v>
      </c>
      <c r="F119" s="706"/>
      <c r="G119" s="279">
        <v>15</v>
      </c>
      <c r="H119" s="293" t="str">
        <f>Instructions!F$45</f>
        <v>Miles</v>
      </c>
      <c r="I119" s="273" t="s">
        <v>845</v>
      </c>
      <c r="J119" s="709"/>
      <c r="K119" s="279">
        <v>12</v>
      </c>
      <c r="L119" s="293" t="str">
        <f>Instructions!F$45</f>
        <v>Miles</v>
      </c>
      <c r="M119" s="273" t="s">
        <v>823</v>
      </c>
      <c r="N119" s="709"/>
      <c r="O119" s="279">
        <v>10</v>
      </c>
      <c r="P119" s="293" t="str">
        <f>Instructions!F$46</f>
        <v>Con</v>
      </c>
      <c r="Q119" s="273" t="s">
        <v>807</v>
      </c>
      <c r="R119" s="709"/>
      <c r="S119" s="279">
        <v>9</v>
      </c>
      <c r="T119" s="328" t="str">
        <f>Instructions!F$53</f>
        <v>Zack</v>
      </c>
      <c r="U119" s="273" t="s">
        <v>795</v>
      </c>
      <c r="V119" s="706"/>
      <c r="W119" s="279">
        <v>8</v>
      </c>
      <c r="X119" s="280"/>
      <c r="Y119" s="190" t="str">
        <f>IFERROR( IF(Instructions!$E$11=8, D119&amp;COUNTIF(D$3:D119,D119), IF(Instructions!$E$11=10, H119&amp;COUNTIF(H$3:H119,H119),IF(Instructions!$E$11=12, L119&amp;COUNTIF(L$3:L119,L119),IF(Instructions!$E$11=14, P119&amp;COUNTIF(P$3:P119,P119),T119&amp;COUNTIF(T$3:T119,T119))))),"")</f>
        <v>Miles10</v>
      </c>
      <c r="Z119" s="321">
        <f>IF(Instructions!$E$11=8,IF($D119=Instructions!$F$42,Z118+1,Z118),IF(Instructions!$E$11=10,IF($H119=Instructions!$F$42,Z118+1,Z118),IF(Instructions!$E$11=12,IF($L119=Instructions!$F$42,Z118+1,Z118),IF(Instructions!$E$11=14,IF($P119=Instructions!$F$42,Z118+1,Z118),IF(Instructions!$E$11=16,IF($T119=Instructions!$F$42,Z118+1,Z118))))))</f>
        <v>9</v>
      </c>
      <c r="AA119" s="321" t="str">
        <f t="shared" si="24"/>
        <v>109</v>
      </c>
      <c r="AB119" s="321">
        <f>IF(Instructions!$E$11=8,IF($D119=Instructions!$F$43,AB118+1,AB118),IF(Instructions!$E$11=10,IF($H119=Instructions!$F$43,AB118+1,AB118),IF(Instructions!$E$11=12,IF($L119=Instructions!$F$43,AB118+1,AB118),IF(Instructions!$E$11=14,IF($P119=Instructions!$F$43,AB118+1,AB118),IF(Instructions!$E$11=16,IF($T119=Instructions!$F$43,AB118+1,AB118))))))</f>
        <v>9</v>
      </c>
      <c r="AC119" s="321" t="str">
        <f t="shared" si="16"/>
        <v>209</v>
      </c>
      <c r="AD119" s="321">
        <f>IF(Instructions!$E$11=8,IF($D119=Instructions!$F$44,AD118+1,AD118),IF(Instructions!$E$11=10,IF($H119=Instructions!$F$44,AD118+1,AD118),IF(Instructions!$E$11=12,IF($L119=Instructions!$F$44,AD118+1,AD118),IF(Instructions!$E$11=14,IF($P119=Instructions!$F$44,AD118+1,AD118),IF(Instructions!$E$11=16,IF($T119=Instructions!$F$44,AD118+1,AD118))))))</f>
        <v>9</v>
      </c>
      <c r="AE119" s="321" t="str">
        <f t="shared" si="17"/>
        <v>309</v>
      </c>
      <c r="AF119" s="321">
        <f>IF(Instructions!$E$11=8,IF($D119=Instructions!$F$45,AF118+1,AF118),IF(Instructions!$E$11=10,IF($H119=Instructions!$F$45,AF118+1,AF118),IF(Instructions!$E$11=12,IF($L119=Instructions!$F$45,AF118+1,AF118),IF(Instructions!$E$11=14,IF($P119=Instructions!$F$45,AF118+1,AF118),IF(Instructions!$E$11=16,IF($T119=Instructions!$F$45,AF118+1,AF118))))))</f>
        <v>10</v>
      </c>
      <c r="AG119" s="321" t="str">
        <f t="shared" si="18"/>
        <v>410</v>
      </c>
      <c r="AH119" s="321">
        <f>IF(Instructions!$E$11=8,IF($D119=Instructions!$F$46,AH118+1,AH118),IF(Instructions!$E$11=10,IF($H119=Instructions!$F$46,AH118+1,AH118),IF(Instructions!$E$11=12,IF($L119=Instructions!$F$46,AH118+1,AH118),IF(Instructions!$E$11=14,IF($P119=Instructions!$F$46,AH118+1,AH118),IF(Instructions!$E$11=16,IF($T119=Instructions!$F$46,AH118+1,AH118))))))</f>
        <v>10</v>
      </c>
      <c r="AI119" s="321" t="str">
        <f t="shared" si="19"/>
        <v>510</v>
      </c>
      <c r="AJ119" s="321">
        <f>IF(Instructions!$E$11=8,IF($D119=Instructions!$F$47,AJ118+1,AJ118),IF(Instructions!$E$11=10,IF($H119=Instructions!$F$47,AJ118+1,AJ118),IF(Instructions!$E$11=12,IF($L119=Instructions!$F$47,AJ118+1,AJ118),IF(Instructions!$E$11=14,IF($P119=Instructions!$F$47,AJ118+1,AJ118),IF(Instructions!$E$11=16,IF($T119=Instructions!$F$47,AJ118+1,AJ118))))))</f>
        <v>10</v>
      </c>
      <c r="AK119" s="321" t="str">
        <f t="shared" si="20"/>
        <v>610</v>
      </c>
      <c r="AL119" s="321">
        <f>IF(Instructions!$E$11=8,IF($D119=Instructions!$F$48,AL118+1,AL118),IF(Instructions!$E$11=10,IF($H119=Instructions!$F$48,AL118+1,AL118),IF(Instructions!$E$11=12,IF($L119=Instructions!$F$48,AL118+1,AL118),IF(Instructions!$E$11=14,IF($P119=Instructions!$F$48,AL118+1,AL118),IF(Instructions!$E$11=16,IF($T119=Instructions!$F$48,AL118+1,AL118))))))</f>
        <v>10</v>
      </c>
      <c r="AM119" s="321" t="str">
        <f t="shared" si="21"/>
        <v>710</v>
      </c>
      <c r="AN119" s="321">
        <f>IF(Instructions!$E$11=8,IF($D119=Instructions!$F$49,AN118+1,AN118),IF(Instructions!$E$11=10,IF($H119=Instructions!$F$49,AN118+1,AN118),IF(Instructions!$E$11=12,IF($L119=Instructions!$F$49,AN118+1,AN118),IF(Instructions!$E$11=14,IF($P119=Instructions!$F$49,AN118+1,AN118),IF(Instructions!$E$11=16,IF($T119=Instructions!$F$49,AN118+1,AN118))))))</f>
        <v>10</v>
      </c>
      <c r="AO119" s="321" t="str">
        <f t="shared" si="22"/>
        <v>810</v>
      </c>
      <c r="AP119" s="321">
        <f>IF(Instructions!$E$11=8,IF($D119=Instructions!$F$50,AP118+1,AP118),IF(Instructions!$E$11=10,IF($H119=Instructions!$F$50,AP118+1,AP118),IF(Instructions!$E$11=12,IF($L119=Instructions!$F$50,AP118+1,AP118),IF(Instructions!$E$11=14,IF($P119=Instructions!$F$50,AP118+1,AP118),IF(Instructions!$E$11=16,IF($T119=Instructions!$F$50,AP118+1,AP118))))))</f>
        <v>10</v>
      </c>
      <c r="AQ119" s="321" t="str">
        <f t="shared" si="23"/>
        <v>910</v>
      </c>
      <c r="AR119" s="321">
        <f>IF(Instructions!$E$11=8,IF($D119=Instructions!$F$51,AR118+1,AR118),IF(Instructions!$E$11=10,IF($H119=Instructions!$F$51,AR118+1,AR118),IF(Instructions!$E$11=12,IF($L119=Instructions!$F$51,AR118+1,AR118),IF(Instructions!$E$11=14,IF($P119=Instructions!$F$51,AR118+1,AR118),IF(Instructions!$E$11=16,IF($T119=Instructions!$F$51,AR118+1,AR118))))))</f>
        <v>10</v>
      </c>
      <c r="AS119" s="321" t="str">
        <f t="shared" si="25"/>
        <v>1010</v>
      </c>
      <c r="AT119" s="321">
        <f>IF(Instructions!$E$11=8,IF($D119=Instructions!$F$52,AT118+1,AT118),IF(Instructions!$E$11=10,IF($H119=Instructions!$F$52,AT118+1,AT118),IF(Instructions!$E$11=12,IF($L119=Instructions!$F$52,AT118+1,AT118),IF(Instructions!$E$11=14,IF($P119=Instructions!$F$52,AT118+1,AT118),IF(Instructions!$E$11=16,IF($T119=Instructions!$F$52,AT118+1,AT118))))))</f>
        <v>10</v>
      </c>
      <c r="AU119" s="321" t="str">
        <f t="shared" si="26"/>
        <v>1110</v>
      </c>
      <c r="AV119" s="321">
        <f>IF(Instructions!$E$11=8,IF($D119=Instructions!$F$53,AV118+1,AV118),IF(Instructions!$E$11=10,IF($H119=Instructions!$F$53,AV118+1,AV118),IF(Instructions!$E$11=12,IF($L119=Instructions!$F$53,AV118+1,AV118),IF(Instructions!$E$11=14,IF($P119=Instructions!$F$53,AV118+1,AV118),IF(Instructions!$E$11=16,IF($T119=Instructions!$F$53,AV118+1,AV118))))))</f>
        <v>10</v>
      </c>
      <c r="AW119" s="321" t="str">
        <f t="shared" si="27"/>
        <v>1210</v>
      </c>
      <c r="AX119" s="321">
        <f>IF(Instructions!$E$11=8,IF($D119=Instructions!$F$54,AX118+1,AX118),IF(Instructions!$E$11=10,IF($H119=Instructions!$F$54,AX118+1,AX118),IF(Instructions!$E$11=12,IF($L119=Instructions!$F$54,AX118+1,AX118),IF(Instructions!$E$11=14,IF($P119=Instructions!$F$54,AX118+1,AX118),IF(Instructions!$E$11=16,IF($T119=Instructions!$F$54,AX118+1,AX118))))))</f>
        <v>0</v>
      </c>
      <c r="AY119" s="321" t="str">
        <f t="shared" si="28"/>
        <v>1300</v>
      </c>
      <c r="AZ119" s="321">
        <f>IF(Instructions!$E$11=8,IF($D119=Instructions!$F$55,AZ118+1,AZ118),IF(Instructions!$E$11=10,IF($H119=Instructions!$F$55,AZ118+1,AZ118),IF(Instructions!$E$11=12,IF($L119=Instructions!$F$55,AZ118+1,AZ118),IF(Instructions!$E$11=14,IF($P119=Instructions!$F$55,AZ118+1,AZ118),IF(Instructions!$E$11=16,IF($T119=Instructions!$F$55,AZ118+1,AZ118))))))</f>
        <v>0</v>
      </c>
      <c r="BA119" s="321" t="str">
        <f t="shared" si="29"/>
        <v>1400</v>
      </c>
      <c r="BB119" s="321">
        <f>IF(Instructions!$E$11=8,IF($D119=Instructions!$F$56,BB118+1,BB118),IF(Instructions!$E$11=10,IF($H119=Instructions!$F$56,BB118+1,BB118),IF(Instructions!$E$11=12,IF($L119=Instructions!$F$56,BB118+1,BB118),IF(Instructions!$E$11=14,IF($P119=Instructions!$F$56,BB118+1,BB118),IF(Instructions!$E$11=16,IF($T119=Instructions!$F$56,BB118+1,BB118))))))</f>
        <v>0</v>
      </c>
      <c r="BC119" s="321" t="str">
        <f t="shared" si="30"/>
        <v>1500</v>
      </c>
      <c r="BD119" s="321">
        <f>IF(Instructions!$E$11=8,IF($D119=Instructions!$F$57,BD118+1,BD118),IF(Instructions!$E$11=10,IF($H119=Instructions!$F$57,BD118+1,BD118),IF(Instructions!$E$11=12,IF($L119=Instructions!$F$57,BD118+1,BD118),IF(Instructions!$E$11=14,IF($P119=Instructions!$F$57,BD118+1,BD118),IF(Instructions!$E$11=16,IF($T119=Instructions!$F$57,BD118+1,BD118))))))</f>
        <v>0</v>
      </c>
      <c r="BE119" s="321" t="str">
        <f t="shared" si="31"/>
        <v>1600</v>
      </c>
      <c r="BF119" s="321">
        <v>117</v>
      </c>
    </row>
    <row r="120" spans="1:58" x14ac:dyDescent="0.25">
      <c r="A120" s="280"/>
      <c r="B120" s="323" t="str">
        <f>IF(Instructions!$J$11=1,AA120,IF(Instructions!$J$11=2,AC120,IF(Instructions!$J$11=3,AE120,IF(Instructions!$J$11=4,AG120,IF(Instructions!$J$11=5,AI120,IF(Instructions!$J$11=6,AK120,IF(Instructions!$J$11=7,AM120,IF(Instructions!$J$11=8,AO120,IF(Instructions!$J$11=9,AQ120,IF(Instructions!$J$11=10,AS120,IF(Instructions!$J$11=11,AU120,IF(Instructions!$J$11=12,AW120,IF(Instructions!$J$11=13, AY120, IF(Instructions!$J$11=14,BA120,IF(Instructions!$J$11=15,BC120,BE120)))))))))))))))</f>
        <v>209</v>
      </c>
      <c r="C120" s="272">
        <v>118</v>
      </c>
      <c r="D120" s="327" t="str">
        <f>Instructions!F$47</f>
        <v>Devin</v>
      </c>
      <c r="E120" s="332" t="s">
        <v>880</v>
      </c>
      <c r="F120" s="706"/>
      <c r="G120" s="279">
        <v>15</v>
      </c>
      <c r="H120" s="294" t="str">
        <f>Instructions!F$44</f>
        <v>Cam</v>
      </c>
      <c r="I120" s="274" t="s">
        <v>846</v>
      </c>
      <c r="J120" s="709"/>
      <c r="K120" s="279">
        <v>12</v>
      </c>
      <c r="L120" s="294" t="str">
        <f>Instructions!F$44</f>
        <v>Cam</v>
      </c>
      <c r="M120" s="274" t="s">
        <v>824</v>
      </c>
      <c r="N120" s="709"/>
      <c r="O120" s="279">
        <v>10</v>
      </c>
      <c r="P120" s="294" t="str">
        <f>Instructions!F$47</f>
        <v>Devin</v>
      </c>
      <c r="Q120" s="274" t="s">
        <v>808</v>
      </c>
      <c r="R120" s="709"/>
      <c r="S120" s="279">
        <v>9</v>
      </c>
      <c r="T120" s="327" t="str">
        <f>Instructions!F$52</f>
        <v>Big R</v>
      </c>
      <c r="U120" s="274" t="s">
        <v>796</v>
      </c>
      <c r="V120" s="706"/>
      <c r="W120" s="279">
        <v>8</v>
      </c>
      <c r="X120" s="280"/>
      <c r="Y120" s="190" t="str">
        <f>IFERROR( IF(Instructions!$E$11=8, D120&amp;COUNTIF(D$3:D120,D120), IF(Instructions!$E$11=10, H120&amp;COUNTIF(H$3:H120,H120),IF(Instructions!$E$11=12, L120&amp;COUNTIF(L$3:L120,L120),IF(Instructions!$E$11=14, P120&amp;COUNTIF(P$3:P120,P120),T120&amp;COUNTIF(T$3:T120,T120))))),"")</f>
        <v>Cam10</v>
      </c>
      <c r="Z120" s="321">
        <f>IF(Instructions!$E$11=8,IF($D120=Instructions!$F$42,Z119+1,Z119),IF(Instructions!$E$11=10,IF($H120=Instructions!$F$42,Z119+1,Z119),IF(Instructions!$E$11=12,IF($L120=Instructions!$F$42,Z119+1,Z119),IF(Instructions!$E$11=14,IF($P120=Instructions!$F$42,Z119+1,Z119),IF(Instructions!$E$11=16,IF($T120=Instructions!$F$42,Z119+1,Z119))))))</f>
        <v>9</v>
      </c>
      <c r="AA120" s="321" t="str">
        <f t="shared" si="24"/>
        <v>109</v>
      </c>
      <c r="AB120" s="321">
        <f>IF(Instructions!$E$11=8,IF($D120=Instructions!$F$43,AB119+1,AB119),IF(Instructions!$E$11=10,IF($H120=Instructions!$F$43,AB119+1,AB119),IF(Instructions!$E$11=12,IF($L120=Instructions!$F$43,AB119+1,AB119),IF(Instructions!$E$11=14,IF($P120=Instructions!$F$43,AB119+1,AB119),IF(Instructions!$E$11=16,IF($T120=Instructions!$F$43,AB119+1,AB119))))))</f>
        <v>9</v>
      </c>
      <c r="AC120" s="321" t="str">
        <f t="shared" si="16"/>
        <v>209</v>
      </c>
      <c r="AD120" s="321">
        <f>IF(Instructions!$E$11=8,IF($D120=Instructions!$F$44,AD119+1,AD119),IF(Instructions!$E$11=10,IF($H120=Instructions!$F$44,AD119+1,AD119),IF(Instructions!$E$11=12,IF($L120=Instructions!$F$44,AD119+1,AD119),IF(Instructions!$E$11=14,IF($P120=Instructions!$F$44,AD119+1,AD119),IF(Instructions!$E$11=16,IF($T120=Instructions!$F$44,AD119+1,AD119))))))</f>
        <v>10</v>
      </c>
      <c r="AE120" s="321" t="str">
        <f t="shared" si="17"/>
        <v>310</v>
      </c>
      <c r="AF120" s="321">
        <f>IF(Instructions!$E$11=8,IF($D120=Instructions!$F$45,AF119+1,AF119),IF(Instructions!$E$11=10,IF($H120=Instructions!$F$45,AF119+1,AF119),IF(Instructions!$E$11=12,IF($L120=Instructions!$F$45,AF119+1,AF119),IF(Instructions!$E$11=14,IF($P120=Instructions!$F$45,AF119+1,AF119),IF(Instructions!$E$11=16,IF($T120=Instructions!$F$45,AF119+1,AF119))))))</f>
        <v>10</v>
      </c>
      <c r="AG120" s="321" t="str">
        <f t="shared" si="18"/>
        <v>410</v>
      </c>
      <c r="AH120" s="321">
        <f>IF(Instructions!$E$11=8,IF($D120=Instructions!$F$46,AH119+1,AH119),IF(Instructions!$E$11=10,IF($H120=Instructions!$F$46,AH119+1,AH119),IF(Instructions!$E$11=12,IF($L120=Instructions!$F$46,AH119+1,AH119),IF(Instructions!$E$11=14,IF($P120=Instructions!$F$46,AH119+1,AH119),IF(Instructions!$E$11=16,IF($T120=Instructions!$F$46,AH119+1,AH119))))))</f>
        <v>10</v>
      </c>
      <c r="AI120" s="321" t="str">
        <f t="shared" si="19"/>
        <v>510</v>
      </c>
      <c r="AJ120" s="321">
        <f>IF(Instructions!$E$11=8,IF($D120=Instructions!$F$47,AJ119+1,AJ119),IF(Instructions!$E$11=10,IF($H120=Instructions!$F$47,AJ119+1,AJ119),IF(Instructions!$E$11=12,IF($L120=Instructions!$F$47,AJ119+1,AJ119),IF(Instructions!$E$11=14,IF($P120=Instructions!$F$47,AJ119+1,AJ119),IF(Instructions!$E$11=16,IF($T120=Instructions!$F$47,AJ119+1,AJ119))))))</f>
        <v>10</v>
      </c>
      <c r="AK120" s="321" t="str">
        <f t="shared" si="20"/>
        <v>610</v>
      </c>
      <c r="AL120" s="321">
        <f>IF(Instructions!$E$11=8,IF($D120=Instructions!$F$48,AL119+1,AL119),IF(Instructions!$E$11=10,IF($H120=Instructions!$F$48,AL119+1,AL119),IF(Instructions!$E$11=12,IF($L120=Instructions!$F$48,AL119+1,AL119),IF(Instructions!$E$11=14,IF($P120=Instructions!$F$48,AL119+1,AL119),IF(Instructions!$E$11=16,IF($T120=Instructions!$F$48,AL119+1,AL119))))))</f>
        <v>10</v>
      </c>
      <c r="AM120" s="321" t="str">
        <f t="shared" si="21"/>
        <v>710</v>
      </c>
      <c r="AN120" s="321">
        <f>IF(Instructions!$E$11=8,IF($D120=Instructions!$F$49,AN119+1,AN119),IF(Instructions!$E$11=10,IF($H120=Instructions!$F$49,AN119+1,AN119),IF(Instructions!$E$11=12,IF($L120=Instructions!$F$49,AN119+1,AN119),IF(Instructions!$E$11=14,IF($P120=Instructions!$F$49,AN119+1,AN119),IF(Instructions!$E$11=16,IF($T120=Instructions!$F$49,AN119+1,AN119))))))</f>
        <v>10</v>
      </c>
      <c r="AO120" s="321" t="str">
        <f t="shared" si="22"/>
        <v>810</v>
      </c>
      <c r="AP120" s="321">
        <f>IF(Instructions!$E$11=8,IF($D120=Instructions!$F$50,AP119+1,AP119),IF(Instructions!$E$11=10,IF($H120=Instructions!$F$50,AP119+1,AP119),IF(Instructions!$E$11=12,IF($L120=Instructions!$F$50,AP119+1,AP119),IF(Instructions!$E$11=14,IF($P120=Instructions!$F$50,AP119+1,AP119),IF(Instructions!$E$11=16,IF($T120=Instructions!$F$50,AP119+1,AP119))))))</f>
        <v>10</v>
      </c>
      <c r="AQ120" s="321" t="str">
        <f t="shared" si="23"/>
        <v>910</v>
      </c>
      <c r="AR120" s="321">
        <f>IF(Instructions!$E$11=8,IF($D120=Instructions!$F$51,AR119+1,AR119),IF(Instructions!$E$11=10,IF($H120=Instructions!$F$51,AR119+1,AR119),IF(Instructions!$E$11=12,IF($L120=Instructions!$F$51,AR119+1,AR119),IF(Instructions!$E$11=14,IF($P120=Instructions!$F$51,AR119+1,AR119),IF(Instructions!$E$11=16,IF($T120=Instructions!$F$51,AR119+1,AR119))))))</f>
        <v>10</v>
      </c>
      <c r="AS120" s="321" t="str">
        <f t="shared" si="25"/>
        <v>1010</v>
      </c>
      <c r="AT120" s="321">
        <f>IF(Instructions!$E$11=8,IF($D120=Instructions!$F$52,AT119+1,AT119),IF(Instructions!$E$11=10,IF($H120=Instructions!$F$52,AT119+1,AT119),IF(Instructions!$E$11=12,IF($L120=Instructions!$F$52,AT119+1,AT119),IF(Instructions!$E$11=14,IF($P120=Instructions!$F$52,AT119+1,AT119),IF(Instructions!$E$11=16,IF($T120=Instructions!$F$52,AT119+1,AT119))))))</f>
        <v>10</v>
      </c>
      <c r="AU120" s="321" t="str">
        <f t="shared" si="26"/>
        <v>1110</v>
      </c>
      <c r="AV120" s="321">
        <f>IF(Instructions!$E$11=8,IF($D120=Instructions!$F$53,AV119+1,AV119),IF(Instructions!$E$11=10,IF($H120=Instructions!$F$53,AV119+1,AV119),IF(Instructions!$E$11=12,IF($L120=Instructions!$F$53,AV119+1,AV119),IF(Instructions!$E$11=14,IF($P120=Instructions!$F$53,AV119+1,AV119),IF(Instructions!$E$11=16,IF($T120=Instructions!$F$53,AV119+1,AV119))))))</f>
        <v>10</v>
      </c>
      <c r="AW120" s="321" t="str">
        <f t="shared" si="27"/>
        <v>1210</v>
      </c>
      <c r="AX120" s="321">
        <f>IF(Instructions!$E$11=8,IF($D120=Instructions!$F$54,AX119+1,AX119),IF(Instructions!$E$11=10,IF($H120=Instructions!$F$54,AX119+1,AX119),IF(Instructions!$E$11=12,IF($L120=Instructions!$F$54,AX119+1,AX119),IF(Instructions!$E$11=14,IF($P120=Instructions!$F$54,AX119+1,AX119),IF(Instructions!$E$11=16,IF($T120=Instructions!$F$54,AX119+1,AX119))))))</f>
        <v>0</v>
      </c>
      <c r="AY120" s="321" t="str">
        <f t="shared" si="28"/>
        <v>1300</v>
      </c>
      <c r="AZ120" s="321">
        <f>IF(Instructions!$E$11=8,IF($D120=Instructions!$F$55,AZ119+1,AZ119),IF(Instructions!$E$11=10,IF($H120=Instructions!$F$55,AZ119+1,AZ119),IF(Instructions!$E$11=12,IF($L120=Instructions!$F$55,AZ119+1,AZ119),IF(Instructions!$E$11=14,IF($P120=Instructions!$F$55,AZ119+1,AZ119),IF(Instructions!$E$11=16,IF($T120=Instructions!$F$55,AZ119+1,AZ119))))))</f>
        <v>0</v>
      </c>
      <c r="BA120" s="321" t="str">
        <f t="shared" si="29"/>
        <v>1400</v>
      </c>
      <c r="BB120" s="321">
        <f>IF(Instructions!$E$11=8,IF($D120=Instructions!$F$56,BB119+1,BB119),IF(Instructions!$E$11=10,IF($H120=Instructions!$F$56,BB119+1,BB119),IF(Instructions!$E$11=12,IF($L120=Instructions!$F$56,BB119+1,BB119),IF(Instructions!$E$11=14,IF($P120=Instructions!$F$56,BB119+1,BB119),IF(Instructions!$E$11=16,IF($T120=Instructions!$F$56,BB119+1,BB119))))))</f>
        <v>0</v>
      </c>
      <c r="BC120" s="321" t="str">
        <f t="shared" si="30"/>
        <v>1500</v>
      </c>
      <c r="BD120" s="321">
        <f>IF(Instructions!$E$11=8,IF($D120=Instructions!$F$57,BD119+1,BD119),IF(Instructions!$E$11=10,IF($H120=Instructions!$F$57,BD119+1,BD119),IF(Instructions!$E$11=12,IF($L120=Instructions!$F$57,BD119+1,BD119),IF(Instructions!$E$11=14,IF($P120=Instructions!$F$57,BD119+1,BD119),IF(Instructions!$E$11=16,IF($T120=Instructions!$F$57,BD119+1,BD119))))))</f>
        <v>0</v>
      </c>
      <c r="BE120" s="321" t="str">
        <f t="shared" si="31"/>
        <v>1600</v>
      </c>
      <c r="BF120" s="321">
        <v>118</v>
      </c>
    </row>
    <row r="121" spans="1:58" x14ac:dyDescent="0.25">
      <c r="A121" s="280"/>
      <c r="B121" s="323" t="str">
        <f>IF(Instructions!$J$11=1,AA121,IF(Instructions!$J$11=2,AC121,IF(Instructions!$J$11=3,AE121,IF(Instructions!$J$11=4,AG121,IF(Instructions!$J$11=5,AI121,IF(Instructions!$J$11=6,AK121,IF(Instructions!$J$11=7,AM121,IF(Instructions!$J$11=8,AO121,IF(Instructions!$J$11=9,AQ121,IF(Instructions!$J$11=10,AS121,IF(Instructions!$J$11=11,AU121,IF(Instructions!$J$11=12,AW121,IF(Instructions!$J$11=13, AY121, IF(Instructions!$J$11=14,BA121,IF(Instructions!$J$11=15,BC121,BE121)))))))))))))))</f>
        <v>210</v>
      </c>
      <c r="C121" s="271">
        <v>119</v>
      </c>
      <c r="D121" s="328" t="str">
        <f>Instructions!F$48</f>
        <v>Bui</v>
      </c>
      <c r="E121" s="333" t="s">
        <v>881</v>
      </c>
      <c r="F121" s="706"/>
      <c r="G121" s="279">
        <v>15</v>
      </c>
      <c r="H121" s="293" t="str">
        <f>Instructions!F$43</f>
        <v>Camden</v>
      </c>
      <c r="I121" s="273" t="s">
        <v>847</v>
      </c>
      <c r="J121" s="709"/>
      <c r="K121" s="279">
        <v>12</v>
      </c>
      <c r="L121" s="293" t="str">
        <f>Instructions!F$43</f>
        <v>Camden</v>
      </c>
      <c r="M121" s="273" t="s">
        <v>825</v>
      </c>
      <c r="N121" s="709"/>
      <c r="O121" s="279">
        <v>10</v>
      </c>
      <c r="P121" s="293" t="str">
        <f>Instructions!F$48</f>
        <v>Bui</v>
      </c>
      <c r="Q121" s="273" t="s">
        <v>809</v>
      </c>
      <c r="R121" s="709"/>
      <c r="S121" s="279">
        <v>9</v>
      </c>
      <c r="T121" s="328" t="str">
        <f>Instructions!F$51</f>
        <v>Josh</v>
      </c>
      <c r="U121" s="273" t="s">
        <v>797</v>
      </c>
      <c r="V121" s="706"/>
      <c r="W121" s="279">
        <v>8</v>
      </c>
      <c r="X121" s="280"/>
      <c r="Y121" s="190" t="str">
        <f>IFERROR( IF(Instructions!$E$11=8, D121&amp;COUNTIF(D$3:D121,D121), IF(Instructions!$E$11=10, H121&amp;COUNTIF(H$3:H121,H121),IF(Instructions!$E$11=12, L121&amp;COUNTIF(L$3:L121,L121),IF(Instructions!$E$11=14, P121&amp;COUNTIF(P$3:P121,P121),T121&amp;COUNTIF(T$3:T121,T121))))),"")</f>
        <v>Camden10</v>
      </c>
      <c r="Z121" s="321">
        <f>IF(Instructions!$E$11=8,IF($D121=Instructions!$F$42,Z120+1,Z120),IF(Instructions!$E$11=10,IF($H121=Instructions!$F$42,Z120+1,Z120),IF(Instructions!$E$11=12,IF($L121=Instructions!$F$42,Z120+1,Z120),IF(Instructions!$E$11=14,IF($P121=Instructions!$F$42,Z120+1,Z120),IF(Instructions!$E$11=16,IF($T121=Instructions!$F$42,Z120+1,Z120))))))</f>
        <v>9</v>
      </c>
      <c r="AA121" s="321" t="str">
        <f t="shared" si="24"/>
        <v>109</v>
      </c>
      <c r="AB121" s="321">
        <f>IF(Instructions!$E$11=8,IF($D121=Instructions!$F$43,AB120+1,AB120),IF(Instructions!$E$11=10,IF($H121=Instructions!$F$43,AB120+1,AB120),IF(Instructions!$E$11=12,IF($L121=Instructions!$F$43,AB120+1,AB120),IF(Instructions!$E$11=14,IF($P121=Instructions!$F$43,AB120+1,AB120),IF(Instructions!$E$11=16,IF($T121=Instructions!$F$43,AB120+1,AB120))))))</f>
        <v>10</v>
      </c>
      <c r="AC121" s="321" t="str">
        <f t="shared" si="16"/>
        <v>210</v>
      </c>
      <c r="AD121" s="321">
        <f>IF(Instructions!$E$11=8,IF($D121=Instructions!$F$44,AD120+1,AD120),IF(Instructions!$E$11=10,IF($H121=Instructions!$F$44,AD120+1,AD120),IF(Instructions!$E$11=12,IF($L121=Instructions!$F$44,AD120+1,AD120),IF(Instructions!$E$11=14,IF($P121=Instructions!$F$44,AD120+1,AD120),IF(Instructions!$E$11=16,IF($T121=Instructions!$F$44,AD120+1,AD120))))))</f>
        <v>10</v>
      </c>
      <c r="AE121" s="321" t="str">
        <f t="shared" si="17"/>
        <v>310</v>
      </c>
      <c r="AF121" s="321">
        <f>IF(Instructions!$E$11=8,IF($D121=Instructions!$F$45,AF120+1,AF120),IF(Instructions!$E$11=10,IF($H121=Instructions!$F$45,AF120+1,AF120),IF(Instructions!$E$11=12,IF($L121=Instructions!$F$45,AF120+1,AF120),IF(Instructions!$E$11=14,IF($P121=Instructions!$F$45,AF120+1,AF120),IF(Instructions!$E$11=16,IF($T121=Instructions!$F$45,AF120+1,AF120))))))</f>
        <v>10</v>
      </c>
      <c r="AG121" s="321" t="str">
        <f t="shared" si="18"/>
        <v>410</v>
      </c>
      <c r="AH121" s="321">
        <f>IF(Instructions!$E$11=8,IF($D121=Instructions!$F$46,AH120+1,AH120),IF(Instructions!$E$11=10,IF($H121=Instructions!$F$46,AH120+1,AH120),IF(Instructions!$E$11=12,IF($L121=Instructions!$F$46,AH120+1,AH120),IF(Instructions!$E$11=14,IF($P121=Instructions!$F$46,AH120+1,AH120),IF(Instructions!$E$11=16,IF($T121=Instructions!$F$46,AH120+1,AH120))))))</f>
        <v>10</v>
      </c>
      <c r="AI121" s="321" t="str">
        <f t="shared" si="19"/>
        <v>510</v>
      </c>
      <c r="AJ121" s="321">
        <f>IF(Instructions!$E$11=8,IF($D121=Instructions!$F$47,AJ120+1,AJ120),IF(Instructions!$E$11=10,IF($H121=Instructions!$F$47,AJ120+1,AJ120),IF(Instructions!$E$11=12,IF($L121=Instructions!$F$47,AJ120+1,AJ120),IF(Instructions!$E$11=14,IF($P121=Instructions!$F$47,AJ120+1,AJ120),IF(Instructions!$E$11=16,IF($T121=Instructions!$F$47,AJ120+1,AJ120))))))</f>
        <v>10</v>
      </c>
      <c r="AK121" s="321" t="str">
        <f t="shared" si="20"/>
        <v>610</v>
      </c>
      <c r="AL121" s="321">
        <f>IF(Instructions!$E$11=8,IF($D121=Instructions!$F$48,AL120+1,AL120),IF(Instructions!$E$11=10,IF($H121=Instructions!$F$48,AL120+1,AL120),IF(Instructions!$E$11=12,IF($L121=Instructions!$F$48,AL120+1,AL120),IF(Instructions!$E$11=14,IF($P121=Instructions!$F$48,AL120+1,AL120),IF(Instructions!$E$11=16,IF($T121=Instructions!$F$48,AL120+1,AL120))))))</f>
        <v>10</v>
      </c>
      <c r="AM121" s="321" t="str">
        <f t="shared" si="21"/>
        <v>710</v>
      </c>
      <c r="AN121" s="321">
        <f>IF(Instructions!$E$11=8,IF($D121=Instructions!$F$49,AN120+1,AN120),IF(Instructions!$E$11=10,IF($H121=Instructions!$F$49,AN120+1,AN120),IF(Instructions!$E$11=12,IF($L121=Instructions!$F$49,AN120+1,AN120),IF(Instructions!$E$11=14,IF($P121=Instructions!$F$49,AN120+1,AN120),IF(Instructions!$E$11=16,IF($T121=Instructions!$F$49,AN120+1,AN120))))))</f>
        <v>10</v>
      </c>
      <c r="AO121" s="321" t="str">
        <f t="shared" si="22"/>
        <v>810</v>
      </c>
      <c r="AP121" s="321">
        <f>IF(Instructions!$E$11=8,IF($D121=Instructions!$F$50,AP120+1,AP120),IF(Instructions!$E$11=10,IF($H121=Instructions!$F$50,AP120+1,AP120),IF(Instructions!$E$11=12,IF($L121=Instructions!$F$50,AP120+1,AP120),IF(Instructions!$E$11=14,IF($P121=Instructions!$F$50,AP120+1,AP120),IF(Instructions!$E$11=16,IF($T121=Instructions!$F$50,AP120+1,AP120))))))</f>
        <v>10</v>
      </c>
      <c r="AQ121" s="321" t="str">
        <f t="shared" si="23"/>
        <v>910</v>
      </c>
      <c r="AR121" s="321">
        <f>IF(Instructions!$E$11=8,IF($D121=Instructions!$F$51,AR120+1,AR120),IF(Instructions!$E$11=10,IF($H121=Instructions!$F$51,AR120+1,AR120),IF(Instructions!$E$11=12,IF($L121=Instructions!$F$51,AR120+1,AR120),IF(Instructions!$E$11=14,IF($P121=Instructions!$F$51,AR120+1,AR120),IF(Instructions!$E$11=16,IF($T121=Instructions!$F$51,AR120+1,AR120))))))</f>
        <v>10</v>
      </c>
      <c r="AS121" s="321" t="str">
        <f t="shared" si="25"/>
        <v>1010</v>
      </c>
      <c r="AT121" s="321">
        <f>IF(Instructions!$E$11=8,IF($D121=Instructions!$F$52,AT120+1,AT120),IF(Instructions!$E$11=10,IF($H121=Instructions!$F$52,AT120+1,AT120),IF(Instructions!$E$11=12,IF($L121=Instructions!$F$52,AT120+1,AT120),IF(Instructions!$E$11=14,IF($P121=Instructions!$F$52,AT120+1,AT120),IF(Instructions!$E$11=16,IF($T121=Instructions!$F$52,AT120+1,AT120))))))</f>
        <v>10</v>
      </c>
      <c r="AU121" s="321" t="str">
        <f t="shared" si="26"/>
        <v>1110</v>
      </c>
      <c r="AV121" s="321">
        <f>IF(Instructions!$E$11=8,IF($D121=Instructions!$F$53,AV120+1,AV120),IF(Instructions!$E$11=10,IF($H121=Instructions!$F$53,AV120+1,AV120),IF(Instructions!$E$11=12,IF($L121=Instructions!$F$53,AV120+1,AV120),IF(Instructions!$E$11=14,IF($P121=Instructions!$F$53,AV120+1,AV120),IF(Instructions!$E$11=16,IF($T121=Instructions!$F$53,AV120+1,AV120))))))</f>
        <v>10</v>
      </c>
      <c r="AW121" s="321" t="str">
        <f t="shared" si="27"/>
        <v>1210</v>
      </c>
      <c r="AX121" s="321">
        <f>IF(Instructions!$E$11=8,IF($D121=Instructions!$F$54,AX120+1,AX120),IF(Instructions!$E$11=10,IF($H121=Instructions!$F$54,AX120+1,AX120),IF(Instructions!$E$11=12,IF($L121=Instructions!$F$54,AX120+1,AX120),IF(Instructions!$E$11=14,IF($P121=Instructions!$F$54,AX120+1,AX120),IF(Instructions!$E$11=16,IF($T121=Instructions!$F$54,AX120+1,AX120))))))</f>
        <v>0</v>
      </c>
      <c r="AY121" s="321" t="str">
        <f t="shared" si="28"/>
        <v>1300</v>
      </c>
      <c r="AZ121" s="321">
        <f>IF(Instructions!$E$11=8,IF($D121=Instructions!$F$55,AZ120+1,AZ120),IF(Instructions!$E$11=10,IF($H121=Instructions!$F$55,AZ120+1,AZ120),IF(Instructions!$E$11=12,IF($L121=Instructions!$F$55,AZ120+1,AZ120),IF(Instructions!$E$11=14,IF($P121=Instructions!$F$55,AZ120+1,AZ120),IF(Instructions!$E$11=16,IF($T121=Instructions!$F$55,AZ120+1,AZ120))))))</f>
        <v>0</v>
      </c>
      <c r="BA121" s="321" t="str">
        <f t="shared" si="29"/>
        <v>1400</v>
      </c>
      <c r="BB121" s="321">
        <f>IF(Instructions!$E$11=8,IF($D121=Instructions!$F$56,BB120+1,BB120),IF(Instructions!$E$11=10,IF($H121=Instructions!$F$56,BB120+1,BB120),IF(Instructions!$E$11=12,IF($L121=Instructions!$F$56,BB120+1,BB120),IF(Instructions!$E$11=14,IF($P121=Instructions!$F$56,BB120+1,BB120),IF(Instructions!$E$11=16,IF($T121=Instructions!$F$56,BB120+1,BB120))))))</f>
        <v>0</v>
      </c>
      <c r="BC121" s="321" t="str">
        <f t="shared" si="30"/>
        <v>1500</v>
      </c>
      <c r="BD121" s="321">
        <f>IF(Instructions!$E$11=8,IF($D121=Instructions!$F$57,BD120+1,BD120),IF(Instructions!$E$11=10,IF($H121=Instructions!$F$57,BD120+1,BD120),IF(Instructions!$E$11=12,IF($L121=Instructions!$F$57,BD120+1,BD120),IF(Instructions!$E$11=14,IF($P121=Instructions!$F$57,BD120+1,BD120),IF(Instructions!$E$11=16,IF($T121=Instructions!$F$57,BD120+1,BD120))))))</f>
        <v>0</v>
      </c>
      <c r="BE121" s="321" t="str">
        <f t="shared" si="31"/>
        <v>1600</v>
      </c>
      <c r="BF121" s="321">
        <v>119</v>
      </c>
    </row>
    <row r="122" spans="1:58" ht="15.75" thickBot="1" x14ac:dyDescent="0.3">
      <c r="A122" s="280"/>
      <c r="B122" s="323" t="str">
        <f>IF(Instructions!$J$11=1,AA122,IF(Instructions!$J$11=2,AC122,IF(Instructions!$J$11=3,AE122,IF(Instructions!$J$11=4,AG122,IF(Instructions!$J$11=5,AI122,IF(Instructions!$J$11=6,AK122,IF(Instructions!$J$11=7,AM122,IF(Instructions!$J$11=8,AO122,IF(Instructions!$J$11=9,AQ122,IF(Instructions!$J$11=10,AS122,IF(Instructions!$J$11=11,AU122,IF(Instructions!$J$11=12,AW122,IF(Instructions!$J$11=13, AY122, IF(Instructions!$J$11=14,BA122,IF(Instructions!$J$11=15,BC122,BE122)))))))))))))))</f>
        <v>210</v>
      </c>
      <c r="C122" s="272">
        <v>120</v>
      </c>
      <c r="D122" s="329" t="str">
        <f>Instructions!F$49</f>
        <v>Luke</v>
      </c>
      <c r="E122" s="332" t="s">
        <v>882</v>
      </c>
      <c r="F122" s="707"/>
      <c r="G122" s="279">
        <v>15</v>
      </c>
      <c r="H122" s="295" t="str">
        <f>Instructions!F$42</f>
        <v>Trumbo</v>
      </c>
      <c r="I122" s="275" t="s">
        <v>848</v>
      </c>
      <c r="J122" s="710"/>
      <c r="K122" s="279">
        <v>12</v>
      </c>
      <c r="L122" s="295" t="str">
        <f>Instructions!F$42</f>
        <v>Trumbo</v>
      </c>
      <c r="M122" s="277" t="s">
        <v>826</v>
      </c>
      <c r="N122" s="710"/>
      <c r="O122" s="279">
        <v>10</v>
      </c>
      <c r="P122" s="294" t="str">
        <f>Instructions!F$49</f>
        <v>Luke</v>
      </c>
      <c r="Q122" s="274" t="s">
        <v>810</v>
      </c>
      <c r="R122" s="709"/>
      <c r="S122" s="279">
        <v>9</v>
      </c>
      <c r="T122" s="327" t="str">
        <f>Instructions!F$50</f>
        <v>Dan</v>
      </c>
      <c r="U122" s="274" t="s">
        <v>798</v>
      </c>
      <c r="V122" s="706"/>
      <c r="W122" s="279">
        <v>8</v>
      </c>
      <c r="X122" s="280"/>
      <c r="Y122" s="190" t="str">
        <f>IFERROR( IF(Instructions!$E$11=8, D122&amp;COUNTIF(D$3:D122,D122), IF(Instructions!$E$11=10, H122&amp;COUNTIF(H$3:H122,H122),IF(Instructions!$E$11=12, L122&amp;COUNTIF(L$3:L122,L122),IF(Instructions!$E$11=14, P122&amp;COUNTIF(P$3:P122,P122),T122&amp;COUNTIF(T$3:T122,T122))))),"")</f>
        <v>Trumbo10</v>
      </c>
      <c r="Z122" s="321">
        <f>IF(Instructions!$E$11=8,IF($D122=Instructions!$F$42,Z121+1,Z121),IF(Instructions!$E$11=10,IF($H122=Instructions!$F$42,Z121+1,Z121),IF(Instructions!$E$11=12,IF($L122=Instructions!$F$42,Z121+1,Z121),IF(Instructions!$E$11=14,IF($P122=Instructions!$F$42,Z121+1,Z121),IF(Instructions!$E$11=16,IF($T122=Instructions!$F$42,Z121+1,Z121))))))</f>
        <v>10</v>
      </c>
      <c r="AA122" s="321" t="str">
        <f t="shared" si="24"/>
        <v>110</v>
      </c>
      <c r="AB122" s="321">
        <f>IF(Instructions!$E$11=8,IF($D122=Instructions!$F$43,AB121+1,AB121),IF(Instructions!$E$11=10,IF($H122=Instructions!$F$43,AB121+1,AB121),IF(Instructions!$E$11=12,IF($L122=Instructions!$F$43,AB121+1,AB121),IF(Instructions!$E$11=14,IF($P122=Instructions!$F$43,AB121+1,AB121),IF(Instructions!$E$11=16,IF($T122=Instructions!$F$43,AB121+1,AB121))))))</f>
        <v>10</v>
      </c>
      <c r="AC122" s="321" t="str">
        <f t="shared" si="16"/>
        <v>210</v>
      </c>
      <c r="AD122" s="321">
        <f>IF(Instructions!$E$11=8,IF($D122=Instructions!$F$44,AD121+1,AD121),IF(Instructions!$E$11=10,IF($H122=Instructions!$F$44,AD121+1,AD121),IF(Instructions!$E$11=12,IF($L122=Instructions!$F$44,AD121+1,AD121),IF(Instructions!$E$11=14,IF($P122=Instructions!$F$44,AD121+1,AD121),IF(Instructions!$E$11=16,IF($T122=Instructions!$F$44,AD121+1,AD121))))))</f>
        <v>10</v>
      </c>
      <c r="AE122" s="321" t="str">
        <f t="shared" si="17"/>
        <v>310</v>
      </c>
      <c r="AF122" s="321">
        <f>IF(Instructions!$E$11=8,IF($D122=Instructions!$F$45,AF121+1,AF121),IF(Instructions!$E$11=10,IF($H122=Instructions!$F$45,AF121+1,AF121),IF(Instructions!$E$11=12,IF($L122=Instructions!$F$45,AF121+1,AF121),IF(Instructions!$E$11=14,IF($P122=Instructions!$F$45,AF121+1,AF121),IF(Instructions!$E$11=16,IF($T122=Instructions!$F$45,AF121+1,AF121))))))</f>
        <v>10</v>
      </c>
      <c r="AG122" s="321" t="str">
        <f t="shared" si="18"/>
        <v>410</v>
      </c>
      <c r="AH122" s="321">
        <f>IF(Instructions!$E$11=8,IF($D122=Instructions!$F$46,AH121+1,AH121),IF(Instructions!$E$11=10,IF($H122=Instructions!$F$46,AH121+1,AH121),IF(Instructions!$E$11=12,IF($L122=Instructions!$F$46,AH121+1,AH121),IF(Instructions!$E$11=14,IF($P122=Instructions!$F$46,AH121+1,AH121),IF(Instructions!$E$11=16,IF($T122=Instructions!$F$46,AH121+1,AH121))))))</f>
        <v>10</v>
      </c>
      <c r="AI122" s="321" t="str">
        <f t="shared" si="19"/>
        <v>510</v>
      </c>
      <c r="AJ122" s="321">
        <f>IF(Instructions!$E$11=8,IF($D122=Instructions!$F$47,AJ121+1,AJ121),IF(Instructions!$E$11=10,IF($H122=Instructions!$F$47,AJ121+1,AJ121),IF(Instructions!$E$11=12,IF($L122=Instructions!$F$47,AJ121+1,AJ121),IF(Instructions!$E$11=14,IF($P122=Instructions!$F$47,AJ121+1,AJ121),IF(Instructions!$E$11=16,IF($T122=Instructions!$F$47,AJ121+1,AJ121))))))</f>
        <v>10</v>
      </c>
      <c r="AK122" s="321" t="str">
        <f t="shared" si="20"/>
        <v>610</v>
      </c>
      <c r="AL122" s="321">
        <f>IF(Instructions!$E$11=8,IF($D122=Instructions!$F$48,AL121+1,AL121),IF(Instructions!$E$11=10,IF($H122=Instructions!$F$48,AL121+1,AL121),IF(Instructions!$E$11=12,IF($L122=Instructions!$F$48,AL121+1,AL121),IF(Instructions!$E$11=14,IF($P122=Instructions!$F$48,AL121+1,AL121),IF(Instructions!$E$11=16,IF($T122=Instructions!$F$48,AL121+1,AL121))))))</f>
        <v>10</v>
      </c>
      <c r="AM122" s="321" t="str">
        <f t="shared" si="21"/>
        <v>710</v>
      </c>
      <c r="AN122" s="321">
        <f>IF(Instructions!$E$11=8,IF($D122=Instructions!$F$49,AN121+1,AN121),IF(Instructions!$E$11=10,IF($H122=Instructions!$F$49,AN121+1,AN121),IF(Instructions!$E$11=12,IF($L122=Instructions!$F$49,AN121+1,AN121),IF(Instructions!$E$11=14,IF($P122=Instructions!$F$49,AN121+1,AN121),IF(Instructions!$E$11=16,IF($T122=Instructions!$F$49,AN121+1,AN121))))))</f>
        <v>10</v>
      </c>
      <c r="AO122" s="321" t="str">
        <f t="shared" si="22"/>
        <v>810</v>
      </c>
      <c r="AP122" s="321">
        <f>IF(Instructions!$E$11=8,IF($D122=Instructions!$F$50,AP121+1,AP121),IF(Instructions!$E$11=10,IF($H122=Instructions!$F$50,AP121+1,AP121),IF(Instructions!$E$11=12,IF($L122=Instructions!$F$50,AP121+1,AP121),IF(Instructions!$E$11=14,IF($P122=Instructions!$F$50,AP121+1,AP121),IF(Instructions!$E$11=16,IF($T122=Instructions!$F$50,AP121+1,AP121))))))</f>
        <v>10</v>
      </c>
      <c r="AQ122" s="321" t="str">
        <f t="shared" si="23"/>
        <v>910</v>
      </c>
      <c r="AR122" s="321">
        <f>IF(Instructions!$E$11=8,IF($D122=Instructions!$F$51,AR121+1,AR121),IF(Instructions!$E$11=10,IF($H122=Instructions!$F$51,AR121+1,AR121),IF(Instructions!$E$11=12,IF($L122=Instructions!$F$51,AR121+1,AR121),IF(Instructions!$E$11=14,IF($P122=Instructions!$F$51,AR121+1,AR121),IF(Instructions!$E$11=16,IF($T122=Instructions!$F$51,AR121+1,AR121))))))</f>
        <v>10</v>
      </c>
      <c r="AS122" s="321" t="str">
        <f t="shared" si="25"/>
        <v>1010</v>
      </c>
      <c r="AT122" s="321">
        <f>IF(Instructions!$E$11=8,IF($D122=Instructions!$F$52,AT121+1,AT121),IF(Instructions!$E$11=10,IF($H122=Instructions!$F$52,AT121+1,AT121),IF(Instructions!$E$11=12,IF($L122=Instructions!$F$52,AT121+1,AT121),IF(Instructions!$E$11=14,IF($P122=Instructions!$F$52,AT121+1,AT121),IF(Instructions!$E$11=16,IF($T122=Instructions!$F$52,AT121+1,AT121))))))</f>
        <v>10</v>
      </c>
      <c r="AU122" s="321" t="str">
        <f t="shared" si="26"/>
        <v>1110</v>
      </c>
      <c r="AV122" s="321">
        <f>IF(Instructions!$E$11=8,IF($D122=Instructions!$F$53,AV121+1,AV121),IF(Instructions!$E$11=10,IF($H122=Instructions!$F$53,AV121+1,AV121),IF(Instructions!$E$11=12,IF($L122=Instructions!$F$53,AV121+1,AV121),IF(Instructions!$E$11=14,IF($P122=Instructions!$F$53,AV121+1,AV121),IF(Instructions!$E$11=16,IF($T122=Instructions!$F$53,AV121+1,AV121))))))</f>
        <v>10</v>
      </c>
      <c r="AW122" s="321" t="str">
        <f t="shared" si="27"/>
        <v>1210</v>
      </c>
      <c r="AX122" s="321">
        <f>IF(Instructions!$E$11=8,IF($D122=Instructions!$F$54,AX121+1,AX121),IF(Instructions!$E$11=10,IF($H122=Instructions!$F$54,AX121+1,AX121),IF(Instructions!$E$11=12,IF($L122=Instructions!$F$54,AX121+1,AX121),IF(Instructions!$E$11=14,IF($P122=Instructions!$F$54,AX121+1,AX121),IF(Instructions!$E$11=16,IF($T122=Instructions!$F$54,AX121+1,AX121))))))</f>
        <v>0</v>
      </c>
      <c r="AY122" s="321" t="str">
        <f t="shared" si="28"/>
        <v>1300</v>
      </c>
      <c r="AZ122" s="321">
        <f>IF(Instructions!$E$11=8,IF($D122=Instructions!$F$55,AZ121+1,AZ121),IF(Instructions!$E$11=10,IF($H122=Instructions!$F$55,AZ121+1,AZ121),IF(Instructions!$E$11=12,IF($L122=Instructions!$F$55,AZ121+1,AZ121),IF(Instructions!$E$11=14,IF($P122=Instructions!$F$55,AZ121+1,AZ121),IF(Instructions!$E$11=16,IF($T122=Instructions!$F$55,AZ121+1,AZ121))))))</f>
        <v>0</v>
      </c>
      <c r="BA122" s="321" t="str">
        <f t="shared" si="29"/>
        <v>1400</v>
      </c>
      <c r="BB122" s="321">
        <f>IF(Instructions!$E$11=8,IF($D122=Instructions!$F$56,BB121+1,BB121),IF(Instructions!$E$11=10,IF($H122=Instructions!$F$56,BB121+1,BB121),IF(Instructions!$E$11=12,IF($L122=Instructions!$F$56,BB121+1,BB121),IF(Instructions!$E$11=14,IF($P122=Instructions!$F$56,BB121+1,BB121),IF(Instructions!$E$11=16,IF($T122=Instructions!$F$56,BB121+1,BB121))))))</f>
        <v>0</v>
      </c>
      <c r="BC122" s="321" t="str">
        <f t="shared" si="30"/>
        <v>1500</v>
      </c>
      <c r="BD122" s="321">
        <f>IF(Instructions!$E$11=8,IF($D122=Instructions!$F$57,BD121+1,BD121),IF(Instructions!$E$11=10,IF($H122=Instructions!$F$57,BD121+1,BD121),IF(Instructions!$E$11=12,IF($L122=Instructions!$F$57,BD121+1,BD121),IF(Instructions!$E$11=14,IF($P122=Instructions!$F$57,BD121+1,BD121),IF(Instructions!$E$11=16,IF($T122=Instructions!$F$57,BD121+1,BD121))))))</f>
        <v>0</v>
      </c>
      <c r="BE122" s="321" t="str">
        <f t="shared" si="31"/>
        <v>1600</v>
      </c>
      <c r="BF122" s="321">
        <v>120</v>
      </c>
    </row>
    <row r="123" spans="1:58" ht="15" customHeight="1" x14ac:dyDescent="0.25">
      <c r="A123" s="280"/>
      <c r="B123" s="323" t="str">
        <f>IF(Instructions!$J$11=1,AA123,IF(Instructions!$J$11=2,AC123,IF(Instructions!$J$11=3,AE123,IF(Instructions!$J$11=4,AG123,IF(Instructions!$J$11=5,AI123,IF(Instructions!$J$11=6,AK123,IF(Instructions!$J$11=7,AM123,IF(Instructions!$J$11=8,AO123,IF(Instructions!$J$11=9,AQ123,IF(Instructions!$J$11=10,AS123,IF(Instructions!$J$11=11,AU123,IF(Instructions!$J$11=12,AW123,IF(Instructions!$J$11=13, AY123, IF(Instructions!$J$11=14,BA123,IF(Instructions!$J$11=15,BC123,BE123)))))))))))))))</f>
        <v>210</v>
      </c>
      <c r="C123" s="271">
        <v>121</v>
      </c>
      <c r="D123" s="325" t="str">
        <f>Instructions!F$49</f>
        <v>Luke</v>
      </c>
      <c r="E123" s="331" t="s">
        <v>1087</v>
      </c>
      <c r="F123" s="705" t="s">
        <v>1086</v>
      </c>
      <c r="G123" s="279">
        <v>16</v>
      </c>
      <c r="H123" s="292" t="str">
        <f>Instructions!F$42</f>
        <v>Trumbo</v>
      </c>
      <c r="I123" s="276" t="s">
        <v>851</v>
      </c>
      <c r="J123" s="708" t="s">
        <v>908</v>
      </c>
      <c r="K123" s="279">
        <v>13</v>
      </c>
      <c r="L123" s="292" t="str">
        <f>Instructions!F$42</f>
        <v>Trumbo</v>
      </c>
      <c r="M123" s="276" t="s">
        <v>827</v>
      </c>
      <c r="N123" s="708" t="s">
        <v>906</v>
      </c>
      <c r="O123" s="279">
        <v>11</v>
      </c>
      <c r="P123" s="293" t="str">
        <f>Instructions!F$50</f>
        <v>Dan</v>
      </c>
      <c r="Q123" s="273" t="s">
        <v>811</v>
      </c>
      <c r="R123" s="709"/>
      <c r="S123" s="279">
        <v>9</v>
      </c>
      <c r="T123" s="328" t="str">
        <f>Instructions!F$49</f>
        <v>Luke</v>
      </c>
      <c r="U123" s="273" t="s">
        <v>799</v>
      </c>
      <c r="V123" s="706"/>
      <c r="W123" s="279">
        <v>8</v>
      </c>
      <c r="X123" s="280"/>
      <c r="Y123" s="190" t="str">
        <f>IFERROR( IF(Instructions!$E$11=8, D123&amp;COUNTIF(D$3:D123,D123), IF(Instructions!$E$11=10, H123&amp;COUNTIF(H$3:H123,H123),IF(Instructions!$E$11=12, L123&amp;COUNTIF(L$3:L123,L123),IF(Instructions!$E$11=14, P123&amp;COUNTIF(P$3:P123,P123),T123&amp;COUNTIF(T$3:T123,T123))))),"")</f>
        <v>Trumbo11</v>
      </c>
      <c r="Z123" s="321">
        <f>IF(Instructions!$E$11=8,IF($D123=Instructions!$F$42,Z122+1,Z122),IF(Instructions!$E$11=10,IF($H123=Instructions!$F$42,Z122+1,Z122),IF(Instructions!$E$11=12,IF($L123=Instructions!$F$42,Z122+1,Z122),IF(Instructions!$E$11=14,IF($P123=Instructions!$F$42,Z122+1,Z122),IF(Instructions!$E$11=16,IF($T123=Instructions!$F$42,Z122+1,Z122))))))</f>
        <v>11</v>
      </c>
      <c r="AA123" s="321" t="str">
        <f t="shared" si="24"/>
        <v>111</v>
      </c>
      <c r="AB123" s="321">
        <f>IF(Instructions!$E$11=8,IF($D123=Instructions!$F$43,AB122+1,AB122),IF(Instructions!$E$11=10,IF($H123=Instructions!$F$43,AB122+1,AB122),IF(Instructions!$E$11=12,IF($L123=Instructions!$F$43,AB122+1,AB122),IF(Instructions!$E$11=14,IF($P123=Instructions!$F$43,AB122+1,AB122),IF(Instructions!$E$11=16,IF($T123=Instructions!$F$43,AB122+1,AB122))))))</f>
        <v>10</v>
      </c>
      <c r="AC123" s="321" t="str">
        <f t="shared" si="16"/>
        <v>210</v>
      </c>
      <c r="AD123" s="321">
        <f>IF(Instructions!$E$11=8,IF($D123=Instructions!$F$44,AD122+1,AD122),IF(Instructions!$E$11=10,IF($H123=Instructions!$F$44,AD122+1,AD122),IF(Instructions!$E$11=12,IF($L123=Instructions!$F$44,AD122+1,AD122),IF(Instructions!$E$11=14,IF($P123=Instructions!$F$44,AD122+1,AD122),IF(Instructions!$E$11=16,IF($T123=Instructions!$F$44,AD122+1,AD122))))))</f>
        <v>10</v>
      </c>
      <c r="AE123" s="321" t="str">
        <f t="shared" si="17"/>
        <v>310</v>
      </c>
      <c r="AF123" s="321">
        <f>IF(Instructions!$E$11=8,IF($D123=Instructions!$F$45,AF122+1,AF122),IF(Instructions!$E$11=10,IF($H123=Instructions!$F$45,AF122+1,AF122),IF(Instructions!$E$11=12,IF($L123=Instructions!$F$45,AF122+1,AF122),IF(Instructions!$E$11=14,IF($P123=Instructions!$F$45,AF122+1,AF122),IF(Instructions!$E$11=16,IF($T123=Instructions!$F$45,AF122+1,AF122))))))</f>
        <v>10</v>
      </c>
      <c r="AG123" s="321" t="str">
        <f t="shared" si="18"/>
        <v>410</v>
      </c>
      <c r="AH123" s="321">
        <f>IF(Instructions!$E$11=8,IF($D123=Instructions!$F$46,AH122+1,AH122),IF(Instructions!$E$11=10,IF($H123=Instructions!$F$46,AH122+1,AH122),IF(Instructions!$E$11=12,IF($L123=Instructions!$F$46,AH122+1,AH122),IF(Instructions!$E$11=14,IF($P123=Instructions!$F$46,AH122+1,AH122),IF(Instructions!$E$11=16,IF($T123=Instructions!$F$46,AH122+1,AH122))))))</f>
        <v>10</v>
      </c>
      <c r="AI123" s="321" t="str">
        <f t="shared" si="19"/>
        <v>510</v>
      </c>
      <c r="AJ123" s="321">
        <f>IF(Instructions!$E$11=8,IF($D123=Instructions!$F$47,AJ122+1,AJ122),IF(Instructions!$E$11=10,IF($H123=Instructions!$F$47,AJ122+1,AJ122),IF(Instructions!$E$11=12,IF($L123=Instructions!$F$47,AJ122+1,AJ122),IF(Instructions!$E$11=14,IF($P123=Instructions!$F$47,AJ122+1,AJ122),IF(Instructions!$E$11=16,IF($T123=Instructions!$F$47,AJ122+1,AJ122))))))</f>
        <v>10</v>
      </c>
      <c r="AK123" s="321" t="str">
        <f t="shared" si="20"/>
        <v>610</v>
      </c>
      <c r="AL123" s="321">
        <f>IF(Instructions!$E$11=8,IF($D123=Instructions!$F$48,AL122+1,AL122),IF(Instructions!$E$11=10,IF($H123=Instructions!$F$48,AL122+1,AL122),IF(Instructions!$E$11=12,IF($L123=Instructions!$F$48,AL122+1,AL122),IF(Instructions!$E$11=14,IF($P123=Instructions!$F$48,AL122+1,AL122),IF(Instructions!$E$11=16,IF($T123=Instructions!$F$48,AL122+1,AL122))))))</f>
        <v>10</v>
      </c>
      <c r="AM123" s="321" t="str">
        <f t="shared" si="21"/>
        <v>710</v>
      </c>
      <c r="AN123" s="321">
        <f>IF(Instructions!$E$11=8,IF($D123=Instructions!$F$49,AN122+1,AN122),IF(Instructions!$E$11=10,IF($H123=Instructions!$F$49,AN122+1,AN122),IF(Instructions!$E$11=12,IF($L123=Instructions!$F$49,AN122+1,AN122),IF(Instructions!$E$11=14,IF($P123=Instructions!$F$49,AN122+1,AN122),IF(Instructions!$E$11=16,IF($T123=Instructions!$F$49,AN122+1,AN122))))))</f>
        <v>10</v>
      </c>
      <c r="AO123" s="321" t="str">
        <f t="shared" si="22"/>
        <v>810</v>
      </c>
      <c r="AP123" s="321">
        <f>IF(Instructions!$E$11=8,IF($D123=Instructions!$F$50,AP122+1,AP122),IF(Instructions!$E$11=10,IF($H123=Instructions!$F$50,AP122+1,AP122),IF(Instructions!$E$11=12,IF($L123=Instructions!$F$50,AP122+1,AP122),IF(Instructions!$E$11=14,IF($P123=Instructions!$F$50,AP122+1,AP122),IF(Instructions!$E$11=16,IF($T123=Instructions!$F$50,AP122+1,AP122))))))</f>
        <v>10</v>
      </c>
      <c r="AQ123" s="321" t="str">
        <f t="shared" si="23"/>
        <v>910</v>
      </c>
      <c r="AR123" s="321">
        <f>IF(Instructions!$E$11=8,IF($D123=Instructions!$F$51,AR122+1,AR122),IF(Instructions!$E$11=10,IF($H123=Instructions!$F$51,AR122+1,AR122),IF(Instructions!$E$11=12,IF($L123=Instructions!$F$51,AR122+1,AR122),IF(Instructions!$E$11=14,IF($P123=Instructions!$F$51,AR122+1,AR122),IF(Instructions!$E$11=16,IF($T123=Instructions!$F$51,AR122+1,AR122))))))</f>
        <v>10</v>
      </c>
      <c r="AS123" s="321" t="str">
        <f t="shared" si="25"/>
        <v>1010</v>
      </c>
      <c r="AT123" s="321">
        <f>IF(Instructions!$E$11=8,IF($D123=Instructions!$F$52,AT122+1,AT122),IF(Instructions!$E$11=10,IF($H123=Instructions!$F$52,AT122+1,AT122),IF(Instructions!$E$11=12,IF($L123=Instructions!$F$52,AT122+1,AT122),IF(Instructions!$E$11=14,IF($P123=Instructions!$F$52,AT122+1,AT122),IF(Instructions!$E$11=16,IF($T123=Instructions!$F$52,AT122+1,AT122))))))</f>
        <v>10</v>
      </c>
      <c r="AU123" s="321" t="str">
        <f t="shared" si="26"/>
        <v>1110</v>
      </c>
      <c r="AV123" s="321">
        <f>IF(Instructions!$E$11=8,IF($D123=Instructions!$F$53,AV122+1,AV122),IF(Instructions!$E$11=10,IF($H123=Instructions!$F$53,AV122+1,AV122),IF(Instructions!$E$11=12,IF($L123=Instructions!$F$53,AV122+1,AV122),IF(Instructions!$E$11=14,IF($P123=Instructions!$F$53,AV122+1,AV122),IF(Instructions!$E$11=16,IF($T123=Instructions!$F$53,AV122+1,AV122))))))</f>
        <v>10</v>
      </c>
      <c r="AW123" s="321" t="str">
        <f t="shared" si="27"/>
        <v>1210</v>
      </c>
      <c r="AX123" s="321">
        <f>IF(Instructions!$E$11=8,IF($D123=Instructions!$F$54,AX122+1,AX122),IF(Instructions!$E$11=10,IF($H123=Instructions!$F$54,AX122+1,AX122),IF(Instructions!$E$11=12,IF($L123=Instructions!$F$54,AX122+1,AX122),IF(Instructions!$E$11=14,IF($P123=Instructions!$F$54,AX122+1,AX122),IF(Instructions!$E$11=16,IF($T123=Instructions!$F$54,AX122+1,AX122))))))</f>
        <v>0</v>
      </c>
      <c r="AY123" s="321" t="str">
        <f t="shared" si="28"/>
        <v>1300</v>
      </c>
      <c r="AZ123" s="321">
        <f>IF(Instructions!$E$11=8,IF($D123=Instructions!$F$55,AZ122+1,AZ122),IF(Instructions!$E$11=10,IF($H123=Instructions!$F$55,AZ122+1,AZ122),IF(Instructions!$E$11=12,IF($L123=Instructions!$F$55,AZ122+1,AZ122),IF(Instructions!$E$11=14,IF($P123=Instructions!$F$55,AZ122+1,AZ122),IF(Instructions!$E$11=16,IF($T123=Instructions!$F$55,AZ122+1,AZ122))))))</f>
        <v>0</v>
      </c>
      <c r="BA123" s="321" t="str">
        <f t="shared" si="29"/>
        <v>1400</v>
      </c>
      <c r="BB123" s="321">
        <f>IF(Instructions!$E$11=8,IF($D123=Instructions!$F$56,BB122+1,BB122),IF(Instructions!$E$11=10,IF($H123=Instructions!$F$56,BB122+1,BB122),IF(Instructions!$E$11=12,IF($L123=Instructions!$F$56,BB122+1,BB122),IF(Instructions!$E$11=14,IF($P123=Instructions!$F$56,BB122+1,BB122),IF(Instructions!$E$11=16,IF($T123=Instructions!$F$56,BB122+1,BB122))))))</f>
        <v>0</v>
      </c>
      <c r="BC123" s="321" t="str">
        <f t="shared" si="30"/>
        <v>1500</v>
      </c>
      <c r="BD123" s="321">
        <f>IF(Instructions!$E$11=8,IF($D123=Instructions!$F$57,BD122+1,BD122),IF(Instructions!$E$11=10,IF($H123=Instructions!$F$57,BD122+1,BD122),IF(Instructions!$E$11=12,IF($L123=Instructions!$F$57,BD122+1,BD122),IF(Instructions!$E$11=14,IF($P123=Instructions!$F$57,BD122+1,BD122),IF(Instructions!$E$11=16,IF($T123=Instructions!$F$57,BD122+1,BD122))))))</f>
        <v>0</v>
      </c>
      <c r="BE123" s="321" t="str">
        <f t="shared" si="31"/>
        <v>1600</v>
      </c>
      <c r="BF123" s="321">
        <v>121</v>
      </c>
    </row>
    <row r="124" spans="1:58" x14ac:dyDescent="0.25">
      <c r="A124" s="280"/>
      <c r="B124" s="323" t="str">
        <f>IF(Instructions!$J$11=1,AA124,IF(Instructions!$J$11=2,AC124,IF(Instructions!$J$11=3,AE124,IF(Instructions!$J$11=4,AG124,IF(Instructions!$J$11=5,AI124,IF(Instructions!$J$11=6,AK124,IF(Instructions!$J$11=7,AM124,IF(Instructions!$J$11=8,AO124,IF(Instructions!$J$11=9,AQ124,IF(Instructions!$J$11=10,AS124,IF(Instructions!$J$11=11,AU124,IF(Instructions!$J$11=12,AW124,IF(Instructions!$J$11=13, AY124, IF(Instructions!$J$11=14,BA124,IF(Instructions!$J$11=15,BC124,BE124)))))))))))))))</f>
        <v>211</v>
      </c>
      <c r="C124" s="272">
        <v>122</v>
      </c>
      <c r="D124" s="327" t="str">
        <f>Instructions!F$48</f>
        <v>Bui</v>
      </c>
      <c r="E124" s="332" t="s">
        <v>1088</v>
      </c>
      <c r="F124" s="706"/>
      <c r="G124" s="279">
        <v>16</v>
      </c>
      <c r="H124" s="294" t="str">
        <f>Instructions!F$43</f>
        <v>Camden</v>
      </c>
      <c r="I124" s="274" t="s">
        <v>852</v>
      </c>
      <c r="J124" s="709"/>
      <c r="K124" s="279">
        <v>13</v>
      </c>
      <c r="L124" s="294" t="str">
        <f>Instructions!F$43</f>
        <v>Camden</v>
      </c>
      <c r="M124" s="274" t="s">
        <v>828</v>
      </c>
      <c r="N124" s="709"/>
      <c r="O124" s="279">
        <v>11</v>
      </c>
      <c r="P124" s="294" t="str">
        <f>Instructions!F$51</f>
        <v>Josh</v>
      </c>
      <c r="Q124" s="274" t="s">
        <v>812</v>
      </c>
      <c r="R124" s="709"/>
      <c r="S124" s="279">
        <v>9</v>
      </c>
      <c r="T124" s="327" t="str">
        <f>Instructions!F$48</f>
        <v>Bui</v>
      </c>
      <c r="U124" s="274" t="s">
        <v>800</v>
      </c>
      <c r="V124" s="706"/>
      <c r="W124" s="279">
        <v>8</v>
      </c>
      <c r="X124" s="280"/>
      <c r="Y124" s="190" t="str">
        <f>IFERROR( IF(Instructions!$E$11=8, D124&amp;COUNTIF(D$3:D124,D124), IF(Instructions!$E$11=10, H124&amp;COUNTIF(H$3:H124,H124),IF(Instructions!$E$11=12, L124&amp;COUNTIF(L$3:L124,L124),IF(Instructions!$E$11=14, P124&amp;COUNTIF(P$3:P124,P124),T124&amp;COUNTIF(T$3:T124,T124))))),"")</f>
        <v>Camden11</v>
      </c>
      <c r="Z124" s="321">
        <f>IF(Instructions!$E$11=8,IF($D124=Instructions!$F$42,Z123+1,Z123),IF(Instructions!$E$11=10,IF($H124=Instructions!$F$42,Z123+1,Z123),IF(Instructions!$E$11=12,IF($L124=Instructions!$F$42,Z123+1,Z123),IF(Instructions!$E$11=14,IF($P124=Instructions!$F$42,Z123+1,Z123),IF(Instructions!$E$11=16,IF($T124=Instructions!$F$42,Z123+1,Z123))))))</f>
        <v>11</v>
      </c>
      <c r="AA124" s="321" t="str">
        <f t="shared" si="24"/>
        <v>111</v>
      </c>
      <c r="AB124" s="321">
        <f>IF(Instructions!$E$11=8,IF($D124=Instructions!$F$43,AB123+1,AB123),IF(Instructions!$E$11=10,IF($H124=Instructions!$F$43,AB123+1,AB123),IF(Instructions!$E$11=12,IF($L124=Instructions!$F$43,AB123+1,AB123),IF(Instructions!$E$11=14,IF($P124=Instructions!$F$43,AB123+1,AB123),IF(Instructions!$E$11=16,IF($T124=Instructions!$F$43,AB123+1,AB123))))))</f>
        <v>11</v>
      </c>
      <c r="AC124" s="321" t="str">
        <f t="shared" si="16"/>
        <v>211</v>
      </c>
      <c r="AD124" s="321">
        <f>IF(Instructions!$E$11=8,IF($D124=Instructions!$F$44,AD123+1,AD123),IF(Instructions!$E$11=10,IF($H124=Instructions!$F$44,AD123+1,AD123),IF(Instructions!$E$11=12,IF($L124=Instructions!$F$44,AD123+1,AD123),IF(Instructions!$E$11=14,IF($P124=Instructions!$F$44,AD123+1,AD123),IF(Instructions!$E$11=16,IF($T124=Instructions!$F$44,AD123+1,AD123))))))</f>
        <v>10</v>
      </c>
      <c r="AE124" s="321" t="str">
        <f t="shared" si="17"/>
        <v>310</v>
      </c>
      <c r="AF124" s="321">
        <f>IF(Instructions!$E$11=8,IF($D124=Instructions!$F$45,AF123+1,AF123),IF(Instructions!$E$11=10,IF($H124=Instructions!$F$45,AF123+1,AF123),IF(Instructions!$E$11=12,IF($L124=Instructions!$F$45,AF123+1,AF123),IF(Instructions!$E$11=14,IF($P124=Instructions!$F$45,AF123+1,AF123),IF(Instructions!$E$11=16,IF($T124=Instructions!$F$45,AF123+1,AF123))))))</f>
        <v>10</v>
      </c>
      <c r="AG124" s="321" t="str">
        <f t="shared" si="18"/>
        <v>410</v>
      </c>
      <c r="AH124" s="321">
        <f>IF(Instructions!$E$11=8,IF($D124=Instructions!$F$46,AH123+1,AH123),IF(Instructions!$E$11=10,IF($H124=Instructions!$F$46,AH123+1,AH123),IF(Instructions!$E$11=12,IF($L124=Instructions!$F$46,AH123+1,AH123),IF(Instructions!$E$11=14,IF($P124=Instructions!$F$46,AH123+1,AH123),IF(Instructions!$E$11=16,IF($T124=Instructions!$F$46,AH123+1,AH123))))))</f>
        <v>10</v>
      </c>
      <c r="AI124" s="321" t="str">
        <f t="shared" si="19"/>
        <v>510</v>
      </c>
      <c r="AJ124" s="321">
        <f>IF(Instructions!$E$11=8,IF($D124=Instructions!$F$47,AJ123+1,AJ123),IF(Instructions!$E$11=10,IF($H124=Instructions!$F$47,AJ123+1,AJ123),IF(Instructions!$E$11=12,IF($L124=Instructions!$F$47,AJ123+1,AJ123),IF(Instructions!$E$11=14,IF($P124=Instructions!$F$47,AJ123+1,AJ123),IF(Instructions!$E$11=16,IF($T124=Instructions!$F$47,AJ123+1,AJ123))))))</f>
        <v>10</v>
      </c>
      <c r="AK124" s="321" t="str">
        <f t="shared" si="20"/>
        <v>610</v>
      </c>
      <c r="AL124" s="321">
        <f>IF(Instructions!$E$11=8,IF($D124=Instructions!$F$48,AL123+1,AL123),IF(Instructions!$E$11=10,IF($H124=Instructions!$F$48,AL123+1,AL123),IF(Instructions!$E$11=12,IF($L124=Instructions!$F$48,AL123+1,AL123),IF(Instructions!$E$11=14,IF($P124=Instructions!$F$48,AL123+1,AL123),IF(Instructions!$E$11=16,IF($T124=Instructions!$F$48,AL123+1,AL123))))))</f>
        <v>10</v>
      </c>
      <c r="AM124" s="321" t="str">
        <f t="shared" si="21"/>
        <v>710</v>
      </c>
      <c r="AN124" s="321">
        <f>IF(Instructions!$E$11=8,IF($D124=Instructions!$F$49,AN123+1,AN123),IF(Instructions!$E$11=10,IF($H124=Instructions!$F$49,AN123+1,AN123),IF(Instructions!$E$11=12,IF($L124=Instructions!$F$49,AN123+1,AN123),IF(Instructions!$E$11=14,IF($P124=Instructions!$F$49,AN123+1,AN123),IF(Instructions!$E$11=16,IF($T124=Instructions!$F$49,AN123+1,AN123))))))</f>
        <v>10</v>
      </c>
      <c r="AO124" s="321" t="str">
        <f t="shared" si="22"/>
        <v>810</v>
      </c>
      <c r="AP124" s="321">
        <f>IF(Instructions!$E$11=8,IF($D124=Instructions!$F$50,AP123+1,AP123),IF(Instructions!$E$11=10,IF($H124=Instructions!$F$50,AP123+1,AP123),IF(Instructions!$E$11=12,IF($L124=Instructions!$F$50,AP123+1,AP123),IF(Instructions!$E$11=14,IF($P124=Instructions!$F$50,AP123+1,AP123),IF(Instructions!$E$11=16,IF($T124=Instructions!$F$50,AP123+1,AP123))))))</f>
        <v>10</v>
      </c>
      <c r="AQ124" s="321" t="str">
        <f t="shared" si="23"/>
        <v>910</v>
      </c>
      <c r="AR124" s="321">
        <f>IF(Instructions!$E$11=8,IF($D124=Instructions!$F$51,AR123+1,AR123),IF(Instructions!$E$11=10,IF($H124=Instructions!$F$51,AR123+1,AR123),IF(Instructions!$E$11=12,IF($L124=Instructions!$F$51,AR123+1,AR123),IF(Instructions!$E$11=14,IF($P124=Instructions!$F$51,AR123+1,AR123),IF(Instructions!$E$11=16,IF($T124=Instructions!$F$51,AR123+1,AR123))))))</f>
        <v>10</v>
      </c>
      <c r="AS124" s="321" t="str">
        <f t="shared" si="25"/>
        <v>1010</v>
      </c>
      <c r="AT124" s="321">
        <f>IF(Instructions!$E$11=8,IF($D124=Instructions!$F$52,AT123+1,AT123),IF(Instructions!$E$11=10,IF($H124=Instructions!$F$52,AT123+1,AT123),IF(Instructions!$E$11=12,IF($L124=Instructions!$F$52,AT123+1,AT123),IF(Instructions!$E$11=14,IF($P124=Instructions!$F$52,AT123+1,AT123),IF(Instructions!$E$11=16,IF($T124=Instructions!$F$52,AT123+1,AT123))))))</f>
        <v>10</v>
      </c>
      <c r="AU124" s="321" t="str">
        <f t="shared" si="26"/>
        <v>1110</v>
      </c>
      <c r="AV124" s="321">
        <f>IF(Instructions!$E$11=8,IF($D124=Instructions!$F$53,AV123+1,AV123),IF(Instructions!$E$11=10,IF($H124=Instructions!$F$53,AV123+1,AV123),IF(Instructions!$E$11=12,IF($L124=Instructions!$F$53,AV123+1,AV123),IF(Instructions!$E$11=14,IF($P124=Instructions!$F$53,AV123+1,AV123),IF(Instructions!$E$11=16,IF($T124=Instructions!$F$53,AV123+1,AV123))))))</f>
        <v>10</v>
      </c>
      <c r="AW124" s="321" t="str">
        <f t="shared" si="27"/>
        <v>1210</v>
      </c>
      <c r="AX124" s="321">
        <f>IF(Instructions!$E$11=8,IF($D124=Instructions!$F$54,AX123+1,AX123),IF(Instructions!$E$11=10,IF($H124=Instructions!$F$54,AX123+1,AX123),IF(Instructions!$E$11=12,IF($L124=Instructions!$F$54,AX123+1,AX123),IF(Instructions!$E$11=14,IF($P124=Instructions!$F$54,AX123+1,AX123),IF(Instructions!$E$11=16,IF($T124=Instructions!$F$54,AX123+1,AX123))))))</f>
        <v>0</v>
      </c>
      <c r="AY124" s="321" t="str">
        <f t="shared" si="28"/>
        <v>1300</v>
      </c>
      <c r="AZ124" s="321">
        <f>IF(Instructions!$E$11=8,IF($D124=Instructions!$F$55,AZ123+1,AZ123),IF(Instructions!$E$11=10,IF($H124=Instructions!$F$55,AZ123+1,AZ123),IF(Instructions!$E$11=12,IF($L124=Instructions!$F$55,AZ123+1,AZ123),IF(Instructions!$E$11=14,IF($P124=Instructions!$F$55,AZ123+1,AZ123),IF(Instructions!$E$11=16,IF($T124=Instructions!$F$55,AZ123+1,AZ123))))))</f>
        <v>0</v>
      </c>
      <c r="BA124" s="321" t="str">
        <f t="shared" si="29"/>
        <v>1400</v>
      </c>
      <c r="BB124" s="321">
        <f>IF(Instructions!$E$11=8,IF($D124=Instructions!$F$56,BB123+1,BB123),IF(Instructions!$E$11=10,IF($H124=Instructions!$F$56,BB123+1,BB123),IF(Instructions!$E$11=12,IF($L124=Instructions!$F$56,BB123+1,BB123),IF(Instructions!$E$11=14,IF($P124=Instructions!$F$56,BB123+1,BB123),IF(Instructions!$E$11=16,IF($T124=Instructions!$F$56,BB123+1,BB123))))))</f>
        <v>0</v>
      </c>
      <c r="BC124" s="321" t="str">
        <f t="shared" si="30"/>
        <v>1500</v>
      </c>
      <c r="BD124" s="321">
        <f>IF(Instructions!$E$11=8,IF($D124=Instructions!$F$57,BD123+1,BD123),IF(Instructions!$E$11=10,IF($H124=Instructions!$F$57,BD123+1,BD123),IF(Instructions!$E$11=12,IF($L124=Instructions!$F$57,BD123+1,BD123),IF(Instructions!$E$11=14,IF($P124=Instructions!$F$57,BD123+1,BD123),IF(Instructions!$E$11=16,IF($T124=Instructions!$F$57,BD123+1,BD123))))))</f>
        <v>0</v>
      </c>
      <c r="BE124" s="321" t="str">
        <f t="shared" si="31"/>
        <v>1600</v>
      </c>
      <c r="BF124" s="321">
        <v>122</v>
      </c>
    </row>
    <row r="125" spans="1:58" x14ac:dyDescent="0.25">
      <c r="A125" s="280"/>
      <c r="B125" s="323" t="str">
        <f>IF(Instructions!$J$11=1,AA125,IF(Instructions!$J$11=2,AC125,IF(Instructions!$J$11=3,AE125,IF(Instructions!$J$11=4,AG125,IF(Instructions!$J$11=5,AI125,IF(Instructions!$J$11=6,AK125,IF(Instructions!$J$11=7,AM125,IF(Instructions!$J$11=8,AO125,IF(Instructions!$J$11=9,AQ125,IF(Instructions!$J$11=10,AS125,IF(Instructions!$J$11=11,AU125,IF(Instructions!$J$11=12,AW125,IF(Instructions!$J$11=13, AY125, IF(Instructions!$J$11=14,BA125,IF(Instructions!$J$11=15,BC125,BE125)))))))))))))))</f>
        <v>211</v>
      </c>
      <c r="C125" s="271">
        <v>123</v>
      </c>
      <c r="D125" s="328" t="str">
        <f>Instructions!F$47</f>
        <v>Devin</v>
      </c>
      <c r="E125" s="333" t="s">
        <v>1089</v>
      </c>
      <c r="F125" s="706"/>
      <c r="G125" s="279">
        <v>16</v>
      </c>
      <c r="H125" s="293" t="str">
        <f>Instructions!F$44</f>
        <v>Cam</v>
      </c>
      <c r="I125" s="273" t="s">
        <v>853</v>
      </c>
      <c r="J125" s="709"/>
      <c r="K125" s="279">
        <v>13</v>
      </c>
      <c r="L125" s="293" t="str">
        <f>Instructions!F$44</f>
        <v>Cam</v>
      </c>
      <c r="M125" s="273" t="s">
        <v>829</v>
      </c>
      <c r="N125" s="709"/>
      <c r="O125" s="279">
        <v>11</v>
      </c>
      <c r="P125" s="293" t="str">
        <f>Instructions!F$52</f>
        <v>Big R</v>
      </c>
      <c r="Q125" s="273" t="s">
        <v>813</v>
      </c>
      <c r="R125" s="709"/>
      <c r="S125" s="279">
        <v>9</v>
      </c>
      <c r="T125" s="328" t="str">
        <f>Instructions!F$47</f>
        <v>Devin</v>
      </c>
      <c r="U125" s="273" t="s">
        <v>801</v>
      </c>
      <c r="V125" s="706"/>
      <c r="W125" s="279">
        <v>8</v>
      </c>
      <c r="X125" s="280"/>
      <c r="Y125" s="190" t="str">
        <f>IFERROR( IF(Instructions!$E$11=8, D125&amp;COUNTIF(D$3:D125,D125), IF(Instructions!$E$11=10, H125&amp;COUNTIF(H$3:H125,H125),IF(Instructions!$E$11=12, L125&amp;COUNTIF(L$3:L125,L125),IF(Instructions!$E$11=14, P125&amp;COUNTIF(P$3:P125,P125),T125&amp;COUNTIF(T$3:T125,T125))))),"")</f>
        <v>Cam11</v>
      </c>
      <c r="Z125" s="321">
        <f>IF(Instructions!$E$11=8,IF($D125=Instructions!$F$42,Z124+1,Z124),IF(Instructions!$E$11=10,IF($H125=Instructions!$F$42,Z124+1,Z124),IF(Instructions!$E$11=12,IF($L125=Instructions!$F$42,Z124+1,Z124),IF(Instructions!$E$11=14,IF($P125=Instructions!$F$42,Z124+1,Z124),IF(Instructions!$E$11=16,IF($T125=Instructions!$F$42,Z124+1,Z124))))))</f>
        <v>11</v>
      </c>
      <c r="AA125" s="321" t="str">
        <f t="shared" si="24"/>
        <v>111</v>
      </c>
      <c r="AB125" s="321">
        <f>IF(Instructions!$E$11=8,IF($D125=Instructions!$F$43,AB124+1,AB124),IF(Instructions!$E$11=10,IF($H125=Instructions!$F$43,AB124+1,AB124),IF(Instructions!$E$11=12,IF($L125=Instructions!$F$43,AB124+1,AB124),IF(Instructions!$E$11=14,IF($P125=Instructions!$F$43,AB124+1,AB124),IF(Instructions!$E$11=16,IF($T125=Instructions!$F$43,AB124+1,AB124))))))</f>
        <v>11</v>
      </c>
      <c r="AC125" s="321" t="str">
        <f t="shared" si="16"/>
        <v>211</v>
      </c>
      <c r="AD125" s="321">
        <f>IF(Instructions!$E$11=8,IF($D125=Instructions!$F$44,AD124+1,AD124),IF(Instructions!$E$11=10,IF($H125=Instructions!$F$44,AD124+1,AD124),IF(Instructions!$E$11=12,IF($L125=Instructions!$F$44,AD124+1,AD124),IF(Instructions!$E$11=14,IF($P125=Instructions!$F$44,AD124+1,AD124),IF(Instructions!$E$11=16,IF($T125=Instructions!$F$44,AD124+1,AD124))))))</f>
        <v>11</v>
      </c>
      <c r="AE125" s="321" t="str">
        <f t="shared" si="17"/>
        <v>311</v>
      </c>
      <c r="AF125" s="321">
        <f>IF(Instructions!$E$11=8,IF($D125=Instructions!$F$45,AF124+1,AF124),IF(Instructions!$E$11=10,IF($H125=Instructions!$F$45,AF124+1,AF124),IF(Instructions!$E$11=12,IF($L125=Instructions!$F$45,AF124+1,AF124),IF(Instructions!$E$11=14,IF($P125=Instructions!$F$45,AF124+1,AF124),IF(Instructions!$E$11=16,IF($T125=Instructions!$F$45,AF124+1,AF124))))))</f>
        <v>10</v>
      </c>
      <c r="AG125" s="321" t="str">
        <f t="shared" si="18"/>
        <v>410</v>
      </c>
      <c r="AH125" s="321">
        <f>IF(Instructions!$E$11=8,IF($D125=Instructions!$F$46,AH124+1,AH124),IF(Instructions!$E$11=10,IF($H125=Instructions!$F$46,AH124+1,AH124),IF(Instructions!$E$11=12,IF($L125=Instructions!$F$46,AH124+1,AH124),IF(Instructions!$E$11=14,IF($P125=Instructions!$F$46,AH124+1,AH124),IF(Instructions!$E$11=16,IF($T125=Instructions!$F$46,AH124+1,AH124))))))</f>
        <v>10</v>
      </c>
      <c r="AI125" s="321" t="str">
        <f t="shared" si="19"/>
        <v>510</v>
      </c>
      <c r="AJ125" s="321">
        <f>IF(Instructions!$E$11=8,IF($D125=Instructions!$F$47,AJ124+1,AJ124),IF(Instructions!$E$11=10,IF($H125=Instructions!$F$47,AJ124+1,AJ124),IF(Instructions!$E$11=12,IF($L125=Instructions!$F$47,AJ124+1,AJ124),IF(Instructions!$E$11=14,IF($P125=Instructions!$F$47,AJ124+1,AJ124),IF(Instructions!$E$11=16,IF($T125=Instructions!$F$47,AJ124+1,AJ124))))))</f>
        <v>10</v>
      </c>
      <c r="AK125" s="321" t="str">
        <f t="shared" si="20"/>
        <v>610</v>
      </c>
      <c r="AL125" s="321">
        <f>IF(Instructions!$E$11=8,IF($D125=Instructions!$F$48,AL124+1,AL124),IF(Instructions!$E$11=10,IF($H125=Instructions!$F$48,AL124+1,AL124),IF(Instructions!$E$11=12,IF($L125=Instructions!$F$48,AL124+1,AL124),IF(Instructions!$E$11=14,IF($P125=Instructions!$F$48,AL124+1,AL124),IF(Instructions!$E$11=16,IF($T125=Instructions!$F$48,AL124+1,AL124))))))</f>
        <v>10</v>
      </c>
      <c r="AM125" s="321" t="str">
        <f t="shared" si="21"/>
        <v>710</v>
      </c>
      <c r="AN125" s="321">
        <f>IF(Instructions!$E$11=8,IF($D125=Instructions!$F$49,AN124+1,AN124),IF(Instructions!$E$11=10,IF($H125=Instructions!$F$49,AN124+1,AN124),IF(Instructions!$E$11=12,IF($L125=Instructions!$F$49,AN124+1,AN124),IF(Instructions!$E$11=14,IF($P125=Instructions!$F$49,AN124+1,AN124),IF(Instructions!$E$11=16,IF($T125=Instructions!$F$49,AN124+1,AN124))))))</f>
        <v>10</v>
      </c>
      <c r="AO125" s="321" t="str">
        <f t="shared" si="22"/>
        <v>810</v>
      </c>
      <c r="AP125" s="321">
        <f>IF(Instructions!$E$11=8,IF($D125=Instructions!$F$50,AP124+1,AP124),IF(Instructions!$E$11=10,IF($H125=Instructions!$F$50,AP124+1,AP124),IF(Instructions!$E$11=12,IF($L125=Instructions!$F$50,AP124+1,AP124),IF(Instructions!$E$11=14,IF($P125=Instructions!$F$50,AP124+1,AP124),IF(Instructions!$E$11=16,IF($T125=Instructions!$F$50,AP124+1,AP124))))))</f>
        <v>10</v>
      </c>
      <c r="AQ125" s="321" t="str">
        <f t="shared" si="23"/>
        <v>910</v>
      </c>
      <c r="AR125" s="321">
        <f>IF(Instructions!$E$11=8,IF($D125=Instructions!$F$51,AR124+1,AR124),IF(Instructions!$E$11=10,IF($H125=Instructions!$F$51,AR124+1,AR124),IF(Instructions!$E$11=12,IF($L125=Instructions!$F$51,AR124+1,AR124),IF(Instructions!$E$11=14,IF($P125=Instructions!$F$51,AR124+1,AR124),IF(Instructions!$E$11=16,IF($T125=Instructions!$F$51,AR124+1,AR124))))))</f>
        <v>10</v>
      </c>
      <c r="AS125" s="321" t="str">
        <f t="shared" si="25"/>
        <v>1010</v>
      </c>
      <c r="AT125" s="321">
        <f>IF(Instructions!$E$11=8,IF($D125=Instructions!$F$52,AT124+1,AT124),IF(Instructions!$E$11=10,IF($H125=Instructions!$F$52,AT124+1,AT124),IF(Instructions!$E$11=12,IF($L125=Instructions!$F$52,AT124+1,AT124),IF(Instructions!$E$11=14,IF($P125=Instructions!$F$52,AT124+1,AT124),IF(Instructions!$E$11=16,IF($T125=Instructions!$F$52,AT124+1,AT124))))))</f>
        <v>10</v>
      </c>
      <c r="AU125" s="321" t="str">
        <f t="shared" si="26"/>
        <v>1110</v>
      </c>
      <c r="AV125" s="321">
        <f>IF(Instructions!$E$11=8,IF($D125=Instructions!$F$53,AV124+1,AV124),IF(Instructions!$E$11=10,IF($H125=Instructions!$F$53,AV124+1,AV124),IF(Instructions!$E$11=12,IF($L125=Instructions!$F$53,AV124+1,AV124),IF(Instructions!$E$11=14,IF($P125=Instructions!$F$53,AV124+1,AV124),IF(Instructions!$E$11=16,IF($T125=Instructions!$F$53,AV124+1,AV124))))))</f>
        <v>10</v>
      </c>
      <c r="AW125" s="321" t="str">
        <f t="shared" si="27"/>
        <v>1210</v>
      </c>
      <c r="AX125" s="321">
        <f>IF(Instructions!$E$11=8,IF($D125=Instructions!$F$54,AX124+1,AX124),IF(Instructions!$E$11=10,IF($H125=Instructions!$F$54,AX124+1,AX124),IF(Instructions!$E$11=12,IF($L125=Instructions!$F$54,AX124+1,AX124),IF(Instructions!$E$11=14,IF($P125=Instructions!$F$54,AX124+1,AX124),IF(Instructions!$E$11=16,IF($T125=Instructions!$F$54,AX124+1,AX124))))))</f>
        <v>0</v>
      </c>
      <c r="AY125" s="321" t="str">
        <f t="shared" si="28"/>
        <v>1300</v>
      </c>
      <c r="AZ125" s="321">
        <f>IF(Instructions!$E$11=8,IF($D125=Instructions!$F$55,AZ124+1,AZ124),IF(Instructions!$E$11=10,IF($H125=Instructions!$F$55,AZ124+1,AZ124),IF(Instructions!$E$11=12,IF($L125=Instructions!$F$55,AZ124+1,AZ124),IF(Instructions!$E$11=14,IF($P125=Instructions!$F$55,AZ124+1,AZ124),IF(Instructions!$E$11=16,IF($T125=Instructions!$F$55,AZ124+1,AZ124))))))</f>
        <v>0</v>
      </c>
      <c r="BA125" s="321" t="str">
        <f t="shared" si="29"/>
        <v>1400</v>
      </c>
      <c r="BB125" s="321">
        <f>IF(Instructions!$E$11=8,IF($D125=Instructions!$F$56,BB124+1,BB124),IF(Instructions!$E$11=10,IF($H125=Instructions!$F$56,BB124+1,BB124),IF(Instructions!$E$11=12,IF($L125=Instructions!$F$56,BB124+1,BB124),IF(Instructions!$E$11=14,IF($P125=Instructions!$F$56,BB124+1,BB124),IF(Instructions!$E$11=16,IF($T125=Instructions!$F$56,BB124+1,BB124))))))</f>
        <v>0</v>
      </c>
      <c r="BC125" s="321" t="str">
        <f t="shared" si="30"/>
        <v>1500</v>
      </c>
      <c r="BD125" s="321">
        <f>IF(Instructions!$E$11=8,IF($D125=Instructions!$F$57,BD124+1,BD124),IF(Instructions!$E$11=10,IF($H125=Instructions!$F$57,BD124+1,BD124),IF(Instructions!$E$11=12,IF($L125=Instructions!$F$57,BD124+1,BD124),IF(Instructions!$E$11=14,IF($P125=Instructions!$F$57,BD124+1,BD124),IF(Instructions!$E$11=16,IF($T125=Instructions!$F$57,BD124+1,BD124))))))</f>
        <v>0</v>
      </c>
      <c r="BE125" s="321" t="str">
        <f t="shared" si="31"/>
        <v>1600</v>
      </c>
      <c r="BF125" s="321">
        <v>123</v>
      </c>
    </row>
    <row r="126" spans="1:58" x14ac:dyDescent="0.25">
      <c r="A126" s="280"/>
      <c r="B126" s="323" t="str">
        <f>IF(Instructions!$J$11=1,AA126,IF(Instructions!$J$11=2,AC126,IF(Instructions!$J$11=3,AE126,IF(Instructions!$J$11=4,AG126,IF(Instructions!$J$11=5,AI126,IF(Instructions!$J$11=6,AK126,IF(Instructions!$J$11=7,AM126,IF(Instructions!$J$11=8,AO126,IF(Instructions!$J$11=9,AQ126,IF(Instructions!$J$11=10,AS126,IF(Instructions!$J$11=11,AU126,IF(Instructions!$J$11=12,AW126,IF(Instructions!$J$11=13, AY126, IF(Instructions!$J$11=14,BA126,IF(Instructions!$J$11=15,BC126,BE126)))))))))))))))</f>
        <v>211</v>
      </c>
      <c r="C126" s="272">
        <v>124</v>
      </c>
      <c r="D126" s="327" t="str">
        <f>Instructions!F$46</f>
        <v>Con</v>
      </c>
      <c r="E126" s="332" t="s">
        <v>1090</v>
      </c>
      <c r="F126" s="706"/>
      <c r="G126" s="279">
        <v>16</v>
      </c>
      <c r="H126" s="294" t="str">
        <f>Instructions!F$45</f>
        <v>Miles</v>
      </c>
      <c r="I126" s="274" t="s">
        <v>854</v>
      </c>
      <c r="J126" s="709"/>
      <c r="K126" s="279">
        <v>13</v>
      </c>
      <c r="L126" s="294" t="str">
        <f>Instructions!F$45</f>
        <v>Miles</v>
      </c>
      <c r="M126" s="274" t="s">
        <v>830</v>
      </c>
      <c r="N126" s="709"/>
      <c r="O126" s="279">
        <v>11</v>
      </c>
      <c r="P126" s="294" t="str">
        <f>Instructions!F$53</f>
        <v>Zack</v>
      </c>
      <c r="Q126" s="274" t="s">
        <v>814</v>
      </c>
      <c r="R126" s="709"/>
      <c r="S126" s="279">
        <v>9</v>
      </c>
      <c r="T126" s="327" t="str">
        <f>Instructions!F$46</f>
        <v>Con</v>
      </c>
      <c r="U126" s="274" t="s">
        <v>802</v>
      </c>
      <c r="V126" s="706"/>
      <c r="W126" s="279">
        <v>8</v>
      </c>
      <c r="X126" s="280"/>
      <c r="Y126" s="190" t="str">
        <f>IFERROR( IF(Instructions!$E$11=8, D126&amp;COUNTIF(D$3:D126,D126), IF(Instructions!$E$11=10, H126&amp;COUNTIF(H$3:H126,H126),IF(Instructions!$E$11=12, L126&amp;COUNTIF(L$3:L126,L126),IF(Instructions!$E$11=14, P126&amp;COUNTIF(P$3:P126,P126),T126&amp;COUNTIF(T$3:T126,T126))))),"")</f>
        <v>Miles11</v>
      </c>
      <c r="Z126" s="321">
        <f>IF(Instructions!$E$11=8,IF($D126=Instructions!$F$42,Z125+1,Z125),IF(Instructions!$E$11=10,IF($H126=Instructions!$F$42,Z125+1,Z125),IF(Instructions!$E$11=12,IF($L126=Instructions!$F$42,Z125+1,Z125),IF(Instructions!$E$11=14,IF($P126=Instructions!$F$42,Z125+1,Z125),IF(Instructions!$E$11=16,IF($T126=Instructions!$F$42,Z125+1,Z125))))))</f>
        <v>11</v>
      </c>
      <c r="AA126" s="321" t="str">
        <f t="shared" si="24"/>
        <v>111</v>
      </c>
      <c r="AB126" s="321">
        <f>IF(Instructions!$E$11=8,IF($D126=Instructions!$F$43,AB125+1,AB125),IF(Instructions!$E$11=10,IF($H126=Instructions!$F$43,AB125+1,AB125),IF(Instructions!$E$11=12,IF($L126=Instructions!$F$43,AB125+1,AB125),IF(Instructions!$E$11=14,IF($P126=Instructions!$F$43,AB125+1,AB125),IF(Instructions!$E$11=16,IF($T126=Instructions!$F$43,AB125+1,AB125))))))</f>
        <v>11</v>
      </c>
      <c r="AC126" s="321" t="str">
        <f t="shared" si="16"/>
        <v>211</v>
      </c>
      <c r="AD126" s="321">
        <f>IF(Instructions!$E$11=8,IF($D126=Instructions!$F$44,AD125+1,AD125),IF(Instructions!$E$11=10,IF($H126=Instructions!$F$44,AD125+1,AD125),IF(Instructions!$E$11=12,IF($L126=Instructions!$F$44,AD125+1,AD125),IF(Instructions!$E$11=14,IF($P126=Instructions!$F$44,AD125+1,AD125),IF(Instructions!$E$11=16,IF($T126=Instructions!$F$44,AD125+1,AD125))))))</f>
        <v>11</v>
      </c>
      <c r="AE126" s="321" t="str">
        <f t="shared" si="17"/>
        <v>311</v>
      </c>
      <c r="AF126" s="321">
        <f>IF(Instructions!$E$11=8,IF($D126=Instructions!$F$45,AF125+1,AF125),IF(Instructions!$E$11=10,IF($H126=Instructions!$F$45,AF125+1,AF125),IF(Instructions!$E$11=12,IF($L126=Instructions!$F$45,AF125+1,AF125),IF(Instructions!$E$11=14,IF($P126=Instructions!$F$45,AF125+1,AF125),IF(Instructions!$E$11=16,IF($T126=Instructions!$F$45,AF125+1,AF125))))))</f>
        <v>11</v>
      </c>
      <c r="AG126" s="321" t="str">
        <f t="shared" si="18"/>
        <v>411</v>
      </c>
      <c r="AH126" s="321">
        <f>IF(Instructions!$E$11=8,IF($D126=Instructions!$F$46,AH125+1,AH125),IF(Instructions!$E$11=10,IF($H126=Instructions!$F$46,AH125+1,AH125),IF(Instructions!$E$11=12,IF($L126=Instructions!$F$46,AH125+1,AH125),IF(Instructions!$E$11=14,IF($P126=Instructions!$F$46,AH125+1,AH125),IF(Instructions!$E$11=16,IF($T126=Instructions!$F$46,AH125+1,AH125))))))</f>
        <v>10</v>
      </c>
      <c r="AI126" s="321" t="str">
        <f t="shared" si="19"/>
        <v>510</v>
      </c>
      <c r="AJ126" s="321">
        <f>IF(Instructions!$E$11=8,IF($D126=Instructions!$F$47,AJ125+1,AJ125),IF(Instructions!$E$11=10,IF($H126=Instructions!$F$47,AJ125+1,AJ125),IF(Instructions!$E$11=12,IF($L126=Instructions!$F$47,AJ125+1,AJ125),IF(Instructions!$E$11=14,IF($P126=Instructions!$F$47,AJ125+1,AJ125),IF(Instructions!$E$11=16,IF($T126=Instructions!$F$47,AJ125+1,AJ125))))))</f>
        <v>10</v>
      </c>
      <c r="AK126" s="321" t="str">
        <f t="shared" si="20"/>
        <v>610</v>
      </c>
      <c r="AL126" s="321">
        <f>IF(Instructions!$E$11=8,IF($D126=Instructions!$F$48,AL125+1,AL125),IF(Instructions!$E$11=10,IF($H126=Instructions!$F$48,AL125+1,AL125),IF(Instructions!$E$11=12,IF($L126=Instructions!$F$48,AL125+1,AL125),IF(Instructions!$E$11=14,IF($P126=Instructions!$F$48,AL125+1,AL125),IF(Instructions!$E$11=16,IF($T126=Instructions!$F$48,AL125+1,AL125))))))</f>
        <v>10</v>
      </c>
      <c r="AM126" s="321" t="str">
        <f t="shared" si="21"/>
        <v>710</v>
      </c>
      <c r="AN126" s="321">
        <f>IF(Instructions!$E$11=8,IF($D126=Instructions!$F$49,AN125+1,AN125),IF(Instructions!$E$11=10,IF($H126=Instructions!$F$49,AN125+1,AN125),IF(Instructions!$E$11=12,IF($L126=Instructions!$F$49,AN125+1,AN125),IF(Instructions!$E$11=14,IF($P126=Instructions!$F$49,AN125+1,AN125),IF(Instructions!$E$11=16,IF($T126=Instructions!$F$49,AN125+1,AN125))))))</f>
        <v>10</v>
      </c>
      <c r="AO126" s="321" t="str">
        <f t="shared" si="22"/>
        <v>810</v>
      </c>
      <c r="AP126" s="321">
        <f>IF(Instructions!$E$11=8,IF($D126=Instructions!$F$50,AP125+1,AP125),IF(Instructions!$E$11=10,IF($H126=Instructions!$F$50,AP125+1,AP125),IF(Instructions!$E$11=12,IF($L126=Instructions!$F$50,AP125+1,AP125),IF(Instructions!$E$11=14,IF($P126=Instructions!$F$50,AP125+1,AP125),IF(Instructions!$E$11=16,IF($T126=Instructions!$F$50,AP125+1,AP125))))))</f>
        <v>10</v>
      </c>
      <c r="AQ126" s="321" t="str">
        <f t="shared" si="23"/>
        <v>910</v>
      </c>
      <c r="AR126" s="321">
        <f>IF(Instructions!$E$11=8,IF($D126=Instructions!$F$51,AR125+1,AR125),IF(Instructions!$E$11=10,IF($H126=Instructions!$F$51,AR125+1,AR125),IF(Instructions!$E$11=12,IF($L126=Instructions!$F$51,AR125+1,AR125),IF(Instructions!$E$11=14,IF($P126=Instructions!$F$51,AR125+1,AR125),IF(Instructions!$E$11=16,IF($T126=Instructions!$F$51,AR125+1,AR125))))))</f>
        <v>10</v>
      </c>
      <c r="AS126" s="321" t="str">
        <f t="shared" si="25"/>
        <v>1010</v>
      </c>
      <c r="AT126" s="321">
        <f>IF(Instructions!$E$11=8,IF($D126=Instructions!$F$52,AT125+1,AT125),IF(Instructions!$E$11=10,IF($H126=Instructions!$F$52,AT125+1,AT125),IF(Instructions!$E$11=12,IF($L126=Instructions!$F$52,AT125+1,AT125),IF(Instructions!$E$11=14,IF($P126=Instructions!$F$52,AT125+1,AT125),IF(Instructions!$E$11=16,IF($T126=Instructions!$F$52,AT125+1,AT125))))))</f>
        <v>10</v>
      </c>
      <c r="AU126" s="321" t="str">
        <f t="shared" si="26"/>
        <v>1110</v>
      </c>
      <c r="AV126" s="321">
        <f>IF(Instructions!$E$11=8,IF($D126=Instructions!$F$53,AV125+1,AV125),IF(Instructions!$E$11=10,IF($H126=Instructions!$F$53,AV125+1,AV125),IF(Instructions!$E$11=12,IF($L126=Instructions!$F$53,AV125+1,AV125),IF(Instructions!$E$11=14,IF($P126=Instructions!$F$53,AV125+1,AV125),IF(Instructions!$E$11=16,IF($T126=Instructions!$F$53,AV125+1,AV125))))))</f>
        <v>10</v>
      </c>
      <c r="AW126" s="321" t="str">
        <f t="shared" si="27"/>
        <v>1210</v>
      </c>
      <c r="AX126" s="321">
        <f>IF(Instructions!$E$11=8,IF($D126=Instructions!$F$54,AX125+1,AX125),IF(Instructions!$E$11=10,IF($H126=Instructions!$F$54,AX125+1,AX125),IF(Instructions!$E$11=12,IF($L126=Instructions!$F$54,AX125+1,AX125),IF(Instructions!$E$11=14,IF($P126=Instructions!$F$54,AX125+1,AX125),IF(Instructions!$E$11=16,IF($T126=Instructions!$F$54,AX125+1,AX125))))))</f>
        <v>0</v>
      </c>
      <c r="AY126" s="321" t="str">
        <f t="shared" si="28"/>
        <v>1300</v>
      </c>
      <c r="AZ126" s="321">
        <f>IF(Instructions!$E$11=8,IF($D126=Instructions!$F$55,AZ125+1,AZ125),IF(Instructions!$E$11=10,IF($H126=Instructions!$F$55,AZ125+1,AZ125),IF(Instructions!$E$11=12,IF($L126=Instructions!$F$55,AZ125+1,AZ125),IF(Instructions!$E$11=14,IF($P126=Instructions!$F$55,AZ125+1,AZ125),IF(Instructions!$E$11=16,IF($T126=Instructions!$F$55,AZ125+1,AZ125))))))</f>
        <v>0</v>
      </c>
      <c r="BA126" s="321" t="str">
        <f t="shared" si="29"/>
        <v>1400</v>
      </c>
      <c r="BB126" s="321">
        <f>IF(Instructions!$E$11=8,IF($D126=Instructions!$F$56,BB125+1,BB125),IF(Instructions!$E$11=10,IF($H126=Instructions!$F$56,BB125+1,BB125),IF(Instructions!$E$11=12,IF($L126=Instructions!$F$56,BB125+1,BB125),IF(Instructions!$E$11=14,IF($P126=Instructions!$F$56,BB125+1,BB125),IF(Instructions!$E$11=16,IF($T126=Instructions!$F$56,BB125+1,BB125))))))</f>
        <v>0</v>
      </c>
      <c r="BC126" s="321" t="str">
        <f t="shared" si="30"/>
        <v>1500</v>
      </c>
      <c r="BD126" s="321">
        <f>IF(Instructions!$E$11=8,IF($D126=Instructions!$F$57,BD125+1,BD125),IF(Instructions!$E$11=10,IF($H126=Instructions!$F$57,BD125+1,BD125),IF(Instructions!$E$11=12,IF($L126=Instructions!$F$57,BD125+1,BD125),IF(Instructions!$E$11=14,IF($P126=Instructions!$F$57,BD125+1,BD125),IF(Instructions!$E$11=16,IF($T126=Instructions!$F$57,BD125+1,BD125))))))</f>
        <v>0</v>
      </c>
      <c r="BE126" s="321" t="str">
        <f t="shared" si="31"/>
        <v>1600</v>
      </c>
      <c r="BF126" s="321">
        <v>124</v>
      </c>
    </row>
    <row r="127" spans="1:58" x14ac:dyDescent="0.25">
      <c r="A127" s="280"/>
      <c r="B127" s="323" t="str">
        <f>IF(Instructions!$J$11=1,AA127,IF(Instructions!$J$11=2,AC127,IF(Instructions!$J$11=3,AE127,IF(Instructions!$J$11=4,AG127,IF(Instructions!$J$11=5,AI127,IF(Instructions!$J$11=6,AK127,IF(Instructions!$J$11=7,AM127,IF(Instructions!$J$11=8,AO127,IF(Instructions!$J$11=9,AQ127,IF(Instructions!$J$11=10,AS127,IF(Instructions!$J$11=11,AU127,IF(Instructions!$J$11=12,AW127,IF(Instructions!$J$11=13, AY127, IF(Instructions!$J$11=14,BA127,IF(Instructions!$J$11=15,BC127,BE127)))))))))))))))</f>
        <v>211</v>
      </c>
      <c r="C127" s="271">
        <v>125</v>
      </c>
      <c r="D127" s="328" t="str">
        <f>Instructions!F$45</f>
        <v>Miles</v>
      </c>
      <c r="E127" s="333" t="s">
        <v>1091</v>
      </c>
      <c r="F127" s="706"/>
      <c r="G127" s="279">
        <v>16</v>
      </c>
      <c r="H127" s="293" t="str">
        <f>Instructions!F$46</f>
        <v>Con</v>
      </c>
      <c r="I127" s="273" t="s">
        <v>855</v>
      </c>
      <c r="J127" s="709"/>
      <c r="K127" s="279">
        <v>13</v>
      </c>
      <c r="L127" s="293" t="str">
        <f>Instructions!F$46</f>
        <v>Con</v>
      </c>
      <c r="M127" s="273" t="s">
        <v>831</v>
      </c>
      <c r="N127" s="709"/>
      <c r="O127" s="279">
        <v>11</v>
      </c>
      <c r="P127" s="293" t="str">
        <f>Instructions!F$54</f>
        <v>[TEAM 13]</v>
      </c>
      <c r="Q127" s="273" t="s">
        <v>944</v>
      </c>
      <c r="R127" s="709"/>
      <c r="S127" s="279">
        <v>9</v>
      </c>
      <c r="T127" s="328" t="str">
        <f>Instructions!F$45</f>
        <v>Miles</v>
      </c>
      <c r="U127" s="273" t="s">
        <v>943</v>
      </c>
      <c r="V127" s="706"/>
      <c r="W127" s="279">
        <v>8</v>
      </c>
      <c r="X127" s="280"/>
      <c r="Y127" s="190" t="str">
        <f>IFERROR( IF(Instructions!$E$11=8, D127&amp;COUNTIF(D$3:D127,D127), IF(Instructions!$E$11=10, H127&amp;COUNTIF(H$3:H127,H127),IF(Instructions!$E$11=12, L127&amp;COUNTIF(L$3:L127,L127),IF(Instructions!$E$11=14, P127&amp;COUNTIF(P$3:P127,P127),T127&amp;COUNTIF(T$3:T127,T127))))),"")</f>
        <v>Con11</v>
      </c>
      <c r="Z127" s="321">
        <f>IF(Instructions!$E$11=8,IF($D127=Instructions!$F$42,Z126+1,Z126),IF(Instructions!$E$11=10,IF($H127=Instructions!$F$42,Z126+1,Z126),IF(Instructions!$E$11=12,IF($L127=Instructions!$F$42,Z126+1,Z126),IF(Instructions!$E$11=14,IF($P127=Instructions!$F$42,Z126+1,Z126),IF(Instructions!$E$11=16,IF($T127=Instructions!$F$42,Z126+1,Z126))))))</f>
        <v>11</v>
      </c>
      <c r="AA127" s="321" t="str">
        <f t="shared" si="24"/>
        <v>111</v>
      </c>
      <c r="AB127" s="321">
        <f>IF(Instructions!$E$11=8,IF($D127=Instructions!$F$43,AB126+1,AB126),IF(Instructions!$E$11=10,IF($H127=Instructions!$F$43,AB126+1,AB126),IF(Instructions!$E$11=12,IF($L127=Instructions!$F$43,AB126+1,AB126),IF(Instructions!$E$11=14,IF($P127=Instructions!$F$43,AB126+1,AB126),IF(Instructions!$E$11=16,IF($T127=Instructions!$F$43,AB126+1,AB126))))))</f>
        <v>11</v>
      </c>
      <c r="AC127" s="321" t="str">
        <f t="shared" si="16"/>
        <v>211</v>
      </c>
      <c r="AD127" s="321">
        <f>IF(Instructions!$E$11=8,IF($D127=Instructions!$F$44,AD126+1,AD126),IF(Instructions!$E$11=10,IF($H127=Instructions!$F$44,AD126+1,AD126),IF(Instructions!$E$11=12,IF($L127=Instructions!$F$44,AD126+1,AD126),IF(Instructions!$E$11=14,IF($P127=Instructions!$F$44,AD126+1,AD126),IF(Instructions!$E$11=16,IF($T127=Instructions!$F$44,AD126+1,AD126))))))</f>
        <v>11</v>
      </c>
      <c r="AE127" s="321" t="str">
        <f t="shared" si="17"/>
        <v>311</v>
      </c>
      <c r="AF127" s="321">
        <f>IF(Instructions!$E$11=8,IF($D127=Instructions!$F$45,AF126+1,AF126),IF(Instructions!$E$11=10,IF($H127=Instructions!$F$45,AF126+1,AF126),IF(Instructions!$E$11=12,IF($L127=Instructions!$F$45,AF126+1,AF126),IF(Instructions!$E$11=14,IF($P127=Instructions!$F$45,AF126+1,AF126),IF(Instructions!$E$11=16,IF($T127=Instructions!$F$45,AF126+1,AF126))))))</f>
        <v>11</v>
      </c>
      <c r="AG127" s="321" t="str">
        <f t="shared" si="18"/>
        <v>411</v>
      </c>
      <c r="AH127" s="321">
        <f>IF(Instructions!$E$11=8,IF($D127=Instructions!$F$46,AH126+1,AH126),IF(Instructions!$E$11=10,IF($H127=Instructions!$F$46,AH126+1,AH126),IF(Instructions!$E$11=12,IF($L127=Instructions!$F$46,AH126+1,AH126),IF(Instructions!$E$11=14,IF($P127=Instructions!$F$46,AH126+1,AH126),IF(Instructions!$E$11=16,IF($T127=Instructions!$F$46,AH126+1,AH126))))))</f>
        <v>11</v>
      </c>
      <c r="AI127" s="321" t="str">
        <f t="shared" si="19"/>
        <v>511</v>
      </c>
      <c r="AJ127" s="321">
        <f>IF(Instructions!$E$11=8,IF($D127=Instructions!$F$47,AJ126+1,AJ126),IF(Instructions!$E$11=10,IF($H127=Instructions!$F$47,AJ126+1,AJ126),IF(Instructions!$E$11=12,IF($L127=Instructions!$F$47,AJ126+1,AJ126),IF(Instructions!$E$11=14,IF($P127=Instructions!$F$47,AJ126+1,AJ126),IF(Instructions!$E$11=16,IF($T127=Instructions!$F$47,AJ126+1,AJ126))))))</f>
        <v>10</v>
      </c>
      <c r="AK127" s="321" t="str">
        <f t="shared" si="20"/>
        <v>610</v>
      </c>
      <c r="AL127" s="321">
        <f>IF(Instructions!$E$11=8,IF($D127=Instructions!$F$48,AL126+1,AL126),IF(Instructions!$E$11=10,IF($H127=Instructions!$F$48,AL126+1,AL126),IF(Instructions!$E$11=12,IF($L127=Instructions!$F$48,AL126+1,AL126),IF(Instructions!$E$11=14,IF($P127=Instructions!$F$48,AL126+1,AL126),IF(Instructions!$E$11=16,IF($T127=Instructions!$F$48,AL126+1,AL126))))))</f>
        <v>10</v>
      </c>
      <c r="AM127" s="321" t="str">
        <f t="shared" si="21"/>
        <v>710</v>
      </c>
      <c r="AN127" s="321">
        <f>IF(Instructions!$E$11=8,IF($D127=Instructions!$F$49,AN126+1,AN126),IF(Instructions!$E$11=10,IF($H127=Instructions!$F$49,AN126+1,AN126),IF(Instructions!$E$11=12,IF($L127=Instructions!$F$49,AN126+1,AN126),IF(Instructions!$E$11=14,IF($P127=Instructions!$F$49,AN126+1,AN126),IF(Instructions!$E$11=16,IF($T127=Instructions!$F$49,AN126+1,AN126))))))</f>
        <v>10</v>
      </c>
      <c r="AO127" s="321" t="str">
        <f t="shared" si="22"/>
        <v>810</v>
      </c>
      <c r="AP127" s="321">
        <f>IF(Instructions!$E$11=8,IF($D127=Instructions!$F$50,AP126+1,AP126),IF(Instructions!$E$11=10,IF($H127=Instructions!$F$50,AP126+1,AP126),IF(Instructions!$E$11=12,IF($L127=Instructions!$F$50,AP126+1,AP126),IF(Instructions!$E$11=14,IF($P127=Instructions!$F$50,AP126+1,AP126),IF(Instructions!$E$11=16,IF($T127=Instructions!$F$50,AP126+1,AP126))))))</f>
        <v>10</v>
      </c>
      <c r="AQ127" s="321" t="str">
        <f t="shared" si="23"/>
        <v>910</v>
      </c>
      <c r="AR127" s="321">
        <f>IF(Instructions!$E$11=8,IF($D127=Instructions!$F$51,AR126+1,AR126),IF(Instructions!$E$11=10,IF($H127=Instructions!$F$51,AR126+1,AR126),IF(Instructions!$E$11=12,IF($L127=Instructions!$F$51,AR126+1,AR126),IF(Instructions!$E$11=14,IF($P127=Instructions!$F$51,AR126+1,AR126),IF(Instructions!$E$11=16,IF($T127=Instructions!$F$51,AR126+1,AR126))))))</f>
        <v>10</v>
      </c>
      <c r="AS127" s="321" t="str">
        <f t="shared" si="25"/>
        <v>1010</v>
      </c>
      <c r="AT127" s="321">
        <f>IF(Instructions!$E$11=8,IF($D127=Instructions!$F$52,AT126+1,AT126),IF(Instructions!$E$11=10,IF($H127=Instructions!$F$52,AT126+1,AT126),IF(Instructions!$E$11=12,IF($L127=Instructions!$F$52,AT126+1,AT126),IF(Instructions!$E$11=14,IF($P127=Instructions!$F$52,AT126+1,AT126),IF(Instructions!$E$11=16,IF($T127=Instructions!$F$52,AT126+1,AT126))))))</f>
        <v>10</v>
      </c>
      <c r="AU127" s="321" t="str">
        <f t="shared" si="26"/>
        <v>1110</v>
      </c>
      <c r="AV127" s="321">
        <f>IF(Instructions!$E$11=8,IF($D127=Instructions!$F$53,AV126+1,AV126),IF(Instructions!$E$11=10,IF($H127=Instructions!$F$53,AV126+1,AV126),IF(Instructions!$E$11=12,IF($L127=Instructions!$F$53,AV126+1,AV126),IF(Instructions!$E$11=14,IF($P127=Instructions!$F$53,AV126+1,AV126),IF(Instructions!$E$11=16,IF($T127=Instructions!$F$53,AV126+1,AV126))))))</f>
        <v>10</v>
      </c>
      <c r="AW127" s="321" t="str">
        <f t="shared" si="27"/>
        <v>1210</v>
      </c>
      <c r="AX127" s="321">
        <f>IF(Instructions!$E$11=8,IF($D127=Instructions!$F$54,AX126+1,AX126),IF(Instructions!$E$11=10,IF($H127=Instructions!$F$54,AX126+1,AX126),IF(Instructions!$E$11=12,IF($L127=Instructions!$F$54,AX126+1,AX126),IF(Instructions!$E$11=14,IF($P127=Instructions!$F$54,AX126+1,AX126),IF(Instructions!$E$11=16,IF($T127=Instructions!$F$54,AX126+1,AX126))))))</f>
        <v>0</v>
      </c>
      <c r="AY127" s="321" t="str">
        <f t="shared" si="28"/>
        <v>1300</v>
      </c>
      <c r="AZ127" s="321">
        <f>IF(Instructions!$E$11=8,IF($D127=Instructions!$F$55,AZ126+1,AZ126),IF(Instructions!$E$11=10,IF($H127=Instructions!$F$55,AZ126+1,AZ126),IF(Instructions!$E$11=12,IF($L127=Instructions!$F$55,AZ126+1,AZ126),IF(Instructions!$E$11=14,IF($P127=Instructions!$F$55,AZ126+1,AZ126),IF(Instructions!$E$11=16,IF($T127=Instructions!$F$55,AZ126+1,AZ126))))))</f>
        <v>0</v>
      </c>
      <c r="BA127" s="321" t="str">
        <f t="shared" si="29"/>
        <v>1400</v>
      </c>
      <c r="BB127" s="321">
        <f>IF(Instructions!$E$11=8,IF($D127=Instructions!$F$56,BB126+1,BB126),IF(Instructions!$E$11=10,IF($H127=Instructions!$F$56,BB126+1,BB126),IF(Instructions!$E$11=12,IF($L127=Instructions!$F$56,BB126+1,BB126),IF(Instructions!$E$11=14,IF($P127=Instructions!$F$56,BB126+1,BB126),IF(Instructions!$E$11=16,IF($T127=Instructions!$F$56,BB126+1,BB126))))))</f>
        <v>0</v>
      </c>
      <c r="BC127" s="321" t="str">
        <f t="shared" si="30"/>
        <v>1500</v>
      </c>
      <c r="BD127" s="321">
        <f>IF(Instructions!$E$11=8,IF($D127=Instructions!$F$57,BD126+1,BD126),IF(Instructions!$E$11=10,IF($H127=Instructions!$F$57,BD126+1,BD126),IF(Instructions!$E$11=12,IF($L127=Instructions!$F$57,BD126+1,BD126),IF(Instructions!$E$11=14,IF($P127=Instructions!$F$57,BD126+1,BD126),IF(Instructions!$E$11=16,IF($T127=Instructions!$F$57,BD126+1,BD126))))))</f>
        <v>0</v>
      </c>
      <c r="BE127" s="321" t="str">
        <f t="shared" si="31"/>
        <v>1600</v>
      </c>
      <c r="BF127" s="321">
        <v>125</v>
      </c>
    </row>
    <row r="128" spans="1:58" ht="15.75" thickBot="1" x14ac:dyDescent="0.3">
      <c r="A128" s="280"/>
      <c r="B128" s="323" t="str">
        <f>IF(Instructions!$J$11=1,AA128,IF(Instructions!$J$11=2,AC128,IF(Instructions!$J$11=3,AE128,IF(Instructions!$J$11=4,AG128,IF(Instructions!$J$11=5,AI128,IF(Instructions!$J$11=6,AK128,IF(Instructions!$J$11=7,AM128,IF(Instructions!$J$11=8,AO128,IF(Instructions!$J$11=9,AQ128,IF(Instructions!$J$11=10,AS128,IF(Instructions!$J$11=11,AU128,IF(Instructions!$J$11=12,AW128,IF(Instructions!$J$11=13, AY128, IF(Instructions!$J$11=14,BA128,IF(Instructions!$J$11=15,BC128,BE128)))))))))))))))</f>
        <v>211</v>
      </c>
      <c r="C128" s="272">
        <v>126</v>
      </c>
      <c r="D128" s="327" t="str">
        <f>Instructions!F$44</f>
        <v>Cam</v>
      </c>
      <c r="E128" s="332" t="s">
        <v>1092</v>
      </c>
      <c r="F128" s="706"/>
      <c r="G128" s="279">
        <v>16</v>
      </c>
      <c r="H128" s="294" t="str">
        <f>Instructions!F$47</f>
        <v>Devin</v>
      </c>
      <c r="I128" s="274" t="s">
        <v>856</v>
      </c>
      <c r="J128" s="709"/>
      <c r="K128" s="279">
        <v>13</v>
      </c>
      <c r="L128" s="294" t="str">
        <f>Instructions!F$47</f>
        <v>Devin</v>
      </c>
      <c r="M128" s="274" t="s">
        <v>832</v>
      </c>
      <c r="N128" s="709"/>
      <c r="O128" s="279">
        <v>11</v>
      </c>
      <c r="P128" s="295" t="str">
        <f>Instructions!F$55</f>
        <v>[TEAM 14]</v>
      </c>
      <c r="Q128" s="277" t="s">
        <v>945</v>
      </c>
      <c r="R128" s="710"/>
      <c r="S128" s="279">
        <v>9</v>
      </c>
      <c r="T128" s="327" t="str">
        <f>Instructions!F$44</f>
        <v>Cam</v>
      </c>
      <c r="U128" s="274" t="s">
        <v>942</v>
      </c>
      <c r="V128" s="706"/>
      <c r="W128" s="279">
        <v>8</v>
      </c>
      <c r="X128" s="280"/>
      <c r="Y128" s="190" t="str">
        <f>IFERROR( IF(Instructions!$E$11=8, D128&amp;COUNTIF(D$3:D128,D128), IF(Instructions!$E$11=10, H128&amp;COUNTIF(H$3:H128,H128),IF(Instructions!$E$11=12, L128&amp;COUNTIF(L$3:L128,L128),IF(Instructions!$E$11=14, P128&amp;COUNTIF(P$3:P128,P128),T128&amp;COUNTIF(T$3:T128,T128))))),"")</f>
        <v>Devin11</v>
      </c>
      <c r="Z128" s="321">
        <f>IF(Instructions!$E$11=8,IF($D128=Instructions!$F$42,Z127+1,Z127),IF(Instructions!$E$11=10,IF($H128=Instructions!$F$42,Z127+1,Z127),IF(Instructions!$E$11=12,IF($L128=Instructions!$F$42,Z127+1,Z127),IF(Instructions!$E$11=14,IF($P128=Instructions!$F$42,Z127+1,Z127),IF(Instructions!$E$11=16,IF($T128=Instructions!$F$42,Z127+1,Z127))))))</f>
        <v>11</v>
      </c>
      <c r="AA128" s="321" t="str">
        <f t="shared" si="24"/>
        <v>111</v>
      </c>
      <c r="AB128" s="321">
        <f>IF(Instructions!$E$11=8,IF($D128=Instructions!$F$43,AB127+1,AB127),IF(Instructions!$E$11=10,IF($H128=Instructions!$F$43,AB127+1,AB127),IF(Instructions!$E$11=12,IF($L128=Instructions!$F$43,AB127+1,AB127),IF(Instructions!$E$11=14,IF($P128=Instructions!$F$43,AB127+1,AB127),IF(Instructions!$E$11=16,IF($T128=Instructions!$F$43,AB127+1,AB127))))))</f>
        <v>11</v>
      </c>
      <c r="AC128" s="321" t="str">
        <f t="shared" si="16"/>
        <v>211</v>
      </c>
      <c r="AD128" s="321">
        <f>IF(Instructions!$E$11=8,IF($D128=Instructions!$F$44,AD127+1,AD127),IF(Instructions!$E$11=10,IF($H128=Instructions!$F$44,AD127+1,AD127),IF(Instructions!$E$11=12,IF($L128=Instructions!$F$44,AD127+1,AD127),IF(Instructions!$E$11=14,IF($P128=Instructions!$F$44,AD127+1,AD127),IF(Instructions!$E$11=16,IF($T128=Instructions!$F$44,AD127+1,AD127))))))</f>
        <v>11</v>
      </c>
      <c r="AE128" s="321" t="str">
        <f t="shared" si="17"/>
        <v>311</v>
      </c>
      <c r="AF128" s="321">
        <f>IF(Instructions!$E$11=8,IF($D128=Instructions!$F$45,AF127+1,AF127),IF(Instructions!$E$11=10,IF($H128=Instructions!$F$45,AF127+1,AF127),IF(Instructions!$E$11=12,IF($L128=Instructions!$F$45,AF127+1,AF127),IF(Instructions!$E$11=14,IF($P128=Instructions!$F$45,AF127+1,AF127),IF(Instructions!$E$11=16,IF($T128=Instructions!$F$45,AF127+1,AF127))))))</f>
        <v>11</v>
      </c>
      <c r="AG128" s="321" t="str">
        <f t="shared" si="18"/>
        <v>411</v>
      </c>
      <c r="AH128" s="321">
        <f>IF(Instructions!$E$11=8,IF($D128=Instructions!$F$46,AH127+1,AH127),IF(Instructions!$E$11=10,IF($H128=Instructions!$F$46,AH127+1,AH127),IF(Instructions!$E$11=12,IF($L128=Instructions!$F$46,AH127+1,AH127),IF(Instructions!$E$11=14,IF($P128=Instructions!$F$46,AH127+1,AH127),IF(Instructions!$E$11=16,IF($T128=Instructions!$F$46,AH127+1,AH127))))))</f>
        <v>11</v>
      </c>
      <c r="AI128" s="321" t="str">
        <f t="shared" si="19"/>
        <v>511</v>
      </c>
      <c r="AJ128" s="321">
        <f>IF(Instructions!$E$11=8,IF($D128=Instructions!$F$47,AJ127+1,AJ127),IF(Instructions!$E$11=10,IF($H128=Instructions!$F$47,AJ127+1,AJ127),IF(Instructions!$E$11=12,IF($L128=Instructions!$F$47,AJ127+1,AJ127),IF(Instructions!$E$11=14,IF($P128=Instructions!$F$47,AJ127+1,AJ127),IF(Instructions!$E$11=16,IF($T128=Instructions!$F$47,AJ127+1,AJ127))))))</f>
        <v>11</v>
      </c>
      <c r="AK128" s="321" t="str">
        <f t="shared" si="20"/>
        <v>611</v>
      </c>
      <c r="AL128" s="321">
        <f>IF(Instructions!$E$11=8,IF($D128=Instructions!$F$48,AL127+1,AL127),IF(Instructions!$E$11=10,IF($H128=Instructions!$F$48,AL127+1,AL127),IF(Instructions!$E$11=12,IF($L128=Instructions!$F$48,AL127+1,AL127),IF(Instructions!$E$11=14,IF($P128=Instructions!$F$48,AL127+1,AL127),IF(Instructions!$E$11=16,IF($T128=Instructions!$F$48,AL127+1,AL127))))))</f>
        <v>10</v>
      </c>
      <c r="AM128" s="321" t="str">
        <f t="shared" si="21"/>
        <v>710</v>
      </c>
      <c r="AN128" s="321">
        <f>IF(Instructions!$E$11=8,IF($D128=Instructions!$F$49,AN127+1,AN127),IF(Instructions!$E$11=10,IF($H128=Instructions!$F$49,AN127+1,AN127),IF(Instructions!$E$11=12,IF($L128=Instructions!$F$49,AN127+1,AN127),IF(Instructions!$E$11=14,IF($P128=Instructions!$F$49,AN127+1,AN127),IF(Instructions!$E$11=16,IF($T128=Instructions!$F$49,AN127+1,AN127))))))</f>
        <v>10</v>
      </c>
      <c r="AO128" s="321" t="str">
        <f t="shared" si="22"/>
        <v>810</v>
      </c>
      <c r="AP128" s="321">
        <f>IF(Instructions!$E$11=8,IF($D128=Instructions!$F$50,AP127+1,AP127),IF(Instructions!$E$11=10,IF($H128=Instructions!$F$50,AP127+1,AP127),IF(Instructions!$E$11=12,IF($L128=Instructions!$F$50,AP127+1,AP127),IF(Instructions!$E$11=14,IF($P128=Instructions!$F$50,AP127+1,AP127),IF(Instructions!$E$11=16,IF($T128=Instructions!$F$50,AP127+1,AP127))))))</f>
        <v>10</v>
      </c>
      <c r="AQ128" s="321" t="str">
        <f t="shared" si="23"/>
        <v>910</v>
      </c>
      <c r="AR128" s="321">
        <f>IF(Instructions!$E$11=8,IF($D128=Instructions!$F$51,AR127+1,AR127),IF(Instructions!$E$11=10,IF($H128=Instructions!$F$51,AR127+1,AR127),IF(Instructions!$E$11=12,IF($L128=Instructions!$F$51,AR127+1,AR127),IF(Instructions!$E$11=14,IF($P128=Instructions!$F$51,AR127+1,AR127),IF(Instructions!$E$11=16,IF($T128=Instructions!$F$51,AR127+1,AR127))))))</f>
        <v>10</v>
      </c>
      <c r="AS128" s="321" t="str">
        <f t="shared" si="25"/>
        <v>1010</v>
      </c>
      <c r="AT128" s="321">
        <f>IF(Instructions!$E$11=8,IF($D128=Instructions!$F$52,AT127+1,AT127),IF(Instructions!$E$11=10,IF($H128=Instructions!$F$52,AT127+1,AT127),IF(Instructions!$E$11=12,IF($L128=Instructions!$F$52,AT127+1,AT127),IF(Instructions!$E$11=14,IF($P128=Instructions!$F$52,AT127+1,AT127),IF(Instructions!$E$11=16,IF($T128=Instructions!$F$52,AT127+1,AT127))))))</f>
        <v>10</v>
      </c>
      <c r="AU128" s="321" t="str">
        <f t="shared" si="26"/>
        <v>1110</v>
      </c>
      <c r="AV128" s="321">
        <f>IF(Instructions!$E$11=8,IF($D128=Instructions!$F$53,AV127+1,AV127),IF(Instructions!$E$11=10,IF($H128=Instructions!$F$53,AV127+1,AV127),IF(Instructions!$E$11=12,IF($L128=Instructions!$F$53,AV127+1,AV127),IF(Instructions!$E$11=14,IF($P128=Instructions!$F$53,AV127+1,AV127),IF(Instructions!$E$11=16,IF($T128=Instructions!$F$53,AV127+1,AV127))))))</f>
        <v>10</v>
      </c>
      <c r="AW128" s="321" t="str">
        <f t="shared" si="27"/>
        <v>1210</v>
      </c>
      <c r="AX128" s="321">
        <f>IF(Instructions!$E$11=8,IF($D128=Instructions!$F$54,AX127+1,AX127),IF(Instructions!$E$11=10,IF($H128=Instructions!$F$54,AX127+1,AX127),IF(Instructions!$E$11=12,IF($L128=Instructions!$F$54,AX127+1,AX127),IF(Instructions!$E$11=14,IF($P128=Instructions!$F$54,AX127+1,AX127),IF(Instructions!$E$11=16,IF($T128=Instructions!$F$54,AX127+1,AX127))))))</f>
        <v>0</v>
      </c>
      <c r="AY128" s="321" t="str">
        <f t="shared" si="28"/>
        <v>1300</v>
      </c>
      <c r="AZ128" s="321">
        <f>IF(Instructions!$E$11=8,IF($D128=Instructions!$F$55,AZ127+1,AZ127),IF(Instructions!$E$11=10,IF($H128=Instructions!$F$55,AZ127+1,AZ127),IF(Instructions!$E$11=12,IF($L128=Instructions!$F$55,AZ127+1,AZ127),IF(Instructions!$E$11=14,IF($P128=Instructions!$F$55,AZ127+1,AZ127),IF(Instructions!$E$11=16,IF($T128=Instructions!$F$55,AZ127+1,AZ127))))))</f>
        <v>0</v>
      </c>
      <c r="BA128" s="321" t="str">
        <f t="shared" si="29"/>
        <v>1400</v>
      </c>
      <c r="BB128" s="321">
        <f>IF(Instructions!$E$11=8,IF($D128=Instructions!$F$56,BB127+1,BB127),IF(Instructions!$E$11=10,IF($H128=Instructions!$F$56,BB127+1,BB127),IF(Instructions!$E$11=12,IF($L128=Instructions!$F$56,BB127+1,BB127),IF(Instructions!$E$11=14,IF($P128=Instructions!$F$56,BB127+1,BB127),IF(Instructions!$E$11=16,IF($T128=Instructions!$F$56,BB127+1,BB127))))))</f>
        <v>0</v>
      </c>
      <c r="BC128" s="321" t="str">
        <f t="shared" si="30"/>
        <v>1500</v>
      </c>
      <c r="BD128" s="321">
        <f>IF(Instructions!$E$11=8,IF($D128=Instructions!$F$57,BD127+1,BD127),IF(Instructions!$E$11=10,IF($H128=Instructions!$F$57,BD127+1,BD127),IF(Instructions!$E$11=12,IF($L128=Instructions!$F$57,BD127+1,BD127),IF(Instructions!$E$11=14,IF($P128=Instructions!$F$57,BD127+1,BD127),IF(Instructions!$E$11=16,IF($T128=Instructions!$F$57,BD127+1,BD127))))))</f>
        <v>0</v>
      </c>
      <c r="BE128" s="321" t="str">
        <f t="shared" si="31"/>
        <v>1600</v>
      </c>
      <c r="BF128" s="321">
        <v>126</v>
      </c>
    </row>
    <row r="129" spans="1:58" ht="15" customHeight="1" x14ac:dyDescent="0.25">
      <c r="A129" s="280"/>
      <c r="B129" s="323" t="str">
        <f>IF(Instructions!$J$11=1,AA129,IF(Instructions!$J$11=2,AC129,IF(Instructions!$J$11=3,AE129,IF(Instructions!$J$11=4,AG129,IF(Instructions!$J$11=5,AI129,IF(Instructions!$J$11=6,AK129,IF(Instructions!$J$11=7,AM129,IF(Instructions!$J$11=8,AO129,IF(Instructions!$J$11=9,AQ129,IF(Instructions!$J$11=10,AS129,IF(Instructions!$J$11=11,AU129,IF(Instructions!$J$11=12,AW129,IF(Instructions!$J$11=13, AY129, IF(Instructions!$J$11=14,BA129,IF(Instructions!$J$11=15,BC129,BE129)))))))))))))))</f>
        <v>211</v>
      </c>
      <c r="C129" s="271">
        <v>127</v>
      </c>
      <c r="D129" s="328" t="str">
        <f>Instructions!F$43</f>
        <v>Camden</v>
      </c>
      <c r="E129" s="333" t="s">
        <v>1093</v>
      </c>
      <c r="F129" s="706"/>
      <c r="G129" s="279">
        <v>16</v>
      </c>
      <c r="H129" s="293" t="str">
        <f>Instructions!F$48</f>
        <v>Bui</v>
      </c>
      <c r="I129" s="273" t="s">
        <v>857</v>
      </c>
      <c r="J129" s="709"/>
      <c r="K129" s="279">
        <v>13</v>
      </c>
      <c r="L129" s="293" t="str">
        <f>Instructions!F$48</f>
        <v>Bui</v>
      </c>
      <c r="M129" s="273" t="s">
        <v>833</v>
      </c>
      <c r="N129" s="709"/>
      <c r="O129" s="279">
        <v>11</v>
      </c>
      <c r="P129" s="292" t="str">
        <f>Instructions!F$55</f>
        <v>[TEAM 14]</v>
      </c>
      <c r="Q129" s="276" t="s">
        <v>815</v>
      </c>
      <c r="R129" s="708" t="s">
        <v>905</v>
      </c>
      <c r="S129" s="279">
        <v>10</v>
      </c>
      <c r="T129" s="328" t="str">
        <f>Instructions!F$43</f>
        <v>Camden</v>
      </c>
      <c r="U129" s="273" t="s">
        <v>1578</v>
      </c>
      <c r="V129" s="706"/>
      <c r="W129" s="279">
        <v>8</v>
      </c>
      <c r="X129" s="280"/>
      <c r="Y129" s="190" t="str">
        <f>IFERROR( IF(Instructions!$E$11=8, D129&amp;COUNTIF(D$3:D129,D129), IF(Instructions!$E$11=10, H129&amp;COUNTIF(H$3:H129,H129),IF(Instructions!$E$11=12, L129&amp;COUNTIF(L$3:L129,L129),IF(Instructions!$E$11=14, P129&amp;COUNTIF(P$3:P129,P129),T129&amp;COUNTIF(T$3:T129,T129))))),"")</f>
        <v>Bui11</v>
      </c>
      <c r="Z129" s="321">
        <f>IF(Instructions!$E$11=8,IF($D129=Instructions!$F$42,Z128+1,Z128),IF(Instructions!$E$11=10,IF($H129=Instructions!$F$42,Z128+1,Z128),IF(Instructions!$E$11=12,IF($L129=Instructions!$F$42,Z128+1,Z128),IF(Instructions!$E$11=14,IF($P129=Instructions!$F$42,Z128+1,Z128),IF(Instructions!$E$11=16,IF($T129=Instructions!$F$42,Z128+1,Z128))))))</f>
        <v>11</v>
      </c>
      <c r="AA129" s="321" t="str">
        <f t="shared" si="24"/>
        <v>111</v>
      </c>
      <c r="AB129" s="321">
        <f>IF(Instructions!$E$11=8,IF($D129=Instructions!$F$43,AB128+1,AB128),IF(Instructions!$E$11=10,IF($H129=Instructions!$F$43,AB128+1,AB128),IF(Instructions!$E$11=12,IF($L129=Instructions!$F$43,AB128+1,AB128),IF(Instructions!$E$11=14,IF($P129=Instructions!$F$43,AB128+1,AB128),IF(Instructions!$E$11=16,IF($T129=Instructions!$F$43,AB128+1,AB128))))))</f>
        <v>11</v>
      </c>
      <c r="AC129" s="321" t="str">
        <f t="shared" si="16"/>
        <v>211</v>
      </c>
      <c r="AD129" s="321">
        <f>IF(Instructions!$E$11=8,IF($D129=Instructions!$F$44,AD128+1,AD128),IF(Instructions!$E$11=10,IF($H129=Instructions!$F$44,AD128+1,AD128),IF(Instructions!$E$11=12,IF($L129=Instructions!$F$44,AD128+1,AD128),IF(Instructions!$E$11=14,IF($P129=Instructions!$F$44,AD128+1,AD128),IF(Instructions!$E$11=16,IF($T129=Instructions!$F$44,AD128+1,AD128))))))</f>
        <v>11</v>
      </c>
      <c r="AE129" s="321" t="str">
        <f t="shared" si="17"/>
        <v>311</v>
      </c>
      <c r="AF129" s="321">
        <f>IF(Instructions!$E$11=8,IF($D129=Instructions!$F$45,AF128+1,AF128),IF(Instructions!$E$11=10,IF($H129=Instructions!$F$45,AF128+1,AF128),IF(Instructions!$E$11=12,IF($L129=Instructions!$F$45,AF128+1,AF128),IF(Instructions!$E$11=14,IF($P129=Instructions!$F$45,AF128+1,AF128),IF(Instructions!$E$11=16,IF($T129=Instructions!$F$45,AF128+1,AF128))))))</f>
        <v>11</v>
      </c>
      <c r="AG129" s="321" t="str">
        <f t="shared" si="18"/>
        <v>411</v>
      </c>
      <c r="AH129" s="321">
        <f>IF(Instructions!$E$11=8,IF($D129=Instructions!$F$46,AH128+1,AH128),IF(Instructions!$E$11=10,IF($H129=Instructions!$F$46,AH128+1,AH128),IF(Instructions!$E$11=12,IF($L129=Instructions!$F$46,AH128+1,AH128),IF(Instructions!$E$11=14,IF($P129=Instructions!$F$46,AH128+1,AH128),IF(Instructions!$E$11=16,IF($T129=Instructions!$F$46,AH128+1,AH128))))))</f>
        <v>11</v>
      </c>
      <c r="AI129" s="321" t="str">
        <f t="shared" si="19"/>
        <v>511</v>
      </c>
      <c r="AJ129" s="321">
        <f>IF(Instructions!$E$11=8,IF($D129=Instructions!$F$47,AJ128+1,AJ128),IF(Instructions!$E$11=10,IF($H129=Instructions!$F$47,AJ128+1,AJ128),IF(Instructions!$E$11=12,IF($L129=Instructions!$F$47,AJ128+1,AJ128),IF(Instructions!$E$11=14,IF($P129=Instructions!$F$47,AJ128+1,AJ128),IF(Instructions!$E$11=16,IF($T129=Instructions!$F$47,AJ128+1,AJ128))))))</f>
        <v>11</v>
      </c>
      <c r="AK129" s="321" t="str">
        <f t="shared" si="20"/>
        <v>611</v>
      </c>
      <c r="AL129" s="321">
        <f>IF(Instructions!$E$11=8,IF($D129=Instructions!$F$48,AL128+1,AL128),IF(Instructions!$E$11=10,IF($H129=Instructions!$F$48,AL128+1,AL128),IF(Instructions!$E$11=12,IF($L129=Instructions!$F$48,AL128+1,AL128),IF(Instructions!$E$11=14,IF($P129=Instructions!$F$48,AL128+1,AL128),IF(Instructions!$E$11=16,IF($T129=Instructions!$F$48,AL128+1,AL128))))))</f>
        <v>11</v>
      </c>
      <c r="AM129" s="321" t="str">
        <f t="shared" si="21"/>
        <v>711</v>
      </c>
      <c r="AN129" s="321">
        <f>IF(Instructions!$E$11=8,IF($D129=Instructions!$F$49,AN128+1,AN128),IF(Instructions!$E$11=10,IF($H129=Instructions!$F$49,AN128+1,AN128),IF(Instructions!$E$11=12,IF($L129=Instructions!$F$49,AN128+1,AN128),IF(Instructions!$E$11=14,IF($P129=Instructions!$F$49,AN128+1,AN128),IF(Instructions!$E$11=16,IF($T129=Instructions!$F$49,AN128+1,AN128))))))</f>
        <v>10</v>
      </c>
      <c r="AO129" s="321" t="str">
        <f t="shared" si="22"/>
        <v>810</v>
      </c>
      <c r="AP129" s="321">
        <f>IF(Instructions!$E$11=8,IF($D129=Instructions!$F$50,AP128+1,AP128),IF(Instructions!$E$11=10,IF($H129=Instructions!$F$50,AP128+1,AP128),IF(Instructions!$E$11=12,IF($L129=Instructions!$F$50,AP128+1,AP128),IF(Instructions!$E$11=14,IF($P129=Instructions!$F$50,AP128+1,AP128),IF(Instructions!$E$11=16,IF($T129=Instructions!$F$50,AP128+1,AP128))))))</f>
        <v>10</v>
      </c>
      <c r="AQ129" s="321" t="str">
        <f t="shared" si="23"/>
        <v>910</v>
      </c>
      <c r="AR129" s="321">
        <f>IF(Instructions!$E$11=8,IF($D129=Instructions!$F$51,AR128+1,AR128),IF(Instructions!$E$11=10,IF($H129=Instructions!$F$51,AR128+1,AR128),IF(Instructions!$E$11=12,IF($L129=Instructions!$F$51,AR128+1,AR128),IF(Instructions!$E$11=14,IF($P129=Instructions!$F$51,AR128+1,AR128),IF(Instructions!$E$11=16,IF($T129=Instructions!$F$51,AR128+1,AR128))))))</f>
        <v>10</v>
      </c>
      <c r="AS129" s="321" t="str">
        <f t="shared" si="25"/>
        <v>1010</v>
      </c>
      <c r="AT129" s="321">
        <f>IF(Instructions!$E$11=8,IF($D129=Instructions!$F$52,AT128+1,AT128),IF(Instructions!$E$11=10,IF($H129=Instructions!$F$52,AT128+1,AT128),IF(Instructions!$E$11=12,IF($L129=Instructions!$F$52,AT128+1,AT128),IF(Instructions!$E$11=14,IF($P129=Instructions!$F$52,AT128+1,AT128),IF(Instructions!$E$11=16,IF($T129=Instructions!$F$52,AT128+1,AT128))))))</f>
        <v>10</v>
      </c>
      <c r="AU129" s="321" t="str">
        <f t="shared" si="26"/>
        <v>1110</v>
      </c>
      <c r="AV129" s="321">
        <f>IF(Instructions!$E$11=8,IF($D129=Instructions!$F$53,AV128+1,AV128),IF(Instructions!$E$11=10,IF($H129=Instructions!$F$53,AV128+1,AV128),IF(Instructions!$E$11=12,IF($L129=Instructions!$F$53,AV128+1,AV128),IF(Instructions!$E$11=14,IF($P129=Instructions!$F$53,AV128+1,AV128),IF(Instructions!$E$11=16,IF($T129=Instructions!$F$53,AV128+1,AV128))))))</f>
        <v>10</v>
      </c>
      <c r="AW129" s="321" t="str">
        <f t="shared" si="27"/>
        <v>1210</v>
      </c>
      <c r="AX129" s="321">
        <f>IF(Instructions!$E$11=8,IF($D129=Instructions!$F$54,AX128+1,AX128),IF(Instructions!$E$11=10,IF($H129=Instructions!$F$54,AX128+1,AX128),IF(Instructions!$E$11=12,IF($L129=Instructions!$F$54,AX128+1,AX128),IF(Instructions!$E$11=14,IF($P129=Instructions!$F$54,AX128+1,AX128),IF(Instructions!$E$11=16,IF($T129=Instructions!$F$54,AX128+1,AX128))))))</f>
        <v>0</v>
      </c>
      <c r="AY129" s="321" t="str">
        <f t="shared" si="28"/>
        <v>1300</v>
      </c>
      <c r="AZ129" s="321">
        <f>IF(Instructions!$E$11=8,IF($D129=Instructions!$F$55,AZ128+1,AZ128),IF(Instructions!$E$11=10,IF($H129=Instructions!$F$55,AZ128+1,AZ128),IF(Instructions!$E$11=12,IF($L129=Instructions!$F$55,AZ128+1,AZ128),IF(Instructions!$E$11=14,IF($P129=Instructions!$F$55,AZ128+1,AZ128),IF(Instructions!$E$11=16,IF($T129=Instructions!$F$55,AZ128+1,AZ128))))))</f>
        <v>0</v>
      </c>
      <c r="BA129" s="321" t="str">
        <f t="shared" si="29"/>
        <v>1400</v>
      </c>
      <c r="BB129" s="321">
        <f>IF(Instructions!$E$11=8,IF($D129=Instructions!$F$56,BB128+1,BB128),IF(Instructions!$E$11=10,IF($H129=Instructions!$F$56,BB128+1,BB128),IF(Instructions!$E$11=12,IF($L129=Instructions!$F$56,BB128+1,BB128),IF(Instructions!$E$11=14,IF($P129=Instructions!$F$56,BB128+1,BB128),IF(Instructions!$E$11=16,IF($T129=Instructions!$F$56,BB128+1,BB128))))))</f>
        <v>0</v>
      </c>
      <c r="BC129" s="321" t="str">
        <f t="shared" si="30"/>
        <v>1500</v>
      </c>
      <c r="BD129" s="321">
        <f>IF(Instructions!$E$11=8,IF($D129=Instructions!$F$57,BD128+1,BD128),IF(Instructions!$E$11=10,IF($H129=Instructions!$F$57,BD128+1,BD128),IF(Instructions!$E$11=12,IF($L129=Instructions!$F$57,BD128+1,BD128),IF(Instructions!$E$11=14,IF($P129=Instructions!$F$57,BD128+1,BD128),IF(Instructions!$E$11=16,IF($T129=Instructions!$F$57,BD128+1,BD128))))))</f>
        <v>0</v>
      </c>
      <c r="BE129" s="321" t="str">
        <f t="shared" si="31"/>
        <v>1600</v>
      </c>
      <c r="BF129" s="321">
        <v>127</v>
      </c>
    </row>
    <row r="130" spans="1:58" ht="15.75" thickBot="1" x14ac:dyDescent="0.3">
      <c r="A130" s="280"/>
      <c r="B130" s="323" t="str">
        <f>IF(Instructions!$J$11=1,AA130,IF(Instructions!$J$11=2,AC130,IF(Instructions!$J$11=3,AE130,IF(Instructions!$J$11=4,AG130,IF(Instructions!$J$11=5,AI130,IF(Instructions!$J$11=6,AK130,IF(Instructions!$J$11=7,AM130,IF(Instructions!$J$11=8,AO130,IF(Instructions!$J$11=9,AQ130,IF(Instructions!$J$11=10,AS130,IF(Instructions!$J$11=11,AU130,IF(Instructions!$J$11=12,AW130,IF(Instructions!$J$11=13, AY130, IF(Instructions!$J$11=14,BA130,IF(Instructions!$J$11=15,BC130,BE130)))))))))))))))</f>
        <v>211</v>
      </c>
      <c r="C130" s="272">
        <v>128</v>
      </c>
      <c r="D130" s="329" t="str">
        <f>Instructions!F$42</f>
        <v>Trumbo</v>
      </c>
      <c r="E130" s="334" t="s">
        <v>1094</v>
      </c>
      <c r="F130" s="707"/>
      <c r="G130" s="279">
        <v>16</v>
      </c>
      <c r="H130" s="294" t="str">
        <f>Instructions!F$49</f>
        <v>Luke</v>
      </c>
      <c r="I130" s="274" t="s">
        <v>858</v>
      </c>
      <c r="J130" s="709"/>
      <c r="K130" s="279">
        <v>13</v>
      </c>
      <c r="L130" s="294" t="str">
        <f>Instructions!F$49</f>
        <v>Luke</v>
      </c>
      <c r="M130" s="274" t="s">
        <v>834</v>
      </c>
      <c r="N130" s="709"/>
      <c r="O130" s="279">
        <v>11</v>
      </c>
      <c r="P130" s="294" t="str">
        <f>Instructions!F$54</f>
        <v>[TEAM 13]</v>
      </c>
      <c r="Q130" s="274" t="s">
        <v>816</v>
      </c>
      <c r="R130" s="709"/>
      <c r="S130" s="279">
        <v>10</v>
      </c>
      <c r="T130" s="329" t="str">
        <f>Instructions!F$42</f>
        <v>Trumbo</v>
      </c>
      <c r="U130" s="330" t="s">
        <v>1579</v>
      </c>
      <c r="V130" s="707"/>
      <c r="W130" s="279">
        <v>8</v>
      </c>
      <c r="X130" s="280"/>
      <c r="Y130" s="190" t="str">
        <f>IFERROR( IF(Instructions!$E$11=8, D130&amp;COUNTIF(D$3:D130,D130), IF(Instructions!$E$11=10, H130&amp;COUNTIF(H$3:H130,H130),IF(Instructions!$E$11=12, L130&amp;COUNTIF(L$3:L130,L130),IF(Instructions!$E$11=14, P130&amp;COUNTIF(P$3:P130,P130),T130&amp;COUNTIF(T$3:T130,T130))))),"")</f>
        <v>Luke11</v>
      </c>
      <c r="Z130" s="321">
        <f>IF(Instructions!$E$11=8,IF($D130=Instructions!$F$42,Z129+1,Z129),IF(Instructions!$E$11=10,IF($H130=Instructions!$F$42,Z129+1,Z129),IF(Instructions!$E$11=12,IF($L130=Instructions!$F$42,Z129+1,Z129),IF(Instructions!$E$11=14,IF($P130=Instructions!$F$42,Z129+1,Z129),IF(Instructions!$E$11=16,IF($T130=Instructions!$F$42,Z129+1,Z129))))))</f>
        <v>11</v>
      </c>
      <c r="AA130" s="321" t="str">
        <f t="shared" si="24"/>
        <v>111</v>
      </c>
      <c r="AB130" s="321">
        <f>IF(Instructions!$E$11=8,IF($D130=Instructions!$F$43,AB129+1,AB129),IF(Instructions!$E$11=10,IF($H130=Instructions!$F$43,AB129+1,AB129),IF(Instructions!$E$11=12,IF($L130=Instructions!$F$43,AB129+1,AB129),IF(Instructions!$E$11=14,IF($P130=Instructions!$F$43,AB129+1,AB129),IF(Instructions!$E$11=16,IF($T130=Instructions!$F$43,AB129+1,AB129))))))</f>
        <v>11</v>
      </c>
      <c r="AC130" s="321" t="str">
        <f t="shared" si="16"/>
        <v>211</v>
      </c>
      <c r="AD130" s="321">
        <f>IF(Instructions!$E$11=8,IF($D130=Instructions!$F$44,AD129+1,AD129),IF(Instructions!$E$11=10,IF($H130=Instructions!$F$44,AD129+1,AD129),IF(Instructions!$E$11=12,IF($L130=Instructions!$F$44,AD129+1,AD129),IF(Instructions!$E$11=14,IF($P130=Instructions!$F$44,AD129+1,AD129),IF(Instructions!$E$11=16,IF($T130=Instructions!$F$44,AD129+1,AD129))))))</f>
        <v>11</v>
      </c>
      <c r="AE130" s="321" t="str">
        <f t="shared" si="17"/>
        <v>311</v>
      </c>
      <c r="AF130" s="321">
        <f>IF(Instructions!$E$11=8,IF($D130=Instructions!$F$45,AF129+1,AF129),IF(Instructions!$E$11=10,IF($H130=Instructions!$F$45,AF129+1,AF129),IF(Instructions!$E$11=12,IF($L130=Instructions!$F$45,AF129+1,AF129),IF(Instructions!$E$11=14,IF($P130=Instructions!$F$45,AF129+1,AF129),IF(Instructions!$E$11=16,IF($T130=Instructions!$F$45,AF129+1,AF129))))))</f>
        <v>11</v>
      </c>
      <c r="AG130" s="321" t="str">
        <f t="shared" si="18"/>
        <v>411</v>
      </c>
      <c r="AH130" s="321">
        <f>IF(Instructions!$E$11=8,IF($D130=Instructions!$F$46,AH129+1,AH129),IF(Instructions!$E$11=10,IF($H130=Instructions!$F$46,AH129+1,AH129),IF(Instructions!$E$11=12,IF($L130=Instructions!$F$46,AH129+1,AH129),IF(Instructions!$E$11=14,IF($P130=Instructions!$F$46,AH129+1,AH129),IF(Instructions!$E$11=16,IF($T130=Instructions!$F$46,AH129+1,AH129))))))</f>
        <v>11</v>
      </c>
      <c r="AI130" s="321" t="str">
        <f t="shared" si="19"/>
        <v>511</v>
      </c>
      <c r="AJ130" s="321">
        <f>IF(Instructions!$E$11=8,IF($D130=Instructions!$F$47,AJ129+1,AJ129),IF(Instructions!$E$11=10,IF($H130=Instructions!$F$47,AJ129+1,AJ129),IF(Instructions!$E$11=12,IF($L130=Instructions!$F$47,AJ129+1,AJ129),IF(Instructions!$E$11=14,IF($P130=Instructions!$F$47,AJ129+1,AJ129),IF(Instructions!$E$11=16,IF($T130=Instructions!$F$47,AJ129+1,AJ129))))))</f>
        <v>11</v>
      </c>
      <c r="AK130" s="321" t="str">
        <f t="shared" si="20"/>
        <v>611</v>
      </c>
      <c r="AL130" s="321">
        <f>IF(Instructions!$E$11=8,IF($D130=Instructions!$F$48,AL129+1,AL129),IF(Instructions!$E$11=10,IF($H130=Instructions!$F$48,AL129+1,AL129),IF(Instructions!$E$11=12,IF($L130=Instructions!$F$48,AL129+1,AL129),IF(Instructions!$E$11=14,IF($P130=Instructions!$F$48,AL129+1,AL129),IF(Instructions!$E$11=16,IF($T130=Instructions!$F$48,AL129+1,AL129))))))</f>
        <v>11</v>
      </c>
      <c r="AM130" s="321" t="str">
        <f t="shared" si="21"/>
        <v>711</v>
      </c>
      <c r="AN130" s="321">
        <f>IF(Instructions!$E$11=8,IF($D130=Instructions!$F$49,AN129+1,AN129),IF(Instructions!$E$11=10,IF($H130=Instructions!$F$49,AN129+1,AN129),IF(Instructions!$E$11=12,IF($L130=Instructions!$F$49,AN129+1,AN129),IF(Instructions!$E$11=14,IF($P130=Instructions!$F$49,AN129+1,AN129),IF(Instructions!$E$11=16,IF($T130=Instructions!$F$49,AN129+1,AN129))))))</f>
        <v>11</v>
      </c>
      <c r="AO130" s="321" t="str">
        <f t="shared" si="22"/>
        <v>811</v>
      </c>
      <c r="AP130" s="321">
        <f>IF(Instructions!$E$11=8,IF($D130=Instructions!$F$50,AP129+1,AP129),IF(Instructions!$E$11=10,IF($H130=Instructions!$F$50,AP129+1,AP129),IF(Instructions!$E$11=12,IF($L130=Instructions!$F$50,AP129+1,AP129),IF(Instructions!$E$11=14,IF($P130=Instructions!$F$50,AP129+1,AP129),IF(Instructions!$E$11=16,IF($T130=Instructions!$F$50,AP129+1,AP129))))))</f>
        <v>10</v>
      </c>
      <c r="AQ130" s="321" t="str">
        <f t="shared" si="23"/>
        <v>910</v>
      </c>
      <c r="AR130" s="321">
        <f>IF(Instructions!$E$11=8,IF($D130=Instructions!$F$51,AR129+1,AR129),IF(Instructions!$E$11=10,IF($H130=Instructions!$F$51,AR129+1,AR129),IF(Instructions!$E$11=12,IF($L130=Instructions!$F$51,AR129+1,AR129),IF(Instructions!$E$11=14,IF($P130=Instructions!$F$51,AR129+1,AR129),IF(Instructions!$E$11=16,IF($T130=Instructions!$F$51,AR129+1,AR129))))))</f>
        <v>10</v>
      </c>
      <c r="AS130" s="321" t="str">
        <f t="shared" si="25"/>
        <v>1010</v>
      </c>
      <c r="AT130" s="321">
        <f>IF(Instructions!$E$11=8,IF($D130=Instructions!$F$52,AT129+1,AT129),IF(Instructions!$E$11=10,IF($H130=Instructions!$F$52,AT129+1,AT129),IF(Instructions!$E$11=12,IF($L130=Instructions!$F$52,AT129+1,AT129),IF(Instructions!$E$11=14,IF($P130=Instructions!$F$52,AT129+1,AT129),IF(Instructions!$E$11=16,IF($T130=Instructions!$F$52,AT129+1,AT129))))))</f>
        <v>10</v>
      </c>
      <c r="AU130" s="321" t="str">
        <f t="shared" si="26"/>
        <v>1110</v>
      </c>
      <c r="AV130" s="321">
        <f>IF(Instructions!$E$11=8,IF($D130=Instructions!$F$53,AV129+1,AV129),IF(Instructions!$E$11=10,IF($H130=Instructions!$F$53,AV129+1,AV129),IF(Instructions!$E$11=12,IF($L130=Instructions!$F$53,AV129+1,AV129),IF(Instructions!$E$11=14,IF($P130=Instructions!$F$53,AV129+1,AV129),IF(Instructions!$E$11=16,IF($T130=Instructions!$F$53,AV129+1,AV129))))))</f>
        <v>10</v>
      </c>
      <c r="AW130" s="321" t="str">
        <f t="shared" si="27"/>
        <v>1210</v>
      </c>
      <c r="AX130" s="321">
        <f>IF(Instructions!$E$11=8,IF($D130=Instructions!$F$54,AX129+1,AX129),IF(Instructions!$E$11=10,IF($H130=Instructions!$F$54,AX129+1,AX129),IF(Instructions!$E$11=12,IF($L130=Instructions!$F$54,AX129+1,AX129),IF(Instructions!$E$11=14,IF($P130=Instructions!$F$54,AX129+1,AX129),IF(Instructions!$E$11=16,IF($T130=Instructions!$F$54,AX129+1,AX129))))))</f>
        <v>0</v>
      </c>
      <c r="AY130" s="321" t="str">
        <f t="shared" si="28"/>
        <v>1300</v>
      </c>
      <c r="AZ130" s="321">
        <f>IF(Instructions!$E$11=8,IF($D130=Instructions!$F$55,AZ129+1,AZ129),IF(Instructions!$E$11=10,IF($H130=Instructions!$F$55,AZ129+1,AZ129),IF(Instructions!$E$11=12,IF($L130=Instructions!$F$55,AZ129+1,AZ129),IF(Instructions!$E$11=14,IF($P130=Instructions!$F$55,AZ129+1,AZ129),IF(Instructions!$E$11=16,IF($T130=Instructions!$F$55,AZ129+1,AZ129))))))</f>
        <v>0</v>
      </c>
      <c r="BA130" s="321" t="str">
        <f t="shared" si="29"/>
        <v>1400</v>
      </c>
      <c r="BB130" s="321">
        <f>IF(Instructions!$E$11=8,IF($D130=Instructions!$F$56,BB129+1,BB129),IF(Instructions!$E$11=10,IF($H130=Instructions!$F$56,BB129+1,BB129),IF(Instructions!$E$11=12,IF($L130=Instructions!$F$56,BB129+1,BB129),IF(Instructions!$E$11=14,IF($P130=Instructions!$F$56,BB129+1,BB129),IF(Instructions!$E$11=16,IF($T130=Instructions!$F$56,BB129+1,BB129))))))</f>
        <v>0</v>
      </c>
      <c r="BC130" s="321" t="str">
        <f t="shared" si="30"/>
        <v>1500</v>
      </c>
      <c r="BD130" s="321">
        <f>IF(Instructions!$E$11=8,IF($D130=Instructions!$F$57,BD129+1,BD129),IF(Instructions!$E$11=10,IF($H130=Instructions!$F$57,BD129+1,BD129),IF(Instructions!$E$11=12,IF($L130=Instructions!$F$57,BD129+1,BD129),IF(Instructions!$E$11=14,IF($P130=Instructions!$F$57,BD129+1,BD129),IF(Instructions!$E$11=16,IF($T130=Instructions!$F$57,BD129+1,BD129))))))</f>
        <v>0</v>
      </c>
      <c r="BE130" s="321" t="str">
        <f t="shared" si="31"/>
        <v>1600</v>
      </c>
      <c r="BF130" s="321">
        <v>128</v>
      </c>
    </row>
    <row r="131" spans="1:58" ht="15" customHeight="1" x14ac:dyDescent="0.25">
      <c r="A131" s="280"/>
      <c r="B131" s="323" t="str">
        <f>IF(Instructions!$J$11=1,AA131,IF(Instructions!$J$11=2,AC131,IF(Instructions!$J$11=3,AE131,IF(Instructions!$J$11=4,AG131,IF(Instructions!$J$11=5,AI131,IF(Instructions!$J$11=6,AK131,IF(Instructions!$J$11=7,AM131,IF(Instructions!$J$11=8,AO131,IF(Instructions!$J$11=9,AQ131,IF(Instructions!$J$11=10,AS131,IF(Instructions!$J$11=11,AU131,IF(Instructions!$J$11=12,AW131,IF(Instructions!$J$11=13, AY131, IF(Instructions!$J$11=14,BA131,IF(Instructions!$J$11=15,BC131,BE131)))))))))))))))</f>
        <v>211</v>
      </c>
      <c r="C131" s="271">
        <v>129</v>
      </c>
      <c r="D131" s="325" t="str">
        <f>Instructions!F$42</f>
        <v>Trumbo</v>
      </c>
      <c r="E131" s="331" t="s">
        <v>1464</v>
      </c>
      <c r="F131" s="705" t="s">
        <v>1455</v>
      </c>
      <c r="G131" s="279">
        <v>17</v>
      </c>
      <c r="H131" s="293" t="str">
        <f>Instructions!F$50</f>
        <v>Dan</v>
      </c>
      <c r="I131" s="273" t="s">
        <v>859</v>
      </c>
      <c r="J131" s="709"/>
      <c r="K131" s="279">
        <v>13</v>
      </c>
      <c r="L131" s="293" t="str">
        <f>Instructions!F$50</f>
        <v>Dan</v>
      </c>
      <c r="M131" s="273" t="s">
        <v>835</v>
      </c>
      <c r="N131" s="709"/>
      <c r="O131" s="279">
        <v>11</v>
      </c>
      <c r="P131" s="293" t="str">
        <f>Instructions!F$53</f>
        <v>Zack</v>
      </c>
      <c r="Q131" s="273" t="s">
        <v>817</v>
      </c>
      <c r="R131" s="709"/>
      <c r="S131" s="279">
        <v>10</v>
      </c>
      <c r="T131" s="325" t="str">
        <f>Instructions!F$42</f>
        <v>Trumbo</v>
      </c>
      <c r="U131" s="326" t="s">
        <v>803</v>
      </c>
      <c r="V131" s="705" t="s">
        <v>904</v>
      </c>
      <c r="W131" s="279">
        <v>9</v>
      </c>
      <c r="X131" s="280"/>
      <c r="Y131" s="190" t="str">
        <f>IFERROR( IF(Instructions!$E$11=8, D131&amp;COUNTIF(D$3:D131,D131), IF(Instructions!$E$11=10, H131&amp;COUNTIF(H$3:H131,H131),IF(Instructions!$E$11=12, L131&amp;COUNTIF(L$3:L131,L131),IF(Instructions!$E$11=14, P131&amp;COUNTIF(P$3:P131,P131),T131&amp;COUNTIF(T$3:T131,T131))))),"")</f>
        <v>Dan11</v>
      </c>
      <c r="Z131" s="321">
        <f>IF(Instructions!$E$11=8,IF($D131=Instructions!$F$42,Z130+1,Z130),IF(Instructions!$E$11=10,IF($H131=Instructions!$F$42,Z130+1,Z130),IF(Instructions!$E$11=12,IF($L131=Instructions!$F$42,Z130+1,Z130),IF(Instructions!$E$11=14,IF($P131=Instructions!$F$42,Z130+1,Z130),IF(Instructions!$E$11=16,IF($T131=Instructions!$F$42,Z130+1,Z130))))))</f>
        <v>11</v>
      </c>
      <c r="AA131" s="321" t="str">
        <f t="shared" si="24"/>
        <v>111</v>
      </c>
      <c r="AB131" s="321">
        <f>IF(Instructions!$E$11=8,IF($D131=Instructions!$F$43,AB130+1,AB130),IF(Instructions!$E$11=10,IF($H131=Instructions!$F$43,AB130+1,AB130),IF(Instructions!$E$11=12,IF($L131=Instructions!$F$43,AB130+1,AB130),IF(Instructions!$E$11=14,IF($P131=Instructions!$F$43,AB130+1,AB130),IF(Instructions!$E$11=16,IF($T131=Instructions!$F$43,AB130+1,AB130))))))</f>
        <v>11</v>
      </c>
      <c r="AC131" s="321" t="str">
        <f t="shared" ref="AC131:AC194" si="32">IF(AB131&lt;10, 2&amp;0&amp;AB131, 2&amp;AB131)</f>
        <v>211</v>
      </c>
      <c r="AD131" s="321">
        <f>IF(Instructions!$E$11=8,IF($D131=Instructions!$F$44,AD130+1,AD130),IF(Instructions!$E$11=10,IF($H131=Instructions!$F$44,AD130+1,AD130),IF(Instructions!$E$11=12,IF($L131=Instructions!$F$44,AD130+1,AD130),IF(Instructions!$E$11=14,IF($P131=Instructions!$F$44,AD130+1,AD130),IF(Instructions!$E$11=16,IF($T131=Instructions!$F$44,AD130+1,AD130))))))</f>
        <v>11</v>
      </c>
      <c r="AE131" s="321" t="str">
        <f t="shared" ref="AE131:AE194" si="33">IF(AD131&lt;10, 3&amp;0&amp;AD131, 3&amp;AD131)</f>
        <v>311</v>
      </c>
      <c r="AF131" s="321">
        <f>IF(Instructions!$E$11=8,IF($D131=Instructions!$F$45,AF130+1,AF130),IF(Instructions!$E$11=10,IF($H131=Instructions!$F$45,AF130+1,AF130),IF(Instructions!$E$11=12,IF($L131=Instructions!$F$45,AF130+1,AF130),IF(Instructions!$E$11=14,IF($P131=Instructions!$F$45,AF130+1,AF130),IF(Instructions!$E$11=16,IF($T131=Instructions!$F$45,AF130+1,AF130))))))</f>
        <v>11</v>
      </c>
      <c r="AG131" s="321" t="str">
        <f t="shared" ref="AG131:AG194" si="34">IF(AF131&lt;10, 4&amp;0&amp;AF131, 4&amp;AF131)</f>
        <v>411</v>
      </c>
      <c r="AH131" s="321">
        <f>IF(Instructions!$E$11=8,IF($D131=Instructions!$F$46,AH130+1,AH130),IF(Instructions!$E$11=10,IF($H131=Instructions!$F$46,AH130+1,AH130),IF(Instructions!$E$11=12,IF($L131=Instructions!$F$46,AH130+1,AH130),IF(Instructions!$E$11=14,IF($P131=Instructions!$F$46,AH130+1,AH130),IF(Instructions!$E$11=16,IF($T131=Instructions!$F$46,AH130+1,AH130))))))</f>
        <v>11</v>
      </c>
      <c r="AI131" s="321" t="str">
        <f t="shared" ref="AI131:AI194" si="35">IF(AH131&lt;10, 5&amp;0&amp;AH131, 5&amp;AH131)</f>
        <v>511</v>
      </c>
      <c r="AJ131" s="321">
        <f>IF(Instructions!$E$11=8,IF($D131=Instructions!$F$47,AJ130+1,AJ130),IF(Instructions!$E$11=10,IF($H131=Instructions!$F$47,AJ130+1,AJ130),IF(Instructions!$E$11=12,IF($L131=Instructions!$F$47,AJ130+1,AJ130),IF(Instructions!$E$11=14,IF($P131=Instructions!$F$47,AJ130+1,AJ130),IF(Instructions!$E$11=16,IF($T131=Instructions!$F$47,AJ130+1,AJ130))))))</f>
        <v>11</v>
      </c>
      <c r="AK131" s="321" t="str">
        <f t="shared" ref="AK131:AK194" si="36">IF(AJ131&lt;10, 6&amp;0&amp;AJ131, 6&amp;AJ131)</f>
        <v>611</v>
      </c>
      <c r="AL131" s="321">
        <f>IF(Instructions!$E$11=8,IF($D131=Instructions!$F$48,AL130+1,AL130),IF(Instructions!$E$11=10,IF($H131=Instructions!$F$48,AL130+1,AL130),IF(Instructions!$E$11=12,IF($L131=Instructions!$F$48,AL130+1,AL130),IF(Instructions!$E$11=14,IF($P131=Instructions!$F$48,AL130+1,AL130),IF(Instructions!$E$11=16,IF($T131=Instructions!$F$48,AL130+1,AL130))))))</f>
        <v>11</v>
      </c>
      <c r="AM131" s="321" t="str">
        <f t="shared" ref="AM131:AM194" si="37">IF(AL131&lt;10, 7&amp;0&amp;AL131, 7&amp;AL131)</f>
        <v>711</v>
      </c>
      <c r="AN131" s="321">
        <f>IF(Instructions!$E$11=8,IF($D131=Instructions!$F$49,AN130+1,AN130),IF(Instructions!$E$11=10,IF($H131=Instructions!$F$49,AN130+1,AN130),IF(Instructions!$E$11=12,IF($L131=Instructions!$F$49,AN130+1,AN130),IF(Instructions!$E$11=14,IF($P131=Instructions!$F$49,AN130+1,AN130),IF(Instructions!$E$11=16,IF($T131=Instructions!$F$49,AN130+1,AN130))))))</f>
        <v>11</v>
      </c>
      <c r="AO131" s="321" t="str">
        <f t="shared" ref="AO131:AO194" si="38">IF(AN131&lt;10, 8&amp;0&amp;AN131, 8&amp;AN131)</f>
        <v>811</v>
      </c>
      <c r="AP131" s="321">
        <f>IF(Instructions!$E$11=8,IF($D131=Instructions!$F$50,AP130+1,AP130),IF(Instructions!$E$11=10,IF($H131=Instructions!$F$50,AP130+1,AP130),IF(Instructions!$E$11=12,IF($L131=Instructions!$F$50,AP130+1,AP130),IF(Instructions!$E$11=14,IF($P131=Instructions!$F$50,AP130+1,AP130),IF(Instructions!$E$11=16,IF($T131=Instructions!$F$50,AP130+1,AP130))))))</f>
        <v>11</v>
      </c>
      <c r="AQ131" s="321" t="str">
        <f t="shared" ref="AQ131:AQ194" si="39">IF(AP131&lt;10, 9&amp;0&amp;AP131, 9&amp;AP131)</f>
        <v>911</v>
      </c>
      <c r="AR131" s="321">
        <f>IF(Instructions!$E$11=8,IF($D131=Instructions!$F$51,AR130+1,AR130),IF(Instructions!$E$11=10,IF($H131=Instructions!$F$51,AR130+1,AR130),IF(Instructions!$E$11=12,IF($L131=Instructions!$F$51,AR130+1,AR130),IF(Instructions!$E$11=14,IF($P131=Instructions!$F$51,AR130+1,AR130),IF(Instructions!$E$11=16,IF($T131=Instructions!$F$51,AR130+1,AR130))))))</f>
        <v>10</v>
      </c>
      <c r="AS131" s="321" t="str">
        <f t="shared" si="25"/>
        <v>1010</v>
      </c>
      <c r="AT131" s="321">
        <f>IF(Instructions!$E$11=8,IF($D131=Instructions!$F$52,AT130+1,AT130),IF(Instructions!$E$11=10,IF($H131=Instructions!$F$52,AT130+1,AT130),IF(Instructions!$E$11=12,IF($L131=Instructions!$F$52,AT130+1,AT130),IF(Instructions!$E$11=14,IF($P131=Instructions!$F$52,AT130+1,AT130),IF(Instructions!$E$11=16,IF($T131=Instructions!$F$52,AT130+1,AT130))))))</f>
        <v>10</v>
      </c>
      <c r="AU131" s="321" t="str">
        <f t="shared" si="26"/>
        <v>1110</v>
      </c>
      <c r="AV131" s="321">
        <f>IF(Instructions!$E$11=8,IF($D131=Instructions!$F$53,AV130+1,AV130),IF(Instructions!$E$11=10,IF($H131=Instructions!$F$53,AV130+1,AV130),IF(Instructions!$E$11=12,IF($L131=Instructions!$F$53,AV130+1,AV130),IF(Instructions!$E$11=14,IF($P131=Instructions!$F$53,AV130+1,AV130),IF(Instructions!$E$11=16,IF($T131=Instructions!$F$53,AV130+1,AV130))))))</f>
        <v>10</v>
      </c>
      <c r="AW131" s="321" t="str">
        <f t="shared" si="27"/>
        <v>1210</v>
      </c>
      <c r="AX131" s="321">
        <f>IF(Instructions!$E$11=8,IF($D131=Instructions!$F$54,AX130+1,AX130),IF(Instructions!$E$11=10,IF($H131=Instructions!$F$54,AX130+1,AX130),IF(Instructions!$E$11=12,IF($L131=Instructions!$F$54,AX130+1,AX130),IF(Instructions!$E$11=14,IF($P131=Instructions!$F$54,AX130+1,AX130),IF(Instructions!$E$11=16,IF($T131=Instructions!$F$54,AX130+1,AX130))))))</f>
        <v>0</v>
      </c>
      <c r="AY131" s="321" t="str">
        <f t="shared" si="28"/>
        <v>1300</v>
      </c>
      <c r="AZ131" s="321">
        <f>IF(Instructions!$E$11=8,IF($D131=Instructions!$F$55,AZ130+1,AZ130),IF(Instructions!$E$11=10,IF($H131=Instructions!$F$55,AZ130+1,AZ130),IF(Instructions!$E$11=12,IF($L131=Instructions!$F$55,AZ130+1,AZ130),IF(Instructions!$E$11=14,IF($P131=Instructions!$F$55,AZ130+1,AZ130),IF(Instructions!$E$11=16,IF($T131=Instructions!$F$55,AZ130+1,AZ130))))))</f>
        <v>0</v>
      </c>
      <c r="BA131" s="321" t="str">
        <f t="shared" si="29"/>
        <v>1400</v>
      </c>
      <c r="BB131" s="321">
        <f>IF(Instructions!$E$11=8,IF($D131=Instructions!$F$56,BB130+1,BB130),IF(Instructions!$E$11=10,IF($H131=Instructions!$F$56,BB130+1,BB130),IF(Instructions!$E$11=12,IF($L131=Instructions!$F$56,BB130+1,BB130),IF(Instructions!$E$11=14,IF($P131=Instructions!$F$56,BB130+1,BB130),IF(Instructions!$E$11=16,IF($T131=Instructions!$F$56,BB130+1,BB130))))))</f>
        <v>0</v>
      </c>
      <c r="BC131" s="321" t="str">
        <f t="shared" si="30"/>
        <v>1500</v>
      </c>
      <c r="BD131" s="321">
        <f>IF(Instructions!$E$11=8,IF($D131=Instructions!$F$57,BD130+1,BD130),IF(Instructions!$E$11=10,IF($H131=Instructions!$F$57,BD130+1,BD130),IF(Instructions!$E$11=12,IF($L131=Instructions!$F$57,BD130+1,BD130),IF(Instructions!$E$11=14,IF($P131=Instructions!$F$57,BD130+1,BD130),IF(Instructions!$E$11=16,IF($T131=Instructions!$F$57,BD130+1,BD130))))))</f>
        <v>0</v>
      </c>
      <c r="BE131" s="321" t="str">
        <f t="shared" si="31"/>
        <v>1600</v>
      </c>
      <c r="BF131" s="321">
        <v>129</v>
      </c>
    </row>
    <row r="132" spans="1:58" ht="15.75" thickBot="1" x14ac:dyDescent="0.3">
      <c r="A132" s="280"/>
      <c r="B132" s="323" t="str">
        <f>IF(Instructions!$J$11=1,AA132,IF(Instructions!$J$11=2,AC132,IF(Instructions!$J$11=3,AE132,IF(Instructions!$J$11=4,AG132,IF(Instructions!$J$11=5,AI132,IF(Instructions!$J$11=6,AK132,IF(Instructions!$J$11=7,AM132,IF(Instructions!$J$11=8,AO132,IF(Instructions!$J$11=9,AQ132,IF(Instructions!$J$11=10,AS132,IF(Instructions!$J$11=11,AU132,IF(Instructions!$J$11=12,AW132,IF(Instructions!$J$11=13, AY132, IF(Instructions!$J$11=14,BA132,IF(Instructions!$J$11=15,BC132,BE132)))))))))))))))</f>
        <v>211</v>
      </c>
      <c r="C132" s="272">
        <v>130</v>
      </c>
      <c r="D132" s="327" t="str">
        <f>Instructions!F$43</f>
        <v>Camden</v>
      </c>
      <c r="E132" s="332" t="s">
        <v>1465</v>
      </c>
      <c r="F132" s="706"/>
      <c r="G132" s="279">
        <v>17</v>
      </c>
      <c r="H132" s="295" t="str">
        <f>Instructions!F$51</f>
        <v>Josh</v>
      </c>
      <c r="I132" s="277" t="s">
        <v>860</v>
      </c>
      <c r="J132" s="710"/>
      <c r="K132" s="279">
        <v>13</v>
      </c>
      <c r="L132" s="294" t="str">
        <f>Instructions!F$51</f>
        <v>Josh</v>
      </c>
      <c r="M132" s="274" t="s">
        <v>836</v>
      </c>
      <c r="N132" s="709"/>
      <c r="O132" s="279">
        <v>11</v>
      </c>
      <c r="P132" s="294" t="str">
        <f>Instructions!F$52</f>
        <v>Big R</v>
      </c>
      <c r="Q132" s="274" t="s">
        <v>818</v>
      </c>
      <c r="R132" s="709"/>
      <c r="S132" s="279">
        <v>10</v>
      </c>
      <c r="T132" s="327" t="str">
        <f>Instructions!F$43</f>
        <v>Camden</v>
      </c>
      <c r="U132" s="274" t="s">
        <v>804</v>
      </c>
      <c r="V132" s="706"/>
      <c r="W132" s="279">
        <v>9</v>
      </c>
      <c r="X132" s="280"/>
      <c r="Y132" s="190" t="str">
        <f>IFERROR( IF(Instructions!$E$11=8, D132&amp;COUNTIF(D$3:D132,D132), IF(Instructions!$E$11=10, H132&amp;COUNTIF(H$3:H132,H132),IF(Instructions!$E$11=12, L132&amp;COUNTIF(L$3:L132,L132),IF(Instructions!$E$11=14, P132&amp;COUNTIF(P$3:P132,P132),T132&amp;COUNTIF(T$3:T132,T132))))),"")</f>
        <v>Josh11</v>
      </c>
      <c r="Z132" s="321">
        <f>IF(Instructions!$E$11=8,IF($D132=Instructions!$F$42,Z131+1,Z131),IF(Instructions!$E$11=10,IF($H132=Instructions!$F$42,Z131+1,Z131),IF(Instructions!$E$11=12,IF($L132=Instructions!$F$42,Z131+1,Z131),IF(Instructions!$E$11=14,IF($P132=Instructions!$F$42,Z131+1,Z131),IF(Instructions!$E$11=16,IF($T132=Instructions!$F$42,Z131+1,Z131))))))</f>
        <v>11</v>
      </c>
      <c r="AA132" s="321" t="str">
        <f t="shared" ref="AA132:AA195" si="40">IF(Z132&lt;10, 1&amp;0&amp;Z132, 1&amp;Z132)</f>
        <v>111</v>
      </c>
      <c r="AB132" s="321">
        <f>IF(Instructions!$E$11=8,IF($D132=Instructions!$F$43,AB131+1,AB131),IF(Instructions!$E$11=10,IF($H132=Instructions!$F$43,AB131+1,AB131),IF(Instructions!$E$11=12,IF($L132=Instructions!$F$43,AB131+1,AB131),IF(Instructions!$E$11=14,IF($P132=Instructions!$F$43,AB131+1,AB131),IF(Instructions!$E$11=16,IF($T132=Instructions!$F$43,AB131+1,AB131))))))</f>
        <v>11</v>
      </c>
      <c r="AC132" s="321" t="str">
        <f t="shared" si="32"/>
        <v>211</v>
      </c>
      <c r="AD132" s="321">
        <f>IF(Instructions!$E$11=8,IF($D132=Instructions!$F$44,AD131+1,AD131),IF(Instructions!$E$11=10,IF($H132=Instructions!$F$44,AD131+1,AD131),IF(Instructions!$E$11=12,IF($L132=Instructions!$F$44,AD131+1,AD131),IF(Instructions!$E$11=14,IF($P132=Instructions!$F$44,AD131+1,AD131),IF(Instructions!$E$11=16,IF($T132=Instructions!$F$44,AD131+1,AD131))))))</f>
        <v>11</v>
      </c>
      <c r="AE132" s="321" t="str">
        <f t="shared" si="33"/>
        <v>311</v>
      </c>
      <c r="AF132" s="321">
        <f>IF(Instructions!$E$11=8,IF($D132=Instructions!$F$45,AF131+1,AF131),IF(Instructions!$E$11=10,IF($H132=Instructions!$F$45,AF131+1,AF131),IF(Instructions!$E$11=12,IF($L132=Instructions!$F$45,AF131+1,AF131),IF(Instructions!$E$11=14,IF($P132=Instructions!$F$45,AF131+1,AF131),IF(Instructions!$E$11=16,IF($T132=Instructions!$F$45,AF131+1,AF131))))))</f>
        <v>11</v>
      </c>
      <c r="AG132" s="321" t="str">
        <f t="shared" si="34"/>
        <v>411</v>
      </c>
      <c r="AH132" s="321">
        <f>IF(Instructions!$E$11=8,IF($D132=Instructions!$F$46,AH131+1,AH131),IF(Instructions!$E$11=10,IF($H132=Instructions!$F$46,AH131+1,AH131),IF(Instructions!$E$11=12,IF($L132=Instructions!$F$46,AH131+1,AH131),IF(Instructions!$E$11=14,IF($P132=Instructions!$F$46,AH131+1,AH131),IF(Instructions!$E$11=16,IF($T132=Instructions!$F$46,AH131+1,AH131))))))</f>
        <v>11</v>
      </c>
      <c r="AI132" s="321" t="str">
        <f t="shared" si="35"/>
        <v>511</v>
      </c>
      <c r="AJ132" s="321">
        <f>IF(Instructions!$E$11=8,IF($D132=Instructions!$F$47,AJ131+1,AJ131),IF(Instructions!$E$11=10,IF($H132=Instructions!$F$47,AJ131+1,AJ131),IF(Instructions!$E$11=12,IF($L132=Instructions!$F$47,AJ131+1,AJ131),IF(Instructions!$E$11=14,IF($P132=Instructions!$F$47,AJ131+1,AJ131),IF(Instructions!$E$11=16,IF($T132=Instructions!$F$47,AJ131+1,AJ131))))))</f>
        <v>11</v>
      </c>
      <c r="AK132" s="321" t="str">
        <f t="shared" si="36"/>
        <v>611</v>
      </c>
      <c r="AL132" s="321">
        <f>IF(Instructions!$E$11=8,IF($D132=Instructions!$F$48,AL131+1,AL131),IF(Instructions!$E$11=10,IF($H132=Instructions!$F$48,AL131+1,AL131),IF(Instructions!$E$11=12,IF($L132=Instructions!$F$48,AL131+1,AL131),IF(Instructions!$E$11=14,IF($P132=Instructions!$F$48,AL131+1,AL131),IF(Instructions!$E$11=16,IF($T132=Instructions!$F$48,AL131+1,AL131))))))</f>
        <v>11</v>
      </c>
      <c r="AM132" s="321" t="str">
        <f t="shared" si="37"/>
        <v>711</v>
      </c>
      <c r="AN132" s="321">
        <f>IF(Instructions!$E$11=8,IF($D132=Instructions!$F$49,AN131+1,AN131),IF(Instructions!$E$11=10,IF($H132=Instructions!$F$49,AN131+1,AN131),IF(Instructions!$E$11=12,IF($L132=Instructions!$F$49,AN131+1,AN131),IF(Instructions!$E$11=14,IF($P132=Instructions!$F$49,AN131+1,AN131),IF(Instructions!$E$11=16,IF($T132=Instructions!$F$49,AN131+1,AN131))))))</f>
        <v>11</v>
      </c>
      <c r="AO132" s="321" t="str">
        <f t="shared" si="38"/>
        <v>811</v>
      </c>
      <c r="AP132" s="321">
        <f>IF(Instructions!$E$11=8,IF($D132=Instructions!$F$50,AP131+1,AP131),IF(Instructions!$E$11=10,IF($H132=Instructions!$F$50,AP131+1,AP131),IF(Instructions!$E$11=12,IF($L132=Instructions!$F$50,AP131+1,AP131),IF(Instructions!$E$11=14,IF($P132=Instructions!$F$50,AP131+1,AP131),IF(Instructions!$E$11=16,IF($T132=Instructions!$F$50,AP131+1,AP131))))))</f>
        <v>11</v>
      </c>
      <c r="AQ132" s="321" t="str">
        <f t="shared" si="39"/>
        <v>911</v>
      </c>
      <c r="AR132" s="321">
        <f>IF(Instructions!$E$11=8,IF($D132=Instructions!$F$51,AR131+1,AR131),IF(Instructions!$E$11=10,IF($H132=Instructions!$F$51,AR131+1,AR131),IF(Instructions!$E$11=12,IF($L132=Instructions!$F$51,AR131+1,AR131),IF(Instructions!$E$11=14,IF($P132=Instructions!$F$51,AR131+1,AR131),IF(Instructions!$E$11=16,IF($T132=Instructions!$F$51,AR131+1,AR131))))))</f>
        <v>11</v>
      </c>
      <c r="AS132" s="321" t="str">
        <f t="shared" ref="AS132:AS195" si="41">IF(AR132&gt;9, 10&amp;AR132, 100&amp;AR132)</f>
        <v>1011</v>
      </c>
      <c r="AT132" s="321">
        <f>IF(Instructions!$E$11=8,IF($D132=Instructions!$F$52,AT131+1,AT131),IF(Instructions!$E$11=10,IF($H132=Instructions!$F$52,AT131+1,AT131),IF(Instructions!$E$11=12,IF($L132=Instructions!$F$52,AT131+1,AT131),IF(Instructions!$E$11=14,IF($P132=Instructions!$F$52,AT131+1,AT131),IF(Instructions!$E$11=16,IF($T132=Instructions!$F$52,AT131+1,AT131))))))</f>
        <v>10</v>
      </c>
      <c r="AU132" s="321" t="str">
        <f t="shared" ref="AU132:AU195" si="42">IF(AT132&gt;9, 11&amp;AT132, 110&amp;AT132)</f>
        <v>1110</v>
      </c>
      <c r="AV132" s="321">
        <f>IF(Instructions!$E$11=8,IF($D132=Instructions!$F$53,AV131+1,AV131),IF(Instructions!$E$11=10,IF($H132=Instructions!$F$53,AV131+1,AV131),IF(Instructions!$E$11=12,IF($L132=Instructions!$F$53,AV131+1,AV131),IF(Instructions!$E$11=14,IF($P132=Instructions!$F$53,AV131+1,AV131),IF(Instructions!$E$11=16,IF($T132=Instructions!$F$53,AV131+1,AV131))))))</f>
        <v>10</v>
      </c>
      <c r="AW132" s="321" t="str">
        <f t="shared" ref="AW132:AW195" si="43">IF(AV132&gt;9, 12&amp;AV132, 120&amp;AV132)</f>
        <v>1210</v>
      </c>
      <c r="AX132" s="321">
        <f>IF(Instructions!$E$11=8,IF($D132=Instructions!$F$54,AX131+1,AX131),IF(Instructions!$E$11=10,IF($H132=Instructions!$F$54,AX131+1,AX131),IF(Instructions!$E$11=12,IF($L132=Instructions!$F$54,AX131+1,AX131),IF(Instructions!$E$11=14,IF($P132=Instructions!$F$54,AX131+1,AX131),IF(Instructions!$E$11=16,IF($T132=Instructions!$F$54,AX131+1,AX131))))))</f>
        <v>0</v>
      </c>
      <c r="AY132" s="321" t="str">
        <f t="shared" ref="AY132:AY195" si="44">IF(AX132&gt;9, 13&amp;AX132, 130&amp;AX132)</f>
        <v>1300</v>
      </c>
      <c r="AZ132" s="321">
        <f>IF(Instructions!$E$11=8,IF($D132=Instructions!$F$55,AZ131+1,AZ131),IF(Instructions!$E$11=10,IF($H132=Instructions!$F$55,AZ131+1,AZ131),IF(Instructions!$E$11=12,IF($L132=Instructions!$F$55,AZ131+1,AZ131),IF(Instructions!$E$11=14,IF($P132=Instructions!$F$55,AZ131+1,AZ131),IF(Instructions!$E$11=16,IF($T132=Instructions!$F$55,AZ131+1,AZ131))))))</f>
        <v>0</v>
      </c>
      <c r="BA132" s="321" t="str">
        <f t="shared" ref="BA132:BA195" si="45">IF(AZ132&gt;9, 14&amp;AZ132, 140&amp;AZ132)</f>
        <v>1400</v>
      </c>
      <c r="BB132" s="321">
        <f>IF(Instructions!$E$11=8,IF($D132=Instructions!$F$56,BB131+1,BB131),IF(Instructions!$E$11=10,IF($H132=Instructions!$F$56,BB131+1,BB131),IF(Instructions!$E$11=12,IF($L132=Instructions!$F$56,BB131+1,BB131),IF(Instructions!$E$11=14,IF($P132=Instructions!$F$56,BB131+1,BB131),IF(Instructions!$E$11=16,IF($T132=Instructions!$F$56,BB131+1,BB131))))))</f>
        <v>0</v>
      </c>
      <c r="BC132" s="321" t="str">
        <f t="shared" ref="BC132:BC195" si="46">IF(BB132&gt;9, 15&amp;BB132, 150&amp;BB132)</f>
        <v>1500</v>
      </c>
      <c r="BD132" s="321">
        <f>IF(Instructions!$E$11=8,IF($D132=Instructions!$F$57,BD131+1,BD131),IF(Instructions!$E$11=10,IF($H132=Instructions!$F$57,BD131+1,BD131),IF(Instructions!$E$11=12,IF($L132=Instructions!$F$57,BD131+1,BD131),IF(Instructions!$E$11=14,IF($P132=Instructions!$F$57,BD131+1,BD131),IF(Instructions!$E$11=16,IF($T132=Instructions!$F$57,BD131+1,BD131))))))</f>
        <v>0</v>
      </c>
      <c r="BE132" s="321" t="str">
        <f t="shared" ref="BE132:BE195" si="47">IF(BD132&gt;9, 16&amp;BD132, 160&amp;BD132)</f>
        <v>1600</v>
      </c>
      <c r="BF132" s="321">
        <v>130</v>
      </c>
    </row>
    <row r="133" spans="1:58" ht="15" customHeight="1" x14ac:dyDescent="0.25">
      <c r="A133" s="280"/>
      <c r="B133" s="323" t="str">
        <f>IF(Instructions!$J$11=1,AA133,IF(Instructions!$J$11=2,AC133,IF(Instructions!$J$11=3,AE133,IF(Instructions!$J$11=4,AG133,IF(Instructions!$J$11=5,AI133,IF(Instructions!$J$11=6,AK133,IF(Instructions!$J$11=7,AM133,IF(Instructions!$J$11=8,AO133,IF(Instructions!$J$11=9,AQ133,IF(Instructions!$J$11=10,AS133,IF(Instructions!$J$11=11,AU133,IF(Instructions!$J$11=12,AW133,IF(Instructions!$J$11=13, AY133, IF(Instructions!$J$11=14,BA133,IF(Instructions!$J$11=15,BC133,BE133)))))))))))))))</f>
        <v>211</v>
      </c>
      <c r="C133" s="271">
        <v>131</v>
      </c>
      <c r="D133" s="328" t="str">
        <f>Instructions!F$44</f>
        <v>Cam</v>
      </c>
      <c r="E133" s="333" t="s">
        <v>1466</v>
      </c>
      <c r="F133" s="706"/>
      <c r="G133" s="279">
        <v>17</v>
      </c>
      <c r="H133" s="292" t="str">
        <f>Instructions!F$51</f>
        <v>Josh</v>
      </c>
      <c r="I133" s="278" t="s">
        <v>863</v>
      </c>
      <c r="J133" s="708" t="s">
        <v>909</v>
      </c>
      <c r="K133" s="279">
        <v>14</v>
      </c>
      <c r="L133" s="293" t="str">
        <f>Instructions!F$52</f>
        <v>Big R</v>
      </c>
      <c r="M133" s="273" t="s">
        <v>837</v>
      </c>
      <c r="N133" s="709"/>
      <c r="O133" s="279">
        <v>11</v>
      </c>
      <c r="P133" s="293" t="str">
        <f>Instructions!F$51</f>
        <v>Josh</v>
      </c>
      <c r="Q133" s="273" t="s">
        <v>819</v>
      </c>
      <c r="R133" s="709"/>
      <c r="S133" s="279">
        <v>10</v>
      </c>
      <c r="T133" s="328" t="str">
        <f>Instructions!F$44</f>
        <v>Cam</v>
      </c>
      <c r="U133" s="273" t="s">
        <v>805</v>
      </c>
      <c r="V133" s="706"/>
      <c r="W133" s="279">
        <v>9</v>
      </c>
      <c r="X133" s="280"/>
      <c r="Y133" s="190" t="str">
        <f>IFERROR( IF(Instructions!$E$11=8, D133&amp;COUNTIF(D$3:D133,D133), IF(Instructions!$E$11=10, H133&amp;COUNTIF(H$3:H133,H133),IF(Instructions!$E$11=12, L133&amp;COUNTIF(L$3:L133,L133),IF(Instructions!$E$11=14, P133&amp;COUNTIF(P$3:P133,P133),T133&amp;COUNTIF(T$3:T133,T133))))),"")</f>
        <v>Big R11</v>
      </c>
      <c r="Z133" s="321">
        <f>IF(Instructions!$E$11=8,IF($D133=Instructions!$F$42,Z132+1,Z132),IF(Instructions!$E$11=10,IF($H133=Instructions!$F$42,Z132+1,Z132),IF(Instructions!$E$11=12,IF($L133=Instructions!$F$42,Z132+1,Z132),IF(Instructions!$E$11=14,IF($P133=Instructions!$F$42,Z132+1,Z132),IF(Instructions!$E$11=16,IF($T133=Instructions!$F$42,Z132+1,Z132))))))</f>
        <v>11</v>
      </c>
      <c r="AA133" s="321" t="str">
        <f t="shared" si="40"/>
        <v>111</v>
      </c>
      <c r="AB133" s="321">
        <f>IF(Instructions!$E$11=8,IF($D133=Instructions!$F$43,AB132+1,AB132),IF(Instructions!$E$11=10,IF($H133=Instructions!$F$43,AB132+1,AB132),IF(Instructions!$E$11=12,IF($L133=Instructions!$F$43,AB132+1,AB132),IF(Instructions!$E$11=14,IF($P133=Instructions!$F$43,AB132+1,AB132),IF(Instructions!$E$11=16,IF($T133=Instructions!$F$43,AB132+1,AB132))))))</f>
        <v>11</v>
      </c>
      <c r="AC133" s="321" t="str">
        <f t="shared" si="32"/>
        <v>211</v>
      </c>
      <c r="AD133" s="321">
        <f>IF(Instructions!$E$11=8,IF($D133=Instructions!$F$44,AD132+1,AD132),IF(Instructions!$E$11=10,IF($H133=Instructions!$F$44,AD132+1,AD132),IF(Instructions!$E$11=12,IF($L133=Instructions!$F$44,AD132+1,AD132),IF(Instructions!$E$11=14,IF($P133=Instructions!$F$44,AD132+1,AD132),IF(Instructions!$E$11=16,IF($T133=Instructions!$F$44,AD132+1,AD132))))))</f>
        <v>11</v>
      </c>
      <c r="AE133" s="321" t="str">
        <f t="shared" si="33"/>
        <v>311</v>
      </c>
      <c r="AF133" s="321">
        <f>IF(Instructions!$E$11=8,IF($D133=Instructions!$F$45,AF132+1,AF132),IF(Instructions!$E$11=10,IF($H133=Instructions!$F$45,AF132+1,AF132),IF(Instructions!$E$11=12,IF($L133=Instructions!$F$45,AF132+1,AF132),IF(Instructions!$E$11=14,IF($P133=Instructions!$F$45,AF132+1,AF132),IF(Instructions!$E$11=16,IF($T133=Instructions!$F$45,AF132+1,AF132))))))</f>
        <v>11</v>
      </c>
      <c r="AG133" s="321" t="str">
        <f t="shared" si="34"/>
        <v>411</v>
      </c>
      <c r="AH133" s="321">
        <f>IF(Instructions!$E$11=8,IF($D133=Instructions!$F$46,AH132+1,AH132),IF(Instructions!$E$11=10,IF($H133=Instructions!$F$46,AH132+1,AH132),IF(Instructions!$E$11=12,IF($L133=Instructions!$F$46,AH132+1,AH132),IF(Instructions!$E$11=14,IF($P133=Instructions!$F$46,AH132+1,AH132),IF(Instructions!$E$11=16,IF($T133=Instructions!$F$46,AH132+1,AH132))))))</f>
        <v>11</v>
      </c>
      <c r="AI133" s="321" t="str">
        <f t="shared" si="35"/>
        <v>511</v>
      </c>
      <c r="AJ133" s="321">
        <f>IF(Instructions!$E$11=8,IF($D133=Instructions!$F$47,AJ132+1,AJ132),IF(Instructions!$E$11=10,IF($H133=Instructions!$F$47,AJ132+1,AJ132),IF(Instructions!$E$11=12,IF($L133=Instructions!$F$47,AJ132+1,AJ132),IF(Instructions!$E$11=14,IF($P133=Instructions!$F$47,AJ132+1,AJ132),IF(Instructions!$E$11=16,IF($T133=Instructions!$F$47,AJ132+1,AJ132))))))</f>
        <v>11</v>
      </c>
      <c r="AK133" s="321" t="str">
        <f t="shared" si="36"/>
        <v>611</v>
      </c>
      <c r="AL133" s="321">
        <f>IF(Instructions!$E$11=8,IF($D133=Instructions!$F$48,AL132+1,AL132),IF(Instructions!$E$11=10,IF($H133=Instructions!$F$48,AL132+1,AL132),IF(Instructions!$E$11=12,IF($L133=Instructions!$F$48,AL132+1,AL132),IF(Instructions!$E$11=14,IF($P133=Instructions!$F$48,AL132+1,AL132),IF(Instructions!$E$11=16,IF($T133=Instructions!$F$48,AL132+1,AL132))))))</f>
        <v>11</v>
      </c>
      <c r="AM133" s="321" t="str">
        <f t="shared" si="37"/>
        <v>711</v>
      </c>
      <c r="AN133" s="321">
        <f>IF(Instructions!$E$11=8,IF($D133=Instructions!$F$49,AN132+1,AN132),IF(Instructions!$E$11=10,IF($H133=Instructions!$F$49,AN132+1,AN132),IF(Instructions!$E$11=12,IF($L133=Instructions!$F$49,AN132+1,AN132),IF(Instructions!$E$11=14,IF($P133=Instructions!$F$49,AN132+1,AN132),IF(Instructions!$E$11=16,IF($T133=Instructions!$F$49,AN132+1,AN132))))))</f>
        <v>11</v>
      </c>
      <c r="AO133" s="321" t="str">
        <f t="shared" si="38"/>
        <v>811</v>
      </c>
      <c r="AP133" s="321">
        <f>IF(Instructions!$E$11=8,IF($D133=Instructions!$F$50,AP132+1,AP132),IF(Instructions!$E$11=10,IF($H133=Instructions!$F$50,AP132+1,AP132),IF(Instructions!$E$11=12,IF($L133=Instructions!$F$50,AP132+1,AP132),IF(Instructions!$E$11=14,IF($P133=Instructions!$F$50,AP132+1,AP132),IF(Instructions!$E$11=16,IF($T133=Instructions!$F$50,AP132+1,AP132))))))</f>
        <v>11</v>
      </c>
      <c r="AQ133" s="321" t="str">
        <f t="shared" si="39"/>
        <v>911</v>
      </c>
      <c r="AR133" s="321">
        <f>IF(Instructions!$E$11=8,IF($D133=Instructions!$F$51,AR132+1,AR132),IF(Instructions!$E$11=10,IF($H133=Instructions!$F$51,AR132+1,AR132),IF(Instructions!$E$11=12,IF($L133=Instructions!$F$51,AR132+1,AR132),IF(Instructions!$E$11=14,IF($P133=Instructions!$F$51,AR132+1,AR132),IF(Instructions!$E$11=16,IF($T133=Instructions!$F$51,AR132+1,AR132))))))</f>
        <v>11</v>
      </c>
      <c r="AS133" s="321" t="str">
        <f t="shared" si="41"/>
        <v>1011</v>
      </c>
      <c r="AT133" s="321">
        <f>IF(Instructions!$E$11=8,IF($D133=Instructions!$F$52,AT132+1,AT132),IF(Instructions!$E$11=10,IF($H133=Instructions!$F$52,AT132+1,AT132),IF(Instructions!$E$11=12,IF($L133=Instructions!$F$52,AT132+1,AT132),IF(Instructions!$E$11=14,IF($P133=Instructions!$F$52,AT132+1,AT132),IF(Instructions!$E$11=16,IF($T133=Instructions!$F$52,AT132+1,AT132))))))</f>
        <v>11</v>
      </c>
      <c r="AU133" s="321" t="str">
        <f t="shared" si="42"/>
        <v>1111</v>
      </c>
      <c r="AV133" s="321">
        <f>IF(Instructions!$E$11=8,IF($D133=Instructions!$F$53,AV132+1,AV132),IF(Instructions!$E$11=10,IF($H133=Instructions!$F$53,AV132+1,AV132),IF(Instructions!$E$11=12,IF($L133=Instructions!$F$53,AV132+1,AV132),IF(Instructions!$E$11=14,IF($P133=Instructions!$F$53,AV132+1,AV132),IF(Instructions!$E$11=16,IF($T133=Instructions!$F$53,AV132+1,AV132))))))</f>
        <v>10</v>
      </c>
      <c r="AW133" s="321" t="str">
        <f t="shared" si="43"/>
        <v>1210</v>
      </c>
      <c r="AX133" s="321">
        <f>IF(Instructions!$E$11=8,IF($D133=Instructions!$F$54,AX132+1,AX132),IF(Instructions!$E$11=10,IF($H133=Instructions!$F$54,AX132+1,AX132),IF(Instructions!$E$11=12,IF($L133=Instructions!$F$54,AX132+1,AX132),IF(Instructions!$E$11=14,IF($P133=Instructions!$F$54,AX132+1,AX132),IF(Instructions!$E$11=16,IF($T133=Instructions!$F$54,AX132+1,AX132))))))</f>
        <v>0</v>
      </c>
      <c r="AY133" s="321" t="str">
        <f t="shared" si="44"/>
        <v>1300</v>
      </c>
      <c r="AZ133" s="321">
        <f>IF(Instructions!$E$11=8,IF($D133=Instructions!$F$55,AZ132+1,AZ132),IF(Instructions!$E$11=10,IF($H133=Instructions!$F$55,AZ132+1,AZ132),IF(Instructions!$E$11=12,IF($L133=Instructions!$F$55,AZ132+1,AZ132),IF(Instructions!$E$11=14,IF($P133=Instructions!$F$55,AZ132+1,AZ132),IF(Instructions!$E$11=16,IF($T133=Instructions!$F$55,AZ132+1,AZ132))))))</f>
        <v>0</v>
      </c>
      <c r="BA133" s="321" t="str">
        <f t="shared" si="45"/>
        <v>1400</v>
      </c>
      <c r="BB133" s="321">
        <f>IF(Instructions!$E$11=8,IF($D133=Instructions!$F$56,BB132+1,BB132),IF(Instructions!$E$11=10,IF($H133=Instructions!$F$56,BB132+1,BB132),IF(Instructions!$E$11=12,IF($L133=Instructions!$F$56,BB132+1,BB132),IF(Instructions!$E$11=14,IF($P133=Instructions!$F$56,BB132+1,BB132),IF(Instructions!$E$11=16,IF($T133=Instructions!$F$56,BB132+1,BB132))))))</f>
        <v>0</v>
      </c>
      <c r="BC133" s="321" t="str">
        <f t="shared" si="46"/>
        <v>1500</v>
      </c>
      <c r="BD133" s="321">
        <f>IF(Instructions!$E$11=8,IF($D133=Instructions!$F$57,BD132+1,BD132),IF(Instructions!$E$11=10,IF($H133=Instructions!$F$57,BD132+1,BD132),IF(Instructions!$E$11=12,IF($L133=Instructions!$F$57,BD132+1,BD132),IF(Instructions!$E$11=14,IF($P133=Instructions!$F$57,BD132+1,BD132),IF(Instructions!$E$11=16,IF($T133=Instructions!$F$57,BD132+1,BD132))))))</f>
        <v>0</v>
      </c>
      <c r="BE133" s="321" t="str">
        <f t="shared" si="47"/>
        <v>1600</v>
      </c>
      <c r="BF133" s="321">
        <v>131</v>
      </c>
    </row>
    <row r="134" spans="1:58" ht="15.75" thickBot="1" x14ac:dyDescent="0.3">
      <c r="A134" s="280"/>
      <c r="B134" s="323" t="str">
        <f>IF(Instructions!$J$11=1,AA134,IF(Instructions!$J$11=2,AC134,IF(Instructions!$J$11=3,AE134,IF(Instructions!$J$11=4,AG134,IF(Instructions!$J$11=5,AI134,IF(Instructions!$J$11=6,AK134,IF(Instructions!$J$11=7,AM134,IF(Instructions!$J$11=8,AO134,IF(Instructions!$J$11=9,AQ134,IF(Instructions!$J$11=10,AS134,IF(Instructions!$J$11=11,AU134,IF(Instructions!$J$11=12,AW134,IF(Instructions!$J$11=13, AY134, IF(Instructions!$J$11=14,BA134,IF(Instructions!$J$11=15,BC134,BE134)))))))))))))))</f>
        <v>211</v>
      </c>
      <c r="C134" s="272">
        <v>132</v>
      </c>
      <c r="D134" s="327" t="str">
        <f>Instructions!F$45</f>
        <v>Miles</v>
      </c>
      <c r="E134" s="332" t="s">
        <v>1467</v>
      </c>
      <c r="F134" s="706"/>
      <c r="G134" s="279">
        <v>17</v>
      </c>
      <c r="H134" s="294" t="str">
        <f>Instructions!F$50</f>
        <v>Dan</v>
      </c>
      <c r="I134" s="274" t="s">
        <v>864</v>
      </c>
      <c r="J134" s="709"/>
      <c r="K134" s="279">
        <v>14</v>
      </c>
      <c r="L134" s="295" t="str">
        <f>Instructions!F$53</f>
        <v>Zack</v>
      </c>
      <c r="M134" s="277" t="s">
        <v>838</v>
      </c>
      <c r="N134" s="710"/>
      <c r="O134" s="279">
        <v>11</v>
      </c>
      <c r="P134" s="294" t="str">
        <f>Instructions!F$50</f>
        <v>Dan</v>
      </c>
      <c r="Q134" s="274" t="s">
        <v>820</v>
      </c>
      <c r="R134" s="709"/>
      <c r="S134" s="279">
        <v>10</v>
      </c>
      <c r="T134" s="327" t="str">
        <f>Instructions!F$45</f>
        <v>Miles</v>
      </c>
      <c r="U134" s="274" t="s">
        <v>806</v>
      </c>
      <c r="V134" s="706"/>
      <c r="W134" s="279">
        <v>9</v>
      </c>
      <c r="X134" s="280"/>
      <c r="Y134" s="190" t="str">
        <f>IFERROR( IF(Instructions!$E$11=8, D134&amp;COUNTIF(D$3:D134,D134), IF(Instructions!$E$11=10, H134&amp;COUNTIF(H$3:H134,H134),IF(Instructions!$E$11=12, L134&amp;COUNTIF(L$3:L134,L134),IF(Instructions!$E$11=14, P134&amp;COUNTIF(P$3:P134,P134),T134&amp;COUNTIF(T$3:T134,T134))))),"")</f>
        <v>Zack11</v>
      </c>
      <c r="Z134" s="321">
        <f>IF(Instructions!$E$11=8,IF($D134=Instructions!$F$42,Z133+1,Z133),IF(Instructions!$E$11=10,IF($H134=Instructions!$F$42,Z133+1,Z133),IF(Instructions!$E$11=12,IF($L134=Instructions!$F$42,Z133+1,Z133),IF(Instructions!$E$11=14,IF($P134=Instructions!$F$42,Z133+1,Z133),IF(Instructions!$E$11=16,IF($T134=Instructions!$F$42,Z133+1,Z133))))))</f>
        <v>11</v>
      </c>
      <c r="AA134" s="321" t="str">
        <f t="shared" si="40"/>
        <v>111</v>
      </c>
      <c r="AB134" s="321">
        <f>IF(Instructions!$E$11=8,IF($D134=Instructions!$F$43,AB133+1,AB133),IF(Instructions!$E$11=10,IF($H134=Instructions!$F$43,AB133+1,AB133),IF(Instructions!$E$11=12,IF($L134=Instructions!$F$43,AB133+1,AB133),IF(Instructions!$E$11=14,IF($P134=Instructions!$F$43,AB133+1,AB133),IF(Instructions!$E$11=16,IF($T134=Instructions!$F$43,AB133+1,AB133))))))</f>
        <v>11</v>
      </c>
      <c r="AC134" s="321" t="str">
        <f t="shared" si="32"/>
        <v>211</v>
      </c>
      <c r="AD134" s="321">
        <f>IF(Instructions!$E$11=8,IF($D134=Instructions!$F$44,AD133+1,AD133),IF(Instructions!$E$11=10,IF($H134=Instructions!$F$44,AD133+1,AD133),IF(Instructions!$E$11=12,IF($L134=Instructions!$F$44,AD133+1,AD133),IF(Instructions!$E$11=14,IF($P134=Instructions!$F$44,AD133+1,AD133),IF(Instructions!$E$11=16,IF($T134=Instructions!$F$44,AD133+1,AD133))))))</f>
        <v>11</v>
      </c>
      <c r="AE134" s="321" t="str">
        <f t="shared" si="33"/>
        <v>311</v>
      </c>
      <c r="AF134" s="321">
        <f>IF(Instructions!$E$11=8,IF($D134=Instructions!$F$45,AF133+1,AF133),IF(Instructions!$E$11=10,IF($H134=Instructions!$F$45,AF133+1,AF133),IF(Instructions!$E$11=12,IF($L134=Instructions!$F$45,AF133+1,AF133),IF(Instructions!$E$11=14,IF($P134=Instructions!$F$45,AF133+1,AF133),IF(Instructions!$E$11=16,IF($T134=Instructions!$F$45,AF133+1,AF133))))))</f>
        <v>11</v>
      </c>
      <c r="AG134" s="321" t="str">
        <f t="shared" si="34"/>
        <v>411</v>
      </c>
      <c r="AH134" s="321">
        <f>IF(Instructions!$E$11=8,IF($D134=Instructions!$F$46,AH133+1,AH133),IF(Instructions!$E$11=10,IF($H134=Instructions!$F$46,AH133+1,AH133),IF(Instructions!$E$11=12,IF($L134=Instructions!$F$46,AH133+1,AH133),IF(Instructions!$E$11=14,IF($P134=Instructions!$F$46,AH133+1,AH133),IF(Instructions!$E$11=16,IF($T134=Instructions!$F$46,AH133+1,AH133))))))</f>
        <v>11</v>
      </c>
      <c r="AI134" s="321" t="str">
        <f t="shared" si="35"/>
        <v>511</v>
      </c>
      <c r="AJ134" s="321">
        <f>IF(Instructions!$E$11=8,IF($D134=Instructions!$F$47,AJ133+1,AJ133),IF(Instructions!$E$11=10,IF($H134=Instructions!$F$47,AJ133+1,AJ133),IF(Instructions!$E$11=12,IF($L134=Instructions!$F$47,AJ133+1,AJ133),IF(Instructions!$E$11=14,IF($P134=Instructions!$F$47,AJ133+1,AJ133),IF(Instructions!$E$11=16,IF($T134=Instructions!$F$47,AJ133+1,AJ133))))))</f>
        <v>11</v>
      </c>
      <c r="AK134" s="321" t="str">
        <f t="shared" si="36"/>
        <v>611</v>
      </c>
      <c r="AL134" s="321">
        <f>IF(Instructions!$E$11=8,IF($D134=Instructions!$F$48,AL133+1,AL133),IF(Instructions!$E$11=10,IF($H134=Instructions!$F$48,AL133+1,AL133),IF(Instructions!$E$11=12,IF($L134=Instructions!$F$48,AL133+1,AL133),IF(Instructions!$E$11=14,IF($P134=Instructions!$F$48,AL133+1,AL133),IF(Instructions!$E$11=16,IF($T134=Instructions!$F$48,AL133+1,AL133))))))</f>
        <v>11</v>
      </c>
      <c r="AM134" s="321" t="str">
        <f t="shared" si="37"/>
        <v>711</v>
      </c>
      <c r="AN134" s="321">
        <f>IF(Instructions!$E$11=8,IF($D134=Instructions!$F$49,AN133+1,AN133),IF(Instructions!$E$11=10,IF($H134=Instructions!$F$49,AN133+1,AN133),IF(Instructions!$E$11=12,IF($L134=Instructions!$F$49,AN133+1,AN133),IF(Instructions!$E$11=14,IF($P134=Instructions!$F$49,AN133+1,AN133),IF(Instructions!$E$11=16,IF($T134=Instructions!$F$49,AN133+1,AN133))))))</f>
        <v>11</v>
      </c>
      <c r="AO134" s="321" t="str">
        <f t="shared" si="38"/>
        <v>811</v>
      </c>
      <c r="AP134" s="321">
        <f>IF(Instructions!$E$11=8,IF($D134=Instructions!$F$50,AP133+1,AP133),IF(Instructions!$E$11=10,IF($H134=Instructions!$F$50,AP133+1,AP133),IF(Instructions!$E$11=12,IF($L134=Instructions!$F$50,AP133+1,AP133),IF(Instructions!$E$11=14,IF($P134=Instructions!$F$50,AP133+1,AP133),IF(Instructions!$E$11=16,IF($T134=Instructions!$F$50,AP133+1,AP133))))))</f>
        <v>11</v>
      </c>
      <c r="AQ134" s="321" t="str">
        <f t="shared" si="39"/>
        <v>911</v>
      </c>
      <c r="AR134" s="321">
        <f>IF(Instructions!$E$11=8,IF($D134=Instructions!$F$51,AR133+1,AR133),IF(Instructions!$E$11=10,IF($H134=Instructions!$F$51,AR133+1,AR133),IF(Instructions!$E$11=12,IF($L134=Instructions!$F$51,AR133+1,AR133),IF(Instructions!$E$11=14,IF($P134=Instructions!$F$51,AR133+1,AR133),IF(Instructions!$E$11=16,IF($T134=Instructions!$F$51,AR133+1,AR133))))))</f>
        <v>11</v>
      </c>
      <c r="AS134" s="321" t="str">
        <f t="shared" si="41"/>
        <v>1011</v>
      </c>
      <c r="AT134" s="321">
        <f>IF(Instructions!$E$11=8,IF($D134=Instructions!$F$52,AT133+1,AT133),IF(Instructions!$E$11=10,IF($H134=Instructions!$F$52,AT133+1,AT133),IF(Instructions!$E$11=12,IF($L134=Instructions!$F$52,AT133+1,AT133),IF(Instructions!$E$11=14,IF($P134=Instructions!$F$52,AT133+1,AT133),IF(Instructions!$E$11=16,IF($T134=Instructions!$F$52,AT133+1,AT133))))))</f>
        <v>11</v>
      </c>
      <c r="AU134" s="321" t="str">
        <f t="shared" si="42"/>
        <v>1111</v>
      </c>
      <c r="AV134" s="321">
        <f>IF(Instructions!$E$11=8,IF($D134=Instructions!$F$53,AV133+1,AV133),IF(Instructions!$E$11=10,IF($H134=Instructions!$F$53,AV133+1,AV133),IF(Instructions!$E$11=12,IF($L134=Instructions!$F$53,AV133+1,AV133),IF(Instructions!$E$11=14,IF($P134=Instructions!$F$53,AV133+1,AV133),IF(Instructions!$E$11=16,IF($T134=Instructions!$F$53,AV133+1,AV133))))))</f>
        <v>11</v>
      </c>
      <c r="AW134" s="321" t="str">
        <f t="shared" si="43"/>
        <v>1211</v>
      </c>
      <c r="AX134" s="321">
        <f>IF(Instructions!$E$11=8,IF($D134=Instructions!$F$54,AX133+1,AX133),IF(Instructions!$E$11=10,IF($H134=Instructions!$F$54,AX133+1,AX133),IF(Instructions!$E$11=12,IF($L134=Instructions!$F$54,AX133+1,AX133),IF(Instructions!$E$11=14,IF($P134=Instructions!$F$54,AX133+1,AX133),IF(Instructions!$E$11=16,IF($T134=Instructions!$F$54,AX133+1,AX133))))))</f>
        <v>0</v>
      </c>
      <c r="AY134" s="321" t="str">
        <f t="shared" si="44"/>
        <v>1300</v>
      </c>
      <c r="AZ134" s="321">
        <f>IF(Instructions!$E$11=8,IF($D134=Instructions!$F$55,AZ133+1,AZ133),IF(Instructions!$E$11=10,IF($H134=Instructions!$F$55,AZ133+1,AZ133),IF(Instructions!$E$11=12,IF($L134=Instructions!$F$55,AZ133+1,AZ133),IF(Instructions!$E$11=14,IF($P134=Instructions!$F$55,AZ133+1,AZ133),IF(Instructions!$E$11=16,IF($T134=Instructions!$F$55,AZ133+1,AZ133))))))</f>
        <v>0</v>
      </c>
      <c r="BA134" s="321" t="str">
        <f t="shared" si="45"/>
        <v>1400</v>
      </c>
      <c r="BB134" s="321">
        <f>IF(Instructions!$E$11=8,IF($D134=Instructions!$F$56,BB133+1,BB133),IF(Instructions!$E$11=10,IF($H134=Instructions!$F$56,BB133+1,BB133),IF(Instructions!$E$11=12,IF($L134=Instructions!$F$56,BB133+1,BB133),IF(Instructions!$E$11=14,IF($P134=Instructions!$F$56,BB133+1,BB133),IF(Instructions!$E$11=16,IF($T134=Instructions!$F$56,BB133+1,BB133))))))</f>
        <v>0</v>
      </c>
      <c r="BC134" s="321" t="str">
        <f t="shared" si="46"/>
        <v>1500</v>
      </c>
      <c r="BD134" s="321">
        <f>IF(Instructions!$E$11=8,IF($D134=Instructions!$F$57,BD133+1,BD133),IF(Instructions!$E$11=10,IF($H134=Instructions!$F$57,BD133+1,BD133),IF(Instructions!$E$11=12,IF($L134=Instructions!$F$57,BD133+1,BD133),IF(Instructions!$E$11=14,IF($P134=Instructions!$F$57,BD133+1,BD133),IF(Instructions!$E$11=16,IF($T134=Instructions!$F$57,BD133+1,BD133))))))</f>
        <v>0</v>
      </c>
      <c r="BE134" s="321" t="str">
        <f t="shared" si="47"/>
        <v>1600</v>
      </c>
      <c r="BF134" s="321">
        <v>132</v>
      </c>
    </row>
    <row r="135" spans="1:58" ht="15" customHeight="1" x14ac:dyDescent="0.25">
      <c r="A135" s="280"/>
      <c r="B135" s="323" t="str">
        <f>IF(Instructions!$J$11=1,AA135,IF(Instructions!$J$11=2,AC135,IF(Instructions!$J$11=3,AE135,IF(Instructions!$J$11=4,AG135,IF(Instructions!$J$11=5,AI135,IF(Instructions!$J$11=6,AK135,IF(Instructions!$J$11=7,AM135,IF(Instructions!$J$11=8,AO135,IF(Instructions!$J$11=9,AQ135,IF(Instructions!$J$11=10,AS135,IF(Instructions!$J$11=11,AU135,IF(Instructions!$J$11=12,AW135,IF(Instructions!$J$11=13, AY135, IF(Instructions!$J$11=14,BA135,IF(Instructions!$J$11=15,BC135,BE135)))))))))))))))</f>
        <v>211</v>
      </c>
      <c r="C135" s="271">
        <v>133</v>
      </c>
      <c r="D135" s="328" t="str">
        <f>Instructions!F$46</f>
        <v>Con</v>
      </c>
      <c r="E135" s="333" t="s">
        <v>1468</v>
      </c>
      <c r="F135" s="706"/>
      <c r="G135" s="279">
        <v>17</v>
      </c>
      <c r="H135" s="293" t="str">
        <f>Instructions!F$49</f>
        <v>Luke</v>
      </c>
      <c r="I135" s="273" t="s">
        <v>865</v>
      </c>
      <c r="J135" s="709"/>
      <c r="K135" s="279">
        <v>14</v>
      </c>
      <c r="L135" s="292" t="str">
        <f>Instructions!F$53</f>
        <v>Zack</v>
      </c>
      <c r="M135" s="276" t="s">
        <v>839</v>
      </c>
      <c r="N135" s="708" t="s">
        <v>907</v>
      </c>
      <c r="O135" s="279">
        <v>12</v>
      </c>
      <c r="P135" s="293" t="str">
        <f>Instructions!F$49</f>
        <v>Luke</v>
      </c>
      <c r="Q135" s="273" t="s">
        <v>821</v>
      </c>
      <c r="R135" s="709"/>
      <c r="S135" s="279">
        <v>10</v>
      </c>
      <c r="T135" s="328" t="str">
        <f>Instructions!F$46</f>
        <v>Con</v>
      </c>
      <c r="U135" s="273" t="s">
        <v>807</v>
      </c>
      <c r="V135" s="706"/>
      <c r="W135" s="279">
        <v>9</v>
      </c>
      <c r="X135" s="280"/>
      <c r="Y135" s="190" t="str">
        <f>IFERROR( IF(Instructions!$E$11=8, D135&amp;COUNTIF(D$3:D135,D135), IF(Instructions!$E$11=10, H135&amp;COUNTIF(H$3:H135,H135),IF(Instructions!$E$11=12, L135&amp;COUNTIF(L$3:L135,L135),IF(Instructions!$E$11=14, P135&amp;COUNTIF(P$3:P135,P135),T135&amp;COUNTIF(T$3:T135,T135))))),"")</f>
        <v>Zack12</v>
      </c>
      <c r="Z135" s="321">
        <f>IF(Instructions!$E$11=8,IF($D135=Instructions!$F$42,Z134+1,Z134),IF(Instructions!$E$11=10,IF($H135=Instructions!$F$42,Z134+1,Z134),IF(Instructions!$E$11=12,IF($L135=Instructions!$F$42,Z134+1,Z134),IF(Instructions!$E$11=14,IF($P135=Instructions!$F$42,Z134+1,Z134),IF(Instructions!$E$11=16,IF($T135=Instructions!$F$42,Z134+1,Z134))))))</f>
        <v>11</v>
      </c>
      <c r="AA135" s="321" t="str">
        <f t="shared" si="40"/>
        <v>111</v>
      </c>
      <c r="AB135" s="321">
        <f>IF(Instructions!$E$11=8,IF($D135=Instructions!$F$43,AB134+1,AB134),IF(Instructions!$E$11=10,IF($H135=Instructions!$F$43,AB134+1,AB134),IF(Instructions!$E$11=12,IF($L135=Instructions!$F$43,AB134+1,AB134),IF(Instructions!$E$11=14,IF($P135=Instructions!$F$43,AB134+1,AB134),IF(Instructions!$E$11=16,IF($T135=Instructions!$F$43,AB134+1,AB134))))))</f>
        <v>11</v>
      </c>
      <c r="AC135" s="321" t="str">
        <f t="shared" si="32"/>
        <v>211</v>
      </c>
      <c r="AD135" s="321">
        <f>IF(Instructions!$E$11=8,IF($D135=Instructions!$F$44,AD134+1,AD134),IF(Instructions!$E$11=10,IF($H135=Instructions!$F$44,AD134+1,AD134),IF(Instructions!$E$11=12,IF($L135=Instructions!$F$44,AD134+1,AD134),IF(Instructions!$E$11=14,IF($P135=Instructions!$F$44,AD134+1,AD134),IF(Instructions!$E$11=16,IF($T135=Instructions!$F$44,AD134+1,AD134))))))</f>
        <v>11</v>
      </c>
      <c r="AE135" s="321" t="str">
        <f t="shared" si="33"/>
        <v>311</v>
      </c>
      <c r="AF135" s="321">
        <f>IF(Instructions!$E$11=8,IF($D135=Instructions!$F$45,AF134+1,AF134),IF(Instructions!$E$11=10,IF($H135=Instructions!$F$45,AF134+1,AF134),IF(Instructions!$E$11=12,IF($L135=Instructions!$F$45,AF134+1,AF134),IF(Instructions!$E$11=14,IF($P135=Instructions!$F$45,AF134+1,AF134),IF(Instructions!$E$11=16,IF($T135=Instructions!$F$45,AF134+1,AF134))))))</f>
        <v>11</v>
      </c>
      <c r="AG135" s="321" t="str">
        <f t="shared" si="34"/>
        <v>411</v>
      </c>
      <c r="AH135" s="321">
        <f>IF(Instructions!$E$11=8,IF($D135=Instructions!$F$46,AH134+1,AH134),IF(Instructions!$E$11=10,IF($H135=Instructions!$F$46,AH134+1,AH134),IF(Instructions!$E$11=12,IF($L135=Instructions!$F$46,AH134+1,AH134),IF(Instructions!$E$11=14,IF($P135=Instructions!$F$46,AH134+1,AH134),IF(Instructions!$E$11=16,IF($T135=Instructions!$F$46,AH134+1,AH134))))))</f>
        <v>11</v>
      </c>
      <c r="AI135" s="321" t="str">
        <f t="shared" si="35"/>
        <v>511</v>
      </c>
      <c r="AJ135" s="321">
        <f>IF(Instructions!$E$11=8,IF($D135=Instructions!$F$47,AJ134+1,AJ134),IF(Instructions!$E$11=10,IF($H135=Instructions!$F$47,AJ134+1,AJ134),IF(Instructions!$E$11=12,IF($L135=Instructions!$F$47,AJ134+1,AJ134),IF(Instructions!$E$11=14,IF($P135=Instructions!$F$47,AJ134+1,AJ134),IF(Instructions!$E$11=16,IF($T135=Instructions!$F$47,AJ134+1,AJ134))))))</f>
        <v>11</v>
      </c>
      <c r="AK135" s="321" t="str">
        <f t="shared" si="36"/>
        <v>611</v>
      </c>
      <c r="AL135" s="321">
        <f>IF(Instructions!$E$11=8,IF($D135=Instructions!$F$48,AL134+1,AL134),IF(Instructions!$E$11=10,IF($H135=Instructions!$F$48,AL134+1,AL134),IF(Instructions!$E$11=12,IF($L135=Instructions!$F$48,AL134+1,AL134),IF(Instructions!$E$11=14,IF($P135=Instructions!$F$48,AL134+1,AL134),IF(Instructions!$E$11=16,IF($T135=Instructions!$F$48,AL134+1,AL134))))))</f>
        <v>11</v>
      </c>
      <c r="AM135" s="321" t="str">
        <f t="shared" si="37"/>
        <v>711</v>
      </c>
      <c r="AN135" s="321">
        <f>IF(Instructions!$E$11=8,IF($D135=Instructions!$F$49,AN134+1,AN134),IF(Instructions!$E$11=10,IF($H135=Instructions!$F$49,AN134+1,AN134),IF(Instructions!$E$11=12,IF($L135=Instructions!$F$49,AN134+1,AN134),IF(Instructions!$E$11=14,IF($P135=Instructions!$F$49,AN134+1,AN134),IF(Instructions!$E$11=16,IF($T135=Instructions!$F$49,AN134+1,AN134))))))</f>
        <v>11</v>
      </c>
      <c r="AO135" s="321" t="str">
        <f t="shared" si="38"/>
        <v>811</v>
      </c>
      <c r="AP135" s="321">
        <f>IF(Instructions!$E$11=8,IF($D135=Instructions!$F$50,AP134+1,AP134),IF(Instructions!$E$11=10,IF($H135=Instructions!$F$50,AP134+1,AP134),IF(Instructions!$E$11=12,IF($L135=Instructions!$F$50,AP134+1,AP134),IF(Instructions!$E$11=14,IF($P135=Instructions!$F$50,AP134+1,AP134),IF(Instructions!$E$11=16,IF($T135=Instructions!$F$50,AP134+1,AP134))))))</f>
        <v>11</v>
      </c>
      <c r="AQ135" s="321" t="str">
        <f t="shared" si="39"/>
        <v>911</v>
      </c>
      <c r="AR135" s="321">
        <f>IF(Instructions!$E$11=8,IF($D135=Instructions!$F$51,AR134+1,AR134),IF(Instructions!$E$11=10,IF($H135=Instructions!$F$51,AR134+1,AR134),IF(Instructions!$E$11=12,IF($L135=Instructions!$F$51,AR134+1,AR134),IF(Instructions!$E$11=14,IF($P135=Instructions!$F$51,AR134+1,AR134),IF(Instructions!$E$11=16,IF($T135=Instructions!$F$51,AR134+1,AR134))))))</f>
        <v>11</v>
      </c>
      <c r="AS135" s="321" t="str">
        <f t="shared" si="41"/>
        <v>1011</v>
      </c>
      <c r="AT135" s="321">
        <f>IF(Instructions!$E$11=8,IF($D135=Instructions!$F$52,AT134+1,AT134),IF(Instructions!$E$11=10,IF($H135=Instructions!$F$52,AT134+1,AT134),IF(Instructions!$E$11=12,IF($L135=Instructions!$F$52,AT134+1,AT134),IF(Instructions!$E$11=14,IF($P135=Instructions!$F$52,AT134+1,AT134),IF(Instructions!$E$11=16,IF($T135=Instructions!$F$52,AT134+1,AT134))))))</f>
        <v>11</v>
      </c>
      <c r="AU135" s="321" t="str">
        <f t="shared" si="42"/>
        <v>1111</v>
      </c>
      <c r="AV135" s="321">
        <f>IF(Instructions!$E$11=8,IF($D135=Instructions!$F$53,AV134+1,AV134),IF(Instructions!$E$11=10,IF($H135=Instructions!$F$53,AV134+1,AV134),IF(Instructions!$E$11=12,IF($L135=Instructions!$F$53,AV134+1,AV134),IF(Instructions!$E$11=14,IF($P135=Instructions!$F$53,AV134+1,AV134),IF(Instructions!$E$11=16,IF($T135=Instructions!$F$53,AV134+1,AV134))))))</f>
        <v>12</v>
      </c>
      <c r="AW135" s="321" t="str">
        <f t="shared" si="43"/>
        <v>1212</v>
      </c>
      <c r="AX135" s="321">
        <f>IF(Instructions!$E$11=8,IF($D135=Instructions!$F$54,AX134+1,AX134),IF(Instructions!$E$11=10,IF($H135=Instructions!$F$54,AX134+1,AX134),IF(Instructions!$E$11=12,IF($L135=Instructions!$F$54,AX134+1,AX134),IF(Instructions!$E$11=14,IF($P135=Instructions!$F$54,AX134+1,AX134),IF(Instructions!$E$11=16,IF($T135=Instructions!$F$54,AX134+1,AX134))))))</f>
        <v>0</v>
      </c>
      <c r="AY135" s="321" t="str">
        <f t="shared" si="44"/>
        <v>1300</v>
      </c>
      <c r="AZ135" s="321">
        <f>IF(Instructions!$E$11=8,IF($D135=Instructions!$F$55,AZ134+1,AZ134),IF(Instructions!$E$11=10,IF($H135=Instructions!$F$55,AZ134+1,AZ134),IF(Instructions!$E$11=12,IF($L135=Instructions!$F$55,AZ134+1,AZ134),IF(Instructions!$E$11=14,IF($P135=Instructions!$F$55,AZ134+1,AZ134),IF(Instructions!$E$11=16,IF($T135=Instructions!$F$55,AZ134+1,AZ134))))))</f>
        <v>0</v>
      </c>
      <c r="BA135" s="321" t="str">
        <f t="shared" si="45"/>
        <v>1400</v>
      </c>
      <c r="BB135" s="321">
        <f>IF(Instructions!$E$11=8,IF($D135=Instructions!$F$56,BB134+1,BB134),IF(Instructions!$E$11=10,IF($H135=Instructions!$F$56,BB134+1,BB134),IF(Instructions!$E$11=12,IF($L135=Instructions!$F$56,BB134+1,BB134),IF(Instructions!$E$11=14,IF($P135=Instructions!$F$56,BB134+1,BB134),IF(Instructions!$E$11=16,IF($T135=Instructions!$F$56,BB134+1,BB134))))))</f>
        <v>0</v>
      </c>
      <c r="BC135" s="321" t="str">
        <f t="shared" si="46"/>
        <v>1500</v>
      </c>
      <c r="BD135" s="321">
        <f>IF(Instructions!$E$11=8,IF($D135=Instructions!$F$57,BD134+1,BD134),IF(Instructions!$E$11=10,IF($H135=Instructions!$F$57,BD134+1,BD134),IF(Instructions!$E$11=12,IF($L135=Instructions!$F$57,BD134+1,BD134),IF(Instructions!$E$11=14,IF($P135=Instructions!$F$57,BD134+1,BD134),IF(Instructions!$E$11=16,IF($T135=Instructions!$F$57,BD134+1,BD134))))))</f>
        <v>0</v>
      </c>
      <c r="BE135" s="321" t="str">
        <f t="shared" si="47"/>
        <v>1600</v>
      </c>
      <c r="BF135" s="321">
        <v>133</v>
      </c>
    </row>
    <row r="136" spans="1:58" x14ac:dyDescent="0.25">
      <c r="A136" s="280"/>
      <c r="B136" s="323" t="str">
        <f>IF(Instructions!$J$11=1,AA136,IF(Instructions!$J$11=2,AC136,IF(Instructions!$J$11=3,AE136,IF(Instructions!$J$11=4,AG136,IF(Instructions!$J$11=5,AI136,IF(Instructions!$J$11=6,AK136,IF(Instructions!$J$11=7,AM136,IF(Instructions!$J$11=8,AO136,IF(Instructions!$J$11=9,AQ136,IF(Instructions!$J$11=10,AS136,IF(Instructions!$J$11=11,AU136,IF(Instructions!$J$11=12,AW136,IF(Instructions!$J$11=13, AY136, IF(Instructions!$J$11=14,BA136,IF(Instructions!$J$11=15,BC136,BE136)))))))))))))))</f>
        <v>211</v>
      </c>
      <c r="C136" s="272">
        <v>134</v>
      </c>
      <c r="D136" s="327" t="str">
        <f>Instructions!F$47</f>
        <v>Devin</v>
      </c>
      <c r="E136" s="332" t="s">
        <v>1469</v>
      </c>
      <c r="F136" s="706"/>
      <c r="G136" s="279">
        <v>17</v>
      </c>
      <c r="H136" s="294" t="str">
        <f>Instructions!F$48</f>
        <v>Bui</v>
      </c>
      <c r="I136" s="274" t="s">
        <v>866</v>
      </c>
      <c r="J136" s="709"/>
      <c r="K136" s="279">
        <v>14</v>
      </c>
      <c r="L136" s="294" t="str">
        <f>Instructions!F$52</f>
        <v>Big R</v>
      </c>
      <c r="M136" s="274" t="s">
        <v>840</v>
      </c>
      <c r="N136" s="709"/>
      <c r="O136" s="279">
        <v>12</v>
      </c>
      <c r="P136" s="294" t="str">
        <f>Instructions!F$48</f>
        <v>Bui</v>
      </c>
      <c r="Q136" s="274" t="s">
        <v>822</v>
      </c>
      <c r="R136" s="709"/>
      <c r="S136" s="279">
        <v>10</v>
      </c>
      <c r="T136" s="327" t="str">
        <f>Instructions!F$47</f>
        <v>Devin</v>
      </c>
      <c r="U136" s="274" t="s">
        <v>808</v>
      </c>
      <c r="V136" s="706"/>
      <c r="W136" s="279">
        <v>9</v>
      </c>
      <c r="X136" s="280"/>
      <c r="Y136" s="190" t="str">
        <f>IFERROR( IF(Instructions!$E$11=8, D136&amp;COUNTIF(D$3:D136,D136), IF(Instructions!$E$11=10, H136&amp;COUNTIF(H$3:H136,H136),IF(Instructions!$E$11=12, L136&amp;COUNTIF(L$3:L136,L136),IF(Instructions!$E$11=14, P136&amp;COUNTIF(P$3:P136,P136),T136&amp;COUNTIF(T$3:T136,T136))))),"")</f>
        <v>Big R12</v>
      </c>
      <c r="Z136" s="321">
        <f>IF(Instructions!$E$11=8,IF($D136=Instructions!$F$42,Z135+1,Z135),IF(Instructions!$E$11=10,IF($H136=Instructions!$F$42,Z135+1,Z135),IF(Instructions!$E$11=12,IF($L136=Instructions!$F$42,Z135+1,Z135),IF(Instructions!$E$11=14,IF($P136=Instructions!$F$42,Z135+1,Z135),IF(Instructions!$E$11=16,IF($T136=Instructions!$F$42,Z135+1,Z135))))))</f>
        <v>11</v>
      </c>
      <c r="AA136" s="321" t="str">
        <f t="shared" si="40"/>
        <v>111</v>
      </c>
      <c r="AB136" s="321">
        <f>IF(Instructions!$E$11=8,IF($D136=Instructions!$F$43,AB135+1,AB135),IF(Instructions!$E$11=10,IF($H136=Instructions!$F$43,AB135+1,AB135),IF(Instructions!$E$11=12,IF($L136=Instructions!$F$43,AB135+1,AB135),IF(Instructions!$E$11=14,IF($P136=Instructions!$F$43,AB135+1,AB135),IF(Instructions!$E$11=16,IF($T136=Instructions!$F$43,AB135+1,AB135))))))</f>
        <v>11</v>
      </c>
      <c r="AC136" s="321" t="str">
        <f t="shared" si="32"/>
        <v>211</v>
      </c>
      <c r="AD136" s="321">
        <f>IF(Instructions!$E$11=8,IF($D136=Instructions!$F$44,AD135+1,AD135),IF(Instructions!$E$11=10,IF($H136=Instructions!$F$44,AD135+1,AD135),IF(Instructions!$E$11=12,IF($L136=Instructions!$F$44,AD135+1,AD135),IF(Instructions!$E$11=14,IF($P136=Instructions!$F$44,AD135+1,AD135),IF(Instructions!$E$11=16,IF($T136=Instructions!$F$44,AD135+1,AD135))))))</f>
        <v>11</v>
      </c>
      <c r="AE136" s="321" t="str">
        <f t="shared" si="33"/>
        <v>311</v>
      </c>
      <c r="AF136" s="321">
        <f>IF(Instructions!$E$11=8,IF($D136=Instructions!$F$45,AF135+1,AF135),IF(Instructions!$E$11=10,IF($H136=Instructions!$F$45,AF135+1,AF135),IF(Instructions!$E$11=12,IF($L136=Instructions!$F$45,AF135+1,AF135),IF(Instructions!$E$11=14,IF($P136=Instructions!$F$45,AF135+1,AF135),IF(Instructions!$E$11=16,IF($T136=Instructions!$F$45,AF135+1,AF135))))))</f>
        <v>11</v>
      </c>
      <c r="AG136" s="321" t="str">
        <f t="shared" si="34"/>
        <v>411</v>
      </c>
      <c r="AH136" s="321">
        <f>IF(Instructions!$E$11=8,IF($D136=Instructions!$F$46,AH135+1,AH135),IF(Instructions!$E$11=10,IF($H136=Instructions!$F$46,AH135+1,AH135),IF(Instructions!$E$11=12,IF($L136=Instructions!$F$46,AH135+1,AH135),IF(Instructions!$E$11=14,IF($P136=Instructions!$F$46,AH135+1,AH135),IF(Instructions!$E$11=16,IF($T136=Instructions!$F$46,AH135+1,AH135))))))</f>
        <v>11</v>
      </c>
      <c r="AI136" s="321" t="str">
        <f t="shared" si="35"/>
        <v>511</v>
      </c>
      <c r="AJ136" s="321">
        <f>IF(Instructions!$E$11=8,IF($D136=Instructions!$F$47,AJ135+1,AJ135),IF(Instructions!$E$11=10,IF($H136=Instructions!$F$47,AJ135+1,AJ135),IF(Instructions!$E$11=12,IF($L136=Instructions!$F$47,AJ135+1,AJ135),IF(Instructions!$E$11=14,IF($P136=Instructions!$F$47,AJ135+1,AJ135),IF(Instructions!$E$11=16,IF($T136=Instructions!$F$47,AJ135+1,AJ135))))))</f>
        <v>11</v>
      </c>
      <c r="AK136" s="321" t="str">
        <f t="shared" si="36"/>
        <v>611</v>
      </c>
      <c r="AL136" s="321">
        <f>IF(Instructions!$E$11=8,IF($D136=Instructions!$F$48,AL135+1,AL135),IF(Instructions!$E$11=10,IF($H136=Instructions!$F$48,AL135+1,AL135),IF(Instructions!$E$11=12,IF($L136=Instructions!$F$48,AL135+1,AL135),IF(Instructions!$E$11=14,IF($P136=Instructions!$F$48,AL135+1,AL135),IF(Instructions!$E$11=16,IF($T136=Instructions!$F$48,AL135+1,AL135))))))</f>
        <v>11</v>
      </c>
      <c r="AM136" s="321" t="str">
        <f t="shared" si="37"/>
        <v>711</v>
      </c>
      <c r="AN136" s="321">
        <f>IF(Instructions!$E$11=8,IF($D136=Instructions!$F$49,AN135+1,AN135),IF(Instructions!$E$11=10,IF($H136=Instructions!$F$49,AN135+1,AN135),IF(Instructions!$E$11=12,IF($L136=Instructions!$F$49,AN135+1,AN135),IF(Instructions!$E$11=14,IF($P136=Instructions!$F$49,AN135+1,AN135),IF(Instructions!$E$11=16,IF($T136=Instructions!$F$49,AN135+1,AN135))))))</f>
        <v>11</v>
      </c>
      <c r="AO136" s="321" t="str">
        <f t="shared" si="38"/>
        <v>811</v>
      </c>
      <c r="AP136" s="321">
        <f>IF(Instructions!$E$11=8,IF($D136=Instructions!$F$50,AP135+1,AP135),IF(Instructions!$E$11=10,IF($H136=Instructions!$F$50,AP135+1,AP135),IF(Instructions!$E$11=12,IF($L136=Instructions!$F$50,AP135+1,AP135),IF(Instructions!$E$11=14,IF($P136=Instructions!$F$50,AP135+1,AP135),IF(Instructions!$E$11=16,IF($T136=Instructions!$F$50,AP135+1,AP135))))))</f>
        <v>11</v>
      </c>
      <c r="AQ136" s="321" t="str">
        <f t="shared" si="39"/>
        <v>911</v>
      </c>
      <c r="AR136" s="321">
        <f>IF(Instructions!$E$11=8,IF($D136=Instructions!$F$51,AR135+1,AR135),IF(Instructions!$E$11=10,IF($H136=Instructions!$F$51,AR135+1,AR135),IF(Instructions!$E$11=12,IF($L136=Instructions!$F$51,AR135+1,AR135),IF(Instructions!$E$11=14,IF($P136=Instructions!$F$51,AR135+1,AR135),IF(Instructions!$E$11=16,IF($T136=Instructions!$F$51,AR135+1,AR135))))))</f>
        <v>11</v>
      </c>
      <c r="AS136" s="321" t="str">
        <f t="shared" si="41"/>
        <v>1011</v>
      </c>
      <c r="AT136" s="321">
        <f>IF(Instructions!$E$11=8,IF($D136=Instructions!$F$52,AT135+1,AT135),IF(Instructions!$E$11=10,IF($H136=Instructions!$F$52,AT135+1,AT135),IF(Instructions!$E$11=12,IF($L136=Instructions!$F$52,AT135+1,AT135),IF(Instructions!$E$11=14,IF($P136=Instructions!$F$52,AT135+1,AT135),IF(Instructions!$E$11=16,IF($T136=Instructions!$F$52,AT135+1,AT135))))))</f>
        <v>12</v>
      </c>
      <c r="AU136" s="321" t="str">
        <f t="shared" si="42"/>
        <v>1112</v>
      </c>
      <c r="AV136" s="321">
        <f>IF(Instructions!$E$11=8,IF($D136=Instructions!$F$53,AV135+1,AV135),IF(Instructions!$E$11=10,IF($H136=Instructions!$F$53,AV135+1,AV135),IF(Instructions!$E$11=12,IF($L136=Instructions!$F$53,AV135+1,AV135),IF(Instructions!$E$11=14,IF($P136=Instructions!$F$53,AV135+1,AV135),IF(Instructions!$E$11=16,IF($T136=Instructions!$F$53,AV135+1,AV135))))))</f>
        <v>12</v>
      </c>
      <c r="AW136" s="321" t="str">
        <f t="shared" si="43"/>
        <v>1212</v>
      </c>
      <c r="AX136" s="321">
        <f>IF(Instructions!$E$11=8,IF($D136=Instructions!$F$54,AX135+1,AX135),IF(Instructions!$E$11=10,IF($H136=Instructions!$F$54,AX135+1,AX135),IF(Instructions!$E$11=12,IF($L136=Instructions!$F$54,AX135+1,AX135),IF(Instructions!$E$11=14,IF($P136=Instructions!$F$54,AX135+1,AX135),IF(Instructions!$E$11=16,IF($T136=Instructions!$F$54,AX135+1,AX135))))))</f>
        <v>0</v>
      </c>
      <c r="AY136" s="321" t="str">
        <f t="shared" si="44"/>
        <v>1300</v>
      </c>
      <c r="AZ136" s="321">
        <f>IF(Instructions!$E$11=8,IF($D136=Instructions!$F$55,AZ135+1,AZ135),IF(Instructions!$E$11=10,IF($H136=Instructions!$F$55,AZ135+1,AZ135),IF(Instructions!$E$11=12,IF($L136=Instructions!$F$55,AZ135+1,AZ135),IF(Instructions!$E$11=14,IF($P136=Instructions!$F$55,AZ135+1,AZ135),IF(Instructions!$E$11=16,IF($T136=Instructions!$F$55,AZ135+1,AZ135))))))</f>
        <v>0</v>
      </c>
      <c r="BA136" s="321" t="str">
        <f t="shared" si="45"/>
        <v>1400</v>
      </c>
      <c r="BB136" s="321">
        <f>IF(Instructions!$E$11=8,IF($D136=Instructions!$F$56,BB135+1,BB135),IF(Instructions!$E$11=10,IF($H136=Instructions!$F$56,BB135+1,BB135),IF(Instructions!$E$11=12,IF($L136=Instructions!$F$56,BB135+1,BB135),IF(Instructions!$E$11=14,IF($P136=Instructions!$F$56,BB135+1,BB135),IF(Instructions!$E$11=16,IF($T136=Instructions!$F$56,BB135+1,BB135))))))</f>
        <v>0</v>
      </c>
      <c r="BC136" s="321" t="str">
        <f t="shared" si="46"/>
        <v>1500</v>
      </c>
      <c r="BD136" s="321">
        <f>IF(Instructions!$E$11=8,IF($D136=Instructions!$F$57,BD135+1,BD135),IF(Instructions!$E$11=10,IF($H136=Instructions!$F$57,BD135+1,BD135),IF(Instructions!$E$11=12,IF($L136=Instructions!$F$57,BD135+1,BD135),IF(Instructions!$E$11=14,IF($P136=Instructions!$F$57,BD135+1,BD135),IF(Instructions!$E$11=16,IF($T136=Instructions!$F$57,BD135+1,BD135))))))</f>
        <v>0</v>
      </c>
      <c r="BE136" s="321" t="str">
        <f t="shared" si="47"/>
        <v>1600</v>
      </c>
      <c r="BF136" s="321">
        <v>134</v>
      </c>
    </row>
    <row r="137" spans="1:58" x14ac:dyDescent="0.25">
      <c r="A137" s="280"/>
      <c r="B137" s="323" t="str">
        <f>IF(Instructions!$J$11=1,AA137,IF(Instructions!$J$11=2,AC137,IF(Instructions!$J$11=3,AE137,IF(Instructions!$J$11=4,AG137,IF(Instructions!$J$11=5,AI137,IF(Instructions!$J$11=6,AK137,IF(Instructions!$J$11=7,AM137,IF(Instructions!$J$11=8,AO137,IF(Instructions!$J$11=9,AQ137,IF(Instructions!$J$11=10,AS137,IF(Instructions!$J$11=11,AU137,IF(Instructions!$J$11=12,AW137,IF(Instructions!$J$11=13, AY137, IF(Instructions!$J$11=14,BA137,IF(Instructions!$J$11=15,BC137,BE137)))))))))))))))</f>
        <v>211</v>
      </c>
      <c r="C137" s="271">
        <v>135</v>
      </c>
      <c r="D137" s="328" t="str">
        <f>Instructions!F$48</f>
        <v>Bui</v>
      </c>
      <c r="E137" s="333" t="s">
        <v>1470</v>
      </c>
      <c r="F137" s="706"/>
      <c r="G137" s="279">
        <v>17</v>
      </c>
      <c r="H137" s="293" t="str">
        <f>Instructions!F$47</f>
        <v>Devin</v>
      </c>
      <c r="I137" s="273" t="s">
        <v>867</v>
      </c>
      <c r="J137" s="709"/>
      <c r="K137" s="279">
        <v>14</v>
      </c>
      <c r="L137" s="293" t="str">
        <f>Instructions!F$51</f>
        <v>Josh</v>
      </c>
      <c r="M137" s="273" t="s">
        <v>841</v>
      </c>
      <c r="N137" s="709"/>
      <c r="O137" s="279">
        <v>12</v>
      </c>
      <c r="P137" s="293" t="str">
        <f>Instructions!F$47</f>
        <v>Devin</v>
      </c>
      <c r="Q137" s="273" t="s">
        <v>823</v>
      </c>
      <c r="R137" s="709"/>
      <c r="S137" s="279">
        <v>10</v>
      </c>
      <c r="T137" s="328" t="str">
        <f>Instructions!F$48</f>
        <v>Bui</v>
      </c>
      <c r="U137" s="273" t="s">
        <v>809</v>
      </c>
      <c r="V137" s="706"/>
      <c r="W137" s="279">
        <v>9</v>
      </c>
      <c r="X137" s="280"/>
      <c r="Y137" s="190" t="str">
        <f>IFERROR( IF(Instructions!$E$11=8, D137&amp;COUNTIF(D$3:D137,D137), IF(Instructions!$E$11=10, H137&amp;COUNTIF(H$3:H137,H137),IF(Instructions!$E$11=12, L137&amp;COUNTIF(L$3:L137,L137),IF(Instructions!$E$11=14, P137&amp;COUNTIF(P$3:P137,P137),T137&amp;COUNTIF(T$3:T137,T137))))),"")</f>
        <v>Josh12</v>
      </c>
      <c r="Z137" s="321">
        <f>IF(Instructions!$E$11=8,IF($D137=Instructions!$F$42,Z136+1,Z136),IF(Instructions!$E$11=10,IF($H137=Instructions!$F$42,Z136+1,Z136),IF(Instructions!$E$11=12,IF($L137=Instructions!$F$42,Z136+1,Z136),IF(Instructions!$E$11=14,IF($P137=Instructions!$F$42,Z136+1,Z136),IF(Instructions!$E$11=16,IF($T137=Instructions!$F$42,Z136+1,Z136))))))</f>
        <v>11</v>
      </c>
      <c r="AA137" s="321" t="str">
        <f t="shared" si="40"/>
        <v>111</v>
      </c>
      <c r="AB137" s="321">
        <f>IF(Instructions!$E$11=8,IF($D137=Instructions!$F$43,AB136+1,AB136),IF(Instructions!$E$11=10,IF($H137=Instructions!$F$43,AB136+1,AB136),IF(Instructions!$E$11=12,IF($L137=Instructions!$F$43,AB136+1,AB136),IF(Instructions!$E$11=14,IF($P137=Instructions!$F$43,AB136+1,AB136),IF(Instructions!$E$11=16,IF($T137=Instructions!$F$43,AB136+1,AB136))))))</f>
        <v>11</v>
      </c>
      <c r="AC137" s="321" t="str">
        <f t="shared" si="32"/>
        <v>211</v>
      </c>
      <c r="AD137" s="321">
        <f>IF(Instructions!$E$11=8,IF($D137=Instructions!$F$44,AD136+1,AD136),IF(Instructions!$E$11=10,IF($H137=Instructions!$F$44,AD136+1,AD136),IF(Instructions!$E$11=12,IF($L137=Instructions!$F$44,AD136+1,AD136),IF(Instructions!$E$11=14,IF($P137=Instructions!$F$44,AD136+1,AD136),IF(Instructions!$E$11=16,IF($T137=Instructions!$F$44,AD136+1,AD136))))))</f>
        <v>11</v>
      </c>
      <c r="AE137" s="321" t="str">
        <f t="shared" si="33"/>
        <v>311</v>
      </c>
      <c r="AF137" s="321">
        <f>IF(Instructions!$E$11=8,IF($D137=Instructions!$F$45,AF136+1,AF136),IF(Instructions!$E$11=10,IF($H137=Instructions!$F$45,AF136+1,AF136),IF(Instructions!$E$11=12,IF($L137=Instructions!$F$45,AF136+1,AF136),IF(Instructions!$E$11=14,IF($P137=Instructions!$F$45,AF136+1,AF136),IF(Instructions!$E$11=16,IF($T137=Instructions!$F$45,AF136+1,AF136))))))</f>
        <v>11</v>
      </c>
      <c r="AG137" s="321" t="str">
        <f t="shared" si="34"/>
        <v>411</v>
      </c>
      <c r="AH137" s="321">
        <f>IF(Instructions!$E$11=8,IF($D137=Instructions!$F$46,AH136+1,AH136),IF(Instructions!$E$11=10,IF($H137=Instructions!$F$46,AH136+1,AH136),IF(Instructions!$E$11=12,IF($L137=Instructions!$F$46,AH136+1,AH136),IF(Instructions!$E$11=14,IF($P137=Instructions!$F$46,AH136+1,AH136),IF(Instructions!$E$11=16,IF($T137=Instructions!$F$46,AH136+1,AH136))))))</f>
        <v>11</v>
      </c>
      <c r="AI137" s="321" t="str">
        <f t="shared" si="35"/>
        <v>511</v>
      </c>
      <c r="AJ137" s="321">
        <f>IF(Instructions!$E$11=8,IF($D137=Instructions!$F$47,AJ136+1,AJ136),IF(Instructions!$E$11=10,IF($H137=Instructions!$F$47,AJ136+1,AJ136),IF(Instructions!$E$11=12,IF($L137=Instructions!$F$47,AJ136+1,AJ136),IF(Instructions!$E$11=14,IF($P137=Instructions!$F$47,AJ136+1,AJ136),IF(Instructions!$E$11=16,IF($T137=Instructions!$F$47,AJ136+1,AJ136))))))</f>
        <v>11</v>
      </c>
      <c r="AK137" s="321" t="str">
        <f t="shared" si="36"/>
        <v>611</v>
      </c>
      <c r="AL137" s="321">
        <f>IF(Instructions!$E$11=8,IF($D137=Instructions!$F$48,AL136+1,AL136),IF(Instructions!$E$11=10,IF($H137=Instructions!$F$48,AL136+1,AL136),IF(Instructions!$E$11=12,IF($L137=Instructions!$F$48,AL136+1,AL136),IF(Instructions!$E$11=14,IF($P137=Instructions!$F$48,AL136+1,AL136),IF(Instructions!$E$11=16,IF($T137=Instructions!$F$48,AL136+1,AL136))))))</f>
        <v>11</v>
      </c>
      <c r="AM137" s="321" t="str">
        <f t="shared" si="37"/>
        <v>711</v>
      </c>
      <c r="AN137" s="321">
        <f>IF(Instructions!$E$11=8,IF($D137=Instructions!$F$49,AN136+1,AN136),IF(Instructions!$E$11=10,IF($H137=Instructions!$F$49,AN136+1,AN136),IF(Instructions!$E$11=12,IF($L137=Instructions!$F$49,AN136+1,AN136),IF(Instructions!$E$11=14,IF($P137=Instructions!$F$49,AN136+1,AN136),IF(Instructions!$E$11=16,IF($T137=Instructions!$F$49,AN136+1,AN136))))))</f>
        <v>11</v>
      </c>
      <c r="AO137" s="321" t="str">
        <f t="shared" si="38"/>
        <v>811</v>
      </c>
      <c r="AP137" s="321">
        <f>IF(Instructions!$E$11=8,IF($D137=Instructions!$F$50,AP136+1,AP136),IF(Instructions!$E$11=10,IF($H137=Instructions!$F$50,AP136+1,AP136),IF(Instructions!$E$11=12,IF($L137=Instructions!$F$50,AP136+1,AP136),IF(Instructions!$E$11=14,IF($P137=Instructions!$F$50,AP136+1,AP136),IF(Instructions!$E$11=16,IF($T137=Instructions!$F$50,AP136+1,AP136))))))</f>
        <v>11</v>
      </c>
      <c r="AQ137" s="321" t="str">
        <f t="shared" si="39"/>
        <v>911</v>
      </c>
      <c r="AR137" s="321">
        <f>IF(Instructions!$E$11=8,IF($D137=Instructions!$F$51,AR136+1,AR136),IF(Instructions!$E$11=10,IF($H137=Instructions!$F$51,AR136+1,AR136),IF(Instructions!$E$11=12,IF($L137=Instructions!$F$51,AR136+1,AR136),IF(Instructions!$E$11=14,IF($P137=Instructions!$F$51,AR136+1,AR136),IF(Instructions!$E$11=16,IF($T137=Instructions!$F$51,AR136+1,AR136))))))</f>
        <v>12</v>
      </c>
      <c r="AS137" s="321" t="str">
        <f t="shared" si="41"/>
        <v>1012</v>
      </c>
      <c r="AT137" s="321">
        <f>IF(Instructions!$E$11=8,IF($D137=Instructions!$F$52,AT136+1,AT136),IF(Instructions!$E$11=10,IF($H137=Instructions!$F$52,AT136+1,AT136),IF(Instructions!$E$11=12,IF($L137=Instructions!$F$52,AT136+1,AT136),IF(Instructions!$E$11=14,IF($P137=Instructions!$F$52,AT136+1,AT136),IF(Instructions!$E$11=16,IF($T137=Instructions!$F$52,AT136+1,AT136))))))</f>
        <v>12</v>
      </c>
      <c r="AU137" s="321" t="str">
        <f t="shared" si="42"/>
        <v>1112</v>
      </c>
      <c r="AV137" s="321">
        <f>IF(Instructions!$E$11=8,IF($D137=Instructions!$F$53,AV136+1,AV136),IF(Instructions!$E$11=10,IF($H137=Instructions!$F$53,AV136+1,AV136),IF(Instructions!$E$11=12,IF($L137=Instructions!$F$53,AV136+1,AV136),IF(Instructions!$E$11=14,IF($P137=Instructions!$F$53,AV136+1,AV136),IF(Instructions!$E$11=16,IF($T137=Instructions!$F$53,AV136+1,AV136))))))</f>
        <v>12</v>
      </c>
      <c r="AW137" s="321" t="str">
        <f t="shared" si="43"/>
        <v>1212</v>
      </c>
      <c r="AX137" s="321">
        <f>IF(Instructions!$E$11=8,IF($D137=Instructions!$F$54,AX136+1,AX136),IF(Instructions!$E$11=10,IF($H137=Instructions!$F$54,AX136+1,AX136),IF(Instructions!$E$11=12,IF($L137=Instructions!$F$54,AX136+1,AX136),IF(Instructions!$E$11=14,IF($P137=Instructions!$F$54,AX136+1,AX136),IF(Instructions!$E$11=16,IF($T137=Instructions!$F$54,AX136+1,AX136))))))</f>
        <v>0</v>
      </c>
      <c r="AY137" s="321" t="str">
        <f t="shared" si="44"/>
        <v>1300</v>
      </c>
      <c r="AZ137" s="321">
        <f>IF(Instructions!$E$11=8,IF($D137=Instructions!$F$55,AZ136+1,AZ136),IF(Instructions!$E$11=10,IF($H137=Instructions!$F$55,AZ136+1,AZ136),IF(Instructions!$E$11=12,IF($L137=Instructions!$F$55,AZ136+1,AZ136),IF(Instructions!$E$11=14,IF($P137=Instructions!$F$55,AZ136+1,AZ136),IF(Instructions!$E$11=16,IF($T137=Instructions!$F$55,AZ136+1,AZ136))))))</f>
        <v>0</v>
      </c>
      <c r="BA137" s="321" t="str">
        <f t="shared" si="45"/>
        <v>1400</v>
      </c>
      <c r="BB137" s="321">
        <f>IF(Instructions!$E$11=8,IF($D137=Instructions!$F$56,BB136+1,BB136),IF(Instructions!$E$11=10,IF($H137=Instructions!$F$56,BB136+1,BB136),IF(Instructions!$E$11=12,IF($L137=Instructions!$F$56,BB136+1,BB136),IF(Instructions!$E$11=14,IF($P137=Instructions!$F$56,BB136+1,BB136),IF(Instructions!$E$11=16,IF($T137=Instructions!$F$56,BB136+1,BB136))))))</f>
        <v>0</v>
      </c>
      <c r="BC137" s="321" t="str">
        <f t="shared" si="46"/>
        <v>1500</v>
      </c>
      <c r="BD137" s="321">
        <f>IF(Instructions!$E$11=8,IF($D137=Instructions!$F$57,BD136+1,BD136),IF(Instructions!$E$11=10,IF($H137=Instructions!$F$57,BD136+1,BD136),IF(Instructions!$E$11=12,IF($L137=Instructions!$F$57,BD136+1,BD136),IF(Instructions!$E$11=14,IF($P137=Instructions!$F$57,BD136+1,BD136),IF(Instructions!$E$11=16,IF($T137=Instructions!$F$57,BD136+1,BD136))))))</f>
        <v>0</v>
      </c>
      <c r="BE137" s="321" t="str">
        <f t="shared" si="47"/>
        <v>1600</v>
      </c>
      <c r="BF137" s="321">
        <v>135</v>
      </c>
    </row>
    <row r="138" spans="1:58" ht="15.75" thickBot="1" x14ac:dyDescent="0.3">
      <c r="A138" s="280"/>
      <c r="B138" s="323" t="str">
        <f>IF(Instructions!$J$11=1,AA138,IF(Instructions!$J$11=2,AC138,IF(Instructions!$J$11=3,AE138,IF(Instructions!$J$11=4,AG138,IF(Instructions!$J$11=5,AI138,IF(Instructions!$J$11=6,AK138,IF(Instructions!$J$11=7,AM138,IF(Instructions!$J$11=8,AO138,IF(Instructions!$J$11=9,AQ138,IF(Instructions!$J$11=10,AS138,IF(Instructions!$J$11=11,AU138,IF(Instructions!$J$11=12,AW138,IF(Instructions!$J$11=13, AY138, IF(Instructions!$J$11=14,BA138,IF(Instructions!$J$11=15,BC138,BE138)))))))))))))))</f>
        <v>211</v>
      </c>
      <c r="C138" s="272">
        <v>136</v>
      </c>
      <c r="D138" s="329" t="str">
        <f>Instructions!F$49</f>
        <v>Luke</v>
      </c>
      <c r="E138" s="334" t="s">
        <v>1471</v>
      </c>
      <c r="F138" s="707"/>
      <c r="G138" s="279">
        <v>17</v>
      </c>
      <c r="H138" s="294" t="str">
        <f>Instructions!F$46</f>
        <v>Con</v>
      </c>
      <c r="I138" s="274" t="s">
        <v>868</v>
      </c>
      <c r="J138" s="709"/>
      <c r="K138" s="279">
        <v>14</v>
      </c>
      <c r="L138" s="294" t="str">
        <f>Instructions!F$50</f>
        <v>Dan</v>
      </c>
      <c r="M138" s="274" t="s">
        <v>842</v>
      </c>
      <c r="N138" s="709"/>
      <c r="O138" s="279">
        <v>12</v>
      </c>
      <c r="P138" s="294" t="str">
        <f>Instructions!F$46</f>
        <v>Con</v>
      </c>
      <c r="Q138" s="274" t="s">
        <v>824</v>
      </c>
      <c r="R138" s="709"/>
      <c r="S138" s="279">
        <v>10</v>
      </c>
      <c r="T138" s="327" t="str">
        <f>Instructions!F$49</f>
        <v>Luke</v>
      </c>
      <c r="U138" s="274" t="s">
        <v>810</v>
      </c>
      <c r="V138" s="706"/>
      <c r="W138" s="279">
        <v>9</v>
      </c>
      <c r="X138" s="280"/>
      <c r="Y138" s="190" t="str">
        <f>IFERROR( IF(Instructions!$E$11=8, D138&amp;COUNTIF(D$3:D138,D138), IF(Instructions!$E$11=10, H138&amp;COUNTIF(H$3:H138,H138),IF(Instructions!$E$11=12, L138&amp;COUNTIF(L$3:L138,L138),IF(Instructions!$E$11=14, P138&amp;COUNTIF(P$3:P138,P138),T138&amp;COUNTIF(T$3:T138,T138))))),"")</f>
        <v>Dan12</v>
      </c>
      <c r="Z138" s="321">
        <f>IF(Instructions!$E$11=8,IF($D138=Instructions!$F$42,Z137+1,Z137),IF(Instructions!$E$11=10,IF($H138=Instructions!$F$42,Z137+1,Z137),IF(Instructions!$E$11=12,IF($L138=Instructions!$F$42,Z137+1,Z137),IF(Instructions!$E$11=14,IF($P138=Instructions!$F$42,Z137+1,Z137),IF(Instructions!$E$11=16,IF($T138=Instructions!$F$42,Z137+1,Z137))))))</f>
        <v>11</v>
      </c>
      <c r="AA138" s="321" t="str">
        <f t="shared" si="40"/>
        <v>111</v>
      </c>
      <c r="AB138" s="321">
        <f>IF(Instructions!$E$11=8,IF($D138=Instructions!$F$43,AB137+1,AB137),IF(Instructions!$E$11=10,IF($H138=Instructions!$F$43,AB137+1,AB137),IF(Instructions!$E$11=12,IF($L138=Instructions!$F$43,AB137+1,AB137),IF(Instructions!$E$11=14,IF($P138=Instructions!$F$43,AB137+1,AB137),IF(Instructions!$E$11=16,IF($T138=Instructions!$F$43,AB137+1,AB137))))))</f>
        <v>11</v>
      </c>
      <c r="AC138" s="321" t="str">
        <f t="shared" si="32"/>
        <v>211</v>
      </c>
      <c r="AD138" s="321">
        <f>IF(Instructions!$E$11=8,IF($D138=Instructions!$F$44,AD137+1,AD137),IF(Instructions!$E$11=10,IF($H138=Instructions!$F$44,AD137+1,AD137),IF(Instructions!$E$11=12,IF($L138=Instructions!$F$44,AD137+1,AD137),IF(Instructions!$E$11=14,IF($P138=Instructions!$F$44,AD137+1,AD137),IF(Instructions!$E$11=16,IF($T138=Instructions!$F$44,AD137+1,AD137))))))</f>
        <v>11</v>
      </c>
      <c r="AE138" s="321" t="str">
        <f t="shared" si="33"/>
        <v>311</v>
      </c>
      <c r="AF138" s="321">
        <f>IF(Instructions!$E$11=8,IF($D138=Instructions!$F$45,AF137+1,AF137),IF(Instructions!$E$11=10,IF($H138=Instructions!$F$45,AF137+1,AF137),IF(Instructions!$E$11=12,IF($L138=Instructions!$F$45,AF137+1,AF137),IF(Instructions!$E$11=14,IF($P138=Instructions!$F$45,AF137+1,AF137),IF(Instructions!$E$11=16,IF($T138=Instructions!$F$45,AF137+1,AF137))))))</f>
        <v>11</v>
      </c>
      <c r="AG138" s="321" t="str">
        <f t="shared" si="34"/>
        <v>411</v>
      </c>
      <c r="AH138" s="321">
        <f>IF(Instructions!$E$11=8,IF($D138=Instructions!$F$46,AH137+1,AH137),IF(Instructions!$E$11=10,IF($H138=Instructions!$F$46,AH137+1,AH137),IF(Instructions!$E$11=12,IF($L138=Instructions!$F$46,AH137+1,AH137),IF(Instructions!$E$11=14,IF($P138=Instructions!$F$46,AH137+1,AH137),IF(Instructions!$E$11=16,IF($T138=Instructions!$F$46,AH137+1,AH137))))))</f>
        <v>11</v>
      </c>
      <c r="AI138" s="321" t="str">
        <f t="shared" si="35"/>
        <v>511</v>
      </c>
      <c r="AJ138" s="321">
        <f>IF(Instructions!$E$11=8,IF($D138=Instructions!$F$47,AJ137+1,AJ137),IF(Instructions!$E$11=10,IF($H138=Instructions!$F$47,AJ137+1,AJ137),IF(Instructions!$E$11=12,IF($L138=Instructions!$F$47,AJ137+1,AJ137),IF(Instructions!$E$11=14,IF($P138=Instructions!$F$47,AJ137+1,AJ137),IF(Instructions!$E$11=16,IF($T138=Instructions!$F$47,AJ137+1,AJ137))))))</f>
        <v>11</v>
      </c>
      <c r="AK138" s="321" t="str">
        <f t="shared" si="36"/>
        <v>611</v>
      </c>
      <c r="AL138" s="321">
        <f>IF(Instructions!$E$11=8,IF($D138=Instructions!$F$48,AL137+1,AL137),IF(Instructions!$E$11=10,IF($H138=Instructions!$F$48,AL137+1,AL137),IF(Instructions!$E$11=12,IF($L138=Instructions!$F$48,AL137+1,AL137),IF(Instructions!$E$11=14,IF($P138=Instructions!$F$48,AL137+1,AL137),IF(Instructions!$E$11=16,IF($T138=Instructions!$F$48,AL137+1,AL137))))))</f>
        <v>11</v>
      </c>
      <c r="AM138" s="321" t="str">
        <f t="shared" si="37"/>
        <v>711</v>
      </c>
      <c r="AN138" s="321">
        <f>IF(Instructions!$E$11=8,IF($D138=Instructions!$F$49,AN137+1,AN137),IF(Instructions!$E$11=10,IF($H138=Instructions!$F$49,AN137+1,AN137),IF(Instructions!$E$11=12,IF($L138=Instructions!$F$49,AN137+1,AN137),IF(Instructions!$E$11=14,IF($P138=Instructions!$F$49,AN137+1,AN137),IF(Instructions!$E$11=16,IF($T138=Instructions!$F$49,AN137+1,AN137))))))</f>
        <v>11</v>
      </c>
      <c r="AO138" s="321" t="str">
        <f t="shared" si="38"/>
        <v>811</v>
      </c>
      <c r="AP138" s="321">
        <f>IF(Instructions!$E$11=8,IF($D138=Instructions!$F$50,AP137+1,AP137),IF(Instructions!$E$11=10,IF($H138=Instructions!$F$50,AP137+1,AP137),IF(Instructions!$E$11=12,IF($L138=Instructions!$F$50,AP137+1,AP137),IF(Instructions!$E$11=14,IF($P138=Instructions!$F$50,AP137+1,AP137),IF(Instructions!$E$11=16,IF($T138=Instructions!$F$50,AP137+1,AP137))))))</f>
        <v>12</v>
      </c>
      <c r="AQ138" s="321" t="str">
        <f t="shared" si="39"/>
        <v>912</v>
      </c>
      <c r="AR138" s="321">
        <f>IF(Instructions!$E$11=8,IF($D138=Instructions!$F$51,AR137+1,AR137),IF(Instructions!$E$11=10,IF($H138=Instructions!$F$51,AR137+1,AR137),IF(Instructions!$E$11=12,IF($L138=Instructions!$F$51,AR137+1,AR137),IF(Instructions!$E$11=14,IF($P138=Instructions!$F$51,AR137+1,AR137),IF(Instructions!$E$11=16,IF($T138=Instructions!$F$51,AR137+1,AR137))))))</f>
        <v>12</v>
      </c>
      <c r="AS138" s="321" t="str">
        <f t="shared" si="41"/>
        <v>1012</v>
      </c>
      <c r="AT138" s="321">
        <f>IF(Instructions!$E$11=8,IF($D138=Instructions!$F$52,AT137+1,AT137),IF(Instructions!$E$11=10,IF($H138=Instructions!$F$52,AT137+1,AT137),IF(Instructions!$E$11=12,IF($L138=Instructions!$F$52,AT137+1,AT137),IF(Instructions!$E$11=14,IF($P138=Instructions!$F$52,AT137+1,AT137),IF(Instructions!$E$11=16,IF($T138=Instructions!$F$52,AT137+1,AT137))))))</f>
        <v>12</v>
      </c>
      <c r="AU138" s="321" t="str">
        <f t="shared" si="42"/>
        <v>1112</v>
      </c>
      <c r="AV138" s="321">
        <f>IF(Instructions!$E$11=8,IF($D138=Instructions!$F$53,AV137+1,AV137),IF(Instructions!$E$11=10,IF($H138=Instructions!$F$53,AV137+1,AV137),IF(Instructions!$E$11=12,IF($L138=Instructions!$F$53,AV137+1,AV137),IF(Instructions!$E$11=14,IF($P138=Instructions!$F$53,AV137+1,AV137),IF(Instructions!$E$11=16,IF($T138=Instructions!$F$53,AV137+1,AV137))))))</f>
        <v>12</v>
      </c>
      <c r="AW138" s="321" t="str">
        <f t="shared" si="43"/>
        <v>1212</v>
      </c>
      <c r="AX138" s="321">
        <f>IF(Instructions!$E$11=8,IF($D138=Instructions!$F$54,AX137+1,AX137),IF(Instructions!$E$11=10,IF($H138=Instructions!$F$54,AX137+1,AX137),IF(Instructions!$E$11=12,IF($L138=Instructions!$F$54,AX137+1,AX137),IF(Instructions!$E$11=14,IF($P138=Instructions!$F$54,AX137+1,AX137),IF(Instructions!$E$11=16,IF($T138=Instructions!$F$54,AX137+1,AX137))))))</f>
        <v>0</v>
      </c>
      <c r="AY138" s="321" t="str">
        <f t="shared" si="44"/>
        <v>1300</v>
      </c>
      <c r="AZ138" s="321">
        <f>IF(Instructions!$E$11=8,IF($D138=Instructions!$F$55,AZ137+1,AZ137),IF(Instructions!$E$11=10,IF($H138=Instructions!$F$55,AZ137+1,AZ137),IF(Instructions!$E$11=12,IF($L138=Instructions!$F$55,AZ137+1,AZ137),IF(Instructions!$E$11=14,IF($P138=Instructions!$F$55,AZ137+1,AZ137),IF(Instructions!$E$11=16,IF($T138=Instructions!$F$55,AZ137+1,AZ137))))))</f>
        <v>0</v>
      </c>
      <c r="BA138" s="321" t="str">
        <f t="shared" si="45"/>
        <v>1400</v>
      </c>
      <c r="BB138" s="321">
        <f>IF(Instructions!$E$11=8,IF($D138=Instructions!$F$56,BB137+1,BB137),IF(Instructions!$E$11=10,IF($H138=Instructions!$F$56,BB137+1,BB137),IF(Instructions!$E$11=12,IF($L138=Instructions!$F$56,BB137+1,BB137),IF(Instructions!$E$11=14,IF($P138=Instructions!$F$56,BB137+1,BB137),IF(Instructions!$E$11=16,IF($T138=Instructions!$F$56,BB137+1,BB137))))))</f>
        <v>0</v>
      </c>
      <c r="BC138" s="321" t="str">
        <f t="shared" si="46"/>
        <v>1500</v>
      </c>
      <c r="BD138" s="321">
        <f>IF(Instructions!$E$11=8,IF($D138=Instructions!$F$57,BD137+1,BD137),IF(Instructions!$E$11=10,IF($H138=Instructions!$F$57,BD137+1,BD137),IF(Instructions!$E$11=12,IF($L138=Instructions!$F$57,BD137+1,BD137),IF(Instructions!$E$11=14,IF($P138=Instructions!$F$57,BD137+1,BD137),IF(Instructions!$E$11=16,IF($T138=Instructions!$F$57,BD137+1,BD137))))))</f>
        <v>0</v>
      </c>
      <c r="BE138" s="321" t="str">
        <f t="shared" si="47"/>
        <v>1600</v>
      </c>
      <c r="BF138" s="321">
        <v>136</v>
      </c>
    </row>
    <row r="139" spans="1:58" x14ac:dyDescent="0.25">
      <c r="A139" s="280"/>
      <c r="B139" s="323" t="str">
        <f>IF(Instructions!$J$11=1,AA139,IF(Instructions!$J$11=2,AC139,IF(Instructions!$J$11=3,AE139,IF(Instructions!$J$11=4,AG139,IF(Instructions!$J$11=5,AI139,IF(Instructions!$J$11=6,AK139,IF(Instructions!$J$11=7,AM139,IF(Instructions!$J$11=8,AO139,IF(Instructions!$J$11=9,AQ139,IF(Instructions!$J$11=10,AS139,IF(Instructions!$J$11=11,AU139,IF(Instructions!$J$11=12,AW139,IF(Instructions!$J$11=13, AY139, IF(Instructions!$J$11=14,BA139,IF(Instructions!$J$11=15,BC139,BE139)))))))))))))))</f>
        <v>211</v>
      </c>
      <c r="C139" s="271">
        <v>137</v>
      </c>
      <c r="D139" s="325" t="str">
        <f>Instructions!F$49</f>
        <v>Luke</v>
      </c>
      <c r="E139" s="333" t="s">
        <v>1472</v>
      </c>
      <c r="F139" s="705" t="s">
        <v>1456</v>
      </c>
      <c r="G139" s="279">
        <v>18</v>
      </c>
      <c r="H139" s="293" t="str">
        <f>Instructions!F$45</f>
        <v>Miles</v>
      </c>
      <c r="I139" s="273" t="s">
        <v>869</v>
      </c>
      <c r="J139" s="709"/>
      <c r="K139" s="279">
        <v>14</v>
      </c>
      <c r="L139" s="293" t="str">
        <f>Instructions!F$49</f>
        <v>Luke</v>
      </c>
      <c r="M139" s="273" t="s">
        <v>843</v>
      </c>
      <c r="N139" s="709"/>
      <c r="O139" s="279">
        <v>12</v>
      </c>
      <c r="P139" s="293" t="str">
        <f>Instructions!F$45</f>
        <v>Miles</v>
      </c>
      <c r="Q139" s="273" t="s">
        <v>825</v>
      </c>
      <c r="R139" s="709"/>
      <c r="S139" s="279">
        <v>10</v>
      </c>
      <c r="T139" s="328" t="str">
        <f>Instructions!F$50</f>
        <v>Dan</v>
      </c>
      <c r="U139" s="273" t="s">
        <v>811</v>
      </c>
      <c r="V139" s="706"/>
      <c r="W139" s="279">
        <v>9</v>
      </c>
      <c r="X139" s="280"/>
      <c r="Y139" s="190" t="str">
        <f>IFERROR( IF(Instructions!$E$11=8, D139&amp;COUNTIF(D$3:D139,D139), IF(Instructions!$E$11=10, H139&amp;COUNTIF(H$3:H139,H139),IF(Instructions!$E$11=12, L139&amp;COUNTIF(L$3:L139,L139),IF(Instructions!$E$11=14, P139&amp;COUNTIF(P$3:P139,P139),T139&amp;COUNTIF(T$3:T139,T139))))),"")</f>
        <v>Luke12</v>
      </c>
      <c r="Z139" s="321">
        <f>IF(Instructions!$E$11=8,IF($D139=Instructions!$F$42,Z138+1,Z138),IF(Instructions!$E$11=10,IF($H139=Instructions!$F$42,Z138+1,Z138),IF(Instructions!$E$11=12,IF($L139=Instructions!$F$42,Z138+1,Z138),IF(Instructions!$E$11=14,IF($P139=Instructions!$F$42,Z138+1,Z138),IF(Instructions!$E$11=16,IF($T139=Instructions!$F$42,Z138+1,Z138))))))</f>
        <v>11</v>
      </c>
      <c r="AA139" s="321" t="str">
        <f t="shared" si="40"/>
        <v>111</v>
      </c>
      <c r="AB139" s="321">
        <f>IF(Instructions!$E$11=8,IF($D139=Instructions!$F$43,AB138+1,AB138),IF(Instructions!$E$11=10,IF($H139=Instructions!$F$43,AB138+1,AB138),IF(Instructions!$E$11=12,IF($L139=Instructions!$F$43,AB138+1,AB138),IF(Instructions!$E$11=14,IF($P139=Instructions!$F$43,AB138+1,AB138),IF(Instructions!$E$11=16,IF($T139=Instructions!$F$43,AB138+1,AB138))))))</f>
        <v>11</v>
      </c>
      <c r="AC139" s="321" t="str">
        <f t="shared" si="32"/>
        <v>211</v>
      </c>
      <c r="AD139" s="321">
        <f>IF(Instructions!$E$11=8,IF($D139=Instructions!$F$44,AD138+1,AD138),IF(Instructions!$E$11=10,IF($H139=Instructions!$F$44,AD138+1,AD138),IF(Instructions!$E$11=12,IF($L139=Instructions!$F$44,AD138+1,AD138),IF(Instructions!$E$11=14,IF($P139=Instructions!$F$44,AD138+1,AD138),IF(Instructions!$E$11=16,IF($T139=Instructions!$F$44,AD138+1,AD138))))))</f>
        <v>11</v>
      </c>
      <c r="AE139" s="321" t="str">
        <f t="shared" si="33"/>
        <v>311</v>
      </c>
      <c r="AF139" s="321">
        <f>IF(Instructions!$E$11=8,IF($D139=Instructions!$F$45,AF138+1,AF138),IF(Instructions!$E$11=10,IF($H139=Instructions!$F$45,AF138+1,AF138),IF(Instructions!$E$11=12,IF($L139=Instructions!$F$45,AF138+1,AF138),IF(Instructions!$E$11=14,IF($P139=Instructions!$F$45,AF138+1,AF138),IF(Instructions!$E$11=16,IF($T139=Instructions!$F$45,AF138+1,AF138))))))</f>
        <v>11</v>
      </c>
      <c r="AG139" s="321" t="str">
        <f t="shared" si="34"/>
        <v>411</v>
      </c>
      <c r="AH139" s="321">
        <f>IF(Instructions!$E$11=8,IF($D139=Instructions!$F$46,AH138+1,AH138),IF(Instructions!$E$11=10,IF($H139=Instructions!$F$46,AH138+1,AH138),IF(Instructions!$E$11=12,IF($L139=Instructions!$F$46,AH138+1,AH138),IF(Instructions!$E$11=14,IF($P139=Instructions!$F$46,AH138+1,AH138),IF(Instructions!$E$11=16,IF($T139=Instructions!$F$46,AH138+1,AH138))))))</f>
        <v>11</v>
      </c>
      <c r="AI139" s="321" t="str">
        <f t="shared" si="35"/>
        <v>511</v>
      </c>
      <c r="AJ139" s="321">
        <f>IF(Instructions!$E$11=8,IF($D139=Instructions!$F$47,AJ138+1,AJ138),IF(Instructions!$E$11=10,IF($H139=Instructions!$F$47,AJ138+1,AJ138),IF(Instructions!$E$11=12,IF($L139=Instructions!$F$47,AJ138+1,AJ138),IF(Instructions!$E$11=14,IF($P139=Instructions!$F$47,AJ138+1,AJ138),IF(Instructions!$E$11=16,IF($T139=Instructions!$F$47,AJ138+1,AJ138))))))</f>
        <v>11</v>
      </c>
      <c r="AK139" s="321" t="str">
        <f t="shared" si="36"/>
        <v>611</v>
      </c>
      <c r="AL139" s="321">
        <f>IF(Instructions!$E$11=8,IF($D139=Instructions!$F$48,AL138+1,AL138),IF(Instructions!$E$11=10,IF($H139=Instructions!$F$48,AL138+1,AL138),IF(Instructions!$E$11=12,IF($L139=Instructions!$F$48,AL138+1,AL138),IF(Instructions!$E$11=14,IF($P139=Instructions!$F$48,AL138+1,AL138),IF(Instructions!$E$11=16,IF($T139=Instructions!$F$48,AL138+1,AL138))))))</f>
        <v>11</v>
      </c>
      <c r="AM139" s="321" t="str">
        <f t="shared" si="37"/>
        <v>711</v>
      </c>
      <c r="AN139" s="321">
        <f>IF(Instructions!$E$11=8,IF($D139=Instructions!$F$49,AN138+1,AN138),IF(Instructions!$E$11=10,IF($H139=Instructions!$F$49,AN138+1,AN138),IF(Instructions!$E$11=12,IF($L139=Instructions!$F$49,AN138+1,AN138),IF(Instructions!$E$11=14,IF($P139=Instructions!$F$49,AN138+1,AN138),IF(Instructions!$E$11=16,IF($T139=Instructions!$F$49,AN138+1,AN138))))))</f>
        <v>12</v>
      </c>
      <c r="AO139" s="321" t="str">
        <f t="shared" si="38"/>
        <v>812</v>
      </c>
      <c r="AP139" s="321">
        <f>IF(Instructions!$E$11=8,IF($D139=Instructions!$F$50,AP138+1,AP138),IF(Instructions!$E$11=10,IF($H139=Instructions!$F$50,AP138+1,AP138),IF(Instructions!$E$11=12,IF($L139=Instructions!$F$50,AP138+1,AP138),IF(Instructions!$E$11=14,IF($P139=Instructions!$F$50,AP138+1,AP138),IF(Instructions!$E$11=16,IF($T139=Instructions!$F$50,AP138+1,AP138))))))</f>
        <v>12</v>
      </c>
      <c r="AQ139" s="321" t="str">
        <f t="shared" si="39"/>
        <v>912</v>
      </c>
      <c r="AR139" s="321">
        <f>IF(Instructions!$E$11=8,IF($D139=Instructions!$F$51,AR138+1,AR138),IF(Instructions!$E$11=10,IF($H139=Instructions!$F$51,AR138+1,AR138),IF(Instructions!$E$11=12,IF($L139=Instructions!$F$51,AR138+1,AR138),IF(Instructions!$E$11=14,IF($P139=Instructions!$F$51,AR138+1,AR138),IF(Instructions!$E$11=16,IF($T139=Instructions!$F$51,AR138+1,AR138))))))</f>
        <v>12</v>
      </c>
      <c r="AS139" s="321" t="str">
        <f t="shared" si="41"/>
        <v>1012</v>
      </c>
      <c r="AT139" s="321">
        <f>IF(Instructions!$E$11=8,IF($D139=Instructions!$F$52,AT138+1,AT138),IF(Instructions!$E$11=10,IF($H139=Instructions!$F$52,AT138+1,AT138),IF(Instructions!$E$11=12,IF($L139=Instructions!$F$52,AT138+1,AT138),IF(Instructions!$E$11=14,IF($P139=Instructions!$F$52,AT138+1,AT138),IF(Instructions!$E$11=16,IF($T139=Instructions!$F$52,AT138+1,AT138))))))</f>
        <v>12</v>
      </c>
      <c r="AU139" s="321" t="str">
        <f t="shared" si="42"/>
        <v>1112</v>
      </c>
      <c r="AV139" s="321">
        <f>IF(Instructions!$E$11=8,IF($D139=Instructions!$F$53,AV138+1,AV138),IF(Instructions!$E$11=10,IF($H139=Instructions!$F$53,AV138+1,AV138),IF(Instructions!$E$11=12,IF($L139=Instructions!$F$53,AV138+1,AV138),IF(Instructions!$E$11=14,IF($P139=Instructions!$F$53,AV138+1,AV138),IF(Instructions!$E$11=16,IF($T139=Instructions!$F$53,AV138+1,AV138))))))</f>
        <v>12</v>
      </c>
      <c r="AW139" s="321" t="str">
        <f t="shared" si="43"/>
        <v>1212</v>
      </c>
      <c r="AX139" s="321">
        <f>IF(Instructions!$E$11=8,IF($D139=Instructions!$F$54,AX138+1,AX138),IF(Instructions!$E$11=10,IF($H139=Instructions!$F$54,AX138+1,AX138),IF(Instructions!$E$11=12,IF($L139=Instructions!$F$54,AX138+1,AX138),IF(Instructions!$E$11=14,IF($P139=Instructions!$F$54,AX138+1,AX138),IF(Instructions!$E$11=16,IF($T139=Instructions!$F$54,AX138+1,AX138))))))</f>
        <v>0</v>
      </c>
      <c r="AY139" s="321" t="str">
        <f t="shared" si="44"/>
        <v>1300</v>
      </c>
      <c r="AZ139" s="321">
        <f>IF(Instructions!$E$11=8,IF($D139=Instructions!$F$55,AZ138+1,AZ138),IF(Instructions!$E$11=10,IF($H139=Instructions!$F$55,AZ138+1,AZ138),IF(Instructions!$E$11=12,IF($L139=Instructions!$F$55,AZ138+1,AZ138),IF(Instructions!$E$11=14,IF($P139=Instructions!$F$55,AZ138+1,AZ138),IF(Instructions!$E$11=16,IF($T139=Instructions!$F$55,AZ138+1,AZ138))))))</f>
        <v>0</v>
      </c>
      <c r="BA139" s="321" t="str">
        <f t="shared" si="45"/>
        <v>1400</v>
      </c>
      <c r="BB139" s="321">
        <f>IF(Instructions!$E$11=8,IF($D139=Instructions!$F$56,BB138+1,BB138),IF(Instructions!$E$11=10,IF($H139=Instructions!$F$56,BB138+1,BB138),IF(Instructions!$E$11=12,IF($L139=Instructions!$F$56,BB138+1,BB138),IF(Instructions!$E$11=14,IF($P139=Instructions!$F$56,BB138+1,BB138),IF(Instructions!$E$11=16,IF($T139=Instructions!$F$56,BB138+1,BB138))))))</f>
        <v>0</v>
      </c>
      <c r="BC139" s="321" t="str">
        <f t="shared" si="46"/>
        <v>1500</v>
      </c>
      <c r="BD139" s="321">
        <f>IF(Instructions!$E$11=8,IF($D139=Instructions!$F$57,BD138+1,BD138),IF(Instructions!$E$11=10,IF($H139=Instructions!$F$57,BD138+1,BD138),IF(Instructions!$E$11=12,IF($L139=Instructions!$F$57,BD138+1,BD138),IF(Instructions!$E$11=14,IF($P139=Instructions!$F$57,BD138+1,BD138),IF(Instructions!$E$11=16,IF($T139=Instructions!$F$57,BD138+1,BD138))))))</f>
        <v>0</v>
      </c>
      <c r="BE139" s="321" t="str">
        <f t="shared" si="47"/>
        <v>1600</v>
      </c>
      <c r="BF139" s="321">
        <v>137</v>
      </c>
    </row>
    <row r="140" spans="1:58" x14ac:dyDescent="0.25">
      <c r="A140" s="280"/>
      <c r="B140" s="323" t="str">
        <f>IF(Instructions!$J$11=1,AA140,IF(Instructions!$J$11=2,AC140,IF(Instructions!$J$11=3,AE140,IF(Instructions!$J$11=4,AG140,IF(Instructions!$J$11=5,AI140,IF(Instructions!$J$11=6,AK140,IF(Instructions!$J$11=7,AM140,IF(Instructions!$J$11=8,AO140,IF(Instructions!$J$11=9,AQ140,IF(Instructions!$J$11=10,AS140,IF(Instructions!$J$11=11,AU140,IF(Instructions!$J$11=12,AW140,IF(Instructions!$J$11=13, AY140, IF(Instructions!$J$11=14,BA140,IF(Instructions!$J$11=15,BC140,BE140)))))))))))))))</f>
        <v>211</v>
      </c>
      <c r="C140" s="272">
        <v>138</v>
      </c>
      <c r="D140" s="327" t="str">
        <f>Instructions!F$48</f>
        <v>Bui</v>
      </c>
      <c r="E140" s="332" t="s">
        <v>1473</v>
      </c>
      <c r="F140" s="706"/>
      <c r="G140" s="279">
        <v>18</v>
      </c>
      <c r="H140" s="294" t="str">
        <f>Instructions!F$44</f>
        <v>Cam</v>
      </c>
      <c r="I140" s="274" t="s">
        <v>870</v>
      </c>
      <c r="J140" s="709"/>
      <c r="K140" s="279">
        <v>14</v>
      </c>
      <c r="L140" s="294" t="str">
        <f>Instructions!F$48</f>
        <v>Bui</v>
      </c>
      <c r="M140" s="274" t="s">
        <v>844</v>
      </c>
      <c r="N140" s="709"/>
      <c r="O140" s="279">
        <v>12</v>
      </c>
      <c r="P140" s="294" t="str">
        <f>Instructions!F$44</f>
        <v>Cam</v>
      </c>
      <c r="Q140" s="274" t="s">
        <v>826</v>
      </c>
      <c r="R140" s="709"/>
      <c r="S140" s="279">
        <v>10</v>
      </c>
      <c r="T140" s="327" t="str">
        <f>Instructions!F$51</f>
        <v>Josh</v>
      </c>
      <c r="U140" s="274" t="s">
        <v>812</v>
      </c>
      <c r="V140" s="706"/>
      <c r="W140" s="279">
        <v>9</v>
      </c>
      <c r="X140" s="280"/>
      <c r="Y140" s="190" t="str">
        <f>IFERROR( IF(Instructions!$E$11=8, D140&amp;COUNTIF(D$3:D140,D140), IF(Instructions!$E$11=10, H140&amp;COUNTIF(H$3:H140,H140),IF(Instructions!$E$11=12, L140&amp;COUNTIF(L$3:L140,L140),IF(Instructions!$E$11=14, P140&amp;COUNTIF(P$3:P140,P140),T140&amp;COUNTIF(T$3:T140,T140))))),"")</f>
        <v>Bui12</v>
      </c>
      <c r="Z140" s="321">
        <f>IF(Instructions!$E$11=8,IF($D140=Instructions!$F$42,Z139+1,Z139),IF(Instructions!$E$11=10,IF($H140=Instructions!$F$42,Z139+1,Z139),IF(Instructions!$E$11=12,IF($L140=Instructions!$F$42,Z139+1,Z139),IF(Instructions!$E$11=14,IF($P140=Instructions!$F$42,Z139+1,Z139),IF(Instructions!$E$11=16,IF($T140=Instructions!$F$42,Z139+1,Z139))))))</f>
        <v>11</v>
      </c>
      <c r="AA140" s="321" t="str">
        <f t="shared" si="40"/>
        <v>111</v>
      </c>
      <c r="AB140" s="321">
        <f>IF(Instructions!$E$11=8,IF($D140=Instructions!$F$43,AB139+1,AB139),IF(Instructions!$E$11=10,IF($H140=Instructions!$F$43,AB139+1,AB139),IF(Instructions!$E$11=12,IF($L140=Instructions!$F$43,AB139+1,AB139),IF(Instructions!$E$11=14,IF($P140=Instructions!$F$43,AB139+1,AB139),IF(Instructions!$E$11=16,IF($T140=Instructions!$F$43,AB139+1,AB139))))))</f>
        <v>11</v>
      </c>
      <c r="AC140" s="321" t="str">
        <f t="shared" si="32"/>
        <v>211</v>
      </c>
      <c r="AD140" s="321">
        <f>IF(Instructions!$E$11=8,IF($D140=Instructions!$F$44,AD139+1,AD139),IF(Instructions!$E$11=10,IF($H140=Instructions!$F$44,AD139+1,AD139),IF(Instructions!$E$11=12,IF($L140=Instructions!$F$44,AD139+1,AD139),IF(Instructions!$E$11=14,IF($P140=Instructions!$F$44,AD139+1,AD139),IF(Instructions!$E$11=16,IF($T140=Instructions!$F$44,AD139+1,AD139))))))</f>
        <v>11</v>
      </c>
      <c r="AE140" s="321" t="str">
        <f t="shared" si="33"/>
        <v>311</v>
      </c>
      <c r="AF140" s="321">
        <f>IF(Instructions!$E$11=8,IF($D140=Instructions!$F$45,AF139+1,AF139),IF(Instructions!$E$11=10,IF($H140=Instructions!$F$45,AF139+1,AF139),IF(Instructions!$E$11=12,IF($L140=Instructions!$F$45,AF139+1,AF139),IF(Instructions!$E$11=14,IF($P140=Instructions!$F$45,AF139+1,AF139),IF(Instructions!$E$11=16,IF($T140=Instructions!$F$45,AF139+1,AF139))))))</f>
        <v>11</v>
      </c>
      <c r="AG140" s="321" t="str">
        <f t="shared" si="34"/>
        <v>411</v>
      </c>
      <c r="AH140" s="321">
        <f>IF(Instructions!$E$11=8,IF($D140=Instructions!$F$46,AH139+1,AH139),IF(Instructions!$E$11=10,IF($H140=Instructions!$F$46,AH139+1,AH139),IF(Instructions!$E$11=12,IF($L140=Instructions!$F$46,AH139+1,AH139),IF(Instructions!$E$11=14,IF($P140=Instructions!$F$46,AH139+1,AH139),IF(Instructions!$E$11=16,IF($T140=Instructions!$F$46,AH139+1,AH139))))))</f>
        <v>11</v>
      </c>
      <c r="AI140" s="321" t="str">
        <f t="shared" si="35"/>
        <v>511</v>
      </c>
      <c r="AJ140" s="321">
        <f>IF(Instructions!$E$11=8,IF($D140=Instructions!$F$47,AJ139+1,AJ139),IF(Instructions!$E$11=10,IF($H140=Instructions!$F$47,AJ139+1,AJ139),IF(Instructions!$E$11=12,IF($L140=Instructions!$F$47,AJ139+1,AJ139),IF(Instructions!$E$11=14,IF($P140=Instructions!$F$47,AJ139+1,AJ139),IF(Instructions!$E$11=16,IF($T140=Instructions!$F$47,AJ139+1,AJ139))))))</f>
        <v>11</v>
      </c>
      <c r="AK140" s="321" t="str">
        <f t="shared" si="36"/>
        <v>611</v>
      </c>
      <c r="AL140" s="321">
        <f>IF(Instructions!$E$11=8,IF($D140=Instructions!$F$48,AL139+1,AL139),IF(Instructions!$E$11=10,IF($H140=Instructions!$F$48,AL139+1,AL139),IF(Instructions!$E$11=12,IF($L140=Instructions!$F$48,AL139+1,AL139),IF(Instructions!$E$11=14,IF($P140=Instructions!$F$48,AL139+1,AL139),IF(Instructions!$E$11=16,IF($T140=Instructions!$F$48,AL139+1,AL139))))))</f>
        <v>12</v>
      </c>
      <c r="AM140" s="321" t="str">
        <f t="shared" si="37"/>
        <v>712</v>
      </c>
      <c r="AN140" s="321">
        <f>IF(Instructions!$E$11=8,IF($D140=Instructions!$F$49,AN139+1,AN139),IF(Instructions!$E$11=10,IF($H140=Instructions!$F$49,AN139+1,AN139),IF(Instructions!$E$11=12,IF($L140=Instructions!$F$49,AN139+1,AN139),IF(Instructions!$E$11=14,IF($P140=Instructions!$F$49,AN139+1,AN139),IF(Instructions!$E$11=16,IF($T140=Instructions!$F$49,AN139+1,AN139))))))</f>
        <v>12</v>
      </c>
      <c r="AO140" s="321" t="str">
        <f t="shared" si="38"/>
        <v>812</v>
      </c>
      <c r="AP140" s="321">
        <f>IF(Instructions!$E$11=8,IF($D140=Instructions!$F$50,AP139+1,AP139),IF(Instructions!$E$11=10,IF($H140=Instructions!$F$50,AP139+1,AP139),IF(Instructions!$E$11=12,IF($L140=Instructions!$F$50,AP139+1,AP139),IF(Instructions!$E$11=14,IF($P140=Instructions!$F$50,AP139+1,AP139),IF(Instructions!$E$11=16,IF($T140=Instructions!$F$50,AP139+1,AP139))))))</f>
        <v>12</v>
      </c>
      <c r="AQ140" s="321" t="str">
        <f t="shared" si="39"/>
        <v>912</v>
      </c>
      <c r="AR140" s="321">
        <f>IF(Instructions!$E$11=8,IF($D140=Instructions!$F$51,AR139+1,AR139),IF(Instructions!$E$11=10,IF($H140=Instructions!$F$51,AR139+1,AR139),IF(Instructions!$E$11=12,IF($L140=Instructions!$F$51,AR139+1,AR139),IF(Instructions!$E$11=14,IF($P140=Instructions!$F$51,AR139+1,AR139),IF(Instructions!$E$11=16,IF($T140=Instructions!$F$51,AR139+1,AR139))))))</f>
        <v>12</v>
      </c>
      <c r="AS140" s="321" t="str">
        <f t="shared" si="41"/>
        <v>1012</v>
      </c>
      <c r="AT140" s="321">
        <f>IF(Instructions!$E$11=8,IF($D140=Instructions!$F$52,AT139+1,AT139),IF(Instructions!$E$11=10,IF($H140=Instructions!$F$52,AT139+1,AT139),IF(Instructions!$E$11=12,IF($L140=Instructions!$F$52,AT139+1,AT139),IF(Instructions!$E$11=14,IF($P140=Instructions!$F$52,AT139+1,AT139),IF(Instructions!$E$11=16,IF($T140=Instructions!$F$52,AT139+1,AT139))))))</f>
        <v>12</v>
      </c>
      <c r="AU140" s="321" t="str">
        <f t="shared" si="42"/>
        <v>1112</v>
      </c>
      <c r="AV140" s="321">
        <f>IF(Instructions!$E$11=8,IF($D140=Instructions!$F$53,AV139+1,AV139),IF(Instructions!$E$11=10,IF($H140=Instructions!$F$53,AV139+1,AV139),IF(Instructions!$E$11=12,IF($L140=Instructions!$F$53,AV139+1,AV139),IF(Instructions!$E$11=14,IF($P140=Instructions!$F$53,AV139+1,AV139),IF(Instructions!$E$11=16,IF($T140=Instructions!$F$53,AV139+1,AV139))))))</f>
        <v>12</v>
      </c>
      <c r="AW140" s="321" t="str">
        <f t="shared" si="43"/>
        <v>1212</v>
      </c>
      <c r="AX140" s="321">
        <f>IF(Instructions!$E$11=8,IF($D140=Instructions!$F$54,AX139+1,AX139),IF(Instructions!$E$11=10,IF($H140=Instructions!$F$54,AX139+1,AX139),IF(Instructions!$E$11=12,IF($L140=Instructions!$F$54,AX139+1,AX139),IF(Instructions!$E$11=14,IF($P140=Instructions!$F$54,AX139+1,AX139),IF(Instructions!$E$11=16,IF($T140=Instructions!$F$54,AX139+1,AX139))))))</f>
        <v>0</v>
      </c>
      <c r="AY140" s="321" t="str">
        <f t="shared" si="44"/>
        <v>1300</v>
      </c>
      <c r="AZ140" s="321">
        <f>IF(Instructions!$E$11=8,IF($D140=Instructions!$F$55,AZ139+1,AZ139),IF(Instructions!$E$11=10,IF($H140=Instructions!$F$55,AZ139+1,AZ139),IF(Instructions!$E$11=12,IF($L140=Instructions!$F$55,AZ139+1,AZ139),IF(Instructions!$E$11=14,IF($P140=Instructions!$F$55,AZ139+1,AZ139),IF(Instructions!$E$11=16,IF($T140=Instructions!$F$55,AZ139+1,AZ139))))))</f>
        <v>0</v>
      </c>
      <c r="BA140" s="321" t="str">
        <f t="shared" si="45"/>
        <v>1400</v>
      </c>
      <c r="BB140" s="321">
        <f>IF(Instructions!$E$11=8,IF($D140=Instructions!$F$56,BB139+1,BB139),IF(Instructions!$E$11=10,IF($H140=Instructions!$F$56,BB139+1,BB139),IF(Instructions!$E$11=12,IF($L140=Instructions!$F$56,BB139+1,BB139),IF(Instructions!$E$11=14,IF($P140=Instructions!$F$56,BB139+1,BB139),IF(Instructions!$E$11=16,IF($T140=Instructions!$F$56,BB139+1,BB139))))))</f>
        <v>0</v>
      </c>
      <c r="BC140" s="321" t="str">
        <f t="shared" si="46"/>
        <v>1500</v>
      </c>
      <c r="BD140" s="321">
        <f>IF(Instructions!$E$11=8,IF($D140=Instructions!$F$57,BD139+1,BD139),IF(Instructions!$E$11=10,IF($H140=Instructions!$F$57,BD139+1,BD139),IF(Instructions!$E$11=12,IF($L140=Instructions!$F$57,BD139+1,BD139),IF(Instructions!$E$11=14,IF($P140=Instructions!$F$57,BD139+1,BD139),IF(Instructions!$E$11=16,IF($T140=Instructions!$F$57,BD139+1,BD139))))))</f>
        <v>0</v>
      </c>
      <c r="BE140" s="321" t="str">
        <f t="shared" si="47"/>
        <v>1600</v>
      </c>
      <c r="BF140" s="321">
        <v>138</v>
      </c>
    </row>
    <row r="141" spans="1:58" x14ac:dyDescent="0.25">
      <c r="A141" s="280"/>
      <c r="B141" s="323" t="str">
        <f>IF(Instructions!$J$11=1,AA141,IF(Instructions!$J$11=2,AC141,IF(Instructions!$J$11=3,AE141,IF(Instructions!$J$11=4,AG141,IF(Instructions!$J$11=5,AI141,IF(Instructions!$J$11=6,AK141,IF(Instructions!$J$11=7,AM141,IF(Instructions!$J$11=8,AO141,IF(Instructions!$J$11=9,AQ141,IF(Instructions!$J$11=10,AS141,IF(Instructions!$J$11=11,AU141,IF(Instructions!$J$11=12,AW141,IF(Instructions!$J$11=13, AY141, IF(Instructions!$J$11=14,BA141,IF(Instructions!$J$11=15,BC141,BE141)))))))))))))))</f>
        <v>211</v>
      </c>
      <c r="C141" s="271">
        <v>139</v>
      </c>
      <c r="D141" s="328" t="str">
        <f>Instructions!F$47</f>
        <v>Devin</v>
      </c>
      <c r="E141" s="333" t="s">
        <v>1474</v>
      </c>
      <c r="F141" s="706"/>
      <c r="G141" s="279">
        <v>18</v>
      </c>
      <c r="H141" s="293" t="str">
        <f>Instructions!F$43</f>
        <v>Camden</v>
      </c>
      <c r="I141" s="273" t="s">
        <v>871</v>
      </c>
      <c r="J141" s="709"/>
      <c r="K141" s="279">
        <v>14</v>
      </c>
      <c r="L141" s="293" t="str">
        <f>Instructions!F$47</f>
        <v>Devin</v>
      </c>
      <c r="M141" s="273" t="s">
        <v>845</v>
      </c>
      <c r="N141" s="709"/>
      <c r="O141" s="279">
        <v>12</v>
      </c>
      <c r="P141" s="293" t="str">
        <f>Instructions!F$43</f>
        <v>Camden</v>
      </c>
      <c r="Q141" s="273" t="s">
        <v>947</v>
      </c>
      <c r="R141" s="709"/>
      <c r="S141" s="279">
        <v>10</v>
      </c>
      <c r="T141" s="328" t="str">
        <f>Instructions!F$52</f>
        <v>Big R</v>
      </c>
      <c r="U141" s="273" t="s">
        <v>813</v>
      </c>
      <c r="V141" s="706"/>
      <c r="W141" s="279">
        <v>9</v>
      </c>
      <c r="X141" s="280"/>
      <c r="Y141" s="190" t="str">
        <f>IFERROR( IF(Instructions!$E$11=8, D141&amp;COUNTIF(D$3:D141,D141), IF(Instructions!$E$11=10, H141&amp;COUNTIF(H$3:H141,H141),IF(Instructions!$E$11=12, L141&amp;COUNTIF(L$3:L141,L141),IF(Instructions!$E$11=14, P141&amp;COUNTIF(P$3:P141,P141),T141&amp;COUNTIF(T$3:T141,T141))))),"")</f>
        <v>Devin12</v>
      </c>
      <c r="Z141" s="321">
        <f>IF(Instructions!$E$11=8,IF($D141=Instructions!$F$42,Z140+1,Z140),IF(Instructions!$E$11=10,IF($H141=Instructions!$F$42,Z140+1,Z140),IF(Instructions!$E$11=12,IF($L141=Instructions!$F$42,Z140+1,Z140),IF(Instructions!$E$11=14,IF($P141=Instructions!$F$42,Z140+1,Z140),IF(Instructions!$E$11=16,IF($T141=Instructions!$F$42,Z140+1,Z140))))))</f>
        <v>11</v>
      </c>
      <c r="AA141" s="321" t="str">
        <f t="shared" si="40"/>
        <v>111</v>
      </c>
      <c r="AB141" s="321">
        <f>IF(Instructions!$E$11=8,IF($D141=Instructions!$F$43,AB140+1,AB140),IF(Instructions!$E$11=10,IF($H141=Instructions!$F$43,AB140+1,AB140),IF(Instructions!$E$11=12,IF($L141=Instructions!$F$43,AB140+1,AB140),IF(Instructions!$E$11=14,IF($P141=Instructions!$F$43,AB140+1,AB140),IF(Instructions!$E$11=16,IF($T141=Instructions!$F$43,AB140+1,AB140))))))</f>
        <v>11</v>
      </c>
      <c r="AC141" s="321" t="str">
        <f t="shared" si="32"/>
        <v>211</v>
      </c>
      <c r="AD141" s="321">
        <f>IF(Instructions!$E$11=8,IF($D141=Instructions!$F$44,AD140+1,AD140),IF(Instructions!$E$11=10,IF($H141=Instructions!$F$44,AD140+1,AD140),IF(Instructions!$E$11=12,IF($L141=Instructions!$F$44,AD140+1,AD140),IF(Instructions!$E$11=14,IF($P141=Instructions!$F$44,AD140+1,AD140),IF(Instructions!$E$11=16,IF($T141=Instructions!$F$44,AD140+1,AD140))))))</f>
        <v>11</v>
      </c>
      <c r="AE141" s="321" t="str">
        <f t="shared" si="33"/>
        <v>311</v>
      </c>
      <c r="AF141" s="321">
        <f>IF(Instructions!$E$11=8,IF($D141=Instructions!$F$45,AF140+1,AF140),IF(Instructions!$E$11=10,IF($H141=Instructions!$F$45,AF140+1,AF140),IF(Instructions!$E$11=12,IF($L141=Instructions!$F$45,AF140+1,AF140),IF(Instructions!$E$11=14,IF($P141=Instructions!$F$45,AF140+1,AF140),IF(Instructions!$E$11=16,IF($T141=Instructions!$F$45,AF140+1,AF140))))))</f>
        <v>11</v>
      </c>
      <c r="AG141" s="321" t="str">
        <f t="shared" si="34"/>
        <v>411</v>
      </c>
      <c r="AH141" s="321">
        <f>IF(Instructions!$E$11=8,IF($D141=Instructions!$F$46,AH140+1,AH140),IF(Instructions!$E$11=10,IF($H141=Instructions!$F$46,AH140+1,AH140),IF(Instructions!$E$11=12,IF($L141=Instructions!$F$46,AH140+1,AH140),IF(Instructions!$E$11=14,IF($P141=Instructions!$F$46,AH140+1,AH140),IF(Instructions!$E$11=16,IF($T141=Instructions!$F$46,AH140+1,AH140))))))</f>
        <v>11</v>
      </c>
      <c r="AI141" s="321" t="str">
        <f t="shared" si="35"/>
        <v>511</v>
      </c>
      <c r="AJ141" s="321">
        <f>IF(Instructions!$E$11=8,IF($D141=Instructions!$F$47,AJ140+1,AJ140),IF(Instructions!$E$11=10,IF($H141=Instructions!$F$47,AJ140+1,AJ140),IF(Instructions!$E$11=12,IF($L141=Instructions!$F$47,AJ140+1,AJ140),IF(Instructions!$E$11=14,IF($P141=Instructions!$F$47,AJ140+1,AJ140),IF(Instructions!$E$11=16,IF($T141=Instructions!$F$47,AJ140+1,AJ140))))))</f>
        <v>12</v>
      </c>
      <c r="AK141" s="321" t="str">
        <f t="shared" si="36"/>
        <v>612</v>
      </c>
      <c r="AL141" s="321">
        <f>IF(Instructions!$E$11=8,IF($D141=Instructions!$F$48,AL140+1,AL140),IF(Instructions!$E$11=10,IF($H141=Instructions!$F$48,AL140+1,AL140),IF(Instructions!$E$11=12,IF($L141=Instructions!$F$48,AL140+1,AL140),IF(Instructions!$E$11=14,IF($P141=Instructions!$F$48,AL140+1,AL140),IF(Instructions!$E$11=16,IF($T141=Instructions!$F$48,AL140+1,AL140))))))</f>
        <v>12</v>
      </c>
      <c r="AM141" s="321" t="str">
        <f t="shared" si="37"/>
        <v>712</v>
      </c>
      <c r="AN141" s="321">
        <f>IF(Instructions!$E$11=8,IF($D141=Instructions!$F$49,AN140+1,AN140),IF(Instructions!$E$11=10,IF($H141=Instructions!$F$49,AN140+1,AN140),IF(Instructions!$E$11=12,IF($L141=Instructions!$F$49,AN140+1,AN140),IF(Instructions!$E$11=14,IF($P141=Instructions!$F$49,AN140+1,AN140),IF(Instructions!$E$11=16,IF($T141=Instructions!$F$49,AN140+1,AN140))))))</f>
        <v>12</v>
      </c>
      <c r="AO141" s="321" t="str">
        <f t="shared" si="38"/>
        <v>812</v>
      </c>
      <c r="AP141" s="321">
        <f>IF(Instructions!$E$11=8,IF($D141=Instructions!$F$50,AP140+1,AP140),IF(Instructions!$E$11=10,IF($H141=Instructions!$F$50,AP140+1,AP140),IF(Instructions!$E$11=12,IF($L141=Instructions!$F$50,AP140+1,AP140),IF(Instructions!$E$11=14,IF($P141=Instructions!$F$50,AP140+1,AP140),IF(Instructions!$E$11=16,IF($T141=Instructions!$F$50,AP140+1,AP140))))))</f>
        <v>12</v>
      </c>
      <c r="AQ141" s="321" t="str">
        <f t="shared" si="39"/>
        <v>912</v>
      </c>
      <c r="AR141" s="321">
        <f>IF(Instructions!$E$11=8,IF($D141=Instructions!$F$51,AR140+1,AR140),IF(Instructions!$E$11=10,IF($H141=Instructions!$F$51,AR140+1,AR140),IF(Instructions!$E$11=12,IF($L141=Instructions!$F$51,AR140+1,AR140),IF(Instructions!$E$11=14,IF($P141=Instructions!$F$51,AR140+1,AR140),IF(Instructions!$E$11=16,IF($T141=Instructions!$F$51,AR140+1,AR140))))))</f>
        <v>12</v>
      </c>
      <c r="AS141" s="321" t="str">
        <f t="shared" si="41"/>
        <v>1012</v>
      </c>
      <c r="AT141" s="321">
        <f>IF(Instructions!$E$11=8,IF($D141=Instructions!$F$52,AT140+1,AT140),IF(Instructions!$E$11=10,IF($H141=Instructions!$F$52,AT140+1,AT140),IF(Instructions!$E$11=12,IF($L141=Instructions!$F$52,AT140+1,AT140),IF(Instructions!$E$11=14,IF($P141=Instructions!$F$52,AT140+1,AT140),IF(Instructions!$E$11=16,IF($T141=Instructions!$F$52,AT140+1,AT140))))))</f>
        <v>12</v>
      </c>
      <c r="AU141" s="321" t="str">
        <f t="shared" si="42"/>
        <v>1112</v>
      </c>
      <c r="AV141" s="321">
        <f>IF(Instructions!$E$11=8,IF($D141=Instructions!$F$53,AV140+1,AV140),IF(Instructions!$E$11=10,IF($H141=Instructions!$F$53,AV140+1,AV140),IF(Instructions!$E$11=12,IF($L141=Instructions!$F$53,AV140+1,AV140),IF(Instructions!$E$11=14,IF($P141=Instructions!$F$53,AV140+1,AV140),IF(Instructions!$E$11=16,IF($T141=Instructions!$F$53,AV140+1,AV140))))))</f>
        <v>12</v>
      </c>
      <c r="AW141" s="321" t="str">
        <f t="shared" si="43"/>
        <v>1212</v>
      </c>
      <c r="AX141" s="321">
        <f>IF(Instructions!$E$11=8,IF($D141=Instructions!$F$54,AX140+1,AX140),IF(Instructions!$E$11=10,IF($H141=Instructions!$F$54,AX140+1,AX140),IF(Instructions!$E$11=12,IF($L141=Instructions!$F$54,AX140+1,AX140),IF(Instructions!$E$11=14,IF($P141=Instructions!$F$54,AX140+1,AX140),IF(Instructions!$E$11=16,IF($T141=Instructions!$F$54,AX140+1,AX140))))))</f>
        <v>0</v>
      </c>
      <c r="AY141" s="321" t="str">
        <f t="shared" si="44"/>
        <v>1300</v>
      </c>
      <c r="AZ141" s="321">
        <f>IF(Instructions!$E$11=8,IF($D141=Instructions!$F$55,AZ140+1,AZ140),IF(Instructions!$E$11=10,IF($H141=Instructions!$F$55,AZ140+1,AZ140),IF(Instructions!$E$11=12,IF($L141=Instructions!$F$55,AZ140+1,AZ140),IF(Instructions!$E$11=14,IF($P141=Instructions!$F$55,AZ140+1,AZ140),IF(Instructions!$E$11=16,IF($T141=Instructions!$F$55,AZ140+1,AZ140))))))</f>
        <v>0</v>
      </c>
      <c r="BA141" s="321" t="str">
        <f t="shared" si="45"/>
        <v>1400</v>
      </c>
      <c r="BB141" s="321">
        <f>IF(Instructions!$E$11=8,IF($D141=Instructions!$F$56,BB140+1,BB140),IF(Instructions!$E$11=10,IF($H141=Instructions!$F$56,BB140+1,BB140),IF(Instructions!$E$11=12,IF($L141=Instructions!$F$56,BB140+1,BB140),IF(Instructions!$E$11=14,IF($P141=Instructions!$F$56,BB140+1,BB140),IF(Instructions!$E$11=16,IF($T141=Instructions!$F$56,BB140+1,BB140))))))</f>
        <v>0</v>
      </c>
      <c r="BC141" s="321" t="str">
        <f t="shared" si="46"/>
        <v>1500</v>
      </c>
      <c r="BD141" s="321">
        <f>IF(Instructions!$E$11=8,IF($D141=Instructions!$F$57,BD140+1,BD140),IF(Instructions!$E$11=10,IF($H141=Instructions!$F$57,BD140+1,BD140),IF(Instructions!$E$11=12,IF($L141=Instructions!$F$57,BD140+1,BD140),IF(Instructions!$E$11=14,IF($P141=Instructions!$F$57,BD140+1,BD140),IF(Instructions!$E$11=16,IF($T141=Instructions!$F$57,BD140+1,BD140))))))</f>
        <v>0</v>
      </c>
      <c r="BE141" s="321" t="str">
        <f t="shared" si="47"/>
        <v>1600</v>
      </c>
      <c r="BF141" s="321">
        <v>139</v>
      </c>
    </row>
    <row r="142" spans="1:58" ht="15.75" thickBot="1" x14ac:dyDescent="0.3">
      <c r="A142" s="280"/>
      <c r="B142" s="323" t="str">
        <f>IF(Instructions!$J$11=1,AA142,IF(Instructions!$J$11=2,AC142,IF(Instructions!$J$11=3,AE142,IF(Instructions!$J$11=4,AG142,IF(Instructions!$J$11=5,AI142,IF(Instructions!$J$11=6,AK142,IF(Instructions!$J$11=7,AM142,IF(Instructions!$J$11=8,AO142,IF(Instructions!$J$11=9,AQ142,IF(Instructions!$J$11=10,AS142,IF(Instructions!$J$11=11,AU142,IF(Instructions!$J$11=12,AW142,IF(Instructions!$J$11=13, AY142, IF(Instructions!$J$11=14,BA142,IF(Instructions!$J$11=15,BC142,BE142)))))))))))))))</f>
        <v>211</v>
      </c>
      <c r="C142" s="272">
        <v>140</v>
      </c>
      <c r="D142" s="327" t="str">
        <f>Instructions!F$46</f>
        <v>Con</v>
      </c>
      <c r="E142" s="332" t="s">
        <v>1475</v>
      </c>
      <c r="F142" s="706"/>
      <c r="G142" s="279">
        <v>18</v>
      </c>
      <c r="H142" s="295" t="str">
        <f>Instructions!F$42</f>
        <v>Trumbo</v>
      </c>
      <c r="I142" s="275" t="s">
        <v>872</v>
      </c>
      <c r="J142" s="710"/>
      <c r="K142" s="279">
        <v>14</v>
      </c>
      <c r="L142" s="294" t="str">
        <f>Instructions!F$46</f>
        <v>Con</v>
      </c>
      <c r="M142" s="274" t="s">
        <v>846</v>
      </c>
      <c r="N142" s="709"/>
      <c r="O142" s="279">
        <v>12</v>
      </c>
      <c r="P142" s="295" t="str">
        <f>Instructions!F$42</f>
        <v>Trumbo</v>
      </c>
      <c r="Q142" s="277" t="s">
        <v>946</v>
      </c>
      <c r="R142" s="710"/>
      <c r="S142" s="279">
        <v>10</v>
      </c>
      <c r="T142" s="327" t="str">
        <f>Instructions!F$53</f>
        <v>Zack</v>
      </c>
      <c r="U142" s="274" t="s">
        <v>814</v>
      </c>
      <c r="V142" s="706"/>
      <c r="W142" s="279">
        <v>9</v>
      </c>
      <c r="X142" s="280"/>
      <c r="Y142" s="190" t="str">
        <f>IFERROR( IF(Instructions!$E$11=8, D142&amp;COUNTIF(D$3:D142,D142), IF(Instructions!$E$11=10, H142&amp;COUNTIF(H$3:H142,H142),IF(Instructions!$E$11=12, L142&amp;COUNTIF(L$3:L142,L142),IF(Instructions!$E$11=14, P142&amp;COUNTIF(P$3:P142,P142),T142&amp;COUNTIF(T$3:T142,T142))))),"")</f>
        <v>Con12</v>
      </c>
      <c r="Z142" s="321">
        <f>IF(Instructions!$E$11=8,IF($D142=Instructions!$F$42,Z141+1,Z141),IF(Instructions!$E$11=10,IF($H142=Instructions!$F$42,Z141+1,Z141),IF(Instructions!$E$11=12,IF($L142=Instructions!$F$42,Z141+1,Z141),IF(Instructions!$E$11=14,IF($P142=Instructions!$F$42,Z141+1,Z141),IF(Instructions!$E$11=16,IF($T142=Instructions!$F$42,Z141+1,Z141))))))</f>
        <v>11</v>
      </c>
      <c r="AA142" s="321" t="str">
        <f t="shared" si="40"/>
        <v>111</v>
      </c>
      <c r="AB142" s="321">
        <f>IF(Instructions!$E$11=8,IF($D142=Instructions!$F$43,AB141+1,AB141),IF(Instructions!$E$11=10,IF($H142=Instructions!$F$43,AB141+1,AB141),IF(Instructions!$E$11=12,IF($L142=Instructions!$F$43,AB141+1,AB141),IF(Instructions!$E$11=14,IF($P142=Instructions!$F$43,AB141+1,AB141),IF(Instructions!$E$11=16,IF($T142=Instructions!$F$43,AB141+1,AB141))))))</f>
        <v>11</v>
      </c>
      <c r="AC142" s="321" t="str">
        <f t="shared" si="32"/>
        <v>211</v>
      </c>
      <c r="AD142" s="321">
        <f>IF(Instructions!$E$11=8,IF($D142=Instructions!$F$44,AD141+1,AD141),IF(Instructions!$E$11=10,IF($H142=Instructions!$F$44,AD141+1,AD141),IF(Instructions!$E$11=12,IF($L142=Instructions!$F$44,AD141+1,AD141),IF(Instructions!$E$11=14,IF($P142=Instructions!$F$44,AD141+1,AD141),IF(Instructions!$E$11=16,IF($T142=Instructions!$F$44,AD141+1,AD141))))))</f>
        <v>11</v>
      </c>
      <c r="AE142" s="321" t="str">
        <f t="shared" si="33"/>
        <v>311</v>
      </c>
      <c r="AF142" s="321">
        <f>IF(Instructions!$E$11=8,IF($D142=Instructions!$F$45,AF141+1,AF141),IF(Instructions!$E$11=10,IF($H142=Instructions!$F$45,AF141+1,AF141),IF(Instructions!$E$11=12,IF($L142=Instructions!$F$45,AF141+1,AF141),IF(Instructions!$E$11=14,IF($P142=Instructions!$F$45,AF141+1,AF141),IF(Instructions!$E$11=16,IF($T142=Instructions!$F$45,AF141+1,AF141))))))</f>
        <v>11</v>
      </c>
      <c r="AG142" s="321" t="str">
        <f t="shared" si="34"/>
        <v>411</v>
      </c>
      <c r="AH142" s="321">
        <f>IF(Instructions!$E$11=8,IF($D142=Instructions!$F$46,AH141+1,AH141),IF(Instructions!$E$11=10,IF($H142=Instructions!$F$46,AH141+1,AH141),IF(Instructions!$E$11=12,IF($L142=Instructions!$F$46,AH141+1,AH141),IF(Instructions!$E$11=14,IF($P142=Instructions!$F$46,AH141+1,AH141),IF(Instructions!$E$11=16,IF($T142=Instructions!$F$46,AH141+1,AH141))))))</f>
        <v>12</v>
      </c>
      <c r="AI142" s="321" t="str">
        <f t="shared" si="35"/>
        <v>512</v>
      </c>
      <c r="AJ142" s="321">
        <f>IF(Instructions!$E$11=8,IF($D142=Instructions!$F$47,AJ141+1,AJ141),IF(Instructions!$E$11=10,IF($H142=Instructions!$F$47,AJ141+1,AJ141),IF(Instructions!$E$11=12,IF($L142=Instructions!$F$47,AJ141+1,AJ141),IF(Instructions!$E$11=14,IF($P142=Instructions!$F$47,AJ141+1,AJ141),IF(Instructions!$E$11=16,IF($T142=Instructions!$F$47,AJ141+1,AJ141))))))</f>
        <v>12</v>
      </c>
      <c r="AK142" s="321" t="str">
        <f t="shared" si="36"/>
        <v>612</v>
      </c>
      <c r="AL142" s="321">
        <f>IF(Instructions!$E$11=8,IF($D142=Instructions!$F$48,AL141+1,AL141),IF(Instructions!$E$11=10,IF($H142=Instructions!$F$48,AL141+1,AL141),IF(Instructions!$E$11=12,IF($L142=Instructions!$F$48,AL141+1,AL141),IF(Instructions!$E$11=14,IF($P142=Instructions!$F$48,AL141+1,AL141),IF(Instructions!$E$11=16,IF($T142=Instructions!$F$48,AL141+1,AL141))))))</f>
        <v>12</v>
      </c>
      <c r="AM142" s="321" t="str">
        <f t="shared" si="37"/>
        <v>712</v>
      </c>
      <c r="AN142" s="321">
        <f>IF(Instructions!$E$11=8,IF($D142=Instructions!$F$49,AN141+1,AN141),IF(Instructions!$E$11=10,IF($H142=Instructions!$F$49,AN141+1,AN141),IF(Instructions!$E$11=12,IF($L142=Instructions!$F$49,AN141+1,AN141),IF(Instructions!$E$11=14,IF($P142=Instructions!$F$49,AN141+1,AN141),IF(Instructions!$E$11=16,IF($T142=Instructions!$F$49,AN141+1,AN141))))))</f>
        <v>12</v>
      </c>
      <c r="AO142" s="321" t="str">
        <f t="shared" si="38"/>
        <v>812</v>
      </c>
      <c r="AP142" s="321">
        <f>IF(Instructions!$E$11=8,IF($D142=Instructions!$F$50,AP141+1,AP141),IF(Instructions!$E$11=10,IF($H142=Instructions!$F$50,AP141+1,AP141),IF(Instructions!$E$11=12,IF($L142=Instructions!$F$50,AP141+1,AP141),IF(Instructions!$E$11=14,IF($P142=Instructions!$F$50,AP141+1,AP141),IF(Instructions!$E$11=16,IF($T142=Instructions!$F$50,AP141+1,AP141))))))</f>
        <v>12</v>
      </c>
      <c r="AQ142" s="321" t="str">
        <f t="shared" si="39"/>
        <v>912</v>
      </c>
      <c r="AR142" s="321">
        <f>IF(Instructions!$E$11=8,IF($D142=Instructions!$F$51,AR141+1,AR141),IF(Instructions!$E$11=10,IF($H142=Instructions!$F$51,AR141+1,AR141),IF(Instructions!$E$11=12,IF($L142=Instructions!$F$51,AR141+1,AR141),IF(Instructions!$E$11=14,IF($P142=Instructions!$F$51,AR141+1,AR141),IF(Instructions!$E$11=16,IF($T142=Instructions!$F$51,AR141+1,AR141))))))</f>
        <v>12</v>
      </c>
      <c r="AS142" s="321" t="str">
        <f t="shared" si="41"/>
        <v>1012</v>
      </c>
      <c r="AT142" s="321">
        <f>IF(Instructions!$E$11=8,IF($D142=Instructions!$F$52,AT141+1,AT141),IF(Instructions!$E$11=10,IF($H142=Instructions!$F$52,AT141+1,AT141),IF(Instructions!$E$11=12,IF($L142=Instructions!$F$52,AT141+1,AT141),IF(Instructions!$E$11=14,IF($P142=Instructions!$F$52,AT141+1,AT141),IF(Instructions!$E$11=16,IF($T142=Instructions!$F$52,AT141+1,AT141))))))</f>
        <v>12</v>
      </c>
      <c r="AU142" s="321" t="str">
        <f t="shared" si="42"/>
        <v>1112</v>
      </c>
      <c r="AV142" s="321">
        <f>IF(Instructions!$E$11=8,IF($D142=Instructions!$F$53,AV141+1,AV141),IF(Instructions!$E$11=10,IF($H142=Instructions!$F$53,AV141+1,AV141),IF(Instructions!$E$11=12,IF($L142=Instructions!$F$53,AV141+1,AV141),IF(Instructions!$E$11=14,IF($P142=Instructions!$F$53,AV141+1,AV141),IF(Instructions!$E$11=16,IF($T142=Instructions!$F$53,AV141+1,AV141))))))</f>
        <v>12</v>
      </c>
      <c r="AW142" s="321" t="str">
        <f t="shared" si="43"/>
        <v>1212</v>
      </c>
      <c r="AX142" s="321">
        <f>IF(Instructions!$E$11=8,IF($D142=Instructions!$F$54,AX141+1,AX141),IF(Instructions!$E$11=10,IF($H142=Instructions!$F$54,AX141+1,AX141),IF(Instructions!$E$11=12,IF($L142=Instructions!$F$54,AX141+1,AX141),IF(Instructions!$E$11=14,IF($P142=Instructions!$F$54,AX141+1,AX141),IF(Instructions!$E$11=16,IF($T142=Instructions!$F$54,AX141+1,AX141))))))</f>
        <v>0</v>
      </c>
      <c r="AY142" s="321" t="str">
        <f t="shared" si="44"/>
        <v>1300</v>
      </c>
      <c r="AZ142" s="321">
        <f>IF(Instructions!$E$11=8,IF($D142=Instructions!$F$55,AZ141+1,AZ141),IF(Instructions!$E$11=10,IF($H142=Instructions!$F$55,AZ141+1,AZ141),IF(Instructions!$E$11=12,IF($L142=Instructions!$F$55,AZ141+1,AZ141),IF(Instructions!$E$11=14,IF($P142=Instructions!$F$55,AZ141+1,AZ141),IF(Instructions!$E$11=16,IF($T142=Instructions!$F$55,AZ141+1,AZ141))))))</f>
        <v>0</v>
      </c>
      <c r="BA142" s="321" t="str">
        <f t="shared" si="45"/>
        <v>1400</v>
      </c>
      <c r="BB142" s="321">
        <f>IF(Instructions!$E$11=8,IF($D142=Instructions!$F$56,BB141+1,BB141),IF(Instructions!$E$11=10,IF($H142=Instructions!$F$56,BB141+1,BB141),IF(Instructions!$E$11=12,IF($L142=Instructions!$F$56,BB141+1,BB141),IF(Instructions!$E$11=14,IF($P142=Instructions!$F$56,BB141+1,BB141),IF(Instructions!$E$11=16,IF($T142=Instructions!$F$56,BB141+1,BB141))))))</f>
        <v>0</v>
      </c>
      <c r="BC142" s="321" t="str">
        <f t="shared" si="46"/>
        <v>1500</v>
      </c>
      <c r="BD142" s="321">
        <f>IF(Instructions!$E$11=8,IF($D142=Instructions!$F$57,BD141+1,BD141),IF(Instructions!$E$11=10,IF($H142=Instructions!$F$57,BD141+1,BD141),IF(Instructions!$E$11=12,IF($L142=Instructions!$F$57,BD141+1,BD141),IF(Instructions!$E$11=14,IF($P142=Instructions!$F$57,BD141+1,BD141),IF(Instructions!$E$11=16,IF($T142=Instructions!$F$57,BD141+1,BD141))))))</f>
        <v>0</v>
      </c>
      <c r="BE142" s="321" t="str">
        <f t="shared" si="47"/>
        <v>1600</v>
      </c>
      <c r="BF142" s="321">
        <v>140</v>
      </c>
    </row>
    <row r="143" spans="1:58" ht="15" customHeight="1" x14ac:dyDescent="0.25">
      <c r="A143" s="280"/>
      <c r="B143" s="323" t="str">
        <f>IF(Instructions!$J$11=1,AA143,IF(Instructions!$J$11=2,AC143,IF(Instructions!$J$11=3,AE143,IF(Instructions!$J$11=4,AG143,IF(Instructions!$J$11=5,AI143,IF(Instructions!$J$11=6,AK143,IF(Instructions!$J$11=7,AM143,IF(Instructions!$J$11=8,AO143,IF(Instructions!$J$11=9,AQ143,IF(Instructions!$J$11=10,AS143,IF(Instructions!$J$11=11,AU143,IF(Instructions!$J$11=12,AW143,IF(Instructions!$J$11=13, AY143, IF(Instructions!$J$11=14,BA143,IF(Instructions!$J$11=15,BC143,BE143)))))))))))))))</f>
        <v>211</v>
      </c>
      <c r="C143" s="271">
        <v>141</v>
      </c>
      <c r="D143" s="328" t="str">
        <f>Instructions!F$45</f>
        <v>Miles</v>
      </c>
      <c r="E143" s="333" t="s">
        <v>1476</v>
      </c>
      <c r="F143" s="706"/>
      <c r="G143" s="279">
        <v>18</v>
      </c>
      <c r="H143" s="292" t="str">
        <f>Instructions!F$42</f>
        <v>Trumbo</v>
      </c>
      <c r="I143" s="276" t="s">
        <v>875</v>
      </c>
      <c r="J143" s="708" t="s">
        <v>910</v>
      </c>
      <c r="K143" s="279">
        <v>15</v>
      </c>
      <c r="L143" s="293" t="str">
        <f>Instructions!F$45</f>
        <v>Miles</v>
      </c>
      <c r="M143" s="273" t="s">
        <v>847</v>
      </c>
      <c r="N143" s="709"/>
      <c r="O143" s="279">
        <v>12</v>
      </c>
      <c r="P143" s="292" t="str">
        <f>Instructions!F$42</f>
        <v>Trumbo</v>
      </c>
      <c r="Q143" s="276" t="s">
        <v>827</v>
      </c>
      <c r="R143" s="708" t="s">
        <v>906</v>
      </c>
      <c r="S143" s="279">
        <v>11</v>
      </c>
      <c r="T143" s="328" t="str">
        <f>Instructions!F$54</f>
        <v>[TEAM 13]</v>
      </c>
      <c r="U143" s="273" t="s">
        <v>944</v>
      </c>
      <c r="V143" s="706"/>
      <c r="W143" s="279">
        <v>9</v>
      </c>
      <c r="X143" s="280"/>
      <c r="Y143" s="190" t="str">
        <f>IFERROR( IF(Instructions!$E$11=8, D143&amp;COUNTIF(D$3:D143,D143), IF(Instructions!$E$11=10, H143&amp;COUNTIF(H$3:H143,H143),IF(Instructions!$E$11=12, L143&amp;COUNTIF(L$3:L143,L143),IF(Instructions!$E$11=14, P143&amp;COUNTIF(P$3:P143,P143),T143&amp;COUNTIF(T$3:T143,T143))))),"")</f>
        <v>Miles12</v>
      </c>
      <c r="Z143" s="321">
        <f>IF(Instructions!$E$11=8,IF($D143=Instructions!$F$42,Z142+1,Z142),IF(Instructions!$E$11=10,IF($H143=Instructions!$F$42,Z142+1,Z142),IF(Instructions!$E$11=12,IF($L143=Instructions!$F$42,Z142+1,Z142),IF(Instructions!$E$11=14,IF($P143=Instructions!$F$42,Z142+1,Z142),IF(Instructions!$E$11=16,IF($T143=Instructions!$F$42,Z142+1,Z142))))))</f>
        <v>11</v>
      </c>
      <c r="AA143" s="321" t="str">
        <f t="shared" si="40"/>
        <v>111</v>
      </c>
      <c r="AB143" s="321">
        <f>IF(Instructions!$E$11=8,IF($D143=Instructions!$F$43,AB142+1,AB142),IF(Instructions!$E$11=10,IF($H143=Instructions!$F$43,AB142+1,AB142),IF(Instructions!$E$11=12,IF($L143=Instructions!$F$43,AB142+1,AB142),IF(Instructions!$E$11=14,IF($P143=Instructions!$F$43,AB142+1,AB142),IF(Instructions!$E$11=16,IF($T143=Instructions!$F$43,AB142+1,AB142))))))</f>
        <v>11</v>
      </c>
      <c r="AC143" s="321" t="str">
        <f t="shared" si="32"/>
        <v>211</v>
      </c>
      <c r="AD143" s="321">
        <f>IF(Instructions!$E$11=8,IF($D143=Instructions!$F$44,AD142+1,AD142),IF(Instructions!$E$11=10,IF($H143=Instructions!$F$44,AD142+1,AD142),IF(Instructions!$E$11=12,IF($L143=Instructions!$F$44,AD142+1,AD142),IF(Instructions!$E$11=14,IF($P143=Instructions!$F$44,AD142+1,AD142),IF(Instructions!$E$11=16,IF($T143=Instructions!$F$44,AD142+1,AD142))))))</f>
        <v>11</v>
      </c>
      <c r="AE143" s="321" t="str">
        <f t="shared" si="33"/>
        <v>311</v>
      </c>
      <c r="AF143" s="321">
        <f>IF(Instructions!$E$11=8,IF($D143=Instructions!$F$45,AF142+1,AF142),IF(Instructions!$E$11=10,IF($H143=Instructions!$F$45,AF142+1,AF142),IF(Instructions!$E$11=12,IF($L143=Instructions!$F$45,AF142+1,AF142),IF(Instructions!$E$11=14,IF($P143=Instructions!$F$45,AF142+1,AF142),IF(Instructions!$E$11=16,IF($T143=Instructions!$F$45,AF142+1,AF142))))))</f>
        <v>12</v>
      </c>
      <c r="AG143" s="321" t="str">
        <f t="shared" si="34"/>
        <v>412</v>
      </c>
      <c r="AH143" s="321">
        <f>IF(Instructions!$E$11=8,IF($D143=Instructions!$F$46,AH142+1,AH142),IF(Instructions!$E$11=10,IF($H143=Instructions!$F$46,AH142+1,AH142),IF(Instructions!$E$11=12,IF($L143=Instructions!$F$46,AH142+1,AH142),IF(Instructions!$E$11=14,IF($P143=Instructions!$F$46,AH142+1,AH142),IF(Instructions!$E$11=16,IF($T143=Instructions!$F$46,AH142+1,AH142))))))</f>
        <v>12</v>
      </c>
      <c r="AI143" s="321" t="str">
        <f t="shared" si="35"/>
        <v>512</v>
      </c>
      <c r="AJ143" s="321">
        <f>IF(Instructions!$E$11=8,IF($D143=Instructions!$F$47,AJ142+1,AJ142),IF(Instructions!$E$11=10,IF($H143=Instructions!$F$47,AJ142+1,AJ142),IF(Instructions!$E$11=12,IF($L143=Instructions!$F$47,AJ142+1,AJ142),IF(Instructions!$E$11=14,IF($P143=Instructions!$F$47,AJ142+1,AJ142),IF(Instructions!$E$11=16,IF($T143=Instructions!$F$47,AJ142+1,AJ142))))))</f>
        <v>12</v>
      </c>
      <c r="AK143" s="321" t="str">
        <f t="shared" si="36"/>
        <v>612</v>
      </c>
      <c r="AL143" s="321">
        <f>IF(Instructions!$E$11=8,IF($D143=Instructions!$F$48,AL142+1,AL142),IF(Instructions!$E$11=10,IF($H143=Instructions!$F$48,AL142+1,AL142),IF(Instructions!$E$11=12,IF($L143=Instructions!$F$48,AL142+1,AL142),IF(Instructions!$E$11=14,IF($P143=Instructions!$F$48,AL142+1,AL142),IF(Instructions!$E$11=16,IF($T143=Instructions!$F$48,AL142+1,AL142))))))</f>
        <v>12</v>
      </c>
      <c r="AM143" s="321" t="str">
        <f t="shared" si="37"/>
        <v>712</v>
      </c>
      <c r="AN143" s="321">
        <f>IF(Instructions!$E$11=8,IF($D143=Instructions!$F$49,AN142+1,AN142),IF(Instructions!$E$11=10,IF($H143=Instructions!$F$49,AN142+1,AN142),IF(Instructions!$E$11=12,IF($L143=Instructions!$F$49,AN142+1,AN142),IF(Instructions!$E$11=14,IF($P143=Instructions!$F$49,AN142+1,AN142),IF(Instructions!$E$11=16,IF($T143=Instructions!$F$49,AN142+1,AN142))))))</f>
        <v>12</v>
      </c>
      <c r="AO143" s="321" t="str">
        <f t="shared" si="38"/>
        <v>812</v>
      </c>
      <c r="AP143" s="321">
        <f>IF(Instructions!$E$11=8,IF($D143=Instructions!$F$50,AP142+1,AP142),IF(Instructions!$E$11=10,IF($H143=Instructions!$F$50,AP142+1,AP142),IF(Instructions!$E$11=12,IF($L143=Instructions!$F$50,AP142+1,AP142),IF(Instructions!$E$11=14,IF($P143=Instructions!$F$50,AP142+1,AP142),IF(Instructions!$E$11=16,IF($T143=Instructions!$F$50,AP142+1,AP142))))))</f>
        <v>12</v>
      </c>
      <c r="AQ143" s="321" t="str">
        <f t="shared" si="39"/>
        <v>912</v>
      </c>
      <c r="AR143" s="321">
        <f>IF(Instructions!$E$11=8,IF($D143=Instructions!$F$51,AR142+1,AR142),IF(Instructions!$E$11=10,IF($H143=Instructions!$F$51,AR142+1,AR142),IF(Instructions!$E$11=12,IF($L143=Instructions!$F$51,AR142+1,AR142),IF(Instructions!$E$11=14,IF($P143=Instructions!$F$51,AR142+1,AR142),IF(Instructions!$E$11=16,IF($T143=Instructions!$F$51,AR142+1,AR142))))))</f>
        <v>12</v>
      </c>
      <c r="AS143" s="321" t="str">
        <f t="shared" si="41"/>
        <v>1012</v>
      </c>
      <c r="AT143" s="321">
        <f>IF(Instructions!$E$11=8,IF($D143=Instructions!$F$52,AT142+1,AT142),IF(Instructions!$E$11=10,IF($H143=Instructions!$F$52,AT142+1,AT142),IF(Instructions!$E$11=12,IF($L143=Instructions!$F$52,AT142+1,AT142),IF(Instructions!$E$11=14,IF($P143=Instructions!$F$52,AT142+1,AT142),IF(Instructions!$E$11=16,IF($T143=Instructions!$F$52,AT142+1,AT142))))))</f>
        <v>12</v>
      </c>
      <c r="AU143" s="321" t="str">
        <f t="shared" si="42"/>
        <v>1112</v>
      </c>
      <c r="AV143" s="321">
        <f>IF(Instructions!$E$11=8,IF($D143=Instructions!$F$53,AV142+1,AV142),IF(Instructions!$E$11=10,IF($H143=Instructions!$F$53,AV142+1,AV142),IF(Instructions!$E$11=12,IF($L143=Instructions!$F$53,AV142+1,AV142),IF(Instructions!$E$11=14,IF($P143=Instructions!$F$53,AV142+1,AV142),IF(Instructions!$E$11=16,IF($T143=Instructions!$F$53,AV142+1,AV142))))))</f>
        <v>12</v>
      </c>
      <c r="AW143" s="321" t="str">
        <f t="shared" si="43"/>
        <v>1212</v>
      </c>
      <c r="AX143" s="321">
        <f>IF(Instructions!$E$11=8,IF($D143=Instructions!$F$54,AX142+1,AX142),IF(Instructions!$E$11=10,IF($H143=Instructions!$F$54,AX142+1,AX142),IF(Instructions!$E$11=12,IF($L143=Instructions!$F$54,AX142+1,AX142),IF(Instructions!$E$11=14,IF($P143=Instructions!$F$54,AX142+1,AX142),IF(Instructions!$E$11=16,IF($T143=Instructions!$F$54,AX142+1,AX142))))))</f>
        <v>0</v>
      </c>
      <c r="AY143" s="321" t="str">
        <f t="shared" si="44"/>
        <v>1300</v>
      </c>
      <c r="AZ143" s="321">
        <f>IF(Instructions!$E$11=8,IF($D143=Instructions!$F$55,AZ142+1,AZ142),IF(Instructions!$E$11=10,IF($H143=Instructions!$F$55,AZ142+1,AZ142),IF(Instructions!$E$11=12,IF($L143=Instructions!$F$55,AZ142+1,AZ142),IF(Instructions!$E$11=14,IF($P143=Instructions!$F$55,AZ142+1,AZ142),IF(Instructions!$E$11=16,IF($T143=Instructions!$F$55,AZ142+1,AZ142))))))</f>
        <v>0</v>
      </c>
      <c r="BA143" s="321" t="str">
        <f t="shared" si="45"/>
        <v>1400</v>
      </c>
      <c r="BB143" s="321">
        <f>IF(Instructions!$E$11=8,IF($D143=Instructions!$F$56,BB142+1,BB142),IF(Instructions!$E$11=10,IF($H143=Instructions!$F$56,BB142+1,BB142),IF(Instructions!$E$11=12,IF($L143=Instructions!$F$56,BB142+1,BB142),IF(Instructions!$E$11=14,IF($P143=Instructions!$F$56,BB142+1,BB142),IF(Instructions!$E$11=16,IF($T143=Instructions!$F$56,BB142+1,BB142))))))</f>
        <v>0</v>
      </c>
      <c r="BC143" s="321" t="str">
        <f t="shared" si="46"/>
        <v>1500</v>
      </c>
      <c r="BD143" s="321">
        <f>IF(Instructions!$E$11=8,IF($D143=Instructions!$F$57,BD142+1,BD142),IF(Instructions!$E$11=10,IF($H143=Instructions!$F$57,BD142+1,BD142),IF(Instructions!$E$11=12,IF($L143=Instructions!$F$57,BD142+1,BD142),IF(Instructions!$E$11=14,IF($P143=Instructions!$F$57,BD142+1,BD142),IF(Instructions!$E$11=16,IF($T143=Instructions!$F$57,BD142+1,BD142))))))</f>
        <v>0</v>
      </c>
      <c r="BE143" s="321" t="str">
        <f t="shared" si="47"/>
        <v>1600</v>
      </c>
      <c r="BF143" s="321">
        <v>141</v>
      </c>
    </row>
    <row r="144" spans="1:58" x14ac:dyDescent="0.25">
      <c r="A144" s="280"/>
      <c r="B144" s="323" t="str">
        <f>IF(Instructions!$J$11=1,AA144,IF(Instructions!$J$11=2,AC144,IF(Instructions!$J$11=3,AE144,IF(Instructions!$J$11=4,AG144,IF(Instructions!$J$11=5,AI144,IF(Instructions!$J$11=6,AK144,IF(Instructions!$J$11=7,AM144,IF(Instructions!$J$11=8,AO144,IF(Instructions!$J$11=9,AQ144,IF(Instructions!$J$11=10,AS144,IF(Instructions!$J$11=11,AU144,IF(Instructions!$J$11=12,AW144,IF(Instructions!$J$11=13, AY144, IF(Instructions!$J$11=14,BA144,IF(Instructions!$J$11=15,BC144,BE144)))))))))))))))</f>
        <v>211</v>
      </c>
      <c r="C144" s="272">
        <v>142</v>
      </c>
      <c r="D144" s="327" t="str">
        <f>Instructions!F$44</f>
        <v>Cam</v>
      </c>
      <c r="E144" s="332" t="s">
        <v>1477</v>
      </c>
      <c r="F144" s="706"/>
      <c r="G144" s="279">
        <v>18</v>
      </c>
      <c r="H144" s="294" t="str">
        <f>Instructions!F$43</f>
        <v>Camden</v>
      </c>
      <c r="I144" s="274" t="s">
        <v>876</v>
      </c>
      <c r="J144" s="709"/>
      <c r="K144" s="279">
        <v>15</v>
      </c>
      <c r="L144" s="294" t="str">
        <f>Instructions!F$44</f>
        <v>Cam</v>
      </c>
      <c r="M144" s="274" t="s">
        <v>848</v>
      </c>
      <c r="N144" s="709"/>
      <c r="O144" s="279">
        <v>12</v>
      </c>
      <c r="P144" s="294" t="str">
        <f>Instructions!F$43</f>
        <v>Camden</v>
      </c>
      <c r="Q144" s="274" t="s">
        <v>828</v>
      </c>
      <c r="R144" s="709"/>
      <c r="S144" s="279">
        <v>11</v>
      </c>
      <c r="T144" s="327" t="str">
        <f>Instructions!F$55</f>
        <v>[TEAM 14]</v>
      </c>
      <c r="U144" s="274" t="s">
        <v>945</v>
      </c>
      <c r="V144" s="706"/>
      <c r="W144" s="279">
        <v>9</v>
      </c>
      <c r="X144" s="280"/>
      <c r="Y144" s="190" t="str">
        <f>IFERROR( IF(Instructions!$E$11=8, D144&amp;COUNTIF(D$3:D144,D144), IF(Instructions!$E$11=10, H144&amp;COUNTIF(H$3:H144,H144),IF(Instructions!$E$11=12, L144&amp;COUNTIF(L$3:L144,L144),IF(Instructions!$E$11=14, P144&amp;COUNTIF(P$3:P144,P144),T144&amp;COUNTIF(T$3:T144,T144))))),"")</f>
        <v>Cam12</v>
      </c>
      <c r="Z144" s="321">
        <f>IF(Instructions!$E$11=8,IF($D144=Instructions!$F$42,Z143+1,Z143),IF(Instructions!$E$11=10,IF($H144=Instructions!$F$42,Z143+1,Z143),IF(Instructions!$E$11=12,IF($L144=Instructions!$F$42,Z143+1,Z143),IF(Instructions!$E$11=14,IF($P144=Instructions!$F$42,Z143+1,Z143),IF(Instructions!$E$11=16,IF($T144=Instructions!$F$42,Z143+1,Z143))))))</f>
        <v>11</v>
      </c>
      <c r="AA144" s="321" t="str">
        <f t="shared" si="40"/>
        <v>111</v>
      </c>
      <c r="AB144" s="321">
        <f>IF(Instructions!$E$11=8,IF($D144=Instructions!$F$43,AB143+1,AB143),IF(Instructions!$E$11=10,IF($H144=Instructions!$F$43,AB143+1,AB143),IF(Instructions!$E$11=12,IF($L144=Instructions!$F$43,AB143+1,AB143),IF(Instructions!$E$11=14,IF($P144=Instructions!$F$43,AB143+1,AB143),IF(Instructions!$E$11=16,IF($T144=Instructions!$F$43,AB143+1,AB143))))))</f>
        <v>11</v>
      </c>
      <c r="AC144" s="321" t="str">
        <f t="shared" si="32"/>
        <v>211</v>
      </c>
      <c r="AD144" s="321">
        <f>IF(Instructions!$E$11=8,IF($D144=Instructions!$F$44,AD143+1,AD143),IF(Instructions!$E$11=10,IF($H144=Instructions!$F$44,AD143+1,AD143),IF(Instructions!$E$11=12,IF($L144=Instructions!$F$44,AD143+1,AD143),IF(Instructions!$E$11=14,IF($P144=Instructions!$F$44,AD143+1,AD143),IF(Instructions!$E$11=16,IF($T144=Instructions!$F$44,AD143+1,AD143))))))</f>
        <v>12</v>
      </c>
      <c r="AE144" s="321" t="str">
        <f t="shared" si="33"/>
        <v>312</v>
      </c>
      <c r="AF144" s="321">
        <f>IF(Instructions!$E$11=8,IF($D144=Instructions!$F$45,AF143+1,AF143),IF(Instructions!$E$11=10,IF($H144=Instructions!$F$45,AF143+1,AF143),IF(Instructions!$E$11=12,IF($L144=Instructions!$F$45,AF143+1,AF143),IF(Instructions!$E$11=14,IF($P144=Instructions!$F$45,AF143+1,AF143),IF(Instructions!$E$11=16,IF($T144=Instructions!$F$45,AF143+1,AF143))))))</f>
        <v>12</v>
      </c>
      <c r="AG144" s="321" t="str">
        <f t="shared" si="34"/>
        <v>412</v>
      </c>
      <c r="AH144" s="321">
        <f>IF(Instructions!$E$11=8,IF($D144=Instructions!$F$46,AH143+1,AH143),IF(Instructions!$E$11=10,IF($H144=Instructions!$F$46,AH143+1,AH143),IF(Instructions!$E$11=12,IF($L144=Instructions!$F$46,AH143+1,AH143),IF(Instructions!$E$11=14,IF($P144=Instructions!$F$46,AH143+1,AH143),IF(Instructions!$E$11=16,IF($T144=Instructions!$F$46,AH143+1,AH143))))))</f>
        <v>12</v>
      </c>
      <c r="AI144" s="321" t="str">
        <f t="shared" si="35"/>
        <v>512</v>
      </c>
      <c r="AJ144" s="321">
        <f>IF(Instructions!$E$11=8,IF($D144=Instructions!$F$47,AJ143+1,AJ143),IF(Instructions!$E$11=10,IF($H144=Instructions!$F$47,AJ143+1,AJ143),IF(Instructions!$E$11=12,IF($L144=Instructions!$F$47,AJ143+1,AJ143),IF(Instructions!$E$11=14,IF($P144=Instructions!$F$47,AJ143+1,AJ143),IF(Instructions!$E$11=16,IF($T144=Instructions!$F$47,AJ143+1,AJ143))))))</f>
        <v>12</v>
      </c>
      <c r="AK144" s="321" t="str">
        <f t="shared" si="36"/>
        <v>612</v>
      </c>
      <c r="AL144" s="321">
        <f>IF(Instructions!$E$11=8,IF($D144=Instructions!$F$48,AL143+1,AL143),IF(Instructions!$E$11=10,IF($H144=Instructions!$F$48,AL143+1,AL143),IF(Instructions!$E$11=12,IF($L144=Instructions!$F$48,AL143+1,AL143),IF(Instructions!$E$11=14,IF($P144=Instructions!$F$48,AL143+1,AL143),IF(Instructions!$E$11=16,IF($T144=Instructions!$F$48,AL143+1,AL143))))))</f>
        <v>12</v>
      </c>
      <c r="AM144" s="321" t="str">
        <f t="shared" si="37"/>
        <v>712</v>
      </c>
      <c r="AN144" s="321">
        <f>IF(Instructions!$E$11=8,IF($D144=Instructions!$F$49,AN143+1,AN143),IF(Instructions!$E$11=10,IF($H144=Instructions!$F$49,AN143+1,AN143),IF(Instructions!$E$11=12,IF($L144=Instructions!$F$49,AN143+1,AN143),IF(Instructions!$E$11=14,IF($P144=Instructions!$F$49,AN143+1,AN143),IF(Instructions!$E$11=16,IF($T144=Instructions!$F$49,AN143+1,AN143))))))</f>
        <v>12</v>
      </c>
      <c r="AO144" s="321" t="str">
        <f t="shared" si="38"/>
        <v>812</v>
      </c>
      <c r="AP144" s="321">
        <f>IF(Instructions!$E$11=8,IF($D144=Instructions!$F$50,AP143+1,AP143),IF(Instructions!$E$11=10,IF($H144=Instructions!$F$50,AP143+1,AP143),IF(Instructions!$E$11=12,IF($L144=Instructions!$F$50,AP143+1,AP143),IF(Instructions!$E$11=14,IF($P144=Instructions!$F$50,AP143+1,AP143),IF(Instructions!$E$11=16,IF($T144=Instructions!$F$50,AP143+1,AP143))))))</f>
        <v>12</v>
      </c>
      <c r="AQ144" s="321" t="str">
        <f t="shared" si="39"/>
        <v>912</v>
      </c>
      <c r="AR144" s="321">
        <f>IF(Instructions!$E$11=8,IF($D144=Instructions!$F$51,AR143+1,AR143),IF(Instructions!$E$11=10,IF($H144=Instructions!$F$51,AR143+1,AR143),IF(Instructions!$E$11=12,IF($L144=Instructions!$F$51,AR143+1,AR143),IF(Instructions!$E$11=14,IF($P144=Instructions!$F$51,AR143+1,AR143),IF(Instructions!$E$11=16,IF($T144=Instructions!$F$51,AR143+1,AR143))))))</f>
        <v>12</v>
      </c>
      <c r="AS144" s="321" t="str">
        <f t="shared" si="41"/>
        <v>1012</v>
      </c>
      <c r="AT144" s="321">
        <f>IF(Instructions!$E$11=8,IF($D144=Instructions!$F$52,AT143+1,AT143),IF(Instructions!$E$11=10,IF($H144=Instructions!$F$52,AT143+1,AT143),IF(Instructions!$E$11=12,IF($L144=Instructions!$F$52,AT143+1,AT143),IF(Instructions!$E$11=14,IF($P144=Instructions!$F$52,AT143+1,AT143),IF(Instructions!$E$11=16,IF($T144=Instructions!$F$52,AT143+1,AT143))))))</f>
        <v>12</v>
      </c>
      <c r="AU144" s="321" t="str">
        <f t="shared" si="42"/>
        <v>1112</v>
      </c>
      <c r="AV144" s="321">
        <f>IF(Instructions!$E$11=8,IF($D144=Instructions!$F$53,AV143+1,AV143),IF(Instructions!$E$11=10,IF($H144=Instructions!$F$53,AV143+1,AV143),IF(Instructions!$E$11=12,IF($L144=Instructions!$F$53,AV143+1,AV143),IF(Instructions!$E$11=14,IF($P144=Instructions!$F$53,AV143+1,AV143),IF(Instructions!$E$11=16,IF($T144=Instructions!$F$53,AV143+1,AV143))))))</f>
        <v>12</v>
      </c>
      <c r="AW144" s="321" t="str">
        <f t="shared" si="43"/>
        <v>1212</v>
      </c>
      <c r="AX144" s="321">
        <f>IF(Instructions!$E$11=8,IF($D144=Instructions!$F$54,AX143+1,AX143),IF(Instructions!$E$11=10,IF($H144=Instructions!$F$54,AX143+1,AX143),IF(Instructions!$E$11=12,IF($L144=Instructions!$F$54,AX143+1,AX143),IF(Instructions!$E$11=14,IF($P144=Instructions!$F$54,AX143+1,AX143),IF(Instructions!$E$11=16,IF($T144=Instructions!$F$54,AX143+1,AX143))))))</f>
        <v>0</v>
      </c>
      <c r="AY144" s="321" t="str">
        <f t="shared" si="44"/>
        <v>1300</v>
      </c>
      <c r="AZ144" s="321">
        <f>IF(Instructions!$E$11=8,IF($D144=Instructions!$F$55,AZ143+1,AZ143),IF(Instructions!$E$11=10,IF($H144=Instructions!$F$55,AZ143+1,AZ143),IF(Instructions!$E$11=12,IF($L144=Instructions!$F$55,AZ143+1,AZ143),IF(Instructions!$E$11=14,IF($P144=Instructions!$F$55,AZ143+1,AZ143),IF(Instructions!$E$11=16,IF($T144=Instructions!$F$55,AZ143+1,AZ143))))))</f>
        <v>0</v>
      </c>
      <c r="BA144" s="321" t="str">
        <f t="shared" si="45"/>
        <v>1400</v>
      </c>
      <c r="BB144" s="321">
        <f>IF(Instructions!$E$11=8,IF($D144=Instructions!$F$56,BB143+1,BB143),IF(Instructions!$E$11=10,IF($H144=Instructions!$F$56,BB143+1,BB143),IF(Instructions!$E$11=12,IF($L144=Instructions!$F$56,BB143+1,BB143),IF(Instructions!$E$11=14,IF($P144=Instructions!$F$56,BB143+1,BB143),IF(Instructions!$E$11=16,IF($T144=Instructions!$F$56,BB143+1,BB143))))))</f>
        <v>0</v>
      </c>
      <c r="BC144" s="321" t="str">
        <f t="shared" si="46"/>
        <v>1500</v>
      </c>
      <c r="BD144" s="321">
        <f>IF(Instructions!$E$11=8,IF($D144=Instructions!$F$57,BD143+1,BD143),IF(Instructions!$E$11=10,IF($H144=Instructions!$F$57,BD143+1,BD143),IF(Instructions!$E$11=12,IF($L144=Instructions!$F$57,BD143+1,BD143),IF(Instructions!$E$11=14,IF($P144=Instructions!$F$57,BD143+1,BD143),IF(Instructions!$E$11=16,IF($T144=Instructions!$F$57,BD143+1,BD143))))))</f>
        <v>0</v>
      </c>
      <c r="BE144" s="321" t="str">
        <f t="shared" si="47"/>
        <v>1600</v>
      </c>
      <c r="BF144" s="321">
        <v>142</v>
      </c>
    </row>
    <row r="145" spans="1:58" x14ac:dyDescent="0.25">
      <c r="A145" s="280"/>
      <c r="B145" s="323" t="str">
        <f>IF(Instructions!$J$11=1,AA145,IF(Instructions!$J$11=2,AC145,IF(Instructions!$J$11=3,AE145,IF(Instructions!$J$11=4,AG145,IF(Instructions!$J$11=5,AI145,IF(Instructions!$J$11=6,AK145,IF(Instructions!$J$11=7,AM145,IF(Instructions!$J$11=8,AO145,IF(Instructions!$J$11=9,AQ145,IF(Instructions!$J$11=10,AS145,IF(Instructions!$J$11=11,AU145,IF(Instructions!$J$11=12,AW145,IF(Instructions!$J$11=13, AY145, IF(Instructions!$J$11=14,BA145,IF(Instructions!$J$11=15,BC145,BE145)))))))))))))))</f>
        <v>212</v>
      </c>
      <c r="C145" s="271">
        <v>143</v>
      </c>
      <c r="D145" s="328" t="str">
        <f>Instructions!F$43</f>
        <v>Camden</v>
      </c>
      <c r="E145" s="333" t="s">
        <v>1478</v>
      </c>
      <c r="F145" s="706"/>
      <c r="G145" s="279">
        <v>18</v>
      </c>
      <c r="H145" s="293" t="str">
        <f>Instructions!F$44</f>
        <v>Cam</v>
      </c>
      <c r="I145" s="273" t="s">
        <v>877</v>
      </c>
      <c r="J145" s="709"/>
      <c r="K145" s="279">
        <v>15</v>
      </c>
      <c r="L145" s="293" t="str">
        <f>Instructions!F$43</f>
        <v>Camden</v>
      </c>
      <c r="M145" s="273" t="s">
        <v>849</v>
      </c>
      <c r="N145" s="709"/>
      <c r="O145" s="279">
        <v>12</v>
      </c>
      <c r="P145" s="293" t="str">
        <f>Instructions!F$44</f>
        <v>Cam</v>
      </c>
      <c r="Q145" s="273" t="s">
        <v>829</v>
      </c>
      <c r="R145" s="709"/>
      <c r="S145" s="279">
        <v>11</v>
      </c>
      <c r="T145" s="328" t="str">
        <f>Instructions!F$56</f>
        <v>[TEAM 15]</v>
      </c>
      <c r="U145" s="273" t="s">
        <v>1580</v>
      </c>
      <c r="V145" s="706"/>
      <c r="W145" s="279">
        <v>9</v>
      </c>
      <c r="X145" s="280"/>
      <c r="Y145" s="190" t="str">
        <f>IFERROR( IF(Instructions!$E$11=8, D145&amp;COUNTIF(D$3:D145,D145), IF(Instructions!$E$11=10, H145&amp;COUNTIF(H$3:H145,H145),IF(Instructions!$E$11=12, L145&amp;COUNTIF(L$3:L145,L145),IF(Instructions!$E$11=14, P145&amp;COUNTIF(P$3:P145,P145),T145&amp;COUNTIF(T$3:T145,T145))))),"")</f>
        <v>Camden12</v>
      </c>
      <c r="Z145" s="321">
        <f>IF(Instructions!$E$11=8,IF($D145=Instructions!$F$42,Z144+1,Z144),IF(Instructions!$E$11=10,IF($H145=Instructions!$F$42,Z144+1,Z144),IF(Instructions!$E$11=12,IF($L145=Instructions!$F$42,Z144+1,Z144),IF(Instructions!$E$11=14,IF($P145=Instructions!$F$42,Z144+1,Z144),IF(Instructions!$E$11=16,IF($T145=Instructions!$F$42,Z144+1,Z144))))))</f>
        <v>11</v>
      </c>
      <c r="AA145" s="321" t="str">
        <f t="shared" si="40"/>
        <v>111</v>
      </c>
      <c r="AB145" s="321">
        <f>IF(Instructions!$E$11=8,IF($D145=Instructions!$F$43,AB144+1,AB144),IF(Instructions!$E$11=10,IF($H145=Instructions!$F$43,AB144+1,AB144),IF(Instructions!$E$11=12,IF($L145=Instructions!$F$43,AB144+1,AB144),IF(Instructions!$E$11=14,IF($P145=Instructions!$F$43,AB144+1,AB144),IF(Instructions!$E$11=16,IF($T145=Instructions!$F$43,AB144+1,AB144))))))</f>
        <v>12</v>
      </c>
      <c r="AC145" s="321" t="str">
        <f t="shared" si="32"/>
        <v>212</v>
      </c>
      <c r="AD145" s="321">
        <f>IF(Instructions!$E$11=8,IF($D145=Instructions!$F$44,AD144+1,AD144),IF(Instructions!$E$11=10,IF($H145=Instructions!$F$44,AD144+1,AD144),IF(Instructions!$E$11=12,IF($L145=Instructions!$F$44,AD144+1,AD144),IF(Instructions!$E$11=14,IF($P145=Instructions!$F$44,AD144+1,AD144),IF(Instructions!$E$11=16,IF($T145=Instructions!$F$44,AD144+1,AD144))))))</f>
        <v>12</v>
      </c>
      <c r="AE145" s="321" t="str">
        <f t="shared" si="33"/>
        <v>312</v>
      </c>
      <c r="AF145" s="321">
        <f>IF(Instructions!$E$11=8,IF($D145=Instructions!$F$45,AF144+1,AF144),IF(Instructions!$E$11=10,IF($H145=Instructions!$F$45,AF144+1,AF144),IF(Instructions!$E$11=12,IF($L145=Instructions!$F$45,AF144+1,AF144),IF(Instructions!$E$11=14,IF($P145=Instructions!$F$45,AF144+1,AF144),IF(Instructions!$E$11=16,IF($T145=Instructions!$F$45,AF144+1,AF144))))))</f>
        <v>12</v>
      </c>
      <c r="AG145" s="321" t="str">
        <f t="shared" si="34"/>
        <v>412</v>
      </c>
      <c r="AH145" s="321">
        <f>IF(Instructions!$E$11=8,IF($D145=Instructions!$F$46,AH144+1,AH144),IF(Instructions!$E$11=10,IF($H145=Instructions!$F$46,AH144+1,AH144),IF(Instructions!$E$11=12,IF($L145=Instructions!$F$46,AH144+1,AH144),IF(Instructions!$E$11=14,IF($P145=Instructions!$F$46,AH144+1,AH144),IF(Instructions!$E$11=16,IF($T145=Instructions!$F$46,AH144+1,AH144))))))</f>
        <v>12</v>
      </c>
      <c r="AI145" s="321" t="str">
        <f t="shared" si="35"/>
        <v>512</v>
      </c>
      <c r="AJ145" s="321">
        <f>IF(Instructions!$E$11=8,IF($D145=Instructions!$F$47,AJ144+1,AJ144),IF(Instructions!$E$11=10,IF($H145=Instructions!$F$47,AJ144+1,AJ144),IF(Instructions!$E$11=12,IF($L145=Instructions!$F$47,AJ144+1,AJ144),IF(Instructions!$E$11=14,IF($P145=Instructions!$F$47,AJ144+1,AJ144),IF(Instructions!$E$11=16,IF($T145=Instructions!$F$47,AJ144+1,AJ144))))))</f>
        <v>12</v>
      </c>
      <c r="AK145" s="321" t="str">
        <f t="shared" si="36"/>
        <v>612</v>
      </c>
      <c r="AL145" s="321">
        <f>IF(Instructions!$E$11=8,IF($D145=Instructions!$F$48,AL144+1,AL144),IF(Instructions!$E$11=10,IF($H145=Instructions!$F$48,AL144+1,AL144),IF(Instructions!$E$11=12,IF($L145=Instructions!$F$48,AL144+1,AL144),IF(Instructions!$E$11=14,IF($P145=Instructions!$F$48,AL144+1,AL144),IF(Instructions!$E$11=16,IF($T145=Instructions!$F$48,AL144+1,AL144))))))</f>
        <v>12</v>
      </c>
      <c r="AM145" s="321" t="str">
        <f t="shared" si="37"/>
        <v>712</v>
      </c>
      <c r="AN145" s="321">
        <f>IF(Instructions!$E$11=8,IF($D145=Instructions!$F$49,AN144+1,AN144),IF(Instructions!$E$11=10,IF($H145=Instructions!$F$49,AN144+1,AN144),IF(Instructions!$E$11=12,IF($L145=Instructions!$F$49,AN144+1,AN144),IF(Instructions!$E$11=14,IF($P145=Instructions!$F$49,AN144+1,AN144),IF(Instructions!$E$11=16,IF($T145=Instructions!$F$49,AN144+1,AN144))))))</f>
        <v>12</v>
      </c>
      <c r="AO145" s="321" t="str">
        <f t="shared" si="38"/>
        <v>812</v>
      </c>
      <c r="AP145" s="321">
        <f>IF(Instructions!$E$11=8,IF($D145=Instructions!$F$50,AP144+1,AP144),IF(Instructions!$E$11=10,IF($H145=Instructions!$F$50,AP144+1,AP144),IF(Instructions!$E$11=12,IF($L145=Instructions!$F$50,AP144+1,AP144),IF(Instructions!$E$11=14,IF($P145=Instructions!$F$50,AP144+1,AP144),IF(Instructions!$E$11=16,IF($T145=Instructions!$F$50,AP144+1,AP144))))))</f>
        <v>12</v>
      </c>
      <c r="AQ145" s="321" t="str">
        <f t="shared" si="39"/>
        <v>912</v>
      </c>
      <c r="AR145" s="321">
        <f>IF(Instructions!$E$11=8,IF($D145=Instructions!$F$51,AR144+1,AR144),IF(Instructions!$E$11=10,IF($H145=Instructions!$F$51,AR144+1,AR144),IF(Instructions!$E$11=12,IF($L145=Instructions!$F$51,AR144+1,AR144),IF(Instructions!$E$11=14,IF($P145=Instructions!$F$51,AR144+1,AR144),IF(Instructions!$E$11=16,IF($T145=Instructions!$F$51,AR144+1,AR144))))))</f>
        <v>12</v>
      </c>
      <c r="AS145" s="321" t="str">
        <f t="shared" si="41"/>
        <v>1012</v>
      </c>
      <c r="AT145" s="321">
        <f>IF(Instructions!$E$11=8,IF($D145=Instructions!$F$52,AT144+1,AT144),IF(Instructions!$E$11=10,IF($H145=Instructions!$F$52,AT144+1,AT144),IF(Instructions!$E$11=12,IF($L145=Instructions!$F$52,AT144+1,AT144),IF(Instructions!$E$11=14,IF($P145=Instructions!$F$52,AT144+1,AT144),IF(Instructions!$E$11=16,IF($T145=Instructions!$F$52,AT144+1,AT144))))))</f>
        <v>12</v>
      </c>
      <c r="AU145" s="321" t="str">
        <f t="shared" si="42"/>
        <v>1112</v>
      </c>
      <c r="AV145" s="321">
        <f>IF(Instructions!$E$11=8,IF($D145=Instructions!$F$53,AV144+1,AV144),IF(Instructions!$E$11=10,IF($H145=Instructions!$F$53,AV144+1,AV144),IF(Instructions!$E$11=12,IF($L145=Instructions!$F$53,AV144+1,AV144),IF(Instructions!$E$11=14,IF($P145=Instructions!$F$53,AV144+1,AV144),IF(Instructions!$E$11=16,IF($T145=Instructions!$F$53,AV144+1,AV144))))))</f>
        <v>12</v>
      </c>
      <c r="AW145" s="321" t="str">
        <f t="shared" si="43"/>
        <v>1212</v>
      </c>
      <c r="AX145" s="321">
        <f>IF(Instructions!$E$11=8,IF($D145=Instructions!$F$54,AX144+1,AX144),IF(Instructions!$E$11=10,IF($H145=Instructions!$F$54,AX144+1,AX144),IF(Instructions!$E$11=12,IF($L145=Instructions!$F$54,AX144+1,AX144),IF(Instructions!$E$11=14,IF($P145=Instructions!$F$54,AX144+1,AX144),IF(Instructions!$E$11=16,IF($T145=Instructions!$F$54,AX144+1,AX144))))))</f>
        <v>0</v>
      </c>
      <c r="AY145" s="321" t="str">
        <f t="shared" si="44"/>
        <v>1300</v>
      </c>
      <c r="AZ145" s="321">
        <f>IF(Instructions!$E$11=8,IF($D145=Instructions!$F$55,AZ144+1,AZ144),IF(Instructions!$E$11=10,IF($H145=Instructions!$F$55,AZ144+1,AZ144),IF(Instructions!$E$11=12,IF($L145=Instructions!$F$55,AZ144+1,AZ144),IF(Instructions!$E$11=14,IF($P145=Instructions!$F$55,AZ144+1,AZ144),IF(Instructions!$E$11=16,IF($T145=Instructions!$F$55,AZ144+1,AZ144))))))</f>
        <v>0</v>
      </c>
      <c r="BA145" s="321" t="str">
        <f t="shared" si="45"/>
        <v>1400</v>
      </c>
      <c r="BB145" s="321">
        <f>IF(Instructions!$E$11=8,IF($D145=Instructions!$F$56,BB144+1,BB144),IF(Instructions!$E$11=10,IF($H145=Instructions!$F$56,BB144+1,BB144),IF(Instructions!$E$11=12,IF($L145=Instructions!$F$56,BB144+1,BB144),IF(Instructions!$E$11=14,IF($P145=Instructions!$F$56,BB144+1,BB144),IF(Instructions!$E$11=16,IF($T145=Instructions!$F$56,BB144+1,BB144))))))</f>
        <v>0</v>
      </c>
      <c r="BC145" s="321" t="str">
        <f t="shared" si="46"/>
        <v>1500</v>
      </c>
      <c r="BD145" s="321">
        <f>IF(Instructions!$E$11=8,IF($D145=Instructions!$F$57,BD144+1,BD144),IF(Instructions!$E$11=10,IF($H145=Instructions!$F$57,BD144+1,BD144),IF(Instructions!$E$11=12,IF($L145=Instructions!$F$57,BD144+1,BD144),IF(Instructions!$E$11=14,IF($P145=Instructions!$F$57,BD144+1,BD144),IF(Instructions!$E$11=16,IF($T145=Instructions!$F$57,BD144+1,BD144))))))</f>
        <v>0</v>
      </c>
      <c r="BE145" s="321" t="str">
        <f t="shared" si="47"/>
        <v>1600</v>
      </c>
      <c r="BF145" s="321">
        <v>143</v>
      </c>
    </row>
    <row r="146" spans="1:58" ht="15.75" thickBot="1" x14ac:dyDescent="0.3">
      <c r="A146" s="280"/>
      <c r="B146" s="323" t="str">
        <f>IF(Instructions!$J$11=1,AA146,IF(Instructions!$J$11=2,AC146,IF(Instructions!$J$11=3,AE146,IF(Instructions!$J$11=4,AG146,IF(Instructions!$J$11=5,AI146,IF(Instructions!$J$11=6,AK146,IF(Instructions!$J$11=7,AM146,IF(Instructions!$J$11=8,AO146,IF(Instructions!$J$11=9,AQ146,IF(Instructions!$J$11=10,AS146,IF(Instructions!$J$11=11,AU146,IF(Instructions!$J$11=12,AW146,IF(Instructions!$J$11=13, AY146, IF(Instructions!$J$11=14,BA146,IF(Instructions!$J$11=15,BC146,BE146)))))))))))))))</f>
        <v>212</v>
      </c>
      <c r="C146" s="272">
        <v>144</v>
      </c>
      <c r="D146" s="329" t="str">
        <f>Instructions!F$42</f>
        <v>Trumbo</v>
      </c>
      <c r="E146" s="332" t="s">
        <v>1479</v>
      </c>
      <c r="F146" s="707"/>
      <c r="G146" s="279">
        <v>18</v>
      </c>
      <c r="H146" s="294" t="str">
        <f>Instructions!F$45</f>
        <v>Miles</v>
      </c>
      <c r="I146" s="274" t="s">
        <v>878</v>
      </c>
      <c r="J146" s="709"/>
      <c r="K146" s="279">
        <v>15</v>
      </c>
      <c r="L146" s="295" t="str">
        <f>Instructions!F$42</f>
        <v>Trumbo</v>
      </c>
      <c r="M146" s="277" t="s">
        <v>850</v>
      </c>
      <c r="N146" s="710"/>
      <c r="O146" s="279">
        <v>12</v>
      </c>
      <c r="P146" s="294" t="str">
        <f>Instructions!F$45</f>
        <v>Miles</v>
      </c>
      <c r="Q146" s="274" t="s">
        <v>830</v>
      </c>
      <c r="R146" s="709"/>
      <c r="S146" s="279">
        <v>11</v>
      </c>
      <c r="T146" s="329" t="str">
        <f>Instructions!F$57</f>
        <v>[TEAM 16]</v>
      </c>
      <c r="U146" s="330" t="s">
        <v>1581</v>
      </c>
      <c r="V146" s="707"/>
      <c r="W146" s="279">
        <v>9</v>
      </c>
      <c r="X146" s="280"/>
      <c r="Y146" s="190" t="str">
        <f>IFERROR( IF(Instructions!$E$11=8, D146&amp;COUNTIF(D$3:D146,D146), IF(Instructions!$E$11=10, H146&amp;COUNTIF(H$3:H146,H146),IF(Instructions!$E$11=12, L146&amp;COUNTIF(L$3:L146,L146),IF(Instructions!$E$11=14, P146&amp;COUNTIF(P$3:P146,P146),T146&amp;COUNTIF(T$3:T146,T146))))),"")</f>
        <v>Trumbo12</v>
      </c>
      <c r="Z146" s="321">
        <f>IF(Instructions!$E$11=8,IF($D146=Instructions!$F$42,Z145+1,Z145),IF(Instructions!$E$11=10,IF($H146=Instructions!$F$42,Z145+1,Z145),IF(Instructions!$E$11=12,IF($L146=Instructions!$F$42,Z145+1,Z145),IF(Instructions!$E$11=14,IF($P146=Instructions!$F$42,Z145+1,Z145),IF(Instructions!$E$11=16,IF($T146=Instructions!$F$42,Z145+1,Z145))))))</f>
        <v>12</v>
      </c>
      <c r="AA146" s="321" t="str">
        <f t="shared" si="40"/>
        <v>112</v>
      </c>
      <c r="AB146" s="321">
        <f>IF(Instructions!$E$11=8,IF($D146=Instructions!$F$43,AB145+1,AB145),IF(Instructions!$E$11=10,IF($H146=Instructions!$F$43,AB145+1,AB145),IF(Instructions!$E$11=12,IF($L146=Instructions!$F$43,AB145+1,AB145),IF(Instructions!$E$11=14,IF($P146=Instructions!$F$43,AB145+1,AB145),IF(Instructions!$E$11=16,IF($T146=Instructions!$F$43,AB145+1,AB145))))))</f>
        <v>12</v>
      </c>
      <c r="AC146" s="321" t="str">
        <f t="shared" si="32"/>
        <v>212</v>
      </c>
      <c r="AD146" s="321">
        <f>IF(Instructions!$E$11=8,IF($D146=Instructions!$F$44,AD145+1,AD145),IF(Instructions!$E$11=10,IF($H146=Instructions!$F$44,AD145+1,AD145),IF(Instructions!$E$11=12,IF($L146=Instructions!$F$44,AD145+1,AD145),IF(Instructions!$E$11=14,IF($P146=Instructions!$F$44,AD145+1,AD145),IF(Instructions!$E$11=16,IF($T146=Instructions!$F$44,AD145+1,AD145))))))</f>
        <v>12</v>
      </c>
      <c r="AE146" s="321" t="str">
        <f t="shared" si="33"/>
        <v>312</v>
      </c>
      <c r="AF146" s="321">
        <f>IF(Instructions!$E$11=8,IF($D146=Instructions!$F$45,AF145+1,AF145),IF(Instructions!$E$11=10,IF($H146=Instructions!$F$45,AF145+1,AF145),IF(Instructions!$E$11=12,IF($L146=Instructions!$F$45,AF145+1,AF145),IF(Instructions!$E$11=14,IF($P146=Instructions!$F$45,AF145+1,AF145),IF(Instructions!$E$11=16,IF($T146=Instructions!$F$45,AF145+1,AF145))))))</f>
        <v>12</v>
      </c>
      <c r="AG146" s="321" t="str">
        <f t="shared" si="34"/>
        <v>412</v>
      </c>
      <c r="AH146" s="321">
        <f>IF(Instructions!$E$11=8,IF($D146=Instructions!$F$46,AH145+1,AH145),IF(Instructions!$E$11=10,IF($H146=Instructions!$F$46,AH145+1,AH145),IF(Instructions!$E$11=12,IF($L146=Instructions!$F$46,AH145+1,AH145),IF(Instructions!$E$11=14,IF($P146=Instructions!$F$46,AH145+1,AH145),IF(Instructions!$E$11=16,IF($T146=Instructions!$F$46,AH145+1,AH145))))))</f>
        <v>12</v>
      </c>
      <c r="AI146" s="321" t="str">
        <f t="shared" si="35"/>
        <v>512</v>
      </c>
      <c r="AJ146" s="321">
        <f>IF(Instructions!$E$11=8,IF($D146=Instructions!$F$47,AJ145+1,AJ145),IF(Instructions!$E$11=10,IF($H146=Instructions!$F$47,AJ145+1,AJ145),IF(Instructions!$E$11=12,IF($L146=Instructions!$F$47,AJ145+1,AJ145),IF(Instructions!$E$11=14,IF($P146=Instructions!$F$47,AJ145+1,AJ145),IF(Instructions!$E$11=16,IF($T146=Instructions!$F$47,AJ145+1,AJ145))))))</f>
        <v>12</v>
      </c>
      <c r="AK146" s="321" t="str">
        <f t="shared" si="36"/>
        <v>612</v>
      </c>
      <c r="AL146" s="321">
        <f>IF(Instructions!$E$11=8,IF($D146=Instructions!$F$48,AL145+1,AL145),IF(Instructions!$E$11=10,IF($H146=Instructions!$F$48,AL145+1,AL145),IF(Instructions!$E$11=12,IF($L146=Instructions!$F$48,AL145+1,AL145),IF(Instructions!$E$11=14,IF($P146=Instructions!$F$48,AL145+1,AL145),IF(Instructions!$E$11=16,IF($T146=Instructions!$F$48,AL145+1,AL145))))))</f>
        <v>12</v>
      </c>
      <c r="AM146" s="321" t="str">
        <f t="shared" si="37"/>
        <v>712</v>
      </c>
      <c r="AN146" s="321">
        <f>IF(Instructions!$E$11=8,IF($D146=Instructions!$F$49,AN145+1,AN145),IF(Instructions!$E$11=10,IF($H146=Instructions!$F$49,AN145+1,AN145),IF(Instructions!$E$11=12,IF($L146=Instructions!$F$49,AN145+1,AN145),IF(Instructions!$E$11=14,IF($P146=Instructions!$F$49,AN145+1,AN145),IF(Instructions!$E$11=16,IF($T146=Instructions!$F$49,AN145+1,AN145))))))</f>
        <v>12</v>
      </c>
      <c r="AO146" s="321" t="str">
        <f t="shared" si="38"/>
        <v>812</v>
      </c>
      <c r="AP146" s="321">
        <f>IF(Instructions!$E$11=8,IF($D146=Instructions!$F$50,AP145+1,AP145),IF(Instructions!$E$11=10,IF($H146=Instructions!$F$50,AP145+1,AP145),IF(Instructions!$E$11=12,IF($L146=Instructions!$F$50,AP145+1,AP145),IF(Instructions!$E$11=14,IF($P146=Instructions!$F$50,AP145+1,AP145),IF(Instructions!$E$11=16,IF($T146=Instructions!$F$50,AP145+1,AP145))))))</f>
        <v>12</v>
      </c>
      <c r="AQ146" s="321" t="str">
        <f t="shared" si="39"/>
        <v>912</v>
      </c>
      <c r="AR146" s="321">
        <f>IF(Instructions!$E$11=8,IF($D146=Instructions!$F$51,AR145+1,AR145),IF(Instructions!$E$11=10,IF($H146=Instructions!$F$51,AR145+1,AR145),IF(Instructions!$E$11=12,IF($L146=Instructions!$F$51,AR145+1,AR145),IF(Instructions!$E$11=14,IF($P146=Instructions!$F$51,AR145+1,AR145),IF(Instructions!$E$11=16,IF($T146=Instructions!$F$51,AR145+1,AR145))))))</f>
        <v>12</v>
      </c>
      <c r="AS146" s="321" t="str">
        <f t="shared" si="41"/>
        <v>1012</v>
      </c>
      <c r="AT146" s="321">
        <f>IF(Instructions!$E$11=8,IF($D146=Instructions!$F$52,AT145+1,AT145),IF(Instructions!$E$11=10,IF($H146=Instructions!$F$52,AT145+1,AT145),IF(Instructions!$E$11=12,IF($L146=Instructions!$F$52,AT145+1,AT145),IF(Instructions!$E$11=14,IF($P146=Instructions!$F$52,AT145+1,AT145),IF(Instructions!$E$11=16,IF($T146=Instructions!$F$52,AT145+1,AT145))))))</f>
        <v>12</v>
      </c>
      <c r="AU146" s="321" t="str">
        <f t="shared" si="42"/>
        <v>1112</v>
      </c>
      <c r="AV146" s="321">
        <f>IF(Instructions!$E$11=8,IF($D146=Instructions!$F$53,AV145+1,AV145),IF(Instructions!$E$11=10,IF($H146=Instructions!$F$53,AV145+1,AV145),IF(Instructions!$E$11=12,IF($L146=Instructions!$F$53,AV145+1,AV145),IF(Instructions!$E$11=14,IF($P146=Instructions!$F$53,AV145+1,AV145),IF(Instructions!$E$11=16,IF($T146=Instructions!$F$53,AV145+1,AV145))))))</f>
        <v>12</v>
      </c>
      <c r="AW146" s="321" t="str">
        <f t="shared" si="43"/>
        <v>1212</v>
      </c>
      <c r="AX146" s="321">
        <f>IF(Instructions!$E$11=8,IF($D146=Instructions!$F$54,AX145+1,AX145),IF(Instructions!$E$11=10,IF($H146=Instructions!$F$54,AX145+1,AX145),IF(Instructions!$E$11=12,IF($L146=Instructions!$F$54,AX145+1,AX145),IF(Instructions!$E$11=14,IF($P146=Instructions!$F$54,AX145+1,AX145),IF(Instructions!$E$11=16,IF($T146=Instructions!$F$54,AX145+1,AX145))))))</f>
        <v>0</v>
      </c>
      <c r="AY146" s="321" t="str">
        <f t="shared" si="44"/>
        <v>1300</v>
      </c>
      <c r="AZ146" s="321">
        <f>IF(Instructions!$E$11=8,IF($D146=Instructions!$F$55,AZ145+1,AZ145),IF(Instructions!$E$11=10,IF($H146=Instructions!$F$55,AZ145+1,AZ145),IF(Instructions!$E$11=12,IF($L146=Instructions!$F$55,AZ145+1,AZ145),IF(Instructions!$E$11=14,IF($P146=Instructions!$F$55,AZ145+1,AZ145),IF(Instructions!$E$11=16,IF($T146=Instructions!$F$55,AZ145+1,AZ145))))))</f>
        <v>0</v>
      </c>
      <c r="BA146" s="321" t="str">
        <f t="shared" si="45"/>
        <v>1400</v>
      </c>
      <c r="BB146" s="321">
        <f>IF(Instructions!$E$11=8,IF($D146=Instructions!$F$56,BB145+1,BB145),IF(Instructions!$E$11=10,IF($H146=Instructions!$F$56,BB145+1,BB145),IF(Instructions!$E$11=12,IF($L146=Instructions!$F$56,BB145+1,BB145),IF(Instructions!$E$11=14,IF($P146=Instructions!$F$56,BB145+1,BB145),IF(Instructions!$E$11=16,IF($T146=Instructions!$F$56,BB145+1,BB145))))))</f>
        <v>0</v>
      </c>
      <c r="BC146" s="321" t="str">
        <f t="shared" si="46"/>
        <v>1500</v>
      </c>
      <c r="BD146" s="321">
        <f>IF(Instructions!$E$11=8,IF($D146=Instructions!$F$57,BD145+1,BD145),IF(Instructions!$E$11=10,IF($H146=Instructions!$F$57,BD145+1,BD145),IF(Instructions!$E$11=12,IF($L146=Instructions!$F$57,BD145+1,BD145),IF(Instructions!$E$11=14,IF($P146=Instructions!$F$57,BD145+1,BD145),IF(Instructions!$E$11=16,IF($T146=Instructions!$F$57,BD145+1,BD145))))))</f>
        <v>0</v>
      </c>
      <c r="BE146" s="321" t="str">
        <f t="shared" si="47"/>
        <v>1600</v>
      </c>
      <c r="BF146" s="321">
        <v>144</v>
      </c>
    </row>
    <row r="147" spans="1:58" ht="15" customHeight="1" x14ac:dyDescent="0.25">
      <c r="A147" s="280"/>
      <c r="B147" s="323" t="str">
        <f>IF(Instructions!$J$11=1,AA147,IF(Instructions!$J$11=2,AC147,IF(Instructions!$J$11=3,AE147,IF(Instructions!$J$11=4,AG147,IF(Instructions!$J$11=5,AI147,IF(Instructions!$J$11=6,AK147,IF(Instructions!$J$11=7,AM147,IF(Instructions!$J$11=8,AO147,IF(Instructions!$J$11=9,AQ147,IF(Instructions!$J$11=10,AS147,IF(Instructions!$J$11=11,AU147,IF(Instructions!$J$11=12,AW147,IF(Instructions!$J$11=13, AY147, IF(Instructions!$J$11=14,BA147,IF(Instructions!$J$11=15,BC147,BE147)))))))))))))))</f>
        <v>212</v>
      </c>
      <c r="C147" s="271">
        <v>145</v>
      </c>
      <c r="D147" s="325" t="str">
        <f>Instructions!F$42</f>
        <v>Trumbo</v>
      </c>
      <c r="E147" s="331" t="s">
        <v>1480</v>
      </c>
      <c r="F147" s="705" t="s">
        <v>1457</v>
      </c>
      <c r="G147" s="279">
        <v>19</v>
      </c>
      <c r="H147" s="293" t="str">
        <f>Instructions!F$46</f>
        <v>Con</v>
      </c>
      <c r="I147" s="273" t="s">
        <v>879</v>
      </c>
      <c r="J147" s="709"/>
      <c r="K147" s="279">
        <v>15</v>
      </c>
      <c r="L147" s="292" t="str">
        <f>Instructions!F$42</f>
        <v>Trumbo</v>
      </c>
      <c r="M147" s="276" t="s">
        <v>851</v>
      </c>
      <c r="N147" s="708" t="s">
        <v>908</v>
      </c>
      <c r="O147" s="279">
        <v>13</v>
      </c>
      <c r="P147" s="293" t="str">
        <f>Instructions!F$46</f>
        <v>Con</v>
      </c>
      <c r="Q147" s="273" t="s">
        <v>831</v>
      </c>
      <c r="R147" s="709"/>
      <c r="S147" s="279">
        <v>11</v>
      </c>
      <c r="T147" s="325" t="str">
        <f>Instructions!F$57</f>
        <v>[TEAM 16]</v>
      </c>
      <c r="U147" s="326" t="s">
        <v>815</v>
      </c>
      <c r="V147" s="705" t="s">
        <v>905</v>
      </c>
      <c r="W147" s="279">
        <v>10</v>
      </c>
      <c r="X147" s="280"/>
      <c r="Y147" s="190" t="str">
        <f>IFERROR( IF(Instructions!$E$11=8, D147&amp;COUNTIF(D$3:D147,D147), IF(Instructions!$E$11=10, H147&amp;COUNTIF(H$3:H147,H147),IF(Instructions!$E$11=12, L147&amp;COUNTIF(L$3:L147,L147),IF(Instructions!$E$11=14, P147&amp;COUNTIF(P$3:P147,P147),T147&amp;COUNTIF(T$3:T147,T147))))),"")</f>
        <v>Trumbo13</v>
      </c>
      <c r="Z147" s="321">
        <f>IF(Instructions!$E$11=8,IF($D147=Instructions!$F$42,Z146+1,Z146),IF(Instructions!$E$11=10,IF($H147=Instructions!$F$42,Z146+1,Z146),IF(Instructions!$E$11=12,IF($L147=Instructions!$F$42,Z146+1,Z146),IF(Instructions!$E$11=14,IF($P147=Instructions!$F$42,Z146+1,Z146),IF(Instructions!$E$11=16,IF($T147=Instructions!$F$42,Z146+1,Z146))))))</f>
        <v>13</v>
      </c>
      <c r="AA147" s="321" t="str">
        <f t="shared" si="40"/>
        <v>113</v>
      </c>
      <c r="AB147" s="321">
        <f>IF(Instructions!$E$11=8,IF($D147=Instructions!$F$43,AB146+1,AB146),IF(Instructions!$E$11=10,IF($H147=Instructions!$F$43,AB146+1,AB146),IF(Instructions!$E$11=12,IF($L147=Instructions!$F$43,AB146+1,AB146),IF(Instructions!$E$11=14,IF($P147=Instructions!$F$43,AB146+1,AB146),IF(Instructions!$E$11=16,IF($T147=Instructions!$F$43,AB146+1,AB146))))))</f>
        <v>12</v>
      </c>
      <c r="AC147" s="321" t="str">
        <f t="shared" si="32"/>
        <v>212</v>
      </c>
      <c r="AD147" s="321">
        <f>IF(Instructions!$E$11=8,IF($D147=Instructions!$F$44,AD146+1,AD146),IF(Instructions!$E$11=10,IF($H147=Instructions!$F$44,AD146+1,AD146),IF(Instructions!$E$11=12,IF($L147=Instructions!$F$44,AD146+1,AD146),IF(Instructions!$E$11=14,IF($P147=Instructions!$F$44,AD146+1,AD146),IF(Instructions!$E$11=16,IF($T147=Instructions!$F$44,AD146+1,AD146))))))</f>
        <v>12</v>
      </c>
      <c r="AE147" s="321" t="str">
        <f t="shared" si="33"/>
        <v>312</v>
      </c>
      <c r="AF147" s="321">
        <f>IF(Instructions!$E$11=8,IF($D147=Instructions!$F$45,AF146+1,AF146),IF(Instructions!$E$11=10,IF($H147=Instructions!$F$45,AF146+1,AF146),IF(Instructions!$E$11=12,IF($L147=Instructions!$F$45,AF146+1,AF146),IF(Instructions!$E$11=14,IF($P147=Instructions!$F$45,AF146+1,AF146),IF(Instructions!$E$11=16,IF($T147=Instructions!$F$45,AF146+1,AF146))))))</f>
        <v>12</v>
      </c>
      <c r="AG147" s="321" t="str">
        <f t="shared" si="34"/>
        <v>412</v>
      </c>
      <c r="AH147" s="321">
        <f>IF(Instructions!$E$11=8,IF($D147=Instructions!$F$46,AH146+1,AH146),IF(Instructions!$E$11=10,IF($H147=Instructions!$F$46,AH146+1,AH146),IF(Instructions!$E$11=12,IF($L147=Instructions!$F$46,AH146+1,AH146),IF(Instructions!$E$11=14,IF($P147=Instructions!$F$46,AH146+1,AH146),IF(Instructions!$E$11=16,IF($T147=Instructions!$F$46,AH146+1,AH146))))))</f>
        <v>12</v>
      </c>
      <c r="AI147" s="321" t="str">
        <f t="shared" si="35"/>
        <v>512</v>
      </c>
      <c r="AJ147" s="321">
        <f>IF(Instructions!$E$11=8,IF($D147=Instructions!$F$47,AJ146+1,AJ146),IF(Instructions!$E$11=10,IF($H147=Instructions!$F$47,AJ146+1,AJ146),IF(Instructions!$E$11=12,IF($L147=Instructions!$F$47,AJ146+1,AJ146),IF(Instructions!$E$11=14,IF($P147=Instructions!$F$47,AJ146+1,AJ146),IF(Instructions!$E$11=16,IF($T147=Instructions!$F$47,AJ146+1,AJ146))))))</f>
        <v>12</v>
      </c>
      <c r="AK147" s="321" t="str">
        <f t="shared" si="36"/>
        <v>612</v>
      </c>
      <c r="AL147" s="321">
        <f>IF(Instructions!$E$11=8,IF($D147=Instructions!$F$48,AL146+1,AL146),IF(Instructions!$E$11=10,IF($H147=Instructions!$F$48,AL146+1,AL146),IF(Instructions!$E$11=12,IF($L147=Instructions!$F$48,AL146+1,AL146),IF(Instructions!$E$11=14,IF($P147=Instructions!$F$48,AL146+1,AL146),IF(Instructions!$E$11=16,IF($T147=Instructions!$F$48,AL146+1,AL146))))))</f>
        <v>12</v>
      </c>
      <c r="AM147" s="321" t="str">
        <f t="shared" si="37"/>
        <v>712</v>
      </c>
      <c r="AN147" s="321">
        <f>IF(Instructions!$E$11=8,IF($D147=Instructions!$F$49,AN146+1,AN146),IF(Instructions!$E$11=10,IF($H147=Instructions!$F$49,AN146+1,AN146),IF(Instructions!$E$11=12,IF($L147=Instructions!$F$49,AN146+1,AN146),IF(Instructions!$E$11=14,IF($P147=Instructions!$F$49,AN146+1,AN146),IF(Instructions!$E$11=16,IF($T147=Instructions!$F$49,AN146+1,AN146))))))</f>
        <v>12</v>
      </c>
      <c r="AO147" s="321" t="str">
        <f t="shared" si="38"/>
        <v>812</v>
      </c>
      <c r="AP147" s="321">
        <f>IF(Instructions!$E$11=8,IF($D147=Instructions!$F$50,AP146+1,AP146),IF(Instructions!$E$11=10,IF($H147=Instructions!$F$50,AP146+1,AP146),IF(Instructions!$E$11=12,IF($L147=Instructions!$F$50,AP146+1,AP146),IF(Instructions!$E$11=14,IF($P147=Instructions!$F$50,AP146+1,AP146),IF(Instructions!$E$11=16,IF($T147=Instructions!$F$50,AP146+1,AP146))))))</f>
        <v>12</v>
      </c>
      <c r="AQ147" s="321" t="str">
        <f t="shared" si="39"/>
        <v>912</v>
      </c>
      <c r="AR147" s="321">
        <f>IF(Instructions!$E$11=8,IF($D147=Instructions!$F$51,AR146+1,AR146),IF(Instructions!$E$11=10,IF($H147=Instructions!$F$51,AR146+1,AR146),IF(Instructions!$E$11=12,IF($L147=Instructions!$F$51,AR146+1,AR146),IF(Instructions!$E$11=14,IF($P147=Instructions!$F$51,AR146+1,AR146),IF(Instructions!$E$11=16,IF($T147=Instructions!$F$51,AR146+1,AR146))))))</f>
        <v>12</v>
      </c>
      <c r="AS147" s="321" t="str">
        <f t="shared" si="41"/>
        <v>1012</v>
      </c>
      <c r="AT147" s="321">
        <f>IF(Instructions!$E$11=8,IF($D147=Instructions!$F$52,AT146+1,AT146),IF(Instructions!$E$11=10,IF($H147=Instructions!$F$52,AT146+1,AT146),IF(Instructions!$E$11=12,IF($L147=Instructions!$F$52,AT146+1,AT146),IF(Instructions!$E$11=14,IF($P147=Instructions!$F$52,AT146+1,AT146),IF(Instructions!$E$11=16,IF($T147=Instructions!$F$52,AT146+1,AT146))))))</f>
        <v>12</v>
      </c>
      <c r="AU147" s="321" t="str">
        <f t="shared" si="42"/>
        <v>1112</v>
      </c>
      <c r="AV147" s="321">
        <f>IF(Instructions!$E$11=8,IF($D147=Instructions!$F$53,AV146+1,AV146),IF(Instructions!$E$11=10,IF($H147=Instructions!$F$53,AV146+1,AV146),IF(Instructions!$E$11=12,IF($L147=Instructions!$F$53,AV146+1,AV146),IF(Instructions!$E$11=14,IF($P147=Instructions!$F$53,AV146+1,AV146),IF(Instructions!$E$11=16,IF($T147=Instructions!$F$53,AV146+1,AV146))))))</f>
        <v>12</v>
      </c>
      <c r="AW147" s="321" t="str">
        <f t="shared" si="43"/>
        <v>1212</v>
      </c>
      <c r="AX147" s="321">
        <f>IF(Instructions!$E$11=8,IF($D147=Instructions!$F$54,AX146+1,AX146),IF(Instructions!$E$11=10,IF($H147=Instructions!$F$54,AX146+1,AX146),IF(Instructions!$E$11=12,IF($L147=Instructions!$F$54,AX146+1,AX146),IF(Instructions!$E$11=14,IF($P147=Instructions!$F$54,AX146+1,AX146),IF(Instructions!$E$11=16,IF($T147=Instructions!$F$54,AX146+1,AX146))))))</f>
        <v>0</v>
      </c>
      <c r="AY147" s="321" t="str">
        <f t="shared" si="44"/>
        <v>1300</v>
      </c>
      <c r="AZ147" s="321">
        <f>IF(Instructions!$E$11=8,IF($D147=Instructions!$F$55,AZ146+1,AZ146),IF(Instructions!$E$11=10,IF($H147=Instructions!$F$55,AZ146+1,AZ146),IF(Instructions!$E$11=12,IF($L147=Instructions!$F$55,AZ146+1,AZ146),IF(Instructions!$E$11=14,IF($P147=Instructions!$F$55,AZ146+1,AZ146),IF(Instructions!$E$11=16,IF($T147=Instructions!$F$55,AZ146+1,AZ146))))))</f>
        <v>0</v>
      </c>
      <c r="BA147" s="321" t="str">
        <f t="shared" si="45"/>
        <v>1400</v>
      </c>
      <c r="BB147" s="321">
        <f>IF(Instructions!$E$11=8,IF($D147=Instructions!$F$56,BB146+1,BB146),IF(Instructions!$E$11=10,IF($H147=Instructions!$F$56,BB146+1,BB146),IF(Instructions!$E$11=12,IF($L147=Instructions!$F$56,BB146+1,BB146),IF(Instructions!$E$11=14,IF($P147=Instructions!$F$56,BB146+1,BB146),IF(Instructions!$E$11=16,IF($T147=Instructions!$F$56,BB146+1,BB146))))))</f>
        <v>0</v>
      </c>
      <c r="BC147" s="321" t="str">
        <f t="shared" si="46"/>
        <v>1500</v>
      </c>
      <c r="BD147" s="321">
        <f>IF(Instructions!$E$11=8,IF($D147=Instructions!$F$57,BD146+1,BD146),IF(Instructions!$E$11=10,IF($H147=Instructions!$F$57,BD146+1,BD146),IF(Instructions!$E$11=12,IF($L147=Instructions!$F$57,BD146+1,BD146),IF(Instructions!$E$11=14,IF($P147=Instructions!$F$57,BD146+1,BD146),IF(Instructions!$E$11=16,IF($T147=Instructions!$F$57,BD146+1,BD146))))))</f>
        <v>0</v>
      </c>
      <c r="BE147" s="321" t="str">
        <f t="shared" si="47"/>
        <v>1600</v>
      </c>
      <c r="BF147" s="321">
        <v>145</v>
      </c>
    </row>
    <row r="148" spans="1:58" x14ac:dyDescent="0.25">
      <c r="A148" s="280"/>
      <c r="B148" s="323" t="str">
        <f>IF(Instructions!$J$11=1,AA148,IF(Instructions!$J$11=2,AC148,IF(Instructions!$J$11=3,AE148,IF(Instructions!$J$11=4,AG148,IF(Instructions!$J$11=5,AI148,IF(Instructions!$J$11=6,AK148,IF(Instructions!$J$11=7,AM148,IF(Instructions!$J$11=8,AO148,IF(Instructions!$J$11=9,AQ148,IF(Instructions!$J$11=10,AS148,IF(Instructions!$J$11=11,AU148,IF(Instructions!$J$11=12,AW148,IF(Instructions!$J$11=13, AY148, IF(Instructions!$J$11=14,BA148,IF(Instructions!$J$11=15,BC148,BE148)))))))))))))))</f>
        <v>213</v>
      </c>
      <c r="C148" s="272">
        <v>146</v>
      </c>
      <c r="D148" s="327" t="str">
        <f>Instructions!F$43</f>
        <v>Camden</v>
      </c>
      <c r="E148" s="332" t="s">
        <v>1481</v>
      </c>
      <c r="F148" s="706"/>
      <c r="G148" s="279">
        <v>19</v>
      </c>
      <c r="H148" s="294" t="str">
        <f>Instructions!F$47</f>
        <v>Devin</v>
      </c>
      <c r="I148" s="274" t="s">
        <v>880</v>
      </c>
      <c r="J148" s="709"/>
      <c r="K148" s="279">
        <v>15</v>
      </c>
      <c r="L148" s="294" t="str">
        <f>Instructions!F$43</f>
        <v>Camden</v>
      </c>
      <c r="M148" s="274" t="s">
        <v>852</v>
      </c>
      <c r="N148" s="709"/>
      <c r="O148" s="279">
        <v>13</v>
      </c>
      <c r="P148" s="294" t="str">
        <f>Instructions!F$47</f>
        <v>Devin</v>
      </c>
      <c r="Q148" s="274" t="s">
        <v>832</v>
      </c>
      <c r="R148" s="709"/>
      <c r="S148" s="279">
        <v>11</v>
      </c>
      <c r="T148" s="327" t="str">
        <f>Instructions!F$56</f>
        <v>[TEAM 15]</v>
      </c>
      <c r="U148" s="274" t="s">
        <v>816</v>
      </c>
      <c r="V148" s="706"/>
      <c r="W148" s="279">
        <v>10</v>
      </c>
      <c r="X148" s="280"/>
      <c r="Y148" s="190" t="str">
        <f>IFERROR( IF(Instructions!$E$11=8, D148&amp;COUNTIF(D$3:D148,D148), IF(Instructions!$E$11=10, H148&amp;COUNTIF(H$3:H148,H148),IF(Instructions!$E$11=12, L148&amp;COUNTIF(L$3:L148,L148),IF(Instructions!$E$11=14, P148&amp;COUNTIF(P$3:P148,P148),T148&amp;COUNTIF(T$3:T148,T148))))),"")</f>
        <v>Camden13</v>
      </c>
      <c r="Z148" s="321">
        <f>IF(Instructions!$E$11=8,IF($D148=Instructions!$F$42,Z147+1,Z147),IF(Instructions!$E$11=10,IF($H148=Instructions!$F$42,Z147+1,Z147),IF(Instructions!$E$11=12,IF($L148=Instructions!$F$42,Z147+1,Z147),IF(Instructions!$E$11=14,IF($P148=Instructions!$F$42,Z147+1,Z147),IF(Instructions!$E$11=16,IF($T148=Instructions!$F$42,Z147+1,Z147))))))</f>
        <v>13</v>
      </c>
      <c r="AA148" s="321" t="str">
        <f t="shared" si="40"/>
        <v>113</v>
      </c>
      <c r="AB148" s="321">
        <f>IF(Instructions!$E$11=8,IF($D148=Instructions!$F$43,AB147+1,AB147),IF(Instructions!$E$11=10,IF($H148=Instructions!$F$43,AB147+1,AB147),IF(Instructions!$E$11=12,IF($L148=Instructions!$F$43,AB147+1,AB147),IF(Instructions!$E$11=14,IF($P148=Instructions!$F$43,AB147+1,AB147),IF(Instructions!$E$11=16,IF($T148=Instructions!$F$43,AB147+1,AB147))))))</f>
        <v>13</v>
      </c>
      <c r="AC148" s="321" t="str">
        <f t="shared" si="32"/>
        <v>213</v>
      </c>
      <c r="AD148" s="321">
        <f>IF(Instructions!$E$11=8,IF($D148=Instructions!$F$44,AD147+1,AD147),IF(Instructions!$E$11=10,IF($H148=Instructions!$F$44,AD147+1,AD147),IF(Instructions!$E$11=12,IF($L148=Instructions!$F$44,AD147+1,AD147),IF(Instructions!$E$11=14,IF($P148=Instructions!$F$44,AD147+1,AD147),IF(Instructions!$E$11=16,IF($T148=Instructions!$F$44,AD147+1,AD147))))))</f>
        <v>12</v>
      </c>
      <c r="AE148" s="321" t="str">
        <f t="shared" si="33"/>
        <v>312</v>
      </c>
      <c r="AF148" s="321">
        <f>IF(Instructions!$E$11=8,IF($D148=Instructions!$F$45,AF147+1,AF147),IF(Instructions!$E$11=10,IF($H148=Instructions!$F$45,AF147+1,AF147),IF(Instructions!$E$11=12,IF($L148=Instructions!$F$45,AF147+1,AF147),IF(Instructions!$E$11=14,IF($P148=Instructions!$F$45,AF147+1,AF147),IF(Instructions!$E$11=16,IF($T148=Instructions!$F$45,AF147+1,AF147))))))</f>
        <v>12</v>
      </c>
      <c r="AG148" s="321" t="str">
        <f t="shared" si="34"/>
        <v>412</v>
      </c>
      <c r="AH148" s="321">
        <f>IF(Instructions!$E$11=8,IF($D148=Instructions!$F$46,AH147+1,AH147),IF(Instructions!$E$11=10,IF($H148=Instructions!$F$46,AH147+1,AH147),IF(Instructions!$E$11=12,IF($L148=Instructions!$F$46,AH147+1,AH147),IF(Instructions!$E$11=14,IF($P148=Instructions!$F$46,AH147+1,AH147),IF(Instructions!$E$11=16,IF($T148=Instructions!$F$46,AH147+1,AH147))))))</f>
        <v>12</v>
      </c>
      <c r="AI148" s="321" t="str">
        <f t="shared" si="35"/>
        <v>512</v>
      </c>
      <c r="AJ148" s="321">
        <f>IF(Instructions!$E$11=8,IF($D148=Instructions!$F$47,AJ147+1,AJ147),IF(Instructions!$E$11=10,IF($H148=Instructions!$F$47,AJ147+1,AJ147),IF(Instructions!$E$11=12,IF($L148=Instructions!$F$47,AJ147+1,AJ147),IF(Instructions!$E$11=14,IF($P148=Instructions!$F$47,AJ147+1,AJ147),IF(Instructions!$E$11=16,IF($T148=Instructions!$F$47,AJ147+1,AJ147))))))</f>
        <v>12</v>
      </c>
      <c r="AK148" s="321" t="str">
        <f t="shared" si="36"/>
        <v>612</v>
      </c>
      <c r="AL148" s="321">
        <f>IF(Instructions!$E$11=8,IF($D148=Instructions!$F$48,AL147+1,AL147),IF(Instructions!$E$11=10,IF($H148=Instructions!$F$48,AL147+1,AL147),IF(Instructions!$E$11=12,IF($L148=Instructions!$F$48,AL147+1,AL147),IF(Instructions!$E$11=14,IF($P148=Instructions!$F$48,AL147+1,AL147),IF(Instructions!$E$11=16,IF($T148=Instructions!$F$48,AL147+1,AL147))))))</f>
        <v>12</v>
      </c>
      <c r="AM148" s="321" t="str">
        <f t="shared" si="37"/>
        <v>712</v>
      </c>
      <c r="AN148" s="321">
        <f>IF(Instructions!$E$11=8,IF($D148=Instructions!$F$49,AN147+1,AN147),IF(Instructions!$E$11=10,IF($H148=Instructions!$F$49,AN147+1,AN147),IF(Instructions!$E$11=12,IF($L148=Instructions!$F$49,AN147+1,AN147),IF(Instructions!$E$11=14,IF($P148=Instructions!$F$49,AN147+1,AN147),IF(Instructions!$E$11=16,IF($T148=Instructions!$F$49,AN147+1,AN147))))))</f>
        <v>12</v>
      </c>
      <c r="AO148" s="321" t="str">
        <f t="shared" si="38"/>
        <v>812</v>
      </c>
      <c r="AP148" s="321">
        <f>IF(Instructions!$E$11=8,IF($D148=Instructions!$F$50,AP147+1,AP147),IF(Instructions!$E$11=10,IF($H148=Instructions!$F$50,AP147+1,AP147),IF(Instructions!$E$11=12,IF($L148=Instructions!$F$50,AP147+1,AP147),IF(Instructions!$E$11=14,IF($P148=Instructions!$F$50,AP147+1,AP147),IF(Instructions!$E$11=16,IF($T148=Instructions!$F$50,AP147+1,AP147))))))</f>
        <v>12</v>
      </c>
      <c r="AQ148" s="321" t="str">
        <f t="shared" si="39"/>
        <v>912</v>
      </c>
      <c r="AR148" s="321">
        <f>IF(Instructions!$E$11=8,IF($D148=Instructions!$F$51,AR147+1,AR147),IF(Instructions!$E$11=10,IF($H148=Instructions!$F$51,AR147+1,AR147),IF(Instructions!$E$11=12,IF($L148=Instructions!$F$51,AR147+1,AR147),IF(Instructions!$E$11=14,IF($P148=Instructions!$F$51,AR147+1,AR147),IF(Instructions!$E$11=16,IF($T148=Instructions!$F$51,AR147+1,AR147))))))</f>
        <v>12</v>
      </c>
      <c r="AS148" s="321" t="str">
        <f t="shared" si="41"/>
        <v>1012</v>
      </c>
      <c r="AT148" s="321">
        <f>IF(Instructions!$E$11=8,IF($D148=Instructions!$F$52,AT147+1,AT147),IF(Instructions!$E$11=10,IF($H148=Instructions!$F$52,AT147+1,AT147),IF(Instructions!$E$11=12,IF($L148=Instructions!$F$52,AT147+1,AT147),IF(Instructions!$E$11=14,IF($P148=Instructions!$F$52,AT147+1,AT147),IF(Instructions!$E$11=16,IF($T148=Instructions!$F$52,AT147+1,AT147))))))</f>
        <v>12</v>
      </c>
      <c r="AU148" s="321" t="str">
        <f t="shared" si="42"/>
        <v>1112</v>
      </c>
      <c r="AV148" s="321">
        <f>IF(Instructions!$E$11=8,IF($D148=Instructions!$F$53,AV147+1,AV147),IF(Instructions!$E$11=10,IF($H148=Instructions!$F$53,AV147+1,AV147),IF(Instructions!$E$11=12,IF($L148=Instructions!$F$53,AV147+1,AV147),IF(Instructions!$E$11=14,IF($P148=Instructions!$F$53,AV147+1,AV147),IF(Instructions!$E$11=16,IF($T148=Instructions!$F$53,AV147+1,AV147))))))</f>
        <v>12</v>
      </c>
      <c r="AW148" s="321" t="str">
        <f t="shared" si="43"/>
        <v>1212</v>
      </c>
      <c r="AX148" s="321">
        <f>IF(Instructions!$E$11=8,IF($D148=Instructions!$F$54,AX147+1,AX147),IF(Instructions!$E$11=10,IF($H148=Instructions!$F$54,AX147+1,AX147),IF(Instructions!$E$11=12,IF($L148=Instructions!$F$54,AX147+1,AX147),IF(Instructions!$E$11=14,IF($P148=Instructions!$F$54,AX147+1,AX147),IF(Instructions!$E$11=16,IF($T148=Instructions!$F$54,AX147+1,AX147))))))</f>
        <v>0</v>
      </c>
      <c r="AY148" s="321" t="str">
        <f t="shared" si="44"/>
        <v>1300</v>
      </c>
      <c r="AZ148" s="321">
        <f>IF(Instructions!$E$11=8,IF($D148=Instructions!$F$55,AZ147+1,AZ147),IF(Instructions!$E$11=10,IF($H148=Instructions!$F$55,AZ147+1,AZ147),IF(Instructions!$E$11=12,IF($L148=Instructions!$F$55,AZ147+1,AZ147),IF(Instructions!$E$11=14,IF($P148=Instructions!$F$55,AZ147+1,AZ147),IF(Instructions!$E$11=16,IF($T148=Instructions!$F$55,AZ147+1,AZ147))))))</f>
        <v>0</v>
      </c>
      <c r="BA148" s="321" t="str">
        <f t="shared" si="45"/>
        <v>1400</v>
      </c>
      <c r="BB148" s="321">
        <f>IF(Instructions!$E$11=8,IF($D148=Instructions!$F$56,BB147+1,BB147),IF(Instructions!$E$11=10,IF($H148=Instructions!$F$56,BB147+1,BB147),IF(Instructions!$E$11=12,IF($L148=Instructions!$F$56,BB147+1,BB147),IF(Instructions!$E$11=14,IF($P148=Instructions!$F$56,BB147+1,BB147),IF(Instructions!$E$11=16,IF($T148=Instructions!$F$56,BB147+1,BB147))))))</f>
        <v>0</v>
      </c>
      <c r="BC148" s="321" t="str">
        <f t="shared" si="46"/>
        <v>1500</v>
      </c>
      <c r="BD148" s="321">
        <f>IF(Instructions!$E$11=8,IF($D148=Instructions!$F$57,BD147+1,BD147),IF(Instructions!$E$11=10,IF($H148=Instructions!$F$57,BD147+1,BD147),IF(Instructions!$E$11=12,IF($L148=Instructions!$F$57,BD147+1,BD147),IF(Instructions!$E$11=14,IF($P148=Instructions!$F$57,BD147+1,BD147),IF(Instructions!$E$11=16,IF($T148=Instructions!$F$57,BD147+1,BD147))))))</f>
        <v>0</v>
      </c>
      <c r="BE148" s="321" t="str">
        <f t="shared" si="47"/>
        <v>1600</v>
      </c>
      <c r="BF148" s="321">
        <v>146</v>
      </c>
    </row>
    <row r="149" spans="1:58" x14ac:dyDescent="0.25">
      <c r="A149" s="280"/>
      <c r="B149" s="323" t="str">
        <f>IF(Instructions!$J$11=1,AA149,IF(Instructions!$J$11=2,AC149,IF(Instructions!$J$11=3,AE149,IF(Instructions!$J$11=4,AG149,IF(Instructions!$J$11=5,AI149,IF(Instructions!$J$11=6,AK149,IF(Instructions!$J$11=7,AM149,IF(Instructions!$J$11=8,AO149,IF(Instructions!$J$11=9,AQ149,IF(Instructions!$J$11=10,AS149,IF(Instructions!$J$11=11,AU149,IF(Instructions!$J$11=12,AW149,IF(Instructions!$J$11=13, AY149, IF(Instructions!$J$11=14,BA149,IF(Instructions!$J$11=15,BC149,BE149)))))))))))))))</f>
        <v>213</v>
      </c>
      <c r="C149" s="271">
        <v>147</v>
      </c>
      <c r="D149" s="328" t="str">
        <f>Instructions!F$44</f>
        <v>Cam</v>
      </c>
      <c r="E149" s="333" t="s">
        <v>1482</v>
      </c>
      <c r="F149" s="706"/>
      <c r="G149" s="279">
        <v>19</v>
      </c>
      <c r="H149" s="293" t="str">
        <f>Instructions!F$48</f>
        <v>Bui</v>
      </c>
      <c r="I149" s="273" t="s">
        <v>881</v>
      </c>
      <c r="J149" s="709"/>
      <c r="K149" s="279">
        <v>15</v>
      </c>
      <c r="L149" s="293" t="str">
        <f>Instructions!F$44</f>
        <v>Cam</v>
      </c>
      <c r="M149" s="273" t="s">
        <v>853</v>
      </c>
      <c r="N149" s="709"/>
      <c r="O149" s="279">
        <v>13</v>
      </c>
      <c r="P149" s="293" t="str">
        <f>Instructions!F$48</f>
        <v>Bui</v>
      </c>
      <c r="Q149" s="273" t="s">
        <v>833</v>
      </c>
      <c r="R149" s="709"/>
      <c r="S149" s="279">
        <v>11</v>
      </c>
      <c r="T149" s="328" t="str">
        <f>Instructions!F$55</f>
        <v>[TEAM 14]</v>
      </c>
      <c r="U149" s="273" t="s">
        <v>817</v>
      </c>
      <c r="V149" s="706"/>
      <c r="W149" s="279">
        <v>10</v>
      </c>
      <c r="X149" s="280"/>
      <c r="Y149" s="190" t="str">
        <f>IFERROR( IF(Instructions!$E$11=8, D149&amp;COUNTIF(D$3:D149,D149), IF(Instructions!$E$11=10, H149&amp;COUNTIF(H$3:H149,H149),IF(Instructions!$E$11=12, L149&amp;COUNTIF(L$3:L149,L149),IF(Instructions!$E$11=14, P149&amp;COUNTIF(P$3:P149,P149),T149&amp;COUNTIF(T$3:T149,T149))))),"")</f>
        <v>Cam13</v>
      </c>
      <c r="Z149" s="321">
        <f>IF(Instructions!$E$11=8,IF($D149=Instructions!$F$42,Z148+1,Z148),IF(Instructions!$E$11=10,IF($H149=Instructions!$F$42,Z148+1,Z148),IF(Instructions!$E$11=12,IF($L149=Instructions!$F$42,Z148+1,Z148),IF(Instructions!$E$11=14,IF($P149=Instructions!$F$42,Z148+1,Z148),IF(Instructions!$E$11=16,IF($T149=Instructions!$F$42,Z148+1,Z148))))))</f>
        <v>13</v>
      </c>
      <c r="AA149" s="321" t="str">
        <f t="shared" si="40"/>
        <v>113</v>
      </c>
      <c r="AB149" s="321">
        <f>IF(Instructions!$E$11=8,IF($D149=Instructions!$F$43,AB148+1,AB148),IF(Instructions!$E$11=10,IF($H149=Instructions!$F$43,AB148+1,AB148),IF(Instructions!$E$11=12,IF($L149=Instructions!$F$43,AB148+1,AB148),IF(Instructions!$E$11=14,IF($P149=Instructions!$F$43,AB148+1,AB148),IF(Instructions!$E$11=16,IF($T149=Instructions!$F$43,AB148+1,AB148))))))</f>
        <v>13</v>
      </c>
      <c r="AC149" s="321" t="str">
        <f t="shared" si="32"/>
        <v>213</v>
      </c>
      <c r="AD149" s="321">
        <f>IF(Instructions!$E$11=8,IF($D149=Instructions!$F$44,AD148+1,AD148),IF(Instructions!$E$11=10,IF($H149=Instructions!$F$44,AD148+1,AD148),IF(Instructions!$E$11=12,IF($L149=Instructions!$F$44,AD148+1,AD148),IF(Instructions!$E$11=14,IF($P149=Instructions!$F$44,AD148+1,AD148),IF(Instructions!$E$11=16,IF($T149=Instructions!$F$44,AD148+1,AD148))))))</f>
        <v>13</v>
      </c>
      <c r="AE149" s="321" t="str">
        <f t="shared" si="33"/>
        <v>313</v>
      </c>
      <c r="AF149" s="321">
        <f>IF(Instructions!$E$11=8,IF($D149=Instructions!$F$45,AF148+1,AF148),IF(Instructions!$E$11=10,IF($H149=Instructions!$F$45,AF148+1,AF148),IF(Instructions!$E$11=12,IF($L149=Instructions!$F$45,AF148+1,AF148),IF(Instructions!$E$11=14,IF($P149=Instructions!$F$45,AF148+1,AF148),IF(Instructions!$E$11=16,IF($T149=Instructions!$F$45,AF148+1,AF148))))))</f>
        <v>12</v>
      </c>
      <c r="AG149" s="321" t="str">
        <f t="shared" si="34"/>
        <v>412</v>
      </c>
      <c r="AH149" s="321">
        <f>IF(Instructions!$E$11=8,IF($D149=Instructions!$F$46,AH148+1,AH148),IF(Instructions!$E$11=10,IF($H149=Instructions!$F$46,AH148+1,AH148),IF(Instructions!$E$11=12,IF($L149=Instructions!$F$46,AH148+1,AH148),IF(Instructions!$E$11=14,IF($P149=Instructions!$F$46,AH148+1,AH148),IF(Instructions!$E$11=16,IF($T149=Instructions!$F$46,AH148+1,AH148))))))</f>
        <v>12</v>
      </c>
      <c r="AI149" s="321" t="str">
        <f t="shared" si="35"/>
        <v>512</v>
      </c>
      <c r="AJ149" s="321">
        <f>IF(Instructions!$E$11=8,IF($D149=Instructions!$F$47,AJ148+1,AJ148),IF(Instructions!$E$11=10,IF($H149=Instructions!$F$47,AJ148+1,AJ148),IF(Instructions!$E$11=12,IF($L149=Instructions!$F$47,AJ148+1,AJ148),IF(Instructions!$E$11=14,IF($P149=Instructions!$F$47,AJ148+1,AJ148),IF(Instructions!$E$11=16,IF($T149=Instructions!$F$47,AJ148+1,AJ148))))))</f>
        <v>12</v>
      </c>
      <c r="AK149" s="321" t="str">
        <f t="shared" si="36"/>
        <v>612</v>
      </c>
      <c r="AL149" s="321">
        <f>IF(Instructions!$E$11=8,IF($D149=Instructions!$F$48,AL148+1,AL148),IF(Instructions!$E$11=10,IF($H149=Instructions!$F$48,AL148+1,AL148),IF(Instructions!$E$11=12,IF($L149=Instructions!$F$48,AL148+1,AL148),IF(Instructions!$E$11=14,IF($P149=Instructions!$F$48,AL148+1,AL148),IF(Instructions!$E$11=16,IF($T149=Instructions!$F$48,AL148+1,AL148))))))</f>
        <v>12</v>
      </c>
      <c r="AM149" s="321" t="str">
        <f t="shared" si="37"/>
        <v>712</v>
      </c>
      <c r="AN149" s="321">
        <f>IF(Instructions!$E$11=8,IF($D149=Instructions!$F$49,AN148+1,AN148),IF(Instructions!$E$11=10,IF($H149=Instructions!$F$49,AN148+1,AN148),IF(Instructions!$E$11=12,IF($L149=Instructions!$F$49,AN148+1,AN148),IF(Instructions!$E$11=14,IF($P149=Instructions!$F$49,AN148+1,AN148),IF(Instructions!$E$11=16,IF($T149=Instructions!$F$49,AN148+1,AN148))))))</f>
        <v>12</v>
      </c>
      <c r="AO149" s="321" t="str">
        <f t="shared" si="38"/>
        <v>812</v>
      </c>
      <c r="AP149" s="321">
        <f>IF(Instructions!$E$11=8,IF($D149=Instructions!$F$50,AP148+1,AP148),IF(Instructions!$E$11=10,IF($H149=Instructions!$F$50,AP148+1,AP148),IF(Instructions!$E$11=12,IF($L149=Instructions!$F$50,AP148+1,AP148),IF(Instructions!$E$11=14,IF($P149=Instructions!$F$50,AP148+1,AP148),IF(Instructions!$E$11=16,IF($T149=Instructions!$F$50,AP148+1,AP148))))))</f>
        <v>12</v>
      </c>
      <c r="AQ149" s="321" t="str">
        <f t="shared" si="39"/>
        <v>912</v>
      </c>
      <c r="AR149" s="321">
        <f>IF(Instructions!$E$11=8,IF($D149=Instructions!$F$51,AR148+1,AR148),IF(Instructions!$E$11=10,IF($H149=Instructions!$F$51,AR148+1,AR148),IF(Instructions!$E$11=12,IF($L149=Instructions!$F$51,AR148+1,AR148),IF(Instructions!$E$11=14,IF($P149=Instructions!$F$51,AR148+1,AR148),IF(Instructions!$E$11=16,IF($T149=Instructions!$F$51,AR148+1,AR148))))))</f>
        <v>12</v>
      </c>
      <c r="AS149" s="321" t="str">
        <f t="shared" si="41"/>
        <v>1012</v>
      </c>
      <c r="AT149" s="321">
        <f>IF(Instructions!$E$11=8,IF($D149=Instructions!$F$52,AT148+1,AT148),IF(Instructions!$E$11=10,IF($H149=Instructions!$F$52,AT148+1,AT148),IF(Instructions!$E$11=12,IF($L149=Instructions!$F$52,AT148+1,AT148),IF(Instructions!$E$11=14,IF($P149=Instructions!$F$52,AT148+1,AT148),IF(Instructions!$E$11=16,IF($T149=Instructions!$F$52,AT148+1,AT148))))))</f>
        <v>12</v>
      </c>
      <c r="AU149" s="321" t="str">
        <f t="shared" si="42"/>
        <v>1112</v>
      </c>
      <c r="AV149" s="321">
        <f>IF(Instructions!$E$11=8,IF($D149=Instructions!$F$53,AV148+1,AV148),IF(Instructions!$E$11=10,IF($H149=Instructions!$F$53,AV148+1,AV148),IF(Instructions!$E$11=12,IF($L149=Instructions!$F$53,AV148+1,AV148),IF(Instructions!$E$11=14,IF($P149=Instructions!$F$53,AV148+1,AV148),IF(Instructions!$E$11=16,IF($T149=Instructions!$F$53,AV148+1,AV148))))))</f>
        <v>12</v>
      </c>
      <c r="AW149" s="321" t="str">
        <f t="shared" si="43"/>
        <v>1212</v>
      </c>
      <c r="AX149" s="321">
        <f>IF(Instructions!$E$11=8,IF($D149=Instructions!$F$54,AX148+1,AX148),IF(Instructions!$E$11=10,IF($H149=Instructions!$F$54,AX148+1,AX148),IF(Instructions!$E$11=12,IF($L149=Instructions!$F$54,AX148+1,AX148),IF(Instructions!$E$11=14,IF($P149=Instructions!$F$54,AX148+1,AX148),IF(Instructions!$E$11=16,IF($T149=Instructions!$F$54,AX148+1,AX148))))))</f>
        <v>0</v>
      </c>
      <c r="AY149" s="321" t="str">
        <f t="shared" si="44"/>
        <v>1300</v>
      </c>
      <c r="AZ149" s="321">
        <f>IF(Instructions!$E$11=8,IF($D149=Instructions!$F$55,AZ148+1,AZ148),IF(Instructions!$E$11=10,IF($H149=Instructions!$F$55,AZ148+1,AZ148),IF(Instructions!$E$11=12,IF($L149=Instructions!$F$55,AZ148+1,AZ148),IF(Instructions!$E$11=14,IF($P149=Instructions!$F$55,AZ148+1,AZ148),IF(Instructions!$E$11=16,IF($T149=Instructions!$F$55,AZ148+1,AZ148))))))</f>
        <v>0</v>
      </c>
      <c r="BA149" s="321" t="str">
        <f t="shared" si="45"/>
        <v>1400</v>
      </c>
      <c r="BB149" s="321">
        <f>IF(Instructions!$E$11=8,IF($D149=Instructions!$F$56,BB148+1,BB148),IF(Instructions!$E$11=10,IF($H149=Instructions!$F$56,BB148+1,BB148),IF(Instructions!$E$11=12,IF($L149=Instructions!$F$56,BB148+1,BB148),IF(Instructions!$E$11=14,IF($P149=Instructions!$F$56,BB148+1,BB148),IF(Instructions!$E$11=16,IF($T149=Instructions!$F$56,BB148+1,BB148))))))</f>
        <v>0</v>
      </c>
      <c r="BC149" s="321" t="str">
        <f t="shared" si="46"/>
        <v>1500</v>
      </c>
      <c r="BD149" s="321">
        <f>IF(Instructions!$E$11=8,IF($D149=Instructions!$F$57,BD148+1,BD148),IF(Instructions!$E$11=10,IF($H149=Instructions!$F$57,BD148+1,BD148),IF(Instructions!$E$11=12,IF($L149=Instructions!$F$57,BD148+1,BD148),IF(Instructions!$E$11=14,IF($P149=Instructions!$F$57,BD148+1,BD148),IF(Instructions!$E$11=16,IF($T149=Instructions!$F$57,BD148+1,BD148))))))</f>
        <v>0</v>
      </c>
      <c r="BE149" s="321" t="str">
        <f t="shared" si="47"/>
        <v>1600</v>
      </c>
      <c r="BF149" s="321">
        <v>147</v>
      </c>
    </row>
    <row r="150" spans="1:58" x14ac:dyDescent="0.25">
      <c r="A150" s="280"/>
      <c r="B150" s="323" t="str">
        <f>IF(Instructions!$J$11=1,AA150,IF(Instructions!$J$11=2,AC150,IF(Instructions!$J$11=3,AE150,IF(Instructions!$J$11=4,AG150,IF(Instructions!$J$11=5,AI150,IF(Instructions!$J$11=6,AK150,IF(Instructions!$J$11=7,AM150,IF(Instructions!$J$11=8,AO150,IF(Instructions!$J$11=9,AQ150,IF(Instructions!$J$11=10,AS150,IF(Instructions!$J$11=11,AU150,IF(Instructions!$J$11=12,AW150,IF(Instructions!$J$11=13, AY150, IF(Instructions!$J$11=14,BA150,IF(Instructions!$J$11=15,BC150,BE150)))))))))))))))</f>
        <v>213</v>
      </c>
      <c r="C150" s="272">
        <v>148</v>
      </c>
      <c r="D150" s="327" t="str">
        <f>Instructions!F$45</f>
        <v>Miles</v>
      </c>
      <c r="E150" s="332" t="s">
        <v>1483</v>
      </c>
      <c r="F150" s="706"/>
      <c r="G150" s="279">
        <v>19</v>
      </c>
      <c r="H150" s="294" t="str">
        <f>Instructions!F$49</f>
        <v>Luke</v>
      </c>
      <c r="I150" s="274" t="s">
        <v>882</v>
      </c>
      <c r="J150" s="709"/>
      <c r="K150" s="279">
        <v>15</v>
      </c>
      <c r="L150" s="294" t="str">
        <f>Instructions!F$45</f>
        <v>Miles</v>
      </c>
      <c r="M150" s="274" t="s">
        <v>854</v>
      </c>
      <c r="N150" s="709"/>
      <c r="O150" s="279">
        <v>13</v>
      </c>
      <c r="P150" s="294" t="str">
        <f>Instructions!F$49</f>
        <v>Luke</v>
      </c>
      <c r="Q150" s="274" t="s">
        <v>834</v>
      </c>
      <c r="R150" s="709"/>
      <c r="S150" s="279">
        <v>11</v>
      </c>
      <c r="T150" s="327" t="str">
        <f>Instructions!F$54</f>
        <v>[TEAM 13]</v>
      </c>
      <c r="U150" s="274" t="s">
        <v>818</v>
      </c>
      <c r="V150" s="706"/>
      <c r="W150" s="279">
        <v>10</v>
      </c>
      <c r="X150" s="280"/>
      <c r="Y150" s="190" t="str">
        <f>IFERROR( IF(Instructions!$E$11=8, D150&amp;COUNTIF(D$3:D150,D150), IF(Instructions!$E$11=10, H150&amp;COUNTIF(H$3:H150,H150),IF(Instructions!$E$11=12, L150&amp;COUNTIF(L$3:L150,L150),IF(Instructions!$E$11=14, P150&amp;COUNTIF(P$3:P150,P150),T150&amp;COUNTIF(T$3:T150,T150))))),"")</f>
        <v>Miles13</v>
      </c>
      <c r="Z150" s="321">
        <f>IF(Instructions!$E$11=8,IF($D150=Instructions!$F$42,Z149+1,Z149),IF(Instructions!$E$11=10,IF($H150=Instructions!$F$42,Z149+1,Z149),IF(Instructions!$E$11=12,IF($L150=Instructions!$F$42,Z149+1,Z149),IF(Instructions!$E$11=14,IF($P150=Instructions!$F$42,Z149+1,Z149),IF(Instructions!$E$11=16,IF($T150=Instructions!$F$42,Z149+1,Z149))))))</f>
        <v>13</v>
      </c>
      <c r="AA150" s="321" t="str">
        <f t="shared" si="40"/>
        <v>113</v>
      </c>
      <c r="AB150" s="321">
        <f>IF(Instructions!$E$11=8,IF($D150=Instructions!$F$43,AB149+1,AB149),IF(Instructions!$E$11=10,IF($H150=Instructions!$F$43,AB149+1,AB149),IF(Instructions!$E$11=12,IF($L150=Instructions!$F$43,AB149+1,AB149),IF(Instructions!$E$11=14,IF($P150=Instructions!$F$43,AB149+1,AB149),IF(Instructions!$E$11=16,IF($T150=Instructions!$F$43,AB149+1,AB149))))))</f>
        <v>13</v>
      </c>
      <c r="AC150" s="321" t="str">
        <f t="shared" si="32"/>
        <v>213</v>
      </c>
      <c r="AD150" s="321">
        <f>IF(Instructions!$E$11=8,IF($D150=Instructions!$F$44,AD149+1,AD149),IF(Instructions!$E$11=10,IF($H150=Instructions!$F$44,AD149+1,AD149),IF(Instructions!$E$11=12,IF($L150=Instructions!$F$44,AD149+1,AD149),IF(Instructions!$E$11=14,IF($P150=Instructions!$F$44,AD149+1,AD149),IF(Instructions!$E$11=16,IF($T150=Instructions!$F$44,AD149+1,AD149))))))</f>
        <v>13</v>
      </c>
      <c r="AE150" s="321" t="str">
        <f t="shared" si="33"/>
        <v>313</v>
      </c>
      <c r="AF150" s="321">
        <f>IF(Instructions!$E$11=8,IF($D150=Instructions!$F$45,AF149+1,AF149),IF(Instructions!$E$11=10,IF($H150=Instructions!$F$45,AF149+1,AF149),IF(Instructions!$E$11=12,IF($L150=Instructions!$F$45,AF149+1,AF149),IF(Instructions!$E$11=14,IF($P150=Instructions!$F$45,AF149+1,AF149),IF(Instructions!$E$11=16,IF($T150=Instructions!$F$45,AF149+1,AF149))))))</f>
        <v>13</v>
      </c>
      <c r="AG150" s="321" t="str">
        <f t="shared" si="34"/>
        <v>413</v>
      </c>
      <c r="AH150" s="321">
        <f>IF(Instructions!$E$11=8,IF($D150=Instructions!$F$46,AH149+1,AH149),IF(Instructions!$E$11=10,IF($H150=Instructions!$F$46,AH149+1,AH149),IF(Instructions!$E$11=12,IF($L150=Instructions!$F$46,AH149+1,AH149),IF(Instructions!$E$11=14,IF($P150=Instructions!$F$46,AH149+1,AH149),IF(Instructions!$E$11=16,IF($T150=Instructions!$F$46,AH149+1,AH149))))))</f>
        <v>12</v>
      </c>
      <c r="AI150" s="321" t="str">
        <f t="shared" si="35"/>
        <v>512</v>
      </c>
      <c r="AJ150" s="321">
        <f>IF(Instructions!$E$11=8,IF($D150=Instructions!$F$47,AJ149+1,AJ149),IF(Instructions!$E$11=10,IF($H150=Instructions!$F$47,AJ149+1,AJ149),IF(Instructions!$E$11=12,IF($L150=Instructions!$F$47,AJ149+1,AJ149),IF(Instructions!$E$11=14,IF($P150=Instructions!$F$47,AJ149+1,AJ149),IF(Instructions!$E$11=16,IF($T150=Instructions!$F$47,AJ149+1,AJ149))))))</f>
        <v>12</v>
      </c>
      <c r="AK150" s="321" t="str">
        <f t="shared" si="36"/>
        <v>612</v>
      </c>
      <c r="AL150" s="321">
        <f>IF(Instructions!$E$11=8,IF($D150=Instructions!$F$48,AL149+1,AL149),IF(Instructions!$E$11=10,IF($H150=Instructions!$F$48,AL149+1,AL149),IF(Instructions!$E$11=12,IF($L150=Instructions!$F$48,AL149+1,AL149),IF(Instructions!$E$11=14,IF($P150=Instructions!$F$48,AL149+1,AL149),IF(Instructions!$E$11=16,IF($T150=Instructions!$F$48,AL149+1,AL149))))))</f>
        <v>12</v>
      </c>
      <c r="AM150" s="321" t="str">
        <f t="shared" si="37"/>
        <v>712</v>
      </c>
      <c r="AN150" s="321">
        <f>IF(Instructions!$E$11=8,IF($D150=Instructions!$F$49,AN149+1,AN149),IF(Instructions!$E$11=10,IF($H150=Instructions!$F$49,AN149+1,AN149),IF(Instructions!$E$11=12,IF($L150=Instructions!$F$49,AN149+1,AN149),IF(Instructions!$E$11=14,IF($P150=Instructions!$F$49,AN149+1,AN149),IF(Instructions!$E$11=16,IF($T150=Instructions!$F$49,AN149+1,AN149))))))</f>
        <v>12</v>
      </c>
      <c r="AO150" s="321" t="str">
        <f t="shared" si="38"/>
        <v>812</v>
      </c>
      <c r="AP150" s="321">
        <f>IF(Instructions!$E$11=8,IF($D150=Instructions!$F$50,AP149+1,AP149),IF(Instructions!$E$11=10,IF($H150=Instructions!$F$50,AP149+1,AP149),IF(Instructions!$E$11=12,IF($L150=Instructions!$F$50,AP149+1,AP149),IF(Instructions!$E$11=14,IF($P150=Instructions!$F$50,AP149+1,AP149),IF(Instructions!$E$11=16,IF($T150=Instructions!$F$50,AP149+1,AP149))))))</f>
        <v>12</v>
      </c>
      <c r="AQ150" s="321" t="str">
        <f t="shared" si="39"/>
        <v>912</v>
      </c>
      <c r="AR150" s="321">
        <f>IF(Instructions!$E$11=8,IF($D150=Instructions!$F$51,AR149+1,AR149),IF(Instructions!$E$11=10,IF($H150=Instructions!$F$51,AR149+1,AR149),IF(Instructions!$E$11=12,IF($L150=Instructions!$F$51,AR149+1,AR149),IF(Instructions!$E$11=14,IF($P150=Instructions!$F$51,AR149+1,AR149),IF(Instructions!$E$11=16,IF($T150=Instructions!$F$51,AR149+1,AR149))))))</f>
        <v>12</v>
      </c>
      <c r="AS150" s="321" t="str">
        <f t="shared" si="41"/>
        <v>1012</v>
      </c>
      <c r="AT150" s="321">
        <f>IF(Instructions!$E$11=8,IF($D150=Instructions!$F$52,AT149+1,AT149),IF(Instructions!$E$11=10,IF($H150=Instructions!$F$52,AT149+1,AT149),IF(Instructions!$E$11=12,IF($L150=Instructions!$F$52,AT149+1,AT149),IF(Instructions!$E$11=14,IF($P150=Instructions!$F$52,AT149+1,AT149),IF(Instructions!$E$11=16,IF($T150=Instructions!$F$52,AT149+1,AT149))))))</f>
        <v>12</v>
      </c>
      <c r="AU150" s="321" t="str">
        <f t="shared" si="42"/>
        <v>1112</v>
      </c>
      <c r="AV150" s="321">
        <f>IF(Instructions!$E$11=8,IF($D150=Instructions!$F$53,AV149+1,AV149),IF(Instructions!$E$11=10,IF($H150=Instructions!$F$53,AV149+1,AV149),IF(Instructions!$E$11=12,IF($L150=Instructions!$F$53,AV149+1,AV149),IF(Instructions!$E$11=14,IF($P150=Instructions!$F$53,AV149+1,AV149),IF(Instructions!$E$11=16,IF($T150=Instructions!$F$53,AV149+1,AV149))))))</f>
        <v>12</v>
      </c>
      <c r="AW150" s="321" t="str">
        <f t="shared" si="43"/>
        <v>1212</v>
      </c>
      <c r="AX150" s="321">
        <f>IF(Instructions!$E$11=8,IF($D150=Instructions!$F$54,AX149+1,AX149),IF(Instructions!$E$11=10,IF($H150=Instructions!$F$54,AX149+1,AX149),IF(Instructions!$E$11=12,IF($L150=Instructions!$F$54,AX149+1,AX149),IF(Instructions!$E$11=14,IF($P150=Instructions!$F$54,AX149+1,AX149),IF(Instructions!$E$11=16,IF($T150=Instructions!$F$54,AX149+1,AX149))))))</f>
        <v>0</v>
      </c>
      <c r="AY150" s="321" t="str">
        <f t="shared" si="44"/>
        <v>1300</v>
      </c>
      <c r="AZ150" s="321">
        <f>IF(Instructions!$E$11=8,IF($D150=Instructions!$F$55,AZ149+1,AZ149),IF(Instructions!$E$11=10,IF($H150=Instructions!$F$55,AZ149+1,AZ149),IF(Instructions!$E$11=12,IF($L150=Instructions!$F$55,AZ149+1,AZ149),IF(Instructions!$E$11=14,IF($P150=Instructions!$F$55,AZ149+1,AZ149),IF(Instructions!$E$11=16,IF($T150=Instructions!$F$55,AZ149+1,AZ149))))))</f>
        <v>0</v>
      </c>
      <c r="BA150" s="321" t="str">
        <f t="shared" si="45"/>
        <v>1400</v>
      </c>
      <c r="BB150" s="321">
        <f>IF(Instructions!$E$11=8,IF($D150=Instructions!$F$56,BB149+1,BB149),IF(Instructions!$E$11=10,IF($H150=Instructions!$F$56,BB149+1,BB149),IF(Instructions!$E$11=12,IF($L150=Instructions!$F$56,BB149+1,BB149),IF(Instructions!$E$11=14,IF($P150=Instructions!$F$56,BB149+1,BB149),IF(Instructions!$E$11=16,IF($T150=Instructions!$F$56,BB149+1,BB149))))))</f>
        <v>0</v>
      </c>
      <c r="BC150" s="321" t="str">
        <f t="shared" si="46"/>
        <v>1500</v>
      </c>
      <c r="BD150" s="321">
        <f>IF(Instructions!$E$11=8,IF($D150=Instructions!$F$57,BD149+1,BD149),IF(Instructions!$E$11=10,IF($H150=Instructions!$F$57,BD149+1,BD149),IF(Instructions!$E$11=12,IF($L150=Instructions!$F$57,BD149+1,BD149),IF(Instructions!$E$11=14,IF($P150=Instructions!$F$57,BD149+1,BD149),IF(Instructions!$E$11=16,IF($T150=Instructions!$F$57,BD149+1,BD149))))))</f>
        <v>0</v>
      </c>
      <c r="BE150" s="321" t="str">
        <f t="shared" si="47"/>
        <v>1600</v>
      </c>
      <c r="BF150" s="321">
        <v>148</v>
      </c>
    </row>
    <row r="151" spans="1:58" x14ac:dyDescent="0.25">
      <c r="A151" s="280"/>
      <c r="B151" s="323" t="str">
        <f>IF(Instructions!$J$11=1,AA151,IF(Instructions!$J$11=2,AC151,IF(Instructions!$J$11=3,AE151,IF(Instructions!$J$11=4,AG151,IF(Instructions!$J$11=5,AI151,IF(Instructions!$J$11=6,AK151,IF(Instructions!$J$11=7,AM151,IF(Instructions!$J$11=8,AO151,IF(Instructions!$J$11=9,AQ151,IF(Instructions!$J$11=10,AS151,IF(Instructions!$J$11=11,AU151,IF(Instructions!$J$11=12,AW151,IF(Instructions!$J$11=13, AY151, IF(Instructions!$J$11=14,BA151,IF(Instructions!$J$11=15,BC151,BE151)))))))))))))))</f>
        <v>213</v>
      </c>
      <c r="C151" s="271">
        <v>149</v>
      </c>
      <c r="D151" s="328" t="str">
        <f>Instructions!F$46</f>
        <v>Con</v>
      </c>
      <c r="E151" s="333" t="s">
        <v>1484</v>
      </c>
      <c r="F151" s="706"/>
      <c r="G151" s="279">
        <v>19</v>
      </c>
      <c r="H151" s="293" t="str">
        <f>Instructions!F$50</f>
        <v>Dan</v>
      </c>
      <c r="I151" s="273" t="s">
        <v>883</v>
      </c>
      <c r="J151" s="709"/>
      <c r="K151" s="279">
        <v>15</v>
      </c>
      <c r="L151" s="293" t="str">
        <f>Instructions!F$46</f>
        <v>Con</v>
      </c>
      <c r="M151" s="273" t="s">
        <v>855</v>
      </c>
      <c r="N151" s="709"/>
      <c r="O151" s="279">
        <v>13</v>
      </c>
      <c r="P151" s="293" t="str">
        <f>Instructions!F$50</f>
        <v>Dan</v>
      </c>
      <c r="Q151" s="273" t="s">
        <v>835</v>
      </c>
      <c r="R151" s="709"/>
      <c r="S151" s="279">
        <v>11</v>
      </c>
      <c r="T151" s="328" t="str">
        <f>Instructions!F$53</f>
        <v>Zack</v>
      </c>
      <c r="U151" s="273" t="s">
        <v>819</v>
      </c>
      <c r="V151" s="706"/>
      <c r="W151" s="279">
        <v>10</v>
      </c>
      <c r="X151" s="280"/>
      <c r="Y151" s="190" t="str">
        <f>IFERROR( IF(Instructions!$E$11=8, D151&amp;COUNTIF(D$3:D151,D151), IF(Instructions!$E$11=10, H151&amp;COUNTIF(H$3:H151,H151),IF(Instructions!$E$11=12, L151&amp;COUNTIF(L$3:L151,L151),IF(Instructions!$E$11=14, P151&amp;COUNTIF(P$3:P151,P151),T151&amp;COUNTIF(T$3:T151,T151))))),"")</f>
        <v>Con13</v>
      </c>
      <c r="Z151" s="321">
        <f>IF(Instructions!$E$11=8,IF($D151=Instructions!$F$42,Z150+1,Z150),IF(Instructions!$E$11=10,IF($H151=Instructions!$F$42,Z150+1,Z150),IF(Instructions!$E$11=12,IF($L151=Instructions!$F$42,Z150+1,Z150),IF(Instructions!$E$11=14,IF($P151=Instructions!$F$42,Z150+1,Z150),IF(Instructions!$E$11=16,IF($T151=Instructions!$F$42,Z150+1,Z150))))))</f>
        <v>13</v>
      </c>
      <c r="AA151" s="321" t="str">
        <f t="shared" si="40"/>
        <v>113</v>
      </c>
      <c r="AB151" s="321">
        <f>IF(Instructions!$E$11=8,IF($D151=Instructions!$F$43,AB150+1,AB150),IF(Instructions!$E$11=10,IF($H151=Instructions!$F$43,AB150+1,AB150),IF(Instructions!$E$11=12,IF($L151=Instructions!$F$43,AB150+1,AB150),IF(Instructions!$E$11=14,IF($P151=Instructions!$F$43,AB150+1,AB150),IF(Instructions!$E$11=16,IF($T151=Instructions!$F$43,AB150+1,AB150))))))</f>
        <v>13</v>
      </c>
      <c r="AC151" s="321" t="str">
        <f t="shared" si="32"/>
        <v>213</v>
      </c>
      <c r="AD151" s="321">
        <f>IF(Instructions!$E$11=8,IF($D151=Instructions!$F$44,AD150+1,AD150),IF(Instructions!$E$11=10,IF($H151=Instructions!$F$44,AD150+1,AD150),IF(Instructions!$E$11=12,IF($L151=Instructions!$F$44,AD150+1,AD150),IF(Instructions!$E$11=14,IF($P151=Instructions!$F$44,AD150+1,AD150),IF(Instructions!$E$11=16,IF($T151=Instructions!$F$44,AD150+1,AD150))))))</f>
        <v>13</v>
      </c>
      <c r="AE151" s="321" t="str">
        <f t="shared" si="33"/>
        <v>313</v>
      </c>
      <c r="AF151" s="321">
        <f>IF(Instructions!$E$11=8,IF($D151=Instructions!$F$45,AF150+1,AF150),IF(Instructions!$E$11=10,IF($H151=Instructions!$F$45,AF150+1,AF150),IF(Instructions!$E$11=12,IF($L151=Instructions!$F$45,AF150+1,AF150),IF(Instructions!$E$11=14,IF($P151=Instructions!$F$45,AF150+1,AF150),IF(Instructions!$E$11=16,IF($T151=Instructions!$F$45,AF150+1,AF150))))))</f>
        <v>13</v>
      </c>
      <c r="AG151" s="321" t="str">
        <f t="shared" si="34"/>
        <v>413</v>
      </c>
      <c r="AH151" s="321">
        <f>IF(Instructions!$E$11=8,IF($D151=Instructions!$F$46,AH150+1,AH150),IF(Instructions!$E$11=10,IF($H151=Instructions!$F$46,AH150+1,AH150),IF(Instructions!$E$11=12,IF($L151=Instructions!$F$46,AH150+1,AH150),IF(Instructions!$E$11=14,IF($P151=Instructions!$F$46,AH150+1,AH150),IF(Instructions!$E$11=16,IF($T151=Instructions!$F$46,AH150+1,AH150))))))</f>
        <v>13</v>
      </c>
      <c r="AI151" s="321" t="str">
        <f t="shared" si="35"/>
        <v>513</v>
      </c>
      <c r="AJ151" s="321">
        <f>IF(Instructions!$E$11=8,IF($D151=Instructions!$F$47,AJ150+1,AJ150),IF(Instructions!$E$11=10,IF($H151=Instructions!$F$47,AJ150+1,AJ150),IF(Instructions!$E$11=12,IF($L151=Instructions!$F$47,AJ150+1,AJ150),IF(Instructions!$E$11=14,IF($P151=Instructions!$F$47,AJ150+1,AJ150),IF(Instructions!$E$11=16,IF($T151=Instructions!$F$47,AJ150+1,AJ150))))))</f>
        <v>12</v>
      </c>
      <c r="AK151" s="321" t="str">
        <f t="shared" si="36"/>
        <v>612</v>
      </c>
      <c r="AL151" s="321">
        <f>IF(Instructions!$E$11=8,IF($D151=Instructions!$F$48,AL150+1,AL150),IF(Instructions!$E$11=10,IF($H151=Instructions!$F$48,AL150+1,AL150),IF(Instructions!$E$11=12,IF($L151=Instructions!$F$48,AL150+1,AL150),IF(Instructions!$E$11=14,IF($P151=Instructions!$F$48,AL150+1,AL150),IF(Instructions!$E$11=16,IF($T151=Instructions!$F$48,AL150+1,AL150))))))</f>
        <v>12</v>
      </c>
      <c r="AM151" s="321" t="str">
        <f t="shared" si="37"/>
        <v>712</v>
      </c>
      <c r="AN151" s="321">
        <f>IF(Instructions!$E$11=8,IF($D151=Instructions!$F$49,AN150+1,AN150),IF(Instructions!$E$11=10,IF($H151=Instructions!$F$49,AN150+1,AN150),IF(Instructions!$E$11=12,IF($L151=Instructions!$F$49,AN150+1,AN150),IF(Instructions!$E$11=14,IF($P151=Instructions!$F$49,AN150+1,AN150),IF(Instructions!$E$11=16,IF($T151=Instructions!$F$49,AN150+1,AN150))))))</f>
        <v>12</v>
      </c>
      <c r="AO151" s="321" t="str">
        <f t="shared" si="38"/>
        <v>812</v>
      </c>
      <c r="AP151" s="321">
        <f>IF(Instructions!$E$11=8,IF($D151=Instructions!$F$50,AP150+1,AP150),IF(Instructions!$E$11=10,IF($H151=Instructions!$F$50,AP150+1,AP150),IF(Instructions!$E$11=12,IF($L151=Instructions!$F$50,AP150+1,AP150),IF(Instructions!$E$11=14,IF($P151=Instructions!$F$50,AP150+1,AP150),IF(Instructions!$E$11=16,IF($T151=Instructions!$F$50,AP150+1,AP150))))))</f>
        <v>12</v>
      </c>
      <c r="AQ151" s="321" t="str">
        <f t="shared" si="39"/>
        <v>912</v>
      </c>
      <c r="AR151" s="321">
        <f>IF(Instructions!$E$11=8,IF($D151=Instructions!$F$51,AR150+1,AR150),IF(Instructions!$E$11=10,IF($H151=Instructions!$F$51,AR150+1,AR150),IF(Instructions!$E$11=12,IF($L151=Instructions!$F$51,AR150+1,AR150),IF(Instructions!$E$11=14,IF($P151=Instructions!$F$51,AR150+1,AR150),IF(Instructions!$E$11=16,IF($T151=Instructions!$F$51,AR150+1,AR150))))))</f>
        <v>12</v>
      </c>
      <c r="AS151" s="321" t="str">
        <f t="shared" si="41"/>
        <v>1012</v>
      </c>
      <c r="AT151" s="321">
        <f>IF(Instructions!$E$11=8,IF($D151=Instructions!$F$52,AT150+1,AT150),IF(Instructions!$E$11=10,IF($H151=Instructions!$F$52,AT150+1,AT150),IF(Instructions!$E$11=12,IF($L151=Instructions!$F$52,AT150+1,AT150),IF(Instructions!$E$11=14,IF($P151=Instructions!$F$52,AT150+1,AT150),IF(Instructions!$E$11=16,IF($T151=Instructions!$F$52,AT150+1,AT150))))))</f>
        <v>12</v>
      </c>
      <c r="AU151" s="321" t="str">
        <f t="shared" si="42"/>
        <v>1112</v>
      </c>
      <c r="AV151" s="321">
        <f>IF(Instructions!$E$11=8,IF($D151=Instructions!$F$53,AV150+1,AV150),IF(Instructions!$E$11=10,IF($H151=Instructions!$F$53,AV150+1,AV150),IF(Instructions!$E$11=12,IF($L151=Instructions!$F$53,AV150+1,AV150),IF(Instructions!$E$11=14,IF($P151=Instructions!$F$53,AV150+1,AV150),IF(Instructions!$E$11=16,IF($T151=Instructions!$F$53,AV150+1,AV150))))))</f>
        <v>12</v>
      </c>
      <c r="AW151" s="321" t="str">
        <f t="shared" si="43"/>
        <v>1212</v>
      </c>
      <c r="AX151" s="321">
        <f>IF(Instructions!$E$11=8,IF($D151=Instructions!$F$54,AX150+1,AX150),IF(Instructions!$E$11=10,IF($H151=Instructions!$F$54,AX150+1,AX150),IF(Instructions!$E$11=12,IF($L151=Instructions!$F$54,AX150+1,AX150),IF(Instructions!$E$11=14,IF($P151=Instructions!$F$54,AX150+1,AX150),IF(Instructions!$E$11=16,IF($T151=Instructions!$F$54,AX150+1,AX150))))))</f>
        <v>0</v>
      </c>
      <c r="AY151" s="321" t="str">
        <f t="shared" si="44"/>
        <v>1300</v>
      </c>
      <c r="AZ151" s="321">
        <f>IF(Instructions!$E$11=8,IF($D151=Instructions!$F$55,AZ150+1,AZ150),IF(Instructions!$E$11=10,IF($H151=Instructions!$F$55,AZ150+1,AZ150),IF(Instructions!$E$11=12,IF($L151=Instructions!$F$55,AZ150+1,AZ150),IF(Instructions!$E$11=14,IF($P151=Instructions!$F$55,AZ150+1,AZ150),IF(Instructions!$E$11=16,IF($T151=Instructions!$F$55,AZ150+1,AZ150))))))</f>
        <v>0</v>
      </c>
      <c r="BA151" s="321" t="str">
        <f t="shared" si="45"/>
        <v>1400</v>
      </c>
      <c r="BB151" s="321">
        <f>IF(Instructions!$E$11=8,IF($D151=Instructions!$F$56,BB150+1,BB150),IF(Instructions!$E$11=10,IF($H151=Instructions!$F$56,BB150+1,BB150),IF(Instructions!$E$11=12,IF($L151=Instructions!$F$56,BB150+1,BB150),IF(Instructions!$E$11=14,IF($P151=Instructions!$F$56,BB150+1,BB150),IF(Instructions!$E$11=16,IF($T151=Instructions!$F$56,BB150+1,BB150))))))</f>
        <v>0</v>
      </c>
      <c r="BC151" s="321" t="str">
        <f t="shared" si="46"/>
        <v>1500</v>
      </c>
      <c r="BD151" s="321">
        <f>IF(Instructions!$E$11=8,IF($D151=Instructions!$F$57,BD150+1,BD150),IF(Instructions!$E$11=10,IF($H151=Instructions!$F$57,BD150+1,BD150),IF(Instructions!$E$11=12,IF($L151=Instructions!$F$57,BD150+1,BD150),IF(Instructions!$E$11=14,IF($P151=Instructions!$F$57,BD150+1,BD150),IF(Instructions!$E$11=16,IF($T151=Instructions!$F$57,BD150+1,BD150))))))</f>
        <v>0</v>
      </c>
      <c r="BE151" s="321" t="str">
        <f t="shared" si="47"/>
        <v>1600</v>
      </c>
      <c r="BF151" s="321">
        <v>149</v>
      </c>
    </row>
    <row r="152" spans="1:58" ht="15.75" thickBot="1" x14ac:dyDescent="0.3">
      <c r="A152" s="280"/>
      <c r="B152" s="323" t="str">
        <f>IF(Instructions!$J$11=1,AA152,IF(Instructions!$J$11=2,AC152,IF(Instructions!$J$11=3,AE152,IF(Instructions!$J$11=4,AG152,IF(Instructions!$J$11=5,AI152,IF(Instructions!$J$11=6,AK152,IF(Instructions!$J$11=7,AM152,IF(Instructions!$J$11=8,AO152,IF(Instructions!$J$11=9,AQ152,IF(Instructions!$J$11=10,AS152,IF(Instructions!$J$11=11,AU152,IF(Instructions!$J$11=12,AW152,IF(Instructions!$J$11=13, AY152, IF(Instructions!$J$11=14,BA152,IF(Instructions!$J$11=15,BC152,BE152)))))))))))))))</f>
        <v>213</v>
      </c>
      <c r="C152" s="272">
        <v>150</v>
      </c>
      <c r="D152" s="327" t="str">
        <f>Instructions!F$47</f>
        <v>Devin</v>
      </c>
      <c r="E152" s="332" t="s">
        <v>1485</v>
      </c>
      <c r="F152" s="706"/>
      <c r="G152" s="279">
        <v>19</v>
      </c>
      <c r="H152" s="295" t="str">
        <f>Instructions!F$51</f>
        <v>Josh</v>
      </c>
      <c r="I152" s="277" t="s">
        <v>884</v>
      </c>
      <c r="J152" s="710"/>
      <c r="K152" s="279">
        <v>15</v>
      </c>
      <c r="L152" s="294" t="str">
        <f>Instructions!F$47</f>
        <v>Devin</v>
      </c>
      <c r="M152" s="274" t="s">
        <v>856</v>
      </c>
      <c r="N152" s="709"/>
      <c r="O152" s="279">
        <v>13</v>
      </c>
      <c r="P152" s="294" t="str">
        <f>Instructions!F$51</f>
        <v>Josh</v>
      </c>
      <c r="Q152" s="274" t="s">
        <v>836</v>
      </c>
      <c r="R152" s="709"/>
      <c r="S152" s="279">
        <v>11</v>
      </c>
      <c r="T152" s="327" t="str">
        <f>Instructions!F$52</f>
        <v>Big R</v>
      </c>
      <c r="U152" s="274" t="s">
        <v>820</v>
      </c>
      <c r="V152" s="706"/>
      <c r="W152" s="279">
        <v>10</v>
      </c>
      <c r="X152" s="280"/>
      <c r="Y152" s="190" t="str">
        <f>IFERROR( IF(Instructions!$E$11=8, D152&amp;COUNTIF(D$3:D152,D152), IF(Instructions!$E$11=10, H152&amp;COUNTIF(H$3:H152,H152),IF(Instructions!$E$11=12, L152&amp;COUNTIF(L$3:L152,L152),IF(Instructions!$E$11=14, P152&amp;COUNTIF(P$3:P152,P152),T152&amp;COUNTIF(T$3:T152,T152))))),"")</f>
        <v>Devin13</v>
      </c>
      <c r="Z152" s="321">
        <f>IF(Instructions!$E$11=8,IF($D152=Instructions!$F$42,Z151+1,Z151),IF(Instructions!$E$11=10,IF($H152=Instructions!$F$42,Z151+1,Z151),IF(Instructions!$E$11=12,IF($L152=Instructions!$F$42,Z151+1,Z151),IF(Instructions!$E$11=14,IF($P152=Instructions!$F$42,Z151+1,Z151),IF(Instructions!$E$11=16,IF($T152=Instructions!$F$42,Z151+1,Z151))))))</f>
        <v>13</v>
      </c>
      <c r="AA152" s="321" t="str">
        <f t="shared" si="40"/>
        <v>113</v>
      </c>
      <c r="AB152" s="321">
        <f>IF(Instructions!$E$11=8,IF($D152=Instructions!$F$43,AB151+1,AB151),IF(Instructions!$E$11=10,IF($H152=Instructions!$F$43,AB151+1,AB151),IF(Instructions!$E$11=12,IF($L152=Instructions!$F$43,AB151+1,AB151),IF(Instructions!$E$11=14,IF($P152=Instructions!$F$43,AB151+1,AB151),IF(Instructions!$E$11=16,IF($T152=Instructions!$F$43,AB151+1,AB151))))))</f>
        <v>13</v>
      </c>
      <c r="AC152" s="321" t="str">
        <f t="shared" si="32"/>
        <v>213</v>
      </c>
      <c r="AD152" s="321">
        <f>IF(Instructions!$E$11=8,IF($D152=Instructions!$F$44,AD151+1,AD151),IF(Instructions!$E$11=10,IF($H152=Instructions!$F$44,AD151+1,AD151),IF(Instructions!$E$11=12,IF($L152=Instructions!$F$44,AD151+1,AD151),IF(Instructions!$E$11=14,IF($P152=Instructions!$F$44,AD151+1,AD151),IF(Instructions!$E$11=16,IF($T152=Instructions!$F$44,AD151+1,AD151))))))</f>
        <v>13</v>
      </c>
      <c r="AE152" s="321" t="str">
        <f t="shared" si="33"/>
        <v>313</v>
      </c>
      <c r="AF152" s="321">
        <f>IF(Instructions!$E$11=8,IF($D152=Instructions!$F$45,AF151+1,AF151),IF(Instructions!$E$11=10,IF($H152=Instructions!$F$45,AF151+1,AF151),IF(Instructions!$E$11=12,IF($L152=Instructions!$F$45,AF151+1,AF151),IF(Instructions!$E$11=14,IF($P152=Instructions!$F$45,AF151+1,AF151),IF(Instructions!$E$11=16,IF($T152=Instructions!$F$45,AF151+1,AF151))))))</f>
        <v>13</v>
      </c>
      <c r="AG152" s="321" t="str">
        <f t="shared" si="34"/>
        <v>413</v>
      </c>
      <c r="AH152" s="321">
        <f>IF(Instructions!$E$11=8,IF($D152=Instructions!$F$46,AH151+1,AH151),IF(Instructions!$E$11=10,IF($H152=Instructions!$F$46,AH151+1,AH151),IF(Instructions!$E$11=12,IF($L152=Instructions!$F$46,AH151+1,AH151),IF(Instructions!$E$11=14,IF($P152=Instructions!$F$46,AH151+1,AH151),IF(Instructions!$E$11=16,IF($T152=Instructions!$F$46,AH151+1,AH151))))))</f>
        <v>13</v>
      </c>
      <c r="AI152" s="321" t="str">
        <f t="shared" si="35"/>
        <v>513</v>
      </c>
      <c r="AJ152" s="321">
        <f>IF(Instructions!$E$11=8,IF($D152=Instructions!$F$47,AJ151+1,AJ151),IF(Instructions!$E$11=10,IF($H152=Instructions!$F$47,AJ151+1,AJ151),IF(Instructions!$E$11=12,IF($L152=Instructions!$F$47,AJ151+1,AJ151),IF(Instructions!$E$11=14,IF($P152=Instructions!$F$47,AJ151+1,AJ151),IF(Instructions!$E$11=16,IF($T152=Instructions!$F$47,AJ151+1,AJ151))))))</f>
        <v>13</v>
      </c>
      <c r="AK152" s="321" t="str">
        <f t="shared" si="36"/>
        <v>613</v>
      </c>
      <c r="AL152" s="321">
        <f>IF(Instructions!$E$11=8,IF($D152=Instructions!$F$48,AL151+1,AL151),IF(Instructions!$E$11=10,IF($H152=Instructions!$F$48,AL151+1,AL151),IF(Instructions!$E$11=12,IF($L152=Instructions!$F$48,AL151+1,AL151),IF(Instructions!$E$11=14,IF($P152=Instructions!$F$48,AL151+1,AL151),IF(Instructions!$E$11=16,IF($T152=Instructions!$F$48,AL151+1,AL151))))))</f>
        <v>12</v>
      </c>
      <c r="AM152" s="321" t="str">
        <f t="shared" si="37"/>
        <v>712</v>
      </c>
      <c r="AN152" s="321">
        <f>IF(Instructions!$E$11=8,IF($D152=Instructions!$F$49,AN151+1,AN151),IF(Instructions!$E$11=10,IF($H152=Instructions!$F$49,AN151+1,AN151),IF(Instructions!$E$11=12,IF($L152=Instructions!$F$49,AN151+1,AN151),IF(Instructions!$E$11=14,IF($P152=Instructions!$F$49,AN151+1,AN151),IF(Instructions!$E$11=16,IF($T152=Instructions!$F$49,AN151+1,AN151))))))</f>
        <v>12</v>
      </c>
      <c r="AO152" s="321" t="str">
        <f t="shared" si="38"/>
        <v>812</v>
      </c>
      <c r="AP152" s="321">
        <f>IF(Instructions!$E$11=8,IF($D152=Instructions!$F$50,AP151+1,AP151),IF(Instructions!$E$11=10,IF($H152=Instructions!$F$50,AP151+1,AP151),IF(Instructions!$E$11=12,IF($L152=Instructions!$F$50,AP151+1,AP151),IF(Instructions!$E$11=14,IF($P152=Instructions!$F$50,AP151+1,AP151),IF(Instructions!$E$11=16,IF($T152=Instructions!$F$50,AP151+1,AP151))))))</f>
        <v>12</v>
      </c>
      <c r="AQ152" s="321" t="str">
        <f t="shared" si="39"/>
        <v>912</v>
      </c>
      <c r="AR152" s="321">
        <f>IF(Instructions!$E$11=8,IF($D152=Instructions!$F$51,AR151+1,AR151),IF(Instructions!$E$11=10,IF($H152=Instructions!$F$51,AR151+1,AR151),IF(Instructions!$E$11=12,IF($L152=Instructions!$F$51,AR151+1,AR151),IF(Instructions!$E$11=14,IF($P152=Instructions!$F$51,AR151+1,AR151),IF(Instructions!$E$11=16,IF($T152=Instructions!$F$51,AR151+1,AR151))))))</f>
        <v>12</v>
      </c>
      <c r="AS152" s="321" t="str">
        <f t="shared" si="41"/>
        <v>1012</v>
      </c>
      <c r="AT152" s="321">
        <f>IF(Instructions!$E$11=8,IF($D152=Instructions!$F$52,AT151+1,AT151),IF(Instructions!$E$11=10,IF($H152=Instructions!$F$52,AT151+1,AT151),IF(Instructions!$E$11=12,IF($L152=Instructions!$F$52,AT151+1,AT151),IF(Instructions!$E$11=14,IF($P152=Instructions!$F$52,AT151+1,AT151),IF(Instructions!$E$11=16,IF($T152=Instructions!$F$52,AT151+1,AT151))))))</f>
        <v>12</v>
      </c>
      <c r="AU152" s="321" t="str">
        <f t="shared" si="42"/>
        <v>1112</v>
      </c>
      <c r="AV152" s="321">
        <f>IF(Instructions!$E$11=8,IF($D152=Instructions!$F$53,AV151+1,AV151),IF(Instructions!$E$11=10,IF($H152=Instructions!$F$53,AV151+1,AV151),IF(Instructions!$E$11=12,IF($L152=Instructions!$F$53,AV151+1,AV151),IF(Instructions!$E$11=14,IF($P152=Instructions!$F$53,AV151+1,AV151),IF(Instructions!$E$11=16,IF($T152=Instructions!$F$53,AV151+1,AV151))))))</f>
        <v>12</v>
      </c>
      <c r="AW152" s="321" t="str">
        <f t="shared" si="43"/>
        <v>1212</v>
      </c>
      <c r="AX152" s="321">
        <f>IF(Instructions!$E$11=8,IF($D152=Instructions!$F$54,AX151+1,AX151),IF(Instructions!$E$11=10,IF($H152=Instructions!$F$54,AX151+1,AX151),IF(Instructions!$E$11=12,IF($L152=Instructions!$F$54,AX151+1,AX151),IF(Instructions!$E$11=14,IF($P152=Instructions!$F$54,AX151+1,AX151),IF(Instructions!$E$11=16,IF($T152=Instructions!$F$54,AX151+1,AX151))))))</f>
        <v>0</v>
      </c>
      <c r="AY152" s="321" t="str">
        <f t="shared" si="44"/>
        <v>1300</v>
      </c>
      <c r="AZ152" s="321">
        <f>IF(Instructions!$E$11=8,IF($D152=Instructions!$F$55,AZ151+1,AZ151),IF(Instructions!$E$11=10,IF($H152=Instructions!$F$55,AZ151+1,AZ151),IF(Instructions!$E$11=12,IF($L152=Instructions!$F$55,AZ151+1,AZ151),IF(Instructions!$E$11=14,IF($P152=Instructions!$F$55,AZ151+1,AZ151),IF(Instructions!$E$11=16,IF($T152=Instructions!$F$55,AZ151+1,AZ151))))))</f>
        <v>0</v>
      </c>
      <c r="BA152" s="321" t="str">
        <f t="shared" si="45"/>
        <v>1400</v>
      </c>
      <c r="BB152" s="321">
        <f>IF(Instructions!$E$11=8,IF($D152=Instructions!$F$56,BB151+1,BB151),IF(Instructions!$E$11=10,IF($H152=Instructions!$F$56,BB151+1,BB151),IF(Instructions!$E$11=12,IF($L152=Instructions!$F$56,BB151+1,BB151),IF(Instructions!$E$11=14,IF($P152=Instructions!$F$56,BB151+1,BB151),IF(Instructions!$E$11=16,IF($T152=Instructions!$F$56,BB151+1,BB151))))))</f>
        <v>0</v>
      </c>
      <c r="BC152" s="321" t="str">
        <f t="shared" si="46"/>
        <v>1500</v>
      </c>
      <c r="BD152" s="321">
        <f>IF(Instructions!$E$11=8,IF($D152=Instructions!$F$57,BD151+1,BD151),IF(Instructions!$E$11=10,IF($H152=Instructions!$F$57,BD151+1,BD151),IF(Instructions!$E$11=12,IF($L152=Instructions!$F$57,BD151+1,BD151),IF(Instructions!$E$11=14,IF($P152=Instructions!$F$57,BD151+1,BD151),IF(Instructions!$E$11=16,IF($T152=Instructions!$F$57,BD151+1,BD151))))))</f>
        <v>0</v>
      </c>
      <c r="BE152" s="321" t="str">
        <f t="shared" si="47"/>
        <v>1600</v>
      </c>
      <c r="BF152" s="321">
        <v>150</v>
      </c>
    </row>
    <row r="153" spans="1:58" ht="15" customHeight="1" x14ac:dyDescent="0.25">
      <c r="A153" s="280"/>
      <c r="B153" s="323" t="str">
        <f>IF(Instructions!$J$11=1,AA153,IF(Instructions!$J$11=2,AC153,IF(Instructions!$J$11=3,AE153,IF(Instructions!$J$11=4,AG153,IF(Instructions!$J$11=5,AI153,IF(Instructions!$J$11=6,AK153,IF(Instructions!$J$11=7,AM153,IF(Instructions!$J$11=8,AO153,IF(Instructions!$J$11=9,AQ153,IF(Instructions!$J$11=10,AS153,IF(Instructions!$J$11=11,AU153,IF(Instructions!$J$11=12,AW153,IF(Instructions!$J$11=13, AY153, IF(Instructions!$J$11=14,BA153,IF(Instructions!$J$11=15,BC153,BE153)))))))))))))))</f>
        <v>213</v>
      </c>
      <c r="C153" s="271">
        <v>151</v>
      </c>
      <c r="D153" s="328" t="str">
        <f>Instructions!F$48</f>
        <v>Bui</v>
      </c>
      <c r="E153" s="333" t="s">
        <v>1486</v>
      </c>
      <c r="F153" s="706"/>
      <c r="G153" s="279">
        <v>19</v>
      </c>
      <c r="H153" s="292" t="str">
        <f>Instructions!F$51</f>
        <v>Josh</v>
      </c>
      <c r="I153" s="276" t="s">
        <v>1087</v>
      </c>
      <c r="J153" s="708" t="s">
        <v>1086</v>
      </c>
      <c r="K153" s="279">
        <v>16</v>
      </c>
      <c r="L153" s="293" t="str">
        <f>Instructions!F$48</f>
        <v>Bui</v>
      </c>
      <c r="M153" s="273" t="s">
        <v>857</v>
      </c>
      <c r="N153" s="709"/>
      <c r="O153" s="279">
        <v>13</v>
      </c>
      <c r="P153" s="293" t="str">
        <f>Instructions!F$52</f>
        <v>Big R</v>
      </c>
      <c r="Q153" s="273" t="s">
        <v>837</v>
      </c>
      <c r="R153" s="709"/>
      <c r="S153" s="279">
        <v>11</v>
      </c>
      <c r="T153" s="328" t="str">
        <f>Instructions!F$51</f>
        <v>Josh</v>
      </c>
      <c r="U153" s="273" t="s">
        <v>821</v>
      </c>
      <c r="V153" s="706"/>
      <c r="W153" s="279">
        <v>10</v>
      </c>
      <c r="X153" s="280"/>
      <c r="Y153" s="190" t="str">
        <f>IFERROR( IF(Instructions!$E$11=8, D153&amp;COUNTIF(D$3:D153,D153), IF(Instructions!$E$11=10, H153&amp;COUNTIF(H$3:H153,H153),IF(Instructions!$E$11=12, L153&amp;COUNTIF(L$3:L153,L153),IF(Instructions!$E$11=14, P153&amp;COUNTIF(P$3:P153,P153),T153&amp;COUNTIF(T$3:T153,T153))))),"")</f>
        <v>Bui13</v>
      </c>
      <c r="Z153" s="321">
        <f>IF(Instructions!$E$11=8,IF($D153=Instructions!$F$42,Z152+1,Z152),IF(Instructions!$E$11=10,IF($H153=Instructions!$F$42,Z152+1,Z152),IF(Instructions!$E$11=12,IF($L153=Instructions!$F$42,Z152+1,Z152),IF(Instructions!$E$11=14,IF($P153=Instructions!$F$42,Z152+1,Z152),IF(Instructions!$E$11=16,IF($T153=Instructions!$F$42,Z152+1,Z152))))))</f>
        <v>13</v>
      </c>
      <c r="AA153" s="321" t="str">
        <f t="shared" si="40"/>
        <v>113</v>
      </c>
      <c r="AB153" s="321">
        <f>IF(Instructions!$E$11=8,IF($D153=Instructions!$F$43,AB152+1,AB152),IF(Instructions!$E$11=10,IF($H153=Instructions!$F$43,AB152+1,AB152),IF(Instructions!$E$11=12,IF($L153=Instructions!$F$43,AB152+1,AB152),IF(Instructions!$E$11=14,IF($P153=Instructions!$F$43,AB152+1,AB152),IF(Instructions!$E$11=16,IF($T153=Instructions!$F$43,AB152+1,AB152))))))</f>
        <v>13</v>
      </c>
      <c r="AC153" s="321" t="str">
        <f t="shared" si="32"/>
        <v>213</v>
      </c>
      <c r="AD153" s="321">
        <f>IF(Instructions!$E$11=8,IF($D153=Instructions!$F$44,AD152+1,AD152),IF(Instructions!$E$11=10,IF($H153=Instructions!$F$44,AD152+1,AD152),IF(Instructions!$E$11=12,IF($L153=Instructions!$F$44,AD152+1,AD152),IF(Instructions!$E$11=14,IF($P153=Instructions!$F$44,AD152+1,AD152),IF(Instructions!$E$11=16,IF($T153=Instructions!$F$44,AD152+1,AD152))))))</f>
        <v>13</v>
      </c>
      <c r="AE153" s="321" t="str">
        <f t="shared" si="33"/>
        <v>313</v>
      </c>
      <c r="AF153" s="321">
        <f>IF(Instructions!$E$11=8,IF($D153=Instructions!$F$45,AF152+1,AF152),IF(Instructions!$E$11=10,IF($H153=Instructions!$F$45,AF152+1,AF152),IF(Instructions!$E$11=12,IF($L153=Instructions!$F$45,AF152+1,AF152),IF(Instructions!$E$11=14,IF($P153=Instructions!$F$45,AF152+1,AF152),IF(Instructions!$E$11=16,IF($T153=Instructions!$F$45,AF152+1,AF152))))))</f>
        <v>13</v>
      </c>
      <c r="AG153" s="321" t="str">
        <f t="shared" si="34"/>
        <v>413</v>
      </c>
      <c r="AH153" s="321">
        <f>IF(Instructions!$E$11=8,IF($D153=Instructions!$F$46,AH152+1,AH152),IF(Instructions!$E$11=10,IF($H153=Instructions!$F$46,AH152+1,AH152),IF(Instructions!$E$11=12,IF($L153=Instructions!$F$46,AH152+1,AH152),IF(Instructions!$E$11=14,IF($P153=Instructions!$F$46,AH152+1,AH152),IF(Instructions!$E$11=16,IF($T153=Instructions!$F$46,AH152+1,AH152))))))</f>
        <v>13</v>
      </c>
      <c r="AI153" s="321" t="str">
        <f t="shared" si="35"/>
        <v>513</v>
      </c>
      <c r="AJ153" s="321">
        <f>IF(Instructions!$E$11=8,IF($D153=Instructions!$F$47,AJ152+1,AJ152),IF(Instructions!$E$11=10,IF($H153=Instructions!$F$47,AJ152+1,AJ152),IF(Instructions!$E$11=12,IF($L153=Instructions!$F$47,AJ152+1,AJ152),IF(Instructions!$E$11=14,IF($P153=Instructions!$F$47,AJ152+1,AJ152),IF(Instructions!$E$11=16,IF($T153=Instructions!$F$47,AJ152+1,AJ152))))))</f>
        <v>13</v>
      </c>
      <c r="AK153" s="321" t="str">
        <f t="shared" si="36"/>
        <v>613</v>
      </c>
      <c r="AL153" s="321">
        <f>IF(Instructions!$E$11=8,IF($D153=Instructions!$F$48,AL152+1,AL152),IF(Instructions!$E$11=10,IF($H153=Instructions!$F$48,AL152+1,AL152),IF(Instructions!$E$11=12,IF($L153=Instructions!$F$48,AL152+1,AL152),IF(Instructions!$E$11=14,IF($P153=Instructions!$F$48,AL152+1,AL152),IF(Instructions!$E$11=16,IF($T153=Instructions!$F$48,AL152+1,AL152))))))</f>
        <v>13</v>
      </c>
      <c r="AM153" s="321" t="str">
        <f t="shared" si="37"/>
        <v>713</v>
      </c>
      <c r="AN153" s="321">
        <f>IF(Instructions!$E$11=8,IF($D153=Instructions!$F$49,AN152+1,AN152),IF(Instructions!$E$11=10,IF($H153=Instructions!$F$49,AN152+1,AN152),IF(Instructions!$E$11=12,IF($L153=Instructions!$F$49,AN152+1,AN152),IF(Instructions!$E$11=14,IF($P153=Instructions!$F$49,AN152+1,AN152),IF(Instructions!$E$11=16,IF($T153=Instructions!$F$49,AN152+1,AN152))))))</f>
        <v>12</v>
      </c>
      <c r="AO153" s="321" t="str">
        <f t="shared" si="38"/>
        <v>812</v>
      </c>
      <c r="AP153" s="321">
        <f>IF(Instructions!$E$11=8,IF($D153=Instructions!$F$50,AP152+1,AP152),IF(Instructions!$E$11=10,IF($H153=Instructions!$F$50,AP152+1,AP152),IF(Instructions!$E$11=12,IF($L153=Instructions!$F$50,AP152+1,AP152),IF(Instructions!$E$11=14,IF($P153=Instructions!$F$50,AP152+1,AP152),IF(Instructions!$E$11=16,IF($T153=Instructions!$F$50,AP152+1,AP152))))))</f>
        <v>12</v>
      </c>
      <c r="AQ153" s="321" t="str">
        <f t="shared" si="39"/>
        <v>912</v>
      </c>
      <c r="AR153" s="321">
        <f>IF(Instructions!$E$11=8,IF($D153=Instructions!$F$51,AR152+1,AR152),IF(Instructions!$E$11=10,IF($H153=Instructions!$F$51,AR152+1,AR152),IF(Instructions!$E$11=12,IF($L153=Instructions!$F$51,AR152+1,AR152),IF(Instructions!$E$11=14,IF($P153=Instructions!$F$51,AR152+1,AR152),IF(Instructions!$E$11=16,IF($T153=Instructions!$F$51,AR152+1,AR152))))))</f>
        <v>12</v>
      </c>
      <c r="AS153" s="321" t="str">
        <f t="shared" si="41"/>
        <v>1012</v>
      </c>
      <c r="AT153" s="321">
        <f>IF(Instructions!$E$11=8,IF($D153=Instructions!$F$52,AT152+1,AT152),IF(Instructions!$E$11=10,IF($H153=Instructions!$F$52,AT152+1,AT152),IF(Instructions!$E$11=12,IF($L153=Instructions!$F$52,AT152+1,AT152),IF(Instructions!$E$11=14,IF($P153=Instructions!$F$52,AT152+1,AT152),IF(Instructions!$E$11=16,IF($T153=Instructions!$F$52,AT152+1,AT152))))))</f>
        <v>12</v>
      </c>
      <c r="AU153" s="321" t="str">
        <f t="shared" si="42"/>
        <v>1112</v>
      </c>
      <c r="AV153" s="321">
        <f>IF(Instructions!$E$11=8,IF($D153=Instructions!$F$53,AV152+1,AV152),IF(Instructions!$E$11=10,IF($H153=Instructions!$F$53,AV152+1,AV152),IF(Instructions!$E$11=12,IF($L153=Instructions!$F$53,AV152+1,AV152),IF(Instructions!$E$11=14,IF($P153=Instructions!$F$53,AV152+1,AV152),IF(Instructions!$E$11=16,IF($T153=Instructions!$F$53,AV152+1,AV152))))))</f>
        <v>12</v>
      </c>
      <c r="AW153" s="321" t="str">
        <f t="shared" si="43"/>
        <v>1212</v>
      </c>
      <c r="AX153" s="321">
        <f>IF(Instructions!$E$11=8,IF($D153=Instructions!$F$54,AX152+1,AX152),IF(Instructions!$E$11=10,IF($H153=Instructions!$F$54,AX152+1,AX152),IF(Instructions!$E$11=12,IF($L153=Instructions!$F$54,AX152+1,AX152),IF(Instructions!$E$11=14,IF($P153=Instructions!$F$54,AX152+1,AX152),IF(Instructions!$E$11=16,IF($T153=Instructions!$F$54,AX152+1,AX152))))))</f>
        <v>0</v>
      </c>
      <c r="AY153" s="321" t="str">
        <f t="shared" si="44"/>
        <v>1300</v>
      </c>
      <c r="AZ153" s="321">
        <f>IF(Instructions!$E$11=8,IF($D153=Instructions!$F$55,AZ152+1,AZ152),IF(Instructions!$E$11=10,IF($H153=Instructions!$F$55,AZ152+1,AZ152),IF(Instructions!$E$11=12,IF($L153=Instructions!$F$55,AZ152+1,AZ152),IF(Instructions!$E$11=14,IF($P153=Instructions!$F$55,AZ152+1,AZ152),IF(Instructions!$E$11=16,IF($T153=Instructions!$F$55,AZ152+1,AZ152))))))</f>
        <v>0</v>
      </c>
      <c r="BA153" s="321" t="str">
        <f t="shared" si="45"/>
        <v>1400</v>
      </c>
      <c r="BB153" s="321">
        <f>IF(Instructions!$E$11=8,IF($D153=Instructions!$F$56,BB152+1,BB152),IF(Instructions!$E$11=10,IF($H153=Instructions!$F$56,BB152+1,BB152),IF(Instructions!$E$11=12,IF($L153=Instructions!$F$56,BB152+1,BB152),IF(Instructions!$E$11=14,IF($P153=Instructions!$F$56,BB152+1,BB152),IF(Instructions!$E$11=16,IF($T153=Instructions!$F$56,BB152+1,BB152))))))</f>
        <v>0</v>
      </c>
      <c r="BC153" s="321" t="str">
        <f t="shared" si="46"/>
        <v>1500</v>
      </c>
      <c r="BD153" s="321">
        <f>IF(Instructions!$E$11=8,IF($D153=Instructions!$F$57,BD152+1,BD152),IF(Instructions!$E$11=10,IF($H153=Instructions!$F$57,BD152+1,BD152),IF(Instructions!$E$11=12,IF($L153=Instructions!$F$57,BD152+1,BD152),IF(Instructions!$E$11=14,IF($P153=Instructions!$F$57,BD152+1,BD152),IF(Instructions!$E$11=16,IF($T153=Instructions!$F$57,BD152+1,BD152))))))</f>
        <v>0</v>
      </c>
      <c r="BE153" s="321" t="str">
        <f t="shared" si="47"/>
        <v>1600</v>
      </c>
      <c r="BF153" s="321">
        <v>151</v>
      </c>
    </row>
    <row r="154" spans="1:58" ht="15.75" thickBot="1" x14ac:dyDescent="0.3">
      <c r="A154" s="280"/>
      <c r="B154" s="323" t="str">
        <f>IF(Instructions!$J$11=1,AA154,IF(Instructions!$J$11=2,AC154,IF(Instructions!$J$11=3,AE154,IF(Instructions!$J$11=4,AG154,IF(Instructions!$J$11=5,AI154,IF(Instructions!$J$11=6,AK154,IF(Instructions!$J$11=7,AM154,IF(Instructions!$J$11=8,AO154,IF(Instructions!$J$11=9,AQ154,IF(Instructions!$J$11=10,AS154,IF(Instructions!$J$11=11,AU154,IF(Instructions!$J$11=12,AW154,IF(Instructions!$J$11=13, AY154, IF(Instructions!$J$11=14,BA154,IF(Instructions!$J$11=15,BC154,BE154)))))))))))))))</f>
        <v>213</v>
      </c>
      <c r="C154" s="272">
        <v>152</v>
      </c>
      <c r="D154" s="329" t="str">
        <f>Instructions!F$49</f>
        <v>Luke</v>
      </c>
      <c r="E154" s="334" t="s">
        <v>1487</v>
      </c>
      <c r="F154" s="707"/>
      <c r="G154" s="279">
        <v>19</v>
      </c>
      <c r="H154" s="294" t="str">
        <f>Instructions!F$50</f>
        <v>Dan</v>
      </c>
      <c r="I154" s="274" t="s">
        <v>1088</v>
      </c>
      <c r="J154" s="709"/>
      <c r="K154" s="279">
        <v>16</v>
      </c>
      <c r="L154" s="294" t="str">
        <f>Instructions!F$49</f>
        <v>Luke</v>
      </c>
      <c r="M154" s="274" t="s">
        <v>858</v>
      </c>
      <c r="N154" s="709"/>
      <c r="O154" s="279">
        <v>13</v>
      </c>
      <c r="P154" s="294" t="str">
        <f>Instructions!F$53</f>
        <v>Zack</v>
      </c>
      <c r="Q154" s="274" t="s">
        <v>838</v>
      </c>
      <c r="R154" s="709"/>
      <c r="S154" s="279">
        <v>11</v>
      </c>
      <c r="T154" s="327" t="str">
        <f>Instructions!F$50</f>
        <v>Dan</v>
      </c>
      <c r="U154" s="274" t="s">
        <v>822</v>
      </c>
      <c r="V154" s="706"/>
      <c r="W154" s="279">
        <v>10</v>
      </c>
      <c r="X154" s="280"/>
      <c r="Y154" s="190" t="str">
        <f>IFERROR( IF(Instructions!$E$11=8, D154&amp;COUNTIF(D$3:D154,D154), IF(Instructions!$E$11=10, H154&amp;COUNTIF(H$3:H154,H154),IF(Instructions!$E$11=12, L154&amp;COUNTIF(L$3:L154,L154),IF(Instructions!$E$11=14, P154&amp;COUNTIF(P$3:P154,P154),T154&amp;COUNTIF(T$3:T154,T154))))),"")</f>
        <v>Luke13</v>
      </c>
      <c r="Z154" s="321">
        <f>IF(Instructions!$E$11=8,IF($D154=Instructions!$F$42,Z153+1,Z153),IF(Instructions!$E$11=10,IF($H154=Instructions!$F$42,Z153+1,Z153),IF(Instructions!$E$11=12,IF($L154=Instructions!$F$42,Z153+1,Z153),IF(Instructions!$E$11=14,IF($P154=Instructions!$F$42,Z153+1,Z153),IF(Instructions!$E$11=16,IF($T154=Instructions!$F$42,Z153+1,Z153))))))</f>
        <v>13</v>
      </c>
      <c r="AA154" s="321" t="str">
        <f t="shared" si="40"/>
        <v>113</v>
      </c>
      <c r="AB154" s="321">
        <f>IF(Instructions!$E$11=8,IF($D154=Instructions!$F$43,AB153+1,AB153),IF(Instructions!$E$11=10,IF($H154=Instructions!$F$43,AB153+1,AB153),IF(Instructions!$E$11=12,IF($L154=Instructions!$F$43,AB153+1,AB153),IF(Instructions!$E$11=14,IF($P154=Instructions!$F$43,AB153+1,AB153),IF(Instructions!$E$11=16,IF($T154=Instructions!$F$43,AB153+1,AB153))))))</f>
        <v>13</v>
      </c>
      <c r="AC154" s="321" t="str">
        <f t="shared" si="32"/>
        <v>213</v>
      </c>
      <c r="AD154" s="321">
        <f>IF(Instructions!$E$11=8,IF($D154=Instructions!$F$44,AD153+1,AD153),IF(Instructions!$E$11=10,IF($H154=Instructions!$F$44,AD153+1,AD153),IF(Instructions!$E$11=12,IF($L154=Instructions!$F$44,AD153+1,AD153),IF(Instructions!$E$11=14,IF($P154=Instructions!$F$44,AD153+1,AD153),IF(Instructions!$E$11=16,IF($T154=Instructions!$F$44,AD153+1,AD153))))))</f>
        <v>13</v>
      </c>
      <c r="AE154" s="321" t="str">
        <f t="shared" si="33"/>
        <v>313</v>
      </c>
      <c r="AF154" s="321">
        <f>IF(Instructions!$E$11=8,IF($D154=Instructions!$F$45,AF153+1,AF153),IF(Instructions!$E$11=10,IF($H154=Instructions!$F$45,AF153+1,AF153),IF(Instructions!$E$11=12,IF($L154=Instructions!$F$45,AF153+1,AF153),IF(Instructions!$E$11=14,IF($P154=Instructions!$F$45,AF153+1,AF153),IF(Instructions!$E$11=16,IF($T154=Instructions!$F$45,AF153+1,AF153))))))</f>
        <v>13</v>
      </c>
      <c r="AG154" s="321" t="str">
        <f t="shared" si="34"/>
        <v>413</v>
      </c>
      <c r="AH154" s="321">
        <f>IF(Instructions!$E$11=8,IF($D154=Instructions!$F$46,AH153+1,AH153),IF(Instructions!$E$11=10,IF($H154=Instructions!$F$46,AH153+1,AH153),IF(Instructions!$E$11=12,IF($L154=Instructions!$F$46,AH153+1,AH153),IF(Instructions!$E$11=14,IF($P154=Instructions!$F$46,AH153+1,AH153),IF(Instructions!$E$11=16,IF($T154=Instructions!$F$46,AH153+1,AH153))))))</f>
        <v>13</v>
      </c>
      <c r="AI154" s="321" t="str">
        <f t="shared" si="35"/>
        <v>513</v>
      </c>
      <c r="AJ154" s="321">
        <f>IF(Instructions!$E$11=8,IF($D154=Instructions!$F$47,AJ153+1,AJ153),IF(Instructions!$E$11=10,IF($H154=Instructions!$F$47,AJ153+1,AJ153),IF(Instructions!$E$11=12,IF($L154=Instructions!$F$47,AJ153+1,AJ153),IF(Instructions!$E$11=14,IF($P154=Instructions!$F$47,AJ153+1,AJ153),IF(Instructions!$E$11=16,IF($T154=Instructions!$F$47,AJ153+1,AJ153))))))</f>
        <v>13</v>
      </c>
      <c r="AK154" s="321" t="str">
        <f t="shared" si="36"/>
        <v>613</v>
      </c>
      <c r="AL154" s="321">
        <f>IF(Instructions!$E$11=8,IF($D154=Instructions!$F$48,AL153+1,AL153),IF(Instructions!$E$11=10,IF($H154=Instructions!$F$48,AL153+1,AL153),IF(Instructions!$E$11=12,IF($L154=Instructions!$F$48,AL153+1,AL153),IF(Instructions!$E$11=14,IF($P154=Instructions!$F$48,AL153+1,AL153),IF(Instructions!$E$11=16,IF($T154=Instructions!$F$48,AL153+1,AL153))))))</f>
        <v>13</v>
      </c>
      <c r="AM154" s="321" t="str">
        <f t="shared" si="37"/>
        <v>713</v>
      </c>
      <c r="AN154" s="321">
        <f>IF(Instructions!$E$11=8,IF($D154=Instructions!$F$49,AN153+1,AN153),IF(Instructions!$E$11=10,IF($H154=Instructions!$F$49,AN153+1,AN153),IF(Instructions!$E$11=12,IF($L154=Instructions!$F$49,AN153+1,AN153),IF(Instructions!$E$11=14,IF($P154=Instructions!$F$49,AN153+1,AN153),IF(Instructions!$E$11=16,IF($T154=Instructions!$F$49,AN153+1,AN153))))))</f>
        <v>13</v>
      </c>
      <c r="AO154" s="321" t="str">
        <f t="shared" si="38"/>
        <v>813</v>
      </c>
      <c r="AP154" s="321">
        <f>IF(Instructions!$E$11=8,IF($D154=Instructions!$F$50,AP153+1,AP153),IF(Instructions!$E$11=10,IF($H154=Instructions!$F$50,AP153+1,AP153),IF(Instructions!$E$11=12,IF($L154=Instructions!$F$50,AP153+1,AP153),IF(Instructions!$E$11=14,IF($P154=Instructions!$F$50,AP153+1,AP153),IF(Instructions!$E$11=16,IF($T154=Instructions!$F$50,AP153+1,AP153))))))</f>
        <v>12</v>
      </c>
      <c r="AQ154" s="321" t="str">
        <f t="shared" si="39"/>
        <v>912</v>
      </c>
      <c r="AR154" s="321">
        <f>IF(Instructions!$E$11=8,IF($D154=Instructions!$F$51,AR153+1,AR153),IF(Instructions!$E$11=10,IF($H154=Instructions!$F$51,AR153+1,AR153),IF(Instructions!$E$11=12,IF($L154=Instructions!$F$51,AR153+1,AR153),IF(Instructions!$E$11=14,IF($P154=Instructions!$F$51,AR153+1,AR153),IF(Instructions!$E$11=16,IF($T154=Instructions!$F$51,AR153+1,AR153))))))</f>
        <v>12</v>
      </c>
      <c r="AS154" s="321" t="str">
        <f t="shared" si="41"/>
        <v>1012</v>
      </c>
      <c r="AT154" s="321">
        <f>IF(Instructions!$E$11=8,IF($D154=Instructions!$F$52,AT153+1,AT153),IF(Instructions!$E$11=10,IF($H154=Instructions!$F$52,AT153+1,AT153),IF(Instructions!$E$11=12,IF($L154=Instructions!$F$52,AT153+1,AT153),IF(Instructions!$E$11=14,IF($P154=Instructions!$F$52,AT153+1,AT153),IF(Instructions!$E$11=16,IF($T154=Instructions!$F$52,AT153+1,AT153))))))</f>
        <v>12</v>
      </c>
      <c r="AU154" s="321" t="str">
        <f t="shared" si="42"/>
        <v>1112</v>
      </c>
      <c r="AV154" s="321">
        <f>IF(Instructions!$E$11=8,IF($D154=Instructions!$F$53,AV153+1,AV153),IF(Instructions!$E$11=10,IF($H154=Instructions!$F$53,AV153+1,AV153),IF(Instructions!$E$11=12,IF($L154=Instructions!$F$53,AV153+1,AV153),IF(Instructions!$E$11=14,IF($P154=Instructions!$F$53,AV153+1,AV153),IF(Instructions!$E$11=16,IF($T154=Instructions!$F$53,AV153+1,AV153))))))</f>
        <v>12</v>
      </c>
      <c r="AW154" s="321" t="str">
        <f t="shared" si="43"/>
        <v>1212</v>
      </c>
      <c r="AX154" s="321">
        <f>IF(Instructions!$E$11=8,IF($D154=Instructions!$F$54,AX153+1,AX153),IF(Instructions!$E$11=10,IF($H154=Instructions!$F$54,AX153+1,AX153),IF(Instructions!$E$11=12,IF($L154=Instructions!$F$54,AX153+1,AX153),IF(Instructions!$E$11=14,IF($P154=Instructions!$F$54,AX153+1,AX153),IF(Instructions!$E$11=16,IF($T154=Instructions!$F$54,AX153+1,AX153))))))</f>
        <v>0</v>
      </c>
      <c r="AY154" s="321" t="str">
        <f t="shared" si="44"/>
        <v>1300</v>
      </c>
      <c r="AZ154" s="321">
        <f>IF(Instructions!$E$11=8,IF($D154=Instructions!$F$55,AZ153+1,AZ153),IF(Instructions!$E$11=10,IF($H154=Instructions!$F$55,AZ153+1,AZ153),IF(Instructions!$E$11=12,IF($L154=Instructions!$F$55,AZ153+1,AZ153),IF(Instructions!$E$11=14,IF($P154=Instructions!$F$55,AZ153+1,AZ153),IF(Instructions!$E$11=16,IF($T154=Instructions!$F$55,AZ153+1,AZ153))))))</f>
        <v>0</v>
      </c>
      <c r="BA154" s="321" t="str">
        <f t="shared" si="45"/>
        <v>1400</v>
      </c>
      <c r="BB154" s="321">
        <f>IF(Instructions!$E$11=8,IF($D154=Instructions!$F$56,BB153+1,BB153),IF(Instructions!$E$11=10,IF($H154=Instructions!$F$56,BB153+1,BB153),IF(Instructions!$E$11=12,IF($L154=Instructions!$F$56,BB153+1,BB153),IF(Instructions!$E$11=14,IF($P154=Instructions!$F$56,BB153+1,BB153),IF(Instructions!$E$11=16,IF($T154=Instructions!$F$56,BB153+1,BB153))))))</f>
        <v>0</v>
      </c>
      <c r="BC154" s="321" t="str">
        <f t="shared" si="46"/>
        <v>1500</v>
      </c>
      <c r="BD154" s="321">
        <f>IF(Instructions!$E$11=8,IF($D154=Instructions!$F$57,BD153+1,BD153),IF(Instructions!$E$11=10,IF($H154=Instructions!$F$57,BD153+1,BD153),IF(Instructions!$E$11=12,IF($L154=Instructions!$F$57,BD153+1,BD153),IF(Instructions!$E$11=14,IF($P154=Instructions!$F$57,BD153+1,BD153),IF(Instructions!$E$11=16,IF($T154=Instructions!$F$57,BD153+1,BD153))))))</f>
        <v>0</v>
      </c>
      <c r="BE154" s="321" t="str">
        <f t="shared" si="47"/>
        <v>1600</v>
      </c>
      <c r="BF154" s="321">
        <v>152</v>
      </c>
    </row>
    <row r="155" spans="1:58" x14ac:dyDescent="0.25">
      <c r="A155" s="280"/>
      <c r="B155" s="323" t="str">
        <f>IF(Instructions!$J$11=1,AA155,IF(Instructions!$J$11=2,AC155,IF(Instructions!$J$11=3,AE155,IF(Instructions!$J$11=4,AG155,IF(Instructions!$J$11=5,AI155,IF(Instructions!$J$11=6,AK155,IF(Instructions!$J$11=7,AM155,IF(Instructions!$J$11=8,AO155,IF(Instructions!$J$11=9,AQ155,IF(Instructions!$J$11=10,AS155,IF(Instructions!$J$11=11,AU155,IF(Instructions!$J$11=12,AW155,IF(Instructions!$J$11=13, AY155, IF(Instructions!$J$11=14,BA155,IF(Instructions!$J$11=15,BC155,BE155)))))))))))))))</f>
        <v>213</v>
      </c>
      <c r="C155" s="271">
        <v>153</v>
      </c>
      <c r="D155" s="325" t="str">
        <f>Instructions!F$49</f>
        <v>Luke</v>
      </c>
      <c r="E155" s="333" t="s">
        <v>1488</v>
      </c>
      <c r="F155" s="705" t="s">
        <v>1458</v>
      </c>
      <c r="G155" s="279">
        <v>20</v>
      </c>
      <c r="H155" s="293" t="str">
        <f>Instructions!F$49</f>
        <v>Luke</v>
      </c>
      <c r="I155" s="273" t="s">
        <v>1089</v>
      </c>
      <c r="J155" s="709"/>
      <c r="K155" s="279">
        <v>16</v>
      </c>
      <c r="L155" s="293" t="str">
        <f>Instructions!F$50</f>
        <v>Dan</v>
      </c>
      <c r="M155" s="273" t="s">
        <v>859</v>
      </c>
      <c r="N155" s="709"/>
      <c r="O155" s="279">
        <v>13</v>
      </c>
      <c r="P155" s="293" t="str">
        <f>Instructions!F$54</f>
        <v>[TEAM 13]</v>
      </c>
      <c r="Q155" s="273" t="s">
        <v>948</v>
      </c>
      <c r="R155" s="709"/>
      <c r="S155" s="279">
        <v>11</v>
      </c>
      <c r="T155" s="328" t="str">
        <f>Instructions!F$49</f>
        <v>Luke</v>
      </c>
      <c r="U155" s="273" t="s">
        <v>823</v>
      </c>
      <c r="V155" s="706"/>
      <c r="W155" s="279">
        <v>10</v>
      </c>
      <c r="X155" s="280"/>
      <c r="Y155" s="190" t="str">
        <f>IFERROR( IF(Instructions!$E$11=8, D155&amp;COUNTIF(D$3:D155,D155), IF(Instructions!$E$11=10, H155&amp;COUNTIF(H$3:H155,H155),IF(Instructions!$E$11=12, L155&amp;COUNTIF(L$3:L155,L155),IF(Instructions!$E$11=14, P155&amp;COUNTIF(P$3:P155,P155),T155&amp;COUNTIF(T$3:T155,T155))))),"")</f>
        <v>Dan13</v>
      </c>
      <c r="Z155" s="321">
        <f>IF(Instructions!$E$11=8,IF($D155=Instructions!$F$42,Z154+1,Z154),IF(Instructions!$E$11=10,IF($H155=Instructions!$F$42,Z154+1,Z154),IF(Instructions!$E$11=12,IF($L155=Instructions!$F$42,Z154+1,Z154),IF(Instructions!$E$11=14,IF($P155=Instructions!$F$42,Z154+1,Z154),IF(Instructions!$E$11=16,IF($T155=Instructions!$F$42,Z154+1,Z154))))))</f>
        <v>13</v>
      </c>
      <c r="AA155" s="321" t="str">
        <f t="shared" si="40"/>
        <v>113</v>
      </c>
      <c r="AB155" s="321">
        <f>IF(Instructions!$E$11=8,IF($D155=Instructions!$F$43,AB154+1,AB154),IF(Instructions!$E$11=10,IF($H155=Instructions!$F$43,AB154+1,AB154),IF(Instructions!$E$11=12,IF($L155=Instructions!$F$43,AB154+1,AB154),IF(Instructions!$E$11=14,IF($P155=Instructions!$F$43,AB154+1,AB154),IF(Instructions!$E$11=16,IF($T155=Instructions!$F$43,AB154+1,AB154))))))</f>
        <v>13</v>
      </c>
      <c r="AC155" s="321" t="str">
        <f t="shared" si="32"/>
        <v>213</v>
      </c>
      <c r="AD155" s="321">
        <f>IF(Instructions!$E$11=8,IF($D155=Instructions!$F$44,AD154+1,AD154),IF(Instructions!$E$11=10,IF($H155=Instructions!$F$44,AD154+1,AD154),IF(Instructions!$E$11=12,IF($L155=Instructions!$F$44,AD154+1,AD154),IF(Instructions!$E$11=14,IF($P155=Instructions!$F$44,AD154+1,AD154),IF(Instructions!$E$11=16,IF($T155=Instructions!$F$44,AD154+1,AD154))))))</f>
        <v>13</v>
      </c>
      <c r="AE155" s="321" t="str">
        <f t="shared" si="33"/>
        <v>313</v>
      </c>
      <c r="AF155" s="321">
        <f>IF(Instructions!$E$11=8,IF($D155=Instructions!$F$45,AF154+1,AF154),IF(Instructions!$E$11=10,IF($H155=Instructions!$F$45,AF154+1,AF154),IF(Instructions!$E$11=12,IF($L155=Instructions!$F$45,AF154+1,AF154),IF(Instructions!$E$11=14,IF($P155=Instructions!$F$45,AF154+1,AF154),IF(Instructions!$E$11=16,IF($T155=Instructions!$F$45,AF154+1,AF154))))))</f>
        <v>13</v>
      </c>
      <c r="AG155" s="321" t="str">
        <f t="shared" si="34"/>
        <v>413</v>
      </c>
      <c r="AH155" s="321">
        <f>IF(Instructions!$E$11=8,IF($D155=Instructions!$F$46,AH154+1,AH154),IF(Instructions!$E$11=10,IF($H155=Instructions!$F$46,AH154+1,AH154),IF(Instructions!$E$11=12,IF($L155=Instructions!$F$46,AH154+1,AH154),IF(Instructions!$E$11=14,IF($P155=Instructions!$F$46,AH154+1,AH154),IF(Instructions!$E$11=16,IF($T155=Instructions!$F$46,AH154+1,AH154))))))</f>
        <v>13</v>
      </c>
      <c r="AI155" s="321" t="str">
        <f t="shared" si="35"/>
        <v>513</v>
      </c>
      <c r="AJ155" s="321">
        <f>IF(Instructions!$E$11=8,IF($D155=Instructions!$F$47,AJ154+1,AJ154),IF(Instructions!$E$11=10,IF($H155=Instructions!$F$47,AJ154+1,AJ154),IF(Instructions!$E$11=12,IF($L155=Instructions!$F$47,AJ154+1,AJ154),IF(Instructions!$E$11=14,IF($P155=Instructions!$F$47,AJ154+1,AJ154),IF(Instructions!$E$11=16,IF($T155=Instructions!$F$47,AJ154+1,AJ154))))))</f>
        <v>13</v>
      </c>
      <c r="AK155" s="321" t="str">
        <f t="shared" si="36"/>
        <v>613</v>
      </c>
      <c r="AL155" s="321">
        <f>IF(Instructions!$E$11=8,IF($D155=Instructions!$F$48,AL154+1,AL154),IF(Instructions!$E$11=10,IF($H155=Instructions!$F$48,AL154+1,AL154),IF(Instructions!$E$11=12,IF($L155=Instructions!$F$48,AL154+1,AL154),IF(Instructions!$E$11=14,IF($P155=Instructions!$F$48,AL154+1,AL154),IF(Instructions!$E$11=16,IF($T155=Instructions!$F$48,AL154+1,AL154))))))</f>
        <v>13</v>
      </c>
      <c r="AM155" s="321" t="str">
        <f t="shared" si="37"/>
        <v>713</v>
      </c>
      <c r="AN155" s="321">
        <f>IF(Instructions!$E$11=8,IF($D155=Instructions!$F$49,AN154+1,AN154),IF(Instructions!$E$11=10,IF($H155=Instructions!$F$49,AN154+1,AN154),IF(Instructions!$E$11=12,IF($L155=Instructions!$F$49,AN154+1,AN154),IF(Instructions!$E$11=14,IF($P155=Instructions!$F$49,AN154+1,AN154),IF(Instructions!$E$11=16,IF($T155=Instructions!$F$49,AN154+1,AN154))))))</f>
        <v>13</v>
      </c>
      <c r="AO155" s="321" t="str">
        <f t="shared" si="38"/>
        <v>813</v>
      </c>
      <c r="AP155" s="321">
        <f>IF(Instructions!$E$11=8,IF($D155=Instructions!$F$50,AP154+1,AP154),IF(Instructions!$E$11=10,IF($H155=Instructions!$F$50,AP154+1,AP154),IF(Instructions!$E$11=12,IF($L155=Instructions!$F$50,AP154+1,AP154),IF(Instructions!$E$11=14,IF($P155=Instructions!$F$50,AP154+1,AP154),IF(Instructions!$E$11=16,IF($T155=Instructions!$F$50,AP154+1,AP154))))))</f>
        <v>13</v>
      </c>
      <c r="AQ155" s="321" t="str">
        <f t="shared" si="39"/>
        <v>913</v>
      </c>
      <c r="AR155" s="321">
        <f>IF(Instructions!$E$11=8,IF($D155=Instructions!$F$51,AR154+1,AR154),IF(Instructions!$E$11=10,IF($H155=Instructions!$F$51,AR154+1,AR154),IF(Instructions!$E$11=12,IF($L155=Instructions!$F$51,AR154+1,AR154),IF(Instructions!$E$11=14,IF($P155=Instructions!$F$51,AR154+1,AR154),IF(Instructions!$E$11=16,IF($T155=Instructions!$F$51,AR154+1,AR154))))))</f>
        <v>12</v>
      </c>
      <c r="AS155" s="321" t="str">
        <f t="shared" si="41"/>
        <v>1012</v>
      </c>
      <c r="AT155" s="321">
        <f>IF(Instructions!$E$11=8,IF($D155=Instructions!$F$52,AT154+1,AT154),IF(Instructions!$E$11=10,IF($H155=Instructions!$F$52,AT154+1,AT154),IF(Instructions!$E$11=12,IF($L155=Instructions!$F$52,AT154+1,AT154),IF(Instructions!$E$11=14,IF($P155=Instructions!$F$52,AT154+1,AT154),IF(Instructions!$E$11=16,IF($T155=Instructions!$F$52,AT154+1,AT154))))))</f>
        <v>12</v>
      </c>
      <c r="AU155" s="321" t="str">
        <f t="shared" si="42"/>
        <v>1112</v>
      </c>
      <c r="AV155" s="321">
        <f>IF(Instructions!$E$11=8,IF($D155=Instructions!$F$53,AV154+1,AV154),IF(Instructions!$E$11=10,IF($H155=Instructions!$F$53,AV154+1,AV154),IF(Instructions!$E$11=12,IF($L155=Instructions!$F$53,AV154+1,AV154),IF(Instructions!$E$11=14,IF($P155=Instructions!$F$53,AV154+1,AV154),IF(Instructions!$E$11=16,IF($T155=Instructions!$F$53,AV154+1,AV154))))))</f>
        <v>12</v>
      </c>
      <c r="AW155" s="321" t="str">
        <f t="shared" si="43"/>
        <v>1212</v>
      </c>
      <c r="AX155" s="321">
        <f>IF(Instructions!$E$11=8,IF($D155=Instructions!$F$54,AX154+1,AX154),IF(Instructions!$E$11=10,IF($H155=Instructions!$F$54,AX154+1,AX154),IF(Instructions!$E$11=12,IF($L155=Instructions!$F$54,AX154+1,AX154),IF(Instructions!$E$11=14,IF($P155=Instructions!$F$54,AX154+1,AX154),IF(Instructions!$E$11=16,IF($T155=Instructions!$F$54,AX154+1,AX154))))))</f>
        <v>0</v>
      </c>
      <c r="AY155" s="321" t="str">
        <f t="shared" si="44"/>
        <v>1300</v>
      </c>
      <c r="AZ155" s="321">
        <f>IF(Instructions!$E$11=8,IF($D155=Instructions!$F$55,AZ154+1,AZ154),IF(Instructions!$E$11=10,IF($H155=Instructions!$F$55,AZ154+1,AZ154),IF(Instructions!$E$11=12,IF($L155=Instructions!$F$55,AZ154+1,AZ154),IF(Instructions!$E$11=14,IF($P155=Instructions!$F$55,AZ154+1,AZ154),IF(Instructions!$E$11=16,IF($T155=Instructions!$F$55,AZ154+1,AZ154))))))</f>
        <v>0</v>
      </c>
      <c r="BA155" s="321" t="str">
        <f t="shared" si="45"/>
        <v>1400</v>
      </c>
      <c r="BB155" s="321">
        <f>IF(Instructions!$E$11=8,IF($D155=Instructions!$F$56,BB154+1,BB154),IF(Instructions!$E$11=10,IF($H155=Instructions!$F$56,BB154+1,BB154),IF(Instructions!$E$11=12,IF($L155=Instructions!$F$56,BB154+1,BB154),IF(Instructions!$E$11=14,IF($P155=Instructions!$F$56,BB154+1,BB154),IF(Instructions!$E$11=16,IF($T155=Instructions!$F$56,BB154+1,BB154))))))</f>
        <v>0</v>
      </c>
      <c r="BC155" s="321" t="str">
        <f t="shared" si="46"/>
        <v>1500</v>
      </c>
      <c r="BD155" s="321">
        <f>IF(Instructions!$E$11=8,IF($D155=Instructions!$F$57,BD154+1,BD154),IF(Instructions!$E$11=10,IF($H155=Instructions!$F$57,BD154+1,BD154),IF(Instructions!$E$11=12,IF($L155=Instructions!$F$57,BD154+1,BD154),IF(Instructions!$E$11=14,IF($P155=Instructions!$F$57,BD154+1,BD154),IF(Instructions!$E$11=16,IF($T155=Instructions!$F$57,BD154+1,BD154))))))</f>
        <v>0</v>
      </c>
      <c r="BE155" s="321" t="str">
        <f t="shared" si="47"/>
        <v>1600</v>
      </c>
      <c r="BF155" s="321">
        <v>153</v>
      </c>
    </row>
    <row r="156" spans="1:58" ht="15.75" thickBot="1" x14ac:dyDescent="0.3">
      <c r="A156" s="280"/>
      <c r="B156" s="323" t="str">
        <f>IF(Instructions!$J$11=1,AA156,IF(Instructions!$J$11=2,AC156,IF(Instructions!$J$11=3,AE156,IF(Instructions!$J$11=4,AG156,IF(Instructions!$J$11=5,AI156,IF(Instructions!$J$11=6,AK156,IF(Instructions!$J$11=7,AM156,IF(Instructions!$J$11=8,AO156,IF(Instructions!$J$11=9,AQ156,IF(Instructions!$J$11=10,AS156,IF(Instructions!$J$11=11,AU156,IF(Instructions!$J$11=12,AW156,IF(Instructions!$J$11=13, AY156, IF(Instructions!$J$11=14,BA156,IF(Instructions!$J$11=15,BC156,BE156)))))))))))))))</f>
        <v>213</v>
      </c>
      <c r="C156" s="272">
        <v>154</v>
      </c>
      <c r="D156" s="327" t="str">
        <f>Instructions!F$48</f>
        <v>Bui</v>
      </c>
      <c r="E156" s="332" t="s">
        <v>1489</v>
      </c>
      <c r="F156" s="706"/>
      <c r="G156" s="279">
        <v>20</v>
      </c>
      <c r="H156" s="294" t="str">
        <f>Instructions!F$48</f>
        <v>Bui</v>
      </c>
      <c r="I156" s="274" t="s">
        <v>1090</v>
      </c>
      <c r="J156" s="709"/>
      <c r="K156" s="279">
        <v>16</v>
      </c>
      <c r="L156" s="294" t="str">
        <f>Instructions!F$51</f>
        <v>Josh</v>
      </c>
      <c r="M156" s="274" t="s">
        <v>860</v>
      </c>
      <c r="N156" s="709"/>
      <c r="O156" s="279">
        <v>13</v>
      </c>
      <c r="P156" s="295" t="str">
        <f>Instructions!F$55</f>
        <v>[TEAM 14]</v>
      </c>
      <c r="Q156" s="277" t="s">
        <v>949</v>
      </c>
      <c r="R156" s="710"/>
      <c r="S156" s="279">
        <v>11</v>
      </c>
      <c r="T156" s="327" t="str">
        <f>Instructions!F$48</f>
        <v>Bui</v>
      </c>
      <c r="U156" s="274" t="s">
        <v>824</v>
      </c>
      <c r="V156" s="706"/>
      <c r="W156" s="279">
        <v>10</v>
      </c>
      <c r="X156" s="280"/>
      <c r="Y156" s="190" t="str">
        <f>IFERROR( IF(Instructions!$E$11=8, D156&amp;COUNTIF(D$3:D156,D156), IF(Instructions!$E$11=10, H156&amp;COUNTIF(H$3:H156,H156),IF(Instructions!$E$11=12, L156&amp;COUNTIF(L$3:L156,L156),IF(Instructions!$E$11=14, P156&amp;COUNTIF(P$3:P156,P156),T156&amp;COUNTIF(T$3:T156,T156))))),"")</f>
        <v>Josh13</v>
      </c>
      <c r="Z156" s="321">
        <f>IF(Instructions!$E$11=8,IF($D156=Instructions!$F$42,Z155+1,Z155),IF(Instructions!$E$11=10,IF($H156=Instructions!$F$42,Z155+1,Z155),IF(Instructions!$E$11=12,IF($L156=Instructions!$F$42,Z155+1,Z155),IF(Instructions!$E$11=14,IF($P156=Instructions!$F$42,Z155+1,Z155),IF(Instructions!$E$11=16,IF($T156=Instructions!$F$42,Z155+1,Z155))))))</f>
        <v>13</v>
      </c>
      <c r="AA156" s="321" t="str">
        <f t="shared" si="40"/>
        <v>113</v>
      </c>
      <c r="AB156" s="321">
        <f>IF(Instructions!$E$11=8,IF($D156=Instructions!$F$43,AB155+1,AB155),IF(Instructions!$E$11=10,IF($H156=Instructions!$F$43,AB155+1,AB155),IF(Instructions!$E$11=12,IF($L156=Instructions!$F$43,AB155+1,AB155),IF(Instructions!$E$11=14,IF($P156=Instructions!$F$43,AB155+1,AB155),IF(Instructions!$E$11=16,IF($T156=Instructions!$F$43,AB155+1,AB155))))))</f>
        <v>13</v>
      </c>
      <c r="AC156" s="321" t="str">
        <f t="shared" si="32"/>
        <v>213</v>
      </c>
      <c r="AD156" s="321">
        <f>IF(Instructions!$E$11=8,IF($D156=Instructions!$F$44,AD155+1,AD155),IF(Instructions!$E$11=10,IF($H156=Instructions!$F$44,AD155+1,AD155),IF(Instructions!$E$11=12,IF($L156=Instructions!$F$44,AD155+1,AD155),IF(Instructions!$E$11=14,IF($P156=Instructions!$F$44,AD155+1,AD155),IF(Instructions!$E$11=16,IF($T156=Instructions!$F$44,AD155+1,AD155))))))</f>
        <v>13</v>
      </c>
      <c r="AE156" s="321" t="str">
        <f t="shared" si="33"/>
        <v>313</v>
      </c>
      <c r="AF156" s="321">
        <f>IF(Instructions!$E$11=8,IF($D156=Instructions!$F$45,AF155+1,AF155),IF(Instructions!$E$11=10,IF($H156=Instructions!$F$45,AF155+1,AF155),IF(Instructions!$E$11=12,IF($L156=Instructions!$F$45,AF155+1,AF155),IF(Instructions!$E$11=14,IF($P156=Instructions!$F$45,AF155+1,AF155),IF(Instructions!$E$11=16,IF($T156=Instructions!$F$45,AF155+1,AF155))))))</f>
        <v>13</v>
      </c>
      <c r="AG156" s="321" t="str">
        <f t="shared" si="34"/>
        <v>413</v>
      </c>
      <c r="AH156" s="321">
        <f>IF(Instructions!$E$11=8,IF($D156=Instructions!$F$46,AH155+1,AH155),IF(Instructions!$E$11=10,IF($H156=Instructions!$F$46,AH155+1,AH155),IF(Instructions!$E$11=12,IF($L156=Instructions!$F$46,AH155+1,AH155),IF(Instructions!$E$11=14,IF($P156=Instructions!$F$46,AH155+1,AH155),IF(Instructions!$E$11=16,IF($T156=Instructions!$F$46,AH155+1,AH155))))))</f>
        <v>13</v>
      </c>
      <c r="AI156" s="321" t="str">
        <f t="shared" si="35"/>
        <v>513</v>
      </c>
      <c r="AJ156" s="321">
        <f>IF(Instructions!$E$11=8,IF($D156=Instructions!$F$47,AJ155+1,AJ155),IF(Instructions!$E$11=10,IF($H156=Instructions!$F$47,AJ155+1,AJ155),IF(Instructions!$E$11=12,IF($L156=Instructions!$F$47,AJ155+1,AJ155),IF(Instructions!$E$11=14,IF($P156=Instructions!$F$47,AJ155+1,AJ155),IF(Instructions!$E$11=16,IF($T156=Instructions!$F$47,AJ155+1,AJ155))))))</f>
        <v>13</v>
      </c>
      <c r="AK156" s="321" t="str">
        <f t="shared" si="36"/>
        <v>613</v>
      </c>
      <c r="AL156" s="321">
        <f>IF(Instructions!$E$11=8,IF($D156=Instructions!$F$48,AL155+1,AL155),IF(Instructions!$E$11=10,IF($H156=Instructions!$F$48,AL155+1,AL155),IF(Instructions!$E$11=12,IF($L156=Instructions!$F$48,AL155+1,AL155),IF(Instructions!$E$11=14,IF($P156=Instructions!$F$48,AL155+1,AL155),IF(Instructions!$E$11=16,IF($T156=Instructions!$F$48,AL155+1,AL155))))))</f>
        <v>13</v>
      </c>
      <c r="AM156" s="321" t="str">
        <f t="shared" si="37"/>
        <v>713</v>
      </c>
      <c r="AN156" s="321">
        <f>IF(Instructions!$E$11=8,IF($D156=Instructions!$F$49,AN155+1,AN155),IF(Instructions!$E$11=10,IF($H156=Instructions!$F$49,AN155+1,AN155),IF(Instructions!$E$11=12,IF($L156=Instructions!$F$49,AN155+1,AN155),IF(Instructions!$E$11=14,IF($P156=Instructions!$F$49,AN155+1,AN155),IF(Instructions!$E$11=16,IF($T156=Instructions!$F$49,AN155+1,AN155))))))</f>
        <v>13</v>
      </c>
      <c r="AO156" s="321" t="str">
        <f t="shared" si="38"/>
        <v>813</v>
      </c>
      <c r="AP156" s="321">
        <f>IF(Instructions!$E$11=8,IF($D156=Instructions!$F$50,AP155+1,AP155),IF(Instructions!$E$11=10,IF($H156=Instructions!$F$50,AP155+1,AP155),IF(Instructions!$E$11=12,IF($L156=Instructions!$F$50,AP155+1,AP155),IF(Instructions!$E$11=14,IF($P156=Instructions!$F$50,AP155+1,AP155),IF(Instructions!$E$11=16,IF($T156=Instructions!$F$50,AP155+1,AP155))))))</f>
        <v>13</v>
      </c>
      <c r="AQ156" s="321" t="str">
        <f t="shared" si="39"/>
        <v>913</v>
      </c>
      <c r="AR156" s="321">
        <f>IF(Instructions!$E$11=8,IF($D156=Instructions!$F$51,AR155+1,AR155),IF(Instructions!$E$11=10,IF($H156=Instructions!$F$51,AR155+1,AR155),IF(Instructions!$E$11=12,IF($L156=Instructions!$F$51,AR155+1,AR155),IF(Instructions!$E$11=14,IF($P156=Instructions!$F$51,AR155+1,AR155),IF(Instructions!$E$11=16,IF($T156=Instructions!$F$51,AR155+1,AR155))))))</f>
        <v>13</v>
      </c>
      <c r="AS156" s="321" t="str">
        <f t="shared" si="41"/>
        <v>1013</v>
      </c>
      <c r="AT156" s="321">
        <f>IF(Instructions!$E$11=8,IF($D156=Instructions!$F$52,AT155+1,AT155),IF(Instructions!$E$11=10,IF($H156=Instructions!$F$52,AT155+1,AT155),IF(Instructions!$E$11=12,IF($L156=Instructions!$F$52,AT155+1,AT155),IF(Instructions!$E$11=14,IF($P156=Instructions!$F$52,AT155+1,AT155),IF(Instructions!$E$11=16,IF($T156=Instructions!$F$52,AT155+1,AT155))))))</f>
        <v>12</v>
      </c>
      <c r="AU156" s="321" t="str">
        <f t="shared" si="42"/>
        <v>1112</v>
      </c>
      <c r="AV156" s="321">
        <f>IF(Instructions!$E$11=8,IF($D156=Instructions!$F$53,AV155+1,AV155),IF(Instructions!$E$11=10,IF($H156=Instructions!$F$53,AV155+1,AV155),IF(Instructions!$E$11=12,IF($L156=Instructions!$F$53,AV155+1,AV155),IF(Instructions!$E$11=14,IF($P156=Instructions!$F$53,AV155+1,AV155),IF(Instructions!$E$11=16,IF($T156=Instructions!$F$53,AV155+1,AV155))))))</f>
        <v>12</v>
      </c>
      <c r="AW156" s="321" t="str">
        <f t="shared" si="43"/>
        <v>1212</v>
      </c>
      <c r="AX156" s="321">
        <f>IF(Instructions!$E$11=8,IF($D156=Instructions!$F$54,AX155+1,AX155),IF(Instructions!$E$11=10,IF($H156=Instructions!$F$54,AX155+1,AX155),IF(Instructions!$E$11=12,IF($L156=Instructions!$F$54,AX155+1,AX155),IF(Instructions!$E$11=14,IF($P156=Instructions!$F$54,AX155+1,AX155),IF(Instructions!$E$11=16,IF($T156=Instructions!$F$54,AX155+1,AX155))))))</f>
        <v>0</v>
      </c>
      <c r="AY156" s="321" t="str">
        <f t="shared" si="44"/>
        <v>1300</v>
      </c>
      <c r="AZ156" s="321">
        <f>IF(Instructions!$E$11=8,IF($D156=Instructions!$F$55,AZ155+1,AZ155),IF(Instructions!$E$11=10,IF($H156=Instructions!$F$55,AZ155+1,AZ155),IF(Instructions!$E$11=12,IF($L156=Instructions!$F$55,AZ155+1,AZ155),IF(Instructions!$E$11=14,IF($P156=Instructions!$F$55,AZ155+1,AZ155),IF(Instructions!$E$11=16,IF($T156=Instructions!$F$55,AZ155+1,AZ155))))))</f>
        <v>0</v>
      </c>
      <c r="BA156" s="321" t="str">
        <f t="shared" si="45"/>
        <v>1400</v>
      </c>
      <c r="BB156" s="321">
        <f>IF(Instructions!$E$11=8,IF($D156=Instructions!$F$56,BB155+1,BB155),IF(Instructions!$E$11=10,IF($H156=Instructions!$F$56,BB155+1,BB155),IF(Instructions!$E$11=12,IF($L156=Instructions!$F$56,BB155+1,BB155),IF(Instructions!$E$11=14,IF($P156=Instructions!$F$56,BB155+1,BB155),IF(Instructions!$E$11=16,IF($T156=Instructions!$F$56,BB155+1,BB155))))))</f>
        <v>0</v>
      </c>
      <c r="BC156" s="321" t="str">
        <f t="shared" si="46"/>
        <v>1500</v>
      </c>
      <c r="BD156" s="321">
        <f>IF(Instructions!$E$11=8,IF($D156=Instructions!$F$57,BD155+1,BD155),IF(Instructions!$E$11=10,IF($H156=Instructions!$F$57,BD155+1,BD155),IF(Instructions!$E$11=12,IF($L156=Instructions!$F$57,BD155+1,BD155),IF(Instructions!$E$11=14,IF($P156=Instructions!$F$57,BD155+1,BD155),IF(Instructions!$E$11=16,IF($T156=Instructions!$F$57,BD155+1,BD155))))))</f>
        <v>0</v>
      </c>
      <c r="BE156" s="321" t="str">
        <f t="shared" si="47"/>
        <v>1600</v>
      </c>
      <c r="BF156" s="321">
        <v>154</v>
      </c>
    </row>
    <row r="157" spans="1:58" ht="15" customHeight="1" x14ac:dyDescent="0.25">
      <c r="A157" s="280"/>
      <c r="B157" s="323" t="str">
        <f>IF(Instructions!$J$11=1,AA157,IF(Instructions!$J$11=2,AC157,IF(Instructions!$J$11=3,AE157,IF(Instructions!$J$11=4,AG157,IF(Instructions!$J$11=5,AI157,IF(Instructions!$J$11=6,AK157,IF(Instructions!$J$11=7,AM157,IF(Instructions!$J$11=8,AO157,IF(Instructions!$J$11=9,AQ157,IF(Instructions!$J$11=10,AS157,IF(Instructions!$J$11=11,AU157,IF(Instructions!$J$11=12,AW157,IF(Instructions!$J$11=13, AY157, IF(Instructions!$J$11=14,BA157,IF(Instructions!$J$11=15,BC157,BE157)))))))))))))))</f>
        <v>213</v>
      </c>
      <c r="C157" s="271">
        <v>155</v>
      </c>
      <c r="D157" s="328" t="str">
        <f>Instructions!F$47</f>
        <v>Devin</v>
      </c>
      <c r="E157" s="333" t="s">
        <v>1490</v>
      </c>
      <c r="F157" s="706"/>
      <c r="G157" s="279">
        <v>20</v>
      </c>
      <c r="H157" s="293" t="str">
        <f>Instructions!F$47</f>
        <v>Devin</v>
      </c>
      <c r="I157" s="273" t="s">
        <v>1091</v>
      </c>
      <c r="J157" s="709"/>
      <c r="K157" s="279">
        <v>16</v>
      </c>
      <c r="L157" s="293" t="str">
        <f>Instructions!F$52</f>
        <v>Big R</v>
      </c>
      <c r="M157" s="273" t="s">
        <v>861</v>
      </c>
      <c r="N157" s="709"/>
      <c r="O157" s="279">
        <v>13</v>
      </c>
      <c r="P157" s="292" t="str">
        <f>Instructions!F$55</f>
        <v>[TEAM 14]</v>
      </c>
      <c r="Q157" s="276" t="s">
        <v>839</v>
      </c>
      <c r="R157" s="708" t="s">
        <v>907</v>
      </c>
      <c r="S157" s="279">
        <v>12</v>
      </c>
      <c r="T157" s="328" t="str">
        <f>Instructions!F$47</f>
        <v>Devin</v>
      </c>
      <c r="U157" s="273" t="s">
        <v>825</v>
      </c>
      <c r="V157" s="706"/>
      <c r="W157" s="279">
        <v>10</v>
      </c>
      <c r="X157" s="280"/>
      <c r="Y157" s="190" t="str">
        <f>IFERROR( IF(Instructions!$E$11=8, D157&amp;COUNTIF(D$3:D157,D157), IF(Instructions!$E$11=10, H157&amp;COUNTIF(H$3:H157,H157),IF(Instructions!$E$11=12, L157&amp;COUNTIF(L$3:L157,L157),IF(Instructions!$E$11=14, P157&amp;COUNTIF(P$3:P157,P157),T157&amp;COUNTIF(T$3:T157,T157))))),"")</f>
        <v>Big R13</v>
      </c>
      <c r="Z157" s="321">
        <f>IF(Instructions!$E$11=8,IF($D157=Instructions!$F$42,Z156+1,Z156),IF(Instructions!$E$11=10,IF($H157=Instructions!$F$42,Z156+1,Z156),IF(Instructions!$E$11=12,IF($L157=Instructions!$F$42,Z156+1,Z156),IF(Instructions!$E$11=14,IF($P157=Instructions!$F$42,Z156+1,Z156),IF(Instructions!$E$11=16,IF($T157=Instructions!$F$42,Z156+1,Z156))))))</f>
        <v>13</v>
      </c>
      <c r="AA157" s="321" t="str">
        <f t="shared" si="40"/>
        <v>113</v>
      </c>
      <c r="AB157" s="321">
        <f>IF(Instructions!$E$11=8,IF($D157=Instructions!$F$43,AB156+1,AB156),IF(Instructions!$E$11=10,IF($H157=Instructions!$F$43,AB156+1,AB156),IF(Instructions!$E$11=12,IF($L157=Instructions!$F$43,AB156+1,AB156),IF(Instructions!$E$11=14,IF($P157=Instructions!$F$43,AB156+1,AB156),IF(Instructions!$E$11=16,IF($T157=Instructions!$F$43,AB156+1,AB156))))))</f>
        <v>13</v>
      </c>
      <c r="AC157" s="321" t="str">
        <f t="shared" si="32"/>
        <v>213</v>
      </c>
      <c r="AD157" s="321">
        <f>IF(Instructions!$E$11=8,IF($D157=Instructions!$F$44,AD156+1,AD156),IF(Instructions!$E$11=10,IF($H157=Instructions!$F$44,AD156+1,AD156),IF(Instructions!$E$11=12,IF($L157=Instructions!$F$44,AD156+1,AD156),IF(Instructions!$E$11=14,IF($P157=Instructions!$F$44,AD156+1,AD156),IF(Instructions!$E$11=16,IF($T157=Instructions!$F$44,AD156+1,AD156))))))</f>
        <v>13</v>
      </c>
      <c r="AE157" s="321" t="str">
        <f t="shared" si="33"/>
        <v>313</v>
      </c>
      <c r="AF157" s="321">
        <f>IF(Instructions!$E$11=8,IF($D157=Instructions!$F$45,AF156+1,AF156),IF(Instructions!$E$11=10,IF($H157=Instructions!$F$45,AF156+1,AF156),IF(Instructions!$E$11=12,IF($L157=Instructions!$F$45,AF156+1,AF156),IF(Instructions!$E$11=14,IF($P157=Instructions!$F$45,AF156+1,AF156),IF(Instructions!$E$11=16,IF($T157=Instructions!$F$45,AF156+1,AF156))))))</f>
        <v>13</v>
      </c>
      <c r="AG157" s="321" t="str">
        <f t="shared" si="34"/>
        <v>413</v>
      </c>
      <c r="AH157" s="321">
        <f>IF(Instructions!$E$11=8,IF($D157=Instructions!$F$46,AH156+1,AH156),IF(Instructions!$E$11=10,IF($H157=Instructions!$F$46,AH156+1,AH156),IF(Instructions!$E$11=12,IF($L157=Instructions!$F$46,AH156+1,AH156),IF(Instructions!$E$11=14,IF($P157=Instructions!$F$46,AH156+1,AH156),IF(Instructions!$E$11=16,IF($T157=Instructions!$F$46,AH156+1,AH156))))))</f>
        <v>13</v>
      </c>
      <c r="AI157" s="321" t="str">
        <f t="shared" si="35"/>
        <v>513</v>
      </c>
      <c r="AJ157" s="321">
        <f>IF(Instructions!$E$11=8,IF($D157=Instructions!$F$47,AJ156+1,AJ156),IF(Instructions!$E$11=10,IF($H157=Instructions!$F$47,AJ156+1,AJ156),IF(Instructions!$E$11=12,IF($L157=Instructions!$F$47,AJ156+1,AJ156),IF(Instructions!$E$11=14,IF($P157=Instructions!$F$47,AJ156+1,AJ156),IF(Instructions!$E$11=16,IF($T157=Instructions!$F$47,AJ156+1,AJ156))))))</f>
        <v>13</v>
      </c>
      <c r="AK157" s="321" t="str">
        <f t="shared" si="36"/>
        <v>613</v>
      </c>
      <c r="AL157" s="321">
        <f>IF(Instructions!$E$11=8,IF($D157=Instructions!$F$48,AL156+1,AL156),IF(Instructions!$E$11=10,IF($H157=Instructions!$F$48,AL156+1,AL156),IF(Instructions!$E$11=12,IF($L157=Instructions!$F$48,AL156+1,AL156),IF(Instructions!$E$11=14,IF($P157=Instructions!$F$48,AL156+1,AL156),IF(Instructions!$E$11=16,IF($T157=Instructions!$F$48,AL156+1,AL156))))))</f>
        <v>13</v>
      </c>
      <c r="AM157" s="321" t="str">
        <f t="shared" si="37"/>
        <v>713</v>
      </c>
      <c r="AN157" s="321">
        <f>IF(Instructions!$E$11=8,IF($D157=Instructions!$F$49,AN156+1,AN156),IF(Instructions!$E$11=10,IF($H157=Instructions!$F$49,AN156+1,AN156),IF(Instructions!$E$11=12,IF($L157=Instructions!$F$49,AN156+1,AN156),IF(Instructions!$E$11=14,IF($P157=Instructions!$F$49,AN156+1,AN156),IF(Instructions!$E$11=16,IF($T157=Instructions!$F$49,AN156+1,AN156))))))</f>
        <v>13</v>
      </c>
      <c r="AO157" s="321" t="str">
        <f t="shared" si="38"/>
        <v>813</v>
      </c>
      <c r="AP157" s="321">
        <f>IF(Instructions!$E$11=8,IF($D157=Instructions!$F$50,AP156+1,AP156),IF(Instructions!$E$11=10,IF($H157=Instructions!$F$50,AP156+1,AP156),IF(Instructions!$E$11=12,IF($L157=Instructions!$F$50,AP156+1,AP156),IF(Instructions!$E$11=14,IF($P157=Instructions!$F$50,AP156+1,AP156),IF(Instructions!$E$11=16,IF($T157=Instructions!$F$50,AP156+1,AP156))))))</f>
        <v>13</v>
      </c>
      <c r="AQ157" s="321" t="str">
        <f t="shared" si="39"/>
        <v>913</v>
      </c>
      <c r="AR157" s="321">
        <f>IF(Instructions!$E$11=8,IF($D157=Instructions!$F$51,AR156+1,AR156),IF(Instructions!$E$11=10,IF($H157=Instructions!$F$51,AR156+1,AR156),IF(Instructions!$E$11=12,IF($L157=Instructions!$F$51,AR156+1,AR156),IF(Instructions!$E$11=14,IF($P157=Instructions!$F$51,AR156+1,AR156),IF(Instructions!$E$11=16,IF($T157=Instructions!$F$51,AR156+1,AR156))))))</f>
        <v>13</v>
      </c>
      <c r="AS157" s="321" t="str">
        <f t="shared" si="41"/>
        <v>1013</v>
      </c>
      <c r="AT157" s="321">
        <f>IF(Instructions!$E$11=8,IF($D157=Instructions!$F$52,AT156+1,AT156),IF(Instructions!$E$11=10,IF($H157=Instructions!$F$52,AT156+1,AT156),IF(Instructions!$E$11=12,IF($L157=Instructions!$F$52,AT156+1,AT156),IF(Instructions!$E$11=14,IF($P157=Instructions!$F$52,AT156+1,AT156),IF(Instructions!$E$11=16,IF($T157=Instructions!$F$52,AT156+1,AT156))))))</f>
        <v>13</v>
      </c>
      <c r="AU157" s="321" t="str">
        <f t="shared" si="42"/>
        <v>1113</v>
      </c>
      <c r="AV157" s="321">
        <f>IF(Instructions!$E$11=8,IF($D157=Instructions!$F$53,AV156+1,AV156),IF(Instructions!$E$11=10,IF($H157=Instructions!$F$53,AV156+1,AV156),IF(Instructions!$E$11=12,IF($L157=Instructions!$F$53,AV156+1,AV156),IF(Instructions!$E$11=14,IF($P157=Instructions!$F$53,AV156+1,AV156),IF(Instructions!$E$11=16,IF($T157=Instructions!$F$53,AV156+1,AV156))))))</f>
        <v>12</v>
      </c>
      <c r="AW157" s="321" t="str">
        <f t="shared" si="43"/>
        <v>1212</v>
      </c>
      <c r="AX157" s="321">
        <f>IF(Instructions!$E$11=8,IF($D157=Instructions!$F$54,AX156+1,AX156),IF(Instructions!$E$11=10,IF($H157=Instructions!$F$54,AX156+1,AX156),IF(Instructions!$E$11=12,IF($L157=Instructions!$F$54,AX156+1,AX156),IF(Instructions!$E$11=14,IF($P157=Instructions!$F$54,AX156+1,AX156),IF(Instructions!$E$11=16,IF($T157=Instructions!$F$54,AX156+1,AX156))))))</f>
        <v>0</v>
      </c>
      <c r="AY157" s="321" t="str">
        <f t="shared" si="44"/>
        <v>1300</v>
      </c>
      <c r="AZ157" s="321">
        <f>IF(Instructions!$E$11=8,IF($D157=Instructions!$F$55,AZ156+1,AZ156),IF(Instructions!$E$11=10,IF($H157=Instructions!$F$55,AZ156+1,AZ156),IF(Instructions!$E$11=12,IF($L157=Instructions!$F$55,AZ156+1,AZ156),IF(Instructions!$E$11=14,IF($P157=Instructions!$F$55,AZ156+1,AZ156),IF(Instructions!$E$11=16,IF($T157=Instructions!$F$55,AZ156+1,AZ156))))))</f>
        <v>0</v>
      </c>
      <c r="BA157" s="321" t="str">
        <f t="shared" si="45"/>
        <v>1400</v>
      </c>
      <c r="BB157" s="321">
        <f>IF(Instructions!$E$11=8,IF($D157=Instructions!$F$56,BB156+1,BB156),IF(Instructions!$E$11=10,IF($H157=Instructions!$F$56,BB156+1,BB156),IF(Instructions!$E$11=12,IF($L157=Instructions!$F$56,BB156+1,BB156),IF(Instructions!$E$11=14,IF($P157=Instructions!$F$56,BB156+1,BB156),IF(Instructions!$E$11=16,IF($T157=Instructions!$F$56,BB156+1,BB156))))))</f>
        <v>0</v>
      </c>
      <c r="BC157" s="321" t="str">
        <f t="shared" si="46"/>
        <v>1500</v>
      </c>
      <c r="BD157" s="321">
        <f>IF(Instructions!$E$11=8,IF($D157=Instructions!$F$57,BD156+1,BD156),IF(Instructions!$E$11=10,IF($H157=Instructions!$F$57,BD156+1,BD156),IF(Instructions!$E$11=12,IF($L157=Instructions!$F$57,BD156+1,BD156),IF(Instructions!$E$11=14,IF($P157=Instructions!$F$57,BD156+1,BD156),IF(Instructions!$E$11=16,IF($T157=Instructions!$F$57,BD156+1,BD156))))))</f>
        <v>0</v>
      </c>
      <c r="BE157" s="321" t="str">
        <f t="shared" si="47"/>
        <v>1600</v>
      </c>
      <c r="BF157" s="321">
        <v>155</v>
      </c>
    </row>
    <row r="158" spans="1:58" ht="15.75" thickBot="1" x14ac:dyDescent="0.3">
      <c r="A158" s="280"/>
      <c r="B158" s="323" t="str">
        <f>IF(Instructions!$J$11=1,AA158,IF(Instructions!$J$11=2,AC158,IF(Instructions!$J$11=3,AE158,IF(Instructions!$J$11=4,AG158,IF(Instructions!$J$11=5,AI158,IF(Instructions!$J$11=6,AK158,IF(Instructions!$J$11=7,AM158,IF(Instructions!$J$11=8,AO158,IF(Instructions!$J$11=9,AQ158,IF(Instructions!$J$11=10,AS158,IF(Instructions!$J$11=11,AU158,IF(Instructions!$J$11=12,AW158,IF(Instructions!$J$11=13, AY158, IF(Instructions!$J$11=14,BA158,IF(Instructions!$J$11=15,BC158,BE158)))))))))))))))</f>
        <v>213</v>
      </c>
      <c r="C158" s="272">
        <v>156</v>
      </c>
      <c r="D158" s="327" t="str">
        <f>Instructions!F$46</f>
        <v>Con</v>
      </c>
      <c r="E158" s="332" t="s">
        <v>1491</v>
      </c>
      <c r="F158" s="706"/>
      <c r="G158" s="279">
        <v>20</v>
      </c>
      <c r="H158" s="294" t="str">
        <f>Instructions!F$46</f>
        <v>Con</v>
      </c>
      <c r="I158" s="274" t="s">
        <v>1092</v>
      </c>
      <c r="J158" s="709"/>
      <c r="K158" s="279">
        <v>16</v>
      </c>
      <c r="L158" s="295" t="str">
        <f>Instructions!F$53</f>
        <v>Zack</v>
      </c>
      <c r="M158" s="277" t="s">
        <v>862</v>
      </c>
      <c r="N158" s="710"/>
      <c r="O158" s="279">
        <v>13</v>
      </c>
      <c r="P158" s="294" t="str">
        <f>Instructions!F$54</f>
        <v>[TEAM 13]</v>
      </c>
      <c r="Q158" s="274" t="s">
        <v>840</v>
      </c>
      <c r="R158" s="709"/>
      <c r="S158" s="279">
        <v>12</v>
      </c>
      <c r="T158" s="327" t="str">
        <f>Instructions!F$46</f>
        <v>Con</v>
      </c>
      <c r="U158" s="274" t="s">
        <v>826</v>
      </c>
      <c r="V158" s="706"/>
      <c r="W158" s="279">
        <v>10</v>
      </c>
      <c r="X158" s="280"/>
      <c r="Y158" s="190" t="str">
        <f>IFERROR( IF(Instructions!$E$11=8, D158&amp;COUNTIF(D$3:D158,D158), IF(Instructions!$E$11=10, H158&amp;COUNTIF(H$3:H158,H158),IF(Instructions!$E$11=12, L158&amp;COUNTIF(L$3:L158,L158),IF(Instructions!$E$11=14, P158&amp;COUNTIF(P$3:P158,P158),T158&amp;COUNTIF(T$3:T158,T158))))),"")</f>
        <v>Zack13</v>
      </c>
      <c r="Z158" s="321">
        <f>IF(Instructions!$E$11=8,IF($D158=Instructions!$F$42,Z157+1,Z157),IF(Instructions!$E$11=10,IF($H158=Instructions!$F$42,Z157+1,Z157),IF(Instructions!$E$11=12,IF($L158=Instructions!$F$42,Z157+1,Z157),IF(Instructions!$E$11=14,IF($P158=Instructions!$F$42,Z157+1,Z157),IF(Instructions!$E$11=16,IF($T158=Instructions!$F$42,Z157+1,Z157))))))</f>
        <v>13</v>
      </c>
      <c r="AA158" s="321" t="str">
        <f t="shared" si="40"/>
        <v>113</v>
      </c>
      <c r="AB158" s="321">
        <f>IF(Instructions!$E$11=8,IF($D158=Instructions!$F$43,AB157+1,AB157),IF(Instructions!$E$11=10,IF($H158=Instructions!$F$43,AB157+1,AB157),IF(Instructions!$E$11=12,IF($L158=Instructions!$F$43,AB157+1,AB157),IF(Instructions!$E$11=14,IF($P158=Instructions!$F$43,AB157+1,AB157),IF(Instructions!$E$11=16,IF($T158=Instructions!$F$43,AB157+1,AB157))))))</f>
        <v>13</v>
      </c>
      <c r="AC158" s="321" t="str">
        <f t="shared" si="32"/>
        <v>213</v>
      </c>
      <c r="AD158" s="321">
        <f>IF(Instructions!$E$11=8,IF($D158=Instructions!$F$44,AD157+1,AD157),IF(Instructions!$E$11=10,IF($H158=Instructions!$F$44,AD157+1,AD157),IF(Instructions!$E$11=12,IF($L158=Instructions!$F$44,AD157+1,AD157),IF(Instructions!$E$11=14,IF($P158=Instructions!$F$44,AD157+1,AD157),IF(Instructions!$E$11=16,IF($T158=Instructions!$F$44,AD157+1,AD157))))))</f>
        <v>13</v>
      </c>
      <c r="AE158" s="321" t="str">
        <f t="shared" si="33"/>
        <v>313</v>
      </c>
      <c r="AF158" s="321">
        <f>IF(Instructions!$E$11=8,IF($D158=Instructions!$F$45,AF157+1,AF157),IF(Instructions!$E$11=10,IF($H158=Instructions!$F$45,AF157+1,AF157),IF(Instructions!$E$11=12,IF($L158=Instructions!$F$45,AF157+1,AF157),IF(Instructions!$E$11=14,IF($P158=Instructions!$F$45,AF157+1,AF157),IF(Instructions!$E$11=16,IF($T158=Instructions!$F$45,AF157+1,AF157))))))</f>
        <v>13</v>
      </c>
      <c r="AG158" s="321" t="str">
        <f t="shared" si="34"/>
        <v>413</v>
      </c>
      <c r="AH158" s="321">
        <f>IF(Instructions!$E$11=8,IF($D158=Instructions!$F$46,AH157+1,AH157),IF(Instructions!$E$11=10,IF($H158=Instructions!$F$46,AH157+1,AH157),IF(Instructions!$E$11=12,IF($L158=Instructions!$F$46,AH157+1,AH157),IF(Instructions!$E$11=14,IF($P158=Instructions!$F$46,AH157+1,AH157),IF(Instructions!$E$11=16,IF($T158=Instructions!$F$46,AH157+1,AH157))))))</f>
        <v>13</v>
      </c>
      <c r="AI158" s="321" t="str">
        <f t="shared" si="35"/>
        <v>513</v>
      </c>
      <c r="AJ158" s="321">
        <f>IF(Instructions!$E$11=8,IF($D158=Instructions!$F$47,AJ157+1,AJ157),IF(Instructions!$E$11=10,IF($H158=Instructions!$F$47,AJ157+1,AJ157),IF(Instructions!$E$11=12,IF($L158=Instructions!$F$47,AJ157+1,AJ157),IF(Instructions!$E$11=14,IF($P158=Instructions!$F$47,AJ157+1,AJ157),IF(Instructions!$E$11=16,IF($T158=Instructions!$F$47,AJ157+1,AJ157))))))</f>
        <v>13</v>
      </c>
      <c r="AK158" s="321" t="str">
        <f t="shared" si="36"/>
        <v>613</v>
      </c>
      <c r="AL158" s="321">
        <f>IF(Instructions!$E$11=8,IF($D158=Instructions!$F$48,AL157+1,AL157),IF(Instructions!$E$11=10,IF($H158=Instructions!$F$48,AL157+1,AL157),IF(Instructions!$E$11=12,IF($L158=Instructions!$F$48,AL157+1,AL157),IF(Instructions!$E$11=14,IF($P158=Instructions!$F$48,AL157+1,AL157),IF(Instructions!$E$11=16,IF($T158=Instructions!$F$48,AL157+1,AL157))))))</f>
        <v>13</v>
      </c>
      <c r="AM158" s="321" t="str">
        <f t="shared" si="37"/>
        <v>713</v>
      </c>
      <c r="AN158" s="321">
        <f>IF(Instructions!$E$11=8,IF($D158=Instructions!$F$49,AN157+1,AN157),IF(Instructions!$E$11=10,IF($H158=Instructions!$F$49,AN157+1,AN157),IF(Instructions!$E$11=12,IF($L158=Instructions!$F$49,AN157+1,AN157),IF(Instructions!$E$11=14,IF($P158=Instructions!$F$49,AN157+1,AN157),IF(Instructions!$E$11=16,IF($T158=Instructions!$F$49,AN157+1,AN157))))))</f>
        <v>13</v>
      </c>
      <c r="AO158" s="321" t="str">
        <f t="shared" si="38"/>
        <v>813</v>
      </c>
      <c r="AP158" s="321">
        <f>IF(Instructions!$E$11=8,IF($D158=Instructions!$F$50,AP157+1,AP157),IF(Instructions!$E$11=10,IF($H158=Instructions!$F$50,AP157+1,AP157),IF(Instructions!$E$11=12,IF($L158=Instructions!$F$50,AP157+1,AP157),IF(Instructions!$E$11=14,IF($P158=Instructions!$F$50,AP157+1,AP157),IF(Instructions!$E$11=16,IF($T158=Instructions!$F$50,AP157+1,AP157))))))</f>
        <v>13</v>
      </c>
      <c r="AQ158" s="321" t="str">
        <f t="shared" si="39"/>
        <v>913</v>
      </c>
      <c r="AR158" s="321">
        <f>IF(Instructions!$E$11=8,IF($D158=Instructions!$F$51,AR157+1,AR157),IF(Instructions!$E$11=10,IF($H158=Instructions!$F$51,AR157+1,AR157),IF(Instructions!$E$11=12,IF($L158=Instructions!$F$51,AR157+1,AR157),IF(Instructions!$E$11=14,IF($P158=Instructions!$F$51,AR157+1,AR157),IF(Instructions!$E$11=16,IF($T158=Instructions!$F$51,AR157+1,AR157))))))</f>
        <v>13</v>
      </c>
      <c r="AS158" s="321" t="str">
        <f t="shared" si="41"/>
        <v>1013</v>
      </c>
      <c r="AT158" s="321">
        <f>IF(Instructions!$E$11=8,IF($D158=Instructions!$F$52,AT157+1,AT157),IF(Instructions!$E$11=10,IF($H158=Instructions!$F$52,AT157+1,AT157),IF(Instructions!$E$11=12,IF($L158=Instructions!$F$52,AT157+1,AT157),IF(Instructions!$E$11=14,IF($P158=Instructions!$F$52,AT157+1,AT157),IF(Instructions!$E$11=16,IF($T158=Instructions!$F$52,AT157+1,AT157))))))</f>
        <v>13</v>
      </c>
      <c r="AU158" s="321" t="str">
        <f t="shared" si="42"/>
        <v>1113</v>
      </c>
      <c r="AV158" s="321">
        <f>IF(Instructions!$E$11=8,IF($D158=Instructions!$F$53,AV157+1,AV157),IF(Instructions!$E$11=10,IF($H158=Instructions!$F$53,AV157+1,AV157),IF(Instructions!$E$11=12,IF($L158=Instructions!$F$53,AV157+1,AV157),IF(Instructions!$E$11=14,IF($P158=Instructions!$F$53,AV157+1,AV157),IF(Instructions!$E$11=16,IF($T158=Instructions!$F$53,AV157+1,AV157))))))</f>
        <v>13</v>
      </c>
      <c r="AW158" s="321" t="str">
        <f t="shared" si="43"/>
        <v>1213</v>
      </c>
      <c r="AX158" s="321">
        <f>IF(Instructions!$E$11=8,IF($D158=Instructions!$F$54,AX157+1,AX157),IF(Instructions!$E$11=10,IF($H158=Instructions!$F$54,AX157+1,AX157),IF(Instructions!$E$11=12,IF($L158=Instructions!$F$54,AX157+1,AX157),IF(Instructions!$E$11=14,IF($P158=Instructions!$F$54,AX157+1,AX157),IF(Instructions!$E$11=16,IF($T158=Instructions!$F$54,AX157+1,AX157))))))</f>
        <v>0</v>
      </c>
      <c r="AY158" s="321" t="str">
        <f t="shared" si="44"/>
        <v>1300</v>
      </c>
      <c r="AZ158" s="321">
        <f>IF(Instructions!$E$11=8,IF($D158=Instructions!$F$55,AZ157+1,AZ157),IF(Instructions!$E$11=10,IF($H158=Instructions!$F$55,AZ157+1,AZ157),IF(Instructions!$E$11=12,IF($L158=Instructions!$F$55,AZ157+1,AZ157),IF(Instructions!$E$11=14,IF($P158=Instructions!$F$55,AZ157+1,AZ157),IF(Instructions!$E$11=16,IF($T158=Instructions!$F$55,AZ157+1,AZ157))))))</f>
        <v>0</v>
      </c>
      <c r="BA158" s="321" t="str">
        <f t="shared" si="45"/>
        <v>1400</v>
      </c>
      <c r="BB158" s="321">
        <f>IF(Instructions!$E$11=8,IF($D158=Instructions!$F$56,BB157+1,BB157),IF(Instructions!$E$11=10,IF($H158=Instructions!$F$56,BB157+1,BB157),IF(Instructions!$E$11=12,IF($L158=Instructions!$F$56,BB157+1,BB157),IF(Instructions!$E$11=14,IF($P158=Instructions!$F$56,BB157+1,BB157),IF(Instructions!$E$11=16,IF($T158=Instructions!$F$56,BB157+1,BB157))))))</f>
        <v>0</v>
      </c>
      <c r="BC158" s="321" t="str">
        <f t="shared" si="46"/>
        <v>1500</v>
      </c>
      <c r="BD158" s="321">
        <f>IF(Instructions!$E$11=8,IF($D158=Instructions!$F$57,BD157+1,BD157),IF(Instructions!$E$11=10,IF($H158=Instructions!$F$57,BD157+1,BD157),IF(Instructions!$E$11=12,IF($L158=Instructions!$F$57,BD157+1,BD157),IF(Instructions!$E$11=14,IF($P158=Instructions!$F$57,BD157+1,BD157),IF(Instructions!$E$11=16,IF($T158=Instructions!$F$57,BD157+1,BD157))))))</f>
        <v>0</v>
      </c>
      <c r="BE158" s="321" t="str">
        <f t="shared" si="47"/>
        <v>1600</v>
      </c>
      <c r="BF158" s="321">
        <v>156</v>
      </c>
    </row>
    <row r="159" spans="1:58" ht="15" customHeight="1" x14ac:dyDescent="0.25">
      <c r="A159" s="280"/>
      <c r="B159" s="323" t="str">
        <f>IF(Instructions!$J$11=1,AA159,IF(Instructions!$J$11=2,AC159,IF(Instructions!$J$11=3,AE159,IF(Instructions!$J$11=4,AG159,IF(Instructions!$J$11=5,AI159,IF(Instructions!$J$11=6,AK159,IF(Instructions!$J$11=7,AM159,IF(Instructions!$J$11=8,AO159,IF(Instructions!$J$11=9,AQ159,IF(Instructions!$J$11=10,AS159,IF(Instructions!$J$11=11,AU159,IF(Instructions!$J$11=12,AW159,IF(Instructions!$J$11=13, AY159, IF(Instructions!$J$11=14,BA159,IF(Instructions!$J$11=15,BC159,BE159)))))))))))))))</f>
        <v>213</v>
      </c>
      <c r="C159" s="271">
        <v>157</v>
      </c>
      <c r="D159" s="328" t="str">
        <f>Instructions!F$45</f>
        <v>Miles</v>
      </c>
      <c r="E159" s="333" t="s">
        <v>1492</v>
      </c>
      <c r="F159" s="706"/>
      <c r="G159" s="279">
        <v>20</v>
      </c>
      <c r="H159" s="293" t="str">
        <f>Instructions!F$45</f>
        <v>Miles</v>
      </c>
      <c r="I159" s="273" t="s">
        <v>1093</v>
      </c>
      <c r="J159" s="709"/>
      <c r="K159" s="279">
        <v>16</v>
      </c>
      <c r="L159" s="292" t="str">
        <f>Instructions!F$53</f>
        <v>Zack</v>
      </c>
      <c r="M159" s="276" t="s">
        <v>863</v>
      </c>
      <c r="N159" s="708" t="s">
        <v>909</v>
      </c>
      <c r="O159" s="279">
        <v>14</v>
      </c>
      <c r="P159" s="293" t="str">
        <f>Instructions!F$53</f>
        <v>Zack</v>
      </c>
      <c r="Q159" s="273" t="s">
        <v>841</v>
      </c>
      <c r="R159" s="709"/>
      <c r="S159" s="279">
        <v>12</v>
      </c>
      <c r="T159" s="328" t="str">
        <f>Instructions!F$45</f>
        <v>Miles</v>
      </c>
      <c r="U159" s="273" t="s">
        <v>947</v>
      </c>
      <c r="V159" s="706"/>
      <c r="W159" s="279">
        <v>10</v>
      </c>
      <c r="X159" s="280"/>
      <c r="Y159" s="190" t="str">
        <f>IFERROR( IF(Instructions!$E$11=8, D159&amp;COUNTIF(D$3:D159,D159), IF(Instructions!$E$11=10, H159&amp;COUNTIF(H$3:H159,H159),IF(Instructions!$E$11=12, L159&amp;COUNTIF(L$3:L159,L159),IF(Instructions!$E$11=14, P159&amp;COUNTIF(P$3:P159,P159),T159&amp;COUNTIF(T$3:T159,T159))))),"")</f>
        <v>Zack14</v>
      </c>
      <c r="Z159" s="321">
        <f>IF(Instructions!$E$11=8,IF($D159=Instructions!$F$42,Z158+1,Z158),IF(Instructions!$E$11=10,IF($H159=Instructions!$F$42,Z158+1,Z158),IF(Instructions!$E$11=12,IF($L159=Instructions!$F$42,Z158+1,Z158),IF(Instructions!$E$11=14,IF($P159=Instructions!$F$42,Z158+1,Z158),IF(Instructions!$E$11=16,IF($T159=Instructions!$F$42,Z158+1,Z158))))))</f>
        <v>13</v>
      </c>
      <c r="AA159" s="321" t="str">
        <f t="shared" si="40"/>
        <v>113</v>
      </c>
      <c r="AB159" s="321">
        <f>IF(Instructions!$E$11=8,IF($D159=Instructions!$F$43,AB158+1,AB158),IF(Instructions!$E$11=10,IF($H159=Instructions!$F$43,AB158+1,AB158),IF(Instructions!$E$11=12,IF($L159=Instructions!$F$43,AB158+1,AB158),IF(Instructions!$E$11=14,IF($P159=Instructions!$F$43,AB158+1,AB158),IF(Instructions!$E$11=16,IF($T159=Instructions!$F$43,AB158+1,AB158))))))</f>
        <v>13</v>
      </c>
      <c r="AC159" s="321" t="str">
        <f t="shared" si="32"/>
        <v>213</v>
      </c>
      <c r="AD159" s="321">
        <f>IF(Instructions!$E$11=8,IF($D159=Instructions!$F$44,AD158+1,AD158),IF(Instructions!$E$11=10,IF($H159=Instructions!$F$44,AD158+1,AD158),IF(Instructions!$E$11=12,IF($L159=Instructions!$F$44,AD158+1,AD158),IF(Instructions!$E$11=14,IF($P159=Instructions!$F$44,AD158+1,AD158),IF(Instructions!$E$11=16,IF($T159=Instructions!$F$44,AD158+1,AD158))))))</f>
        <v>13</v>
      </c>
      <c r="AE159" s="321" t="str">
        <f t="shared" si="33"/>
        <v>313</v>
      </c>
      <c r="AF159" s="321">
        <f>IF(Instructions!$E$11=8,IF($D159=Instructions!$F$45,AF158+1,AF158),IF(Instructions!$E$11=10,IF($H159=Instructions!$F$45,AF158+1,AF158),IF(Instructions!$E$11=12,IF($L159=Instructions!$F$45,AF158+1,AF158),IF(Instructions!$E$11=14,IF($P159=Instructions!$F$45,AF158+1,AF158),IF(Instructions!$E$11=16,IF($T159=Instructions!$F$45,AF158+1,AF158))))))</f>
        <v>13</v>
      </c>
      <c r="AG159" s="321" t="str">
        <f t="shared" si="34"/>
        <v>413</v>
      </c>
      <c r="AH159" s="321">
        <f>IF(Instructions!$E$11=8,IF($D159=Instructions!$F$46,AH158+1,AH158),IF(Instructions!$E$11=10,IF($H159=Instructions!$F$46,AH158+1,AH158),IF(Instructions!$E$11=12,IF($L159=Instructions!$F$46,AH158+1,AH158),IF(Instructions!$E$11=14,IF($P159=Instructions!$F$46,AH158+1,AH158),IF(Instructions!$E$11=16,IF($T159=Instructions!$F$46,AH158+1,AH158))))))</f>
        <v>13</v>
      </c>
      <c r="AI159" s="321" t="str">
        <f t="shared" si="35"/>
        <v>513</v>
      </c>
      <c r="AJ159" s="321">
        <f>IF(Instructions!$E$11=8,IF($D159=Instructions!$F$47,AJ158+1,AJ158),IF(Instructions!$E$11=10,IF($H159=Instructions!$F$47,AJ158+1,AJ158),IF(Instructions!$E$11=12,IF($L159=Instructions!$F$47,AJ158+1,AJ158),IF(Instructions!$E$11=14,IF($P159=Instructions!$F$47,AJ158+1,AJ158),IF(Instructions!$E$11=16,IF($T159=Instructions!$F$47,AJ158+1,AJ158))))))</f>
        <v>13</v>
      </c>
      <c r="AK159" s="321" t="str">
        <f t="shared" si="36"/>
        <v>613</v>
      </c>
      <c r="AL159" s="321">
        <f>IF(Instructions!$E$11=8,IF($D159=Instructions!$F$48,AL158+1,AL158),IF(Instructions!$E$11=10,IF($H159=Instructions!$F$48,AL158+1,AL158),IF(Instructions!$E$11=12,IF($L159=Instructions!$F$48,AL158+1,AL158),IF(Instructions!$E$11=14,IF($P159=Instructions!$F$48,AL158+1,AL158),IF(Instructions!$E$11=16,IF($T159=Instructions!$F$48,AL158+1,AL158))))))</f>
        <v>13</v>
      </c>
      <c r="AM159" s="321" t="str">
        <f t="shared" si="37"/>
        <v>713</v>
      </c>
      <c r="AN159" s="321">
        <f>IF(Instructions!$E$11=8,IF($D159=Instructions!$F$49,AN158+1,AN158),IF(Instructions!$E$11=10,IF($H159=Instructions!$F$49,AN158+1,AN158),IF(Instructions!$E$11=12,IF($L159=Instructions!$F$49,AN158+1,AN158),IF(Instructions!$E$11=14,IF($P159=Instructions!$F$49,AN158+1,AN158),IF(Instructions!$E$11=16,IF($T159=Instructions!$F$49,AN158+1,AN158))))))</f>
        <v>13</v>
      </c>
      <c r="AO159" s="321" t="str">
        <f t="shared" si="38"/>
        <v>813</v>
      </c>
      <c r="AP159" s="321">
        <f>IF(Instructions!$E$11=8,IF($D159=Instructions!$F$50,AP158+1,AP158),IF(Instructions!$E$11=10,IF($H159=Instructions!$F$50,AP158+1,AP158),IF(Instructions!$E$11=12,IF($L159=Instructions!$F$50,AP158+1,AP158),IF(Instructions!$E$11=14,IF($P159=Instructions!$F$50,AP158+1,AP158),IF(Instructions!$E$11=16,IF($T159=Instructions!$F$50,AP158+1,AP158))))))</f>
        <v>13</v>
      </c>
      <c r="AQ159" s="321" t="str">
        <f t="shared" si="39"/>
        <v>913</v>
      </c>
      <c r="AR159" s="321">
        <f>IF(Instructions!$E$11=8,IF($D159=Instructions!$F$51,AR158+1,AR158),IF(Instructions!$E$11=10,IF($H159=Instructions!$F$51,AR158+1,AR158),IF(Instructions!$E$11=12,IF($L159=Instructions!$F$51,AR158+1,AR158),IF(Instructions!$E$11=14,IF($P159=Instructions!$F$51,AR158+1,AR158),IF(Instructions!$E$11=16,IF($T159=Instructions!$F$51,AR158+1,AR158))))))</f>
        <v>13</v>
      </c>
      <c r="AS159" s="321" t="str">
        <f t="shared" si="41"/>
        <v>1013</v>
      </c>
      <c r="AT159" s="321">
        <f>IF(Instructions!$E$11=8,IF($D159=Instructions!$F$52,AT158+1,AT158),IF(Instructions!$E$11=10,IF($H159=Instructions!$F$52,AT158+1,AT158),IF(Instructions!$E$11=12,IF($L159=Instructions!$F$52,AT158+1,AT158),IF(Instructions!$E$11=14,IF($P159=Instructions!$F$52,AT158+1,AT158),IF(Instructions!$E$11=16,IF($T159=Instructions!$F$52,AT158+1,AT158))))))</f>
        <v>13</v>
      </c>
      <c r="AU159" s="321" t="str">
        <f t="shared" si="42"/>
        <v>1113</v>
      </c>
      <c r="AV159" s="321">
        <f>IF(Instructions!$E$11=8,IF($D159=Instructions!$F$53,AV158+1,AV158),IF(Instructions!$E$11=10,IF($H159=Instructions!$F$53,AV158+1,AV158),IF(Instructions!$E$11=12,IF($L159=Instructions!$F$53,AV158+1,AV158),IF(Instructions!$E$11=14,IF($P159=Instructions!$F$53,AV158+1,AV158),IF(Instructions!$E$11=16,IF($T159=Instructions!$F$53,AV158+1,AV158))))))</f>
        <v>14</v>
      </c>
      <c r="AW159" s="321" t="str">
        <f t="shared" si="43"/>
        <v>1214</v>
      </c>
      <c r="AX159" s="321">
        <f>IF(Instructions!$E$11=8,IF($D159=Instructions!$F$54,AX158+1,AX158),IF(Instructions!$E$11=10,IF($H159=Instructions!$F$54,AX158+1,AX158),IF(Instructions!$E$11=12,IF($L159=Instructions!$F$54,AX158+1,AX158),IF(Instructions!$E$11=14,IF($P159=Instructions!$F$54,AX158+1,AX158),IF(Instructions!$E$11=16,IF($T159=Instructions!$F$54,AX158+1,AX158))))))</f>
        <v>0</v>
      </c>
      <c r="AY159" s="321" t="str">
        <f t="shared" si="44"/>
        <v>1300</v>
      </c>
      <c r="AZ159" s="321">
        <f>IF(Instructions!$E$11=8,IF($D159=Instructions!$F$55,AZ158+1,AZ158),IF(Instructions!$E$11=10,IF($H159=Instructions!$F$55,AZ158+1,AZ158),IF(Instructions!$E$11=12,IF($L159=Instructions!$F$55,AZ158+1,AZ158),IF(Instructions!$E$11=14,IF($P159=Instructions!$F$55,AZ158+1,AZ158),IF(Instructions!$E$11=16,IF($T159=Instructions!$F$55,AZ158+1,AZ158))))))</f>
        <v>0</v>
      </c>
      <c r="BA159" s="321" t="str">
        <f t="shared" si="45"/>
        <v>1400</v>
      </c>
      <c r="BB159" s="321">
        <f>IF(Instructions!$E$11=8,IF($D159=Instructions!$F$56,BB158+1,BB158),IF(Instructions!$E$11=10,IF($H159=Instructions!$F$56,BB158+1,BB158),IF(Instructions!$E$11=12,IF($L159=Instructions!$F$56,BB158+1,BB158),IF(Instructions!$E$11=14,IF($P159=Instructions!$F$56,BB158+1,BB158),IF(Instructions!$E$11=16,IF($T159=Instructions!$F$56,BB158+1,BB158))))))</f>
        <v>0</v>
      </c>
      <c r="BC159" s="321" t="str">
        <f t="shared" si="46"/>
        <v>1500</v>
      </c>
      <c r="BD159" s="321">
        <f>IF(Instructions!$E$11=8,IF($D159=Instructions!$F$57,BD158+1,BD158),IF(Instructions!$E$11=10,IF($H159=Instructions!$F$57,BD158+1,BD158),IF(Instructions!$E$11=12,IF($L159=Instructions!$F$57,BD158+1,BD158),IF(Instructions!$E$11=14,IF($P159=Instructions!$F$57,BD158+1,BD158),IF(Instructions!$E$11=16,IF($T159=Instructions!$F$57,BD158+1,BD158))))))</f>
        <v>0</v>
      </c>
      <c r="BE159" s="321" t="str">
        <f t="shared" si="47"/>
        <v>1600</v>
      </c>
      <c r="BF159" s="321">
        <v>157</v>
      </c>
    </row>
    <row r="160" spans="1:58" x14ac:dyDescent="0.25">
      <c r="A160" s="280"/>
      <c r="B160" s="323" t="str">
        <f>IF(Instructions!$J$11=1,AA160,IF(Instructions!$J$11=2,AC160,IF(Instructions!$J$11=3,AE160,IF(Instructions!$J$11=4,AG160,IF(Instructions!$J$11=5,AI160,IF(Instructions!$J$11=6,AK160,IF(Instructions!$J$11=7,AM160,IF(Instructions!$J$11=8,AO160,IF(Instructions!$J$11=9,AQ160,IF(Instructions!$J$11=10,AS160,IF(Instructions!$J$11=11,AU160,IF(Instructions!$J$11=12,AW160,IF(Instructions!$J$11=13, AY160, IF(Instructions!$J$11=14,BA160,IF(Instructions!$J$11=15,BC160,BE160)))))))))))))))</f>
        <v>213</v>
      </c>
      <c r="C160" s="272">
        <v>158</v>
      </c>
      <c r="D160" s="327" t="str">
        <f>Instructions!F$44</f>
        <v>Cam</v>
      </c>
      <c r="E160" s="332" t="s">
        <v>1493</v>
      </c>
      <c r="F160" s="706"/>
      <c r="G160" s="279">
        <v>20</v>
      </c>
      <c r="H160" s="294" t="str">
        <f>Instructions!F$44</f>
        <v>Cam</v>
      </c>
      <c r="I160" s="274" t="s">
        <v>1094</v>
      </c>
      <c r="J160" s="709"/>
      <c r="K160" s="279">
        <v>16</v>
      </c>
      <c r="L160" s="294" t="str">
        <f>Instructions!F$52</f>
        <v>Big R</v>
      </c>
      <c r="M160" s="274" t="s">
        <v>864</v>
      </c>
      <c r="N160" s="709"/>
      <c r="O160" s="279">
        <v>14</v>
      </c>
      <c r="P160" s="294" t="str">
        <f>Instructions!F$52</f>
        <v>Big R</v>
      </c>
      <c r="Q160" s="274" t="s">
        <v>842</v>
      </c>
      <c r="R160" s="709"/>
      <c r="S160" s="279">
        <v>12</v>
      </c>
      <c r="T160" s="327" t="str">
        <f>Instructions!F$44</f>
        <v>Cam</v>
      </c>
      <c r="U160" s="274" t="s">
        <v>946</v>
      </c>
      <c r="V160" s="706"/>
      <c r="W160" s="279">
        <v>10</v>
      </c>
      <c r="X160" s="280"/>
      <c r="Y160" s="190" t="str">
        <f>IFERROR( IF(Instructions!$E$11=8, D160&amp;COUNTIF(D$3:D160,D160), IF(Instructions!$E$11=10, H160&amp;COUNTIF(H$3:H160,H160),IF(Instructions!$E$11=12, L160&amp;COUNTIF(L$3:L160,L160),IF(Instructions!$E$11=14, P160&amp;COUNTIF(P$3:P160,P160),T160&amp;COUNTIF(T$3:T160,T160))))),"")</f>
        <v>Big R14</v>
      </c>
      <c r="Z160" s="321">
        <f>IF(Instructions!$E$11=8,IF($D160=Instructions!$F$42,Z159+1,Z159),IF(Instructions!$E$11=10,IF($H160=Instructions!$F$42,Z159+1,Z159),IF(Instructions!$E$11=12,IF($L160=Instructions!$F$42,Z159+1,Z159),IF(Instructions!$E$11=14,IF($P160=Instructions!$F$42,Z159+1,Z159),IF(Instructions!$E$11=16,IF($T160=Instructions!$F$42,Z159+1,Z159))))))</f>
        <v>13</v>
      </c>
      <c r="AA160" s="321" t="str">
        <f t="shared" si="40"/>
        <v>113</v>
      </c>
      <c r="AB160" s="321">
        <f>IF(Instructions!$E$11=8,IF($D160=Instructions!$F$43,AB159+1,AB159),IF(Instructions!$E$11=10,IF($H160=Instructions!$F$43,AB159+1,AB159),IF(Instructions!$E$11=12,IF($L160=Instructions!$F$43,AB159+1,AB159),IF(Instructions!$E$11=14,IF($P160=Instructions!$F$43,AB159+1,AB159),IF(Instructions!$E$11=16,IF($T160=Instructions!$F$43,AB159+1,AB159))))))</f>
        <v>13</v>
      </c>
      <c r="AC160" s="321" t="str">
        <f t="shared" si="32"/>
        <v>213</v>
      </c>
      <c r="AD160" s="321">
        <f>IF(Instructions!$E$11=8,IF($D160=Instructions!$F$44,AD159+1,AD159),IF(Instructions!$E$11=10,IF($H160=Instructions!$F$44,AD159+1,AD159),IF(Instructions!$E$11=12,IF($L160=Instructions!$F$44,AD159+1,AD159),IF(Instructions!$E$11=14,IF($P160=Instructions!$F$44,AD159+1,AD159),IF(Instructions!$E$11=16,IF($T160=Instructions!$F$44,AD159+1,AD159))))))</f>
        <v>13</v>
      </c>
      <c r="AE160" s="321" t="str">
        <f t="shared" si="33"/>
        <v>313</v>
      </c>
      <c r="AF160" s="321">
        <f>IF(Instructions!$E$11=8,IF($D160=Instructions!$F$45,AF159+1,AF159),IF(Instructions!$E$11=10,IF($H160=Instructions!$F$45,AF159+1,AF159),IF(Instructions!$E$11=12,IF($L160=Instructions!$F$45,AF159+1,AF159),IF(Instructions!$E$11=14,IF($P160=Instructions!$F$45,AF159+1,AF159),IF(Instructions!$E$11=16,IF($T160=Instructions!$F$45,AF159+1,AF159))))))</f>
        <v>13</v>
      </c>
      <c r="AG160" s="321" t="str">
        <f t="shared" si="34"/>
        <v>413</v>
      </c>
      <c r="AH160" s="321">
        <f>IF(Instructions!$E$11=8,IF($D160=Instructions!$F$46,AH159+1,AH159),IF(Instructions!$E$11=10,IF($H160=Instructions!$F$46,AH159+1,AH159),IF(Instructions!$E$11=12,IF($L160=Instructions!$F$46,AH159+1,AH159),IF(Instructions!$E$11=14,IF($P160=Instructions!$F$46,AH159+1,AH159),IF(Instructions!$E$11=16,IF($T160=Instructions!$F$46,AH159+1,AH159))))))</f>
        <v>13</v>
      </c>
      <c r="AI160" s="321" t="str">
        <f t="shared" si="35"/>
        <v>513</v>
      </c>
      <c r="AJ160" s="321">
        <f>IF(Instructions!$E$11=8,IF($D160=Instructions!$F$47,AJ159+1,AJ159),IF(Instructions!$E$11=10,IF($H160=Instructions!$F$47,AJ159+1,AJ159),IF(Instructions!$E$11=12,IF($L160=Instructions!$F$47,AJ159+1,AJ159),IF(Instructions!$E$11=14,IF($P160=Instructions!$F$47,AJ159+1,AJ159),IF(Instructions!$E$11=16,IF($T160=Instructions!$F$47,AJ159+1,AJ159))))))</f>
        <v>13</v>
      </c>
      <c r="AK160" s="321" t="str">
        <f t="shared" si="36"/>
        <v>613</v>
      </c>
      <c r="AL160" s="321">
        <f>IF(Instructions!$E$11=8,IF($D160=Instructions!$F$48,AL159+1,AL159),IF(Instructions!$E$11=10,IF($H160=Instructions!$F$48,AL159+1,AL159),IF(Instructions!$E$11=12,IF($L160=Instructions!$F$48,AL159+1,AL159),IF(Instructions!$E$11=14,IF($P160=Instructions!$F$48,AL159+1,AL159),IF(Instructions!$E$11=16,IF($T160=Instructions!$F$48,AL159+1,AL159))))))</f>
        <v>13</v>
      </c>
      <c r="AM160" s="321" t="str">
        <f t="shared" si="37"/>
        <v>713</v>
      </c>
      <c r="AN160" s="321">
        <f>IF(Instructions!$E$11=8,IF($D160=Instructions!$F$49,AN159+1,AN159),IF(Instructions!$E$11=10,IF($H160=Instructions!$F$49,AN159+1,AN159),IF(Instructions!$E$11=12,IF($L160=Instructions!$F$49,AN159+1,AN159),IF(Instructions!$E$11=14,IF($P160=Instructions!$F$49,AN159+1,AN159),IF(Instructions!$E$11=16,IF($T160=Instructions!$F$49,AN159+1,AN159))))))</f>
        <v>13</v>
      </c>
      <c r="AO160" s="321" t="str">
        <f t="shared" si="38"/>
        <v>813</v>
      </c>
      <c r="AP160" s="321">
        <f>IF(Instructions!$E$11=8,IF($D160=Instructions!$F$50,AP159+1,AP159),IF(Instructions!$E$11=10,IF($H160=Instructions!$F$50,AP159+1,AP159),IF(Instructions!$E$11=12,IF($L160=Instructions!$F$50,AP159+1,AP159),IF(Instructions!$E$11=14,IF($P160=Instructions!$F$50,AP159+1,AP159),IF(Instructions!$E$11=16,IF($T160=Instructions!$F$50,AP159+1,AP159))))))</f>
        <v>13</v>
      </c>
      <c r="AQ160" s="321" t="str">
        <f t="shared" si="39"/>
        <v>913</v>
      </c>
      <c r="AR160" s="321">
        <f>IF(Instructions!$E$11=8,IF($D160=Instructions!$F$51,AR159+1,AR159),IF(Instructions!$E$11=10,IF($H160=Instructions!$F$51,AR159+1,AR159),IF(Instructions!$E$11=12,IF($L160=Instructions!$F$51,AR159+1,AR159),IF(Instructions!$E$11=14,IF($P160=Instructions!$F$51,AR159+1,AR159),IF(Instructions!$E$11=16,IF($T160=Instructions!$F$51,AR159+1,AR159))))))</f>
        <v>13</v>
      </c>
      <c r="AS160" s="321" t="str">
        <f t="shared" si="41"/>
        <v>1013</v>
      </c>
      <c r="AT160" s="321">
        <f>IF(Instructions!$E$11=8,IF($D160=Instructions!$F$52,AT159+1,AT159),IF(Instructions!$E$11=10,IF($H160=Instructions!$F$52,AT159+1,AT159),IF(Instructions!$E$11=12,IF($L160=Instructions!$F$52,AT159+1,AT159),IF(Instructions!$E$11=14,IF($P160=Instructions!$F$52,AT159+1,AT159),IF(Instructions!$E$11=16,IF($T160=Instructions!$F$52,AT159+1,AT159))))))</f>
        <v>14</v>
      </c>
      <c r="AU160" s="321" t="str">
        <f t="shared" si="42"/>
        <v>1114</v>
      </c>
      <c r="AV160" s="321">
        <f>IF(Instructions!$E$11=8,IF($D160=Instructions!$F$53,AV159+1,AV159),IF(Instructions!$E$11=10,IF($H160=Instructions!$F$53,AV159+1,AV159),IF(Instructions!$E$11=12,IF($L160=Instructions!$F$53,AV159+1,AV159),IF(Instructions!$E$11=14,IF($P160=Instructions!$F$53,AV159+1,AV159),IF(Instructions!$E$11=16,IF($T160=Instructions!$F$53,AV159+1,AV159))))))</f>
        <v>14</v>
      </c>
      <c r="AW160" s="321" t="str">
        <f t="shared" si="43"/>
        <v>1214</v>
      </c>
      <c r="AX160" s="321">
        <f>IF(Instructions!$E$11=8,IF($D160=Instructions!$F$54,AX159+1,AX159),IF(Instructions!$E$11=10,IF($H160=Instructions!$F$54,AX159+1,AX159),IF(Instructions!$E$11=12,IF($L160=Instructions!$F$54,AX159+1,AX159),IF(Instructions!$E$11=14,IF($P160=Instructions!$F$54,AX159+1,AX159),IF(Instructions!$E$11=16,IF($T160=Instructions!$F$54,AX159+1,AX159))))))</f>
        <v>0</v>
      </c>
      <c r="AY160" s="321" t="str">
        <f t="shared" si="44"/>
        <v>1300</v>
      </c>
      <c r="AZ160" s="321">
        <f>IF(Instructions!$E$11=8,IF($D160=Instructions!$F$55,AZ159+1,AZ159),IF(Instructions!$E$11=10,IF($H160=Instructions!$F$55,AZ159+1,AZ159),IF(Instructions!$E$11=12,IF($L160=Instructions!$F$55,AZ159+1,AZ159),IF(Instructions!$E$11=14,IF($P160=Instructions!$F$55,AZ159+1,AZ159),IF(Instructions!$E$11=16,IF($T160=Instructions!$F$55,AZ159+1,AZ159))))))</f>
        <v>0</v>
      </c>
      <c r="BA160" s="321" t="str">
        <f t="shared" si="45"/>
        <v>1400</v>
      </c>
      <c r="BB160" s="321">
        <f>IF(Instructions!$E$11=8,IF($D160=Instructions!$F$56,BB159+1,BB159),IF(Instructions!$E$11=10,IF($H160=Instructions!$F$56,BB159+1,BB159),IF(Instructions!$E$11=12,IF($L160=Instructions!$F$56,BB159+1,BB159),IF(Instructions!$E$11=14,IF($P160=Instructions!$F$56,BB159+1,BB159),IF(Instructions!$E$11=16,IF($T160=Instructions!$F$56,BB159+1,BB159))))))</f>
        <v>0</v>
      </c>
      <c r="BC160" s="321" t="str">
        <f t="shared" si="46"/>
        <v>1500</v>
      </c>
      <c r="BD160" s="321">
        <f>IF(Instructions!$E$11=8,IF($D160=Instructions!$F$57,BD159+1,BD159),IF(Instructions!$E$11=10,IF($H160=Instructions!$F$57,BD159+1,BD159),IF(Instructions!$E$11=12,IF($L160=Instructions!$F$57,BD159+1,BD159),IF(Instructions!$E$11=14,IF($P160=Instructions!$F$57,BD159+1,BD159),IF(Instructions!$E$11=16,IF($T160=Instructions!$F$57,BD159+1,BD159))))))</f>
        <v>0</v>
      </c>
      <c r="BE160" s="321" t="str">
        <f t="shared" si="47"/>
        <v>1600</v>
      </c>
      <c r="BF160" s="321">
        <v>158</v>
      </c>
    </row>
    <row r="161" spans="1:58" x14ac:dyDescent="0.25">
      <c r="A161" s="280"/>
      <c r="B161" s="323" t="str">
        <f>IF(Instructions!$J$11=1,AA161,IF(Instructions!$J$11=2,AC161,IF(Instructions!$J$11=3,AE161,IF(Instructions!$J$11=4,AG161,IF(Instructions!$J$11=5,AI161,IF(Instructions!$J$11=6,AK161,IF(Instructions!$J$11=7,AM161,IF(Instructions!$J$11=8,AO161,IF(Instructions!$J$11=9,AQ161,IF(Instructions!$J$11=10,AS161,IF(Instructions!$J$11=11,AU161,IF(Instructions!$J$11=12,AW161,IF(Instructions!$J$11=13, AY161, IF(Instructions!$J$11=14,BA161,IF(Instructions!$J$11=15,BC161,BE161)))))))))))))))</f>
        <v>213</v>
      </c>
      <c r="C161" s="271">
        <v>159</v>
      </c>
      <c r="D161" s="328" t="str">
        <f>Instructions!F$43</f>
        <v>Camden</v>
      </c>
      <c r="E161" s="333" t="s">
        <v>1494</v>
      </c>
      <c r="F161" s="706"/>
      <c r="G161" s="279">
        <v>20</v>
      </c>
      <c r="H161" s="293" t="str">
        <f>Instructions!F$43</f>
        <v>Camden</v>
      </c>
      <c r="I161" s="273" t="s">
        <v>1095</v>
      </c>
      <c r="J161" s="709"/>
      <c r="K161" s="279">
        <v>16</v>
      </c>
      <c r="L161" s="293" t="str">
        <f>Instructions!F$51</f>
        <v>Josh</v>
      </c>
      <c r="M161" s="273" t="s">
        <v>865</v>
      </c>
      <c r="N161" s="709"/>
      <c r="O161" s="279">
        <v>14</v>
      </c>
      <c r="P161" s="293" t="str">
        <f>Instructions!F$51</f>
        <v>Josh</v>
      </c>
      <c r="Q161" s="273" t="s">
        <v>843</v>
      </c>
      <c r="R161" s="709"/>
      <c r="S161" s="279">
        <v>12</v>
      </c>
      <c r="T161" s="328" t="str">
        <f>Instructions!F$43</f>
        <v>Camden</v>
      </c>
      <c r="U161" s="273" t="s">
        <v>1582</v>
      </c>
      <c r="V161" s="706"/>
      <c r="W161" s="279">
        <v>10</v>
      </c>
      <c r="X161" s="280"/>
      <c r="Y161" s="190" t="str">
        <f>IFERROR( IF(Instructions!$E$11=8, D161&amp;COUNTIF(D$3:D161,D161), IF(Instructions!$E$11=10, H161&amp;COUNTIF(H$3:H161,H161),IF(Instructions!$E$11=12, L161&amp;COUNTIF(L$3:L161,L161),IF(Instructions!$E$11=14, P161&amp;COUNTIF(P$3:P161,P161),T161&amp;COUNTIF(T$3:T161,T161))))),"")</f>
        <v>Josh14</v>
      </c>
      <c r="Z161" s="321">
        <f>IF(Instructions!$E$11=8,IF($D161=Instructions!$F$42,Z160+1,Z160),IF(Instructions!$E$11=10,IF($H161=Instructions!$F$42,Z160+1,Z160),IF(Instructions!$E$11=12,IF($L161=Instructions!$F$42,Z160+1,Z160),IF(Instructions!$E$11=14,IF($P161=Instructions!$F$42,Z160+1,Z160),IF(Instructions!$E$11=16,IF($T161=Instructions!$F$42,Z160+1,Z160))))))</f>
        <v>13</v>
      </c>
      <c r="AA161" s="321" t="str">
        <f t="shared" si="40"/>
        <v>113</v>
      </c>
      <c r="AB161" s="321">
        <f>IF(Instructions!$E$11=8,IF($D161=Instructions!$F$43,AB160+1,AB160),IF(Instructions!$E$11=10,IF($H161=Instructions!$F$43,AB160+1,AB160),IF(Instructions!$E$11=12,IF($L161=Instructions!$F$43,AB160+1,AB160),IF(Instructions!$E$11=14,IF($P161=Instructions!$F$43,AB160+1,AB160),IF(Instructions!$E$11=16,IF($T161=Instructions!$F$43,AB160+1,AB160))))))</f>
        <v>13</v>
      </c>
      <c r="AC161" s="321" t="str">
        <f t="shared" si="32"/>
        <v>213</v>
      </c>
      <c r="AD161" s="321">
        <f>IF(Instructions!$E$11=8,IF($D161=Instructions!$F$44,AD160+1,AD160),IF(Instructions!$E$11=10,IF($H161=Instructions!$F$44,AD160+1,AD160),IF(Instructions!$E$11=12,IF($L161=Instructions!$F$44,AD160+1,AD160),IF(Instructions!$E$11=14,IF($P161=Instructions!$F$44,AD160+1,AD160),IF(Instructions!$E$11=16,IF($T161=Instructions!$F$44,AD160+1,AD160))))))</f>
        <v>13</v>
      </c>
      <c r="AE161" s="321" t="str">
        <f t="shared" si="33"/>
        <v>313</v>
      </c>
      <c r="AF161" s="321">
        <f>IF(Instructions!$E$11=8,IF($D161=Instructions!$F$45,AF160+1,AF160),IF(Instructions!$E$11=10,IF($H161=Instructions!$F$45,AF160+1,AF160),IF(Instructions!$E$11=12,IF($L161=Instructions!$F$45,AF160+1,AF160),IF(Instructions!$E$11=14,IF($P161=Instructions!$F$45,AF160+1,AF160),IF(Instructions!$E$11=16,IF($T161=Instructions!$F$45,AF160+1,AF160))))))</f>
        <v>13</v>
      </c>
      <c r="AG161" s="321" t="str">
        <f t="shared" si="34"/>
        <v>413</v>
      </c>
      <c r="AH161" s="321">
        <f>IF(Instructions!$E$11=8,IF($D161=Instructions!$F$46,AH160+1,AH160),IF(Instructions!$E$11=10,IF($H161=Instructions!$F$46,AH160+1,AH160),IF(Instructions!$E$11=12,IF($L161=Instructions!$F$46,AH160+1,AH160),IF(Instructions!$E$11=14,IF($P161=Instructions!$F$46,AH160+1,AH160),IF(Instructions!$E$11=16,IF($T161=Instructions!$F$46,AH160+1,AH160))))))</f>
        <v>13</v>
      </c>
      <c r="AI161" s="321" t="str">
        <f t="shared" si="35"/>
        <v>513</v>
      </c>
      <c r="AJ161" s="321">
        <f>IF(Instructions!$E$11=8,IF($D161=Instructions!$F$47,AJ160+1,AJ160),IF(Instructions!$E$11=10,IF($H161=Instructions!$F$47,AJ160+1,AJ160),IF(Instructions!$E$11=12,IF($L161=Instructions!$F$47,AJ160+1,AJ160),IF(Instructions!$E$11=14,IF($P161=Instructions!$F$47,AJ160+1,AJ160),IF(Instructions!$E$11=16,IF($T161=Instructions!$F$47,AJ160+1,AJ160))))))</f>
        <v>13</v>
      </c>
      <c r="AK161" s="321" t="str">
        <f t="shared" si="36"/>
        <v>613</v>
      </c>
      <c r="AL161" s="321">
        <f>IF(Instructions!$E$11=8,IF($D161=Instructions!$F$48,AL160+1,AL160),IF(Instructions!$E$11=10,IF($H161=Instructions!$F$48,AL160+1,AL160),IF(Instructions!$E$11=12,IF($L161=Instructions!$F$48,AL160+1,AL160),IF(Instructions!$E$11=14,IF($P161=Instructions!$F$48,AL160+1,AL160),IF(Instructions!$E$11=16,IF($T161=Instructions!$F$48,AL160+1,AL160))))))</f>
        <v>13</v>
      </c>
      <c r="AM161" s="321" t="str">
        <f t="shared" si="37"/>
        <v>713</v>
      </c>
      <c r="AN161" s="321">
        <f>IF(Instructions!$E$11=8,IF($D161=Instructions!$F$49,AN160+1,AN160),IF(Instructions!$E$11=10,IF($H161=Instructions!$F$49,AN160+1,AN160),IF(Instructions!$E$11=12,IF($L161=Instructions!$F$49,AN160+1,AN160),IF(Instructions!$E$11=14,IF($P161=Instructions!$F$49,AN160+1,AN160),IF(Instructions!$E$11=16,IF($T161=Instructions!$F$49,AN160+1,AN160))))))</f>
        <v>13</v>
      </c>
      <c r="AO161" s="321" t="str">
        <f t="shared" si="38"/>
        <v>813</v>
      </c>
      <c r="AP161" s="321">
        <f>IF(Instructions!$E$11=8,IF($D161=Instructions!$F$50,AP160+1,AP160),IF(Instructions!$E$11=10,IF($H161=Instructions!$F$50,AP160+1,AP160),IF(Instructions!$E$11=12,IF($L161=Instructions!$F$50,AP160+1,AP160),IF(Instructions!$E$11=14,IF($P161=Instructions!$F$50,AP160+1,AP160),IF(Instructions!$E$11=16,IF($T161=Instructions!$F$50,AP160+1,AP160))))))</f>
        <v>13</v>
      </c>
      <c r="AQ161" s="321" t="str">
        <f t="shared" si="39"/>
        <v>913</v>
      </c>
      <c r="AR161" s="321">
        <f>IF(Instructions!$E$11=8,IF($D161=Instructions!$F$51,AR160+1,AR160),IF(Instructions!$E$11=10,IF($H161=Instructions!$F$51,AR160+1,AR160),IF(Instructions!$E$11=12,IF($L161=Instructions!$F$51,AR160+1,AR160),IF(Instructions!$E$11=14,IF($P161=Instructions!$F$51,AR160+1,AR160),IF(Instructions!$E$11=16,IF($T161=Instructions!$F$51,AR160+1,AR160))))))</f>
        <v>14</v>
      </c>
      <c r="AS161" s="321" t="str">
        <f t="shared" si="41"/>
        <v>1014</v>
      </c>
      <c r="AT161" s="321">
        <f>IF(Instructions!$E$11=8,IF($D161=Instructions!$F$52,AT160+1,AT160),IF(Instructions!$E$11=10,IF($H161=Instructions!$F$52,AT160+1,AT160),IF(Instructions!$E$11=12,IF($L161=Instructions!$F$52,AT160+1,AT160),IF(Instructions!$E$11=14,IF($P161=Instructions!$F$52,AT160+1,AT160),IF(Instructions!$E$11=16,IF($T161=Instructions!$F$52,AT160+1,AT160))))))</f>
        <v>14</v>
      </c>
      <c r="AU161" s="321" t="str">
        <f t="shared" si="42"/>
        <v>1114</v>
      </c>
      <c r="AV161" s="321">
        <f>IF(Instructions!$E$11=8,IF($D161=Instructions!$F$53,AV160+1,AV160),IF(Instructions!$E$11=10,IF($H161=Instructions!$F$53,AV160+1,AV160),IF(Instructions!$E$11=12,IF($L161=Instructions!$F$53,AV160+1,AV160),IF(Instructions!$E$11=14,IF($P161=Instructions!$F$53,AV160+1,AV160),IF(Instructions!$E$11=16,IF($T161=Instructions!$F$53,AV160+1,AV160))))))</f>
        <v>14</v>
      </c>
      <c r="AW161" s="321" t="str">
        <f t="shared" si="43"/>
        <v>1214</v>
      </c>
      <c r="AX161" s="321">
        <f>IF(Instructions!$E$11=8,IF($D161=Instructions!$F$54,AX160+1,AX160),IF(Instructions!$E$11=10,IF($H161=Instructions!$F$54,AX160+1,AX160),IF(Instructions!$E$11=12,IF($L161=Instructions!$F$54,AX160+1,AX160),IF(Instructions!$E$11=14,IF($P161=Instructions!$F$54,AX160+1,AX160),IF(Instructions!$E$11=16,IF($T161=Instructions!$F$54,AX160+1,AX160))))))</f>
        <v>0</v>
      </c>
      <c r="AY161" s="321" t="str">
        <f t="shared" si="44"/>
        <v>1300</v>
      </c>
      <c r="AZ161" s="321">
        <f>IF(Instructions!$E$11=8,IF($D161=Instructions!$F$55,AZ160+1,AZ160),IF(Instructions!$E$11=10,IF($H161=Instructions!$F$55,AZ160+1,AZ160),IF(Instructions!$E$11=12,IF($L161=Instructions!$F$55,AZ160+1,AZ160),IF(Instructions!$E$11=14,IF($P161=Instructions!$F$55,AZ160+1,AZ160),IF(Instructions!$E$11=16,IF($T161=Instructions!$F$55,AZ160+1,AZ160))))))</f>
        <v>0</v>
      </c>
      <c r="BA161" s="321" t="str">
        <f t="shared" si="45"/>
        <v>1400</v>
      </c>
      <c r="BB161" s="321">
        <f>IF(Instructions!$E$11=8,IF($D161=Instructions!$F$56,BB160+1,BB160),IF(Instructions!$E$11=10,IF($H161=Instructions!$F$56,BB160+1,BB160),IF(Instructions!$E$11=12,IF($L161=Instructions!$F$56,BB160+1,BB160),IF(Instructions!$E$11=14,IF($P161=Instructions!$F$56,BB160+1,BB160),IF(Instructions!$E$11=16,IF($T161=Instructions!$F$56,BB160+1,BB160))))))</f>
        <v>0</v>
      </c>
      <c r="BC161" s="321" t="str">
        <f t="shared" si="46"/>
        <v>1500</v>
      </c>
      <c r="BD161" s="321">
        <f>IF(Instructions!$E$11=8,IF($D161=Instructions!$F$57,BD160+1,BD160),IF(Instructions!$E$11=10,IF($H161=Instructions!$F$57,BD160+1,BD160),IF(Instructions!$E$11=12,IF($L161=Instructions!$F$57,BD160+1,BD160),IF(Instructions!$E$11=14,IF($P161=Instructions!$F$57,BD160+1,BD160),IF(Instructions!$E$11=16,IF($T161=Instructions!$F$57,BD160+1,BD160))))))</f>
        <v>0</v>
      </c>
      <c r="BE161" s="321" t="str">
        <f t="shared" si="47"/>
        <v>1600</v>
      </c>
      <c r="BF161" s="321">
        <v>159</v>
      </c>
    </row>
    <row r="162" spans="1:58" ht="15.75" thickBot="1" x14ac:dyDescent="0.3">
      <c r="A162" s="280"/>
      <c r="B162" s="323" t="str">
        <f>IF(Instructions!$J$11=1,AA162,IF(Instructions!$J$11=2,AC162,IF(Instructions!$J$11=3,AE162,IF(Instructions!$J$11=4,AG162,IF(Instructions!$J$11=5,AI162,IF(Instructions!$J$11=6,AK162,IF(Instructions!$J$11=7,AM162,IF(Instructions!$J$11=8,AO162,IF(Instructions!$J$11=9,AQ162,IF(Instructions!$J$11=10,AS162,IF(Instructions!$J$11=11,AU162,IF(Instructions!$J$11=12,AW162,IF(Instructions!$J$11=13, AY162, IF(Instructions!$J$11=14,BA162,IF(Instructions!$J$11=15,BC162,BE162)))))))))))))))</f>
        <v>213</v>
      </c>
      <c r="C162" s="272">
        <v>160</v>
      </c>
      <c r="D162" s="329" t="str">
        <f>Instructions!F$42</f>
        <v>Trumbo</v>
      </c>
      <c r="E162" s="332" t="s">
        <v>1495</v>
      </c>
      <c r="F162" s="707"/>
      <c r="G162" s="279">
        <v>20</v>
      </c>
      <c r="H162" s="295" t="str">
        <f>Instructions!F$42</f>
        <v>Trumbo</v>
      </c>
      <c r="I162" s="277" t="s">
        <v>1096</v>
      </c>
      <c r="J162" s="710"/>
      <c r="K162" s="279">
        <v>16</v>
      </c>
      <c r="L162" s="294" t="str">
        <f>Instructions!F$50</f>
        <v>Dan</v>
      </c>
      <c r="M162" s="274" t="s">
        <v>866</v>
      </c>
      <c r="N162" s="709"/>
      <c r="O162" s="279">
        <v>14</v>
      </c>
      <c r="P162" s="294" t="str">
        <f>Instructions!F$50</f>
        <v>Dan</v>
      </c>
      <c r="Q162" s="274" t="s">
        <v>844</v>
      </c>
      <c r="R162" s="709"/>
      <c r="S162" s="279">
        <v>12</v>
      </c>
      <c r="T162" s="329" t="str">
        <f>Instructions!F$42</f>
        <v>Trumbo</v>
      </c>
      <c r="U162" s="330" t="s">
        <v>1583</v>
      </c>
      <c r="V162" s="707"/>
      <c r="W162" s="279">
        <v>10</v>
      </c>
      <c r="X162" s="280"/>
      <c r="Y162" s="190" t="str">
        <f>IFERROR( IF(Instructions!$E$11=8, D162&amp;COUNTIF(D$3:D162,D162), IF(Instructions!$E$11=10, H162&amp;COUNTIF(H$3:H162,H162),IF(Instructions!$E$11=12, L162&amp;COUNTIF(L$3:L162,L162),IF(Instructions!$E$11=14, P162&amp;COUNTIF(P$3:P162,P162),T162&amp;COUNTIF(T$3:T162,T162))))),"")</f>
        <v>Dan14</v>
      </c>
      <c r="Z162" s="321">
        <f>IF(Instructions!$E$11=8,IF($D162=Instructions!$F$42,Z161+1,Z161),IF(Instructions!$E$11=10,IF($H162=Instructions!$F$42,Z161+1,Z161),IF(Instructions!$E$11=12,IF($L162=Instructions!$F$42,Z161+1,Z161),IF(Instructions!$E$11=14,IF($P162=Instructions!$F$42,Z161+1,Z161),IF(Instructions!$E$11=16,IF($T162=Instructions!$F$42,Z161+1,Z161))))))</f>
        <v>13</v>
      </c>
      <c r="AA162" s="321" t="str">
        <f t="shared" si="40"/>
        <v>113</v>
      </c>
      <c r="AB162" s="321">
        <f>IF(Instructions!$E$11=8,IF($D162=Instructions!$F$43,AB161+1,AB161),IF(Instructions!$E$11=10,IF($H162=Instructions!$F$43,AB161+1,AB161),IF(Instructions!$E$11=12,IF($L162=Instructions!$F$43,AB161+1,AB161),IF(Instructions!$E$11=14,IF($P162=Instructions!$F$43,AB161+1,AB161),IF(Instructions!$E$11=16,IF($T162=Instructions!$F$43,AB161+1,AB161))))))</f>
        <v>13</v>
      </c>
      <c r="AC162" s="321" t="str">
        <f t="shared" si="32"/>
        <v>213</v>
      </c>
      <c r="AD162" s="321">
        <f>IF(Instructions!$E$11=8,IF($D162=Instructions!$F$44,AD161+1,AD161),IF(Instructions!$E$11=10,IF($H162=Instructions!$F$44,AD161+1,AD161),IF(Instructions!$E$11=12,IF($L162=Instructions!$F$44,AD161+1,AD161),IF(Instructions!$E$11=14,IF($P162=Instructions!$F$44,AD161+1,AD161),IF(Instructions!$E$11=16,IF($T162=Instructions!$F$44,AD161+1,AD161))))))</f>
        <v>13</v>
      </c>
      <c r="AE162" s="321" t="str">
        <f t="shared" si="33"/>
        <v>313</v>
      </c>
      <c r="AF162" s="321">
        <f>IF(Instructions!$E$11=8,IF($D162=Instructions!$F$45,AF161+1,AF161),IF(Instructions!$E$11=10,IF($H162=Instructions!$F$45,AF161+1,AF161),IF(Instructions!$E$11=12,IF($L162=Instructions!$F$45,AF161+1,AF161),IF(Instructions!$E$11=14,IF($P162=Instructions!$F$45,AF161+1,AF161),IF(Instructions!$E$11=16,IF($T162=Instructions!$F$45,AF161+1,AF161))))))</f>
        <v>13</v>
      </c>
      <c r="AG162" s="321" t="str">
        <f t="shared" si="34"/>
        <v>413</v>
      </c>
      <c r="AH162" s="321">
        <f>IF(Instructions!$E$11=8,IF($D162=Instructions!$F$46,AH161+1,AH161),IF(Instructions!$E$11=10,IF($H162=Instructions!$F$46,AH161+1,AH161),IF(Instructions!$E$11=12,IF($L162=Instructions!$F$46,AH161+1,AH161),IF(Instructions!$E$11=14,IF($P162=Instructions!$F$46,AH161+1,AH161),IF(Instructions!$E$11=16,IF($T162=Instructions!$F$46,AH161+1,AH161))))))</f>
        <v>13</v>
      </c>
      <c r="AI162" s="321" t="str">
        <f t="shared" si="35"/>
        <v>513</v>
      </c>
      <c r="AJ162" s="321">
        <f>IF(Instructions!$E$11=8,IF($D162=Instructions!$F$47,AJ161+1,AJ161),IF(Instructions!$E$11=10,IF($H162=Instructions!$F$47,AJ161+1,AJ161),IF(Instructions!$E$11=12,IF($L162=Instructions!$F$47,AJ161+1,AJ161),IF(Instructions!$E$11=14,IF($P162=Instructions!$F$47,AJ161+1,AJ161),IF(Instructions!$E$11=16,IF($T162=Instructions!$F$47,AJ161+1,AJ161))))))</f>
        <v>13</v>
      </c>
      <c r="AK162" s="321" t="str">
        <f t="shared" si="36"/>
        <v>613</v>
      </c>
      <c r="AL162" s="321">
        <f>IF(Instructions!$E$11=8,IF($D162=Instructions!$F$48,AL161+1,AL161),IF(Instructions!$E$11=10,IF($H162=Instructions!$F$48,AL161+1,AL161),IF(Instructions!$E$11=12,IF($L162=Instructions!$F$48,AL161+1,AL161),IF(Instructions!$E$11=14,IF($P162=Instructions!$F$48,AL161+1,AL161),IF(Instructions!$E$11=16,IF($T162=Instructions!$F$48,AL161+1,AL161))))))</f>
        <v>13</v>
      </c>
      <c r="AM162" s="321" t="str">
        <f t="shared" si="37"/>
        <v>713</v>
      </c>
      <c r="AN162" s="321">
        <f>IF(Instructions!$E$11=8,IF($D162=Instructions!$F$49,AN161+1,AN161),IF(Instructions!$E$11=10,IF($H162=Instructions!$F$49,AN161+1,AN161),IF(Instructions!$E$11=12,IF($L162=Instructions!$F$49,AN161+1,AN161),IF(Instructions!$E$11=14,IF($P162=Instructions!$F$49,AN161+1,AN161),IF(Instructions!$E$11=16,IF($T162=Instructions!$F$49,AN161+1,AN161))))))</f>
        <v>13</v>
      </c>
      <c r="AO162" s="321" t="str">
        <f t="shared" si="38"/>
        <v>813</v>
      </c>
      <c r="AP162" s="321">
        <f>IF(Instructions!$E$11=8,IF($D162=Instructions!$F$50,AP161+1,AP161),IF(Instructions!$E$11=10,IF($H162=Instructions!$F$50,AP161+1,AP161),IF(Instructions!$E$11=12,IF($L162=Instructions!$F$50,AP161+1,AP161),IF(Instructions!$E$11=14,IF($P162=Instructions!$F$50,AP161+1,AP161),IF(Instructions!$E$11=16,IF($T162=Instructions!$F$50,AP161+1,AP161))))))</f>
        <v>14</v>
      </c>
      <c r="AQ162" s="321" t="str">
        <f t="shared" si="39"/>
        <v>914</v>
      </c>
      <c r="AR162" s="321">
        <f>IF(Instructions!$E$11=8,IF($D162=Instructions!$F$51,AR161+1,AR161),IF(Instructions!$E$11=10,IF($H162=Instructions!$F$51,AR161+1,AR161),IF(Instructions!$E$11=12,IF($L162=Instructions!$F$51,AR161+1,AR161),IF(Instructions!$E$11=14,IF($P162=Instructions!$F$51,AR161+1,AR161),IF(Instructions!$E$11=16,IF($T162=Instructions!$F$51,AR161+1,AR161))))))</f>
        <v>14</v>
      </c>
      <c r="AS162" s="321" t="str">
        <f t="shared" si="41"/>
        <v>1014</v>
      </c>
      <c r="AT162" s="321">
        <f>IF(Instructions!$E$11=8,IF($D162=Instructions!$F$52,AT161+1,AT161),IF(Instructions!$E$11=10,IF($H162=Instructions!$F$52,AT161+1,AT161),IF(Instructions!$E$11=12,IF($L162=Instructions!$F$52,AT161+1,AT161),IF(Instructions!$E$11=14,IF($P162=Instructions!$F$52,AT161+1,AT161),IF(Instructions!$E$11=16,IF($T162=Instructions!$F$52,AT161+1,AT161))))))</f>
        <v>14</v>
      </c>
      <c r="AU162" s="321" t="str">
        <f t="shared" si="42"/>
        <v>1114</v>
      </c>
      <c r="AV162" s="321">
        <f>IF(Instructions!$E$11=8,IF($D162=Instructions!$F$53,AV161+1,AV161),IF(Instructions!$E$11=10,IF($H162=Instructions!$F$53,AV161+1,AV161),IF(Instructions!$E$11=12,IF($L162=Instructions!$F$53,AV161+1,AV161),IF(Instructions!$E$11=14,IF($P162=Instructions!$F$53,AV161+1,AV161),IF(Instructions!$E$11=16,IF($T162=Instructions!$F$53,AV161+1,AV161))))))</f>
        <v>14</v>
      </c>
      <c r="AW162" s="321" t="str">
        <f t="shared" si="43"/>
        <v>1214</v>
      </c>
      <c r="AX162" s="321">
        <f>IF(Instructions!$E$11=8,IF($D162=Instructions!$F$54,AX161+1,AX161),IF(Instructions!$E$11=10,IF($H162=Instructions!$F$54,AX161+1,AX161),IF(Instructions!$E$11=12,IF($L162=Instructions!$F$54,AX161+1,AX161),IF(Instructions!$E$11=14,IF($P162=Instructions!$F$54,AX161+1,AX161),IF(Instructions!$E$11=16,IF($T162=Instructions!$F$54,AX161+1,AX161))))))</f>
        <v>0</v>
      </c>
      <c r="AY162" s="321" t="str">
        <f t="shared" si="44"/>
        <v>1300</v>
      </c>
      <c r="AZ162" s="321">
        <f>IF(Instructions!$E$11=8,IF($D162=Instructions!$F$55,AZ161+1,AZ161),IF(Instructions!$E$11=10,IF($H162=Instructions!$F$55,AZ161+1,AZ161),IF(Instructions!$E$11=12,IF($L162=Instructions!$F$55,AZ161+1,AZ161),IF(Instructions!$E$11=14,IF($P162=Instructions!$F$55,AZ161+1,AZ161),IF(Instructions!$E$11=16,IF($T162=Instructions!$F$55,AZ161+1,AZ161))))))</f>
        <v>0</v>
      </c>
      <c r="BA162" s="321" t="str">
        <f t="shared" si="45"/>
        <v>1400</v>
      </c>
      <c r="BB162" s="321">
        <f>IF(Instructions!$E$11=8,IF($D162=Instructions!$F$56,BB161+1,BB161),IF(Instructions!$E$11=10,IF($H162=Instructions!$F$56,BB161+1,BB161),IF(Instructions!$E$11=12,IF($L162=Instructions!$F$56,BB161+1,BB161),IF(Instructions!$E$11=14,IF($P162=Instructions!$F$56,BB161+1,BB161),IF(Instructions!$E$11=16,IF($T162=Instructions!$F$56,BB161+1,BB161))))))</f>
        <v>0</v>
      </c>
      <c r="BC162" s="321" t="str">
        <f t="shared" si="46"/>
        <v>1500</v>
      </c>
      <c r="BD162" s="321">
        <f>IF(Instructions!$E$11=8,IF($D162=Instructions!$F$57,BD161+1,BD161),IF(Instructions!$E$11=10,IF($H162=Instructions!$F$57,BD161+1,BD161),IF(Instructions!$E$11=12,IF($L162=Instructions!$F$57,BD161+1,BD161),IF(Instructions!$E$11=14,IF($P162=Instructions!$F$57,BD161+1,BD161),IF(Instructions!$E$11=16,IF($T162=Instructions!$F$57,BD161+1,BD161))))))</f>
        <v>0</v>
      </c>
      <c r="BE162" s="321" t="str">
        <f t="shared" si="47"/>
        <v>1600</v>
      </c>
      <c r="BF162" s="321">
        <v>160</v>
      </c>
    </row>
    <row r="163" spans="1:58" ht="15" customHeight="1" x14ac:dyDescent="0.25">
      <c r="A163" s="280"/>
      <c r="B163" s="323" t="str">
        <f>IF(Instructions!$J$11=1,AA163,IF(Instructions!$J$11=2,AC163,IF(Instructions!$J$11=3,AE163,IF(Instructions!$J$11=4,AG163,IF(Instructions!$J$11=5,AI163,IF(Instructions!$J$11=6,AK163,IF(Instructions!$J$11=7,AM163,IF(Instructions!$J$11=8,AO163,IF(Instructions!$J$11=9,AQ163,IF(Instructions!$J$11=10,AS163,IF(Instructions!$J$11=11,AU163,IF(Instructions!$J$11=12,AW163,IF(Instructions!$J$11=13, AY163, IF(Instructions!$J$11=14,BA163,IF(Instructions!$J$11=15,BC163,BE163)))))))))))))))</f>
        <v>213</v>
      </c>
      <c r="C163" s="271">
        <v>161</v>
      </c>
      <c r="D163" s="325" t="str">
        <f>Instructions!F$42</f>
        <v>Trumbo</v>
      </c>
      <c r="E163" s="331" t="s">
        <v>1496</v>
      </c>
      <c r="F163" s="705" t="s">
        <v>1459</v>
      </c>
      <c r="G163" s="279">
        <v>21</v>
      </c>
      <c r="H163" s="292" t="str">
        <f>Instructions!F$42</f>
        <v>Trumbo</v>
      </c>
      <c r="I163" s="276" t="s">
        <v>1464</v>
      </c>
      <c r="J163" s="708" t="s">
        <v>1455</v>
      </c>
      <c r="K163" s="279">
        <v>17</v>
      </c>
      <c r="L163" s="293" t="str">
        <f>Instructions!F$49</f>
        <v>Luke</v>
      </c>
      <c r="M163" s="273" t="s">
        <v>867</v>
      </c>
      <c r="N163" s="709"/>
      <c r="O163" s="279">
        <v>14</v>
      </c>
      <c r="P163" s="293" t="str">
        <f>Instructions!F$49</f>
        <v>Luke</v>
      </c>
      <c r="Q163" s="273" t="s">
        <v>845</v>
      </c>
      <c r="R163" s="709"/>
      <c r="S163" s="279">
        <v>12</v>
      </c>
      <c r="T163" s="325" t="str">
        <f>Instructions!F$42</f>
        <v>Trumbo</v>
      </c>
      <c r="U163" s="326" t="s">
        <v>827</v>
      </c>
      <c r="V163" s="705" t="s">
        <v>906</v>
      </c>
      <c r="W163" s="279">
        <v>11</v>
      </c>
      <c r="X163" s="280"/>
      <c r="Y163" s="190" t="str">
        <f>IFERROR( IF(Instructions!$E$11=8, D163&amp;COUNTIF(D$3:D163,D163), IF(Instructions!$E$11=10, H163&amp;COUNTIF(H$3:H163,H163),IF(Instructions!$E$11=12, L163&amp;COUNTIF(L$3:L163,L163),IF(Instructions!$E$11=14, P163&amp;COUNTIF(P$3:P163,P163),T163&amp;COUNTIF(T$3:T163,T163))))),"")</f>
        <v>Luke14</v>
      </c>
      <c r="Z163" s="321">
        <f>IF(Instructions!$E$11=8,IF($D163=Instructions!$F$42,Z162+1,Z162),IF(Instructions!$E$11=10,IF($H163=Instructions!$F$42,Z162+1,Z162),IF(Instructions!$E$11=12,IF($L163=Instructions!$F$42,Z162+1,Z162),IF(Instructions!$E$11=14,IF($P163=Instructions!$F$42,Z162+1,Z162),IF(Instructions!$E$11=16,IF($T163=Instructions!$F$42,Z162+1,Z162))))))</f>
        <v>13</v>
      </c>
      <c r="AA163" s="321" t="str">
        <f t="shared" si="40"/>
        <v>113</v>
      </c>
      <c r="AB163" s="321">
        <f>IF(Instructions!$E$11=8,IF($D163=Instructions!$F$43,AB162+1,AB162),IF(Instructions!$E$11=10,IF($H163=Instructions!$F$43,AB162+1,AB162),IF(Instructions!$E$11=12,IF($L163=Instructions!$F$43,AB162+1,AB162),IF(Instructions!$E$11=14,IF($P163=Instructions!$F$43,AB162+1,AB162),IF(Instructions!$E$11=16,IF($T163=Instructions!$F$43,AB162+1,AB162))))))</f>
        <v>13</v>
      </c>
      <c r="AC163" s="321" t="str">
        <f t="shared" si="32"/>
        <v>213</v>
      </c>
      <c r="AD163" s="321">
        <f>IF(Instructions!$E$11=8,IF($D163=Instructions!$F$44,AD162+1,AD162),IF(Instructions!$E$11=10,IF($H163=Instructions!$F$44,AD162+1,AD162),IF(Instructions!$E$11=12,IF($L163=Instructions!$F$44,AD162+1,AD162),IF(Instructions!$E$11=14,IF($P163=Instructions!$F$44,AD162+1,AD162),IF(Instructions!$E$11=16,IF($T163=Instructions!$F$44,AD162+1,AD162))))))</f>
        <v>13</v>
      </c>
      <c r="AE163" s="321" t="str">
        <f t="shared" si="33"/>
        <v>313</v>
      </c>
      <c r="AF163" s="321">
        <f>IF(Instructions!$E$11=8,IF($D163=Instructions!$F$45,AF162+1,AF162),IF(Instructions!$E$11=10,IF($H163=Instructions!$F$45,AF162+1,AF162),IF(Instructions!$E$11=12,IF($L163=Instructions!$F$45,AF162+1,AF162),IF(Instructions!$E$11=14,IF($P163=Instructions!$F$45,AF162+1,AF162),IF(Instructions!$E$11=16,IF($T163=Instructions!$F$45,AF162+1,AF162))))))</f>
        <v>13</v>
      </c>
      <c r="AG163" s="321" t="str">
        <f t="shared" si="34"/>
        <v>413</v>
      </c>
      <c r="AH163" s="321">
        <f>IF(Instructions!$E$11=8,IF($D163=Instructions!$F$46,AH162+1,AH162),IF(Instructions!$E$11=10,IF($H163=Instructions!$F$46,AH162+1,AH162),IF(Instructions!$E$11=12,IF($L163=Instructions!$F$46,AH162+1,AH162),IF(Instructions!$E$11=14,IF($P163=Instructions!$F$46,AH162+1,AH162),IF(Instructions!$E$11=16,IF($T163=Instructions!$F$46,AH162+1,AH162))))))</f>
        <v>13</v>
      </c>
      <c r="AI163" s="321" t="str">
        <f t="shared" si="35"/>
        <v>513</v>
      </c>
      <c r="AJ163" s="321">
        <f>IF(Instructions!$E$11=8,IF($D163=Instructions!$F$47,AJ162+1,AJ162),IF(Instructions!$E$11=10,IF($H163=Instructions!$F$47,AJ162+1,AJ162),IF(Instructions!$E$11=12,IF($L163=Instructions!$F$47,AJ162+1,AJ162),IF(Instructions!$E$11=14,IF($P163=Instructions!$F$47,AJ162+1,AJ162),IF(Instructions!$E$11=16,IF($T163=Instructions!$F$47,AJ162+1,AJ162))))))</f>
        <v>13</v>
      </c>
      <c r="AK163" s="321" t="str">
        <f t="shared" si="36"/>
        <v>613</v>
      </c>
      <c r="AL163" s="321">
        <f>IF(Instructions!$E$11=8,IF($D163=Instructions!$F$48,AL162+1,AL162),IF(Instructions!$E$11=10,IF($H163=Instructions!$F$48,AL162+1,AL162),IF(Instructions!$E$11=12,IF($L163=Instructions!$F$48,AL162+1,AL162),IF(Instructions!$E$11=14,IF($P163=Instructions!$F$48,AL162+1,AL162),IF(Instructions!$E$11=16,IF($T163=Instructions!$F$48,AL162+1,AL162))))))</f>
        <v>13</v>
      </c>
      <c r="AM163" s="321" t="str">
        <f t="shared" si="37"/>
        <v>713</v>
      </c>
      <c r="AN163" s="321">
        <f>IF(Instructions!$E$11=8,IF($D163=Instructions!$F$49,AN162+1,AN162),IF(Instructions!$E$11=10,IF($H163=Instructions!$F$49,AN162+1,AN162),IF(Instructions!$E$11=12,IF($L163=Instructions!$F$49,AN162+1,AN162),IF(Instructions!$E$11=14,IF($P163=Instructions!$F$49,AN162+1,AN162),IF(Instructions!$E$11=16,IF($T163=Instructions!$F$49,AN162+1,AN162))))))</f>
        <v>14</v>
      </c>
      <c r="AO163" s="321" t="str">
        <f t="shared" si="38"/>
        <v>814</v>
      </c>
      <c r="AP163" s="321">
        <f>IF(Instructions!$E$11=8,IF($D163=Instructions!$F$50,AP162+1,AP162),IF(Instructions!$E$11=10,IF($H163=Instructions!$F$50,AP162+1,AP162),IF(Instructions!$E$11=12,IF($L163=Instructions!$F$50,AP162+1,AP162),IF(Instructions!$E$11=14,IF($P163=Instructions!$F$50,AP162+1,AP162),IF(Instructions!$E$11=16,IF($T163=Instructions!$F$50,AP162+1,AP162))))))</f>
        <v>14</v>
      </c>
      <c r="AQ163" s="321" t="str">
        <f t="shared" si="39"/>
        <v>914</v>
      </c>
      <c r="AR163" s="321">
        <f>IF(Instructions!$E$11=8,IF($D163=Instructions!$F$51,AR162+1,AR162),IF(Instructions!$E$11=10,IF($H163=Instructions!$F$51,AR162+1,AR162),IF(Instructions!$E$11=12,IF($L163=Instructions!$F$51,AR162+1,AR162),IF(Instructions!$E$11=14,IF($P163=Instructions!$F$51,AR162+1,AR162),IF(Instructions!$E$11=16,IF($T163=Instructions!$F$51,AR162+1,AR162))))))</f>
        <v>14</v>
      </c>
      <c r="AS163" s="321" t="str">
        <f t="shared" si="41"/>
        <v>1014</v>
      </c>
      <c r="AT163" s="321">
        <f>IF(Instructions!$E$11=8,IF($D163=Instructions!$F$52,AT162+1,AT162),IF(Instructions!$E$11=10,IF($H163=Instructions!$F$52,AT162+1,AT162),IF(Instructions!$E$11=12,IF($L163=Instructions!$F$52,AT162+1,AT162),IF(Instructions!$E$11=14,IF($P163=Instructions!$F$52,AT162+1,AT162),IF(Instructions!$E$11=16,IF($T163=Instructions!$F$52,AT162+1,AT162))))))</f>
        <v>14</v>
      </c>
      <c r="AU163" s="321" t="str">
        <f t="shared" si="42"/>
        <v>1114</v>
      </c>
      <c r="AV163" s="321">
        <f>IF(Instructions!$E$11=8,IF($D163=Instructions!$F$53,AV162+1,AV162),IF(Instructions!$E$11=10,IF($H163=Instructions!$F$53,AV162+1,AV162),IF(Instructions!$E$11=12,IF($L163=Instructions!$F$53,AV162+1,AV162),IF(Instructions!$E$11=14,IF($P163=Instructions!$F$53,AV162+1,AV162),IF(Instructions!$E$11=16,IF($T163=Instructions!$F$53,AV162+1,AV162))))))</f>
        <v>14</v>
      </c>
      <c r="AW163" s="321" t="str">
        <f t="shared" si="43"/>
        <v>1214</v>
      </c>
      <c r="AX163" s="321">
        <f>IF(Instructions!$E$11=8,IF($D163=Instructions!$F$54,AX162+1,AX162),IF(Instructions!$E$11=10,IF($H163=Instructions!$F$54,AX162+1,AX162),IF(Instructions!$E$11=12,IF($L163=Instructions!$F$54,AX162+1,AX162),IF(Instructions!$E$11=14,IF($P163=Instructions!$F$54,AX162+1,AX162),IF(Instructions!$E$11=16,IF($T163=Instructions!$F$54,AX162+1,AX162))))))</f>
        <v>0</v>
      </c>
      <c r="AY163" s="321" t="str">
        <f t="shared" si="44"/>
        <v>1300</v>
      </c>
      <c r="AZ163" s="321">
        <f>IF(Instructions!$E$11=8,IF($D163=Instructions!$F$55,AZ162+1,AZ162),IF(Instructions!$E$11=10,IF($H163=Instructions!$F$55,AZ162+1,AZ162),IF(Instructions!$E$11=12,IF($L163=Instructions!$F$55,AZ162+1,AZ162),IF(Instructions!$E$11=14,IF($P163=Instructions!$F$55,AZ162+1,AZ162),IF(Instructions!$E$11=16,IF($T163=Instructions!$F$55,AZ162+1,AZ162))))))</f>
        <v>0</v>
      </c>
      <c r="BA163" s="321" t="str">
        <f t="shared" si="45"/>
        <v>1400</v>
      </c>
      <c r="BB163" s="321">
        <f>IF(Instructions!$E$11=8,IF($D163=Instructions!$F$56,BB162+1,BB162),IF(Instructions!$E$11=10,IF($H163=Instructions!$F$56,BB162+1,BB162),IF(Instructions!$E$11=12,IF($L163=Instructions!$F$56,BB162+1,BB162),IF(Instructions!$E$11=14,IF($P163=Instructions!$F$56,BB162+1,BB162),IF(Instructions!$E$11=16,IF($T163=Instructions!$F$56,BB162+1,BB162))))))</f>
        <v>0</v>
      </c>
      <c r="BC163" s="321" t="str">
        <f t="shared" si="46"/>
        <v>1500</v>
      </c>
      <c r="BD163" s="321">
        <f>IF(Instructions!$E$11=8,IF($D163=Instructions!$F$57,BD162+1,BD162),IF(Instructions!$E$11=10,IF($H163=Instructions!$F$57,BD162+1,BD162),IF(Instructions!$E$11=12,IF($L163=Instructions!$F$57,BD162+1,BD162),IF(Instructions!$E$11=14,IF($P163=Instructions!$F$57,BD162+1,BD162),IF(Instructions!$E$11=16,IF($T163=Instructions!$F$57,BD162+1,BD162))))))</f>
        <v>0</v>
      </c>
      <c r="BE163" s="321" t="str">
        <f t="shared" si="47"/>
        <v>1600</v>
      </c>
      <c r="BF163" s="321">
        <v>161</v>
      </c>
    </row>
    <row r="164" spans="1:58" x14ac:dyDescent="0.25">
      <c r="A164" s="280"/>
      <c r="B164" s="323" t="str">
        <f>IF(Instructions!$J$11=1,AA164,IF(Instructions!$J$11=2,AC164,IF(Instructions!$J$11=3,AE164,IF(Instructions!$J$11=4,AG164,IF(Instructions!$J$11=5,AI164,IF(Instructions!$J$11=6,AK164,IF(Instructions!$J$11=7,AM164,IF(Instructions!$J$11=8,AO164,IF(Instructions!$J$11=9,AQ164,IF(Instructions!$J$11=10,AS164,IF(Instructions!$J$11=11,AU164,IF(Instructions!$J$11=12,AW164,IF(Instructions!$J$11=13, AY164, IF(Instructions!$J$11=14,BA164,IF(Instructions!$J$11=15,BC164,BE164)))))))))))))))</f>
        <v>213</v>
      </c>
      <c r="C164" s="272">
        <v>162</v>
      </c>
      <c r="D164" s="327" t="str">
        <f>Instructions!F$43</f>
        <v>Camden</v>
      </c>
      <c r="E164" s="332" t="s">
        <v>1497</v>
      </c>
      <c r="F164" s="706"/>
      <c r="G164" s="279">
        <v>21</v>
      </c>
      <c r="H164" s="294" t="str">
        <f>Instructions!F$43</f>
        <v>Camden</v>
      </c>
      <c r="I164" s="274" t="s">
        <v>1465</v>
      </c>
      <c r="J164" s="709"/>
      <c r="K164" s="279">
        <v>17</v>
      </c>
      <c r="L164" s="294" t="str">
        <f>Instructions!F$48</f>
        <v>Bui</v>
      </c>
      <c r="M164" s="274" t="s">
        <v>868</v>
      </c>
      <c r="N164" s="709"/>
      <c r="O164" s="279">
        <v>14</v>
      </c>
      <c r="P164" s="294" t="str">
        <f>Instructions!F$48</f>
        <v>Bui</v>
      </c>
      <c r="Q164" s="274" t="s">
        <v>846</v>
      </c>
      <c r="R164" s="709"/>
      <c r="S164" s="279">
        <v>12</v>
      </c>
      <c r="T164" s="327" t="str">
        <f>Instructions!F$43</f>
        <v>Camden</v>
      </c>
      <c r="U164" s="274" t="s">
        <v>828</v>
      </c>
      <c r="V164" s="706"/>
      <c r="W164" s="279">
        <v>11</v>
      </c>
      <c r="X164" s="280"/>
      <c r="Y164" s="190" t="str">
        <f>IFERROR( IF(Instructions!$E$11=8, D164&amp;COUNTIF(D$3:D164,D164), IF(Instructions!$E$11=10, H164&amp;COUNTIF(H$3:H164,H164),IF(Instructions!$E$11=12, L164&amp;COUNTIF(L$3:L164,L164),IF(Instructions!$E$11=14, P164&amp;COUNTIF(P$3:P164,P164),T164&amp;COUNTIF(T$3:T164,T164))))),"")</f>
        <v>Bui14</v>
      </c>
      <c r="Z164" s="321">
        <f>IF(Instructions!$E$11=8,IF($D164=Instructions!$F$42,Z163+1,Z163),IF(Instructions!$E$11=10,IF($H164=Instructions!$F$42,Z163+1,Z163),IF(Instructions!$E$11=12,IF($L164=Instructions!$F$42,Z163+1,Z163),IF(Instructions!$E$11=14,IF($P164=Instructions!$F$42,Z163+1,Z163),IF(Instructions!$E$11=16,IF($T164=Instructions!$F$42,Z163+1,Z163))))))</f>
        <v>13</v>
      </c>
      <c r="AA164" s="321" t="str">
        <f t="shared" si="40"/>
        <v>113</v>
      </c>
      <c r="AB164" s="321">
        <f>IF(Instructions!$E$11=8,IF($D164=Instructions!$F$43,AB163+1,AB163),IF(Instructions!$E$11=10,IF($H164=Instructions!$F$43,AB163+1,AB163),IF(Instructions!$E$11=12,IF($L164=Instructions!$F$43,AB163+1,AB163),IF(Instructions!$E$11=14,IF($P164=Instructions!$F$43,AB163+1,AB163),IF(Instructions!$E$11=16,IF($T164=Instructions!$F$43,AB163+1,AB163))))))</f>
        <v>13</v>
      </c>
      <c r="AC164" s="321" t="str">
        <f t="shared" si="32"/>
        <v>213</v>
      </c>
      <c r="AD164" s="321">
        <f>IF(Instructions!$E$11=8,IF($D164=Instructions!$F$44,AD163+1,AD163),IF(Instructions!$E$11=10,IF($H164=Instructions!$F$44,AD163+1,AD163),IF(Instructions!$E$11=12,IF($L164=Instructions!$F$44,AD163+1,AD163),IF(Instructions!$E$11=14,IF($P164=Instructions!$F$44,AD163+1,AD163),IF(Instructions!$E$11=16,IF($T164=Instructions!$F$44,AD163+1,AD163))))))</f>
        <v>13</v>
      </c>
      <c r="AE164" s="321" t="str">
        <f t="shared" si="33"/>
        <v>313</v>
      </c>
      <c r="AF164" s="321">
        <f>IF(Instructions!$E$11=8,IF($D164=Instructions!$F$45,AF163+1,AF163),IF(Instructions!$E$11=10,IF($H164=Instructions!$F$45,AF163+1,AF163),IF(Instructions!$E$11=12,IF($L164=Instructions!$F$45,AF163+1,AF163),IF(Instructions!$E$11=14,IF($P164=Instructions!$F$45,AF163+1,AF163),IF(Instructions!$E$11=16,IF($T164=Instructions!$F$45,AF163+1,AF163))))))</f>
        <v>13</v>
      </c>
      <c r="AG164" s="321" t="str">
        <f t="shared" si="34"/>
        <v>413</v>
      </c>
      <c r="AH164" s="321">
        <f>IF(Instructions!$E$11=8,IF($D164=Instructions!$F$46,AH163+1,AH163),IF(Instructions!$E$11=10,IF($H164=Instructions!$F$46,AH163+1,AH163),IF(Instructions!$E$11=12,IF($L164=Instructions!$F$46,AH163+1,AH163),IF(Instructions!$E$11=14,IF($P164=Instructions!$F$46,AH163+1,AH163),IF(Instructions!$E$11=16,IF($T164=Instructions!$F$46,AH163+1,AH163))))))</f>
        <v>13</v>
      </c>
      <c r="AI164" s="321" t="str">
        <f t="shared" si="35"/>
        <v>513</v>
      </c>
      <c r="AJ164" s="321">
        <f>IF(Instructions!$E$11=8,IF($D164=Instructions!$F$47,AJ163+1,AJ163),IF(Instructions!$E$11=10,IF($H164=Instructions!$F$47,AJ163+1,AJ163),IF(Instructions!$E$11=12,IF($L164=Instructions!$F$47,AJ163+1,AJ163),IF(Instructions!$E$11=14,IF($P164=Instructions!$F$47,AJ163+1,AJ163),IF(Instructions!$E$11=16,IF($T164=Instructions!$F$47,AJ163+1,AJ163))))))</f>
        <v>13</v>
      </c>
      <c r="AK164" s="321" t="str">
        <f t="shared" si="36"/>
        <v>613</v>
      </c>
      <c r="AL164" s="321">
        <f>IF(Instructions!$E$11=8,IF($D164=Instructions!$F$48,AL163+1,AL163),IF(Instructions!$E$11=10,IF($H164=Instructions!$F$48,AL163+1,AL163),IF(Instructions!$E$11=12,IF($L164=Instructions!$F$48,AL163+1,AL163),IF(Instructions!$E$11=14,IF($P164=Instructions!$F$48,AL163+1,AL163),IF(Instructions!$E$11=16,IF($T164=Instructions!$F$48,AL163+1,AL163))))))</f>
        <v>14</v>
      </c>
      <c r="AM164" s="321" t="str">
        <f t="shared" si="37"/>
        <v>714</v>
      </c>
      <c r="AN164" s="321">
        <f>IF(Instructions!$E$11=8,IF($D164=Instructions!$F$49,AN163+1,AN163),IF(Instructions!$E$11=10,IF($H164=Instructions!$F$49,AN163+1,AN163),IF(Instructions!$E$11=12,IF($L164=Instructions!$F$49,AN163+1,AN163),IF(Instructions!$E$11=14,IF($P164=Instructions!$F$49,AN163+1,AN163),IF(Instructions!$E$11=16,IF($T164=Instructions!$F$49,AN163+1,AN163))))))</f>
        <v>14</v>
      </c>
      <c r="AO164" s="321" t="str">
        <f t="shared" si="38"/>
        <v>814</v>
      </c>
      <c r="AP164" s="321">
        <f>IF(Instructions!$E$11=8,IF($D164=Instructions!$F$50,AP163+1,AP163),IF(Instructions!$E$11=10,IF($H164=Instructions!$F$50,AP163+1,AP163),IF(Instructions!$E$11=12,IF($L164=Instructions!$F$50,AP163+1,AP163),IF(Instructions!$E$11=14,IF($P164=Instructions!$F$50,AP163+1,AP163),IF(Instructions!$E$11=16,IF($T164=Instructions!$F$50,AP163+1,AP163))))))</f>
        <v>14</v>
      </c>
      <c r="AQ164" s="321" t="str">
        <f t="shared" si="39"/>
        <v>914</v>
      </c>
      <c r="AR164" s="321">
        <f>IF(Instructions!$E$11=8,IF($D164=Instructions!$F$51,AR163+1,AR163),IF(Instructions!$E$11=10,IF($H164=Instructions!$F$51,AR163+1,AR163),IF(Instructions!$E$11=12,IF($L164=Instructions!$F$51,AR163+1,AR163),IF(Instructions!$E$11=14,IF($P164=Instructions!$F$51,AR163+1,AR163),IF(Instructions!$E$11=16,IF($T164=Instructions!$F$51,AR163+1,AR163))))))</f>
        <v>14</v>
      </c>
      <c r="AS164" s="321" t="str">
        <f t="shared" si="41"/>
        <v>1014</v>
      </c>
      <c r="AT164" s="321">
        <f>IF(Instructions!$E$11=8,IF($D164=Instructions!$F$52,AT163+1,AT163),IF(Instructions!$E$11=10,IF($H164=Instructions!$F$52,AT163+1,AT163),IF(Instructions!$E$11=12,IF($L164=Instructions!$F$52,AT163+1,AT163),IF(Instructions!$E$11=14,IF($P164=Instructions!$F$52,AT163+1,AT163),IF(Instructions!$E$11=16,IF($T164=Instructions!$F$52,AT163+1,AT163))))))</f>
        <v>14</v>
      </c>
      <c r="AU164" s="321" t="str">
        <f t="shared" si="42"/>
        <v>1114</v>
      </c>
      <c r="AV164" s="321">
        <f>IF(Instructions!$E$11=8,IF($D164=Instructions!$F$53,AV163+1,AV163),IF(Instructions!$E$11=10,IF($H164=Instructions!$F$53,AV163+1,AV163),IF(Instructions!$E$11=12,IF($L164=Instructions!$F$53,AV163+1,AV163),IF(Instructions!$E$11=14,IF($P164=Instructions!$F$53,AV163+1,AV163),IF(Instructions!$E$11=16,IF($T164=Instructions!$F$53,AV163+1,AV163))))))</f>
        <v>14</v>
      </c>
      <c r="AW164" s="321" t="str">
        <f t="shared" si="43"/>
        <v>1214</v>
      </c>
      <c r="AX164" s="321">
        <f>IF(Instructions!$E$11=8,IF($D164=Instructions!$F$54,AX163+1,AX163),IF(Instructions!$E$11=10,IF($H164=Instructions!$F$54,AX163+1,AX163),IF(Instructions!$E$11=12,IF($L164=Instructions!$F$54,AX163+1,AX163),IF(Instructions!$E$11=14,IF($P164=Instructions!$F$54,AX163+1,AX163),IF(Instructions!$E$11=16,IF($T164=Instructions!$F$54,AX163+1,AX163))))))</f>
        <v>0</v>
      </c>
      <c r="AY164" s="321" t="str">
        <f t="shared" si="44"/>
        <v>1300</v>
      </c>
      <c r="AZ164" s="321">
        <f>IF(Instructions!$E$11=8,IF($D164=Instructions!$F$55,AZ163+1,AZ163),IF(Instructions!$E$11=10,IF($H164=Instructions!$F$55,AZ163+1,AZ163),IF(Instructions!$E$11=12,IF($L164=Instructions!$F$55,AZ163+1,AZ163),IF(Instructions!$E$11=14,IF($P164=Instructions!$F$55,AZ163+1,AZ163),IF(Instructions!$E$11=16,IF($T164=Instructions!$F$55,AZ163+1,AZ163))))))</f>
        <v>0</v>
      </c>
      <c r="BA164" s="321" t="str">
        <f t="shared" si="45"/>
        <v>1400</v>
      </c>
      <c r="BB164" s="321">
        <f>IF(Instructions!$E$11=8,IF($D164=Instructions!$F$56,BB163+1,BB163),IF(Instructions!$E$11=10,IF($H164=Instructions!$F$56,BB163+1,BB163),IF(Instructions!$E$11=12,IF($L164=Instructions!$F$56,BB163+1,BB163),IF(Instructions!$E$11=14,IF($P164=Instructions!$F$56,BB163+1,BB163),IF(Instructions!$E$11=16,IF($T164=Instructions!$F$56,BB163+1,BB163))))))</f>
        <v>0</v>
      </c>
      <c r="BC164" s="321" t="str">
        <f t="shared" si="46"/>
        <v>1500</v>
      </c>
      <c r="BD164" s="321">
        <f>IF(Instructions!$E$11=8,IF($D164=Instructions!$F$57,BD163+1,BD163),IF(Instructions!$E$11=10,IF($H164=Instructions!$F$57,BD163+1,BD163),IF(Instructions!$E$11=12,IF($L164=Instructions!$F$57,BD163+1,BD163),IF(Instructions!$E$11=14,IF($P164=Instructions!$F$57,BD163+1,BD163),IF(Instructions!$E$11=16,IF($T164=Instructions!$F$57,BD163+1,BD163))))))</f>
        <v>0</v>
      </c>
      <c r="BE164" s="321" t="str">
        <f t="shared" si="47"/>
        <v>1600</v>
      </c>
      <c r="BF164" s="321">
        <v>162</v>
      </c>
    </row>
    <row r="165" spans="1:58" x14ac:dyDescent="0.25">
      <c r="A165" s="280"/>
      <c r="B165" s="323" t="str">
        <f>IF(Instructions!$J$11=1,AA165,IF(Instructions!$J$11=2,AC165,IF(Instructions!$J$11=3,AE165,IF(Instructions!$J$11=4,AG165,IF(Instructions!$J$11=5,AI165,IF(Instructions!$J$11=6,AK165,IF(Instructions!$J$11=7,AM165,IF(Instructions!$J$11=8,AO165,IF(Instructions!$J$11=9,AQ165,IF(Instructions!$J$11=10,AS165,IF(Instructions!$J$11=11,AU165,IF(Instructions!$J$11=12,AW165,IF(Instructions!$J$11=13, AY165, IF(Instructions!$J$11=14,BA165,IF(Instructions!$J$11=15,BC165,BE165)))))))))))))))</f>
        <v>213</v>
      </c>
      <c r="C165" s="271">
        <v>163</v>
      </c>
      <c r="D165" s="328" t="str">
        <f>Instructions!F$44</f>
        <v>Cam</v>
      </c>
      <c r="E165" s="333" t="s">
        <v>1498</v>
      </c>
      <c r="F165" s="706"/>
      <c r="G165" s="279">
        <v>21</v>
      </c>
      <c r="H165" s="293" t="str">
        <f>Instructions!F$44</f>
        <v>Cam</v>
      </c>
      <c r="I165" s="273" t="s">
        <v>1466</v>
      </c>
      <c r="J165" s="709"/>
      <c r="K165" s="279">
        <v>17</v>
      </c>
      <c r="L165" s="293" t="str">
        <f>Instructions!F$47</f>
        <v>Devin</v>
      </c>
      <c r="M165" s="273" t="s">
        <v>869</v>
      </c>
      <c r="N165" s="709"/>
      <c r="O165" s="279">
        <v>14</v>
      </c>
      <c r="P165" s="293" t="str">
        <f>Instructions!F$47</f>
        <v>Devin</v>
      </c>
      <c r="Q165" s="273" t="s">
        <v>847</v>
      </c>
      <c r="R165" s="709"/>
      <c r="S165" s="279">
        <v>12</v>
      </c>
      <c r="T165" s="328" t="str">
        <f>Instructions!F$44</f>
        <v>Cam</v>
      </c>
      <c r="U165" s="273" t="s">
        <v>829</v>
      </c>
      <c r="V165" s="706"/>
      <c r="W165" s="279">
        <v>11</v>
      </c>
      <c r="X165" s="280"/>
      <c r="Y165" s="190" t="str">
        <f>IFERROR( IF(Instructions!$E$11=8, D165&amp;COUNTIF(D$3:D165,D165), IF(Instructions!$E$11=10, H165&amp;COUNTIF(H$3:H165,H165),IF(Instructions!$E$11=12, L165&amp;COUNTIF(L$3:L165,L165),IF(Instructions!$E$11=14, P165&amp;COUNTIF(P$3:P165,P165),T165&amp;COUNTIF(T$3:T165,T165))))),"")</f>
        <v>Devin14</v>
      </c>
      <c r="Z165" s="321">
        <f>IF(Instructions!$E$11=8,IF($D165=Instructions!$F$42,Z164+1,Z164),IF(Instructions!$E$11=10,IF($H165=Instructions!$F$42,Z164+1,Z164),IF(Instructions!$E$11=12,IF($L165=Instructions!$F$42,Z164+1,Z164),IF(Instructions!$E$11=14,IF($P165=Instructions!$F$42,Z164+1,Z164),IF(Instructions!$E$11=16,IF($T165=Instructions!$F$42,Z164+1,Z164))))))</f>
        <v>13</v>
      </c>
      <c r="AA165" s="321" t="str">
        <f t="shared" si="40"/>
        <v>113</v>
      </c>
      <c r="AB165" s="321">
        <f>IF(Instructions!$E$11=8,IF($D165=Instructions!$F$43,AB164+1,AB164),IF(Instructions!$E$11=10,IF($H165=Instructions!$F$43,AB164+1,AB164),IF(Instructions!$E$11=12,IF($L165=Instructions!$F$43,AB164+1,AB164),IF(Instructions!$E$11=14,IF($P165=Instructions!$F$43,AB164+1,AB164),IF(Instructions!$E$11=16,IF($T165=Instructions!$F$43,AB164+1,AB164))))))</f>
        <v>13</v>
      </c>
      <c r="AC165" s="321" t="str">
        <f t="shared" si="32"/>
        <v>213</v>
      </c>
      <c r="AD165" s="321">
        <f>IF(Instructions!$E$11=8,IF($D165=Instructions!$F$44,AD164+1,AD164),IF(Instructions!$E$11=10,IF($H165=Instructions!$F$44,AD164+1,AD164),IF(Instructions!$E$11=12,IF($L165=Instructions!$F$44,AD164+1,AD164),IF(Instructions!$E$11=14,IF($P165=Instructions!$F$44,AD164+1,AD164),IF(Instructions!$E$11=16,IF($T165=Instructions!$F$44,AD164+1,AD164))))))</f>
        <v>13</v>
      </c>
      <c r="AE165" s="321" t="str">
        <f t="shared" si="33"/>
        <v>313</v>
      </c>
      <c r="AF165" s="321">
        <f>IF(Instructions!$E$11=8,IF($D165=Instructions!$F$45,AF164+1,AF164),IF(Instructions!$E$11=10,IF($H165=Instructions!$F$45,AF164+1,AF164),IF(Instructions!$E$11=12,IF($L165=Instructions!$F$45,AF164+1,AF164),IF(Instructions!$E$11=14,IF($P165=Instructions!$F$45,AF164+1,AF164),IF(Instructions!$E$11=16,IF($T165=Instructions!$F$45,AF164+1,AF164))))))</f>
        <v>13</v>
      </c>
      <c r="AG165" s="321" t="str">
        <f t="shared" si="34"/>
        <v>413</v>
      </c>
      <c r="AH165" s="321">
        <f>IF(Instructions!$E$11=8,IF($D165=Instructions!$F$46,AH164+1,AH164),IF(Instructions!$E$11=10,IF($H165=Instructions!$F$46,AH164+1,AH164),IF(Instructions!$E$11=12,IF($L165=Instructions!$F$46,AH164+1,AH164),IF(Instructions!$E$11=14,IF($P165=Instructions!$F$46,AH164+1,AH164),IF(Instructions!$E$11=16,IF($T165=Instructions!$F$46,AH164+1,AH164))))))</f>
        <v>13</v>
      </c>
      <c r="AI165" s="321" t="str">
        <f t="shared" si="35"/>
        <v>513</v>
      </c>
      <c r="AJ165" s="321">
        <f>IF(Instructions!$E$11=8,IF($D165=Instructions!$F$47,AJ164+1,AJ164),IF(Instructions!$E$11=10,IF($H165=Instructions!$F$47,AJ164+1,AJ164),IF(Instructions!$E$11=12,IF($L165=Instructions!$F$47,AJ164+1,AJ164),IF(Instructions!$E$11=14,IF($P165=Instructions!$F$47,AJ164+1,AJ164),IF(Instructions!$E$11=16,IF($T165=Instructions!$F$47,AJ164+1,AJ164))))))</f>
        <v>14</v>
      </c>
      <c r="AK165" s="321" t="str">
        <f t="shared" si="36"/>
        <v>614</v>
      </c>
      <c r="AL165" s="321">
        <f>IF(Instructions!$E$11=8,IF($D165=Instructions!$F$48,AL164+1,AL164),IF(Instructions!$E$11=10,IF($H165=Instructions!$F$48,AL164+1,AL164),IF(Instructions!$E$11=12,IF($L165=Instructions!$F$48,AL164+1,AL164),IF(Instructions!$E$11=14,IF($P165=Instructions!$F$48,AL164+1,AL164),IF(Instructions!$E$11=16,IF($T165=Instructions!$F$48,AL164+1,AL164))))))</f>
        <v>14</v>
      </c>
      <c r="AM165" s="321" t="str">
        <f t="shared" si="37"/>
        <v>714</v>
      </c>
      <c r="AN165" s="321">
        <f>IF(Instructions!$E$11=8,IF($D165=Instructions!$F$49,AN164+1,AN164),IF(Instructions!$E$11=10,IF($H165=Instructions!$F$49,AN164+1,AN164),IF(Instructions!$E$11=12,IF($L165=Instructions!$F$49,AN164+1,AN164),IF(Instructions!$E$11=14,IF($P165=Instructions!$F$49,AN164+1,AN164),IF(Instructions!$E$11=16,IF($T165=Instructions!$F$49,AN164+1,AN164))))))</f>
        <v>14</v>
      </c>
      <c r="AO165" s="321" t="str">
        <f t="shared" si="38"/>
        <v>814</v>
      </c>
      <c r="AP165" s="321">
        <f>IF(Instructions!$E$11=8,IF($D165=Instructions!$F$50,AP164+1,AP164),IF(Instructions!$E$11=10,IF($H165=Instructions!$F$50,AP164+1,AP164),IF(Instructions!$E$11=12,IF($L165=Instructions!$F$50,AP164+1,AP164),IF(Instructions!$E$11=14,IF($P165=Instructions!$F$50,AP164+1,AP164),IF(Instructions!$E$11=16,IF($T165=Instructions!$F$50,AP164+1,AP164))))))</f>
        <v>14</v>
      </c>
      <c r="AQ165" s="321" t="str">
        <f t="shared" si="39"/>
        <v>914</v>
      </c>
      <c r="AR165" s="321">
        <f>IF(Instructions!$E$11=8,IF($D165=Instructions!$F$51,AR164+1,AR164),IF(Instructions!$E$11=10,IF($H165=Instructions!$F$51,AR164+1,AR164),IF(Instructions!$E$11=12,IF($L165=Instructions!$F$51,AR164+1,AR164),IF(Instructions!$E$11=14,IF($P165=Instructions!$F$51,AR164+1,AR164),IF(Instructions!$E$11=16,IF($T165=Instructions!$F$51,AR164+1,AR164))))))</f>
        <v>14</v>
      </c>
      <c r="AS165" s="321" t="str">
        <f t="shared" si="41"/>
        <v>1014</v>
      </c>
      <c r="AT165" s="321">
        <f>IF(Instructions!$E$11=8,IF($D165=Instructions!$F$52,AT164+1,AT164),IF(Instructions!$E$11=10,IF($H165=Instructions!$F$52,AT164+1,AT164),IF(Instructions!$E$11=12,IF($L165=Instructions!$F$52,AT164+1,AT164),IF(Instructions!$E$11=14,IF($P165=Instructions!$F$52,AT164+1,AT164),IF(Instructions!$E$11=16,IF($T165=Instructions!$F$52,AT164+1,AT164))))))</f>
        <v>14</v>
      </c>
      <c r="AU165" s="321" t="str">
        <f t="shared" si="42"/>
        <v>1114</v>
      </c>
      <c r="AV165" s="321">
        <f>IF(Instructions!$E$11=8,IF($D165=Instructions!$F$53,AV164+1,AV164),IF(Instructions!$E$11=10,IF($H165=Instructions!$F$53,AV164+1,AV164),IF(Instructions!$E$11=12,IF($L165=Instructions!$F$53,AV164+1,AV164),IF(Instructions!$E$11=14,IF($P165=Instructions!$F$53,AV164+1,AV164),IF(Instructions!$E$11=16,IF($T165=Instructions!$F$53,AV164+1,AV164))))))</f>
        <v>14</v>
      </c>
      <c r="AW165" s="321" t="str">
        <f t="shared" si="43"/>
        <v>1214</v>
      </c>
      <c r="AX165" s="321">
        <f>IF(Instructions!$E$11=8,IF($D165=Instructions!$F$54,AX164+1,AX164),IF(Instructions!$E$11=10,IF($H165=Instructions!$F$54,AX164+1,AX164),IF(Instructions!$E$11=12,IF($L165=Instructions!$F$54,AX164+1,AX164),IF(Instructions!$E$11=14,IF($P165=Instructions!$F$54,AX164+1,AX164),IF(Instructions!$E$11=16,IF($T165=Instructions!$F$54,AX164+1,AX164))))))</f>
        <v>0</v>
      </c>
      <c r="AY165" s="321" t="str">
        <f t="shared" si="44"/>
        <v>1300</v>
      </c>
      <c r="AZ165" s="321">
        <f>IF(Instructions!$E$11=8,IF($D165=Instructions!$F$55,AZ164+1,AZ164),IF(Instructions!$E$11=10,IF($H165=Instructions!$F$55,AZ164+1,AZ164),IF(Instructions!$E$11=12,IF($L165=Instructions!$F$55,AZ164+1,AZ164),IF(Instructions!$E$11=14,IF($P165=Instructions!$F$55,AZ164+1,AZ164),IF(Instructions!$E$11=16,IF($T165=Instructions!$F$55,AZ164+1,AZ164))))))</f>
        <v>0</v>
      </c>
      <c r="BA165" s="321" t="str">
        <f t="shared" si="45"/>
        <v>1400</v>
      </c>
      <c r="BB165" s="321">
        <f>IF(Instructions!$E$11=8,IF($D165=Instructions!$F$56,BB164+1,BB164),IF(Instructions!$E$11=10,IF($H165=Instructions!$F$56,BB164+1,BB164),IF(Instructions!$E$11=12,IF($L165=Instructions!$F$56,BB164+1,BB164),IF(Instructions!$E$11=14,IF($P165=Instructions!$F$56,BB164+1,BB164),IF(Instructions!$E$11=16,IF($T165=Instructions!$F$56,BB164+1,BB164))))))</f>
        <v>0</v>
      </c>
      <c r="BC165" s="321" t="str">
        <f t="shared" si="46"/>
        <v>1500</v>
      </c>
      <c r="BD165" s="321">
        <f>IF(Instructions!$E$11=8,IF($D165=Instructions!$F$57,BD164+1,BD164),IF(Instructions!$E$11=10,IF($H165=Instructions!$F$57,BD164+1,BD164),IF(Instructions!$E$11=12,IF($L165=Instructions!$F$57,BD164+1,BD164),IF(Instructions!$E$11=14,IF($P165=Instructions!$F$57,BD164+1,BD164),IF(Instructions!$E$11=16,IF($T165=Instructions!$F$57,BD164+1,BD164))))))</f>
        <v>0</v>
      </c>
      <c r="BE165" s="321" t="str">
        <f t="shared" si="47"/>
        <v>1600</v>
      </c>
      <c r="BF165" s="321">
        <v>163</v>
      </c>
    </row>
    <row r="166" spans="1:58" x14ac:dyDescent="0.25">
      <c r="A166" s="280"/>
      <c r="B166" s="323" t="str">
        <f>IF(Instructions!$J$11=1,AA166,IF(Instructions!$J$11=2,AC166,IF(Instructions!$J$11=3,AE166,IF(Instructions!$J$11=4,AG166,IF(Instructions!$J$11=5,AI166,IF(Instructions!$J$11=6,AK166,IF(Instructions!$J$11=7,AM166,IF(Instructions!$J$11=8,AO166,IF(Instructions!$J$11=9,AQ166,IF(Instructions!$J$11=10,AS166,IF(Instructions!$J$11=11,AU166,IF(Instructions!$J$11=12,AW166,IF(Instructions!$J$11=13, AY166, IF(Instructions!$J$11=14,BA166,IF(Instructions!$J$11=15,BC166,BE166)))))))))))))))</f>
        <v>213</v>
      </c>
      <c r="C166" s="272">
        <v>164</v>
      </c>
      <c r="D166" s="327" t="str">
        <f>Instructions!F$45</f>
        <v>Miles</v>
      </c>
      <c r="E166" s="332" t="s">
        <v>1499</v>
      </c>
      <c r="F166" s="706"/>
      <c r="G166" s="279">
        <v>21</v>
      </c>
      <c r="H166" s="294" t="str">
        <f>Instructions!F$45</f>
        <v>Miles</v>
      </c>
      <c r="I166" s="274" t="s">
        <v>1467</v>
      </c>
      <c r="J166" s="709"/>
      <c r="K166" s="279">
        <v>17</v>
      </c>
      <c r="L166" s="294" t="str">
        <f>Instructions!F$46</f>
        <v>Con</v>
      </c>
      <c r="M166" s="274" t="s">
        <v>870</v>
      </c>
      <c r="N166" s="709"/>
      <c r="O166" s="279">
        <v>14</v>
      </c>
      <c r="P166" s="294" t="str">
        <f>Instructions!F$46</f>
        <v>Con</v>
      </c>
      <c r="Q166" s="274" t="s">
        <v>848</v>
      </c>
      <c r="R166" s="709"/>
      <c r="S166" s="279">
        <v>12</v>
      </c>
      <c r="T166" s="327" t="str">
        <f>Instructions!F$45</f>
        <v>Miles</v>
      </c>
      <c r="U166" s="274" t="s">
        <v>830</v>
      </c>
      <c r="V166" s="706"/>
      <c r="W166" s="279">
        <v>11</v>
      </c>
      <c r="X166" s="280"/>
      <c r="Y166" s="190" t="str">
        <f>IFERROR( IF(Instructions!$E$11=8, D166&amp;COUNTIF(D$3:D166,D166), IF(Instructions!$E$11=10, H166&amp;COUNTIF(H$3:H166,H166),IF(Instructions!$E$11=12, L166&amp;COUNTIF(L$3:L166,L166),IF(Instructions!$E$11=14, P166&amp;COUNTIF(P$3:P166,P166),T166&amp;COUNTIF(T$3:T166,T166))))),"")</f>
        <v>Con14</v>
      </c>
      <c r="Z166" s="321">
        <f>IF(Instructions!$E$11=8,IF($D166=Instructions!$F$42,Z165+1,Z165),IF(Instructions!$E$11=10,IF($H166=Instructions!$F$42,Z165+1,Z165),IF(Instructions!$E$11=12,IF($L166=Instructions!$F$42,Z165+1,Z165),IF(Instructions!$E$11=14,IF($P166=Instructions!$F$42,Z165+1,Z165),IF(Instructions!$E$11=16,IF($T166=Instructions!$F$42,Z165+1,Z165))))))</f>
        <v>13</v>
      </c>
      <c r="AA166" s="321" t="str">
        <f t="shared" si="40"/>
        <v>113</v>
      </c>
      <c r="AB166" s="321">
        <f>IF(Instructions!$E$11=8,IF($D166=Instructions!$F$43,AB165+1,AB165),IF(Instructions!$E$11=10,IF($H166=Instructions!$F$43,AB165+1,AB165),IF(Instructions!$E$11=12,IF($L166=Instructions!$F$43,AB165+1,AB165),IF(Instructions!$E$11=14,IF($P166=Instructions!$F$43,AB165+1,AB165),IF(Instructions!$E$11=16,IF($T166=Instructions!$F$43,AB165+1,AB165))))))</f>
        <v>13</v>
      </c>
      <c r="AC166" s="321" t="str">
        <f t="shared" si="32"/>
        <v>213</v>
      </c>
      <c r="AD166" s="321">
        <f>IF(Instructions!$E$11=8,IF($D166=Instructions!$F$44,AD165+1,AD165),IF(Instructions!$E$11=10,IF($H166=Instructions!$F$44,AD165+1,AD165),IF(Instructions!$E$11=12,IF($L166=Instructions!$F$44,AD165+1,AD165),IF(Instructions!$E$11=14,IF($P166=Instructions!$F$44,AD165+1,AD165),IF(Instructions!$E$11=16,IF($T166=Instructions!$F$44,AD165+1,AD165))))))</f>
        <v>13</v>
      </c>
      <c r="AE166" s="321" t="str">
        <f t="shared" si="33"/>
        <v>313</v>
      </c>
      <c r="AF166" s="321">
        <f>IF(Instructions!$E$11=8,IF($D166=Instructions!$F$45,AF165+1,AF165),IF(Instructions!$E$11=10,IF($H166=Instructions!$F$45,AF165+1,AF165),IF(Instructions!$E$11=12,IF($L166=Instructions!$F$45,AF165+1,AF165),IF(Instructions!$E$11=14,IF($P166=Instructions!$F$45,AF165+1,AF165),IF(Instructions!$E$11=16,IF($T166=Instructions!$F$45,AF165+1,AF165))))))</f>
        <v>13</v>
      </c>
      <c r="AG166" s="321" t="str">
        <f t="shared" si="34"/>
        <v>413</v>
      </c>
      <c r="AH166" s="321">
        <f>IF(Instructions!$E$11=8,IF($D166=Instructions!$F$46,AH165+1,AH165),IF(Instructions!$E$11=10,IF($H166=Instructions!$F$46,AH165+1,AH165),IF(Instructions!$E$11=12,IF($L166=Instructions!$F$46,AH165+1,AH165),IF(Instructions!$E$11=14,IF($P166=Instructions!$F$46,AH165+1,AH165),IF(Instructions!$E$11=16,IF($T166=Instructions!$F$46,AH165+1,AH165))))))</f>
        <v>14</v>
      </c>
      <c r="AI166" s="321" t="str">
        <f t="shared" si="35"/>
        <v>514</v>
      </c>
      <c r="AJ166" s="321">
        <f>IF(Instructions!$E$11=8,IF($D166=Instructions!$F$47,AJ165+1,AJ165),IF(Instructions!$E$11=10,IF($H166=Instructions!$F$47,AJ165+1,AJ165),IF(Instructions!$E$11=12,IF($L166=Instructions!$F$47,AJ165+1,AJ165),IF(Instructions!$E$11=14,IF($P166=Instructions!$F$47,AJ165+1,AJ165),IF(Instructions!$E$11=16,IF($T166=Instructions!$F$47,AJ165+1,AJ165))))))</f>
        <v>14</v>
      </c>
      <c r="AK166" s="321" t="str">
        <f t="shared" si="36"/>
        <v>614</v>
      </c>
      <c r="AL166" s="321">
        <f>IF(Instructions!$E$11=8,IF($D166=Instructions!$F$48,AL165+1,AL165),IF(Instructions!$E$11=10,IF($H166=Instructions!$F$48,AL165+1,AL165),IF(Instructions!$E$11=12,IF($L166=Instructions!$F$48,AL165+1,AL165),IF(Instructions!$E$11=14,IF($P166=Instructions!$F$48,AL165+1,AL165),IF(Instructions!$E$11=16,IF($T166=Instructions!$F$48,AL165+1,AL165))))))</f>
        <v>14</v>
      </c>
      <c r="AM166" s="321" t="str">
        <f t="shared" si="37"/>
        <v>714</v>
      </c>
      <c r="AN166" s="321">
        <f>IF(Instructions!$E$11=8,IF($D166=Instructions!$F$49,AN165+1,AN165),IF(Instructions!$E$11=10,IF($H166=Instructions!$F$49,AN165+1,AN165),IF(Instructions!$E$11=12,IF($L166=Instructions!$F$49,AN165+1,AN165),IF(Instructions!$E$11=14,IF($P166=Instructions!$F$49,AN165+1,AN165),IF(Instructions!$E$11=16,IF($T166=Instructions!$F$49,AN165+1,AN165))))))</f>
        <v>14</v>
      </c>
      <c r="AO166" s="321" t="str">
        <f t="shared" si="38"/>
        <v>814</v>
      </c>
      <c r="AP166" s="321">
        <f>IF(Instructions!$E$11=8,IF($D166=Instructions!$F$50,AP165+1,AP165),IF(Instructions!$E$11=10,IF($H166=Instructions!$F$50,AP165+1,AP165),IF(Instructions!$E$11=12,IF($L166=Instructions!$F$50,AP165+1,AP165),IF(Instructions!$E$11=14,IF($P166=Instructions!$F$50,AP165+1,AP165),IF(Instructions!$E$11=16,IF($T166=Instructions!$F$50,AP165+1,AP165))))))</f>
        <v>14</v>
      </c>
      <c r="AQ166" s="321" t="str">
        <f t="shared" si="39"/>
        <v>914</v>
      </c>
      <c r="AR166" s="321">
        <f>IF(Instructions!$E$11=8,IF($D166=Instructions!$F$51,AR165+1,AR165),IF(Instructions!$E$11=10,IF($H166=Instructions!$F$51,AR165+1,AR165),IF(Instructions!$E$11=12,IF($L166=Instructions!$F$51,AR165+1,AR165),IF(Instructions!$E$11=14,IF($P166=Instructions!$F$51,AR165+1,AR165),IF(Instructions!$E$11=16,IF($T166=Instructions!$F$51,AR165+1,AR165))))))</f>
        <v>14</v>
      </c>
      <c r="AS166" s="321" t="str">
        <f t="shared" si="41"/>
        <v>1014</v>
      </c>
      <c r="AT166" s="321">
        <f>IF(Instructions!$E$11=8,IF($D166=Instructions!$F$52,AT165+1,AT165),IF(Instructions!$E$11=10,IF($H166=Instructions!$F$52,AT165+1,AT165),IF(Instructions!$E$11=12,IF($L166=Instructions!$F$52,AT165+1,AT165),IF(Instructions!$E$11=14,IF($P166=Instructions!$F$52,AT165+1,AT165),IF(Instructions!$E$11=16,IF($T166=Instructions!$F$52,AT165+1,AT165))))))</f>
        <v>14</v>
      </c>
      <c r="AU166" s="321" t="str">
        <f t="shared" si="42"/>
        <v>1114</v>
      </c>
      <c r="AV166" s="321">
        <f>IF(Instructions!$E$11=8,IF($D166=Instructions!$F$53,AV165+1,AV165),IF(Instructions!$E$11=10,IF($H166=Instructions!$F$53,AV165+1,AV165),IF(Instructions!$E$11=12,IF($L166=Instructions!$F$53,AV165+1,AV165),IF(Instructions!$E$11=14,IF($P166=Instructions!$F$53,AV165+1,AV165),IF(Instructions!$E$11=16,IF($T166=Instructions!$F$53,AV165+1,AV165))))))</f>
        <v>14</v>
      </c>
      <c r="AW166" s="321" t="str">
        <f t="shared" si="43"/>
        <v>1214</v>
      </c>
      <c r="AX166" s="321">
        <f>IF(Instructions!$E$11=8,IF($D166=Instructions!$F$54,AX165+1,AX165),IF(Instructions!$E$11=10,IF($H166=Instructions!$F$54,AX165+1,AX165),IF(Instructions!$E$11=12,IF($L166=Instructions!$F$54,AX165+1,AX165),IF(Instructions!$E$11=14,IF($P166=Instructions!$F$54,AX165+1,AX165),IF(Instructions!$E$11=16,IF($T166=Instructions!$F$54,AX165+1,AX165))))))</f>
        <v>0</v>
      </c>
      <c r="AY166" s="321" t="str">
        <f t="shared" si="44"/>
        <v>1300</v>
      </c>
      <c r="AZ166" s="321">
        <f>IF(Instructions!$E$11=8,IF($D166=Instructions!$F$55,AZ165+1,AZ165),IF(Instructions!$E$11=10,IF($H166=Instructions!$F$55,AZ165+1,AZ165),IF(Instructions!$E$11=12,IF($L166=Instructions!$F$55,AZ165+1,AZ165),IF(Instructions!$E$11=14,IF($P166=Instructions!$F$55,AZ165+1,AZ165),IF(Instructions!$E$11=16,IF($T166=Instructions!$F$55,AZ165+1,AZ165))))))</f>
        <v>0</v>
      </c>
      <c r="BA166" s="321" t="str">
        <f t="shared" si="45"/>
        <v>1400</v>
      </c>
      <c r="BB166" s="321">
        <f>IF(Instructions!$E$11=8,IF($D166=Instructions!$F$56,BB165+1,BB165),IF(Instructions!$E$11=10,IF($H166=Instructions!$F$56,BB165+1,BB165),IF(Instructions!$E$11=12,IF($L166=Instructions!$F$56,BB165+1,BB165),IF(Instructions!$E$11=14,IF($P166=Instructions!$F$56,BB165+1,BB165),IF(Instructions!$E$11=16,IF($T166=Instructions!$F$56,BB165+1,BB165))))))</f>
        <v>0</v>
      </c>
      <c r="BC166" s="321" t="str">
        <f t="shared" si="46"/>
        <v>1500</v>
      </c>
      <c r="BD166" s="321">
        <f>IF(Instructions!$E$11=8,IF($D166=Instructions!$F$57,BD165+1,BD165),IF(Instructions!$E$11=10,IF($H166=Instructions!$F$57,BD165+1,BD165),IF(Instructions!$E$11=12,IF($L166=Instructions!$F$57,BD165+1,BD165),IF(Instructions!$E$11=14,IF($P166=Instructions!$F$57,BD165+1,BD165),IF(Instructions!$E$11=16,IF($T166=Instructions!$F$57,BD165+1,BD165))))))</f>
        <v>0</v>
      </c>
      <c r="BE166" s="321" t="str">
        <f t="shared" si="47"/>
        <v>1600</v>
      </c>
      <c r="BF166" s="321">
        <v>164</v>
      </c>
    </row>
    <row r="167" spans="1:58" x14ac:dyDescent="0.25">
      <c r="A167" s="280"/>
      <c r="B167" s="323" t="str">
        <f>IF(Instructions!$J$11=1,AA167,IF(Instructions!$J$11=2,AC167,IF(Instructions!$J$11=3,AE167,IF(Instructions!$J$11=4,AG167,IF(Instructions!$J$11=5,AI167,IF(Instructions!$J$11=6,AK167,IF(Instructions!$J$11=7,AM167,IF(Instructions!$J$11=8,AO167,IF(Instructions!$J$11=9,AQ167,IF(Instructions!$J$11=10,AS167,IF(Instructions!$J$11=11,AU167,IF(Instructions!$J$11=12,AW167,IF(Instructions!$J$11=13, AY167, IF(Instructions!$J$11=14,BA167,IF(Instructions!$J$11=15,BC167,BE167)))))))))))))))</f>
        <v>213</v>
      </c>
      <c r="C167" s="271">
        <v>165</v>
      </c>
      <c r="D167" s="328" t="str">
        <f>Instructions!F$46</f>
        <v>Con</v>
      </c>
      <c r="E167" s="333" t="s">
        <v>1500</v>
      </c>
      <c r="F167" s="706"/>
      <c r="G167" s="279">
        <v>21</v>
      </c>
      <c r="H167" s="293" t="str">
        <f>Instructions!F$46</f>
        <v>Con</v>
      </c>
      <c r="I167" s="273" t="s">
        <v>1468</v>
      </c>
      <c r="J167" s="709"/>
      <c r="K167" s="279">
        <v>17</v>
      </c>
      <c r="L167" s="293" t="str">
        <f>Instructions!F$45</f>
        <v>Miles</v>
      </c>
      <c r="M167" s="273" t="s">
        <v>871</v>
      </c>
      <c r="N167" s="709"/>
      <c r="O167" s="279">
        <v>14</v>
      </c>
      <c r="P167" s="293" t="str">
        <f>Instructions!F$45</f>
        <v>Miles</v>
      </c>
      <c r="Q167" s="273" t="s">
        <v>849</v>
      </c>
      <c r="R167" s="709"/>
      <c r="S167" s="279">
        <v>12</v>
      </c>
      <c r="T167" s="328" t="str">
        <f>Instructions!F$46</f>
        <v>Con</v>
      </c>
      <c r="U167" s="273" t="s">
        <v>831</v>
      </c>
      <c r="V167" s="706"/>
      <c r="W167" s="279">
        <v>11</v>
      </c>
      <c r="X167" s="280"/>
      <c r="Y167" s="190" t="str">
        <f>IFERROR( IF(Instructions!$E$11=8, D167&amp;COUNTIF(D$3:D167,D167), IF(Instructions!$E$11=10, H167&amp;COUNTIF(H$3:H167,H167),IF(Instructions!$E$11=12, L167&amp;COUNTIF(L$3:L167,L167),IF(Instructions!$E$11=14, P167&amp;COUNTIF(P$3:P167,P167),T167&amp;COUNTIF(T$3:T167,T167))))),"")</f>
        <v>Miles14</v>
      </c>
      <c r="Z167" s="321">
        <f>IF(Instructions!$E$11=8,IF($D167=Instructions!$F$42,Z166+1,Z166),IF(Instructions!$E$11=10,IF($H167=Instructions!$F$42,Z166+1,Z166),IF(Instructions!$E$11=12,IF($L167=Instructions!$F$42,Z166+1,Z166),IF(Instructions!$E$11=14,IF($P167=Instructions!$F$42,Z166+1,Z166),IF(Instructions!$E$11=16,IF($T167=Instructions!$F$42,Z166+1,Z166))))))</f>
        <v>13</v>
      </c>
      <c r="AA167" s="321" t="str">
        <f t="shared" si="40"/>
        <v>113</v>
      </c>
      <c r="AB167" s="321">
        <f>IF(Instructions!$E$11=8,IF($D167=Instructions!$F$43,AB166+1,AB166),IF(Instructions!$E$11=10,IF($H167=Instructions!$F$43,AB166+1,AB166),IF(Instructions!$E$11=12,IF($L167=Instructions!$F$43,AB166+1,AB166),IF(Instructions!$E$11=14,IF($P167=Instructions!$F$43,AB166+1,AB166),IF(Instructions!$E$11=16,IF($T167=Instructions!$F$43,AB166+1,AB166))))))</f>
        <v>13</v>
      </c>
      <c r="AC167" s="321" t="str">
        <f t="shared" si="32"/>
        <v>213</v>
      </c>
      <c r="AD167" s="321">
        <f>IF(Instructions!$E$11=8,IF($D167=Instructions!$F$44,AD166+1,AD166),IF(Instructions!$E$11=10,IF($H167=Instructions!$F$44,AD166+1,AD166),IF(Instructions!$E$11=12,IF($L167=Instructions!$F$44,AD166+1,AD166),IF(Instructions!$E$11=14,IF($P167=Instructions!$F$44,AD166+1,AD166),IF(Instructions!$E$11=16,IF($T167=Instructions!$F$44,AD166+1,AD166))))))</f>
        <v>13</v>
      </c>
      <c r="AE167" s="321" t="str">
        <f t="shared" si="33"/>
        <v>313</v>
      </c>
      <c r="AF167" s="321">
        <f>IF(Instructions!$E$11=8,IF($D167=Instructions!$F$45,AF166+1,AF166),IF(Instructions!$E$11=10,IF($H167=Instructions!$F$45,AF166+1,AF166),IF(Instructions!$E$11=12,IF($L167=Instructions!$F$45,AF166+1,AF166),IF(Instructions!$E$11=14,IF($P167=Instructions!$F$45,AF166+1,AF166),IF(Instructions!$E$11=16,IF($T167=Instructions!$F$45,AF166+1,AF166))))))</f>
        <v>14</v>
      </c>
      <c r="AG167" s="321" t="str">
        <f t="shared" si="34"/>
        <v>414</v>
      </c>
      <c r="AH167" s="321">
        <f>IF(Instructions!$E$11=8,IF($D167=Instructions!$F$46,AH166+1,AH166),IF(Instructions!$E$11=10,IF($H167=Instructions!$F$46,AH166+1,AH166),IF(Instructions!$E$11=12,IF($L167=Instructions!$F$46,AH166+1,AH166),IF(Instructions!$E$11=14,IF($P167=Instructions!$F$46,AH166+1,AH166),IF(Instructions!$E$11=16,IF($T167=Instructions!$F$46,AH166+1,AH166))))))</f>
        <v>14</v>
      </c>
      <c r="AI167" s="321" t="str">
        <f t="shared" si="35"/>
        <v>514</v>
      </c>
      <c r="AJ167" s="321">
        <f>IF(Instructions!$E$11=8,IF($D167=Instructions!$F$47,AJ166+1,AJ166),IF(Instructions!$E$11=10,IF($H167=Instructions!$F$47,AJ166+1,AJ166),IF(Instructions!$E$11=12,IF($L167=Instructions!$F$47,AJ166+1,AJ166),IF(Instructions!$E$11=14,IF($P167=Instructions!$F$47,AJ166+1,AJ166),IF(Instructions!$E$11=16,IF($T167=Instructions!$F$47,AJ166+1,AJ166))))))</f>
        <v>14</v>
      </c>
      <c r="AK167" s="321" t="str">
        <f t="shared" si="36"/>
        <v>614</v>
      </c>
      <c r="AL167" s="321">
        <f>IF(Instructions!$E$11=8,IF($D167=Instructions!$F$48,AL166+1,AL166),IF(Instructions!$E$11=10,IF($H167=Instructions!$F$48,AL166+1,AL166),IF(Instructions!$E$11=12,IF($L167=Instructions!$F$48,AL166+1,AL166),IF(Instructions!$E$11=14,IF($P167=Instructions!$F$48,AL166+1,AL166),IF(Instructions!$E$11=16,IF($T167=Instructions!$F$48,AL166+1,AL166))))))</f>
        <v>14</v>
      </c>
      <c r="AM167" s="321" t="str">
        <f t="shared" si="37"/>
        <v>714</v>
      </c>
      <c r="AN167" s="321">
        <f>IF(Instructions!$E$11=8,IF($D167=Instructions!$F$49,AN166+1,AN166),IF(Instructions!$E$11=10,IF($H167=Instructions!$F$49,AN166+1,AN166),IF(Instructions!$E$11=12,IF($L167=Instructions!$F$49,AN166+1,AN166),IF(Instructions!$E$11=14,IF($P167=Instructions!$F$49,AN166+1,AN166),IF(Instructions!$E$11=16,IF($T167=Instructions!$F$49,AN166+1,AN166))))))</f>
        <v>14</v>
      </c>
      <c r="AO167" s="321" t="str">
        <f t="shared" si="38"/>
        <v>814</v>
      </c>
      <c r="AP167" s="321">
        <f>IF(Instructions!$E$11=8,IF($D167=Instructions!$F$50,AP166+1,AP166),IF(Instructions!$E$11=10,IF($H167=Instructions!$F$50,AP166+1,AP166),IF(Instructions!$E$11=12,IF($L167=Instructions!$F$50,AP166+1,AP166),IF(Instructions!$E$11=14,IF($P167=Instructions!$F$50,AP166+1,AP166),IF(Instructions!$E$11=16,IF($T167=Instructions!$F$50,AP166+1,AP166))))))</f>
        <v>14</v>
      </c>
      <c r="AQ167" s="321" t="str">
        <f t="shared" si="39"/>
        <v>914</v>
      </c>
      <c r="AR167" s="321">
        <f>IF(Instructions!$E$11=8,IF($D167=Instructions!$F$51,AR166+1,AR166),IF(Instructions!$E$11=10,IF($H167=Instructions!$F$51,AR166+1,AR166),IF(Instructions!$E$11=12,IF($L167=Instructions!$F$51,AR166+1,AR166),IF(Instructions!$E$11=14,IF($P167=Instructions!$F$51,AR166+1,AR166),IF(Instructions!$E$11=16,IF($T167=Instructions!$F$51,AR166+1,AR166))))))</f>
        <v>14</v>
      </c>
      <c r="AS167" s="321" t="str">
        <f t="shared" si="41"/>
        <v>1014</v>
      </c>
      <c r="AT167" s="321">
        <f>IF(Instructions!$E$11=8,IF($D167=Instructions!$F$52,AT166+1,AT166),IF(Instructions!$E$11=10,IF($H167=Instructions!$F$52,AT166+1,AT166),IF(Instructions!$E$11=12,IF($L167=Instructions!$F$52,AT166+1,AT166),IF(Instructions!$E$11=14,IF($P167=Instructions!$F$52,AT166+1,AT166),IF(Instructions!$E$11=16,IF($T167=Instructions!$F$52,AT166+1,AT166))))))</f>
        <v>14</v>
      </c>
      <c r="AU167" s="321" t="str">
        <f t="shared" si="42"/>
        <v>1114</v>
      </c>
      <c r="AV167" s="321">
        <f>IF(Instructions!$E$11=8,IF($D167=Instructions!$F$53,AV166+1,AV166),IF(Instructions!$E$11=10,IF($H167=Instructions!$F$53,AV166+1,AV166),IF(Instructions!$E$11=12,IF($L167=Instructions!$F$53,AV166+1,AV166),IF(Instructions!$E$11=14,IF($P167=Instructions!$F$53,AV166+1,AV166),IF(Instructions!$E$11=16,IF($T167=Instructions!$F$53,AV166+1,AV166))))))</f>
        <v>14</v>
      </c>
      <c r="AW167" s="321" t="str">
        <f t="shared" si="43"/>
        <v>1214</v>
      </c>
      <c r="AX167" s="321">
        <f>IF(Instructions!$E$11=8,IF($D167=Instructions!$F$54,AX166+1,AX166),IF(Instructions!$E$11=10,IF($H167=Instructions!$F$54,AX166+1,AX166),IF(Instructions!$E$11=12,IF($L167=Instructions!$F$54,AX166+1,AX166),IF(Instructions!$E$11=14,IF($P167=Instructions!$F$54,AX166+1,AX166),IF(Instructions!$E$11=16,IF($T167=Instructions!$F$54,AX166+1,AX166))))))</f>
        <v>0</v>
      </c>
      <c r="AY167" s="321" t="str">
        <f t="shared" si="44"/>
        <v>1300</v>
      </c>
      <c r="AZ167" s="321">
        <f>IF(Instructions!$E$11=8,IF($D167=Instructions!$F$55,AZ166+1,AZ166),IF(Instructions!$E$11=10,IF($H167=Instructions!$F$55,AZ166+1,AZ166),IF(Instructions!$E$11=12,IF($L167=Instructions!$F$55,AZ166+1,AZ166),IF(Instructions!$E$11=14,IF($P167=Instructions!$F$55,AZ166+1,AZ166),IF(Instructions!$E$11=16,IF($T167=Instructions!$F$55,AZ166+1,AZ166))))))</f>
        <v>0</v>
      </c>
      <c r="BA167" s="321" t="str">
        <f t="shared" si="45"/>
        <v>1400</v>
      </c>
      <c r="BB167" s="321">
        <f>IF(Instructions!$E$11=8,IF($D167=Instructions!$F$56,BB166+1,BB166),IF(Instructions!$E$11=10,IF($H167=Instructions!$F$56,BB166+1,BB166),IF(Instructions!$E$11=12,IF($L167=Instructions!$F$56,BB166+1,BB166),IF(Instructions!$E$11=14,IF($P167=Instructions!$F$56,BB166+1,BB166),IF(Instructions!$E$11=16,IF($T167=Instructions!$F$56,BB166+1,BB166))))))</f>
        <v>0</v>
      </c>
      <c r="BC167" s="321" t="str">
        <f t="shared" si="46"/>
        <v>1500</v>
      </c>
      <c r="BD167" s="321">
        <f>IF(Instructions!$E$11=8,IF($D167=Instructions!$F$57,BD166+1,BD166),IF(Instructions!$E$11=10,IF($H167=Instructions!$F$57,BD166+1,BD166),IF(Instructions!$E$11=12,IF($L167=Instructions!$F$57,BD166+1,BD166),IF(Instructions!$E$11=14,IF($P167=Instructions!$F$57,BD166+1,BD166),IF(Instructions!$E$11=16,IF($T167=Instructions!$F$57,BD166+1,BD166))))))</f>
        <v>0</v>
      </c>
      <c r="BE167" s="321" t="str">
        <f t="shared" si="47"/>
        <v>1600</v>
      </c>
      <c r="BF167" s="321">
        <v>165</v>
      </c>
    </row>
    <row r="168" spans="1:58" x14ac:dyDescent="0.25">
      <c r="A168" s="280"/>
      <c r="B168" s="323" t="str">
        <f>IF(Instructions!$J$11=1,AA168,IF(Instructions!$J$11=2,AC168,IF(Instructions!$J$11=3,AE168,IF(Instructions!$J$11=4,AG168,IF(Instructions!$J$11=5,AI168,IF(Instructions!$J$11=6,AK168,IF(Instructions!$J$11=7,AM168,IF(Instructions!$J$11=8,AO168,IF(Instructions!$J$11=9,AQ168,IF(Instructions!$J$11=10,AS168,IF(Instructions!$J$11=11,AU168,IF(Instructions!$J$11=12,AW168,IF(Instructions!$J$11=13, AY168, IF(Instructions!$J$11=14,BA168,IF(Instructions!$J$11=15,BC168,BE168)))))))))))))))</f>
        <v>213</v>
      </c>
      <c r="C168" s="272">
        <v>166</v>
      </c>
      <c r="D168" s="327" t="str">
        <f>Instructions!F$47</f>
        <v>Devin</v>
      </c>
      <c r="E168" s="332" t="s">
        <v>1501</v>
      </c>
      <c r="F168" s="706"/>
      <c r="G168" s="279">
        <v>21</v>
      </c>
      <c r="H168" s="294" t="str">
        <f>Instructions!F$47</f>
        <v>Devin</v>
      </c>
      <c r="I168" s="274" t="s">
        <v>1469</v>
      </c>
      <c r="J168" s="709"/>
      <c r="K168" s="279">
        <v>17</v>
      </c>
      <c r="L168" s="294" t="str">
        <f>Instructions!F$44</f>
        <v>Cam</v>
      </c>
      <c r="M168" s="274" t="s">
        <v>872</v>
      </c>
      <c r="N168" s="709"/>
      <c r="O168" s="279">
        <v>14</v>
      </c>
      <c r="P168" s="294" t="str">
        <f>Instructions!F$44</f>
        <v>Cam</v>
      </c>
      <c r="Q168" s="274" t="s">
        <v>850</v>
      </c>
      <c r="R168" s="709"/>
      <c r="S168" s="279">
        <v>12</v>
      </c>
      <c r="T168" s="327" t="str">
        <f>Instructions!F$47</f>
        <v>Devin</v>
      </c>
      <c r="U168" s="274" t="s">
        <v>832</v>
      </c>
      <c r="V168" s="706"/>
      <c r="W168" s="279">
        <v>11</v>
      </c>
      <c r="X168" s="280"/>
      <c r="Y168" s="190" t="str">
        <f>IFERROR( IF(Instructions!$E$11=8, D168&amp;COUNTIF(D$3:D168,D168), IF(Instructions!$E$11=10, H168&amp;COUNTIF(H$3:H168,H168),IF(Instructions!$E$11=12, L168&amp;COUNTIF(L$3:L168,L168),IF(Instructions!$E$11=14, P168&amp;COUNTIF(P$3:P168,P168),T168&amp;COUNTIF(T$3:T168,T168))))),"")</f>
        <v>Cam14</v>
      </c>
      <c r="Z168" s="321">
        <f>IF(Instructions!$E$11=8,IF($D168=Instructions!$F$42,Z167+1,Z167),IF(Instructions!$E$11=10,IF($H168=Instructions!$F$42,Z167+1,Z167),IF(Instructions!$E$11=12,IF($L168=Instructions!$F$42,Z167+1,Z167),IF(Instructions!$E$11=14,IF($P168=Instructions!$F$42,Z167+1,Z167),IF(Instructions!$E$11=16,IF($T168=Instructions!$F$42,Z167+1,Z167))))))</f>
        <v>13</v>
      </c>
      <c r="AA168" s="321" t="str">
        <f t="shared" si="40"/>
        <v>113</v>
      </c>
      <c r="AB168" s="321">
        <f>IF(Instructions!$E$11=8,IF($D168=Instructions!$F$43,AB167+1,AB167),IF(Instructions!$E$11=10,IF($H168=Instructions!$F$43,AB167+1,AB167),IF(Instructions!$E$11=12,IF($L168=Instructions!$F$43,AB167+1,AB167),IF(Instructions!$E$11=14,IF($P168=Instructions!$F$43,AB167+1,AB167),IF(Instructions!$E$11=16,IF($T168=Instructions!$F$43,AB167+1,AB167))))))</f>
        <v>13</v>
      </c>
      <c r="AC168" s="321" t="str">
        <f t="shared" si="32"/>
        <v>213</v>
      </c>
      <c r="AD168" s="321">
        <f>IF(Instructions!$E$11=8,IF($D168=Instructions!$F$44,AD167+1,AD167),IF(Instructions!$E$11=10,IF($H168=Instructions!$F$44,AD167+1,AD167),IF(Instructions!$E$11=12,IF($L168=Instructions!$F$44,AD167+1,AD167),IF(Instructions!$E$11=14,IF($P168=Instructions!$F$44,AD167+1,AD167),IF(Instructions!$E$11=16,IF($T168=Instructions!$F$44,AD167+1,AD167))))))</f>
        <v>14</v>
      </c>
      <c r="AE168" s="321" t="str">
        <f t="shared" si="33"/>
        <v>314</v>
      </c>
      <c r="AF168" s="321">
        <f>IF(Instructions!$E$11=8,IF($D168=Instructions!$F$45,AF167+1,AF167),IF(Instructions!$E$11=10,IF($H168=Instructions!$F$45,AF167+1,AF167),IF(Instructions!$E$11=12,IF($L168=Instructions!$F$45,AF167+1,AF167),IF(Instructions!$E$11=14,IF($P168=Instructions!$F$45,AF167+1,AF167),IF(Instructions!$E$11=16,IF($T168=Instructions!$F$45,AF167+1,AF167))))))</f>
        <v>14</v>
      </c>
      <c r="AG168" s="321" t="str">
        <f t="shared" si="34"/>
        <v>414</v>
      </c>
      <c r="AH168" s="321">
        <f>IF(Instructions!$E$11=8,IF($D168=Instructions!$F$46,AH167+1,AH167),IF(Instructions!$E$11=10,IF($H168=Instructions!$F$46,AH167+1,AH167),IF(Instructions!$E$11=12,IF($L168=Instructions!$F$46,AH167+1,AH167),IF(Instructions!$E$11=14,IF($P168=Instructions!$F$46,AH167+1,AH167),IF(Instructions!$E$11=16,IF($T168=Instructions!$F$46,AH167+1,AH167))))))</f>
        <v>14</v>
      </c>
      <c r="AI168" s="321" t="str">
        <f t="shared" si="35"/>
        <v>514</v>
      </c>
      <c r="AJ168" s="321">
        <f>IF(Instructions!$E$11=8,IF($D168=Instructions!$F$47,AJ167+1,AJ167),IF(Instructions!$E$11=10,IF($H168=Instructions!$F$47,AJ167+1,AJ167),IF(Instructions!$E$11=12,IF($L168=Instructions!$F$47,AJ167+1,AJ167),IF(Instructions!$E$11=14,IF($P168=Instructions!$F$47,AJ167+1,AJ167),IF(Instructions!$E$11=16,IF($T168=Instructions!$F$47,AJ167+1,AJ167))))))</f>
        <v>14</v>
      </c>
      <c r="AK168" s="321" t="str">
        <f t="shared" si="36"/>
        <v>614</v>
      </c>
      <c r="AL168" s="321">
        <f>IF(Instructions!$E$11=8,IF($D168=Instructions!$F$48,AL167+1,AL167),IF(Instructions!$E$11=10,IF($H168=Instructions!$F$48,AL167+1,AL167),IF(Instructions!$E$11=12,IF($L168=Instructions!$F$48,AL167+1,AL167),IF(Instructions!$E$11=14,IF($P168=Instructions!$F$48,AL167+1,AL167),IF(Instructions!$E$11=16,IF($T168=Instructions!$F$48,AL167+1,AL167))))))</f>
        <v>14</v>
      </c>
      <c r="AM168" s="321" t="str">
        <f t="shared" si="37"/>
        <v>714</v>
      </c>
      <c r="AN168" s="321">
        <f>IF(Instructions!$E$11=8,IF($D168=Instructions!$F$49,AN167+1,AN167),IF(Instructions!$E$11=10,IF($H168=Instructions!$F$49,AN167+1,AN167),IF(Instructions!$E$11=12,IF($L168=Instructions!$F$49,AN167+1,AN167),IF(Instructions!$E$11=14,IF($P168=Instructions!$F$49,AN167+1,AN167),IF(Instructions!$E$11=16,IF($T168=Instructions!$F$49,AN167+1,AN167))))))</f>
        <v>14</v>
      </c>
      <c r="AO168" s="321" t="str">
        <f t="shared" si="38"/>
        <v>814</v>
      </c>
      <c r="AP168" s="321">
        <f>IF(Instructions!$E$11=8,IF($D168=Instructions!$F$50,AP167+1,AP167),IF(Instructions!$E$11=10,IF($H168=Instructions!$F$50,AP167+1,AP167),IF(Instructions!$E$11=12,IF($L168=Instructions!$F$50,AP167+1,AP167),IF(Instructions!$E$11=14,IF($P168=Instructions!$F$50,AP167+1,AP167),IF(Instructions!$E$11=16,IF($T168=Instructions!$F$50,AP167+1,AP167))))))</f>
        <v>14</v>
      </c>
      <c r="AQ168" s="321" t="str">
        <f t="shared" si="39"/>
        <v>914</v>
      </c>
      <c r="AR168" s="321">
        <f>IF(Instructions!$E$11=8,IF($D168=Instructions!$F$51,AR167+1,AR167),IF(Instructions!$E$11=10,IF($H168=Instructions!$F$51,AR167+1,AR167),IF(Instructions!$E$11=12,IF($L168=Instructions!$F$51,AR167+1,AR167),IF(Instructions!$E$11=14,IF($P168=Instructions!$F$51,AR167+1,AR167),IF(Instructions!$E$11=16,IF($T168=Instructions!$F$51,AR167+1,AR167))))))</f>
        <v>14</v>
      </c>
      <c r="AS168" s="321" t="str">
        <f t="shared" si="41"/>
        <v>1014</v>
      </c>
      <c r="AT168" s="321">
        <f>IF(Instructions!$E$11=8,IF($D168=Instructions!$F$52,AT167+1,AT167),IF(Instructions!$E$11=10,IF($H168=Instructions!$F$52,AT167+1,AT167),IF(Instructions!$E$11=12,IF($L168=Instructions!$F$52,AT167+1,AT167),IF(Instructions!$E$11=14,IF($P168=Instructions!$F$52,AT167+1,AT167),IF(Instructions!$E$11=16,IF($T168=Instructions!$F$52,AT167+1,AT167))))))</f>
        <v>14</v>
      </c>
      <c r="AU168" s="321" t="str">
        <f t="shared" si="42"/>
        <v>1114</v>
      </c>
      <c r="AV168" s="321">
        <f>IF(Instructions!$E$11=8,IF($D168=Instructions!$F$53,AV167+1,AV167),IF(Instructions!$E$11=10,IF($H168=Instructions!$F$53,AV167+1,AV167),IF(Instructions!$E$11=12,IF($L168=Instructions!$F$53,AV167+1,AV167),IF(Instructions!$E$11=14,IF($P168=Instructions!$F$53,AV167+1,AV167),IF(Instructions!$E$11=16,IF($T168=Instructions!$F$53,AV167+1,AV167))))))</f>
        <v>14</v>
      </c>
      <c r="AW168" s="321" t="str">
        <f t="shared" si="43"/>
        <v>1214</v>
      </c>
      <c r="AX168" s="321">
        <f>IF(Instructions!$E$11=8,IF($D168=Instructions!$F$54,AX167+1,AX167),IF(Instructions!$E$11=10,IF($H168=Instructions!$F$54,AX167+1,AX167),IF(Instructions!$E$11=12,IF($L168=Instructions!$F$54,AX167+1,AX167),IF(Instructions!$E$11=14,IF($P168=Instructions!$F$54,AX167+1,AX167),IF(Instructions!$E$11=16,IF($T168=Instructions!$F$54,AX167+1,AX167))))))</f>
        <v>0</v>
      </c>
      <c r="AY168" s="321" t="str">
        <f t="shared" si="44"/>
        <v>1300</v>
      </c>
      <c r="AZ168" s="321">
        <f>IF(Instructions!$E$11=8,IF($D168=Instructions!$F$55,AZ167+1,AZ167),IF(Instructions!$E$11=10,IF($H168=Instructions!$F$55,AZ167+1,AZ167),IF(Instructions!$E$11=12,IF($L168=Instructions!$F$55,AZ167+1,AZ167),IF(Instructions!$E$11=14,IF($P168=Instructions!$F$55,AZ167+1,AZ167),IF(Instructions!$E$11=16,IF($T168=Instructions!$F$55,AZ167+1,AZ167))))))</f>
        <v>0</v>
      </c>
      <c r="BA168" s="321" t="str">
        <f t="shared" si="45"/>
        <v>1400</v>
      </c>
      <c r="BB168" s="321">
        <f>IF(Instructions!$E$11=8,IF($D168=Instructions!$F$56,BB167+1,BB167),IF(Instructions!$E$11=10,IF($H168=Instructions!$F$56,BB167+1,BB167),IF(Instructions!$E$11=12,IF($L168=Instructions!$F$56,BB167+1,BB167),IF(Instructions!$E$11=14,IF($P168=Instructions!$F$56,BB167+1,BB167),IF(Instructions!$E$11=16,IF($T168=Instructions!$F$56,BB167+1,BB167))))))</f>
        <v>0</v>
      </c>
      <c r="BC168" s="321" t="str">
        <f t="shared" si="46"/>
        <v>1500</v>
      </c>
      <c r="BD168" s="321">
        <f>IF(Instructions!$E$11=8,IF($D168=Instructions!$F$57,BD167+1,BD167),IF(Instructions!$E$11=10,IF($H168=Instructions!$F$57,BD167+1,BD167),IF(Instructions!$E$11=12,IF($L168=Instructions!$F$57,BD167+1,BD167),IF(Instructions!$E$11=14,IF($P168=Instructions!$F$57,BD167+1,BD167),IF(Instructions!$E$11=16,IF($T168=Instructions!$F$57,BD167+1,BD167))))))</f>
        <v>0</v>
      </c>
      <c r="BE168" s="321" t="str">
        <f t="shared" si="47"/>
        <v>1600</v>
      </c>
      <c r="BF168" s="321">
        <v>166</v>
      </c>
    </row>
    <row r="169" spans="1:58" x14ac:dyDescent="0.25">
      <c r="A169" s="280"/>
      <c r="B169" s="323" t="str">
        <f>IF(Instructions!$J$11=1,AA169,IF(Instructions!$J$11=2,AC169,IF(Instructions!$J$11=3,AE169,IF(Instructions!$J$11=4,AG169,IF(Instructions!$J$11=5,AI169,IF(Instructions!$J$11=6,AK169,IF(Instructions!$J$11=7,AM169,IF(Instructions!$J$11=8,AO169,IF(Instructions!$J$11=9,AQ169,IF(Instructions!$J$11=10,AS169,IF(Instructions!$J$11=11,AU169,IF(Instructions!$J$11=12,AW169,IF(Instructions!$J$11=13, AY169, IF(Instructions!$J$11=14,BA169,IF(Instructions!$J$11=15,BC169,BE169)))))))))))))))</f>
        <v>214</v>
      </c>
      <c r="C169" s="271">
        <v>167</v>
      </c>
      <c r="D169" s="328" t="str">
        <f>Instructions!F$48</f>
        <v>Bui</v>
      </c>
      <c r="E169" s="333" t="s">
        <v>1502</v>
      </c>
      <c r="F169" s="706"/>
      <c r="G169" s="279">
        <v>21</v>
      </c>
      <c r="H169" s="293" t="str">
        <f>Instructions!F$48</f>
        <v>Bui</v>
      </c>
      <c r="I169" s="273" t="s">
        <v>1470</v>
      </c>
      <c r="J169" s="709"/>
      <c r="K169" s="279">
        <v>17</v>
      </c>
      <c r="L169" s="293" t="str">
        <f>Instructions!F$43</f>
        <v>Camden</v>
      </c>
      <c r="M169" s="273" t="s">
        <v>873</v>
      </c>
      <c r="N169" s="709"/>
      <c r="O169" s="279">
        <v>14</v>
      </c>
      <c r="P169" s="293" t="str">
        <f>Instructions!F$43</f>
        <v>Camden</v>
      </c>
      <c r="Q169" s="273" t="s">
        <v>951</v>
      </c>
      <c r="R169" s="709"/>
      <c r="S169" s="279">
        <v>12</v>
      </c>
      <c r="T169" s="328" t="str">
        <f>Instructions!F$48</f>
        <v>Bui</v>
      </c>
      <c r="U169" s="273" t="s">
        <v>833</v>
      </c>
      <c r="V169" s="706"/>
      <c r="W169" s="279">
        <v>11</v>
      </c>
      <c r="X169" s="280"/>
      <c r="Y169" s="190" t="str">
        <f>IFERROR( IF(Instructions!$E$11=8, D169&amp;COUNTIF(D$3:D169,D169), IF(Instructions!$E$11=10, H169&amp;COUNTIF(H$3:H169,H169),IF(Instructions!$E$11=12, L169&amp;COUNTIF(L$3:L169,L169),IF(Instructions!$E$11=14, P169&amp;COUNTIF(P$3:P169,P169),T169&amp;COUNTIF(T$3:T169,T169))))),"")</f>
        <v>Camden14</v>
      </c>
      <c r="Z169" s="321">
        <f>IF(Instructions!$E$11=8,IF($D169=Instructions!$F$42,Z168+1,Z168),IF(Instructions!$E$11=10,IF($H169=Instructions!$F$42,Z168+1,Z168),IF(Instructions!$E$11=12,IF($L169=Instructions!$F$42,Z168+1,Z168),IF(Instructions!$E$11=14,IF($P169=Instructions!$F$42,Z168+1,Z168),IF(Instructions!$E$11=16,IF($T169=Instructions!$F$42,Z168+1,Z168))))))</f>
        <v>13</v>
      </c>
      <c r="AA169" s="321" t="str">
        <f t="shared" si="40"/>
        <v>113</v>
      </c>
      <c r="AB169" s="321">
        <f>IF(Instructions!$E$11=8,IF($D169=Instructions!$F$43,AB168+1,AB168),IF(Instructions!$E$11=10,IF($H169=Instructions!$F$43,AB168+1,AB168),IF(Instructions!$E$11=12,IF($L169=Instructions!$F$43,AB168+1,AB168),IF(Instructions!$E$11=14,IF($P169=Instructions!$F$43,AB168+1,AB168),IF(Instructions!$E$11=16,IF($T169=Instructions!$F$43,AB168+1,AB168))))))</f>
        <v>14</v>
      </c>
      <c r="AC169" s="321" t="str">
        <f t="shared" si="32"/>
        <v>214</v>
      </c>
      <c r="AD169" s="321">
        <f>IF(Instructions!$E$11=8,IF($D169=Instructions!$F$44,AD168+1,AD168),IF(Instructions!$E$11=10,IF($H169=Instructions!$F$44,AD168+1,AD168),IF(Instructions!$E$11=12,IF($L169=Instructions!$F$44,AD168+1,AD168),IF(Instructions!$E$11=14,IF($P169=Instructions!$F$44,AD168+1,AD168),IF(Instructions!$E$11=16,IF($T169=Instructions!$F$44,AD168+1,AD168))))))</f>
        <v>14</v>
      </c>
      <c r="AE169" s="321" t="str">
        <f t="shared" si="33"/>
        <v>314</v>
      </c>
      <c r="AF169" s="321">
        <f>IF(Instructions!$E$11=8,IF($D169=Instructions!$F$45,AF168+1,AF168),IF(Instructions!$E$11=10,IF($H169=Instructions!$F$45,AF168+1,AF168),IF(Instructions!$E$11=12,IF($L169=Instructions!$F$45,AF168+1,AF168),IF(Instructions!$E$11=14,IF($P169=Instructions!$F$45,AF168+1,AF168),IF(Instructions!$E$11=16,IF($T169=Instructions!$F$45,AF168+1,AF168))))))</f>
        <v>14</v>
      </c>
      <c r="AG169" s="321" t="str">
        <f t="shared" si="34"/>
        <v>414</v>
      </c>
      <c r="AH169" s="321">
        <f>IF(Instructions!$E$11=8,IF($D169=Instructions!$F$46,AH168+1,AH168),IF(Instructions!$E$11=10,IF($H169=Instructions!$F$46,AH168+1,AH168),IF(Instructions!$E$11=12,IF($L169=Instructions!$F$46,AH168+1,AH168),IF(Instructions!$E$11=14,IF($P169=Instructions!$F$46,AH168+1,AH168),IF(Instructions!$E$11=16,IF($T169=Instructions!$F$46,AH168+1,AH168))))))</f>
        <v>14</v>
      </c>
      <c r="AI169" s="321" t="str">
        <f t="shared" si="35"/>
        <v>514</v>
      </c>
      <c r="AJ169" s="321">
        <f>IF(Instructions!$E$11=8,IF($D169=Instructions!$F$47,AJ168+1,AJ168),IF(Instructions!$E$11=10,IF($H169=Instructions!$F$47,AJ168+1,AJ168),IF(Instructions!$E$11=12,IF($L169=Instructions!$F$47,AJ168+1,AJ168),IF(Instructions!$E$11=14,IF($P169=Instructions!$F$47,AJ168+1,AJ168),IF(Instructions!$E$11=16,IF($T169=Instructions!$F$47,AJ168+1,AJ168))))))</f>
        <v>14</v>
      </c>
      <c r="AK169" s="321" t="str">
        <f t="shared" si="36"/>
        <v>614</v>
      </c>
      <c r="AL169" s="321">
        <f>IF(Instructions!$E$11=8,IF($D169=Instructions!$F$48,AL168+1,AL168),IF(Instructions!$E$11=10,IF($H169=Instructions!$F$48,AL168+1,AL168),IF(Instructions!$E$11=12,IF($L169=Instructions!$F$48,AL168+1,AL168),IF(Instructions!$E$11=14,IF($P169=Instructions!$F$48,AL168+1,AL168),IF(Instructions!$E$11=16,IF($T169=Instructions!$F$48,AL168+1,AL168))))))</f>
        <v>14</v>
      </c>
      <c r="AM169" s="321" t="str">
        <f t="shared" si="37"/>
        <v>714</v>
      </c>
      <c r="AN169" s="321">
        <f>IF(Instructions!$E$11=8,IF($D169=Instructions!$F$49,AN168+1,AN168),IF(Instructions!$E$11=10,IF($H169=Instructions!$F$49,AN168+1,AN168),IF(Instructions!$E$11=12,IF($L169=Instructions!$F$49,AN168+1,AN168),IF(Instructions!$E$11=14,IF($P169=Instructions!$F$49,AN168+1,AN168),IF(Instructions!$E$11=16,IF($T169=Instructions!$F$49,AN168+1,AN168))))))</f>
        <v>14</v>
      </c>
      <c r="AO169" s="321" t="str">
        <f t="shared" si="38"/>
        <v>814</v>
      </c>
      <c r="AP169" s="321">
        <f>IF(Instructions!$E$11=8,IF($D169=Instructions!$F$50,AP168+1,AP168),IF(Instructions!$E$11=10,IF($H169=Instructions!$F$50,AP168+1,AP168),IF(Instructions!$E$11=12,IF($L169=Instructions!$F$50,AP168+1,AP168),IF(Instructions!$E$11=14,IF($P169=Instructions!$F$50,AP168+1,AP168),IF(Instructions!$E$11=16,IF($T169=Instructions!$F$50,AP168+1,AP168))))))</f>
        <v>14</v>
      </c>
      <c r="AQ169" s="321" t="str">
        <f t="shared" si="39"/>
        <v>914</v>
      </c>
      <c r="AR169" s="321">
        <f>IF(Instructions!$E$11=8,IF($D169=Instructions!$F$51,AR168+1,AR168),IF(Instructions!$E$11=10,IF($H169=Instructions!$F$51,AR168+1,AR168),IF(Instructions!$E$11=12,IF($L169=Instructions!$F$51,AR168+1,AR168),IF(Instructions!$E$11=14,IF($P169=Instructions!$F$51,AR168+1,AR168),IF(Instructions!$E$11=16,IF($T169=Instructions!$F$51,AR168+1,AR168))))))</f>
        <v>14</v>
      </c>
      <c r="AS169" s="321" t="str">
        <f t="shared" si="41"/>
        <v>1014</v>
      </c>
      <c r="AT169" s="321">
        <f>IF(Instructions!$E$11=8,IF($D169=Instructions!$F$52,AT168+1,AT168),IF(Instructions!$E$11=10,IF($H169=Instructions!$F$52,AT168+1,AT168),IF(Instructions!$E$11=12,IF($L169=Instructions!$F$52,AT168+1,AT168),IF(Instructions!$E$11=14,IF($P169=Instructions!$F$52,AT168+1,AT168),IF(Instructions!$E$11=16,IF($T169=Instructions!$F$52,AT168+1,AT168))))))</f>
        <v>14</v>
      </c>
      <c r="AU169" s="321" t="str">
        <f t="shared" si="42"/>
        <v>1114</v>
      </c>
      <c r="AV169" s="321">
        <f>IF(Instructions!$E$11=8,IF($D169=Instructions!$F$53,AV168+1,AV168),IF(Instructions!$E$11=10,IF($H169=Instructions!$F$53,AV168+1,AV168),IF(Instructions!$E$11=12,IF($L169=Instructions!$F$53,AV168+1,AV168),IF(Instructions!$E$11=14,IF($P169=Instructions!$F$53,AV168+1,AV168),IF(Instructions!$E$11=16,IF($T169=Instructions!$F$53,AV168+1,AV168))))))</f>
        <v>14</v>
      </c>
      <c r="AW169" s="321" t="str">
        <f t="shared" si="43"/>
        <v>1214</v>
      </c>
      <c r="AX169" s="321">
        <f>IF(Instructions!$E$11=8,IF($D169=Instructions!$F$54,AX168+1,AX168),IF(Instructions!$E$11=10,IF($H169=Instructions!$F$54,AX168+1,AX168),IF(Instructions!$E$11=12,IF($L169=Instructions!$F$54,AX168+1,AX168),IF(Instructions!$E$11=14,IF($P169=Instructions!$F$54,AX168+1,AX168),IF(Instructions!$E$11=16,IF($T169=Instructions!$F$54,AX168+1,AX168))))))</f>
        <v>0</v>
      </c>
      <c r="AY169" s="321" t="str">
        <f t="shared" si="44"/>
        <v>1300</v>
      </c>
      <c r="AZ169" s="321">
        <f>IF(Instructions!$E$11=8,IF($D169=Instructions!$F$55,AZ168+1,AZ168),IF(Instructions!$E$11=10,IF($H169=Instructions!$F$55,AZ168+1,AZ168),IF(Instructions!$E$11=12,IF($L169=Instructions!$F$55,AZ168+1,AZ168),IF(Instructions!$E$11=14,IF($P169=Instructions!$F$55,AZ168+1,AZ168),IF(Instructions!$E$11=16,IF($T169=Instructions!$F$55,AZ168+1,AZ168))))))</f>
        <v>0</v>
      </c>
      <c r="BA169" s="321" t="str">
        <f t="shared" si="45"/>
        <v>1400</v>
      </c>
      <c r="BB169" s="321">
        <f>IF(Instructions!$E$11=8,IF($D169=Instructions!$F$56,BB168+1,BB168),IF(Instructions!$E$11=10,IF($H169=Instructions!$F$56,BB168+1,BB168),IF(Instructions!$E$11=12,IF($L169=Instructions!$F$56,BB168+1,BB168),IF(Instructions!$E$11=14,IF($P169=Instructions!$F$56,BB168+1,BB168),IF(Instructions!$E$11=16,IF($T169=Instructions!$F$56,BB168+1,BB168))))))</f>
        <v>0</v>
      </c>
      <c r="BC169" s="321" t="str">
        <f t="shared" si="46"/>
        <v>1500</v>
      </c>
      <c r="BD169" s="321">
        <f>IF(Instructions!$E$11=8,IF($D169=Instructions!$F$57,BD168+1,BD168),IF(Instructions!$E$11=10,IF($H169=Instructions!$F$57,BD168+1,BD168),IF(Instructions!$E$11=12,IF($L169=Instructions!$F$57,BD168+1,BD168),IF(Instructions!$E$11=14,IF($P169=Instructions!$F$57,BD168+1,BD168),IF(Instructions!$E$11=16,IF($T169=Instructions!$F$57,BD168+1,BD168))))))</f>
        <v>0</v>
      </c>
      <c r="BE169" s="321" t="str">
        <f t="shared" si="47"/>
        <v>1600</v>
      </c>
      <c r="BF169" s="321">
        <v>167</v>
      </c>
    </row>
    <row r="170" spans="1:58" ht="15.75" thickBot="1" x14ac:dyDescent="0.3">
      <c r="A170" s="280"/>
      <c r="B170" s="323" t="str">
        <f>IF(Instructions!$J$11=1,AA170,IF(Instructions!$J$11=2,AC170,IF(Instructions!$J$11=3,AE170,IF(Instructions!$J$11=4,AG170,IF(Instructions!$J$11=5,AI170,IF(Instructions!$J$11=6,AK170,IF(Instructions!$J$11=7,AM170,IF(Instructions!$J$11=8,AO170,IF(Instructions!$J$11=9,AQ170,IF(Instructions!$J$11=10,AS170,IF(Instructions!$J$11=11,AU170,IF(Instructions!$J$11=12,AW170,IF(Instructions!$J$11=13, AY170, IF(Instructions!$J$11=14,BA170,IF(Instructions!$J$11=15,BC170,BE170)))))))))))))))</f>
        <v>214</v>
      </c>
      <c r="C170" s="272">
        <v>168</v>
      </c>
      <c r="D170" s="329" t="str">
        <f>Instructions!F$49</f>
        <v>Luke</v>
      </c>
      <c r="E170" s="334" t="s">
        <v>1503</v>
      </c>
      <c r="F170" s="707"/>
      <c r="G170" s="279">
        <v>21</v>
      </c>
      <c r="H170" s="294" t="str">
        <f>Instructions!F$49</f>
        <v>Luke</v>
      </c>
      <c r="I170" s="274" t="s">
        <v>1471</v>
      </c>
      <c r="J170" s="709"/>
      <c r="K170" s="279">
        <v>17</v>
      </c>
      <c r="L170" s="295" t="str">
        <f>Instructions!F$42</f>
        <v>Trumbo</v>
      </c>
      <c r="M170" s="277" t="s">
        <v>874</v>
      </c>
      <c r="N170" s="710"/>
      <c r="O170" s="279">
        <v>14</v>
      </c>
      <c r="P170" s="295" t="str">
        <f>Instructions!F$42</f>
        <v>Trumbo</v>
      </c>
      <c r="Q170" s="277" t="s">
        <v>950</v>
      </c>
      <c r="R170" s="710"/>
      <c r="S170" s="279">
        <v>12</v>
      </c>
      <c r="T170" s="327" t="str">
        <f>Instructions!F$49</f>
        <v>Luke</v>
      </c>
      <c r="U170" s="274" t="s">
        <v>834</v>
      </c>
      <c r="V170" s="706"/>
      <c r="W170" s="279">
        <v>11</v>
      </c>
      <c r="X170" s="280"/>
      <c r="Y170" s="190" t="str">
        <f>IFERROR( IF(Instructions!$E$11=8, D170&amp;COUNTIF(D$3:D170,D170), IF(Instructions!$E$11=10, H170&amp;COUNTIF(H$3:H170,H170),IF(Instructions!$E$11=12, L170&amp;COUNTIF(L$3:L170,L170),IF(Instructions!$E$11=14, P170&amp;COUNTIF(P$3:P170,P170),T170&amp;COUNTIF(T$3:T170,T170))))),"")</f>
        <v>Trumbo14</v>
      </c>
      <c r="Z170" s="321">
        <f>IF(Instructions!$E$11=8,IF($D170=Instructions!$F$42,Z169+1,Z169),IF(Instructions!$E$11=10,IF($H170=Instructions!$F$42,Z169+1,Z169),IF(Instructions!$E$11=12,IF($L170=Instructions!$F$42,Z169+1,Z169),IF(Instructions!$E$11=14,IF($P170=Instructions!$F$42,Z169+1,Z169),IF(Instructions!$E$11=16,IF($T170=Instructions!$F$42,Z169+1,Z169))))))</f>
        <v>14</v>
      </c>
      <c r="AA170" s="321" t="str">
        <f t="shared" si="40"/>
        <v>114</v>
      </c>
      <c r="AB170" s="321">
        <f>IF(Instructions!$E$11=8,IF($D170=Instructions!$F$43,AB169+1,AB169),IF(Instructions!$E$11=10,IF($H170=Instructions!$F$43,AB169+1,AB169),IF(Instructions!$E$11=12,IF($L170=Instructions!$F$43,AB169+1,AB169),IF(Instructions!$E$11=14,IF($P170=Instructions!$F$43,AB169+1,AB169),IF(Instructions!$E$11=16,IF($T170=Instructions!$F$43,AB169+1,AB169))))))</f>
        <v>14</v>
      </c>
      <c r="AC170" s="321" t="str">
        <f t="shared" si="32"/>
        <v>214</v>
      </c>
      <c r="AD170" s="321">
        <f>IF(Instructions!$E$11=8,IF($D170=Instructions!$F$44,AD169+1,AD169),IF(Instructions!$E$11=10,IF($H170=Instructions!$F$44,AD169+1,AD169),IF(Instructions!$E$11=12,IF($L170=Instructions!$F$44,AD169+1,AD169),IF(Instructions!$E$11=14,IF($P170=Instructions!$F$44,AD169+1,AD169),IF(Instructions!$E$11=16,IF($T170=Instructions!$F$44,AD169+1,AD169))))))</f>
        <v>14</v>
      </c>
      <c r="AE170" s="321" t="str">
        <f t="shared" si="33"/>
        <v>314</v>
      </c>
      <c r="AF170" s="321">
        <f>IF(Instructions!$E$11=8,IF($D170=Instructions!$F$45,AF169+1,AF169),IF(Instructions!$E$11=10,IF($H170=Instructions!$F$45,AF169+1,AF169),IF(Instructions!$E$11=12,IF($L170=Instructions!$F$45,AF169+1,AF169),IF(Instructions!$E$11=14,IF($P170=Instructions!$F$45,AF169+1,AF169),IF(Instructions!$E$11=16,IF($T170=Instructions!$F$45,AF169+1,AF169))))))</f>
        <v>14</v>
      </c>
      <c r="AG170" s="321" t="str">
        <f t="shared" si="34"/>
        <v>414</v>
      </c>
      <c r="AH170" s="321">
        <f>IF(Instructions!$E$11=8,IF($D170=Instructions!$F$46,AH169+1,AH169),IF(Instructions!$E$11=10,IF($H170=Instructions!$F$46,AH169+1,AH169),IF(Instructions!$E$11=12,IF($L170=Instructions!$F$46,AH169+1,AH169),IF(Instructions!$E$11=14,IF($P170=Instructions!$F$46,AH169+1,AH169),IF(Instructions!$E$11=16,IF($T170=Instructions!$F$46,AH169+1,AH169))))))</f>
        <v>14</v>
      </c>
      <c r="AI170" s="321" t="str">
        <f t="shared" si="35"/>
        <v>514</v>
      </c>
      <c r="AJ170" s="321">
        <f>IF(Instructions!$E$11=8,IF($D170=Instructions!$F$47,AJ169+1,AJ169),IF(Instructions!$E$11=10,IF($H170=Instructions!$F$47,AJ169+1,AJ169),IF(Instructions!$E$11=12,IF($L170=Instructions!$F$47,AJ169+1,AJ169),IF(Instructions!$E$11=14,IF($P170=Instructions!$F$47,AJ169+1,AJ169),IF(Instructions!$E$11=16,IF($T170=Instructions!$F$47,AJ169+1,AJ169))))))</f>
        <v>14</v>
      </c>
      <c r="AK170" s="321" t="str">
        <f t="shared" si="36"/>
        <v>614</v>
      </c>
      <c r="AL170" s="321">
        <f>IF(Instructions!$E$11=8,IF($D170=Instructions!$F$48,AL169+1,AL169),IF(Instructions!$E$11=10,IF($H170=Instructions!$F$48,AL169+1,AL169),IF(Instructions!$E$11=12,IF($L170=Instructions!$F$48,AL169+1,AL169),IF(Instructions!$E$11=14,IF($P170=Instructions!$F$48,AL169+1,AL169),IF(Instructions!$E$11=16,IF($T170=Instructions!$F$48,AL169+1,AL169))))))</f>
        <v>14</v>
      </c>
      <c r="AM170" s="321" t="str">
        <f t="shared" si="37"/>
        <v>714</v>
      </c>
      <c r="AN170" s="321">
        <f>IF(Instructions!$E$11=8,IF($D170=Instructions!$F$49,AN169+1,AN169),IF(Instructions!$E$11=10,IF($H170=Instructions!$F$49,AN169+1,AN169),IF(Instructions!$E$11=12,IF($L170=Instructions!$F$49,AN169+1,AN169),IF(Instructions!$E$11=14,IF($P170=Instructions!$F$49,AN169+1,AN169),IF(Instructions!$E$11=16,IF($T170=Instructions!$F$49,AN169+1,AN169))))))</f>
        <v>14</v>
      </c>
      <c r="AO170" s="321" t="str">
        <f t="shared" si="38"/>
        <v>814</v>
      </c>
      <c r="AP170" s="321">
        <f>IF(Instructions!$E$11=8,IF($D170=Instructions!$F$50,AP169+1,AP169),IF(Instructions!$E$11=10,IF($H170=Instructions!$F$50,AP169+1,AP169),IF(Instructions!$E$11=12,IF($L170=Instructions!$F$50,AP169+1,AP169),IF(Instructions!$E$11=14,IF($P170=Instructions!$F$50,AP169+1,AP169),IF(Instructions!$E$11=16,IF($T170=Instructions!$F$50,AP169+1,AP169))))))</f>
        <v>14</v>
      </c>
      <c r="AQ170" s="321" t="str">
        <f t="shared" si="39"/>
        <v>914</v>
      </c>
      <c r="AR170" s="321">
        <f>IF(Instructions!$E$11=8,IF($D170=Instructions!$F$51,AR169+1,AR169),IF(Instructions!$E$11=10,IF($H170=Instructions!$F$51,AR169+1,AR169),IF(Instructions!$E$11=12,IF($L170=Instructions!$F$51,AR169+1,AR169),IF(Instructions!$E$11=14,IF($P170=Instructions!$F$51,AR169+1,AR169),IF(Instructions!$E$11=16,IF($T170=Instructions!$F$51,AR169+1,AR169))))))</f>
        <v>14</v>
      </c>
      <c r="AS170" s="321" t="str">
        <f t="shared" si="41"/>
        <v>1014</v>
      </c>
      <c r="AT170" s="321">
        <f>IF(Instructions!$E$11=8,IF($D170=Instructions!$F$52,AT169+1,AT169),IF(Instructions!$E$11=10,IF($H170=Instructions!$F$52,AT169+1,AT169),IF(Instructions!$E$11=12,IF($L170=Instructions!$F$52,AT169+1,AT169),IF(Instructions!$E$11=14,IF($P170=Instructions!$F$52,AT169+1,AT169),IF(Instructions!$E$11=16,IF($T170=Instructions!$F$52,AT169+1,AT169))))))</f>
        <v>14</v>
      </c>
      <c r="AU170" s="321" t="str">
        <f t="shared" si="42"/>
        <v>1114</v>
      </c>
      <c r="AV170" s="321">
        <f>IF(Instructions!$E$11=8,IF($D170=Instructions!$F$53,AV169+1,AV169),IF(Instructions!$E$11=10,IF($H170=Instructions!$F$53,AV169+1,AV169),IF(Instructions!$E$11=12,IF($L170=Instructions!$F$53,AV169+1,AV169),IF(Instructions!$E$11=14,IF($P170=Instructions!$F$53,AV169+1,AV169),IF(Instructions!$E$11=16,IF($T170=Instructions!$F$53,AV169+1,AV169))))))</f>
        <v>14</v>
      </c>
      <c r="AW170" s="321" t="str">
        <f t="shared" si="43"/>
        <v>1214</v>
      </c>
      <c r="AX170" s="321">
        <f>IF(Instructions!$E$11=8,IF($D170=Instructions!$F$54,AX169+1,AX169),IF(Instructions!$E$11=10,IF($H170=Instructions!$F$54,AX169+1,AX169),IF(Instructions!$E$11=12,IF($L170=Instructions!$F$54,AX169+1,AX169),IF(Instructions!$E$11=14,IF($P170=Instructions!$F$54,AX169+1,AX169),IF(Instructions!$E$11=16,IF($T170=Instructions!$F$54,AX169+1,AX169))))))</f>
        <v>0</v>
      </c>
      <c r="AY170" s="321" t="str">
        <f t="shared" si="44"/>
        <v>1300</v>
      </c>
      <c r="AZ170" s="321">
        <f>IF(Instructions!$E$11=8,IF($D170=Instructions!$F$55,AZ169+1,AZ169),IF(Instructions!$E$11=10,IF($H170=Instructions!$F$55,AZ169+1,AZ169),IF(Instructions!$E$11=12,IF($L170=Instructions!$F$55,AZ169+1,AZ169),IF(Instructions!$E$11=14,IF($P170=Instructions!$F$55,AZ169+1,AZ169),IF(Instructions!$E$11=16,IF($T170=Instructions!$F$55,AZ169+1,AZ169))))))</f>
        <v>0</v>
      </c>
      <c r="BA170" s="321" t="str">
        <f t="shared" si="45"/>
        <v>1400</v>
      </c>
      <c r="BB170" s="321">
        <f>IF(Instructions!$E$11=8,IF($D170=Instructions!$F$56,BB169+1,BB169),IF(Instructions!$E$11=10,IF($H170=Instructions!$F$56,BB169+1,BB169),IF(Instructions!$E$11=12,IF($L170=Instructions!$F$56,BB169+1,BB169),IF(Instructions!$E$11=14,IF($P170=Instructions!$F$56,BB169+1,BB169),IF(Instructions!$E$11=16,IF($T170=Instructions!$F$56,BB169+1,BB169))))))</f>
        <v>0</v>
      </c>
      <c r="BC170" s="321" t="str">
        <f t="shared" si="46"/>
        <v>1500</v>
      </c>
      <c r="BD170" s="321">
        <f>IF(Instructions!$E$11=8,IF($D170=Instructions!$F$57,BD169+1,BD169),IF(Instructions!$E$11=10,IF($H170=Instructions!$F$57,BD169+1,BD169),IF(Instructions!$E$11=12,IF($L170=Instructions!$F$57,BD169+1,BD169),IF(Instructions!$E$11=14,IF($P170=Instructions!$F$57,BD169+1,BD169),IF(Instructions!$E$11=16,IF($T170=Instructions!$F$57,BD169+1,BD169))))))</f>
        <v>0</v>
      </c>
      <c r="BE170" s="321" t="str">
        <f t="shared" si="47"/>
        <v>1600</v>
      </c>
      <c r="BF170" s="321">
        <v>168</v>
      </c>
    </row>
    <row r="171" spans="1:58" ht="15" customHeight="1" x14ac:dyDescent="0.25">
      <c r="A171" s="280"/>
      <c r="B171" s="323" t="str">
        <f>IF(Instructions!$J$11=1,AA171,IF(Instructions!$J$11=2,AC171,IF(Instructions!$J$11=3,AE171,IF(Instructions!$J$11=4,AG171,IF(Instructions!$J$11=5,AI171,IF(Instructions!$J$11=6,AK171,IF(Instructions!$J$11=7,AM171,IF(Instructions!$J$11=8,AO171,IF(Instructions!$J$11=9,AQ171,IF(Instructions!$J$11=10,AS171,IF(Instructions!$J$11=11,AU171,IF(Instructions!$J$11=12,AW171,IF(Instructions!$J$11=13, AY171, IF(Instructions!$J$11=14,BA171,IF(Instructions!$J$11=15,BC171,BE171)))))))))))))))</f>
        <v>214</v>
      </c>
      <c r="C171" s="271">
        <v>169</v>
      </c>
      <c r="D171" s="325" t="str">
        <f>Instructions!F$49</f>
        <v>Luke</v>
      </c>
      <c r="E171" s="331" t="s">
        <v>1504</v>
      </c>
      <c r="F171" s="705" t="s">
        <v>1460</v>
      </c>
      <c r="G171" s="279">
        <v>22</v>
      </c>
      <c r="H171" s="293" t="str">
        <f>Instructions!F$50</f>
        <v>Dan</v>
      </c>
      <c r="I171" s="273" t="s">
        <v>1536</v>
      </c>
      <c r="J171" s="709"/>
      <c r="K171" s="279">
        <v>17</v>
      </c>
      <c r="L171" s="292" t="str">
        <f>Instructions!F$42</f>
        <v>Trumbo</v>
      </c>
      <c r="M171" s="276" t="s">
        <v>875</v>
      </c>
      <c r="N171" s="708" t="s">
        <v>910</v>
      </c>
      <c r="O171" s="279">
        <v>15</v>
      </c>
      <c r="P171" s="292" t="str">
        <f>Instructions!F$42</f>
        <v>Trumbo</v>
      </c>
      <c r="Q171" s="276" t="s">
        <v>851</v>
      </c>
      <c r="R171" s="708" t="s">
        <v>908</v>
      </c>
      <c r="S171" s="279">
        <v>13</v>
      </c>
      <c r="T171" s="328" t="str">
        <f>Instructions!F$50</f>
        <v>Dan</v>
      </c>
      <c r="U171" s="273" t="s">
        <v>835</v>
      </c>
      <c r="V171" s="706"/>
      <c r="W171" s="279">
        <v>11</v>
      </c>
      <c r="X171" s="280"/>
      <c r="Y171" s="190" t="str">
        <f>IFERROR( IF(Instructions!$E$11=8, D171&amp;COUNTIF(D$3:D171,D171), IF(Instructions!$E$11=10, H171&amp;COUNTIF(H$3:H171,H171),IF(Instructions!$E$11=12, L171&amp;COUNTIF(L$3:L171,L171),IF(Instructions!$E$11=14, P171&amp;COUNTIF(P$3:P171,P171),T171&amp;COUNTIF(T$3:T171,T171))))),"")</f>
        <v>Trumbo15</v>
      </c>
      <c r="Z171" s="321">
        <f>IF(Instructions!$E$11=8,IF($D171=Instructions!$F$42,Z170+1,Z170),IF(Instructions!$E$11=10,IF($H171=Instructions!$F$42,Z170+1,Z170),IF(Instructions!$E$11=12,IF($L171=Instructions!$F$42,Z170+1,Z170),IF(Instructions!$E$11=14,IF($P171=Instructions!$F$42,Z170+1,Z170),IF(Instructions!$E$11=16,IF($T171=Instructions!$F$42,Z170+1,Z170))))))</f>
        <v>15</v>
      </c>
      <c r="AA171" s="321" t="str">
        <f t="shared" si="40"/>
        <v>115</v>
      </c>
      <c r="AB171" s="321">
        <f>IF(Instructions!$E$11=8,IF($D171=Instructions!$F$43,AB170+1,AB170),IF(Instructions!$E$11=10,IF($H171=Instructions!$F$43,AB170+1,AB170),IF(Instructions!$E$11=12,IF($L171=Instructions!$F$43,AB170+1,AB170),IF(Instructions!$E$11=14,IF($P171=Instructions!$F$43,AB170+1,AB170),IF(Instructions!$E$11=16,IF($T171=Instructions!$F$43,AB170+1,AB170))))))</f>
        <v>14</v>
      </c>
      <c r="AC171" s="321" t="str">
        <f t="shared" si="32"/>
        <v>214</v>
      </c>
      <c r="AD171" s="321">
        <f>IF(Instructions!$E$11=8,IF($D171=Instructions!$F$44,AD170+1,AD170),IF(Instructions!$E$11=10,IF($H171=Instructions!$F$44,AD170+1,AD170),IF(Instructions!$E$11=12,IF($L171=Instructions!$F$44,AD170+1,AD170),IF(Instructions!$E$11=14,IF($P171=Instructions!$F$44,AD170+1,AD170),IF(Instructions!$E$11=16,IF($T171=Instructions!$F$44,AD170+1,AD170))))))</f>
        <v>14</v>
      </c>
      <c r="AE171" s="321" t="str">
        <f t="shared" si="33"/>
        <v>314</v>
      </c>
      <c r="AF171" s="321">
        <f>IF(Instructions!$E$11=8,IF($D171=Instructions!$F$45,AF170+1,AF170),IF(Instructions!$E$11=10,IF($H171=Instructions!$F$45,AF170+1,AF170),IF(Instructions!$E$11=12,IF($L171=Instructions!$F$45,AF170+1,AF170),IF(Instructions!$E$11=14,IF($P171=Instructions!$F$45,AF170+1,AF170),IF(Instructions!$E$11=16,IF($T171=Instructions!$F$45,AF170+1,AF170))))))</f>
        <v>14</v>
      </c>
      <c r="AG171" s="321" t="str">
        <f t="shared" si="34"/>
        <v>414</v>
      </c>
      <c r="AH171" s="321">
        <f>IF(Instructions!$E$11=8,IF($D171=Instructions!$F$46,AH170+1,AH170),IF(Instructions!$E$11=10,IF($H171=Instructions!$F$46,AH170+1,AH170),IF(Instructions!$E$11=12,IF($L171=Instructions!$F$46,AH170+1,AH170),IF(Instructions!$E$11=14,IF($P171=Instructions!$F$46,AH170+1,AH170),IF(Instructions!$E$11=16,IF($T171=Instructions!$F$46,AH170+1,AH170))))))</f>
        <v>14</v>
      </c>
      <c r="AI171" s="321" t="str">
        <f t="shared" si="35"/>
        <v>514</v>
      </c>
      <c r="AJ171" s="321">
        <f>IF(Instructions!$E$11=8,IF($D171=Instructions!$F$47,AJ170+1,AJ170),IF(Instructions!$E$11=10,IF($H171=Instructions!$F$47,AJ170+1,AJ170),IF(Instructions!$E$11=12,IF($L171=Instructions!$F$47,AJ170+1,AJ170),IF(Instructions!$E$11=14,IF($P171=Instructions!$F$47,AJ170+1,AJ170),IF(Instructions!$E$11=16,IF($T171=Instructions!$F$47,AJ170+1,AJ170))))))</f>
        <v>14</v>
      </c>
      <c r="AK171" s="321" t="str">
        <f t="shared" si="36"/>
        <v>614</v>
      </c>
      <c r="AL171" s="321">
        <f>IF(Instructions!$E$11=8,IF($D171=Instructions!$F$48,AL170+1,AL170),IF(Instructions!$E$11=10,IF($H171=Instructions!$F$48,AL170+1,AL170),IF(Instructions!$E$11=12,IF($L171=Instructions!$F$48,AL170+1,AL170),IF(Instructions!$E$11=14,IF($P171=Instructions!$F$48,AL170+1,AL170),IF(Instructions!$E$11=16,IF($T171=Instructions!$F$48,AL170+1,AL170))))))</f>
        <v>14</v>
      </c>
      <c r="AM171" s="321" t="str">
        <f t="shared" si="37"/>
        <v>714</v>
      </c>
      <c r="AN171" s="321">
        <f>IF(Instructions!$E$11=8,IF($D171=Instructions!$F$49,AN170+1,AN170),IF(Instructions!$E$11=10,IF($H171=Instructions!$F$49,AN170+1,AN170),IF(Instructions!$E$11=12,IF($L171=Instructions!$F$49,AN170+1,AN170),IF(Instructions!$E$11=14,IF($P171=Instructions!$F$49,AN170+1,AN170),IF(Instructions!$E$11=16,IF($T171=Instructions!$F$49,AN170+1,AN170))))))</f>
        <v>14</v>
      </c>
      <c r="AO171" s="321" t="str">
        <f t="shared" si="38"/>
        <v>814</v>
      </c>
      <c r="AP171" s="321">
        <f>IF(Instructions!$E$11=8,IF($D171=Instructions!$F$50,AP170+1,AP170),IF(Instructions!$E$11=10,IF($H171=Instructions!$F$50,AP170+1,AP170),IF(Instructions!$E$11=12,IF($L171=Instructions!$F$50,AP170+1,AP170),IF(Instructions!$E$11=14,IF($P171=Instructions!$F$50,AP170+1,AP170),IF(Instructions!$E$11=16,IF($T171=Instructions!$F$50,AP170+1,AP170))))))</f>
        <v>14</v>
      </c>
      <c r="AQ171" s="321" t="str">
        <f t="shared" si="39"/>
        <v>914</v>
      </c>
      <c r="AR171" s="321">
        <f>IF(Instructions!$E$11=8,IF($D171=Instructions!$F$51,AR170+1,AR170),IF(Instructions!$E$11=10,IF($H171=Instructions!$F$51,AR170+1,AR170),IF(Instructions!$E$11=12,IF($L171=Instructions!$F$51,AR170+1,AR170),IF(Instructions!$E$11=14,IF($P171=Instructions!$F$51,AR170+1,AR170),IF(Instructions!$E$11=16,IF($T171=Instructions!$F$51,AR170+1,AR170))))))</f>
        <v>14</v>
      </c>
      <c r="AS171" s="321" t="str">
        <f t="shared" si="41"/>
        <v>1014</v>
      </c>
      <c r="AT171" s="321">
        <f>IF(Instructions!$E$11=8,IF($D171=Instructions!$F$52,AT170+1,AT170),IF(Instructions!$E$11=10,IF($H171=Instructions!$F$52,AT170+1,AT170),IF(Instructions!$E$11=12,IF($L171=Instructions!$F$52,AT170+1,AT170),IF(Instructions!$E$11=14,IF($P171=Instructions!$F$52,AT170+1,AT170),IF(Instructions!$E$11=16,IF($T171=Instructions!$F$52,AT170+1,AT170))))))</f>
        <v>14</v>
      </c>
      <c r="AU171" s="321" t="str">
        <f t="shared" si="42"/>
        <v>1114</v>
      </c>
      <c r="AV171" s="321">
        <f>IF(Instructions!$E$11=8,IF($D171=Instructions!$F$53,AV170+1,AV170),IF(Instructions!$E$11=10,IF($H171=Instructions!$F$53,AV170+1,AV170),IF(Instructions!$E$11=12,IF($L171=Instructions!$F$53,AV170+1,AV170),IF(Instructions!$E$11=14,IF($P171=Instructions!$F$53,AV170+1,AV170),IF(Instructions!$E$11=16,IF($T171=Instructions!$F$53,AV170+1,AV170))))))</f>
        <v>14</v>
      </c>
      <c r="AW171" s="321" t="str">
        <f t="shared" si="43"/>
        <v>1214</v>
      </c>
      <c r="AX171" s="321">
        <f>IF(Instructions!$E$11=8,IF($D171=Instructions!$F$54,AX170+1,AX170),IF(Instructions!$E$11=10,IF($H171=Instructions!$F$54,AX170+1,AX170),IF(Instructions!$E$11=12,IF($L171=Instructions!$F$54,AX170+1,AX170),IF(Instructions!$E$11=14,IF($P171=Instructions!$F$54,AX170+1,AX170),IF(Instructions!$E$11=16,IF($T171=Instructions!$F$54,AX170+1,AX170))))))</f>
        <v>0</v>
      </c>
      <c r="AY171" s="321" t="str">
        <f t="shared" si="44"/>
        <v>1300</v>
      </c>
      <c r="AZ171" s="321">
        <f>IF(Instructions!$E$11=8,IF($D171=Instructions!$F$55,AZ170+1,AZ170),IF(Instructions!$E$11=10,IF($H171=Instructions!$F$55,AZ170+1,AZ170),IF(Instructions!$E$11=12,IF($L171=Instructions!$F$55,AZ170+1,AZ170),IF(Instructions!$E$11=14,IF($P171=Instructions!$F$55,AZ170+1,AZ170),IF(Instructions!$E$11=16,IF($T171=Instructions!$F$55,AZ170+1,AZ170))))))</f>
        <v>0</v>
      </c>
      <c r="BA171" s="321" t="str">
        <f t="shared" si="45"/>
        <v>1400</v>
      </c>
      <c r="BB171" s="321">
        <f>IF(Instructions!$E$11=8,IF($D171=Instructions!$F$56,BB170+1,BB170),IF(Instructions!$E$11=10,IF($H171=Instructions!$F$56,BB170+1,BB170),IF(Instructions!$E$11=12,IF($L171=Instructions!$F$56,BB170+1,BB170),IF(Instructions!$E$11=14,IF($P171=Instructions!$F$56,BB170+1,BB170),IF(Instructions!$E$11=16,IF($T171=Instructions!$F$56,BB170+1,BB170))))))</f>
        <v>0</v>
      </c>
      <c r="BC171" s="321" t="str">
        <f t="shared" si="46"/>
        <v>1500</v>
      </c>
      <c r="BD171" s="321">
        <f>IF(Instructions!$E$11=8,IF($D171=Instructions!$F$57,BD170+1,BD170),IF(Instructions!$E$11=10,IF($H171=Instructions!$F$57,BD170+1,BD170),IF(Instructions!$E$11=12,IF($L171=Instructions!$F$57,BD170+1,BD170),IF(Instructions!$E$11=14,IF($P171=Instructions!$F$57,BD170+1,BD170),IF(Instructions!$E$11=16,IF($T171=Instructions!$F$57,BD170+1,BD170))))))</f>
        <v>0</v>
      </c>
      <c r="BE171" s="321" t="str">
        <f t="shared" si="47"/>
        <v>1600</v>
      </c>
      <c r="BF171" s="321">
        <v>169</v>
      </c>
    </row>
    <row r="172" spans="1:58" ht="15.75" thickBot="1" x14ac:dyDescent="0.3">
      <c r="A172" s="280"/>
      <c r="B172" s="323" t="str">
        <f>IF(Instructions!$J$11=1,AA172,IF(Instructions!$J$11=2,AC172,IF(Instructions!$J$11=3,AE172,IF(Instructions!$J$11=4,AG172,IF(Instructions!$J$11=5,AI172,IF(Instructions!$J$11=6,AK172,IF(Instructions!$J$11=7,AM172,IF(Instructions!$J$11=8,AO172,IF(Instructions!$J$11=9,AQ172,IF(Instructions!$J$11=10,AS172,IF(Instructions!$J$11=11,AU172,IF(Instructions!$J$11=12,AW172,IF(Instructions!$J$11=13, AY172, IF(Instructions!$J$11=14,BA172,IF(Instructions!$J$11=15,BC172,BE172)))))))))))))))</f>
        <v>215</v>
      </c>
      <c r="C172" s="272">
        <v>170</v>
      </c>
      <c r="D172" s="327" t="str">
        <f>Instructions!F$48</f>
        <v>Bui</v>
      </c>
      <c r="E172" s="332" t="s">
        <v>1505</v>
      </c>
      <c r="F172" s="706"/>
      <c r="G172" s="279">
        <v>22</v>
      </c>
      <c r="H172" s="295" t="str">
        <f>Instructions!F$51</f>
        <v>Josh</v>
      </c>
      <c r="I172" s="277" t="s">
        <v>1537</v>
      </c>
      <c r="J172" s="710"/>
      <c r="K172" s="279">
        <v>17</v>
      </c>
      <c r="L172" s="294" t="str">
        <f>Instructions!F$43</f>
        <v>Camden</v>
      </c>
      <c r="M172" s="274" t="s">
        <v>876</v>
      </c>
      <c r="N172" s="709"/>
      <c r="O172" s="279">
        <v>15</v>
      </c>
      <c r="P172" s="294" t="str">
        <f>Instructions!F$43</f>
        <v>Camden</v>
      </c>
      <c r="Q172" s="274" t="s">
        <v>852</v>
      </c>
      <c r="R172" s="709"/>
      <c r="S172" s="279">
        <v>13</v>
      </c>
      <c r="T172" s="327" t="str">
        <f>Instructions!F$51</f>
        <v>Josh</v>
      </c>
      <c r="U172" s="274" t="s">
        <v>836</v>
      </c>
      <c r="V172" s="706"/>
      <c r="W172" s="279">
        <v>11</v>
      </c>
      <c r="X172" s="280"/>
      <c r="Y172" s="190" t="str">
        <f>IFERROR( IF(Instructions!$E$11=8, D172&amp;COUNTIF(D$3:D172,D172), IF(Instructions!$E$11=10, H172&amp;COUNTIF(H$3:H172,H172),IF(Instructions!$E$11=12, L172&amp;COUNTIF(L$3:L172,L172),IF(Instructions!$E$11=14, P172&amp;COUNTIF(P$3:P172,P172),T172&amp;COUNTIF(T$3:T172,T172))))),"")</f>
        <v>Camden15</v>
      </c>
      <c r="Z172" s="321">
        <f>IF(Instructions!$E$11=8,IF($D172=Instructions!$F$42,Z171+1,Z171),IF(Instructions!$E$11=10,IF($H172=Instructions!$F$42,Z171+1,Z171),IF(Instructions!$E$11=12,IF($L172=Instructions!$F$42,Z171+1,Z171),IF(Instructions!$E$11=14,IF($P172=Instructions!$F$42,Z171+1,Z171),IF(Instructions!$E$11=16,IF($T172=Instructions!$F$42,Z171+1,Z171))))))</f>
        <v>15</v>
      </c>
      <c r="AA172" s="321" t="str">
        <f t="shared" si="40"/>
        <v>115</v>
      </c>
      <c r="AB172" s="321">
        <f>IF(Instructions!$E$11=8,IF($D172=Instructions!$F$43,AB171+1,AB171),IF(Instructions!$E$11=10,IF($H172=Instructions!$F$43,AB171+1,AB171),IF(Instructions!$E$11=12,IF($L172=Instructions!$F$43,AB171+1,AB171),IF(Instructions!$E$11=14,IF($P172=Instructions!$F$43,AB171+1,AB171),IF(Instructions!$E$11=16,IF($T172=Instructions!$F$43,AB171+1,AB171))))))</f>
        <v>15</v>
      </c>
      <c r="AC172" s="321" t="str">
        <f t="shared" si="32"/>
        <v>215</v>
      </c>
      <c r="AD172" s="321">
        <f>IF(Instructions!$E$11=8,IF($D172=Instructions!$F$44,AD171+1,AD171),IF(Instructions!$E$11=10,IF($H172=Instructions!$F$44,AD171+1,AD171),IF(Instructions!$E$11=12,IF($L172=Instructions!$F$44,AD171+1,AD171),IF(Instructions!$E$11=14,IF($P172=Instructions!$F$44,AD171+1,AD171),IF(Instructions!$E$11=16,IF($T172=Instructions!$F$44,AD171+1,AD171))))))</f>
        <v>14</v>
      </c>
      <c r="AE172" s="321" t="str">
        <f t="shared" si="33"/>
        <v>314</v>
      </c>
      <c r="AF172" s="321">
        <f>IF(Instructions!$E$11=8,IF($D172=Instructions!$F$45,AF171+1,AF171),IF(Instructions!$E$11=10,IF($H172=Instructions!$F$45,AF171+1,AF171),IF(Instructions!$E$11=12,IF($L172=Instructions!$F$45,AF171+1,AF171),IF(Instructions!$E$11=14,IF($P172=Instructions!$F$45,AF171+1,AF171),IF(Instructions!$E$11=16,IF($T172=Instructions!$F$45,AF171+1,AF171))))))</f>
        <v>14</v>
      </c>
      <c r="AG172" s="321" t="str">
        <f t="shared" si="34"/>
        <v>414</v>
      </c>
      <c r="AH172" s="321">
        <f>IF(Instructions!$E$11=8,IF($D172=Instructions!$F$46,AH171+1,AH171),IF(Instructions!$E$11=10,IF($H172=Instructions!$F$46,AH171+1,AH171),IF(Instructions!$E$11=12,IF($L172=Instructions!$F$46,AH171+1,AH171),IF(Instructions!$E$11=14,IF($P172=Instructions!$F$46,AH171+1,AH171),IF(Instructions!$E$11=16,IF($T172=Instructions!$F$46,AH171+1,AH171))))))</f>
        <v>14</v>
      </c>
      <c r="AI172" s="321" t="str">
        <f t="shared" si="35"/>
        <v>514</v>
      </c>
      <c r="AJ172" s="321">
        <f>IF(Instructions!$E$11=8,IF($D172=Instructions!$F$47,AJ171+1,AJ171),IF(Instructions!$E$11=10,IF($H172=Instructions!$F$47,AJ171+1,AJ171),IF(Instructions!$E$11=12,IF($L172=Instructions!$F$47,AJ171+1,AJ171),IF(Instructions!$E$11=14,IF($P172=Instructions!$F$47,AJ171+1,AJ171),IF(Instructions!$E$11=16,IF($T172=Instructions!$F$47,AJ171+1,AJ171))))))</f>
        <v>14</v>
      </c>
      <c r="AK172" s="321" t="str">
        <f t="shared" si="36"/>
        <v>614</v>
      </c>
      <c r="AL172" s="321">
        <f>IF(Instructions!$E$11=8,IF($D172=Instructions!$F$48,AL171+1,AL171),IF(Instructions!$E$11=10,IF($H172=Instructions!$F$48,AL171+1,AL171),IF(Instructions!$E$11=12,IF($L172=Instructions!$F$48,AL171+1,AL171),IF(Instructions!$E$11=14,IF($P172=Instructions!$F$48,AL171+1,AL171),IF(Instructions!$E$11=16,IF($T172=Instructions!$F$48,AL171+1,AL171))))))</f>
        <v>14</v>
      </c>
      <c r="AM172" s="321" t="str">
        <f t="shared" si="37"/>
        <v>714</v>
      </c>
      <c r="AN172" s="321">
        <f>IF(Instructions!$E$11=8,IF($D172=Instructions!$F$49,AN171+1,AN171),IF(Instructions!$E$11=10,IF($H172=Instructions!$F$49,AN171+1,AN171),IF(Instructions!$E$11=12,IF($L172=Instructions!$F$49,AN171+1,AN171),IF(Instructions!$E$11=14,IF($P172=Instructions!$F$49,AN171+1,AN171),IF(Instructions!$E$11=16,IF($T172=Instructions!$F$49,AN171+1,AN171))))))</f>
        <v>14</v>
      </c>
      <c r="AO172" s="321" t="str">
        <f t="shared" si="38"/>
        <v>814</v>
      </c>
      <c r="AP172" s="321">
        <f>IF(Instructions!$E$11=8,IF($D172=Instructions!$F$50,AP171+1,AP171),IF(Instructions!$E$11=10,IF($H172=Instructions!$F$50,AP171+1,AP171),IF(Instructions!$E$11=12,IF($L172=Instructions!$F$50,AP171+1,AP171),IF(Instructions!$E$11=14,IF($P172=Instructions!$F$50,AP171+1,AP171),IF(Instructions!$E$11=16,IF($T172=Instructions!$F$50,AP171+1,AP171))))))</f>
        <v>14</v>
      </c>
      <c r="AQ172" s="321" t="str">
        <f t="shared" si="39"/>
        <v>914</v>
      </c>
      <c r="AR172" s="321">
        <f>IF(Instructions!$E$11=8,IF($D172=Instructions!$F$51,AR171+1,AR171),IF(Instructions!$E$11=10,IF($H172=Instructions!$F$51,AR171+1,AR171),IF(Instructions!$E$11=12,IF($L172=Instructions!$F$51,AR171+1,AR171),IF(Instructions!$E$11=14,IF($P172=Instructions!$F$51,AR171+1,AR171),IF(Instructions!$E$11=16,IF($T172=Instructions!$F$51,AR171+1,AR171))))))</f>
        <v>14</v>
      </c>
      <c r="AS172" s="321" t="str">
        <f t="shared" si="41"/>
        <v>1014</v>
      </c>
      <c r="AT172" s="321">
        <f>IF(Instructions!$E$11=8,IF($D172=Instructions!$F$52,AT171+1,AT171),IF(Instructions!$E$11=10,IF($H172=Instructions!$F$52,AT171+1,AT171),IF(Instructions!$E$11=12,IF($L172=Instructions!$F$52,AT171+1,AT171),IF(Instructions!$E$11=14,IF($P172=Instructions!$F$52,AT171+1,AT171),IF(Instructions!$E$11=16,IF($T172=Instructions!$F$52,AT171+1,AT171))))))</f>
        <v>14</v>
      </c>
      <c r="AU172" s="321" t="str">
        <f t="shared" si="42"/>
        <v>1114</v>
      </c>
      <c r="AV172" s="321">
        <f>IF(Instructions!$E$11=8,IF($D172=Instructions!$F$53,AV171+1,AV171),IF(Instructions!$E$11=10,IF($H172=Instructions!$F$53,AV171+1,AV171),IF(Instructions!$E$11=12,IF($L172=Instructions!$F$53,AV171+1,AV171),IF(Instructions!$E$11=14,IF($P172=Instructions!$F$53,AV171+1,AV171),IF(Instructions!$E$11=16,IF($T172=Instructions!$F$53,AV171+1,AV171))))))</f>
        <v>14</v>
      </c>
      <c r="AW172" s="321" t="str">
        <f t="shared" si="43"/>
        <v>1214</v>
      </c>
      <c r="AX172" s="321">
        <f>IF(Instructions!$E$11=8,IF($D172=Instructions!$F$54,AX171+1,AX171),IF(Instructions!$E$11=10,IF($H172=Instructions!$F$54,AX171+1,AX171),IF(Instructions!$E$11=12,IF($L172=Instructions!$F$54,AX171+1,AX171),IF(Instructions!$E$11=14,IF($P172=Instructions!$F$54,AX171+1,AX171),IF(Instructions!$E$11=16,IF($T172=Instructions!$F$54,AX171+1,AX171))))))</f>
        <v>0</v>
      </c>
      <c r="AY172" s="321" t="str">
        <f t="shared" si="44"/>
        <v>1300</v>
      </c>
      <c r="AZ172" s="321">
        <f>IF(Instructions!$E$11=8,IF($D172=Instructions!$F$55,AZ171+1,AZ171),IF(Instructions!$E$11=10,IF($H172=Instructions!$F$55,AZ171+1,AZ171),IF(Instructions!$E$11=12,IF($L172=Instructions!$F$55,AZ171+1,AZ171),IF(Instructions!$E$11=14,IF($P172=Instructions!$F$55,AZ171+1,AZ171),IF(Instructions!$E$11=16,IF($T172=Instructions!$F$55,AZ171+1,AZ171))))))</f>
        <v>0</v>
      </c>
      <c r="BA172" s="321" t="str">
        <f t="shared" si="45"/>
        <v>1400</v>
      </c>
      <c r="BB172" s="321">
        <f>IF(Instructions!$E$11=8,IF($D172=Instructions!$F$56,BB171+1,BB171),IF(Instructions!$E$11=10,IF($H172=Instructions!$F$56,BB171+1,BB171),IF(Instructions!$E$11=12,IF($L172=Instructions!$F$56,BB171+1,BB171),IF(Instructions!$E$11=14,IF($P172=Instructions!$F$56,BB171+1,BB171),IF(Instructions!$E$11=16,IF($T172=Instructions!$F$56,BB171+1,BB171))))))</f>
        <v>0</v>
      </c>
      <c r="BC172" s="321" t="str">
        <f t="shared" si="46"/>
        <v>1500</v>
      </c>
      <c r="BD172" s="321">
        <f>IF(Instructions!$E$11=8,IF($D172=Instructions!$F$57,BD171+1,BD171),IF(Instructions!$E$11=10,IF($H172=Instructions!$F$57,BD171+1,BD171),IF(Instructions!$E$11=12,IF($L172=Instructions!$F$57,BD171+1,BD171),IF(Instructions!$E$11=14,IF($P172=Instructions!$F$57,BD171+1,BD171),IF(Instructions!$E$11=16,IF($T172=Instructions!$F$57,BD171+1,BD171))))))</f>
        <v>0</v>
      </c>
      <c r="BE172" s="321" t="str">
        <f t="shared" si="47"/>
        <v>1600</v>
      </c>
      <c r="BF172" s="321">
        <v>170</v>
      </c>
    </row>
    <row r="173" spans="1:58" x14ac:dyDescent="0.25">
      <c r="A173" s="280"/>
      <c r="B173" s="323" t="str">
        <f>IF(Instructions!$J$11=1,AA173,IF(Instructions!$J$11=2,AC173,IF(Instructions!$J$11=3,AE173,IF(Instructions!$J$11=4,AG173,IF(Instructions!$J$11=5,AI173,IF(Instructions!$J$11=6,AK173,IF(Instructions!$J$11=7,AM173,IF(Instructions!$J$11=8,AO173,IF(Instructions!$J$11=9,AQ173,IF(Instructions!$J$11=10,AS173,IF(Instructions!$J$11=11,AU173,IF(Instructions!$J$11=12,AW173,IF(Instructions!$J$11=13, AY173, IF(Instructions!$J$11=14,BA173,IF(Instructions!$J$11=15,BC173,BE173)))))))))))))))</f>
        <v>215</v>
      </c>
      <c r="C173" s="271">
        <v>171</v>
      </c>
      <c r="D173" s="328" t="str">
        <f>Instructions!F$47</f>
        <v>Devin</v>
      </c>
      <c r="E173" s="333" t="s">
        <v>1506</v>
      </c>
      <c r="F173" s="706"/>
      <c r="G173" s="279">
        <v>22</v>
      </c>
      <c r="H173" s="292" t="str">
        <f>Instructions!F$51</f>
        <v>Josh</v>
      </c>
      <c r="I173" s="276" t="s">
        <v>1472</v>
      </c>
      <c r="J173" s="708" t="s">
        <v>1456</v>
      </c>
      <c r="K173" s="279">
        <v>18</v>
      </c>
      <c r="L173" s="293" t="str">
        <f>Instructions!F$44</f>
        <v>Cam</v>
      </c>
      <c r="M173" s="273" t="s">
        <v>877</v>
      </c>
      <c r="N173" s="709"/>
      <c r="O173" s="279">
        <v>15</v>
      </c>
      <c r="P173" s="293" t="str">
        <f>Instructions!F$44</f>
        <v>Cam</v>
      </c>
      <c r="Q173" s="273" t="s">
        <v>853</v>
      </c>
      <c r="R173" s="709"/>
      <c r="S173" s="279">
        <v>13</v>
      </c>
      <c r="T173" s="328" t="str">
        <f>Instructions!F$52</f>
        <v>Big R</v>
      </c>
      <c r="U173" s="273" t="s">
        <v>837</v>
      </c>
      <c r="V173" s="706"/>
      <c r="W173" s="279">
        <v>11</v>
      </c>
      <c r="X173" s="280"/>
      <c r="Y173" s="190" t="str">
        <f>IFERROR( IF(Instructions!$E$11=8, D173&amp;COUNTIF(D$3:D173,D173), IF(Instructions!$E$11=10, H173&amp;COUNTIF(H$3:H173,H173),IF(Instructions!$E$11=12, L173&amp;COUNTIF(L$3:L173,L173),IF(Instructions!$E$11=14, P173&amp;COUNTIF(P$3:P173,P173),T173&amp;COUNTIF(T$3:T173,T173))))),"")</f>
        <v>Cam15</v>
      </c>
      <c r="Z173" s="321">
        <f>IF(Instructions!$E$11=8,IF($D173=Instructions!$F$42,Z172+1,Z172),IF(Instructions!$E$11=10,IF($H173=Instructions!$F$42,Z172+1,Z172),IF(Instructions!$E$11=12,IF($L173=Instructions!$F$42,Z172+1,Z172),IF(Instructions!$E$11=14,IF($P173=Instructions!$F$42,Z172+1,Z172),IF(Instructions!$E$11=16,IF($T173=Instructions!$F$42,Z172+1,Z172))))))</f>
        <v>15</v>
      </c>
      <c r="AA173" s="321" t="str">
        <f t="shared" si="40"/>
        <v>115</v>
      </c>
      <c r="AB173" s="321">
        <f>IF(Instructions!$E$11=8,IF($D173=Instructions!$F$43,AB172+1,AB172),IF(Instructions!$E$11=10,IF($H173=Instructions!$F$43,AB172+1,AB172),IF(Instructions!$E$11=12,IF($L173=Instructions!$F$43,AB172+1,AB172),IF(Instructions!$E$11=14,IF($P173=Instructions!$F$43,AB172+1,AB172),IF(Instructions!$E$11=16,IF($T173=Instructions!$F$43,AB172+1,AB172))))))</f>
        <v>15</v>
      </c>
      <c r="AC173" s="321" t="str">
        <f t="shared" si="32"/>
        <v>215</v>
      </c>
      <c r="AD173" s="321">
        <f>IF(Instructions!$E$11=8,IF($D173=Instructions!$F$44,AD172+1,AD172),IF(Instructions!$E$11=10,IF($H173=Instructions!$F$44,AD172+1,AD172),IF(Instructions!$E$11=12,IF($L173=Instructions!$F$44,AD172+1,AD172),IF(Instructions!$E$11=14,IF($P173=Instructions!$F$44,AD172+1,AD172),IF(Instructions!$E$11=16,IF($T173=Instructions!$F$44,AD172+1,AD172))))))</f>
        <v>15</v>
      </c>
      <c r="AE173" s="321" t="str">
        <f t="shared" si="33"/>
        <v>315</v>
      </c>
      <c r="AF173" s="321">
        <f>IF(Instructions!$E$11=8,IF($D173=Instructions!$F$45,AF172+1,AF172),IF(Instructions!$E$11=10,IF($H173=Instructions!$F$45,AF172+1,AF172),IF(Instructions!$E$11=12,IF($L173=Instructions!$F$45,AF172+1,AF172),IF(Instructions!$E$11=14,IF($P173=Instructions!$F$45,AF172+1,AF172),IF(Instructions!$E$11=16,IF($T173=Instructions!$F$45,AF172+1,AF172))))))</f>
        <v>14</v>
      </c>
      <c r="AG173" s="321" t="str">
        <f t="shared" si="34"/>
        <v>414</v>
      </c>
      <c r="AH173" s="321">
        <f>IF(Instructions!$E$11=8,IF($D173=Instructions!$F$46,AH172+1,AH172),IF(Instructions!$E$11=10,IF($H173=Instructions!$F$46,AH172+1,AH172),IF(Instructions!$E$11=12,IF($L173=Instructions!$F$46,AH172+1,AH172),IF(Instructions!$E$11=14,IF($P173=Instructions!$F$46,AH172+1,AH172),IF(Instructions!$E$11=16,IF($T173=Instructions!$F$46,AH172+1,AH172))))))</f>
        <v>14</v>
      </c>
      <c r="AI173" s="321" t="str">
        <f t="shared" si="35"/>
        <v>514</v>
      </c>
      <c r="AJ173" s="321">
        <f>IF(Instructions!$E$11=8,IF($D173=Instructions!$F$47,AJ172+1,AJ172),IF(Instructions!$E$11=10,IF($H173=Instructions!$F$47,AJ172+1,AJ172),IF(Instructions!$E$11=12,IF($L173=Instructions!$F$47,AJ172+1,AJ172),IF(Instructions!$E$11=14,IF($P173=Instructions!$F$47,AJ172+1,AJ172),IF(Instructions!$E$11=16,IF($T173=Instructions!$F$47,AJ172+1,AJ172))))))</f>
        <v>14</v>
      </c>
      <c r="AK173" s="321" t="str">
        <f t="shared" si="36"/>
        <v>614</v>
      </c>
      <c r="AL173" s="321">
        <f>IF(Instructions!$E$11=8,IF($D173=Instructions!$F$48,AL172+1,AL172),IF(Instructions!$E$11=10,IF($H173=Instructions!$F$48,AL172+1,AL172),IF(Instructions!$E$11=12,IF($L173=Instructions!$F$48,AL172+1,AL172),IF(Instructions!$E$11=14,IF($P173=Instructions!$F$48,AL172+1,AL172),IF(Instructions!$E$11=16,IF($T173=Instructions!$F$48,AL172+1,AL172))))))</f>
        <v>14</v>
      </c>
      <c r="AM173" s="321" t="str">
        <f t="shared" si="37"/>
        <v>714</v>
      </c>
      <c r="AN173" s="321">
        <f>IF(Instructions!$E$11=8,IF($D173=Instructions!$F$49,AN172+1,AN172),IF(Instructions!$E$11=10,IF($H173=Instructions!$F$49,AN172+1,AN172),IF(Instructions!$E$11=12,IF($L173=Instructions!$F$49,AN172+1,AN172),IF(Instructions!$E$11=14,IF($P173=Instructions!$F$49,AN172+1,AN172),IF(Instructions!$E$11=16,IF($T173=Instructions!$F$49,AN172+1,AN172))))))</f>
        <v>14</v>
      </c>
      <c r="AO173" s="321" t="str">
        <f t="shared" si="38"/>
        <v>814</v>
      </c>
      <c r="AP173" s="321">
        <f>IF(Instructions!$E$11=8,IF($D173=Instructions!$F$50,AP172+1,AP172),IF(Instructions!$E$11=10,IF($H173=Instructions!$F$50,AP172+1,AP172),IF(Instructions!$E$11=12,IF($L173=Instructions!$F$50,AP172+1,AP172),IF(Instructions!$E$11=14,IF($P173=Instructions!$F$50,AP172+1,AP172),IF(Instructions!$E$11=16,IF($T173=Instructions!$F$50,AP172+1,AP172))))))</f>
        <v>14</v>
      </c>
      <c r="AQ173" s="321" t="str">
        <f t="shared" si="39"/>
        <v>914</v>
      </c>
      <c r="AR173" s="321">
        <f>IF(Instructions!$E$11=8,IF($D173=Instructions!$F$51,AR172+1,AR172),IF(Instructions!$E$11=10,IF($H173=Instructions!$F$51,AR172+1,AR172),IF(Instructions!$E$11=12,IF($L173=Instructions!$F$51,AR172+1,AR172),IF(Instructions!$E$11=14,IF($P173=Instructions!$F$51,AR172+1,AR172),IF(Instructions!$E$11=16,IF($T173=Instructions!$F$51,AR172+1,AR172))))))</f>
        <v>14</v>
      </c>
      <c r="AS173" s="321" t="str">
        <f t="shared" si="41"/>
        <v>1014</v>
      </c>
      <c r="AT173" s="321">
        <f>IF(Instructions!$E$11=8,IF($D173=Instructions!$F$52,AT172+1,AT172),IF(Instructions!$E$11=10,IF($H173=Instructions!$F$52,AT172+1,AT172),IF(Instructions!$E$11=12,IF($L173=Instructions!$F$52,AT172+1,AT172),IF(Instructions!$E$11=14,IF($P173=Instructions!$F$52,AT172+1,AT172),IF(Instructions!$E$11=16,IF($T173=Instructions!$F$52,AT172+1,AT172))))))</f>
        <v>14</v>
      </c>
      <c r="AU173" s="321" t="str">
        <f t="shared" si="42"/>
        <v>1114</v>
      </c>
      <c r="AV173" s="321">
        <f>IF(Instructions!$E$11=8,IF($D173=Instructions!$F$53,AV172+1,AV172),IF(Instructions!$E$11=10,IF($H173=Instructions!$F$53,AV172+1,AV172),IF(Instructions!$E$11=12,IF($L173=Instructions!$F$53,AV172+1,AV172),IF(Instructions!$E$11=14,IF($P173=Instructions!$F$53,AV172+1,AV172),IF(Instructions!$E$11=16,IF($T173=Instructions!$F$53,AV172+1,AV172))))))</f>
        <v>14</v>
      </c>
      <c r="AW173" s="321" t="str">
        <f t="shared" si="43"/>
        <v>1214</v>
      </c>
      <c r="AX173" s="321">
        <f>IF(Instructions!$E$11=8,IF($D173=Instructions!$F$54,AX172+1,AX172),IF(Instructions!$E$11=10,IF($H173=Instructions!$F$54,AX172+1,AX172),IF(Instructions!$E$11=12,IF($L173=Instructions!$F$54,AX172+1,AX172),IF(Instructions!$E$11=14,IF($P173=Instructions!$F$54,AX172+1,AX172),IF(Instructions!$E$11=16,IF($T173=Instructions!$F$54,AX172+1,AX172))))))</f>
        <v>0</v>
      </c>
      <c r="AY173" s="321" t="str">
        <f t="shared" si="44"/>
        <v>1300</v>
      </c>
      <c r="AZ173" s="321">
        <f>IF(Instructions!$E$11=8,IF($D173=Instructions!$F$55,AZ172+1,AZ172),IF(Instructions!$E$11=10,IF($H173=Instructions!$F$55,AZ172+1,AZ172),IF(Instructions!$E$11=12,IF($L173=Instructions!$F$55,AZ172+1,AZ172),IF(Instructions!$E$11=14,IF($P173=Instructions!$F$55,AZ172+1,AZ172),IF(Instructions!$E$11=16,IF($T173=Instructions!$F$55,AZ172+1,AZ172))))))</f>
        <v>0</v>
      </c>
      <c r="BA173" s="321" t="str">
        <f t="shared" si="45"/>
        <v>1400</v>
      </c>
      <c r="BB173" s="321">
        <f>IF(Instructions!$E$11=8,IF($D173=Instructions!$F$56,BB172+1,BB172),IF(Instructions!$E$11=10,IF($H173=Instructions!$F$56,BB172+1,BB172),IF(Instructions!$E$11=12,IF($L173=Instructions!$F$56,BB172+1,BB172),IF(Instructions!$E$11=14,IF($P173=Instructions!$F$56,BB172+1,BB172),IF(Instructions!$E$11=16,IF($T173=Instructions!$F$56,BB172+1,BB172))))))</f>
        <v>0</v>
      </c>
      <c r="BC173" s="321" t="str">
        <f t="shared" si="46"/>
        <v>1500</v>
      </c>
      <c r="BD173" s="321">
        <f>IF(Instructions!$E$11=8,IF($D173=Instructions!$F$57,BD172+1,BD172),IF(Instructions!$E$11=10,IF($H173=Instructions!$F$57,BD172+1,BD172),IF(Instructions!$E$11=12,IF($L173=Instructions!$F$57,BD172+1,BD172),IF(Instructions!$E$11=14,IF($P173=Instructions!$F$57,BD172+1,BD172),IF(Instructions!$E$11=16,IF($T173=Instructions!$F$57,BD172+1,BD172))))))</f>
        <v>0</v>
      </c>
      <c r="BE173" s="321" t="str">
        <f t="shared" si="47"/>
        <v>1600</v>
      </c>
      <c r="BF173" s="321">
        <v>171</v>
      </c>
    </row>
    <row r="174" spans="1:58" x14ac:dyDescent="0.25">
      <c r="A174" s="280"/>
      <c r="B174" s="323" t="str">
        <f>IF(Instructions!$J$11=1,AA174,IF(Instructions!$J$11=2,AC174,IF(Instructions!$J$11=3,AE174,IF(Instructions!$J$11=4,AG174,IF(Instructions!$J$11=5,AI174,IF(Instructions!$J$11=6,AK174,IF(Instructions!$J$11=7,AM174,IF(Instructions!$J$11=8,AO174,IF(Instructions!$J$11=9,AQ174,IF(Instructions!$J$11=10,AS174,IF(Instructions!$J$11=11,AU174,IF(Instructions!$J$11=12,AW174,IF(Instructions!$J$11=13, AY174, IF(Instructions!$J$11=14,BA174,IF(Instructions!$J$11=15,BC174,BE174)))))))))))))))</f>
        <v>215</v>
      </c>
      <c r="C174" s="272">
        <v>172</v>
      </c>
      <c r="D174" s="327" t="str">
        <f>Instructions!F$46</f>
        <v>Con</v>
      </c>
      <c r="E174" s="332" t="s">
        <v>1507</v>
      </c>
      <c r="F174" s="706"/>
      <c r="G174" s="279">
        <v>22</v>
      </c>
      <c r="H174" s="294" t="str">
        <f>Instructions!F$50</f>
        <v>Dan</v>
      </c>
      <c r="I174" s="274" t="s">
        <v>1473</v>
      </c>
      <c r="J174" s="709"/>
      <c r="K174" s="279">
        <v>18</v>
      </c>
      <c r="L174" s="294" t="str">
        <f>Instructions!F$45</f>
        <v>Miles</v>
      </c>
      <c r="M174" s="274" t="s">
        <v>878</v>
      </c>
      <c r="N174" s="709"/>
      <c r="O174" s="279">
        <v>15</v>
      </c>
      <c r="P174" s="294" t="str">
        <f>Instructions!F$45</f>
        <v>Miles</v>
      </c>
      <c r="Q174" s="274" t="s">
        <v>854</v>
      </c>
      <c r="R174" s="709"/>
      <c r="S174" s="279">
        <v>13</v>
      </c>
      <c r="T174" s="327" t="str">
        <f>Instructions!F$53</f>
        <v>Zack</v>
      </c>
      <c r="U174" s="274" t="s">
        <v>838</v>
      </c>
      <c r="V174" s="706"/>
      <c r="W174" s="279">
        <v>11</v>
      </c>
      <c r="X174" s="280"/>
      <c r="Y174" s="190" t="str">
        <f>IFERROR( IF(Instructions!$E$11=8, D174&amp;COUNTIF(D$3:D174,D174), IF(Instructions!$E$11=10, H174&amp;COUNTIF(H$3:H174,H174),IF(Instructions!$E$11=12, L174&amp;COUNTIF(L$3:L174,L174),IF(Instructions!$E$11=14, P174&amp;COUNTIF(P$3:P174,P174),T174&amp;COUNTIF(T$3:T174,T174))))),"")</f>
        <v>Miles15</v>
      </c>
      <c r="Z174" s="321">
        <f>IF(Instructions!$E$11=8,IF($D174=Instructions!$F$42,Z173+1,Z173),IF(Instructions!$E$11=10,IF($H174=Instructions!$F$42,Z173+1,Z173),IF(Instructions!$E$11=12,IF($L174=Instructions!$F$42,Z173+1,Z173),IF(Instructions!$E$11=14,IF($P174=Instructions!$F$42,Z173+1,Z173),IF(Instructions!$E$11=16,IF($T174=Instructions!$F$42,Z173+1,Z173))))))</f>
        <v>15</v>
      </c>
      <c r="AA174" s="321" t="str">
        <f t="shared" si="40"/>
        <v>115</v>
      </c>
      <c r="AB174" s="321">
        <f>IF(Instructions!$E$11=8,IF($D174=Instructions!$F$43,AB173+1,AB173),IF(Instructions!$E$11=10,IF($H174=Instructions!$F$43,AB173+1,AB173),IF(Instructions!$E$11=12,IF($L174=Instructions!$F$43,AB173+1,AB173),IF(Instructions!$E$11=14,IF($P174=Instructions!$F$43,AB173+1,AB173),IF(Instructions!$E$11=16,IF($T174=Instructions!$F$43,AB173+1,AB173))))))</f>
        <v>15</v>
      </c>
      <c r="AC174" s="321" t="str">
        <f t="shared" si="32"/>
        <v>215</v>
      </c>
      <c r="AD174" s="321">
        <f>IF(Instructions!$E$11=8,IF($D174=Instructions!$F$44,AD173+1,AD173),IF(Instructions!$E$11=10,IF($H174=Instructions!$F$44,AD173+1,AD173),IF(Instructions!$E$11=12,IF($L174=Instructions!$F$44,AD173+1,AD173),IF(Instructions!$E$11=14,IF($P174=Instructions!$F$44,AD173+1,AD173),IF(Instructions!$E$11=16,IF($T174=Instructions!$F$44,AD173+1,AD173))))))</f>
        <v>15</v>
      </c>
      <c r="AE174" s="321" t="str">
        <f t="shared" si="33"/>
        <v>315</v>
      </c>
      <c r="AF174" s="321">
        <f>IF(Instructions!$E$11=8,IF($D174=Instructions!$F$45,AF173+1,AF173),IF(Instructions!$E$11=10,IF($H174=Instructions!$F$45,AF173+1,AF173),IF(Instructions!$E$11=12,IF($L174=Instructions!$F$45,AF173+1,AF173),IF(Instructions!$E$11=14,IF($P174=Instructions!$F$45,AF173+1,AF173),IF(Instructions!$E$11=16,IF($T174=Instructions!$F$45,AF173+1,AF173))))))</f>
        <v>15</v>
      </c>
      <c r="AG174" s="321" t="str">
        <f t="shared" si="34"/>
        <v>415</v>
      </c>
      <c r="AH174" s="321">
        <f>IF(Instructions!$E$11=8,IF($D174=Instructions!$F$46,AH173+1,AH173),IF(Instructions!$E$11=10,IF($H174=Instructions!$F$46,AH173+1,AH173),IF(Instructions!$E$11=12,IF($L174=Instructions!$F$46,AH173+1,AH173),IF(Instructions!$E$11=14,IF($P174=Instructions!$F$46,AH173+1,AH173),IF(Instructions!$E$11=16,IF($T174=Instructions!$F$46,AH173+1,AH173))))))</f>
        <v>14</v>
      </c>
      <c r="AI174" s="321" t="str">
        <f t="shared" si="35"/>
        <v>514</v>
      </c>
      <c r="AJ174" s="321">
        <f>IF(Instructions!$E$11=8,IF($D174=Instructions!$F$47,AJ173+1,AJ173),IF(Instructions!$E$11=10,IF($H174=Instructions!$F$47,AJ173+1,AJ173),IF(Instructions!$E$11=12,IF($L174=Instructions!$F$47,AJ173+1,AJ173),IF(Instructions!$E$11=14,IF($P174=Instructions!$F$47,AJ173+1,AJ173),IF(Instructions!$E$11=16,IF($T174=Instructions!$F$47,AJ173+1,AJ173))))))</f>
        <v>14</v>
      </c>
      <c r="AK174" s="321" t="str">
        <f t="shared" si="36"/>
        <v>614</v>
      </c>
      <c r="AL174" s="321">
        <f>IF(Instructions!$E$11=8,IF($D174=Instructions!$F$48,AL173+1,AL173),IF(Instructions!$E$11=10,IF($H174=Instructions!$F$48,AL173+1,AL173),IF(Instructions!$E$11=12,IF($L174=Instructions!$F$48,AL173+1,AL173),IF(Instructions!$E$11=14,IF($P174=Instructions!$F$48,AL173+1,AL173),IF(Instructions!$E$11=16,IF($T174=Instructions!$F$48,AL173+1,AL173))))))</f>
        <v>14</v>
      </c>
      <c r="AM174" s="321" t="str">
        <f t="shared" si="37"/>
        <v>714</v>
      </c>
      <c r="AN174" s="321">
        <f>IF(Instructions!$E$11=8,IF($D174=Instructions!$F$49,AN173+1,AN173),IF(Instructions!$E$11=10,IF($H174=Instructions!$F$49,AN173+1,AN173),IF(Instructions!$E$11=12,IF($L174=Instructions!$F$49,AN173+1,AN173),IF(Instructions!$E$11=14,IF($P174=Instructions!$F$49,AN173+1,AN173),IF(Instructions!$E$11=16,IF($T174=Instructions!$F$49,AN173+1,AN173))))))</f>
        <v>14</v>
      </c>
      <c r="AO174" s="321" t="str">
        <f t="shared" si="38"/>
        <v>814</v>
      </c>
      <c r="AP174" s="321">
        <f>IF(Instructions!$E$11=8,IF($D174=Instructions!$F$50,AP173+1,AP173),IF(Instructions!$E$11=10,IF($H174=Instructions!$F$50,AP173+1,AP173),IF(Instructions!$E$11=12,IF($L174=Instructions!$F$50,AP173+1,AP173),IF(Instructions!$E$11=14,IF($P174=Instructions!$F$50,AP173+1,AP173),IF(Instructions!$E$11=16,IF($T174=Instructions!$F$50,AP173+1,AP173))))))</f>
        <v>14</v>
      </c>
      <c r="AQ174" s="321" t="str">
        <f t="shared" si="39"/>
        <v>914</v>
      </c>
      <c r="AR174" s="321">
        <f>IF(Instructions!$E$11=8,IF($D174=Instructions!$F$51,AR173+1,AR173),IF(Instructions!$E$11=10,IF($H174=Instructions!$F$51,AR173+1,AR173),IF(Instructions!$E$11=12,IF($L174=Instructions!$F$51,AR173+1,AR173),IF(Instructions!$E$11=14,IF($P174=Instructions!$F$51,AR173+1,AR173),IF(Instructions!$E$11=16,IF($T174=Instructions!$F$51,AR173+1,AR173))))))</f>
        <v>14</v>
      </c>
      <c r="AS174" s="321" t="str">
        <f t="shared" si="41"/>
        <v>1014</v>
      </c>
      <c r="AT174" s="321">
        <f>IF(Instructions!$E$11=8,IF($D174=Instructions!$F$52,AT173+1,AT173),IF(Instructions!$E$11=10,IF($H174=Instructions!$F$52,AT173+1,AT173),IF(Instructions!$E$11=12,IF($L174=Instructions!$F$52,AT173+1,AT173),IF(Instructions!$E$11=14,IF($P174=Instructions!$F$52,AT173+1,AT173),IF(Instructions!$E$11=16,IF($T174=Instructions!$F$52,AT173+1,AT173))))))</f>
        <v>14</v>
      </c>
      <c r="AU174" s="321" t="str">
        <f t="shared" si="42"/>
        <v>1114</v>
      </c>
      <c r="AV174" s="321">
        <f>IF(Instructions!$E$11=8,IF($D174=Instructions!$F$53,AV173+1,AV173),IF(Instructions!$E$11=10,IF($H174=Instructions!$F$53,AV173+1,AV173),IF(Instructions!$E$11=12,IF($L174=Instructions!$F$53,AV173+1,AV173),IF(Instructions!$E$11=14,IF($P174=Instructions!$F$53,AV173+1,AV173),IF(Instructions!$E$11=16,IF($T174=Instructions!$F$53,AV173+1,AV173))))))</f>
        <v>14</v>
      </c>
      <c r="AW174" s="321" t="str">
        <f t="shared" si="43"/>
        <v>1214</v>
      </c>
      <c r="AX174" s="321">
        <f>IF(Instructions!$E$11=8,IF($D174=Instructions!$F$54,AX173+1,AX173),IF(Instructions!$E$11=10,IF($H174=Instructions!$F$54,AX173+1,AX173),IF(Instructions!$E$11=12,IF($L174=Instructions!$F$54,AX173+1,AX173),IF(Instructions!$E$11=14,IF($P174=Instructions!$F$54,AX173+1,AX173),IF(Instructions!$E$11=16,IF($T174=Instructions!$F$54,AX173+1,AX173))))))</f>
        <v>0</v>
      </c>
      <c r="AY174" s="321" t="str">
        <f t="shared" si="44"/>
        <v>1300</v>
      </c>
      <c r="AZ174" s="321">
        <f>IF(Instructions!$E$11=8,IF($D174=Instructions!$F$55,AZ173+1,AZ173),IF(Instructions!$E$11=10,IF($H174=Instructions!$F$55,AZ173+1,AZ173),IF(Instructions!$E$11=12,IF($L174=Instructions!$F$55,AZ173+1,AZ173),IF(Instructions!$E$11=14,IF($P174=Instructions!$F$55,AZ173+1,AZ173),IF(Instructions!$E$11=16,IF($T174=Instructions!$F$55,AZ173+1,AZ173))))))</f>
        <v>0</v>
      </c>
      <c r="BA174" s="321" t="str">
        <f t="shared" si="45"/>
        <v>1400</v>
      </c>
      <c r="BB174" s="321">
        <f>IF(Instructions!$E$11=8,IF($D174=Instructions!$F$56,BB173+1,BB173),IF(Instructions!$E$11=10,IF($H174=Instructions!$F$56,BB173+1,BB173),IF(Instructions!$E$11=12,IF($L174=Instructions!$F$56,BB173+1,BB173),IF(Instructions!$E$11=14,IF($P174=Instructions!$F$56,BB173+1,BB173),IF(Instructions!$E$11=16,IF($T174=Instructions!$F$56,BB173+1,BB173))))))</f>
        <v>0</v>
      </c>
      <c r="BC174" s="321" t="str">
        <f t="shared" si="46"/>
        <v>1500</v>
      </c>
      <c r="BD174" s="321">
        <f>IF(Instructions!$E$11=8,IF($D174=Instructions!$F$57,BD173+1,BD173),IF(Instructions!$E$11=10,IF($H174=Instructions!$F$57,BD173+1,BD173),IF(Instructions!$E$11=12,IF($L174=Instructions!$F$57,BD173+1,BD173),IF(Instructions!$E$11=14,IF($P174=Instructions!$F$57,BD173+1,BD173),IF(Instructions!$E$11=16,IF($T174=Instructions!$F$57,BD173+1,BD173))))))</f>
        <v>0</v>
      </c>
      <c r="BE174" s="321" t="str">
        <f t="shared" si="47"/>
        <v>1600</v>
      </c>
      <c r="BF174" s="321">
        <v>172</v>
      </c>
    </row>
    <row r="175" spans="1:58" x14ac:dyDescent="0.25">
      <c r="A175" s="280"/>
      <c r="B175" s="323" t="str">
        <f>IF(Instructions!$J$11=1,AA175,IF(Instructions!$J$11=2,AC175,IF(Instructions!$J$11=3,AE175,IF(Instructions!$J$11=4,AG175,IF(Instructions!$J$11=5,AI175,IF(Instructions!$J$11=6,AK175,IF(Instructions!$J$11=7,AM175,IF(Instructions!$J$11=8,AO175,IF(Instructions!$J$11=9,AQ175,IF(Instructions!$J$11=10,AS175,IF(Instructions!$J$11=11,AU175,IF(Instructions!$J$11=12,AW175,IF(Instructions!$J$11=13, AY175, IF(Instructions!$J$11=14,BA175,IF(Instructions!$J$11=15,BC175,BE175)))))))))))))))</f>
        <v>215</v>
      </c>
      <c r="C175" s="271">
        <v>173</v>
      </c>
      <c r="D175" s="328" t="str">
        <f>Instructions!F$45</f>
        <v>Miles</v>
      </c>
      <c r="E175" s="333" t="s">
        <v>1508</v>
      </c>
      <c r="F175" s="706"/>
      <c r="G175" s="279">
        <v>22</v>
      </c>
      <c r="H175" s="293" t="str">
        <f>Instructions!F$49</f>
        <v>Luke</v>
      </c>
      <c r="I175" s="273" t="s">
        <v>1474</v>
      </c>
      <c r="J175" s="709"/>
      <c r="K175" s="279">
        <v>18</v>
      </c>
      <c r="L175" s="293" t="str">
        <f>Instructions!F$46</f>
        <v>Con</v>
      </c>
      <c r="M175" s="273" t="s">
        <v>879</v>
      </c>
      <c r="N175" s="709"/>
      <c r="O175" s="279">
        <v>15</v>
      </c>
      <c r="P175" s="293" t="str">
        <f>Instructions!F$46</f>
        <v>Con</v>
      </c>
      <c r="Q175" s="273" t="s">
        <v>855</v>
      </c>
      <c r="R175" s="709"/>
      <c r="S175" s="279">
        <v>13</v>
      </c>
      <c r="T175" s="328" t="str">
        <f>Instructions!F$54</f>
        <v>[TEAM 13]</v>
      </c>
      <c r="U175" s="273" t="s">
        <v>948</v>
      </c>
      <c r="V175" s="706"/>
      <c r="W175" s="279">
        <v>11</v>
      </c>
      <c r="X175" s="280"/>
      <c r="Y175" s="190" t="str">
        <f>IFERROR( IF(Instructions!$E$11=8, D175&amp;COUNTIF(D$3:D175,D175), IF(Instructions!$E$11=10, H175&amp;COUNTIF(H$3:H175,H175),IF(Instructions!$E$11=12, L175&amp;COUNTIF(L$3:L175,L175),IF(Instructions!$E$11=14, P175&amp;COUNTIF(P$3:P175,P175),T175&amp;COUNTIF(T$3:T175,T175))))),"")</f>
        <v>Con15</v>
      </c>
      <c r="Z175" s="321">
        <f>IF(Instructions!$E$11=8,IF($D175=Instructions!$F$42,Z174+1,Z174),IF(Instructions!$E$11=10,IF($H175=Instructions!$F$42,Z174+1,Z174),IF(Instructions!$E$11=12,IF($L175=Instructions!$F$42,Z174+1,Z174),IF(Instructions!$E$11=14,IF($P175=Instructions!$F$42,Z174+1,Z174),IF(Instructions!$E$11=16,IF($T175=Instructions!$F$42,Z174+1,Z174))))))</f>
        <v>15</v>
      </c>
      <c r="AA175" s="321" t="str">
        <f t="shared" si="40"/>
        <v>115</v>
      </c>
      <c r="AB175" s="321">
        <f>IF(Instructions!$E$11=8,IF($D175=Instructions!$F$43,AB174+1,AB174),IF(Instructions!$E$11=10,IF($H175=Instructions!$F$43,AB174+1,AB174),IF(Instructions!$E$11=12,IF($L175=Instructions!$F$43,AB174+1,AB174),IF(Instructions!$E$11=14,IF($P175=Instructions!$F$43,AB174+1,AB174),IF(Instructions!$E$11=16,IF($T175=Instructions!$F$43,AB174+1,AB174))))))</f>
        <v>15</v>
      </c>
      <c r="AC175" s="321" t="str">
        <f t="shared" si="32"/>
        <v>215</v>
      </c>
      <c r="AD175" s="321">
        <f>IF(Instructions!$E$11=8,IF($D175=Instructions!$F$44,AD174+1,AD174),IF(Instructions!$E$11=10,IF($H175=Instructions!$F$44,AD174+1,AD174),IF(Instructions!$E$11=12,IF($L175=Instructions!$F$44,AD174+1,AD174),IF(Instructions!$E$11=14,IF($P175=Instructions!$F$44,AD174+1,AD174),IF(Instructions!$E$11=16,IF($T175=Instructions!$F$44,AD174+1,AD174))))))</f>
        <v>15</v>
      </c>
      <c r="AE175" s="321" t="str">
        <f t="shared" si="33"/>
        <v>315</v>
      </c>
      <c r="AF175" s="321">
        <f>IF(Instructions!$E$11=8,IF($D175=Instructions!$F$45,AF174+1,AF174),IF(Instructions!$E$11=10,IF($H175=Instructions!$F$45,AF174+1,AF174),IF(Instructions!$E$11=12,IF($L175=Instructions!$F$45,AF174+1,AF174),IF(Instructions!$E$11=14,IF($P175=Instructions!$F$45,AF174+1,AF174),IF(Instructions!$E$11=16,IF($T175=Instructions!$F$45,AF174+1,AF174))))))</f>
        <v>15</v>
      </c>
      <c r="AG175" s="321" t="str">
        <f t="shared" si="34"/>
        <v>415</v>
      </c>
      <c r="AH175" s="321">
        <f>IF(Instructions!$E$11=8,IF($D175=Instructions!$F$46,AH174+1,AH174),IF(Instructions!$E$11=10,IF($H175=Instructions!$F$46,AH174+1,AH174),IF(Instructions!$E$11=12,IF($L175=Instructions!$F$46,AH174+1,AH174),IF(Instructions!$E$11=14,IF($P175=Instructions!$F$46,AH174+1,AH174),IF(Instructions!$E$11=16,IF($T175=Instructions!$F$46,AH174+1,AH174))))))</f>
        <v>15</v>
      </c>
      <c r="AI175" s="321" t="str">
        <f t="shared" si="35"/>
        <v>515</v>
      </c>
      <c r="AJ175" s="321">
        <f>IF(Instructions!$E$11=8,IF($D175=Instructions!$F$47,AJ174+1,AJ174),IF(Instructions!$E$11=10,IF($H175=Instructions!$F$47,AJ174+1,AJ174),IF(Instructions!$E$11=12,IF($L175=Instructions!$F$47,AJ174+1,AJ174),IF(Instructions!$E$11=14,IF($P175=Instructions!$F$47,AJ174+1,AJ174),IF(Instructions!$E$11=16,IF($T175=Instructions!$F$47,AJ174+1,AJ174))))))</f>
        <v>14</v>
      </c>
      <c r="AK175" s="321" t="str">
        <f t="shared" si="36"/>
        <v>614</v>
      </c>
      <c r="AL175" s="321">
        <f>IF(Instructions!$E$11=8,IF($D175=Instructions!$F$48,AL174+1,AL174),IF(Instructions!$E$11=10,IF($H175=Instructions!$F$48,AL174+1,AL174),IF(Instructions!$E$11=12,IF($L175=Instructions!$F$48,AL174+1,AL174),IF(Instructions!$E$11=14,IF($P175=Instructions!$F$48,AL174+1,AL174),IF(Instructions!$E$11=16,IF($T175=Instructions!$F$48,AL174+1,AL174))))))</f>
        <v>14</v>
      </c>
      <c r="AM175" s="321" t="str">
        <f t="shared" si="37"/>
        <v>714</v>
      </c>
      <c r="AN175" s="321">
        <f>IF(Instructions!$E$11=8,IF($D175=Instructions!$F$49,AN174+1,AN174),IF(Instructions!$E$11=10,IF($H175=Instructions!$F$49,AN174+1,AN174),IF(Instructions!$E$11=12,IF($L175=Instructions!$F$49,AN174+1,AN174),IF(Instructions!$E$11=14,IF($P175=Instructions!$F$49,AN174+1,AN174),IF(Instructions!$E$11=16,IF($T175=Instructions!$F$49,AN174+1,AN174))))))</f>
        <v>14</v>
      </c>
      <c r="AO175" s="321" t="str">
        <f t="shared" si="38"/>
        <v>814</v>
      </c>
      <c r="AP175" s="321">
        <f>IF(Instructions!$E$11=8,IF($D175=Instructions!$F$50,AP174+1,AP174),IF(Instructions!$E$11=10,IF($H175=Instructions!$F$50,AP174+1,AP174),IF(Instructions!$E$11=12,IF($L175=Instructions!$F$50,AP174+1,AP174),IF(Instructions!$E$11=14,IF($P175=Instructions!$F$50,AP174+1,AP174),IF(Instructions!$E$11=16,IF($T175=Instructions!$F$50,AP174+1,AP174))))))</f>
        <v>14</v>
      </c>
      <c r="AQ175" s="321" t="str">
        <f t="shared" si="39"/>
        <v>914</v>
      </c>
      <c r="AR175" s="321">
        <f>IF(Instructions!$E$11=8,IF($D175=Instructions!$F$51,AR174+1,AR174),IF(Instructions!$E$11=10,IF($H175=Instructions!$F$51,AR174+1,AR174),IF(Instructions!$E$11=12,IF($L175=Instructions!$F$51,AR174+1,AR174),IF(Instructions!$E$11=14,IF($P175=Instructions!$F$51,AR174+1,AR174),IF(Instructions!$E$11=16,IF($T175=Instructions!$F$51,AR174+1,AR174))))))</f>
        <v>14</v>
      </c>
      <c r="AS175" s="321" t="str">
        <f t="shared" si="41"/>
        <v>1014</v>
      </c>
      <c r="AT175" s="321">
        <f>IF(Instructions!$E$11=8,IF($D175=Instructions!$F$52,AT174+1,AT174),IF(Instructions!$E$11=10,IF($H175=Instructions!$F$52,AT174+1,AT174),IF(Instructions!$E$11=12,IF($L175=Instructions!$F$52,AT174+1,AT174),IF(Instructions!$E$11=14,IF($P175=Instructions!$F$52,AT174+1,AT174),IF(Instructions!$E$11=16,IF($T175=Instructions!$F$52,AT174+1,AT174))))))</f>
        <v>14</v>
      </c>
      <c r="AU175" s="321" t="str">
        <f t="shared" si="42"/>
        <v>1114</v>
      </c>
      <c r="AV175" s="321">
        <f>IF(Instructions!$E$11=8,IF($D175=Instructions!$F$53,AV174+1,AV174),IF(Instructions!$E$11=10,IF($H175=Instructions!$F$53,AV174+1,AV174),IF(Instructions!$E$11=12,IF($L175=Instructions!$F$53,AV174+1,AV174),IF(Instructions!$E$11=14,IF($P175=Instructions!$F$53,AV174+1,AV174),IF(Instructions!$E$11=16,IF($T175=Instructions!$F$53,AV174+1,AV174))))))</f>
        <v>14</v>
      </c>
      <c r="AW175" s="321" t="str">
        <f t="shared" si="43"/>
        <v>1214</v>
      </c>
      <c r="AX175" s="321">
        <f>IF(Instructions!$E$11=8,IF($D175=Instructions!$F$54,AX174+1,AX174),IF(Instructions!$E$11=10,IF($H175=Instructions!$F$54,AX174+1,AX174),IF(Instructions!$E$11=12,IF($L175=Instructions!$F$54,AX174+1,AX174),IF(Instructions!$E$11=14,IF($P175=Instructions!$F$54,AX174+1,AX174),IF(Instructions!$E$11=16,IF($T175=Instructions!$F$54,AX174+1,AX174))))))</f>
        <v>0</v>
      </c>
      <c r="AY175" s="321" t="str">
        <f t="shared" si="44"/>
        <v>1300</v>
      </c>
      <c r="AZ175" s="321">
        <f>IF(Instructions!$E$11=8,IF($D175=Instructions!$F$55,AZ174+1,AZ174),IF(Instructions!$E$11=10,IF($H175=Instructions!$F$55,AZ174+1,AZ174),IF(Instructions!$E$11=12,IF($L175=Instructions!$F$55,AZ174+1,AZ174),IF(Instructions!$E$11=14,IF($P175=Instructions!$F$55,AZ174+1,AZ174),IF(Instructions!$E$11=16,IF($T175=Instructions!$F$55,AZ174+1,AZ174))))))</f>
        <v>0</v>
      </c>
      <c r="BA175" s="321" t="str">
        <f t="shared" si="45"/>
        <v>1400</v>
      </c>
      <c r="BB175" s="321">
        <f>IF(Instructions!$E$11=8,IF($D175=Instructions!$F$56,BB174+1,BB174),IF(Instructions!$E$11=10,IF($H175=Instructions!$F$56,BB174+1,BB174),IF(Instructions!$E$11=12,IF($L175=Instructions!$F$56,BB174+1,BB174),IF(Instructions!$E$11=14,IF($P175=Instructions!$F$56,BB174+1,BB174),IF(Instructions!$E$11=16,IF($T175=Instructions!$F$56,BB174+1,BB174))))))</f>
        <v>0</v>
      </c>
      <c r="BC175" s="321" t="str">
        <f t="shared" si="46"/>
        <v>1500</v>
      </c>
      <c r="BD175" s="321">
        <f>IF(Instructions!$E$11=8,IF($D175=Instructions!$F$57,BD174+1,BD174),IF(Instructions!$E$11=10,IF($H175=Instructions!$F$57,BD174+1,BD174),IF(Instructions!$E$11=12,IF($L175=Instructions!$F$57,BD174+1,BD174),IF(Instructions!$E$11=14,IF($P175=Instructions!$F$57,BD174+1,BD174),IF(Instructions!$E$11=16,IF($T175=Instructions!$F$57,BD174+1,BD174))))))</f>
        <v>0</v>
      </c>
      <c r="BE175" s="321" t="str">
        <f t="shared" si="47"/>
        <v>1600</v>
      </c>
      <c r="BF175" s="321">
        <v>173</v>
      </c>
    </row>
    <row r="176" spans="1:58" x14ac:dyDescent="0.25">
      <c r="A176" s="280"/>
      <c r="B176" s="323" t="str">
        <f>IF(Instructions!$J$11=1,AA176,IF(Instructions!$J$11=2,AC176,IF(Instructions!$J$11=3,AE176,IF(Instructions!$J$11=4,AG176,IF(Instructions!$J$11=5,AI176,IF(Instructions!$J$11=6,AK176,IF(Instructions!$J$11=7,AM176,IF(Instructions!$J$11=8,AO176,IF(Instructions!$J$11=9,AQ176,IF(Instructions!$J$11=10,AS176,IF(Instructions!$J$11=11,AU176,IF(Instructions!$J$11=12,AW176,IF(Instructions!$J$11=13, AY176, IF(Instructions!$J$11=14,BA176,IF(Instructions!$J$11=15,BC176,BE176)))))))))))))))</f>
        <v>215</v>
      </c>
      <c r="C176" s="272">
        <v>174</v>
      </c>
      <c r="D176" s="327" t="str">
        <f>Instructions!F$44</f>
        <v>Cam</v>
      </c>
      <c r="E176" s="332" t="s">
        <v>1509</v>
      </c>
      <c r="F176" s="706"/>
      <c r="G176" s="279">
        <v>22</v>
      </c>
      <c r="H176" s="294" t="str">
        <f>Instructions!F$48</f>
        <v>Bui</v>
      </c>
      <c r="I176" s="274" t="s">
        <v>1475</v>
      </c>
      <c r="J176" s="709"/>
      <c r="K176" s="279">
        <v>18</v>
      </c>
      <c r="L176" s="294" t="str">
        <f>Instructions!F$47</f>
        <v>Devin</v>
      </c>
      <c r="M176" s="274" t="s">
        <v>880</v>
      </c>
      <c r="N176" s="709"/>
      <c r="O176" s="279">
        <v>15</v>
      </c>
      <c r="P176" s="294" t="str">
        <f>Instructions!F$47</f>
        <v>Devin</v>
      </c>
      <c r="Q176" s="274" t="s">
        <v>856</v>
      </c>
      <c r="R176" s="709"/>
      <c r="S176" s="279">
        <v>13</v>
      </c>
      <c r="T176" s="327" t="str">
        <f>Instructions!F$55</f>
        <v>[TEAM 14]</v>
      </c>
      <c r="U176" s="274" t="s">
        <v>949</v>
      </c>
      <c r="V176" s="706"/>
      <c r="W176" s="279">
        <v>11</v>
      </c>
      <c r="X176" s="280"/>
      <c r="Y176" s="190" t="str">
        <f>IFERROR( IF(Instructions!$E$11=8, D176&amp;COUNTIF(D$3:D176,D176), IF(Instructions!$E$11=10, H176&amp;COUNTIF(H$3:H176,H176),IF(Instructions!$E$11=12, L176&amp;COUNTIF(L$3:L176,L176),IF(Instructions!$E$11=14, P176&amp;COUNTIF(P$3:P176,P176),T176&amp;COUNTIF(T$3:T176,T176))))),"")</f>
        <v>Devin15</v>
      </c>
      <c r="Z176" s="321">
        <f>IF(Instructions!$E$11=8,IF($D176=Instructions!$F$42,Z175+1,Z175),IF(Instructions!$E$11=10,IF($H176=Instructions!$F$42,Z175+1,Z175),IF(Instructions!$E$11=12,IF($L176=Instructions!$F$42,Z175+1,Z175),IF(Instructions!$E$11=14,IF($P176=Instructions!$F$42,Z175+1,Z175),IF(Instructions!$E$11=16,IF($T176=Instructions!$F$42,Z175+1,Z175))))))</f>
        <v>15</v>
      </c>
      <c r="AA176" s="321" t="str">
        <f t="shared" si="40"/>
        <v>115</v>
      </c>
      <c r="AB176" s="321">
        <f>IF(Instructions!$E$11=8,IF($D176=Instructions!$F$43,AB175+1,AB175),IF(Instructions!$E$11=10,IF($H176=Instructions!$F$43,AB175+1,AB175),IF(Instructions!$E$11=12,IF($L176=Instructions!$F$43,AB175+1,AB175),IF(Instructions!$E$11=14,IF($P176=Instructions!$F$43,AB175+1,AB175),IF(Instructions!$E$11=16,IF($T176=Instructions!$F$43,AB175+1,AB175))))))</f>
        <v>15</v>
      </c>
      <c r="AC176" s="321" t="str">
        <f t="shared" si="32"/>
        <v>215</v>
      </c>
      <c r="AD176" s="321">
        <f>IF(Instructions!$E$11=8,IF($D176=Instructions!$F$44,AD175+1,AD175),IF(Instructions!$E$11=10,IF($H176=Instructions!$F$44,AD175+1,AD175),IF(Instructions!$E$11=12,IF($L176=Instructions!$F$44,AD175+1,AD175),IF(Instructions!$E$11=14,IF($P176=Instructions!$F$44,AD175+1,AD175),IF(Instructions!$E$11=16,IF($T176=Instructions!$F$44,AD175+1,AD175))))))</f>
        <v>15</v>
      </c>
      <c r="AE176" s="321" t="str">
        <f t="shared" si="33"/>
        <v>315</v>
      </c>
      <c r="AF176" s="321">
        <f>IF(Instructions!$E$11=8,IF($D176=Instructions!$F$45,AF175+1,AF175),IF(Instructions!$E$11=10,IF($H176=Instructions!$F$45,AF175+1,AF175),IF(Instructions!$E$11=12,IF($L176=Instructions!$F$45,AF175+1,AF175),IF(Instructions!$E$11=14,IF($P176=Instructions!$F$45,AF175+1,AF175),IF(Instructions!$E$11=16,IF($T176=Instructions!$F$45,AF175+1,AF175))))))</f>
        <v>15</v>
      </c>
      <c r="AG176" s="321" t="str">
        <f t="shared" si="34"/>
        <v>415</v>
      </c>
      <c r="AH176" s="321">
        <f>IF(Instructions!$E$11=8,IF($D176=Instructions!$F$46,AH175+1,AH175),IF(Instructions!$E$11=10,IF($H176=Instructions!$F$46,AH175+1,AH175),IF(Instructions!$E$11=12,IF($L176=Instructions!$F$46,AH175+1,AH175),IF(Instructions!$E$11=14,IF($P176=Instructions!$F$46,AH175+1,AH175),IF(Instructions!$E$11=16,IF($T176=Instructions!$F$46,AH175+1,AH175))))))</f>
        <v>15</v>
      </c>
      <c r="AI176" s="321" t="str">
        <f t="shared" si="35"/>
        <v>515</v>
      </c>
      <c r="AJ176" s="321">
        <f>IF(Instructions!$E$11=8,IF($D176=Instructions!$F$47,AJ175+1,AJ175),IF(Instructions!$E$11=10,IF($H176=Instructions!$F$47,AJ175+1,AJ175),IF(Instructions!$E$11=12,IF($L176=Instructions!$F$47,AJ175+1,AJ175),IF(Instructions!$E$11=14,IF($P176=Instructions!$F$47,AJ175+1,AJ175),IF(Instructions!$E$11=16,IF($T176=Instructions!$F$47,AJ175+1,AJ175))))))</f>
        <v>15</v>
      </c>
      <c r="AK176" s="321" t="str">
        <f t="shared" si="36"/>
        <v>615</v>
      </c>
      <c r="AL176" s="321">
        <f>IF(Instructions!$E$11=8,IF($D176=Instructions!$F$48,AL175+1,AL175),IF(Instructions!$E$11=10,IF($H176=Instructions!$F$48,AL175+1,AL175),IF(Instructions!$E$11=12,IF($L176=Instructions!$F$48,AL175+1,AL175),IF(Instructions!$E$11=14,IF($P176=Instructions!$F$48,AL175+1,AL175),IF(Instructions!$E$11=16,IF($T176=Instructions!$F$48,AL175+1,AL175))))))</f>
        <v>14</v>
      </c>
      <c r="AM176" s="321" t="str">
        <f t="shared" si="37"/>
        <v>714</v>
      </c>
      <c r="AN176" s="321">
        <f>IF(Instructions!$E$11=8,IF($D176=Instructions!$F$49,AN175+1,AN175),IF(Instructions!$E$11=10,IF($H176=Instructions!$F$49,AN175+1,AN175),IF(Instructions!$E$11=12,IF($L176=Instructions!$F$49,AN175+1,AN175),IF(Instructions!$E$11=14,IF($P176=Instructions!$F$49,AN175+1,AN175),IF(Instructions!$E$11=16,IF($T176=Instructions!$F$49,AN175+1,AN175))))))</f>
        <v>14</v>
      </c>
      <c r="AO176" s="321" t="str">
        <f t="shared" si="38"/>
        <v>814</v>
      </c>
      <c r="AP176" s="321">
        <f>IF(Instructions!$E$11=8,IF($D176=Instructions!$F$50,AP175+1,AP175),IF(Instructions!$E$11=10,IF($H176=Instructions!$F$50,AP175+1,AP175),IF(Instructions!$E$11=12,IF($L176=Instructions!$F$50,AP175+1,AP175),IF(Instructions!$E$11=14,IF($P176=Instructions!$F$50,AP175+1,AP175),IF(Instructions!$E$11=16,IF($T176=Instructions!$F$50,AP175+1,AP175))))))</f>
        <v>14</v>
      </c>
      <c r="AQ176" s="321" t="str">
        <f t="shared" si="39"/>
        <v>914</v>
      </c>
      <c r="AR176" s="321">
        <f>IF(Instructions!$E$11=8,IF($D176=Instructions!$F$51,AR175+1,AR175),IF(Instructions!$E$11=10,IF($H176=Instructions!$F$51,AR175+1,AR175),IF(Instructions!$E$11=12,IF($L176=Instructions!$F$51,AR175+1,AR175),IF(Instructions!$E$11=14,IF($P176=Instructions!$F$51,AR175+1,AR175),IF(Instructions!$E$11=16,IF($T176=Instructions!$F$51,AR175+1,AR175))))))</f>
        <v>14</v>
      </c>
      <c r="AS176" s="321" t="str">
        <f t="shared" si="41"/>
        <v>1014</v>
      </c>
      <c r="AT176" s="321">
        <f>IF(Instructions!$E$11=8,IF($D176=Instructions!$F$52,AT175+1,AT175),IF(Instructions!$E$11=10,IF($H176=Instructions!$F$52,AT175+1,AT175),IF(Instructions!$E$11=12,IF($L176=Instructions!$F$52,AT175+1,AT175),IF(Instructions!$E$11=14,IF($P176=Instructions!$F$52,AT175+1,AT175),IF(Instructions!$E$11=16,IF($T176=Instructions!$F$52,AT175+1,AT175))))))</f>
        <v>14</v>
      </c>
      <c r="AU176" s="321" t="str">
        <f t="shared" si="42"/>
        <v>1114</v>
      </c>
      <c r="AV176" s="321">
        <f>IF(Instructions!$E$11=8,IF($D176=Instructions!$F$53,AV175+1,AV175),IF(Instructions!$E$11=10,IF($H176=Instructions!$F$53,AV175+1,AV175),IF(Instructions!$E$11=12,IF($L176=Instructions!$F$53,AV175+1,AV175),IF(Instructions!$E$11=14,IF($P176=Instructions!$F$53,AV175+1,AV175),IF(Instructions!$E$11=16,IF($T176=Instructions!$F$53,AV175+1,AV175))))))</f>
        <v>14</v>
      </c>
      <c r="AW176" s="321" t="str">
        <f t="shared" si="43"/>
        <v>1214</v>
      </c>
      <c r="AX176" s="321">
        <f>IF(Instructions!$E$11=8,IF($D176=Instructions!$F$54,AX175+1,AX175),IF(Instructions!$E$11=10,IF($H176=Instructions!$F$54,AX175+1,AX175),IF(Instructions!$E$11=12,IF($L176=Instructions!$F$54,AX175+1,AX175),IF(Instructions!$E$11=14,IF($P176=Instructions!$F$54,AX175+1,AX175),IF(Instructions!$E$11=16,IF($T176=Instructions!$F$54,AX175+1,AX175))))))</f>
        <v>0</v>
      </c>
      <c r="AY176" s="321" t="str">
        <f t="shared" si="44"/>
        <v>1300</v>
      </c>
      <c r="AZ176" s="321">
        <f>IF(Instructions!$E$11=8,IF($D176=Instructions!$F$55,AZ175+1,AZ175),IF(Instructions!$E$11=10,IF($H176=Instructions!$F$55,AZ175+1,AZ175),IF(Instructions!$E$11=12,IF($L176=Instructions!$F$55,AZ175+1,AZ175),IF(Instructions!$E$11=14,IF($P176=Instructions!$F$55,AZ175+1,AZ175),IF(Instructions!$E$11=16,IF($T176=Instructions!$F$55,AZ175+1,AZ175))))))</f>
        <v>0</v>
      </c>
      <c r="BA176" s="321" t="str">
        <f t="shared" si="45"/>
        <v>1400</v>
      </c>
      <c r="BB176" s="321">
        <f>IF(Instructions!$E$11=8,IF($D176=Instructions!$F$56,BB175+1,BB175),IF(Instructions!$E$11=10,IF($H176=Instructions!$F$56,BB175+1,BB175),IF(Instructions!$E$11=12,IF($L176=Instructions!$F$56,BB175+1,BB175),IF(Instructions!$E$11=14,IF($P176=Instructions!$F$56,BB175+1,BB175),IF(Instructions!$E$11=16,IF($T176=Instructions!$F$56,BB175+1,BB175))))))</f>
        <v>0</v>
      </c>
      <c r="BC176" s="321" t="str">
        <f t="shared" si="46"/>
        <v>1500</v>
      </c>
      <c r="BD176" s="321">
        <f>IF(Instructions!$E$11=8,IF($D176=Instructions!$F$57,BD175+1,BD175),IF(Instructions!$E$11=10,IF($H176=Instructions!$F$57,BD175+1,BD175),IF(Instructions!$E$11=12,IF($L176=Instructions!$F$57,BD175+1,BD175),IF(Instructions!$E$11=14,IF($P176=Instructions!$F$57,BD175+1,BD175),IF(Instructions!$E$11=16,IF($T176=Instructions!$F$57,BD175+1,BD175))))))</f>
        <v>0</v>
      </c>
      <c r="BE176" s="321" t="str">
        <f t="shared" si="47"/>
        <v>1600</v>
      </c>
      <c r="BF176" s="321">
        <v>174</v>
      </c>
    </row>
    <row r="177" spans="1:58" x14ac:dyDescent="0.25">
      <c r="A177" s="280"/>
      <c r="B177" s="323" t="str">
        <f>IF(Instructions!$J$11=1,AA177,IF(Instructions!$J$11=2,AC177,IF(Instructions!$J$11=3,AE177,IF(Instructions!$J$11=4,AG177,IF(Instructions!$J$11=5,AI177,IF(Instructions!$J$11=6,AK177,IF(Instructions!$J$11=7,AM177,IF(Instructions!$J$11=8,AO177,IF(Instructions!$J$11=9,AQ177,IF(Instructions!$J$11=10,AS177,IF(Instructions!$J$11=11,AU177,IF(Instructions!$J$11=12,AW177,IF(Instructions!$J$11=13, AY177, IF(Instructions!$J$11=14,BA177,IF(Instructions!$J$11=15,BC177,BE177)))))))))))))))</f>
        <v>215</v>
      </c>
      <c r="C177" s="271">
        <v>175</v>
      </c>
      <c r="D177" s="328" t="str">
        <f>Instructions!F$43</f>
        <v>Camden</v>
      </c>
      <c r="E177" s="333" t="s">
        <v>1510</v>
      </c>
      <c r="F177" s="706"/>
      <c r="G177" s="279">
        <v>22</v>
      </c>
      <c r="H177" s="293" t="str">
        <f>Instructions!F$47</f>
        <v>Devin</v>
      </c>
      <c r="I177" s="273" t="s">
        <v>1476</v>
      </c>
      <c r="J177" s="709"/>
      <c r="K177" s="279">
        <v>18</v>
      </c>
      <c r="L177" s="293" t="str">
        <f>Instructions!F$48</f>
        <v>Bui</v>
      </c>
      <c r="M177" s="273" t="s">
        <v>881</v>
      </c>
      <c r="N177" s="709"/>
      <c r="O177" s="279">
        <v>15</v>
      </c>
      <c r="P177" s="293" t="str">
        <f>Instructions!F$48</f>
        <v>Bui</v>
      </c>
      <c r="Q177" s="273" t="s">
        <v>857</v>
      </c>
      <c r="R177" s="709"/>
      <c r="S177" s="279">
        <v>13</v>
      </c>
      <c r="T177" s="328" t="str">
        <f>Instructions!F$56</f>
        <v>[TEAM 15]</v>
      </c>
      <c r="U177" s="273" t="s">
        <v>1584</v>
      </c>
      <c r="V177" s="706"/>
      <c r="W177" s="279">
        <v>11</v>
      </c>
      <c r="X177" s="280"/>
      <c r="Y177" s="190" t="str">
        <f>IFERROR( IF(Instructions!$E$11=8, D177&amp;COUNTIF(D$3:D177,D177), IF(Instructions!$E$11=10, H177&amp;COUNTIF(H$3:H177,H177),IF(Instructions!$E$11=12, L177&amp;COUNTIF(L$3:L177,L177),IF(Instructions!$E$11=14, P177&amp;COUNTIF(P$3:P177,P177),T177&amp;COUNTIF(T$3:T177,T177))))),"")</f>
        <v>Bui15</v>
      </c>
      <c r="Z177" s="321">
        <f>IF(Instructions!$E$11=8,IF($D177=Instructions!$F$42,Z176+1,Z176),IF(Instructions!$E$11=10,IF($H177=Instructions!$F$42,Z176+1,Z176),IF(Instructions!$E$11=12,IF($L177=Instructions!$F$42,Z176+1,Z176),IF(Instructions!$E$11=14,IF($P177=Instructions!$F$42,Z176+1,Z176),IF(Instructions!$E$11=16,IF($T177=Instructions!$F$42,Z176+1,Z176))))))</f>
        <v>15</v>
      </c>
      <c r="AA177" s="321" t="str">
        <f t="shared" si="40"/>
        <v>115</v>
      </c>
      <c r="AB177" s="321">
        <f>IF(Instructions!$E$11=8,IF($D177=Instructions!$F$43,AB176+1,AB176),IF(Instructions!$E$11=10,IF($H177=Instructions!$F$43,AB176+1,AB176),IF(Instructions!$E$11=12,IF($L177=Instructions!$F$43,AB176+1,AB176),IF(Instructions!$E$11=14,IF($P177=Instructions!$F$43,AB176+1,AB176),IF(Instructions!$E$11=16,IF($T177=Instructions!$F$43,AB176+1,AB176))))))</f>
        <v>15</v>
      </c>
      <c r="AC177" s="321" t="str">
        <f t="shared" si="32"/>
        <v>215</v>
      </c>
      <c r="AD177" s="321">
        <f>IF(Instructions!$E$11=8,IF($D177=Instructions!$F$44,AD176+1,AD176),IF(Instructions!$E$11=10,IF($H177=Instructions!$F$44,AD176+1,AD176),IF(Instructions!$E$11=12,IF($L177=Instructions!$F$44,AD176+1,AD176),IF(Instructions!$E$11=14,IF($P177=Instructions!$F$44,AD176+1,AD176),IF(Instructions!$E$11=16,IF($T177=Instructions!$F$44,AD176+1,AD176))))))</f>
        <v>15</v>
      </c>
      <c r="AE177" s="321" t="str">
        <f t="shared" si="33"/>
        <v>315</v>
      </c>
      <c r="AF177" s="321">
        <f>IF(Instructions!$E$11=8,IF($D177=Instructions!$F$45,AF176+1,AF176),IF(Instructions!$E$11=10,IF($H177=Instructions!$F$45,AF176+1,AF176),IF(Instructions!$E$11=12,IF($L177=Instructions!$F$45,AF176+1,AF176),IF(Instructions!$E$11=14,IF($P177=Instructions!$F$45,AF176+1,AF176),IF(Instructions!$E$11=16,IF($T177=Instructions!$F$45,AF176+1,AF176))))))</f>
        <v>15</v>
      </c>
      <c r="AG177" s="321" t="str">
        <f t="shared" si="34"/>
        <v>415</v>
      </c>
      <c r="AH177" s="321">
        <f>IF(Instructions!$E$11=8,IF($D177=Instructions!$F$46,AH176+1,AH176),IF(Instructions!$E$11=10,IF($H177=Instructions!$F$46,AH176+1,AH176),IF(Instructions!$E$11=12,IF($L177=Instructions!$F$46,AH176+1,AH176),IF(Instructions!$E$11=14,IF($P177=Instructions!$F$46,AH176+1,AH176),IF(Instructions!$E$11=16,IF($T177=Instructions!$F$46,AH176+1,AH176))))))</f>
        <v>15</v>
      </c>
      <c r="AI177" s="321" t="str">
        <f t="shared" si="35"/>
        <v>515</v>
      </c>
      <c r="AJ177" s="321">
        <f>IF(Instructions!$E$11=8,IF($D177=Instructions!$F$47,AJ176+1,AJ176),IF(Instructions!$E$11=10,IF($H177=Instructions!$F$47,AJ176+1,AJ176),IF(Instructions!$E$11=12,IF($L177=Instructions!$F$47,AJ176+1,AJ176),IF(Instructions!$E$11=14,IF($P177=Instructions!$F$47,AJ176+1,AJ176),IF(Instructions!$E$11=16,IF($T177=Instructions!$F$47,AJ176+1,AJ176))))))</f>
        <v>15</v>
      </c>
      <c r="AK177" s="321" t="str">
        <f t="shared" si="36"/>
        <v>615</v>
      </c>
      <c r="AL177" s="321">
        <f>IF(Instructions!$E$11=8,IF($D177=Instructions!$F$48,AL176+1,AL176),IF(Instructions!$E$11=10,IF($H177=Instructions!$F$48,AL176+1,AL176),IF(Instructions!$E$11=12,IF($L177=Instructions!$F$48,AL176+1,AL176),IF(Instructions!$E$11=14,IF($P177=Instructions!$F$48,AL176+1,AL176),IF(Instructions!$E$11=16,IF($T177=Instructions!$F$48,AL176+1,AL176))))))</f>
        <v>15</v>
      </c>
      <c r="AM177" s="321" t="str">
        <f t="shared" si="37"/>
        <v>715</v>
      </c>
      <c r="AN177" s="321">
        <f>IF(Instructions!$E$11=8,IF($D177=Instructions!$F$49,AN176+1,AN176),IF(Instructions!$E$11=10,IF($H177=Instructions!$F$49,AN176+1,AN176),IF(Instructions!$E$11=12,IF($L177=Instructions!$F$49,AN176+1,AN176),IF(Instructions!$E$11=14,IF($P177=Instructions!$F$49,AN176+1,AN176),IF(Instructions!$E$11=16,IF($T177=Instructions!$F$49,AN176+1,AN176))))))</f>
        <v>14</v>
      </c>
      <c r="AO177" s="321" t="str">
        <f t="shared" si="38"/>
        <v>814</v>
      </c>
      <c r="AP177" s="321">
        <f>IF(Instructions!$E$11=8,IF($D177=Instructions!$F$50,AP176+1,AP176),IF(Instructions!$E$11=10,IF($H177=Instructions!$F$50,AP176+1,AP176),IF(Instructions!$E$11=12,IF($L177=Instructions!$F$50,AP176+1,AP176),IF(Instructions!$E$11=14,IF($P177=Instructions!$F$50,AP176+1,AP176),IF(Instructions!$E$11=16,IF($T177=Instructions!$F$50,AP176+1,AP176))))))</f>
        <v>14</v>
      </c>
      <c r="AQ177" s="321" t="str">
        <f t="shared" si="39"/>
        <v>914</v>
      </c>
      <c r="AR177" s="321">
        <f>IF(Instructions!$E$11=8,IF($D177=Instructions!$F$51,AR176+1,AR176),IF(Instructions!$E$11=10,IF($H177=Instructions!$F$51,AR176+1,AR176),IF(Instructions!$E$11=12,IF($L177=Instructions!$F$51,AR176+1,AR176),IF(Instructions!$E$11=14,IF($P177=Instructions!$F$51,AR176+1,AR176),IF(Instructions!$E$11=16,IF($T177=Instructions!$F$51,AR176+1,AR176))))))</f>
        <v>14</v>
      </c>
      <c r="AS177" s="321" t="str">
        <f t="shared" si="41"/>
        <v>1014</v>
      </c>
      <c r="AT177" s="321">
        <f>IF(Instructions!$E$11=8,IF($D177=Instructions!$F$52,AT176+1,AT176),IF(Instructions!$E$11=10,IF($H177=Instructions!$F$52,AT176+1,AT176),IF(Instructions!$E$11=12,IF($L177=Instructions!$F$52,AT176+1,AT176),IF(Instructions!$E$11=14,IF($P177=Instructions!$F$52,AT176+1,AT176),IF(Instructions!$E$11=16,IF($T177=Instructions!$F$52,AT176+1,AT176))))))</f>
        <v>14</v>
      </c>
      <c r="AU177" s="321" t="str">
        <f t="shared" si="42"/>
        <v>1114</v>
      </c>
      <c r="AV177" s="321">
        <f>IF(Instructions!$E$11=8,IF($D177=Instructions!$F$53,AV176+1,AV176),IF(Instructions!$E$11=10,IF($H177=Instructions!$F$53,AV176+1,AV176),IF(Instructions!$E$11=12,IF($L177=Instructions!$F$53,AV176+1,AV176),IF(Instructions!$E$11=14,IF($P177=Instructions!$F$53,AV176+1,AV176),IF(Instructions!$E$11=16,IF($T177=Instructions!$F$53,AV176+1,AV176))))))</f>
        <v>14</v>
      </c>
      <c r="AW177" s="321" t="str">
        <f t="shared" si="43"/>
        <v>1214</v>
      </c>
      <c r="AX177" s="321">
        <f>IF(Instructions!$E$11=8,IF($D177=Instructions!$F$54,AX176+1,AX176),IF(Instructions!$E$11=10,IF($H177=Instructions!$F$54,AX176+1,AX176),IF(Instructions!$E$11=12,IF($L177=Instructions!$F$54,AX176+1,AX176),IF(Instructions!$E$11=14,IF($P177=Instructions!$F$54,AX176+1,AX176),IF(Instructions!$E$11=16,IF($T177=Instructions!$F$54,AX176+1,AX176))))))</f>
        <v>0</v>
      </c>
      <c r="AY177" s="321" t="str">
        <f t="shared" si="44"/>
        <v>1300</v>
      </c>
      <c r="AZ177" s="321">
        <f>IF(Instructions!$E$11=8,IF($D177=Instructions!$F$55,AZ176+1,AZ176),IF(Instructions!$E$11=10,IF($H177=Instructions!$F$55,AZ176+1,AZ176),IF(Instructions!$E$11=12,IF($L177=Instructions!$F$55,AZ176+1,AZ176),IF(Instructions!$E$11=14,IF($P177=Instructions!$F$55,AZ176+1,AZ176),IF(Instructions!$E$11=16,IF($T177=Instructions!$F$55,AZ176+1,AZ176))))))</f>
        <v>0</v>
      </c>
      <c r="BA177" s="321" t="str">
        <f t="shared" si="45"/>
        <v>1400</v>
      </c>
      <c r="BB177" s="321">
        <f>IF(Instructions!$E$11=8,IF($D177=Instructions!$F$56,BB176+1,BB176),IF(Instructions!$E$11=10,IF($H177=Instructions!$F$56,BB176+1,BB176),IF(Instructions!$E$11=12,IF($L177=Instructions!$F$56,BB176+1,BB176),IF(Instructions!$E$11=14,IF($P177=Instructions!$F$56,BB176+1,BB176),IF(Instructions!$E$11=16,IF($T177=Instructions!$F$56,BB176+1,BB176))))))</f>
        <v>0</v>
      </c>
      <c r="BC177" s="321" t="str">
        <f t="shared" si="46"/>
        <v>1500</v>
      </c>
      <c r="BD177" s="321">
        <f>IF(Instructions!$E$11=8,IF($D177=Instructions!$F$57,BD176+1,BD176),IF(Instructions!$E$11=10,IF($H177=Instructions!$F$57,BD176+1,BD176),IF(Instructions!$E$11=12,IF($L177=Instructions!$F$57,BD176+1,BD176),IF(Instructions!$E$11=14,IF($P177=Instructions!$F$57,BD176+1,BD176),IF(Instructions!$E$11=16,IF($T177=Instructions!$F$57,BD176+1,BD176))))))</f>
        <v>0</v>
      </c>
      <c r="BE177" s="321" t="str">
        <f t="shared" si="47"/>
        <v>1600</v>
      </c>
      <c r="BF177" s="321">
        <v>175</v>
      </c>
    </row>
    <row r="178" spans="1:58" ht="15.75" thickBot="1" x14ac:dyDescent="0.3">
      <c r="A178" s="280"/>
      <c r="B178" s="323" t="str">
        <f>IF(Instructions!$J$11=1,AA178,IF(Instructions!$J$11=2,AC178,IF(Instructions!$J$11=3,AE178,IF(Instructions!$J$11=4,AG178,IF(Instructions!$J$11=5,AI178,IF(Instructions!$J$11=6,AK178,IF(Instructions!$J$11=7,AM178,IF(Instructions!$J$11=8,AO178,IF(Instructions!$J$11=9,AQ178,IF(Instructions!$J$11=10,AS178,IF(Instructions!$J$11=11,AU178,IF(Instructions!$J$11=12,AW178,IF(Instructions!$J$11=13, AY178, IF(Instructions!$J$11=14,BA178,IF(Instructions!$J$11=15,BC178,BE178)))))))))))))))</f>
        <v>215</v>
      </c>
      <c r="C178" s="272">
        <v>176</v>
      </c>
      <c r="D178" s="329" t="str">
        <f>Instructions!F$42</f>
        <v>Trumbo</v>
      </c>
      <c r="E178" s="334" t="s">
        <v>1511</v>
      </c>
      <c r="F178" s="707"/>
      <c r="G178" s="279">
        <v>22</v>
      </c>
      <c r="H178" s="294" t="str">
        <f>Instructions!F$46</f>
        <v>Con</v>
      </c>
      <c r="I178" s="274" t="s">
        <v>1477</v>
      </c>
      <c r="J178" s="709"/>
      <c r="K178" s="279">
        <v>18</v>
      </c>
      <c r="L178" s="294" t="str">
        <f>Instructions!F$49</f>
        <v>Luke</v>
      </c>
      <c r="M178" s="274" t="s">
        <v>882</v>
      </c>
      <c r="N178" s="709"/>
      <c r="O178" s="279">
        <v>15</v>
      </c>
      <c r="P178" s="294" t="str">
        <f>Instructions!F$49</f>
        <v>Luke</v>
      </c>
      <c r="Q178" s="274" t="s">
        <v>858</v>
      </c>
      <c r="R178" s="709"/>
      <c r="S178" s="279">
        <v>13</v>
      </c>
      <c r="T178" s="329" t="str">
        <f>Instructions!F$57</f>
        <v>[TEAM 16]</v>
      </c>
      <c r="U178" s="330" t="s">
        <v>1585</v>
      </c>
      <c r="V178" s="707"/>
      <c r="W178" s="279">
        <v>11</v>
      </c>
      <c r="X178" s="280"/>
      <c r="Y178" s="190" t="str">
        <f>IFERROR( IF(Instructions!$E$11=8, D178&amp;COUNTIF(D$3:D178,D178), IF(Instructions!$E$11=10, H178&amp;COUNTIF(H$3:H178,H178),IF(Instructions!$E$11=12, L178&amp;COUNTIF(L$3:L178,L178),IF(Instructions!$E$11=14, P178&amp;COUNTIF(P$3:P178,P178),T178&amp;COUNTIF(T$3:T178,T178))))),"")</f>
        <v>Luke15</v>
      </c>
      <c r="Z178" s="321">
        <f>IF(Instructions!$E$11=8,IF($D178=Instructions!$F$42,Z177+1,Z177),IF(Instructions!$E$11=10,IF($H178=Instructions!$F$42,Z177+1,Z177),IF(Instructions!$E$11=12,IF($L178=Instructions!$F$42,Z177+1,Z177),IF(Instructions!$E$11=14,IF($P178=Instructions!$F$42,Z177+1,Z177),IF(Instructions!$E$11=16,IF($T178=Instructions!$F$42,Z177+1,Z177))))))</f>
        <v>15</v>
      </c>
      <c r="AA178" s="321" t="str">
        <f t="shared" si="40"/>
        <v>115</v>
      </c>
      <c r="AB178" s="321">
        <f>IF(Instructions!$E$11=8,IF($D178=Instructions!$F$43,AB177+1,AB177),IF(Instructions!$E$11=10,IF($H178=Instructions!$F$43,AB177+1,AB177),IF(Instructions!$E$11=12,IF($L178=Instructions!$F$43,AB177+1,AB177),IF(Instructions!$E$11=14,IF($P178=Instructions!$F$43,AB177+1,AB177),IF(Instructions!$E$11=16,IF($T178=Instructions!$F$43,AB177+1,AB177))))))</f>
        <v>15</v>
      </c>
      <c r="AC178" s="321" t="str">
        <f t="shared" si="32"/>
        <v>215</v>
      </c>
      <c r="AD178" s="321">
        <f>IF(Instructions!$E$11=8,IF($D178=Instructions!$F$44,AD177+1,AD177),IF(Instructions!$E$11=10,IF($H178=Instructions!$F$44,AD177+1,AD177),IF(Instructions!$E$11=12,IF($L178=Instructions!$F$44,AD177+1,AD177),IF(Instructions!$E$11=14,IF($P178=Instructions!$F$44,AD177+1,AD177),IF(Instructions!$E$11=16,IF($T178=Instructions!$F$44,AD177+1,AD177))))))</f>
        <v>15</v>
      </c>
      <c r="AE178" s="321" t="str">
        <f t="shared" si="33"/>
        <v>315</v>
      </c>
      <c r="AF178" s="321">
        <f>IF(Instructions!$E$11=8,IF($D178=Instructions!$F$45,AF177+1,AF177),IF(Instructions!$E$11=10,IF($H178=Instructions!$F$45,AF177+1,AF177),IF(Instructions!$E$11=12,IF($L178=Instructions!$F$45,AF177+1,AF177),IF(Instructions!$E$11=14,IF($P178=Instructions!$F$45,AF177+1,AF177),IF(Instructions!$E$11=16,IF($T178=Instructions!$F$45,AF177+1,AF177))))))</f>
        <v>15</v>
      </c>
      <c r="AG178" s="321" t="str">
        <f t="shared" si="34"/>
        <v>415</v>
      </c>
      <c r="AH178" s="321">
        <f>IF(Instructions!$E$11=8,IF($D178=Instructions!$F$46,AH177+1,AH177),IF(Instructions!$E$11=10,IF($H178=Instructions!$F$46,AH177+1,AH177),IF(Instructions!$E$11=12,IF($L178=Instructions!$F$46,AH177+1,AH177),IF(Instructions!$E$11=14,IF($P178=Instructions!$F$46,AH177+1,AH177),IF(Instructions!$E$11=16,IF($T178=Instructions!$F$46,AH177+1,AH177))))))</f>
        <v>15</v>
      </c>
      <c r="AI178" s="321" t="str">
        <f t="shared" si="35"/>
        <v>515</v>
      </c>
      <c r="AJ178" s="321">
        <f>IF(Instructions!$E$11=8,IF($D178=Instructions!$F$47,AJ177+1,AJ177),IF(Instructions!$E$11=10,IF($H178=Instructions!$F$47,AJ177+1,AJ177),IF(Instructions!$E$11=12,IF($L178=Instructions!$F$47,AJ177+1,AJ177),IF(Instructions!$E$11=14,IF($P178=Instructions!$F$47,AJ177+1,AJ177),IF(Instructions!$E$11=16,IF($T178=Instructions!$F$47,AJ177+1,AJ177))))))</f>
        <v>15</v>
      </c>
      <c r="AK178" s="321" t="str">
        <f t="shared" si="36"/>
        <v>615</v>
      </c>
      <c r="AL178" s="321">
        <f>IF(Instructions!$E$11=8,IF($D178=Instructions!$F$48,AL177+1,AL177),IF(Instructions!$E$11=10,IF($H178=Instructions!$F$48,AL177+1,AL177),IF(Instructions!$E$11=12,IF($L178=Instructions!$F$48,AL177+1,AL177),IF(Instructions!$E$11=14,IF($P178=Instructions!$F$48,AL177+1,AL177),IF(Instructions!$E$11=16,IF($T178=Instructions!$F$48,AL177+1,AL177))))))</f>
        <v>15</v>
      </c>
      <c r="AM178" s="321" t="str">
        <f t="shared" si="37"/>
        <v>715</v>
      </c>
      <c r="AN178" s="321">
        <f>IF(Instructions!$E$11=8,IF($D178=Instructions!$F$49,AN177+1,AN177),IF(Instructions!$E$11=10,IF($H178=Instructions!$F$49,AN177+1,AN177),IF(Instructions!$E$11=12,IF($L178=Instructions!$F$49,AN177+1,AN177),IF(Instructions!$E$11=14,IF($P178=Instructions!$F$49,AN177+1,AN177),IF(Instructions!$E$11=16,IF($T178=Instructions!$F$49,AN177+1,AN177))))))</f>
        <v>15</v>
      </c>
      <c r="AO178" s="321" t="str">
        <f t="shared" si="38"/>
        <v>815</v>
      </c>
      <c r="AP178" s="321">
        <f>IF(Instructions!$E$11=8,IF($D178=Instructions!$F$50,AP177+1,AP177),IF(Instructions!$E$11=10,IF($H178=Instructions!$F$50,AP177+1,AP177),IF(Instructions!$E$11=12,IF($L178=Instructions!$F$50,AP177+1,AP177),IF(Instructions!$E$11=14,IF($P178=Instructions!$F$50,AP177+1,AP177),IF(Instructions!$E$11=16,IF($T178=Instructions!$F$50,AP177+1,AP177))))))</f>
        <v>14</v>
      </c>
      <c r="AQ178" s="321" t="str">
        <f t="shared" si="39"/>
        <v>914</v>
      </c>
      <c r="AR178" s="321">
        <f>IF(Instructions!$E$11=8,IF($D178=Instructions!$F$51,AR177+1,AR177),IF(Instructions!$E$11=10,IF($H178=Instructions!$F$51,AR177+1,AR177),IF(Instructions!$E$11=12,IF($L178=Instructions!$F$51,AR177+1,AR177),IF(Instructions!$E$11=14,IF($P178=Instructions!$F$51,AR177+1,AR177),IF(Instructions!$E$11=16,IF($T178=Instructions!$F$51,AR177+1,AR177))))))</f>
        <v>14</v>
      </c>
      <c r="AS178" s="321" t="str">
        <f t="shared" si="41"/>
        <v>1014</v>
      </c>
      <c r="AT178" s="321">
        <f>IF(Instructions!$E$11=8,IF($D178=Instructions!$F$52,AT177+1,AT177),IF(Instructions!$E$11=10,IF($H178=Instructions!$F$52,AT177+1,AT177),IF(Instructions!$E$11=12,IF($L178=Instructions!$F$52,AT177+1,AT177),IF(Instructions!$E$11=14,IF($P178=Instructions!$F$52,AT177+1,AT177),IF(Instructions!$E$11=16,IF($T178=Instructions!$F$52,AT177+1,AT177))))))</f>
        <v>14</v>
      </c>
      <c r="AU178" s="321" t="str">
        <f t="shared" si="42"/>
        <v>1114</v>
      </c>
      <c r="AV178" s="321">
        <f>IF(Instructions!$E$11=8,IF($D178=Instructions!$F$53,AV177+1,AV177),IF(Instructions!$E$11=10,IF($H178=Instructions!$F$53,AV177+1,AV177),IF(Instructions!$E$11=12,IF($L178=Instructions!$F$53,AV177+1,AV177),IF(Instructions!$E$11=14,IF($P178=Instructions!$F$53,AV177+1,AV177),IF(Instructions!$E$11=16,IF($T178=Instructions!$F$53,AV177+1,AV177))))))</f>
        <v>14</v>
      </c>
      <c r="AW178" s="321" t="str">
        <f t="shared" si="43"/>
        <v>1214</v>
      </c>
      <c r="AX178" s="321">
        <f>IF(Instructions!$E$11=8,IF($D178=Instructions!$F$54,AX177+1,AX177),IF(Instructions!$E$11=10,IF($H178=Instructions!$F$54,AX177+1,AX177),IF(Instructions!$E$11=12,IF($L178=Instructions!$F$54,AX177+1,AX177),IF(Instructions!$E$11=14,IF($P178=Instructions!$F$54,AX177+1,AX177),IF(Instructions!$E$11=16,IF($T178=Instructions!$F$54,AX177+1,AX177))))))</f>
        <v>0</v>
      </c>
      <c r="AY178" s="321" t="str">
        <f t="shared" si="44"/>
        <v>1300</v>
      </c>
      <c r="AZ178" s="321">
        <f>IF(Instructions!$E$11=8,IF($D178=Instructions!$F$55,AZ177+1,AZ177),IF(Instructions!$E$11=10,IF($H178=Instructions!$F$55,AZ177+1,AZ177),IF(Instructions!$E$11=12,IF($L178=Instructions!$F$55,AZ177+1,AZ177),IF(Instructions!$E$11=14,IF($P178=Instructions!$F$55,AZ177+1,AZ177),IF(Instructions!$E$11=16,IF($T178=Instructions!$F$55,AZ177+1,AZ177))))))</f>
        <v>0</v>
      </c>
      <c r="BA178" s="321" t="str">
        <f t="shared" si="45"/>
        <v>1400</v>
      </c>
      <c r="BB178" s="321">
        <f>IF(Instructions!$E$11=8,IF($D178=Instructions!$F$56,BB177+1,BB177),IF(Instructions!$E$11=10,IF($H178=Instructions!$F$56,BB177+1,BB177),IF(Instructions!$E$11=12,IF($L178=Instructions!$F$56,BB177+1,BB177),IF(Instructions!$E$11=14,IF($P178=Instructions!$F$56,BB177+1,BB177),IF(Instructions!$E$11=16,IF($T178=Instructions!$F$56,BB177+1,BB177))))))</f>
        <v>0</v>
      </c>
      <c r="BC178" s="321" t="str">
        <f t="shared" si="46"/>
        <v>1500</v>
      </c>
      <c r="BD178" s="321">
        <f>IF(Instructions!$E$11=8,IF($D178=Instructions!$F$57,BD177+1,BD177),IF(Instructions!$E$11=10,IF($H178=Instructions!$F$57,BD177+1,BD177),IF(Instructions!$E$11=12,IF($L178=Instructions!$F$57,BD177+1,BD177),IF(Instructions!$E$11=14,IF($P178=Instructions!$F$57,BD177+1,BD177),IF(Instructions!$E$11=16,IF($T178=Instructions!$F$57,BD177+1,BD177))))))</f>
        <v>0</v>
      </c>
      <c r="BE178" s="321" t="str">
        <f t="shared" si="47"/>
        <v>1600</v>
      </c>
      <c r="BF178" s="321">
        <v>176</v>
      </c>
    </row>
    <row r="179" spans="1:58" ht="15" customHeight="1" x14ac:dyDescent="0.25">
      <c r="A179" s="280"/>
      <c r="B179" s="323" t="str">
        <f>IF(Instructions!$J$11=1,AA179,IF(Instructions!$J$11=2,AC179,IF(Instructions!$J$11=3,AE179,IF(Instructions!$J$11=4,AG179,IF(Instructions!$J$11=5,AI179,IF(Instructions!$J$11=6,AK179,IF(Instructions!$J$11=7,AM179,IF(Instructions!$J$11=8,AO179,IF(Instructions!$J$11=9,AQ179,IF(Instructions!$J$11=10,AS179,IF(Instructions!$J$11=11,AU179,IF(Instructions!$J$11=12,AW179,IF(Instructions!$J$11=13, AY179, IF(Instructions!$J$11=14,BA179,IF(Instructions!$J$11=15,BC179,BE179)))))))))))))))</f>
        <v>215</v>
      </c>
      <c r="C179" s="271">
        <v>177</v>
      </c>
      <c r="D179" s="325" t="str">
        <f>Instructions!F$42</f>
        <v>Trumbo</v>
      </c>
      <c r="E179" s="333" t="s">
        <v>1512</v>
      </c>
      <c r="F179" s="705" t="s">
        <v>1461</v>
      </c>
      <c r="G179" s="279">
        <v>23</v>
      </c>
      <c r="H179" s="293" t="str">
        <f>Instructions!F$45</f>
        <v>Miles</v>
      </c>
      <c r="I179" s="273" t="s">
        <v>1478</v>
      </c>
      <c r="J179" s="709"/>
      <c r="K179" s="279">
        <v>18</v>
      </c>
      <c r="L179" s="293" t="str">
        <f>Instructions!F$50</f>
        <v>Dan</v>
      </c>
      <c r="M179" s="273" t="s">
        <v>883</v>
      </c>
      <c r="N179" s="709"/>
      <c r="O179" s="279">
        <v>15</v>
      </c>
      <c r="P179" s="293" t="str">
        <f>Instructions!F$50</f>
        <v>Dan</v>
      </c>
      <c r="Q179" s="273" t="s">
        <v>859</v>
      </c>
      <c r="R179" s="709"/>
      <c r="S179" s="279">
        <v>13</v>
      </c>
      <c r="T179" s="325" t="str">
        <f>Instructions!F$57</f>
        <v>[TEAM 16]</v>
      </c>
      <c r="U179" s="326" t="s">
        <v>839</v>
      </c>
      <c r="V179" s="705" t="s">
        <v>907</v>
      </c>
      <c r="W179" s="279">
        <v>12</v>
      </c>
      <c r="X179" s="280"/>
      <c r="Y179" s="190" t="str">
        <f>IFERROR( IF(Instructions!$E$11=8, D179&amp;COUNTIF(D$3:D179,D179), IF(Instructions!$E$11=10, H179&amp;COUNTIF(H$3:H179,H179),IF(Instructions!$E$11=12, L179&amp;COUNTIF(L$3:L179,L179),IF(Instructions!$E$11=14, P179&amp;COUNTIF(P$3:P179,P179),T179&amp;COUNTIF(T$3:T179,T179))))),"")</f>
        <v>Dan15</v>
      </c>
      <c r="Z179" s="321">
        <f>IF(Instructions!$E$11=8,IF($D179=Instructions!$F$42,Z178+1,Z178),IF(Instructions!$E$11=10,IF($H179=Instructions!$F$42,Z178+1,Z178),IF(Instructions!$E$11=12,IF($L179=Instructions!$F$42,Z178+1,Z178),IF(Instructions!$E$11=14,IF($P179=Instructions!$F$42,Z178+1,Z178),IF(Instructions!$E$11=16,IF($T179=Instructions!$F$42,Z178+1,Z178))))))</f>
        <v>15</v>
      </c>
      <c r="AA179" s="321" t="str">
        <f t="shared" si="40"/>
        <v>115</v>
      </c>
      <c r="AB179" s="321">
        <f>IF(Instructions!$E$11=8,IF($D179=Instructions!$F$43,AB178+1,AB178),IF(Instructions!$E$11=10,IF($H179=Instructions!$F$43,AB178+1,AB178),IF(Instructions!$E$11=12,IF($L179=Instructions!$F$43,AB178+1,AB178),IF(Instructions!$E$11=14,IF($P179=Instructions!$F$43,AB178+1,AB178),IF(Instructions!$E$11=16,IF($T179=Instructions!$F$43,AB178+1,AB178))))))</f>
        <v>15</v>
      </c>
      <c r="AC179" s="321" t="str">
        <f t="shared" si="32"/>
        <v>215</v>
      </c>
      <c r="AD179" s="321">
        <f>IF(Instructions!$E$11=8,IF($D179=Instructions!$F$44,AD178+1,AD178),IF(Instructions!$E$11=10,IF($H179=Instructions!$F$44,AD178+1,AD178),IF(Instructions!$E$11=12,IF($L179=Instructions!$F$44,AD178+1,AD178),IF(Instructions!$E$11=14,IF($P179=Instructions!$F$44,AD178+1,AD178),IF(Instructions!$E$11=16,IF($T179=Instructions!$F$44,AD178+1,AD178))))))</f>
        <v>15</v>
      </c>
      <c r="AE179" s="321" t="str">
        <f t="shared" si="33"/>
        <v>315</v>
      </c>
      <c r="AF179" s="321">
        <f>IF(Instructions!$E$11=8,IF($D179=Instructions!$F$45,AF178+1,AF178),IF(Instructions!$E$11=10,IF($H179=Instructions!$F$45,AF178+1,AF178),IF(Instructions!$E$11=12,IF($L179=Instructions!$F$45,AF178+1,AF178),IF(Instructions!$E$11=14,IF($P179=Instructions!$F$45,AF178+1,AF178),IF(Instructions!$E$11=16,IF($T179=Instructions!$F$45,AF178+1,AF178))))))</f>
        <v>15</v>
      </c>
      <c r="AG179" s="321" t="str">
        <f t="shared" si="34"/>
        <v>415</v>
      </c>
      <c r="AH179" s="321">
        <f>IF(Instructions!$E$11=8,IF($D179=Instructions!$F$46,AH178+1,AH178),IF(Instructions!$E$11=10,IF($H179=Instructions!$F$46,AH178+1,AH178),IF(Instructions!$E$11=12,IF($L179=Instructions!$F$46,AH178+1,AH178),IF(Instructions!$E$11=14,IF($P179=Instructions!$F$46,AH178+1,AH178),IF(Instructions!$E$11=16,IF($T179=Instructions!$F$46,AH178+1,AH178))))))</f>
        <v>15</v>
      </c>
      <c r="AI179" s="321" t="str">
        <f t="shared" si="35"/>
        <v>515</v>
      </c>
      <c r="AJ179" s="321">
        <f>IF(Instructions!$E$11=8,IF($D179=Instructions!$F$47,AJ178+1,AJ178),IF(Instructions!$E$11=10,IF($H179=Instructions!$F$47,AJ178+1,AJ178),IF(Instructions!$E$11=12,IF($L179=Instructions!$F$47,AJ178+1,AJ178),IF(Instructions!$E$11=14,IF($P179=Instructions!$F$47,AJ178+1,AJ178),IF(Instructions!$E$11=16,IF($T179=Instructions!$F$47,AJ178+1,AJ178))))))</f>
        <v>15</v>
      </c>
      <c r="AK179" s="321" t="str">
        <f t="shared" si="36"/>
        <v>615</v>
      </c>
      <c r="AL179" s="321">
        <f>IF(Instructions!$E$11=8,IF($D179=Instructions!$F$48,AL178+1,AL178),IF(Instructions!$E$11=10,IF($H179=Instructions!$F$48,AL178+1,AL178),IF(Instructions!$E$11=12,IF($L179=Instructions!$F$48,AL178+1,AL178),IF(Instructions!$E$11=14,IF($P179=Instructions!$F$48,AL178+1,AL178),IF(Instructions!$E$11=16,IF($T179=Instructions!$F$48,AL178+1,AL178))))))</f>
        <v>15</v>
      </c>
      <c r="AM179" s="321" t="str">
        <f t="shared" si="37"/>
        <v>715</v>
      </c>
      <c r="AN179" s="321">
        <f>IF(Instructions!$E$11=8,IF($D179=Instructions!$F$49,AN178+1,AN178),IF(Instructions!$E$11=10,IF($H179=Instructions!$F$49,AN178+1,AN178),IF(Instructions!$E$11=12,IF($L179=Instructions!$F$49,AN178+1,AN178),IF(Instructions!$E$11=14,IF($P179=Instructions!$F$49,AN178+1,AN178),IF(Instructions!$E$11=16,IF($T179=Instructions!$F$49,AN178+1,AN178))))))</f>
        <v>15</v>
      </c>
      <c r="AO179" s="321" t="str">
        <f t="shared" si="38"/>
        <v>815</v>
      </c>
      <c r="AP179" s="321">
        <f>IF(Instructions!$E$11=8,IF($D179=Instructions!$F$50,AP178+1,AP178),IF(Instructions!$E$11=10,IF($H179=Instructions!$F$50,AP178+1,AP178),IF(Instructions!$E$11=12,IF($L179=Instructions!$F$50,AP178+1,AP178),IF(Instructions!$E$11=14,IF($P179=Instructions!$F$50,AP178+1,AP178),IF(Instructions!$E$11=16,IF($T179=Instructions!$F$50,AP178+1,AP178))))))</f>
        <v>15</v>
      </c>
      <c r="AQ179" s="321" t="str">
        <f t="shared" si="39"/>
        <v>915</v>
      </c>
      <c r="AR179" s="321">
        <f>IF(Instructions!$E$11=8,IF($D179=Instructions!$F$51,AR178+1,AR178),IF(Instructions!$E$11=10,IF($H179=Instructions!$F$51,AR178+1,AR178),IF(Instructions!$E$11=12,IF($L179=Instructions!$F$51,AR178+1,AR178),IF(Instructions!$E$11=14,IF($P179=Instructions!$F$51,AR178+1,AR178),IF(Instructions!$E$11=16,IF($T179=Instructions!$F$51,AR178+1,AR178))))))</f>
        <v>14</v>
      </c>
      <c r="AS179" s="321" t="str">
        <f t="shared" si="41"/>
        <v>1014</v>
      </c>
      <c r="AT179" s="321">
        <f>IF(Instructions!$E$11=8,IF($D179=Instructions!$F$52,AT178+1,AT178),IF(Instructions!$E$11=10,IF($H179=Instructions!$F$52,AT178+1,AT178),IF(Instructions!$E$11=12,IF($L179=Instructions!$F$52,AT178+1,AT178),IF(Instructions!$E$11=14,IF($P179=Instructions!$F$52,AT178+1,AT178),IF(Instructions!$E$11=16,IF($T179=Instructions!$F$52,AT178+1,AT178))))))</f>
        <v>14</v>
      </c>
      <c r="AU179" s="321" t="str">
        <f t="shared" si="42"/>
        <v>1114</v>
      </c>
      <c r="AV179" s="321">
        <f>IF(Instructions!$E$11=8,IF($D179=Instructions!$F$53,AV178+1,AV178),IF(Instructions!$E$11=10,IF($H179=Instructions!$F$53,AV178+1,AV178),IF(Instructions!$E$11=12,IF($L179=Instructions!$F$53,AV178+1,AV178),IF(Instructions!$E$11=14,IF($P179=Instructions!$F$53,AV178+1,AV178),IF(Instructions!$E$11=16,IF($T179=Instructions!$F$53,AV178+1,AV178))))))</f>
        <v>14</v>
      </c>
      <c r="AW179" s="321" t="str">
        <f t="shared" si="43"/>
        <v>1214</v>
      </c>
      <c r="AX179" s="321">
        <f>IF(Instructions!$E$11=8,IF($D179=Instructions!$F$54,AX178+1,AX178),IF(Instructions!$E$11=10,IF($H179=Instructions!$F$54,AX178+1,AX178),IF(Instructions!$E$11=12,IF($L179=Instructions!$F$54,AX178+1,AX178),IF(Instructions!$E$11=14,IF($P179=Instructions!$F$54,AX178+1,AX178),IF(Instructions!$E$11=16,IF($T179=Instructions!$F$54,AX178+1,AX178))))))</f>
        <v>0</v>
      </c>
      <c r="AY179" s="321" t="str">
        <f t="shared" si="44"/>
        <v>1300</v>
      </c>
      <c r="AZ179" s="321">
        <f>IF(Instructions!$E$11=8,IF($D179=Instructions!$F$55,AZ178+1,AZ178),IF(Instructions!$E$11=10,IF($H179=Instructions!$F$55,AZ178+1,AZ178),IF(Instructions!$E$11=12,IF($L179=Instructions!$F$55,AZ178+1,AZ178),IF(Instructions!$E$11=14,IF($P179=Instructions!$F$55,AZ178+1,AZ178),IF(Instructions!$E$11=16,IF($T179=Instructions!$F$55,AZ178+1,AZ178))))))</f>
        <v>0</v>
      </c>
      <c r="BA179" s="321" t="str">
        <f t="shared" si="45"/>
        <v>1400</v>
      </c>
      <c r="BB179" s="321">
        <f>IF(Instructions!$E$11=8,IF($D179=Instructions!$F$56,BB178+1,BB178),IF(Instructions!$E$11=10,IF($H179=Instructions!$F$56,BB178+1,BB178),IF(Instructions!$E$11=12,IF($L179=Instructions!$F$56,BB178+1,BB178),IF(Instructions!$E$11=14,IF($P179=Instructions!$F$56,BB178+1,BB178),IF(Instructions!$E$11=16,IF($T179=Instructions!$F$56,BB178+1,BB178))))))</f>
        <v>0</v>
      </c>
      <c r="BC179" s="321" t="str">
        <f t="shared" si="46"/>
        <v>1500</v>
      </c>
      <c r="BD179" s="321">
        <f>IF(Instructions!$E$11=8,IF($D179=Instructions!$F$57,BD178+1,BD178),IF(Instructions!$E$11=10,IF($H179=Instructions!$F$57,BD178+1,BD178),IF(Instructions!$E$11=12,IF($L179=Instructions!$F$57,BD178+1,BD178),IF(Instructions!$E$11=14,IF($P179=Instructions!$F$57,BD178+1,BD178),IF(Instructions!$E$11=16,IF($T179=Instructions!$F$57,BD178+1,BD178))))))</f>
        <v>0</v>
      </c>
      <c r="BE179" s="321" t="str">
        <f t="shared" si="47"/>
        <v>1600</v>
      </c>
      <c r="BF179" s="321">
        <v>177</v>
      </c>
    </row>
    <row r="180" spans="1:58" x14ac:dyDescent="0.25">
      <c r="A180" s="280"/>
      <c r="B180" s="323" t="str">
        <f>IF(Instructions!$J$11=1,AA180,IF(Instructions!$J$11=2,AC180,IF(Instructions!$J$11=3,AE180,IF(Instructions!$J$11=4,AG180,IF(Instructions!$J$11=5,AI180,IF(Instructions!$J$11=6,AK180,IF(Instructions!$J$11=7,AM180,IF(Instructions!$J$11=8,AO180,IF(Instructions!$J$11=9,AQ180,IF(Instructions!$J$11=10,AS180,IF(Instructions!$J$11=11,AU180,IF(Instructions!$J$11=12,AW180,IF(Instructions!$J$11=13, AY180, IF(Instructions!$J$11=14,BA180,IF(Instructions!$J$11=15,BC180,BE180)))))))))))))))</f>
        <v>215</v>
      </c>
      <c r="C180" s="272">
        <v>178</v>
      </c>
      <c r="D180" s="327" t="str">
        <f>Instructions!F$43</f>
        <v>Camden</v>
      </c>
      <c r="E180" s="332" t="s">
        <v>1513</v>
      </c>
      <c r="F180" s="706"/>
      <c r="G180" s="279">
        <v>23</v>
      </c>
      <c r="H180" s="294" t="str">
        <f>Instructions!F$44</f>
        <v>Cam</v>
      </c>
      <c r="I180" s="274" t="s">
        <v>1479</v>
      </c>
      <c r="J180" s="709"/>
      <c r="K180" s="279">
        <v>18</v>
      </c>
      <c r="L180" s="294" t="str">
        <f>Instructions!F$51</f>
        <v>Josh</v>
      </c>
      <c r="M180" s="274" t="s">
        <v>884</v>
      </c>
      <c r="N180" s="709"/>
      <c r="O180" s="279">
        <v>15</v>
      </c>
      <c r="P180" s="294" t="str">
        <f>Instructions!F$51</f>
        <v>Josh</v>
      </c>
      <c r="Q180" s="274" t="s">
        <v>860</v>
      </c>
      <c r="R180" s="709"/>
      <c r="S180" s="279">
        <v>13</v>
      </c>
      <c r="T180" s="327" t="str">
        <f>Instructions!F$56</f>
        <v>[TEAM 15]</v>
      </c>
      <c r="U180" s="274" t="s">
        <v>840</v>
      </c>
      <c r="V180" s="706"/>
      <c r="W180" s="279">
        <v>12</v>
      </c>
      <c r="X180" s="280"/>
      <c r="Y180" s="190" t="str">
        <f>IFERROR( IF(Instructions!$E$11=8, D180&amp;COUNTIF(D$3:D180,D180), IF(Instructions!$E$11=10, H180&amp;COUNTIF(H$3:H180,H180),IF(Instructions!$E$11=12, L180&amp;COUNTIF(L$3:L180,L180),IF(Instructions!$E$11=14, P180&amp;COUNTIF(P$3:P180,P180),T180&amp;COUNTIF(T$3:T180,T180))))),"")</f>
        <v>Josh15</v>
      </c>
      <c r="Z180" s="321">
        <f>IF(Instructions!$E$11=8,IF($D180=Instructions!$F$42,Z179+1,Z179),IF(Instructions!$E$11=10,IF($H180=Instructions!$F$42,Z179+1,Z179),IF(Instructions!$E$11=12,IF($L180=Instructions!$F$42,Z179+1,Z179),IF(Instructions!$E$11=14,IF($P180=Instructions!$F$42,Z179+1,Z179),IF(Instructions!$E$11=16,IF($T180=Instructions!$F$42,Z179+1,Z179))))))</f>
        <v>15</v>
      </c>
      <c r="AA180" s="321" t="str">
        <f t="shared" si="40"/>
        <v>115</v>
      </c>
      <c r="AB180" s="321">
        <f>IF(Instructions!$E$11=8,IF($D180=Instructions!$F$43,AB179+1,AB179),IF(Instructions!$E$11=10,IF($H180=Instructions!$F$43,AB179+1,AB179),IF(Instructions!$E$11=12,IF($L180=Instructions!$F$43,AB179+1,AB179),IF(Instructions!$E$11=14,IF($P180=Instructions!$F$43,AB179+1,AB179),IF(Instructions!$E$11=16,IF($T180=Instructions!$F$43,AB179+1,AB179))))))</f>
        <v>15</v>
      </c>
      <c r="AC180" s="321" t="str">
        <f t="shared" si="32"/>
        <v>215</v>
      </c>
      <c r="AD180" s="321">
        <f>IF(Instructions!$E$11=8,IF($D180=Instructions!$F$44,AD179+1,AD179),IF(Instructions!$E$11=10,IF($H180=Instructions!$F$44,AD179+1,AD179),IF(Instructions!$E$11=12,IF($L180=Instructions!$F$44,AD179+1,AD179),IF(Instructions!$E$11=14,IF($P180=Instructions!$F$44,AD179+1,AD179),IF(Instructions!$E$11=16,IF($T180=Instructions!$F$44,AD179+1,AD179))))))</f>
        <v>15</v>
      </c>
      <c r="AE180" s="321" t="str">
        <f t="shared" si="33"/>
        <v>315</v>
      </c>
      <c r="AF180" s="321">
        <f>IF(Instructions!$E$11=8,IF($D180=Instructions!$F$45,AF179+1,AF179),IF(Instructions!$E$11=10,IF($H180=Instructions!$F$45,AF179+1,AF179),IF(Instructions!$E$11=12,IF($L180=Instructions!$F$45,AF179+1,AF179),IF(Instructions!$E$11=14,IF($P180=Instructions!$F$45,AF179+1,AF179),IF(Instructions!$E$11=16,IF($T180=Instructions!$F$45,AF179+1,AF179))))))</f>
        <v>15</v>
      </c>
      <c r="AG180" s="321" t="str">
        <f t="shared" si="34"/>
        <v>415</v>
      </c>
      <c r="AH180" s="321">
        <f>IF(Instructions!$E$11=8,IF($D180=Instructions!$F$46,AH179+1,AH179),IF(Instructions!$E$11=10,IF($H180=Instructions!$F$46,AH179+1,AH179),IF(Instructions!$E$11=12,IF($L180=Instructions!$F$46,AH179+1,AH179),IF(Instructions!$E$11=14,IF($P180=Instructions!$F$46,AH179+1,AH179),IF(Instructions!$E$11=16,IF($T180=Instructions!$F$46,AH179+1,AH179))))))</f>
        <v>15</v>
      </c>
      <c r="AI180" s="321" t="str">
        <f t="shared" si="35"/>
        <v>515</v>
      </c>
      <c r="AJ180" s="321">
        <f>IF(Instructions!$E$11=8,IF($D180=Instructions!$F$47,AJ179+1,AJ179),IF(Instructions!$E$11=10,IF($H180=Instructions!$F$47,AJ179+1,AJ179),IF(Instructions!$E$11=12,IF($L180=Instructions!$F$47,AJ179+1,AJ179),IF(Instructions!$E$11=14,IF($P180=Instructions!$F$47,AJ179+1,AJ179),IF(Instructions!$E$11=16,IF($T180=Instructions!$F$47,AJ179+1,AJ179))))))</f>
        <v>15</v>
      </c>
      <c r="AK180" s="321" t="str">
        <f t="shared" si="36"/>
        <v>615</v>
      </c>
      <c r="AL180" s="321">
        <f>IF(Instructions!$E$11=8,IF($D180=Instructions!$F$48,AL179+1,AL179),IF(Instructions!$E$11=10,IF($H180=Instructions!$F$48,AL179+1,AL179),IF(Instructions!$E$11=12,IF($L180=Instructions!$F$48,AL179+1,AL179),IF(Instructions!$E$11=14,IF($P180=Instructions!$F$48,AL179+1,AL179),IF(Instructions!$E$11=16,IF($T180=Instructions!$F$48,AL179+1,AL179))))))</f>
        <v>15</v>
      </c>
      <c r="AM180" s="321" t="str">
        <f t="shared" si="37"/>
        <v>715</v>
      </c>
      <c r="AN180" s="321">
        <f>IF(Instructions!$E$11=8,IF($D180=Instructions!$F$49,AN179+1,AN179),IF(Instructions!$E$11=10,IF($H180=Instructions!$F$49,AN179+1,AN179),IF(Instructions!$E$11=12,IF($L180=Instructions!$F$49,AN179+1,AN179),IF(Instructions!$E$11=14,IF($P180=Instructions!$F$49,AN179+1,AN179),IF(Instructions!$E$11=16,IF($T180=Instructions!$F$49,AN179+1,AN179))))))</f>
        <v>15</v>
      </c>
      <c r="AO180" s="321" t="str">
        <f t="shared" si="38"/>
        <v>815</v>
      </c>
      <c r="AP180" s="321">
        <f>IF(Instructions!$E$11=8,IF($D180=Instructions!$F$50,AP179+1,AP179),IF(Instructions!$E$11=10,IF($H180=Instructions!$F$50,AP179+1,AP179),IF(Instructions!$E$11=12,IF($L180=Instructions!$F$50,AP179+1,AP179),IF(Instructions!$E$11=14,IF($P180=Instructions!$F$50,AP179+1,AP179),IF(Instructions!$E$11=16,IF($T180=Instructions!$F$50,AP179+1,AP179))))))</f>
        <v>15</v>
      </c>
      <c r="AQ180" s="321" t="str">
        <f t="shared" si="39"/>
        <v>915</v>
      </c>
      <c r="AR180" s="321">
        <f>IF(Instructions!$E$11=8,IF($D180=Instructions!$F$51,AR179+1,AR179),IF(Instructions!$E$11=10,IF($H180=Instructions!$F$51,AR179+1,AR179),IF(Instructions!$E$11=12,IF($L180=Instructions!$F$51,AR179+1,AR179),IF(Instructions!$E$11=14,IF($P180=Instructions!$F$51,AR179+1,AR179),IF(Instructions!$E$11=16,IF($T180=Instructions!$F$51,AR179+1,AR179))))))</f>
        <v>15</v>
      </c>
      <c r="AS180" s="321" t="str">
        <f t="shared" si="41"/>
        <v>1015</v>
      </c>
      <c r="AT180" s="321">
        <f>IF(Instructions!$E$11=8,IF($D180=Instructions!$F$52,AT179+1,AT179),IF(Instructions!$E$11=10,IF($H180=Instructions!$F$52,AT179+1,AT179),IF(Instructions!$E$11=12,IF($L180=Instructions!$F$52,AT179+1,AT179),IF(Instructions!$E$11=14,IF($P180=Instructions!$F$52,AT179+1,AT179),IF(Instructions!$E$11=16,IF($T180=Instructions!$F$52,AT179+1,AT179))))))</f>
        <v>14</v>
      </c>
      <c r="AU180" s="321" t="str">
        <f t="shared" si="42"/>
        <v>1114</v>
      </c>
      <c r="AV180" s="321">
        <f>IF(Instructions!$E$11=8,IF($D180=Instructions!$F$53,AV179+1,AV179),IF(Instructions!$E$11=10,IF($H180=Instructions!$F$53,AV179+1,AV179),IF(Instructions!$E$11=12,IF($L180=Instructions!$F$53,AV179+1,AV179),IF(Instructions!$E$11=14,IF($P180=Instructions!$F$53,AV179+1,AV179),IF(Instructions!$E$11=16,IF($T180=Instructions!$F$53,AV179+1,AV179))))))</f>
        <v>14</v>
      </c>
      <c r="AW180" s="321" t="str">
        <f t="shared" si="43"/>
        <v>1214</v>
      </c>
      <c r="AX180" s="321">
        <f>IF(Instructions!$E$11=8,IF($D180=Instructions!$F$54,AX179+1,AX179),IF(Instructions!$E$11=10,IF($H180=Instructions!$F$54,AX179+1,AX179),IF(Instructions!$E$11=12,IF($L180=Instructions!$F$54,AX179+1,AX179),IF(Instructions!$E$11=14,IF($P180=Instructions!$F$54,AX179+1,AX179),IF(Instructions!$E$11=16,IF($T180=Instructions!$F$54,AX179+1,AX179))))))</f>
        <v>0</v>
      </c>
      <c r="AY180" s="321" t="str">
        <f t="shared" si="44"/>
        <v>1300</v>
      </c>
      <c r="AZ180" s="321">
        <f>IF(Instructions!$E$11=8,IF($D180=Instructions!$F$55,AZ179+1,AZ179),IF(Instructions!$E$11=10,IF($H180=Instructions!$F$55,AZ179+1,AZ179),IF(Instructions!$E$11=12,IF($L180=Instructions!$F$55,AZ179+1,AZ179),IF(Instructions!$E$11=14,IF($P180=Instructions!$F$55,AZ179+1,AZ179),IF(Instructions!$E$11=16,IF($T180=Instructions!$F$55,AZ179+1,AZ179))))))</f>
        <v>0</v>
      </c>
      <c r="BA180" s="321" t="str">
        <f t="shared" si="45"/>
        <v>1400</v>
      </c>
      <c r="BB180" s="321">
        <f>IF(Instructions!$E$11=8,IF($D180=Instructions!$F$56,BB179+1,BB179),IF(Instructions!$E$11=10,IF($H180=Instructions!$F$56,BB179+1,BB179),IF(Instructions!$E$11=12,IF($L180=Instructions!$F$56,BB179+1,BB179),IF(Instructions!$E$11=14,IF($P180=Instructions!$F$56,BB179+1,BB179),IF(Instructions!$E$11=16,IF($T180=Instructions!$F$56,BB179+1,BB179))))))</f>
        <v>0</v>
      </c>
      <c r="BC180" s="321" t="str">
        <f t="shared" si="46"/>
        <v>1500</v>
      </c>
      <c r="BD180" s="321">
        <f>IF(Instructions!$E$11=8,IF($D180=Instructions!$F$57,BD179+1,BD179),IF(Instructions!$E$11=10,IF($H180=Instructions!$F$57,BD179+1,BD179),IF(Instructions!$E$11=12,IF($L180=Instructions!$F$57,BD179+1,BD179),IF(Instructions!$E$11=14,IF($P180=Instructions!$F$57,BD179+1,BD179),IF(Instructions!$E$11=16,IF($T180=Instructions!$F$57,BD179+1,BD179))))))</f>
        <v>0</v>
      </c>
      <c r="BE180" s="321" t="str">
        <f t="shared" si="47"/>
        <v>1600</v>
      </c>
      <c r="BF180" s="321">
        <v>178</v>
      </c>
    </row>
    <row r="181" spans="1:58" x14ac:dyDescent="0.25">
      <c r="A181" s="280"/>
      <c r="B181" s="323" t="str">
        <f>IF(Instructions!$J$11=1,AA181,IF(Instructions!$J$11=2,AC181,IF(Instructions!$J$11=3,AE181,IF(Instructions!$J$11=4,AG181,IF(Instructions!$J$11=5,AI181,IF(Instructions!$J$11=6,AK181,IF(Instructions!$J$11=7,AM181,IF(Instructions!$J$11=8,AO181,IF(Instructions!$J$11=9,AQ181,IF(Instructions!$J$11=10,AS181,IF(Instructions!$J$11=11,AU181,IF(Instructions!$J$11=12,AW181,IF(Instructions!$J$11=13, AY181, IF(Instructions!$J$11=14,BA181,IF(Instructions!$J$11=15,BC181,BE181)))))))))))))))</f>
        <v>215</v>
      </c>
      <c r="C181" s="271">
        <v>179</v>
      </c>
      <c r="D181" s="328" t="str">
        <f>Instructions!F$44</f>
        <v>Cam</v>
      </c>
      <c r="E181" s="333" t="s">
        <v>1514</v>
      </c>
      <c r="F181" s="706"/>
      <c r="G181" s="279">
        <v>23</v>
      </c>
      <c r="H181" s="293" t="str">
        <f>Instructions!F$43</f>
        <v>Camden</v>
      </c>
      <c r="I181" s="273" t="s">
        <v>1538</v>
      </c>
      <c r="J181" s="709"/>
      <c r="K181" s="279">
        <v>18</v>
      </c>
      <c r="L181" s="293" t="str">
        <f>Instructions!F$52</f>
        <v>Big R</v>
      </c>
      <c r="M181" s="273" t="s">
        <v>885</v>
      </c>
      <c r="N181" s="709"/>
      <c r="O181" s="279">
        <v>15</v>
      </c>
      <c r="P181" s="293" t="str">
        <f>Instructions!F$52</f>
        <v>Big R</v>
      </c>
      <c r="Q181" s="273" t="s">
        <v>861</v>
      </c>
      <c r="R181" s="709"/>
      <c r="S181" s="279">
        <v>13</v>
      </c>
      <c r="T181" s="328" t="str">
        <f>Instructions!F$55</f>
        <v>[TEAM 14]</v>
      </c>
      <c r="U181" s="273" t="s">
        <v>841</v>
      </c>
      <c r="V181" s="706"/>
      <c r="W181" s="279">
        <v>12</v>
      </c>
      <c r="X181" s="280"/>
      <c r="Y181" s="190" t="str">
        <f>IFERROR( IF(Instructions!$E$11=8, D181&amp;COUNTIF(D$3:D181,D181), IF(Instructions!$E$11=10, H181&amp;COUNTIF(H$3:H181,H181),IF(Instructions!$E$11=12, L181&amp;COUNTIF(L$3:L181,L181),IF(Instructions!$E$11=14, P181&amp;COUNTIF(P$3:P181,P181),T181&amp;COUNTIF(T$3:T181,T181))))),"")</f>
        <v>Big R15</v>
      </c>
      <c r="Z181" s="321">
        <f>IF(Instructions!$E$11=8,IF($D181=Instructions!$F$42,Z180+1,Z180),IF(Instructions!$E$11=10,IF($H181=Instructions!$F$42,Z180+1,Z180),IF(Instructions!$E$11=12,IF($L181=Instructions!$F$42,Z180+1,Z180),IF(Instructions!$E$11=14,IF($P181=Instructions!$F$42,Z180+1,Z180),IF(Instructions!$E$11=16,IF($T181=Instructions!$F$42,Z180+1,Z180))))))</f>
        <v>15</v>
      </c>
      <c r="AA181" s="321" t="str">
        <f t="shared" si="40"/>
        <v>115</v>
      </c>
      <c r="AB181" s="321">
        <f>IF(Instructions!$E$11=8,IF($D181=Instructions!$F$43,AB180+1,AB180),IF(Instructions!$E$11=10,IF($H181=Instructions!$F$43,AB180+1,AB180),IF(Instructions!$E$11=12,IF($L181=Instructions!$F$43,AB180+1,AB180),IF(Instructions!$E$11=14,IF($P181=Instructions!$F$43,AB180+1,AB180),IF(Instructions!$E$11=16,IF($T181=Instructions!$F$43,AB180+1,AB180))))))</f>
        <v>15</v>
      </c>
      <c r="AC181" s="321" t="str">
        <f t="shared" si="32"/>
        <v>215</v>
      </c>
      <c r="AD181" s="321">
        <f>IF(Instructions!$E$11=8,IF($D181=Instructions!$F$44,AD180+1,AD180),IF(Instructions!$E$11=10,IF($H181=Instructions!$F$44,AD180+1,AD180),IF(Instructions!$E$11=12,IF($L181=Instructions!$F$44,AD180+1,AD180),IF(Instructions!$E$11=14,IF($P181=Instructions!$F$44,AD180+1,AD180),IF(Instructions!$E$11=16,IF($T181=Instructions!$F$44,AD180+1,AD180))))))</f>
        <v>15</v>
      </c>
      <c r="AE181" s="321" t="str">
        <f t="shared" si="33"/>
        <v>315</v>
      </c>
      <c r="AF181" s="321">
        <f>IF(Instructions!$E$11=8,IF($D181=Instructions!$F$45,AF180+1,AF180),IF(Instructions!$E$11=10,IF($H181=Instructions!$F$45,AF180+1,AF180),IF(Instructions!$E$11=12,IF($L181=Instructions!$F$45,AF180+1,AF180),IF(Instructions!$E$11=14,IF($P181=Instructions!$F$45,AF180+1,AF180),IF(Instructions!$E$11=16,IF($T181=Instructions!$F$45,AF180+1,AF180))))))</f>
        <v>15</v>
      </c>
      <c r="AG181" s="321" t="str">
        <f t="shared" si="34"/>
        <v>415</v>
      </c>
      <c r="AH181" s="321">
        <f>IF(Instructions!$E$11=8,IF($D181=Instructions!$F$46,AH180+1,AH180),IF(Instructions!$E$11=10,IF($H181=Instructions!$F$46,AH180+1,AH180),IF(Instructions!$E$11=12,IF($L181=Instructions!$F$46,AH180+1,AH180),IF(Instructions!$E$11=14,IF($P181=Instructions!$F$46,AH180+1,AH180),IF(Instructions!$E$11=16,IF($T181=Instructions!$F$46,AH180+1,AH180))))))</f>
        <v>15</v>
      </c>
      <c r="AI181" s="321" t="str">
        <f t="shared" si="35"/>
        <v>515</v>
      </c>
      <c r="AJ181" s="321">
        <f>IF(Instructions!$E$11=8,IF($D181=Instructions!$F$47,AJ180+1,AJ180),IF(Instructions!$E$11=10,IF($H181=Instructions!$F$47,AJ180+1,AJ180),IF(Instructions!$E$11=12,IF($L181=Instructions!$F$47,AJ180+1,AJ180),IF(Instructions!$E$11=14,IF($P181=Instructions!$F$47,AJ180+1,AJ180),IF(Instructions!$E$11=16,IF($T181=Instructions!$F$47,AJ180+1,AJ180))))))</f>
        <v>15</v>
      </c>
      <c r="AK181" s="321" t="str">
        <f t="shared" si="36"/>
        <v>615</v>
      </c>
      <c r="AL181" s="321">
        <f>IF(Instructions!$E$11=8,IF($D181=Instructions!$F$48,AL180+1,AL180),IF(Instructions!$E$11=10,IF($H181=Instructions!$F$48,AL180+1,AL180),IF(Instructions!$E$11=12,IF($L181=Instructions!$F$48,AL180+1,AL180),IF(Instructions!$E$11=14,IF($P181=Instructions!$F$48,AL180+1,AL180),IF(Instructions!$E$11=16,IF($T181=Instructions!$F$48,AL180+1,AL180))))))</f>
        <v>15</v>
      </c>
      <c r="AM181" s="321" t="str">
        <f t="shared" si="37"/>
        <v>715</v>
      </c>
      <c r="AN181" s="321">
        <f>IF(Instructions!$E$11=8,IF($D181=Instructions!$F$49,AN180+1,AN180),IF(Instructions!$E$11=10,IF($H181=Instructions!$F$49,AN180+1,AN180),IF(Instructions!$E$11=12,IF($L181=Instructions!$F$49,AN180+1,AN180),IF(Instructions!$E$11=14,IF($P181=Instructions!$F$49,AN180+1,AN180),IF(Instructions!$E$11=16,IF($T181=Instructions!$F$49,AN180+1,AN180))))))</f>
        <v>15</v>
      </c>
      <c r="AO181" s="321" t="str">
        <f t="shared" si="38"/>
        <v>815</v>
      </c>
      <c r="AP181" s="321">
        <f>IF(Instructions!$E$11=8,IF($D181=Instructions!$F$50,AP180+1,AP180),IF(Instructions!$E$11=10,IF($H181=Instructions!$F$50,AP180+1,AP180),IF(Instructions!$E$11=12,IF($L181=Instructions!$F$50,AP180+1,AP180),IF(Instructions!$E$11=14,IF($P181=Instructions!$F$50,AP180+1,AP180),IF(Instructions!$E$11=16,IF($T181=Instructions!$F$50,AP180+1,AP180))))))</f>
        <v>15</v>
      </c>
      <c r="AQ181" s="321" t="str">
        <f t="shared" si="39"/>
        <v>915</v>
      </c>
      <c r="AR181" s="321">
        <f>IF(Instructions!$E$11=8,IF($D181=Instructions!$F$51,AR180+1,AR180),IF(Instructions!$E$11=10,IF($H181=Instructions!$F$51,AR180+1,AR180),IF(Instructions!$E$11=12,IF($L181=Instructions!$F$51,AR180+1,AR180),IF(Instructions!$E$11=14,IF($P181=Instructions!$F$51,AR180+1,AR180),IF(Instructions!$E$11=16,IF($T181=Instructions!$F$51,AR180+1,AR180))))))</f>
        <v>15</v>
      </c>
      <c r="AS181" s="321" t="str">
        <f t="shared" si="41"/>
        <v>1015</v>
      </c>
      <c r="AT181" s="321">
        <f>IF(Instructions!$E$11=8,IF($D181=Instructions!$F$52,AT180+1,AT180),IF(Instructions!$E$11=10,IF($H181=Instructions!$F$52,AT180+1,AT180),IF(Instructions!$E$11=12,IF($L181=Instructions!$F$52,AT180+1,AT180),IF(Instructions!$E$11=14,IF($P181=Instructions!$F$52,AT180+1,AT180),IF(Instructions!$E$11=16,IF($T181=Instructions!$F$52,AT180+1,AT180))))))</f>
        <v>15</v>
      </c>
      <c r="AU181" s="321" t="str">
        <f t="shared" si="42"/>
        <v>1115</v>
      </c>
      <c r="AV181" s="321">
        <f>IF(Instructions!$E$11=8,IF($D181=Instructions!$F$53,AV180+1,AV180),IF(Instructions!$E$11=10,IF($H181=Instructions!$F$53,AV180+1,AV180),IF(Instructions!$E$11=12,IF($L181=Instructions!$F$53,AV180+1,AV180),IF(Instructions!$E$11=14,IF($P181=Instructions!$F$53,AV180+1,AV180),IF(Instructions!$E$11=16,IF($T181=Instructions!$F$53,AV180+1,AV180))))))</f>
        <v>14</v>
      </c>
      <c r="AW181" s="321" t="str">
        <f t="shared" si="43"/>
        <v>1214</v>
      </c>
      <c r="AX181" s="321">
        <f>IF(Instructions!$E$11=8,IF($D181=Instructions!$F$54,AX180+1,AX180),IF(Instructions!$E$11=10,IF($H181=Instructions!$F$54,AX180+1,AX180),IF(Instructions!$E$11=12,IF($L181=Instructions!$F$54,AX180+1,AX180),IF(Instructions!$E$11=14,IF($P181=Instructions!$F$54,AX180+1,AX180),IF(Instructions!$E$11=16,IF($T181=Instructions!$F$54,AX180+1,AX180))))))</f>
        <v>0</v>
      </c>
      <c r="AY181" s="321" t="str">
        <f t="shared" si="44"/>
        <v>1300</v>
      </c>
      <c r="AZ181" s="321">
        <f>IF(Instructions!$E$11=8,IF($D181=Instructions!$F$55,AZ180+1,AZ180),IF(Instructions!$E$11=10,IF($H181=Instructions!$F$55,AZ180+1,AZ180),IF(Instructions!$E$11=12,IF($L181=Instructions!$F$55,AZ180+1,AZ180),IF(Instructions!$E$11=14,IF($P181=Instructions!$F$55,AZ180+1,AZ180),IF(Instructions!$E$11=16,IF($T181=Instructions!$F$55,AZ180+1,AZ180))))))</f>
        <v>0</v>
      </c>
      <c r="BA181" s="321" t="str">
        <f t="shared" si="45"/>
        <v>1400</v>
      </c>
      <c r="BB181" s="321">
        <f>IF(Instructions!$E$11=8,IF($D181=Instructions!$F$56,BB180+1,BB180),IF(Instructions!$E$11=10,IF($H181=Instructions!$F$56,BB180+1,BB180),IF(Instructions!$E$11=12,IF($L181=Instructions!$F$56,BB180+1,BB180),IF(Instructions!$E$11=14,IF($P181=Instructions!$F$56,BB180+1,BB180),IF(Instructions!$E$11=16,IF($T181=Instructions!$F$56,BB180+1,BB180))))))</f>
        <v>0</v>
      </c>
      <c r="BC181" s="321" t="str">
        <f t="shared" si="46"/>
        <v>1500</v>
      </c>
      <c r="BD181" s="321">
        <f>IF(Instructions!$E$11=8,IF($D181=Instructions!$F$57,BD180+1,BD180),IF(Instructions!$E$11=10,IF($H181=Instructions!$F$57,BD180+1,BD180),IF(Instructions!$E$11=12,IF($L181=Instructions!$F$57,BD180+1,BD180),IF(Instructions!$E$11=14,IF($P181=Instructions!$F$57,BD180+1,BD180),IF(Instructions!$E$11=16,IF($T181=Instructions!$F$57,BD180+1,BD180))))))</f>
        <v>0</v>
      </c>
      <c r="BE181" s="321" t="str">
        <f t="shared" si="47"/>
        <v>1600</v>
      </c>
      <c r="BF181" s="321">
        <v>179</v>
      </c>
    </row>
    <row r="182" spans="1:58" ht="15.75" thickBot="1" x14ac:dyDescent="0.3">
      <c r="A182" s="280"/>
      <c r="B182" s="323" t="str">
        <f>IF(Instructions!$J$11=1,AA182,IF(Instructions!$J$11=2,AC182,IF(Instructions!$J$11=3,AE182,IF(Instructions!$J$11=4,AG182,IF(Instructions!$J$11=5,AI182,IF(Instructions!$J$11=6,AK182,IF(Instructions!$J$11=7,AM182,IF(Instructions!$J$11=8,AO182,IF(Instructions!$J$11=9,AQ182,IF(Instructions!$J$11=10,AS182,IF(Instructions!$J$11=11,AU182,IF(Instructions!$J$11=12,AW182,IF(Instructions!$J$11=13, AY182, IF(Instructions!$J$11=14,BA182,IF(Instructions!$J$11=15,BC182,BE182)))))))))))))))</f>
        <v>215</v>
      </c>
      <c r="C182" s="272">
        <v>180</v>
      </c>
      <c r="D182" s="327" t="str">
        <f>Instructions!F$45</f>
        <v>Miles</v>
      </c>
      <c r="E182" s="332" t="s">
        <v>1515</v>
      </c>
      <c r="F182" s="706"/>
      <c r="G182" s="279">
        <v>23</v>
      </c>
      <c r="H182" s="295" t="str">
        <f>Instructions!F$42</f>
        <v>Trumbo</v>
      </c>
      <c r="I182" s="277" t="s">
        <v>1539</v>
      </c>
      <c r="J182" s="710"/>
      <c r="K182" s="279">
        <v>18</v>
      </c>
      <c r="L182" s="295" t="str">
        <f>Instructions!F$53</f>
        <v>Zack</v>
      </c>
      <c r="M182" s="277" t="s">
        <v>886</v>
      </c>
      <c r="N182" s="710"/>
      <c r="O182" s="279">
        <v>15</v>
      </c>
      <c r="P182" s="294" t="str">
        <f>Instructions!F$53</f>
        <v>Zack</v>
      </c>
      <c r="Q182" s="274" t="s">
        <v>862</v>
      </c>
      <c r="R182" s="709"/>
      <c r="S182" s="279">
        <v>13</v>
      </c>
      <c r="T182" s="327" t="str">
        <f>Instructions!F$54</f>
        <v>[TEAM 13]</v>
      </c>
      <c r="U182" s="274" t="s">
        <v>842</v>
      </c>
      <c r="V182" s="706"/>
      <c r="W182" s="279">
        <v>12</v>
      </c>
      <c r="X182" s="280"/>
      <c r="Y182" s="190" t="str">
        <f>IFERROR( IF(Instructions!$E$11=8, D182&amp;COUNTIF(D$3:D182,D182), IF(Instructions!$E$11=10, H182&amp;COUNTIF(H$3:H182,H182),IF(Instructions!$E$11=12, L182&amp;COUNTIF(L$3:L182,L182),IF(Instructions!$E$11=14, P182&amp;COUNTIF(P$3:P182,P182),T182&amp;COUNTIF(T$3:T182,T182))))),"")</f>
        <v>Zack15</v>
      </c>
      <c r="Z182" s="321">
        <f>IF(Instructions!$E$11=8,IF($D182=Instructions!$F$42,Z181+1,Z181),IF(Instructions!$E$11=10,IF($H182=Instructions!$F$42,Z181+1,Z181),IF(Instructions!$E$11=12,IF($L182=Instructions!$F$42,Z181+1,Z181),IF(Instructions!$E$11=14,IF($P182=Instructions!$F$42,Z181+1,Z181),IF(Instructions!$E$11=16,IF($T182=Instructions!$F$42,Z181+1,Z181))))))</f>
        <v>15</v>
      </c>
      <c r="AA182" s="321" t="str">
        <f t="shared" si="40"/>
        <v>115</v>
      </c>
      <c r="AB182" s="321">
        <f>IF(Instructions!$E$11=8,IF($D182=Instructions!$F$43,AB181+1,AB181),IF(Instructions!$E$11=10,IF($H182=Instructions!$F$43,AB181+1,AB181),IF(Instructions!$E$11=12,IF($L182=Instructions!$F$43,AB181+1,AB181),IF(Instructions!$E$11=14,IF($P182=Instructions!$F$43,AB181+1,AB181),IF(Instructions!$E$11=16,IF($T182=Instructions!$F$43,AB181+1,AB181))))))</f>
        <v>15</v>
      </c>
      <c r="AC182" s="321" t="str">
        <f t="shared" si="32"/>
        <v>215</v>
      </c>
      <c r="AD182" s="321">
        <f>IF(Instructions!$E$11=8,IF($D182=Instructions!$F$44,AD181+1,AD181),IF(Instructions!$E$11=10,IF($H182=Instructions!$F$44,AD181+1,AD181),IF(Instructions!$E$11=12,IF($L182=Instructions!$F$44,AD181+1,AD181),IF(Instructions!$E$11=14,IF($P182=Instructions!$F$44,AD181+1,AD181),IF(Instructions!$E$11=16,IF($T182=Instructions!$F$44,AD181+1,AD181))))))</f>
        <v>15</v>
      </c>
      <c r="AE182" s="321" t="str">
        <f t="shared" si="33"/>
        <v>315</v>
      </c>
      <c r="AF182" s="321">
        <f>IF(Instructions!$E$11=8,IF($D182=Instructions!$F$45,AF181+1,AF181),IF(Instructions!$E$11=10,IF($H182=Instructions!$F$45,AF181+1,AF181),IF(Instructions!$E$11=12,IF($L182=Instructions!$F$45,AF181+1,AF181),IF(Instructions!$E$11=14,IF($P182=Instructions!$F$45,AF181+1,AF181),IF(Instructions!$E$11=16,IF($T182=Instructions!$F$45,AF181+1,AF181))))))</f>
        <v>15</v>
      </c>
      <c r="AG182" s="321" t="str">
        <f t="shared" si="34"/>
        <v>415</v>
      </c>
      <c r="AH182" s="321">
        <f>IF(Instructions!$E$11=8,IF($D182=Instructions!$F$46,AH181+1,AH181),IF(Instructions!$E$11=10,IF($H182=Instructions!$F$46,AH181+1,AH181),IF(Instructions!$E$11=12,IF($L182=Instructions!$F$46,AH181+1,AH181),IF(Instructions!$E$11=14,IF($P182=Instructions!$F$46,AH181+1,AH181),IF(Instructions!$E$11=16,IF($T182=Instructions!$F$46,AH181+1,AH181))))))</f>
        <v>15</v>
      </c>
      <c r="AI182" s="321" t="str">
        <f t="shared" si="35"/>
        <v>515</v>
      </c>
      <c r="AJ182" s="321">
        <f>IF(Instructions!$E$11=8,IF($D182=Instructions!$F$47,AJ181+1,AJ181),IF(Instructions!$E$11=10,IF($H182=Instructions!$F$47,AJ181+1,AJ181),IF(Instructions!$E$11=12,IF($L182=Instructions!$F$47,AJ181+1,AJ181),IF(Instructions!$E$11=14,IF($P182=Instructions!$F$47,AJ181+1,AJ181),IF(Instructions!$E$11=16,IF($T182=Instructions!$F$47,AJ181+1,AJ181))))))</f>
        <v>15</v>
      </c>
      <c r="AK182" s="321" t="str">
        <f t="shared" si="36"/>
        <v>615</v>
      </c>
      <c r="AL182" s="321">
        <f>IF(Instructions!$E$11=8,IF($D182=Instructions!$F$48,AL181+1,AL181),IF(Instructions!$E$11=10,IF($H182=Instructions!$F$48,AL181+1,AL181),IF(Instructions!$E$11=12,IF($L182=Instructions!$F$48,AL181+1,AL181),IF(Instructions!$E$11=14,IF($P182=Instructions!$F$48,AL181+1,AL181),IF(Instructions!$E$11=16,IF($T182=Instructions!$F$48,AL181+1,AL181))))))</f>
        <v>15</v>
      </c>
      <c r="AM182" s="321" t="str">
        <f t="shared" si="37"/>
        <v>715</v>
      </c>
      <c r="AN182" s="321">
        <f>IF(Instructions!$E$11=8,IF($D182=Instructions!$F$49,AN181+1,AN181),IF(Instructions!$E$11=10,IF($H182=Instructions!$F$49,AN181+1,AN181),IF(Instructions!$E$11=12,IF($L182=Instructions!$F$49,AN181+1,AN181),IF(Instructions!$E$11=14,IF($P182=Instructions!$F$49,AN181+1,AN181),IF(Instructions!$E$11=16,IF($T182=Instructions!$F$49,AN181+1,AN181))))))</f>
        <v>15</v>
      </c>
      <c r="AO182" s="321" t="str">
        <f t="shared" si="38"/>
        <v>815</v>
      </c>
      <c r="AP182" s="321">
        <f>IF(Instructions!$E$11=8,IF($D182=Instructions!$F$50,AP181+1,AP181),IF(Instructions!$E$11=10,IF($H182=Instructions!$F$50,AP181+1,AP181),IF(Instructions!$E$11=12,IF($L182=Instructions!$F$50,AP181+1,AP181),IF(Instructions!$E$11=14,IF($P182=Instructions!$F$50,AP181+1,AP181),IF(Instructions!$E$11=16,IF($T182=Instructions!$F$50,AP181+1,AP181))))))</f>
        <v>15</v>
      </c>
      <c r="AQ182" s="321" t="str">
        <f t="shared" si="39"/>
        <v>915</v>
      </c>
      <c r="AR182" s="321">
        <f>IF(Instructions!$E$11=8,IF($D182=Instructions!$F$51,AR181+1,AR181),IF(Instructions!$E$11=10,IF($H182=Instructions!$F$51,AR181+1,AR181),IF(Instructions!$E$11=12,IF($L182=Instructions!$F$51,AR181+1,AR181),IF(Instructions!$E$11=14,IF($P182=Instructions!$F$51,AR181+1,AR181),IF(Instructions!$E$11=16,IF($T182=Instructions!$F$51,AR181+1,AR181))))))</f>
        <v>15</v>
      </c>
      <c r="AS182" s="321" t="str">
        <f t="shared" si="41"/>
        <v>1015</v>
      </c>
      <c r="AT182" s="321">
        <f>IF(Instructions!$E$11=8,IF($D182=Instructions!$F$52,AT181+1,AT181),IF(Instructions!$E$11=10,IF($H182=Instructions!$F$52,AT181+1,AT181),IF(Instructions!$E$11=12,IF($L182=Instructions!$F$52,AT181+1,AT181),IF(Instructions!$E$11=14,IF($P182=Instructions!$F$52,AT181+1,AT181),IF(Instructions!$E$11=16,IF($T182=Instructions!$F$52,AT181+1,AT181))))))</f>
        <v>15</v>
      </c>
      <c r="AU182" s="321" t="str">
        <f t="shared" si="42"/>
        <v>1115</v>
      </c>
      <c r="AV182" s="321">
        <f>IF(Instructions!$E$11=8,IF($D182=Instructions!$F$53,AV181+1,AV181),IF(Instructions!$E$11=10,IF($H182=Instructions!$F$53,AV181+1,AV181),IF(Instructions!$E$11=12,IF($L182=Instructions!$F$53,AV181+1,AV181),IF(Instructions!$E$11=14,IF($P182=Instructions!$F$53,AV181+1,AV181),IF(Instructions!$E$11=16,IF($T182=Instructions!$F$53,AV181+1,AV181))))))</f>
        <v>15</v>
      </c>
      <c r="AW182" s="321" t="str">
        <f t="shared" si="43"/>
        <v>1215</v>
      </c>
      <c r="AX182" s="321">
        <f>IF(Instructions!$E$11=8,IF($D182=Instructions!$F$54,AX181+1,AX181),IF(Instructions!$E$11=10,IF($H182=Instructions!$F$54,AX181+1,AX181),IF(Instructions!$E$11=12,IF($L182=Instructions!$F$54,AX181+1,AX181),IF(Instructions!$E$11=14,IF($P182=Instructions!$F$54,AX181+1,AX181),IF(Instructions!$E$11=16,IF($T182=Instructions!$F$54,AX181+1,AX181))))))</f>
        <v>0</v>
      </c>
      <c r="AY182" s="321" t="str">
        <f t="shared" si="44"/>
        <v>1300</v>
      </c>
      <c r="AZ182" s="321">
        <f>IF(Instructions!$E$11=8,IF($D182=Instructions!$F$55,AZ181+1,AZ181),IF(Instructions!$E$11=10,IF($H182=Instructions!$F$55,AZ181+1,AZ181),IF(Instructions!$E$11=12,IF($L182=Instructions!$F$55,AZ181+1,AZ181),IF(Instructions!$E$11=14,IF($P182=Instructions!$F$55,AZ181+1,AZ181),IF(Instructions!$E$11=16,IF($T182=Instructions!$F$55,AZ181+1,AZ181))))))</f>
        <v>0</v>
      </c>
      <c r="BA182" s="321" t="str">
        <f t="shared" si="45"/>
        <v>1400</v>
      </c>
      <c r="BB182" s="321">
        <f>IF(Instructions!$E$11=8,IF($D182=Instructions!$F$56,BB181+1,BB181),IF(Instructions!$E$11=10,IF($H182=Instructions!$F$56,BB181+1,BB181),IF(Instructions!$E$11=12,IF($L182=Instructions!$F$56,BB181+1,BB181),IF(Instructions!$E$11=14,IF($P182=Instructions!$F$56,BB181+1,BB181),IF(Instructions!$E$11=16,IF($T182=Instructions!$F$56,BB181+1,BB181))))))</f>
        <v>0</v>
      </c>
      <c r="BC182" s="321" t="str">
        <f t="shared" si="46"/>
        <v>1500</v>
      </c>
      <c r="BD182" s="321">
        <f>IF(Instructions!$E$11=8,IF($D182=Instructions!$F$57,BD181+1,BD181),IF(Instructions!$E$11=10,IF($H182=Instructions!$F$57,BD181+1,BD181),IF(Instructions!$E$11=12,IF($L182=Instructions!$F$57,BD181+1,BD181),IF(Instructions!$E$11=14,IF($P182=Instructions!$F$57,BD181+1,BD181),IF(Instructions!$E$11=16,IF($T182=Instructions!$F$57,BD181+1,BD181))))))</f>
        <v>0</v>
      </c>
      <c r="BE182" s="321" t="str">
        <f t="shared" si="47"/>
        <v>1600</v>
      </c>
      <c r="BF182" s="321">
        <v>180</v>
      </c>
    </row>
    <row r="183" spans="1:58" ht="15" customHeight="1" x14ac:dyDescent="0.25">
      <c r="A183" s="280"/>
      <c r="B183" s="323" t="str">
        <f>IF(Instructions!$J$11=1,AA183,IF(Instructions!$J$11=2,AC183,IF(Instructions!$J$11=3,AE183,IF(Instructions!$J$11=4,AG183,IF(Instructions!$J$11=5,AI183,IF(Instructions!$J$11=6,AK183,IF(Instructions!$J$11=7,AM183,IF(Instructions!$J$11=8,AO183,IF(Instructions!$J$11=9,AQ183,IF(Instructions!$J$11=10,AS183,IF(Instructions!$J$11=11,AU183,IF(Instructions!$J$11=12,AW183,IF(Instructions!$J$11=13, AY183, IF(Instructions!$J$11=14,BA183,IF(Instructions!$J$11=15,BC183,BE183)))))))))))))))</f>
        <v>215</v>
      </c>
      <c r="C183" s="271">
        <v>181</v>
      </c>
      <c r="D183" s="328" t="str">
        <f>Instructions!F$46</f>
        <v>Con</v>
      </c>
      <c r="E183" s="333" t="s">
        <v>1516</v>
      </c>
      <c r="F183" s="706"/>
      <c r="G183" s="279">
        <v>23</v>
      </c>
      <c r="H183" s="292" t="str">
        <f>Instructions!F$42</f>
        <v>Trumbo</v>
      </c>
      <c r="I183" s="276" t="s">
        <v>1480</v>
      </c>
      <c r="J183" s="708" t="s">
        <v>1457</v>
      </c>
      <c r="K183" s="279">
        <v>19</v>
      </c>
      <c r="L183" s="292" t="str">
        <f>Instructions!F$53</f>
        <v>Zack</v>
      </c>
      <c r="M183" s="276" t="s">
        <v>1087</v>
      </c>
      <c r="N183" s="708" t="s">
        <v>1086</v>
      </c>
      <c r="O183" s="279">
        <v>16</v>
      </c>
      <c r="P183" s="293" t="str">
        <f>Instructions!F$54</f>
        <v>[TEAM 13]</v>
      </c>
      <c r="Q183" s="273" t="s">
        <v>952</v>
      </c>
      <c r="R183" s="709"/>
      <c r="S183" s="279">
        <v>13</v>
      </c>
      <c r="T183" s="328" t="str">
        <f>Instructions!F$53</f>
        <v>Zack</v>
      </c>
      <c r="U183" s="273" t="s">
        <v>843</v>
      </c>
      <c r="V183" s="706"/>
      <c r="W183" s="279">
        <v>12</v>
      </c>
      <c r="X183" s="280"/>
      <c r="Y183" s="190" t="str">
        <f>IFERROR( IF(Instructions!$E$11=8, D183&amp;COUNTIF(D$3:D183,D183), IF(Instructions!$E$11=10, H183&amp;COUNTIF(H$3:H183,H183),IF(Instructions!$E$11=12, L183&amp;COUNTIF(L$3:L183,L183),IF(Instructions!$E$11=14, P183&amp;COUNTIF(P$3:P183,P183),T183&amp;COUNTIF(T$3:T183,T183))))),"")</f>
        <v>Zack16</v>
      </c>
      <c r="Z183" s="321">
        <f>IF(Instructions!$E$11=8,IF($D183=Instructions!$F$42,Z182+1,Z182),IF(Instructions!$E$11=10,IF($H183=Instructions!$F$42,Z182+1,Z182),IF(Instructions!$E$11=12,IF($L183=Instructions!$F$42,Z182+1,Z182),IF(Instructions!$E$11=14,IF($P183=Instructions!$F$42,Z182+1,Z182),IF(Instructions!$E$11=16,IF($T183=Instructions!$F$42,Z182+1,Z182))))))</f>
        <v>15</v>
      </c>
      <c r="AA183" s="321" t="str">
        <f t="shared" si="40"/>
        <v>115</v>
      </c>
      <c r="AB183" s="321">
        <f>IF(Instructions!$E$11=8,IF($D183=Instructions!$F$43,AB182+1,AB182),IF(Instructions!$E$11=10,IF($H183=Instructions!$F$43,AB182+1,AB182),IF(Instructions!$E$11=12,IF($L183=Instructions!$F$43,AB182+1,AB182),IF(Instructions!$E$11=14,IF($P183=Instructions!$F$43,AB182+1,AB182),IF(Instructions!$E$11=16,IF($T183=Instructions!$F$43,AB182+1,AB182))))))</f>
        <v>15</v>
      </c>
      <c r="AC183" s="321" t="str">
        <f t="shared" si="32"/>
        <v>215</v>
      </c>
      <c r="AD183" s="321">
        <f>IF(Instructions!$E$11=8,IF($D183=Instructions!$F$44,AD182+1,AD182),IF(Instructions!$E$11=10,IF($H183=Instructions!$F$44,AD182+1,AD182),IF(Instructions!$E$11=12,IF($L183=Instructions!$F$44,AD182+1,AD182),IF(Instructions!$E$11=14,IF($P183=Instructions!$F$44,AD182+1,AD182),IF(Instructions!$E$11=16,IF($T183=Instructions!$F$44,AD182+1,AD182))))))</f>
        <v>15</v>
      </c>
      <c r="AE183" s="321" t="str">
        <f t="shared" si="33"/>
        <v>315</v>
      </c>
      <c r="AF183" s="321">
        <f>IF(Instructions!$E$11=8,IF($D183=Instructions!$F$45,AF182+1,AF182),IF(Instructions!$E$11=10,IF($H183=Instructions!$F$45,AF182+1,AF182),IF(Instructions!$E$11=12,IF($L183=Instructions!$F$45,AF182+1,AF182),IF(Instructions!$E$11=14,IF($P183=Instructions!$F$45,AF182+1,AF182),IF(Instructions!$E$11=16,IF($T183=Instructions!$F$45,AF182+1,AF182))))))</f>
        <v>15</v>
      </c>
      <c r="AG183" s="321" t="str">
        <f t="shared" si="34"/>
        <v>415</v>
      </c>
      <c r="AH183" s="321">
        <f>IF(Instructions!$E$11=8,IF($D183=Instructions!$F$46,AH182+1,AH182),IF(Instructions!$E$11=10,IF($H183=Instructions!$F$46,AH182+1,AH182),IF(Instructions!$E$11=12,IF($L183=Instructions!$F$46,AH182+1,AH182),IF(Instructions!$E$11=14,IF($P183=Instructions!$F$46,AH182+1,AH182),IF(Instructions!$E$11=16,IF($T183=Instructions!$F$46,AH182+1,AH182))))))</f>
        <v>15</v>
      </c>
      <c r="AI183" s="321" t="str">
        <f t="shared" si="35"/>
        <v>515</v>
      </c>
      <c r="AJ183" s="321">
        <f>IF(Instructions!$E$11=8,IF($D183=Instructions!$F$47,AJ182+1,AJ182),IF(Instructions!$E$11=10,IF($H183=Instructions!$F$47,AJ182+1,AJ182),IF(Instructions!$E$11=12,IF($L183=Instructions!$F$47,AJ182+1,AJ182),IF(Instructions!$E$11=14,IF($P183=Instructions!$F$47,AJ182+1,AJ182),IF(Instructions!$E$11=16,IF($T183=Instructions!$F$47,AJ182+1,AJ182))))))</f>
        <v>15</v>
      </c>
      <c r="AK183" s="321" t="str">
        <f t="shared" si="36"/>
        <v>615</v>
      </c>
      <c r="AL183" s="321">
        <f>IF(Instructions!$E$11=8,IF($D183=Instructions!$F$48,AL182+1,AL182),IF(Instructions!$E$11=10,IF($H183=Instructions!$F$48,AL182+1,AL182),IF(Instructions!$E$11=12,IF($L183=Instructions!$F$48,AL182+1,AL182),IF(Instructions!$E$11=14,IF($P183=Instructions!$F$48,AL182+1,AL182),IF(Instructions!$E$11=16,IF($T183=Instructions!$F$48,AL182+1,AL182))))))</f>
        <v>15</v>
      </c>
      <c r="AM183" s="321" t="str">
        <f t="shared" si="37"/>
        <v>715</v>
      </c>
      <c r="AN183" s="321">
        <f>IF(Instructions!$E$11=8,IF($D183=Instructions!$F$49,AN182+1,AN182),IF(Instructions!$E$11=10,IF($H183=Instructions!$F$49,AN182+1,AN182),IF(Instructions!$E$11=12,IF($L183=Instructions!$F$49,AN182+1,AN182),IF(Instructions!$E$11=14,IF($P183=Instructions!$F$49,AN182+1,AN182),IF(Instructions!$E$11=16,IF($T183=Instructions!$F$49,AN182+1,AN182))))))</f>
        <v>15</v>
      </c>
      <c r="AO183" s="321" t="str">
        <f t="shared" si="38"/>
        <v>815</v>
      </c>
      <c r="AP183" s="321">
        <f>IF(Instructions!$E$11=8,IF($D183=Instructions!$F$50,AP182+1,AP182),IF(Instructions!$E$11=10,IF($H183=Instructions!$F$50,AP182+1,AP182),IF(Instructions!$E$11=12,IF($L183=Instructions!$F$50,AP182+1,AP182),IF(Instructions!$E$11=14,IF($P183=Instructions!$F$50,AP182+1,AP182),IF(Instructions!$E$11=16,IF($T183=Instructions!$F$50,AP182+1,AP182))))))</f>
        <v>15</v>
      </c>
      <c r="AQ183" s="321" t="str">
        <f t="shared" si="39"/>
        <v>915</v>
      </c>
      <c r="AR183" s="321">
        <f>IF(Instructions!$E$11=8,IF($D183=Instructions!$F$51,AR182+1,AR182),IF(Instructions!$E$11=10,IF($H183=Instructions!$F$51,AR182+1,AR182),IF(Instructions!$E$11=12,IF($L183=Instructions!$F$51,AR182+1,AR182),IF(Instructions!$E$11=14,IF($P183=Instructions!$F$51,AR182+1,AR182),IF(Instructions!$E$11=16,IF($T183=Instructions!$F$51,AR182+1,AR182))))))</f>
        <v>15</v>
      </c>
      <c r="AS183" s="321" t="str">
        <f t="shared" si="41"/>
        <v>1015</v>
      </c>
      <c r="AT183" s="321">
        <f>IF(Instructions!$E$11=8,IF($D183=Instructions!$F$52,AT182+1,AT182),IF(Instructions!$E$11=10,IF($H183=Instructions!$F$52,AT182+1,AT182),IF(Instructions!$E$11=12,IF($L183=Instructions!$F$52,AT182+1,AT182),IF(Instructions!$E$11=14,IF($P183=Instructions!$F$52,AT182+1,AT182),IF(Instructions!$E$11=16,IF($T183=Instructions!$F$52,AT182+1,AT182))))))</f>
        <v>15</v>
      </c>
      <c r="AU183" s="321" t="str">
        <f t="shared" si="42"/>
        <v>1115</v>
      </c>
      <c r="AV183" s="321">
        <f>IF(Instructions!$E$11=8,IF($D183=Instructions!$F$53,AV182+1,AV182),IF(Instructions!$E$11=10,IF($H183=Instructions!$F$53,AV182+1,AV182),IF(Instructions!$E$11=12,IF($L183=Instructions!$F$53,AV182+1,AV182),IF(Instructions!$E$11=14,IF($P183=Instructions!$F$53,AV182+1,AV182),IF(Instructions!$E$11=16,IF($T183=Instructions!$F$53,AV182+1,AV182))))))</f>
        <v>16</v>
      </c>
      <c r="AW183" s="321" t="str">
        <f t="shared" si="43"/>
        <v>1216</v>
      </c>
      <c r="AX183" s="321">
        <f>IF(Instructions!$E$11=8,IF($D183=Instructions!$F$54,AX182+1,AX182),IF(Instructions!$E$11=10,IF($H183=Instructions!$F$54,AX182+1,AX182),IF(Instructions!$E$11=12,IF($L183=Instructions!$F$54,AX182+1,AX182),IF(Instructions!$E$11=14,IF($P183=Instructions!$F$54,AX182+1,AX182),IF(Instructions!$E$11=16,IF($T183=Instructions!$F$54,AX182+1,AX182))))))</f>
        <v>0</v>
      </c>
      <c r="AY183" s="321" t="str">
        <f t="shared" si="44"/>
        <v>1300</v>
      </c>
      <c r="AZ183" s="321">
        <f>IF(Instructions!$E$11=8,IF($D183=Instructions!$F$55,AZ182+1,AZ182),IF(Instructions!$E$11=10,IF($H183=Instructions!$F$55,AZ182+1,AZ182),IF(Instructions!$E$11=12,IF($L183=Instructions!$F$55,AZ182+1,AZ182),IF(Instructions!$E$11=14,IF($P183=Instructions!$F$55,AZ182+1,AZ182),IF(Instructions!$E$11=16,IF($T183=Instructions!$F$55,AZ182+1,AZ182))))))</f>
        <v>0</v>
      </c>
      <c r="BA183" s="321" t="str">
        <f t="shared" si="45"/>
        <v>1400</v>
      </c>
      <c r="BB183" s="321">
        <f>IF(Instructions!$E$11=8,IF($D183=Instructions!$F$56,BB182+1,BB182),IF(Instructions!$E$11=10,IF($H183=Instructions!$F$56,BB182+1,BB182),IF(Instructions!$E$11=12,IF($L183=Instructions!$F$56,BB182+1,BB182),IF(Instructions!$E$11=14,IF($P183=Instructions!$F$56,BB182+1,BB182),IF(Instructions!$E$11=16,IF($T183=Instructions!$F$56,BB182+1,BB182))))))</f>
        <v>0</v>
      </c>
      <c r="BC183" s="321" t="str">
        <f t="shared" si="46"/>
        <v>1500</v>
      </c>
      <c r="BD183" s="321">
        <f>IF(Instructions!$E$11=8,IF($D183=Instructions!$F$57,BD182+1,BD182),IF(Instructions!$E$11=10,IF($H183=Instructions!$F$57,BD182+1,BD182),IF(Instructions!$E$11=12,IF($L183=Instructions!$F$57,BD182+1,BD182),IF(Instructions!$E$11=14,IF($P183=Instructions!$F$57,BD182+1,BD182),IF(Instructions!$E$11=16,IF($T183=Instructions!$F$57,BD182+1,BD182))))))</f>
        <v>0</v>
      </c>
      <c r="BE183" s="321" t="str">
        <f t="shared" si="47"/>
        <v>1600</v>
      </c>
      <c r="BF183" s="321">
        <v>181</v>
      </c>
    </row>
    <row r="184" spans="1:58" ht="15.75" thickBot="1" x14ac:dyDescent="0.3">
      <c r="A184" s="280"/>
      <c r="B184" s="323" t="str">
        <f>IF(Instructions!$J$11=1,AA184,IF(Instructions!$J$11=2,AC184,IF(Instructions!$J$11=3,AE184,IF(Instructions!$J$11=4,AG184,IF(Instructions!$J$11=5,AI184,IF(Instructions!$J$11=6,AK184,IF(Instructions!$J$11=7,AM184,IF(Instructions!$J$11=8,AO184,IF(Instructions!$J$11=9,AQ184,IF(Instructions!$J$11=10,AS184,IF(Instructions!$J$11=11,AU184,IF(Instructions!$J$11=12,AW184,IF(Instructions!$J$11=13, AY184, IF(Instructions!$J$11=14,BA184,IF(Instructions!$J$11=15,BC184,BE184)))))))))))))))</f>
        <v>215</v>
      </c>
      <c r="C184" s="272">
        <v>182</v>
      </c>
      <c r="D184" s="327" t="str">
        <f>Instructions!F$47</f>
        <v>Devin</v>
      </c>
      <c r="E184" s="332" t="s">
        <v>1517</v>
      </c>
      <c r="F184" s="706"/>
      <c r="G184" s="279">
        <v>23</v>
      </c>
      <c r="H184" s="294" t="str">
        <f>Instructions!F$43</f>
        <v>Camden</v>
      </c>
      <c r="I184" s="274" t="s">
        <v>1481</v>
      </c>
      <c r="J184" s="709"/>
      <c r="K184" s="279">
        <v>19</v>
      </c>
      <c r="L184" s="294" t="str">
        <f>Instructions!F$52</f>
        <v>Big R</v>
      </c>
      <c r="M184" s="274" t="s">
        <v>1088</v>
      </c>
      <c r="N184" s="709"/>
      <c r="O184" s="279">
        <v>16</v>
      </c>
      <c r="P184" s="295" t="str">
        <f>Instructions!F$55</f>
        <v>[TEAM 14]</v>
      </c>
      <c r="Q184" s="277" t="s">
        <v>953</v>
      </c>
      <c r="R184" s="710"/>
      <c r="S184" s="279">
        <v>13</v>
      </c>
      <c r="T184" s="327" t="str">
        <f>Instructions!F$52</f>
        <v>Big R</v>
      </c>
      <c r="U184" s="274" t="s">
        <v>844</v>
      </c>
      <c r="V184" s="706"/>
      <c r="W184" s="279">
        <v>12</v>
      </c>
      <c r="X184" s="280"/>
      <c r="Y184" s="190" t="str">
        <f>IFERROR( IF(Instructions!$E$11=8, D184&amp;COUNTIF(D$3:D184,D184), IF(Instructions!$E$11=10, H184&amp;COUNTIF(H$3:H184,H184),IF(Instructions!$E$11=12, L184&amp;COUNTIF(L$3:L184,L184),IF(Instructions!$E$11=14, P184&amp;COUNTIF(P$3:P184,P184),T184&amp;COUNTIF(T$3:T184,T184))))),"")</f>
        <v>Big R16</v>
      </c>
      <c r="Z184" s="321">
        <f>IF(Instructions!$E$11=8,IF($D184=Instructions!$F$42,Z183+1,Z183),IF(Instructions!$E$11=10,IF($H184=Instructions!$F$42,Z183+1,Z183),IF(Instructions!$E$11=12,IF($L184=Instructions!$F$42,Z183+1,Z183),IF(Instructions!$E$11=14,IF($P184=Instructions!$F$42,Z183+1,Z183),IF(Instructions!$E$11=16,IF($T184=Instructions!$F$42,Z183+1,Z183))))))</f>
        <v>15</v>
      </c>
      <c r="AA184" s="321" t="str">
        <f t="shared" si="40"/>
        <v>115</v>
      </c>
      <c r="AB184" s="321">
        <f>IF(Instructions!$E$11=8,IF($D184=Instructions!$F$43,AB183+1,AB183),IF(Instructions!$E$11=10,IF($H184=Instructions!$F$43,AB183+1,AB183),IF(Instructions!$E$11=12,IF($L184=Instructions!$F$43,AB183+1,AB183),IF(Instructions!$E$11=14,IF($P184=Instructions!$F$43,AB183+1,AB183),IF(Instructions!$E$11=16,IF($T184=Instructions!$F$43,AB183+1,AB183))))))</f>
        <v>15</v>
      </c>
      <c r="AC184" s="321" t="str">
        <f t="shared" si="32"/>
        <v>215</v>
      </c>
      <c r="AD184" s="321">
        <f>IF(Instructions!$E$11=8,IF($D184=Instructions!$F$44,AD183+1,AD183),IF(Instructions!$E$11=10,IF($H184=Instructions!$F$44,AD183+1,AD183),IF(Instructions!$E$11=12,IF($L184=Instructions!$F$44,AD183+1,AD183),IF(Instructions!$E$11=14,IF($P184=Instructions!$F$44,AD183+1,AD183),IF(Instructions!$E$11=16,IF($T184=Instructions!$F$44,AD183+1,AD183))))))</f>
        <v>15</v>
      </c>
      <c r="AE184" s="321" t="str">
        <f t="shared" si="33"/>
        <v>315</v>
      </c>
      <c r="AF184" s="321">
        <f>IF(Instructions!$E$11=8,IF($D184=Instructions!$F$45,AF183+1,AF183),IF(Instructions!$E$11=10,IF($H184=Instructions!$F$45,AF183+1,AF183),IF(Instructions!$E$11=12,IF($L184=Instructions!$F$45,AF183+1,AF183),IF(Instructions!$E$11=14,IF($P184=Instructions!$F$45,AF183+1,AF183),IF(Instructions!$E$11=16,IF($T184=Instructions!$F$45,AF183+1,AF183))))))</f>
        <v>15</v>
      </c>
      <c r="AG184" s="321" t="str">
        <f t="shared" si="34"/>
        <v>415</v>
      </c>
      <c r="AH184" s="321">
        <f>IF(Instructions!$E$11=8,IF($D184=Instructions!$F$46,AH183+1,AH183),IF(Instructions!$E$11=10,IF($H184=Instructions!$F$46,AH183+1,AH183),IF(Instructions!$E$11=12,IF($L184=Instructions!$F$46,AH183+1,AH183),IF(Instructions!$E$11=14,IF($P184=Instructions!$F$46,AH183+1,AH183),IF(Instructions!$E$11=16,IF($T184=Instructions!$F$46,AH183+1,AH183))))))</f>
        <v>15</v>
      </c>
      <c r="AI184" s="321" t="str">
        <f t="shared" si="35"/>
        <v>515</v>
      </c>
      <c r="AJ184" s="321">
        <f>IF(Instructions!$E$11=8,IF($D184=Instructions!$F$47,AJ183+1,AJ183),IF(Instructions!$E$11=10,IF($H184=Instructions!$F$47,AJ183+1,AJ183),IF(Instructions!$E$11=12,IF($L184=Instructions!$F$47,AJ183+1,AJ183),IF(Instructions!$E$11=14,IF($P184=Instructions!$F$47,AJ183+1,AJ183),IF(Instructions!$E$11=16,IF($T184=Instructions!$F$47,AJ183+1,AJ183))))))</f>
        <v>15</v>
      </c>
      <c r="AK184" s="321" t="str">
        <f t="shared" si="36"/>
        <v>615</v>
      </c>
      <c r="AL184" s="321">
        <f>IF(Instructions!$E$11=8,IF($D184=Instructions!$F$48,AL183+1,AL183),IF(Instructions!$E$11=10,IF($H184=Instructions!$F$48,AL183+1,AL183),IF(Instructions!$E$11=12,IF($L184=Instructions!$F$48,AL183+1,AL183),IF(Instructions!$E$11=14,IF($P184=Instructions!$F$48,AL183+1,AL183),IF(Instructions!$E$11=16,IF($T184=Instructions!$F$48,AL183+1,AL183))))))</f>
        <v>15</v>
      </c>
      <c r="AM184" s="321" t="str">
        <f t="shared" si="37"/>
        <v>715</v>
      </c>
      <c r="AN184" s="321">
        <f>IF(Instructions!$E$11=8,IF($D184=Instructions!$F$49,AN183+1,AN183),IF(Instructions!$E$11=10,IF($H184=Instructions!$F$49,AN183+1,AN183),IF(Instructions!$E$11=12,IF($L184=Instructions!$F$49,AN183+1,AN183),IF(Instructions!$E$11=14,IF($P184=Instructions!$F$49,AN183+1,AN183),IF(Instructions!$E$11=16,IF($T184=Instructions!$F$49,AN183+1,AN183))))))</f>
        <v>15</v>
      </c>
      <c r="AO184" s="321" t="str">
        <f t="shared" si="38"/>
        <v>815</v>
      </c>
      <c r="AP184" s="321">
        <f>IF(Instructions!$E$11=8,IF($D184=Instructions!$F$50,AP183+1,AP183),IF(Instructions!$E$11=10,IF($H184=Instructions!$F$50,AP183+1,AP183),IF(Instructions!$E$11=12,IF($L184=Instructions!$F$50,AP183+1,AP183),IF(Instructions!$E$11=14,IF($P184=Instructions!$F$50,AP183+1,AP183),IF(Instructions!$E$11=16,IF($T184=Instructions!$F$50,AP183+1,AP183))))))</f>
        <v>15</v>
      </c>
      <c r="AQ184" s="321" t="str">
        <f t="shared" si="39"/>
        <v>915</v>
      </c>
      <c r="AR184" s="321">
        <f>IF(Instructions!$E$11=8,IF($D184=Instructions!$F$51,AR183+1,AR183),IF(Instructions!$E$11=10,IF($H184=Instructions!$F$51,AR183+1,AR183),IF(Instructions!$E$11=12,IF($L184=Instructions!$F$51,AR183+1,AR183),IF(Instructions!$E$11=14,IF($P184=Instructions!$F$51,AR183+1,AR183),IF(Instructions!$E$11=16,IF($T184=Instructions!$F$51,AR183+1,AR183))))))</f>
        <v>15</v>
      </c>
      <c r="AS184" s="321" t="str">
        <f t="shared" si="41"/>
        <v>1015</v>
      </c>
      <c r="AT184" s="321">
        <f>IF(Instructions!$E$11=8,IF($D184=Instructions!$F$52,AT183+1,AT183),IF(Instructions!$E$11=10,IF($H184=Instructions!$F$52,AT183+1,AT183),IF(Instructions!$E$11=12,IF($L184=Instructions!$F$52,AT183+1,AT183),IF(Instructions!$E$11=14,IF($P184=Instructions!$F$52,AT183+1,AT183),IF(Instructions!$E$11=16,IF($T184=Instructions!$F$52,AT183+1,AT183))))))</f>
        <v>16</v>
      </c>
      <c r="AU184" s="321" t="str">
        <f t="shared" si="42"/>
        <v>1116</v>
      </c>
      <c r="AV184" s="321">
        <f>IF(Instructions!$E$11=8,IF($D184=Instructions!$F$53,AV183+1,AV183),IF(Instructions!$E$11=10,IF($H184=Instructions!$F$53,AV183+1,AV183),IF(Instructions!$E$11=12,IF($L184=Instructions!$F$53,AV183+1,AV183),IF(Instructions!$E$11=14,IF($P184=Instructions!$F$53,AV183+1,AV183),IF(Instructions!$E$11=16,IF($T184=Instructions!$F$53,AV183+1,AV183))))))</f>
        <v>16</v>
      </c>
      <c r="AW184" s="321" t="str">
        <f t="shared" si="43"/>
        <v>1216</v>
      </c>
      <c r="AX184" s="321">
        <f>IF(Instructions!$E$11=8,IF($D184=Instructions!$F$54,AX183+1,AX183),IF(Instructions!$E$11=10,IF($H184=Instructions!$F$54,AX183+1,AX183),IF(Instructions!$E$11=12,IF($L184=Instructions!$F$54,AX183+1,AX183),IF(Instructions!$E$11=14,IF($P184=Instructions!$F$54,AX183+1,AX183),IF(Instructions!$E$11=16,IF($T184=Instructions!$F$54,AX183+1,AX183))))))</f>
        <v>0</v>
      </c>
      <c r="AY184" s="321" t="str">
        <f t="shared" si="44"/>
        <v>1300</v>
      </c>
      <c r="AZ184" s="321">
        <f>IF(Instructions!$E$11=8,IF($D184=Instructions!$F$55,AZ183+1,AZ183),IF(Instructions!$E$11=10,IF($H184=Instructions!$F$55,AZ183+1,AZ183),IF(Instructions!$E$11=12,IF($L184=Instructions!$F$55,AZ183+1,AZ183),IF(Instructions!$E$11=14,IF($P184=Instructions!$F$55,AZ183+1,AZ183),IF(Instructions!$E$11=16,IF($T184=Instructions!$F$55,AZ183+1,AZ183))))))</f>
        <v>0</v>
      </c>
      <c r="BA184" s="321" t="str">
        <f t="shared" si="45"/>
        <v>1400</v>
      </c>
      <c r="BB184" s="321">
        <f>IF(Instructions!$E$11=8,IF($D184=Instructions!$F$56,BB183+1,BB183),IF(Instructions!$E$11=10,IF($H184=Instructions!$F$56,BB183+1,BB183),IF(Instructions!$E$11=12,IF($L184=Instructions!$F$56,BB183+1,BB183),IF(Instructions!$E$11=14,IF($P184=Instructions!$F$56,BB183+1,BB183),IF(Instructions!$E$11=16,IF($T184=Instructions!$F$56,BB183+1,BB183))))))</f>
        <v>0</v>
      </c>
      <c r="BC184" s="321" t="str">
        <f t="shared" si="46"/>
        <v>1500</v>
      </c>
      <c r="BD184" s="321">
        <f>IF(Instructions!$E$11=8,IF($D184=Instructions!$F$57,BD183+1,BD183),IF(Instructions!$E$11=10,IF($H184=Instructions!$F$57,BD183+1,BD183),IF(Instructions!$E$11=12,IF($L184=Instructions!$F$57,BD183+1,BD183),IF(Instructions!$E$11=14,IF($P184=Instructions!$F$57,BD183+1,BD183),IF(Instructions!$E$11=16,IF($T184=Instructions!$F$57,BD183+1,BD183))))))</f>
        <v>0</v>
      </c>
      <c r="BE184" s="321" t="str">
        <f t="shared" si="47"/>
        <v>1600</v>
      </c>
      <c r="BF184" s="321">
        <v>182</v>
      </c>
    </row>
    <row r="185" spans="1:58" ht="15" customHeight="1" x14ac:dyDescent="0.25">
      <c r="A185" s="280"/>
      <c r="B185" s="323" t="str">
        <f>IF(Instructions!$J$11=1,AA185,IF(Instructions!$J$11=2,AC185,IF(Instructions!$J$11=3,AE185,IF(Instructions!$J$11=4,AG185,IF(Instructions!$J$11=5,AI185,IF(Instructions!$J$11=6,AK185,IF(Instructions!$J$11=7,AM185,IF(Instructions!$J$11=8,AO185,IF(Instructions!$J$11=9,AQ185,IF(Instructions!$J$11=10,AS185,IF(Instructions!$J$11=11,AU185,IF(Instructions!$J$11=12,AW185,IF(Instructions!$J$11=13, AY185, IF(Instructions!$J$11=14,BA185,IF(Instructions!$J$11=15,BC185,BE185)))))))))))))))</f>
        <v>215</v>
      </c>
      <c r="C185" s="271">
        <v>183</v>
      </c>
      <c r="D185" s="328" t="str">
        <f>Instructions!F$48</f>
        <v>Bui</v>
      </c>
      <c r="E185" s="333" t="s">
        <v>1518</v>
      </c>
      <c r="F185" s="706"/>
      <c r="G185" s="279">
        <v>23</v>
      </c>
      <c r="H185" s="293" t="str">
        <f>Instructions!F$44</f>
        <v>Cam</v>
      </c>
      <c r="I185" s="273" t="s">
        <v>1482</v>
      </c>
      <c r="J185" s="709"/>
      <c r="K185" s="279">
        <v>19</v>
      </c>
      <c r="L185" s="293" t="str">
        <f>Instructions!F$51</f>
        <v>Josh</v>
      </c>
      <c r="M185" s="273" t="s">
        <v>1089</v>
      </c>
      <c r="N185" s="709"/>
      <c r="O185" s="279">
        <v>16</v>
      </c>
      <c r="P185" s="292" t="str">
        <f>Instructions!F$55</f>
        <v>[TEAM 14]</v>
      </c>
      <c r="Q185" s="276" t="s">
        <v>863</v>
      </c>
      <c r="R185" s="708" t="s">
        <v>909</v>
      </c>
      <c r="S185" s="279">
        <v>14</v>
      </c>
      <c r="T185" s="328" t="str">
        <f>Instructions!F$51</f>
        <v>Josh</v>
      </c>
      <c r="U185" s="273" t="s">
        <v>845</v>
      </c>
      <c r="V185" s="706"/>
      <c r="W185" s="279">
        <v>12</v>
      </c>
      <c r="X185" s="280"/>
      <c r="Y185" s="190" t="str">
        <f>IFERROR( IF(Instructions!$E$11=8, D185&amp;COUNTIF(D$3:D185,D185), IF(Instructions!$E$11=10, H185&amp;COUNTIF(H$3:H185,H185),IF(Instructions!$E$11=12, L185&amp;COUNTIF(L$3:L185,L185),IF(Instructions!$E$11=14, P185&amp;COUNTIF(P$3:P185,P185),T185&amp;COUNTIF(T$3:T185,T185))))),"")</f>
        <v>Josh16</v>
      </c>
      <c r="Z185" s="321">
        <f>IF(Instructions!$E$11=8,IF($D185=Instructions!$F$42,Z184+1,Z184),IF(Instructions!$E$11=10,IF($H185=Instructions!$F$42,Z184+1,Z184),IF(Instructions!$E$11=12,IF($L185=Instructions!$F$42,Z184+1,Z184),IF(Instructions!$E$11=14,IF($P185=Instructions!$F$42,Z184+1,Z184),IF(Instructions!$E$11=16,IF($T185=Instructions!$F$42,Z184+1,Z184))))))</f>
        <v>15</v>
      </c>
      <c r="AA185" s="321" t="str">
        <f t="shared" si="40"/>
        <v>115</v>
      </c>
      <c r="AB185" s="321">
        <f>IF(Instructions!$E$11=8,IF($D185=Instructions!$F$43,AB184+1,AB184),IF(Instructions!$E$11=10,IF($H185=Instructions!$F$43,AB184+1,AB184),IF(Instructions!$E$11=12,IF($L185=Instructions!$F$43,AB184+1,AB184),IF(Instructions!$E$11=14,IF($P185=Instructions!$F$43,AB184+1,AB184),IF(Instructions!$E$11=16,IF($T185=Instructions!$F$43,AB184+1,AB184))))))</f>
        <v>15</v>
      </c>
      <c r="AC185" s="321" t="str">
        <f t="shared" si="32"/>
        <v>215</v>
      </c>
      <c r="AD185" s="321">
        <f>IF(Instructions!$E$11=8,IF($D185=Instructions!$F$44,AD184+1,AD184),IF(Instructions!$E$11=10,IF($H185=Instructions!$F$44,AD184+1,AD184),IF(Instructions!$E$11=12,IF($L185=Instructions!$F$44,AD184+1,AD184),IF(Instructions!$E$11=14,IF($P185=Instructions!$F$44,AD184+1,AD184),IF(Instructions!$E$11=16,IF($T185=Instructions!$F$44,AD184+1,AD184))))))</f>
        <v>15</v>
      </c>
      <c r="AE185" s="321" t="str">
        <f t="shared" si="33"/>
        <v>315</v>
      </c>
      <c r="AF185" s="321">
        <f>IF(Instructions!$E$11=8,IF($D185=Instructions!$F$45,AF184+1,AF184),IF(Instructions!$E$11=10,IF($H185=Instructions!$F$45,AF184+1,AF184),IF(Instructions!$E$11=12,IF($L185=Instructions!$F$45,AF184+1,AF184),IF(Instructions!$E$11=14,IF($P185=Instructions!$F$45,AF184+1,AF184),IF(Instructions!$E$11=16,IF($T185=Instructions!$F$45,AF184+1,AF184))))))</f>
        <v>15</v>
      </c>
      <c r="AG185" s="321" t="str">
        <f t="shared" si="34"/>
        <v>415</v>
      </c>
      <c r="AH185" s="321">
        <f>IF(Instructions!$E$11=8,IF($D185=Instructions!$F$46,AH184+1,AH184),IF(Instructions!$E$11=10,IF($H185=Instructions!$F$46,AH184+1,AH184),IF(Instructions!$E$11=12,IF($L185=Instructions!$F$46,AH184+1,AH184),IF(Instructions!$E$11=14,IF($P185=Instructions!$F$46,AH184+1,AH184),IF(Instructions!$E$11=16,IF($T185=Instructions!$F$46,AH184+1,AH184))))))</f>
        <v>15</v>
      </c>
      <c r="AI185" s="321" t="str">
        <f t="shared" si="35"/>
        <v>515</v>
      </c>
      <c r="AJ185" s="321">
        <f>IF(Instructions!$E$11=8,IF($D185=Instructions!$F$47,AJ184+1,AJ184),IF(Instructions!$E$11=10,IF($H185=Instructions!$F$47,AJ184+1,AJ184),IF(Instructions!$E$11=12,IF($L185=Instructions!$F$47,AJ184+1,AJ184),IF(Instructions!$E$11=14,IF($P185=Instructions!$F$47,AJ184+1,AJ184),IF(Instructions!$E$11=16,IF($T185=Instructions!$F$47,AJ184+1,AJ184))))))</f>
        <v>15</v>
      </c>
      <c r="AK185" s="321" t="str">
        <f t="shared" si="36"/>
        <v>615</v>
      </c>
      <c r="AL185" s="321">
        <f>IF(Instructions!$E$11=8,IF($D185=Instructions!$F$48,AL184+1,AL184),IF(Instructions!$E$11=10,IF($H185=Instructions!$F$48,AL184+1,AL184),IF(Instructions!$E$11=12,IF($L185=Instructions!$F$48,AL184+1,AL184),IF(Instructions!$E$11=14,IF($P185=Instructions!$F$48,AL184+1,AL184),IF(Instructions!$E$11=16,IF($T185=Instructions!$F$48,AL184+1,AL184))))))</f>
        <v>15</v>
      </c>
      <c r="AM185" s="321" t="str">
        <f t="shared" si="37"/>
        <v>715</v>
      </c>
      <c r="AN185" s="321">
        <f>IF(Instructions!$E$11=8,IF($D185=Instructions!$F$49,AN184+1,AN184),IF(Instructions!$E$11=10,IF($H185=Instructions!$F$49,AN184+1,AN184),IF(Instructions!$E$11=12,IF($L185=Instructions!$F$49,AN184+1,AN184),IF(Instructions!$E$11=14,IF($P185=Instructions!$F$49,AN184+1,AN184),IF(Instructions!$E$11=16,IF($T185=Instructions!$F$49,AN184+1,AN184))))))</f>
        <v>15</v>
      </c>
      <c r="AO185" s="321" t="str">
        <f t="shared" si="38"/>
        <v>815</v>
      </c>
      <c r="AP185" s="321">
        <f>IF(Instructions!$E$11=8,IF($D185=Instructions!$F$50,AP184+1,AP184),IF(Instructions!$E$11=10,IF($H185=Instructions!$F$50,AP184+1,AP184),IF(Instructions!$E$11=12,IF($L185=Instructions!$F$50,AP184+1,AP184),IF(Instructions!$E$11=14,IF($P185=Instructions!$F$50,AP184+1,AP184),IF(Instructions!$E$11=16,IF($T185=Instructions!$F$50,AP184+1,AP184))))))</f>
        <v>15</v>
      </c>
      <c r="AQ185" s="321" t="str">
        <f t="shared" si="39"/>
        <v>915</v>
      </c>
      <c r="AR185" s="321">
        <f>IF(Instructions!$E$11=8,IF($D185=Instructions!$F$51,AR184+1,AR184),IF(Instructions!$E$11=10,IF($H185=Instructions!$F$51,AR184+1,AR184),IF(Instructions!$E$11=12,IF($L185=Instructions!$F$51,AR184+1,AR184),IF(Instructions!$E$11=14,IF($P185=Instructions!$F$51,AR184+1,AR184),IF(Instructions!$E$11=16,IF($T185=Instructions!$F$51,AR184+1,AR184))))))</f>
        <v>16</v>
      </c>
      <c r="AS185" s="321" t="str">
        <f t="shared" si="41"/>
        <v>1016</v>
      </c>
      <c r="AT185" s="321">
        <f>IF(Instructions!$E$11=8,IF($D185=Instructions!$F$52,AT184+1,AT184),IF(Instructions!$E$11=10,IF($H185=Instructions!$F$52,AT184+1,AT184),IF(Instructions!$E$11=12,IF($L185=Instructions!$F$52,AT184+1,AT184),IF(Instructions!$E$11=14,IF($P185=Instructions!$F$52,AT184+1,AT184),IF(Instructions!$E$11=16,IF($T185=Instructions!$F$52,AT184+1,AT184))))))</f>
        <v>16</v>
      </c>
      <c r="AU185" s="321" t="str">
        <f t="shared" si="42"/>
        <v>1116</v>
      </c>
      <c r="AV185" s="321">
        <f>IF(Instructions!$E$11=8,IF($D185=Instructions!$F$53,AV184+1,AV184),IF(Instructions!$E$11=10,IF($H185=Instructions!$F$53,AV184+1,AV184),IF(Instructions!$E$11=12,IF($L185=Instructions!$F$53,AV184+1,AV184),IF(Instructions!$E$11=14,IF($P185=Instructions!$F$53,AV184+1,AV184),IF(Instructions!$E$11=16,IF($T185=Instructions!$F$53,AV184+1,AV184))))))</f>
        <v>16</v>
      </c>
      <c r="AW185" s="321" t="str">
        <f t="shared" si="43"/>
        <v>1216</v>
      </c>
      <c r="AX185" s="321">
        <f>IF(Instructions!$E$11=8,IF($D185=Instructions!$F$54,AX184+1,AX184),IF(Instructions!$E$11=10,IF($H185=Instructions!$F$54,AX184+1,AX184),IF(Instructions!$E$11=12,IF($L185=Instructions!$F$54,AX184+1,AX184),IF(Instructions!$E$11=14,IF($P185=Instructions!$F$54,AX184+1,AX184),IF(Instructions!$E$11=16,IF($T185=Instructions!$F$54,AX184+1,AX184))))))</f>
        <v>0</v>
      </c>
      <c r="AY185" s="321" t="str">
        <f t="shared" si="44"/>
        <v>1300</v>
      </c>
      <c r="AZ185" s="321">
        <f>IF(Instructions!$E$11=8,IF($D185=Instructions!$F$55,AZ184+1,AZ184),IF(Instructions!$E$11=10,IF($H185=Instructions!$F$55,AZ184+1,AZ184),IF(Instructions!$E$11=12,IF($L185=Instructions!$F$55,AZ184+1,AZ184),IF(Instructions!$E$11=14,IF($P185=Instructions!$F$55,AZ184+1,AZ184),IF(Instructions!$E$11=16,IF($T185=Instructions!$F$55,AZ184+1,AZ184))))))</f>
        <v>0</v>
      </c>
      <c r="BA185" s="321" t="str">
        <f t="shared" si="45"/>
        <v>1400</v>
      </c>
      <c r="BB185" s="321">
        <f>IF(Instructions!$E$11=8,IF($D185=Instructions!$F$56,BB184+1,BB184),IF(Instructions!$E$11=10,IF($H185=Instructions!$F$56,BB184+1,BB184),IF(Instructions!$E$11=12,IF($L185=Instructions!$F$56,BB184+1,BB184),IF(Instructions!$E$11=14,IF($P185=Instructions!$F$56,BB184+1,BB184),IF(Instructions!$E$11=16,IF($T185=Instructions!$F$56,BB184+1,BB184))))))</f>
        <v>0</v>
      </c>
      <c r="BC185" s="321" t="str">
        <f t="shared" si="46"/>
        <v>1500</v>
      </c>
      <c r="BD185" s="321">
        <f>IF(Instructions!$E$11=8,IF($D185=Instructions!$F$57,BD184+1,BD184),IF(Instructions!$E$11=10,IF($H185=Instructions!$F$57,BD184+1,BD184),IF(Instructions!$E$11=12,IF($L185=Instructions!$F$57,BD184+1,BD184),IF(Instructions!$E$11=14,IF($P185=Instructions!$F$57,BD184+1,BD184),IF(Instructions!$E$11=16,IF($T185=Instructions!$F$57,BD184+1,BD184))))))</f>
        <v>0</v>
      </c>
      <c r="BE185" s="321" t="str">
        <f t="shared" si="47"/>
        <v>1600</v>
      </c>
      <c r="BF185" s="321">
        <v>183</v>
      </c>
    </row>
    <row r="186" spans="1:58" ht="15.75" thickBot="1" x14ac:dyDescent="0.3">
      <c r="A186" s="280"/>
      <c r="B186" s="323" t="str">
        <f>IF(Instructions!$J$11=1,AA186,IF(Instructions!$J$11=2,AC186,IF(Instructions!$J$11=3,AE186,IF(Instructions!$J$11=4,AG186,IF(Instructions!$J$11=5,AI186,IF(Instructions!$J$11=6,AK186,IF(Instructions!$J$11=7,AM186,IF(Instructions!$J$11=8,AO186,IF(Instructions!$J$11=9,AQ186,IF(Instructions!$J$11=10,AS186,IF(Instructions!$J$11=11,AU186,IF(Instructions!$J$11=12,AW186,IF(Instructions!$J$11=13, AY186, IF(Instructions!$J$11=14,BA186,IF(Instructions!$J$11=15,BC186,BE186)))))))))))))))</f>
        <v>215</v>
      </c>
      <c r="C186" s="272">
        <v>184</v>
      </c>
      <c r="D186" s="329" t="str">
        <f>Instructions!F$49</f>
        <v>Luke</v>
      </c>
      <c r="E186" s="332" t="s">
        <v>1519</v>
      </c>
      <c r="F186" s="707"/>
      <c r="G186" s="279">
        <v>23</v>
      </c>
      <c r="H186" s="294" t="str">
        <f>Instructions!F$45</f>
        <v>Miles</v>
      </c>
      <c r="I186" s="274" t="s">
        <v>1483</v>
      </c>
      <c r="J186" s="709"/>
      <c r="K186" s="279">
        <v>19</v>
      </c>
      <c r="L186" s="294" t="str">
        <f>Instructions!F$50</f>
        <v>Dan</v>
      </c>
      <c r="M186" s="274" t="s">
        <v>1090</v>
      </c>
      <c r="N186" s="709"/>
      <c r="O186" s="279">
        <v>16</v>
      </c>
      <c r="P186" s="294" t="str">
        <f>Instructions!F$54</f>
        <v>[TEAM 13]</v>
      </c>
      <c r="Q186" s="274" t="s">
        <v>864</v>
      </c>
      <c r="R186" s="709"/>
      <c r="S186" s="279">
        <v>14</v>
      </c>
      <c r="T186" s="327" t="str">
        <f>Instructions!F$50</f>
        <v>Dan</v>
      </c>
      <c r="U186" s="274" t="s">
        <v>846</v>
      </c>
      <c r="V186" s="706"/>
      <c r="W186" s="279">
        <v>12</v>
      </c>
      <c r="X186" s="280"/>
      <c r="Y186" s="190" t="str">
        <f>IFERROR( IF(Instructions!$E$11=8, D186&amp;COUNTIF(D$3:D186,D186), IF(Instructions!$E$11=10, H186&amp;COUNTIF(H$3:H186,H186),IF(Instructions!$E$11=12, L186&amp;COUNTIF(L$3:L186,L186),IF(Instructions!$E$11=14, P186&amp;COUNTIF(P$3:P186,P186),T186&amp;COUNTIF(T$3:T186,T186))))),"")</f>
        <v>Dan16</v>
      </c>
      <c r="Z186" s="321">
        <f>IF(Instructions!$E$11=8,IF($D186=Instructions!$F$42,Z185+1,Z185),IF(Instructions!$E$11=10,IF($H186=Instructions!$F$42,Z185+1,Z185),IF(Instructions!$E$11=12,IF($L186=Instructions!$F$42,Z185+1,Z185),IF(Instructions!$E$11=14,IF($P186=Instructions!$F$42,Z185+1,Z185),IF(Instructions!$E$11=16,IF($T186=Instructions!$F$42,Z185+1,Z185))))))</f>
        <v>15</v>
      </c>
      <c r="AA186" s="321" t="str">
        <f t="shared" si="40"/>
        <v>115</v>
      </c>
      <c r="AB186" s="321">
        <f>IF(Instructions!$E$11=8,IF($D186=Instructions!$F$43,AB185+1,AB185),IF(Instructions!$E$11=10,IF($H186=Instructions!$F$43,AB185+1,AB185),IF(Instructions!$E$11=12,IF($L186=Instructions!$F$43,AB185+1,AB185),IF(Instructions!$E$11=14,IF($P186=Instructions!$F$43,AB185+1,AB185),IF(Instructions!$E$11=16,IF($T186=Instructions!$F$43,AB185+1,AB185))))))</f>
        <v>15</v>
      </c>
      <c r="AC186" s="321" t="str">
        <f t="shared" si="32"/>
        <v>215</v>
      </c>
      <c r="AD186" s="321">
        <f>IF(Instructions!$E$11=8,IF($D186=Instructions!$F$44,AD185+1,AD185),IF(Instructions!$E$11=10,IF($H186=Instructions!$F$44,AD185+1,AD185),IF(Instructions!$E$11=12,IF($L186=Instructions!$F$44,AD185+1,AD185),IF(Instructions!$E$11=14,IF($P186=Instructions!$F$44,AD185+1,AD185),IF(Instructions!$E$11=16,IF($T186=Instructions!$F$44,AD185+1,AD185))))))</f>
        <v>15</v>
      </c>
      <c r="AE186" s="321" t="str">
        <f t="shared" si="33"/>
        <v>315</v>
      </c>
      <c r="AF186" s="321">
        <f>IF(Instructions!$E$11=8,IF($D186=Instructions!$F$45,AF185+1,AF185),IF(Instructions!$E$11=10,IF($H186=Instructions!$F$45,AF185+1,AF185),IF(Instructions!$E$11=12,IF($L186=Instructions!$F$45,AF185+1,AF185),IF(Instructions!$E$11=14,IF($P186=Instructions!$F$45,AF185+1,AF185),IF(Instructions!$E$11=16,IF($T186=Instructions!$F$45,AF185+1,AF185))))))</f>
        <v>15</v>
      </c>
      <c r="AG186" s="321" t="str">
        <f t="shared" si="34"/>
        <v>415</v>
      </c>
      <c r="AH186" s="321">
        <f>IF(Instructions!$E$11=8,IF($D186=Instructions!$F$46,AH185+1,AH185),IF(Instructions!$E$11=10,IF($H186=Instructions!$F$46,AH185+1,AH185),IF(Instructions!$E$11=12,IF($L186=Instructions!$F$46,AH185+1,AH185),IF(Instructions!$E$11=14,IF($P186=Instructions!$F$46,AH185+1,AH185),IF(Instructions!$E$11=16,IF($T186=Instructions!$F$46,AH185+1,AH185))))))</f>
        <v>15</v>
      </c>
      <c r="AI186" s="321" t="str">
        <f t="shared" si="35"/>
        <v>515</v>
      </c>
      <c r="AJ186" s="321">
        <f>IF(Instructions!$E$11=8,IF($D186=Instructions!$F$47,AJ185+1,AJ185),IF(Instructions!$E$11=10,IF($H186=Instructions!$F$47,AJ185+1,AJ185),IF(Instructions!$E$11=12,IF($L186=Instructions!$F$47,AJ185+1,AJ185),IF(Instructions!$E$11=14,IF($P186=Instructions!$F$47,AJ185+1,AJ185),IF(Instructions!$E$11=16,IF($T186=Instructions!$F$47,AJ185+1,AJ185))))))</f>
        <v>15</v>
      </c>
      <c r="AK186" s="321" t="str">
        <f t="shared" si="36"/>
        <v>615</v>
      </c>
      <c r="AL186" s="321">
        <f>IF(Instructions!$E$11=8,IF($D186=Instructions!$F$48,AL185+1,AL185),IF(Instructions!$E$11=10,IF($H186=Instructions!$F$48,AL185+1,AL185),IF(Instructions!$E$11=12,IF($L186=Instructions!$F$48,AL185+1,AL185),IF(Instructions!$E$11=14,IF($P186=Instructions!$F$48,AL185+1,AL185),IF(Instructions!$E$11=16,IF($T186=Instructions!$F$48,AL185+1,AL185))))))</f>
        <v>15</v>
      </c>
      <c r="AM186" s="321" t="str">
        <f t="shared" si="37"/>
        <v>715</v>
      </c>
      <c r="AN186" s="321">
        <f>IF(Instructions!$E$11=8,IF($D186=Instructions!$F$49,AN185+1,AN185),IF(Instructions!$E$11=10,IF($H186=Instructions!$F$49,AN185+1,AN185),IF(Instructions!$E$11=12,IF($L186=Instructions!$F$49,AN185+1,AN185),IF(Instructions!$E$11=14,IF($P186=Instructions!$F$49,AN185+1,AN185),IF(Instructions!$E$11=16,IF($T186=Instructions!$F$49,AN185+1,AN185))))))</f>
        <v>15</v>
      </c>
      <c r="AO186" s="321" t="str">
        <f t="shared" si="38"/>
        <v>815</v>
      </c>
      <c r="AP186" s="321">
        <f>IF(Instructions!$E$11=8,IF($D186=Instructions!$F$50,AP185+1,AP185),IF(Instructions!$E$11=10,IF($H186=Instructions!$F$50,AP185+1,AP185),IF(Instructions!$E$11=12,IF($L186=Instructions!$F$50,AP185+1,AP185),IF(Instructions!$E$11=14,IF($P186=Instructions!$F$50,AP185+1,AP185),IF(Instructions!$E$11=16,IF($T186=Instructions!$F$50,AP185+1,AP185))))))</f>
        <v>16</v>
      </c>
      <c r="AQ186" s="321" t="str">
        <f t="shared" si="39"/>
        <v>916</v>
      </c>
      <c r="AR186" s="321">
        <f>IF(Instructions!$E$11=8,IF($D186=Instructions!$F$51,AR185+1,AR185),IF(Instructions!$E$11=10,IF($H186=Instructions!$F$51,AR185+1,AR185),IF(Instructions!$E$11=12,IF($L186=Instructions!$F$51,AR185+1,AR185),IF(Instructions!$E$11=14,IF($P186=Instructions!$F$51,AR185+1,AR185),IF(Instructions!$E$11=16,IF($T186=Instructions!$F$51,AR185+1,AR185))))))</f>
        <v>16</v>
      </c>
      <c r="AS186" s="321" t="str">
        <f t="shared" si="41"/>
        <v>1016</v>
      </c>
      <c r="AT186" s="321">
        <f>IF(Instructions!$E$11=8,IF($D186=Instructions!$F$52,AT185+1,AT185),IF(Instructions!$E$11=10,IF($H186=Instructions!$F$52,AT185+1,AT185),IF(Instructions!$E$11=12,IF($L186=Instructions!$F$52,AT185+1,AT185),IF(Instructions!$E$11=14,IF($P186=Instructions!$F$52,AT185+1,AT185),IF(Instructions!$E$11=16,IF($T186=Instructions!$F$52,AT185+1,AT185))))))</f>
        <v>16</v>
      </c>
      <c r="AU186" s="321" t="str">
        <f t="shared" si="42"/>
        <v>1116</v>
      </c>
      <c r="AV186" s="321">
        <f>IF(Instructions!$E$11=8,IF($D186=Instructions!$F$53,AV185+1,AV185),IF(Instructions!$E$11=10,IF($H186=Instructions!$F$53,AV185+1,AV185),IF(Instructions!$E$11=12,IF($L186=Instructions!$F$53,AV185+1,AV185),IF(Instructions!$E$11=14,IF($P186=Instructions!$F$53,AV185+1,AV185),IF(Instructions!$E$11=16,IF($T186=Instructions!$F$53,AV185+1,AV185))))))</f>
        <v>16</v>
      </c>
      <c r="AW186" s="321" t="str">
        <f t="shared" si="43"/>
        <v>1216</v>
      </c>
      <c r="AX186" s="321">
        <f>IF(Instructions!$E$11=8,IF($D186=Instructions!$F$54,AX185+1,AX185),IF(Instructions!$E$11=10,IF($H186=Instructions!$F$54,AX185+1,AX185),IF(Instructions!$E$11=12,IF($L186=Instructions!$F$54,AX185+1,AX185),IF(Instructions!$E$11=14,IF($P186=Instructions!$F$54,AX185+1,AX185),IF(Instructions!$E$11=16,IF($T186=Instructions!$F$54,AX185+1,AX185))))))</f>
        <v>0</v>
      </c>
      <c r="AY186" s="321" t="str">
        <f t="shared" si="44"/>
        <v>1300</v>
      </c>
      <c r="AZ186" s="321">
        <f>IF(Instructions!$E$11=8,IF($D186=Instructions!$F$55,AZ185+1,AZ185),IF(Instructions!$E$11=10,IF($H186=Instructions!$F$55,AZ185+1,AZ185),IF(Instructions!$E$11=12,IF($L186=Instructions!$F$55,AZ185+1,AZ185),IF(Instructions!$E$11=14,IF($P186=Instructions!$F$55,AZ185+1,AZ185),IF(Instructions!$E$11=16,IF($T186=Instructions!$F$55,AZ185+1,AZ185))))))</f>
        <v>0</v>
      </c>
      <c r="BA186" s="321" t="str">
        <f t="shared" si="45"/>
        <v>1400</v>
      </c>
      <c r="BB186" s="321">
        <f>IF(Instructions!$E$11=8,IF($D186=Instructions!$F$56,BB185+1,BB185),IF(Instructions!$E$11=10,IF($H186=Instructions!$F$56,BB185+1,BB185),IF(Instructions!$E$11=12,IF($L186=Instructions!$F$56,BB185+1,BB185),IF(Instructions!$E$11=14,IF($P186=Instructions!$F$56,BB185+1,BB185),IF(Instructions!$E$11=16,IF($T186=Instructions!$F$56,BB185+1,BB185))))))</f>
        <v>0</v>
      </c>
      <c r="BC186" s="321" t="str">
        <f t="shared" si="46"/>
        <v>1500</v>
      </c>
      <c r="BD186" s="321">
        <f>IF(Instructions!$E$11=8,IF($D186=Instructions!$F$57,BD185+1,BD185),IF(Instructions!$E$11=10,IF($H186=Instructions!$F$57,BD185+1,BD185),IF(Instructions!$E$11=12,IF($L186=Instructions!$F$57,BD185+1,BD185),IF(Instructions!$E$11=14,IF($P186=Instructions!$F$57,BD185+1,BD185),IF(Instructions!$E$11=16,IF($T186=Instructions!$F$57,BD185+1,BD185))))))</f>
        <v>0</v>
      </c>
      <c r="BE186" s="321" t="str">
        <f t="shared" si="47"/>
        <v>1600</v>
      </c>
      <c r="BF186" s="321">
        <v>184</v>
      </c>
    </row>
    <row r="187" spans="1:58" x14ac:dyDescent="0.25">
      <c r="A187" s="280"/>
      <c r="B187" s="323" t="str">
        <f>IF(Instructions!$J$11=1,AA187,IF(Instructions!$J$11=2,AC187,IF(Instructions!$J$11=3,AE187,IF(Instructions!$J$11=4,AG187,IF(Instructions!$J$11=5,AI187,IF(Instructions!$J$11=6,AK187,IF(Instructions!$J$11=7,AM187,IF(Instructions!$J$11=8,AO187,IF(Instructions!$J$11=9,AQ187,IF(Instructions!$J$11=10,AS187,IF(Instructions!$J$11=11,AU187,IF(Instructions!$J$11=12,AW187,IF(Instructions!$J$11=13, AY187, IF(Instructions!$J$11=14,BA187,IF(Instructions!$J$11=15,BC187,BE187)))))))))))))))</f>
        <v>215</v>
      </c>
      <c r="C187" s="271">
        <v>185</v>
      </c>
      <c r="D187" s="325" t="str">
        <f>Instructions!F$49</f>
        <v>Luke</v>
      </c>
      <c r="E187" s="331" t="s">
        <v>1520</v>
      </c>
      <c r="F187" s="705" t="s">
        <v>1462</v>
      </c>
      <c r="G187" s="279">
        <v>24</v>
      </c>
      <c r="H187" s="293" t="str">
        <f>Instructions!F$46</f>
        <v>Con</v>
      </c>
      <c r="I187" s="273" t="s">
        <v>1484</v>
      </c>
      <c r="J187" s="709"/>
      <c r="K187" s="279">
        <v>19</v>
      </c>
      <c r="L187" s="293" t="str">
        <f>Instructions!F$49</f>
        <v>Luke</v>
      </c>
      <c r="M187" s="273" t="s">
        <v>1091</v>
      </c>
      <c r="N187" s="709"/>
      <c r="O187" s="279">
        <v>16</v>
      </c>
      <c r="P187" s="293" t="str">
        <f>Instructions!F$53</f>
        <v>Zack</v>
      </c>
      <c r="Q187" s="273" t="s">
        <v>865</v>
      </c>
      <c r="R187" s="709"/>
      <c r="S187" s="279">
        <v>14</v>
      </c>
      <c r="T187" s="328" t="str">
        <f>Instructions!F$49</f>
        <v>Luke</v>
      </c>
      <c r="U187" s="273" t="s">
        <v>847</v>
      </c>
      <c r="V187" s="706"/>
      <c r="W187" s="279">
        <v>12</v>
      </c>
      <c r="X187" s="280"/>
      <c r="Y187" s="190" t="str">
        <f>IFERROR( IF(Instructions!$E$11=8, D187&amp;COUNTIF(D$3:D187,D187), IF(Instructions!$E$11=10, H187&amp;COUNTIF(H$3:H187,H187),IF(Instructions!$E$11=12, L187&amp;COUNTIF(L$3:L187,L187),IF(Instructions!$E$11=14, P187&amp;COUNTIF(P$3:P187,P187),T187&amp;COUNTIF(T$3:T187,T187))))),"")</f>
        <v>Luke16</v>
      </c>
      <c r="Z187" s="321">
        <f>IF(Instructions!$E$11=8,IF($D187=Instructions!$F$42,Z186+1,Z186),IF(Instructions!$E$11=10,IF($H187=Instructions!$F$42,Z186+1,Z186),IF(Instructions!$E$11=12,IF($L187=Instructions!$F$42,Z186+1,Z186),IF(Instructions!$E$11=14,IF($P187=Instructions!$F$42,Z186+1,Z186),IF(Instructions!$E$11=16,IF($T187=Instructions!$F$42,Z186+1,Z186))))))</f>
        <v>15</v>
      </c>
      <c r="AA187" s="321" t="str">
        <f t="shared" si="40"/>
        <v>115</v>
      </c>
      <c r="AB187" s="321">
        <f>IF(Instructions!$E$11=8,IF($D187=Instructions!$F$43,AB186+1,AB186),IF(Instructions!$E$11=10,IF($H187=Instructions!$F$43,AB186+1,AB186),IF(Instructions!$E$11=12,IF($L187=Instructions!$F$43,AB186+1,AB186),IF(Instructions!$E$11=14,IF($P187=Instructions!$F$43,AB186+1,AB186),IF(Instructions!$E$11=16,IF($T187=Instructions!$F$43,AB186+1,AB186))))))</f>
        <v>15</v>
      </c>
      <c r="AC187" s="321" t="str">
        <f t="shared" si="32"/>
        <v>215</v>
      </c>
      <c r="AD187" s="321">
        <f>IF(Instructions!$E$11=8,IF($D187=Instructions!$F$44,AD186+1,AD186),IF(Instructions!$E$11=10,IF($H187=Instructions!$F$44,AD186+1,AD186),IF(Instructions!$E$11=12,IF($L187=Instructions!$F$44,AD186+1,AD186),IF(Instructions!$E$11=14,IF($P187=Instructions!$F$44,AD186+1,AD186),IF(Instructions!$E$11=16,IF($T187=Instructions!$F$44,AD186+1,AD186))))))</f>
        <v>15</v>
      </c>
      <c r="AE187" s="321" t="str">
        <f t="shared" si="33"/>
        <v>315</v>
      </c>
      <c r="AF187" s="321">
        <f>IF(Instructions!$E$11=8,IF($D187=Instructions!$F$45,AF186+1,AF186),IF(Instructions!$E$11=10,IF($H187=Instructions!$F$45,AF186+1,AF186),IF(Instructions!$E$11=12,IF($L187=Instructions!$F$45,AF186+1,AF186),IF(Instructions!$E$11=14,IF($P187=Instructions!$F$45,AF186+1,AF186),IF(Instructions!$E$11=16,IF($T187=Instructions!$F$45,AF186+1,AF186))))))</f>
        <v>15</v>
      </c>
      <c r="AG187" s="321" t="str">
        <f t="shared" si="34"/>
        <v>415</v>
      </c>
      <c r="AH187" s="321">
        <f>IF(Instructions!$E$11=8,IF($D187=Instructions!$F$46,AH186+1,AH186),IF(Instructions!$E$11=10,IF($H187=Instructions!$F$46,AH186+1,AH186),IF(Instructions!$E$11=12,IF($L187=Instructions!$F$46,AH186+1,AH186),IF(Instructions!$E$11=14,IF($P187=Instructions!$F$46,AH186+1,AH186),IF(Instructions!$E$11=16,IF($T187=Instructions!$F$46,AH186+1,AH186))))))</f>
        <v>15</v>
      </c>
      <c r="AI187" s="321" t="str">
        <f t="shared" si="35"/>
        <v>515</v>
      </c>
      <c r="AJ187" s="321">
        <f>IF(Instructions!$E$11=8,IF($D187=Instructions!$F$47,AJ186+1,AJ186),IF(Instructions!$E$11=10,IF($H187=Instructions!$F$47,AJ186+1,AJ186),IF(Instructions!$E$11=12,IF($L187=Instructions!$F$47,AJ186+1,AJ186),IF(Instructions!$E$11=14,IF($P187=Instructions!$F$47,AJ186+1,AJ186),IF(Instructions!$E$11=16,IF($T187=Instructions!$F$47,AJ186+1,AJ186))))))</f>
        <v>15</v>
      </c>
      <c r="AK187" s="321" t="str">
        <f t="shared" si="36"/>
        <v>615</v>
      </c>
      <c r="AL187" s="321">
        <f>IF(Instructions!$E$11=8,IF($D187=Instructions!$F$48,AL186+1,AL186),IF(Instructions!$E$11=10,IF($H187=Instructions!$F$48,AL186+1,AL186),IF(Instructions!$E$11=12,IF($L187=Instructions!$F$48,AL186+1,AL186),IF(Instructions!$E$11=14,IF($P187=Instructions!$F$48,AL186+1,AL186),IF(Instructions!$E$11=16,IF($T187=Instructions!$F$48,AL186+1,AL186))))))</f>
        <v>15</v>
      </c>
      <c r="AM187" s="321" t="str">
        <f t="shared" si="37"/>
        <v>715</v>
      </c>
      <c r="AN187" s="321">
        <f>IF(Instructions!$E$11=8,IF($D187=Instructions!$F$49,AN186+1,AN186),IF(Instructions!$E$11=10,IF($H187=Instructions!$F$49,AN186+1,AN186),IF(Instructions!$E$11=12,IF($L187=Instructions!$F$49,AN186+1,AN186),IF(Instructions!$E$11=14,IF($P187=Instructions!$F$49,AN186+1,AN186),IF(Instructions!$E$11=16,IF($T187=Instructions!$F$49,AN186+1,AN186))))))</f>
        <v>16</v>
      </c>
      <c r="AO187" s="321" t="str">
        <f t="shared" si="38"/>
        <v>816</v>
      </c>
      <c r="AP187" s="321">
        <f>IF(Instructions!$E$11=8,IF($D187=Instructions!$F$50,AP186+1,AP186),IF(Instructions!$E$11=10,IF($H187=Instructions!$F$50,AP186+1,AP186),IF(Instructions!$E$11=12,IF($L187=Instructions!$F$50,AP186+1,AP186),IF(Instructions!$E$11=14,IF($P187=Instructions!$F$50,AP186+1,AP186),IF(Instructions!$E$11=16,IF($T187=Instructions!$F$50,AP186+1,AP186))))))</f>
        <v>16</v>
      </c>
      <c r="AQ187" s="321" t="str">
        <f t="shared" si="39"/>
        <v>916</v>
      </c>
      <c r="AR187" s="321">
        <f>IF(Instructions!$E$11=8,IF($D187=Instructions!$F$51,AR186+1,AR186),IF(Instructions!$E$11=10,IF($H187=Instructions!$F$51,AR186+1,AR186),IF(Instructions!$E$11=12,IF($L187=Instructions!$F$51,AR186+1,AR186),IF(Instructions!$E$11=14,IF($P187=Instructions!$F$51,AR186+1,AR186),IF(Instructions!$E$11=16,IF($T187=Instructions!$F$51,AR186+1,AR186))))))</f>
        <v>16</v>
      </c>
      <c r="AS187" s="321" t="str">
        <f t="shared" si="41"/>
        <v>1016</v>
      </c>
      <c r="AT187" s="321">
        <f>IF(Instructions!$E$11=8,IF($D187=Instructions!$F$52,AT186+1,AT186),IF(Instructions!$E$11=10,IF($H187=Instructions!$F$52,AT186+1,AT186),IF(Instructions!$E$11=12,IF($L187=Instructions!$F$52,AT186+1,AT186),IF(Instructions!$E$11=14,IF($P187=Instructions!$F$52,AT186+1,AT186),IF(Instructions!$E$11=16,IF($T187=Instructions!$F$52,AT186+1,AT186))))))</f>
        <v>16</v>
      </c>
      <c r="AU187" s="321" t="str">
        <f t="shared" si="42"/>
        <v>1116</v>
      </c>
      <c r="AV187" s="321">
        <f>IF(Instructions!$E$11=8,IF($D187=Instructions!$F$53,AV186+1,AV186),IF(Instructions!$E$11=10,IF($H187=Instructions!$F$53,AV186+1,AV186),IF(Instructions!$E$11=12,IF($L187=Instructions!$F$53,AV186+1,AV186),IF(Instructions!$E$11=14,IF($P187=Instructions!$F$53,AV186+1,AV186),IF(Instructions!$E$11=16,IF($T187=Instructions!$F$53,AV186+1,AV186))))))</f>
        <v>16</v>
      </c>
      <c r="AW187" s="321" t="str">
        <f t="shared" si="43"/>
        <v>1216</v>
      </c>
      <c r="AX187" s="321">
        <f>IF(Instructions!$E$11=8,IF($D187=Instructions!$F$54,AX186+1,AX186),IF(Instructions!$E$11=10,IF($H187=Instructions!$F$54,AX186+1,AX186),IF(Instructions!$E$11=12,IF($L187=Instructions!$F$54,AX186+1,AX186),IF(Instructions!$E$11=14,IF($P187=Instructions!$F$54,AX186+1,AX186),IF(Instructions!$E$11=16,IF($T187=Instructions!$F$54,AX186+1,AX186))))))</f>
        <v>0</v>
      </c>
      <c r="AY187" s="321" t="str">
        <f t="shared" si="44"/>
        <v>1300</v>
      </c>
      <c r="AZ187" s="321">
        <f>IF(Instructions!$E$11=8,IF($D187=Instructions!$F$55,AZ186+1,AZ186),IF(Instructions!$E$11=10,IF($H187=Instructions!$F$55,AZ186+1,AZ186),IF(Instructions!$E$11=12,IF($L187=Instructions!$F$55,AZ186+1,AZ186),IF(Instructions!$E$11=14,IF($P187=Instructions!$F$55,AZ186+1,AZ186),IF(Instructions!$E$11=16,IF($T187=Instructions!$F$55,AZ186+1,AZ186))))))</f>
        <v>0</v>
      </c>
      <c r="BA187" s="321" t="str">
        <f t="shared" si="45"/>
        <v>1400</v>
      </c>
      <c r="BB187" s="321">
        <f>IF(Instructions!$E$11=8,IF($D187=Instructions!$F$56,BB186+1,BB186),IF(Instructions!$E$11=10,IF($H187=Instructions!$F$56,BB186+1,BB186),IF(Instructions!$E$11=12,IF($L187=Instructions!$F$56,BB186+1,BB186),IF(Instructions!$E$11=14,IF($P187=Instructions!$F$56,BB186+1,BB186),IF(Instructions!$E$11=16,IF($T187=Instructions!$F$56,BB186+1,BB186))))))</f>
        <v>0</v>
      </c>
      <c r="BC187" s="321" t="str">
        <f t="shared" si="46"/>
        <v>1500</v>
      </c>
      <c r="BD187" s="321">
        <f>IF(Instructions!$E$11=8,IF($D187=Instructions!$F$57,BD186+1,BD186),IF(Instructions!$E$11=10,IF($H187=Instructions!$F$57,BD186+1,BD186),IF(Instructions!$E$11=12,IF($L187=Instructions!$F$57,BD186+1,BD186),IF(Instructions!$E$11=14,IF($P187=Instructions!$F$57,BD186+1,BD186),IF(Instructions!$E$11=16,IF($T187=Instructions!$F$57,BD186+1,BD186))))))</f>
        <v>0</v>
      </c>
      <c r="BE187" s="321" t="str">
        <f t="shared" si="47"/>
        <v>1600</v>
      </c>
      <c r="BF187" s="321">
        <v>185</v>
      </c>
    </row>
    <row r="188" spans="1:58" x14ac:dyDescent="0.25">
      <c r="A188" s="280"/>
      <c r="B188" s="323" t="str">
        <f>IF(Instructions!$J$11=1,AA188,IF(Instructions!$J$11=2,AC188,IF(Instructions!$J$11=3,AE188,IF(Instructions!$J$11=4,AG188,IF(Instructions!$J$11=5,AI188,IF(Instructions!$J$11=6,AK188,IF(Instructions!$J$11=7,AM188,IF(Instructions!$J$11=8,AO188,IF(Instructions!$J$11=9,AQ188,IF(Instructions!$J$11=10,AS188,IF(Instructions!$J$11=11,AU188,IF(Instructions!$J$11=12,AW188,IF(Instructions!$J$11=13, AY188, IF(Instructions!$J$11=14,BA188,IF(Instructions!$J$11=15,BC188,BE188)))))))))))))))</f>
        <v>215</v>
      </c>
      <c r="C188" s="272">
        <v>186</v>
      </c>
      <c r="D188" s="327" t="str">
        <f>Instructions!F$48</f>
        <v>Bui</v>
      </c>
      <c r="E188" s="332" t="s">
        <v>1521</v>
      </c>
      <c r="F188" s="706"/>
      <c r="G188" s="279">
        <v>24</v>
      </c>
      <c r="H188" s="294" t="str">
        <f>Instructions!F$47</f>
        <v>Devin</v>
      </c>
      <c r="I188" s="274" t="s">
        <v>1485</v>
      </c>
      <c r="J188" s="709"/>
      <c r="K188" s="279">
        <v>19</v>
      </c>
      <c r="L188" s="294" t="str">
        <f>Instructions!F$48</f>
        <v>Bui</v>
      </c>
      <c r="M188" s="274" t="s">
        <v>1092</v>
      </c>
      <c r="N188" s="709"/>
      <c r="O188" s="279">
        <v>16</v>
      </c>
      <c r="P188" s="294" t="str">
        <f>Instructions!F$52</f>
        <v>Big R</v>
      </c>
      <c r="Q188" s="274" t="s">
        <v>866</v>
      </c>
      <c r="R188" s="709"/>
      <c r="S188" s="279">
        <v>14</v>
      </c>
      <c r="T188" s="327" t="str">
        <f>Instructions!F$48</f>
        <v>Bui</v>
      </c>
      <c r="U188" s="274" t="s">
        <v>848</v>
      </c>
      <c r="V188" s="706"/>
      <c r="W188" s="279">
        <v>12</v>
      </c>
      <c r="X188" s="280"/>
      <c r="Y188" s="190" t="str">
        <f>IFERROR( IF(Instructions!$E$11=8, D188&amp;COUNTIF(D$3:D188,D188), IF(Instructions!$E$11=10, H188&amp;COUNTIF(H$3:H188,H188),IF(Instructions!$E$11=12, L188&amp;COUNTIF(L$3:L188,L188),IF(Instructions!$E$11=14, P188&amp;COUNTIF(P$3:P188,P188),T188&amp;COUNTIF(T$3:T188,T188))))),"")</f>
        <v>Bui16</v>
      </c>
      <c r="Z188" s="321">
        <f>IF(Instructions!$E$11=8,IF($D188=Instructions!$F$42,Z187+1,Z187),IF(Instructions!$E$11=10,IF($H188=Instructions!$F$42,Z187+1,Z187),IF(Instructions!$E$11=12,IF($L188=Instructions!$F$42,Z187+1,Z187),IF(Instructions!$E$11=14,IF($P188=Instructions!$F$42,Z187+1,Z187),IF(Instructions!$E$11=16,IF($T188=Instructions!$F$42,Z187+1,Z187))))))</f>
        <v>15</v>
      </c>
      <c r="AA188" s="321" t="str">
        <f t="shared" si="40"/>
        <v>115</v>
      </c>
      <c r="AB188" s="321">
        <f>IF(Instructions!$E$11=8,IF($D188=Instructions!$F$43,AB187+1,AB187),IF(Instructions!$E$11=10,IF($H188=Instructions!$F$43,AB187+1,AB187),IF(Instructions!$E$11=12,IF($L188=Instructions!$F$43,AB187+1,AB187),IF(Instructions!$E$11=14,IF($P188=Instructions!$F$43,AB187+1,AB187),IF(Instructions!$E$11=16,IF($T188=Instructions!$F$43,AB187+1,AB187))))))</f>
        <v>15</v>
      </c>
      <c r="AC188" s="321" t="str">
        <f t="shared" si="32"/>
        <v>215</v>
      </c>
      <c r="AD188" s="321">
        <f>IF(Instructions!$E$11=8,IF($D188=Instructions!$F$44,AD187+1,AD187),IF(Instructions!$E$11=10,IF($H188=Instructions!$F$44,AD187+1,AD187),IF(Instructions!$E$11=12,IF($L188=Instructions!$F$44,AD187+1,AD187),IF(Instructions!$E$11=14,IF($P188=Instructions!$F$44,AD187+1,AD187),IF(Instructions!$E$11=16,IF($T188=Instructions!$F$44,AD187+1,AD187))))))</f>
        <v>15</v>
      </c>
      <c r="AE188" s="321" t="str">
        <f t="shared" si="33"/>
        <v>315</v>
      </c>
      <c r="AF188" s="321">
        <f>IF(Instructions!$E$11=8,IF($D188=Instructions!$F$45,AF187+1,AF187),IF(Instructions!$E$11=10,IF($H188=Instructions!$F$45,AF187+1,AF187),IF(Instructions!$E$11=12,IF($L188=Instructions!$F$45,AF187+1,AF187),IF(Instructions!$E$11=14,IF($P188=Instructions!$F$45,AF187+1,AF187),IF(Instructions!$E$11=16,IF($T188=Instructions!$F$45,AF187+1,AF187))))))</f>
        <v>15</v>
      </c>
      <c r="AG188" s="321" t="str">
        <f t="shared" si="34"/>
        <v>415</v>
      </c>
      <c r="AH188" s="321">
        <f>IF(Instructions!$E$11=8,IF($D188=Instructions!$F$46,AH187+1,AH187),IF(Instructions!$E$11=10,IF($H188=Instructions!$F$46,AH187+1,AH187),IF(Instructions!$E$11=12,IF($L188=Instructions!$F$46,AH187+1,AH187),IF(Instructions!$E$11=14,IF($P188=Instructions!$F$46,AH187+1,AH187),IF(Instructions!$E$11=16,IF($T188=Instructions!$F$46,AH187+1,AH187))))))</f>
        <v>15</v>
      </c>
      <c r="AI188" s="321" t="str">
        <f t="shared" si="35"/>
        <v>515</v>
      </c>
      <c r="AJ188" s="321">
        <f>IF(Instructions!$E$11=8,IF($D188=Instructions!$F$47,AJ187+1,AJ187),IF(Instructions!$E$11=10,IF($H188=Instructions!$F$47,AJ187+1,AJ187),IF(Instructions!$E$11=12,IF($L188=Instructions!$F$47,AJ187+1,AJ187),IF(Instructions!$E$11=14,IF($P188=Instructions!$F$47,AJ187+1,AJ187),IF(Instructions!$E$11=16,IF($T188=Instructions!$F$47,AJ187+1,AJ187))))))</f>
        <v>15</v>
      </c>
      <c r="AK188" s="321" t="str">
        <f t="shared" si="36"/>
        <v>615</v>
      </c>
      <c r="AL188" s="321">
        <f>IF(Instructions!$E$11=8,IF($D188=Instructions!$F$48,AL187+1,AL187),IF(Instructions!$E$11=10,IF($H188=Instructions!$F$48,AL187+1,AL187),IF(Instructions!$E$11=12,IF($L188=Instructions!$F$48,AL187+1,AL187),IF(Instructions!$E$11=14,IF($P188=Instructions!$F$48,AL187+1,AL187),IF(Instructions!$E$11=16,IF($T188=Instructions!$F$48,AL187+1,AL187))))))</f>
        <v>16</v>
      </c>
      <c r="AM188" s="321" t="str">
        <f t="shared" si="37"/>
        <v>716</v>
      </c>
      <c r="AN188" s="321">
        <f>IF(Instructions!$E$11=8,IF($D188=Instructions!$F$49,AN187+1,AN187),IF(Instructions!$E$11=10,IF($H188=Instructions!$F$49,AN187+1,AN187),IF(Instructions!$E$11=12,IF($L188=Instructions!$F$49,AN187+1,AN187),IF(Instructions!$E$11=14,IF($P188=Instructions!$F$49,AN187+1,AN187),IF(Instructions!$E$11=16,IF($T188=Instructions!$F$49,AN187+1,AN187))))))</f>
        <v>16</v>
      </c>
      <c r="AO188" s="321" t="str">
        <f t="shared" si="38"/>
        <v>816</v>
      </c>
      <c r="AP188" s="321">
        <f>IF(Instructions!$E$11=8,IF($D188=Instructions!$F$50,AP187+1,AP187),IF(Instructions!$E$11=10,IF($H188=Instructions!$F$50,AP187+1,AP187),IF(Instructions!$E$11=12,IF($L188=Instructions!$F$50,AP187+1,AP187),IF(Instructions!$E$11=14,IF($P188=Instructions!$F$50,AP187+1,AP187),IF(Instructions!$E$11=16,IF($T188=Instructions!$F$50,AP187+1,AP187))))))</f>
        <v>16</v>
      </c>
      <c r="AQ188" s="321" t="str">
        <f t="shared" si="39"/>
        <v>916</v>
      </c>
      <c r="AR188" s="321">
        <f>IF(Instructions!$E$11=8,IF($D188=Instructions!$F$51,AR187+1,AR187),IF(Instructions!$E$11=10,IF($H188=Instructions!$F$51,AR187+1,AR187),IF(Instructions!$E$11=12,IF($L188=Instructions!$F$51,AR187+1,AR187),IF(Instructions!$E$11=14,IF($P188=Instructions!$F$51,AR187+1,AR187),IF(Instructions!$E$11=16,IF($T188=Instructions!$F$51,AR187+1,AR187))))))</f>
        <v>16</v>
      </c>
      <c r="AS188" s="321" t="str">
        <f t="shared" si="41"/>
        <v>1016</v>
      </c>
      <c r="AT188" s="321">
        <f>IF(Instructions!$E$11=8,IF($D188=Instructions!$F$52,AT187+1,AT187),IF(Instructions!$E$11=10,IF($H188=Instructions!$F$52,AT187+1,AT187),IF(Instructions!$E$11=12,IF($L188=Instructions!$F$52,AT187+1,AT187),IF(Instructions!$E$11=14,IF($P188=Instructions!$F$52,AT187+1,AT187),IF(Instructions!$E$11=16,IF($T188=Instructions!$F$52,AT187+1,AT187))))))</f>
        <v>16</v>
      </c>
      <c r="AU188" s="321" t="str">
        <f t="shared" si="42"/>
        <v>1116</v>
      </c>
      <c r="AV188" s="321">
        <f>IF(Instructions!$E$11=8,IF($D188=Instructions!$F$53,AV187+1,AV187),IF(Instructions!$E$11=10,IF($H188=Instructions!$F$53,AV187+1,AV187),IF(Instructions!$E$11=12,IF($L188=Instructions!$F$53,AV187+1,AV187),IF(Instructions!$E$11=14,IF($P188=Instructions!$F$53,AV187+1,AV187),IF(Instructions!$E$11=16,IF($T188=Instructions!$F$53,AV187+1,AV187))))))</f>
        <v>16</v>
      </c>
      <c r="AW188" s="321" t="str">
        <f t="shared" si="43"/>
        <v>1216</v>
      </c>
      <c r="AX188" s="321">
        <f>IF(Instructions!$E$11=8,IF($D188=Instructions!$F$54,AX187+1,AX187),IF(Instructions!$E$11=10,IF($H188=Instructions!$F$54,AX187+1,AX187),IF(Instructions!$E$11=12,IF($L188=Instructions!$F$54,AX187+1,AX187),IF(Instructions!$E$11=14,IF($P188=Instructions!$F$54,AX187+1,AX187),IF(Instructions!$E$11=16,IF($T188=Instructions!$F$54,AX187+1,AX187))))))</f>
        <v>0</v>
      </c>
      <c r="AY188" s="321" t="str">
        <f t="shared" si="44"/>
        <v>1300</v>
      </c>
      <c r="AZ188" s="321">
        <f>IF(Instructions!$E$11=8,IF($D188=Instructions!$F$55,AZ187+1,AZ187),IF(Instructions!$E$11=10,IF($H188=Instructions!$F$55,AZ187+1,AZ187),IF(Instructions!$E$11=12,IF($L188=Instructions!$F$55,AZ187+1,AZ187),IF(Instructions!$E$11=14,IF($P188=Instructions!$F$55,AZ187+1,AZ187),IF(Instructions!$E$11=16,IF($T188=Instructions!$F$55,AZ187+1,AZ187))))))</f>
        <v>0</v>
      </c>
      <c r="BA188" s="321" t="str">
        <f t="shared" si="45"/>
        <v>1400</v>
      </c>
      <c r="BB188" s="321">
        <f>IF(Instructions!$E$11=8,IF($D188=Instructions!$F$56,BB187+1,BB187),IF(Instructions!$E$11=10,IF($H188=Instructions!$F$56,BB187+1,BB187),IF(Instructions!$E$11=12,IF($L188=Instructions!$F$56,BB187+1,BB187),IF(Instructions!$E$11=14,IF($P188=Instructions!$F$56,BB187+1,BB187),IF(Instructions!$E$11=16,IF($T188=Instructions!$F$56,BB187+1,BB187))))))</f>
        <v>0</v>
      </c>
      <c r="BC188" s="321" t="str">
        <f t="shared" si="46"/>
        <v>1500</v>
      </c>
      <c r="BD188" s="321">
        <f>IF(Instructions!$E$11=8,IF($D188=Instructions!$F$57,BD187+1,BD187),IF(Instructions!$E$11=10,IF($H188=Instructions!$F$57,BD187+1,BD187),IF(Instructions!$E$11=12,IF($L188=Instructions!$F$57,BD187+1,BD187),IF(Instructions!$E$11=14,IF($P188=Instructions!$F$57,BD187+1,BD187),IF(Instructions!$E$11=16,IF($T188=Instructions!$F$57,BD187+1,BD187))))))</f>
        <v>0</v>
      </c>
      <c r="BE188" s="321" t="str">
        <f t="shared" si="47"/>
        <v>1600</v>
      </c>
      <c r="BF188" s="321">
        <v>186</v>
      </c>
    </row>
    <row r="189" spans="1:58" x14ac:dyDescent="0.25">
      <c r="A189" s="280"/>
      <c r="B189" s="323" t="str">
        <f>IF(Instructions!$J$11=1,AA189,IF(Instructions!$J$11=2,AC189,IF(Instructions!$J$11=3,AE189,IF(Instructions!$J$11=4,AG189,IF(Instructions!$J$11=5,AI189,IF(Instructions!$J$11=6,AK189,IF(Instructions!$J$11=7,AM189,IF(Instructions!$J$11=8,AO189,IF(Instructions!$J$11=9,AQ189,IF(Instructions!$J$11=10,AS189,IF(Instructions!$J$11=11,AU189,IF(Instructions!$J$11=12,AW189,IF(Instructions!$J$11=13, AY189, IF(Instructions!$J$11=14,BA189,IF(Instructions!$J$11=15,BC189,BE189)))))))))))))))</f>
        <v>215</v>
      </c>
      <c r="C189" s="271">
        <v>187</v>
      </c>
      <c r="D189" s="328" t="str">
        <f>Instructions!F$47</f>
        <v>Devin</v>
      </c>
      <c r="E189" s="333" t="s">
        <v>1522</v>
      </c>
      <c r="F189" s="706"/>
      <c r="G189" s="279">
        <v>24</v>
      </c>
      <c r="H189" s="293" t="str">
        <f>Instructions!F$48</f>
        <v>Bui</v>
      </c>
      <c r="I189" s="273" t="s">
        <v>1486</v>
      </c>
      <c r="J189" s="709"/>
      <c r="K189" s="279">
        <v>19</v>
      </c>
      <c r="L189" s="293" t="str">
        <f>Instructions!F$47</f>
        <v>Devin</v>
      </c>
      <c r="M189" s="273" t="s">
        <v>1093</v>
      </c>
      <c r="N189" s="709"/>
      <c r="O189" s="279">
        <v>16</v>
      </c>
      <c r="P189" s="293" t="str">
        <f>Instructions!F$51</f>
        <v>Josh</v>
      </c>
      <c r="Q189" s="273" t="s">
        <v>867</v>
      </c>
      <c r="R189" s="709"/>
      <c r="S189" s="279">
        <v>14</v>
      </c>
      <c r="T189" s="328" t="str">
        <f>Instructions!F$47</f>
        <v>Devin</v>
      </c>
      <c r="U189" s="273" t="s">
        <v>849</v>
      </c>
      <c r="V189" s="706"/>
      <c r="W189" s="279">
        <v>12</v>
      </c>
      <c r="X189" s="280"/>
      <c r="Y189" s="190" t="str">
        <f>IFERROR( IF(Instructions!$E$11=8, D189&amp;COUNTIF(D$3:D189,D189), IF(Instructions!$E$11=10, H189&amp;COUNTIF(H$3:H189,H189),IF(Instructions!$E$11=12, L189&amp;COUNTIF(L$3:L189,L189),IF(Instructions!$E$11=14, P189&amp;COUNTIF(P$3:P189,P189),T189&amp;COUNTIF(T$3:T189,T189))))),"")</f>
        <v>Devin16</v>
      </c>
      <c r="Z189" s="321">
        <f>IF(Instructions!$E$11=8,IF($D189=Instructions!$F$42,Z188+1,Z188),IF(Instructions!$E$11=10,IF($H189=Instructions!$F$42,Z188+1,Z188),IF(Instructions!$E$11=12,IF($L189=Instructions!$F$42,Z188+1,Z188),IF(Instructions!$E$11=14,IF($P189=Instructions!$F$42,Z188+1,Z188),IF(Instructions!$E$11=16,IF($T189=Instructions!$F$42,Z188+1,Z188))))))</f>
        <v>15</v>
      </c>
      <c r="AA189" s="321" t="str">
        <f t="shared" si="40"/>
        <v>115</v>
      </c>
      <c r="AB189" s="321">
        <f>IF(Instructions!$E$11=8,IF($D189=Instructions!$F$43,AB188+1,AB188),IF(Instructions!$E$11=10,IF($H189=Instructions!$F$43,AB188+1,AB188),IF(Instructions!$E$11=12,IF($L189=Instructions!$F$43,AB188+1,AB188),IF(Instructions!$E$11=14,IF($P189=Instructions!$F$43,AB188+1,AB188),IF(Instructions!$E$11=16,IF($T189=Instructions!$F$43,AB188+1,AB188))))))</f>
        <v>15</v>
      </c>
      <c r="AC189" s="321" t="str">
        <f t="shared" si="32"/>
        <v>215</v>
      </c>
      <c r="AD189" s="321">
        <f>IF(Instructions!$E$11=8,IF($D189=Instructions!$F$44,AD188+1,AD188),IF(Instructions!$E$11=10,IF($H189=Instructions!$F$44,AD188+1,AD188),IF(Instructions!$E$11=12,IF($L189=Instructions!$F$44,AD188+1,AD188),IF(Instructions!$E$11=14,IF($P189=Instructions!$F$44,AD188+1,AD188),IF(Instructions!$E$11=16,IF($T189=Instructions!$F$44,AD188+1,AD188))))))</f>
        <v>15</v>
      </c>
      <c r="AE189" s="321" t="str">
        <f t="shared" si="33"/>
        <v>315</v>
      </c>
      <c r="AF189" s="321">
        <f>IF(Instructions!$E$11=8,IF($D189=Instructions!$F$45,AF188+1,AF188),IF(Instructions!$E$11=10,IF($H189=Instructions!$F$45,AF188+1,AF188),IF(Instructions!$E$11=12,IF($L189=Instructions!$F$45,AF188+1,AF188),IF(Instructions!$E$11=14,IF($P189=Instructions!$F$45,AF188+1,AF188),IF(Instructions!$E$11=16,IF($T189=Instructions!$F$45,AF188+1,AF188))))))</f>
        <v>15</v>
      </c>
      <c r="AG189" s="321" t="str">
        <f t="shared" si="34"/>
        <v>415</v>
      </c>
      <c r="AH189" s="321">
        <f>IF(Instructions!$E$11=8,IF($D189=Instructions!$F$46,AH188+1,AH188),IF(Instructions!$E$11=10,IF($H189=Instructions!$F$46,AH188+1,AH188),IF(Instructions!$E$11=12,IF($L189=Instructions!$F$46,AH188+1,AH188),IF(Instructions!$E$11=14,IF($P189=Instructions!$F$46,AH188+1,AH188),IF(Instructions!$E$11=16,IF($T189=Instructions!$F$46,AH188+1,AH188))))))</f>
        <v>15</v>
      </c>
      <c r="AI189" s="321" t="str">
        <f t="shared" si="35"/>
        <v>515</v>
      </c>
      <c r="AJ189" s="321">
        <f>IF(Instructions!$E$11=8,IF($D189=Instructions!$F$47,AJ188+1,AJ188),IF(Instructions!$E$11=10,IF($H189=Instructions!$F$47,AJ188+1,AJ188),IF(Instructions!$E$11=12,IF($L189=Instructions!$F$47,AJ188+1,AJ188),IF(Instructions!$E$11=14,IF($P189=Instructions!$F$47,AJ188+1,AJ188),IF(Instructions!$E$11=16,IF($T189=Instructions!$F$47,AJ188+1,AJ188))))))</f>
        <v>16</v>
      </c>
      <c r="AK189" s="321" t="str">
        <f t="shared" si="36"/>
        <v>616</v>
      </c>
      <c r="AL189" s="321">
        <f>IF(Instructions!$E$11=8,IF($D189=Instructions!$F$48,AL188+1,AL188),IF(Instructions!$E$11=10,IF($H189=Instructions!$F$48,AL188+1,AL188),IF(Instructions!$E$11=12,IF($L189=Instructions!$F$48,AL188+1,AL188),IF(Instructions!$E$11=14,IF($P189=Instructions!$F$48,AL188+1,AL188),IF(Instructions!$E$11=16,IF($T189=Instructions!$F$48,AL188+1,AL188))))))</f>
        <v>16</v>
      </c>
      <c r="AM189" s="321" t="str">
        <f t="shared" si="37"/>
        <v>716</v>
      </c>
      <c r="AN189" s="321">
        <f>IF(Instructions!$E$11=8,IF($D189=Instructions!$F$49,AN188+1,AN188),IF(Instructions!$E$11=10,IF($H189=Instructions!$F$49,AN188+1,AN188),IF(Instructions!$E$11=12,IF($L189=Instructions!$F$49,AN188+1,AN188),IF(Instructions!$E$11=14,IF($P189=Instructions!$F$49,AN188+1,AN188),IF(Instructions!$E$11=16,IF($T189=Instructions!$F$49,AN188+1,AN188))))))</f>
        <v>16</v>
      </c>
      <c r="AO189" s="321" t="str">
        <f t="shared" si="38"/>
        <v>816</v>
      </c>
      <c r="AP189" s="321">
        <f>IF(Instructions!$E$11=8,IF($D189=Instructions!$F$50,AP188+1,AP188),IF(Instructions!$E$11=10,IF($H189=Instructions!$F$50,AP188+1,AP188),IF(Instructions!$E$11=12,IF($L189=Instructions!$F$50,AP188+1,AP188),IF(Instructions!$E$11=14,IF($P189=Instructions!$F$50,AP188+1,AP188),IF(Instructions!$E$11=16,IF($T189=Instructions!$F$50,AP188+1,AP188))))))</f>
        <v>16</v>
      </c>
      <c r="AQ189" s="321" t="str">
        <f t="shared" si="39"/>
        <v>916</v>
      </c>
      <c r="AR189" s="321">
        <f>IF(Instructions!$E$11=8,IF($D189=Instructions!$F$51,AR188+1,AR188),IF(Instructions!$E$11=10,IF($H189=Instructions!$F$51,AR188+1,AR188),IF(Instructions!$E$11=12,IF($L189=Instructions!$F$51,AR188+1,AR188),IF(Instructions!$E$11=14,IF($P189=Instructions!$F$51,AR188+1,AR188),IF(Instructions!$E$11=16,IF($T189=Instructions!$F$51,AR188+1,AR188))))))</f>
        <v>16</v>
      </c>
      <c r="AS189" s="321" t="str">
        <f t="shared" si="41"/>
        <v>1016</v>
      </c>
      <c r="AT189" s="321">
        <f>IF(Instructions!$E$11=8,IF($D189=Instructions!$F$52,AT188+1,AT188),IF(Instructions!$E$11=10,IF($H189=Instructions!$F$52,AT188+1,AT188),IF(Instructions!$E$11=12,IF($L189=Instructions!$F$52,AT188+1,AT188),IF(Instructions!$E$11=14,IF($P189=Instructions!$F$52,AT188+1,AT188),IF(Instructions!$E$11=16,IF($T189=Instructions!$F$52,AT188+1,AT188))))))</f>
        <v>16</v>
      </c>
      <c r="AU189" s="321" t="str">
        <f t="shared" si="42"/>
        <v>1116</v>
      </c>
      <c r="AV189" s="321">
        <f>IF(Instructions!$E$11=8,IF($D189=Instructions!$F$53,AV188+1,AV188),IF(Instructions!$E$11=10,IF($H189=Instructions!$F$53,AV188+1,AV188),IF(Instructions!$E$11=12,IF($L189=Instructions!$F$53,AV188+1,AV188),IF(Instructions!$E$11=14,IF($P189=Instructions!$F$53,AV188+1,AV188),IF(Instructions!$E$11=16,IF($T189=Instructions!$F$53,AV188+1,AV188))))))</f>
        <v>16</v>
      </c>
      <c r="AW189" s="321" t="str">
        <f t="shared" si="43"/>
        <v>1216</v>
      </c>
      <c r="AX189" s="321">
        <f>IF(Instructions!$E$11=8,IF($D189=Instructions!$F$54,AX188+1,AX188),IF(Instructions!$E$11=10,IF($H189=Instructions!$F$54,AX188+1,AX188),IF(Instructions!$E$11=12,IF($L189=Instructions!$F$54,AX188+1,AX188),IF(Instructions!$E$11=14,IF($P189=Instructions!$F$54,AX188+1,AX188),IF(Instructions!$E$11=16,IF($T189=Instructions!$F$54,AX188+1,AX188))))))</f>
        <v>0</v>
      </c>
      <c r="AY189" s="321" t="str">
        <f t="shared" si="44"/>
        <v>1300</v>
      </c>
      <c r="AZ189" s="321">
        <f>IF(Instructions!$E$11=8,IF($D189=Instructions!$F$55,AZ188+1,AZ188),IF(Instructions!$E$11=10,IF($H189=Instructions!$F$55,AZ188+1,AZ188),IF(Instructions!$E$11=12,IF($L189=Instructions!$F$55,AZ188+1,AZ188),IF(Instructions!$E$11=14,IF($P189=Instructions!$F$55,AZ188+1,AZ188),IF(Instructions!$E$11=16,IF($T189=Instructions!$F$55,AZ188+1,AZ188))))))</f>
        <v>0</v>
      </c>
      <c r="BA189" s="321" t="str">
        <f t="shared" si="45"/>
        <v>1400</v>
      </c>
      <c r="BB189" s="321">
        <f>IF(Instructions!$E$11=8,IF($D189=Instructions!$F$56,BB188+1,BB188),IF(Instructions!$E$11=10,IF($H189=Instructions!$F$56,BB188+1,BB188),IF(Instructions!$E$11=12,IF($L189=Instructions!$F$56,BB188+1,BB188),IF(Instructions!$E$11=14,IF($P189=Instructions!$F$56,BB188+1,BB188),IF(Instructions!$E$11=16,IF($T189=Instructions!$F$56,BB188+1,BB188))))))</f>
        <v>0</v>
      </c>
      <c r="BC189" s="321" t="str">
        <f t="shared" si="46"/>
        <v>1500</v>
      </c>
      <c r="BD189" s="321">
        <f>IF(Instructions!$E$11=8,IF($D189=Instructions!$F$57,BD188+1,BD188),IF(Instructions!$E$11=10,IF($H189=Instructions!$F$57,BD188+1,BD188),IF(Instructions!$E$11=12,IF($L189=Instructions!$F$57,BD188+1,BD188),IF(Instructions!$E$11=14,IF($P189=Instructions!$F$57,BD188+1,BD188),IF(Instructions!$E$11=16,IF($T189=Instructions!$F$57,BD188+1,BD188))))))</f>
        <v>0</v>
      </c>
      <c r="BE189" s="321" t="str">
        <f t="shared" si="47"/>
        <v>1600</v>
      </c>
      <c r="BF189" s="321">
        <v>187</v>
      </c>
    </row>
    <row r="190" spans="1:58" x14ac:dyDescent="0.25">
      <c r="A190" s="280"/>
      <c r="B190" s="323" t="str">
        <f>IF(Instructions!$J$11=1,AA190,IF(Instructions!$J$11=2,AC190,IF(Instructions!$J$11=3,AE190,IF(Instructions!$J$11=4,AG190,IF(Instructions!$J$11=5,AI190,IF(Instructions!$J$11=6,AK190,IF(Instructions!$J$11=7,AM190,IF(Instructions!$J$11=8,AO190,IF(Instructions!$J$11=9,AQ190,IF(Instructions!$J$11=10,AS190,IF(Instructions!$J$11=11,AU190,IF(Instructions!$J$11=12,AW190,IF(Instructions!$J$11=13, AY190, IF(Instructions!$J$11=14,BA190,IF(Instructions!$J$11=15,BC190,BE190)))))))))))))))</f>
        <v>215</v>
      </c>
      <c r="C190" s="272">
        <v>188</v>
      </c>
      <c r="D190" s="327" t="str">
        <f>Instructions!F$46</f>
        <v>Con</v>
      </c>
      <c r="E190" s="332" t="s">
        <v>1523</v>
      </c>
      <c r="F190" s="706"/>
      <c r="G190" s="279">
        <v>24</v>
      </c>
      <c r="H190" s="294" t="str">
        <f>Instructions!F$49</f>
        <v>Luke</v>
      </c>
      <c r="I190" s="274" t="s">
        <v>1487</v>
      </c>
      <c r="J190" s="709"/>
      <c r="K190" s="279">
        <v>19</v>
      </c>
      <c r="L190" s="294" t="str">
        <f>Instructions!F$46</f>
        <v>Con</v>
      </c>
      <c r="M190" s="274" t="s">
        <v>1094</v>
      </c>
      <c r="N190" s="709"/>
      <c r="O190" s="279">
        <v>16</v>
      </c>
      <c r="P190" s="294" t="str">
        <f>Instructions!F$50</f>
        <v>Dan</v>
      </c>
      <c r="Q190" s="274" t="s">
        <v>868</v>
      </c>
      <c r="R190" s="709"/>
      <c r="S190" s="279">
        <v>14</v>
      </c>
      <c r="T190" s="327" t="str">
        <f>Instructions!F$46</f>
        <v>Con</v>
      </c>
      <c r="U190" s="274" t="s">
        <v>850</v>
      </c>
      <c r="V190" s="706"/>
      <c r="W190" s="279">
        <v>12</v>
      </c>
      <c r="X190" s="280"/>
      <c r="Y190" s="190" t="str">
        <f>IFERROR( IF(Instructions!$E$11=8, D190&amp;COUNTIF(D$3:D190,D190), IF(Instructions!$E$11=10, H190&amp;COUNTIF(H$3:H190,H190),IF(Instructions!$E$11=12, L190&amp;COUNTIF(L$3:L190,L190),IF(Instructions!$E$11=14, P190&amp;COUNTIF(P$3:P190,P190),T190&amp;COUNTIF(T$3:T190,T190))))),"")</f>
        <v>Con16</v>
      </c>
      <c r="Z190" s="321">
        <f>IF(Instructions!$E$11=8,IF($D190=Instructions!$F$42,Z189+1,Z189),IF(Instructions!$E$11=10,IF($H190=Instructions!$F$42,Z189+1,Z189),IF(Instructions!$E$11=12,IF($L190=Instructions!$F$42,Z189+1,Z189),IF(Instructions!$E$11=14,IF($P190=Instructions!$F$42,Z189+1,Z189),IF(Instructions!$E$11=16,IF($T190=Instructions!$F$42,Z189+1,Z189))))))</f>
        <v>15</v>
      </c>
      <c r="AA190" s="321" t="str">
        <f t="shared" si="40"/>
        <v>115</v>
      </c>
      <c r="AB190" s="321">
        <f>IF(Instructions!$E$11=8,IF($D190=Instructions!$F$43,AB189+1,AB189),IF(Instructions!$E$11=10,IF($H190=Instructions!$F$43,AB189+1,AB189),IF(Instructions!$E$11=12,IF($L190=Instructions!$F$43,AB189+1,AB189),IF(Instructions!$E$11=14,IF($P190=Instructions!$F$43,AB189+1,AB189),IF(Instructions!$E$11=16,IF($T190=Instructions!$F$43,AB189+1,AB189))))))</f>
        <v>15</v>
      </c>
      <c r="AC190" s="321" t="str">
        <f t="shared" si="32"/>
        <v>215</v>
      </c>
      <c r="AD190" s="321">
        <f>IF(Instructions!$E$11=8,IF($D190=Instructions!$F$44,AD189+1,AD189),IF(Instructions!$E$11=10,IF($H190=Instructions!$F$44,AD189+1,AD189),IF(Instructions!$E$11=12,IF($L190=Instructions!$F$44,AD189+1,AD189),IF(Instructions!$E$11=14,IF($P190=Instructions!$F$44,AD189+1,AD189),IF(Instructions!$E$11=16,IF($T190=Instructions!$F$44,AD189+1,AD189))))))</f>
        <v>15</v>
      </c>
      <c r="AE190" s="321" t="str">
        <f t="shared" si="33"/>
        <v>315</v>
      </c>
      <c r="AF190" s="321">
        <f>IF(Instructions!$E$11=8,IF($D190=Instructions!$F$45,AF189+1,AF189),IF(Instructions!$E$11=10,IF($H190=Instructions!$F$45,AF189+1,AF189),IF(Instructions!$E$11=12,IF($L190=Instructions!$F$45,AF189+1,AF189),IF(Instructions!$E$11=14,IF($P190=Instructions!$F$45,AF189+1,AF189),IF(Instructions!$E$11=16,IF($T190=Instructions!$F$45,AF189+1,AF189))))))</f>
        <v>15</v>
      </c>
      <c r="AG190" s="321" t="str">
        <f t="shared" si="34"/>
        <v>415</v>
      </c>
      <c r="AH190" s="321">
        <f>IF(Instructions!$E$11=8,IF($D190=Instructions!$F$46,AH189+1,AH189),IF(Instructions!$E$11=10,IF($H190=Instructions!$F$46,AH189+1,AH189),IF(Instructions!$E$11=12,IF($L190=Instructions!$F$46,AH189+1,AH189),IF(Instructions!$E$11=14,IF($P190=Instructions!$F$46,AH189+1,AH189),IF(Instructions!$E$11=16,IF($T190=Instructions!$F$46,AH189+1,AH189))))))</f>
        <v>16</v>
      </c>
      <c r="AI190" s="321" t="str">
        <f t="shared" si="35"/>
        <v>516</v>
      </c>
      <c r="AJ190" s="321">
        <f>IF(Instructions!$E$11=8,IF($D190=Instructions!$F$47,AJ189+1,AJ189),IF(Instructions!$E$11=10,IF($H190=Instructions!$F$47,AJ189+1,AJ189),IF(Instructions!$E$11=12,IF($L190=Instructions!$F$47,AJ189+1,AJ189),IF(Instructions!$E$11=14,IF($P190=Instructions!$F$47,AJ189+1,AJ189),IF(Instructions!$E$11=16,IF($T190=Instructions!$F$47,AJ189+1,AJ189))))))</f>
        <v>16</v>
      </c>
      <c r="AK190" s="321" t="str">
        <f t="shared" si="36"/>
        <v>616</v>
      </c>
      <c r="AL190" s="321">
        <f>IF(Instructions!$E$11=8,IF($D190=Instructions!$F$48,AL189+1,AL189),IF(Instructions!$E$11=10,IF($H190=Instructions!$F$48,AL189+1,AL189),IF(Instructions!$E$11=12,IF($L190=Instructions!$F$48,AL189+1,AL189),IF(Instructions!$E$11=14,IF($P190=Instructions!$F$48,AL189+1,AL189),IF(Instructions!$E$11=16,IF($T190=Instructions!$F$48,AL189+1,AL189))))))</f>
        <v>16</v>
      </c>
      <c r="AM190" s="321" t="str">
        <f t="shared" si="37"/>
        <v>716</v>
      </c>
      <c r="AN190" s="321">
        <f>IF(Instructions!$E$11=8,IF($D190=Instructions!$F$49,AN189+1,AN189),IF(Instructions!$E$11=10,IF($H190=Instructions!$F$49,AN189+1,AN189),IF(Instructions!$E$11=12,IF($L190=Instructions!$F$49,AN189+1,AN189),IF(Instructions!$E$11=14,IF($P190=Instructions!$F$49,AN189+1,AN189),IF(Instructions!$E$11=16,IF($T190=Instructions!$F$49,AN189+1,AN189))))))</f>
        <v>16</v>
      </c>
      <c r="AO190" s="321" t="str">
        <f t="shared" si="38"/>
        <v>816</v>
      </c>
      <c r="AP190" s="321">
        <f>IF(Instructions!$E$11=8,IF($D190=Instructions!$F$50,AP189+1,AP189),IF(Instructions!$E$11=10,IF($H190=Instructions!$F$50,AP189+1,AP189),IF(Instructions!$E$11=12,IF($L190=Instructions!$F$50,AP189+1,AP189),IF(Instructions!$E$11=14,IF($P190=Instructions!$F$50,AP189+1,AP189),IF(Instructions!$E$11=16,IF($T190=Instructions!$F$50,AP189+1,AP189))))))</f>
        <v>16</v>
      </c>
      <c r="AQ190" s="321" t="str">
        <f t="shared" si="39"/>
        <v>916</v>
      </c>
      <c r="AR190" s="321">
        <f>IF(Instructions!$E$11=8,IF($D190=Instructions!$F$51,AR189+1,AR189),IF(Instructions!$E$11=10,IF($H190=Instructions!$F$51,AR189+1,AR189),IF(Instructions!$E$11=12,IF($L190=Instructions!$F$51,AR189+1,AR189),IF(Instructions!$E$11=14,IF($P190=Instructions!$F$51,AR189+1,AR189),IF(Instructions!$E$11=16,IF($T190=Instructions!$F$51,AR189+1,AR189))))))</f>
        <v>16</v>
      </c>
      <c r="AS190" s="321" t="str">
        <f t="shared" si="41"/>
        <v>1016</v>
      </c>
      <c r="AT190" s="321">
        <f>IF(Instructions!$E$11=8,IF($D190=Instructions!$F$52,AT189+1,AT189),IF(Instructions!$E$11=10,IF($H190=Instructions!$F$52,AT189+1,AT189),IF(Instructions!$E$11=12,IF($L190=Instructions!$F$52,AT189+1,AT189),IF(Instructions!$E$11=14,IF($P190=Instructions!$F$52,AT189+1,AT189),IF(Instructions!$E$11=16,IF($T190=Instructions!$F$52,AT189+1,AT189))))))</f>
        <v>16</v>
      </c>
      <c r="AU190" s="321" t="str">
        <f t="shared" si="42"/>
        <v>1116</v>
      </c>
      <c r="AV190" s="321">
        <f>IF(Instructions!$E$11=8,IF($D190=Instructions!$F$53,AV189+1,AV189),IF(Instructions!$E$11=10,IF($H190=Instructions!$F$53,AV189+1,AV189),IF(Instructions!$E$11=12,IF($L190=Instructions!$F$53,AV189+1,AV189),IF(Instructions!$E$11=14,IF($P190=Instructions!$F$53,AV189+1,AV189),IF(Instructions!$E$11=16,IF($T190=Instructions!$F$53,AV189+1,AV189))))))</f>
        <v>16</v>
      </c>
      <c r="AW190" s="321" t="str">
        <f t="shared" si="43"/>
        <v>1216</v>
      </c>
      <c r="AX190" s="321">
        <f>IF(Instructions!$E$11=8,IF($D190=Instructions!$F$54,AX189+1,AX189),IF(Instructions!$E$11=10,IF($H190=Instructions!$F$54,AX189+1,AX189),IF(Instructions!$E$11=12,IF($L190=Instructions!$F$54,AX189+1,AX189),IF(Instructions!$E$11=14,IF($P190=Instructions!$F$54,AX189+1,AX189),IF(Instructions!$E$11=16,IF($T190=Instructions!$F$54,AX189+1,AX189))))))</f>
        <v>0</v>
      </c>
      <c r="AY190" s="321" t="str">
        <f t="shared" si="44"/>
        <v>1300</v>
      </c>
      <c r="AZ190" s="321">
        <f>IF(Instructions!$E$11=8,IF($D190=Instructions!$F$55,AZ189+1,AZ189),IF(Instructions!$E$11=10,IF($H190=Instructions!$F$55,AZ189+1,AZ189),IF(Instructions!$E$11=12,IF($L190=Instructions!$F$55,AZ189+1,AZ189),IF(Instructions!$E$11=14,IF($P190=Instructions!$F$55,AZ189+1,AZ189),IF(Instructions!$E$11=16,IF($T190=Instructions!$F$55,AZ189+1,AZ189))))))</f>
        <v>0</v>
      </c>
      <c r="BA190" s="321" t="str">
        <f t="shared" si="45"/>
        <v>1400</v>
      </c>
      <c r="BB190" s="321">
        <f>IF(Instructions!$E$11=8,IF($D190=Instructions!$F$56,BB189+1,BB189),IF(Instructions!$E$11=10,IF($H190=Instructions!$F$56,BB189+1,BB189),IF(Instructions!$E$11=12,IF($L190=Instructions!$F$56,BB189+1,BB189),IF(Instructions!$E$11=14,IF($P190=Instructions!$F$56,BB189+1,BB189),IF(Instructions!$E$11=16,IF($T190=Instructions!$F$56,BB189+1,BB189))))))</f>
        <v>0</v>
      </c>
      <c r="BC190" s="321" t="str">
        <f t="shared" si="46"/>
        <v>1500</v>
      </c>
      <c r="BD190" s="321">
        <f>IF(Instructions!$E$11=8,IF($D190=Instructions!$F$57,BD189+1,BD189),IF(Instructions!$E$11=10,IF($H190=Instructions!$F$57,BD189+1,BD189),IF(Instructions!$E$11=12,IF($L190=Instructions!$F$57,BD189+1,BD189),IF(Instructions!$E$11=14,IF($P190=Instructions!$F$57,BD189+1,BD189),IF(Instructions!$E$11=16,IF($T190=Instructions!$F$57,BD189+1,BD189))))))</f>
        <v>0</v>
      </c>
      <c r="BE190" s="321" t="str">
        <f t="shared" si="47"/>
        <v>1600</v>
      </c>
      <c r="BF190" s="321">
        <v>188</v>
      </c>
    </row>
    <row r="191" spans="1:58" x14ac:dyDescent="0.25">
      <c r="A191" s="280"/>
      <c r="B191" s="323" t="str">
        <f>IF(Instructions!$J$11=1,AA191,IF(Instructions!$J$11=2,AC191,IF(Instructions!$J$11=3,AE191,IF(Instructions!$J$11=4,AG191,IF(Instructions!$J$11=5,AI191,IF(Instructions!$J$11=6,AK191,IF(Instructions!$J$11=7,AM191,IF(Instructions!$J$11=8,AO191,IF(Instructions!$J$11=9,AQ191,IF(Instructions!$J$11=10,AS191,IF(Instructions!$J$11=11,AU191,IF(Instructions!$J$11=12,AW191,IF(Instructions!$J$11=13, AY191, IF(Instructions!$J$11=14,BA191,IF(Instructions!$J$11=15,BC191,BE191)))))))))))))))</f>
        <v>215</v>
      </c>
      <c r="C191" s="271">
        <v>189</v>
      </c>
      <c r="D191" s="328" t="str">
        <f>Instructions!F$45</f>
        <v>Miles</v>
      </c>
      <c r="E191" s="333" t="s">
        <v>1524</v>
      </c>
      <c r="F191" s="706"/>
      <c r="G191" s="279">
        <v>24</v>
      </c>
      <c r="H191" s="293" t="str">
        <f>Instructions!F$50</f>
        <v>Dan</v>
      </c>
      <c r="I191" s="273" t="s">
        <v>1540</v>
      </c>
      <c r="J191" s="709"/>
      <c r="K191" s="279">
        <v>19</v>
      </c>
      <c r="L191" s="293" t="str">
        <f>Instructions!F$45</f>
        <v>Miles</v>
      </c>
      <c r="M191" s="273" t="s">
        <v>1095</v>
      </c>
      <c r="N191" s="709"/>
      <c r="O191" s="279">
        <v>16</v>
      </c>
      <c r="P191" s="293" t="str">
        <f>Instructions!F$49</f>
        <v>Luke</v>
      </c>
      <c r="Q191" s="273" t="s">
        <v>869</v>
      </c>
      <c r="R191" s="709"/>
      <c r="S191" s="279">
        <v>14</v>
      </c>
      <c r="T191" s="328" t="str">
        <f>Instructions!F$45</f>
        <v>Miles</v>
      </c>
      <c r="U191" s="273" t="s">
        <v>951</v>
      </c>
      <c r="V191" s="706"/>
      <c r="W191" s="279">
        <v>12</v>
      </c>
      <c r="X191" s="280"/>
      <c r="Y191" s="190" t="str">
        <f>IFERROR( IF(Instructions!$E$11=8, D191&amp;COUNTIF(D$3:D191,D191), IF(Instructions!$E$11=10, H191&amp;COUNTIF(H$3:H191,H191),IF(Instructions!$E$11=12, L191&amp;COUNTIF(L$3:L191,L191),IF(Instructions!$E$11=14, P191&amp;COUNTIF(P$3:P191,P191),T191&amp;COUNTIF(T$3:T191,T191))))),"")</f>
        <v>Miles16</v>
      </c>
      <c r="Z191" s="321">
        <f>IF(Instructions!$E$11=8,IF($D191=Instructions!$F$42,Z190+1,Z190),IF(Instructions!$E$11=10,IF($H191=Instructions!$F$42,Z190+1,Z190),IF(Instructions!$E$11=12,IF($L191=Instructions!$F$42,Z190+1,Z190),IF(Instructions!$E$11=14,IF($P191=Instructions!$F$42,Z190+1,Z190),IF(Instructions!$E$11=16,IF($T191=Instructions!$F$42,Z190+1,Z190))))))</f>
        <v>15</v>
      </c>
      <c r="AA191" s="321" t="str">
        <f t="shared" si="40"/>
        <v>115</v>
      </c>
      <c r="AB191" s="321">
        <f>IF(Instructions!$E$11=8,IF($D191=Instructions!$F$43,AB190+1,AB190),IF(Instructions!$E$11=10,IF($H191=Instructions!$F$43,AB190+1,AB190),IF(Instructions!$E$11=12,IF($L191=Instructions!$F$43,AB190+1,AB190),IF(Instructions!$E$11=14,IF($P191=Instructions!$F$43,AB190+1,AB190),IF(Instructions!$E$11=16,IF($T191=Instructions!$F$43,AB190+1,AB190))))))</f>
        <v>15</v>
      </c>
      <c r="AC191" s="321" t="str">
        <f t="shared" si="32"/>
        <v>215</v>
      </c>
      <c r="AD191" s="321">
        <f>IF(Instructions!$E$11=8,IF($D191=Instructions!$F$44,AD190+1,AD190),IF(Instructions!$E$11=10,IF($H191=Instructions!$F$44,AD190+1,AD190),IF(Instructions!$E$11=12,IF($L191=Instructions!$F$44,AD190+1,AD190),IF(Instructions!$E$11=14,IF($P191=Instructions!$F$44,AD190+1,AD190),IF(Instructions!$E$11=16,IF($T191=Instructions!$F$44,AD190+1,AD190))))))</f>
        <v>15</v>
      </c>
      <c r="AE191" s="321" t="str">
        <f t="shared" si="33"/>
        <v>315</v>
      </c>
      <c r="AF191" s="321">
        <f>IF(Instructions!$E$11=8,IF($D191=Instructions!$F$45,AF190+1,AF190),IF(Instructions!$E$11=10,IF($H191=Instructions!$F$45,AF190+1,AF190),IF(Instructions!$E$11=12,IF($L191=Instructions!$F$45,AF190+1,AF190),IF(Instructions!$E$11=14,IF($P191=Instructions!$F$45,AF190+1,AF190),IF(Instructions!$E$11=16,IF($T191=Instructions!$F$45,AF190+1,AF190))))))</f>
        <v>16</v>
      </c>
      <c r="AG191" s="321" t="str">
        <f t="shared" si="34"/>
        <v>416</v>
      </c>
      <c r="AH191" s="321">
        <f>IF(Instructions!$E$11=8,IF($D191=Instructions!$F$46,AH190+1,AH190),IF(Instructions!$E$11=10,IF($H191=Instructions!$F$46,AH190+1,AH190),IF(Instructions!$E$11=12,IF($L191=Instructions!$F$46,AH190+1,AH190),IF(Instructions!$E$11=14,IF($P191=Instructions!$F$46,AH190+1,AH190),IF(Instructions!$E$11=16,IF($T191=Instructions!$F$46,AH190+1,AH190))))))</f>
        <v>16</v>
      </c>
      <c r="AI191" s="321" t="str">
        <f t="shared" si="35"/>
        <v>516</v>
      </c>
      <c r="AJ191" s="321">
        <f>IF(Instructions!$E$11=8,IF($D191=Instructions!$F$47,AJ190+1,AJ190),IF(Instructions!$E$11=10,IF($H191=Instructions!$F$47,AJ190+1,AJ190),IF(Instructions!$E$11=12,IF($L191=Instructions!$F$47,AJ190+1,AJ190),IF(Instructions!$E$11=14,IF($P191=Instructions!$F$47,AJ190+1,AJ190),IF(Instructions!$E$11=16,IF($T191=Instructions!$F$47,AJ190+1,AJ190))))))</f>
        <v>16</v>
      </c>
      <c r="AK191" s="321" t="str">
        <f t="shared" si="36"/>
        <v>616</v>
      </c>
      <c r="AL191" s="321">
        <f>IF(Instructions!$E$11=8,IF($D191=Instructions!$F$48,AL190+1,AL190),IF(Instructions!$E$11=10,IF($H191=Instructions!$F$48,AL190+1,AL190),IF(Instructions!$E$11=12,IF($L191=Instructions!$F$48,AL190+1,AL190),IF(Instructions!$E$11=14,IF($P191=Instructions!$F$48,AL190+1,AL190),IF(Instructions!$E$11=16,IF($T191=Instructions!$F$48,AL190+1,AL190))))))</f>
        <v>16</v>
      </c>
      <c r="AM191" s="321" t="str">
        <f t="shared" si="37"/>
        <v>716</v>
      </c>
      <c r="AN191" s="321">
        <f>IF(Instructions!$E$11=8,IF($D191=Instructions!$F$49,AN190+1,AN190),IF(Instructions!$E$11=10,IF($H191=Instructions!$F$49,AN190+1,AN190),IF(Instructions!$E$11=12,IF($L191=Instructions!$F$49,AN190+1,AN190),IF(Instructions!$E$11=14,IF($P191=Instructions!$F$49,AN190+1,AN190),IF(Instructions!$E$11=16,IF($T191=Instructions!$F$49,AN190+1,AN190))))))</f>
        <v>16</v>
      </c>
      <c r="AO191" s="321" t="str">
        <f t="shared" si="38"/>
        <v>816</v>
      </c>
      <c r="AP191" s="321">
        <f>IF(Instructions!$E$11=8,IF($D191=Instructions!$F$50,AP190+1,AP190),IF(Instructions!$E$11=10,IF($H191=Instructions!$F$50,AP190+1,AP190),IF(Instructions!$E$11=12,IF($L191=Instructions!$F$50,AP190+1,AP190),IF(Instructions!$E$11=14,IF($P191=Instructions!$F$50,AP190+1,AP190),IF(Instructions!$E$11=16,IF($T191=Instructions!$F$50,AP190+1,AP190))))))</f>
        <v>16</v>
      </c>
      <c r="AQ191" s="321" t="str">
        <f t="shared" si="39"/>
        <v>916</v>
      </c>
      <c r="AR191" s="321">
        <f>IF(Instructions!$E$11=8,IF($D191=Instructions!$F$51,AR190+1,AR190),IF(Instructions!$E$11=10,IF($H191=Instructions!$F$51,AR190+1,AR190),IF(Instructions!$E$11=12,IF($L191=Instructions!$F$51,AR190+1,AR190),IF(Instructions!$E$11=14,IF($P191=Instructions!$F$51,AR190+1,AR190),IF(Instructions!$E$11=16,IF($T191=Instructions!$F$51,AR190+1,AR190))))))</f>
        <v>16</v>
      </c>
      <c r="AS191" s="321" t="str">
        <f t="shared" si="41"/>
        <v>1016</v>
      </c>
      <c r="AT191" s="321">
        <f>IF(Instructions!$E$11=8,IF($D191=Instructions!$F$52,AT190+1,AT190),IF(Instructions!$E$11=10,IF($H191=Instructions!$F$52,AT190+1,AT190),IF(Instructions!$E$11=12,IF($L191=Instructions!$F$52,AT190+1,AT190),IF(Instructions!$E$11=14,IF($P191=Instructions!$F$52,AT190+1,AT190),IF(Instructions!$E$11=16,IF($T191=Instructions!$F$52,AT190+1,AT190))))))</f>
        <v>16</v>
      </c>
      <c r="AU191" s="321" t="str">
        <f t="shared" si="42"/>
        <v>1116</v>
      </c>
      <c r="AV191" s="321">
        <f>IF(Instructions!$E$11=8,IF($D191=Instructions!$F$53,AV190+1,AV190),IF(Instructions!$E$11=10,IF($H191=Instructions!$F$53,AV190+1,AV190),IF(Instructions!$E$11=12,IF($L191=Instructions!$F$53,AV190+1,AV190),IF(Instructions!$E$11=14,IF($P191=Instructions!$F$53,AV190+1,AV190),IF(Instructions!$E$11=16,IF($T191=Instructions!$F$53,AV190+1,AV190))))))</f>
        <v>16</v>
      </c>
      <c r="AW191" s="321" t="str">
        <f t="shared" si="43"/>
        <v>1216</v>
      </c>
      <c r="AX191" s="321">
        <f>IF(Instructions!$E$11=8,IF($D191=Instructions!$F$54,AX190+1,AX190),IF(Instructions!$E$11=10,IF($H191=Instructions!$F$54,AX190+1,AX190),IF(Instructions!$E$11=12,IF($L191=Instructions!$F$54,AX190+1,AX190),IF(Instructions!$E$11=14,IF($P191=Instructions!$F$54,AX190+1,AX190),IF(Instructions!$E$11=16,IF($T191=Instructions!$F$54,AX190+1,AX190))))))</f>
        <v>0</v>
      </c>
      <c r="AY191" s="321" t="str">
        <f t="shared" si="44"/>
        <v>1300</v>
      </c>
      <c r="AZ191" s="321">
        <f>IF(Instructions!$E$11=8,IF($D191=Instructions!$F$55,AZ190+1,AZ190),IF(Instructions!$E$11=10,IF($H191=Instructions!$F$55,AZ190+1,AZ190),IF(Instructions!$E$11=12,IF($L191=Instructions!$F$55,AZ190+1,AZ190),IF(Instructions!$E$11=14,IF($P191=Instructions!$F$55,AZ190+1,AZ190),IF(Instructions!$E$11=16,IF($T191=Instructions!$F$55,AZ190+1,AZ190))))))</f>
        <v>0</v>
      </c>
      <c r="BA191" s="321" t="str">
        <f t="shared" si="45"/>
        <v>1400</v>
      </c>
      <c r="BB191" s="321">
        <f>IF(Instructions!$E$11=8,IF($D191=Instructions!$F$56,BB190+1,BB190),IF(Instructions!$E$11=10,IF($H191=Instructions!$F$56,BB190+1,BB190),IF(Instructions!$E$11=12,IF($L191=Instructions!$F$56,BB190+1,BB190),IF(Instructions!$E$11=14,IF($P191=Instructions!$F$56,BB190+1,BB190),IF(Instructions!$E$11=16,IF($T191=Instructions!$F$56,BB190+1,BB190))))))</f>
        <v>0</v>
      </c>
      <c r="BC191" s="321" t="str">
        <f t="shared" si="46"/>
        <v>1500</v>
      </c>
      <c r="BD191" s="321">
        <f>IF(Instructions!$E$11=8,IF($D191=Instructions!$F$57,BD190+1,BD190),IF(Instructions!$E$11=10,IF($H191=Instructions!$F$57,BD190+1,BD190),IF(Instructions!$E$11=12,IF($L191=Instructions!$F$57,BD190+1,BD190),IF(Instructions!$E$11=14,IF($P191=Instructions!$F$57,BD190+1,BD190),IF(Instructions!$E$11=16,IF($T191=Instructions!$F$57,BD190+1,BD190))))))</f>
        <v>0</v>
      </c>
      <c r="BE191" s="321" t="str">
        <f t="shared" si="47"/>
        <v>1600</v>
      </c>
      <c r="BF191" s="321">
        <v>189</v>
      </c>
    </row>
    <row r="192" spans="1:58" ht="15.75" thickBot="1" x14ac:dyDescent="0.3">
      <c r="A192" s="280"/>
      <c r="B192" s="323" t="str">
        <f>IF(Instructions!$J$11=1,AA192,IF(Instructions!$J$11=2,AC192,IF(Instructions!$J$11=3,AE192,IF(Instructions!$J$11=4,AG192,IF(Instructions!$J$11=5,AI192,IF(Instructions!$J$11=6,AK192,IF(Instructions!$J$11=7,AM192,IF(Instructions!$J$11=8,AO192,IF(Instructions!$J$11=9,AQ192,IF(Instructions!$J$11=10,AS192,IF(Instructions!$J$11=11,AU192,IF(Instructions!$J$11=12,AW192,IF(Instructions!$J$11=13, AY192, IF(Instructions!$J$11=14,BA192,IF(Instructions!$J$11=15,BC192,BE192)))))))))))))))</f>
        <v>215</v>
      </c>
      <c r="C192" s="272">
        <v>190</v>
      </c>
      <c r="D192" s="327" t="str">
        <f>Instructions!F$44</f>
        <v>Cam</v>
      </c>
      <c r="E192" s="332" t="s">
        <v>1525</v>
      </c>
      <c r="F192" s="706"/>
      <c r="G192" s="279">
        <v>24</v>
      </c>
      <c r="H192" s="295" t="str">
        <f>Instructions!F$51</f>
        <v>Josh</v>
      </c>
      <c r="I192" s="277" t="s">
        <v>1541</v>
      </c>
      <c r="J192" s="710"/>
      <c r="K192" s="279">
        <v>19</v>
      </c>
      <c r="L192" s="294" t="str">
        <f>Instructions!F$44</f>
        <v>Cam</v>
      </c>
      <c r="M192" s="274" t="s">
        <v>1096</v>
      </c>
      <c r="N192" s="709"/>
      <c r="O192" s="279">
        <v>16</v>
      </c>
      <c r="P192" s="294" t="str">
        <f>Instructions!F$48</f>
        <v>Bui</v>
      </c>
      <c r="Q192" s="274" t="s">
        <v>870</v>
      </c>
      <c r="R192" s="709"/>
      <c r="S192" s="279">
        <v>14</v>
      </c>
      <c r="T192" s="327" t="str">
        <f>Instructions!F$44</f>
        <v>Cam</v>
      </c>
      <c r="U192" s="274" t="s">
        <v>950</v>
      </c>
      <c r="V192" s="706"/>
      <c r="W192" s="279">
        <v>12</v>
      </c>
      <c r="X192" s="280"/>
      <c r="Y192" s="190" t="str">
        <f>IFERROR( IF(Instructions!$E$11=8, D192&amp;COUNTIF(D$3:D192,D192), IF(Instructions!$E$11=10, H192&amp;COUNTIF(H$3:H192,H192),IF(Instructions!$E$11=12, L192&amp;COUNTIF(L$3:L192,L192),IF(Instructions!$E$11=14, P192&amp;COUNTIF(P$3:P192,P192),T192&amp;COUNTIF(T$3:T192,T192))))),"")</f>
        <v>Cam16</v>
      </c>
      <c r="Z192" s="321">
        <f>IF(Instructions!$E$11=8,IF($D192=Instructions!$F$42,Z191+1,Z191),IF(Instructions!$E$11=10,IF($H192=Instructions!$F$42,Z191+1,Z191),IF(Instructions!$E$11=12,IF($L192=Instructions!$F$42,Z191+1,Z191),IF(Instructions!$E$11=14,IF($P192=Instructions!$F$42,Z191+1,Z191),IF(Instructions!$E$11=16,IF($T192=Instructions!$F$42,Z191+1,Z191))))))</f>
        <v>15</v>
      </c>
      <c r="AA192" s="321" t="str">
        <f t="shared" si="40"/>
        <v>115</v>
      </c>
      <c r="AB192" s="321">
        <f>IF(Instructions!$E$11=8,IF($D192=Instructions!$F$43,AB191+1,AB191),IF(Instructions!$E$11=10,IF($H192=Instructions!$F$43,AB191+1,AB191),IF(Instructions!$E$11=12,IF($L192=Instructions!$F$43,AB191+1,AB191),IF(Instructions!$E$11=14,IF($P192=Instructions!$F$43,AB191+1,AB191),IF(Instructions!$E$11=16,IF($T192=Instructions!$F$43,AB191+1,AB191))))))</f>
        <v>15</v>
      </c>
      <c r="AC192" s="321" t="str">
        <f t="shared" si="32"/>
        <v>215</v>
      </c>
      <c r="AD192" s="321">
        <f>IF(Instructions!$E$11=8,IF($D192=Instructions!$F$44,AD191+1,AD191),IF(Instructions!$E$11=10,IF($H192=Instructions!$F$44,AD191+1,AD191),IF(Instructions!$E$11=12,IF($L192=Instructions!$F$44,AD191+1,AD191),IF(Instructions!$E$11=14,IF($P192=Instructions!$F$44,AD191+1,AD191),IF(Instructions!$E$11=16,IF($T192=Instructions!$F$44,AD191+1,AD191))))))</f>
        <v>16</v>
      </c>
      <c r="AE192" s="321" t="str">
        <f t="shared" si="33"/>
        <v>316</v>
      </c>
      <c r="AF192" s="321">
        <f>IF(Instructions!$E$11=8,IF($D192=Instructions!$F$45,AF191+1,AF191),IF(Instructions!$E$11=10,IF($H192=Instructions!$F$45,AF191+1,AF191),IF(Instructions!$E$11=12,IF($L192=Instructions!$F$45,AF191+1,AF191),IF(Instructions!$E$11=14,IF($P192=Instructions!$F$45,AF191+1,AF191),IF(Instructions!$E$11=16,IF($T192=Instructions!$F$45,AF191+1,AF191))))))</f>
        <v>16</v>
      </c>
      <c r="AG192" s="321" t="str">
        <f t="shared" si="34"/>
        <v>416</v>
      </c>
      <c r="AH192" s="321">
        <f>IF(Instructions!$E$11=8,IF($D192=Instructions!$F$46,AH191+1,AH191),IF(Instructions!$E$11=10,IF($H192=Instructions!$F$46,AH191+1,AH191),IF(Instructions!$E$11=12,IF($L192=Instructions!$F$46,AH191+1,AH191),IF(Instructions!$E$11=14,IF($P192=Instructions!$F$46,AH191+1,AH191),IF(Instructions!$E$11=16,IF($T192=Instructions!$F$46,AH191+1,AH191))))))</f>
        <v>16</v>
      </c>
      <c r="AI192" s="321" t="str">
        <f t="shared" si="35"/>
        <v>516</v>
      </c>
      <c r="AJ192" s="321">
        <f>IF(Instructions!$E$11=8,IF($D192=Instructions!$F$47,AJ191+1,AJ191),IF(Instructions!$E$11=10,IF($H192=Instructions!$F$47,AJ191+1,AJ191),IF(Instructions!$E$11=12,IF($L192=Instructions!$F$47,AJ191+1,AJ191),IF(Instructions!$E$11=14,IF($P192=Instructions!$F$47,AJ191+1,AJ191),IF(Instructions!$E$11=16,IF($T192=Instructions!$F$47,AJ191+1,AJ191))))))</f>
        <v>16</v>
      </c>
      <c r="AK192" s="321" t="str">
        <f t="shared" si="36"/>
        <v>616</v>
      </c>
      <c r="AL192" s="321">
        <f>IF(Instructions!$E$11=8,IF($D192=Instructions!$F$48,AL191+1,AL191),IF(Instructions!$E$11=10,IF($H192=Instructions!$F$48,AL191+1,AL191),IF(Instructions!$E$11=12,IF($L192=Instructions!$F$48,AL191+1,AL191),IF(Instructions!$E$11=14,IF($P192=Instructions!$F$48,AL191+1,AL191),IF(Instructions!$E$11=16,IF($T192=Instructions!$F$48,AL191+1,AL191))))))</f>
        <v>16</v>
      </c>
      <c r="AM192" s="321" t="str">
        <f t="shared" si="37"/>
        <v>716</v>
      </c>
      <c r="AN192" s="321">
        <f>IF(Instructions!$E$11=8,IF($D192=Instructions!$F$49,AN191+1,AN191),IF(Instructions!$E$11=10,IF($H192=Instructions!$F$49,AN191+1,AN191),IF(Instructions!$E$11=12,IF($L192=Instructions!$F$49,AN191+1,AN191),IF(Instructions!$E$11=14,IF($P192=Instructions!$F$49,AN191+1,AN191),IF(Instructions!$E$11=16,IF($T192=Instructions!$F$49,AN191+1,AN191))))))</f>
        <v>16</v>
      </c>
      <c r="AO192" s="321" t="str">
        <f t="shared" si="38"/>
        <v>816</v>
      </c>
      <c r="AP192" s="321">
        <f>IF(Instructions!$E$11=8,IF($D192=Instructions!$F$50,AP191+1,AP191),IF(Instructions!$E$11=10,IF($H192=Instructions!$F$50,AP191+1,AP191),IF(Instructions!$E$11=12,IF($L192=Instructions!$F$50,AP191+1,AP191),IF(Instructions!$E$11=14,IF($P192=Instructions!$F$50,AP191+1,AP191),IF(Instructions!$E$11=16,IF($T192=Instructions!$F$50,AP191+1,AP191))))))</f>
        <v>16</v>
      </c>
      <c r="AQ192" s="321" t="str">
        <f t="shared" si="39"/>
        <v>916</v>
      </c>
      <c r="AR192" s="321">
        <f>IF(Instructions!$E$11=8,IF($D192=Instructions!$F$51,AR191+1,AR191),IF(Instructions!$E$11=10,IF($H192=Instructions!$F$51,AR191+1,AR191),IF(Instructions!$E$11=12,IF($L192=Instructions!$F$51,AR191+1,AR191),IF(Instructions!$E$11=14,IF($P192=Instructions!$F$51,AR191+1,AR191),IF(Instructions!$E$11=16,IF($T192=Instructions!$F$51,AR191+1,AR191))))))</f>
        <v>16</v>
      </c>
      <c r="AS192" s="321" t="str">
        <f t="shared" si="41"/>
        <v>1016</v>
      </c>
      <c r="AT192" s="321">
        <f>IF(Instructions!$E$11=8,IF($D192=Instructions!$F$52,AT191+1,AT191),IF(Instructions!$E$11=10,IF($H192=Instructions!$F$52,AT191+1,AT191),IF(Instructions!$E$11=12,IF($L192=Instructions!$F$52,AT191+1,AT191),IF(Instructions!$E$11=14,IF($P192=Instructions!$F$52,AT191+1,AT191),IF(Instructions!$E$11=16,IF($T192=Instructions!$F$52,AT191+1,AT191))))))</f>
        <v>16</v>
      </c>
      <c r="AU192" s="321" t="str">
        <f t="shared" si="42"/>
        <v>1116</v>
      </c>
      <c r="AV192" s="321">
        <f>IF(Instructions!$E$11=8,IF($D192=Instructions!$F$53,AV191+1,AV191),IF(Instructions!$E$11=10,IF($H192=Instructions!$F$53,AV191+1,AV191),IF(Instructions!$E$11=12,IF($L192=Instructions!$F$53,AV191+1,AV191),IF(Instructions!$E$11=14,IF($P192=Instructions!$F$53,AV191+1,AV191),IF(Instructions!$E$11=16,IF($T192=Instructions!$F$53,AV191+1,AV191))))))</f>
        <v>16</v>
      </c>
      <c r="AW192" s="321" t="str">
        <f t="shared" si="43"/>
        <v>1216</v>
      </c>
      <c r="AX192" s="321">
        <f>IF(Instructions!$E$11=8,IF($D192=Instructions!$F$54,AX191+1,AX191),IF(Instructions!$E$11=10,IF($H192=Instructions!$F$54,AX191+1,AX191),IF(Instructions!$E$11=12,IF($L192=Instructions!$F$54,AX191+1,AX191),IF(Instructions!$E$11=14,IF($P192=Instructions!$F$54,AX191+1,AX191),IF(Instructions!$E$11=16,IF($T192=Instructions!$F$54,AX191+1,AX191))))))</f>
        <v>0</v>
      </c>
      <c r="AY192" s="321" t="str">
        <f t="shared" si="44"/>
        <v>1300</v>
      </c>
      <c r="AZ192" s="321">
        <f>IF(Instructions!$E$11=8,IF($D192=Instructions!$F$55,AZ191+1,AZ191),IF(Instructions!$E$11=10,IF($H192=Instructions!$F$55,AZ191+1,AZ191),IF(Instructions!$E$11=12,IF($L192=Instructions!$F$55,AZ191+1,AZ191),IF(Instructions!$E$11=14,IF($P192=Instructions!$F$55,AZ191+1,AZ191),IF(Instructions!$E$11=16,IF($T192=Instructions!$F$55,AZ191+1,AZ191))))))</f>
        <v>0</v>
      </c>
      <c r="BA192" s="321" t="str">
        <f t="shared" si="45"/>
        <v>1400</v>
      </c>
      <c r="BB192" s="321">
        <f>IF(Instructions!$E$11=8,IF($D192=Instructions!$F$56,BB191+1,BB191),IF(Instructions!$E$11=10,IF($H192=Instructions!$F$56,BB191+1,BB191),IF(Instructions!$E$11=12,IF($L192=Instructions!$F$56,BB191+1,BB191),IF(Instructions!$E$11=14,IF($P192=Instructions!$F$56,BB191+1,BB191),IF(Instructions!$E$11=16,IF($T192=Instructions!$F$56,BB191+1,BB191))))))</f>
        <v>0</v>
      </c>
      <c r="BC192" s="321" t="str">
        <f t="shared" si="46"/>
        <v>1500</v>
      </c>
      <c r="BD192" s="321">
        <f>IF(Instructions!$E$11=8,IF($D192=Instructions!$F$57,BD191+1,BD191),IF(Instructions!$E$11=10,IF($H192=Instructions!$F$57,BD191+1,BD191),IF(Instructions!$E$11=12,IF($L192=Instructions!$F$57,BD191+1,BD191),IF(Instructions!$E$11=14,IF($P192=Instructions!$F$57,BD191+1,BD191),IF(Instructions!$E$11=16,IF($T192=Instructions!$F$57,BD191+1,BD191))))))</f>
        <v>0</v>
      </c>
      <c r="BE192" s="321" t="str">
        <f t="shared" si="47"/>
        <v>1600</v>
      </c>
      <c r="BF192" s="321">
        <v>190</v>
      </c>
    </row>
    <row r="193" spans="1:58" x14ac:dyDescent="0.25">
      <c r="A193" s="280"/>
      <c r="B193" s="323" t="str">
        <f>IF(Instructions!$J$11=1,AA193,IF(Instructions!$J$11=2,AC193,IF(Instructions!$J$11=3,AE193,IF(Instructions!$J$11=4,AG193,IF(Instructions!$J$11=5,AI193,IF(Instructions!$J$11=6,AK193,IF(Instructions!$J$11=7,AM193,IF(Instructions!$J$11=8,AO193,IF(Instructions!$J$11=9,AQ193,IF(Instructions!$J$11=10,AS193,IF(Instructions!$J$11=11,AU193,IF(Instructions!$J$11=12,AW193,IF(Instructions!$J$11=13, AY193, IF(Instructions!$J$11=14,BA193,IF(Instructions!$J$11=15,BC193,BE193)))))))))))))))</f>
        <v>216</v>
      </c>
      <c r="C193" s="271">
        <v>191</v>
      </c>
      <c r="D193" s="328" t="str">
        <f>Instructions!F$43</f>
        <v>Camden</v>
      </c>
      <c r="E193" s="333" t="s">
        <v>1526</v>
      </c>
      <c r="F193" s="706"/>
      <c r="G193" s="279">
        <v>24</v>
      </c>
      <c r="H193" s="292" t="str">
        <f>Instructions!F$51</f>
        <v>Josh</v>
      </c>
      <c r="I193" s="276" t="s">
        <v>1488</v>
      </c>
      <c r="J193" s="708" t="s">
        <v>1458</v>
      </c>
      <c r="K193" s="279">
        <v>20</v>
      </c>
      <c r="L193" s="293" t="str">
        <f>Instructions!F$43</f>
        <v>Camden</v>
      </c>
      <c r="M193" s="273" t="s">
        <v>1097</v>
      </c>
      <c r="N193" s="709"/>
      <c r="O193" s="279">
        <v>16</v>
      </c>
      <c r="P193" s="293" t="str">
        <f>Instructions!F$47</f>
        <v>Devin</v>
      </c>
      <c r="Q193" s="273" t="s">
        <v>871</v>
      </c>
      <c r="R193" s="709"/>
      <c r="S193" s="279">
        <v>14</v>
      </c>
      <c r="T193" s="328" t="str">
        <f>Instructions!F$43</f>
        <v>Camden</v>
      </c>
      <c r="U193" s="273" t="s">
        <v>1586</v>
      </c>
      <c r="V193" s="706"/>
      <c r="W193" s="279">
        <v>12</v>
      </c>
      <c r="X193" s="280"/>
      <c r="Y193" s="190" t="str">
        <f>IFERROR( IF(Instructions!$E$11=8, D193&amp;COUNTIF(D$3:D193,D193), IF(Instructions!$E$11=10, H193&amp;COUNTIF(H$3:H193,H193),IF(Instructions!$E$11=12, L193&amp;COUNTIF(L$3:L193,L193),IF(Instructions!$E$11=14, P193&amp;COUNTIF(P$3:P193,P193),T193&amp;COUNTIF(T$3:T193,T193))))),"")</f>
        <v>Camden16</v>
      </c>
      <c r="Z193" s="321">
        <f>IF(Instructions!$E$11=8,IF($D193=Instructions!$F$42,Z192+1,Z192),IF(Instructions!$E$11=10,IF($H193=Instructions!$F$42,Z192+1,Z192),IF(Instructions!$E$11=12,IF($L193=Instructions!$F$42,Z192+1,Z192),IF(Instructions!$E$11=14,IF($P193=Instructions!$F$42,Z192+1,Z192),IF(Instructions!$E$11=16,IF($T193=Instructions!$F$42,Z192+1,Z192))))))</f>
        <v>15</v>
      </c>
      <c r="AA193" s="321" t="str">
        <f t="shared" si="40"/>
        <v>115</v>
      </c>
      <c r="AB193" s="321">
        <f>IF(Instructions!$E$11=8,IF($D193=Instructions!$F$43,AB192+1,AB192),IF(Instructions!$E$11=10,IF($H193=Instructions!$F$43,AB192+1,AB192),IF(Instructions!$E$11=12,IF($L193=Instructions!$F$43,AB192+1,AB192),IF(Instructions!$E$11=14,IF($P193=Instructions!$F$43,AB192+1,AB192),IF(Instructions!$E$11=16,IF($T193=Instructions!$F$43,AB192+1,AB192))))))</f>
        <v>16</v>
      </c>
      <c r="AC193" s="321" t="str">
        <f t="shared" si="32"/>
        <v>216</v>
      </c>
      <c r="AD193" s="321">
        <f>IF(Instructions!$E$11=8,IF($D193=Instructions!$F$44,AD192+1,AD192),IF(Instructions!$E$11=10,IF($H193=Instructions!$F$44,AD192+1,AD192),IF(Instructions!$E$11=12,IF($L193=Instructions!$F$44,AD192+1,AD192),IF(Instructions!$E$11=14,IF($P193=Instructions!$F$44,AD192+1,AD192),IF(Instructions!$E$11=16,IF($T193=Instructions!$F$44,AD192+1,AD192))))))</f>
        <v>16</v>
      </c>
      <c r="AE193" s="321" t="str">
        <f t="shared" si="33"/>
        <v>316</v>
      </c>
      <c r="AF193" s="321">
        <f>IF(Instructions!$E$11=8,IF($D193=Instructions!$F$45,AF192+1,AF192),IF(Instructions!$E$11=10,IF($H193=Instructions!$F$45,AF192+1,AF192),IF(Instructions!$E$11=12,IF($L193=Instructions!$F$45,AF192+1,AF192),IF(Instructions!$E$11=14,IF($P193=Instructions!$F$45,AF192+1,AF192),IF(Instructions!$E$11=16,IF($T193=Instructions!$F$45,AF192+1,AF192))))))</f>
        <v>16</v>
      </c>
      <c r="AG193" s="321" t="str">
        <f t="shared" si="34"/>
        <v>416</v>
      </c>
      <c r="AH193" s="321">
        <f>IF(Instructions!$E$11=8,IF($D193=Instructions!$F$46,AH192+1,AH192),IF(Instructions!$E$11=10,IF($H193=Instructions!$F$46,AH192+1,AH192),IF(Instructions!$E$11=12,IF($L193=Instructions!$F$46,AH192+1,AH192),IF(Instructions!$E$11=14,IF($P193=Instructions!$F$46,AH192+1,AH192),IF(Instructions!$E$11=16,IF($T193=Instructions!$F$46,AH192+1,AH192))))))</f>
        <v>16</v>
      </c>
      <c r="AI193" s="321" t="str">
        <f t="shared" si="35"/>
        <v>516</v>
      </c>
      <c r="AJ193" s="321">
        <f>IF(Instructions!$E$11=8,IF($D193=Instructions!$F$47,AJ192+1,AJ192),IF(Instructions!$E$11=10,IF($H193=Instructions!$F$47,AJ192+1,AJ192),IF(Instructions!$E$11=12,IF($L193=Instructions!$F$47,AJ192+1,AJ192),IF(Instructions!$E$11=14,IF($P193=Instructions!$F$47,AJ192+1,AJ192),IF(Instructions!$E$11=16,IF($T193=Instructions!$F$47,AJ192+1,AJ192))))))</f>
        <v>16</v>
      </c>
      <c r="AK193" s="321" t="str">
        <f t="shared" si="36"/>
        <v>616</v>
      </c>
      <c r="AL193" s="321">
        <f>IF(Instructions!$E$11=8,IF($D193=Instructions!$F$48,AL192+1,AL192),IF(Instructions!$E$11=10,IF($H193=Instructions!$F$48,AL192+1,AL192),IF(Instructions!$E$11=12,IF($L193=Instructions!$F$48,AL192+1,AL192),IF(Instructions!$E$11=14,IF($P193=Instructions!$F$48,AL192+1,AL192),IF(Instructions!$E$11=16,IF($T193=Instructions!$F$48,AL192+1,AL192))))))</f>
        <v>16</v>
      </c>
      <c r="AM193" s="321" t="str">
        <f t="shared" si="37"/>
        <v>716</v>
      </c>
      <c r="AN193" s="321">
        <f>IF(Instructions!$E$11=8,IF($D193=Instructions!$F$49,AN192+1,AN192),IF(Instructions!$E$11=10,IF($H193=Instructions!$F$49,AN192+1,AN192),IF(Instructions!$E$11=12,IF($L193=Instructions!$F$49,AN192+1,AN192),IF(Instructions!$E$11=14,IF($P193=Instructions!$F$49,AN192+1,AN192),IF(Instructions!$E$11=16,IF($T193=Instructions!$F$49,AN192+1,AN192))))))</f>
        <v>16</v>
      </c>
      <c r="AO193" s="321" t="str">
        <f t="shared" si="38"/>
        <v>816</v>
      </c>
      <c r="AP193" s="321">
        <f>IF(Instructions!$E$11=8,IF($D193=Instructions!$F$50,AP192+1,AP192),IF(Instructions!$E$11=10,IF($H193=Instructions!$F$50,AP192+1,AP192),IF(Instructions!$E$11=12,IF($L193=Instructions!$F$50,AP192+1,AP192),IF(Instructions!$E$11=14,IF($P193=Instructions!$F$50,AP192+1,AP192),IF(Instructions!$E$11=16,IF($T193=Instructions!$F$50,AP192+1,AP192))))))</f>
        <v>16</v>
      </c>
      <c r="AQ193" s="321" t="str">
        <f t="shared" si="39"/>
        <v>916</v>
      </c>
      <c r="AR193" s="321">
        <f>IF(Instructions!$E$11=8,IF($D193=Instructions!$F$51,AR192+1,AR192),IF(Instructions!$E$11=10,IF($H193=Instructions!$F$51,AR192+1,AR192),IF(Instructions!$E$11=12,IF($L193=Instructions!$F$51,AR192+1,AR192),IF(Instructions!$E$11=14,IF($P193=Instructions!$F$51,AR192+1,AR192),IF(Instructions!$E$11=16,IF($T193=Instructions!$F$51,AR192+1,AR192))))))</f>
        <v>16</v>
      </c>
      <c r="AS193" s="321" t="str">
        <f t="shared" si="41"/>
        <v>1016</v>
      </c>
      <c r="AT193" s="321">
        <f>IF(Instructions!$E$11=8,IF($D193=Instructions!$F$52,AT192+1,AT192),IF(Instructions!$E$11=10,IF($H193=Instructions!$F$52,AT192+1,AT192),IF(Instructions!$E$11=12,IF($L193=Instructions!$F$52,AT192+1,AT192),IF(Instructions!$E$11=14,IF($P193=Instructions!$F$52,AT192+1,AT192),IF(Instructions!$E$11=16,IF($T193=Instructions!$F$52,AT192+1,AT192))))))</f>
        <v>16</v>
      </c>
      <c r="AU193" s="321" t="str">
        <f t="shared" si="42"/>
        <v>1116</v>
      </c>
      <c r="AV193" s="321">
        <f>IF(Instructions!$E$11=8,IF($D193=Instructions!$F$53,AV192+1,AV192),IF(Instructions!$E$11=10,IF($H193=Instructions!$F$53,AV192+1,AV192),IF(Instructions!$E$11=12,IF($L193=Instructions!$F$53,AV192+1,AV192),IF(Instructions!$E$11=14,IF($P193=Instructions!$F$53,AV192+1,AV192),IF(Instructions!$E$11=16,IF($T193=Instructions!$F$53,AV192+1,AV192))))))</f>
        <v>16</v>
      </c>
      <c r="AW193" s="321" t="str">
        <f t="shared" si="43"/>
        <v>1216</v>
      </c>
      <c r="AX193" s="321">
        <f>IF(Instructions!$E$11=8,IF($D193=Instructions!$F$54,AX192+1,AX192),IF(Instructions!$E$11=10,IF($H193=Instructions!$F$54,AX192+1,AX192),IF(Instructions!$E$11=12,IF($L193=Instructions!$F$54,AX192+1,AX192),IF(Instructions!$E$11=14,IF($P193=Instructions!$F$54,AX192+1,AX192),IF(Instructions!$E$11=16,IF($T193=Instructions!$F$54,AX192+1,AX192))))))</f>
        <v>0</v>
      </c>
      <c r="AY193" s="321" t="str">
        <f t="shared" si="44"/>
        <v>1300</v>
      </c>
      <c r="AZ193" s="321">
        <f>IF(Instructions!$E$11=8,IF($D193=Instructions!$F$55,AZ192+1,AZ192),IF(Instructions!$E$11=10,IF($H193=Instructions!$F$55,AZ192+1,AZ192),IF(Instructions!$E$11=12,IF($L193=Instructions!$F$55,AZ192+1,AZ192),IF(Instructions!$E$11=14,IF($P193=Instructions!$F$55,AZ192+1,AZ192),IF(Instructions!$E$11=16,IF($T193=Instructions!$F$55,AZ192+1,AZ192))))))</f>
        <v>0</v>
      </c>
      <c r="BA193" s="321" t="str">
        <f t="shared" si="45"/>
        <v>1400</v>
      </c>
      <c r="BB193" s="321">
        <f>IF(Instructions!$E$11=8,IF($D193=Instructions!$F$56,BB192+1,BB192),IF(Instructions!$E$11=10,IF($H193=Instructions!$F$56,BB192+1,BB192),IF(Instructions!$E$11=12,IF($L193=Instructions!$F$56,BB192+1,BB192),IF(Instructions!$E$11=14,IF($P193=Instructions!$F$56,BB192+1,BB192),IF(Instructions!$E$11=16,IF($T193=Instructions!$F$56,BB192+1,BB192))))))</f>
        <v>0</v>
      </c>
      <c r="BC193" s="321" t="str">
        <f t="shared" si="46"/>
        <v>1500</v>
      </c>
      <c r="BD193" s="321">
        <f>IF(Instructions!$E$11=8,IF($D193=Instructions!$F$57,BD192+1,BD192),IF(Instructions!$E$11=10,IF($H193=Instructions!$F$57,BD192+1,BD192),IF(Instructions!$E$11=12,IF($L193=Instructions!$F$57,BD192+1,BD192),IF(Instructions!$E$11=14,IF($P193=Instructions!$F$57,BD192+1,BD192),IF(Instructions!$E$11=16,IF($T193=Instructions!$F$57,BD192+1,BD192))))))</f>
        <v>0</v>
      </c>
      <c r="BE193" s="321" t="str">
        <f t="shared" si="47"/>
        <v>1600</v>
      </c>
      <c r="BF193" s="321">
        <v>191</v>
      </c>
    </row>
    <row r="194" spans="1:58" ht="15.75" thickBot="1" x14ac:dyDescent="0.3">
      <c r="A194" s="280"/>
      <c r="B194" s="323" t="str">
        <f>IF(Instructions!$J$11=1,AA194,IF(Instructions!$J$11=2,AC194,IF(Instructions!$J$11=3,AE194,IF(Instructions!$J$11=4,AG194,IF(Instructions!$J$11=5,AI194,IF(Instructions!$J$11=6,AK194,IF(Instructions!$J$11=7,AM194,IF(Instructions!$J$11=8,AO194,IF(Instructions!$J$11=9,AQ194,IF(Instructions!$J$11=10,AS194,IF(Instructions!$J$11=11,AU194,IF(Instructions!$J$11=12,AW194,IF(Instructions!$J$11=13, AY194, IF(Instructions!$J$11=14,BA194,IF(Instructions!$J$11=15,BC194,BE194)))))))))))))))</f>
        <v>216</v>
      </c>
      <c r="C194" s="272">
        <v>192</v>
      </c>
      <c r="D194" s="329" t="str">
        <f>Instructions!F$42</f>
        <v>Trumbo</v>
      </c>
      <c r="E194" s="334" t="s">
        <v>1527</v>
      </c>
      <c r="F194" s="707"/>
      <c r="G194" s="279">
        <v>24</v>
      </c>
      <c r="H194" s="294" t="str">
        <f>Instructions!F$50</f>
        <v>Dan</v>
      </c>
      <c r="I194" s="274" t="s">
        <v>1489</v>
      </c>
      <c r="J194" s="709"/>
      <c r="K194" s="279">
        <v>20</v>
      </c>
      <c r="L194" s="295" t="str">
        <f>Instructions!F$42</f>
        <v>Trumbo</v>
      </c>
      <c r="M194" s="277" t="s">
        <v>1098</v>
      </c>
      <c r="N194" s="710"/>
      <c r="O194" s="279">
        <v>16</v>
      </c>
      <c r="P194" s="294" t="str">
        <f>Instructions!F$46</f>
        <v>Con</v>
      </c>
      <c r="Q194" s="274" t="s">
        <v>872</v>
      </c>
      <c r="R194" s="709"/>
      <c r="S194" s="279">
        <v>14</v>
      </c>
      <c r="T194" s="329" t="str">
        <f>Instructions!F$42</f>
        <v>Trumbo</v>
      </c>
      <c r="U194" s="330" t="s">
        <v>1587</v>
      </c>
      <c r="V194" s="707"/>
      <c r="W194" s="279">
        <v>12</v>
      </c>
      <c r="X194" s="280"/>
      <c r="Y194" s="190" t="str">
        <f>IFERROR( IF(Instructions!$E$11=8, D194&amp;COUNTIF(D$3:D194,D194), IF(Instructions!$E$11=10, H194&amp;COUNTIF(H$3:H194,H194),IF(Instructions!$E$11=12, L194&amp;COUNTIF(L$3:L194,L194),IF(Instructions!$E$11=14, P194&amp;COUNTIF(P$3:P194,P194),T194&amp;COUNTIF(T$3:T194,T194))))),"")</f>
        <v>Trumbo16</v>
      </c>
      <c r="Z194" s="321">
        <f>IF(Instructions!$E$11=8,IF($D194=Instructions!$F$42,Z193+1,Z193),IF(Instructions!$E$11=10,IF($H194=Instructions!$F$42,Z193+1,Z193),IF(Instructions!$E$11=12,IF($L194=Instructions!$F$42,Z193+1,Z193),IF(Instructions!$E$11=14,IF($P194=Instructions!$F$42,Z193+1,Z193),IF(Instructions!$E$11=16,IF($T194=Instructions!$F$42,Z193+1,Z193))))))</f>
        <v>16</v>
      </c>
      <c r="AA194" s="321" t="str">
        <f t="shared" si="40"/>
        <v>116</v>
      </c>
      <c r="AB194" s="321">
        <f>IF(Instructions!$E$11=8,IF($D194=Instructions!$F$43,AB193+1,AB193),IF(Instructions!$E$11=10,IF($H194=Instructions!$F$43,AB193+1,AB193),IF(Instructions!$E$11=12,IF($L194=Instructions!$F$43,AB193+1,AB193),IF(Instructions!$E$11=14,IF($P194=Instructions!$F$43,AB193+1,AB193),IF(Instructions!$E$11=16,IF($T194=Instructions!$F$43,AB193+1,AB193))))))</f>
        <v>16</v>
      </c>
      <c r="AC194" s="321" t="str">
        <f t="shared" si="32"/>
        <v>216</v>
      </c>
      <c r="AD194" s="321">
        <f>IF(Instructions!$E$11=8,IF($D194=Instructions!$F$44,AD193+1,AD193),IF(Instructions!$E$11=10,IF($H194=Instructions!$F$44,AD193+1,AD193),IF(Instructions!$E$11=12,IF($L194=Instructions!$F$44,AD193+1,AD193),IF(Instructions!$E$11=14,IF($P194=Instructions!$F$44,AD193+1,AD193),IF(Instructions!$E$11=16,IF($T194=Instructions!$F$44,AD193+1,AD193))))))</f>
        <v>16</v>
      </c>
      <c r="AE194" s="321" t="str">
        <f t="shared" si="33"/>
        <v>316</v>
      </c>
      <c r="AF194" s="321">
        <f>IF(Instructions!$E$11=8,IF($D194=Instructions!$F$45,AF193+1,AF193),IF(Instructions!$E$11=10,IF($H194=Instructions!$F$45,AF193+1,AF193),IF(Instructions!$E$11=12,IF($L194=Instructions!$F$45,AF193+1,AF193),IF(Instructions!$E$11=14,IF($P194=Instructions!$F$45,AF193+1,AF193),IF(Instructions!$E$11=16,IF($T194=Instructions!$F$45,AF193+1,AF193))))))</f>
        <v>16</v>
      </c>
      <c r="AG194" s="321" t="str">
        <f t="shared" si="34"/>
        <v>416</v>
      </c>
      <c r="AH194" s="321">
        <f>IF(Instructions!$E$11=8,IF($D194=Instructions!$F$46,AH193+1,AH193),IF(Instructions!$E$11=10,IF($H194=Instructions!$F$46,AH193+1,AH193),IF(Instructions!$E$11=12,IF($L194=Instructions!$F$46,AH193+1,AH193),IF(Instructions!$E$11=14,IF($P194=Instructions!$F$46,AH193+1,AH193),IF(Instructions!$E$11=16,IF($T194=Instructions!$F$46,AH193+1,AH193))))))</f>
        <v>16</v>
      </c>
      <c r="AI194" s="321" t="str">
        <f t="shared" si="35"/>
        <v>516</v>
      </c>
      <c r="AJ194" s="321">
        <f>IF(Instructions!$E$11=8,IF($D194=Instructions!$F$47,AJ193+1,AJ193),IF(Instructions!$E$11=10,IF($H194=Instructions!$F$47,AJ193+1,AJ193),IF(Instructions!$E$11=12,IF($L194=Instructions!$F$47,AJ193+1,AJ193),IF(Instructions!$E$11=14,IF($P194=Instructions!$F$47,AJ193+1,AJ193),IF(Instructions!$E$11=16,IF($T194=Instructions!$F$47,AJ193+1,AJ193))))))</f>
        <v>16</v>
      </c>
      <c r="AK194" s="321" t="str">
        <f t="shared" si="36"/>
        <v>616</v>
      </c>
      <c r="AL194" s="321">
        <f>IF(Instructions!$E$11=8,IF($D194=Instructions!$F$48,AL193+1,AL193),IF(Instructions!$E$11=10,IF($H194=Instructions!$F$48,AL193+1,AL193),IF(Instructions!$E$11=12,IF($L194=Instructions!$F$48,AL193+1,AL193),IF(Instructions!$E$11=14,IF($P194=Instructions!$F$48,AL193+1,AL193),IF(Instructions!$E$11=16,IF($T194=Instructions!$F$48,AL193+1,AL193))))))</f>
        <v>16</v>
      </c>
      <c r="AM194" s="321" t="str">
        <f t="shared" si="37"/>
        <v>716</v>
      </c>
      <c r="AN194" s="321">
        <f>IF(Instructions!$E$11=8,IF($D194=Instructions!$F$49,AN193+1,AN193),IF(Instructions!$E$11=10,IF($H194=Instructions!$F$49,AN193+1,AN193),IF(Instructions!$E$11=12,IF($L194=Instructions!$F$49,AN193+1,AN193),IF(Instructions!$E$11=14,IF($P194=Instructions!$F$49,AN193+1,AN193),IF(Instructions!$E$11=16,IF($T194=Instructions!$F$49,AN193+1,AN193))))))</f>
        <v>16</v>
      </c>
      <c r="AO194" s="321" t="str">
        <f t="shared" si="38"/>
        <v>816</v>
      </c>
      <c r="AP194" s="321">
        <f>IF(Instructions!$E$11=8,IF($D194=Instructions!$F$50,AP193+1,AP193),IF(Instructions!$E$11=10,IF($H194=Instructions!$F$50,AP193+1,AP193),IF(Instructions!$E$11=12,IF($L194=Instructions!$F$50,AP193+1,AP193),IF(Instructions!$E$11=14,IF($P194=Instructions!$F$50,AP193+1,AP193),IF(Instructions!$E$11=16,IF($T194=Instructions!$F$50,AP193+1,AP193))))))</f>
        <v>16</v>
      </c>
      <c r="AQ194" s="321" t="str">
        <f t="shared" si="39"/>
        <v>916</v>
      </c>
      <c r="AR194" s="321">
        <f>IF(Instructions!$E$11=8,IF($D194=Instructions!$F$51,AR193+1,AR193),IF(Instructions!$E$11=10,IF($H194=Instructions!$F$51,AR193+1,AR193),IF(Instructions!$E$11=12,IF($L194=Instructions!$F$51,AR193+1,AR193),IF(Instructions!$E$11=14,IF($P194=Instructions!$F$51,AR193+1,AR193),IF(Instructions!$E$11=16,IF($T194=Instructions!$F$51,AR193+1,AR193))))))</f>
        <v>16</v>
      </c>
      <c r="AS194" s="321" t="str">
        <f t="shared" si="41"/>
        <v>1016</v>
      </c>
      <c r="AT194" s="321">
        <f>IF(Instructions!$E$11=8,IF($D194=Instructions!$F$52,AT193+1,AT193),IF(Instructions!$E$11=10,IF($H194=Instructions!$F$52,AT193+1,AT193),IF(Instructions!$E$11=12,IF($L194=Instructions!$F$52,AT193+1,AT193),IF(Instructions!$E$11=14,IF($P194=Instructions!$F$52,AT193+1,AT193),IF(Instructions!$E$11=16,IF($T194=Instructions!$F$52,AT193+1,AT193))))))</f>
        <v>16</v>
      </c>
      <c r="AU194" s="321" t="str">
        <f t="shared" si="42"/>
        <v>1116</v>
      </c>
      <c r="AV194" s="321">
        <f>IF(Instructions!$E$11=8,IF($D194=Instructions!$F$53,AV193+1,AV193),IF(Instructions!$E$11=10,IF($H194=Instructions!$F$53,AV193+1,AV193),IF(Instructions!$E$11=12,IF($L194=Instructions!$F$53,AV193+1,AV193),IF(Instructions!$E$11=14,IF($P194=Instructions!$F$53,AV193+1,AV193),IF(Instructions!$E$11=16,IF($T194=Instructions!$F$53,AV193+1,AV193))))))</f>
        <v>16</v>
      </c>
      <c r="AW194" s="321" t="str">
        <f t="shared" si="43"/>
        <v>1216</v>
      </c>
      <c r="AX194" s="321">
        <f>IF(Instructions!$E$11=8,IF($D194=Instructions!$F$54,AX193+1,AX193),IF(Instructions!$E$11=10,IF($H194=Instructions!$F$54,AX193+1,AX193),IF(Instructions!$E$11=12,IF($L194=Instructions!$F$54,AX193+1,AX193),IF(Instructions!$E$11=14,IF($P194=Instructions!$F$54,AX193+1,AX193),IF(Instructions!$E$11=16,IF($T194=Instructions!$F$54,AX193+1,AX193))))))</f>
        <v>0</v>
      </c>
      <c r="AY194" s="321" t="str">
        <f t="shared" si="44"/>
        <v>1300</v>
      </c>
      <c r="AZ194" s="321">
        <f>IF(Instructions!$E$11=8,IF($D194=Instructions!$F$55,AZ193+1,AZ193),IF(Instructions!$E$11=10,IF($H194=Instructions!$F$55,AZ193+1,AZ193),IF(Instructions!$E$11=12,IF($L194=Instructions!$F$55,AZ193+1,AZ193),IF(Instructions!$E$11=14,IF($P194=Instructions!$F$55,AZ193+1,AZ193),IF(Instructions!$E$11=16,IF($T194=Instructions!$F$55,AZ193+1,AZ193))))))</f>
        <v>0</v>
      </c>
      <c r="BA194" s="321" t="str">
        <f t="shared" si="45"/>
        <v>1400</v>
      </c>
      <c r="BB194" s="321">
        <f>IF(Instructions!$E$11=8,IF($D194=Instructions!$F$56,BB193+1,BB193),IF(Instructions!$E$11=10,IF($H194=Instructions!$F$56,BB193+1,BB193),IF(Instructions!$E$11=12,IF($L194=Instructions!$F$56,BB193+1,BB193),IF(Instructions!$E$11=14,IF($P194=Instructions!$F$56,BB193+1,BB193),IF(Instructions!$E$11=16,IF($T194=Instructions!$F$56,BB193+1,BB193))))))</f>
        <v>0</v>
      </c>
      <c r="BC194" s="321" t="str">
        <f t="shared" si="46"/>
        <v>1500</v>
      </c>
      <c r="BD194" s="321">
        <f>IF(Instructions!$E$11=8,IF($D194=Instructions!$F$57,BD193+1,BD193),IF(Instructions!$E$11=10,IF($H194=Instructions!$F$57,BD193+1,BD193),IF(Instructions!$E$11=12,IF($L194=Instructions!$F$57,BD193+1,BD193),IF(Instructions!$E$11=14,IF($P194=Instructions!$F$57,BD193+1,BD193),IF(Instructions!$E$11=16,IF($T194=Instructions!$F$57,BD193+1,BD193))))))</f>
        <v>0</v>
      </c>
      <c r="BE194" s="321" t="str">
        <f t="shared" si="47"/>
        <v>1600</v>
      </c>
      <c r="BF194" s="321">
        <v>192</v>
      </c>
    </row>
    <row r="195" spans="1:58" ht="15" customHeight="1" x14ac:dyDescent="0.25">
      <c r="A195" s="280"/>
      <c r="B195" s="323" t="str">
        <f>IF(Instructions!$J$11=1,AA195,IF(Instructions!$J$11=2,AC195,IF(Instructions!$J$11=3,AE195,IF(Instructions!$J$11=4,AG195,IF(Instructions!$J$11=5,AI195,IF(Instructions!$J$11=6,AK195,IF(Instructions!$J$11=7,AM195,IF(Instructions!$J$11=8,AO195,IF(Instructions!$J$11=9,AQ195,IF(Instructions!$J$11=10,AS195,IF(Instructions!$J$11=11,AU195,IF(Instructions!$J$11=12,AW195,IF(Instructions!$J$11=13, AY195, IF(Instructions!$J$11=14,BA195,IF(Instructions!$J$11=15,BC195,BE195)))))))))))))))</f>
        <v>216</v>
      </c>
      <c r="C195" s="271">
        <v>193</v>
      </c>
      <c r="D195" s="325" t="str">
        <f>Instructions!F$42</f>
        <v>Trumbo</v>
      </c>
      <c r="E195" s="333" t="s">
        <v>1528</v>
      </c>
      <c r="F195" s="705" t="s">
        <v>1463</v>
      </c>
      <c r="G195" s="279">
        <v>25</v>
      </c>
      <c r="H195" s="293" t="str">
        <f>Instructions!F$49</f>
        <v>Luke</v>
      </c>
      <c r="I195" s="273" t="s">
        <v>1490</v>
      </c>
      <c r="J195" s="709"/>
      <c r="K195" s="279">
        <v>20</v>
      </c>
      <c r="L195" s="292" t="str">
        <f>Instructions!F$42</f>
        <v>Trumbo</v>
      </c>
      <c r="M195" s="276" t="s">
        <v>1464</v>
      </c>
      <c r="N195" s="708" t="s">
        <v>1455</v>
      </c>
      <c r="O195" s="279">
        <v>17</v>
      </c>
      <c r="P195" s="293" t="str">
        <f>Instructions!F$45</f>
        <v>Miles</v>
      </c>
      <c r="Q195" s="273" t="s">
        <v>873</v>
      </c>
      <c r="R195" s="709"/>
      <c r="S195" s="279">
        <v>14</v>
      </c>
      <c r="T195" s="325" t="str">
        <f>Instructions!F$42</f>
        <v>Trumbo</v>
      </c>
      <c r="U195" s="326" t="s">
        <v>851</v>
      </c>
      <c r="V195" s="705" t="s">
        <v>908</v>
      </c>
      <c r="W195" s="279">
        <v>13</v>
      </c>
      <c r="X195" s="280"/>
      <c r="Y195" s="190" t="str">
        <f>IFERROR( IF(Instructions!$E$11=8, D195&amp;COUNTIF(D$3:D195,D195), IF(Instructions!$E$11=10, H195&amp;COUNTIF(H$3:H195,H195),IF(Instructions!$E$11=12, L195&amp;COUNTIF(L$3:L195,L195),IF(Instructions!$E$11=14, P195&amp;COUNTIF(P$3:P195,P195),T195&amp;COUNTIF(T$3:T195,T195))))),"")</f>
        <v>Trumbo17</v>
      </c>
      <c r="Z195" s="321">
        <f>IF(Instructions!$E$11=8,IF($D195=Instructions!$F$42,Z194+1,Z194),IF(Instructions!$E$11=10,IF($H195=Instructions!$F$42,Z194+1,Z194),IF(Instructions!$E$11=12,IF($L195=Instructions!$F$42,Z194+1,Z194),IF(Instructions!$E$11=14,IF($P195=Instructions!$F$42,Z194+1,Z194),IF(Instructions!$E$11=16,IF($T195=Instructions!$F$42,Z194+1,Z194))))))</f>
        <v>17</v>
      </c>
      <c r="AA195" s="321" t="str">
        <f t="shared" si="40"/>
        <v>117</v>
      </c>
      <c r="AB195" s="321">
        <f>IF(Instructions!$E$11=8,IF($D195=Instructions!$F$43,AB194+1,AB194),IF(Instructions!$E$11=10,IF($H195=Instructions!$F$43,AB194+1,AB194),IF(Instructions!$E$11=12,IF($L195=Instructions!$F$43,AB194+1,AB194),IF(Instructions!$E$11=14,IF($P195=Instructions!$F$43,AB194+1,AB194),IF(Instructions!$E$11=16,IF($T195=Instructions!$F$43,AB194+1,AB194))))))</f>
        <v>16</v>
      </c>
      <c r="AC195" s="321" t="str">
        <f t="shared" ref="AC195:AC226" si="48">IF(AB195&lt;10, 2&amp;0&amp;AB195, 2&amp;AB195)</f>
        <v>216</v>
      </c>
      <c r="AD195" s="321">
        <f>IF(Instructions!$E$11=8,IF($D195=Instructions!$F$44,AD194+1,AD194),IF(Instructions!$E$11=10,IF($H195=Instructions!$F$44,AD194+1,AD194),IF(Instructions!$E$11=12,IF($L195=Instructions!$F$44,AD194+1,AD194),IF(Instructions!$E$11=14,IF($P195=Instructions!$F$44,AD194+1,AD194),IF(Instructions!$E$11=16,IF($T195=Instructions!$F$44,AD194+1,AD194))))))</f>
        <v>16</v>
      </c>
      <c r="AE195" s="321" t="str">
        <f t="shared" ref="AE195:AE226" si="49">IF(AD195&lt;10, 3&amp;0&amp;AD195, 3&amp;AD195)</f>
        <v>316</v>
      </c>
      <c r="AF195" s="321">
        <f>IF(Instructions!$E$11=8,IF($D195=Instructions!$F$45,AF194+1,AF194),IF(Instructions!$E$11=10,IF($H195=Instructions!$F$45,AF194+1,AF194),IF(Instructions!$E$11=12,IF($L195=Instructions!$F$45,AF194+1,AF194),IF(Instructions!$E$11=14,IF($P195=Instructions!$F$45,AF194+1,AF194),IF(Instructions!$E$11=16,IF($T195=Instructions!$F$45,AF194+1,AF194))))))</f>
        <v>16</v>
      </c>
      <c r="AG195" s="321" t="str">
        <f t="shared" ref="AG195:AG226" si="50">IF(AF195&lt;10, 4&amp;0&amp;AF195, 4&amp;AF195)</f>
        <v>416</v>
      </c>
      <c r="AH195" s="321">
        <f>IF(Instructions!$E$11=8,IF($D195=Instructions!$F$46,AH194+1,AH194),IF(Instructions!$E$11=10,IF($H195=Instructions!$F$46,AH194+1,AH194),IF(Instructions!$E$11=12,IF($L195=Instructions!$F$46,AH194+1,AH194),IF(Instructions!$E$11=14,IF($P195=Instructions!$F$46,AH194+1,AH194),IF(Instructions!$E$11=16,IF($T195=Instructions!$F$46,AH194+1,AH194))))))</f>
        <v>16</v>
      </c>
      <c r="AI195" s="321" t="str">
        <f t="shared" ref="AI195:AI226" si="51">IF(AH195&lt;10, 5&amp;0&amp;AH195, 5&amp;AH195)</f>
        <v>516</v>
      </c>
      <c r="AJ195" s="321">
        <f>IF(Instructions!$E$11=8,IF($D195=Instructions!$F$47,AJ194+1,AJ194),IF(Instructions!$E$11=10,IF($H195=Instructions!$F$47,AJ194+1,AJ194),IF(Instructions!$E$11=12,IF($L195=Instructions!$F$47,AJ194+1,AJ194),IF(Instructions!$E$11=14,IF($P195=Instructions!$F$47,AJ194+1,AJ194),IF(Instructions!$E$11=16,IF($T195=Instructions!$F$47,AJ194+1,AJ194))))))</f>
        <v>16</v>
      </c>
      <c r="AK195" s="321" t="str">
        <f t="shared" ref="AK195:AK226" si="52">IF(AJ195&lt;10, 6&amp;0&amp;AJ195, 6&amp;AJ195)</f>
        <v>616</v>
      </c>
      <c r="AL195" s="321">
        <f>IF(Instructions!$E$11=8,IF($D195=Instructions!$F$48,AL194+1,AL194),IF(Instructions!$E$11=10,IF($H195=Instructions!$F$48,AL194+1,AL194),IF(Instructions!$E$11=12,IF($L195=Instructions!$F$48,AL194+1,AL194),IF(Instructions!$E$11=14,IF($P195=Instructions!$F$48,AL194+1,AL194),IF(Instructions!$E$11=16,IF($T195=Instructions!$F$48,AL194+1,AL194))))))</f>
        <v>16</v>
      </c>
      <c r="AM195" s="321" t="str">
        <f t="shared" ref="AM195:AM226" si="53">IF(AL195&lt;10, 7&amp;0&amp;AL195, 7&amp;AL195)</f>
        <v>716</v>
      </c>
      <c r="AN195" s="321">
        <f>IF(Instructions!$E$11=8,IF($D195=Instructions!$F$49,AN194+1,AN194),IF(Instructions!$E$11=10,IF($H195=Instructions!$F$49,AN194+1,AN194),IF(Instructions!$E$11=12,IF($L195=Instructions!$F$49,AN194+1,AN194),IF(Instructions!$E$11=14,IF($P195=Instructions!$F$49,AN194+1,AN194),IF(Instructions!$E$11=16,IF($T195=Instructions!$F$49,AN194+1,AN194))))))</f>
        <v>16</v>
      </c>
      <c r="AO195" s="321" t="str">
        <f t="shared" ref="AO195:AO226" si="54">IF(AN195&lt;10, 8&amp;0&amp;AN195, 8&amp;AN195)</f>
        <v>816</v>
      </c>
      <c r="AP195" s="321">
        <f>IF(Instructions!$E$11=8,IF($D195=Instructions!$F$50,AP194+1,AP194),IF(Instructions!$E$11=10,IF($H195=Instructions!$F$50,AP194+1,AP194),IF(Instructions!$E$11=12,IF($L195=Instructions!$F$50,AP194+1,AP194),IF(Instructions!$E$11=14,IF($P195=Instructions!$F$50,AP194+1,AP194),IF(Instructions!$E$11=16,IF($T195=Instructions!$F$50,AP194+1,AP194))))))</f>
        <v>16</v>
      </c>
      <c r="AQ195" s="321" t="str">
        <f t="shared" ref="AQ195:AQ226" si="55">IF(AP195&lt;10, 9&amp;0&amp;AP195, 9&amp;AP195)</f>
        <v>916</v>
      </c>
      <c r="AR195" s="321">
        <f>IF(Instructions!$E$11=8,IF($D195=Instructions!$F$51,AR194+1,AR194),IF(Instructions!$E$11=10,IF($H195=Instructions!$F$51,AR194+1,AR194),IF(Instructions!$E$11=12,IF($L195=Instructions!$F$51,AR194+1,AR194),IF(Instructions!$E$11=14,IF($P195=Instructions!$F$51,AR194+1,AR194),IF(Instructions!$E$11=16,IF($T195=Instructions!$F$51,AR194+1,AR194))))))</f>
        <v>16</v>
      </c>
      <c r="AS195" s="321" t="str">
        <f t="shared" si="41"/>
        <v>1016</v>
      </c>
      <c r="AT195" s="321">
        <f>IF(Instructions!$E$11=8,IF($D195=Instructions!$F$52,AT194+1,AT194),IF(Instructions!$E$11=10,IF($H195=Instructions!$F$52,AT194+1,AT194),IF(Instructions!$E$11=12,IF($L195=Instructions!$F$52,AT194+1,AT194),IF(Instructions!$E$11=14,IF($P195=Instructions!$F$52,AT194+1,AT194),IF(Instructions!$E$11=16,IF($T195=Instructions!$F$52,AT194+1,AT194))))))</f>
        <v>16</v>
      </c>
      <c r="AU195" s="321" t="str">
        <f t="shared" si="42"/>
        <v>1116</v>
      </c>
      <c r="AV195" s="321">
        <f>IF(Instructions!$E$11=8,IF($D195=Instructions!$F$53,AV194+1,AV194),IF(Instructions!$E$11=10,IF($H195=Instructions!$F$53,AV194+1,AV194),IF(Instructions!$E$11=12,IF($L195=Instructions!$F$53,AV194+1,AV194),IF(Instructions!$E$11=14,IF($P195=Instructions!$F$53,AV194+1,AV194),IF(Instructions!$E$11=16,IF($T195=Instructions!$F$53,AV194+1,AV194))))))</f>
        <v>16</v>
      </c>
      <c r="AW195" s="321" t="str">
        <f t="shared" si="43"/>
        <v>1216</v>
      </c>
      <c r="AX195" s="321">
        <f>IF(Instructions!$E$11=8,IF($D195=Instructions!$F$54,AX194+1,AX194),IF(Instructions!$E$11=10,IF($H195=Instructions!$F$54,AX194+1,AX194),IF(Instructions!$E$11=12,IF($L195=Instructions!$F$54,AX194+1,AX194),IF(Instructions!$E$11=14,IF($P195=Instructions!$F$54,AX194+1,AX194),IF(Instructions!$E$11=16,IF($T195=Instructions!$F$54,AX194+1,AX194))))))</f>
        <v>0</v>
      </c>
      <c r="AY195" s="321" t="str">
        <f t="shared" si="44"/>
        <v>1300</v>
      </c>
      <c r="AZ195" s="321">
        <f>IF(Instructions!$E$11=8,IF($D195=Instructions!$F$55,AZ194+1,AZ194),IF(Instructions!$E$11=10,IF($H195=Instructions!$F$55,AZ194+1,AZ194),IF(Instructions!$E$11=12,IF($L195=Instructions!$F$55,AZ194+1,AZ194),IF(Instructions!$E$11=14,IF($P195=Instructions!$F$55,AZ194+1,AZ194),IF(Instructions!$E$11=16,IF($T195=Instructions!$F$55,AZ194+1,AZ194))))))</f>
        <v>0</v>
      </c>
      <c r="BA195" s="321" t="str">
        <f t="shared" si="45"/>
        <v>1400</v>
      </c>
      <c r="BB195" s="321">
        <f>IF(Instructions!$E$11=8,IF($D195=Instructions!$F$56,BB194+1,BB194),IF(Instructions!$E$11=10,IF($H195=Instructions!$F$56,BB194+1,BB194),IF(Instructions!$E$11=12,IF($L195=Instructions!$F$56,BB194+1,BB194),IF(Instructions!$E$11=14,IF($P195=Instructions!$F$56,BB194+1,BB194),IF(Instructions!$E$11=16,IF($T195=Instructions!$F$56,BB194+1,BB194))))))</f>
        <v>0</v>
      </c>
      <c r="BC195" s="321" t="str">
        <f t="shared" si="46"/>
        <v>1500</v>
      </c>
      <c r="BD195" s="321">
        <f>IF(Instructions!$E$11=8,IF($D195=Instructions!$F$57,BD194+1,BD194),IF(Instructions!$E$11=10,IF($H195=Instructions!$F$57,BD194+1,BD194),IF(Instructions!$E$11=12,IF($L195=Instructions!$F$57,BD194+1,BD194),IF(Instructions!$E$11=14,IF($P195=Instructions!$F$57,BD194+1,BD194),IF(Instructions!$E$11=16,IF($T195=Instructions!$F$57,BD194+1,BD194))))))</f>
        <v>0</v>
      </c>
      <c r="BE195" s="321" t="str">
        <f t="shared" si="47"/>
        <v>1600</v>
      </c>
      <c r="BF195" s="321">
        <v>193</v>
      </c>
    </row>
    <row r="196" spans="1:58" x14ac:dyDescent="0.25">
      <c r="A196" s="280"/>
      <c r="B196" s="323" t="str">
        <f>IF(Instructions!$J$11=1,AA196,IF(Instructions!$J$11=2,AC196,IF(Instructions!$J$11=3,AE196,IF(Instructions!$J$11=4,AG196,IF(Instructions!$J$11=5,AI196,IF(Instructions!$J$11=6,AK196,IF(Instructions!$J$11=7,AM196,IF(Instructions!$J$11=8,AO196,IF(Instructions!$J$11=9,AQ196,IF(Instructions!$J$11=10,AS196,IF(Instructions!$J$11=11,AU196,IF(Instructions!$J$11=12,AW196,IF(Instructions!$J$11=13, AY196, IF(Instructions!$J$11=14,BA196,IF(Instructions!$J$11=15,BC196,BE196)))))))))))))))</f>
        <v>217</v>
      </c>
      <c r="C196" s="272">
        <v>194</v>
      </c>
      <c r="D196" s="327" t="str">
        <f>Instructions!F$43</f>
        <v>Camden</v>
      </c>
      <c r="E196" s="332" t="s">
        <v>1529</v>
      </c>
      <c r="F196" s="706"/>
      <c r="G196" s="279">
        <v>25</v>
      </c>
      <c r="H196" s="294" t="str">
        <f>Instructions!F$48</f>
        <v>Bui</v>
      </c>
      <c r="I196" s="274" t="s">
        <v>1491</v>
      </c>
      <c r="J196" s="709"/>
      <c r="K196" s="279">
        <v>20</v>
      </c>
      <c r="L196" s="294" t="str">
        <f>Instructions!F$43</f>
        <v>Camden</v>
      </c>
      <c r="M196" s="274" t="s">
        <v>1465</v>
      </c>
      <c r="N196" s="709"/>
      <c r="O196" s="279">
        <v>17</v>
      </c>
      <c r="P196" s="294" t="str">
        <f>Instructions!F$44</f>
        <v>Cam</v>
      </c>
      <c r="Q196" s="274" t="s">
        <v>874</v>
      </c>
      <c r="R196" s="709"/>
      <c r="S196" s="279">
        <v>14</v>
      </c>
      <c r="T196" s="327" t="str">
        <f>Instructions!F$43</f>
        <v>Camden</v>
      </c>
      <c r="U196" s="274" t="s">
        <v>852</v>
      </c>
      <c r="V196" s="706"/>
      <c r="W196" s="279">
        <v>13</v>
      </c>
      <c r="X196" s="280"/>
      <c r="Y196" s="190" t="str">
        <f>IFERROR( IF(Instructions!$E$11=8, D196&amp;COUNTIF(D$3:D196,D196), IF(Instructions!$E$11=10, H196&amp;COUNTIF(H$3:H196,H196),IF(Instructions!$E$11=12, L196&amp;COUNTIF(L$3:L196,L196),IF(Instructions!$E$11=14, P196&amp;COUNTIF(P$3:P196,P196),T196&amp;COUNTIF(T$3:T196,T196))))),"")</f>
        <v>Camden17</v>
      </c>
      <c r="Z196" s="321">
        <f>IF(Instructions!$E$11=8,IF($D196=Instructions!$F$42,Z195+1,Z195),IF(Instructions!$E$11=10,IF($H196=Instructions!$F$42,Z195+1,Z195),IF(Instructions!$E$11=12,IF($L196=Instructions!$F$42,Z195+1,Z195),IF(Instructions!$E$11=14,IF($P196=Instructions!$F$42,Z195+1,Z195),IF(Instructions!$E$11=16,IF($T196=Instructions!$F$42,Z195+1,Z195))))))</f>
        <v>17</v>
      </c>
      <c r="AA196" s="321" t="str">
        <f t="shared" ref="AA196:AA226" si="56">IF(Z196&lt;10, 1&amp;0&amp;Z196, 1&amp;Z196)</f>
        <v>117</v>
      </c>
      <c r="AB196" s="321">
        <f>IF(Instructions!$E$11=8,IF($D196=Instructions!$F$43,AB195+1,AB195),IF(Instructions!$E$11=10,IF($H196=Instructions!$F$43,AB195+1,AB195),IF(Instructions!$E$11=12,IF($L196=Instructions!$F$43,AB195+1,AB195),IF(Instructions!$E$11=14,IF($P196=Instructions!$F$43,AB195+1,AB195),IF(Instructions!$E$11=16,IF($T196=Instructions!$F$43,AB195+1,AB195))))))</f>
        <v>17</v>
      </c>
      <c r="AC196" s="321" t="str">
        <f t="shared" si="48"/>
        <v>217</v>
      </c>
      <c r="AD196" s="321">
        <f>IF(Instructions!$E$11=8,IF($D196=Instructions!$F$44,AD195+1,AD195),IF(Instructions!$E$11=10,IF($H196=Instructions!$F$44,AD195+1,AD195),IF(Instructions!$E$11=12,IF($L196=Instructions!$F$44,AD195+1,AD195),IF(Instructions!$E$11=14,IF($P196=Instructions!$F$44,AD195+1,AD195),IF(Instructions!$E$11=16,IF($T196=Instructions!$F$44,AD195+1,AD195))))))</f>
        <v>16</v>
      </c>
      <c r="AE196" s="321" t="str">
        <f t="shared" si="49"/>
        <v>316</v>
      </c>
      <c r="AF196" s="321">
        <f>IF(Instructions!$E$11=8,IF($D196=Instructions!$F$45,AF195+1,AF195),IF(Instructions!$E$11=10,IF($H196=Instructions!$F$45,AF195+1,AF195),IF(Instructions!$E$11=12,IF($L196=Instructions!$F$45,AF195+1,AF195),IF(Instructions!$E$11=14,IF($P196=Instructions!$F$45,AF195+1,AF195),IF(Instructions!$E$11=16,IF($T196=Instructions!$F$45,AF195+1,AF195))))))</f>
        <v>16</v>
      </c>
      <c r="AG196" s="321" t="str">
        <f t="shared" si="50"/>
        <v>416</v>
      </c>
      <c r="AH196" s="321">
        <f>IF(Instructions!$E$11=8,IF($D196=Instructions!$F$46,AH195+1,AH195),IF(Instructions!$E$11=10,IF($H196=Instructions!$F$46,AH195+1,AH195),IF(Instructions!$E$11=12,IF($L196=Instructions!$F$46,AH195+1,AH195),IF(Instructions!$E$11=14,IF($P196=Instructions!$F$46,AH195+1,AH195),IF(Instructions!$E$11=16,IF($T196=Instructions!$F$46,AH195+1,AH195))))))</f>
        <v>16</v>
      </c>
      <c r="AI196" s="321" t="str">
        <f t="shared" si="51"/>
        <v>516</v>
      </c>
      <c r="AJ196" s="321">
        <f>IF(Instructions!$E$11=8,IF($D196=Instructions!$F$47,AJ195+1,AJ195),IF(Instructions!$E$11=10,IF($H196=Instructions!$F$47,AJ195+1,AJ195),IF(Instructions!$E$11=12,IF($L196=Instructions!$F$47,AJ195+1,AJ195),IF(Instructions!$E$11=14,IF($P196=Instructions!$F$47,AJ195+1,AJ195),IF(Instructions!$E$11=16,IF($T196=Instructions!$F$47,AJ195+1,AJ195))))))</f>
        <v>16</v>
      </c>
      <c r="AK196" s="321" t="str">
        <f t="shared" si="52"/>
        <v>616</v>
      </c>
      <c r="AL196" s="321">
        <f>IF(Instructions!$E$11=8,IF($D196=Instructions!$F$48,AL195+1,AL195),IF(Instructions!$E$11=10,IF($H196=Instructions!$F$48,AL195+1,AL195),IF(Instructions!$E$11=12,IF($L196=Instructions!$F$48,AL195+1,AL195),IF(Instructions!$E$11=14,IF($P196=Instructions!$F$48,AL195+1,AL195),IF(Instructions!$E$11=16,IF($T196=Instructions!$F$48,AL195+1,AL195))))))</f>
        <v>16</v>
      </c>
      <c r="AM196" s="321" t="str">
        <f t="shared" si="53"/>
        <v>716</v>
      </c>
      <c r="AN196" s="321">
        <f>IF(Instructions!$E$11=8,IF($D196=Instructions!$F$49,AN195+1,AN195),IF(Instructions!$E$11=10,IF($H196=Instructions!$F$49,AN195+1,AN195),IF(Instructions!$E$11=12,IF($L196=Instructions!$F$49,AN195+1,AN195),IF(Instructions!$E$11=14,IF($P196=Instructions!$F$49,AN195+1,AN195),IF(Instructions!$E$11=16,IF($T196=Instructions!$F$49,AN195+1,AN195))))))</f>
        <v>16</v>
      </c>
      <c r="AO196" s="321" t="str">
        <f t="shared" si="54"/>
        <v>816</v>
      </c>
      <c r="AP196" s="321">
        <f>IF(Instructions!$E$11=8,IF($D196=Instructions!$F$50,AP195+1,AP195),IF(Instructions!$E$11=10,IF($H196=Instructions!$F$50,AP195+1,AP195),IF(Instructions!$E$11=12,IF($L196=Instructions!$F$50,AP195+1,AP195),IF(Instructions!$E$11=14,IF($P196=Instructions!$F$50,AP195+1,AP195),IF(Instructions!$E$11=16,IF($T196=Instructions!$F$50,AP195+1,AP195))))))</f>
        <v>16</v>
      </c>
      <c r="AQ196" s="321" t="str">
        <f t="shared" si="55"/>
        <v>916</v>
      </c>
      <c r="AR196" s="321">
        <f>IF(Instructions!$E$11=8,IF($D196=Instructions!$F$51,AR195+1,AR195),IF(Instructions!$E$11=10,IF($H196=Instructions!$F$51,AR195+1,AR195),IF(Instructions!$E$11=12,IF($L196=Instructions!$F$51,AR195+1,AR195),IF(Instructions!$E$11=14,IF($P196=Instructions!$F$51,AR195+1,AR195),IF(Instructions!$E$11=16,IF($T196=Instructions!$F$51,AR195+1,AR195))))))</f>
        <v>16</v>
      </c>
      <c r="AS196" s="321" t="str">
        <f t="shared" ref="AS196:AS226" si="57">IF(AR196&gt;9, 10&amp;AR196, 100&amp;AR196)</f>
        <v>1016</v>
      </c>
      <c r="AT196" s="321">
        <f>IF(Instructions!$E$11=8,IF($D196=Instructions!$F$52,AT195+1,AT195),IF(Instructions!$E$11=10,IF($H196=Instructions!$F$52,AT195+1,AT195),IF(Instructions!$E$11=12,IF($L196=Instructions!$F$52,AT195+1,AT195),IF(Instructions!$E$11=14,IF($P196=Instructions!$F$52,AT195+1,AT195),IF(Instructions!$E$11=16,IF($T196=Instructions!$F$52,AT195+1,AT195))))))</f>
        <v>16</v>
      </c>
      <c r="AU196" s="321" t="str">
        <f t="shared" ref="AU196:AU226" si="58">IF(AT196&gt;9, 11&amp;AT196, 110&amp;AT196)</f>
        <v>1116</v>
      </c>
      <c r="AV196" s="321">
        <f>IF(Instructions!$E$11=8,IF($D196=Instructions!$F$53,AV195+1,AV195),IF(Instructions!$E$11=10,IF($H196=Instructions!$F$53,AV195+1,AV195),IF(Instructions!$E$11=12,IF($L196=Instructions!$F$53,AV195+1,AV195),IF(Instructions!$E$11=14,IF($P196=Instructions!$F$53,AV195+1,AV195),IF(Instructions!$E$11=16,IF($T196=Instructions!$F$53,AV195+1,AV195))))))</f>
        <v>16</v>
      </c>
      <c r="AW196" s="321" t="str">
        <f t="shared" ref="AW196:AW226" si="59">IF(AV196&gt;9, 12&amp;AV196, 120&amp;AV196)</f>
        <v>1216</v>
      </c>
      <c r="AX196" s="321">
        <f>IF(Instructions!$E$11=8,IF($D196=Instructions!$F$54,AX195+1,AX195),IF(Instructions!$E$11=10,IF($H196=Instructions!$F$54,AX195+1,AX195),IF(Instructions!$E$11=12,IF($L196=Instructions!$F$54,AX195+1,AX195),IF(Instructions!$E$11=14,IF($P196=Instructions!$F$54,AX195+1,AX195),IF(Instructions!$E$11=16,IF($T196=Instructions!$F$54,AX195+1,AX195))))))</f>
        <v>0</v>
      </c>
      <c r="AY196" s="321" t="str">
        <f t="shared" ref="AY196:AY226" si="60">IF(AX196&gt;9, 13&amp;AX196, 130&amp;AX196)</f>
        <v>1300</v>
      </c>
      <c r="AZ196" s="321">
        <f>IF(Instructions!$E$11=8,IF($D196=Instructions!$F$55,AZ195+1,AZ195),IF(Instructions!$E$11=10,IF($H196=Instructions!$F$55,AZ195+1,AZ195),IF(Instructions!$E$11=12,IF($L196=Instructions!$F$55,AZ195+1,AZ195),IF(Instructions!$E$11=14,IF($P196=Instructions!$F$55,AZ195+1,AZ195),IF(Instructions!$E$11=16,IF($T196=Instructions!$F$55,AZ195+1,AZ195))))))</f>
        <v>0</v>
      </c>
      <c r="BA196" s="321" t="str">
        <f t="shared" ref="BA196:BA226" si="61">IF(AZ196&gt;9, 14&amp;AZ196, 140&amp;AZ196)</f>
        <v>1400</v>
      </c>
      <c r="BB196" s="321">
        <f>IF(Instructions!$E$11=8,IF($D196=Instructions!$F$56,BB195+1,BB195),IF(Instructions!$E$11=10,IF($H196=Instructions!$F$56,BB195+1,BB195),IF(Instructions!$E$11=12,IF($L196=Instructions!$F$56,BB195+1,BB195),IF(Instructions!$E$11=14,IF($P196=Instructions!$F$56,BB195+1,BB195),IF(Instructions!$E$11=16,IF($T196=Instructions!$F$56,BB195+1,BB195))))))</f>
        <v>0</v>
      </c>
      <c r="BC196" s="321" t="str">
        <f t="shared" ref="BC196:BC254" si="62">IF(BB196&gt;9, 15&amp;BB196, 150&amp;BB196)</f>
        <v>1500</v>
      </c>
      <c r="BD196" s="321">
        <f>IF(Instructions!$E$11=8,IF($D196=Instructions!$F$57,BD195+1,BD195),IF(Instructions!$E$11=10,IF($H196=Instructions!$F$57,BD195+1,BD195),IF(Instructions!$E$11=12,IF($L196=Instructions!$F$57,BD195+1,BD195),IF(Instructions!$E$11=14,IF($P196=Instructions!$F$57,BD195+1,BD195),IF(Instructions!$E$11=16,IF($T196=Instructions!$F$57,BD195+1,BD195))))))</f>
        <v>0</v>
      </c>
      <c r="BE196" s="321" t="str">
        <f t="shared" ref="BE196:BE254" si="63">IF(BD196&gt;9, 16&amp;BD196, 160&amp;BD196)</f>
        <v>1600</v>
      </c>
      <c r="BF196" s="321">
        <v>194</v>
      </c>
    </row>
    <row r="197" spans="1:58" x14ac:dyDescent="0.25">
      <c r="A197" s="280"/>
      <c r="B197" s="323" t="str">
        <f>IF(Instructions!$J$11=1,AA197,IF(Instructions!$J$11=2,AC197,IF(Instructions!$J$11=3,AE197,IF(Instructions!$J$11=4,AG197,IF(Instructions!$J$11=5,AI197,IF(Instructions!$J$11=6,AK197,IF(Instructions!$J$11=7,AM197,IF(Instructions!$J$11=8,AO197,IF(Instructions!$J$11=9,AQ197,IF(Instructions!$J$11=10,AS197,IF(Instructions!$J$11=11,AU197,IF(Instructions!$J$11=12,AW197,IF(Instructions!$J$11=13, AY197, IF(Instructions!$J$11=14,BA197,IF(Instructions!$J$11=15,BC197,BE197)))))))))))))))</f>
        <v>217</v>
      </c>
      <c r="C197" s="271">
        <v>195</v>
      </c>
      <c r="D197" s="328" t="str">
        <f>Instructions!F$44</f>
        <v>Cam</v>
      </c>
      <c r="E197" s="333" t="s">
        <v>1530</v>
      </c>
      <c r="F197" s="706"/>
      <c r="G197" s="279">
        <v>25</v>
      </c>
      <c r="H197" s="293" t="str">
        <f>Instructions!F$47</f>
        <v>Devin</v>
      </c>
      <c r="I197" s="273" t="s">
        <v>1492</v>
      </c>
      <c r="J197" s="709"/>
      <c r="K197" s="279">
        <v>20</v>
      </c>
      <c r="L197" s="293" t="str">
        <f>Instructions!F$44</f>
        <v>Cam</v>
      </c>
      <c r="M197" s="273" t="s">
        <v>1466</v>
      </c>
      <c r="N197" s="709"/>
      <c r="O197" s="279">
        <v>17</v>
      </c>
      <c r="P197" s="293" t="str">
        <f>Instructions!F$43</f>
        <v>Camden</v>
      </c>
      <c r="Q197" s="273" t="s">
        <v>955</v>
      </c>
      <c r="R197" s="709"/>
      <c r="S197" s="279">
        <v>14</v>
      </c>
      <c r="T197" s="328" t="str">
        <f>Instructions!F$44</f>
        <v>Cam</v>
      </c>
      <c r="U197" s="273" t="s">
        <v>853</v>
      </c>
      <c r="V197" s="706"/>
      <c r="W197" s="279">
        <v>13</v>
      </c>
      <c r="X197" s="280"/>
      <c r="Y197" s="190" t="str">
        <f>IFERROR( IF(Instructions!$E$11=8, D197&amp;COUNTIF(D$3:D197,D197), IF(Instructions!$E$11=10, H197&amp;COUNTIF(H$3:H197,H197),IF(Instructions!$E$11=12, L197&amp;COUNTIF(L$3:L197,L197),IF(Instructions!$E$11=14, P197&amp;COUNTIF(P$3:P197,P197),T197&amp;COUNTIF(T$3:T197,T197))))),"")</f>
        <v>Cam17</v>
      </c>
      <c r="Z197" s="321">
        <f>IF(Instructions!$E$11=8,IF($D197=Instructions!$F$42,Z196+1,Z196),IF(Instructions!$E$11=10,IF($H197=Instructions!$F$42,Z196+1,Z196),IF(Instructions!$E$11=12,IF($L197=Instructions!$F$42,Z196+1,Z196),IF(Instructions!$E$11=14,IF($P197=Instructions!$F$42,Z196+1,Z196),IF(Instructions!$E$11=16,IF($T197=Instructions!$F$42,Z196+1,Z196))))))</f>
        <v>17</v>
      </c>
      <c r="AA197" s="321" t="str">
        <f t="shared" si="56"/>
        <v>117</v>
      </c>
      <c r="AB197" s="321">
        <f>IF(Instructions!$E$11=8,IF($D197=Instructions!$F$43,AB196+1,AB196),IF(Instructions!$E$11=10,IF($H197=Instructions!$F$43,AB196+1,AB196),IF(Instructions!$E$11=12,IF($L197=Instructions!$F$43,AB196+1,AB196),IF(Instructions!$E$11=14,IF($P197=Instructions!$F$43,AB196+1,AB196),IF(Instructions!$E$11=16,IF($T197=Instructions!$F$43,AB196+1,AB196))))))</f>
        <v>17</v>
      </c>
      <c r="AC197" s="321" t="str">
        <f t="shared" si="48"/>
        <v>217</v>
      </c>
      <c r="AD197" s="321">
        <f>IF(Instructions!$E$11=8,IF($D197=Instructions!$F$44,AD196+1,AD196),IF(Instructions!$E$11=10,IF($H197=Instructions!$F$44,AD196+1,AD196),IF(Instructions!$E$11=12,IF($L197=Instructions!$F$44,AD196+1,AD196),IF(Instructions!$E$11=14,IF($P197=Instructions!$F$44,AD196+1,AD196),IF(Instructions!$E$11=16,IF($T197=Instructions!$F$44,AD196+1,AD196))))))</f>
        <v>17</v>
      </c>
      <c r="AE197" s="321" t="str">
        <f t="shared" si="49"/>
        <v>317</v>
      </c>
      <c r="AF197" s="321">
        <f>IF(Instructions!$E$11=8,IF($D197=Instructions!$F$45,AF196+1,AF196),IF(Instructions!$E$11=10,IF($H197=Instructions!$F$45,AF196+1,AF196),IF(Instructions!$E$11=12,IF($L197=Instructions!$F$45,AF196+1,AF196),IF(Instructions!$E$11=14,IF($P197=Instructions!$F$45,AF196+1,AF196),IF(Instructions!$E$11=16,IF($T197=Instructions!$F$45,AF196+1,AF196))))))</f>
        <v>16</v>
      </c>
      <c r="AG197" s="321" t="str">
        <f t="shared" si="50"/>
        <v>416</v>
      </c>
      <c r="AH197" s="321">
        <f>IF(Instructions!$E$11=8,IF($D197=Instructions!$F$46,AH196+1,AH196),IF(Instructions!$E$11=10,IF($H197=Instructions!$F$46,AH196+1,AH196),IF(Instructions!$E$11=12,IF($L197=Instructions!$F$46,AH196+1,AH196),IF(Instructions!$E$11=14,IF($P197=Instructions!$F$46,AH196+1,AH196),IF(Instructions!$E$11=16,IF($T197=Instructions!$F$46,AH196+1,AH196))))))</f>
        <v>16</v>
      </c>
      <c r="AI197" s="321" t="str">
        <f t="shared" si="51"/>
        <v>516</v>
      </c>
      <c r="AJ197" s="321">
        <f>IF(Instructions!$E$11=8,IF($D197=Instructions!$F$47,AJ196+1,AJ196),IF(Instructions!$E$11=10,IF($H197=Instructions!$F$47,AJ196+1,AJ196),IF(Instructions!$E$11=12,IF($L197=Instructions!$F$47,AJ196+1,AJ196),IF(Instructions!$E$11=14,IF($P197=Instructions!$F$47,AJ196+1,AJ196),IF(Instructions!$E$11=16,IF($T197=Instructions!$F$47,AJ196+1,AJ196))))))</f>
        <v>16</v>
      </c>
      <c r="AK197" s="321" t="str">
        <f t="shared" si="52"/>
        <v>616</v>
      </c>
      <c r="AL197" s="321">
        <f>IF(Instructions!$E$11=8,IF($D197=Instructions!$F$48,AL196+1,AL196),IF(Instructions!$E$11=10,IF($H197=Instructions!$F$48,AL196+1,AL196),IF(Instructions!$E$11=12,IF($L197=Instructions!$F$48,AL196+1,AL196),IF(Instructions!$E$11=14,IF($P197=Instructions!$F$48,AL196+1,AL196),IF(Instructions!$E$11=16,IF($T197=Instructions!$F$48,AL196+1,AL196))))))</f>
        <v>16</v>
      </c>
      <c r="AM197" s="321" t="str">
        <f t="shared" si="53"/>
        <v>716</v>
      </c>
      <c r="AN197" s="321">
        <f>IF(Instructions!$E$11=8,IF($D197=Instructions!$F$49,AN196+1,AN196),IF(Instructions!$E$11=10,IF($H197=Instructions!$F$49,AN196+1,AN196),IF(Instructions!$E$11=12,IF($L197=Instructions!$F$49,AN196+1,AN196),IF(Instructions!$E$11=14,IF($P197=Instructions!$F$49,AN196+1,AN196),IF(Instructions!$E$11=16,IF($T197=Instructions!$F$49,AN196+1,AN196))))))</f>
        <v>16</v>
      </c>
      <c r="AO197" s="321" t="str">
        <f t="shared" si="54"/>
        <v>816</v>
      </c>
      <c r="AP197" s="321">
        <f>IF(Instructions!$E$11=8,IF($D197=Instructions!$F$50,AP196+1,AP196),IF(Instructions!$E$11=10,IF($H197=Instructions!$F$50,AP196+1,AP196),IF(Instructions!$E$11=12,IF($L197=Instructions!$F$50,AP196+1,AP196),IF(Instructions!$E$11=14,IF($P197=Instructions!$F$50,AP196+1,AP196),IF(Instructions!$E$11=16,IF($T197=Instructions!$F$50,AP196+1,AP196))))))</f>
        <v>16</v>
      </c>
      <c r="AQ197" s="321" t="str">
        <f t="shared" si="55"/>
        <v>916</v>
      </c>
      <c r="AR197" s="321">
        <f>IF(Instructions!$E$11=8,IF($D197=Instructions!$F$51,AR196+1,AR196),IF(Instructions!$E$11=10,IF($H197=Instructions!$F$51,AR196+1,AR196),IF(Instructions!$E$11=12,IF($L197=Instructions!$F$51,AR196+1,AR196),IF(Instructions!$E$11=14,IF($P197=Instructions!$F$51,AR196+1,AR196),IF(Instructions!$E$11=16,IF($T197=Instructions!$F$51,AR196+1,AR196))))))</f>
        <v>16</v>
      </c>
      <c r="AS197" s="321" t="str">
        <f t="shared" si="57"/>
        <v>1016</v>
      </c>
      <c r="AT197" s="321">
        <f>IF(Instructions!$E$11=8,IF($D197=Instructions!$F$52,AT196+1,AT196),IF(Instructions!$E$11=10,IF($H197=Instructions!$F$52,AT196+1,AT196),IF(Instructions!$E$11=12,IF($L197=Instructions!$F$52,AT196+1,AT196),IF(Instructions!$E$11=14,IF($P197=Instructions!$F$52,AT196+1,AT196),IF(Instructions!$E$11=16,IF($T197=Instructions!$F$52,AT196+1,AT196))))))</f>
        <v>16</v>
      </c>
      <c r="AU197" s="321" t="str">
        <f t="shared" si="58"/>
        <v>1116</v>
      </c>
      <c r="AV197" s="321">
        <f>IF(Instructions!$E$11=8,IF($D197=Instructions!$F$53,AV196+1,AV196),IF(Instructions!$E$11=10,IF($H197=Instructions!$F$53,AV196+1,AV196),IF(Instructions!$E$11=12,IF($L197=Instructions!$F$53,AV196+1,AV196),IF(Instructions!$E$11=14,IF($P197=Instructions!$F$53,AV196+1,AV196),IF(Instructions!$E$11=16,IF($T197=Instructions!$F$53,AV196+1,AV196))))))</f>
        <v>16</v>
      </c>
      <c r="AW197" s="321" t="str">
        <f t="shared" si="59"/>
        <v>1216</v>
      </c>
      <c r="AX197" s="321">
        <f>IF(Instructions!$E$11=8,IF($D197=Instructions!$F$54,AX196+1,AX196),IF(Instructions!$E$11=10,IF($H197=Instructions!$F$54,AX196+1,AX196),IF(Instructions!$E$11=12,IF($L197=Instructions!$F$54,AX196+1,AX196),IF(Instructions!$E$11=14,IF($P197=Instructions!$F$54,AX196+1,AX196),IF(Instructions!$E$11=16,IF($T197=Instructions!$F$54,AX196+1,AX196))))))</f>
        <v>0</v>
      </c>
      <c r="AY197" s="321" t="str">
        <f t="shared" si="60"/>
        <v>1300</v>
      </c>
      <c r="AZ197" s="321">
        <f>IF(Instructions!$E$11=8,IF($D197=Instructions!$F$55,AZ196+1,AZ196),IF(Instructions!$E$11=10,IF($H197=Instructions!$F$55,AZ196+1,AZ196),IF(Instructions!$E$11=12,IF($L197=Instructions!$F$55,AZ196+1,AZ196),IF(Instructions!$E$11=14,IF($P197=Instructions!$F$55,AZ196+1,AZ196),IF(Instructions!$E$11=16,IF($T197=Instructions!$F$55,AZ196+1,AZ196))))))</f>
        <v>0</v>
      </c>
      <c r="BA197" s="321" t="str">
        <f t="shared" si="61"/>
        <v>1400</v>
      </c>
      <c r="BB197" s="321">
        <f>IF(Instructions!$E$11=8,IF($D197=Instructions!$F$56,BB196+1,BB196),IF(Instructions!$E$11=10,IF($H197=Instructions!$F$56,BB196+1,BB196),IF(Instructions!$E$11=12,IF($L197=Instructions!$F$56,BB196+1,BB196),IF(Instructions!$E$11=14,IF($P197=Instructions!$F$56,BB196+1,BB196),IF(Instructions!$E$11=16,IF($T197=Instructions!$F$56,BB196+1,BB196))))))</f>
        <v>0</v>
      </c>
      <c r="BC197" s="321" t="str">
        <f t="shared" si="62"/>
        <v>1500</v>
      </c>
      <c r="BD197" s="321">
        <f>IF(Instructions!$E$11=8,IF($D197=Instructions!$F$57,BD196+1,BD196),IF(Instructions!$E$11=10,IF($H197=Instructions!$F$57,BD196+1,BD196),IF(Instructions!$E$11=12,IF($L197=Instructions!$F$57,BD196+1,BD196),IF(Instructions!$E$11=14,IF($P197=Instructions!$F$57,BD196+1,BD196),IF(Instructions!$E$11=16,IF($T197=Instructions!$F$57,BD196+1,BD196))))))</f>
        <v>0</v>
      </c>
      <c r="BE197" s="321" t="str">
        <f t="shared" si="63"/>
        <v>1600</v>
      </c>
      <c r="BF197" s="321">
        <v>195</v>
      </c>
    </row>
    <row r="198" spans="1:58" ht="15.75" thickBot="1" x14ac:dyDescent="0.3">
      <c r="A198" s="280"/>
      <c r="B198" s="323" t="str">
        <f>IF(Instructions!$J$11=1,AA198,IF(Instructions!$J$11=2,AC198,IF(Instructions!$J$11=3,AE198,IF(Instructions!$J$11=4,AG198,IF(Instructions!$J$11=5,AI198,IF(Instructions!$J$11=6,AK198,IF(Instructions!$J$11=7,AM198,IF(Instructions!$J$11=8,AO198,IF(Instructions!$J$11=9,AQ198,IF(Instructions!$J$11=10,AS198,IF(Instructions!$J$11=11,AU198,IF(Instructions!$J$11=12,AW198,IF(Instructions!$J$11=13, AY198, IF(Instructions!$J$11=14,BA198,IF(Instructions!$J$11=15,BC198,BE198)))))))))))))))</f>
        <v>217</v>
      </c>
      <c r="C198" s="272">
        <v>196</v>
      </c>
      <c r="D198" s="327" t="str">
        <f>Instructions!F$45</f>
        <v>Miles</v>
      </c>
      <c r="E198" s="332" t="s">
        <v>1531</v>
      </c>
      <c r="F198" s="706"/>
      <c r="G198" s="279">
        <v>25</v>
      </c>
      <c r="H198" s="294" t="str">
        <f>Instructions!F$46</f>
        <v>Con</v>
      </c>
      <c r="I198" s="274" t="s">
        <v>1493</v>
      </c>
      <c r="J198" s="709"/>
      <c r="K198" s="279">
        <v>20</v>
      </c>
      <c r="L198" s="294" t="str">
        <f>Instructions!F$45</f>
        <v>Miles</v>
      </c>
      <c r="M198" s="274" t="s">
        <v>1467</v>
      </c>
      <c r="N198" s="709"/>
      <c r="O198" s="279">
        <v>17</v>
      </c>
      <c r="P198" s="295" t="str">
        <f>Instructions!F$42</f>
        <v>Trumbo</v>
      </c>
      <c r="Q198" s="277" t="s">
        <v>954</v>
      </c>
      <c r="R198" s="710"/>
      <c r="S198" s="279">
        <v>14</v>
      </c>
      <c r="T198" s="327" t="str">
        <f>Instructions!F$45</f>
        <v>Miles</v>
      </c>
      <c r="U198" s="274" t="s">
        <v>854</v>
      </c>
      <c r="V198" s="706"/>
      <c r="W198" s="279">
        <v>13</v>
      </c>
      <c r="X198" s="280"/>
      <c r="Y198" s="190" t="str">
        <f>IFERROR( IF(Instructions!$E$11=8, D198&amp;COUNTIF(D$3:D198,D198), IF(Instructions!$E$11=10, H198&amp;COUNTIF(H$3:H198,H198),IF(Instructions!$E$11=12, L198&amp;COUNTIF(L$3:L198,L198),IF(Instructions!$E$11=14, P198&amp;COUNTIF(P$3:P198,P198),T198&amp;COUNTIF(T$3:T198,T198))))),"")</f>
        <v>Miles17</v>
      </c>
      <c r="Z198" s="321">
        <f>IF(Instructions!$E$11=8,IF($D198=Instructions!$F$42,Z197+1,Z197),IF(Instructions!$E$11=10,IF($H198=Instructions!$F$42,Z197+1,Z197),IF(Instructions!$E$11=12,IF($L198=Instructions!$F$42,Z197+1,Z197),IF(Instructions!$E$11=14,IF($P198=Instructions!$F$42,Z197+1,Z197),IF(Instructions!$E$11=16,IF($T198=Instructions!$F$42,Z197+1,Z197))))))</f>
        <v>17</v>
      </c>
      <c r="AA198" s="321" t="str">
        <f t="shared" si="56"/>
        <v>117</v>
      </c>
      <c r="AB198" s="321">
        <f>IF(Instructions!$E$11=8,IF($D198=Instructions!$F$43,AB197+1,AB197),IF(Instructions!$E$11=10,IF($H198=Instructions!$F$43,AB197+1,AB197),IF(Instructions!$E$11=12,IF($L198=Instructions!$F$43,AB197+1,AB197),IF(Instructions!$E$11=14,IF($P198=Instructions!$F$43,AB197+1,AB197),IF(Instructions!$E$11=16,IF($T198=Instructions!$F$43,AB197+1,AB197))))))</f>
        <v>17</v>
      </c>
      <c r="AC198" s="321" t="str">
        <f t="shared" si="48"/>
        <v>217</v>
      </c>
      <c r="AD198" s="321">
        <f>IF(Instructions!$E$11=8,IF($D198=Instructions!$F$44,AD197+1,AD197),IF(Instructions!$E$11=10,IF($H198=Instructions!$F$44,AD197+1,AD197),IF(Instructions!$E$11=12,IF($L198=Instructions!$F$44,AD197+1,AD197),IF(Instructions!$E$11=14,IF($P198=Instructions!$F$44,AD197+1,AD197),IF(Instructions!$E$11=16,IF($T198=Instructions!$F$44,AD197+1,AD197))))))</f>
        <v>17</v>
      </c>
      <c r="AE198" s="321" t="str">
        <f t="shared" si="49"/>
        <v>317</v>
      </c>
      <c r="AF198" s="321">
        <f>IF(Instructions!$E$11=8,IF($D198=Instructions!$F$45,AF197+1,AF197),IF(Instructions!$E$11=10,IF($H198=Instructions!$F$45,AF197+1,AF197),IF(Instructions!$E$11=12,IF($L198=Instructions!$F$45,AF197+1,AF197),IF(Instructions!$E$11=14,IF($P198=Instructions!$F$45,AF197+1,AF197),IF(Instructions!$E$11=16,IF($T198=Instructions!$F$45,AF197+1,AF197))))))</f>
        <v>17</v>
      </c>
      <c r="AG198" s="321" t="str">
        <f t="shared" si="50"/>
        <v>417</v>
      </c>
      <c r="AH198" s="321">
        <f>IF(Instructions!$E$11=8,IF($D198=Instructions!$F$46,AH197+1,AH197),IF(Instructions!$E$11=10,IF($H198=Instructions!$F$46,AH197+1,AH197),IF(Instructions!$E$11=12,IF($L198=Instructions!$F$46,AH197+1,AH197),IF(Instructions!$E$11=14,IF($P198=Instructions!$F$46,AH197+1,AH197),IF(Instructions!$E$11=16,IF($T198=Instructions!$F$46,AH197+1,AH197))))))</f>
        <v>16</v>
      </c>
      <c r="AI198" s="321" t="str">
        <f t="shared" si="51"/>
        <v>516</v>
      </c>
      <c r="AJ198" s="321">
        <f>IF(Instructions!$E$11=8,IF($D198=Instructions!$F$47,AJ197+1,AJ197),IF(Instructions!$E$11=10,IF($H198=Instructions!$F$47,AJ197+1,AJ197),IF(Instructions!$E$11=12,IF($L198=Instructions!$F$47,AJ197+1,AJ197),IF(Instructions!$E$11=14,IF($P198=Instructions!$F$47,AJ197+1,AJ197),IF(Instructions!$E$11=16,IF($T198=Instructions!$F$47,AJ197+1,AJ197))))))</f>
        <v>16</v>
      </c>
      <c r="AK198" s="321" t="str">
        <f t="shared" si="52"/>
        <v>616</v>
      </c>
      <c r="AL198" s="321">
        <f>IF(Instructions!$E$11=8,IF($D198=Instructions!$F$48,AL197+1,AL197),IF(Instructions!$E$11=10,IF($H198=Instructions!$F$48,AL197+1,AL197),IF(Instructions!$E$11=12,IF($L198=Instructions!$F$48,AL197+1,AL197),IF(Instructions!$E$11=14,IF($P198=Instructions!$F$48,AL197+1,AL197),IF(Instructions!$E$11=16,IF($T198=Instructions!$F$48,AL197+1,AL197))))))</f>
        <v>16</v>
      </c>
      <c r="AM198" s="321" t="str">
        <f t="shared" si="53"/>
        <v>716</v>
      </c>
      <c r="AN198" s="321">
        <f>IF(Instructions!$E$11=8,IF($D198=Instructions!$F$49,AN197+1,AN197),IF(Instructions!$E$11=10,IF($H198=Instructions!$F$49,AN197+1,AN197),IF(Instructions!$E$11=12,IF($L198=Instructions!$F$49,AN197+1,AN197),IF(Instructions!$E$11=14,IF($P198=Instructions!$F$49,AN197+1,AN197),IF(Instructions!$E$11=16,IF($T198=Instructions!$F$49,AN197+1,AN197))))))</f>
        <v>16</v>
      </c>
      <c r="AO198" s="321" t="str">
        <f t="shared" si="54"/>
        <v>816</v>
      </c>
      <c r="AP198" s="321">
        <f>IF(Instructions!$E$11=8,IF($D198=Instructions!$F$50,AP197+1,AP197),IF(Instructions!$E$11=10,IF($H198=Instructions!$F$50,AP197+1,AP197),IF(Instructions!$E$11=12,IF($L198=Instructions!$F$50,AP197+1,AP197),IF(Instructions!$E$11=14,IF($P198=Instructions!$F$50,AP197+1,AP197),IF(Instructions!$E$11=16,IF($T198=Instructions!$F$50,AP197+1,AP197))))))</f>
        <v>16</v>
      </c>
      <c r="AQ198" s="321" t="str">
        <f t="shared" si="55"/>
        <v>916</v>
      </c>
      <c r="AR198" s="321">
        <f>IF(Instructions!$E$11=8,IF($D198=Instructions!$F$51,AR197+1,AR197),IF(Instructions!$E$11=10,IF($H198=Instructions!$F$51,AR197+1,AR197),IF(Instructions!$E$11=12,IF($L198=Instructions!$F$51,AR197+1,AR197),IF(Instructions!$E$11=14,IF($P198=Instructions!$F$51,AR197+1,AR197),IF(Instructions!$E$11=16,IF($T198=Instructions!$F$51,AR197+1,AR197))))))</f>
        <v>16</v>
      </c>
      <c r="AS198" s="321" t="str">
        <f t="shared" si="57"/>
        <v>1016</v>
      </c>
      <c r="AT198" s="321">
        <f>IF(Instructions!$E$11=8,IF($D198=Instructions!$F$52,AT197+1,AT197),IF(Instructions!$E$11=10,IF($H198=Instructions!$F$52,AT197+1,AT197),IF(Instructions!$E$11=12,IF($L198=Instructions!$F$52,AT197+1,AT197),IF(Instructions!$E$11=14,IF($P198=Instructions!$F$52,AT197+1,AT197),IF(Instructions!$E$11=16,IF($T198=Instructions!$F$52,AT197+1,AT197))))))</f>
        <v>16</v>
      </c>
      <c r="AU198" s="321" t="str">
        <f t="shared" si="58"/>
        <v>1116</v>
      </c>
      <c r="AV198" s="321">
        <f>IF(Instructions!$E$11=8,IF($D198=Instructions!$F$53,AV197+1,AV197),IF(Instructions!$E$11=10,IF($H198=Instructions!$F$53,AV197+1,AV197),IF(Instructions!$E$11=12,IF($L198=Instructions!$F$53,AV197+1,AV197),IF(Instructions!$E$11=14,IF($P198=Instructions!$F$53,AV197+1,AV197),IF(Instructions!$E$11=16,IF($T198=Instructions!$F$53,AV197+1,AV197))))))</f>
        <v>16</v>
      </c>
      <c r="AW198" s="321" t="str">
        <f t="shared" si="59"/>
        <v>1216</v>
      </c>
      <c r="AX198" s="321">
        <f>IF(Instructions!$E$11=8,IF($D198=Instructions!$F$54,AX197+1,AX197),IF(Instructions!$E$11=10,IF($H198=Instructions!$F$54,AX197+1,AX197),IF(Instructions!$E$11=12,IF($L198=Instructions!$F$54,AX197+1,AX197),IF(Instructions!$E$11=14,IF($P198=Instructions!$F$54,AX197+1,AX197),IF(Instructions!$E$11=16,IF($T198=Instructions!$F$54,AX197+1,AX197))))))</f>
        <v>0</v>
      </c>
      <c r="AY198" s="321" t="str">
        <f t="shared" si="60"/>
        <v>1300</v>
      </c>
      <c r="AZ198" s="321">
        <f>IF(Instructions!$E$11=8,IF($D198=Instructions!$F$55,AZ197+1,AZ197),IF(Instructions!$E$11=10,IF($H198=Instructions!$F$55,AZ197+1,AZ197),IF(Instructions!$E$11=12,IF($L198=Instructions!$F$55,AZ197+1,AZ197),IF(Instructions!$E$11=14,IF($P198=Instructions!$F$55,AZ197+1,AZ197),IF(Instructions!$E$11=16,IF($T198=Instructions!$F$55,AZ197+1,AZ197))))))</f>
        <v>0</v>
      </c>
      <c r="BA198" s="321" t="str">
        <f t="shared" si="61"/>
        <v>1400</v>
      </c>
      <c r="BB198" s="321">
        <f>IF(Instructions!$E$11=8,IF($D198=Instructions!$F$56,BB197+1,BB197),IF(Instructions!$E$11=10,IF($H198=Instructions!$F$56,BB197+1,BB197),IF(Instructions!$E$11=12,IF($L198=Instructions!$F$56,BB197+1,BB197),IF(Instructions!$E$11=14,IF($P198=Instructions!$F$56,BB197+1,BB197),IF(Instructions!$E$11=16,IF($T198=Instructions!$F$56,BB197+1,BB197))))))</f>
        <v>0</v>
      </c>
      <c r="BC198" s="321" t="str">
        <f t="shared" si="62"/>
        <v>1500</v>
      </c>
      <c r="BD198" s="321">
        <f>IF(Instructions!$E$11=8,IF($D198=Instructions!$F$57,BD197+1,BD197),IF(Instructions!$E$11=10,IF($H198=Instructions!$F$57,BD197+1,BD197),IF(Instructions!$E$11=12,IF($L198=Instructions!$F$57,BD197+1,BD197),IF(Instructions!$E$11=14,IF($P198=Instructions!$F$57,BD197+1,BD197),IF(Instructions!$E$11=16,IF($T198=Instructions!$F$57,BD197+1,BD197))))))</f>
        <v>0</v>
      </c>
      <c r="BE198" s="321" t="str">
        <f t="shared" si="63"/>
        <v>1600</v>
      </c>
      <c r="BF198" s="321">
        <v>196</v>
      </c>
    </row>
    <row r="199" spans="1:58" ht="15" customHeight="1" x14ac:dyDescent="0.25">
      <c r="A199" s="280"/>
      <c r="B199" s="323" t="str">
        <f>IF(Instructions!$J$11=1,AA199,IF(Instructions!$J$11=2,AC199,IF(Instructions!$J$11=3,AE199,IF(Instructions!$J$11=4,AG199,IF(Instructions!$J$11=5,AI199,IF(Instructions!$J$11=6,AK199,IF(Instructions!$J$11=7,AM199,IF(Instructions!$J$11=8,AO199,IF(Instructions!$J$11=9,AQ199,IF(Instructions!$J$11=10,AS199,IF(Instructions!$J$11=11,AU199,IF(Instructions!$J$11=12,AW199,IF(Instructions!$J$11=13, AY199, IF(Instructions!$J$11=14,BA199,IF(Instructions!$J$11=15,BC199,BE199)))))))))))))))</f>
        <v>217</v>
      </c>
      <c r="C199" s="271">
        <v>197</v>
      </c>
      <c r="D199" s="328" t="str">
        <f>Instructions!F$46</f>
        <v>Con</v>
      </c>
      <c r="E199" s="333" t="s">
        <v>1532</v>
      </c>
      <c r="F199" s="706"/>
      <c r="G199" s="279">
        <v>25</v>
      </c>
      <c r="H199" s="293" t="str">
        <f>Instructions!F$45</f>
        <v>Miles</v>
      </c>
      <c r="I199" s="273" t="s">
        <v>1494</v>
      </c>
      <c r="J199" s="709"/>
      <c r="K199" s="279">
        <v>20</v>
      </c>
      <c r="L199" s="293" t="str">
        <f>Instructions!F$46</f>
        <v>Con</v>
      </c>
      <c r="M199" s="273" t="s">
        <v>1468</v>
      </c>
      <c r="N199" s="709"/>
      <c r="O199" s="279">
        <v>17</v>
      </c>
      <c r="P199" s="292" t="str">
        <f>Instructions!F$42</f>
        <v>Trumbo</v>
      </c>
      <c r="Q199" s="276" t="s">
        <v>875</v>
      </c>
      <c r="R199" s="708" t="s">
        <v>910</v>
      </c>
      <c r="S199" s="279">
        <v>15</v>
      </c>
      <c r="T199" s="328" t="str">
        <f>Instructions!F$46</f>
        <v>Con</v>
      </c>
      <c r="U199" s="273" t="s">
        <v>855</v>
      </c>
      <c r="V199" s="706"/>
      <c r="W199" s="279">
        <v>13</v>
      </c>
      <c r="X199" s="280"/>
      <c r="Y199" s="190" t="str">
        <f>IFERROR( IF(Instructions!$E$11=8, D199&amp;COUNTIF(D$3:D199,D199), IF(Instructions!$E$11=10, H199&amp;COUNTIF(H$3:H199,H199),IF(Instructions!$E$11=12, L199&amp;COUNTIF(L$3:L199,L199),IF(Instructions!$E$11=14, P199&amp;COUNTIF(P$3:P199,P199),T199&amp;COUNTIF(T$3:T199,T199))))),"")</f>
        <v>Con17</v>
      </c>
      <c r="Z199" s="321">
        <f>IF(Instructions!$E$11=8,IF($D199=Instructions!$F$42,Z198+1,Z198),IF(Instructions!$E$11=10,IF($H199=Instructions!$F$42,Z198+1,Z198),IF(Instructions!$E$11=12,IF($L199=Instructions!$F$42,Z198+1,Z198),IF(Instructions!$E$11=14,IF($P199=Instructions!$F$42,Z198+1,Z198),IF(Instructions!$E$11=16,IF($T199=Instructions!$F$42,Z198+1,Z198))))))</f>
        <v>17</v>
      </c>
      <c r="AA199" s="321" t="str">
        <f t="shared" si="56"/>
        <v>117</v>
      </c>
      <c r="AB199" s="321">
        <f>IF(Instructions!$E$11=8,IF($D199=Instructions!$F$43,AB198+1,AB198),IF(Instructions!$E$11=10,IF($H199=Instructions!$F$43,AB198+1,AB198),IF(Instructions!$E$11=12,IF($L199=Instructions!$F$43,AB198+1,AB198),IF(Instructions!$E$11=14,IF($P199=Instructions!$F$43,AB198+1,AB198),IF(Instructions!$E$11=16,IF($T199=Instructions!$F$43,AB198+1,AB198))))))</f>
        <v>17</v>
      </c>
      <c r="AC199" s="321" t="str">
        <f t="shared" si="48"/>
        <v>217</v>
      </c>
      <c r="AD199" s="321">
        <f>IF(Instructions!$E$11=8,IF($D199=Instructions!$F$44,AD198+1,AD198),IF(Instructions!$E$11=10,IF($H199=Instructions!$F$44,AD198+1,AD198),IF(Instructions!$E$11=12,IF($L199=Instructions!$F$44,AD198+1,AD198),IF(Instructions!$E$11=14,IF($P199=Instructions!$F$44,AD198+1,AD198),IF(Instructions!$E$11=16,IF($T199=Instructions!$F$44,AD198+1,AD198))))))</f>
        <v>17</v>
      </c>
      <c r="AE199" s="321" t="str">
        <f t="shared" si="49"/>
        <v>317</v>
      </c>
      <c r="AF199" s="321">
        <f>IF(Instructions!$E$11=8,IF($D199=Instructions!$F$45,AF198+1,AF198),IF(Instructions!$E$11=10,IF($H199=Instructions!$F$45,AF198+1,AF198),IF(Instructions!$E$11=12,IF($L199=Instructions!$F$45,AF198+1,AF198),IF(Instructions!$E$11=14,IF($P199=Instructions!$F$45,AF198+1,AF198),IF(Instructions!$E$11=16,IF($T199=Instructions!$F$45,AF198+1,AF198))))))</f>
        <v>17</v>
      </c>
      <c r="AG199" s="321" t="str">
        <f t="shared" si="50"/>
        <v>417</v>
      </c>
      <c r="AH199" s="321">
        <f>IF(Instructions!$E$11=8,IF($D199=Instructions!$F$46,AH198+1,AH198),IF(Instructions!$E$11=10,IF($H199=Instructions!$F$46,AH198+1,AH198),IF(Instructions!$E$11=12,IF($L199=Instructions!$F$46,AH198+1,AH198),IF(Instructions!$E$11=14,IF($P199=Instructions!$F$46,AH198+1,AH198),IF(Instructions!$E$11=16,IF($T199=Instructions!$F$46,AH198+1,AH198))))))</f>
        <v>17</v>
      </c>
      <c r="AI199" s="321" t="str">
        <f t="shared" si="51"/>
        <v>517</v>
      </c>
      <c r="AJ199" s="321">
        <f>IF(Instructions!$E$11=8,IF($D199=Instructions!$F$47,AJ198+1,AJ198),IF(Instructions!$E$11=10,IF($H199=Instructions!$F$47,AJ198+1,AJ198),IF(Instructions!$E$11=12,IF($L199=Instructions!$F$47,AJ198+1,AJ198),IF(Instructions!$E$11=14,IF($P199=Instructions!$F$47,AJ198+1,AJ198),IF(Instructions!$E$11=16,IF($T199=Instructions!$F$47,AJ198+1,AJ198))))))</f>
        <v>16</v>
      </c>
      <c r="AK199" s="321" t="str">
        <f t="shared" si="52"/>
        <v>616</v>
      </c>
      <c r="AL199" s="321">
        <f>IF(Instructions!$E$11=8,IF($D199=Instructions!$F$48,AL198+1,AL198),IF(Instructions!$E$11=10,IF($H199=Instructions!$F$48,AL198+1,AL198),IF(Instructions!$E$11=12,IF($L199=Instructions!$F$48,AL198+1,AL198),IF(Instructions!$E$11=14,IF($P199=Instructions!$F$48,AL198+1,AL198),IF(Instructions!$E$11=16,IF($T199=Instructions!$F$48,AL198+1,AL198))))))</f>
        <v>16</v>
      </c>
      <c r="AM199" s="321" t="str">
        <f t="shared" si="53"/>
        <v>716</v>
      </c>
      <c r="AN199" s="321">
        <f>IF(Instructions!$E$11=8,IF($D199=Instructions!$F$49,AN198+1,AN198),IF(Instructions!$E$11=10,IF($H199=Instructions!$F$49,AN198+1,AN198),IF(Instructions!$E$11=12,IF($L199=Instructions!$F$49,AN198+1,AN198),IF(Instructions!$E$11=14,IF($P199=Instructions!$F$49,AN198+1,AN198),IF(Instructions!$E$11=16,IF($T199=Instructions!$F$49,AN198+1,AN198))))))</f>
        <v>16</v>
      </c>
      <c r="AO199" s="321" t="str">
        <f t="shared" si="54"/>
        <v>816</v>
      </c>
      <c r="AP199" s="321">
        <f>IF(Instructions!$E$11=8,IF($D199=Instructions!$F$50,AP198+1,AP198),IF(Instructions!$E$11=10,IF($H199=Instructions!$F$50,AP198+1,AP198),IF(Instructions!$E$11=12,IF($L199=Instructions!$F$50,AP198+1,AP198),IF(Instructions!$E$11=14,IF($P199=Instructions!$F$50,AP198+1,AP198),IF(Instructions!$E$11=16,IF($T199=Instructions!$F$50,AP198+1,AP198))))))</f>
        <v>16</v>
      </c>
      <c r="AQ199" s="321" t="str">
        <f t="shared" si="55"/>
        <v>916</v>
      </c>
      <c r="AR199" s="321">
        <f>IF(Instructions!$E$11=8,IF($D199=Instructions!$F$51,AR198+1,AR198),IF(Instructions!$E$11=10,IF($H199=Instructions!$F$51,AR198+1,AR198),IF(Instructions!$E$11=12,IF($L199=Instructions!$F$51,AR198+1,AR198),IF(Instructions!$E$11=14,IF($P199=Instructions!$F$51,AR198+1,AR198),IF(Instructions!$E$11=16,IF($T199=Instructions!$F$51,AR198+1,AR198))))))</f>
        <v>16</v>
      </c>
      <c r="AS199" s="321" t="str">
        <f t="shared" si="57"/>
        <v>1016</v>
      </c>
      <c r="AT199" s="321">
        <f>IF(Instructions!$E$11=8,IF($D199=Instructions!$F$52,AT198+1,AT198),IF(Instructions!$E$11=10,IF($H199=Instructions!$F$52,AT198+1,AT198),IF(Instructions!$E$11=12,IF($L199=Instructions!$F$52,AT198+1,AT198),IF(Instructions!$E$11=14,IF($P199=Instructions!$F$52,AT198+1,AT198),IF(Instructions!$E$11=16,IF($T199=Instructions!$F$52,AT198+1,AT198))))))</f>
        <v>16</v>
      </c>
      <c r="AU199" s="321" t="str">
        <f t="shared" si="58"/>
        <v>1116</v>
      </c>
      <c r="AV199" s="321">
        <f>IF(Instructions!$E$11=8,IF($D199=Instructions!$F$53,AV198+1,AV198),IF(Instructions!$E$11=10,IF($H199=Instructions!$F$53,AV198+1,AV198),IF(Instructions!$E$11=12,IF($L199=Instructions!$F$53,AV198+1,AV198),IF(Instructions!$E$11=14,IF($P199=Instructions!$F$53,AV198+1,AV198),IF(Instructions!$E$11=16,IF($T199=Instructions!$F$53,AV198+1,AV198))))))</f>
        <v>16</v>
      </c>
      <c r="AW199" s="321" t="str">
        <f t="shared" si="59"/>
        <v>1216</v>
      </c>
      <c r="AX199" s="321">
        <f>IF(Instructions!$E$11=8,IF($D199=Instructions!$F$54,AX198+1,AX198),IF(Instructions!$E$11=10,IF($H199=Instructions!$F$54,AX198+1,AX198),IF(Instructions!$E$11=12,IF($L199=Instructions!$F$54,AX198+1,AX198),IF(Instructions!$E$11=14,IF($P199=Instructions!$F$54,AX198+1,AX198),IF(Instructions!$E$11=16,IF($T199=Instructions!$F$54,AX198+1,AX198))))))</f>
        <v>0</v>
      </c>
      <c r="AY199" s="321" t="str">
        <f t="shared" si="60"/>
        <v>1300</v>
      </c>
      <c r="AZ199" s="321">
        <f>IF(Instructions!$E$11=8,IF($D199=Instructions!$F$55,AZ198+1,AZ198),IF(Instructions!$E$11=10,IF($H199=Instructions!$F$55,AZ198+1,AZ198),IF(Instructions!$E$11=12,IF($L199=Instructions!$F$55,AZ198+1,AZ198),IF(Instructions!$E$11=14,IF($P199=Instructions!$F$55,AZ198+1,AZ198),IF(Instructions!$E$11=16,IF($T199=Instructions!$F$55,AZ198+1,AZ198))))))</f>
        <v>0</v>
      </c>
      <c r="BA199" s="321" t="str">
        <f t="shared" si="61"/>
        <v>1400</v>
      </c>
      <c r="BB199" s="321">
        <f>IF(Instructions!$E$11=8,IF($D199=Instructions!$F$56,BB198+1,BB198),IF(Instructions!$E$11=10,IF($H199=Instructions!$F$56,BB198+1,BB198),IF(Instructions!$E$11=12,IF($L199=Instructions!$F$56,BB198+1,BB198),IF(Instructions!$E$11=14,IF($P199=Instructions!$F$56,BB198+1,BB198),IF(Instructions!$E$11=16,IF($T199=Instructions!$F$56,BB198+1,BB198))))))</f>
        <v>0</v>
      </c>
      <c r="BC199" s="321" t="str">
        <f t="shared" si="62"/>
        <v>1500</v>
      </c>
      <c r="BD199" s="321">
        <f>IF(Instructions!$E$11=8,IF($D199=Instructions!$F$57,BD198+1,BD198),IF(Instructions!$E$11=10,IF($H199=Instructions!$F$57,BD198+1,BD198),IF(Instructions!$E$11=12,IF($L199=Instructions!$F$57,BD198+1,BD198),IF(Instructions!$E$11=14,IF($P199=Instructions!$F$57,BD198+1,BD198),IF(Instructions!$E$11=16,IF($T199=Instructions!$F$57,BD198+1,BD198))))))</f>
        <v>0</v>
      </c>
      <c r="BE199" s="321" t="str">
        <f t="shared" si="63"/>
        <v>1600</v>
      </c>
      <c r="BF199" s="321">
        <v>197</v>
      </c>
    </row>
    <row r="200" spans="1:58" x14ac:dyDescent="0.25">
      <c r="A200" s="280"/>
      <c r="B200" s="323" t="str">
        <f>IF(Instructions!$J$11=1,AA200,IF(Instructions!$J$11=2,AC200,IF(Instructions!$J$11=3,AE200,IF(Instructions!$J$11=4,AG200,IF(Instructions!$J$11=5,AI200,IF(Instructions!$J$11=6,AK200,IF(Instructions!$J$11=7,AM200,IF(Instructions!$J$11=8,AO200,IF(Instructions!$J$11=9,AQ200,IF(Instructions!$J$11=10,AS200,IF(Instructions!$J$11=11,AU200,IF(Instructions!$J$11=12,AW200,IF(Instructions!$J$11=13, AY200, IF(Instructions!$J$11=14,BA200,IF(Instructions!$J$11=15,BC200,BE200)))))))))))))))</f>
        <v>217</v>
      </c>
      <c r="C200" s="272">
        <v>198</v>
      </c>
      <c r="D200" s="327" t="str">
        <f>Instructions!F$47</f>
        <v>Devin</v>
      </c>
      <c r="E200" s="332" t="s">
        <v>1533</v>
      </c>
      <c r="F200" s="706"/>
      <c r="G200" s="279">
        <v>25</v>
      </c>
      <c r="H200" s="294" t="str">
        <f>Instructions!F$44</f>
        <v>Cam</v>
      </c>
      <c r="I200" s="274" t="s">
        <v>1495</v>
      </c>
      <c r="J200" s="709"/>
      <c r="K200" s="279">
        <v>20</v>
      </c>
      <c r="L200" s="294" t="str">
        <f>Instructions!F$47</f>
        <v>Devin</v>
      </c>
      <c r="M200" s="274" t="s">
        <v>1469</v>
      </c>
      <c r="N200" s="709"/>
      <c r="O200" s="279">
        <v>17</v>
      </c>
      <c r="P200" s="294" t="str">
        <f>Instructions!F$43</f>
        <v>Camden</v>
      </c>
      <c r="Q200" s="274" t="s">
        <v>876</v>
      </c>
      <c r="R200" s="709"/>
      <c r="S200" s="279">
        <v>15</v>
      </c>
      <c r="T200" s="327" t="str">
        <f>Instructions!F$47</f>
        <v>Devin</v>
      </c>
      <c r="U200" s="274" t="s">
        <v>856</v>
      </c>
      <c r="V200" s="706"/>
      <c r="W200" s="279">
        <v>13</v>
      </c>
      <c r="X200" s="280"/>
      <c r="Y200" s="190" t="str">
        <f>IFERROR( IF(Instructions!$E$11=8, D200&amp;COUNTIF(D$3:D200,D200), IF(Instructions!$E$11=10, H200&amp;COUNTIF(H$3:H200,H200),IF(Instructions!$E$11=12, L200&amp;COUNTIF(L$3:L200,L200),IF(Instructions!$E$11=14, P200&amp;COUNTIF(P$3:P200,P200),T200&amp;COUNTIF(T$3:T200,T200))))),"")</f>
        <v>Devin17</v>
      </c>
      <c r="Z200" s="321">
        <f>IF(Instructions!$E$11=8,IF($D200=Instructions!$F$42,Z199+1,Z199),IF(Instructions!$E$11=10,IF($H200=Instructions!$F$42,Z199+1,Z199),IF(Instructions!$E$11=12,IF($L200=Instructions!$F$42,Z199+1,Z199),IF(Instructions!$E$11=14,IF($P200=Instructions!$F$42,Z199+1,Z199),IF(Instructions!$E$11=16,IF($T200=Instructions!$F$42,Z199+1,Z199))))))</f>
        <v>17</v>
      </c>
      <c r="AA200" s="321" t="str">
        <f t="shared" si="56"/>
        <v>117</v>
      </c>
      <c r="AB200" s="321">
        <f>IF(Instructions!$E$11=8,IF($D200=Instructions!$F$43,AB199+1,AB199),IF(Instructions!$E$11=10,IF($H200=Instructions!$F$43,AB199+1,AB199),IF(Instructions!$E$11=12,IF($L200=Instructions!$F$43,AB199+1,AB199),IF(Instructions!$E$11=14,IF($P200=Instructions!$F$43,AB199+1,AB199),IF(Instructions!$E$11=16,IF($T200=Instructions!$F$43,AB199+1,AB199))))))</f>
        <v>17</v>
      </c>
      <c r="AC200" s="321" t="str">
        <f t="shared" si="48"/>
        <v>217</v>
      </c>
      <c r="AD200" s="321">
        <f>IF(Instructions!$E$11=8,IF($D200=Instructions!$F$44,AD199+1,AD199),IF(Instructions!$E$11=10,IF($H200=Instructions!$F$44,AD199+1,AD199),IF(Instructions!$E$11=12,IF($L200=Instructions!$F$44,AD199+1,AD199),IF(Instructions!$E$11=14,IF($P200=Instructions!$F$44,AD199+1,AD199),IF(Instructions!$E$11=16,IF($T200=Instructions!$F$44,AD199+1,AD199))))))</f>
        <v>17</v>
      </c>
      <c r="AE200" s="321" t="str">
        <f t="shared" si="49"/>
        <v>317</v>
      </c>
      <c r="AF200" s="321">
        <f>IF(Instructions!$E$11=8,IF($D200=Instructions!$F$45,AF199+1,AF199),IF(Instructions!$E$11=10,IF($H200=Instructions!$F$45,AF199+1,AF199),IF(Instructions!$E$11=12,IF($L200=Instructions!$F$45,AF199+1,AF199),IF(Instructions!$E$11=14,IF($P200=Instructions!$F$45,AF199+1,AF199),IF(Instructions!$E$11=16,IF($T200=Instructions!$F$45,AF199+1,AF199))))))</f>
        <v>17</v>
      </c>
      <c r="AG200" s="321" t="str">
        <f t="shared" si="50"/>
        <v>417</v>
      </c>
      <c r="AH200" s="321">
        <f>IF(Instructions!$E$11=8,IF($D200=Instructions!$F$46,AH199+1,AH199),IF(Instructions!$E$11=10,IF($H200=Instructions!$F$46,AH199+1,AH199),IF(Instructions!$E$11=12,IF($L200=Instructions!$F$46,AH199+1,AH199),IF(Instructions!$E$11=14,IF($P200=Instructions!$F$46,AH199+1,AH199),IF(Instructions!$E$11=16,IF($T200=Instructions!$F$46,AH199+1,AH199))))))</f>
        <v>17</v>
      </c>
      <c r="AI200" s="321" t="str">
        <f t="shared" si="51"/>
        <v>517</v>
      </c>
      <c r="AJ200" s="321">
        <f>IF(Instructions!$E$11=8,IF($D200=Instructions!$F$47,AJ199+1,AJ199),IF(Instructions!$E$11=10,IF($H200=Instructions!$F$47,AJ199+1,AJ199),IF(Instructions!$E$11=12,IF($L200=Instructions!$F$47,AJ199+1,AJ199),IF(Instructions!$E$11=14,IF($P200=Instructions!$F$47,AJ199+1,AJ199),IF(Instructions!$E$11=16,IF($T200=Instructions!$F$47,AJ199+1,AJ199))))))</f>
        <v>17</v>
      </c>
      <c r="AK200" s="321" t="str">
        <f t="shared" si="52"/>
        <v>617</v>
      </c>
      <c r="AL200" s="321">
        <f>IF(Instructions!$E$11=8,IF($D200=Instructions!$F$48,AL199+1,AL199),IF(Instructions!$E$11=10,IF($H200=Instructions!$F$48,AL199+1,AL199),IF(Instructions!$E$11=12,IF($L200=Instructions!$F$48,AL199+1,AL199),IF(Instructions!$E$11=14,IF($P200=Instructions!$F$48,AL199+1,AL199),IF(Instructions!$E$11=16,IF($T200=Instructions!$F$48,AL199+1,AL199))))))</f>
        <v>16</v>
      </c>
      <c r="AM200" s="321" t="str">
        <f t="shared" si="53"/>
        <v>716</v>
      </c>
      <c r="AN200" s="321">
        <f>IF(Instructions!$E$11=8,IF($D200=Instructions!$F$49,AN199+1,AN199),IF(Instructions!$E$11=10,IF($H200=Instructions!$F$49,AN199+1,AN199),IF(Instructions!$E$11=12,IF($L200=Instructions!$F$49,AN199+1,AN199),IF(Instructions!$E$11=14,IF($P200=Instructions!$F$49,AN199+1,AN199),IF(Instructions!$E$11=16,IF($T200=Instructions!$F$49,AN199+1,AN199))))))</f>
        <v>16</v>
      </c>
      <c r="AO200" s="321" t="str">
        <f t="shared" si="54"/>
        <v>816</v>
      </c>
      <c r="AP200" s="321">
        <f>IF(Instructions!$E$11=8,IF($D200=Instructions!$F$50,AP199+1,AP199),IF(Instructions!$E$11=10,IF($H200=Instructions!$F$50,AP199+1,AP199),IF(Instructions!$E$11=12,IF($L200=Instructions!$F$50,AP199+1,AP199),IF(Instructions!$E$11=14,IF($P200=Instructions!$F$50,AP199+1,AP199),IF(Instructions!$E$11=16,IF($T200=Instructions!$F$50,AP199+1,AP199))))))</f>
        <v>16</v>
      </c>
      <c r="AQ200" s="321" t="str">
        <f t="shared" si="55"/>
        <v>916</v>
      </c>
      <c r="AR200" s="321">
        <f>IF(Instructions!$E$11=8,IF($D200=Instructions!$F$51,AR199+1,AR199),IF(Instructions!$E$11=10,IF($H200=Instructions!$F$51,AR199+1,AR199),IF(Instructions!$E$11=12,IF($L200=Instructions!$F$51,AR199+1,AR199),IF(Instructions!$E$11=14,IF($P200=Instructions!$F$51,AR199+1,AR199),IF(Instructions!$E$11=16,IF($T200=Instructions!$F$51,AR199+1,AR199))))))</f>
        <v>16</v>
      </c>
      <c r="AS200" s="321" t="str">
        <f t="shared" si="57"/>
        <v>1016</v>
      </c>
      <c r="AT200" s="321">
        <f>IF(Instructions!$E$11=8,IF($D200=Instructions!$F$52,AT199+1,AT199),IF(Instructions!$E$11=10,IF($H200=Instructions!$F$52,AT199+1,AT199),IF(Instructions!$E$11=12,IF($L200=Instructions!$F$52,AT199+1,AT199),IF(Instructions!$E$11=14,IF($P200=Instructions!$F$52,AT199+1,AT199),IF(Instructions!$E$11=16,IF($T200=Instructions!$F$52,AT199+1,AT199))))))</f>
        <v>16</v>
      </c>
      <c r="AU200" s="321" t="str">
        <f t="shared" si="58"/>
        <v>1116</v>
      </c>
      <c r="AV200" s="321">
        <f>IF(Instructions!$E$11=8,IF($D200=Instructions!$F$53,AV199+1,AV199),IF(Instructions!$E$11=10,IF($H200=Instructions!$F$53,AV199+1,AV199),IF(Instructions!$E$11=12,IF($L200=Instructions!$F$53,AV199+1,AV199),IF(Instructions!$E$11=14,IF($P200=Instructions!$F$53,AV199+1,AV199),IF(Instructions!$E$11=16,IF($T200=Instructions!$F$53,AV199+1,AV199))))))</f>
        <v>16</v>
      </c>
      <c r="AW200" s="321" t="str">
        <f t="shared" si="59"/>
        <v>1216</v>
      </c>
      <c r="AX200" s="321">
        <f>IF(Instructions!$E$11=8,IF($D200=Instructions!$F$54,AX199+1,AX199),IF(Instructions!$E$11=10,IF($H200=Instructions!$F$54,AX199+1,AX199),IF(Instructions!$E$11=12,IF($L200=Instructions!$F$54,AX199+1,AX199),IF(Instructions!$E$11=14,IF($P200=Instructions!$F$54,AX199+1,AX199),IF(Instructions!$E$11=16,IF($T200=Instructions!$F$54,AX199+1,AX199))))))</f>
        <v>0</v>
      </c>
      <c r="AY200" s="321" t="str">
        <f t="shared" si="60"/>
        <v>1300</v>
      </c>
      <c r="AZ200" s="321">
        <f>IF(Instructions!$E$11=8,IF($D200=Instructions!$F$55,AZ199+1,AZ199),IF(Instructions!$E$11=10,IF($H200=Instructions!$F$55,AZ199+1,AZ199),IF(Instructions!$E$11=12,IF($L200=Instructions!$F$55,AZ199+1,AZ199),IF(Instructions!$E$11=14,IF($P200=Instructions!$F$55,AZ199+1,AZ199),IF(Instructions!$E$11=16,IF($T200=Instructions!$F$55,AZ199+1,AZ199))))))</f>
        <v>0</v>
      </c>
      <c r="BA200" s="321" t="str">
        <f t="shared" si="61"/>
        <v>1400</v>
      </c>
      <c r="BB200" s="321">
        <f>IF(Instructions!$E$11=8,IF($D200=Instructions!$F$56,BB199+1,BB199),IF(Instructions!$E$11=10,IF($H200=Instructions!$F$56,BB199+1,BB199),IF(Instructions!$E$11=12,IF($L200=Instructions!$F$56,BB199+1,BB199),IF(Instructions!$E$11=14,IF($P200=Instructions!$F$56,BB199+1,BB199),IF(Instructions!$E$11=16,IF($T200=Instructions!$F$56,BB199+1,BB199))))))</f>
        <v>0</v>
      </c>
      <c r="BC200" s="321" t="str">
        <f t="shared" si="62"/>
        <v>1500</v>
      </c>
      <c r="BD200" s="321">
        <f>IF(Instructions!$E$11=8,IF($D200=Instructions!$F$57,BD199+1,BD199),IF(Instructions!$E$11=10,IF($H200=Instructions!$F$57,BD199+1,BD199),IF(Instructions!$E$11=12,IF($L200=Instructions!$F$57,BD199+1,BD199),IF(Instructions!$E$11=14,IF($P200=Instructions!$F$57,BD199+1,BD199),IF(Instructions!$E$11=16,IF($T200=Instructions!$F$57,BD199+1,BD199))))))</f>
        <v>0</v>
      </c>
      <c r="BE200" s="321" t="str">
        <f t="shared" si="63"/>
        <v>1600</v>
      </c>
      <c r="BF200" s="321">
        <v>198</v>
      </c>
    </row>
    <row r="201" spans="1:58" x14ac:dyDescent="0.25">
      <c r="A201" s="280"/>
      <c r="B201" s="323" t="str">
        <f>IF(Instructions!$J$11=1,AA201,IF(Instructions!$J$11=2,AC201,IF(Instructions!$J$11=3,AE201,IF(Instructions!$J$11=4,AG201,IF(Instructions!$J$11=5,AI201,IF(Instructions!$J$11=6,AK201,IF(Instructions!$J$11=7,AM201,IF(Instructions!$J$11=8,AO201,IF(Instructions!$J$11=9,AQ201,IF(Instructions!$J$11=10,AS201,IF(Instructions!$J$11=11,AU201,IF(Instructions!$J$11=12,AW201,IF(Instructions!$J$11=13, AY201, IF(Instructions!$J$11=14,BA201,IF(Instructions!$J$11=15,BC201,BE201)))))))))))))))</f>
        <v>217</v>
      </c>
      <c r="C201" s="271">
        <v>199</v>
      </c>
      <c r="D201" s="328" t="str">
        <f>Instructions!F$48</f>
        <v>Bui</v>
      </c>
      <c r="E201" s="333" t="s">
        <v>1534</v>
      </c>
      <c r="F201" s="706"/>
      <c r="G201" s="279">
        <v>25</v>
      </c>
      <c r="H201" s="293" t="str">
        <f>Instructions!F$43</f>
        <v>Camden</v>
      </c>
      <c r="I201" s="273" t="s">
        <v>1542</v>
      </c>
      <c r="J201" s="709"/>
      <c r="K201" s="279">
        <v>20</v>
      </c>
      <c r="L201" s="293" t="str">
        <f>Instructions!F$48</f>
        <v>Bui</v>
      </c>
      <c r="M201" s="273" t="s">
        <v>1470</v>
      </c>
      <c r="N201" s="709"/>
      <c r="O201" s="279">
        <v>17</v>
      </c>
      <c r="P201" s="293" t="str">
        <f>Instructions!F$44</f>
        <v>Cam</v>
      </c>
      <c r="Q201" s="273" t="s">
        <v>877</v>
      </c>
      <c r="R201" s="709"/>
      <c r="S201" s="279">
        <v>15</v>
      </c>
      <c r="T201" s="328" t="str">
        <f>Instructions!F$48</f>
        <v>Bui</v>
      </c>
      <c r="U201" s="273" t="s">
        <v>857</v>
      </c>
      <c r="V201" s="706"/>
      <c r="W201" s="279">
        <v>13</v>
      </c>
      <c r="X201" s="280"/>
      <c r="Y201" s="190" t="str">
        <f>IFERROR( IF(Instructions!$E$11=8, D201&amp;COUNTIF(D$3:D201,D201), IF(Instructions!$E$11=10, H201&amp;COUNTIF(H$3:H201,H201),IF(Instructions!$E$11=12, L201&amp;COUNTIF(L$3:L201,L201),IF(Instructions!$E$11=14, P201&amp;COUNTIF(P$3:P201,P201),T201&amp;COUNTIF(T$3:T201,T201))))),"")</f>
        <v>Bui17</v>
      </c>
      <c r="Z201" s="321">
        <f>IF(Instructions!$E$11=8,IF($D201=Instructions!$F$42,Z200+1,Z200),IF(Instructions!$E$11=10,IF($H201=Instructions!$F$42,Z200+1,Z200),IF(Instructions!$E$11=12,IF($L201=Instructions!$F$42,Z200+1,Z200),IF(Instructions!$E$11=14,IF($P201=Instructions!$F$42,Z200+1,Z200),IF(Instructions!$E$11=16,IF($T201=Instructions!$F$42,Z200+1,Z200))))))</f>
        <v>17</v>
      </c>
      <c r="AA201" s="321" t="str">
        <f t="shared" si="56"/>
        <v>117</v>
      </c>
      <c r="AB201" s="321">
        <f>IF(Instructions!$E$11=8,IF($D201=Instructions!$F$43,AB200+1,AB200),IF(Instructions!$E$11=10,IF($H201=Instructions!$F$43,AB200+1,AB200),IF(Instructions!$E$11=12,IF($L201=Instructions!$F$43,AB200+1,AB200),IF(Instructions!$E$11=14,IF($P201=Instructions!$F$43,AB200+1,AB200),IF(Instructions!$E$11=16,IF($T201=Instructions!$F$43,AB200+1,AB200))))))</f>
        <v>17</v>
      </c>
      <c r="AC201" s="321" t="str">
        <f t="shared" si="48"/>
        <v>217</v>
      </c>
      <c r="AD201" s="321">
        <f>IF(Instructions!$E$11=8,IF($D201=Instructions!$F$44,AD200+1,AD200),IF(Instructions!$E$11=10,IF($H201=Instructions!$F$44,AD200+1,AD200),IF(Instructions!$E$11=12,IF($L201=Instructions!$F$44,AD200+1,AD200),IF(Instructions!$E$11=14,IF($P201=Instructions!$F$44,AD200+1,AD200),IF(Instructions!$E$11=16,IF($T201=Instructions!$F$44,AD200+1,AD200))))))</f>
        <v>17</v>
      </c>
      <c r="AE201" s="321" t="str">
        <f t="shared" si="49"/>
        <v>317</v>
      </c>
      <c r="AF201" s="321">
        <f>IF(Instructions!$E$11=8,IF($D201=Instructions!$F$45,AF200+1,AF200),IF(Instructions!$E$11=10,IF($H201=Instructions!$F$45,AF200+1,AF200),IF(Instructions!$E$11=12,IF($L201=Instructions!$F$45,AF200+1,AF200),IF(Instructions!$E$11=14,IF($P201=Instructions!$F$45,AF200+1,AF200),IF(Instructions!$E$11=16,IF($T201=Instructions!$F$45,AF200+1,AF200))))))</f>
        <v>17</v>
      </c>
      <c r="AG201" s="321" t="str">
        <f t="shared" si="50"/>
        <v>417</v>
      </c>
      <c r="AH201" s="321">
        <f>IF(Instructions!$E$11=8,IF($D201=Instructions!$F$46,AH200+1,AH200),IF(Instructions!$E$11=10,IF($H201=Instructions!$F$46,AH200+1,AH200),IF(Instructions!$E$11=12,IF($L201=Instructions!$F$46,AH200+1,AH200),IF(Instructions!$E$11=14,IF($P201=Instructions!$F$46,AH200+1,AH200),IF(Instructions!$E$11=16,IF($T201=Instructions!$F$46,AH200+1,AH200))))))</f>
        <v>17</v>
      </c>
      <c r="AI201" s="321" t="str">
        <f t="shared" si="51"/>
        <v>517</v>
      </c>
      <c r="AJ201" s="321">
        <f>IF(Instructions!$E$11=8,IF($D201=Instructions!$F$47,AJ200+1,AJ200),IF(Instructions!$E$11=10,IF($H201=Instructions!$F$47,AJ200+1,AJ200),IF(Instructions!$E$11=12,IF($L201=Instructions!$F$47,AJ200+1,AJ200),IF(Instructions!$E$11=14,IF($P201=Instructions!$F$47,AJ200+1,AJ200),IF(Instructions!$E$11=16,IF($T201=Instructions!$F$47,AJ200+1,AJ200))))))</f>
        <v>17</v>
      </c>
      <c r="AK201" s="321" t="str">
        <f t="shared" si="52"/>
        <v>617</v>
      </c>
      <c r="AL201" s="321">
        <f>IF(Instructions!$E$11=8,IF($D201=Instructions!$F$48,AL200+1,AL200),IF(Instructions!$E$11=10,IF($H201=Instructions!$F$48,AL200+1,AL200),IF(Instructions!$E$11=12,IF($L201=Instructions!$F$48,AL200+1,AL200),IF(Instructions!$E$11=14,IF($P201=Instructions!$F$48,AL200+1,AL200),IF(Instructions!$E$11=16,IF($T201=Instructions!$F$48,AL200+1,AL200))))))</f>
        <v>17</v>
      </c>
      <c r="AM201" s="321" t="str">
        <f t="shared" si="53"/>
        <v>717</v>
      </c>
      <c r="AN201" s="321">
        <f>IF(Instructions!$E$11=8,IF($D201=Instructions!$F$49,AN200+1,AN200),IF(Instructions!$E$11=10,IF($H201=Instructions!$F$49,AN200+1,AN200),IF(Instructions!$E$11=12,IF($L201=Instructions!$F$49,AN200+1,AN200),IF(Instructions!$E$11=14,IF($P201=Instructions!$F$49,AN200+1,AN200),IF(Instructions!$E$11=16,IF($T201=Instructions!$F$49,AN200+1,AN200))))))</f>
        <v>16</v>
      </c>
      <c r="AO201" s="321" t="str">
        <f t="shared" si="54"/>
        <v>816</v>
      </c>
      <c r="AP201" s="321">
        <f>IF(Instructions!$E$11=8,IF($D201=Instructions!$F$50,AP200+1,AP200),IF(Instructions!$E$11=10,IF($H201=Instructions!$F$50,AP200+1,AP200),IF(Instructions!$E$11=12,IF($L201=Instructions!$F$50,AP200+1,AP200),IF(Instructions!$E$11=14,IF($P201=Instructions!$F$50,AP200+1,AP200),IF(Instructions!$E$11=16,IF($T201=Instructions!$F$50,AP200+1,AP200))))))</f>
        <v>16</v>
      </c>
      <c r="AQ201" s="321" t="str">
        <f t="shared" si="55"/>
        <v>916</v>
      </c>
      <c r="AR201" s="321">
        <f>IF(Instructions!$E$11=8,IF($D201=Instructions!$F$51,AR200+1,AR200),IF(Instructions!$E$11=10,IF($H201=Instructions!$F$51,AR200+1,AR200),IF(Instructions!$E$11=12,IF($L201=Instructions!$F$51,AR200+1,AR200),IF(Instructions!$E$11=14,IF($P201=Instructions!$F$51,AR200+1,AR200),IF(Instructions!$E$11=16,IF($T201=Instructions!$F$51,AR200+1,AR200))))))</f>
        <v>16</v>
      </c>
      <c r="AS201" s="321" t="str">
        <f t="shared" si="57"/>
        <v>1016</v>
      </c>
      <c r="AT201" s="321">
        <f>IF(Instructions!$E$11=8,IF($D201=Instructions!$F$52,AT200+1,AT200),IF(Instructions!$E$11=10,IF($H201=Instructions!$F$52,AT200+1,AT200),IF(Instructions!$E$11=12,IF($L201=Instructions!$F$52,AT200+1,AT200),IF(Instructions!$E$11=14,IF($P201=Instructions!$F$52,AT200+1,AT200),IF(Instructions!$E$11=16,IF($T201=Instructions!$F$52,AT200+1,AT200))))))</f>
        <v>16</v>
      </c>
      <c r="AU201" s="321" t="str">
        <f t="shared" si="58"/>
        <v>1116</v>
      </c>
      <c r="AV201" s="321">
        <f>IF(Instructions!$E$11=8,IF($D201=Instructions!$F$53,AV200+1,AV200),IF(Instructions!$E$11=10,IF($H201=Instructions!$F$53,AV200+1,AV200),IF(Instructions!$E$11=12,IF($L201=Instructions!$F$53,AV200+1,AV200),IF(Instructions!$E$11=14,IF($P201=Instructions!$F$53,AV200+1,AV200),IF(Instructions!$E$11=16,IF($T201=Instructions!$F$53,AV200+1,AV200))))))</f>
        <v>16</v>
      </c>
      <c r="AW201" s="321" t="str">
        <f t="shared" si="59"/>
        <v>1216</v>
      </c>
      <c r="AX201" s="321">
        <f>IF(Instructions!$E$11=8,IF($D201=Instructions!$F$54,AX200+1,AX200),IF(Instructions!$E$11=10,IF($H201=Instructions!$F$54,AX200+1,AX200),IF(Instructions!$E$11=12,IF($L201=Instructions!$F$54,AX200+1,AX200),IF(Instructions!$E$11=14,IF($P201=Instructions!$F$54,AX200+1,AX200),IF(Instructions!$E$11=16,IF($T201=Instructions!$F$54,AX200+1,AX200))))))</f>
        <v>0</v>
      </c>
      <c r="AY201" s="321" t="str">
        <f t="shared" si="60"/>
        <v>1300</v>
      </c>
      <c r="AZ201" s="321">
        <f>IF(Instructions!$E$11=8,IF($D201=Instructions!$F$55,AZ200+1,AZ200),IF(Instructions!$E$11=10,IF($H201=Instructions!$F$55,AZ200+1,AZ200),IF(Instructions!$E$11=12,IF($L201=Instructions!$F$55,AZ200+1,AZ200),IF(Instructions!$E$11=14,IF($P201=Instructions!$F$55,AZ200+1,AZ200),IF(Instructions!$E$11=16,IF($T201=Instructions!$F$55,AZ200+1,AZ200))))))</f>
        <v>0</v>
      </c>
      <c r="BA201" s="321" t="str">
        <f t="shared" si="61"/>
        <v>1400</v>
      </c>
      <c r="BB201" s="321">
        <f>IF(Instructions!$E$11=8,IF($D201=Instructions!$F$56,BB200+1,BB200),IF(Instructions!$E$11=10,IF($H201=Instructions!$F$56,BB200+1,BB200),IF(Instructions!$E$11=12,IF($L201=Instructions!$F$56,BB200+1,BB200),IF(Instructions!$E$11=14,IF($P201=Instructions!$F$56,BB200+1,BB200),IF(Instructions!$E$11=16,IF($T201=Instructions!$F$56,BB200+1,BB200))))))</f>
        <v>0</v>
      </c>
      <c r="BC201" s="321" t="str">
        <f t="shared" si="62"/>
        <v>1500</v>
      </c>
      <c r="BD201" s="321">
        <f>IF(Instructions!$E$11=8,IF($D201=Instructions!$F$57,BD200+1,BD200),IF(Instructions!$E$11=10,IF($H201=Instructions!$F$57,BD200+1,BD200),IF(Instructions!$E$11=12,IF($L201=Instructions!$F$57,BD200+1,BD200),IF(Instructions!$E$11=14,IF($P201=Instructions!$F$57,BD200+1,BD200),IF(Instructions!$E$11=16,IF($T201=Instructions!$F$57,BD200+1,BD200))))))</f>
        <v>0</v>
      </c>
      <c r="BE201" s="321" t="str">
        <f t="shared" si="63"/>
        <v>1600</v>
      </c>
      <c r="BF201" s="321">
        <v>199</v>
      </c>
    </row>
    <row r="202" spans="1:58" ht="15.75" thickBot="1" x14ac:dyDescent="0.3">
      <c r="A202" s="280"/>
      <c r="B202" s="323" t="str">
        <f>IF(Instructions!$J$11=1,AA202,IF(Instructions!$J$11=2,AC202,IF(Instructions!$J$11=3,AE202,IF(Instructions!$J$11=4,AG202,IF(Instructions!$J$11=5,AI202,IF(Instructions!$J$11=6,AK202,IF(Instructions!$J$11=7,AM202,IF(Instructions!$J$11=8,AO202,IF(Instructions!$J$11=9,AQ202,IF(Instructions!$J$11=10,AS202,IF(Instructions!$J$11=11,AU202,IF(Instructions!$J$11=12,AW202,IF(Instructions!$J$11=13, AY202, IF(Instructions!$J$11=14,BA202,IF(Instructions!$J$11=15,BC202,BE202)))))))))))))))</f>
        <v>217</v>
      </c>
      <c r="C202" s="272">
        <v>200</v>
      </c>
      <c r="D202" s="329" t="str">
        <f>Instructions!F$49</f>
        <v>Luke</v>
      </c>
      <c r="E202" s="334" t="s">
        <v>1535</v>
      </c>
      <c r="F202" s="707"/>
      <c r="G202" s="279">
        <v>25</v>
      </c>
      <c r="H202" s="295" t="str">
        <f>Instructions!F$42</f>
        <v>Trumbo</v>
      </c>
      <c r="I202" s="277" t="s">
        <v>1543</v>
      </c>
      <c r="J202" s="710"/>
      <c r="K202" s="279">
        <v>20</v>
      </c>
      <c r="L202" s="294" t="str">
        <f>Instructions!F$49</f>
        <v>Luke</v>
      </c>
      <c r="M202" s="274" t="s">
        <v>1471</v>
      </c>
      <c r="N202" s="709"/>
      <c r="O202" s="279">
        <v>17</v>
      </c>
      <c r="P202" s="294" t="str">
        <f>Instructions!F$45</f>
        <v>Miles</v>
      </c>
      <c r="Q202" s="274" t="s">
        <v>878</v>
      </c>
      <c r="R202" s="709"/>
      <c r="S202" s="279">
        <v>15</v>
      </c>
      <c r="T202" s="327" t="str">
        <f>Instructions!F$49</f>
        <v>Luke</v>
      </c>
      <c r="U202" s="274" t="s">
        <v>858</v>
      </c>
      <c r="V202" s="706"/>
      <c r="W202" s="279">
        <v>13</v>
      </c>
      <c r="X202" s="280"/>
      <c r="Y202" s="190" t="str">
        <f>IFERROR( IF(Instructions!$E$11=8, D202&amp;COUNTIF(D$3:D202,D202), IF(Instructions!$E$11=10, H202&amp;COUNTIF(H$3:H202,H202),IF(Instructions!$E$11=12, L202&amp;COUNTIF(L$3:L202,L202),IF(Instructions!$E$11=14, P202&amp;COUNTIF(P$3:P202,P202),T202&amp;COUNTIF(T$3:T202,T202))))),"")</f>
        <v>Luke17</v>
      </c>
      <c r="Z202" s="321">
        <f>IF(Instructions!$E$11=8,IF($D202=Instructions!$F$42,Z201+1,Z201),IF(Instructions!$E$11=10,IF($H202=Instructions!$F$42,Z201+1,Z201),IF(Instructions!$E$11=12,IF($L202=Instructions!$F$42,Z201+1,Z201),IF(Instructions!$E$11=14,IF($P202=Instructions!$F$42,Z201+1,Z201),IF(Instructions!$E$11=16,IF($T202=Instructions!$F$42,Z201+1,Z201))))))</f>
        <v>17</v>
      </c>
      <c r="AA202" s="321" t="str">
        <f t="shared" si="56"/>
        <v>117</v>
      </c>
      <c r="AB202" s="321">
        <f>IF(Instructions!$E$11=8,IF($D202=Instructions!$F$43,AB201+1,AB201),IF(Instructions!$E$11=10,IF($H202=Instructions!$F$43,AB201+1,AB201),IF(Instructions!$E$11=12,IF($L202=Instructions!$F$43,AB201+1,AB201),IF(Instructions!$E$11=14,IF($P202=Instructions!$F$43,AB201+1,AB201),IF(Instructions!$E$11=16,IF($T202=Instructions!$F$43,AB201+1,AB201))))))</f>
        <v>17</v>
      </c>
      <c r="AC202" s="321" t="str">
        <f t="shared" si="48"/>
        <v>217</v>
      </c>
      <c r="AD202" s="321">
        <f>IF(Instructions!$E$11=8,IF($D202=Instructions!$F$44,AD201+1,AD201),IF(Instructions!$E$11=10,IF($H202=Instructions!$F$44,AD201+1,AD201),IF(Instructions!$E$11=12,IF($L202=Instructions!$F$44,AD201+1,AD201),IF(Instructions!$E$11=14,IF($P202=Instructions!$F$44,AD201+1,AD201),IF(Instructions!$E$11=16,IF($T202=Instructions!$F$44,AD201+1,AD201))))))</f>
        <v>17</v>
      </c>
      <c r="AE202" s="321" t="str">
        <f t="shared" si="49"/>
        <v>317</v>
      </c>
      <c r="AF202" s="321">
        <f>IF(Instructions!$E$11=8,IF($D202=Instructions!$F$45,AF201+1,AF201),IF(Instructions!$E$11=10,IF($H202=Instructions!$F$45,AF201+1,AF201),IF(Instructions!$E$11=12,IF($L202=Instructions!$F$45,AF201+1,AF201),IF(Instructions!$E$11=14,IF($P202=Instructions!$F$45,AF201+1,AF201),IF(Instructions!$E$11=16,IF($T202=Instructions!$F$45,AF201+1,AF201))))))</f>
        <v>17</v>
      </c>
      <c r="AG202" s="321" t="str">
        <f t="shared" si="50"/>
        <v>417</v>
      </c>
      <c r="AH202" s="321">
        <f>IF(Instructions!$E$11=8,IF($D202=Instructions!$F$46,AH201+1,AH201),IF(Instructions!$E$11=10,IF($H202=Instructions!$F$46,AH201+1,AH201),IF(Instructions!$E$11=12,IF($L202=Instructions!$F$46,AH201+1,AH201),IF(Instructions!$E$11=14,IF($P202=Instructions!$F$46,AH201+1,AH201),IF(Instructions!$E$11=16,IF($T202=Instructions!$F$46,AH201+1,AH201))))))</f>
        <v>17</v>
      </c>
      <c r="AI202" s="321" t="str">
        <f t="shared" si="51"/>
        <v>517</v>
      </c>
      <c r="AJ202" s="321">
        <f>IF(Instructions!$E$11=8,IF($D202=Instructions!$F$47,AJ201+1,AJ201),IF(Instructions!$E$11=10,IF($H202=Instructions!$F$47,AJ201+1,AJ201),IF(Instructions!$E$11=12,IF($L202=Instructions!$F$47,AJ201+1,AJ201),IF(Instructions!$E$11=14,IF($P202=Instructions!$F$47,AJ201+1,AJ201),IF(Instructions!$E$11=16,IF($T202=Instructions!$F$47,AJ201+1,AJ201))))))</f>
        <v>17</v>
      </c>
      <c r="AK202" s="321" t="str">
        <f t="shared" si="52"/>
        <v>617</v>
      </c>
      <c r="AL202" s="321">
        <f>IF(Instructions!$E$11=8,IF($D202=Instructions!$F$48,AL201+1,AL201),IF(Instructions!$E$11=10,IF($H202=Instructions!$F$48,AL201+1,AL201),IF(Instructions!$E$11=12,IF($L202=Instructions!$F$48,AL201+1,AL201),IF(Instructions!$E$11=14,IF($P202=Instructions!$F$48,AL201+1,AL201),IF(Instructions!$E$11=16,IF($T202=Instructions!$F$48,AL201+1,AL201))))))</f>
        <v>17</v>
      </c>
      <c r="AM202" s="321" t="str">
        <f t="shared" si="53"/>
        <v>717</v>
      </c>
      <c r="AN202" s="321">
        <f>IF(Instructions!$E$11=8,IF($D202=Instructions!$F$49,AN201+1,AN201),IF(Instructions!$E$11=10,IF($H202=Instructions!$F$49,AN201+1,AN201),IF(Instructions!$E$11=12,IF($L202=Instructions!$F$49,AN201+1,AN201),IF(Instructions!$E$11=14,IF($P202=Instructions!$F$49,AN201+1,AN201),IF(Instructions!$E$11=16,IF($T202=Instructions!$F$49,AN201+1,AN201))))))</f>
        <v>17</v>
      </c>
      <c r="AO202" s="321" t="str">
        <f t="shared" si="54"/>
        <v>817</v>
      </c>
      <c r="AP202" s="321">
        <f>IF(Instructions!$E$11=8,IF($D202=Instructions!$F$50,AP201+1,AP201),IF(Instructions!$E$11=10,IF($H202=Instructions!$F$50,AP201+1,AP201),IF(Instructions!$E$11=12,IF($L202=Instructions!$F$50,AP201+1,AP201),IF(Instructions!$E$11=14,IF($P202=Instructions!$F$50,AP201+1,AP201),IF(Instructions!$E$11=16,IF($T202=Instructions!$F$50,AP201+1,AP201))))))</f>
        <v>16</v>
      </c>
      <c r="AQ202" s="321" t="str">
        <f t="shared" si="55"/>
        <v>916</v>
      </c>
      <c r="AR202" s="321">
        <f>IF(Instructions!$E$11=8,IF($D202=Instructions!$F$51,AR201+1,AR201),IF(Instructions!$E$11=10,IF($H202=Instructions!$F$51,AR201+1,AR201),IF(Instructions!$E$11=12,IF($L202=Instructions!$F$51,AR201+1,AR201),IF(Instructions!$E$11=14,IF($P202=Instructions!$F$51,AR201+1,AR201),IF(Instructions!$E$11=16,IF($T202=Instructions!$F$51,AR201+1,AR201))))))</f>
        <v>16</v>
      </c>
      <c r="AS202" s="321" t="str">
        <f t="shared" si="57"/>
        <v>1016</v>
      </c>
      <c r="AT202" s="321">
        <f>IF(Instructions!$E$11=8,IF($D202=Instructions!$F$52,AT201+1,AT201),IF(Instructions!$E$11=10,IF($H202=Instructions!$F$52,AT201+1,AT201),IF(Instructions!$E$11=12,IF($L202=Instructions!$F$52,AT201+1,AT201),IF(Instructions!$E$11=14,IF($P202=Instructions!$F$52,AT201+1,AT201),IF(Instructions!$E$11=16,IF($T202=Instructions!$F$52,AT201+1,AT201))))))</f>
        <v>16</v>
      </c>
      <c r="AU202" s="321" t="str">
        <f t="shared" si="58"/>
        <v>1116</v>
      </c>
      <c r="AV202" s="321">
        <f>IF(Instructions!$E$11=8,IF($D202=Instructions!$F$53,AV201+1,AV201),IF(Instructions!$E$11=10,IF($H202=Instructions!$F$53,AV201+1,AV201),IF(Instructions!$E$11=12,IF($L202=Instructions!$F$53,AV201+1,AV201),IF(Instructions!$E$11=14,IF($P202=Instructions!$F$53,AV201+1,AV201),IF(Instructions!$E$11=16,IF($T202=Instructions!$F$53,AV201+1,AV201))))))</f>
        <v>16</v>
      </c>
      <c r="AW202" s="321" t="str">
        <f t="shared" si="59"/>
        <v>1216</v>
      </c>
      <c r="AX202" s="321">
        <f>IF(Instructions!$E$11=8,IF($D202=Instructions!$F$54,AX201+1,AX201),IF(Instructions!$E$11=10,IF($H202=Instructions!$F$54,AX201+1,AX201),IF(Instructions!$E$11=12,IF($L202=Instructions!$F$54,AX201+1,AX201),IF(Instructions!$E$11=14,IF($P202=Instructions!$F$54,AX201+1,AX201),IF(Instructions!$E$11=16,IF($T202=Instructions!$F$54,AX201+1,AX201))))))</f>
        <v>0</v>
      </c>
      <c r="AY202" s="321" t="str">
        <f t="shared" si="60"/>
        <v>1300</v>
      </c>
      <c r="AZ202" s="321">
        <f>IF(Instructions!$E$11=8,IF($D202=Instructions!$F$55,AZ201+1,AZ201),IF(Instructions!$E$11=10,IF($H202=Instructions!$F$55,AZ201+1,AZ201),IF(Instructions!$E$11=12,IF($L202=Instructions!$F$55,AZ201+1,AZ201),IF(Instructions!$E$11=14,IF($P202=Instructions!$F$55,AZ201+1,AZ201),IF(Instructions!$E$11=16,IF($T202=Instructions!$F$55,AZ201+1,AZ201))))))</f>
        <v>0</v>
      </c>
      <c r="BA202" s="321" t="str">
        <f t="shared" si="61"/>
        <v>1400</v>
      </c>
      <c r="BB202" s="321">
        <f>IF(Instructions!$E$11=8,IF($D202=Instructions!$F$56,BB201+1,BB201),IF(Instructions!$E$11=10,IF($H202=Instructions!$F$56,BB201+1,BB201),IF(Instructions!$E$11=12,IF($L202=Instructions!$F$56,BB201+1,BB201),IF(Instructions!$E$11=14,IF($P202=Instructions!$F$56,BB201+1,BB201),IF(Instructions!$E$11=16,IF($T202=Instructions!$F$56,BB201+1,BB201))))))</f>
        <v>0</v>
      </c>
      <c r="BC202" s="321" t="str">
        <f t="shared" si="62"/>
        <v>1500</v>
      </c>
      <c r="BD202" s="321">
        <f>IF(Instructions!$E$11=8,IF($D202=Instructions!$F$57,BD201+1,BD201),IF(Instructions!$E$11=10,IF($H202=Instructions!$F$57,BD201+1,BD201),IF(Instructions!$E$11=12,IF($L202=Instructions!$F$57,BD201+1,BD201),IF(Instructions!$E$11=14,IF($P202=Instructions!$F$57,BD201+1,BD201),IF(Instructions!$E$11=16,IF($T202=Instructions!$F$57,BD201+1,BD201))))))</f>
        <v>0</v>
      </c>
      <c r="BE202" s="321" t="str">
        <f t="shared" si="63"/>
        <v>1600</v>
      </c>
      <c r="BF202" s="321">
        <v>200</v>
      </c>
    </row>
    <row r="203" spans="1:58" ht="15" customHeight="1" x14ac:dyDescent="0.25">
      <c r="A203" s="280"/>
      <c r="B203" s="323" t="str">
        <f>IF(Instructions!$J$11=1,AA203,IF(Instructions!$J$11=2,AC203,IF(Instructions!$J$11=3,AE203,IF(Instructions!$J$11=4,AG203,IF(Instructions!$J$11=5,AI203,IF(Instructions!$J$11=6,AK203,IF(Instructions!$J$11=7,AM203,IF(Instructions!$J$11=8,AO203,IF(Instructions!$J$11=9,AQ203,IF(Instructions!$J$11=10,AS203,IF(Instructions!$J$11=11,AU203,IF(Instructions!$J$11=12,AW203,IF(Instructions!$J$11=13, AY203, IF(Instructions!$J$11=14,BA203,IF(Instructions!$J$11=15,BC203,BE203)))))))))))))))</f>
        <v>217</v>
      </c>
      <c r="C203" s="271">
        <v>201</v>
      </c>
      <c r="D203" s="281"/>
      <c r="E203" s="282"/>
      <c r="F203" s="281"/>
      <c r="G203" s="279"/>
      <c r="H203" s="292" t="str">
        <f>Instructions!F$42</f>
        <v>Trumbo</v>
      </c>
      <c r="I203" s="276" t="s">
        <v>1496</v>
      </c>
      <c r="J203" s="708" t="s">
        <v>1459</v>
      </c>
      <c r="K203" s="279">
        <v>21</v>
      </c>
      <c r="L203" s="293" t="str">
        <f>Instructions!F$50</f>
        <v>Dan</v>
      </c>
      <c r="M203" s="273" t="s">
        <v>1536</v>
      </c>
      <c r="N203" s="709"/>
      <c r="O203" s="279">
        <v>17</v>
      </c>
      <c r="P203" s="293" t="str">
        <f>Instructions!F$46</f>
        <v>Con</v>
      </c>
      <c r="Q203" s="273" t="s">
        <v>879</v>
      </c>
      <c r="R203" s="709"/>
      <c r="S203" s="279">
        <v>15</v>
      </c>
      <c r="T203" s="328" t="str">
        <f>Instructions!F$50</f>
        <v>Dan</v>
      </c>
      <c r="U203" s="273" t="s">
        <v>859</v>
      </c>
      <c r="V203" s="706"/>
      <c r="W203" s="279">
        <v>13</v>
      </c>
      <c r="X203" s="280"/>
      <c r="Y203" s="190" t="str">
        <f>IFERROR( IF(Instructions!$E$11=8, D203&amp;COUNTIF(D$3:D203,D203), IF(Instructions!$E$11=10, H203&amp;COUNTIF(H$3:H203,H203),IF(Instructions!$E$11=12, L203&amp;COUNTIF(L$3:L203,L203),IF(Instructions!$E$11=14, P203&amp;COUNTIF(P$3:P203,P203),T203&amp;COUNTIF(T$3:T203,T203))))),"")</f>
        <v>Dan17</v>
      </c>
      <c r="Z203" s="321">
        <f>IF(Instructions!$E$11=8,IF($D203=Instructions!$F$42,Z202+1,Z202),IF(Instructions!$E$11=10,IF($H203=Instructions!$F$42,Z202+1,Z202),IF(Instructions!$E$11=12,IF($L203=Instructions!$F$42,Z202+1,Z202),IF(Instructions!$E$11=14,IF($P203=Instructions!$F$42,Z202+1,Z202),IF(Instructions!$E$11=16,IF($T203=Instructions!$F$42,Z202+1,Z202))))))</f>
        <v>17</v>
      </c>
      <c r="AA203" s="321" t="str">
        <f t="shared" si="56"/>
        <v>117</v>
      </c>
      <c r="AB203" s="321">
        <f>IF(Instructions!$E$11=8,IF($D203=Instructions!$F$43,AB202+1,AB202),IF(Instructions!$E$11=10,IF($H203=Instructions!$F$43,AB202+1,AB202),IF(Instructions!$E$11=12,IF($L203=Instructions!$F$43,AB202+1,AB202),IF(Instructions!$E$11=14,IF($P203=Instructions!$F$43,AB202+1,AB202),IF(Instructions!$E$11=16,IF($T203=Instructions!$F$43,AB202+1,AB202))))))</f>
        <v>17</v>
      </c>
      <c r="AC203" s="321" t="str">
        <f t="shared" si="48"/>
        <v>217</v>
      </c>
      <c r="AD203" s="321">
        <f>IF(Instructions!$E$11=8,IF($D203=Instructions!$F$44,AD202+1,AD202),IF(Instructions!$E$11=10,IF($H203=Instructions!$F$44,AD202+1,AD202),IF(Instructions!$E$11=12,IF($L203=Instructions!$F$44,AD202+1,AD202),IF(Instructions!$E$11=14,IF($P203=Instructions!$F$44,AD202+1,AD202),IF(Instructions!$E$11=16,IF($T203=Instructions!$F$44,AD202+1,AD202))))))</f>
        <v>17</v>
      </c>
      <c r="AE203" s="321" t="str">
        <f t="shared" si="49"/>
        <v>317</v>
      </c>
      <c r="AF203" s="321">
        <f>IF(Instructions!$E$11=8,IF($D203=Instructions!$F$45,AF202+1,AF202),IF(Instructions!$E$11=10,IF($H203=Instructions!$F$45,AF202+1,AF202),IF(Instructions!$E$11=12,IF($L203=Instructions!$F$45,AF202+1,AF202),IF(Instructions!$E$11=14,IF($P203=Instructions!$F$45,AF202+1,AF202),IF(Instructions!$E$11=16,IF($T203=Instructions!$F$45,AF202+1,AF202))))))</f>
        <v>17</v>
      </c>
      <c r="AG203" s="321" t="str">
        <f t="shared" si="50"/>
        <v>417</v>
      </c>
      <c r="AH203" s="321">
        <f>IF(Instructions!$E$11=8,IF($D203=Instructions!$F$46,AH202+1,AH202),IF(Instructions!$E$11=10,IF($H203=Instructions!$F$46,AH202+1,AH202),IF(Instructions!$E$11=12,IF($L203=Instructions!$F$46,AH202+1,AH202),IF(Instructions!$E$11=14,IF($P203=Instructions!$F$46,AH202+1,AH202),IF(Instructions!$E$11=16,IF($T203=Instructions!$F$46,AH202+1,AH202))))))</f>
        <v>17</v>
      </c>
      <c r="AI203" s="321" t="str">
        <f t="shared" si="51"/>
        <v>517</v>
      </c>
      <c r="AJ203" s="321">
        <f>IF(Instructions!$E$11=8,IF($D203=Instructions!$F$47,AJ202+1,AJ202),IF(Instructions!$E$11=10,IF($H203=Instructions!$F$47,AJ202+1,AJ202),IF(Instructions!$E$11=12,IF($L203=Instructions!$F$47,AJ202+1,AJ202),IF(Instructions!$E$11=14,IF($P203=Instructions!$F$47,AJ202+1,AJ202),IF(Instructions!$E$11=16,IF($T203=Instructions!$F$47,AJ202+1,AJ202))))))</f>
        <v>17</v>
      </c>
      <c r="AK203" s="321" t="str">
        <f t="shared" si="52"/>
        <v>617</v>
      </c>
      <c r="AL203" s="321">
        <f>IF(Instructions!$E$11=8,IF($D203=Instructions!$F$48,AL202+1,AL202),IF(Instructions!$E$11=10,IF($H203=Instructions!$F$48,AL202+1,AL202),IF(Instructions!$E$11=12,IF($L203=Instructions!$F$48,AL202+1,AL202),IF(Instructions!$E$11=14,IF($P203=Instructions!$F$48,AL202+1,AL202),IF(Instructions!$E$11=16,IF($T203=Instructions!$F$48,AL202+1,AL202))))))</f>
        <v>17</v>
      </c>
      <c r="AM203" s="321" t="str">
        <f t="shared" si="53"/>
        <v>717</v>
      </c>
      <c r="AN203" s="321">
        <f>IF(Instructions!$E$11=8,IF($D203=Instructions!$F$49,AN202+1,AN202),IF(Instructions!$E$11=10,IF($H203=Instructions!$F$49,AN202+1,AN202),IF(Instructions!$E$11=12,IF($L203=Instructions!$F$49,AN202+1,AN202),IF(Instructions!$E$11=14,IF($P203=Instructions!$F$49,AN202+1,AN202),IF(Instructions!$E$11=16,IF($T203=Instructions!$F$49,AN202+1,AN202))))))</f>
        <v>17</v>
      </c>
      <c r="AO203" s="321" t="str">
        <f t="shared" si="54"/>
        <v>817</v>
      </c>
      <c r="AP203" s="321">
        <f>IF(Instructions!$E$11=8,IF($D203=Instructions!$F$50,AP202+1,AP202),IF(Instructions!$E$11=10,IF($H203=Instructions!$F$50,AP202+1,AP202),IF(Instructions!$E$11=12,IF($L203=Instructions!$F$50,AP202+1,AP202),IF(Instructions!$E$11=14,IF($P203=Instructions!$F$50,AP202+1,AP202),IF(Instructions!$E$11=16,IF($T203=Instructions!$F$50,AP202+1,AP202))))))</f>
        <v>17</v>
      </c>
      <c r="AQ203" s="321" t="str">
        <f t="shared" si="55"/>
        <v>917</v>
      </c>
      <c r="AR203" s="321">
        <f>IF(Instructions!$E$11=8,IF($D203=Instructions!$F$51,AR202+1,AR202),IF(Instructions!$E$11=10,IF($H203=Instructions!$F$51,AR202+1,AR202),IF(Instructions!$E$11=12,IF($L203=Instructions!$F$51,AR202+1,AR202),IF(Instructions!$E$11=14,IF($P203=Instructions!$F$51,AR202+1,AR202),IF(Instructions!$E$11=16,IF($T203=Instructions!$F$51,AR202+1,AR202))))))</f>
        <v>16</v>
      </c>
      <c r="AS203" s="321" t="str">
        <f t="shared" si="57"/>
        <v>1016</v>
      </c>
      <c r="AT203" s="321">
        <f>IF(Instructions!$E$11=8,IF($D203=Instructions!$F$52,AT202+1,AT202),IF(Instructions!$E$11=10,IF($H203=Instructions!$F$52,AT202+1,AT202),IF(Instructions!$E$11=12,IF($L203=Instructions!$F$52,AT202+1,AT202),IF(Instructions!$E$11=14,IF($P203=Instructions!$F$52,AT202+1,AT202),IF(Instructions!$E$11=16,IF($T203=Instructions!$F$52,AT202+1,AT202))))))</f>
        <v>16</v>
      </c>
      <c r="AU203" s="321" t="str">
        <f t="shared" si="58"/>
        <v>1116</v>
      </c>
      <c r="AV203" s="321">
        <f>IF(Instructions!$E$11=8,IF($D203=Instructions!$F$53,AV202+1,AV202),IF(Instructions!$E$11=10,IF($H203=Instructions!$F$53,AV202+1,AV202),IF(Instructions!$E$11=12,IF($L203=Instructions!$F$53,AV202+1,AV202),IF(Instructions!$E$11=14,IF($P203=Instructions!$F$53,AV202+1,AV202),IF(Instructions!$E$11=16,IF($T203=Instructions!$F$53,AV202+1,AV202))))))</f>
        <v>16</v>
      </c>
      <c r="AW203" s="321" t="str">
        <f t="shared" si="59"/>
        <v>1216</v>
      </c>
      <c r="AX203" s="321">
        <f>IF(Instructions!$E$11=8,IF($D203=Instructions!$F$54,AX202+1,AX202),IF(Instructions!$E$11=10,IF($H203=Instructions!$F$54,AX202+1,AX202),IF(Instructions!$E$11=12,IF($L203=Instructions!$F$54,AX202+1,AX202),IF(Instructions!$E$11=14,IF($P203=Instructions!$F$54,AX202+1,AX202),IF(Instructions!$E$11=16,IF($T203=Instructions!$F$54,AX202+1,AX202))))))</f>
        <v>0</v>
      </c>
      <c r="AY203" s="321" t="str">
        <f t="shared" si="60"/>
        <v>1300</v>
      </c>
      <c r="AZ203" s="321">
        <f>IF(Instructions!$E$11=8,IF($D203=Instructions!$F$55,AZ202+1,AZ202),IF(Instructions!$E$11=10,IF($H203=Instructions!$F$55,AZ202+1,AZ202),IF(Instructions!$E$11=12,IF($L203=Instructions!$F$55,AZ202+1,AZ202),IF(Instructions!$E$11=14,IF($P203=Instructions!$F$55,AZ202+1,AZ202),IF(Instructions!$E$11=16,IF($T203=Instructions!$F$55,AZ202+1,AZ202))))))</f>
        <v>0</v>
      </c>
      <c r="BA203" s="321" t="str">
        <f t="shared" si="61"/>
        <v>1400</v>
      </c>
      <c r="BB203" s="321">
        <f>IF(Instructions!$E$11=8,IF($D203=Instructions!$F$56,BB202+1,BB202),IF(Instructions!$E$11=10,IF($H203=Instructions!$F$56,BB202+1,BB202),IF(Instructions!$E$11=12,IF($L203=Instructions!$F$56,BB202+1,BB202),IF(Instructions!$E$11=14,IF($P203=Instructions!$F$56,BB202+1,BB202),IF(Instructions!$E$11=16,IF($T203=Instructions!$F$56,BB202+1,BB202))))))</f>
        <v>0</v>
      </c>
      <c r="BC203" s="321" t="str">
        <f t="shared" si="62"/>
        <v>1500</v>
      </c>
      <c r="BD203" s="321">
        <f>IF(Instructions!$E$11=8,IF($D203=Instructions!$F$57,BD202+1,BD202),IF(Instructions!$E$11=10,IF($H203=Instructions!$F$57,BD202+1,BD202),IF(Instructions!$E$11=12,IF($L203=Instructions!$F$57,BD202+1,BD202),IF(Instructions!$E$11=14,IF($P203=Instructions!$F$57,BD202+1,BD202),IF(Instructions!$E$11=16,IF($T203=Instructions!$F$57,BD202+1,BD202))))))</f>
        <v>0</v>
      </c>
      <c r="BE203" s="321" t="str">
        <f t="shared" si="63"/>
        <v>1600</v>
      </c>
      <c r="BF203" s="321">
        <v>201</v>
      </c>
    </row>
    <row r="204" spans="1:58" x14ac:dyDescent="0.25">
      <c r="A204" s="280"/>
      <c r="B204" s="323" t="str">
        <f>IF(Instructions!$J$11=1,AA204,IF(Instructions!$J$11=2,AC204,IF(Instructions!$J$11=3,AE204,IF(Instructions!$J$11=4,AG204,IF(Instructions!$J$11=5,AI204,IF(Instructions!$J$11=6,AK204,IF(Instructions!$J$11=7,AM204,IF(Instructions!$J$11=8,AO204,IF(Instructions!$J$11=9,AQ204,IF(Instructions!$J$11=10,AS204,IF(Instructions!$J$11=11,AU204,IF(Instructions!$J$11=12,AW204,IF(Instructions!$J$11=13, AY204, IF(Instructions!$J$11=14,BA204,IF(Instructions!$J$11=15,BC204,BE204)))))))))))))))</f>
        <v>217</v>
      </c>
      <c r="C204" s="272">
        <v>202</v>
      </c>
      <c r="D204" s="281"/>
      <c r="E204" s="282"/>
      <c r="F204" s="281"/>
      <c r="G204" s="279"/>
      <c r="H204" s="294" t="str">
        <f>Instructions!F$43</f>
        <v>Camden</v>
      </c>
      <c r="I204" s="274" t="s">
        <v>1497</v>
      </c>
      <c r="J204" s="709"/>
      <c r="K204" s="279">
        <v>21</v>
      </c>
      <c r="L204" s="294" t="str">
        <f>Instructions!F$51</f>
        <v>Josh</v>
      </c>
      <c r="M204" s="274" t="s">
        <v>1537</v>
      </c>
      <c r="N204" s="709"/>
      <c r="O204" s="279">
        <v>17</v>
      </c>
      <c r="P204" s="294" t="str">
        <f>Instructions!F$47</f>
        <v>Devin</v>
      </c>
      <c r="Q204" s="274" t="s">
        <v>880</v>
      </c>
      <c r="R204" s="709"/>
      <c r="S204" s="279">
        <v>15</v>
      </c>
      <c r="T204" s="327" t="str">
        <f>Instructions!F$51</f>
        <v>Josh</v>
      </c>
      <c r="U204" s="274" t="s">
        <v>860</v>
      </c>
      <c r="V204" s="706"/>
      <c r="W204" s="279">
        <v>13</v>
      </c>
      <c r="X204" s="280"/>
      <c r="Y204" s="190" t="str">
        <f>IFERROR( IF(Instructions!$E$11=8, D204&amp;COUNTIF(D$3:D204,D204), IF(Instructions!$E$11=10, H204&amp;COUNTIF(H$3:H204,H204),IF(Instructions!$E$11=12, L204&amp;COUNTIF(L$3:L204,L204),IF(Instructions!$E$11=14, P204&amp;COUNTIF(P$3:P204,P204),T204&amp;COUNTIF(T$3:T204,T204))))),"")</f>
        <v>Josh17</v>
      </c>
      <c r="Z204" s="321">
        <f>IF(Instructions!$E$11=8,IF($D204=Instructions!$F$42,Z203+1,Z203),IF(Instructions!$E$11=10,IF($H204=Instructions!$F$42,Z203+1,Z203),IF(Instructions!$E$11=12,IF($L204=Instructions!$F$42,Z203+1,Z203),IF(Instructions!$E$11=14,IF($P204=Instructions!$F$42,Z203+1,Z203),IF(Instructions!$E$11=16,IF($T204=Instructions!$F$42,Z203+1,Z203))))))</f>
        <v>17</v>
      </c>
      <c r="AA204" s="321" t="str">
        <f t="shared" si="56"/>
        <v>117</v>
      </c>
      <c r="AB204" s="321">
        <f>IF(Instructions!$E$11=8,IF($D204=Instructions!$F$43,AB203+1,AB203),IF(Instructions!$E$11=10,IF($H204=Instructions!$F$43,AB203+1,AB203),IF(Instructions!$E$11=12,IF($L204=Instructions!$F$43,AB203+1,AB203),IF(Instructions!$E$11=14,IF($P204=Instructions!$F$43,AB203+1,AB203),IF(Instructions!$E$11=16,IF($T204=Instructions!$F$43,AB203+1,AB203))))))</f>
        <v>17</v>
      </c>
      <c r="AC204" s="321" t="str">
        <f t="shared" si="48"/>
        <v>217</v>
      </c>
      <c r="AD204" s="321">
        <f>IF(Instructions!$E$11=8,IF($D204=Instructions!$F$44,AD203+1,AD203),IF(Instructions!$E$11=10,IF($H204=Instructions!$F$44,AD203+1,AD203),IF(Instructions!$E$11=12,IF($L204=Instructions!$F$44,AD203+1,AD203),IF(Instructions!$E$11=14,IF($P204=Instructions!$F$44,AD203+1,AD203),IF(Instructions!$E$11=16,IF($T204=Instructions!$F$44,AD203+1,AD203))))))</f>
        <v>17</v>
      </c>
      <c r="AE204" s="321" t="str">
        <f t="shared" si="49"/>
        <v>317</v>
      </c>
      <c r="AF204" s="321">
        <f>IF(Instructions!$E$11=8,IF($D204=Instructions!$F$45,AF203+1,AF203),IF(Instructions!$E$11=10,IF($H204=Instructions!$F$45,AF203+1,AF203),IF(Instructions!$E$11=12,IF($L204=Instructions!$F$45,AF203+1,AF203),IF(Instructions!$E$11=14,IF($P204=Instructions!$F$45,AF203+1,AF203),IF(Instructions!$E$11=16,IF($T204=Instructions!$F$45,AF203+1,AF203))))))</f>
        <v>17</v>
      </c>
      <c r="AG204" s="321" t="str">
        <f t="shared" si="50"/>
        <v>417</v>
      </c>
      <c r="AH204" s="321">
        <f>IF(Instructions!$E$11=8,IF($D204=Instructions!$F$46,AH203+1,AH203),IF(Instructions!$E$11=10,IF($H204=Instructions!$F$46,AH203+1,AH203),IF(Instructions!$E$11=12,IF($L204=Instructions!$F$46,AH203+1,AH203),IF(Instructions!$E$11=14,IF($P204=Instructions!$F$46,AH203+1,AH203),IF(Instructions!$E$11=16,IF($T204=Instructions!$F$46,AH203+1,AH203))))))</f>
        <v>17</v>
      </c>
      <c r="AI204" s="321" t="str">
        <f t="shared" si="51"/>
        <v>517</v>
      </c>
      <c r="AJ204" s="321">
        <f>IF(Instructions!$E$11=8,IF($D204=Instructions!$F$47,AJ203+1,AJ203),IF(Instructions!$E$11=10,IF($H204=Instructions!$F$47,AJ203+1,AJ203),IF(Instructions!$E$11=12,IF($L204=Instructions!$F$47,AJ203+1,AJ203),IF(Instructions!$E$11=14,IF($P204=Instructions!$F$47,AJ203+1,AJ203),IF(Instructions!$E$11=16,IF($T204=Instructions!$F$47,AJ203+1,AJ203))))))</f>
        <v>17</v>
      </c>
      <c r="AK204" s="321" t="str">
        <f t="shared" si="52"/>
        <v>617</v>
      </c>
      <c r="AL204" s="321">
        <f>IF(Instructions!$E$11=8,IF($D204=Instructions!$F$48,AL203+1,AL203),IF(Instructions!$E$11=10,IF($H204=Instructions!$F$48,AL203+1,AL203),IF(Instructions!$E$11=12,IF($L204=Instructions!$F$48,AL203+1,AL203),IF(Instructions!$E$11=14,IF($P204=Instructions!$F$48,AL203+1,AL203),IF(Instructions!$E$11=16,IF($T204=Instructions!$F$48,AL203+1,AL203))))))</f>
        <v>17</v>
      </c>
      <c r="AM204" s="321" t="str">
        <f t="shared" si="53"/>
        <v>717</v>
      </c>
      <c r="AN204" s="321">
        <f>IF(Instructions!$E$11=8,IF($D204=Instructions!$F$49,AN203+1,AN203),IF(Instructions!$E$11=10,IF($H204=Instructions!$F$49,AN203+1,AN203),IF(Instructions!$E$11=12,IF($L204=Instructions!$F$49,AN203+1,AN203),IF(Instructions!$E$11=14,IF($P204=Instructions!$F$49,AN203+1,AN203),IF(Instructions!$E$11=16,IF($T204=Instructions!$F$49,AN203+1,AN203))))))</f>
        <v>17</v>
      </c>
      <c r="AO204" s="321" t="str">
        <f t="shared" si="54"/>
        <v>817</v>
      </c>
      <c r="AP204" s="321">
        <f>IF(Instructions!$E$11=8,IF($D204=Instructions!$F$50,AP203+1,AP203),IF(Instructions!$E$11=10,IF($H204=Instructions!$F$50,AP203+1,AP203),IF(Instructions!$E$11=12,IF($L204=Instructions!$F$50,AP203+1,AP203),IF(Instructions!$E$11=14,IF($P204=Instructions!$F$50,AP203+1,AP203),IF(Instructions!$E$11=16,IF($T204=Instructions!$F$50,AP203+1,AP203))))))</f>
        <v>17</v>
      </c>
      <c r="AQ204" s="321" t="str">
        <f t="shared" si="55"/>
        <v>917</v>
      </c>
      <c r="AR204" s="321">
        <f>IF(Instructions!$E$11=8,IF($D204=Instructions!$F$51,AR203+1,AR203),IF(Instructions!$E$11=10,IF($H204=Instructions!$F$51,AR203+1,AR203),IF(Instructions!$E$11=12,IF($L204=Instructions!$F$51,AR203+1,AR203),IF(Instructions!$E$11=14,IF($P204=Instructions!$F$51,AR203+1,AR203),IF(Instructions!$E$11=16,IF($T204=Instructions!$F$51,AR203+1,AR203))))))</f>
        <v>17</v>
      </c>
      <c r="AS204" s="321" t="str">
        <f t="shared" si="57"/>
        <v>1017</v>
      </c>
      <c r="AT204" s="321">
        <f>IF(Instructions!$E$11=8,IF($D204=Instructions!$F$52,AT203+1,AT203),IF(Instructions!$E$11=10,IF($H204=Instructions!$F$52,AT203+1,AT203),IF(Instructions!$E$11=12,IF($L204=Instructions!$F$52,AT203+1,AT203),IF(Instructions!$E$11=14,IF($P204=Instructions!$F$52,AT203+1,AT203),IF(Instructions!$E$11=16,IF($T204=Instructions!$F$52,AT203+1,AT203))))))</f>
        <v>16</v>
      </c>
      <c r="AU204" s="321" t="str">
        <f t="shared" si="58"/>
        <v>1116</v>
      </c>
      <c r="AV204" s="321">
        <f>IF(Instructions!$E$11=8,IF($D204=Instructions!$F$53,AV203+1,AV203),IF(Instructions!$E$11=10,IF($H204=Instructions!$F$53,AV203+1,AV203),IF(Instructions!$E$11=12,IF($L204=Instructions!$F$53,AV203+1,AV203),IF(Instructions!$E$11=14,IF($P204=Instructions!$F$53,AV203+1,AV203),IF(Instructions!$E$11=16,IF($T204=Instructions!$F$53,AV203+1,AV203))))))</f>
        <v>16</v>
      </c>
      <c r="AW204" s="321" t="str">
        <f t="shared" si="59"/>
        <v>1216</v>
      </c>
      <c r="AX204" s="321">
        <f>IF(Instructions!$E$11=8,IF($D204=Instructions!$F$54,AX203+1,AX203),IF(Instructions!$E$11=10,IF($H204=Instructions!$F$54,AX203+1,AX203),IF(Instructions!$E$11=12,IF($L204=Instructions!$F$54,AX203+1,AX203),IF(Instructions!$E$11=14,IF($P204=Instructions!$F$54,AX203+1,AX203),IF(Instructions!$E$11=16,IF($T204=Instructions!$F$54,AX203+1,AX203))))))</f>
        <v>0</v>
      </c>
      <c r="AY204" s="321" t="str">
        <f t="shared" si="60"/>
        <v>1300</v>
      </c>
      <c r="AZ204" s="321">
        <f>IF(Instructions!$E$11=8,IF($D204=Instructions!$F$55,AZ203+1,AZ203),IF(Instructions!$E$11=10,IF($H204=Instructions!$F$55,AZ203+1,AZ203),IF(Instructions!$E$11=12,IF($L204=Instructions!$F$55,AZ203+1,AZ203),IF(Instructions!$E$11=14,IF($P204=Instructions!$F$55,AZ203+1,AZ203),IF(Instructions!$E$11=16,IF($T204=Instructions!$F$55,AZ203+1,AZ203))))))</f>
        <v>0</v>
      </c>
      <c r="BA204" s="321" t="str">
        <f t="shared" si="61"/>
        <v>1400</v>
      </c>
      <c r="BB204" s="321">
        <f>IF(Instructions!$E$11=8,IF($D204=Instructions!$F$56,BB203+1,BB203),IF(Instructions!$E$11=10,IF($H204=Instructions!$F$56,BB203+1,BB203),IF(Instructions!$E$11=12,IF($L204=Instructions!$F$56,BB203+1,BB203),IF(Instructions!$E$11=14,IF($P204=Instructions!$F$56,BB203+1,BB203),IF(Instructions!$E$11=16,IF($T204=Instructions!$F$56,BB203+1,BB203))))))</f>
        <v>0</v>
      </c>
      <c r="BC204" s="321" t="str">
        <f t="shared" si="62"/>
        <v>1500</v>
      </c>
      <c r="BD204" s="321">
        <f>IF(Instructions!$E$11=8,IF($D204=Instructions!$F$57,BD203+1,BD203),IF(Instructions!$E$11=10,IF($H204=Instructions!$F$57,BD203+1,BD203),IF(Instructions!$E$11=12,IF($L204=Instructions!$F$57,BD203+1,BD203),IF(Instructions!$E$11=14,IF($P204=Instructions!$F$57,BD203+1,BD203),IF(Instructions!$E$11=16,IF($T204=Instructions!$F$57,BD203+1,BD203))))))</f>
        <v>0</v>
      </c>
      <c r="BE204" s="321" t="str">
        <f t="shared" si="63"/>
        <v>1600</v>
      </c>
      <c r="BF204" s="321">
        <v>202</v>
      </c>
    </row>
    <row r="205" spans="1:58" x14ac:dyDescent="0.25">
      <c r="A205" s="280"/>
      <c r="B205" s="323" t="str">
        <f>IF(Instructions!$J$11=1,AA205,IF(Instructions!$J$11=2,AC205,IF(Instructions!$J$11=3,AE205,IF(Instructions!$J$11=4,AG205,IF(Instructions!$J$11=5,AI205,IF(Instructions!$J$11=6,AK205,IF(Instructions!$J$11=7,AM205,IF(Instructions!$J$11=8,AO205,IF(Instructions!$J$11=9,AQ205,IF(Instructions!$J$11=10,AS205,IF(Instructions!$J$11=11,AU205,IF(Instructions!$J$11=12,AW205,IF(Instructions!$J$11=13, AY205, IF(Instructions!$J$11=14,BA205,IF(Instructions!$J$11=15,BC205,BE205)))))))))))))))</f>
        <v>217</v>
      </c>
      <c r="C205" s="271">
        <v>203</v>
      </c>
      <c r="D205" s="281"/>
      <c r="E205" s="282"/>
      <c r="F205" s="281"/>
      <c r="G205" s="279"/>
      <c r="H205" s="293" t="str">
        <f>Instructions!F$44</f>
        <v>Cam</v>
      </c>
      <c r="I205" s="273" t="s">
        <v>1498</v>
      </c>
      <c r="J205" s="709"/>
      <c r="K205" s="279">
        <v>21</v>
      </c>
      <c r="L205" s="293" t="str">
        <f>Instructions!F$52</f>
        <v>Big R</v>
      </c>
      <c r="M205" s="273" t="s">
        <v>1554</v>
      </c>
      <c r="N205" s="709"/>
      <c r="O205" s="279">
        <v>17</v>
      </c>
      <c r="P205" s="293" t="str">
        <f>Instructions!F$48</f>
        <v>Bui</v>
      </c>
      <c r="Q205" s="273" t="s">
        <v>881</v>
      </c>
      <c r="R205" s="709"/>
      <c r="S205" s="279">
        <v>15</v>
      </c>
      <c r="T205" s="328" t="str">
        <f>Instructions!F$52</f>
        <v>Big R</v>
      </c>
      <c r="U205" s="273" t="s">
        <v>861</v>
      </c>
      <c r="V205" s="706"/>
      <c r="W205" s="279">
        <v>13</v>
      </c>
      <c r="X205" s="280"/>
      <c r="Y205" s="190" t="str">
        <f>IFERROR( IF(Instructions!$E$11=8, D205&amp;COUNTIF(D$3:D205,D205), IF(Instructions!$E$11=10, H205&amp;COUNTIF(H$3:H205,H205),IF(Instructions!$E$11=12, L205&amp;COUNTIF(L$3:L205,L205),IF(Instructions!$E$11=14, P205&amp;COUNTIF(P$3:P205,P205),T205&amp;COUNTIF(T$3:T205,T205))))),"")</f>
        <v>Big R17</v>
      </c>
      <c r="Z205" s="321">
        <f>IF(Instructions!$E$11=8,IF($D205=Instructions!$F$42,Z204+1,Z204),IF(Instructions!$E$11=10,IF($H205=Instructions!$F$42,Z204+1,Z204),IF(Instructions!$E$11=12,IF($L205=Instructions!$F$42,Z204+1,Z204),IF(Instructions!$E$11=14,IF($P205=Instructions!$F$42,Z204+1,Z204),IF(Instructions!$E$11=16,IF($T205=Instructions!$F$42,Z204+1,Z204))))))</f>
        <v>17</v>
      </c>
      <c r="AA205" s="321" t="str">
        <f t="shared" si="56"/>
        <v>117</v>
      </c>
      <c r="AB205" s="321">
        <f>IF(Instructions!$E$11=8,IF($D205=Instructions!$F$43,AB204+1,AB204),IF(Instructions!$E$11=10,IF($H205=Instructions!$F$43,AB204+1,AB204),IF(Instructions!$E$11=12,IF($L205=Instructions!$F$43,AB204+1,AB204),IF(Instructions!$E$11=14,IF($P205=Instructions!$F$43,AB204+1,AB204),IF(Instructions!$E$11=16,IF($T205=Instructions!$F$43,AB204+1,AB204))))))</f>
        <v>17</v>
      </c>
      <c r="AC205" s="321" t="str">
        <f t="shared" si="48"/>
        <v>217</v>
      </c>
      <c r="AD205" s="321">
        <f>IF(Instructions!$E$11=8,IF($D205=Instructions!$F$44,AD204+1,AD204),IF(Instructions!$E$11=10,IF($H205=Instructions!$F$44,AD204+1,AD204),IF(Instructions!$E$11=12,IF($L205=Instructions!$F$44,AD204+1,AD204),IF(Instructions!$E$11=14,IF($P205=Instructions!$F$44,AD204+1,AD204),IF(Instructions!$E$11=16,IF($T205=Instructions!$F$44,AD204+1,AD204))))))</f>
        <v>17</v>
      </c>
      <c r="AE205" s="321" t="str">
        <f t="shared" si="49"/>
        <v>317</v>
      </c>
      <c r="AF205" s="321">
        <f>IF(Instructions!$E$11=8,IF($D205=Instructions!$F$45,AF204+1,AF204),IF(Instructions!$E$11=10,IF($H205=Instructions!$F$45,AF204+1,AF204),IF(Instructions!$E$11=12,IF($L205=Instructions!$F$45,AF204+1,AF204),IF(Instructions!$E$11=14,IF($P205=Instructions!$F$45,AF204+1,AF204),IF(Instructions!$E$11=16,IF($T205=Instructions!$F$45,AF204+1,AF204))))))</f>
        <v>17</v>
      </c>
      <c r="AG205" s="321" t="str">
        <f t="shared" si="50"/>
        <v>417</v>
      </c>
      <c r="AH205" s="321">
        <f>IF(Instructions!$E$11=8,IF($D205=Instructions!$F$46,AH204+1,AH204),IF(Instructions!$E$11=10,IF($H205=Instructions!$F$46,AH204+1,AH204),IF(Instructions!$E$11=12,IF($L205=Instructions!$F$46,AH204+1,AH204),IF(Instructions!$E$11=14,IF($P205=Instructions!$F$46,AH204+1,AH204),IF(Instructions!$E$11=16,IF($T205=Instructions!$F$46,AH204+1,AH204))))))</f>
        <v>17</v>
      </c>
      <c r="AI205" s="321" t="str">
        <f t="shared" si="51"/>
        <v>517</v>
      </c>
      <c r="AJ205" s="321">
        <f>IF(Instructions!$E$11=8,IF($D205=Instructions!$F$47,AJ204+1,AJ204),IF(Instructions!$E$11=10,IF($H205=Instructions!$F$47,AJ204+1,AJ204),IF(Instructions!$E$11=12,IF($L205=Instructions!$F$47,AJ204+1,AJ204),IF(Instructions!$E$11=14,IF($P205=Instructions!$F$47,AJ204+1,AJ204),IF(Instructions!$E$11=16,IF($T205=Instructions!$F$47,AJ204+1,AJ204))))))</f>
        <v>17</v>
      </c>
      <c r="AK205" s="321" t="str">
        <f t="shared" si="52"/>
        <v>617</v>
      </c>
      <c r="AL205" s="321">
        <f>IF(Instructions!$E$11=8,IF($D205=Instructions!$F$48,AL204+1,AL204),IF(Instructions!$E$11=10,IF($H205=Instructions!$F$48,AL204+1,AL204),IF(Instructions!$E$11=12,IF($L205=Instructions!$F$48,AL204+1,AL204),IF(Instructions!$E$11=14,IF($P205=Instructions!$F$48,AL204+1,AL204),IF(Instructions!$E$11=16,IF($T205=Instructions!$F$48,AL204+1,AL204))))))</f>
        <v>17</v>
      </c>
      <c r="AM205" s="321" t="str">
        <f t="shared" si="53"/>
        <v>717</v>
      </c>
      <c r="AN205" s="321">
        <f>IF(Instructions!$E$11=8,IF($D205=Instructions!$F$49,AN204+1,AN204),IF(Instructions!$E$11=10,IF($H205=Instructions!$F$49,AN204+1,AN204),IF(Instructions!$E$11=12,IF($L205=Instructions!$F$49,AN204+1,AN204),IF(Instructions!$E$11=14,IF($P205=Instructions!$F$49,AN204+1,AN204),IF(Instructions!$E$11=16,IF($T205=Instructions!$F$49,AN204+1,AN204))))))</f>
        <v>17</v>
      </c>
      <c r="AO205" s="321" t="str">
        <f t="shared" si="54"/>
        <v>817</v>
      </c>
      <c r="AP205" s="321">
        <f>IF(Instructions!$E$11=8,IF($D205=Instructions!$F$50,AP204+1,AP204),IF(Instructions!$E$11=10,IF($H205=Instructions!$F$50,AP204+1,AP204),IF(Instructions!$E$11=12,IF($L205=Instructions!$F$50,AP204+1,AP204),IF(Instructions!$E$11=14,IF($P205=Instructions!$F$50,AP204+1,AP204),IF(Instructions!$E$11=16,IF($T205=Instructions!$F$50,AP204+1,AP204))))))</f>
        <v>17</v>
      </c>
      <c r="AQ205" s="321" t="str">
        <f t="shared" si="55"/>
        <v>917</v>
      </c>
      <c r="AR205" s="321">
        <f>IF(Instructions!$E$11=8,IF($D205=Instructions!$F$51,AR204+1,AR204),IF(Instructions!$E$11=10,IF($H205=Instructions!$F$51,AR204+1,AR204),IF(Instructions!$E$11=12,IF($L205=Instructions!$F$51,AR204+1,AR204),IF(Instructions!$E$11=14,IF($P205=Instructions!$F$51,AR204+1,AR204),IF(Instructions!$E$11=16,IF($T205=Instructions!$F$51,AR204+1,AR204))))))</f>
        <v>17</v>
      </c>
      <c r="AS205" s="321" t="str">
        <f t="shared" si="57"/>
        <v>1017</v>
      </c>
      <c r="AT205" s="321">
        <f>IF(Instructions!$E$11=8,IF($D205=Instructions!$F$52,AT204+1,AT204),IF(Instructions!$E$11=10,IF($H205=Instructions!$F$52,AT204+1,AT204),IF(Instructions!$E$11=12,IF($L205=Instructions!$F$52,AT204+1,AT204),IF(Instructions!$E$11=14,IF($P205=Instructions!$F$52,AT204+1,AT204),IF(Instructions!$E$11=16,IF($T205=Instructions!$F$52,AT204+1,AT204))))))</f>
        <v>17</v>
      </c>
      <c r="AU205" s="321" t="str">
        <f t="shared" si="58"/>
        <v>1117</v>
      </c>
      <c r="AV205" s="321">
        <f>IF(Instructions!$E$11=8,IF($D205=Instructions!$F$53,AV204+1,AV204),IF(Instructions!$E$11=10,IF($H205=Instructions!$F$53,AV204+1,AV204),IF(Instructions!$E$11=12,IF($L205=Instructions!$F$53,AV204+1,AV204),IF(Instructions!$E$11=14,IF($P205=Instructions!$F$53,AV204+1,AV204),IF(Instructions!$E$11=16,IF($T205=Instructions!$F$53,AV204+1,AV204))))))</f>
        <v>16</v>
      </c>
      <c r="AW205" s="321" t="str">
        <f t="shared" si="59"/>
        <v>1216</v>
      </c>
      <c r="AX205" s="321">
        <f>IF(Instructions!$E$11=8,IF($D205=Instructions!$F$54,AX204+1,AX204),IF(Instructions!$E$11=10,IF($H205=Instructions!$F$54,AX204+1,AX204),IF(Instructions!$E$11=12,IF($L205=Instructions!$F$54,AX204+1,AX204),IF(Instructions!$E$11=14,IF($P205=Instructions!$F$54,AX204+1,AX204),IF(Instructions!$E$11=16,IF($T205=Instructions!$F$54,AX204+1,AX204))))))</f>
        <v>0</v>
      </c>
      <c r="AY205" s="321" t="str">
        <f t="shared" si="60"/>
        <v>1300</v>
      </c>
      <c r="AZ205" s="321">
        <f>IF(Instructions!$E$11=8,IF($D205=Instructions!$F$55,AZ204+1,AZ204),IF(Instructions!$E$11=10,IF($H205=Instructions!$F$55,AZ204+1,AZ204),IF(Instructions!$E$11=12,IF($L205=Instructions!$F$55,AZ204+1,AZ204),IF(Instructions!$E$11=14,IF($P205=Instructions!$F$55,AZ204+1,AZ204),IF(Instructions!$E$11=16,IF($T205=Instructions!$F$55,AZ204+1,AZ204))))))</f>
        <v>0</v>
      </c>
      <c r="BA205" s="321" t="str">
        <f t="shared" si="61"/>
        <v>1400</v>
      </c>
      <c r="BB205" s="321">
        <f>IF(Instructions!$E$11=8,IF($D205=Instructions!$F$56,BB204+1,BB204),IF(Instructions!$E$11=10,IF($H205=Instructions!$F$56,BB204+1,BB204),IF(Instructions!$E$11=12,IF($L205=Instructions!$F$56,BB204+1,BB204),IF(Instructions!$E$11=14,IF($P205=Instructions!$F$56,BB204+1,BB204),IF(Instructions!$E$11=16,IF($T205=Instructions!$F$56,BB204+1,BB204))))))</f>
        <v>0</v>
      </c>
      <c r="BC205" s="321" t="str">
        <f t="shared" si="62"/>
        <v>1500</v>
      </c>
      <c r="BD205" s="321">
        <f>IF(Instructions!$E$11=8,IF($D205=Instructions!$F$57,BD204+1,BD204),IF(Instructions!$E$11=10,IF($H205=Instructions!$F$57,BD204+1,BD204),IF(Instructions!$E$11=12,IF($L205=Instructions!$F$57,BD204+1,BD204),IF(Instructions!$E$11=14,IF($P205=Instructions!$F$57,BD204+1,BD204),IF(Instructions!$E$11=16,IF($T205=Instructions!$F$57,BD204+1,BD204))))))</f>
        <v>0</v>
      </c>
      <c r="BE205" s="321" t="str">
        <f t="shared" si="63"/>
        <v>1600</v>
      </c>
      <c r="BF205" s="321">
        <v>203</v>
      </c>
    </row>
    <row r="206" spans="1:58" ht="15.75" thickBot="1" x14ac:dyDescent="0.3">
      <c r="A206" s="280"/>
      <c r="B206" s="323" t="str">
        <f>IF(Instructions!$J$11=1,AA206,IF(Instructions!$J$11=2,AC206,IF(Instructions!$J$11=3,AE206,IF(Instructions!$J$11=4,AG206,IF(Instructions!$J$11=5,AI206,IF(Instructions!$J$11=6,AK206,IF(Instructions!$J$11=7,AM206,IF(Instructions!$J$11=8,AO206,IF(Instructions!$J$11=9,AQ206,IF(Instructions!$J$11=10,AS206,IF(Instructions!$J$11=11,AU206,IF(Instructions!$J$11=12,AW206,IF(Instructions!$J$11=13, AY206, IF(Instructions!$J$11=14,BA206,IF(Instructions!$J$11=15,BC206,BE206)))))))))))))))</f>
        <v>217</v>
      </c>
      <c r="C206" s="272">
        <v>204</v>
      </c>
      <c r="D206" s="281"/>
      <c r="E206" s="282"/>
      <c r="F206" s="281"/>
      <c r="G206" s="279"/>
      <c r="H206" s="294" t="str">
        <f>Instructions!F$45</f>
        <v>Miles</v>
      </c>
      <c r="I206" s="274" t="s">
        <v>1499</v>
      </c>
      <c r="J206" s="709"/>
      <c r="K206" s="279">
        <v>21</v>
      </c>
      <c r="L206" s="295" t="str">
        <f>Instructions!F$53</f>
        <v>Zack</v>
      </c>
      <c r="M206" s="277" t="s">
        <v>1555</v>
      </c>
      <c r="N206" s="710"/>
      <c r="O206" s="279">
        <v>17</v>
      </c>
      <c r="P206" s="294" t="str">
        <f>Instructions!F$49</f>
        <v>Luke</v>
      </c>
      <c r="Q206" s="274" t="s">
        <v>882</v>
      </c>
      <c r="R206" s="709"/>
      <c r="S206" s="279">
        <v>15</v>
      </c>
      <c r="T206" s="327" t="str">
        <f>Instructions!F$53</f>
        <v>Zack</v>
      </c>
      <c r="U206" s="274" t="s">
        <v>862</v>
      </c>
      <c r="V206" s="706"/>
      <c r="W206" s="279">
        <v>13</v>
      </c>
      <c r="X206" s="280"/>
      <c r="Y206" s="190" t="str">
        <f>IFERROR( IF(Instructions!$E$11=8, D206&amp;COUNTIF(D$3:D206,D206), IF(Instructions!$E$11=10, H206&amp;COUNTIF(H$3:H206,H206),IF(Instructions!$E$11=12, L206&amp;COUNTIF(L$3:L206,L206),IF(Instructions!$E$11=14, P206&amp;COUNTIF(P$3:P206,P206),T206&amp;COUNTIF(T$3:T206,T206))))),"")</f>
        <v>Zack17</v>
      </c>
      <c r="Z206" s="321">
        <f>IF(Instructions!$E$11=8,IF($D206=Instructions!$F$42,Z205+1,Z205),IF(Instructions!$E$11=10,IF($H206=Instructions!$F$42,Z205+1,Z205),IF(Instructions!$E$11=12,IF($L206=Instructions!$F$42,Z205+1,Z205),IF(Instructions!$E$11=14,IF($P206=Instructions!$F$42,Z205+1,Z205),IF(Instructions!$E$11=16,IF($T206=Instructions!$F$42,Z205+1,Z205))))))</f>
        <v>17</v>
      </c>
      <c r="AA206" s="321" t="str">
        <f t="shared" si="56"/>
        <v>117</v>
      </c>
      <c r="AB206" s="321">
        <f>IF(Instructions!$E$11=8,IF($D206=Instructions!$F$43,AB205+1,AB205),IF(Instructions!$E$11=10,IF($H206=Instructions!$F$43,AB205+1,AB205),IF(Instructions!$E$11=12,IF($L206=Instructions!$F$43,AB205+1,AB205),IF(Instructions!$E$11=14,IF($P206=Instructions!$F$43,AB205+1,AB205),IF(Instructions!$E$11=16,IF($T206=Instructions!$F$43,AB205+1,AB205))))))</f>
        <v>17</v>
      </c>
      <c r="AC206" s="321" t="str">
        <f t="shared" si="48"/>
        <v>217</v>
      </c>
      <c r="AD206" s="321">
        <f>IF(Instructions!$E$11=8,IF($D206=Instructions!$F$44,AD205+1,AD205),IF(Instructions!$E$11=10,IF($H206=Instructions!$F$44,AD205+1,AD205),IF(Instructions!$E$11=12,IF($L206=Instructions!$F$44,AD205+1,AD205),IF(Instructions!$E$11=14,IF($P206=Instructions!$F$44,AD205+1,AD205),IF(Instructions!$E$11=16,IF($T206=Instructions!$F$44,AD205+1,AD205))))))</f>
        <v>17</v>
      </c>
      <c r="AE206" s="321" t="str">
        <f t="shared" si="49"/>
        <v>317</v>
      </c>
      <c r="AF206" s="321">
        <f>IF(Instructions!$E$11=8,IF($D206=Instructions!$F$45,AF205+1,AF205),IF(Instructions!$E$11=10,IF($H206=Instructions!$F$45,AF205+1,AF205),IF(Instructions!$E$11=12,IF($L206=Instructions!$F$45,AF205+1,AF205),IF(Instructions!$E$11=14,IF($P206=Instructions!$F$45,AF205+1,AF205),IF(Instructions!$E$11=16,IF($T206=Instructions!$F$45,AF205+1,AF205))))))</f>
        <v>17</v>
      </c>
      <c r="AG206" s="321" t="str">
        <f t="shared" si="50"/>
        <v>417</v>
      </c>
      <c r="AH206" s="321">
        <f>IF(Instructions!$E$11=8,IF($D206=Instructions!$F$46,AH205+1,AH205),IF(Instructions!$E$11=10,IF($H206=Instructions!$F$46,AH205+1,AH205),IF(Instructions!$E$11=12,IF($L206=Instructions!$F$46,AH205+1,AH205),IF(Instructions!$E$11=14,IF($P206=Instructions!$F$46,AH205+1,AH205),IF(Instructions!$E$11=16,IF($T206=Instructions!$F$46,AH205+1,AH205))))))</f>
        <v>17</v>
      </c>
      <c r="AI206" s="321" t="str">
        <f t="shared" si="51"/>
        <v>517</v>
      </c>
      <c r="AJ206" s="321">
        <f>IF(Instructions!$E$11=8,IF($D206=Instructions!$F$47,AJ205+1,AJ205),IF(Instructions!$E$11=10,IF($H206=Instructions!$F$47,AJ205+1,AJ205),IF(Instructions!$E$11=12,IF($L206=Instructions!$F$47,AJ205+1,AJ205),IF(Instructions!$E$11=14,IF($P206=Instructions!$F$47,AJ205+1,AJ205),IF(Instructions!$E$11=16,IF($T206=Instructions!$F$47,AJ205+1,AJ205))))))</f>
        <v>17</v>
      </c>
      <c r="AK206" s="321" t="str">
        <f t="shared" si="52"/>
        <v>617</v>
      </c>
      <c r="AL206" s="321">
        <f>IF(Instructions!$E$11=8,IF($D206=Instructions!$F$48,AL205+1,AL205),IF(Instructions!$E$11=10,IF($H206=Instructions!$F$48,AL205+1,AL205),IF(Instructions!$E$11=12,IF($L206=Instructions!$F$48,AL205+1,AL205),IF(Instructions!$E$11=14,IF($P206=Instructions!$F$48,AL205+1,AL205),IF(Instructions!$E$11=16,IF($T206=Instructions!$F$48,AL205+1,AL205))))))</f>
        <v>17</v>
      </c>
      <c r="AM206" s="321" t="str">
        <f t="shared" si="53"/>
        <v>717</v>
      </c>
      <c r="AN206" s="321">
        <f>IF(Instructions!$E$11=8,IF($D206=Instructions!$F$49,AN205+1,AN205),IF(Instructions!$E$11=10,IF($H206=Instructions!$F$49,AN205+1,AN205),IF(Instructions!$E$11=12,IF($L206=Instructions!$F$49,AN205+1,AN205),IF(Instructions!$E$11=14,IF($P206=Instructions!$F$49,AN205+1,AN205),IF(Instructions!$E$11=16,IF($T206=Instructions!$F$49,AN205+1,AN205))))))</f>
        <v>17</v>
      </c>
      <c r="AO206" s="321" t="str">
        <f t="shared" si="54"/>
        <v>817</v>
      </c>
      <c r="AP206" s="321">
        <f>IF(Instructions!$E$11=8,IF($D206=Instructions!$F$50,AP205+1,AP205),IF(Instructions!$E$11=10,IF($H206=Instructions!$F$50,AP205+1,AP205),IF(Instructions!$E$11=12,IF($L206=Instructions!$F$50,AP205+1,AP205),IF(Instructions!$E$11=14,IF($P206=Instructions!$F$50,AP205+1,AP205),IF(Instructions!$E$11=16,IF($T206=Instructions!$F$50,AP205+1,AP205))))))</f>
        <v>17</v>
      </c>
      <c r="AQ206" s="321" t="str">
        <f t="shared" si="55"/>
        <v>917</v>
      </c>
      <c r="AR206" s="321">
        <f>IF(Instructions!$E$11=8,IF($D206=Instructions!$F$51,AR205+1,AR205),IF(Instructions!$E$11=10,IF($H206=Instructions!$F$51,AR205+1,AR205),IF(Instructions!$E$11=12,IF($L206=Instructions!$F$51,AR205+1,AR205),IF(Instructions!$E$11=14,IF($P206=Instructions!$F$51,AR205+1,AR205),IF(Instructions!$E$11=16,IF($T206=Instructions!$F$51,AR205+1,AR205))))))</f>
        <v>17</v>
      </c>
      <c r="AS206" s="321" t="str">
        <f t="shared" si="57"/>
        <v>1017</v>
      </c>
      <c r="AT206" s="321">
        <f>IF(Instructions!$E$11=8,IF($D206=Instructions!$F$52,AT205+1,AT205),IF(Instructions!$E$11=10,IF($H206=Instructions!$F$52,AT205+1,AT205),IF(Instructions!$E$11=12,IF($L206=Instructions!$F$52,AT205+1,AT205),IF(Instructions!$E$11=14,IF($P206=Instructions!$F$52,AT205+1,AT205),IF(Instructions!$E$11=16,IF($T206=Instructions!$F$52,AT205+1,AT205))))))</f>
        <v>17</v>
      </c>
      <c r="AU206" s="321" t="str">
        <f t="shared" si="58"/>
        <v>1117</v>
      </c>
      <c r="AV206" s="321">
        <f>IF(Instructions!$E$11=8,IF($D206=Instructions!$F$53,AV205+1,AV205),IF(Instructions!$E$11=10,IF($H206=Instructions!$F$53,AV205+1,AV205),IF(Instructions!$E$11=12,IF($L206=Instructions!$F$53,AV205+1,AV205),IF(Instructions!$E$11=14,IF($P206=Instructions!$F$53,AV205+1,AV205),IF(Instructions!$E$11=16,IF($T206=Instructions!$F$53,AV205+1,AV205))))))</f>
        <v>17</v>
      </c>
      <c r="AW206" s="321" t="str">
        <f t="shared" si="59"/>
        <v>1217</v>
      </c>
      <c r="AX206" s="321">
        <f>IF(Instructions!$E$11=8,IF($D206=Instructions!$F$54,AX205+1,AX205),IF(Instructions!$E$11=10,IF($H206=Instructions!$F$54,AX205+1,AX205),IF(Instructions!$E$11=12,IF($L206=Instructions!$F$54,AX205+1,AX205),IF(Instructions!$E$11=14,IF($P206=Instructions!$F$54,AX205+1,AX205),IF(Instructions!$E$11=16,IF($T206=Instructions!$F$54,AX205+1,AX205))))))</f>
        <v>0</v>
      </c>
      <c r="AY206" s="321" t="str">
        <f t="shared" si="60"/>
        <v>1300</v>
      </c>
      <c r="AZ206" s="321">
        <f>IF(Instructions!$E$11=8,IF($D206=Instructions!$F$55,AZ205+1,AZ205),IF(Instructions!$E$11=10,IF($H206=Instructions!$F$55,AZ205+1,AZ205),IF(Instructions!$E$11=12,IF($L206=Instructions!$F$55,AZ205+1,AZ205),IF(Instructions!$E$11=14,IF($P206=Instructions!$F$55,AZ205+1,AZ205),IF(Instructions!$E$11=16,IF($T206=Instructions!$F$55,AZ205+1,AZ205))))))</f>
        <v>0</v>
      </c>
      <c r="BA206" s="321" t="str">
        <f t="shared" si="61"/>
        <v>1400</v>
      </c>
      <c r="BB206" s="321">
        <f>IF(Instructions!$E$11=8,IF($D206=Instructions!$F$56,BB205+1,BB205),IF(Instructions!$E$11=10,IF($H206=Instructions!$F$56,BB205+1,BB205),IF(Instructions!$E$11=12,IF($L206=Instructions!$F$56,BB205+1,BB205),IF(Instructions!$E$11=14,IF($P206=Instructions!$F$56,BB205+1,BB205),IF(Instructions!$E$11=16,IF($T206=Instructions!$F$56,BB205+1,BB205))))))</f>
        <v>0</v>
      </c>
      <c r="BC206" s="321" t="str">
        <f t="shared" si="62"/>
        <v>1500</v>
      </c>
      <c r="BD206" s="321">
        <f>IF(Instructions!$E$11=8,IF($D206=Instructions!$F$57,BD205+1,BD205),IF(Instructions!$E$11=10,IF($H206=Instructions!$F$57,BD205+1,BD205),IF(Instructions!$E$11=12,IF($L206=Instructions!$F$57,BD205+1,BD205),IF(Instructions!$E$11=14,IF($P206=Instructions!$F$57,BD205+1,BD205),IF(Instructions!$E$11=16,IF($T206=Instructions!$F$57,BD205+1,BD205))))))</f>
        <v>0</v>
      </c>
      <c r="BE206" s="321" t="str">
        <f t="shared" si="63"/>
        <v>1600</v>
      </c>
      <c r="BF206" s="321">
        <v>204</v>
      </c>
    </row>
    <row r="207" spans="1:58" x14ac:dyDescent="0.25">
      <c r="A207" s="280"/>
      <c r="B207" s="323" t="str">
        <f>IF(Instructions!$J$11=1,AA207,IF(Instructions!$J$11=2,AC207,IF(Instructions!$J$11=3,AE207,IF(Instructions!$J$11=4,AG207,IF(Instructions!$J$11=5,AI207,IF(Instructions!$J$11=6,AK207,IF(Instructions!$J$11=7,AM207,IF(Instructions!$J$11=8,AO207,IF(Instructions!$J$11=9,AQ207,IF(Instructions!$J$11=10,AS207,IF(Instructions!$J$11=11,AU207,IF(Instructions!$J$11=12,AW207,IF(Instructions!$J$11=13, AY207, IF(Instructions!$J$11=14,BA207,IF(Instructions!$J$11=15,BC207,BE207)))))))))))))))</f>
        <v>217</v>
      </c>
      <c r="C207" s="271">
        <v>205</v>
      </c>
      <c r="D207" s="281"/>
      <c r="E207" s="282"/>
      <c r="F207" s="281"/>
      <c r="G207" s="279"/>
      <c r="H207" s="293" t="str">
        <f>Instructions!F$46</f>
        <v>Con</v>
      </c>
      <c r="I207" s="273" t="s">
        <v>1500</v>
      </c>
      <c r="J207" s="709"/>
      <c r="K207" s="279">
        <v>21</v>
      </c>
      <c r="L207" s="292" t="str">
        <f>Instructions!F$53</f>
        <v>Zack</v>
      </c>
      <c r="M207" s="276" t="s">
        <v>1472</v>
      </c>
      <c r="N207" s="708" t="s">
        <v>1456</v>
      </c>
      <c r="O207" s="279">
        <v>18</v>
      </c>
      <c r="P207" s="293" t="str">
        <f>Instructions!F$50</f>
        <v>Dan</v>
      </c>
      <c r="Q207" s="273" t="s">
        <v>883</v>
      </c>
      <c r="R207" s="709"/>
      <c r="S207" s="279">
        <v>15</v>
      </c>
      <c r="T207" s="328" t="str">
        <f>Instructions!F$54</f>
        <v>[TEAM 13]</v>
      </c>
      <c r="U207" s="273" t="s">
        <v>952</v>
      </c>
      <c r="V207" s="706"/>
      <c r="W207" s="279">
        <v>13</v>
      </c>
      <c r="X207" s="280"/>
      <c r="Y207" s="190" t="str">
        <f>IFERROR( IF(Instructions!$E$11=8, D207&amp;COUNTIF(D$3:D207,D207), IF(Instructions!$E$11=10, H207&amp;COUNTIF(H$3:H207,H207),IF(Instructions!$E$11=12, L207&amp;COUNTIF(L$3:L207,L207),IF(Instructions!$E$11=14, P207&amp;COUNTIF(P$3:P207,P207),T207&amp;COUNTIF(T$3:T207,T207))))),"")</f>
        <v>Zack18</v>
      </c>
      <c r="Z207" s="321">
        <f>IF(Instructions!$E$11=8,IF($D207=Instructions!$F$42,Z206+1,Z206),IF(Instructions!$E$11=10,IF($H207=Instructions!$F$42,Z206+1,Z206),IF(Instructions!$E$11=12,IF($L207=Instructions!$F$42,Z206+1,Z206),IF(Instructions!$E$11=14,IF($P207=Instructions!$F$42,Z206+1,Z206),IF(Instructions!$E$11=16,IF($T207=Instructions!$F$42,Z206+1,Z206))))))</f>
        <v>17</v>
      </c>
      <c r="AA207" s="321" t="str">
        <f t="shared" si="56"/>
        <v>117</v>
      </c>
      <c r="AB207" s="321">
        <f>IF(Instructions!$E$11=8,IF($D207=Instructions!$F$43,AB206+1,AB206),IF(Instructions!$E$11=10,IF($H207=Instructions!$F$43,AB206+1,AB206),IF(Instructions!$E$11=12,IF($L207=Instructions!$F$43,AB206+1,AB206),IF(Instructions!$E$11=14,IF($P207=Instructions!$F$43,AB206+1,AB206),IF(Instructions!$E$11=16,IF($T207=Instructions!$F$43,AB206+1,AB206))))))</f>
        <v>17</v>
      </c>
      <c r="AC207" s="321" t="str">
        <f t="shared" si="48"/>
        <v>217</v>
      </c>
      <c r="AD207" s="321">
        <f>IF(Instructions!$E$11=8,IF($D207=Instructions!$F$44,AD206+1,AD206),IF(Instructions!$E$11=10,IF($H207=Instructions!$F$44,AD206+1,AD206),IF(Instructions!$E$11=12,IF($L207=Instructions!$F$44,AD206+1,AD206),IF(Instructions!$E$11=14,IF($P207=Instructions!$F$44,AD206+1,AD206),IF(Instructions!$E$11=16,IF($T207=Instructions!$F$44,AD206+1,AD206))))))</f>
        <v>17</v>
      </c>
      <c r="AE207" s="321" t="str">
        <f t="shared" si="49"/>
        <v>317</v>
      </c>
      <c r="AF207" s="321">
        <f>IF(Instructions!$E$11=8,IF($D207=Instructions!$F$45,AF206+1,AF206),IF(Instructions!$E$11=10,IF($H207=Instructions!$F$45,AF206+1,AF206),IF(Instructions!$E$11=12,IF($L207=Instructions!$F$45,AF206+1,AF206),IF(Instructions!$E$11=14,IF($P207=Instructions!$F$45,AF206+1,AF206),IF(Instructions!$E$11=16,IF($T207=Instructions!$F$45,AF206+1,AF206))))))</f>
        <v>17</v>
      </c>
      <c r="AG207" s="321" t="str">
        <f t="shared" si="50"/>
        <v>417</v>
      </c>
      <c r="AH207" s="321">
        <f>IF(Instructions!$E$11=8,IF($D207=Instructions!$F$46,AH206+1,AH206),IF(Instructions!$E$11=10,IF($H207=Instructions!$F$46,AH206+1,AH206),IF(Instructions!$E$11=12,IF($L207=Instructions!$F$46,AH206+1,AH206),IF(Instructions!$E$11=14,IF($P207=Instructions!$F$46,AH206+1,AH206),IF(Instructions!$E$11=16,IF($T207=Instructions!$F$46,AH206+1,AH206))))))</f>
        <v>17</v>
      </c>
      <c r="AI207" s="321" t="str">
        <f t="shared" si="51"/>
        <v>517</v>
      </c>
      <c r="AJ207" s="321">
        <f>IF(Instructions!$E$11=8,IF($D207=Instructions!$F$47,AJ206+1,AJ206),IF(Instructions!$E$11=10,IF($H207=Instructions!$F$47,AJ206+1,AJ206),IF(Instructions!$E$11=12,IF($L207=Instructions!$F$47,AJ206+1,AJ206),IF(Instructions!$E$11=14,IF($P207=Instructions!$F$47,AJ206+1,AJ206),IF(Instructions!$E$11=16,IF($T207=Instructions!$F$47,AJ206+1,AJ206))))))</f>
        <v>17</v>
      </c>
      <c r="AK207" s="321" t="str">
        <f t="shared" si="52"/>
        <v>617</v>
      </c>
      <c r="AL207" s="321">
        <f>IF(Instructions!$E$11=8,IF($D207=Instructions!$F$48,AL206+1,AL206),IF(Instructions!$E$11=10,IF($H207=Instructions!$F$48,AL206+1,AL206),IF(Instructions!$E$11=12,IF($L207=Instructions!$F$48,AL206+1,AL206),IF(Instructions!$E$11=14,IF($P207=Instructions!$F$48,AL206+1,AL206),IF(Instructions!$E$11=16,IF($T207=Instructions!$F$48,AL206+1,AL206))))))</f>
        <v>17</v>
      </c>
      <c r="AM207" s="321" t="str">
        <f t="shared" si="53"/>
        <v>717</v>
      </c>
      <c r="AN207" s="321">
        <f>IF(Instructions!$E$11=8,IF($D207=Instructions!$F$49,AN206+1,AN206),IF(Instructions!$E$11=10,IF($H207=Instructions!$F$49,AN206+1,AN206),IF(Instructions!$E$11=12,IF($L207=Instructions!$F$49,AN206+1,AN206),IF(Instructions!$E$11=14,IF($P207=Instructions!$F$49,AN206+1,AN206),IF(Instructions!$E$11=16,IF($T207=Instructions!$F$49,AN206+1,AN206))))))</f>
        <v>17</v>
      </c>
      <c r="AO207" s="321" t="str">
        <f t="shared" si="54"/>
        <v>817</v>
      </c>
      <c r="AP207" s="321">
        <f>IF(Instructions!$E$11=8,IF($D207=Instructions!$F$50,AP206+1,AP206),IF(Instructions!$E$11=10,IF($H207=Instructions!$F$50,AP206+1,AP206),IF(Instructions!$E$11=12,IF($L207=Instructions!$F$50,AP206+1,AP206),IF(Instructions!$E$11=14,IF($P207=Instructions!$F$50,AP206+1,AP206),IF(Instructions!$E$11=16,IF($T207=Instructions!$F$50,AP206+1,AP206))))))</f>
        <v>17</v>
      </c>
      <c r="AQ207" s="321" t="str">
        <f t="shared" si="55"/>
        <v>917</v>
      </c>
      <c r="AR207" s="321">
        <f>IF(Instructions!$E$11=8,IF($D207=Instructions!$F$51,AR206+1,AR206),IF(Instructions!$E$11=10,IF($H207=Instructions!$F$51,AR206+1,AR206),IF(Instructions!$E$11=12,IF($L207=Instructions!$F$51,AR206+1,AR206),IF(Instructions!$E$11=14,IF($P207=Instructions!$F$51,AR206+1,AR206),IF(Instructions!$E$11=16,IF($T207=Instructions!$F$51,AR206+1,AR206))))))</f>
        <v>17</v>
      </c>
      <c r="AS207" s="321" t="str">
        <f t="shared" si="57"/>
        <v>1017</v>
      </c>
      <c r="AT207" s="321">
        <f>IF(Instructions!$E$11=8,IF($D207=Instructions!$F$52,AT206+1,AT206),IF(Instructions!$E$11=10,IF($H207=Instructions!$F$52,AT206+1,AT206),IF(Instructions!$E$11=12,IF($L207=Instructions!$F$52,AT206+1,AT206),IF(Instructions!$E$11=14,IF($P207=Instructions!$F$52,AT206+1,AT206),IF(Instructions!$E$11=16,IF($T207=Instructions!$F$52,AT206+1,AT206))))))</f>
        <v>17</v>
      </c>
      <c r="AU207" s="321" t="str">
        <f t="shared" si="58"/>
        <v>1117</v>
      </c>
      <c r="AV207" s="321">
        <f>IF(Instructions!$E$11=8,IF($D207=Instructions!$F$53,AV206+1,AV206),IF(Instructions!$E$11=10,IF($H207=Instructions!$F$53,AV206+1,AV206),IF(Instructions!$E$11=12,IF($L207=Instructions!$F$53,AV206+1,AV206),IF(Instructions!$E$11=14,IF($P207=Instructions!$F$53,AV206+1,AV206),IF(Instructions!$E$11=16,IF($T207=Instructions!$F$53,AV206+1,AV206))))))</f>
        <v>18</v>
      </c>
      <c r="AW207" s="321" t="str">
        <f t="shared" si="59"/>
        <v>1218</v>
      </c>
      <c r="AX207" s="321">
        <f>IF(Instructions!$E$11=8,IF($D207=Instructions!$F$54,AX206+1,AX206),IF(Instructions!$E$11=10,IF($H207=Instructions!$F$54,AX206+1,AX206),IF(Instructions!$E$11=12,IF($L207=Instructions!$F$54,AX206+1,AX206),IF(Instructions!$E$11=14,IF($P207=Instructions!$F$54,AX206+1,AX206),IF(Instructions!$E$11=16,IF($T207=Instructions!$F$54,AX206+1,AX206))))))</f>
        <v>0</v>
      </c>
      <c r="AY207" s="321" t="str">
        <f t="shared" si="60"/>
        <v>1300</v>
      </c>
      <c r="AZ207" s="321">
        <f>IF(Instructions!$E$11=8,IF($D207=Instructions!$F$55,AZ206+1,AZ206),IF(Instructions!$E$11=10,IF($H207=Instructions!$F$55,AZ206+1,AZ206),IF(Instructions!$E$11=12,IF($L207=Instructions!$F$55,AZ206+1,AZ206),IF(Instructions!$E$11=14,IF($P207=Instructions!$F$55,AZ206+1,AZ206),IF(Instructions!$E$11=16,IF($T207=Instructions!$F$55,AZ206+1,AZ206))))))</f>
        <v>0</v>
      </c>
      <c r="BA207" s="321" t="str">
        <f t="shared" si="61"/>
        <v>1400</v>
      </c>
      <c r="BB207" s="321">
        <f>IF(Instructions!$E$11=8,IF($D207=Instructions!$F$56,BB206+1,BB206),IF(Instructions!$E$11=10,IF($H207=Instructions!$F$56,BB206+1,BB206),IF(Instructions!$E$11=12,IF($L207=Instructions!$F$56,BB206+1,BB206),IF(Instructions!$E$11=14,IF($P207=Instructions!$F$56,BB206+1,BB206),IF(Instructions!$E$11=16,IF($T207=Instructions!$F$56,BB206+1,BB206))))))</f>
        <v>0</v>
      </c>
      <c r="BC207" s="321" t="str">
        <f t="shared" si="62"/>
        <v>1500</v>
      </c>
      <c r="BD207" s="321">
        <f>IF(Instructions!$E$11=8,IF($D207=Instructions!$F$57,BD206+1,BD206),IF(Instructions!$E$11=10,IF($H207=Instructions!$F$57,BD206+1,BD206),IF(Instructions!$E$11=12,IF($L207=Instructions!$F$57,BD206+1,BD206),IF(Instructions!$E$11=14,IF($P207=Instructions!$F$57,BD206+1,BD206),IF(Instructions!$E$11=16,IF($T207=Instructions!$F$57,BD206+1,BD206))))))</f>
        <v>0</v>
      </c>
      <c r="BE207" s="321" t="str">
        <f t="shared" si="63"/>
        <v>1600</v>
      </c>
      <c r="BF207" s="321">
        <v>205</v>
      </c>
    </row>
    <row r="208" spans="1:58" x14ac:dyDescent="0.25">
      <c r="A208" s="280"/>
      <c r="B208" s="323" t="str">
        <f>IF(Instructions!$J$11=1,AA208,IF(Instructions!$J$11=2,AC208,IF(Instructions!$J$11=3,AE208,IF(Instructions!$J$11=4,AG208,IF(Instructions!$J$11=5,AI208,IF(Instructions!$J$11=6,AK208,IF(Instructions!$J$11=7,AM208,IF(Instructions!$J$11=8,AO208,IF(Instructions!$J$11=9,AQ208,IF(Instructions!$J$11=10,AS208,IF(Instructions!$J$11=11,AU208,IF(Instructions!$J$11=12,AW208,IF(Instructions!$J$11=13, AY208, IF(Instructions!$J$11=14,BA208,IF(Instructions!$J$11=15,BC208,BE208)))))))))))))))</f>
        <v>217</v>
      </c>
      <c r="C208" s="272">
        <v>206</v>
      </c>
      <c r="D208" s="281"/>
      <c r="E208" s="282"/>
      <c r="F208" s="281"/>
      <c r="G208" s="279"/>
      <c r="H208" s="294" t="str">
        <f>Instructions!F$47</f>
        <v>Devin</v>
      </c>
      <c r="I208" s="274" t="s">
        <v>1501</v>
      </c>
      <c r="J208" s="709"/>
      <c r="K208" s="279">
        <v>21</v>
      </c>
      <c r="L208" s="294" t="str">
        <f>Instructions!F$52</f>
        <v>Big R</v>
      </c>
      <c r="M208" s="274" t="s">
        <v>1473</v>
      </c>
      <c r="N208" s="709"/>
      <c r="O208" s="279">
        <v>18</v>
      </c>
      <c r="P208" s="294" t="str">
        <f>Instructions!F$51</f>
        <v>Josh</v>
      </c>
      <c r="Q208" s="274" t="s">
        <v>884</v>
      </c>
      <c r="R208" s="709"/>
      <c r="S208" s="279">
        <v>15</v>
      </c>
      <c r="T208" s="327" t="str">
        <f>Instructions!F$55</f>
        <v>[TEAM 14]</v>
      </c>
      <c r="U208" s="274" t="s">
        <v>953</v>
      </c>
      <c r="V208" s="706"/>
      <c r="W208" s="279">
        <v>13</v>
      </c>
      <c r="X208" s="280"/>
      <c r="Y208" s="190" t="str">
        <f>IFERROR( IF(Instructions!$E$11=8, D208&amp;COUNTIF(D$3:D208,D208), IF(Instructions!$E$11=10, H208&amp;COUNTIF(H$3:H208,H208),IF(Instructions!$E$11=12, L208&amp;COUNTIF(L$3:L208,L208),IF(Instructions!$E$11=14, P208&amp;COUNTIF(P$3:P208,P208),T208&amp;COUNTIF(T$3:T208,T208))))),"")</f>
        <v>Big R18</v>
      </c>
      <c r="Z208" s="321">
        <f>IF(Instructions!$E$11=8,IF($D208=Instructions!$F$42,Z207+1,Z207),IF(Instructions!$E$11=10,IF($H208=Instructions!$F$42,Z207+1,Z207),IF(Instructions!$E$11=12,IF($L208=Instructions!$F$42,Z207+1,Z207),IF(Instructions!$E$11=14,IF($P208=Instructions!$F$42,Z207+1,Z207),IF(Instructions!$E$11=16,IF($T208=Instructions!$F$42,Z207+1,Z207))))))</f>
        <v>17</v>
      </c>
      <c r="AA208" s="321" t="str">
        <f t="shared" si="56"/>
        <v>117</v>
      </c>
      <c r="AB208" s="321">
        <f>IF(Instructions!$E$11=8,IF($D208=Instructions!$F$43,AB207+1,AB207),IF(Instructions!$E$11=10,IF($H208=Instructions!$F$43,AB207+1,AB207),IF(Instructions!$E$11=12,IF($L208=Instructions!$F$43,AB207+1,AB207),IF(Instructions!$E$11=14,IF($P208=Instructions!$F$43,AB207+1,AB207),IF(Instructions!$E$11=16,IF($T208=Instructions!$F$43,AB207+1,AB207))))))</f>
        <v>17</v>
      </c>
      <c r="AC208" s="321" t="str">
        <f t="shared" si="48"/>
        <v>217</v>
      </c>
      <c r="AD208" s="321">
        <f>IF(Instructions!$E$11=8,IF($D208=Instructions!$F$44,AD207+1,AD207),IF(Instructions!$E$11=10,IF($H208=Instructions!$F$44,AD207+1,AD207),IF(Instructions!$E$11=12,IF($L208=Instructions!$F$44,AD207+1,AD207),IF(Instructions!$E$11=14,IF($P208=Instructions!$F$44,AD207+1,AD207),IF(Instructions!$E$11=16,IF($T208=Instructions!$F$44,AD207+1,AD207))))))</f>
        <v>17</v>
      </c>
      <c r="AE208" s="321" t="str">
        <f t="shared" si="49"/>
        <v>317</v>
      </c>
      <c r="AF208" s="321">
        <f>IF(Instructions!$E$11=8,IF($D208=Instructions!$F$45,AF207+1,AF207),IF(Instructions!$E$11=10,IF($H208=Instructions!$F$45,AF207+1,AF207),IF(Instructions!$E$11=12,IF($L208=Instructions!$F$45,AF207+1,AF207),IF(Instructions!$E$11=14,IF($P208=Instructions!$F$45,AF207+1,AF207),IF(Instructions!$E$11=16,IF($T208=Instructions!$F$45,AF207+1,AF207))))))</f>
        <v>17</v>
      </c>
      <c r="AG208" s="321" t="str">
        <f t="shared" si="50"/>
        <v>417</v>
      </c>
      <c r="AH208" s="321">
        <f>IF(Instructions!$E$11=8,IF($D208=Instructions!$F$46,AH207+1,AH207),IF(Instructions!$E$11=10,IF($H208=Instructions!$F$46,AH207+1,AH207),IF(Instructions!$E$11=12,IF($L208=Instructions!$F$46,AH207+1,AH207),IF(Instructions!$E$11=14,IF($P208=Instructions!$F$46,AH207+1,AH207),IF(Instructions!$E$11=16,IF($T208=Instructions!$F$46,AH207+1,AH207))))))</f>
        <v>17</v>
      </c>
      <c r="AI208" s="321" t="str">
        <f t="shared" si="51"/>
        <v>517</v>
      </c>
      <c r="AJ208" s="321">
        <f>IF(Instructions!$E$11=8,IF($D208=Instructions!$F$47,AJ207+1,AJ207),IF(Instructions!$E$11=10,IF($H208=Instructions!$F$47,AJ207+1,AJ207),IF(Instructions!$E$11=12,IF($L208=Instructions!$F$47,AJ207+1,AJ207),IF(Instructions!$E$11=14,IF($P208=Instructions!$F$47,AJ207+1,AJ207),IF(Instructions!$E$11=16,IF($T208=Instructions!$F$47,AJ207+1,AJ207))))))</f>
        <v>17</v>
      </c>
      <c r="AK208" s="321" t="str">
        <f t="shared" si="52"/>
        <v>617</v>
      </c>
      <c r="AL208" s="321">
        <f>IF(Instructions!$E$11=8,IF($D208=Instructions!$F$48,AL207+1,AL207),IF(Instructions!$E$11=10,IF($H208=Instructions!$F$48,AL207+1,AL207),IF(Instructions!$E$11=12,IF($L208=Instructions!$F$48,AL207+1,AL207),IF(Instructions!$E$11=14,IF($P208=Instructions!$F$48,AL207+1,AL207),IF(Instructions!$E$11=16,IF($T208=Instructions!$F$48,AL207+1,AL207))))))</f>
        <v>17</v>
      </c>
      <c r="AM208" s="321" t="str">
        <f t="shared" si="53"/>
        <v>717</v>
      </c>
      <c r="AN208" s="321">
        <f>IF(Instructions!$E$11=8,IF($D208=Instructions!$F$49,AN207+1,AN207),IF(Instructions!$E$11=10,IF($H208=Instructions!$F$49,AN207+1,AN207),IF(Instructions!$E$11=12,IF($L208=Instructions!$F$49,AN207+1,AN207),IF(Instructions!$E$11=14,IF($P208=Instructions!$F$49,AN207+1,AN207),IF(Instructions!$E$11=16,IF($T208=Instructions!$F$49,AN207+1,AN207))))))</f>
        <v>17</v>
      </c>
      <c r="AO208" s="321" t="str">
        <f t="shared" si="54"/>
        <v>817</v>
      </c>
      <c r="AP208" s="321">
        <f>IF(Instructions!$E$11=8,IF($D208=Instructions!$F$50,AP207+1,AP207),IF(Instructions!$E$11=10,IF($H208=Instructions!$F$50,AP207+1,AP207),IF(Instructions!$E$11=12,IF($L208=Instructions!$F$50,AP207+1,AP207),IF(Instructions!$E$11=14,IF($P208=Instructions!$F$50,AP207+1,AP207),IF(Instructions!$E$11=16,IF($T208=Instructions!$F$50,AP207+1,AP207))))))</f>
        <v>17</v>
      </c>
      <c r="AQ208" s="321" t="str">
        <f t="shared" si="55"/>
        <v>917</v>
      </c>
      <c r="AR208" s="321">
        <f>IF(Instructions!$E$11=8,IF($D208=Instructions!$F$51,AR207+1,AR207),IF(Instructions!$E$11=10,IF($H208=Instructions!$F$51,AR207+1,AR207),IF(Instructions!$E$11=12,IF($L208=Instructions!$F$51,AR207+1,AR207),IF(Instructions!$E$11=14,IF($P208=Instructions!$F$51,AR207+1,AR207),IF(Instructions!$E$11=16,IF($T208=Instructions!$F$51,AR207+1,AR207))))))</f>
        <v>17</v>
      </c>
      <c r="AS208" s="321" t="str">
        <f t="shared" si="57"/>
        <v>1017</v>
      </c>
      <c r="AT208" s="321">
        <f>IF(Instructions!$E$11=8,IF($D208=Instructions!$F$52,AT207+1,AT207),IF(Instructions!$E$11=10,IF($H208=Instructions!$F$52,AT207+1,AT207),IF(Instructions!$E$11=12,IF($L208=Instructions!$F$52,AT207+1,AT207),IF(Instructions!$E$11=14,IF($P208=Instructions!$F$52,AT207+1,AT207),IF(Instructions!$E$11=16,IF($T208=Instructions!$F$52,AT207+1,AT207))))))</f>
        <v>18</v>
      </c>
      <c r="AU208" s="321" t="str">
        <f t="shared" si="58"/>
        <v>1118</v>
      </c>
      <c r="AV208" s="321">
        <f>IF(Instructions!$E$11=8,IF($D208=Instructions!$F$53,AV207+1,AV207),IF(Instructions!$E$11=10,IF($H208=Instructions!$F$53,AV207+1,AV207),IF(Instructions!$E$11=12,IF($L208=Instructions!$F$53,AV207+1,AV207),IF(Instructions!$E$11=14,IF($P208=Instructions!$F$53,AV207+1,AV207),IF(Instructions!$E$11=16,IF($T208=Instructions!$F$53,AV207+1,AV207))))))</f>
        <v>18</v>
      </c>
      <c r="AW208" s="321" t="str">
        <f t="shared" si="59"/>
        <v>1218</v>
      </c>
      <c r="AX208" s="321">
        <f>IF(Instructions!$E$11=8,IF($D208=Instructions!$F$54,AX207+1,AX207),IF(Instructions!$E$11=10,IF($H208=Instructions!$F$54,AX207+1,AX207),IF(Instructions!$E$11=12,IF($L208=Instructions!$F$54,AX207+1,AX207),IF(Instructions!$E$11=14,IF($P208=Instructions!$F$54,AX207+1,AX207),IF(Instructions!$E$11=16,IF($T208=Instructions!$F$54,AX207+1,AX207))))))</f>
        <v>0</v>
      </c>
      <c r="AY208" s="321" t="str">
        <f t="shared" si="60"/>
        <v>1300</v>
      </c>
      <c r="AZ208" s="321">
        <f>IF(Instructions!$E$11=8,IF($D208=Instructions!$F$55,AZ207+1,AZ207),IF(Instructions!$E$11=10,IF($H208=Instructions!$F$55,AZ207+1,AZ207),IF(Instructions!$E$11=12,IF($L208=Instructions!$F$55,AZ207+1,AZ207),IF(Instructions!$E$11=14,IF($P208=Instructions!$F$55,AZ207+1,AZ207),IF(Instructions!$E$11=16,IF($T208=Instructions!$F$55,AZ207+1,AZ207))))))</f>
        <v>0</v>
      </c>
      <c r="BA208" s="321" t="str">
        <f t="shared" si="61"/>
        <v>1400</v>
      </c>
      <c r="BB208" s="321">
        <f>IF(Instructions!$E$11=8,IF($D208=Instructions!$F$56,BB207+1,BB207),IF(Instructions!$E$11=10,IF($H208=Instructions!$F$56,BB207+1,BB207),IF(Instructions!$E$11=12,IF($L208=Instructions!$F$56,BB207+1,BB207),IF(Instructions!$E$11=14,IF($P208=Instructions!$F$56,BB207+1,BB207),IF(Instructions!$E$11=16,IF($T208=Instructions!$F$56,BB207+1,BB207))))))</f>
        <v>0</v>
      </c>
      <c r="BC208" s="321" t="str">
        <f t="shared" si="62"/>
        <v>1500</v>
      </c>
      <c r="BD208" s="321">
        <f>IF(Instructions!$E$11=8,IF($D208=Instructions!$F$57,BD207+1,BD207),IF(Instructions!$E$11=10,IF($H208=Instructions!$F$57,BD207+1,BD207),IF(Instructions!$E$11=12,IF($L208=Instructions!$F$57,BD207+1,BD207),IF(Instructions!$E$11=14,IF($P208=Instructions!$F$57,BD207+1,BD207),IF(Instructions!$E$11=16,IF($T208=Instructions!$F$57,BD207+1,BD207))))))</f>
        <v>0</v>
      </c>
      <c r="BE208" s="321" t="str">
        <f t="shared" si="63"/>
        <v>1600</v>
      </c>
      <c r="BF208" s="321">
        <v>206</v>
      </c>
    </row>
    <row r="209" spans="1:58" x14ac:dyDescent="0.25">
      <c r="A209" s="280"/>
      <c r="B209" s="323" t="str">
        <f>IF(Instructions!$J$11=1,AA209,IF(Instructions!$J$11=2,AC209,IF(Instructions!$J$11=3,AE209,IF(Instructions!$J$11=4,AG209,IF(Instructions!$J$11=5,AI209,IF(Instructions!$J$11=6,AK209,IF(Instructions!$J$11=7,AM209,IF(Instructions!$J$11=8,AO209,IF(Instructions!$J$11=9,AQ209,IF(Instructions!$J$11=10,AS209,IF(Instructions!$J$11=11,AU209,IF(Instructions!$J$11=12,AW209,IF(Instructions!$J$11=13, AY209, IF(Instructions!$J$11=14,BA209,IF(Instructions!$J$11=15,BC209,BE209)))))))))))))))</f>
        <v>217</v>
      </c>
      <c r="C209" s="271">
        <v>207</v>
      </c>
      <c r="D209" s="281"/>
      <c r="E209" s="282"/>
      <c r="F209" s="281"/>
      <c r="G209" s="279"/>
      <c r="H209" s="293" t="str">
        <f>Instructions!F$48</f>
        <v>Bui</v>
      </c>
      <c r="I209" s="273" t="s">
        <v>1502</v>
      </c>
      <c r="J209" s="709"/>
      <c r="K209" s="279">
        <v>21</v>
      </c>
      <c r="L209" s="293" t="str">
        <f>Instructions!F$51</f>
        <v>Josh</v>
      </c>
      <c r="M209" s="273" t="s">
        <v>1474</v>
      </c>
      <c r="N209" s="709"/>
      <c r="O209" s="279">
        <v>18</v>
      </c>
      <c r="P209" s="293" t="str">
        <f>Instructions!F$52</f>
        <v>Big R</v>
      </c>
      <c r="Q209" s="273" t="s">
        <v>885</v>
      </c>
      <c r="R209" s="709"/>
      <c r="S209" s="279">
        <v>15</v>
      </c>
      <c r="T209" s="328" t="str">
        <f>Instructions!F$56</f>
        <v>[TEAM 15]</v>
      </c>
      <c r="U209" s="273" t="s">
        <v>1588</v>
      </c>
      <c r="V209" s="706"/>
      <c r="W209" s="279">
        <v>13</v>
      </c>
      <c r="X209" s="280"/>
      <c r="Y209" s="190" t="str">
        <f>IFERROR( IF(Instructions!$E$11=8, D209&amp;COUNTIF(D$3:D209,D209), IF(Instructions!$E$11=10, H209&amp;COUNTIF(H$3:H209,H209),IF(Instructions!$E$11=12, L209&amp;COUNTIF(L$3:L209,L209),IF(Instructions!$E$11=14, P209&amp;COUNTIF(P$3:P209,P209),T209&amp;COUNTIF(T$3:T209,T209))))),"")</f>
        <v>Josh18</v>
      </c>
      <c r="Z209" s="321">
        <f>IF(Instructions!$E$11=8,IF($D209=Instructions!$F$42,Z208+1,Z208),IF(Instructions!$E$11=10,IF($H209=Instructions!$F$42,Z208+1,Z208),IF(Instructions!$E$11=12,IF($L209=Instructions!$F$42,Z208+1,Z208),IF(Instructions!$E$11=14,IF($P209=Instructions!$F$42,Z208+1,Z208),IF(Instructions!$E$11=16,IF($T209=Instructions!$F$42,Z208+1,Z208))))))</f>
        <v>17</v>
      </c>
      <c r="AA209" s="321" t="str">
        <f t="shared" si="56"/>
        <v>117</v>
      </c>
      <c r="AB209" s="321">
        <f>IF(Instructions!$E$11=8,IF($D209=Instructions!$F$43,AB208+1,AB208),IF(Instructions!$E$11=10,IF($H209=Instructions!$F$43,AB208+1,AB208),IF(Instructions!$E$11=12,IF($L209=Instructions!$F$43,AB208+1,AB208),IF(Instructions!$E$11=14,IF($P209=Instructions!$F$43,AB208+1,AB208),IF(Instructions!$E$11=16,IF($T209=Instructions!$F$43,AB208+1,AB208))))))</f>
        <v>17</v>
      </c>
      <c r="AC209" s="321" t="str">
        <f t="shared" si="48"/>
        <v>217</v>
      </c>
      <c r="AD209" s="321">
        <f>IF(Instructions!$E$11=8,IF($D209=Instructions!$F$44,AD208+1,AD208),IF(Instructions!$E$11=10,IF($H209=Instructions!$F$44,AD208+1,AD208),IF(Instructions!$E$11=12,IF($L209=Instructions!$F$44,AD208+1,AD208),IF(Instructions!$E$11=14,IF($P209=Instructions!$F$44,AD208+1,AD208),IF(Instructions!$E$11=16,IF($T209=Instructions!$F$44,AD208+1,AD208))))))</f>
        <v>17</v>
      </c>
      <c r="AE209" s="321" t="str">
        <f t="shared" si="49"/>
        <v>317</v>
      </c>
      <c r="AF209" s="321">
        <f>IF(Instructions!$E$11=8,IF($D209=Instructions!$F$45,AF208+1,AF208),IF(Instructions!$E$11=10,IF($H209=Instructions!$F$45,AF208+1,AF208),IF(Instructions!$E$11=12,IF($L209=Instructions!$F$45,AF208+1,AF208),IF(Instructions!$E$11=14,IF($P209=Instructions!$F$45,AF208+1,AF208),IF(Instructions!$E$11=16,IF($T209=Instructions!$F$45,AF208+1,AF208))))))</f>
        <v>17</v>
      </c>
      <c r="AG209" s="321" t="str">
        <f t="shared" si="50"/>
        <v>417</v>
      </c>
      <c r="AH209" s="321">
        <f>IF(Instructions!$E$11=8,IF($D209=Instructions!$F$46,AH208+1,AH208),IF(Instructions!$E$11=10,IF($H209=Instructions!$F$46,AH208+1,AH208),IF(Instructions!$E$11=12,IF($L209=Instructions!$F$46,AH208+1,AH208),IF(Instructions!$E$11=14,IF($P209=Instructions!$F$46,AH208+1,AH208),IF(Instructions!$E$11=16,IF($T209=Instructions!$F$46,AH208+1,AH208))))))</f>
        <v>17</v>
      </c>
      <c r="AI209" s="321" t="str">
        <f t="shared" si="51"/>
        <v>517</v>
      </c>
      <c r="AJ209" s="321">
        <f>IF(Instructions!$E$11=8,IF($D209=Instructions!$F$47,AJ208+1,AJ208),IF(Instructions!$E$11=10,IF($H209=Instructions!$F$47,AJ208+1,AJ208),IF(Instructions!$E$11=12,IF($L209=Instructions!$F$47,AJ208+1,AJ208),IF(Instructions!$E$11=14,IF($P209=Instructions!$F$47,AJ208+1,AJ208),IF(Instructions!$E$11=16,IF($T209=Instructions!$F$47,AJ208+1,AJ208))))))</f>
        <v>17</v>
      </c>
      <c r="AK209" s="321" t="str">
        <f t="shared" si="52"/>
        <v>617</v>
      </c>
      <c r="AL209" s="321">
        <f>IF(Instructions!$E$11=8,IF($D209=Instructions!$F$48,AL208+1,AL208),IF(Instructions!$E$11=10,IF($H209=Instructions!$F$48,AL208+1,AL208),IF(Instructions!$E$11=12,IF($L209=Instructions!$F$48,AL208+1,AL208),IF(Instructions!$E$11=14,IF($P209=Instructions!$F$48,AL208+1,AL208),IF(Instructions!$E$11=16,IF($T209=Instructions!$F$48,AL208+1,AL208))))))</f>
        <v>17</v>
      </c>
      <c r="AM209" s="321" t="str">
        <f t="shared" si="53"/>
        <v>717</v>
      </c>
      <c r="AN209" s="321">
        <f>IF(Instructions!$E$11=8,IF($D209=Instructions!$F$49,AN208+1,AN208),IF(Instructions!$E$11=10,IF($H209=Instructions!$F$49,AN208+1,AN208),IF(Instructions!$E$11=12,IF($L209=Instructions!$F$49,AN208+1,AN208),IF(Instructions!$E$11=14,IF($P209=Instructions!$F$49,AN208+1,AN208),IF(Instructions!$E$11=16,IF($T209=Instructions!$F$49,AN208+1,AN208))))))</f>
        <v>17</v>
      </c>
      <c r="AO209" s="321" t="str">
        <f t="shared" si="54"/>
        <v>817</v>
      </c>
      <c r="AP209" s="321">
        <f>IF(Instructions!$E$11=8,IF($D209=Instructions!$F$50,AP208+1,AP208),IF(Instructions!$E$11=10,IF($H209=Instructions!$F$50,AP208+1,AP208),IF(Instructions!$E$11=12,IF($L209=Instructions!$F$50,AP208+1,AP208),IF(Instructions!$E$11=14,IF($P209=Instructions!$F$50,AP208+1,AP208),IF(Instructions!$E$11=16,IF($T209=Instructions!$F$50,AP208+1,AP208))))))</f>
        <v>17</v>
      </c>
      <c r="AQ209" s="321" t="str">
        <f t="shared" si="55"/>
        <v>917</v>
      </c>
      <c r="AR209" s="321">
        <f>IF(Instructions!$E$11=8,IF($D209=Instructions!$F$51,AR208+1,AR208),IF(Instructions!$E$11=10,IF($H209=Instructions!$F$51,AR208+1,AR208),IF(Instructions!$E$11=12,IF($L209=Instructions!$F$51,AR208+1,AR208),IF(Instructions!$E$11=14,IF($P209=Instructions!$F$51,AR208+1,AR208),IF(Instructions!$E$11=16,IF($T209=Instructions!$F$51,AR208+1,AR208))))))</f>
        <v>18</v>
      </c>
      <c r="AS209" s="321" t="str">
        <f t="shared" si="57"/>
        <v>1018</v>
      </c>
      <c r="AT209" s="321">
        <f>IF(Instructions!$E$11=8,IF($D209=Instructions!$F$52,AT208+1,AT208),IF(Instructions!$E$11=10,IF($H209=Instructions!$F$52,AT208+1,AT208),IF(Instructions!$E$11=12,IF($L209=Instructions!$F$52,AT208+1,AT208),IF(Instructions!$E$11=14,IF($P209=Instructions!$F$52,AT208+1,AT208),IF(Instructions!$E$11=16,IF($T209=Instructions!$F$52,AT208+1,AT208))))))</f>
        <v>18</v>
      </c>
      <c r="AU209" s="321" t="str">
        <f t="shared" si="58"/>
        <v>1118</v>
      </c>
      <c r="AV209" s="321">
        <f>IF(Instructions!$E$11=8,IF($D209=Instructions!$F$53,AV208+1,AV208),IF(Instructions!$E$11=10,IF($H209=Instructions!$F$53,AV208+1,AV208),IF(Instructions!$E$11=12,IF($L209=Instructions!$F$53,AV208+1,AV208),IF(Instructions!$E$11=14,IF($P209=Instructions!$F$53,AV208+1,AV208),IF(Instructions!$E$11=16,IF($T209=Instructions!$F$53,AV208+1,AV208))))))</f>
        <v>18</v>
      </c>
      <c r="AW209" s="321" t="str">
        <f t="shared" si="59"/>
        <v>1218</v>
      </c>
      <c r="AX209" s="321">
        <f>IF(Instructions!$E$11=8,IF($D209=Instructions!$F$54,AX208+1,AX208),IF(Instructions!$E$11=10,IF($H209=Instructions!$F$54,AX208+1,AX208),IF(Instructions!$E$11=12,IF($L209=Instructions!$F$54,AX208+1,AX208),IF(Instructions!$E$11=14,IF($P209=Instructions!$F$54,AX208+1,AX208),IF(Instructions!$E$11=16,IF($T209=Instructions!$F$54,AX208+1,AX208))))))</f>
        <v>0</v>
      </c>
      <c r="AY209" s="321" t="str">
        <f t="shared" si="60"/>
        <v>1300</v>
      </c>
      <c r="AZ209" s="321">
        <f>IF(Instructions!$E$11=8,IF($D209=Instructions!$F$55,AZ208+1,AZ208),IF(Instructions!$E$11=10,IF($H209=Instructions!$F$55,AZ208+1,AZ208),IF(Instructions!$E$11=12,IF($L209=Instructions!$F$55,AZ208+1,AZ208),IF(Instructions!$E$11=14,IF($P209=Instructions!$F$55,AZ208+1,AZ208),IF(Instructions!$E$11=16,IF($T209=Instructions!$F$55,AZ208+1,AZ208))))))</f>
        <v>0</v>
      </c>
      <c r="BA209" s="321" t="str">
        <f t="shared" si="61"/>
        <v>1400</v>
      </c>
      <c r="BB209" s="321">
        <f>IF(Instructions!$E$11=8,IF($D209=Instructions!$F$56,BB208+1,BB208),IF(Instructions!$E$11=10,IF($H209=Instructions!$F$56,BB208+1,BB208),IF(Instructions!$E$11=12,IF($L209=Instructions!$F$56,BB208+1,BB208),IF(Instructions!$E$11=14,IF($P209=Instructions!$F$56,BB208+1,BB208),IF(Instructions!$E$11=16,IF($T209=Instructions!$F$56,BB208+1,BB208))))))</f>
        <v>0</v>
      </c>
      <c r="BC209" s="321" t="str">
        <f t="shared" si="62"/>
        <v>1500</v>
      </c>
      <c r="BD209" s="321">
        <f>IF(Instructions!$E$11=8,IF($D209=Instructions!$F$57,BD208+1,BD208),IF(Instructions!$E$11=10,IF($H209=Instructions!$F$57,BD208+1,BD208),IF(Instructions!$E$11=12,IF($L209=Instructions!$F$57,BD208+1,BD208),IF(Instructions!$E$11=14,IF($P209=Instructions!$F$57,BD208+1,BD208),IF(Instructions!$E$11=16,IF($T209=Instructions!$F$57,BD208+1,BD208))))))</f>
        <v>0</v>
      </c>
      <c r="BE209" s="321" t="str">
        <f t="shared" si="63"/>
        <v>1600</v>
      </c>
      <c r="BF209" s="321">
        <v>207</v>
      </c>
    </row>
    <row r="210" spans="1:58" ht="15.75" thickBot="1" x14ac:dyDescent="0.3">
      <c r="A210" s="280"/>
      <c r="B210" s="323" t="str">
        <f>IF(Instructions!$J$11=1,AA210,IF(Instructions!$J$11=2,AC210,IF(Instructions!$J$11=3,AE210,IF(Instructions!$J$11=4,AG210,IF(Instructions!$J$11=5,AI210,IF(Instructions!$J$11=6,AK210,IF(Instructions!$J$11=7,AM210,IF(Instructions!$J$11=8,AO210,IF(Instructions!$J$11=9,AQ210,IF(Instructions!$J$11=10,AS210,IF(Instructions!$J$11=11,AU210,IF(Instructions!$J$11=12,AW210,IF(Instructions!$J$11=13, AY210, IF(Instructions!$J$11=14,BA210,IF(Instructions!$J$11=15,BC210,BE210)))))))))))))))</f>
        <v>217</v>
      </c>
      <c r="C210" s="272">
        <v>208</v>
      </c>
      <c r="D210" s="281"/>
      <c r="E210" s="282"/>
      <c r="F210" s="281"/>
      <c r="G210" s="279"/>
      <c r="H210" s="294" t="str">
        <f>Instructions!F$49</f>
        <v>Luke</v>
      </c>
      <c r="I210" s="274" t="s">
        <v>1503</v>
      </c>
      <c r="J210" s="709"/>
      <c r="K210" s="279">
        <v>21</v>
      </c>
      <c r="L210" s="294" t="str">
        <f>Instructions!F$50</f>
        <v>Dan</v>
      </c>
      <c r="M210" s="274" t="s">
        <v>1475</v>
      </c>
      <c r="N210" s="709"/>
      <c r="O210" s="279">
        <v>18</v>
      </c>
      <c r="P210" s="294" t="str">
        <f>Instructions!F$53</f>
        <v>Zack</v>
      </c>
      <c r="Q210" s="274" t="s">
        <v>886</v>
      </c>
      <c r="R210" s="709"/>
      <c r="S210" s="279">
        <v>15</v>
      </c>
      <c r="T210" s="329" t="str">
        <f>Instructions!F$57</f>
        <v>[TEAM 16]</v>
      </c>
      <c r="U210" s="330" t="s">
        <v>1589</v>
      </c>
      <c r="V210" s="707"/>
      <c r="W210" s="279">
        <v>13</v>
      </c>
      <c r="X210" s="280"/>
      <c r="Y210" s="190" t="str">
        <f>IFERROR( IF(Instructions!$E$11=8, D210&amp;COUNTIF(D$3:D210,D210), IF(Instructions!$E$11=10, H210&amp;COUNTIF(H$3:H210,H210),IF(Instructions!$E$11=12, L210&amp;COUNTIF(L$3:L210,L210),IF(Instructions!$E$11=14, P210&amp;COUNTIF(P$3:P210,P210),T210&amp;COUNTIF(T$3:T210,T210))))),"")</f>
        <v>Dan18</v>
      </c>
      <c r="Z210" s="321">
        <f>IF(Instructions!$E$11=8,IF($D210=Instructions!$F$42,Z209+1,Z209),IF(Instructions!$E$11=10,IF($H210=Instructions!$F$42,Z209+1,Z209),IF(Instructions!$E$11=12,IF($L210=Instructions!$F$42,Z209+1,Z209),IF(Instructions!$E$11=14,IF($P210=Instructions!$F$42,Z209+1,Z209),IF(Instructions!$E$11=16,IF($T210=Instructions!$F$42,Z209+1,Z209))))))</f>
        <v>17</v>
      </c>
      <c r="AA210" s="321" t="str">
        <f t="shared" si="56"/>
        <v>117</v>
      </c>
      <c r="AB210" s="321">
        <f>IF(Instructions!$E$11=8,IF($D210=Instructions!$F$43,AB209+1,AB209),IF(Instructions!$E$11=10,IF($H210=Instructions!$F$43,AB209+1,AB209),IF(Instructions!$E$11=12,IF($L210=Instructions!$F$43,AB209+1,AB209),IF(Instructions!$E$11=14,IF($P210=Instructions!$F$43,AB209+1,AB209),IF(Instructions!$E$11=16,IF($T210=Instructions!$F$43,AB209+1,AB209))))))</f>
        <v>17</v>
      </c>
      <c r="AC210" s="321" t="str">
        <f t="shared" si="48"/>
        <v>217</v>
      </c>
      <c r="AD210" s="321">
        <f>IF(Instructions!$E$11=8,IF($D210=Instructions!$F$44,AD209+1,AD209),IF(Instructions!$E$11=10,IF($H210=Instructions!$F$44,AD209+1,AD209),IF(Instructions!$E$11=12,IF($L210=Instructions!$F$44,AD209+1,AD209),IF(Instructions!$E$11=14,IF($P210=Instructions!$F$44,AD209+1,AD209),IF(Instructions!$E$11=16,IF($T210=Instructions!$F$44,AD209+1,AD209))))))</f>
        <v>17</v>
      </c>
      <c r="AE210" s="321" t="str">
        <f t="shared" si="49"/>
        <v>317</v>
      </c>
      <c r="AF210" s="321">
        <f>IF(Instructions!$E$11=8,IF($D210=Instructions!$F$45,AF209+1,AF209),IF(Instructions!$E$11=10,IF($H210=Instructions!$F$45,AF209+1,AF209),IF(Instructions!$E$11=12,IF($L210=Instructions!$F$45,AF209+1,AF209),IF(Instructions!$E$11=14,IF($P210=Instructions!$F$45,AF209+1,AF209),IF(Instructions!$E$11=16,IF($T210=Instructions!$F$45,AF209+1,AF209))))))</f>
        <v>17</v>
      </c>
      <c r="AG210" s="321" t="str">
        <f t="shared" si="50"/>
        <v>417</v>
      </c>
      <c r="AH210" s="321">
        <f>IF(Instructions!$E$11=8,IF($D210=Instructions!$F$46,AH209+1,AH209),IF(Instructions!$E$11=10,IF($H210=Instructions!$F$46,AH209+1,AH209),IF(Instructions!$E$11=12,IF($L210=Instructions!$F$46,AH209+1,AH209),IF(Instructions!$E$11=14,IF($P210=Instructions!$F$46,AH209+1,AH209),IF(Instructions!$E$11=16,IF($T210=Instructions!$F$46,AH209+1,AH209))))))</f>
        <v>17</v>
      </c>
      <c r="AI210" s="321" t="str">
        <f t="shared" si="51"/>
        <v>517</v>
      </c>
      <c r="AJ210" s="321">
        <f>IF(Instructions!$E$11=8,IF($D210=Instructions!$F$47,AJ209+1,AJ209),IF(Instructions!$E$11=10,IF($H210=Instructions!$F$47,AJ209+1,AJ209),IF(Instructions!$E$11=12,IF($L210=Instructions!$F$47,AJ209+1,AJ209),IF(Instructions!$E$11=14,IF($P210=Instructions!$F$47,AJ209+1,AJ209),IF(Instructions!$E$11=16,IF($T210=Instructions!$F$47,AJ209+1,AJ209))))))</f>
        <v>17</v>
      </c>
      <c r="AK210" s="321" t="str">
        <f t="shared" si="52"/>
        <v>617</v>
      </c>
      <c r="AL210" s="321">
        <f>IF(Instructions!$E$11=8,IF($D210=Instructions!$F$48,AL209+1,AL209),IF(Instructions!$E$11=10,IF($H210=Instructions!$F$48,AL209+1,AL209),IF(Instructions!$E$11=12,IF($L210=Instructions!$F$48,AL209+1,AL209),IF(Instructions!$E$11=14,IF($P210=Instructions!$F$48,AL209+1,AL209),IF(Instructions!$E$11=16,IF($T210=Instructions!$F$48,AL209+1,AL209))))))</f>
        <v>17</v>
      </c>
      <c r="AM210" s="321" t="str">
        <f t="shared" si="53"/>
        <v>717</v>
      </c>
      <c r="AN210" s="321">
        <f>IF(Instructions!$E$11=8,IF($D210=Instructions!$F$49,AN209+1,AN209),IF(Instructions!$E$11=10,IF($H210=Instructions!$F$49,AN209+1,AN209),IF(Instructions!$E$11=12,IF($L210=Instructions!$F$49,AN209+1,AN209),IF(Instructions!$E$11=14,IF($P210=Instructions!$F$49,AN209+1,AN209),IF(Instructions!$E$11=16,IF($T210=Instructions!$F$49,AN209+1,AN209))))))</f>
        <v>17</v>
      </c>
      <c r="AO210" s="321" t="str">
        <f t="shared" si="54"/>
        <v>817</v>
      </c>
      <c r="AP210" s="321">
        <f>IF(Instructions!$E$11=8,IF($D210=Instructions!$F$50,AP209+1,AP209),IF(Instructions!$E$11=10,IF($H210=Instructions!$F$50,AP209+1,AP209),IF(Instructions!$E$11=12,IF($L210=Instructions!$F$50,AP209+1,AP209),IF(Instructions!$E$11=14,IF($P210=Instructions!$F$50,AP209+1,AP209),IF(Instructions!$E$11=16,IF($T210=Instructions!$F$50,AP209+1,AP209))))))</f>
        <v>18</v>
      </c>
      <c r="AQ210" s="321" t="str">
        <f t="shared" si="55"/>
        <v>918</v>
      </c>
      <c r="AR210" s="321">
        <f>IF(Instructions!$E$11=8,IF($D210=Instructions!$F$51,AR209+1,AR209),IF(Instructions!$E$11=10,IF($H210=Instructions!$F$51,AR209+1,AR209),IF(Instructions!$E$11=12,IF($L210=Instructions!$F$51,AR209+1,AR209),IF(Instructions!$E$11=14,IF($P210=Instructions!$F$51,AR209+1,AR209),IF(Instructions!$E$11=16,IF($T210=Instructions!$F$51,AR209+1,AR209))))))</f>
        <v>18</v>
      </c>
      <c r="AS210" s="321" t="str">
        <f t="shared" si="57"/>
        <v>1018</v>
      </c>
      <c r="AT210" s="321">
        <f>IF(Instructions!$E$11=8,IF($D210=Instructions!$F$52,AT209+1,AT209),IF(Instructions!$E$11=10,IF($H210=Instructions!$F$52,AT209+1,AT209),IF(Instructions!$E$11=12,IF($L210=Instructions!$F$52,AT209+1,AT209),IF(Instructions!$E$11=14,IF($P210=Instructions!$F$52,AT209+1,AT209),IF(Instructions!$E$11=16,IF($T210=Instructions!$F$52,AT209+1,AT209))))))</f>
        <v>18</v>
      </c>
      <c r="AU210" s="321" t="str">
        <f t="shared" si="58"/>
        <v>1118</v>
      </c>
      <c r="AV210" s="321">
        <f>IF(Instructions!$E$11=8,IF($D210=Instructions!$F$53,AV209+1,AV209),IF(Instructions!$E$11=10,IF($H210=Instructions!$F$53,AV209+1,AV209),IF(Instructions!$E$11=12,IF($L210=Instructions!$F$53,AV209+1,AV209),IF(Instructions!$E$11=14,IF($P210=Instructions!$F$53,AV209+1,AV209),IF(Instructions!$E$11=16,IF($T210=Instructions!$F$53,AV209+1,AV209))))))</f>
        <v>18</v>
      </c>
      <c r="AW210" s="321" t="str">
        <f t="shared" si="59"/>
        <v>1218</v>
      </c>
      <c r="AX210" s="321">
        <f>IF(Instructions!$E$11=8,IF($D210=Instructions!$F$54,AX209+1,AX209),IF(Instructions!$E$11=10,IF($H210=Instructions!$F$54,AX209+1,AX209),IF(Instructions!$E$11=12,IF($L210=Instructions!$F$54,AX209+1,AX209),IF(Instructions!$E$11=14,IF($P210=Instructions!$F$54,AX209+1,AX209),IF(Instructions!$E$11=16,IF($T210=Instructions!$F$54,AX209+1,AX209))))))</f>
        <v>0</v>
      </c>
      <c r="AY210" s="321" t="str">
        <f t="shared" si="60"/>
        <v>1300</v>
      </c>
      <c r="AZ210" s="321">
        <f>IF(Instructions!$E$11=8,IF($D210=Instructions!$F$55,AZ209+1,AZ209),IF(Instructions!$E$11=10,IF($H210=Instructions!$F$55,AZ209+1,AZ209),IF(Instructions!$E$11=12,IF($L210=Instructions!$F$55,AZ209+1,AZ209),IF(Instructions!$E$11=14,IF($P210=Instructions!$F$55,AZ209+1,AZ209),IF(Instructions!$E$11=16,IF($T210=Instructions!$F$55,AZ209+1,AZ209))))))</f>
        <v>0</v>
      </c>
      <c r="BA210" s="321" t="str">
        <f t="shared" si="61"/>
        <v>1400</v>
      </c>
      <c r="BB210" s="321">
        <f>IF(Instructions!$E$11=8,IF($D210=Instructions!$F$56,BB209+1,BB209),IF(Instructions!$E$11=10,IF($H210=Instructions!$F$56,BB209+1,BB209),IF(Instructions!$E$11=12,IF($L210=Instructions!$F$56,BB209+1,BB209),IF(Instructions!$E$11=14,IF($P210=Instructions!$F$56,BB209+1,BB209),IF(Instructions!$E$11=16,IF($T210=Instructions!$F$56,BB209+1,BB209))))))</f>
        <v>0</v>
      </c>
      <c r="BC210" s="321" t="str">
        <f t="shared" si="62"/>
        <v>1500</v>
      </c>
      <c r="BD210" s="321">
        <f>IF(Instructions!$E$11=8,IF($D210=Instructions!$F$57,BD209+1,BD209),IF(Instructions!$E$11=10,IF($H210=Instructions!$F$57,BD209+1,BD209),IF(Instructions!$E$11=12,IF($L210=Instructions!$F$57,BD209+1,BD209),IF(Instructions!$E$11=14,IF($P210=Instructions!$F$57,BD209+1,BD209),IF(Instructions!$E$11=16,IF($T210=Instructions!$F$57,BD209+1,BD209))))))</f>
        <v>0</v>
      </c>
      <c r="BE210" s="321" t="str">
        <f t="shared" si="63"/>
        <v>1600</v>
      </c>
      <c r="BF210" s="321">
        <v>208</v>
      </c>
    </row>
    <row r="211" spans="1:58" x14ac:dyDescent="0.25">
      <c r="A211" s="280"/>
      <c r="B211" s="323" t="str">
        <f>IF(Instructions!$J$11=1,AA211,IF(Instructions!$J$11=2,AC211,IF(Instructions!$J$11=3,AE211,IF(Instructions!$J$11=4,AG211,IF(Instructions!$J$11=5,AI211,IF(Instructions!$J$11=6,AK211,IF(Instructions!$J$11=7,AM211,IF(Instructions!$J$11=8,AO211,IF(Instructions!$J$11=9,AQ211,IF(Instructions!$J$11=10,AS211,IF(Instructions!$J$11=11,AU211,IF(Instructions!$J$11=12,AW211,IF(Instructions!$J$11=13, AY211, IF(Instructions!$J$11=14,BA211,IF(Instructions!$J$11=15,BC211,BE211)))))))))))))))</f>
        <v>217</v>
      </c>
      <c r="C211" s="271">
        <v>209</v>
      </c>
      <c r="D211" s="281"/>
      <c r="E211" s="282"/>
      <c r="F211" s="281"/>
      <c r="G211" s="279"/>
      <c r="H211" s="293" t="str">
        <f>Instructions!F$50</f>
        <v>Dan</v>
      </c>
      <c r="I211" s="273" t="s">
        <v>1544</v>
      </c>
      <c r="J211" s="709"/>
      <c r="K211" s="279">
        <v>21</v>
      </c>
      <c r="L211" s="293" t="str">
        <f>Instructions!F$49</f>
        <v>Luke</v>
      </c>
      <c r="M211" s="273" t="s">
        <v>1476</v>
      </c>
      <c r="N211" s="709"/>
      <c r="O211" s="279">
        <v>18</v>
      </c>
      <c r="P211" s="293" t="str">
        <f>Instructions!F$54</f>
        <v>[TEAM 13]</v>
      </c>
      <c r="Q211" s="273" t="s">
        <v>956</v>
      </c>
      <c r="R211" s="709"/>
      <c r="S211" s="279">
        <v>15</v>
      </c>
      <c r="T211" s="325" t="str">
        <f>Instructions!F$57</f>
        <v>[TEAM 16]</v>
      </c>
      <c r="U211" s="326" t="s">
        <v>863</v>
      </c>
      <c r="V211" s="705" t="s">
        <v>909</v>
      </c>
      <c r="W211" s="279">
        <v>14</v>
      </c>
      <c r="X211" s="280"/>
      <c r="Y211" s="190" t="str">
        <f>IFERROR( IF(Instructions!$E$11=8, D211&amp;COUNTIF(D$3:D211,D211), IF(Instructions!$E$11=10, H211&amp;COUNTIF(H$3:H211,H211),IF(Instructions!$E$11=12, L211&amp;COUNTIF(L$3:L211,L211),IF(Instructions!$E$11=14, P211&amp;COUNTIF(P$3:P211,P211),T211&amp;COUNTIF(T$3:T211,T211))))),"")</f>
        <v>Luke18</v>
      </c>
      <c r="Z211" s="321">
        <f>IF(Instructions!$E$11=8,IF($D211=Instructions!$F$42,Z210+1,Z210),IF(Instructions!$E$11=10,IF($H211=Instructions!$F$42,Z210+1,Z210),IF(Instructions!$E$11=12,IF($L211=Instructions!$F$42,Z210+1,Z210),IF(Instructions!$E$11=14,IF($P211=Instructions!$F$42,Z210+1,Z210),IF(Instructions!$E$11=16,IF($T211=Instructions!$F$42,Z210+1,Z210))))))</f>
        <v>17</v>
      </c>
      <c r="AA211" s="321" t="str">
        <f t="shared" si="56"/>
        <v>117</v>
      </c>
      <c r="AB211" s="321">
        <f>IF(Instructions!$E$11=8,IF($D211=Instructions!$F$43,AB210+1,AB210),IF(Instructions!$E$11=10,IF($H211=Instructions!$F$43,AB210+1,AB210),IF(Instructions!$E$11=12,IF($L211=Instructions!$F$43,AB210+1,AB210),IF(Instructions!$E$11=14,IF($P211=Instructions!$F$43,AB210+1,AB210),IF(Instructions!$E$11=16,IF($T211=Instructions!$F$43,AB210+1,AB210))))))</f>
        <v>17</v>
      </c>
      <c r="AC211" s="321" t="str">
        <f t="shared" si="48"/>
        <v>217</v>
      </c>
      <c r="AD211" s="321">
        <f>IF(Instructions!$E$11=8,IF($D211=Instructions!$F$44,AD210+1,AD210),IF(Instructions!$E$11=10,IF($H211=Instructions!$F$44,AD210+1,AD210),IF(Instructions!$E$11=12,IF($L211=Instructions!$F$44,AD210+1,AD210),IF(Instructions!$E$11=14,IF($P211=Instructions!$F$44,AD210+1,AD210),IF(Instructions!$E$11=16,IF($T211=Instructions!$F$44,AD210+1,AD210))))))</f>
        <v>17</v>
      </c>
      <c r="AE211" s="321" t="str">
        <f t="shared" si="49"/>
        <v>317</v>
      </c>
      <c r="AF211" s="321">
        <f>IF(Instructions!$E$11=8,IF($D211=Instructions!$F$45,AF210+1,AF210),IF(Instructions!$E$11=10,IF($H211=Instructions!$F$45,AF210+1,AF210),IF(Instructions!$E$11=12,IF($L211=Instructions!$F$45,AF210+1,AF210),IF(Instructions!$E$11=14,IF($P211=Instructions!$F$45,AF210+1,AF210),IF(Instructions!$E$11=16,IF($T211=Instructions!$F$45,AF210+1,AF210))))))</f>
        <v>17</v>
      </c>
      <c r="AG211" s="321" t="str">
        <f t="shared" si="50"/>
        <v>417</v>
      </c>
      <c r="AH211" s="321">
        <f>IF(Instructions!$E$11=8,IF($D211=Instructions!$F$46,AH210+1,AH210),IF(Instructions!$E$11=10,IF($H211=Instructions!$F$46,AH210+1,AH210),IF(Instructions!$E$11=12,IF($L211=Instructions!$F$46,AH210+1,AH210),IF(Instructions!$E$11=14,IF($P211=Instructions!$F$46,AH210+1,AH210),IF(Instructions!$E$11=16,IF($T211=Instructions!$F$46,AH210+1,AH210))))))</f>
        <v>17</v>
      </c>
      <c r="AI211" s="321" t="str">
        <f t="shared" si="51"/>
        <v>517</v>
      </c>
      <c r="AJ211" s="321">
        <f>IF(Instructions!$E$11=8,IF($D211=Instructions!$F$47,AJ210+1,AJ210),IF(Instructions!$E$11=10,IF($H211=Instructions!$F$47,AJ210+1,AJ210),IF(Instructions!$E$11=12,IF($L211=Instructions!$F$47,AJ210+1,AJ210),IF(Instructions!$E$11=14,IF($P211=Instructions!$F$47,AJ210+1,AJ210),IF(Instructions!$E$11=16,IF($T211=Instructions!$F$47,AJ210+1,AJ210))))))</f>
        <v>17</v>
      </c>
      <c r="AK211" s="321" t="str">
        <f t="shared" si="52"/>
        <v>617</v>
      </c>
      <c r="AL211" s="321">
        <f>IF(Instructions!$E$11=8,IF($D211=Instructions!$F$48,AL210+1,AL210),IF(Instructions!$E$11=10,IF($H211=Instructions!$F$48,AL210+1,AL210),IF(Instructions!$E$11=12,IF($L211=Instructions!$F$48,AL210+1,AL210),IF(Instructions!$E$11=14,IF($P211=Instructions!$F$48,AL210+1,AL210),IF(Instructions!$E$11=16,IF($T211=Instructions!$F$48,AL210+1,AL210))))))</f>
        <v>17</v>
      </c>
      <c r="AM211" s="321" t="str">
        <f t="shared" si="53"/>
        <v>717</v>
      </c>
      <c r="AN211" s="321">
        <f>IF(Instructions!$E$11=8,IF($D211=Instructions!$F$49,AN210+1,AN210),IF(Instructions!$E$11=10,IF($H211=Instructions!$F$49,AN210+1,AN210),IF(Instructions!$E$11=12,IF($L211=Instructions!$F$49,AN210+1,AN210),IF(Instructions!$E$11=14,IF($P211=Instructions!$F$49,AN210+1,AN210),IF(Instructions!$E$11=16,IF($T211=Instructions!$F$49,AN210+1,AN210))))))</f>
        <v>18</v>
      </c>
      <c r="AO211" s="321" t="str">
        <f t="shared" si="54"/>
        <v>818</v>
      </c>
      <c r="AP211" s="321">
        <f>IF(Instructions!$E$11=8,IF($D211=Instructions!$F$50,AP210+1,AP210),IF(Instructions!$E$11=10,IF($H211=Instructions!$F$50,AP210+1,AP210),IF(Instructions!$E$11=12,IF($L211=Instructions!$F$50,AP210+1,AP210),IF(Instructions!$E$11=14,IF($P211=Instructions!$F$50,AP210+1,AP210),IF(Instructions!$E$11=16,IF($T211=Instructions!$F$50,AP210+1,AP210))))))</f>
        <v>18</v>
      </c>
      <c r="AQ211" s="321" t="str">
        <f t="shared" si="55"/>
        <v>918</v>
      </c>
      <c r="AR211" s="321">
        <f>IF(Instructions!$E$11=8,IF($D211=Instructions!$F$51,AR210+1,AR210),IF(Instructions!$E$11=10,IF($H211=Instructions!$F$51,AR210+1,AR210),IF(Instructions!$E$11=12,IF($L211=Instructions!$F$51,AR210+1,AR210),IF(Instructions!$E$11=14,IF($P211=Instructions!$F$51,AR210+1,AR210),IF(Instructions!$E$11=16,IF($T211=Instructions!$F$51,AR210+1,AR210))))))</f>
        <v>18</v>
      </c>
      <c r="AS211" s="321" t="str">
        <f t="shared" si="57"/>
        <v>1018</v>
      </c>
      <c r="AT211" s="321">
        <f>IF(Instructions!$E$11=8,IF($D211=Instructions!$F$52,AT210+1,AT210),IF(Instructions!$E$11=10,IF($H211=Instructions!$F$52,AT210+1,AT210),IF(Instructions!$E$11=12,IF($L211=Instructions!$F$52,AT210+1,AT210),IF(Instructions!$E$11=14,IF($P211=Instructions!$F$52,AT210+1,AT210),IF(Instructions!$E$11=16,IF($T211=Instructions!$F$52,AT210+1,AT210))))))</f>
        <v>18</v>
      </c>
      <c r="AU211" s="321" t="str">
        <f t="shared" si="58"/>
        <v>1118</v>
      </c>
      <c r="AV211" s="321">
        <f>IF(Instructions!$E$11=8,IF($D211=Instructions!$F$53,AV210+1,AV210),IF(Instructions!$E$11=10,IF($H211=Instructions!$F$53,AV210+1,AV210),IF(Instructions!$E$11=12,IF($L211=Instructions!$F$53,AV210+1,AV210),IF(Instructions!$E$11=14,IF($P211=Instructions!$F$53,AV210+1,AV210),IF(Instructions!$E$11=16,IF($T211=Instructions!$F$53,AV210+1,AV210))))))</f>
        <v>18</v>
      </c>
      <c r="AW211" s="321" t="str">
        <f t="shared" si="59"/>
        <v>1218</v>
      </c>
      <c r="AX211" s="321">
        <f>IF(Instructions!$E$11=8,IF($D211=Instructions!$F$54,AX210+1,AX210),IF(Instructions!$E$11=10,IF($H211=Instructions!$F$54,AX210+1,AX210),IF(Instructions!$E$11=12,IF($L211=Instructions!$F$54,AX210+1,AX210),IF(Instructions!$E$11=14,IF($P211=Instructions!$F$54,AX210+1,AX210),IF(Instructions!$E$11=16,IF($T211=Instructions!$F$54,AX210+1,AX210))))))</f>
        <v>0</v>
      </c>
      <c r="AY211" s="321" t="str">
        <f t="shared" si="60"/>
        <v>1300</v>
      </c>
      <c r="AZ211" s="321">
        <f>IF(Instructions!$E$11=8,IF($D211=Instructions!$F$55,AZ210+1,AZ210),IF(Instructions!$E$11=10,IF($H211=Instructions!$F$55,AZ210+1,AZ210),IF(Instructions!$E$11=12,IF($L211=Instructions!$F$55,AZ210+1,AZ210),IF(Instructions!$E$11=14,IF($P211=Instructions!$F$55,AZ210+1,AZ210),IF(Instructions!$E$11=16,IF($T211=Instructions!$F$55,AZ210+1,AZ210))))))</f>
        <v>0</v>
      </c>
      <c r="BA211" s="321" t="str">
        <f t="shared" si="61"/>
        <v>1400</v>
      </c>
      <c r="BB211" s="321">
        <f>IF(Instructions!$E$11=8,IF($D211=Instructions!$F$56,BB210+1,BB210),IF(Instructions!$E$11=10,IF($H211=Instructions!$F$56,BB210+1,BB210),IF(Instructions!$E$11=12,IF($L211=Instructions!$F$56,BB210+1,BB210),IF(Instructions!$E$11=14,IF($P211=Instructions!$F$56,BB210+1,BB210),IF(Instructions!$E$11=16,IF($T211=Instructions!$F$56,BB210+1,BB210))))))</f>
        <v>0</v>
      </c>
      <c r="BC211" s="321" t="str">
        <f t="shared" si="62"/>
        <v>1500</v>
      </c>
      <c r="BD211" s="321">
        <f>IF(Instructions!$E$11=8,IF($D211=Instructions!$F$57,BD210+1,BD210),IF(Instructions!$E$11=10,IF($H211=Instructions!$F$57,BD210+1,BD210),IF(Instructions!$E$11=12,IF($L211=Instructions!$F$57,BD210+1,BD210),IF(Instructions!$E$11=14,IF($P211=Instructions!$F$57,BD210+1,BD210),IF(Instructions!$E$11=16,IF($T211=Instructions!$F$57,BD210+1,BD210))))))</f>
        <v>0</v>
      </c>
      <c r="BE211" s="321" t="str">
        <f t="shared" si="63"/>
        <v>1600</v>
      </c>
      <c r="BF211" s="321">
        <v>209</v>
      </c>
    </row>
    <row r="212" spans="1:58" ht="15.75" thickBot="1" x14ac:dyDescent="0.3">
      <c r="A212" s="280"/>
      <c r="B212" s="323" t="str">
        <f>IF(Instructions!$J$11=1,AA212,IF(Instructions!$J$11=2,AC212,IF(Instructions!$J$11=3,AE212,IF(Instructions!$J$11=4,AG212,IF(Instructions!$J$11=5,AI212,IF(Instructions!$J$11=6,AK212,IF(Instructions!$J$11=7,AM212,IF(Instructions!$J$11=8,AO212,IF(Instructions!$J$11=9,AQ212,IF(Instructions!$J$11=10,AS212,IF(Instructions!$J$11=11,AU212,IF(Instructions!$J$11=12,AW212,IF(Instructions!$J$11=13, AY212, IF(Instructions!$J$11=14,BA212,IF(Instructions!$J$11=15,BC212,BE212)))))))))))))))</f>
        <v>217</v>
      </c>
      <c r="C212" s="272">
        <v>210</v>
      </c>
      <c r="D212" s="281"/>
      <c r="E212" s="282"/>
      <c r="F212" s="281"/>
      <c r="G212" s="279"/>
      <c r="H212" s="295" t="str">
        <f>Instructions!F$51</f>
        <v>Josh</v>
      </c>
      <c r="I212" s="277" t="s">
        <v>1545</v>
      </c>
      <c r="J212" s="710"/>
      <c r="K212" s="279">
        <v>21</v>
      </c>
      <c r="L212" s="294" t="str">
        <f>Instructions!F$48</f>
        <v>Bui</v>
      </c>
      <c r="M212" s="274" t="s">
        <v>1477</v>
      </c>
      <c r="N212" s="709"/>
      <c r="O212" s="279">
        <v>18</v>
      </c>
      <c r="P212" s="295" t="str">
        <f>Instructions!F$55</f>
        <v>[TEAM 14]</v>
      </c>
      <c r="Q212" s="277" t="s">
        <v>957</v>
      </c>
      <c r="R212" s="710"/>
      <c r="S212" s="279">
        <v>15</v>
      </c>
      <c r="T212" s="327" t="str">
        <f>Instructions!F$56</f>
        <v>[TEAM 15]</v>
      </c>
      <c r="U212" s="274" t="s">
        <v>864</v>
      </c>
      <c r="V212" s="706"/>
      <c r="W212" s="279">
        <v>14</v>
      </c>
      <c r="X212" s="280"/>
      <c r="Y212" s="190" t="str">
        <f>IFERROR( IF(Instructions!$E$11=8, D212&amp;COUNTIF(D$3:D212,D212), IF(Instructions!$E$11=10, H212&amp;COUNTIF(H$3:H212,H212),IF(Instructions!$E$11=12, L212&amp;COUNTIF(L$3:L212,L212),IF(Instructions!$E$11=14, P212&amp;COUNTIF(P$3:P212,P212),T212&amp;COUNTIF(T$3:T212,T212))))),"")</f>
        <v>Bui18</v>
      </c>
      <c r="Z212" s="321">
        <f>IF(Instructions!$E$11=8,IF($D212=Instructions!$F$42,Z211+1,Z211),IF(Instructions!$E$11=10,IF($H212=Instructions!$F$42,Z211+1,Z211),IF(Instructions!$E$11=12,IF($L212=Instructions!$F$42,Z211+1,Z211),IF(Instructions!$E$11=14,IF($P212=Instructions!$F$42,Z211+1,Z211),IF(Instructions!$E$11=16,IF($T212=Instructions!$F$42,Z211+1,Z211))))))</f>
        <v>17</v>
      </c>
      <c r="AA212" s="321" t="str">
        <f t="shared" si="56"/>
        <v>117</v>
      </c>
      <c r="AB212" s="321">
        <f>IF(Instructions!$E$11=8,IF($D212=Instructions!$F$43,AB211+1,AB211),IF(Instructions!$E$11=10,IF($H212=Instructions!$F$43,AB211+1,AB211),IF(Instructions!$E$11=12,IF($L212=Instructions!$F$43,AB211+1,AB211),IF(Instructions!$E$11=14,IF($P212=Instructions!$F$43,AB211+1,AB211),IF(Instructions!$E$11=16,IF($T212=Instructions!$F$43,AB211+1,AB211))))))</f>
        <v>17</v>
      </c>
      <c r="AC212" s="321" t="str">
        <f t="shared" si="48"/>
        <v>217</v>
      </c>
      <c r="AD212" s="321">
        <f>IF(Instructions!$E$11=8,IF($D212=Instructions!$F$44,AD211+1,AD211),IF(Instructions!$E$11=10,IF($H212=Instructions!$F$44,AD211+1,AD211),IF(Instructions!$E$11=12,IF($L212=Instructions!$F$44,AD211+1,AD211),IF(Instructions!$E$11=14,IF($P212=Instructions!$F$44,AD211+1,AD211),IF(Instructions!$E$11=16,IF($T212=Instructions!$F$44,AD211+1,AD211))))))</f>
        <v>17</v>
      </c>
      <c r="AE212" s="321" t="str">
        <f t="shared" si="49"/>
        <v>317</v>
      </c>
      <c r="AF212" s="321">
        <f>IF(Instructions!$E$11=8,IF($D212=Instructions!$F$45,AF211+1,AF211),IF(Instructions!$E$11=10,IF($H212=Instructions!$F$45,AF211+1,AF211),IF(Instructions!$E$11=12,IF($L212=Instructions!$F$45,AF211+1,AF211),IF(Instructions!$E$11=14,IF($P212=Instructions!$F$45,AF211+1,AF211),IF(Instructions!$E$11=16,IF($T212=Instructions!$F$45,AF211+1,AF211))))))</f>
        <v>17</v>
      </c>
      <c r="AG212" s="321" t="str">
        <f t="shared" si="50"/>
        <v>417</v>
      </c>
      <c r="AH212" s="321">
        <f>IF(Instructions!$E$11=8,IF($D212=Instructions!$F$46,AH211+1,AH211),IF(Instructions!$E$11=10,IF($H212=Instructions!$F$46,AH211+1,AH211),IF(Instructions!$E$11=12,IF($L212=Instructions!$F$46,AH211+1,AH211),IF(Instructions!$E$11=14,IF($P212=Instructions!$F$46,AH211+1,AH211),IF(Instructions!$E$11=16,IF($T212=Instructions!$F$46,AH211+1,AH211))))))</f>
        <v>17</v>
      </c>
      <c r="AI212" s="321" t="str">
        <f t="shared" si="51"/>
        <v>517</v>
      </c>
      <c r="AJ212" s="321">
        <f>IF(Instructions!$E$11=8,IF($D212=Instructions!$F$47,AJ211+1,AJ211),IF(Instructions!$E$11=10,IF($H212=Instructions!$F$47,AJ211+1,AJ211),IF(Instructions!$E$11=12,IF($L212=Instructions!$F$47,AJ211+1,AJ211),IF(Instructions!$E$11=14,IF($P212=Instructions!$F$47,AJ211+1,AJ211),IF(Instructions!$E$11=16,IF($T212=Instructions!$F$47,AJ211+1,AJ211))))))</f>
        <v>17</v>
      </c>
      <c r="AK212" s="321" t="str">
        <f t="shared" si="52"/>
        <v>617</v>
      </c>
      <c r="AL212" s="321">
        <f>IF(Instructions!$E$11=8,IF($D212=Instructions!$F$48,AL211+1,AL211),IF(Instructions!$E$11=10,IF($H212=Instructions!$F$48,AL211+1,AL211),IF(Instructions!$E$11=12,IF($L212=Instructions!$F$48,AL211+1,AL211),IF(Instructions!$E$11=14,IF($P212=Instructions!$F$48,AL211+1,AL211),IF(Instructions!$E$11=16,IF($T212=Instructions!$F$48,AL211+1,AL211))))))</f>
        <v>18</v>
      </c>
      <c r="AM212" s="321" t="str">
        <f t="shared" si="53"/>
        <v>718</v>
      </c>
      <c r="AN212" s="321">
        <f>IF(Instructions!$E$11=8,IF($D212=Instructions!$F$49,AN211+1,AN211),IF(Instructions!$E$11=10,IF($H212=Instructions!$F$49,AN211+1,AN211),IF(Instructions!$E$11=12,IF($L212=Instructions!$F$49,AN211+1,AN211),IF(Instructions!$E$11=14,IF($P212=Instructions!$F$49,AN211+1,AN211),IF(Instructions!$E$11=16,IF($T212=Instructions!$F$49,AN211+1,AN211))))))</f>
        <v>18</v>
      </c>
      <c r="AO212" s="321" t="str">
        <f t="shared" si="54"/>
        <v>818</v>
      </c>
      <c r="AP212" s="321">
        <f>IF(Instructions!$E$11=8,IF($D212=Instructions!$F$50,AP211+1,AP211),IF(Instructions!$E$11=10,IF($H212=Instructions!$F$50,AP211+1,AP211),IF(Instructions!$E$11=12,IF($L212=Instructions!$F$50,AP211+1,AP211),IF(Instructions!$E$11=14,IF($P212=Instructions!$F$50,AP211+1,AP211),IF(Instructions!$E$11=16,IF($T212=Instructions!$F$50,AP211+1,AP211))))))</f>
        <v>18</v>
      </c>
      <c r="AQ212" s="321" t="str">
        <f t="shared" si="55"/>
        <v>918</v>
      </c>
      <c r="AR212" s="321">
        <f>IF(Instructions!$E$11=8,IF($D212=Instructions!$F$51,AR211+1,AR211),IF(Instructions!$E$11=10,IF($H212=Instructions!$F$51,AR211+1,AR211),IF(Instructions!$E$11=12,IF($L212=Instructions!$F$51,AR211+1,AR211),IF(Instructions!$E$11=14,IF($P212=Instructions!$F$51,AR211+1,AR211),IF(Instructions!$E$11=16,IF($T212=Instructions!$F$51,AR211+1,AR211))))))</f>
        <v>18</v>
      </c>
      <c r="AS212" s="321" t="str">
        <f t="shared" si="57"/>
        <v>1018</v>
      </c>
      <c r="AT212" s="321">
        <f>IF(Instructions!$E$11=8,IF($D212=Instructions!$F$52,AT211+1,AT211),IF(Instructions!$E$11=10,IF($H212=Instructions!$F$52,AT211+1,AT211),IF(Instructions!$E$11=12,IF($L212=Instructions!$F$52,AT211+1,AT211),IF(Instructions!$E$11=14,IF($P212=Instructions!$F$52,AT211+1,AT211),IF(Instructions!$E$11=16,IF($T212=Instructions!$F$52,AT211+1,AT211))))))</f>
        <v>18</v>
      </c>
      <c r="AU212" s="321" t="str">
        <f t="shared" si="58"/>
        <v>1118</v>
      </c>
      <c r="AV212" s="321">
        <f>IF(Instructions!$E$11=8,IF($D212=Instructions!$F$53,AV211+1,AV211),IF(Instructions!$E$11=10,IF($H212=Instructions!$F$53,AV211+1,AV211),IF(Instructions!$E$11=12,IF($L212=Instructions!$F$53,AV211+1,AV211),IF(Instructions!$E$11=14,IF($P212=Instructions!$F$53,AV211+1,AV211),IF(Instructions!$E$11=16,IF($T212=Instructions!$F$53,AV211+1,AV211))))))</f>
        <v>18</v>
      </c>
      <c r="AW212" s="321" t="str">
        <f t="shared" si="59"/>
        <v>1218</v>
      </c>
      <c r="AX212" s="321">
        <f>IF(Instructions!$E$11=8,IF($D212=Instructions!$F$54,AX211+1,AX211),IF(Instructions!$E$11=10,IF($H212=Instructions!$F$54,AX211+1,AX211),IF(Instructions!$E$11=12,IF($L212=Instructions!$F$54,AX211+1,AX211),IF(Instructions!$E$11=14,IF($P212=Instructions!$F$54,AX211+1,AX211),IF(Instructions!$E$11=16,IF($T212=Instructions!$F$54,AX211+1,AX211))))))</f>
        <v>0</v>
      </c>
      <c r="AY212" s="321" t="str">
        <f t="shared" si="60"/>
        <v>1300</v>
      </c>
      <c r="AZ212" s="321">
        <f>IF(Instructions!$E$11=8,IF($D212=Instructions!$F$55,AZ211+1,AZ211),IF(Instructions!$E$11=10,IF($H212=Instructions!$F$55,AZ211+1,AZ211),IF(Instructions!$E$11=12,IF($L212=Instructions!$F$55,AZ211+1,AZ211),IF(Instructions!$E$11=14,IF($P212=Instructions!$F$55,AZ211+1,AZ211),IF(Instructions!$E$11=16,IF($T212=Instructions!$F$55,AZ211+1,AZ211))))))</f>
        <v>0</v>
      </c>
      <c r="BA212" s="321" t="str">
        <f t="shared" si="61"/>
        <v>1400</v>
      </c>
      <c r="BB212" s="321">
        <f>IF(Instructions!$E$11=8,IF($D212=Instructions!$F$56,BB211+1,BB211),IF(Instructions!$E$11=10,IF($H212=Instructions!$F$56,BB211+1,BB211),IF(Instructions!$E$11=12,IF($L212=Instructions!$F$56,BB211+1,BB211),IF(Instructions!$E$11=14,IF($P212=Instructions!$F$56,BB211+1,BB211),IF(Instructions!$E$11=16,IF($T212=Instructions!$F$56,BB211+1,BB211))))))</f>
        <v>0</v>
      </c>
      <c r="BC212" s="321" t="str">
        <f t="shared" si="62"/>
        <v>1500</v>
      </c>
      <c r="BD212" s="321">
        <f>IF(Instructions!$E$11=8,IF($D212=Instructions!$F$57,BD211+1,BD211),IF(Instructions!$E$11=10,IF($H212=Instructions!$F$57,BD211+1,BD211),IF(Instructions!$E$11=12,IF($L212=Instructions!$F$57,BD211+1,BD211),IF(Instructions!$E$11=14,IF($P212=Instructions!$F$57,BD211+1,BD211),IF(Instructions!$E$11=16,IF($T212=Instructions!$F$57,BD211+1,BD211))))))</f>
        <v>0</v>
      </c>
      <c r="BE212" s="321" t="str">
        <f t="shared" si="63"/>
        <v>1600</v>
      </c>
      <c r="BF212" s="321">
        <v>210</v>
      </c>
    </row>
    <row r="213" spans="1:58" ht="15" customHeight="1" x14ac:dyDescent="0.25">
      <c r="A213" s="280"/>
      <c r="B213" s="323" t="str">
        <f>IF(Instructions!$J$11=1,AA213,IF(Instructions!$J$11=2,AC213,IF(Instructions!$J$11=3,AE213,IF(Instructions!$J$11=4,AG213,IF(Instructions!$J$11=5,AI213,IF(Instructions!$J$11=6,AK213,IF(Instructions!$J$11=7,AM213,IF(Instructions!$J$11=8,AO213,IF(Instructions!$J$11=9,AQ213,IF(Instructions!$J$11=10,AS213,IF(Instructions!$J$11=11,AU213,IF(Instructions!$J$11=12,AW213,IF(Instructions!$J$11=13, AY213, IF(Instructions!$J$11=14,BA213,IF(Instructions!$J$11=15,BC213,BE213)))))))))))))))</f>
        <v>217</v>
      </c>
      <c r="C213" s="271">
        <v>211</v>
      </c>
      <c r="D213" s="281"/>
      <c r="E213" s="282"/>
      <c r="F213" s="281"/>
      <c r="G213" s="279"/>
      <c r="H213" s="292" t="str">
        <f>Instructions!F$51</f>
        <v>Josh</v>
      </c>
      <c r="I213" s="276" t="s">
        <v>1504</v>
      </c>
      <c r="J213" s="708" t="s">
        <v>1460</v>
      </c>
      <c r="K213" s="279">
        <v>22</v>
      </c>
      <c r="L213" s="293" t="str">
        <f>Instructions!F$47</f>
        <v>Devin</v>
      </c>
      <c r="M213" s="273" t="s">
        <v>1478</v>
      </c>
      <c r="N213" s="709"/>
      <c r="O213" s="279">
        <v>18</v>
      </c>
      <c r="P213" s="292" t="str">
        <f>Instructions!F$55</f>
        <v>[TEAM 14]</v>
      </c>
      <c r="Q213" s="276" t="s">
        <v>1087</v>
      </c>
      <c r="R213" s="708" t="s">
        <v>1086</v>
      </c>
      <c r="S213" s="279">
        <v>16</v>
      </c>
      <c r="T213" s="328" t="str">
        <f>Instructions!F$55</f>
        <v>[TEAM 14]</v>
      </c>
      <c r="U213" s="273" t="s">
        <v>865</v>
      </c>
      <c r="V213" s="706"/>
      <c r="W213" s="279">
        <v>14</v>
      </c>
      <c r="X213" s="280"/>
      <c r="Y213" s="190" t="str">
        <f>IFERROR( IF(Instructions!$E$11=8, D213&amp;COUNTIF(D$3:D213,D213), IF(Instructions!$E$11=10, H213&amp;COUNTIF(H$3:H213,H213),IF(Instructions!$E$11=12, L213&amp;COUNTIF(L$3:L213,L213),IF(Instructions!$E$11=14, P213&amp;COUNTIF(P$3:P213,P213),T213&amp;COUNTIF(T$3:T213,T213))))),"")</f>
        <v>Devin18</v>
      </c>
      <c r="Z213" s="321">
        <f>IF(Instructions!$E$11=8,IF($D213=Instructions!$F$42,Z212+1,Z212),IF(Instructions!$E$11=10,IF($H213=Instructions!$F$42,Z212+1,Z212),IF(Instructions!$E$11=12,IF($L213=Instructions!$F$42,Z212+1,Z212),IF(Instructions!$E$11=14,IF($P213=Instructions!$F$42,Z212+1,Z212),IF(Instructions!$E$11=16,IF($T213=Instructions!$F$42,Z212+1,Z212))))))</f>
        <v>17</v>
      </c>
      <c r="AA213" s="321" t="str">
        <f t="shared" si="56"/>
        <v>117</v>
      </c>
      <c r="AB213" s="321">
        <f>IF(Instructions!$E$11=8,IF($D213=Instructions!$F$43,AB212+1,AB212),IF(Instructions!$E$11=10,IF($H213=Instructions!$F$43,AB212+1,AB212),IF(Instructions!$E$11=12,IF($L213=Instructions!$F$43,AB212+1,AB212),IF(Instructions!$E$11=14,IF($P213=Instructions!$F$43,AB212+1,AB212),IF(Instructions!$E$11=16,IF($T213=Instructions!$F$43,AB212+1,AB212))))))</f>
        <v>17</v>
      </c>
      <c r="AC213" s="321" t="str">
        <f t="shared" si="48"/>
        <v>217</v>
      </c>
      <c r="AD213" s="321">
        <f>IF(Instructions!$E$11=8,IF($D213=Instructions!$F$44,AD212+1,AD212),IF(Instructions!$E$11=10,IF($H213=Instructions!$F$44,AD212+1,AD212),IF(Instructions!$E$11=12,IF($L213=Instructions!$F$44,AD212+1,AD212),IF(Instructions!$E$11=14,IF($P213=Instructions!$F$44,AD212+1,AD212),IF(Instructions!$E$11=16,IF($T213=Instructions!$F$44,AD212+1,AD212))))))</f>
        <v>17</v>
      </c>
      <c r="AE213" s="321" t="str">
        <f t="shared" si="49"/>
        <v>317</v>
      </c>
      <c r="AF213" s="321">
        <f>IF(Instructions!$E$11=8,IF($D213=Instructions!$F$45,AF212+1,AF212),IF(Instructions!$E$11=10,IF($H213=Instructions!$F$45,AF212+1,AF212),IF(Instructions!$E$11=12,IF($L213=Instructions!$F$45,AF212+1,AF212),IF(Instructions!$E$11=14,IF($P213=Instructions!$F$45,AF212+1,AF212),IF(Instructions!$E$11=16,IF($T213=Instructions!$F$45,AF212+1,AF212))))))</f>
        <v>17</v>
      </c>
      <c r="AG213" s="321" t="str">
        <f t="shared" si="50"/>
        <v>417</v>
      </c>
      <c r="AH213" s="321">
        <f>IF(Instructions!$E$11=8,IF($D213=Instructions!$F$46,AH212+1,AH212),IF(Instructions!$E$11=10,IF($H213=Instructions!$F$46,AH212+1,AH212),IF(Instructions!$E$11=12,IF($L213=Instructions!$F$46,AH212+1,AH212),IF(Instructions!$E$11=14,IF($P213=Instructions!$F$46,AH212+1,AH212),IF(Instructions!$E$11=16,IF($T213=Instructions!$F$46,AH212+1,AH212))))))</f>
        <v>17</v>
      </c>
      <c r="AI213" s="321" t="str">
        <f t="shared" si="51"/>
        <v>517</v>
      </c>
      <c r="AJ213" s="321">
        <f>IF(Instructions!$E$11=8,IF($D213=Instructions!$F$47,AJ212+1,AJ212),IF(Instructions!$E$11=10,IF($H213=Instructions!$F$47,AJ212+1,AJ212),IF(Instructions!$E$11=12,IF($L213=Instructions!$F$47,AJ212+1,AJ212),IF(Instructions!$E$11=14,IF($P213=Instructions!$F$47,AJ212+1,AJ212),IF(Instructions!$E$11=16,IF($T213=Instructions!$F$47,AJ212+1,AJ212))))))</f>
        <v>18</v>
      </c>
      <c r="AK213" s="321" t="str">
        <f t="shared" si="52"/>
        <v>618</v>
      </c>
      <c r="AL213" s="321">
        <f>IF(Instructions!$E$11=8,IF($D213=Instructions!$F$48,AL212+1,AL212),IF(Instructions!$E$11=10,IF($H213=Instructions!$F$48,AL212+1,AL212),IF(Instructions!$E$11=12,IF($L213=Instructions!$F$48,AL212+1,AL212),IF(Instructions!$E$11=14,IF($P213=Instructions!$F$48,AL212+1,AL212),IF(Instructions!$E$11=16,IF($T213=Instructions!$F$48,AL212+1,AL212))))))</f>
        <v>18</v>
      </c>
      <c r="AM213" s="321" t="str">
        <f t="shared" si="53"/>
        <v>718</v>
      </c>
      <c r="AN213" s="321">
        <f>IF(Instructions!$E$11=8,IF($D213=Instructions!$F$49,AN212+1,AN212),IF(Instructions!$E$11=10,IF($H213=Instructions!$F$49,AN212+1,AN212),IF(Instructions!$E$11=12,IF($L213=Instructions!$F$49,AN212+1,AN212),IF(Instructions!$E$11=14,IF($P213=Instructions!$F$49,AN212+1,AN212),IF(Instructions!$E$11=16,IF($T213=Instructions!$F$49,AN212+1,AN212))))))</f>
        <v>18</v>
      </c>
      <c r="AO213" s="321" t="str">
        <f t="shared" si="54"/>
        <v>818</v>
      </c>
      <c r="AP213" s="321">
        <f>IF(Instructions!$E$11=8,IF($D213=Instructions!$F$50,AP212+1,AP212),IF(Instructions!$E$11=10,IF($H213=Instructions!$F$50,AP212+1,AP212),IF(Instructions!$E$11=12,IF($L213=Instructions!$F$50,AP212+1,AP212),IF(Instructions!$E$11=14,IF($P213=Instructions!$F$50,AP212+1,AP212),IF(Instructions!$E$11=16,IF($T213=Instructions!$F$50,AP212+1,AP212))))))</f>
        <v>18</v>
      </c>
      <c r="AQ213" s="321" t="str">
        <f t="shared" si="55"/>
        <v>918</v>
      </c>
      <c r="AR213" s="321">
        <f>IF(Instructions!$E$11=8,IF($D213=Instructions!$F$51,AR212+1,AR212),IF(Instructions!$E$11=10,IF($H213=Instructions!$F$51,AR212+1,AR212),IF(Instructions!$E$11=12,IF($L213=Instructions!$F$51,AR212+1,AR212),IF(Instructions!$E$11=14,IF($P213=Instructions!$F$51,AR212+1,AR212),IF(Instructions!$E$11=16,IF($T213=Instructions!$F$51,AR212+1,AR212))))))</f>
        <v>18</v>
      </c>
      <c r="AS213" s="321" t="str">
        <f t="shared" si="57"/>
        <v>1018</v>
      </c>
      <c r="AT213" s="321">
        <f>IF(Instructions!$E$11=8,IF($D213=Instructions!$F$52,AT212+1,AT212),IF(Instructions!$E$11=10,IF($H213=Instructions!$F$52,AT212+1,AT212),IF(Instructions!$E$11=12,IF($L213=Instructions!$F$52,AT212+1,AT212),IF(Instructions!$E$11=14,IF($P213=Instructions!$F$52,AT212+1,AT212),IF(Instructions!$E$11=16,IF($T213=Instructions!$F$52,AT212+1,AT212))))))</f>
        <v>18</v>
      </c>
      <c r="AU213" s="321" t="str">
        <f t="shared" si="58"/>
        <v>1118</v>
      </c>
      <c r="AV213" s="321">
        <f>IF(Instructions!$E$11=8,IF($D213=Instructions!$F$53,AV212+1,AV212),IF(Instructions!$E$11=10,IF($H213=Instructions!$F$53,AV212+1,AV212),IF(Instructions!$E$11=12,IF($L213=Instructions!$F$53,AV212+1,AV212),IF(Instructions!$E$11=14,IF($P213=Instructions!$F$53,AV212+1,AV212),IF(Instructions!$E$11=16,IF($T213=Instructions!$F$53,AV212+1,AV212))))))</f>
        <v>18</v>
      </c>
      <c r="AW213" s="321" t="str">
        <f t="shared" si="59"/>
        <v>1218</v>
      </c>
      <c r="AX213" s="321">
        <f>IF(Instructions!$E$11=8,IF($D213=Instructions!$F$54,AX212+1,AX212),IF(Instructions!$E$11=10,IF($H213=Instructions!$F$54,AX212+1,AX212),IF(Instructions!$E$11=12,IF($L213=Instructions!$F$54,AX212+1,AX212),IF(Instructions!$E$11=14,IF($P213=Instructions!$F$54,AX212+1,AX212),IF(Instructions!$E$11=16,IF($T213=Instructions!$F$54,AX212+1,AX212))))))</f>
        <v>0</v>
      </c>
      <c r="AY213" s="321" t="str">
        <f t="shared" si="60"/>
        <v>1300</v>
      </c>
      <c r="AZ213" s="321">
        <f>IF(Instructions!$E$11=8,IF($D213=Instructions!$F$55,AZ212+1,AZ212),IF(Instructions!$E$11=10,IF($H213=Instructions!$F$55,AZ212+1,AZ212),IF(Instructions!$E$11=12,IF($L213=Instructions!$F$55,AZ212+1,AZ212),IF(Instructions!$E$11=14,IF($P213=Instructions!$F$55,AZ212+1,AZ212),IF(Instructions!$E$11=16,IF($T213=Instructions!$F$55,AZ212+1,AZ212))))))</f>
        <v>0</v>
      </c>
      <c r="BA213" s="321" t="str">
        <f t="shared" si="61"/>
        <v>1400</v>
      </c>
      <c r="BB213" s="321">
        <f>IF(Instructions!$E$11=8,IF($D213=Instructions!$F$56,BB212+1,BB212),IF(Instructions!$E$11=10,IF($H213=Instructions!$F$56,BB212+1,BB212),IF(Instructions!$E$11=12,IF($L213=Instructions!$F$56,BB212+1,BB212),IF(Instructions!$E$11=14,IF($P213=Instructions!$F$56,BB212+1,BB212),IF(Instructions!$E$11=16,IF($T213=Instructions!$F$56,BB212+1,BB212))))))</f>
        <v>0</v>
      </c>
      <c r="BC213" s="321" t="str">
        <f t="shared" si="62"/>
        <v>1500</v>
      </c>
      <c r="BD213" s="321">
        <f>IF(Instructions!$E$11=8,IF($D213=Instructions!$F$57,BD212+1,BD212),IF(Instructions!$E$11=10,IF($H213=Instructions!$F$57,BD212+1,BD212),IF(Instructions!$E$11=12,IF($L213=Instructions!$F$57,BD212+1,BD212),IF(Instructions!$E$11=14,IF($P213=Instructions!$F$57,BD212+1,BD212),IF(Instructions!$E$11=16,IF($T213=Instructions!$F$57,BD212+1,BD212))))))</f>
        <v>0</v>
      </c>
      <c r="BE213" s="321" t="str">
        <f t="shared" si="63"/>
        <v>1600</v>
      </c>
      <c r="BF213" s="321">
        <v>211</v>
      </c>
    </row>
    <row r="214" spans="1:58" x14ac:dyDescent="0.25">
      <c r="A214" s="280"/>
      <c r="B214" s="323" t="str">
        <f>IF(Instructions!$J$11=1,AA214,IF(Instructions!$J$11=2,AC214,IF(Instructions!$J$11=3,AE214,IF(Instructions!$J$11=4,AG214,IF(Instructions!$J$11=5,AI214,IF(Instructions!$J$11=6,AK214,IF(Instructions!$J$11=7,AM214,IF(Instructions!$J$11=8,AO214,IF(Instructions!$J$11=9,AQ214,IF(Instructions!$J$11=10,AS214,IF(Instructions!$J$11=11,AU214,IF(Instructions!$J$11=12,AW214,IF(Instructions!$J$11=13, AY214, IF(Instructions!$J$11=14,BA214,IF(Instructions!$J$11=15,BC214,BE214)))))))))))))))</f>
        <v>217</v>
      </c>
      <c r="C214" s="272">
        <v>212</v>
      </c>
      <c r="D214" s="281"/>
      <c r="E214" s="282"/>
      <c r="F214" s="281"/>
      <c r="G214" s="279"/>
      <c r="H214" s="294" t="str">
        <f>Instructions!F$50</f>
        <v>Dan</v>
      </c>
      <c r="I214" s="274" t="s">
        <v>1505</v>
      </c>
      <c r="J214" s="709"/>
      <c r="K214" s="279">
        <v>22</v>
      </c>
      <c r="L214" s="294" t="str">
        <f>Instructions!F$46</f>
        <v>Con</v>
      </c>
      <c r="M214" s="274" t="s">
        <v>1479</v>
      </c>
      <c r="N214" s="709"/>
      <c r="O214" s="279">
        <v>18</v>
      </c>
      <c r="P214" s="294" t="str">
        <f>Instructions!F$54</f>
        <v>[TEAM 13]</v>
      </c>
      <c r="Q214" s="274" t="s">
        <v>1088</v>
      </c>
      <c r="R214" s="709"/>
      <c r="S214" s="279">
        <v>16</v>
      </c>
      <c r="T214" s="327" t="str">
        <f>Instructions!F$54</f>
        <v>[TEAM 13]</v>
      </c>
      <c r="U214" s="274" t="s">
        <v>866</v>
      </c>
      <c r="V214" s="706"/>
      <c r="W214" s="279">
        <v>14</v>
      </c>
      <c r="X214" s="280"/>
      <c r="Y214" s="190" t="str">
        <f>IFERROR( IF(Instructions!$E$11=8, D214&amp;COUNTIF(D$3:D214,D214), IF(Instructions!$E$11=10, H214&amp;COUNTIF(H$3:H214,H214),IF(Instructions!$E$11=12, L214&amp;COUNTIF(L$3:L214,L214),IF(Instructions!$E$11=14, P214&amp;COUNTIF(P$3:P214,P214),T214&amp;COUNTIF(T$3:T214,T214))))),"")</f>
        <v>Con18</v>
      </c>
      <c r="Z214" s="321">
        <f>IF(Instructions!$E$11=8,IF($D214=Instructions!$F$42,Z213+1,Z213),IF(Instructions!$E$11=10,IF($H214=Instructions!$F$42,Z213+1,Z213),IF(Instructions!$E$11=12,IF($L214=Instructions!$F$42,Z213+1,Z213),IF(Instructions!$E$11=14,IF($P214=Instructions!$F$42,Z213+1,Z213),IF(Instructions!$E$11=16,IF($T214=Instructions!$F$42,Z213+1,Z213))))))</f>
        <v>17</v>
      </c>
      <c r="AA214" s="321" t="str">
        <f t="shared" si="56"/>
        <v>117</v>
      </c>
      <c r="AB214" s="321">
        <f>IF(Instructions!$E$11=8,IF($D214=Instructions!$F$43,AB213+1,AB213),IF(Instructions!$E$11=10,IF($H214=Instructions!$F$43,AB213+1,AB213),IF(Instructions!$E$11=12,IF($L214=Instructions!$F$43,AB213+1,AB213),IF(Instructions!$E$11=14,IF($P214=Instructions!$F$43,AB213+1,AB213),IF(Instructions!$E$11=16,IF($T214=Instructions!$F$43,AB213+1,AB213))))))</f>
        <v>17</v>
      </c>
      <c r="AC214" s="321" t="str">
        <f t="shared" si="48"/>
        <v>217</v>
      </c>
      <c r="AD214" s="321">
        <f>IF(Instructions!$E$11=8,IF($D214=Instructions!$F$44,AD213+1,AD213),IF(Instructions!$E$11=10,IF($H214=Instructions!$F$44,AD213+1,AD213),IF(Instructions!$E$11=12,IF($L214=Instructions!$F$44,AD213+1,AD213),IF(Instructions!$E$11=14,IF($P214=Instructions!$F$44,AD213+1,AD213),IF(Instructions!$E$11=16,IF($T214=Instructions!$F$44,AD213+1,AD213))))))</f>
        <v>17</v>
      </c>
      <c r="AE214" s="321" t="str">
        <f t="shared" si="49"/>
        <v>317</v>
      </c>
      <c r="AF214" s="321">
        <f>IF(Instructions!$E$11=8,IF($D214=Instructions!$F$45,AF213+1,AF213),IF(Instructions!$E$11=10,IF($H214=Instructions!$F$45,AF213+1,AF213),IF(Instructions!$E$11=12,IF($L214=Instructions!$F$45,AF213+1,AF213),IF(Instructions!$E$11=14,IF($P214=Instructions!$F$45,AF213+1,AF213),IF(Instructions!$E$11=16,IF($T214=Instructions!$F$45,AF213+1,AF213))))))</f>
        <v>17</v>
      </c>
      <c r="AG214" s="321" t="str">
        <f t="shared" si="50"/>
        <v>417</v>
      </c>
      <c r="AH214" s="321">
        <f>IF(Instructions!$E$11=8,IF($D214=Instructions!$F$46,AH213+1,AH213),IF(Instructions!$E$11=10,IF($H214=Instructions!$F$46,AH213+1,AH213),IF(Instructions!$E$11=12,IF($L214=Instructions!$F$46,AH213+1,AH213),IF(Instructions!$E$11=14,IF($P214=Instructions!$F$46,AH213+1,AH213),IF(Instructions!$E$11=16,IF($T214=Instructions!$F$46,AH213+1,AH213))))))</f>
        <v>18</v>
      </c>
      <c r="AI214" s="321" t="str">
        <f t="shared" si="51"/>
        <v>518</v>
      </c>
      <c r="AJ214" s="321">
        <f>IF(Instructions!$E$11=8,IF($D214=Instructions!$F$47,AJ213+1,AJ213),IF(Instructions!$E$11=10,IF($H214=Instructions!$F$47,AJ213+1,AJ213),IF(Instructions!$E$11=12,IF($L214=Instructions!$F$47,AJ213+1,AJ213),IF(Instructions!$E$11=14,IF($P214=Instructions!$F$47,AJ213+1,AJ213),IF(Instructions!$E$11=16,IF($T214=Instructions!$F$47,AJ213+1,AJ213))))))</f>
        <v>18</v>
      </c>
      <c r="AK214" s="321" t="str">
        <f t="shared" si="52"/>
        <v>618</v>
      </c>
      <c r="AL214" s="321">
        <f>IF(Instructions!$E$11=8,IF($D214=Instructions!$F$48,AL213+1,AL213),IF(Instructions!$E$11=10,IF($H214=Instructions!$F$48,AL213+1,AL213),IF(Instructions!$E$11=12,IF($L214=Instructions!$F$48,AL213+1,AL213),IF(Instructions!$E$11=14,IF($P214=Instructions!$F$48,AL213+1,AL213),IF(Instructions!$E$11=16,IF($T214=Instructions!$F$48,AL213+1,AL213))))))</f>
        <v>18</v>
      </c>
      <c r="AM214" s="321" t="str">
        <f t="shared" si="53"/>
        <v>718</v>
      </c>
      <c r="AN214" s="321">
        <f>IF(Instructions!$E$11=8,IF($D214=Instructions!$F$49,AN213+1,AN213),IF(Instructions!$E$11=10,IF($H214=Instructions!$F$49,AN213+1,AN213),IF(Instructions!$E$11=12,IF($L214=Instructions!$F$49,AN213+1,AN213),IF(Instructions!$E$11=14,IF($P214=Instructions!$F$49,AN213+1,AN213),IF(Instructions!$E$11=16,IF($T214=Instructions!$F$49,AN213+1,AN213))))))</f>
        <v>18</v>
      </c>
      <c r="AO214" s="321" t="str">
        <f t="shared" si="54"/>
        <v>818</v>
      </c>
      <c r="AP214" s="321">
        <f>IF(Instructions!$E$11=8,IF($D214=Instructions!$F$50,AP213+1,AP213),IF(Instructions!$E$11=10,IF($H214=Instructions!$F$50,AP213+1,AP213),IF(Instructions!$E$11=12,IF($L214=Instructions!$F$50,AP213+1,AP213),IF(Instructions!$E$11=14,IF($P214=Instructions!$F$50,AP213+1,AP213),IF(Instructions!$E$11=16,IF($T214=Instructions!$F$50,AP213+1,AP213))))))</f>
        <v>18</v>
      </c>
      <c r="AQ214" s="321" t="str">
        <f t="shared" si="55"/>
        <v>918</v>
      </c>
      <c r="AR214" s="321">
        <f>IF(Instructions!$E$11=8,IF($D214=Instructions!$F$51,AR213+1,AR213),IF(Instructions!$E$11=10,IF($H214=Instructions!$F$51,AR213+1,AR213),IF(Instructions!$E$11=12,IF($L214=Instructions!$F$51,AR213+1,AR213),IF(Instructions!$E$11=14,IF($P214=Instructions!$F$51,AR213+1,AR213),IF(Instructions!$E$11=16,IF($T214=Instructions!$F$51,AR213+1,AR213))))))</f>
        <v>18</v>
      </c>
      <c r="AS214" s="321" t="str">
        <f t="shared" si="57"/>
        <v>1018</v>
      </c>
      <c r="AT214" s="321">
        <f>IF(Instructions!$E$11=8,IF($D214=Instructions!$F$52,AT213+1,AT213),IF(Instructions!$E$11=10,IF($H214=Instructions!$F$52,AT213+1,AT213),IF(Instructions!$E$11=12,IF($L214=Instructions!$F$52,AT213+1,AT213),IF(Instructions!$E$11=14,IF($P214=Instructions!$F$52,AT213+1,AT213),IF(Instructions!$E$11=16,IF($T214=Instructions!$F$52,AT213+1,AT213))))))</f>
        <v>18</v>
      </c>
      <c r="AU214" s="321" t="str">
        <f t="shared" si="58"/>
        <v>1118</v>
      </c>
      <c r="AV214" s="321">
        <f>IF(Instructions!$E$11=8,IF($D214=Instructions!$F$53,AV213+1,AV213),IF(Instructions!$E$11=10,IF($H214=Instructions!$F$53,AV213+1,AV213),IF(Instructions!$E$11=12,IF($L214=Instructions!$F$53,AV213+1,AV213),IF(Instructions!$E$11=14,IF($P214=Instructions!$F$53,AV213+1,AV213),IF(Instructions!$E$11=16,IF($T214=Instructions!$F$53,AV213+1,AV213))))))</f>
        <v>18</v>
      </c>
      <c r="AW214" s="321" t="str">
        <f t="shared" si="59"/>
        <v>1218</v>
      </c>
      <c r="AX214" s="321">
        <f>IF(Instructions!$E$11=8,IF($D214=Instructions!$F$54,AX213+1,AX213),IF(Instructions!$E$11=10,IF($H214=Instructions!$F$54,AX213+1,AX213),IF(Instructions!$E$11=12,IF($L214=Instructions!$F$54,AX213+1,AX213),IF(Instructions!$E$11=14,IF($P214=Instructions!$F$54,AX213+1,AX213),IF(Instructions!$E$11=16,IF($T214=Instructions!$F$54,AX213+1,AX213))))))</f>
        <v>0</v>
      </c>
      <c r="AY214" s="321" t="str">
        <f t="shared" si="60"/>
        <v>1300</v>
      </c>
      <c r="AZ214" s="321">
        <f>IF(Instructions!$E$11=8,IF($D214=Instructions!$F$55,AZ213+1,AZ213),IF(Instructions!$E$11=10,IF($H214=Instructions!$F$55,AZ213+1,AZ213),IF(Instructions!$E$11=12,IF($L214=Instructions!$F$55,AZ213+1,AZ213),IF(Instructions!$E$11=14,IF($P214=Instructions!$F$55,AZ213+1,AZ213),IF(Instructions!$E$11=16,IF($T214=Instructions!$F$55,AZ213+1,AZ213))))))</f>
        <v>0</v>
      </c>
      <c r="BA214" s="321" t="str">
        <f t="shared" si="61"/>
        <v>1400</v>
      </c>
      <c r="BB214" s="321">
        <f>IF(Instructions!$E$11=8,IF($D214=Instructions!$F$56,BB213+1,BB213),IF(Instructions!$E$11=10,IF($H214=Instructions!$F$56,BB213+1,BB213),IF(Instructions!$E$11=12,IF($L214=Instructions!$F$56,BB213+1,BB213),IF(Instructions!$E$11=14,IF($P214=Instructions!$F$56,BB213+1,BB213),IF(Instructions!$E$11=16,IF($T214=Instructions!$F$56,BB213+1,BB213))))))</f>
        <v>0</v>
      </c>
      <c r="BC214" s="321" t="str">
        <f t="shared" si="62"/>
        <v>1500</v>
      </c>
      <c r="BD214" s="321">
        <f>IF(Instructions!$E$11=8,IF($D214=Instructions!$F$57,BD213+1,BD213),IF(Instructions!$E$11=10,IF($H214=Instructions!$F$57,BD213+1,BD213),IF(Instructions!$E$11=12,IF($L214=Instructions!$F$57,BD213+1,BD213),IF(Instructions!$E$11=14,IF($P214=Instructions!$F$57,BD213+1,BD213),IF(Instructions!$E$11=16,IF($T214=Instructions!$F$57,BD213+1,BD213))))))</f>
        <v>0</v>
      </c>
      <c r="BE214" s="321" t="str">
        <f t="shared" si="63"/>
        <v>1600</v>
      </c>
      <c r="BF214" s="321">
        <v>212</v>
      </c>
    </row>
    <row r="215" spans="1:58" x14ac:dyDescent="0.25">
      <c r="A215" s="280"/>
      <c r="B215" s="323" t="str">
        <f>IF(Instructions!$J$11=1,AA215,IF(Instructions!$J$11=2,AC215,IF(Instructions!$J$11=3,AE215,IF(Instructions!$J$11=4,AG215,IF(Instructions!$J$11=5,AI215,IF(Instructions!$J$11=6,AK215,IF(Instructions!$J$11=7,AM215,IF(Instructions!$J$11=8,AO215,IF(Instructions!$J$11=9,AQ215,IF(Instructions!$J$11=10,AS215,IF(Instructions!$J$11=11,AU215,IF(Instructions!$J$11=12,AW215,IF(Instructions!$J$11=13, AY215, IF(Instructions!$J$11=14,BA215,IF(Instructions!$J$11=15,BC215,BE215)))))))))))))))</f>
        <v>217</v>
      </c>
      <c r="C215" s="271">
        <v>213</v>
      </c>
      <c r="D215" s="281"/>
      <c r="E215" s="282"/>
      <c r="F215" s="281"/>
      <c r="G215" s="279"/>
      <c r="H215" s="293" t="str">
        <f>Instructions!F$49</f>
        <v>Luke</v>
      </c>
      <c r="I215" s="273" t="s">
        <v>1506</v>
      </c>
      <c r="J215" s="709"/>
      <c r="K215" s="279">
        <v>22</v>
      </c>
      <c r="L215" s="293" t="str">
        <f>Instructions!F$45</f>
        <v>Miles</v>
      </c>
      <c r="M215" s="273" t="s">
        <v>1538</v>
      </c>
      <c r="N215" s="709"/>
      <c r="O215" s="279">
        <v>18</v>
      </c>
      <c r="P215" s="293" t="str">
        <f>Instructions!F$53</f>
        <v>Zack</v>
      </c>
      <c r="Q215" s="273" t="s">
        <v>1089</v>
      </c>
      <c r="R215" s="709"/>
      <c r="S215" s="279">
        <v>16</v>
      </c>
      <c r="T215" s="328" t="str">
        <f>Instructions!F$53</f>
        <v>Zack</v>
      </c>
      <c r="U215" s="273" t="s">
        <v>867</v>
      </c>
      <c r="V215" s="706"/>
      <c r="W215" s="279">
        <v>14</v>
      </c>
      <c r="X215" s="280"/>
      <c r="Y215" s="190" t="str">
        <f>IFERROR( IF(Instructions!$E$11=8, D215&amp;COUNTIF(D$3:D215,D215), IF(Instructions!$E$11=10, H215&amp;COUNTIF(H$3:H215,H215),IF(Instructions!$E$11=12, L215&amp;COUNTIF(L$3:L215,L215),IF(Instructions!$E$11=14, P215&amp;COUNTIF(P$3:P215,P215),T215&amp;COUNTIF(T$3:T215,T215))))),"")</f>
        <v>Miles18</v>
      </c>
      <c r="Z215" s="321">
        <f>IF(Instructions!$E$11=8,IF($D215=Instructions!$F$42,Z214+1,Z214),IF(Instructions!$E$11=10,IF($H215=Instructions!$F$42,Z214+1,Z214),IF(Instructions!$E$11=12,IF($L215=Instructions!$F$42,Z214+1,Z214),IF(Instructions!$E$11=14,IF($P215=Instructions!$F$42,Z214+1,Z214),IF(Instructions!$E$11=16,IF($T215=Instructions!$F$42,Z214+1,Z214))))))</f>
        <v>17</v>
      </c>
      <c r="AA215" s="321" t="str">
        <f t="shared" si="56"/>
        <v>117</v>
      </c>
      <c r="AB215" s="321">
        <f>IF(Instructions!$E$11=8,IF($D215=Instructions!$F$43,AB214+1,AB214),IF(Instructions!$E$11=10,IF($H215=Instructions!$F$43,AB214+1,AB214),IF(Instructions!$E$11=12,IF($L215=Instructions!$F$43,AB214+1,AB214),IF(Instructions!$E$11=14,IF($P215=Instructions!$F$43,AB214+1,AB214),IF(Instructions!$E$11=16,IF($T215=Instructions!$F$43,AB214+1,AB214))))))</f>
        <v>17</v>
      </c>
      <c r="AC215" s="321" t="str">
        <f t="shared" si="48"/>
        <v>217</v>
      </c>
      <c r="AD215" s="321">
        <f>IF(Instructions!$E$11=8,IF($D215=Instructions!$F$44,AD214+1,AD214),IF(Instructions!$E$11=10,IF($H215=Instructions!$F$44,AD214+1,AD214),IF(Instructions!$E$11=12,IF($L215=Instructions!$F$44,AD214+1,AD214),IF(Instructions!$E$11=14,IF($P215=Instructions!$F$44,AD214+1,AD214),IF(Instructions!$E$11=16,IF($T215=Instructions!$F$44,AD214+1,AD214))))))</f>
        <v>17</v>
      </c>
      <c r="AE215" s="321" t="str">
        <f t="shared" si="49"/>
        <v>317</v>
      </c>
      <c r="AF215" s="321">
        <f>IF(Instructions!$E$11=8,IF($D215=Instructions!$F$45,AF214+1,AF214),IF(Instructions!$E$11=10,IF($H215=Instructions!$F$45,AF214+1,AF214),IF(Instructions!$E$11=12,IF($L215=Instructions!$F$45,AF214+1,AF214),IF(Instructions!$E$11=14,IF($P215=Instructions!$F$45,AF214+1,AF214),IF(Instructions!$E$11=16,IF($T215=Instructions!$F$45,AF214+1,AF214))))))</f>
        <v>18</v>
      </c>
      <c r="AG215" s="321" t="str">
        <f t="shared" si="50"/>
        <v>418</v>
      </c>
      <c r="AH215" s="321">
        <f>IF(Instructions!$E$11=8,IF($D215=Instructions!$F$46,AH214+1,AH214),IF(Instructions!$E$11=10,IF($H215=Instructions!$F$46,AH214+1,AH214),IF(Instructions!$E$11=12,IF($L215=Instructions!$F$46,AH214+1,AH214),IF(Instructions!$E$11=14,IF($P215=Instructions!$F$46,AH214+1,AH214),IF(Instructions!$E$11=16,IF($T215=Instructions!$F$46,AH214+1,AH214))))))</f>
        <v>18</v>
      </c>
      <c r="AI215" s="321" t="str">
        <f t="shared" si="51"/>
        <v>518</v>
      </c>
      <c r="AJ215" s="321">
        <f>IF(Instructions!$E$11=8,IF($D215=Instructions!$F$47,AJ214+1,AJ214),IF(Instructions!$E$11=10,IF($H215=Instructions!$F$47,AJ214+1,AJ214),IF(Instructions!$E$11=12,IF($L215=Instructions!$F$47,AJ214+1,AJ214),IF(Instructions!$E$11=14,IF($P215=Instructions!$F$47,AJ214+1,AJ214),IF(Instructions!$E$11=16,IF($T215=Instructions!$F$47,AJ214+1,AJ214))))))</f>
        <v>18</v>
      </c>
      <c r="AK215" s="321" t="str">
        <f t="shared" si="52"/>
        <v>618</v>
      </c>
      <c r="AL215" s="321">
        <f>IF(Instructions!$E$11=8,IF($D215=Instructions!$F$48,AL214+1,AL214),IF(Instructions!$E$11=10,IF($H215=Instructions!$F$48,AL214+1,AL214),IF(Instructions!$E$11=12,IF($L215=Instructions!$F$48,AL214+1,AL214),IF(Instructions!$E$11=14,IF($P215=Instructions!$F$48,AL214+1,AL214),IF(Instructions!$E$11=16,IF($T215=Instructions!$F$48,AL214+1,AL214))))))</f>
        <v>18</v>
      </c>
      <c r="AM215" s="321" t="str">
        <f t="shared" si="53"/>
        <v>718</v>
      </c>
      <c r="AN215" s="321">
        <f>IF(Instructions!$E$11=8,IF($D215=Instructions!$F$49,AN214+1,AN214),IF(Instructions!$E$11=10,IF($H215=Instructions!$F$49,AN214+1,AN214),IF(Instructions!$E$11=12,IF($L215=Instructions!$F$49,AN214+1,AN214),IF(Instructions!$E$11=14,IF($P215=Instructions!$F$49,AN214+1,AN214),IF(Instructions!$E$11=16,IF($T215=Instructions!$F$49,AN214+1,AN214))))))</f>
        <v>18</v>
      </c>
      <c r="AO215" s="321" t="str">
        <f t="shared" si="54"/>
        <v>818</v>
      </c>
      <c r="AP215" s="321">
        <f>IF(Instructions!$E$11=8,IF($D215=Instructions!$F$50,AP214+1,AP214),IF(Instructions!$E$11=10,IF($H215=Instructions!$F$50,AP214+1,AP214),IF(Instructions!$E$11=12,IF($L215=Instructions!$F$50,AP214+1,AP214),IF(Instructions!$E$11=14,IF($P215=Instructions!$F$50,AP214+1,AP214),IF(Instructions!$E$11=16,IF($T215=Instructions!$F$50,AP214+1,AP214))))))</f>
        <v>18</v>
      </c>
      <c r="AQ215" s="321" t="str">
        <f t="shared" si="55"/>
        <v>918</v>
      </c>
      <c r="AR215" s="321">
        <f>IF(Instructions!$E$11=8,IF($D215=Instructions!$F$51,AR214+1,AR214),IF(Instructions!$E$11=10,IF($H215=Instructions!$F$51,AR214+1,AR214),IF(Instructions!$E$11=12,IF($L215=Instructions!$F$51,AR214+1,AR214),IF(Instructions!$E$11=14,IF($P215=Instructions!$F$51,AR214+1,AR214),IF(Instructions!$E$11=16,IF($T215=Instructions!$F$51,AR214+1,AR214))))))</f>
        <v>18</v>
      </c>
      <c r="AS215" s="321" t="str">
        <f t="shared" si="57"/>
        <v>1018</v>
      </c>
      <c r="AT215" s="321">
        <f>IF(Instructions!$E$11=8,IF($D215=Instructions!$F$52,AT214+1,AT214),IF(Instructions!$E$11=10,IF($H215=Instructions!$F$52,AT214+1,AT214),IF(Instructions!$E$11=12,IF($L215=Instructions!$F$52,AT214+1,AT214),IF(Instructions!$E$11=14,IF($P215=Instructions!$F$52,AT214+1,AT214),IF(Instructions!$E$11=16,IF($T215=Instructions!$F$52,AT214+1,AT214))))))</f>
        <v>18</v>
      </c>
      <c r="AU215" s="321" t="str">
        <f t="shared" si="58"/>
        <v>1118</v>
      </c>
      <c r="AV215" s="321">
        <f>IF(Instructions!$E$11=8,IF($D215=Instructions!$F$53,AV214+1,AV214),IF(Instructions!$E$11=10,IF($H215=Instructions!$F$53,AV214+1,AV214),IF(Instructions!$E$11=12,IF($L215=Instructions!$F$53,AV214+1,AV214),IF(Instructions!$E$11=14,IF($P215=Instructions!$F$53,AV214+1,AV214),IF(Instructions!$E$11=16,IF($T215=Instructions!$F$53,AV214+1,AV214))))))</f>
        <v>18</v>
      </c>
      <c r="AW215" s="321" t="str">
        <f t="shared" si="59"/>
        <v>1218</v>
      </c>
      <c r="AX215" s="321">
        <f>IF(Instructions!$E$11=8,IF($D215=Instructions!$F$54,AX214+1,AX214),IF(Instructions!$E$11=10,IF($H215=Instructions!$F$54,AX214+1,AX214),IF(Instructions!$E$11=12,IF($L215=Instructions!$F$54,AX214+1,AX214),IF(Instructions!$E$11=14,IF($P215=Instructions!$F$54,AX214+1,AX214),IF(Instructions!$E$11=16,IF($T215=Instructions!$F$54,AX214+1,AX214))))))</f>
        <v>0</v>
      </c>
      <c r="AY215" s="321" t="str">
        <f t="shared" si="60"/>
        <v>1300</v>
      </c>
      <c r="AZ215" s="321">
        <f>IF(Instructions!$E$11=8,IF($D215=Instructions!$F$55,AZ214+1,AZ214),IF(Instructions!$E$11=10,IF($H215=Instructions!$F$55,AZ214+1,AZ214),IF(Instructions!$E$11=12,IF($L215=Instructions!$F$55,AZ214+1,AZ214),IF(Instructions!$E$11=14,IF($P215=Instructions!$F$55,AZ214+1,AZ214),IF(Instructions!$E$11=16,IF($T215=Instructions!$F$55,AZ214+1,AZ214))))))</f>
        <v>0</v>
      </c>
      <c r="BA215" s="321" t="str">
        <f t="shared" si="61"/>
        <v>1400</v>
      </c>
      <c r="BB215" s="321">
        <f>IF(Instructions!$E$11=8,IF($D215=Instructions!$F$56,BB214+1,BB214),IF(Instructions!$E$11=10,IF($H215=Instructions!$F$56,BB214+1,BB214),IF(Instructions!$E$11=12,IF($L215=Instructions!$F$56,BB214+1,BB214),IF(Instructions!$E$11=14,IF($P215=Instructions!$F$56,BB214+1,BB214),IF(Instructions!$E$11=16,IF($T215=Instructions!$F$56,BB214+1,BB214))))))</f>
        <v>0</v>
      </c>
      <c r="BC215" s="321" t="str">
        <f t="shared" si="62"/>
        <v>1500</v>
      </c>
      <c r="BD215" s="321">
        <f>IF(Instructions!$E$11=8,IF($D215=Instructions!$F$57,BD214+1,BD214),IF(Instructions!$E$11=10,IF($H215=Instructions!$F$57,BD214+1,BD214),IF(Instructions!$E$11=12,IF($L215=Instructions!$F$57,BD214+1,BD214),IF(Instructions!$E$11=14,IF($P215=Instructions!$F$57,BD214+1,BD214),IF(Instructions!$E$11=16,IF($T215=Instructions!$F$57,BD214+1,BD214))))))</f>
        <v>0</v>
      </c>
      <c r="BE215" s="321" t="str">
        <f t="shared" si="63"/>
        <v>1600</v>
      </c>
      <c r="BF215" s="321">
        <v>213</v>
      </c>
    </row>
    <row r="216" spans="1:58" x14ac:dyDescent="0.25">
      <c r="A216" s="280"/>
      <c r="B216" s="323" t="str">
        <f>IF(Instructions!$J$11=1,AA216,IF(Instructions!$J$11=2,AC216,IF(Instructions!$J$11=3,AE216,IF(Instructions!$J$11=4,AG216,IF(Instructions!$J$11=5,AI216,IF(Instructions!$J$11=6,AK216,IF(Instructions!$J$11=7,AM216,IF(Instructions!$J$11=8,AO216,IF(Instructions!$J$11=9,AQ216,IF(Instructions!$J$11=10,AS216,IF(Instructions!$J$11=11,AU216,IF(Instructions!$J$11=12,AW216,IF(Instructions!$J$11=13, AY216, IF(Instructions!$J$11=14,BA216,IF(Instructions!$J$11=15,BC216,BE216)))))))))))))))</f>
        <v>217</v>
      </c>
      <c r="C216" s="272">
        <v>214</v>
      </c>
      <c r="D216" s="281"/>
      <c r="E216" s="282"/>
      <c r="F216" s="281"/>
      <c r="G216" s="279"/>
      <c r="H216" s="294" t="str">
        <f>Instructions!F$48</f>
        <v>Bui</v>
      </c>
      <c r="I216" s="274" t="s">
        <v>1507</v>
      </c>
      <c r="J216" s="709"/>
      <c r="K216" s="279">
        <v>22</v>
      </c>
      <c r="L216" s="294" t="str">
        <f>Instructions!F$44</f>
        <v>Cam</v>
      </c>
      <c r="M216" s="274" t="s">
        <v>1539</v>
      </c>
      <c r="N216" s="709"/>
      <c r="O216" s="279">
        <v>18</v>
      </c>
      <c r="P216" s="294" t="str">
        <f>Instructions!F$52</f>
        <v>Big R</v>
      </c>
      <c r="Q216" s="274" t="s">
        <v>1090</v>
      </c>
      <c r="R216" s="709"/>
      <c r="S216" s="279">
        <v>16</v>
      </c>
      <c r="T216" s="327" t="str">
        <f>Instructions!F$52</f>
        <v>Big R</v>
      </c>
      <c r="U216" s="274" t="s">
        <v>868</v>
      </c>
      <c r="V216" s="706"/>
      <c r="W216" s="279">
        <v>14</v>
      </c>
      <c r="X216" s="280"/>
      <c r="Y216" s="190" t="str">
        <f>IFERROR( IF(Instructions!$E$11=8, D216&amp;COUNTIF(D$3:D216,D216), IF(Instructions!$E$11=10, H216&amp;COUNTIF(H$3:H216,H216),IF(Instructions!$E$11=12, L216&amp;COUNTIF(L$3:L216,L216),IF(Instructions!$E$11=14, P216&amp;COUNTIF(P$3:P216,P216),T216&amp;COUNTIF(T$3:T216,T216))))),"")</f>
        <v>Cam18</v>
      </c>
      <c r="Z216" s="321">
        <f>IF(Instructions!$E$11=8,IF($D216=Instructions!$F$42,Z215+1,Z215),IF(Instructions!$E$11=10,IF($H216=Instructions!$F$42,Z215+1,Z215),IF(Instructions!$E$11=12,IF($L216=Instructions!$F$42,Z215+1,Z215),IF(Instructions!$E$11=14,IF($P216=Instructions!$F$42,Z215+1,Z215),IF(Instructions!$E$11=16,IF($T216=Instructions!$F$42,Z215+1,Z215))))))</f>
        <v>17</v>
      </c>
      <c r="AA216" s="321" t="str">
        <f t="shared" si="56"/>
        <v>117</v>
      </c>
      <c r="AB216" s="321">
        <f>IF(Instructions!$E$11=8,IF($D216=Instructions!$F$43,AB215+1,AB215),IF(Instructions!$E$11=10,IF($H216=Instructions!$F$43,AB215+1,AB215),IF(Instructions!$E$11=12,IF($L216=Instructions!$F$43,AB215+1,AB215),IF(Instructions!$E$11=14,IF($P216=Instructions!$F$43,AB215+1,AB215),IF(Instructions!$E$11=16,IF($T216=Instructions!$F$43,AB215+1,AB215))))))</f>
        <v>17</v>
      </c>
      <c r="AC216" s="321" t="str">
        <f t="shared" si="48"/>
        <v>217</v>
      </c>
      <c r="AD216" s="321">
        <f>IF(Instructions!$E$11=8,IF($D216=Instructions!$F$44,AD215+1,AD215),IF(Instructions!$E$11=10,IF($H216=Instructions!$F$44,AD215+1,AD215),IF(Instructions!$E$11=12,IF($L216=Instructions!$F$44,AD215+1,AD215),IF(Instructions!$E$11=14,IF($P216=Instructions!$F$44,AD215+1,AD215),IF(Instructions!$E$11=16,IF($T216=Instructions!$F$44,AD215+1,AD215))))))</f>
        <v>18</v>
      </c>
      <c r="AE216" s="321" t="str">
        <f t="shared" si="49"/>
        <v>318</v>
      </c>
      <c r="AF216" s="321">
        <f>IF(Instructions!$E$11=8,IF($D216=Instructions!$F$45,AF215+1,AF215),IF(Instructions!$E$11=10,IF($H216=Instructions!$F$45,AF215+1,AF215),IF(Instructions!$E$11=12,IF($L216=Instructions!$F$45,AF215+1,AF215),IF(Instructions!$E$11=14,IF($P216=Instructions!$F$45,AF215+1,AF215),IF(Instructions!$E$11=16,IF($T216=Instructions!$F$45,AF215+1,AF215))))))</f>
        <v>18</v>
      </c>
      <c r="AG216" s="321" t="str">
        <f t="shared" si="50"/>
        <v>418</v>
      </c>
      <c r="AH216" s="321">
        <f>IF(Instructions!$E$11=8,IF($D216=Instructions!$F$46,AH215+1,AH215),IF(Instructions!$E$11=10,IF($H216=Instructions!$F$46,AH215+1,AH215),IF(Instructions!$E$11=12,IF($L216=Instructions!$F$46,AH215+1,AH215),IF(Instructions!$E$11=14,IF($P216=Instructions!$F$46,AH215+1,AH215),IF(Instructions!$E$11=16,IF($T216=Instructions!$F$46,AH215+1,AH215))))))</f>
        <v>18</v>
      </c>
      <c r="AI216" s="321" t="str">
        <f t="shared" si="51"/>
        <v>518</v>
      </c>
      <c r="AJ216" s="321">
        <f>IF(Instructions!$E$11=8,IF($D216=Instructions!$F$47,AJ215+1,AJ215),IF(Instructions!$E$11=10,IF($H216=Instructions!$F$47,AJ215+1,AJ215),IF(Instructions!$E$11=12,IF($L216=Instructions!$F$47,AJ215+1,AJ215),IF(Instructions!$E$11=14,IF($P216=Instructions!$F$47,AJ215+1,AJ215),IF(Instructions!$E$11=16,IF($T216=Instructions!$F$47,AJ215+1,AJ215))))))</f>
        <v>18</v>
      </c>
      <c r="AK216" s="321" t="str">
        <f t="shared" si="52"/>
        <v>618</v>
      </c>
      <c r="AL216" s="321">
        <f>IF(Instructions!$E$11=8,IF($D216=Instructions!$F$48,AL215+1,AL215),IF(Instructions!$E$11=10,IF($H216=Instructions!$F$48,AL215+1,AL215),IF(Instructions!$E$11=12,IF($L216=Instructions!$F$48,AL215+1,AL215),IF(Instructions!$E$11=14,IF($P216=Instructions!$F$48,AL215+1,AL215),IF(Instructions!$E$11=16,IF($T216=Instructions!$F$48,AL215+1,AL215))))))</f>
        <v>18</v>
      </c>
      <c r="AM216" s="321" t="str">
        <f t="shared" si="53"/>
        <v>718</v>
      </c>
      <c r="AN216" s="321">
        <f>IF(Instructions!$E$11=8,IF($D216=Instructions!$F$49,AN215+1,AN215),IF(Instructions!$E$11=10,IF($H216=Instructions!$F$49,AN215+1,AN215),IF(Instructions!$E$11=12,IF($L216=Instructions!$F$49,AN215+1,AN215),IF(Instructions!$E$11=14,IF($P216=Instructions!$F$49,AN215+1,AN215),IF(Instructions!$E$11=16,IF($T216=Instructions!$F$49,AN215+1,AN215))))))</f>
        <v>18</v>
      </c>
      <c r="AO216" s="321" t="str">
        <f t="shared" si="54"/>
        <v>818</v>
      </c>
      <c r="AP216" s="321">
        <f>IF(Instructions!$E$11=8,IF($D216=Instructions!$F$50,AP215+1,AP215),IF(Instructions!$E$11=10,IF($H216=Instructions!$F$50,AP215+1,AP215),IF(Instructions!$E$11=12,IF($L216=Instructions!$F$50,AP215+1,AP215),IF(Instructions!$E$11=14,IF($P216=Instructions!$F$50,AP215+1,AP215),IF(Instructions!$E$11=16,IF($T216=Instructions!$F$50,AP215+1,AP215))))))</f>
        <v>18</v>
      </c>
      <c r="AQ216" s="321" t="str">
        <f t="shared" si="55"/>
        <v>918</v>
      </c>
      <c r="AR216" s="321">
        <f>IF(Instructions!$E$11=8,IF($D216=Instructions!$F$51,AR215+1,AR215),IF(Instructions!$E$11=10,IF($H216=Instructions!$F$51,AR215+1,AR215),IF(Instructions!$E$11=12,IF($L216=Instructions!$F$51,AR215+1,AR215),IF(Instructions!$E$11=14,IF($P216=Instructions!$F$51,AR215+1,AR215),IF(Instructions!$E$11=16,IF($T216=Instructions!$F$51,AR215+1,AR215))))))</f>
        <v>18</v>
      </c>
      <c r="AS216" s="321" t="str">
        <f t="shared" si="57"/>
        <v>1018</v>
      </c>
      <c r="AT216" s="321">
        <f>IF(Instructions!$E$11=8,IF($D216=Instructions!$F$52,AT215+1,AT215),IF(Instructions!$E$11=10,IF($H216=Instructions!$F$52,AT215+1,AT215),IF(Instructions!$E$11=12,IF($L216=Instructions!$F$52,AT215+1,AT215),IF(Instructions!$E$11=14,IF($P216=Instructions!$F$52,AT215+1,AT215),IF(Instructions!$E$11=16,IF($T216=Instructions!$F$52,AT215+1,AT215))))))</f>
        <v>18</v>
      </c>
      <c r="AU216" s="321" t="str">
        <f t="shared" si="58"/>
        <v>1118</v>
      </c>
      <c r="AV216" s="321">
        <f>IF(Instructions!$E$11=8,IF($D216=Instructions!$F$53,AV215+1,AV215),IF(Instructions!$E$11=10,IF($H216=Instructions!$F$53,AV215+1,AV215),IF(Instructions!$E$11=12,IF($L216=Instructions!$F$53,AV215+1,AV215),IF(Instructions!$E$11=14,IF($P216=Instructions!$F$53,AV215+1,AV215),IF(Instructions!$E$11=16,IF($T216=Instructions!$F$53,AV215+1,AV215))))))</f>
        <v>18</v>
      </c>
      <c r="AW216" s="321" t="str">
        <f t="shared" si="59"/>
        <v>1218</v>
      </c>
      <c r="AX216" s="321">
        <f>IF(Instructions!$E$11=8,IF($D216=Instructions!$F$54,AX215+1,AX215),IF(Instructions!$E$11=10,IF($H216=Instructions!$F$54,AX215+1,AX215),IF(Instructions!$E$11=12,IF($L216=Instructions!$F$54,AX215+1,AX215),IF(Instructions!$E$11=14,IF($P216=Instructions!$F$54,AX215+1,AX215),IF(Instructions!$E$11=16,IF($T216=Instructions!$F$54,AX215+1,AX215))))))</f>
        <v>0</v>
      </c>
      <c r="AY216" s="321" t="str">
        <f t="shared" si="60"/>
        <v>1300</v>
      </c>
      <c r="AZ216" s="321">
        <f>IF(Instructions!$E$11=8,IF($D216=Instructions!$F$55,AZ215+1,AZ215),IF(Instructions!$E$11=10,IF($H216=Instructions!$F$55,AZ215+1,AZ215),IF(Instructions!$E$11=12,IF($L216=Instructions!$F$55,AZ215+1,AZ215),IF(Instructions!$E$11=14,IF($P216=Instructions!$F$55,AZ215+1,AZ215),IF(Instructions!$E$11=16,IF($T216=Instructions!$F$55,AZ215+1,AZ215))))))</f>
        <v>0</v>
      </c>
      <c r="BA216" s="321" t="str">
        <f t="shared" si="61"/>
        <v>1400</v>
      </c>
      <c r="BB216" s="321">
        <f>IF(Instructions!$E$11=8,IF($D216=Instructions!$F$56,BB215+1,BB215),IF(Instructions!$E$11=10,IF($H216=Instructions!$F$56,BB215+1,BB215),IF(Instructions!$E$11=12,IF($L216=Instructions!$F$56,BB215+1,BB215),IF(Instructions!$E$11=14,IF($P216=Instructions!$F$56,BB215+1,BB215),IF(Instructions!$E$11=16,IF($T216=Instructions!$F$56,BB215+1,BB215))))))</f>
        <v>0</v>
      </c>
      <c r="BC216" s="321" t="str">
        <f t="shared" si="62"/>
        <v>1500</v>
      </c>
      <c r="BD216" s="321">
        <f>IF(Instructions!$E$11=8,IF($D216=Instructions!$F$57,BD215+1,BD215),IF(Instructions!$E$11=10,IF($H216=Instructions!$F$57,BD215+1,BD215),IF(Instructions!$E$11=12,IF($L216=Instructions!$F$57,BD215+1,BD215),IF(Instructions!$E$11=14,IF($P216=Instructions!$F$57,BD215+1,BD215),IF(Instructions!$E$11=16,IF($T216=Instructions!$F$57,BD215+1,BD215))))))</f>
        <v>0</v>
      </c>
      <c r="BE216" s="321" t="str">
        <f t="shared" si="63"/>
        <v>1600</v>
      </c>
      <c r="BF216" s="321">
        <v>214</v>
      </c>
    </row>
    <row r="217" spans="1:58" x14ac:dyDescent="0.25">
      <c r="A217" s="280"/>
      <c r="B217" s="323" t="str">
        <f>IF(Instructions!$J$11=1,AA217,IF(Instructions!$J$11=2,AC217,IF(Instructions!$J$11=3,AE217,IF(Instructions!$J$11=4,AG217,IF(Instructions!$J$11=5,AI217,IF(Instructions!$J$11=6,AK217,IF(Instructions!$J$11=7,AM217,IF(Instructions!$J$11=8,AO217,IF(Instructions!$J$11=9,AQ217,IF(Instructions!$J$11=10,AS217,IF(Instructions!$J$11=11,AU217,IF(Instructions!$J$11=12,AW217,IF(Instructions!$J$11=13, AY217, IF(Instructions!$J$11=14,BA217,IF(Instructions!$J$11=15,BC217,BE217)))))))))))))))</f>
        <v>218</v>
      </c>
      <c r="C217" s="271">
        <v>215</v>
      </c>
      <c r="D217" s="281"/>
      <c r="E217" s="282"/>
      <c r="F217" s="281"/>
      <c r="G217" s="279"/>
      <c r="H217" s="293" t="str">
        <f>Instructions!F$47</f>
        <v>Devin</v>
      </c>
      <c r="I217" s="273" t="s">
        <v>1508</v>
      </c>
      <c r="J217" s="709"/>
      <c r="K217" s="279">
        <v>22</v>
      </c>
      <c r="L217" s="293" t="str">
        <f>Instructions!F$43</f>
        <v>Camden</v>
      </c>
      <c r="M217" s="273" t="s">
        <v>1556</v>
      </c>
      <c r="N217" s="709"/>
      <c r="O217" s="279">
        <v>18</v>
      </c>
      <c r="P217" s="293" t="str">
        <f>Instructions!F$51</f>
        <v>Josh</v>
      </c>
      <c r="Q217" s="273" t="s">
        <v>1091</v>
      </c>
      <c r="R217" s="709"/>
      <c r="S217" s="279">
        <v>16</v>
      </c>
      <c r="T217" s="328" t="str">
        <f>Instructions!F$51</f>
        <v>Josh</v>
      </c>
      <c r="U217" s="273" t="s">
        <v>869</v>
      </c>
      <c r="V217" s="706"/>
      <c r="W217" s="279">
        <v>14</v>
      </c>
      <c r="X217" s="280"/>
      <c r="Y217" s="190" t="str">
        <f>IFERROR( IF(Instructions!$E$11=8, D217&amp;COUNTIF(D$3:D217,D217), IF(Instructions!$E$11=10, H217&amp;COUNTIF(H$3:H217,H217),IF(Instructions!$E$11=12, L217&amp;COUNTIF(L$3:L217,L217),IF(Instructions!$E$11=14, P217&amp;COUNTIF(P$3:P217,P217),T217&amp;COUNTIF(T$3:T217,T217))))),"")</f>
        <v>Camden18</v>
      </c>
      <c r="Z217" s="321">
        <f>IF(Instructions!$E$11=8,IF($D217=Instructions!$F$42,Z216+1,Z216),IF(Instructions!$E$11=10,IF($H217=Instructions!$F$42,Z216+1,Z216),IF(Instructions!$E$11=12,IF($L217=Instructions!$F$42,Z216+1,Z216),IF(Instructions!$E$11=14,IF($P217=Instructions!$F$42,Z216+1,Z216),IF(Instructions!$E$11=16,IF($T217=Instructions!$F$42,Z216+1,Z216))))))</f>
        <v>17</v>
      </c>
      <c r="AA217" s="321" t="str">
        <f t="shared" si="56"/>
        <v>117</v>
      </c>
      <c r="AB217" s="321">
        <f>IF(Instructions!$E$11=8,IF($D217=Instructions!$F$43,AB216+1,AB216),IF(Instructions!$E$11=10,IF($H217=Instructions!$F$43,AB216+1,AB216),IF(Instructions!$E$11=12,IF($L217=Instructions!$F$43,AB216+1,AB216),IF(Instructions!$E$11=14,IF($P217=Instructions!$F$43,AB216+1,AB216),IF(Instructions!$E$11=16,IF($T217=Instructions!$F$43,AB216+1,AB216))))))</f>
        <v>18</v>
      </c>
      <c r="AC217" s="321" t="str">
        <f t="shared" si="48"/>
        <v>218</v>
      </c>
      <c r="AD217" s="321">
        <f>IF(Instructions!$E$11=8,IF($D217=Instructions!$F$44,AD216+1,AD216),IF(Instructions!$E$11=10,IF($H217=Instructions!$F$44,AD216+1,AD216),IF(Instructions!$E$11=12,IF($L217=Instructions!$F$44,AD216+1,AD216),IF(Instructions!$E$11=14,IF($P217=Instructions!$F$44,AD216+1,AD216),IF(Instructions!$E$11=16,IF($T217=Instructions!$F$44,AD216+1,AD216))))))</f>
        <v>18</v>
      </c>
      <c r="AE217" s="321" t="str">
        <f t="shared" si="49"/>
        <v>318</v>
      </c>
      <c r="AF217" s="321">
        <f>IF(Instructions!$E$11=8,IF($D217=Instructions!$F$45,AF216+1,AF216),IF(Instructions!$E$11=10,IF($H217=Instructions!$F$45,AF216+1,AF216),IF(Instructions!$E$11=12,IF($L217=Instructions!$F$45,AF216+1,AF216),IF(Instructions!$E$11=14,IF($P217=Instructions!$F$45,AF216+1,AF216),IF(Instructions!$E$11=16,IF($T217=Instructions!$F$45,AF216+1,AF216))))))</f>
        <v>18</v>
      </c>
      <c r="AG217" s="321" t="str">
        <f t="shared" si="50"/>
        <v>418</v>
      </c>
      <c r="AH217" s="321">
        <f>IF(Instructions!$E$11=8,IF($D217=Instructions!$F$46,AH216+1,AH216),IF(Instructions!$E$11=10,IF($H217=Instructions!$F$46,AH216+1,AH216),IF(Instructions!$E$11=12,IF($L217=Instructions!$F$46,AH216+1,AH216),IF(Instructions!$E$11=14,IF($P217=Instructions!$F$46,AH216+1,AH216),IF(Instructions!$E$11=16,IF($T217=Instructions!$F$46,AH216+1,AH216))))))</f>
        <v>18</v>
      </c>
      <c r="AI217" s="321" t="str">
        <f t="shared" si="51"/>
        <v>518</v>
      </c>
      <c r="AJ217" s="321">
        <f>IF(Instructions!$E$11=8,IF($D217=Instructions!$F$47,AJ216+1,AJ216),IF(Instructions!$E$11=10,IF($H217=Instructions!$F$47,AJ216+1,AJ216),IF(Instructions!$E$11=12,IF($L217=Instructions!$F$47,AJ216+1,AJ216),IF(Instructions!$E$11=14,IF($P217=Instructions!$F$47,AJ216+1,AJ216),IF(Instructions!$E$11=16,IF($T217=Instructions!$F$47,AJ216+1,AJ216))))))</f>
        <v>18</v>
      </c>
      <c r="AK217" s="321" t="str">
        <f t="shared" si="52"/>
        <v>618</v>
      </c>
      <c r="AL217" s="321">
        <f>IF(Instructions!$E$11=8,IF($D217=Instructions!$F$48,AL216+1,AL216),IF(Instructions!$E$11=10,IF($H217=Instructions!$F$48,AL216+1,AL216),IF(Instructions!$E$11=12,IF($L217=Instructions!$F$48,AL216+1,AL216),IF(Instructions!$E$11=14,IF($P217=Instructions!$F$48,AL216+1,AL216),IF(Instructions!$E$11=16,IF($T217=Instructions!$F$48,AL216+1,AL216))))))</f>
        <v>18</v>
      </c>
      <c r="AM217" s="321" t="str">
        <f t="shared" si="53"/>
        <v>718</v>
      </c>
      <c r="AN217" s="321">
        <f>IF(Instructions!$E$11=8,IF($D217=Instructions!$F$49,AN216+1,AN216),IF(Instructions!$E$11=10,IF($H217=Instructions!$F$49,AN216+1,AN216),IF(Instructions!$E$11=12,IF($L217=Instructions!$F$49,AN216+1,AN216),IF(Instructions!$E$11=14,IF($P217=Instructions!$F$49,AN216+1,AN216),IF(Instructions!$E$11=16,IF($T217=Instructions!$F$49,AN216+1,AN216))))))</f>
        <v>18</v>
      </c>
      <c r="AO217" s="321" t="str">
        <f t="shared" si="54"/>
        <v>818</v>
      </c>
      <c r="AP217" s="321">
        <f>IF(Instructions!$E$11=8,IF($D217=Instructions!$F$50,AP216+1,AP216),IF(Instructions!$E$11=10,IF($H217=Instructions!$F$50,AP216+1,AP216),IF(Instructions!$E$11=12,IF($L217=Instructions!$F$50,AP216+1,AP216),IF(Instructions!$E$11=14,IF($P217=Instructions!$F$50,AP216+1,AP216),IF(Instructions!$E$11=16,IF($T217=Instructions!$F$50,AP216+1,AP216))))))</f>
        <v>18</v>
      </c>
      <c r="AQ217" s="321" t="str">
        <f t="shared" si="55"/>
        <v>918</v>
      </c>
      <c r="AR217" s="321">
        <f>IF(Instructions!$E$11=8,IF($D217=Instructions!$F$51,AR216+1,AR216),IF(Instructions!$E$11=10,IF($H217=Instructions!$F$51,AR216+1,AR216),IF(Instructions!$E$11=12,IF($L217=Instructions!$F$51,AR216+1,AR216),IF(Instructions!$E$11=14,IF($P217=Instructions!$F$51,AR216+1,AR216),IF(Instructions!$E$11=16,IF($T217=Instructions!$F$51,AR216+1,AR216))))))</f>
        <v>18</v>
      </c>
      <c r="AS217" s="321" t="str">
        <f t="shared" si="57"/>
        <v>1018</v>
      </c>
      <c r="AT217" s="321">
        <f>IF(Instructions!$E$11=8,IF($D217=Instructions!$F$52,AT216+1,AT216),IF(Instructions!$E$11=10,IF($H217=Instructions!$F$52,AT216+1,AT216),IF(Instructions!$E$11=12,IF($L217=Instructions!$F$52,AT216+1,AT216),IF(Instructions!$E$11=14,IF($P217=Instructions!$F$52,AT216+1,AT216),IF(Instructions!$E$11=16,IF($T217=Instructions!$F$52,AT216+1,AT216))))))</f>
        <v>18</v>
      </c>
      <c r="AU217" s="321" t="str">
        <f t="shared" si="58"/>
        <v>1118</v>
      </c>
      <c r="AV217" s="321">
        <f>IF(Instructions!$E$11=8,IF($D217=Instructions!$F$53,AV216+1,AV216),IF(Instructions!$E$11=10,IF($H217=Instructions!$F$53,AV216+1,AV216),IF(Instructions!$E$11=12,IF($L217=Instructions!$F$53,AV216+1,AV216),IF(Instructions!$E$11=14,IF($P217=Instructions!$F$53,AV216+1,AV216),IF(Instructions!$E$11=16,IF($T217=Instructions!$F$53,AV216+1,AV216))))))</f>
        <v>18</v>
      </c>
      <c r="AW217" s="321" t="str">
        <f t="shared" si="59"/>
        <v>1218</v>
      </c>
      <c r="AX217" s="321">
        <f>IF(Instructions!$E$11=8,IF($D217=Instructions!$F$54,AX216+1,AX216),IF(Instructions!$E$11=10,IF($H217=Instructions!$F$54,AX216+1,AX216),IF(Instructions!$E$11=12,IF($L217=Instructions!$F$54,AX216+1,AX216),IF(Instructions!$E$11=14,IF($P217=Instructions!$F$54,AX216+1,AX216),IF(Instructions!$E$11=16,IF($T217=Instructions!$F$54,AX216+1,AX216))))))</f>
        <v>0</v>
      </c>
      <c r="AY217" s="321" t="str">
        <f t="shared" si="60"/>
        <v>1300</v>
      </c>
      <c r="AZ217" s="321">
        <f>IF(Instructions!$E$11=8,IF($D217=Instructions!$F$55,AZ216+1,AZ216),IF(Instructions!$E$11=10,IF($H217=Instructions!$F$55,AZ216+1,AZ216),IF(Instructions!$E$11=12,IF($L217=Instructions!$F$55,AZ216+1,AZ216),IF(Instructions!$E$11=14,IF($P217=Instructions!$F$55,AZ216+1,AZ216),IF(Instructions!$E$11=16,IF($T217=Instructions!$F$55,AZ216+1,AZ216))))))</f>
        <v>0</v>
      </c>
      <c r="BA217" s="321" t="str">
        <f t="shared" si="61"/>
        <v>1400</v>
      </c>
      <c r="BB217" s="321">
        <f>IF(Instructions!$E$11=8,IF($D217=Instructions!$F$56,BB216+1,BB216),IF(Instructions!$E$11=10,IF($H217=Instructions!$F$56,BB216+1,BB216),IF(Instructions!$E$11=12,IF($L217=Instructions!$F$56,BB216+1,BB216),IF(Instructions!$E$11=14,IF($P217=Instructions!$F$56,BB216+1,BB216),IF(Instructions!$E$11=16,IF($T217=Instructions!$F$56,BB216+1,BB216))))))</f>
        <v>0</v>
      </c>
      <c r="BC217" s="321" t="str">
        <f t="shared" si="62"/>
        <v>1500</v>
      </c>
      <c r="BD217" s="321">
        <f>IF(Instructions!$E$11=8,IF($D217=Instructions!$F$57,BD216+1,BD216),IF(Instructions!$E$11=10,IF($H217=Instructions!$F$57,BD216+1,BD216),IF(Instructions!$E$11=12,IF($L217=Instructions!$F$57,BD216+1,BD216),IF(Instructions!$E$11=14,IF($P217=Instructions!$F$57,BD216+1,BD216),IF(Instructions!$E$11=16,IF($T217=Instructions!$F$57,BD216+1,BD216))))))</f>
        <v>0</v>
      </c>
      <c r="BE217" s="321" t="str">
        <f t="shared" si="63"/>
        <v>1600</v>
      </c>
      <c r="BF217" s="321">
        <v>215</v>
      </c>
    </row>
    <row r="218" spans="1:58" ht="15.75" thickBot="1" x14ac:dyDescent="0.3">
      <c r="A218" s="280"/>
      <c r="B218" s="323" t="str">
        <f>IF(Instructions!$J$11=1,AA218,IF(Instructions!$J$11=2,AC218,IF(Instructions!$J$11=3,AE218,IF(Instructions!$J$11=4,AG218,IF(Instructions!$J$11=5,AI218,IF(Instructions!$J$11=6,AK218,IF(Instructions!$J$11=7,AM218,IF(Instructions!$J$11=8,AO218,IF(Instructions!$J$11=9,AQ218,IF(Instructions!$J$11=10,AS218,IF(Instructions!$J$11=11,AU218,IF(Instructions!$J$11=12,AW218,IF(Instructions!$J$11=13, AY218, IF(Instructions!$J$11=14,BA218,IF(Instructions!$J$11=15,BC218,BE218)))))))))))))))</f>
        <v>218</v>
      </c>
      <c r="C218" s="272">
        <v>216</v>
      </c>
      <c r="D218" s="281"/>
      <c r="E218" s="282"/>
      <c r="F218" s="281"/>
      <c r="G218" s="279"/>
      <c r="H218" s="294" t="str">
        <f>Instructions!F$46</f>
        <v>Con</v>
      </c>
      <c r="I218" s="274" t="s">
        <v>1509</v>
      </c>
      <c r="J218" s="709"/>
      <c r="K218" s="279">
        <v>22</v>
      </c>
      <c r="L218" s="295" t="str">
        <f>Instructions!F$42</f>
        <v>Trumbo</v>
      </c>
      <c r="M218" s="277" t="s">
        <v>1557</v>
      </c>
      <c r="N218" s="710"/>
      <c r="O218" s="279">
        <v>18</v>
      </c>
      <c r="P218" s="294" t="str">
        <f>Instructions!F$50</f>
        <v>Dan</v>
      </c>
      <c r="Q218" s="274" t="s">
        <v>1092</v>
      </c>
      <c r="R218" s="709"/>
      <c r="S218" s="279">
        <v>16</v>
      </c>
      <c r="T218" s="327" t="str">
        <f>Instructions!F$50</f>
        <v>Dan</v>
      </c>
      <c r="U218" s="274" t="s">
        <v>870</v>
      </c>
      <c r="V218" s="706"/>
      <c r="W218" s="279">
        <v>14</v>
      </c>
      <c r="X218" s="280"/>
      <c r="Y218" s="190" t="str">
        <f>IFERROR( IF(Instructions!$E$11=8, D218&amp;COUNTIF(D$3:D218,D218), IF(Instructions!$E$11=10, H218&amp;COUNTIF(H$3:H218,H218),IF(Instructions!$E$11=12, L218&amp;COUNTIF(L$3:L218,L218),IF(Instructions!$E$11=14, P218&amp;COUNTIF(P$3:P218,P218),T218&amp;COUNTIF(T$3:T218,T218))))),"")</f>
        <v>Trumbo18</v>
      </c>
      <c r="Z218" s="321">
        <f>IF(Instructions!$E$11=8,IF($D218=Instructions!$F$42,Z217+1,Z217),IF(Instructions!$E$11=10,IF($H218=Instructions!$F$42,Z217+1,Z217),IF(Instructions!$E$11=12,IF($L218=Instructions!$F$42,Z217+1,Z217),IF(Instructions!$E$11=14,IF($P218=Instructions!$F$42,Z217+1,Z217),IF(Instructions!$E$11=16,IF($T218=Instructions!$F$42,Z217+1,Z217))))))</f>
        <v>18</v>
      </c>
      <c r="AA218" s="321" t="str">
        <f t="shared" si="56"/>
        <v>118</v>
      </c>
      <c r="AB218" s="321">
        <f>IF(Instructions!$E$11=8,IF($D218=Instructions!$F$43,AB217+1,AB217),IF(Instructions!$E$11=10,IF($H218=Instructions!$F$43,AB217+1,AB217),IF(Instructions!$E$11=12,IF($L218=Instructions!$F$43,AB217+1,AB217),IF(Instructions!$E$11=14,IF($P218=Instructions!$F$43,AB217+1,AB217),IF(Instructions!$E$11=16,IF($T218=Instructions!$F$43,AB217+1,AB217))))))</f>
        <v>18</v>
      </c>
      <c r="AC218" s="321" t="str">
        <f t="shared" si="48"/>
        <v>218</v>
      </c>
      <c r="AD218" s="321">
        <f>IF(Instructions!$E$11=8,IF($D218=Instructions!$F$44,AD217+1,AD217),IF(Instructions!$E$11=10,IF($H218=Instructions!$F$44,AD217+1,AD217),IF(Instructions!$E$11=12,IF($L218=Instructions!$F$44,AD217+1,AD217),IF(Instructions!$E$11=14,IF($P218=Instructions!$F$44,AD217+1,AD217),IF(Instructions!$E$11=16,IF($T218=Instructions!$F$44,AD217+1,AD217))))))</f>
        <v>18</v>
      </c>
      <c r="AE218" s="321" t="str">
        <f t="shared" si="49"/>
        <v>318</v>
      </c>
      <c r="AF218" s="321">
        <f>IF(Instructions!$E$11=8,IF($D218=Instructions!$F$45,AF217+1,AF217),IF(Instructions!$E$11=10,IF($H218=Instructions!$F$45,AF217+1,AF217),IF(Instructions!$E$11=12,IF($L218=Instructions!$F$45,AF217+1,AF217),IF(Instructions!$E$11=14,IF($P218=Instructions!$F$45,AF217+1,AF217),IF(Instructions!$E$11=16,IF($T218=Instructions!$F$45,AF217+1,AF217))))))</f>
        <v>18</v>
      </c>
      <c r="AG218" s="321" t="str">
        <f t="shared" si="50"/>
        <v>418</v>
      </c>
      <c r="AH218" s="321">
        <f>IF(Instructions!$E$11=8,IF($D218=Instructions!$F$46,AH217+1,AH217),IF(Instructions!$E$11=10,IF($H218=Instructions!$F$46,AH217+1,AH217),IF(Instructions!$E$11=12,IF($L218=Instructions!$F$46,AH217+1,AH217),IF(Instructions!$E$11=14,IF($P218=Instructions!$F$46,AH217+1,AH217),IF(Instructions!$E$11=16,IF($T218=Instructions!$F$46,AH217+1,AH217))))))</f>
        <v>18</v>
      </c>
      <c r="AI218" s="321" t="str">
        <f t="shared" si="51"/>
        <v>518</v>
      </c>
      <c r="AJ218" s="321">
        <f>IF(Instructions!$E$11=8,IF($D218=Instructions!$F$47,AJ217+1,AJ217),IF(Instructions!$E$11=10,IF($H218=Instructions!$F$47,AJ217+1,AJ217),IF(Instructions!$E$11=12,IF($L218=Instructions!$F$47,AJ217+1,AJ217),IF(Instructions!$E$11=14,IF($P218=Instructions!$F$47,AJ217+1,AJ217),IF(Instructions!$E$11=16,IF($T218=Instructions!$F$47,AJ217+1,AJ217))))))</f>
        <v>18</v>
      </c>
      <c r="AK218" s="321" t="str">
        <f t="shared" si="52"/>
        <v>618</v>
      </c>
      <c r="AL218" s="321">
        <f>IF(Instructions!$E$11=8,IF($D218=Instructions!$F$48,AL217+1,AL217),IF(Instructions!$E$11=10,IF($H218=Instructions!$F$48,AL217+1,AL217),IF(Instructions!$E$11=12,IF($L218=Instructions!$F$48,AL217+1,AL217),IF(Instructions!$E$11=14,IF($P218=Instructions!$F$48,AL217+1,AL217),IF(Instructions!$E$11=16,IF($T218=Instructions!$F$48,AL217+1,AL217))))))</f>
        <v>18</v>
      </c>
      <c r="AM218" s="321" t="str">
        <f t="shared" si="53"/>
        <v>718</v>
      </c>
      <c r="AN218" s="321">
        <f>IF(Instructions!$E$11=8,IF($D218=Instructions!$F$49,AN217+1,AN217),IF(Instructions!$E$11=10,IF($H218=Instructions!$F$49,AN217+1,AN217),IF(Instructions!$E$11=12,IF($L218=Instructions!$F$49,AN217+1,AN217),IF(Instructions!$E$11=14,IF($P218=Instructions!$F$49,AN217+1,AN217),IF(Instructions!$E$11=16,IF($T218=Instructions!$F$49,AN217+1,AN217))))))</f>
        <v>18</v>
      </c>
      <c r="AO218" s="321" t="str">
        <f t="shared" si="54"/>
        <v>818</v>
      </c>
      <c r="AP218" s="321">
        <f>IF(Instructions!$E$11=8,IF($D218=Instructions!$F$50,AP217+1,AP217),IF(Instructions!$E$11=10,IF($H218=Instructions!$F$50,AP217+1,AP217),IF(Instructions!$E$11=12,IF($L218=Instructions!$F$50,AP217+1,AP217),IF(Instructions!$E$11=14,IF($P218=Instructions!$F$50,AP217+1,AP217),IF(Instructions!$E$11=16,IF($T218=Instructions!$F$50,AP217+1,AP217))))))</f>
        <v>18</v>
      </c>
      <c r="AQ218" s="321" t="str">
        <f t="shared" si="55"/>
        <v>918</v>
      </c>
      <c r="AR218" s="321">
        <f>IF(Instructions!$E$11=8,IF($D218=Instructions!$F$51,AR217+1,AR217),IF(Instructions!$E$11=10,IF($H218=Instructions!$F$51,AR217+1,AR217),IF(Instructions!$E$11=12,IF($L218=Instructions!$F$51,AR217+1,AR217),IF(Instructions!$E$11=14,IF($P218=Instructions!$F$51,AR217+1,AR217),IF(Instructions!$E$11=16,IF($T218=Instructions!$F$51,AR217+1,AR217))))))</f>
        <v>18</v>
      </c>
      <c r="AS218" s="321" t="str">
        <f t="shared" si="57"/>
        <v>1018</v>
      </c>
      <c r="AT218" s="321">
        <f>IF(Instructions!$E$11=8,IF($D218=Instructions!$F$52,AT217+1,AT217),IF(Instructions!$E$11=10,IF($H218=Instructions!$F$52,AT217+1,AT217),IF(Instructions!$E$11=12,IF($L218=Instructions!$F$52,AT217+1,AT217),IF(Instructions!$E$11=14,IF($P218=Instructions!$F$52,AT217+1,AT217),IF(Instructions!$E$11=16,IF($T218=Instructions!$F$52,AT217+1,AT217))))))</f>
        <v>18</v>
      </c>
      <c r="AU218" s="321" t="str">
        <f t="shared" si="58"/>
        <v>1118</v>
      </c>
      <c r="AV218" s="321">
        <f>IF(Instructions!$E$11=8,IF($D218=Instructions!$F$53,AV217+1,AV217),IF(Instructions!$E$11=10,IF($H218=Instructions!$F$53,AV217+1,AV217),IF(Instructions!$E$11=12,IF($L218=Instructions!$F$53,AV217+1,AV217),IF(Instructions!$E$11=14,IF($P218=Instructions!$F$53,AV217+1,AV217),IF(Instructions!$E$11=16,IF($T218=Instructions!$F$53,AV217+1,AV217))))))</f>
        <v>18</v>
      </c>
      <c r="AW218" s="321" t="str">
        <f t="shared" si="59"/>
        <v>1218</v>
      </c>
      <c r="AX218" s="321">
        <f>IF(Instructions!$E$11=8,IF($D218=Instructions!$F$54,AX217+1,AX217),IF(Instructions!$E$11=10,IF($H218=Instructions!$F$54,AX217+1,AX217),IF(Instructions!$E$11=12,IF($L218=Instructions!$F$54,AX217+1,AX217),IF(Instructions!$E$11=14,IF($P218=Instructions!$F$54,AX217+1,AX217),IF(Instructions!$E$11=16,IF($T218=Instructions!$F$54,AX217+1,AX217))))))</f>
        <v>0</v>
      </c>
      <c r="AY218" s="321" t="str">
        <f t="shared" si="60"/>
        <v>1300</v>
      </c>
      <c r="AZ218" s="321">
        <f>IF(Instructions!$E$11=8,IF($D218=Instructions!$F$55,AZ217+1,AZ217),IF(Instructions!$E$11=10,IF($H218=Instructions!$F$55,AZ217+1,AZ217),IF(Instructions!$E$11=12,IF($L218=Instructions!$F$55,AZ217+1,AZ217),IF(Instructions!$E$11=14,IF($P218=Instructions!$F$55,AZ217+1,AZ217),IF(Instructions!$E$11=16,IF($T218=Instructions!$F$55,AZ217+1,AZ217))))))</f>
        <v>0</v>
      </c>
      <c r="BA218" s="321" t="str">
        <f t="shared" si="61"/>
        <v>1400</v>
      </c>
      <c r="BB218" s="321">
        <f>IF(Instructions!$E$11=8,IF($D218=Instructions!$F$56,BB217+1,BB217),IF(Instructions!$E$11=10,IF($H218=Instructions!$F$56,BB217+1,BB217),IF(Instructions!$E$11=12,IF($L218=Instructions!$F$56,BB217+1,BB217),IF(Instructions!$E$11=14,IF($P218=Instructions!$F$56,BB217+1,BB217),IF(Instructions!$E$11=16,IF($T218=Instructions!$F$56,BB217+1,BB217))))))</f>
        <v>0</v>
      </c>
      <c r="BC218" s="321" t="str">
        <f t="shared" si="62"/>
        <v>1500</v>
      </c>
      <c r="BD218" s="321">
        <f>IF(Instructions!$E$11=8,IF($D218=Instructions!$F$57,BD217+1,BD217),IF(Instructions!$E$11=10,IF($H218=Instructions!$F$57,BD217+1,BD217),IF(Instructions!$E$11=12,IF($L218=Instructions!$F$57,BD217+1,BD217),IF(Instructions!$E$11=14,IF($P218=Instructions!$F$57,BD217+1,BD217),IF(Instructions!$E$11=16,IF($T218=Instructions!$F$57,BD217+1,BD217))))))</f>
        <v>0</v>
      </c>
      <c r="BE218" s="321" t="str">
        <f t="shared" si="63"/>
        <v>1600</v>
      </c>
      <c r="BF218" s="321">
        <v>216</v>
      </c>
    </row>
    <row r="219" spans="1:58" ht="15" customHeight="1" x14ac:dyDescent="0.25">
      <c r="A219" s="280"/>
      <c r="B219" s="323" t="str">
        <f>IF(Instructions!$J$11=1,AA219,IF(Instructions!$J$11=2,AC219,IF(Instructions!$J$11=3,AE219,IF(Instructions!$J$11=4,AG219,IF(Instructions!$J$11=5,AI219,IF(Instructions!$J$11=6,AK219,IF(Instructions!$J$11=7,AM219,IF(Instructions!$J$11=8,AO219,IF(Instructions!$J$11=9,AQ219,IF(Instructions!$J$11=10,AS219,IF(Instructions!$J$11=11,AU219,IF(Instructions!$J$11=12,AW219,IF(Instructions!$J$11=13, AY219, IF(Instructions!$J$11=14,BA219,IF(Instructions!$J$11=15,BC219,BE219)))))))))))))))</f>
        <v>218</v>
      </c>
      <c r="C219" s="271">
        <v>217</v>
      </c>
      <c r="D219" s="281"/>
      <c r="E219" s="282"/>
      <c r="F219" s="281"/>
      <c r="G219" s="279"/>
      <c r="H219" s="293" t="str">
        <f>Instructions!F$45</f>
        <v>Miles</v>
      </c>
      <c r="I219" s="273" t="s">
        <v>1510</v>
      </c>
      <c r="J219" s="709"/>
      <c r="K219" s="279">
        <v>22</v>
      </c>
      <c r="L219" s="292" t="str">
        <f>Instructions!F$42</f>
        <v>Trumbo</v>
      </c>
      <c r="M219" s="276" t="s">
        <v>1480</v>
      </c>
      <c r="N219" s="708" t="s">
        <v>1457</v>
      </c>
      <c r="O219" s="279">
        <v>19</v>
      </c>
      <c r="P219" s="293" t="str">
        <f>Instructions!F$49</f>
        <v>Luke</v>
      </c>
      <c r="Q219" s="273" t="s">
        <v>1093</v>
      </c>
      <c r="R219" s="709"/>
      <c r="S219" s="279">
        <v>16</v>
      </c>
      <c r="T219" s="328" t="str">
        <f>Instructions!F$49</f>
        <v>Luke</v>
      </c>
      <c r="U219" s="273" t="s">
        <v>871</v>
      </c>
      <c r="V219" s="706"/>
      <c r="W219" s="279">
        <v>14</v>
      </c>
      <c r="X219" s="280"/>
      <c r="Y219" s="190" t="str">
        <f>IFERROR( IF(Instructions!$E$11=8, D219&amp;COUNTIF(D$3:D219,D219), IF(Instructions!$E$11=10, H219&amp;COUNTIF(H$3:H219,H219),IF(Instructions!$E$11=12, L219&amp;COUNTIF(L$3:L219,L219),IF(Instructions!$E$11=14, P219&amp;COUNTIF(P$3:P219,P219),T219&amp;COUNTIF(T$3:T219,T219))))),"")</f>
        <v>Trumbo19</v>
      </c>
      <c r="Z219" s="321">
        <f>IF(Instructions!$E$11=8,IF($D219=Instructions!$F$42,Z218+1,Z218),IF(Instructions!$E$11=10,IF($H219=Instructions!$F$42,Z218+1,Z218),IF(Instructions!$E$11=12,IF($L219=Instructions!$F$42,Z218+1,Z218),IF(Instructions!$E$11=14,IF($P219=Instructions!$F$42,Z218+1,Z218),IF(Instructions!$E$11=16,IF($T219=Instructions!$F$42,Z218+1,Z218))))))</f>
        <v>19</v>
      </c>
      <c r="AA219" s="321" t="str">
        <f t="shared" si="56"/>
        <v>119</v>
      </c>
      <c r="AB219" s="321">
        <f>IF(Instructions!$E$11=8,IF($D219=Instructions!$F$43,AB218+1,AB218),IF(Instructions!$E$11=10,IF($H219=Instructions!$F$43,AB218+1,AB218),IF(Instructions!$E$11=12,IF($L219=Instructions!$F$43,AB218+1,AB218),IF(Instructions!$E$11=14,IF($P219=Instructions!$F$43,AB218+1,AB218),IF(Instructions!$E$11=16,IF($T219=Instructions!$F$43,AB218+1,AB218))))))</f>
        <v>18</v>
      </c>
      <c r="AC219" s="321" t="str">
        <f t="shared" si="48"/>
        <v>218</v>
      </c>
      <c r="AD219" s="321">
        <f>IF(Instructions!$E$11=8,IF($D219=Instructions!$F$44,AD218+1,AD218),IF(Instructions!$E$11=10,IF($H219=Instructions!$F$44,AD218+1,AD218),IF(Instructions!$E$11=12,IF($L219=Instructions!$F$44,AD218+1,AD218),IF(Instructions!$E$11=14,IF($P219=Instructions!$F$44,AD218+1,AD218),IF(Instructions!$E$11=16,IF($T219=Instructions!$F$44,AD218+1,AD218))))))</f>
        <v>18</v>
      </c>
      <c r="AE219" s="321" t="str">
        <f t="shared" si="49"/>
        <v>318</v>
      </c>
      <c r="AF219" s="321">
        <f>IF(Instructions!$E$11=8,IF($D219=Instructions!$F$45,AF218+1,AF218),IF(Instructions!$E$11=10,IF($H219=Instructions!$F$45,AF218+1,AF218),IF(Instructions!$E$11=12,IF($L219=Instructions!$F$45,AF218+1,AF218),IF(Instructions!$E$11=14,IF($P219=Instructions!$F$45,AF218+1,AF218),IF(Instructions!$E$11=16,IF($T219=Instructions!$F$45,AF218+1,AF218))))))</f>
        <v>18</v>
      </c>
      <c r="AG219" s="321" t="str">
        <f t="shared" si="50"/>
        <v>418</v>
      </c>
      <c r="AH219" s="321">
        <f>IF(Instructions!$E$11=8,IF($D219=Instructions!$F$46,AH218+1,AH218),IF(Instructions!$E$11=10,IF($H219=Instructions!$F$46,AH218+1,AH218),IF(Instructions!$E$11=12,IF($L219=Instructions!$F$46,AH218+1,AH218),IF(Instructions!$E$11=14,IF($P219=Instructions!$F$46,AH218+1,AH218),IF(Instructions!$E$11=16,IF($T219=Instructions!$F$46,AH218+1,AH218))))))</f>
        <v>18</v>
      </c>
      <c r="AI219" s="321" t="str">
        <f t="shared" si="51"/>
        <v>518</v>
      </c>
      <c r="AJ219" s="321">
        <f>IF(Instructions!$E$11=8,IF($D219=Instructions!$F$47,AJ218+1,AJ218),IF(Instructions!$E$11=10,IF($H219=Instructions!$F$47,AJ218+1,AJ218),IF(Instructions!$E$11=12,IF($L219=Instructions!$F$47,AJ218+1,AJ218),IF(Instructions!$E$11=14,IF($P219=Instructions!$F$47,AJ218+1,AJ218),IF(Instructions!$E$11=16,IF($T219=Instructions!$F$47,AJ218+1,AJ218))))))</f>
        <v>18</v>
      </c>
      <c r="AK219" s="321" t="str">
        <f t="shared" si="52"/>
        <v>618</v>
      </c>
      <c r="AL219" s="321">
        <f>IF(Instructions!$E$11=8,IF($D219=Instructions!$F$48,AL218+1,AL218),IF(Instructions!$E$11=10,IF($H219=Instructions!$F$48,AL218+1,AL218),IF(Instructions!$E$11=12,IF($L219=Instructions!$F$48,AL218+1,AL218),IF(Instructions!$E$11=14,IF($P219=Instructions!$F$48,AL218+1,AL218),IF(Instructions!$E$11=16,IF($T219=Instructions!$F$48,AL218+1,AL218))))))</f>
        <v>18</v>
      </c>
      <c r="AM219" s="321" t="str">
        <f t="shared" si="53"/>
        <v>718</v>
      </c>
      <c r="AN219" s="321">
        <f>IF(Instructions!$E$11=8,IF($D219=Instructions!$F$49,AN218+1,AN218),IF(Instructions!$E$11=10,IF($H219=Instructions!$F$49,AN218+1,AN218),IF(Instructions!$E$11=12,IF($L219=Instructions!$F$49,AN218+1,AN218),IF(Instructions!$E$11=14,IF($P219=Instructions!$F$49,AN218+1,AN218),IF(Instructions!$E$11=16,IF($T219=Instructions!$F$49,AN218+1,AN218))))))</f>
        <v>18</v>
      </c>
      <c r="AO219" s="321" t="str">
        <f t="shared" si="54"/>
        <v>818</v>
      </c>
      <c r="AP219" s="321">
        <f>IF(Instructions!$E$11=8,IF($D219=Instructions!$F$50,AP218+1,AP218),IF(Instructions!$E$11=10,IF($H219=Instructions!$F$50,AP218+1,AP218),IF(Instructions!$E$11=12,IF($L219=Instructions!$F$50,AP218+1,AP218),IF(Instructions!$E$11=14,IF($P219=Instructions!$F$50,AP218+1,AP218),IF(Instructions!$E$11=16,IF($T219=Instructions!$F$50,AP218+1,AP218))))))</f>
        <v>18</v>
      </c>
      <c r="AQ219" s="321" t="str">
        <f t="shared" si="55"/>
        <v>918</v>
      </c>
      <c r="AR219" s="321">
        <f>IF(Instructions!$E$11=8,IF($D219=Instructions!$F$51,AR218+1,AR218),IF(Instructions!$E$11=10,IF($H219=Instructions!$F$51,AR218+1,AR218),IF(Instructions!$E$11=12,IF($L219=Instructions!$F$51,AR218+1,AR218),IF(Instructions!$E$11=14,IF($P219=Instructions!$F$51,AR218+1,AR218),IF(Instructions!$E$11=16,IF($T219=Instructions!$F$51,AR218+1,AR218))))))</f>
        <v>18</v>
      </c>
      <c r="AS219" s="321" t="str">
        <f t="shared" si="57"/>
        <v>1018</v>
      </c>
      <c r="AT219" s="321">
        <f>IF(Instructions!$E$11=8,IF($D219=Instructions!$F$52,AT218+1,AT218),IF(Instructions!$E$11=10,IF($H219=Instructions!$F$52,AT218+1,AT218),IF(Instructions!$E$11=12,IF($L219=Instructions!$F$52,AT218+1,AT218),IF(Instructions!$E$11=14,IF($P219=Instructions!$F$52,AT218+1,AT218),IF(Instructions!$E$11=16,IF($T219=Instructions!$F$52,AT218+1,AT218))))))</f>
        <v>18</v>
      </c>
      <c r="AU219" s="321" t="str">
        <f t="shared" si="58"/>
        <v>1118</v>
      </c>
      <c r="AV219" s="321">
        <f>IF(Instructions!$E$11=8,IF($D219=Instructions!$F$53,AV218+1,AV218),IF(Instructions!$E$11=10,IF($H219=Instructions!$F$53,AV218+1,AV218),IF(Instructions!$E$11=12,IF($L219=Instructions!$F$53,AV218+1,AV218),IF(Instructions!$E$11=14,IF($P219=Instructions!$F$53,AV218+1,AV218),IF(Instructions!$E$11=16,IF($T219=Instructions!$F$53,AV218+1,AV218))))))</f>
        <v>18</v>
      </c>
      <c r="AW219" s="321" t="str">
        <f t="shared" si="59"/>
        <v>1218</v>
      </c>
      <c r="AX219" s="321">
        <f>IF(Instructions!$E$11=8,IF($D219=Instructions!$F$54,AX218+1,AX218),IF(Instructions!$E$11=10,IF($H219=Instructions!$F$54,AX218+1,AX218),IF(Instructions!$E$11=12,IF($L219=Instructions!$F$54,AX218+1,AX218),IF(Instructions!$E$11=14,IF($P219=Instructions!$F$54,AX218+1,AX218),IF(Instructions!$E$11=16,IF($T219=Instructions!$F$54,AX218+1,AX218))))))</f>
        <v>0</v>
      </c>
      <c r="AY219" s="321" t="str">
        <f t="shared" si="60"/>
        <v>1300</v>
      </c>
      <c r="AZ219" s="321">
        <f>IF(Instructions!$E$11=8,IF($D219=Instructions!$F$55,AZ218+1,AZ218),IF(Instructions!$E$11=10,IF($H219=Instructions!$F$55,AZ218+1,AZ218),IF(Instructions!$E$11=12,IF($L219=Instructions!$F$55,AZ218+1,AZ218),IF(Instructions!$E$11=14,IF($P219=Instructions!$F$55,AZ218+1,AZ218),IF(Instructions!$E$11=16,IF($T219=Instructions!$F$55,AZ218+1,AZ218))))))</f>
        <v>0</v>
      </c>
      <c r="BA219" s="321" t="str">
        <f t="shared" si="61"/>
        <v>1400</v>
      </c>
      <c r="BB219" s="321">
        <f>IF(Instructions!$E$11=8,IF($D219=Instructions!$F$56,BB218+1,BB218),IF(Instructions!$E$11=10,IF($H219=Instructions!$F$56,BB218+1,BB218),IF(Instructions!$E$11=12,IF($L219=Instructions!$F$56,BB218+1,BB218),IF(Instructions!$E$11=14,IF($P219=Instructions!$F$56,BB218+1,BB218),IF(Instructions!$E$11=16,IF($T219=Instructions!$F$56,BB218+1,BB218))))))</f>
        <v>0</v>
      </c>
      <c r="BC219" s="321" t="str">
        <f t="shared" si="62"/>
        <v>1500</v>
      </c>
      <c r="BD219" s="321">
        <f>IF(Instructions!$E$11=8,IF($D219=Instructions!$F$57,BD218+1,BD218),IF(Instructions!$E$11=10,IF($H219=Instructions!$F$57,BD218+1,BD218),IF(Instructions!$E$11=12,IF($L219=Instructions!$F$57,BD218+1,BD218),IF(Instructions!$E$11=14,IF($P219=Instructions!$F$57,BD218+1,BD218),IF(Instructions!$E$11=16,IF($T219=Instructions!$F$57,BD218+1,BD218))))))</f>
        <v>0</v>
      </c>
      <c r="BE219" s="321" t="str">
        <f t="shared" si="63"/>
        <v>1600</v>
      </c>
      <c r="BF219" s="321">
        <v>217</v>
      </c>
    </row>
    <row r="220" spans="1:58" x14ac:dyDescent="0.25">
      <c r="A220" s="280"/>
      <c r="B220" s="323" t="str">
        <f>IF(Instructions!$J$11=1,AA220,IF(Instructions!$J$11=2,AC220,IF(Instructions!$J$11=3,AE220,IF(Instructions!$J$11=4,AG220,IF(Instructions!$J$11=5,AI220,IF(Instructions!$J$11=6,AK220,IF(Instructions!$J$11=7,AM220,IF(Instructions!$J$11=8,AO220,IF(Instructions!$J$11=9,AQ220,IF(Instructions!$J$11=10,AS220,IF(Instructions!$J$11=11,AU220,IF(Instructions!$J$11=12,AW220,IF(Instructions!$J$11=13, AY220, IF(Instructions!$J$11=14,BA220,IF(Instructions!$J$11=15,BC220,BE220)))))))))))))))</f>
        <v>219</v>
      </c>
      <c r="C220" s="272">
        <v>218</v>
      </c>
      <c r="D220" s="281"/>
      <c r="E220" s="282"/>
      <c r="F220" s="281"/>
      <c r="G220" s="279"/>
      <c r="H220" s="294" t="str">
        <f>Instructions!F$44</f>
        <v>Cam</v>
      </c>
      <c r="I220" s="274" t="s">
        <v>1511</v>
      </c>
      <c r="J220" s="709"/>
      <c r="K220" s="279">
        <v>22</v>
      </c>
      <c r="L220" s="294" t="str">
        <f>Instructions!F$43</f>
        <v>Camden</v>
      </c>
      <c r="M220" s="274" t="s">
        <v>1481</v>
      </c>
      <c r="N220" s="709"/>
      <c r="O220" s="279">
        <v>19</v>
      </c>
      <c r="P220" s="294" t="str">
        <f>Instructions!F$48</f>
        <v>Bui</v>
      </c>
      <c r="Q220" s="274" t="s">
        <v>1094</v>
      </c>
      <c r="R220" s="709"/>
      <c r="S220" s="279">
        <v>16</v>
      </c>
      <c r="T220" s="327" t="str">
        <f>Instructions!F$48</f>
        <v>Bui</v>
      </c>
      <c r="U220" s="274" t="s">
        <v>872</v>
      </c>
      <c r="V220" s="706"/>
      <c r="W220" s="279">
        <v>14</v>
      </c>
      <c r="X220" s="280"/>
      <c r="Y220" s="190" t="str">
        <f>IFERROR( IF(Instructions!$E$11=8, D220&amp;COUNTIF(D$3:D220,D220), IF(Instructions!$E$11=10, H220&amp;COUNTIF(H$3:H220,H220),IF(Instructions!$E$11=12, L220&amp;COUNTIF(L$3:L220,L220),IF(Instructions!$E$11=14, P220&amp;COUNTIF(P$3:P220,P220),T220&amp;COUNTIF(T$3:T220,T220))))),"")</f>
        <v>Camden19</v>
      </c>
      <c r="Z220" s="321">
        <f>IF(Instructions!$E$11=8,IF($D220=Instructions!$F$42,Z219+1,Z219),IF(Instructions!$E$11=10,IF($H220=Instructions!$F$42,Z219+1,Z219),IF(Instructions!$E$11=12,IF($L220=Instructions!$F$42,Z219+1,Z219),IF(Instructions!$E$11=14,IF($P220=Instructions!$F$42,Z219+1,Z219),IF(Instructions!$E$11=16,IF($T220=Instructions!$F$42,Z219+1,Z219))))))</f>
        <v>19</v>
      </c>
      <c r="AA220" s="321" t="str">
        <f t="shared" si="56"/>
        <v>119</v>
      </c>
      <c r="AB220" s="321">
        <f>IF(Instructions!$E$11=8,IF($D220=Instructions!$F$43,AB219+1,AB219),IF(Instructions!$E$11=10,IF($H220=Instructions!$F$43,AB219+1,AB219),IF(Instructions!$E$11=12,IF($L220=Instructions!$F$43,AB219+1,AB219),IF(Instructions!$E$11=14,IF($P220=Instructions!$F$43,AB219+1,AB219),IF(Instructions!$E$11=16,IF($T220=Instructions!$F$43,AB219+1,AB219))))))</f>
        <v>19</v>
      </c>
      <c r="AC220" s="321" t="str">
        <f t="shared" si="48"/>
        <v>219</v>
      </c>
      <c r="AD220" s="321">
        <f>IF(Instructions!$E$11=8,IF($D220=Instructions!$F$44,AD219+1,AD219),IF(Instructions!$E$11=10,IF($H220=Instructions!$F$44,AD219+1,AD219),IF(Instructions!$E$11=12,IF($L220=Instructions!$F$44,AD219+1,AD219),IF(Instructions!$E$11=14,IF($P220=Instructions!$F$44,AD219+1,AD219),IF(Instructions!$E$11=16,IF($T220=Instructions!$F$44,AD219+1,AD219))))))</f>
        <v>18</v>
      </c>
      <c r="AE220" s="321" t="str">
        <f t="shared" si="49"/>
        <v>318</v>
      </c>
      <c r="AF220" s="321">
        <f>IF(Instructions!$E$11=8,IF($D220=Instructions!$F$45,AF219+1,AF219),IF(Instructions!$E$11=10,IF($H220=Instructions!$F$45,AF219+1,AF219),IF(Instructions!$E$11=12,IF($L220=Instructions!$F$45,AF219+1,AF219),IF(Instructions!$E$11=14,IF($P220=Instructions!$F$45,AF219+1,AF219),IF(Instructions!$E$11=16,IF($T220=Instructions!$F$45,AF219+1,AF219))))))</f>
        <v>18</v>
      </c>
      <c r="AG220" s="321" t="str">
        <f t="shared" si="50"/>
        <v>418</v>
      </c>
      <c r="AH220" s="321">
        <f>IF(Instructions!$E$11=8,IF($D220=Instructions!$F$46,AH219+1,AH219),IF(Instructions!$E$11=10,IF($H220=Instructions!$F$46,AH219+1,AH219),IF(Instructions!$E$11=12,IF($L220=Instructions!$F$46,AH219+1,AH219),IF(Instructions!$E$11=14,IF($P220=Instructions!$F$46,AH219+1,AH219),IF(Instructions!$E$11=16,IF($T220=Instructions!$F$46,AH219+1,AH219))))))</f>
        <v>18</v>
      </c>
      <c r="AI220" s="321" t="str">
        <f t="shared" si="51"/>
        <v>518</v>
      </c>
      <c r="AJ220" s="321">
        <f>IF(Instructions!$E$11=8,IF($D220=Instructions!$F$47,AJ219+1,AJ219),IF(Instructions!$E$11=10,IF($H220=Instructions!$F$47,AJ219+1,AJ219),IF(Instructions!$E$11=12,IF($L220=Instructions!$F$47,AJ219+1,AJ219),IF(Instructions!$E$11=14,IF($P220=Instructions!$F$47,AJ219+1,AJ219),IF(Instructions!$E$11=16,IF($T220=Instructions!$F$47,AJ219+1,AJ219))))))</f>
        <v>18</v>
      </c>
      <c r="AK220" s="321" t="str">
        <f t="shared" si="52"/>
        <v>618</v>
      </c>
      <c r="AL220" s="321">
        <f>IF(Instructions!$E$11=8,IF($D220=Instructions!$F$48,AL219+1,AL219),IF(Instructions!$E$11=10,IF($H220=Instructions!$F$48,AL219+1,AL219),IF(Instructions!$E$11=12,IF($L220=Instructions!$F$48,AL219+1,AL219),IF(Instructions!$E$11=14,IF($P220=Instructions!$F$48,AL219+1,AL219),IF(Instructions!$E$11=16,IF($T220=Instructions!$F$48,AL219+1,AL219))))))</f>
        <v>18</v>
      </c>
      <c r="AM220" s="321" t="str">
        <f t="shared" si="53"/>
        <v>718</v>
      </c>
      <c r="AN220" s="321">
        <f>IF(Instructions!$E$11=8,IF($D220=Instructions!$F$49,AN219+1,AN219),IF(Instructions!$E$11=10,IF($H220=Instructions!$F$49,AN219+1,AN219),IF(Instructions!$E$11=12,IF($L220=Instructions!$F$49,AN219+1,AN219),IF(Instructions!$E$11=14,IF($P220=Instructions!$F$49,AN219+1,AN219),IF(Instructions!$E$11=16,IF($T220=Instructions!$F$49,AN219+1,AN219))))))</f>
        <v>18</v>
      </c>
      <c r="AO220" s="321" t="str">
        <f t="shared" si="54"/>
        <v>818</v>
      </c>
      <c r="AP220" s="321">
        <f>IF(Instructions!$E$11=8,IF($D220=Instructions!$F$50,AP219+1,AP219),IF(Instructions!$E$11=10,IF($H220=Instructions!$F$50,AP219+1,AP219),IF(Instructions!$E$11=12,IF($L220=Instructions!$F$50,AP219+1,AP219),IF(Instructions!$E$11=14,IF($P220=Instructions!$F$50,AP219+1,AP219),IF(Instructions!$E$11=16,IF($T220=Instructions!$F$50,AP219+1,AP219))))))</f>
        <v>18</v>
      </c>
      <c r="AQ220" s="321" t="str">
        <f t="shared" si="55"/>
        <v>918</v>
      </c>
      <c r="AR220" s="321">
        <f>IF(Instructions!$E$11=8,IF($D220=Instructions!$F$51,AR219+1,AR219),IF(Instructions!$E$11=10,IF($H220=Instructions!$F$51,AR219+1,AR219),IF(Instructions!$E$11=12,IF($L220=Instructions!$F$51,AR219+1,AR219),IF(Instructions!$E$11=14,IF($P220=Instructions!$F$51,AR219+1,AR219),IF(Instructions!$E$11=16,IF($T220=Instructions!$F$51,AR219+1,AR219))))))</f>
        <v>18</v>
      </c>
      <c r="AS220" s="321" t="str">
        <f t="shared" si="57"/>
        <v>1018</v>
      </c>
      <c r="AT220" s="321">
        <f>IF(Instructions!$E$11=8,IF($D220=Instructions!$F$52,AT219+1,AT219),IF(Instructions!$E$11=10,IF($H220=Instructions!$F$52,AT219+1,AT219),IF(Instructions!$E$11=12,IF($L220=Instructions!$F$52,AT219+1,AT219),IF(Instructions!$E$11=14,IF($P220=Instructions!$F$52,AT219+1,AT219),IF(Instructions!$E$11=16,IF($T220=Instructions!$F$52,AT219+1,AT219))))))</f>
        <v>18</v>
      </c>
      <c r="AU220" s="321" t="str">
        <f t="shared" si="58"/>
        <v>1118</v>
      </c>
      <c r="AV220" s="321">
        <f>IF(Instructions!$E$11=8,IF($D220=Instructions!$F$53,AV219+1,AV219),IF(Instructions!$E$11=10,IF($H220=Instructions!$F$53,AV219+1,AV219),IF(Instructions!$E$11=12,IF($L220=Instructions!$F$53,AV219+1,AV219),IF(Instructions!$E$11=14,IF($P220=Instructions!$F$53,AV219+1,AV219),IF(Instructions!$E$11=16,IF($T220=Instructions!$F$53,AV219+1,AV219))))))</f>
        <v>18</v>
      </c>
      <c r="AW220" s="321" t="str">
        <f t="shared" si="59"/>
        <v>1218</v>
      </c>
      <c r="AX220" s="321">
        <f>IF(Instructions!$E$11=8,IF($D220=Instructions!$F$54,AX219+1,AX219),IF(Instructions!$E$11=10,IF($H220=Instructions!$F$54,AX219+1,AX219),IF(Instructions!$E$11=12,IF($L220=Instructions!$F$54,AX219+1,AX219),IF(Instructions!$E$11=14,IF($P220=Instructions!$F$54,AX219+1,AX219),IF(Instructions!$E$11=16,IF($T220=Instructions!$F$54,AX219+1,AX219))))))</f>
        <v>0</v>
      </c>
      <c r="AY220" s="321" t="str">
        <f t="shared" si="60"/>
        <v>1300</v>
      </c>
      <c r="AZ220" s="321">
        <f>IF(Instructions!$E$11=8,IF($D220=Instructions!$F$55,AZ219+1,AZ219),IF(Instructions!$E$11=10,IF($H220=Instructions!$F$55,AZ219+1,AZ219),IF(Instructions!$E$11=12,IF($L220=Instructions!$F$55,AZ219+1,AZ219),IF(Instructions!$E$11=14,IF($P220=Instructions!$F$55,AZ219+1,AZ219),IF(Instructions!$E$11=16,IF($T220=Instructions!$F$55,AZ219+1,AZ219))))))</f>
        <v>0</v>
      </c>
      <c r="BA220" s="321" t="str">
        <f t="shared" si="61"/>
        <v>1400</v>
      </c>
      <c r="BB220" s="321">
        <f>IF(Instructions!$E$11=8,IF($D220=Instructions!$F$56,BB219+1,BB219),IF(Instructions!$E$11=10,IF($H220=Instructions!$F$56,BB219+1,BB219),IF(Instructions!$E$11=12,IF($L220=Instructions!$F$56,BB219+1,BB219),IF(Instructions!$E$11=14,IF($P220=Instructions!$F$56,BB219+1,BB219),IF(Instructions!$E$11=16,IF($T220=Instructions!$F$56,BB219+1,BB219))))))</f>
        <v>0</v>
      </c>
      <c r="BC220" s="321" t="str">
        <f t="shared" si="62"/>
        <v>1500</v>
      </c>
      <c r="BD220" s="321">
        <f>IF(Instructions!$E$11=8,IF($D220=Instructions!$F$57,BD219+1,BD219),IF(Instructions!$E$11=10,IF($H220=Instructions!$F$57,BD219+1,BD219),IF(Instructions!$E$11=12,IF($L220=Instructions!$F$57,BD219+1,BD219),IF(Instructions!$E$11=14,IF($P220=Instructions!$F$57,BD219+1,BD219),IF(Instructions!$E$11=16,IF($T220=Instructions!$F$57,BD219+1,BD219))))))</f>
        <v>0</v>
      </c>
      <c r="BE220" s="321" t="str">
        <f t="shared" si="63"/>
        <v>1600</v>
      </c>
      <c r="BF220" s="321">
        <v>218</v>
      </c>
    </row>
    <row r="221" spans="1:58" x14ac:dyDescent="0.25">
      <c r="A221" s="280"/>
      <c r="B221" s="323" t="str">
        <f>IF(Instructions!$J$11=1,AA221,IF(Instructions!$J$11=2,AC221,IF(Instructions!$J$11=3,AE221,IF(Instructions!$J$11=4,AG221,IF(Instructions!$J$11=5,AI221,IF(Instructions!$J$11=6,AK221,IF(Instructions!$J$11=7,AM221,IF(Instructions!$J$11=8,AO221,IF(Instructions!$J$11=9,AQ221,IF(Instructions!$J$11=10,AS221,IF(Instructions!$J$11=11,AU221,IF(Instructions!$J$11=12,AW221,IF(Instructions!$J$11=13, AY221, IF(Instructions!$J$11=14,BA221,IF(Instructions!$J$11=15,BC221,BE221)))))))))))))))</f>
        <v>219</v>
      </c>
      <c r="C221" s="271">
        <v>219</v>
      </c>
      <c r="D221" s="281"/>
      <c r="E221" s="282"/>
      <c r="F221" s="281"/>
      <c r="G221" s="279"/>
      <c r="H221" s="293" t="str">
        <f>Instructions!F$43</f>
        <v>Camden</v>
      </c>
      <c r="I221" s="273" t="s">
        <v>1546</v>
      </c>
      <c r="J221" s="709"/>
      <c r="K221" s="279">
        <v>22</v>
      </c>
      <c r="L221" s="293" t="str">
        <f>Instructions!F$44</f>
        <v>Cam</v>
      </c>
      <c r="M221" s="273" t="s">
        <v>1482</v>
      </c>
      <c r="N221" s="709"/>
      <c r="O221" s="279">
        <v>19</v>
      </c>
      <c r="P221" s="293" t="str">
        <f>Instructions!F$47</f>
        <v>Devin</v>
      </c>
      <c r="Q221" s="273" t="s">
        <v>1095</v>
      </c>
      <c r="R221" s="709"/>
      <c r="S221" s="279">
        <v>16</v>
      </c>
      <c r="T221" s="328" t="str">
        <f>Instructions!F$47</f>
        <v>Devin</v>
      </c>
      <c r="U221" s="273" t="s">
        <v>873</v>
      </c>
      <c r="V221" s="706"/>
      <c r="W221" s="279">
        <v>14</v>
      </c>
      <c r="X221" s="280"/>
      <c r="Y221" s="190" t="str">
        <f>IFERROR( IF(Instructions!$E$11=8, D221&amp;COUNTIF(D$3:D221,D221), IF(Instructions!$E$11=10, H221&amp;COUNTIF(H$3:H221,H221),IF(Instructions!$E$11=12, L221&amp;COUNTIF(L$3:L221,L221),IF(Instructions!$E$11=14, P221&amp;COUNTIF(P$3:P221,P221),T221&amp;COUNTIF(T$3:T221,T221))))),"")</f>
        <v>Cam19</v>
      </c>
      <c r="Z221" s="321">
        <f>IF(Instructions!$E$11=8,IF($D221=Instructions!$F$42,Z220+1,Z220),IF(Instructions!$E$11=10,IF($H221=Instructions!$F$42,Z220+1,Z220),IF(Instructions!$E$11=12,IF($L221=Instructions!$F$42,Z220+1,Z220),IF(Instructions!$E$11=14,IF($P221=Instructions!$F$42,Z220+1,Z220),IF(Instructions!$E$11=16,IF($T221=Instructions!$F$42,Z220+1,Z220))))))</f>
        <v>19</v>
      </c>
      <c r="AA221" s="321" t="str">
        <f t="shared" si="56"/>
        <v>119</v>
      </c>
      <c r="AB221" s="321">
        <f>IF(Instructions!$E$11=8,IF($D221=Instructions!$F$43,AB220+1,AB220),IF(Instructions!$E$11=10,IF($H221=Instructions!$F$43,AB220+1,AB220),IF(Instructions!$E$11=12,IF($L221=Instructions!$F$43,AB220+1,AB220),IF(Instructions!$E$11=14,IF($P221=Instructions!$F$43,AB220+1,AB220),IF(Instructions!$E$11=16,IF($T221=Instructions!$F$43,AB220+1,AB220))))))</f>
        <v>19</v>
      </c>
      <c r="AC221" s="321" t="str">
        <f t="shared" si="48"/>
        <v>219</v>
      </c>
      <c r="AD221" s="321">
        <f>IF(Instructions!$E$11=8,IF($D221=Instructions!$F$44,AD220+1,AD220),IF(Instructions!$E$11=10,IF($H221=Instructions!$F$44,AD220+1,AD220),IF(Instructions!$E$11=12,IF($L221=Instructions!$F$44,AD220+1,AD220),IF(Instructions!$E$11=14,IF($P221=Instructions!$F$44,AD220+1,AD220),IF(Instructions!$E$11=16,IF($T221=Instructions!$F$44,AD220+1,AD220))))))</f>
        <v>19</v>
      </c>
      <c r="AE221" s="321" t="str">
        <f t="shared" si="49"/>
        <v>319</v>
      </c>
      <c r="AF221" s="321">
        <f>IF(Instructions!$E$11=8,IF($D221=Instructions!$F$45,AF220+1,AF220),IF(Instructions!$E$11=10,IF($H221=Instructions!$F$45,AF220+1,AF220),IF(Instructions!$E$11=12,IF($L221=Instructions!$F$45,AF220+1,AF220),IF(Instructions!$E$11=14,IF($P221=Instructions!$F$45,AF220+1,AF220),IF(Instructions!$E$11=16,IF($T221=Instructions!$F$45,AF220+1,AF220))))))</f>
        <v>18</v>
      </c>
      <c r="AG221" s="321" t="str">
        <f t="shared" si="50"/>
        <v>418</v>
      </c>
      <c r="AH221" s="321">
        <f>IF(Instructions!$E$11=8,IF($D221=Instructions!$F$46,AH220+1,AH220),IF(Instructions!$E$11=10,IF($H221=Instructions!$F$46,AH220+1,AH220),IF(Instructions!$E$11=12,IF($L221=Instructions!$F$46,AH220+1,AH220),IF(Instructions!$E$11=14,IF($P221=Instructions!$F$46,AH220+1,AH220),IF(Instructions!$E$11=16,IF($T221=Instructions!$F$46,AH220+1,AH220))))))</f>
        <v>18</v>
      </c>
      <c r="AI221" s="321" t="str">
        <f t="shared" si="51"/>
        <v>518</v>
      </c>
      <c r="AJ221" s="321">
        <f>IF(Instructions!$E$11=8,IF($D221=Instructions!$F$47,AJ220+1,AJ220),IF(Instructions!$E$11=10,IF($H221=Instructions!$F$47,AJ220+1,AJ220),IF(Instructions!$E$11=12,IF($L221=Instructions!$F$47,AJ220+1,AJ220),IF(Instructions!$E$11=14,IF($P221=Instructions!$F$47,AJ220+1,AJ220),IF(Instructions!$E$11=16,IF($T221=Instructions!$F$47,AJ220+1,AJ220))))))</f>
        <v>18</v>
      </c>
      <c r="AK221" s="321" t="str">
        <f t="shared" si="52"/>
        <v>618</v>
      </c>
      <c r="AL221" s="321">
        <f>IF(Instructions!$E$11=8,IF($D221=Instructions!$F$48,AL220+1,AL220),IF(Instructions!$E$11=10,IF($H221=Instructions!$F$48,AL220+1,AL220),IF(Instructions!$E$11=12,IF($L221=Instructions!$F$48,AL220+1,AL220),IF(Instructions!$E$11=14,IF($P221=Instructions!$F$48,AL220+1,AL220),IF(Instructions!$E$11=16,IF($T221=Instructions!$F$48,AL220+1,AL220))))))</f>
        <v>18</v>
      </c>
      <c r="AM221" s="321" t="str">
        <f t="shared" si="53"/>
        <v>718</v>
      </c>
      <c r="AN221" s="321">
        <f>IF(Instructions!$E$11=8,IF($D221=Instructions!$F$49,AN220+1,AN220),IF(Instructions!$E$11=10,IF($H221=Instructions!$F$49,AN220+1,AN220),IF(Instructions!$E$11=12,IF($L221=Instructions!$F$49,AN220+1,AN220),IF(Instructions!$E$11=14,IF($P221=Instructions!$F$49,AN220+1,AN220),IF(Instructions!$E$11=16,IF($T221=Instructions!$F$49,AN220+1,AN220))))))</f>
        <v>18</v>
      </c>
      <c r="AO221" s="321" t="str">
        <f t="shared" si="54"/>
        <v>818</v>
      </c>
      <c r="AP221" s="321">
        <f>IF(Instructions!$E$11=8,IF($D221=Instructions!$F$50,AP220+1,AP220),IF(Instructions!$E$11=10,IF($H221=Instructions!$F$50,AP220+1,AP220),IF(Instructions!$E$11=12,IF($L221=Instructions!$F$50,AP220+1,AP220),IF(Instructions!$E$11=14,IF($P221=Instructions!$F$50,AP220+1,AP220),IF(Instructions!$E$11=16,IF($T221=Instructions!$F$50,AP220+1,AP220))))))</f>
        <v>18</v>
      </c>
      <c r="AQ221" s="321" t="str">
        <f t="shared" si="55"/>
        <v>918</v>
      </c>
      <c r="AR221" s="321">
        <f>IF(Instructions!$E$11=8,IF($D221=Instructions!$F$51,AR220+1,AR220),IF(Instructions!$E$11=10,IF($H221=Instructions!$F$51,AR220+1,AR220),IF(Instructions!$E$11=12,IF($L221=Instructions!$F$51,AR220+1,AR220),IF(Instructions!$E$11=14,IF($P221=Instructions!$F$51,AR220+1,AR220),IF(Instructions!$E$11=16,IF($T221=Instructions!$F$51,AR220+1,AR220))))))</f>
        <v>18</v>
      </c>
      <c r="AS221" s="321" t="str">
        <f t="shared" si="57"/>
        <v>1018</v>
      </c>
      <c r="AT221" s="321">
        <f>IF(Instructions!$E$11=8,IF($D221=Instructions!$F$52,AT220+1,AT220),IF(Instructions!$E$11=10,IF($H221=Instructions!$F$52,AT220+1,AT220),IF(Instructions!$E$11=12,IF($L221=Instructions!$F$52,AT220+1,AT220),IF(Instructions!$E$11=14,IF($P221=Instructions!$F$52,AT220+1,AT220),IF(Instructions!$E$11=16,IF($T221=Instructions!$F$52,AT220+1,AT220))))))</f>
        <v>18</v>
      </c>
      <c r="AU221" s="321" t="str">
        <f t="shared" si="58"/>
        <v>1118</v>
      </c>
      <c r="AV221" s="321">
        <f>IF(Instructions!$E$11=8,IF($D221=Instructions!$F$53,AV220+1,AV220),IF(Instructions!$E$11=10,IF($H221=Instructions!$F$53,AV220+1,AV220),IF(Instructions!$E$11=12,IF($L221=Instructions!$F$53,AV220+1,AV220),IF(Instructions!$E$11=14,IF($P221=Instructions!$F$53,AV220+1,AV220),IF(Instructions!$E$11=16,IF($T221=Instructions!$F$53,AV220+1,AV220))))))</f>
        <v>18</v>
      </c>
      <c r="AW221" s="321" t="str">
        <f t="shared" si="59"/>
        <v>1218</v>
      </c>
      <c r="AX221" s="321">
        <f>IF(Instructions!$E$11=8,IF($D221=Instructions!$F$54,AX220+1,AX220),IF(Instructions!$E$11=10,IF($H221=Instructions!$F$54,AX220+1,AX220),IF(Instructions!$E$11=12,IF($L221=Instructions!$F$54,AX220+1,AX220),IF(Instructions!$E$11=14,IF($P221=Instructions!$F$54,AX220+1,AX220),IF(Instructions!$E$11=16,IF($T221=Instructions!$F$54,AX220+1,AX220))))))</f>
        <v>0</v>
      </c>
      <c r="AY221" s="321" t="str">
        <f t="shared" si="60"/>
        <v>1300</v>
      </c>
      <c r="AZ221" s="321">
        <f>IF(Instructions!$E$11=8,IF($D221=Instructions!$F$55,AZ220+1,AZ220),IF(Instructions!$E$11=10,IF($H221=Instructions!$F$55,AZ220+1,AZ220),IF(Instructions!$E$11=12,IF($L221=Instructions!$F$55,AZ220+1,AZ220),IF(Instructions!$E$11=14,IF($P221=Instructions!$F$55,AZ220+1,AZ220),IF(Instructions!$E$11=16,IF($T221=Instructions!$F$55,AZ220+1,AZ220))))))</f>
        <v>0</v>
      </c>
      <c r="BA221" s="321" t="str">
        <f t="shared" si="61"/>
        <v>1400</v>
      </c>
      <c r="BB221" s="321">
        <f>IF(Instructions!$E$11=8,IF($D221=Instructions!$F$56,BB220+1,BB220),IF(Instructions!$E$11=10,IF($H221=Instructions!$F$56,BB220+1,BB220),IF(Instructions!$E$11=12,IF($L221=Instructions!$F$56,BB220+1,BB220),IF(Instructions!$E$11=14,IF($P221=Instructions!$F$56,BB220+1,BB220),IF(Instructions!$E$11=16,IF($T221=Instructions!$F$56,BB220+1,BB220))))))</f>
        <v>0</v>
      </c>
      <c r="BC221" s="321" t="str">
        <f t="shared" si="62"/>
        <v>1500</v>
      </c>
      <c r="BD221" s="321">
        <f>IF(Instructions!$E$11=8,IF($D221=Instructions!$F$57,BD220+1,BD220),IF(Instructions!$E$11=10,IF($H221=Instructions!$F$57,BD220+1,BD220),IF(Instructions!$E$11=12,IF($L221=Instructions!$F$57,BD220+1,BD220),IF(Instructions!$E$11=14,IF($P221=Instructions!$F$57,BD220+1,BD220),IF(Instructions!$E$11=16,IF($T221=Instructions!$F$57,BD220+1,BD220))))))</f>
        <v>0</v>
      </c>
      <c r="BE221" s="321" t="str">
        <f t="shared" si="63"/>
        <v>1600</v>
      </c>
      <c r="BF221" s="321">
        <v>219</v>
      </c>
    </row>
    <row r="222" spans="1:58" ht="15.75" thickBot="1" x14ac:dyDescent="0.3">
      <c r="A222" s="280"/>
      <c r="B222" s="323" t="str">
        <f>IF(Instructions!$J$11=1,AA222,IF(Instructions!$J$11=2,AC222,IF(Instructions!$J$11=3,AE222,IF(Instructions!$J$11=4,AG222,IF(Instructions!$J$11=5,AI222,IF(Instructions!$J$11=6,AK222,IF(Instructions!$J$11=7,AM222,IF(Instructions!$J$11=8,AO222,IF(Instructions!$J$11=9,AQ222,IF(Instructions!$J$11=10,AS222,IF(Instructions!$J$11=11,AU222,IF(Instructions!$J$11=12,AW222,IF(Instructions!$J$11=13, AY222, IF(Instructions!$J$11=14,BA222,IF(Instructions!$J$11=15,BC222,BE222)))))))))))))))</f>
        <v>219</v>
      </c>
      <c r="C222" s="272">
        <v>220</v>
      </c>
      <c r="D222" s="281"/>
      <c r="E222" s="282"/>
      <c r="F222" s="281"/>
      <c r="G222" s="279"/>
      <c r="H222" s="295" t="str">
        <f>Instructions!F$42</f>
        <v>Trumbo</v>
      </c>
      <c r="I222" s="277" t="s">
        <v>1547</v>
      </c>
      <c r="J222" s="710"/>
      <c r="K222" s="279">
        <v>22</v>
      </c>
      <c r="L222" s="294" t="str">
        <f>Instructions!F$45</f>
        <v>Miles</v>
      </c>
      <c r="M222" s="274" t="s">
        <v>1483</v>
      </c>
      <c r="N222" s="709"/>
      <c r="O222" s="279">
        <v>19</v>
      </c>
      <c r="P222" s="294" t="str">
        <f>Instructions!F$46</f>
        <v>Con</v>
      </c>
      <c r="Q222" s="274" t="s">
        <v>1096</v>
      </c>
      <c r="R222" s="709"/>
      <c r="S222" s="279">
        <v>16</v>
      </c>
      <c r="T222" s="327" t="str">
        <f>Instructions!F$46</f>
        <v>Con</v>
      </c>
      <c r="U222" s="274" t="s">
        <v>874</v>
      </c>
      <c r="V222" s="706"/>
      <c r="W222" s="279">
        <v>14</v>
      </c>
      <c r="X222" s="280"/>
      <c r="Y222" s="190" t="str">
        <f>IFERROR( IF(Instructions!$E$11=8, D222&amp;COUNTIF(D$3:D222,D222), IF(Instructions!$E$11=10, H222&amp;COUNTIF(H$3:H222,H222),IF(Instructions!$E$11=12, L222&amp;COUNTIF(L$3:L222,L222),IF(Instructions!$E$11=14, P222&amp;COUNTIF(P$3:P222,P222),T222&amp;COUNTIF(T$3:T222,T222))))),"")</f>
        <v>Miles19</v>
      </c>
      <c r="Z222" s="321">
        <f>IF(Instructions!$E$11=8,IF($D222=Instructions!$F$42,Z221+1,Z221),IF(Instructions!$E$11=10,IF($H222=Instructions!$F$42,Z221+1,Z221),IF(Instructions!$E$11=12,IF($L222=Instructions!$F$42,Z221+1,Z221),IF(Instructions!$E$11=14,IF($P222=Instructions!$F$42,Z221+1,Z221),IF(Instructions!$E$11=16,IF($T222=Instructions!$F$42,Z221+1,Z221))))))</f>
        <v>19</v>
      </c>
      <c r="AA222" s="321" t="str">
        <f t="shared" si="56"/>
        <v>119</v>
      </c>
      <c r="AB222" s="321">
        <f>IF(Instructions!$E$11=8,IF($D222=Instructions!$F$43,AB221+1,AB221),IF(Instructions!$E$11=10,IF($H222=Instructions!$F$43,AB221+1,AB221),IF(Instructions!$E$11=12,IF($L222=Instructions!$F$43,AB221+1,AB221),IF(Instructions!$E$11=14,IF($P222=Instructions!$F$43,AB221+1,AB221),IF(Instructions!$E$11=16,IF($T222=Instructions!$F$43,AB221+1,AB221))))))</f>
        <v>19</v>
      </c>
      <c r="AC222" s="321" t="str">
        <f t="shared" si="48"/>
        <v>219</v>
      </c>
      <c r="AD222" s="321">
        <f>IF(Instructions!$E$11=8,IF($D222=Instructions!$F$44,AD221+1,AD221),IF(Instructions!$E$11=10,IF($H222=Instructions!$F$44,AD221+1,AD221),IF(Instructions!$E$11=12,IF($L222=Instructions!$F$44,AD221+1,AD221),IF(Instructions!$E$11=14,IF($P222=Instructions!$F$44,AD221+1,AD221),IF(Instructions!$E$11=16,IF($T222=Instructions!$F$44,AD221+1,AD221))))))</f>
        <v>19</v>
      </c>
      <c r="AE222" s="321" t="str">
        <f t="shared" si="49"/>
        <v>319</v>
      </c>
      <c r="AF222" s="321">
        <f>IF(Instructions!$E$11=8,IF($D222=Instructions!$F$45,AF221+1,AF221),IF(Instructions!$E$11=10,IF($H222=Instructions!$F$45,AF221+1,AF221),IF(Instructions!$E$11=12,IF($L222=Instructions!$F$45,AF221+1,AF221),IF(Instructions!$E$11=14,IF($P222=Instructions!$F$45,AF221+1,AF221),IF(Instructions!$E$11=16,IF($T222=Instructions!$F$45,AF221+1,AF221))))))</f>
        <v>19</v>
      </c>
      <c r="AG222" s="321" t="str">
        <f t="shared" si="50"/>
        <v>419</v>
      </c>
      <c r="AH222" s="321">
        <f>IF(Instructions!$E$11=8,IF($D222=Instructions!$F$46,AH221+1,AH221),IF(Instructions!$E$11=10,IF($H222=Instructions!$F$46,AH221+1,AH221),IF(Instructions!$E$11=12,IF($L222=Instructions!$F$46,AH221+1,AH221),IF(Instructions!$E$11=14,IF($P222=Instructions!$F$46,AH221+1,AH221),IF(Instructions!$E$11=16,IF($T222=Instructions!$F$46,AH221+1,AH221))))))</f>
        <v>18</v>
      </c>
      <c r="AI222" s="321" t="str">
        <f t="shared" si="51"/>
        <v>518</v>
      </c>
      <c r="AJ222" s="321">
        <f>IF(Instructions!$E$11=8,IF($D222=Instructions!$F$47,AJ221+1,AJ221),IF(Instructions!$E$11=10,IF($H222=Instructions!$F$47,AJ221+1,AJ221),IF(Instructions!$E$11=12,IF($L222=Instructions!$F$47,AJ221+1,AJ221),IF(Instructions!$E$11=14,IF($P222=Instructions!$F$47,AJ221+1,AJ221),IF(Instructions!$E$11=16,IF($T222=Instructions!$F$47,AJ221+1,AJ221))))))</f>
        <v>18</v>
      </c>
      <c r="AK222" s="321" t="str">
        <f t="shared" si="52"/>
        <v>618</v>
      </c>
      <c r="AL222" s="321">
        <f>IF(Instructions!$E$11=8,IF($D222=Instructions!$F$48,AL221+1,AL221),IF(Instructions!$E$11=10,IF($H222=Instructions!$F$48,AL221+1,AL221),IF(Instructions!$E$11=12,IF($L222=Instructions!$F$48,AL221+1,AL221),IF(Instructions!$E$11=14,IF($P222=Instructions!$F$48,AL221+1,AL221),IF(Instructions!$E$11=16,IF($T222=Instructions!$F$48,AL221+1,AL221))))))</f>
        <v>18</v>
      </c>
      <c r="AM222" s="321" t="str">
        <f t="shared" si="53"/>
        <v>718</v>
      </c>
      <c r="AN222" s="321">
        <f>IF(Instructions!$E$11=8,IF($D222=Instructions!$F$49,AN221+1,AN221),IF(Instructions!$E$11=10,IF($H222=Instructions!$F$49,AN221+1,AN221),IF(Instructions!$E$11=12,IF($L222=Instructions!$F$49,AN221+1,AN221),IF(Instructions!$E$11=14,IF($P222=Instructions!$F$49,AN221+1,AN221),IF(Instructions!$E$11=16,IF($T222=Instructions!$F$49,AN221+1,AN221))))))</f>
        <v>18</v>
      </c>
      <c r="AO222" s="321" t="str">
        <f t="shared" si="54"/>
        <v>818</v>
      </c>
      <c r="AP222" s="321">
        <f>IF(Instructions!$E$11=8,IF($D222=Instructions!$F$50,AP221+1,AP221),IF(Instructions!$E$11=10,IF($H222=Instructions!$F$50,AP221+1,AP221),IF(Instructions!$E$11=12,IF($L222=Instructions!$F$50,AP221+1,AP221),IF(Instructions!$E$11=14,IF($P222=Instructions!$F$50,AP221+1,AP221),IF(Instructions!$E$11=16,IF($T222=Instructions!$F$50,AP221+1,AP221))))))</f>
        <v>18</v>
      </c>
      <c r="AQ222" s="321" t="str">
        <f t="shared" si="55"/>
        <v>918</v>
      </c>
      <c r="AR222" s="321">
        <f>IF(Instructions!$E$11=8,IF($D222=Instructions!$F$51,AR221+1,AR221),IF(Instructions!$E$11=10,IF($H222=Instructions!$F$51,AR221+1,AR221),IF(Instructions!$E$11=12,IF($L222=Instructions!$F$51,AR221+1,AR221),IF(Instructions!$E$11=14,IF($P222=Instructions!$F$51,AR221+1,AR221),IF(Instructions!$E$11=16,IF($T222=Instructions!$F$51,AR221+1,AR221))))))</f>
        <v>18</v>
      </c>
      <c r="AS222" s="321" t="str">
        <f t="shared" si="57"/>
        <v>1018</v>
      </c>
      <c r="AT222" s="321">
        <f>IF(Instructions!$E$11=8,IF($D222=Instructions!$F$52,AT221+1,AT221),IF(Instructions!$E$11=10,IF($H222=Instructions!$F$52,AT221+1,AT221),IF(Instructions!$E$11=12,IF($L222=Instructions!$F$52,AT221+1,AT221),IF(Instructions!$E$11=14,IF($P222=Instructions!$F$52,AT221+1,AT221),IF(Instructions!$E$11=16,IF($T222=Instructions!$F$52,AT221+1,AT221))))))</f>
        <v>18</v>
      </c>
      <c r="AU222" s="321" t="str">
        <f t="shared" si="58"/>
        <v>1118</v>
      </c>
      <c r="AV222" s="321">
        <f>IF(Instructions!$E$11=8,IF($D222=Instructions!$F$53,AV221+1,AV221),IF(Instructions!$E$11=10,IF($H222=Instructions!$F$53,AV221+1,AV221),IF(Instructions!$E$11=12,IF($L222=Instructions!$F$53,AV221+1,AV221),IF(Instructions!$E$11=14,IF($P222=Instructions!$F$53,AV221+1,AV221),IF(Instructions!$E$11=16,IF($T222=Instructions!$F$53,AV221+1,AV221))))))</f>
        <v>18</v>
      </c>
      <c r="AW222" s="321" t="str">
        <f t="shared" si="59"/>
        <v>1218</v>
      </c>
      <c r="AX222" s="321">
        <f>IF(Instructions!$E$11=8,IF($D222=Instructions!$F$54,AX221+1,AX221),IF(Instructions!$E$11=10,IF($H222=Instructions!$F$54,AX221+1,AX221),IF(Instructions!$E$11=12,IF($L222=Instructions!$F$54,AX221+1,AX221),IF(Instructions!$E$11=14,IF($P222=Instructions!$F$54,AX221+1,AX221),IF(Instructions!$E$11=16,IF($T222=Instructions!$F$54,AX221+1,AX221))))))</f>
        <v>0</v>
      </c>
      <c r="AY222" s="321" t="str">
        <f t="shared" si="60"/>
        <v>1300</v>
      </c>
      <c r="AZ222" s="321">
        <f>IF(Instructions!$E$11=8,IF($D222=Instructions!$F$55,AZ221+1,AZ221),IF(Instructions!$E$11=10,IF($H222=Instructions!$F$55,AZ221+1,AZ221),IF(Instructions!$E$11=12,IF($L222=Instructions!$F$55,AZ221+1,AZ221),IF(Instructions!$E$11=14,IF($P222=Instructions!$F$55,AZ221+1,AZ221),IF(Instructions!$E$11=16,IF($T222=Instructions!$F$55,AZ221+1,AZ221))))))</f>
        <v>0</v>
      </c>
      <c r="BA222" s="321" t="str">
        <f t="shared" si="61"/>
        <v>1400</v>
      </c>
      <c r="BB222" s="321">
        <f>IF(Instructions!$E$11=8,IF($D222=Instructions!$F$56,BB221+1,BB221),IF(Instructions!$E$11=10,IF($H222=Instructions!$F$56,BB221+1,BB221),IF(Instructions!$E$11=12,IF($L222=Instructions!$F$56,BB221+1,BB221),IF(Instructions!$E$11=14,IF($P222=Instructions!$F$56,BB221+1,BB221),IF(Instructions!$E$11=16,IF($T222=Instructions!$F$56,BB221+1,BB221))))))</f>
        <v>0</v>
      </c>
      <c r="BC222" s="321" t="str">
        <f t="shared" si="62"/>
        <v>1500</v>
      </c>
      <c r="BD222" s="321">
        <f>IF(Instructions!$E$11=8,IF($D222=Instructions!$F$57,BD221+1,BD221),IF(Instructions!$E$11=10,IF($H222=Instructions!$F$57,BD221+1,BD221),IF(Instructions!$E$11=12,IF($L222=Instructions!$F$57,BD221+1,BD221),IF(Instructions!$E$11=14,IF($P222=Instructions!$F$57,BD221+1,BD221),IF(Instructions!$E$11=16,IF($T222=Instructions!$F$57,BD221+1,BD221))))))</f>
        <v>0</v>
      </c>
      <c r="BE222" s="321" t="str">
        <f t="shared" si="63"/>
        <v>1600</v>
      </c>
      <c r="BF222" s="321">
        <v>220</v>
      </c>
    </row>
    <row r="223" spans="1:58" ht="15" customHeight="1" x14ac:dyDescent="0.25">
      <c r="A223" s="280"/>
      <c r="B223" s="323" t="str">
        <f>IF(Instructions!$J$11=1,AA223,IF(Instructions!$J$11=2,AC223,IF(Instructions!$J$11=3,AE223,IF(Instructions!$J$11=4,AG223,IF(Instructions!$J$11=5,AI223,IF(Instructions!$J$11=6,AK223,IF(Instructions!$J$11=7,AM223,IF(Instructions!$J$11=8,AO223,IF(Instructions!$J$11=9,AQ223,IF(Instructions!$J$11=10,AS223,IF(Instructions!$J$11=11,AU223,IF(Instructions!$J$11=12,AW223,IF(Instructions!$J$11=13, AY223, IF(Instructions!$J$11=14,BA223,IF(Instructions!$J$11=15,BC223,BE223)))))))))))))))</f>
        <v>219</v>
      </c>
      <c r="C223" s="271">
        <v>221</v>
      </c>
      <c r="D223" s="281"/>
      <c r="E223" s="282"/>
      <c r="F223" s="281"/>
      <c r="G223" s="279"/>
      <c r="H223" s="292" t="str">
        <f>Instructions!F$42</f>
        <v>Trumbo</v>
      </c>
      <c r="I223" s="276" t="s">
        <v>1512</v>
      </c>
      <c r="J223" s="708" t="s">
        <v>1461</v>
      </c>
      <c r="K223" s="279">
        <v>23</v>
      </c>
      <c r="L223" s="293" t="str">
        <f>Instructions!F$46</f>
        <v>Con</v>
      </c>
      <c r="M223" s="273" t="s">
        <v>1484</v>
      </c>
      <c r="N223" s="709"/>
      <c r="O223" s="279">
        <v>19</v>
      </c>
      <c r="P223" s="293" t="str">
        <f>Instructions!F$45</f>
        <v>Miles</v>
      </c>
      <c r="Q223" s="273" t="s">
        <v>1097</v>
      </c>
      <c r="R223" s="709"/>
      <c r="S223" s="279">
        <v>16</v>
      </c>
      <c r="T223" s="328" t="str">
        <f>Instructions!F$45</f>
        <v>Miles</v>
      </c>
      <c r="U223" s="273" t="s">
        <v>955</v>
      </c>
      <c r="V223" s="706"/>
      <c r="W223" s="279">
        <v>14</v>
      </c>
      <c r="X223" s="280"/>
      <c r="Y223" s="190" t="str">
        <f>IFERROR( IF(Instructions!$E$11=8, D223&amp;COUNTIF(D$3:D223,D223), IF(Instructions!$E$11=10, H223&amp;COUNTIF(H$3:H223,H223),IF(Instructions!$E$11=12, L223&amp;COUNTIF(L$3:L223,L223),IF(Instructions!$E$11=14, P223&amp;COUNTIF(P$3:P223,P223),T223&amp;COUNTIF(T$3:T223,T223))))),"")</f>
        <v>Con19</v>
      </c>
      <c r="Z223" s="321">
        <f>IF(Instructions!$E$11=8,IF($D223=Instructions!$F$42,Z222+1,Z222),IF(Instructions!$E$11=10,IF($H223=Instructions!$F$42,Z222+1,Z222),IF(Instructions!$E$11=12,IF($L223=Instructions!$F$42,Z222+1,Z222),IF(Instructions!$E$11=14,IF($P223=Instructions!$F$42,Z222+1,Z222),IF(Instructions!$E$11=16,IF($T223=Instructions!$F$42,Z222+1,Z222))))))</f>
        <v>19</v>
      </c>
      <c r="AA223" s="321" t="str">
        <f t="shared" si="56"/>
        <v>119</v>
      </c>
      <c r="AB223" s="321">
        <f>IF(Instructions!$E$11=8,IF($D223=Instructions!$F$43,AB222+1,AB222),IF(Instructions!$E$11=10,IF($H223=Instructions!$F$43,AB222+1,AB222),IF(Instructions!$E$11=12,IF($L223=Instructions!$F$43,AB222+1,AB222),IF(Instructions!$E$11=14,IF($P223=Instructions!$F$43,AB222+1,AB222),IF(Instructions!$E$11=16,IF($T223=Instructions!$F$43,AB222+1,AB222))))))</f>
        <v>19</v>
      </c>
      <c r="AC223" s="321" t="str">
        <f t="shared" si="48"/>
        <v>219</v>
      </c>
      <c r="AD223" s="321">
        <f>IF(Instructions!$E$11=8,IF($D223=Instructions!$F$44,AD222+1,AD222),IF(Instructions!$E$11=10,IF($H223=Instructions!$F$44,AD222+1,AD222),IF(Instructions!$E$11=12,IF($L223=Instructions!$F$44,AD222+1,AD222),IF(Instructions!$E$11=14,IF($P223=Instructions!$F$44,AD222+1,AD222),IF(Instructions!$E$11=16,IF($T223=Instructions!$F$44,AD222+1,AD222))))))</f>
        <v>19</v>
      </c>
      <c r="AE223" s="321" t="str">
        <f t="shared" si="49"/>
        <v>319</v>
      </c>
      <c r="AF223" s="321">
        <f>IF(Instructions!$E$11=8,IF($D223=Instructions!$F$45,AF222+1,AF222),IF(Instructions!$E$11=10,IF($H223=Instructions!$F$45,AF222+1,AF222),IF(Instructions!$E$11=12,IF($L223=Instructions!$F$45,AF222+1,AF222),IF(Instructions!$E$11=14,IF($P223=Instructions!$F$45,AF222+1,AF222),IF(Instructions!$E$11=16,IF($T223=Instructions!$F$45,AF222+1,AF222))))))</f>
        <v>19</v>
      </c>
      <c r="AG223" s="321" t="str">
        <f t="shared" si="50"/>
        <v>419</v>
      </c>
      <c r="AH223" s="321">
        <f>IF(Instructions!$E$11=8,IF($D223=Instructions!$F$46,AH222+1,AH222),IF(Instructions!$E$11=10,IF($H223=Instructions!$F$46,AH222+1,AH222),IF(Instructions!$E$11=12,IF($L223=Instructions!$F$46,AH222+1,AH222),IF(Instructions!$E$11=14,IF($P223=Instructions!$F$46,AH222+1,AH222),IF(Instructions!$E$11=16,IF($T223=Instructions!$F$46,AH222+1,AH222))))))</f>
        <v>19</v>
      </c>
      <c r="AI223" s="321" t="str">
        <f t="shared" si="51"/>
        <v>519</v>
      </c>
      <c r="AJ223" s="321">
        <f>IF(Instructions!$E$11=8,IF($D223=Instructions!$F$47,AJ222+1,AJ222),IF(Instructions!$E$11=10,IF($H223=Instructions!$F$47,AJ222+1,AJ222),IF(Instructions!$E$11=12,IF($L223=Instructions!$F$47,AJ222+1,AJ222),IF(Instructions!$E$11=14,IF($P223=Instructions!$F$47,AJ222+1,AJ222),IF(Instructions!$E$11=16,IF($T223=Instructions!$F$47,AJ222+1,AJ222))))))</f>
        <v>18</v>
      </c>
      <c r="AK223" s="321" t="str">
        <f t="shared" si="52"/>
        <v>618</v>
      </c>
      <c r="AL223" s="321">
        <f>IF(Instructions!$E$11=8,IF($D223=Instructions!$F$48,AL222+1,AL222),IF(Instructions!$E$11=10,IF($H223=Instructions!$F$48,AL222+1,AL222),IF(Instructions!$E$11=12,IF($L223=Instructions!$F$48,AL222+1,AL222),IF(Instructions!$E$11=14,IF($P223=Instructions!$F$48,AL222+1,AL222),IF(Instructions!$E$11=16,IF($T223=Instructions!$F$48,AL222+1,AL222))))))</f>
        <v>18</v>
      </c>
      <c r="AM223" s="321" t="str">
        <f t="shared" si="53"/>
        <v>718</v>
      </c>
      <c r="AN223" s="321">
        <f>IF(Instructions!$E$11=8,IF($D223=Instructions!$F$49,AN222+1,AN222),IF(Instructions!$E$11=10,IF($H223=Instructions!$F$49,AN222+1,AN222),IF(Instructions!$E$11=12,IF($L223=Instructions!$F$49,AN222+1,AN222),IF(Instructions!$E$11=14,IF($P223=Instructions!$F$49,AN222+1,AN222),IF(Instructions!$E$11=16,IF($T223=Instructions!$F$49,AN222+1,AN222))))))</f>
        <v>18</v>
      </c>
      <c r="AO223" s="321" t="str">
        <f t="shared" si="54"/>
        <v>818</v>
      </c>
      <c r="AP223" s="321">
        <f>IF(Instructions!$E$11=8,IF($D223=Instructions!$F$50,AP222+1,AP222),IF(Instructions!$E$11=10,IF($H223=Instructions!$F$50,AP222+1,AP222),IF(Instructions!$E$11=12,IF($L223=Instructions!$F$50,AP222+1,AP222),IF(Instructions!$E$11=14,IF($P223=Instructions!$F$50,AP222+1,AP222),IF(Instructions!$E$11=16,IF($T223=Instructions!$F$50,AP222+1,AP222))))))</f>
        <v>18</v>
      </c>
      <c r="AQ223" s="321" t="str">
        <f t="shared" si="55"/>
        <v>918</v>
      </c>
      <c r="AR223" s="321">
        <f>IF(Instructions!$E$11=8,IF($D223=Instructions!$F$51,AR222+1,AR222),IF(Instructions!$E$11=10,IF($H223=Instructions!$F$51,AR222+1,AR222),IF(Instructions!$E$11=12,IF($L223=Instructions!$F$51,AR222+1,AR222),IF(Instructions!$E$11=14,IF($P223=Instructions!$F$51,AR222+1,AR222),IF(Instructions!$E$11=16,IF($T223=Instructions!$F$51,AR222+1,AR222))))))</f>
        <v>18</v>
      </c>
      <c r="AS223" s="321" t="str">
        <f t="shared" si="57"/>
        <v>1018</v>
      </c>
      <c r="AT223" s="321">
        <f>IF(Instructions!$E$11=8,IF($D223=Instructions!$F$52,AT222+1,AT222),IF(Instructions!$E$11=10,IF($H223=Instructions!$F$52,AT222+1,AT222),IF(Instructions!$E$11=12,IF($L223=Instructions!$F$52,AT222+1,AT222),IF(Instructions!$E$11=14,IF($P223=Instructions!$F$52,AT222+1,AT222),IF(Instructions!$E$11=16,IF($T223=Instructions!$F$52,AT222+1,AT222))))))</f>
        <v>18</v>
      </c>
      <c r="AU223" s="321" t="str">
        <f t="shared" si="58"/>
        <v>1118</v>
      </c>
      <c r="AV223" s="321">
        <f>IF(Instructions!$E$11=8,IF($D223=Instructions!$F$53,AV222+1,AV222),IF(Instructions!$E$11=10,IF($H223=Instructions!$F$53,AV222+1,AV222),IF(Instructions!$E$11=12,IF($L223=Instructions!$F$53,AV222+1,AV222),IF(Instructions!$E$11=14,IF($P223=Instructions!$F$53,AV222+1,AV222),IF(Instructions!$E$11=16,IF($T223=Instructions!$F$53,AV222+1,AV222))))))</f>
        <v>18</v>
      </c>
      <c r="AW223" s="321" t="str">
        <f t="shared" si="59"/>
        <v>1218</v>
      </c>
      <c r="AX223" s="321">
        <f>IF(Instructions!$E$11=8,IF($D223=Instructions!$F$54,AX222+1,AX222),IF(Instructions!$E$11=10,IF($H223=Instructions!$F$54,AX222+1,AX222),IF(Instructions!$E$11=12,IF($L223=Instructions!$F$54,AX222+1,AX222),IF(Instructions!$E$11=14,IF($P223=Instructions!$F$54,AX222+1,AX222),IF(Instructions!$E$11=16,IF($T223=Instructions!$F$54,AX222+1,AX222))))))</f>
        <v>0</v>
      </c>
      <c r="AY223" s="321" t="str">
        <f t="shared" si="60"/>
        <v>1300</v>
      </c>
      <c r="AZ223" s="321">
        <f>IF(Instructions!$E$11=8,IF($D223=Instructions!$F$55,AZ222+1,AZ222),IF(Instructions!$E$11=10,IF($H223=Instructions!$F$55,AZ222+1,AZ222),IF(Instructions!$E$11=12,IF($L223=Instructions!$F$55,AZ222+1,AZ222),IF(Instructions!$E$11=14,IF($P223=Instructions!$F$55,AZ222+1,AZ222),IF(Instructions!$E$11=16,IF($T223=Instructions!$F$55,AZ222+1,AZ222))))))</f>
        <v>0</v>
      </c>
      <c r="BA223" s="321" t="str">
        <f t="shared" si="61"/>
        <v>1400</v>
      </c>
      <c r="BB223" s="321">
        <f>IF(Instructions!$E$11=8,IF($D223=Instructions!$F$56,BB222+1,BB222),IF(Instructions!$E$11=10,IF($H223=Instructions!$F$56,BB222+1,BB222),IF(Instructions!$E$11=12,IF($L223=Instructions!$F$56,BB222+1,BB222),IF(Instructions!$E$11=14,IF($P223=Instructions!$F$56,BB222+1,BB222),IF(Instructions!$E$11=16,IF($T223=Instructions!$F$56,BB222+1,BB222))))))</f>
        <v>0</v>
      </c>
      <c r="BC223" s="321" t="str">
        <f t="shared" si="62"/>
        <v>1500</v>
      </c>
      <c r="BD223" s="321">
        <f>IF(Instructions!$E$11=8,IF($D223=Instructions!$F$57,BD222+1,BD222),IF(Instructions!$E$11=10,IF($H223=Instructions!$F$57,BD222+1,BD222),IF(Instructions!$E$11=12,IF($L223=Instructions!$F$57,BD222+1,BD222),IF(Instructions!$E$11=14,IF($P223=Instructions!$F$57,BD222+1,BD222),IF(Instructions!$E$11=16,IF($T223=Instructions!$F$57,BD222+1,BD222))))))</f>
        <v>0</v>
      </c>
      <c r="BE223" s="321" t="str">
        <f t="shared" si="63"/>
        <v>1600</v>
      </c>
      <c r="BF223" s="321">
        <v>221</v>
      </c>
    </row>
    <row r="224" spans="1:58" x14ac:dyDescent="0.25">
      <c r="A224" s="280"/>
      <c r="B224" s="323" t="str">
        <f>IF(Instructions!$J$11=1,AA224,IF(Instructions!$J$11=2,AC224,IF(Instructions!$J$11=3,AE224,IF(Instructions!$J$11=4,AG224,IF(Instructions!$J$11=5,AI224,IF(Instructions!$J$11=6,AK224,IF(Instructions!$J$11=7,AM224,IF(Instructions!$J$11=8,AO224,IF(Instructions!$J$11=9,AQ224,IF(Instructions!$J$11=10,AS224,IF(Instructions!$J$11=11,AU224,IF(Instructions!$J$11=12,AW224,IF(Instructions!$J$11=13, AY224, IF(Instructions!$J$11=14,BA224,IF(Instructions!$J$11=15,BC224,BE224)))))))))))))))</f>
        <v>219</v>
      </c>
      <c r="C224" s="272">
        <v>222</v>
      </c>
      <c r="D224" s="281"/>
      <c r="E224" s="282"/>
      <c r="F224" s="281"/>
      <c r="G224" s="279"/>
      <c r="H224" s="294" t="str">
        <f>Instructions!F$43</f>
        <v>Camden</v>
      </c>
      <c r="I224" s="274" t="s">
        <v>1513</v>
      </c>
      <c r="J224" s="709"/>
      <c r="K224" s="279">
        <v>23</v>
      </c>
      <c r="L224" s="294" t="str">
        <f>Instructions!F$47</f>
        <v>Devin</v>
      </c>
      <c r="M224" s="274" t="s">
        <v>1485</v>
      </c>
      <c r="N224" s="709"/>
      <c r="O224" s="279">
        <v>19</v>
      </c>
      <c r="P224" s="294" t="str">
        <f>Instructions!F$44</f>
        <v>Cam</v>
      </c>
      <c r="Q224" s="274" t="s">
        <v>1098</v>
      </c>
      <c r="R224" s="709"/>
      <c r="S224" s="279">
        <v>16</v>
      </c>
      <c r="T224" s="327" t="str">
        <f>Instructions!F$44</f>
        <v>Cam</v>
      </c>
      <c r="U224" s="274" t="s">
        <v>954</v>
      </c>
      <c r="V224" s="706"/>
      <c r="W224" s="279">
        <v>14</v>
      </c>
      <c r="X224" s="280"/>
      <c r="Y224" s="190" t="str">
        <f>IFERROR( IF(Instructions!$E$11=8, D224&amp;COUNTIF(D$3:D224,D224), IF(Instructions!$E$11=10, H224&amp;COUNTIF(H$3:H224,H224),IF(Instructions!$E$11=12, L224&amp;COUNTIF(L$3:L224,L224),IF(Instructions!$E$11=14, P224&amp;COUNTIF(P$3:P224,P224),T224&amp;COUNTIF(T$3:T224,T224))))),"")</f>
        <v>Devin19</v>
      </c>
      <c r="Z224" s="321">
        <f>IF(Instructions!$E$11=8,IF($D224=Instructions!$F$42,Z223+1,Z223),IF(Instructions!$E$11=10,IF($H224=Instructions!$F$42,Z223+1,Z223),IF(Instructions!$E$11=12,IF($L224=Instructions!$F$42,Z223+1,Z223),IF(Instructions!$E$11=14,IF($P224=Instructions!$F$42,Z223+1,Z223),IF(Instructions!$E$11=16,IF($T224=Instructions!$F$42,Z223+1,Z223))))))</f>
        <v>19</v>
      </c>
      <c r="AA224" s="321" t="str">
        <f t="shared" si="56"/>
        <v>119</v>
      </c>
      <c r="AB224" s="321">
        <f>IF(Instructions!$E$11=8,IF($D224=Instructions!$F$43,AB223+1,AB223),IF(Instructions!$E$11=10,IF($H224=Instructions!$F$43,AB223+1,AB223),IF(Instructions!$E$11=12,IF($L224=Instructions!$F$43,AB223+1,AB223),IF(Instructions!$E$11=14,IF($P224=Instructions!$F$43,AB223+1,AB223),IF(Instructions!$E$11=16,IF($T224=Instructions!$F$43,AB223+1,AB223))))))</f>
        <v>19</v>
      </c>
      <c r="AC224" s="321" t="str">
        <f t="shared" si="48"/>
        <v>219</v>
      </c>
      <c r="AD224" s="321">
        <f>IF(Instructions!$E$11=8,IF($D224=Instructions!$F$44,AD223+1,AD223),IF(Instructions!$E$11=10,IF($H224=Instructions!$F$44,AD223+1,AD223),IF(Instructions!$E$11=12,IF($L224=Instructions!$F$44,AD223+1,AD223),IF(Instructions!$E$11=14,IF($P224=Instructions!$F$44,AD223+1,AD223),IF(Instructions!$E$11=16,IF($T224=Instructions!$F$44,AD223+1,AD223))))))</f>
        <v>19</v>
      </c>
      <c r="AE224" s="321" t="str">
        <f t="shared" si="49"/>
        <v>319</v>
      </c>
      <c r="AF224" s="321">
        <f>IF(Instructions!$E$11=8,IF($D224=Instructions!$F$45,AF223+1,AF223),IF(Instructions!$E$11=10,IF($H224=Instructions!$F$45,AF223+1,AF223),IF(Instructions!$E$11=12,IF($L224=Instructions!$F$45,AF223+1,AF223),IF(Instructions!$E$11=14,IF($P224=Instructions!$F$45,AF223+1,AF223),IF(Instructions!$E$11=16,IF($T224=Instructions!$F$45,AF223+1,AF223))))))</f>
        <v>19</v>
      </c>
      <c r="AG224" s="321" t="str">
        <f t="shared" si="50"/>
        <v>419</v>
      </c>
      <c r="AH224" s="321">
        <f>IF(Instructions!$E$11=8,IF($D224=Instructions!$F$46,AH223+1,AH223),IF(Instructions!$E$11=10,IF($H224=Instructions!$F$46,AH223+1,AH223),IF(Instructions!$E$11=12,IF($L224=Instructions!$F$46,AH223+1,AH223),IF(Instructions!$E$11=14,IF($P224=Instructions!$F$46,AH223+1,AH223),IF(Instructions!$E$11=16,IF($T224=Instructions!$F$46,AH223+1,AH223))))))</f>
        <v>19</v>
      </c>
      <c r="AI224" s="321" t="str">
        <f t="shared" si="51"/>
        <v>519</v>
      </c>
      <c r="AJ224" s="321">
        <f>IF(Instructions!$E$11=8,IF($D224=Instructions!$F$47,AJ223+1,AJ223),IF(Instructions!$E$11=10,IF($H224=Instructions!$F$47,AJ223+1,AJ223),IF(Instructions!$E$11=12,IF($L224=Instructions!$F$47,AJ223+1,AJ223),IF(Instructions!$E$11=14,IF($P224=Instructions!$F$47,AJ223+1,AJ223),IF(Instructions!$E$11=16,IF($T224=Instructions!$F$47,AJ223+1,AJ223))))))</f>
        <v>19</v>
      </c>
      <c r="AK224" s="321" t="str">
        <f t="shared" si="52"/>
        <v>619</v>
      </c>
      <c r="AL224" s="321">
        <f>IF(Instructions!$E$11=8,IF($D224=Instructions!$F$48,AL223+1,AL223),IF(Instructions!$E$11=10,IF($H224=Instructions!$F$48,AL223+1,AL223),IF(Instructions!$E$11=12,IF($L224=Instructions!$F$48,AL223+1,AL223),IF(Instructions!$E$11=14,IF($P224=Instructions!$F$48,AL223+1,AL223),IF(Instructions!$E$11=16,IF($T224=Instructions!$F$48,AL223+1,AL223))))))</f>
        <v>18</v>
      </c>
      <c r="AM224" s="321" t="str">
        <f t="shared" si="53"/>
        <v>718</v>
      </c>
      <c r="AN224" s="321">
        <f>IF(Instructions!$E$11=8,IF($D224=Instructions!$F$49,AN223+1,AN223),IF(Instructions!$E$11=10,IF($H224=Instructions!$F$49,AN223+1,AN223),IF(Instructions!$E$11=12,IF($L224=Instructions!$F$49,AN223+1,AN223),IF(Instructions!$E$11=14,IF($P224=Instructions!$F$49,AN223+1,AN223),IF(Instructions!$E$11=16,IF($T224=Instructions!$F$49,AN223+1,AN223))))))</f>
        <v>18</v>
      </c>
      <c r="AO224" s="321" t="str">
        <f t="shared" si="54"/>
        <v>818</v>
      </c>
      <c r="AP224" s="321">
        <f>IF(Instructions!$E$11=8,IF($D224=Instructions!$F$50,AP223+1,AP223),IF(Instructions!$E$11=10,IF($H224=Instructions!$F$50,AP223+1,AP223),IF(Instructions!$E$11=12,IF($L224=Instructions!$F$50,AP223+1,AP223),IF(Instructions!$E$11=14,IF($P224=Instructions!$F$50,AP223+1,AP223),IF(Instructions!$E$11=16,IF($T224=Instructions!$F$50,AP223+1,AP223))))))</f>
        <v>18</v>
      </c>
      <c r="AQ224" s="321" t="str">
        <f t="shared" si="55"/>
        <v>918</v>
      </c>
      <c r="AR224" s="321">
        <f>IF(Instructions!$E$11=8,IF($D224=Instructions!$F$51,AR223+1,AR223),IF(Instructions!$E$11=10,IF($H224=Instructions!$F$51,AR223+1,AR223),IF(Instructions!$E$11=12,IF($L224=Instructions!$F$51,AR223+1,AR223),IF(Instructions!$E$11=14,IF($P224=Instructions!$F$51,AR223+1,AR223),IF(Instructions!$E$11=16,IF($T224=Instructions!$F$51,AR223+1,AR223))))))</f>
        <v>18</v>
      </c>
      <c r="AS224" s="321" t="str">
        <f t="shared" si="57"/>
        <v>1018</v>
      </c>
      <c r="AT224" s="321">
        <f>IF(Instructions!$E$11=8,IF($D224=Instructions!$F$52,AT223+1,AT223),IF(Instructions!$E$11=10,IF($H224=Instructions!$F$52,AT223+1,AT223),IF(Instructions!$E$11=12,IF($L224=Instructions!$F$52,AT223+1,AT223),IF(Instructions!$E$11=14,IF($P224=Instructions!$F$52,AT223+1,AT223),IF(Instructions!$E$11=16,IF($T224=Instructions!$F$52,AT223+1,AT223))))))</f>
        <v>18</v>
      </c>
      <c r="AU224" s="321" t="str">
        <f t="shared" si="58"/>
        <v>1118</v>
      </c>
      <c r="AV224" s="321">
        <f>IF(Instructions!$E$11=8,IF($D224=Instructions!$F$53,AV223+1,AV223),IF(Instructions!$E$11=10,IF($H224=Instructions!$F$53,AV223+1,AV223),IF(Instructions!$E$11=12,IF($L224=Instructions!$F$53,AV223+1,AV223),IF(Instructions!$E$11=14,IF($P224=Instructions!$F$53,AV223+1,AV223),IF(Instructions!$E$11=16,IF($T224=Instructions!$F$53,AV223+1,AV223))))))</f>
        <v>18</v>
      </c>
      <c r="AW224" s="321" t="str">
        <f t="shared" si="59"/>
        <v>1218</v>
      </c>
      <c r="AX224" s="321">
        <f>IF(Instructions!$E$11=8,IF($D224=Instructions!$F$54,AX223+1,AX223),IF(Instructions!$E$11=10,IF($H224=Instructions!$F$54,AX223+1,AX223),IF(Instructions!$E$11=12,IF($L224=Instructions!$F$54,AX223+1,AX223),IF(Instructions!$E$11=14,IF($P224=Instructions!$F$54,AX223+1,AX223),IF(Instructions!$E$11=16,IF($T224=Instructions!$F$54,AX223+1,AX223))))))</f>
        <v>0</v>
      </c>
      <c r="AY224" s="321" t="str">
        <f t="shared" si="60"/>
        <v>1300</v>
      </c>
      <c r="AZ224" s="321">
        <f>IF(Instructions!$E$11=8,IF($D224=Instructions!$F$55,AZ223+1,AZ223),IF(Instructions!$E$11=10,IF($H224=Instructions!$F$55,AZ223+1,AZ223),IF(Instructions!$E$11=12,IF($L224=Instructions!$F$55,AZ223+1,AZ223),IF(Instructions!$E$11=14,IF($P224=Instructions!$F$55,AZ223+1,AZ223),IF(Instructions!$E$11=16,IF($T224=Instructions!$F$55,AZ223+1,AZ223))))))</f>
        <v>0</v>
      </c>
      <c r="BA224" s="321" t="str">
        <f t="shared" si="61"/>
        <v>1400</v>
      </c>
      <c r="BB224" s="321">
        <f>IF(Instructions!$E$11=8,IF($D224=Instructions!$F$56,BB223+1,BB223),IF(Instructions!$E$11=10,IF($H224=Instructions!$F$56,BB223+1,BB223),IF(Instructions!$E$11=12,IF($L224=Instructions!$F$56,BB223+1,BB223),IF(Instructions!$E$11=14,IF($P224=Instructions!$F$56,BB223+1,BB223),IF(Instructions!$E$11=16,IF($T224=Instructions!$F$56,BB223+1,BB223))))))</f>
        <v>0</v>
      </c>
      <c r="BC224" s="321" t="str">
        <f t="shared" si="62"/>
        <v>1500</v>
      </c>
      <c r="BD224" s="321">
        <f>IF(Instructions!$E$11=8,IF($D224=Instructions!$F$57,BD223+1,BD223),IF(Instructions!$E$11=10,IF($H224=Instructions!$F$57,BD223+1,BD223),IF(Instructions!$E$11=12,IF($L224=Instructions!$F$57,BD223+1,BD223),IF(Instructions!$E$11=14,IF($P224=Instructions!$F$57,BD223+1,BD223),IF(Instructions!$E$11=16,IF($T224=Instructions!$F$57,BD223+1,BD223))))))</f>
        <v>0</v>
      </c>
      <c r="BE224" s="321" t="str">
        <f t="shared" si="63"/>
        <v>1600</v>
      </c>
      <c r="BF224" s="321">
        <v>222</v>
      </c>
    </row>
    <row r="225" spans="1:58" x14ac:dyDescent="0.25">
      <c r="A225" s="280"/>
      <c r="B225" s="323" t="str">
        <f>IF(Instructions!$J$11=1,AA225,IF(Instructions!$J$11=2,AC225,IF(Instructions!$J$11=3,AE225,IF(Instructions!$J$11=4,AG225,IF(Instructions!$J$11=5,AI225,IF(Instructions!$J$11=6,AK225,IF(Instructions!$J$11=7,AM225,IF(Instructions!$J$11=8,AO225,IF(Instructions!$J$11=9,AQ225,IF(Instructions!$J$11=10,AS225,IF(Instructions!$J$11=11,AU225,IF(Instructions!$J$11=12,AW225,IF(Instructions!$J$11=13, AY225, IF(Instructions!$J$11=14,BA225,IF(Instructions!$J$11=15,BC225,BE225)))))))))))))))</f>
        <v>219</v>
      </c>
      <c r="C225" s="271">
        <v>223</v>
      </c>
      <c r="D225" s="281"/>
      <c r="E225" s="282"/>
      <c r="F225" s="281"/>
      <c r="G225" s="279"/>
      <c r="H225" s="293" t="str">
        <f>Instructions!F$44</f>
        <v>Cam</v>
      </c>
      <c r="I225" s="273" t="s">
        <v>1514</v>
      </c>
      <c r="J225" s="709"/>
      <c r="K225" s="279">
        <v>23</v>
      </c>
      <c r="L225" s="293" t="str">
        <f>Instructions!F$48</f>
        <v>Bui</v>
      </c>
      <c r="M225" s="273" t="s">
        <v>1486</v>
      </c>
      <c r="N225" s="709"/>
      <c r="O225" s="279">
        <v>19</v>
      </c>
      <c r="P225" s="293" t="str">
        <f>Instructions!F$43</f>
        <v>Camden</v>
      </c>
      <c r="Q225" s="273" t="s">
        <v>1099</v>
      </c>
      <c r="R225" s="709"/>
      <c r="S225" s="279">
        <v>16</v>
      </c>
      <c r="T225" s="328" t="str">
        <f>Instructions!F$43</f>
        <v>Camden</v>
      </c>
      <c r="U225" s="273" t="s">
        <v>1590</v>
      </c>
      <c r="V225" s="706"/>
      <c r="W225" s="279">
        <v>14</v>
      </c>
      <c r="X225" s="280"/>
      <c r="Y225" s="190" t="str">
        <f>IFERROR( IF(Instructions!$E$11=8, D225&amp;COUNTIF(D$3:D225,D225), IF(Instructions!$E$11=10, H225&amp;COUNTIF(H$3:H225,H225),IF(Instructions!$E$11=12, L225&amp;COUNTIF(L$3:L225,L225),IF(Instructions!$E$11=14, P225&amp;COUNTIF(P$3:P225,P225),T225&amp;COUNTIF(T$3:T225,T225))))),"")</f>
        <v>Bui19</v>
      </c>
      <c r="Z225" s="321">
        <f>IF(Instructions!$E$11=8,IF($D225=Instructions!$F$42,Z224+1,Z224),IF(Instructions!$E$11=10,IF($H225=Instructions!$F$42,Z224+1,Z224),IF(Instructions!$E$11=12,IF($L225=Instructions!$F$42,Z224+1,Z224),IF(Instructions!$E$11=14,IF($P225=Instructions!$F$42,Z224+1,Z224),IF(Instructions!$E$11=16,IF($T225=Instructions!$F$42,Z224+1,Z224))))))</f>
        <v>19</v>
      </c>
      <c r="AA225" s="321" t="str">
        <f t="shared" si="56"/>
        <v>119</v>
      </c>
      <c r="AB225" s="321">
        <f>IF(Instructions!$E$11=8,IF($D225=Instructions!$F$43,AB224+1,AB224),IF(Instructions!$E$11=10,IF($H225=Instructions!$F$43,AB224+1,AB224),IF(Instructions!$E$11=12,IF($L225=Instructions!$F$43,AB224+1,AB224),IF(Instructions!$E$11=14,IF($P225=Instructions!$F$43,AB224+1,AB224),IF(Instructions!$E$11=16,IF($T225=Instructions!$F$43,AB224+1,AB224))))))</f>
        <v>19</v>
      </c>
      <c r="AC225" s="321" t="str">
        <f t="shared" si="48"/>
        <v>219</v>
      </c>
      <c r="AD225" s="321">
        <f>IF(Instructions!$E$11=8,IF($D225=Instructions!$F$44,AD224+1,AD224),IF(Instructions!$E$11=10,IF($H225=Instructions!$F$44,AD224+1,AD224),IF(Instructions!$E$11=12,IF($L225=Instructions!$F$44,AD224+1,AD224),IF(Instructions!$E$11=14,IF($P225=Instructions!$F$44,AD224+1,AD224),IF(Instructions!$E$11=16,IF($T225=Instructions!$F$44,AD224+1,AD224))))))</f>
        <v>19</v>
      </c>
      <c r="AE225" s="321" t="str">
        <f t="shared" si="49"/>
        <v>319</v>
      </c>
      <c r="AF225" s="321">
        <f>IF(Instructions!$E$11=8,IF($D225=Instructions!$F$45,AF224+1,AF224),IF(Instructions!$E$11=10,IF($H225=Instructions!$F$45,AF224+1,AF224),IF(Instructions!$E$11=12,IF($L225=Instructions!$F$45,AF224+1,AF224),IF(Instructions!$E$11=14,IF($P225=Instructions!$F$45,AF224+1,AF224),IF(Instructions!$E$11=16,IF($T225=Instructions!$F$45,AF224+1,AF224))))))</f>
        <v>19</v>
      </c>
      <c r="AG225" s="321" t="str">
        <f t="shared" si="50"/>
        <v>419</v>
      </c>
      <c r="AH225" s="321">
        <f>IF(Instructions!$E$11=8,IF($D225=Instructions!$F$46,AH224+1,AH224),IF(Instructions!$E$11=10,IF($H225=Instructions!$F$46,AH224+1,AH224),IF(Instructions!$E$11=12,IF($L225=Instructions!$F$46,AH224+1,AH224),IF(Instructions!$E$11=14,IF($P225=Instructions!$F$46,AH224+1,AH224),IF(Instructions!$E$11=16,IF($T225=Instructions!$F$46,AH224+1,AH224))))))</f>
        <v>19</v>
      </c>
      <c r="AI225" s="321" t="str">
        <f t="shared" si="51"/>
        <v>519</v>
      </c>
      <c r="AJ225" s="321">
        <f>IF(Instructions!$E$11=8,IF($D225=Instructions!$F$47,AJ224+1,AJ224),IF(Instructions!$E$11=10,IF($H225=Instructions!$F$47,AJ224+1,AJ224),IF(Instructions!$E$11=12,IF($L225=Instructions!$F$47,AJ224+1,AJ224),IF(Instructions!$E$11=14,IF($P225=Instructions!$F$47,AJ224+1,AJ224),IF(Instructions!$E$11=16,IF($T225=Instructions!$F$47,AJ224+1,AJ224))))))</f>
        <v>19</v>
      </c>
      <c r="AK225" s="321" t="str">
        <f t="shared" si="52"/>
        <v>619</v>
      </c>
      <c r="AL225" s="321">
        <f>IF(Instructions!$E$11=8,IF($D225=Instructions!$F$48,AL224+1,AL224),IF(Instructions!$E$11=10,IF($H225=Instructions!$F$48,AL224+1,AL224),IF(Instructions!$E$11=12,IF($L225=Instructions!$F$48,AL224+1,AL224),IF(Instructions!$E$11=14,IF($P225=Instructions!$F$48,AL224+1,AL224),IF(Instructions!$E$11=16,IF($T225=Instructions!$F$48,AL224+1,AL224))))))</f>
        <v>19</v>
      </c>
      <c r="AM225" s="321" t="str">
        <f t="shared" si="53"/>
        <v>719</v>
      </c>
      <c r="AN225" s="321">
        <f>IF(Instructions!$E$11=8,IF($D225=Instructions!$F$49,AN224+1,AN224),IF(Instructions!$E$11=10,IF($H225=Instructions!$F$49,AN224+1,AN224),IF(Instructions!$E$11=12,IF($L225=Instructions!$F$49,AN224+1,AN224),IF(Instructions!$E$11=14,IF($P225=Instructions!$F$49,AN224+1,AN224),IF(Instructions!$E$11=16,IF($T225=Instructions!$F$49,AN224+1,AN224))))))</f>
        <v>18</v>
      </c>
      <c r="AO225" s="321" t="str">
        <f t="shared" si="54"/>
        <v>818</v>
      </c>
      <c r="AP225" s="321">
        <f>IF(Instructions!$E$11=8,IF($D225=Instructions!$F$50,AP224+1,AP224),IF(Instructions!$E$11=10,IF($H225=Instructions!$F$50,AP224+1,AP224),IF(Instructions!$E$11=12,IF($L225=Instructions!$F$50,AP224+1,AP224),IF(Instructions!$E$11=14,IF($P225=Instructions!$F$50,AP224+1,AP224),IF(Instructions!$E$11=16,IF($T225=Instructions!$F$50,AP224+1,AP224))))))</f>
        <v>18</v>
      </c>
      <c r="AQ225" s="321" t="str">
        <f t="shared" si="55"/>
        <v>918</v>
      </c>
      <c r="AR225" s="321">
        <f>IF(Instructions!$E$11=8,IF($D225=Instructions!$F$51,AR224+1,AR224),IF(Instructions!$E$11=10,IF($H225=Instructions!$F$51,AR224+1,AR224),IF(Instructions!$E$11=12,IF($L225=Instructions!$F$51,AR224+1,AR224),IF(Instructions!$E$11=14,IF($P225=Instructions!$F$51,AR224+1,AR224),IF(Instructions!$E$11=16,IF($T225=Instructions!$F$51,AR224+1,AR224))))))</f>
        <v>18</v>
      </c>
      <c r="AS225" s="321" t="str">
        <f t="shared" si="57"/>
        <v>1018</v>
      </c>
      <c r="AT225" s="321">
        <f>IF(Instructions!$E$11=8,IF($D225=Instructions!$F$52,AT224+1,AT224),IF(Instructions!$E$11=10,IF($H225=Instructions!$F$52,AT224+1,AT224),IF(Instructions!$E$11=12,IF($L225=Instructions!$F$52,AT224+1,AT224),IF(Instructions!$E$11=14,IF($P225=Instructions!$F$52,AT224+1,AT224),IF(Instructions!$E$11=16,IF($T225=Instructions!$F$52,AT224+1,AT224))))))</f>
        <v>18</v>
      </c>
      <c r="AU225" s="321" t="str">
        <f t="shared" si="58"/>
        <v>1118</v>
      </c>
      <c r="AV225" s="321">
        <f>IF(Instructions!$E$11=8,IF($D225=Instructions!$F$53,AV224+1,AV224),IF(Instructions!$E$11=10,IF($H225=Instructions!$F$53,AV224+1,AV224),IF(Instructions!$E$11=12,IF($L225=Instructions!$F$53,AV224+1,AV224),IF(Instructions!$E$11=14,IF($P225=Instructions!$F$53,AV224+1,AV224),IF(Instructions!$E$11=16,IF($T225=Instructions!$F$53,AV224+1,AV224))))))</f>
        <v>18</v>
      </c>
      <c r="AW225" s="321" t="str">
        <f t="shared" si="59"/>
        <v>1218</v>
      </c>
      <c r="AX225" s="321">
        <f>IF(Instructions!$E$11=8,IF($D225=Instructions!$F$54,AX224+1,AX224),IF(Instructions!$E$11=10,IF($H225=Instructions!$F$54,AX224+1,AX224),IF(Instructions!$E$11=12,IF($L225=Instructions!$F$54,AX224+1,AX224),IF(Instructions!$E$11=14,IF($P225=Instructions!$F$54,AX224+1,AX224),IF(Instructions!$E$11=16,IF($T225=Instructions!$F$54,AX224+1,AX224))))))</f>
        <v>0</v>
      </c>
      <c r="AY225" s="321" t="str">
        <f t="shared" si="60"/>
        <v>1300</v>
      </c>
      <c r="AZ225" s="321">
        <f>IF(Instructions!$E$11=8,IF($D225=Instructions!$F$55,AZ224+1,AZ224),IF(Instructions!$E$11=10,IF($H225=Instructions!$F$55,AZ224+1,AZ224),IF(Instructions!$E$11=12,IF($L225=Instructions!$F$55,AZ224+1,AZ224),IF(Instructions!$E$11=14,IF($P225=Instructions!$F$55,AZ224+1,AZ224),IF(Instructions!$E$11=16,IF($T225=Instructions!$F$55,AZ224+1,AZ224))))))</f>
        <v>0</v>
      </c>
      <c r="BA225" s="321" t="str">
        <f t="shared" si="61"/>
        <v>1400</v>
      </c>
      <c r="BB225" s="321">
        <f>IF(Instructions!$E$11=8,IF($D225=Instructions!$F$56,BB224+1,BB224),IF(Instructions!$E$11=10,IF($H225=Instructions!$F$56,BB224+1,BB224),IF(Instructions!$E$11=12,IF($L225=Instructions!$F$56,BB224+1,BB224),IF(Instructions!$E$11=14,IF($P225=Instructions!$F$56,BB224+1,BB224),IF(Instructions!$E$11=16,IF($T225=Instructions!$F$56,BB224+1,BB224))))))</f>
        <v>0</v>
      </c>
      <c r="BC225" s="321" t="str">
        <f t="shared" si="62"/>
        <v>1500</v>
      </c>
      <c r="BD225" s="321">
        <f>IF(Instructions!$E$11=8,IF($D225=Instructions!$F$57,BD224+1,BD224),IF(Instructions!$E$11=10,IF($H225=Instructions!$F$57,BD224+1,BD224),IF(Instructions!$E$11=12,IF($L225=Instructions!$F$57,BD224+1,BD224),IF(Instructions!$E$11=14,IF($P225=Instructions!$F$57,BD224+1,BD224),IF(Instructions!$E$11=16,IF($T225=Instructions!$F$57,BD224+1,BD224))))))</f>
        <v>0</v>
      </c>
      <c r="BE225" s="321" t="str">
        <f t="shared" si="63"/>
        <v>1600</v>
      </c>
      <c r="BF225" s="321">
        <v>223</v>
      </c>
    </row>
    <row r="226" spans="1:58" ht="15.75" thickBot="1" x14ac:dyDescent="0.3">
      <c r="A226" s="280"/>
      <c r="B226" s="323" t="str">
        <f>IF(Instructions!$J$11=1,AA226,IF(Instructions!$J$11=2,AC226,IF(Instructions!$J$11=3,AE226,IF(Instructions!$J$11=4,AG226,IF(Instructions!$J$11=5,AI226,IF(Instructions!$J$11=6,AK226,IF(Instructions!$J$11=7,AM226,IF(Instructions!$J$11=8,AO226,IF(Instructions!$J$11=9,AQ226,IF(Instructions!$J$11=10,AS226,IF(Instructions!$J$11=11,AU226,IF(Instructions!$J$11=12,AW226,IF(Instructions!$J$11=13, AY226, IF(Instructions!$J$11=14,BA226,IF(Instructions!$J$11=15,BC226,BE226)))))))))))))))</f>
        <v>219</v>
      </c>
      <c r="C226" s="272">
        <v>224</v>
      </c>
      <c r="D226" s="281"/>
      <c r="E226" s="282"/>
      <c r="F226" s="281"/>
      <c r="G226" s="279"/>
      <c r="H226" s="294" t="str">
        <f>Instructions!F$45</f>
        <v>Miles</v>
      </c>
      <c r="I226" s="274" t="s">
        <v>1515</v>
      </c>
      <c r="J226" s="709"/>
      <c r="K226" s="279">
        <v>23</v>
      </c>
      <c r="L226" s="294" t="str">
        <f>Instructions!F$49</f>
        <v>Luke</v>
      </c>
      <c r="M226" s="274" t="s">
        <v>1487</v>
      </c>
      <c r="N226" s="709"/>
      <c r="O226" s="279">
        <v>19</v>
      </c>
      <c r="P226" s="295" t="str">
        <f>Instructions!F$42</f>
        <v>Trumbo</v>
      </c>
      <c r="Q226" s="277" t="s">
        <v>1100</v>
      </c>
      <c r="R226" s="710"/>
      <c r="S226" s="279">
        <v>16</v>
      </c>
      <c r="T226" s="329" t="str">
        <f>Instructions!F$42</f>
        <v>Trumbo</v>
      </c>
      <c r="U226" s="330" t="s">
        <v>1591</v>
      </c>
      <c r="V226" s="707"/>
      <c r="W226" s="279">
        <v>14</v>
      </c>
      <c r="X226" s="280"/>
      <c r="Y226" s="190" t="str">
        <f>IFERROR( IF(Instructions!$E$11=8, D226&amp;COUNTIF(D$3:D226,D226), IF(Instructions!$E$11=10, H226&amp;COUNTIF(H$3:H226,H226),IF(Instructions!$E$11=12, L226&amp;COUNTIF(L$3:L226,L226),IF(Instructions!$E$11=14, P226&amp;COUNTIF(P$3:P226,P226),T226&amp;COUNTIF(T$3:T226,T226))))),"")</f>
        <v>Luke19</v>
      </c>
      <c r="Z226" s="321">
        <f>IF(Instructions!$E$11=8,IF($D226=Instructions!$F$42,Z225+1,Z225),IF(Instructions!$E$11=10,IF($H226=Instructions!$F$42,Z225+1,Z225),IF(Instructions!$E$11=12,IF($L226=Instructions!$F$42,Z225+1,Z225),IF(Instructions!$E$11=14,IF($P226=Instructions!$F$42,Z225+1,Z225),IF(Instructions!$E$11=16,IF($T226=Instructions!$F$42,Z225+1,Z225))))))</f>
        <v>19</v>
      </c>
      <c r="AA226" s="321" t="str">
        <f t="shared" si="56"/>
        <v>119</v>
      </c>
      <c r="AB226" s="321">
        <f>IF(Instructions!$E$11=8,IF($D226=Instructions!$F$43,AB225+1,AB225),IF(Instructions!$E$11=10,IF($H226=Instructions!$F$43,AB225+1,AB225),IF(Instructions!$E$11=12,IF($L226=Instructions!$F$43,AB225+1,AB225),IF(Instructions!$E$11=14,IF($P226=Instructions!$F$43,AB225+1,AB225),IF(Instructions!$E$11=16,IF($T226=Instructions!$F$43,AB225+1,AB225))))))</f>
        <v>19</v>
      </c>
      <c r="AC226" s="321" t="str">
        <f t="shared" si="48"/>
        <v>219</v>
      </c>
      <c r="AD226" s="321">
        <f>IF(Instructions!$E$11=8,IF($D226=Instructions!$F$44,AD225+1,AD225),IF(Instructions!$E$11=10,IF($H226=Instructions!$F$44,AD225+1,AD225),IF(Instructions!$E$11=12,IF($L226=Instructions!$F$44,AD225+1,AD225),IF(Instructions!$E$11=14,IF($P226=Instructions!$F$44,AD225+1,AD225),IF(Instructions!$E$11=16,IF($T226=Instructions!$F$44,AD225+1,AD225))))))</f>
        <v>19</v>
      </c>
      <c r="AE226" s="321" t="str">
        <f t="shared" si="49"/>
        <v>319</v>
      </c>
      <c r="AF226" s="321">
        <f>IF(Instructions!$E$11=8,IF($D226=Instructions!$F$45,AF225+1,AF225),IF(Instructions!$E$11=10,IF($H226=Instructions!$F$45,AF225+1,AF225),IF(Instructions!$E$11=12,IF($L226=Instructions!$F$45,AF225+1,AF225),IF(Instructions!$E$11=14,IF($P226=Instructions!$F$45,AF225+1,AF225),IF(Instructions!$E$11=16,IF($T226=Instructions!$F$45,AF225+1,AF225))))))</f>
        <v>19</v>
      </c>
      <c r="AG226" s="321" t="str">
        <f t="shared" si="50"/>
        <v>419</v>
      </c>
      <c r="AH226" s="321">
        <f>IF(Instructions!$E$11=8,IF($D226=Instructions!$F$46,AH225+1,AH225),IF(Instructions!$E$11=10,IF($H226=Instructions!$F$46,AH225+1,AH225),IF(Instructions!$E$11=12,IF($L226=Instructions!$F$46,AH225+1,AH225),IF(Instructions!$E$11=14,IF($P226=Instructions!$F$46,AH225+1,AH225),IF(Instructions!$E$11=16,IF($T226=Instructions!$F$46,AH225+1,AH225))))))</f>
        <v>19</v>
      </c>
      <c r="AI226" s="321" t="str">
        <f t="shared" si="51"/>
        <v>519</v>
      </c>
      <c r="AJ226" s="321">
        <f>IF(Instructions!$E$11=8,IF($D226=Instructions!$F$47,AJ225+1,AJ225),IF(Instructions!$E$11=10,IF($H226=Instructions!$F$47,AJ225+1,AJ225),IF(Instructions!$E$11=12,IF($L226=Instructions!$F$47,AJ225+1,AJ225),IF(Instructions!$E$11=14,IF($P226=Instructions!$F$47,AJ225+1,AJ225),IF(Instructions!$E$11=16,IF($T226=Instructions!$F$47,AJ225+1,AJ225))))))</f>
        <v>19</v>
      </c>
      <c r="AK226" s="321" t="str">
        <f t="shared" si="52"/>
        <v>619</v>
      </c>
      <c r="AL226" s="321">
        <f>IF(Instructions!$E$11=8,IF($D226=Instructions!$F$48,AL225+1,AL225),IF(Instructions!$E$11=10,IF($H226=Instructions!$F$48,AL225+1,AL225),IF(Instructions!$E$11=12,IF($L226=Instructions!$F$48,AL225+1,AL225),IF(Instructions!$E$11=14,IF($P226=Instructions!$F$48,AL225+1,AL225),IF(Instructions!$E$11=16,IF($T226=Instructions!$F$48,AL225+1,AL225))))))</f>
        <v>19</v>
      </c>
      <c r="AM226" s="321" t="str">
        <f t="shared" si="53"/>
        <v>719</v>
      </c>
      <c r="AN226" s="321">
        <f>IF(Instructions!$E$11=8,IF($D226=Instructions!$F$49,AN225+1,AN225),IF(Instructions!$E$11=10,IF($H226=Instructions!$F$49,AN225+1,AN225),IF(Instructions!$E$11=12,IF($L226=Instructions!$F$49,AN225+1,AN225),IF(Instructions!$E$11=14,IF($P226=Instructions!$F$49,AN225+1,AN225),IF(Instructions!$E$11=16,IF($T226=Instructions!$F$49,AN225+1,AN225))))))</f>
        <v>19</v>
      </c>
      <c r="AO226" s="321" t="str">
        <f t="shared" si="54"/>
        <v>819</v>
      </c>
      <c r="AP226" s="321">
        <f>IF(Instructions!$E$11=8,IF($D226=Instructions!$F$50,AP225+1,AP225),IF(Instructions!$E$11=10,IF($H226=Instructions!$F$50,AP225+1,AP225),IF(Instructions!$E$11=12,IF($L226=Instructions!$F$50,AP225+1,AP225),IF(Instructions!$E$11=14,IF($P226=Instructions!$F$50,AP225+1,AP225),IF(Instructions!$E$11=16,IF($T226=Instructions!$F$50,AP225+1,AP225))))))</f>
        <v>18</v>
      </c>
      <c r="AQ226" s="321" t="str">
        <f t="shared" si="55"/>
        <v>918</v>
      </c>
      <c r="AR226" s="321">
        <f>IF(Instructions!$E$11=8,IF($D226=Instructions!$F$51,AR225+1,AR225),IF(Instructions!$E$11=10,IF($H226=Instructions!$F$51,AR225+1,AR225),IF(Instructions!$E$11=12,IF($L226=Instructions!$F$51,AR225+1,AR225),IF(Instructions!$E$11=14,IF($P226=Instructions!$F$51,AR225+1,AR225),IF(Instructions!$E$11=16,IF($T226=Instructions!$F$51,AR225+1,AR225))))))</f>
        <v>18</v>
      </c>
      <c r="AS226" s="321" t="str">
        <f t="shared" si="57"/>
        <v>1018</v>
      </c>
      <c r="AT226" s="321">
        <f>IF(Instructions!$E$11=8,IF($D226=Instructions!$F$52,AT225+1,AT225),IF(Instructions!$E$11=10,IF($H226=Instructions!$F$52,AT225+1,AT225),IF(Instructions!$E$11=12,IF($L226=Instructions!$F$52,AT225+1,AT225),IF(Instructions!$E$11=14,IF($P226=Instructions!$F$52,AT225+1,AT225),IF(Instructions!$E$11=16,IF($T226=Instructions!$F$52,AT225+1,AT225))))))</f>
        <v>18</v>
      </c>
      <c r="AU226" s="321" t="str">
        <f t="shared" si="58"/>
        <v>1118</v>
      </c>
      <c r="AV226" s="321">
        <f>IF(Instructions!$E$11=8,IF($D226=Instructions!$F$53,AV225+1,AV225),IF(Instructions!$E$11=10,IF($H226=Instructions!$F$53,AV225+1,AV225),IF(Instructions!$E$11=12,IF($L226=Instructions!$F$53,AV225+1,AV225),IF(Instructions!$E$11=14,IF($P226=Instructions!$F$53,AV225+1,AV225),IF(Instructions!$E$11=16,IF($T226=Instructions!$F$53,AV225+1,AV225))))))</f>
        <v>18</v>
      </c>
      <c r="AW226" s="321" t="str">
        <f t="shared" si="59"/>
        <v>1218</v>
      </c>
      <c r="AX226" s="321">
        <f>IF(Instructions!$E$11=8,IF($D226=Instructions!$F$54,AX225+1,AX225),IF(Instructions!$E$11=10,IF($H226=Instructions!$F$54,AX225+1,AX225),IF(Instructions!$E$11=12,IF($L226=Instructions!$F$54,AX225+1,AX225),IF(Instructions!$E$11=14,IF($P226=Instructions!$F$54,AX225+1,AX225),IF(Instructions!$E$11=16,IF($T226=Instructions!$F$54,AX225+1,AX225))))))</f>
        <v>0</v>
      </c>
      <c r="AY226" s="321" t="str">
        <f t="shared" si="60"/>
        <v>1300</v>
      </c>
      <c r="AZ226" s="321">
        <f>IF(Instructions!$E$11=8,IF($D226=Instructions!$F$55,AZ225+1,AZ225),IF(Instructions!$E$11=10,IF($H226=Instructions!$F$55,AZ225+1,AZ225),IF(Instructions!$E$11=12,IF($L226=Instructions!$F$55,AZ225+1,AZ225),IF(Instructions!$E$11=14,IF($P226=Instructions!$F$55,AZ225+1,AZ225),IF(Instructions!$E$11=16,IF($T226=Instructions!$F$55,AZ225+1,AZ225))))))</f>
        <v>0</v>
      </c>
      <c r="BA226" s="321" t="str">
        <f t="shared" si="61"/>
        <v>1400</v>
      </c>
      <c r="BB226" s="321">
        <f>IF(Instructions!$E$11=8,IF($D226=Instructions!$F$56,BB225+1,BB225),IF(Instructions!$E$11=10,IF($H226=Instructions!$F$56,BB225+1,BB225),IF(Instructions!$E$11=12,IF($L226=Instructions!$F$56,BB225+1,BB225),IF(Instructions!$E$11=14,IF($P226=Instructions!$F$56,BB225+1,BB225),IF(Instructions!$E$11=16,IF($T226=Instructions!$F$56,BB225+1,BB225))))))</f>
        <v>0</v>
      </c>
      <c r="BC226" s="321" t="str">
        <f t="shared" si="62"/>
        <v>1500</v>
      </c>
      <c r="BD226" s="321">
        <f>IF(Instructions!$E$11=8,IF($D226=Instructions!$F$57,BD225+1,BD225),IF(Instructions!$E$11=10,IF($H226=Instructions!$F$57,BD225+1,BD225),IF(Instructions!$E$11=12,IF($L226=Instructions!$F$57,BD225+1,BD225),IF(Instructions!$E$11=14,IF($P226=Instructions!$F$57,BD225+1,BD225),IF(Instructions!$E$11=16,IF($T226=Instructions!$F$57,BD225+1,BD225))))))</f>
        <v>0</v>
      </c>
      <c r="BE226" s="321" t="str">
        <f t="shared" si="63"/>
        <v>1600</v>
      </c>
      <c r="BF226" s="321">
        <v>224</v>
      </c>
    </row>
    <row r="227" spans="1:58" ht="15" customHeight="1" x14ac:dyDescent="0.25">
      <c r="A227" s="280"/>
      <c r="B227" s="323" t="str">
        <f>IF(Instructions!$J$11=1,AA227,IF(Instructions!$J$11=2,AC227,IF(Instructions!$J$11=3,AE227,IF(Instructions!$J$11=4,AG227,IF(Instructions!$J$11=5,AI227,IF(Instructions!$J$11=6,AK227,IF(Instructions!$J$11=7,AM227,IF(Instructions!$J$11=8,AO227,IF(Instructions!$J$11=9,AQ227,IF(Instructions!$J$11=10,AS227,IF(Instructions!$J$11=11,AU227,IF(Instructions!$J$11=12,AW227,IF(Instructions!$J$11=13, AY227, IF(Instructions!$J$11=14,BA227,IF(Instructions!$J$11=15,BC227,BE227)))))))))))))))</f>
        <v>219</v>
      </c>
      <c r="C227" s="271">
        <v>225</v>
      </c>
      <c r="D227" s="281"/>
      <c r="E227" s="282"/>
      <c r="F227" s="281"/>
      <c r="G227" s="280"/>
      <c r="H227" s="293" t="str">
        <f>Instructions!F$46</f>
        <v>Con</v>
      </c>
      <c r="I227" s="273" t="s">
        <v>1516</v>
      </c>
      <c r="J227" s="709"/>
      <c r="K227" s="279">
        <v>23</v>
      </c>
      <c r="L227" s="293" t="str">
        <f>Instructions!F$50</f>
        <v>Dan</v>
      </c>
      <c r="M227" s="273" t="s">
        <v>1540</v>
      </c>
      <c r="N227" s="709"/>
      <c r="O227" s="279">
        <v>19</v>
      </c>
      <c r="P227" s="292" t="str">
        <f>Instructions!F$42</f>
        <v>Trumbo</v>
      </c>
      <c r="Q227" s="276" t="s">
        <v>1464</v>
      </c>
      <c r="R227" s="708" t="s">
        <v>1455</v>
      </c>
      <c r="S227" s="279">
        <v>17</v>
      </c>
      <c r="T227" s="325" t="str">
        <f>Instructions!F$42</f>
        <v>Trumbo</v>
      </c>
      <c r="U227" s="326" t="s">
        <v>875</v>
      </c>
      <c r="V227" s="705" t="s">
        <v>910</v>
      </c>
      <c r="W227" s="279">
        <v>15</v>
      </c>
      <c r="X227" s="280"/>
      <c r="Y227" s="190" t="str">
        <f>IFERROR( IF(Instructions!$E$11=8, D227&amp;COUNTIF(D$3:D227,D227), IF(Instructions!$E$11=10, H227&amp;COUNTIF(H$3:H227,H227),IF(Instructions!$E$11=12, L227&amp;COUNTIF(L$3:L227,L227),IF(Instructions!$E$11=14, P227&amp;COUNTIF(P$3:P227,P227),T227&amp;COUNTIF(T$3:T227,T227))))),"")</f>
        <v>Dan19</v>
      </c>
      <c r="Z227" s="321">
        <f>IF(Instructions!$E$11=8,IF($D227=Instructions!$F$42,Z226+1,Z226),IF(Instructions!$E$11=10,IF($H227=Instructions!$F$42,Z226+1,Z226),IF(Instructions!$E$11=12,IF($L227=Instructions!$F$42,Z226+1,Z226),IF(Instructions!$E$11=14,IF($P227=Instructions!$F$42,Z226+1,Z226),IF(Instructions!$E$11=16,IF($T227=Instructions!$F$42,Z226+1,Z226))))))</f>
        <v>19</v>
      </c>
      <c r="AA227" s="321" t="str">
        <f t="shared" ref="AA227:AA250" si="64">IF(Z227&lt;10, 1&amp;0&amp;Z227, 1&amp;Z227)</f>
        <v>119</v>
      </c>
      <c r="AB227" s="321">
        <f>IF(Instructions!$E$11=8,IF($D227=Instructions!$F$43,AB226+1,AB226),IF(Instructions!$E$11=10,IF($H227=Instructions!$F$43,AB226+1,AB226),IF(Instructions!$E$11=12,IF($L227=Instructions!$F$43,AB226+1,AB226),IF(Instructions!$E$11=14,IF($P227=Instructions!$F$43,AB226+1,AB226),IF(Instructions!$E$11=16,IF($T227=Instructions!$F$43,AB226+1,AB226))))))</f>
        <v>19</v>
      </c>
      <c r="AC227" s="321" t="str">
        <f t="shared" ref="AC227:AC250" si="65">IF(AB227&lt;10, 2&amp;0&amp;AB227, 2&amp;AB227)</f>
        <v>219</v>
      </c>
      <c r="AD227" s="321">
        <f>IF(Instructions!$E$11=8,IF($D227=Instructions!$F$44,AD226+1,AD226),IF(Instructions!$E$11=10,IF($H227=Instructions!$F$44,AD226+1,AD226),IF(Instructions!$E$11=12,IF($L227=Instructions!$F$44,AD226+1,AD226),IF(Instructions!$E$11=14,IF($P227=Instructions!$F$44,AD226+1,AD226),IF(Instructions!$E$11=16,IF($T227=Instructions!$F$44,AD226+1,AD226))))))</f>
        <v>19</v>
      </c>
      <c r="AE227" s="321" t="str">
        <f t="shared" ref="AE227:AE250" si="66">IF(AD227&lt;10, 3&amp;0&amp;AD227, 3&amp;AD227)</f>
        <v>319</v>
      </c>
      <c r="AF227" s="321">
        <f>IF(Instructions!$E$11=8,IF($D227=Instructions!$F$45,AF226+1,AF226),IF(Instructions!$E$11=10,IF($H227=Instructions!$F$45,AF226+1,AF226),IF(Instructions!$E$11=12,IF($L227=Instructions!$F$45,AF226+1,AF226),IF(Instructions!$E$11=14,IF($P227=Instructions!$F$45,AF226+1,AF226),IF(Instructions!$E$11=16,IF($T227=Instructions!$F$45,AF226+1,AF226))))))</f>
        <v>19</v>
      </c>
      <c r="AG227" s="321" t="str">
        <f t="shared" ref="AG227:AG250" si="67">IF(AF227&lt;10, 4&amp;0&amp;AF227, 4&amp;AF227)</f>
        <v>419</v>
      </c>
      <c r="AH227" s="321">
        <f>IF(Instructions!$E$11=8,IF($D227=Instructions!$F$46,AH226+1,AH226),IF(Instructions!$E$11=10,IF($H227=Instructions!$F$46,AH226+1,AH226),IF(Instructions!$E$11=12,IF($L227=Instructions!$F$46,AH226+1,AH226),IF(Instructions!$E$11=14,IF($P227=Instructions!$F$46,AH226+1,AH226),IF(Instructions!$E$11=16,IF($T227=Instructions!$F$46,AH226+1,AH226))))))</f>
        <v>19</v>
      </c>
      <c r="AI227" s="321" t="str">
        <f t="shared" ref="AI227:AI250" si="68">IF(AH227&lt;10, 5&amp;0&amp;AH227, 5&amp;AH227)</f>
        <v>519</v>
      </c>
      <c r="AJ227" s="321">
        <f>IF(Instructions!$E$11=8,IF($D227=Instructions!$F$47,AJ226+1,AJ226),IF(Instructions!$E$11=10,IF($H227=Instructions!$F$47,AJ226+1,AJ226),IF(Instructions!$E$11=12,IF($L227=Instructions!$F$47,AJ226+1,AJ226),IF(Instructions!$E$11=14,IF($P227=Instructions!$F$47,AJ226+1,AJ226),IF(Instructions!$E$11=16,IF($T227=Instructions!$F$47,AJ226+1,AJ226))))))</f>
        <v>19</v>
      </c>
      <c r="AK227" s="321" t="str">
        <f t="shared" ref="AK227:AK250" si="69">IF(AJ227&lt;10, 6&amp;0&amp;AJ227, 6&amp;AJ227)</f>
        <v>619</v>
      </c>
      <c r="AL227" s="321">
        <f>IF(Instructions!$E$11=8,IF($D227=Instructions!$F$48,AL226+1,AL226),IF(Instructions!$E$11=10,IF($H227=Instructions!$F$48,AL226+1,AL226),IF(Instructions!$E$11=12,IF($L227=Instructions!$F$48,AL226+1,AL226),IF(Instructions!$E$11=14,IF($P227=Instructions!$F$48,AL226+1,AL226),IF(Instructions!$E$11=16,IF($T227=Instructions!$F$48,AL226+1,AL226))))))</f>
        <v>19</v>
      </c>
      <c r="AM227" s="321" t="str">
        <f t="shared" ref="AM227:AM250" si="70">IF(AL227&lt;10, 7&amp;0&amp;AL227, 7&amp;AL227)</f>
        <v>719</v>
      </c>
      <c r="AN227" s="321">
        <f>IF(Instructions!$E$11=8,IF($D227=Instructions!$F$49,AN226+1,AN226),IF(Instructions!$E$11=10,IF($H227=Instructions!$F$49,AN226+1,AN226),IF(Instructions!$E$11=12,IF($L227=Instructions!$F$49,AN226+1,AN226),IF(Instructions!$E$11=14,IF($P227=Instructions!$F$49,AN226+1,AN226),IF(Instructions!$E$11=16,IF($T227=Instructions!$F$49,AN226+1,AN226))))))</f>
        <v>19</v>
      </c>
      <c r="AO227" s="321" t="str">
        <f t="shared" ref="AO227:AO250" si="71">IF(AN227&lt;10, 8&amp;0&amp;AN227, 8&amp;AN227)</f>
        <v>819</v>
      </c>
      <c r="AP227" s="321">
        <f>IF(Instructions!$E$11=8,IF($D227=Instructions!$F$50,AP226+1,AP226),IF(Instructions!$E$11=10,IF($H227=Instructions!$F$50,AP226+1,AP226),IF(Instructions!$E$11=12,IF($L227=Instructions!$F$50,AP226+1,AP226),IF(Instructions!$E$11=14,IF($P227=Instructions!$F$50,AP226+1,AP226),IF(Instructions!$E$11=16,IF($T227=Instructions!$F$50,AP226+1,AP226))))))</f>
        <v>19</v>
      </c>
      <c r="AQ227" s="321" t="str">
        <f t="shared" ref="AQ227:AQ250" si="72">IF(AP227&lt;10, 9&amp;0&amp;AP227, 9&amp;AP227)</f>
        <v>919</v>
      </c>
      <c r="AR227" s="321">
        <f>IF(Instructions!$E$11=8,IF($D227=Instructions!$F$51,AR226+1,AR226),IF(Instructions!$E$11=10,IF($H227=Instructions!$F$51,AR226+1,AR226),IF(Instructions!$E$11=12,IF($L227=Instructions!$F$51,AR226+1,AR226),IF(Instructions!$E$11=14,IF($P227=Instructions!$F$51,AR226+1,AR226),IF(Instructions!$E$11=16,IF($T227=Instructions!$F$51,AR226+1,AR226))))))</f>
        <v>18</v>
      </c>
      <c r="AS227" s="321" t="str">
        <f t="shared" ref="AS227:AS250" si="73">IF(AR227&gt;9, 10&amp;AR227, 100&amp;AR227)</f>
        <v>1018</v>
      </c>
      <c r="AT227" s="321">
        <f>IF(Instructions!$E$11=8,IF($D227=Instructions!$F$52,AT226+1,AT226),IF(Instructions!$E$11=10,IF($H227=Instructions!$F$52,AT226+1,AT226),IF(Instructions!$E$11=12,IF($L227=Instructions!$F$52,AT226+1,AT226),IF(Instructions!$E$11=14,IF($P227=Instructions!$F$52,AT226+1,AT226),IF(Instructions!$E$11=16,IF($T227=Instructions!$F$52,AT226+1,AT226))))))</f>
        <v>18</v>
      </c>
      <c r="AU227" s="321" t="str">
        <f t="shared" ref="AU227:AU250" si="74">IF(AT227&gt;9, 11&amp;AT227, 110&amp;AT227)</f>
        <v>1118</v>
      </c>
      <c r="AV227" s="321">
        <f>IF(Instructions!$E$11=8,IF($D227=Instructions!$F$53,AV226+1,AV226),IF(Instructions!$E$11=10,IF($H227=Instructions!$F$53,AV226+1,AV226),IF(Instructions!$E$11=12,IF($L227=Instructions!$F$53,AV226+1,AV226),IF(Instructions!$E$11=14,IF($P227=Instructions!$F$53,AV226+1,AV226),IF(Instructions!$E$11=16,IF($T227=Instructions!$F$53,AV226+1,AV226))))))</f>
        <v>18</v>
      </c>
      <c r="AW227" s="321" t="str">
        <f t="shared" ref="AW227:AW250" si="75">IF(AV227&gt;9, 12&amp;AV227, 120&amp;AV227)</f>
        <v>1218</v>
      </c>
      <c r="AX227" s="321">
        <f>IF(Instructions!$E$11=8,IF($D227=Instructions!$F$54,AX226+1,AX226),IF(Instructions!$E$11=10,IF($H227=Instructions!$F$54,AX226+1,AX226),IF(Instructions!$E$11=12,IF($L227=Instructions!$F$54,AX226+1,AX226),IF(Instructions!$E$11=14,IF($P227=Instructions!$F$54,AX226+1,AX226),IF(Instructions!$E$11=16,IF($T227=Instructions!$F$54,AX226+1,AX226))))))</f>
        <v>0</v>
      </c>
      <c r="AY227" s="321" t="str">
        <f t="shared" ref="AY227:AY250" si="76">IF(AX227&gt;9, 13&amp;AX227, 130&amp;AX227)</f>
        <v>1300</v>
      </c>
      <c r="AZ227" s="321">
        <f>IF(Instructions!$E$11=8,IF($D227=Instructions!$F$55,AZ226+1,AZ226),IF(Instructions!$E$11=10,IF($H227=Instructions!$F$55,AZ226+1,AZ226),IF(Instructions!$E$11=12,IF($L227=Instructions!$F$55,AZ226+1,AZ226),IF(Instructions!$E$11=14,IF($P227=Instructions!$F$55,AZ226+1,AZ226),IF(Instructions!$E$11=16,IF($T227=Instructions!$F$55,AZ226+1,AZ226))))))</f>
        <v>0</v>
      </c>
      <c r="BA227" s="321" t="str">
        <f t="shared" ref="BA227:BA250" si="77">IF(AZ227&gt;9, 14&amp;AZ227, 140&amp;AZ227)</f>
        <v>1400</v>
      </c>
      <c r="BB227" s="321">
        <f>IF(Instructions!$E$11=8,IF($D227=Instructions!$F$56,BB226+1,BB226),IF(Instructions!$E$11=10,IF($H227=Instructions!$F$56,BB226+1,BB226),IF(Instructions!$E$11=12,IF($L227=Instructions!$F$56,BB226+1,BB226),IF(Instructions!$E$11=14,IF($P227=Instructions!$F$56,BB226+1,BB226),IF(Instructions!$E$11=16,IF($T227=Instructions!$F$56,BB226+1,BB226))))))</f>
        <v>0</v>
      </c>
      <c r="BC227" s="321" t="str">
        <f t="shared" si="62"/>
        <v>1500</v>
      </c>
      <c r="BD227" s="321">
        <f>IF(Instructions!$E$11=8,IF($D227=Instructions!$F$57,BD226+1,BD226),IF(Instructions!$E$11=10,IF($H227=Instructions!$F$57,BD226+1,BD226),IF(Instructions!$E$11=12,IF($L227=Instructions!$F$57,BD226+1,BD226),IF(Instructions!$E$11=14,IF($P227=Instructions!$F$57,BD226+1,BD226),IF(Instructions!$E$11=16,IF($T227=Instructions!$F$57,BD226+1,BD226))))))</f>
        <v>0</v>
      </c>
      <c r="BE227" s="321" t="str">
        <f t="shared" si="63"/>
        <v>1600</v>
      </c>
      <c r="BF227" s="321">
        <v>225</v>
      </c>
    </row>
    <row r="228" spans="1:58" x14ac:dyDescent="0.25">
      <c r="A228" s="280"/>
      <c r="B228" s="323" t="str">
        <f>IF(Instructions!$J$11=1,AA228,IF(Instructions!$J$11=2,AC228,IF(Instructions!$J$11=3,AE228,IF(Instructions!$J$11=4,AG228,IF(Instructions!$J$11=5,AI228,IF(Instructions!$J$11=6,AK228,IF(Instructions!$J$11=7,AM228,IF(Instructions!$J$11=8,AO228,IF(Instructions!$J$11=9,AQ228,IF(Instructions!$J$11=10,AS228,IF(Instructions!$J$11=11,AU228,IF(Instructions!$J$11=12,AW228,IF(Instructions!$J$11=13, AY228, IF(Instructions!$J$11=14,BA228,IF(Instructions!$J$11=15,BC228,BE228)))))))))))))))</f>
        <v>219</v>
      </c>
      <c r="C228" s="272">
        <v>226</v>
      </c>
      <c r="D228" s="281"/>
      <c r="E228" s="282"/>
      <c r="F228" s="281"/>
      <c r="H228" s="294" t="str">
        <f>Instructions!F$47</f>
        <v>Devin</v>
      </c>
      <c r="I228" s="274" t="s">
        <v>1517</v>
      </c>
      <c r="J228" s="709"/>
      <c r="K228" s="279">
        <v>23</v>
      </c>
      <c r="L228" s="294" t="str">
        <f>Instructions!F$51</f>
        <v>Josh</v>
      </c>
      <c r="M228" s="274" t="s">
        <v>1541</v>
      </c>
      <c r="N228" s="709"/>
      <c r="O228" s="279">
        <v>19</v>
      </c>
      <c r="P228" s="294" t="str">
        <f>Instructions!F$43</f>
        <v>Camden</v>
      </c>
      <c r="Q228" s="274" t="s">
        <v>876</v>
      </c>
      <c r="R228" s="709"/>
      <c r="S228" s="279">
        <v>17</v>
      </c>
      <c r="T228" s="327" t="str">
        <f>Instructions!F$43</f>
        <v>Camden</v>
      </c>
      <c r="U228" s="274" t="s">
        <v>876</v>
      </c>
      <c r="V228" s="706"/>
      <c r="W228" s="279">
        <v>15</v>
      </c>
      <c r="X228" s="280"/>
      <c r="Y228" s="190" t="str">
        <f>IFERROR( IF(Instructions!$E$11=8, D228&amp;COUNTIF(D$3:D228,D228), IF(Instructions!$E$11=10, H228&amp;COUNTIF(H$3:H228,H228),IF(Instructions!$E$11=12, L228&amp;COUNTIF(L$3:L228,L228),IF(Instructions!$E$11=14, P228&amp;COUNTIF(P$3:P228,P228),T228&amp;COUNTIF(T$3:T228,T228))))),"")</f>
        <v>Josh19</v>
      </c>
      <c r="Z228" s="321">
        <f>IF(Instructions!$E$11=8,IF($D228=Instructions!$F$42,Z227+1,Z227),IF(Instructions!$E$11=10,IF($H228=Instructions!$F$42,Z227+1,Z227),IF(Instructions!$E$11=12,IF($L228=Instructions!$F$42,Z227+1,Z227),IF(Instructions!$E$11=14,IF($P228=Instructions!$F$42,Z227+1,Z227),IF(Instructions!$E$11=16,IF($T228=Instructions!$F$42,Z227+1,Z227))))))</f>
        <v>19</v>
      </c>
      <c r="AA228" s="321" t="str">
        <f t="shared" si="64"/>
        <v>119</v>
      </c>
      <c r="AB228" s="321">
        <f>IF(Instructions!$E$11=8,IF($D228=Instructions!$F$43,AB227+1,AB227),IF(Instructions!$E$11=10,IF($H228=Instructions!$F$43,AB227+1,AB227),IF(Instructions!$E$11=12,IF($L228=Instructions!$F$43,AB227+1,AB227),IF(Instructions!$E$11=14,IF($P228=Instructions!$F$43,AB227+1,AB227),IF(Instructions!$E$11=16,IF($T228=Instructions!$F$43,AB227+1,AB227))))))</f>
        <v>19</v>
      </c>
      <c r="AC228" s="321" t="str">
        <f t="shared" si="65"/>
        <v>219</v>
      </c>
      <c r="AD228" s="321">
        <f>IF(Instructions!$E$11=8,IF($D228=Instructions!$F$44,AD227+1,AD227),IF(Instructions!$E$11=10,IF($H228=Instructions!$F$44,AD227+1,AD227),IF(Instructions!$E$11=12,IF($L228=Instructions!$F$44,AD227+1,AD227),IF(Instructions!$E$11=14,IF($P228=Instructions!$F$44,AD227+1,AD227),IF(Instructions!$E$11=16,IF($T228=Instructions!$F$44,AD227+1,AD227))))))</f>
        <v>19</v>
      </c>
      <c r="AE228" s="321" t="str">
        <f t="shared" si="66"/>
        <v>319</v>
      </c>
      <c r="AF228" s="321">
        <f>IF(Instructions!$E$11=8,IF($D228=Instructions!$F$45,AF227+1,AF227),IF(Instructions!$E$11=10,IF($H228=Instructions!$F$45,AF227+1,AF227),IF(Instructions!$E$11=12,IF($L228=Instructions!$F$45,AF227+1,AF227),IF(Instructions!$E$11=14,IF($P228=Instructions!$F$45,AF227+1,AF227),IF(Instructions!$E$11=16,IF($T228=Instructions!$F$45,AF227+1,AF227))))))</f>
        <v>19</v>
      </c>
      <c r="AG228" s="321" t="str">
        <f t="shared" si="67"/>
        <v>419</v>
      </c>
      <c r="AH228" s="321">
        <f>IF(Instructions!$E$11=8,IF($D228=Instructions!$F$46,AH227+1,AH227),IF(Instructions!$E$11=10,IF($H228=Instructions!$F$46,AH227+1,AH227),IF(Instructions!$E$11=12,IF($L228=Instructions!$F$46,AH227+1,AH227),IF(Instructions!$E$11=14,IF($P228=Instructions!$F$46,AH227+1,AH227),IF(Instructions!$E$11=16,IF($T228=Instructions!$F$46,AH227+1,AH227))))))</f>
        <v>19</v>
      </c>
      <c r="AI228" s="321" t="str">
        <f t="shared" si="68"/>
        <v>519</v>
      </c>
      <c r="AJ228" s="321">
        <f>IF(Instructions!$E$11=8,IF($D228=Instructions!$F$47,AJ227+1,AJ227),IF(Instructions!$E$11=10,IF($H228=Instructions!$F$47,AJ227+1,AJ227),IF(Instructions!$E$11=12,IF($L228=Instructions!$F$47,AJ227+1,AJ227),IF(Instructions!$E$11=14,IF($P228=Instructions!$F$47,AJ227+1,AJ227),IF(Instructions!$E$11=16,IF($T228=Instructions!$F$47,AJ227+1,AJ227))))))</f>
        <v>19</v>
      </c>
      <c r="AK228" s="321" t="str">
        <f t="shared" si="69"/>
        <v>619</v>
      </c>
      <c r="AL228" s="321">
        <f>IF(Instructions!$E$11=8,IF($D228=Instructions!$F$48,AL227+1,AL227),IF(Instructions!$E$11=10,IF($H228=Instructions!$F$48,AL227+1,AL227),IF(Instructions!$E$11=12,IF($L228=Instructions!$F$48,AL227+1,AL227),IF(Instructions!$E$11=14,IF($P228=Instructions!$F$48,AL227+1,AL227),IF(Instructions!$E$11=16,IF($T228=Instructions!$F$48,AL227+1,AL227))))))</f>
        <v>19</v>
      </c>
      <c r="AM228" s="321" t="str">
        <f t="shared" si="70"/>
        <v>719</v>
      </c>
      <c r="AN228" s="321">
        <f>IF(Instructions!$E$11=8,IF($D228=Instructions!$F$49,AN227+1,AN227),IF(Instructions!$E$11=10,IF($H228=Instructions!$F$49,AN227+1,AN227),IF(Instructions!$E$11=12,IF($L228=Instructions!$F$49,AN227+1,AN227),IF(Instructions!$E$11=14,IF($P228=Instructions!$F$49,AN227+1,AN227),IF(Instructions!$E$11=16,IF($T228=Instructions!$F$49,AN227+1,AN227))))))</f>
        <v>19</v>
      </c>
      <c r="AO228" s="321" t="str">
        <f t="shared" si="71"/>
        <v>819</v>
      </c>
      <c r="AP228" s="321">
        <f>IF(Instructions!$E$11=8,IF($D228=Instructions!$F$50,AP227+1,AP227),IF(Instructions!$E$11=10,IF($H228=Instructions!$F$50,AP227+1,AP227),IF(Instructions!$E$11=12,IF($L228=Instructions!$F$50,AP227+1,AP227),IF(Instructions!$E$11=14,IF($P228=Instructions!$F$50,AP227+1,AP227),IF(Instructions!$E$11=16,IF($T228=Instructions!$F$50,AP227+1,AP227))))))</f>
        <v>19</v>
      </c>
      <c r="AQ228" s="321" t="str">
        <f t="shared" si="72"/>
        <v>919</v>
      </c>
      <c r="AR228" s="321">
        <f>IF(Instructions!$E$11=8,IF($D228=Instructions!$F$51,AR227+1,AR227),IF(Instructions!$E$11=10,IF($H228=Instructions!$F$51,AR227+1,AR227),IF(Instructions!$E$11=12,IF($L228=Instructions!$F$51,AR227+1,AR227),IF(Instructions!$E$11=14,IF($P228=Instructions!$F$51,AR227+1,AR227),IF(Instructions!$E$11=16,IF($T228=Instructions!$F$51,AR227+1,AR227))))))</f>
        <v>19</v>
      </c>
      <c r="AS228" s="321" t="str">
        <f t="shared" si="73"/>
        <v>1019</v>
      </c>
      <c r="AT228" s="321">
        <f>IF(Instructions!$E$11=8,IF($D228=Instructions!$F$52,AT227+1,AT227),IF(Instructions!$E$11=10,IF($H228=Instructions!$F$52,AT227+1,AT227),IF(Instructions!$E$11=12,IF($L228=Instructions!$F$52,AT227+1,AT227),IF(Instructions!$E$11=14,IF($P228=Instructions!$F$52,AT227+1,AT227),IF(Instructions!$E$11=16,IF($T228=Instructions!$F$52,AT227+1,AT227))))))</f>
        <v>18</v>
      </c>
      <c r="AU228" s="321" t="str">
        <f t="shared" si="74"/>
        <v>1118</v>
      </c>
      <c r="AV228" s="321">
        <f>IF(Instructions!$E$11=8,IF($D228=Instructions!$F$53,AV227+1,AV227),IF(Instructions!$E$11=10,IF($H228=Instructions!$F$53,AV227+1,AV227),IF(Instructions!$E$11=12,IF($L228=Instructions!$F$53,AV227+1,AV227),IF(Instructions!$E$11=14,IF($P228=Instructions!$F$53,AV227+1,AV227),IF(Instructions!$E$11=16,IF($T228=Instructions!$F$53,AV227+1,AV227))))))</f>
        <v>18</v>
      </c>
      <c r="AW228" s="321" t="str">
        <f t="shared" si="75"/>
        <v>1218</v>
      </c>
      <c r="AX228" s="321">
        <f>IF(Instructions!$E$11=8,IF($D228=Instructions!$F$54,AX227+1,AX227),IF(Instructions!$E$11=10,IF($H228=Instructions!$F$54,AX227+1,AX227),IF(Instructions!$E$11=12,IF($L228=Instructions!$F$54,AX227+1,AX227),IF(Instructions!$E$11=14,IF($P228=Instructions!$F$54,AX227+1,AX227),IF(Instructions!$E$11=16,IF($T228=Instructions!$F$54,AX227+1,AX227))))))</f>
        <v>0</v>
      </c>
      <c r="AY228" s="321" t="str">
        <f t="shared" si="76"/>
        <v>1300</v>
      </c>
      <c r="AZ228" s="321">
        <f>IF(Instructions!$E$11=8,IF($D228=Instructions!$F$55,AZ227+1,AZ227),IF(Instructions!$E$11=10,IF($H228=Instructions!$F$55,AZ227+1,AZ227),IF(Instructions!$E$11=12,IF($L228=Instructions!$F$55,AZ227+1,AZ227),IF(Instructions!$E$11=14,IF($P228=Instructions!$F$55,AZ227+1,AZ227),IF(Instructions!$E$11=16,IF($T228=Instructions!$F$55,AZ227+1,AZ227))))))</f>
        <v>0</v>
      </c>
      <c r="BA228" s="321" t="str">
        <f t="shared" si="77"/>
        <v>1400</v>
      </c>
      <c r="BB228" s="321">
        <f>IF(Instructions!$E$11=8,IF($D228=Instructions!$F$56,BB227+1,BB227),IF(Instructions!$E$11=10,IF($H228=Instructions!$F$56,BB227+1,BB227),IF(Instructions!$E$11=12,IF($L228=Instructions!$F$56,BB227+1,BB227),IF(Instructions!$E$11=14,IF($P228=Instructions!$F$56,BB227+1,BB227),IF(Instructions!$E$11=16,IF($T228=Instructions!$F$56,BB227+1,BB227))))))</f>
        <v>0</v>
      </c>
      <c r="BC228" s="321" t="str">
        <f t="shared" si="62"/>
        <v>1500</v>
      </c>
      <c r="BD228" s="321">
        <f>IF(Instructions!$E$11=8,IF($D228=Instructions!$F$57,BD227+1,BD227),IF(Instructions!$E$11=10,IF($H228=Instructions!$F$57,BD227+1,BD227),IF(Instructions!$E$11=12,IF($L228=Instructions!$F$57,BD227+1,BD227),IF(Instructions!$E$11=14,IF($P228=Instructions!$F$57,BD227+1,BD227),IF(Instructions!$E$11=16,IF($T228=Instructions!$F$57,BD227+1,BD227))))))</f>
        <v>0</v>
      </c>
      <c r="BE228" s="321" t="str">
        <f t="shared" si="63"/>
        <v>1600</v>
      </c>
      <c r="BF228" s="321">
        <v>226</v>
      </c>
    </row>
    <row r="229" spans="1:58" x14ac:dyDescent="0.25">
      <c r="A229" s="280"/>
      <c r="B229" s="323" t="str">
        <f>IF(Instructions!$J$11=1,AA229,IF(Instructions!$J$11=2,AC229,IF(Instructions!$J$11=3,AE229,IF(Instructions!$J$11=4,AG229,IF(Instructions!$J$11=5,AI229,IF(Instructions!$J$11=6,AK229,IF(Instructions!$J$11=7,AM229,IF(Instructions!$J$11=8,AO229,IF(Instructions!$J$11=9,AQ229,IF(Instructions!$J$11=10,AS229,IF(Instructions!$J$11=11,AU229,IF(Instructions!$J$11=12,AW229,IF(Instructions!$J$11=13, AY229, IF(Instructions!$J$11=14,BA229,IF(Instructions!$J$11=15,BC229,BE229)))))))))))))))</f>
        <v>219</v>
      </c>
      <c r="C229" s="271">
        <v>227</v>
      </c>
      <c r="D229" s="281"/>
      <c r="E229" s="282"/>
      <c r="F229" s="281"/>
      <c r="H229" s="293" t="str">
        <f>Instructions!F$48</f>
        <v>Bui</v>
      </c>
      <c r="I229" s="273" t="s">
        <v>1518</v>
      </c>
      <c r="J229" s="709"/>
      <c r="K229" s="279">
        <v>23</v>
      </c>
      <c r="L229" s="293" t="str">
        <f>Instructions!F$52</f>
        <v>Big R</v>
      </c>
      <c r="M229" s="273" t="s">
        <v>1558</v>
      </c>
      <c r="N229" s="709"/>
      <c r="O229" s="279">
        <v>19</v>
      </c>
      <c r="P229" s="293" t="str">
        <f>Instructions!F$44</f>
        <v>Cam</v>
      </c>
      <c r="Q229" s="273" t="s">
        <v>877</v>
      </c>
      <c r="R229" s="709"/>
      <c r="S229" s="279">
        <v>17</v>
      </c>
      <c r="T229" s="328" t="str">
        <f>Instructions!F$44</f>
        <v>Cam</v>
      </c>
      <c r="U229" s="273" t="s">
        <v>877</v>
      </c>
      <c r="V229" s="706"/>
      <c r="W229" s="279">
        <v>15</v>
      </c>
      <c r="X229" s="280"/>
      <c r="Y229" s="190" t="str">
        <f>IFERROR( IF(Instructions!$E$11=8, D229&amp;COUNTIF(D$3:D229,D229), IF(Instructions!$E$11=10, H229&amp;COUNTIF(H$3:H229,H229),IF(Instructions!$E$11=12, L229&amp;COUNTIF(L$3:L229,L229),IF(Instructions!$E$11=14, P229&amp;COUNTIF(P$3:P229,P229),T229&amp;COUNTIF(T$3:T229,T229))))),"")</f>
        <v>Big R19</v>
      </c>
      <c r="Z229" s="321">
        <f>IF(Instructions!$E$11=8,IF($D229=Instructions!$F$42,Z228+1,Z228),IF(Instructions!$E$11=10,IF($H229=Instructions!$F$42,Z228+1,Z228),IF(Instructions!$E$11=12,IF($L229=Instructions!$F$42,Z228+1,Z228),IF(Instructions!$E$11=14,IF($P229=Instructions!$F$42,Z228+1,Z228),IF(Instructions!$E$11=16,IF($T229=Instructions!$F$42,Z228+1,Z228))))))</f>
        <v>19</v>
      </c>
      <c r="AA229" s="321" t="str">
        <f t="shared" si="64"/>
        <v>119</v>
      </c>
      <c r="AB229" s="321">
        <f>IF(Instructions!$E$11=8,IF($D229=Instructions!$F$43,AB228+1,AB228),IF(Instructions!$E$11=10,IF($H229=Instructions!$F$43,AB228+1,AB228),IF(Instructions!$E$11=12,IF($L229=Instructions!$F$43,AB228+1,AB228),IF(Instructions!$E$11=14,IF($P229=Instructions!$F$43,AB228+1,AB228),IF(Instructions!$E$11=16,IF($T229=Instructions!$F$43,AB228+1,AB228))))))</f>
        <v>19</v>
      </c>
      <c r="AC229" s="321" t="str">
        <f t="shared" si="65"/>
        <v>219</v>
      </c>
      <c r="AD229" s="321">
        <f>IF(Instructions!$E$11=8,IF($D229=Instructions!$F$44,AD228+1,AD228),IF(Instructions!$E$11=10,IF($H229=Instructions!$F$44,AD228+1,AD228),IF(Instructions!$E$11=12,IF($L229=Instructions!$F$44,AD228+1,AD228),IF(Instructions!$E$11=14,IF($P229=Instructions!$F$44,AD228+1,AD228),IF(Instructions!$E$11=16,IF($T229=Instructions!$F$44,AD228+1,AD228))))))</f>
        <v>19</v>
      </c>
      <c r="AE229" s="321" t="str">
        <f t="shared" si="66"/>
        <v>319</v>
      </c>
      <c r="AF229" s="321">
        <f>IF(Instructions!$E$11=8,IF($D229=Instructions!$F$45,AF228+1,AF228),IF(Instructions!$E$11=10,IF($H229=Instructions!$F$45,AF228+1,AF228),IF(Instructions!$E$11=12,IF($L229=Instructions!$F$45,AF228+1,AF228),IF(Instructions!$E$11=14,IF($P229=Instructions!$F$45,AF228+1,AF228),IF(Instructions!$E$11=16,IF($T229=Instructions!$F$45,AF228+1,AF228))))))</f>
        <v>19</v>
      </c>
      <c r="AG229" s="321" t="str">
        <f t="shared" si="67"/>
        <v>419</v>
      </c>
      <c r="AH229" s="321">
        <f>IF(Instructions!$E$11=8,IF($D229=Instructions!$F$46,AH228+1,AH228),IF(Instructions!$E$11=10,IF($H229=Instructions!$F$46,AH228+1,AH228),IF(Instructions!$E$11=12,IF($L229=Instructions!$F$46,AH228+1,AH228),IF(Instructions!$E$11=14,IF($P229=Instructions!$F$46,AH228+1,AH228),IF(Instructions!$E$11=16,IF($T229=Instructions!$F$46,AH228+1,AH228))))))</f>
        <v>19</v>
      </c>
      <c r="AI229" s="321" t="str">
        <f t="shared" si="68"/>
        <v>519</v>
      </c>
      <c r="AJ229" s="321">
        <f>IF(Instructions!$E$11=8,IF($D229=Instructions!$F$47,AJ228+1,AJ228),IF(Instructions!$E$11=10,IF($H229=Instructions!$F$47,AJ228+1,AJ228),IF(Instructions!$E$11=12,IF($L229=Instructions!$F$47,AJ228+1,AJ228),IF(Instructions!$E$11=14,IF($P229=Instructions!$F$47,AJ228+1,AJ228),IF(Instructions!$E$11=16,IF($T229=Instructions!$F$47,AJ228+1,AJ228))))))</f>
        <v>19</v>
      </c>
      <c r="AK229" s="321" t="str">
        <f t="shared" si="69"/>
        <v>619</v>
      </c>
      <c r="AL229" s="321">
        <f>IF(Instructions!$E$11=8,IF($D229=Instructions!$F$48,AL228+1,AL228),IF(Instructions!$E$11=10,IF($H229=Instructions!$F$48,AL228+1,AL228),IF(Instructions!$E$11=12,IF($L229=Instructions!$F$48,AL228+1,AL228),IF(Instructions!$E$11=14,IF($P229=Instructions!$F$48,AL228+1,AL228),IF(Instructions!$E$11=16,IF($T229=Instructions!$F$48,AL228+1,AL228))))))</f>
        <v>19</v>
      </c>
      <c r="AM229" s="321" t="str">
        <f t="shared" si="70"/>
        <v>719</v>
      </c>
      <c r="AN229" s="321">
        <f>IF(Instructions!$E$11=8,IF($D229=Instructions!$F$49,AN228+1,AN228),IF(Instructions!$E$11=10,IF($H229=Instructions!$F$49,AN228+1,AN228),IF(Instructions!$E$11=12,IF($L229=Instructions!$F$49,AN228+1,AN228),IF(Instructions!$E$11=14,IF($P229=Instructions!$F$49,AN228+1,AN228),IF(Instructions!$E$11=16,IF($T229=Instructions!$F$49,AN228+1,AN228))))))</f>
        <v>19</v>
      </c>
      <c r="AO229" s="321" t="str">
        <f t="shared" si="71"/>
        <v>819</v>
      </c>
      <c r="AP229" s="321">
        <f>IF(Instructions!$E$11=8,IF($D229=Instructions!$F$50,AP228+1,AP228),IF(Instructions!$E$11=10,IF($H229=Instructions!$F$50,AP228+1,AP228),IF(Instructions!$E$11=12,IF($L229=Instructions!$F$50,AP228+1,AP228),IF(Instructions!$E$11=14,IF($P229=Instructions!$F$50,AP228+1,AP228),IF(Instructions!$E$11=16,IF($T229=Instructions!$F$50,AP228+1,AP228))))))</f>
        <v>19</v>
      </c>
      <c r="AQ229" s="321" t="str">
        <f t="shared" si="72"/>
        <v>919</v>
      </c>
      <c r="AR229" s="321">
        <f>IF(Instructions!$E$11=8,IF($D229=Instructions!$F$51,AR228+1,AR228),IF(Instructions!$E$11=10,IF($H229=Instructions!$F$51,AR228+1,AR228),IF(Instructions!$E$11=12,IF($L229=Instructions!$F$51,AR228+1,AR228),IF(Instructions!$E$11=14,IF($P229=Instructions!$F$51,AR228+1,AR228),IF(Instructions!$E$11=16,IF($T229=Instructions!$F$51,AR228+1,AR228))))))</f>
        <v>19</v>
      </c>
      <c r="AS229" s="321" t="str">
        <f t="shared" si="73"/>
        <v>1019</v>
      </c>
      <c r="AT229" s="321">
        <f>IF(Instructions!$E$11=8,IF($D229=Instructions!$F$52,AT228+1,AT228),IF(Instructions!$E$11=10,IF($H229=Instructions!$F$52,AT228+1,AT228),IF(Instructions!$E$11=12,IF($L229=Instructions!$F$52,AT228+1,AT228),IF(Instructions!$E$11=14,IF($P229=Instructions!$F$52,AT228+1,AT228),IF(Instructions!$E$11=16,IF($T229=Instructions!$F$52,AT228+1,AT228))))))</f>
        <v>19</v>
      </c>
      <c r="AU229" s="321" t="str">
        <f t="shared" si="74"/>
        <v>1119</v>
      </c>
      <c r="AV229" s="321">
        <f>IF(Instructions!$E$11=8,IF($D229=Instructions!$F$53,AV228+1,AV228),IF(Instructions!$E$11=10,IF($H229=Instructions!$F$53,AV228+1,AV228),IF(Instructions!$E$11=12,IF($L229=Instructions!$F$53,AV228+1,AV228),IF(Instructions!$E$11=14,IF($P229=Instructions!$F$53,AV228+1,AV228),IF(Instructions!$E$11=16,IF($T229=Instructions!$F$53,AV228+1,AV228))))))</f>
        <v>18</v>
      </c>
      <c r="AW229" s="321" t="str">
        <f t="shared" si="75"/>
        <v>1218</v>
      </c>
      <c r="AX229" s="321">
        <f>IF(Instructions!$E$11=8,IF($D229=Instructions!$F$54,AX228+1,AX228),IF(Instructions!$E$11=10,IF($H229=Instructions!$F$54,AX228+1,AX228),IF(Instructions!$E$11=12,IF($L229=Instructions!$F$54,AX228+1,AX228),IF(Instructions!$E$11=14,IF($P229=Instructions!$F$54,AX228+1,AX228),IF(Instructions!$E$11=16,IF($T229=Instructions!$F$54,AX228+1,AX228))))))</f>
        <v>0</v>
      </c>
      <c r="AY229" s="321" t="str">
        <f t="shared" si="76"/>
        <v>1300</v>
      </c>
      <c r="AZ229" s="321">
        <f>IF(Instructions!$E$11=8,IF($D229=Instructions!$F$55,AZ228+1,AZ228),IF(Instructions!$E$11=10,IF($H229=Instructions!$F$55,AZ228+1,AZ228),IF(Instructions!$E$11=12,IF($L229=Instructions!$F$55,AZ228+1,AZ228),IF(Instructions!$E$11=14,IF($P229=Instructions!$F$55,AZ228+1,AZ228),IF(Instructions!$E$11=16,IF($T229=Instructions!$F$55,AZ228+1,AZ228))))))</f>
        <v>0</v>
      </c>
      <c r="BA229" s="321" t="str">
        <f t="shared" si="77"/>
        <v>1400</v>
      </c>
      <c r="BB229" s="321">
        <f>IF(Instructions!$E$11=8,IF($D229=Instructions!$F$56,BB228+1,BB228),IF(Instructions!$E$11=10,IF($H229=Instructions!$F$56,BB228+1,BB228),IF(Instructions!$E$11=12,IF($L229=Instructions!$F$56,BB228+1,BB228),IF(Instructions!$E$11=14,IF($P229=Instructions!$F$56,BB228+1,BB228),IF(Instructions!$E$11=16,IF($T229=Instructions!$F$56,BB228+1,BB228))))))</f>
        <v>0</v>
      </c>
      <c r="BC229" s="321" t="str">
        <f t="shared" si="62"/>
        <v>1500</v>
      </c>
      <c r="BD229" s="321">
        <f>IF(Instructions!$E$11=8,IF($D229=Instructions!$F$57,BD228+1,BD228),IF(Instructions!$E$11=10,IF($H229=Instructions!$F$57,BD228+1,BD228),IF(Instructions!$E$11=12,IF($L229=Instructions!$F$57,BD228+1,BD228),IF(Instructions!$E$11=14,IF($P229=Instructions!$F$57,BD228+1,BD228),IF(Instructions!$E$11=16,IF($T229=Instructions!$F$57,BD228+1,BD228))))))</f>
        <v>0</v>
      </c>
      <c r="BE229" s="321" t="str">
        <f t="shared" si="63"/>
        <v>1600</v>
      </c>
      <c r="BF229" s="321">
        <v>227</v>
      </c>
    </row>
    <row r="230" spans="1:58" ht="15.75" thickBot="1" x14ac:dyDescent="0.3">
      <c r="A230" s="280"/>
      <c r="B230" s="323" t="str">
        <f>IF(Instructions!$J$11=1,AA230,IF(Instructions!$J$11=2,AC230,IF(Instructions!$J$11=3,AE230,IF(Instructions!$J$11=4,AG230,IF(Instructions!$J$11=5,AI230,IF(Instructions!$J$11=6,AK230,IF(Instructions!$J$11=7,AM230,IF(Instructions!$J$11=8,AO230,IF(Instructions!$J$11=9,AQ230,IF(Instructions!$J$11=10,AS230,IF(Instructions!$J$11=11,AU230,IF(Instructions!$J$11=12,AW230,IF(Instructions!$J$11=13, AY230, IF(Instructions!$J$11=14,BA230,IF(Instructions!$J$11=15,BC230,BE230)))))))))))))))</f>
        <v>219</v>
      </c>
      <c r="C230" s="272">
        <v>228</v>
      </c>
      <c r="D230" s="281"/>
      <c r="E230" s="282"/>
      <c r="F230" s="281"/>
      <c r="H230" s="294" t="str">
        <f>Instructions!F$49</f>
        <v>Luke</v>
      </c>
      <c r="I230" s="274" t="s">
        <v>1519</v>
      </c>
      <c r="J230" s="709"/>
      <c r="K230" s="279">
        <v>23</v>
      </c>
      <c r="L230" s="295" t="str">
        <f>Instructions!F$53</f>
        <v>Zack</v>
      </c>
      <c r="M230" s="277" t="s">
        <v>1559</v>
      </c>
      <c r="N230" s="710"/>
      <c r="O230" s="279">
        <v>19</v>
      </c>
      <c r="P230" s="294" t="str">
        <f>Instructions!F$45</f>
        <v>Miles</v>
      </c>
      <c r="Q230" s="274" t="s">
        <v>878</v>
      </c>
      <c r="R230" s="709"/>
      <c r="S230" s="279">
        <v>17</v>
      </c>
      <c r="T230" s="327" t="str">
        <f>Instructions!F$45</f>
        <v>Miles</v>
      </c>
      <c r="U230" s="274" t="s">
        <v>878</v>
      </c>
      <c r="V230" s="706"/>
      <c r="W230" s="279">
        <v>15</v>
      </c>
      <c r="X230" s="280"/>
      <c r="Y230" s="190" t="str">
        <f>IFERROR( IF(Instructions!$E$11=8, D230&amp;COUNTIF(D$3:D230,D230), IF(Instructions!$E$11=10, H230&amp;COUNTIF(H$3:H230,H230),IF(Instructions!$E$11=12, L230&amp;COUNTIF(L$3:L230,L230),IF(Instructions!$E$11=14, P230&amp;COUNTIF(P$3:P230,P230),T230&amp;COUNTIF(T$3:T230,T230))))),"")</f>
        <v>Zack19</v>
      </c>
      <c r="Z230" s="321">
        <f>IF(Instructions!$E$11=8,IF($D230=Instructions!$F$42,Z229+1,Z229),IF(Instructions!$E$11=10,IF($H230=Instructions!$F$42,Z229+1,Z229),IF(Instructions!$E$11=12,IF($L230=Instructions!$F$42,Z229+1,Z229),IF(Instructions!$E$11=14,IF($P230=Instructions!$F$42,Z229+1,Z229),IF(Instructions!$E$11=16,IF($T230=Instructions!$F$42,Z229+1,Z229))))))</f>
        <v>19</v>
      </c>
      <c r="AA230" s="321" t="str">
        <f t="shared" si="64"/>
        <v>119</v>
      </c>
      <c r="AB230" s="321">
        <f>IF(Instructions!$E$11=8,IF($D230=Instructions!$F$43,AB229+1,AB229),IF(Instructions!$E$11=10,IF($H230=Instructions!$F$43,AB229+1,AB229),IF(Instructions!$E$11=12,IF($L230=Instructions!$F$43,AB229+1,AB229),IF(Instructions!$E$11=14,IF($P230=Instructions!$F$43,AB229+1,AB229),IF(Instructions!$E$11=16,IF($T230=Instructions!$F$43,AB229+1,AB229))))))</f>
        <v>19</v>
      </c>
      <c r="AC230" s="321" t="str">
        <f t="shared" si="65"/>
        <v>219</v>
      </c>
      <c r="AD230" s="321">
        <f>IF(Instructions!$E$11=8,IF($D230=Instructions!$F$44,AD229+1,AD229),IF(Instructions!$E$11=10,IF($H230=Instructions!$F$44,AD229+1,AD229),IF(Instructions!$E$11=12,IF($L230=Instructions!$F$44,AD229+1,AD229),IF(Instructions!$E$11=14,IF($P230=Instructions!$F$44,AD229+1,AD229),IF(Instructions!$E$11=16,IF($T230=Instructions!$F$44,AD229+1,AD229))))))</f>
        <v>19</v>
      </c>
      <c r="AE230" s="321" t="str">
        <f t="shared" si="66"/>
        <v>319</v>
      </c>
      <c r="AF230" s="321">
        <f>IF(Instructions!$E$11=8,IF($D230=Instructions!$F$45,AF229+1,AF229),IF(Instructions!$E$11=10,IF($H230=Instructions!$F$45,AF229+1,AF229),IF(Instructions!$E$11=12,IF($L230=Instructions!$F$45,AF229+1,AF229),IF(Instructions!$E$11=14,IF($P230=Instructions!$F$45,AF229+1,AF229),IF(Instructions!$E$11=16,IF($T230=Instructions!$F$45,AF229+1,AF229))))))</f>
        <v>19</v>
      </c>
      <c r="AG230" s="321" t="str">
        <f t="shared" si="67"/>
        <v>419</v>
      </c>
      <c r="AH230" s="321">
        <f>IF(Instructions!$E$11=8,IF($D230=Instructions!$F$46,AH229+1,AH229),IF(Instructions!$E$11=10,IF($H230=Instructions!$F$46,AH229+1,AH229),IF(Instructions!$E$11=12,IF($L230=Instructions!$F$46,AH229+1,AH229),IF(Instructions!$E$11=14,IF($P230=Instructions!$F$46,AH229+1,AH229),IF(Instructions!$E$11=16,IF($T230=Instructions!$F$46,AH229+1,AH229))))))</f>
        <v>19</v>
      </c>
      <c r="AI230" s="321" t="str">
        <f t="shared" si="68"/>
        <v>519</v>
      </c>
      <c r="AJ230" s="321">
        <f>IF(Instructions!$E$11=8,IF($D230=Instructions!$F$47,AJ229+1,AJ229),IF(Instructions!$E$11=10,IF($H230=Instructions!$F$47,AJ229+1,AJ229),IF(Instructions!$E$11=12,IF($L230=Instructions!$F$47,AJ229+1,AJ229),IF(Instructions!$E$11=14,IF($P230=Instructions!$F$47,AJ229+1,AJ229),IF(Instructions!$E$11=16,IF($T230=Instructions!$F$47,AJ229+1,AJ229))))))</f>
        <v>19</v>
      </c>
      <c r="AK230" s="321" t="str">
        <f t="shared" si="69"/>
        <v>619</v>
      </c>
      <c r="AL230" s="321">
        <f>IF(Instructions!$E$11=8,IF($D230=Instructions!$F$48,AL229+1,AL229),IF(Instructions!$E$11=10,IF($H230=Instructions!$F$48,AL229+1,AL229),IF(Instructions!$E$11=12,IF($L230=Instructions!$F$48,AL229+1,AL229),IF(Instructions!$E$11=14,IF($P230=Instructions!$F$48,AL229+1,AL229),IF(Instructions!$E$11=16,IF($T230=Instructions!$F$48,AL229+1,AL229))))))</f>
        <v>19</v>
      </c>
      <c r="AM230" s="321" t="str">
        <f t="shared" si="70"/>
        <v>719</v>
      </c>
      <c r="AN230" s="321">
        <f>IF(Instructions!$E$11=8,IF($D230=Instructions!$F$49,AN229+1,AN229),IF(Instructions!$E$11=10,IF($H230=Instructions!$F$49,AN229+1,AN229),IF(Instructions!$E$11=12,IF($L230=Instructions!$F$49,AN229+1,AN229),IF(Instructions!$E$11=14,IF($P230=Instructions!$F$49,AN229+1,AN229),IF(Instructions!$E$11=16,IF($T230=Instructions!$F$49,AN229+1,AN229))))))</f>
        <v>19</v>
      </c>
      <c r="AO230" s="321" t="str">
        <f t="shared" si="71"/>
        <v>819</v>
      </c>
      <c r="AP230" s="321">
        <f>IF(Instructions!$E$11=8,IF($D230=Instructions!$F$50,AP229+1,AP229),IF(Instructions!$E$11=10,IF($H230=Instructions!$F$50,AP229+1,AP229),IF(Instructions!$E$11=12,IF($L230=Instructions!$F$50,AP229+1,AP229),IF(Instructions!$E$11=14,IF($P230=Instructions!$F$50,AP229+1,AP229),IF(Instructions!$E$11=16,IF($T230=Instructions!$F$50,AP229+1,AP229))))))</f>
        <v>19</v>
      </c>
      <c r="AQ230" s="321" t="str">
        <f t="shared" si="72"/>
        <v>919</v>
      </c>
      <c r="AR230" s="321">
        <f>IF(Instructions!$E$11=8,IF($D230=Instructions!$F$51,AR229+1,AR229),IF(Instructions!$E$11=10,IF($H230=Instructions!$F$51,AR229+1,AR229),IF(Instructions!$E$11=12,IF($L230=Instructions!$F$51,AR229+1,AR229),IF(Instructions!$E$11=14,IF($P230=Instructions!$F$51,AR229+1,AR229),IF(Instructions!$E$11=16,IF($T230=Instructions!$F$51,AR229+1,AR229))))))</f>
        <v>19</v>
      </c>
      <c r="AS230" s="321" t="str">
        <f t="shared" si="73"/>
        <v>1019</v>
      </c>
      <c r="AT230" s="321">
        <f>IF(Instructions!$E$11=8,IF($D230=Instructions!$F$52,AT229+1,AT229),IF(Instructions!$E$11=10,IF($H230=Instructions!$F$52,AT229+1,AT229),IF(Instructions!$E$11=12,IF($L230=Instructions!$F$52,AT229+1,AT229),IF(Instructions!$E$11=14,IF($P230=Instructions!$F$52,AT229+1,AT229),IF(Instructions!$E$11=16,IF($T230=Instructions!$F$52,AT229+1,AT229))))))</f>
        <v>19</v>
      </c>
      <c r="AU230" s="321" t="str">
        <f t="shared" si="74"/>
        <v>1119</v>
      </c>
      <c r="AV230" s="321">
        <f>IF(Instructions!$E$11=8,IF($D230=Instructions!$F$53,AV229+1,AV229),IF(Instructions!$E$11=10,IF($H230=Instructions!$F$53,AV229+1,AV229),IF(Instructions!$E$11=12,IF($L230=Instructions!$F$53,AV229+1,AV229),IF(Instructions!$E$11=14,IF($P230=Instructions!$F$53,AV229+1,AV229),IF(Instructions!$E$11=16,IF($T230=Instructions!$F$53,AV229+1,AV229))))))</f>
        <v>19</v>
      </c>
      <c r="AW230" s="321" t="str">
        <f t="shared" si="75"/>
        <v>1219</v>
      </c>
      <c r="AX230" s="321">
        <f>IF(Instructions!$E$11=8,IF($D230=Instructions!$F$54,AX229+1,AX229),IF(Instructions!$E$11=10,IF($H230=Instructions!$F$54,AX229+1,AX229),IF(Instructions!$E$11=12,IF($L230=Instructions!$F$54,AX229+1,AX229),IF(Instructions!$E$11=14,IF($P230=Instructions!$F$54,AX229+1,AX229),IF(Instructions!$E$11=16,IF($T230=Instructions!$F$54,AX229+1,AX229))))))</f>
        <v>0</v>
      </c>
      <c r="AY230" s="321" t="str">
        <f t="shared" si="76"/>
        <v>1300</v>
      </c>
      <c r="AZ230" s="321">
        <f>IF(Instructions!$E$11=8,IF($D230=Instructions!$F$55,AZ229+1,AZ229),IF(Instructions!$E$11=10,IF($H230=Instructions!$F$55,AZ229+1,AZ229),IF(Instructions!$E$11=12,IF($L230=Instructions!$F$55,AZ229+1,AZ229),IF(Instructions!$E$11=14,IF($P230=Instructions!$F$55,AZ229+1,AZ229),IF(Instructions!$E$11=16,IF($T230=Instructions!$F$55,AZ229+1,AZ229))))))</f>
        <v>0</v>
      </c>
      <c r="BA230" s="321" t="str">
        <f t="shared" si="77"/>
        <v>1400</v>
      </c>
      <c r="BB230" s="321">
        <f>IF(Instructions!$E$11=8,IF($D230=Instructions!$F$56,BB229+1,BB229),IF(Instructions!$E$11=10,IF($H230=Instructions!$F$56,BB229+1,BB229),IF(Instructions!$E$11=12,IF($L230=Instructions!$F$56,BB229+1,BB229),IF(Instructions!$E$11=14,IF($P230=Instructions!$F$56,BB229+1,BB229),IF(Instructions!$E$11=16,IF($T230=Instructions!$F$56,BB229+1,BB229))))))</f>
        <v>0</v>
      </c>
      <c r="BC230" s="321" t="str">
        <f t="shared" si="62"/>
        <v>1500</v>
      </c>
      <c r="BD230" s="321">
        <f>IF(Instructions!$E$11=8,IF($D230=Instructions!$F$57,BD229+1,BD229),IF(Instructions!$E$11=10,IF($H230=Instructions!$F$57,BD229+1,BD229),IF(Instructions!$E$11=12,IF($L230=Instructions!$F$57,BD229+1,BD229),IF(Instructions!$E$11=14,IF($P230=Instructions!$F$57,BD229+1,BD229),IF(Instructions!$E$11=16,IF($T230=Instructions!$F$57,BD229+1,BD229))))))</f>
        <v>0</v>
      </c>
      <c r="BE230" s="321" t="str">
        <f t="shared" si="63"/>
        <v>1600</v>
      </c>
      <c r="BF230" s="321">
        <v>228</v>
      </c>
    </row>
    <row r="231" spans="1:58" x14ac:dyDescent="0.25">
      <c r="A231" s="280"/>
      <c r="B231" s="323" t="str">
        <f>IF(Instructions!$J$11=1,AA231,IF(Instructions!$J$11=2,AC231,IF(Instructions!$J$11=3,AE231,IF(Instructions!$J$11=4,AG231,IF(Instructions!$J$11=5,AI231,IF(Instructions!$J$11=6,AK231,IF(Instructions!$J$11=7,AM231,IF(Instructions!$J$11=8,AO231,IF(Instructions!$J$11=9,AQ231,IF(Instructions!$J$11=10,AS231,IF(Instructions!$J$11=11,AU231,IF(Instructions!$J$11=12,AW231,IF(Instructions!$J$11=13, AY231, IF(Instructions!$J$11=14,BA231,IF(Instructions!$J$11=15,BC231,BE231)))))))))))))))</f>
        <v>219</v>
      </c>
      <c r="C231" s="271">
        <v>229</v>
      </c>
      <c r="D231" s="281"/>
      <c r="E231" s="282"/>
      <c r="F231" s="281"/>
      <c r="H231" s="293" t="str">
        <f>Instructions!F$50</f>
        <v>Dan</v>
      </c>
      <c r="I231" s="273" t="s">
        <v>1548</v>
      </c>
      <c r="J231" s="709"/>
      <c r="K231" s="279">
        <v>23</v>
      </c>
      <c r="L231" s="292" t="str">
        <f>Instructions!F$53</f>
        <v>Zack</v>
      </c>
      <c r="M231" s="276" t="s">
        <v>1488</v>
      </c>
      <c r="N231" s="708" t="s">
        <v>1458</v>
      </c>
      <c r="O231">
        <v>20</v>
      </c>
      <c r="P231" s="293" t="str">
        <f>Instructions!F$46</f>
        <v>Con</v>
      </c>
      <c r="Q231" s="273" t="s">
        <v>879</v>
      </c>
      <c r="R231" s="709"/>
      <c r="S231" s="279">
        <v>17</v>
      </c>
      <c r="T231" s="328" t="str">
        <f>Instructions!F$46</f>
        <v>Con</v>
      </c>
      <c r="U231" s="273" t="s">
        <v>879</v>
      </c>
      <c r="V231" s="706"/>
      <c r="W231" s="279">
        <v>15</v>
      </c>
      <c r="X231" s="280"/>
      <c r="Y231" s="190" t="str">
        <f>IFERROR( IF(Instructions!$E$11=8, D231&amp;COUNTIF(D$3:D231,D231), IF(Instructions!$E$11=10, H231&amp;COUNTIF(H$3:H231,H231),IF(Instructions!$E$11=12, L231&amp;COUNTIF(L$3:L231,L231),IF(Instructions!$E$11=14, P231&amp;COUNTIF(P$3:P231,P231),T231&amp;COUNTIF(T$3:T231,T231))))),"")</f>
        <v>Zack20</v>
      </c>
      <c r="Z231" s="321">
        <f>IF(Instructions!$E$11=8,IF($D231=Instructions!$F$42,Z230+1,Z230),IF(Instructions!$E$11=10,IF($H231=Instructions!$F$42,Z230+1,Z230),IF(Instructions!$E$11=12,IF($L231=Instructions!$F$42,Z230+1,Z230),IF(Instructions!$E$11=14,IF($P231=Instructions!$F$42,Z230+1,Z230),IF(Instructions!$E$11=16,IF($T231=Instructions!$F$42,Z230+1,Z230))))))</f>
        <v>19</v>
      </c>
      <c r="AA231" s="321" t="str">
        <f t="shared" si="64"/>
        <v>119</v>
      </c>
      <c r="AB231" s="321">
        <f>IF(Instructions!$E$11=8,IF($D231=Instructions!$F$43,AB230+1,AB230),IF(Instructions!$E$11=10,IF($H231=Instructions!$F$43,AB230+1,AB230),IF(Instructions!$E$11=12,IF($L231=Instructions!$F$43,AB230+1,AB230),IF(Instructions!$E$11=14,IF($P231=Instructions!$F$43,AB230+1,AB230),IF(Instructions!$E$11=16,IF($T231=Instructions!$F$43,AB230+1,AB230))))))</f>
        <v>19</v>
      </c>
      <c r="AC231" s="321" t="str">
        <f t="shared" si="65"/>
        <v>219</v>
      </c>
      <c r="AD231" s="321">
        <f>IF(Instructions!$E$11=8,IF($D231=Instructions!$F$44,AD230+1,AD230),IF(Instructions!$E$11=10,IF($H231=Instructions!$F$44,AD230+1,AD230),IF(Instructions!$E$11=12,IF($L231=Instructions!$F$44,AD230+1,AD230),IF(Instructions!$E$11=14,IF($P231=Instructions!$F$44,AD230+1,AD230),IF(Instructions!$E$11=16,IF($T231=Instructions!$F$44,AD230+1,AD230))))))</f>
        <v>19</v>
      </c>
      <c r="AE231" s="321" t="str">
        <f t="shared" si="66"/>
        <v>319</v>
      </c>
      <c r="AF231" s="321">
        <f>IF(Instructions!$E$11=8,IF($D231=Instructions!$F$45,AF230+1,AF230),IF(Instructions!$E$11=10,IF($H231=Instructions!$F$45,AF230+1,AF230),IF(Instructions!$E$11=12,IF($L231=Instructions!$F$45,AF230+1,AF230),IF(Instructions!$E$11=14,IF($P231=Instructions!$F$45,AF230+1,AF230),IF(Instructions!$E$11=16,IF($T231=Instructions!$F$45,AF230+1,AF230))))))</f>
        <v>19</v>
      </c>
      <c r="AG231" s="321" t="str">
        <f t="shared" si="67"/>
        <v>419</v>
      </c>
      <c r="AH231" s="321">
        <f>IF(Instructions!$E$11=8,IF($D231=Instructions!$F$46,AH230+1,AH230),IF(Instructions!$E$11=10,IF($H231=Instructions!$F$46,AH230+1,AH230),IF(Instructions!$E$11=12,IF($L231=Instructions!$F$46,AH230+1,AH230),IF(Instructions!$E$11=14,IF($P231=Instructions!$F$46,AH230+1,AH230),IF(Instructions!$E$11=16,IF($T231=Instructions!$F$46,AH230+1,AH230))))))</f>
        <v>19</v>
      </c>
      <c r="AI231" s="321" t="str">
        <f t="shared" si="68"/>
        <v>519</v>
      </c>
      <c r="AJ231" s="321">
        <f>IF(Instructions!$E$11=8,IF($D231=Instructions!$F$47,AJ230+1,AJ230),IF(Instructions!$E$11=10,IF($H231=Instructions!$F$47,AJ230+1,AJ230),IF(Instructions!$E$11=12,IF($L231=Instructions!$F$47,AJ230+1,AJ230),IF(Instructions!$E$11=14,IF($P231=Instructions!$F$47,AJ230+1,AJ230),IF(Instructions!$E$11=16,IF($T231=Instructions!$F$47,AJ230+1,AJ230))))))</f>
        <v>19</v>
      </c>
      <c r="AK231" s="321" t="str">
        <f t="shared" si="69"/>
        <v>619</v>
      </c>
      <c r="AL231" s="321">
        <f>IF(Instructions!$E$11=8,IF($D231=Instructions!$F$48,AL230+1,AL230),IF(Instructions!$E$11=10,IF($H231=Instructions!$F$48,AL230+1,AL230),IF(Instructions!$E$11=12,IF($L231=Instructions!$F$48,AL230+1,AL230),IF(Instructions!$E$11=14,IF($P231=Instructions!$F$48,AL230+1,AL230),IF(Instructions!$E$11=16,IF($T231=Instructions!$F$48,AL230+1,AL230))))))</f>
        <v>19</v>
      </c>
      <c r="AM231" s="321" t="str">
        <f t="shared" si="70"/>
        <v>719</v>
      </c>
      <c r="AN231" s="321">
        <f>IF(Instructions!$E$11=8,IF($D231=Instructions!$F$49,AN230+1,AN230),IF(Instructions!$E$11=10,IF($H231=Instructions!$F$49,AN230+1,AN230),IF(Instructions!$E$11=12,IF($L231=Instructions!$F$49,AN230+1,AN230),IF(Instructions!$E$11=14,IF($P231=Instructions!$F$49,AN230+1,AN230),IF(Instructions!$E$11=16,IF($T231=Instructions!$F$49,AN230+1,AN230))))))</f>
        <v>19</v>
      </c>
      <c r="AO231" s="321" t="str">
        <f t="shared" si="71"/>
        <v>819</v>
      </c>
      <c r="AP231" s="321">
        <f>IF(Instructions!$E$11=8,IF($D231=Instructions!$F$50,AP230+1,AP230),IF(Instructions!$E$11=10,IF($H231=Instructions!$F$50,AP230+1,AP230),IF(Instructions!$E$11=12,IF($L231=Instructions!$F$50,AP230+1,AP230),IF(Instructions!$E$11=14,IF($P231=Instructions!$F$50,AP230+1,AP230),IF(Instructions!$E$11=16,IF($T231=Instructions!$F$50,AP230+1,AP230))))))</f>
        <v>19</v>
      </c>
      <c r="AQ231" s="321" t="str">
        <f t="shared" si="72"/>
        <v>919</v>
      </c>
      <c r="AR231" s="321">
        <f>IF(Instructions!$E$11=8,IF($D231=Instructions!$F$51,AR230+1,AR230),IF(Instructions!$E$11=10,IF($H231=Instructions!$F$51,AR230+1,AR230),IF(Instructions!$E$11=12,IF($L231=Instructions!$F$51,AR230+1,AR230),IF(Instructions!$E$11=14,IF($P231=Instructions!$F$51,AR230+1,AR230),IF(Instructions!$E$11=16,IF($T231=Instructions!$F$51,AR230+1,AR230))))))</f>
        <v>19</v>
      </c>
      <c r="AS231" s="321" t="str">
        <f t="shared" si="73"/>
        <v>1019</v>
      </c>
      <c r="AT231" s="321">
        <f>IF(Instructions!$E$11=8,IF($D231=Instructions!$F$52,AT230+1,AT230),IF(Instructions!$E$11=10,IF($H231=Instructions!$F$52,AT230+1,AT230),IF(Instructions!$E$11=12,IF($L231=Instructions!$F$52,AT230+1,AT230),IF(Instructions!$E$11=14,IF($P231=Instructions!$F$52,AT230+1,AT230),IF(Instructions!$E$11=16,IF($T231=Instructions!$F$52,AT230+1,AT230))))))</f>
        <v>19</v>
      </c>
      <c r="AU231" s="321" t="str">
        <f t="shared" si="74"/>
        <v>1119</v>
      </c>
      <c r="AV231" s="321">
        <f>IF(Instructions!$E$11=8,IF($D231=Instructions!$F$53,AV230+1,AV230),IF(Instructions!$E$11=10,IF($H231=Instructions!$F$53,AV230+1,AV230),IF(Instructions!$E$11=12,IF($L231=Instructions!$F$53,AV230+1,AV230),IF(Instructions!$E$11=14,IF($P231=Instructions!$F$53,AV230+1,AV230),IF(Instructions!$E$11=16,IF($T231=Instructions!$F$53,AV230+1,AV230))))))</f>
        <v>20</v>
      </c>
      <c r="AW231" s="321" t="str">
        <f t="shared" si="75"/>
        <v>1220</v>
      </c>
      <c r="AX231" s="321">
        <f>IF(Instructions!$E$11=8,IF($D231=Instructions!$F$54,AX230+1,AX230),IF(Instructions!$E$11=10,IF($H231=Instructions!$F$54,AX230+1,AX230),IF(Instructions!$E$11=12,IF($L231=Instructions!$F$54,AX230+1,AX230),IF(Instructions!$E$11=14,IF($P231=Instructions!$F$54,AX230+1,AX230),IF(Instructions!$E$11=16,IF($T231=Instructions!$F$54,AX230+1,AX230))))))</f>
        <v>0</v>
      </c>
      <c r="AY231" s="321" t="str">
        <f t="shared" si="76"/>
        <v>1300</v>
      </c>
      <c r="AZ231" s="321">
        <f>IF(Instructions!$E$11=8,IF($D231=Instructions!$F$55,AZ230+1,AZ230),IF(Instructions!$E$11=10,IF($H231=Instructions!$F$55,AZ230+1,AZ230),IF(Instructions!$E$11=12,IF($L231=Instructions!$F$55,AZ230+1,AZ230),IF(Instructions!$E$11=14,IF($P231=Instructions!$F$55,AZ230+1,AZ230),IF(Instructions!$E$11=16,IF($T231=Instructions!$F$55,AZ230+1,AZ230))))))</f>
        <v>0</v>
      </c>
      <c r="BA231" s="321" t="str">
        <f t="shared" si="77"/>
        <v>1400</v>
      </c>
      <c r="BB231" s="321">
        <f>IF(Instructions!$E$11=8,IF($D231=Instructions!$F$56,BB230+1,BB230),IF(Instructions!$E$11=10,IF($H231=Instructions!$F$56,BB230+1,BB230),IF(Instructions!$E$11=12,IF($L231=Instructions!$F$56,BB230+1,BB230),IF(Instructions!$E$11=14,IF($P231=Instructions!$F$56,BB230+1,BB230),IF(Instructions!$E$11=16,IF($T231=Instructions!$F$56,BB230+1,BB230))))))</f>
        <v>0</v>
      </c>
      <c r="BC231" s="321" t="str">
        <f t="shared" si="62"/>
        <v>1500</v>
      </c>
      <c r="BD231" s="321">
        <f>IF(Instructions!$E$11=8,IF($D231=Instructions!$F$57,BD230+1,BD230),IF(Instructions!$E$11=10,IF($H231=Instructions!$F$57,BD230+1,BD230),IF(Instructions!$E$11=12,IF($L231=Instructions!$F$57,BD230+1,BD230),IF(Instructions!$E$11=14,IF($P231=Instructions!$F$57,BD230+1,BD230),IF(Instructions!$E$11=16,IF($T231=Instructions!$F$57,BD230+1,BD230))))))</f>
        <v>0</v>
      </c>
      <c r="BE231" s="321" t="str">
        <f t="shared" si="63"/>
        <v>1600</v>
      </c>
      <c r="BF231" s="321">
        <v>229</v>
      </c>
    </row>
    <row r="232" spans="1:58" ht="15.75" thickBot="1" x14ac:dyDescent="0.3">
      <c r="A232" s="280"/>
      <c r="B232" s="323" t="str">
        <f>IF(Instructions!$J$11=1,AA232,IF(Instructions!$J$11=2,AC232,IF(Instructions!$J$11=3,AE232,IF(Instructions!$J$11=4,AG232,IF(Instructions!$J$11=5,AI232,IF(Instructions!$J$11=6,AK232,IF(Instructions!$J$11=7,AM232,IF(Instructions!$J$11=8,AO232,IF(Instructions!$J$11=9,AQ232,IF(Instructions!$J$11=10,AS232,IF(Instructions!$J$11=11,AU232,IF(Instructions!$J$11=12,AW232,IF(Instructions!$J$11=13, AY232, IF(Instructions!$J$11=14,BA232,IF(Instructions!$J$11=15,BC232,BE232)))))))))))))))</f>
        <v>219</v>
      </c>
      <c r="C232" s="272">
        <v>230</v>
      </c>
      <c r="D232" s="281"/>
      <c r="E232" s="282"/>
      <c r="F232" s="281"/>
      <c r="H232" s="295" t="str">
        <f>Instructions!F$51</f>
        <v>Josh</v>
      </c>
      <c r="I232" s="277" t="s">
        <v>1549</v>
      </c>
      <c r="J232" s="710"/>
      <c r="K232" s="279">
        <v>23</v>
      </c>
      <c r="L232" s="294" t="str">
        <f>Instructions!F$52</f>
        <v>Big R</v>
      </c>
      <c r="M232" s="274" t="s">
        <v>1489</v>
      </c>
      <c r="N232" s="709"/>
      <c r="O232">
        <v>20</v>
      </c>
      <c r="P232" s="294" t="str">
        <f>Instructions!F$47</f>
        <v>Devin</v>
      </c>
      <c r="Q232" s="274" t="s">
        <v>880</v>
      </c>
      <c r="R232" s="709"/>
      <c r="S232" s="279">
        <v>17</v>
      </c>
      <c r="T232" s="327" t="str">
        <f>Instructions!F$47</f>
        <v>Devin</v>
      </c>
      <c r="U232" s="274" t="s">
        <v>880</v>
      </c>
      <c r="V232" s="706"/>
      <c r="W232" s="279">
        <v>15</v>
      </c>
      <c r="X232" s="280"/>
      <c r="Y232" s="190" t="str">
        <f>IFERROR( IF(Instructions!$E$11=8, D232&amp;COUNTIF(D$3:D232,D232), IF(Instructions!$E$11=10, H232&amp;COUNTIF(H$3:H232,H232),IF(Instructions!$E$11=12, L232&amp;COUNTIF(L$3:L232,L232),IF(Instructions!$E$11=14, P232&amp;COUNTIF(P$3:P232,P232),T232&amp;COUNTIF(T$3:T232,T232))))),"")</f>
        <v>Big R20</v>
      </c>
      <c r="Z232" s="321">
        <f>IF(Instructions!$E$11=8,IF($D232=Instructions!$F$42,Z231+1,Z231),IF(Instructions!$E$11=10,IF($H232=Instructions!$F$42,Z231+1,Z231),IF(Instructions!$E$11=12,IF($L232=Instructions!$F$42,Z231+1,Z231),IF(Instructions!$E$11=14,IF($P232=Instructions!$F$42,Z231+1,Z231),IF(Instructions!$E$11=16,IF($T232=Instructions!$F$42,Z231+1,Z231))))))</f>
        <v>19</v>
      </c>
      <c r="AA232" s="321" t="str">
        <f t="shared" si="64"/>
        <v>119</v>
      </c>
      <c r="AB232" s="321">
        <f>IF(Instructions!$E$11=8,IF($D232=Instructions!$F$43,AB231+1,AB231),IF(Instructions!$E$11=10,IF($H232=Instructions!$F$43,AB231+1,AB231),IF(Instructions!$E$11=12,IF($L232=Instructions!$F$43,AB231+1,AB231),IF(Instructions!$E$11=14,IF($P232=Instructions!$F$43,AB231+1,AB231),IF(Instructions!$E$11=16,IF($T232=Instructions!$F$43,AB231+1,AB231))))))</f>
        <v>19</v>
      </c>
      <c r="AC232" s="321" t="str">
        <f t="shared" si="65"/>
        <v>219</v>
      </c>
      <c r="AD232" s="321">
        <f>IF(Instructions!$E$11=8,IF($D232=Instructions!$F$44,AD231+1,AD231),IF(Instructions!$E$11=10,IF($H232=Instructions!$F$44,AD231+1,AD231),IF(Instructions!$E$11=12,IF($L232=Instructions!$F$44,AD231+1,AD231),IF(Instructions!$E$11=14,IF($P232=Instructions!$F$44,AD231+1,AD231),IF(Instructions!$E$11=16,IF($T232=Instructions!$F$44,AD231+1,AD231))))))</f>
        <v>19</v>
      </c>
      <c r="AE232" s="321" t="str">
        <f t="shared" si="66"/>
        <v>319</v>
      </c>
      <c r="AF232" s="321">
        <f>IF(Instructions!$E$11=8,IF($D232=Instructions!$F$45,AF231+1,AF231),IF(Instructions!$E$11=10,IF($H232=Instructions!$F$45,AF231+1,AF231),IF(Instructions!$E$11=12,IF($L232=Instructions!$F$45,AF231+1,AF231),IF(Instructions!$E$11=14,IF($P232=Instructions!$F$45,AF231+1,AF231),IF(Instructions!$E$11=16,IF($T232=Instructions!$F$45,AF231+1,AF231))))))</f>
        <v>19</v>
      </c>
      <c r="AG232" s="321" t="str">
        <f t="shared" si="67"/>
        <v>419</v>
      </c>
      <c r="AH232" s="321">
        <f>IF(Instructions!$E$11=8,IF($D232=Instructions!$F$46,AH231+1,AH231),IF(Instructions!$E$11=10,IF($H232=Instructions!$F$46,AH231+1,AH231),IF(Instructions!$E$11=12,IF($L232=Instructions!$F$46,AH231+1,AH231),IF(Instructions!$E$11=14,IF($P232=Instructions!$F$46,AH231+1,AH231),IF(Instructions!$E$11=16,IF($T232=Instructions!$F$46,AH231+1,AH231))))))</f>
        <v>19</v>
      </c>
      <c r="AI232" s="321" t="str">
        <f t="shared" si="68"/>
        <v>519</v>
      </c>
      <c r="AJ232" s="321">
        <f>IF(Instructions!$E$11=8,IF($D232=Instructions!$F$47,AJ231+1,AJ231),IF(Instructions!$E$11=10,IF($H232=Instructions!$F$47,AJ231+1,AJ231),IF(Instructions!$E$11=12,IF($L232=Instructions!$F$47,AJ231+1,AJ231),IF(Instructions!$E$11=14,IF($P232=Instructions!$F$47,AJ231+1,AJ231),IF(Instructions!$E$11=16,IF($T232=Instructions!$F$47,AJ231+1,AJ231))))))</f>
        <v>19</v>
      </c>
      <c r="AK232" s="321" t="str">
        <f t="shared" si="69"/>
        <v>619</v>
      </c>
      <c r="AL232" s="321">
        <f>IF(Instructions!$E$11=8,IF($D232=Instructions!$F$48,AL231+1,AL231),IF(Instructions!$E$11=10,IF($H232=Instructions!$F$48,AL231+1,AL231),IF(Instructions!$E$11=12,IF($L232=Instructions!$F$48,AL231+1,AL231),IF(Instructions!$E$11=14,IF($P232=Instructions!$F$48,AL231+1,AL231),IF(Instructions!$E$11=16,IF($T232=Instructions!$F$48,AL231+1,AL231))))))</f>
        <v>19</v>
      </c>
      <c r="AM232" s="321" t="str">
        <f t="shared" si="70"/>
        <v>719</v>
      </c>
      <c r="AN232" s="321">
        <f>IF(Instructions!$E$11=8,IF($D232=Instructions!$F$49,AN231+1,AN231),IF(Instructions!$E$11=10,IF($H232=Instructions!$F$49,AN231+1,AN231),IF(Instructions!$E$11=12,IF($L232=Instructions!$F$49,AN231+1,AN231),IF(Instructions!$E$11=14,IF($P232=Instructions!$F$49,AN231+1,AN231),IF(Instructions!$E$11=16,IF($T232=Instructions!$F$49,AN231+1,AN231))))))</f>
        <v>19</v>
      </c>
      <c r="AO232" s="321" t="str">
        <f t="shared" si="71"/>
        <v>819</v>
      </c>
      <c r="AP232" s="321">
        <f>IF(Instructions!$E$11=8,IF($D232=Instructions!$F$50,AP231+1,AP231),IF(Instructions!$E$11=10,IF($H232=Instructions!$F$50,AP231+1,AP231),IF(Instructions!$E$11=12,IF($L232=Instructions!$F$50,AP231+1,AP231),IF(Instructions!$E$11=14,IF($P232=Instructions!$F$50,AP231+1,AP231),IF(Instructions!$E$11=16,IF($T232=Instructions!$F$50,AP231+1,AP231))))))</f>
        <v>19</v>
      </c>
      <c r="AQ232" s="321" t="str">
        <f t="shared" si="72"/>
        <v>919</v>
      </c>
      <c r="AR232" s="321">
        <f>IF(Instructions!$E$11=8,IF($D232=Instructions!$F$51,AR231+1,AR231),IF(Instructions!$E$11=10,IF($H232=Instructions!$F$51,AR231+1,AR231),IF(Instructions!$E$11=12,IF($L232=Instructions!$F$51,AR231+1,AR231),IF(Instructions!$E$11=14,IF($P232=Instructions!$F$51,AR231+1,AR231),IF(Instructions!$E$11=16,IF($T232=Instructions!$F$51,AR231+1,AR231))))))</f>
        <v>19</v>
      </c>
      <c r="AS232" s="321" t="str">
        <f t="shared" si="73"/>
        <v>1019</v>
      </c>
      <c r="AT232" s="321">
        <f>IF(Instructions!$E$11=8,IF($D232=Instructions!$F$52,AT231+1,AT231),IF(Instructions!$E$11=10,IF($H232=Instructions!$F$52,AT231+1,AT231),IF(Instructions!$E$11=12,IF($L232=Instructions!$F$52,AT231+1,AT231),IF(Instructions!$E$11=14,IF($P232=Instructions!$F$52,AT231+1,AT231),IF(Instructions!$E$11=16,IF($T232=Instructions!$F$52,AT231+1,AT231))))))</f>
        <v>20</v>
      </c>
      <c r="AU232" s="321" t="str">
        <f t="shared" si="74"/>
        <v>1120</v>
      </c>
      <c r="AV232" s="321">
        <f>IF(Instructions!$E$11=8,IF($D232=Instructions!$F$53,AV231+1,AV231),IF(Instructions!$E$11=10,IF($H232=Instructions!$F$53,AV231+1,AV231),IF(Instructions!$E$11=12,IF($L232=Instructions!$F$53,AV231+1,AV231),IF(Instructions!$E$11=14,IF($P232=Instructions!$F$53,AV231+1,AV231),IF(Instructions!$E$11=16,IF($T232=Instructions!$F$53,AV231+1,AV231))))))</f>
        <v>20</v>
      </c>
      <c r="AW232" s="321" t="str">
        <f t="shared" si="75"/>
        <v>1220</v>
      </c>
      <c r="AX232" s="321">
        <f>IF(Instructions!$E$11=8,IF($D232=Instructions!$F$54,AX231+1,AX231),IF(Instructions!$E$11=10,IF($H232=Instructions!$F$54,AX231+1,AX231),IF(Instructions!$E$11=12,IF($L232=Instructions!$F$54,AX231+1,AX231),IF(Instructions!$E$11=14,IF($P232=Instructions!$F$54,AX231+1,AX231),IF(Instructions!$E$11=16,IF($T232=Instructions!$F$54,AX231+1,AX231))))))</f>
        <v>0</v>
      </c>
      <c r="AY232" s="321" t="str">
        <f t="shared" si="76"/>
        <v>1300</v>
      </c>
      <c r="AZ232" s="321">
        <f>IF(Instructions!$E$11=8,IF($D232=Instructions!$F$55,AZ231+1,AZ231),IF(Instructions!$E$11=10,IF($H232=Instructions!$F$55,AZ231+1,AZ231),IF(Instructions!$E$11=12,IF($L232=Instructions!$F$55,AZ231+1,AZ231),IF(Instructions!$E$11=14,IF($P232=Instructions!$F$55,AZ231+1,AZ231),IF(Instructions!$E$11=16,IF($T232=Instructions!$F$55,AZ231+1,AZ231))))))</f>
        <v>0</v>
      </c>
      <c r="BA232" s="321" t="str">
        <f t="shared" si="77"/>
        <v>1400</v>
      </c>
      <c r="BB232" s="321">
        <f>IF(Instructions!$E$11=8,IF($D232=Instructions!$F$56,BB231+1,BB231),IF(Instructions!$E$11=10,IF($H232=Instructions!$F$56,BB231+1,BB231),IF(Instructions!$E$11=12,IF($L232=Instructions!$F$56,BB231+1,BB231),IF(Instructions!$E$11=14,IF($P232=Instructions!$F$56,BB231+1,BB231),IF(Instructions!$E$11=16,IF($T232=Instructions!$F$56,BB231+1,BB231))))))</f>
        <v>0</v>
      </c>
      <c r="BC232" s="321" t="str">
        <f t="shared" si="62"/>
        <v>1500</v>
      </c>
      <c r="BD232" s="321">
        <f>IF(Instructions!$E$11=8,IF($D232=Instructions!$F$57,BD231+1,BD231),IF(Instructions!$E$11=10,IF($H232=Instructions!$F$57,BD231+1,BD231),IF(Instructions!$E$11=12,IF($L232=Instructions!$F$57,BD231+1,BD231),IF(Instructions!$E$11=14,IF($P232=Instructions!$F$57,BD231+1,BD231),IF(Instructions!$E$11=16,IF($T232=Instructions!$F$57,BD231+1,BD231))))))</f>
        <v>0</v>
      </c>
      <c r="BE232" s="321" t="str">
        <f t="shared" si="63"/>
        <v>1600</v>
      </c>
      <c r="BF232" s="321">
        <v>230</v>
      </c>
    </row>
    <row r="233" spans="1:58" x14ac:dyDescent="0.25">
      <c r="A233" s="280"/>
      <c r="B233" s="323" t="str">
        <f>IF(Instructions!$J$11=1,AA233,IF(Instructions!$J$11=2,AC233,IF(Instructions!$J$11=3,AE233,IF(Instructions!$J$11=4,AG233,IF(Instructions!$J$11=5,AI233,IF(Instructions!$J$11=6,AK233,IF(Instructions!$J$11=7,AM233,IF(Instructions!$J$11=8,AO233,IF(Instructions!$J$11=9,AQ233,IF(Instructions!$J$11=10,AS233,IF(Instructions!$J$11=11,AU233,IF(Instructions!$J$11=12,AW233,IF(Instructions!$J$11=13, AY233, IF(Instructions!$J$11=14,BA233,IF(Instructions!$J$11=15,BC233,BE233)))))))))))))))</f>
        <v>219</v>
      </c>
      <c r="C233" s="271">
        <v>231</v>
      </c>
      <c r="D233" s="281"/>
      <c r="E233" s="282"/>
      <c r="F233" s="281"/>
      <c r="H233" s="292" t="str">
        <f>Instructions!F$51</f>
        <v>Josh</v>
      </c>
      <c r="I233" s="276" t="s">
        <v>1520</v>
      </c>
      <c r="J233" s="708" t="s">
        <v>1462</v>
      </c>
      <c r="K233" s="279">
        <v>24</v>
      </c>
      <c r="L233" s="293" t="str">
        <f>Instructions!F$51</f>
        <v>Josh</v>
      </c>
      <c r="M233" s="273" t="s">
        <v>1490</v>
      </c>
      <c r="N233" s="709"/>
      <c r="O233">
        <v>20</v>
      </c>
      <c r="P233" s="293" t="str">
        <f>Instructions!F$48</f>
        <v>Bui</v>
      </c>
      <c r="Q233" s="273" t="s">
        <v>881</v>
      </c>
      <c r="R233" s="709"/>
      <c r="S233" s="279">
        <v>17</v>
      </c>
      <c r="T233" s="328" t="str">
        <f>Instructions!F$48</f>
        <v>Bui</v>
      </c>
      <c r="U233" s="273" t="s">
        <v>881</v>
      </c>
      <c r="V233" s="706"/>
      <c r="W233" s="279">
        <v>15</v>
      </c>
      <c r="X233" s="280"/>
      <c r="Y233" s="190" t="str">
        <f>IFERROR( IF(Instructions!$E$11=8, D233&amp;COUNTIF(D$3:D233,D233), IF(Instructions!$E$11=10, H233&amp;COUNTIF(H$3:H233,H233),IF(Instructions!$E$11=12, L233&amp;COUNTIF(L$3:L233,L233),IF(Instructions!$E$11=14, P233&amp;COUNTIF(P$3:P233,P233),T233&amp;COUNTIF(T$3:T233,T233))))),"")</f>
        <v>Josh20</v>
      </c>
      <c r="Z233" s="321">
        <f>IF(Instructions!$E$11=8,IF($D233=Instructions!$F$42,Z232+1,Z232),IF(Instructions!$E$11=10,IF($H233=Instructions!$F$42,Z232+1,Z232),IF(Instructions!$E$11=12,IF($L233=Instructions!$F$42,Z232+1,Z232),IF(Instructions!$E$11=14,IF($P233=Instructions!$F$42,Z232+1,Z232),IF(Instructions!$E$11=16,IF($T233=Instructions!$F$42,Z232+1,Z232))))))</f>
        <v>19</v>
      </c>
      <c r="AA233" s="321" t="str">
        <f t="shared" si="64"/>
        <v>119</v>
      </c>
      <c r="AB233" s="321">
        <f>IF(Instructions!$E$11=8,IF($D233=Instructions!$F$43,AB232+1,AB232),IF(Instructions!$E$11=10,IF($H233=Instructions!$F$43,AB232+1,AB232),IF(Instructions!$E$11=12,IF($L233=Instructions!$F$43,AB232+1,AB232),IF(Instructions!$E$11=14,IF($P233=Instructions!$F$43,AB232+1,AB232),IF(Instructions!$E$11=16,IF($T233=Instructions!$F$43,AB232+1,AB232))))))</f>
        <v>19</v>
      </c>
      <c r="AC233" s="321" t="str">
        <f t="shared" si="65"/>
        <v>219</v>
      </c>
      <c r="AD233" s="321">
        <f>IF(Instructions!$E$11=8,IF($D233=Instructions!$F$44,AD232+1,AD232),IF(Instructions!$E$11=10,IF($H233=Instructions!$F$44,AD232+1,AD232),IF(Instructions!$E$11=12,IF($L233=Instructions!$F$44,AD232+1,AD232),IF(Instructions!$E$11=14,IF($P233=Instructions!$F$44,AD232+1,AD232),IF(Instructions!$E$11=16,IF($T233=Instructions!$F$44,AD232+1,AD232))))))</f>
        <v>19</v>
      </c>
      <c r="AE233" s="321" t="str">
        <f t="shared" si="66"/>
        <v>319</v>
      </c>
      <c r="AF233" s="321">
        <f>IF(Instructions!$E$11=8,IF($D233=Instructions!$F$45,AF232+1,AF232),IF(Instructions!$E$11=10,IF($H233=Instructions!$F$45,AF232+1,AF232),IF(Instructions!$E$11=12,IF($L233=Instructions!$F$45,AF232+1,AF232),IF(Instructions!$E$11=14,IF($P233=Instructions!$F$45,AF232+1,AF232),IF(Instructions!$E$11=16,IF($T233=Instructions!$F$45,AF232+1,AF232))))))</f>
        <v>19</v>
      </c>
      <c r="AG233" s="321" t="str">
        <f t="shared" si="67"/>
        <v>419</v>
      </c>
      <c r="AH233" s="321">
        <f>IF(Instructions!$E$11=8,IF($D233=Instructions!$F$46,AH232+1,AH232),IF(Instructions!$E$11=10,IF($H233=Instructions!$F$46,AH232+1,AH232),IF(Instructions!$E$11=12,IF($L233=Instructions!$F$46,AH232+1,AH232),IF(Instructions!$E$11=14,IF($P233=Instructions!$F$46,AH232+1,AH232),IF(Instructions!$E$11=16,IF($T233=Instructions!$F$46,AH232+1,AH232))))))</f>
        <v>19</v>
      </c>
      <c r="AI233" s="321" t="str">
        <f t="shared" si="68"/>
        <v>519</v>
      </c>
      <c r="AJ233" s="321">
        <f>IF(Instructions!$E$11=8,IF($D233=Instructions!$F$47,AJ232+1,AJ232),IF(Instructions!$E$11=10,IF($H233=Instructions!$F$47,AJ232+1,AJ232),IF(Instructions!$E$11=12,IF($L233=Instructions!$F$47,AJ232+1,AJ232),IF(Instructions!$E$11=14,IF($P233=Instructions!$F$47,AJ232+1,AJ232),IF(Instructions!$E$11=16,IF($T233=Instructions!$F$47,AJ232+1,AJ232))))))</f>
        <v>19</v>
      </c>
      <c r="AK233" s="321" t="str">
        <f t="shared" si="69"/>
        <v>619</v>
      </c>
      <c r="AL233" s="321">
        <f>IF(Instructions!$E$11=8,IF($D233=Instructions!$F$48,AL232+1,AL232),IF(Instructions!$E$11=10,IF($H233=Instructions!$F$48,AL232+1,AL232),IF(Instructions!$E$11=12,IF($L233=Instructions!$F$48,AL232+1,AL232),IF(Instructions!$E$11=14,IF($P233=Instructions!$F$48,AL232+1,AL232),IF(Instructions!$E$11=16,IF($T233=Instructions!$F$48,AL232+1,AL232))))))</f>
        <v>19</v>
      </c>
      <c r="AM233" s="321" t="str">
        <f t="shared" si="70"/>
        <v>719</v>
      </c>
      <c r="AN233" s="321">
        <f>IF(Instructions!$E$11=8,IF($D233=Instructions!$F$49,AN232+1,AN232),IF(Instructions!$E$11=10,IF($H233=Instructions!$F$49,AN232+1,AN232),IF(Instructions!$E$11=12,IF($L233=Instructions!$F$49,AN232+1,AN232),IF(Instructions!$E$11=14,IF($P233=Instructions!$F$49,AN232+1,AN232),IF(Instructions!$E$11=16,IF($T233=Instructions!$F$49,AN232+1,AN232))))))</f>
        <v>19</v>
      </c>
      <c r="AO233" s="321" t="str">
        <f t="shared" si="71"/>
        <v>819</v>
      </c>
      <c r="AP233" s="321">
        <f>IF(Instructions!$E$11=8,IF($D233=Instructions!$F$50,AP232+1,AP232),IF(Instructions!$E$11=10,IF($H233=Instructions!$F$50,AP232+1,AP232),IF(Instructions!$E$11=12,IF($L233=Instructions!$F$50,AP232+1,AP232),IF(Instructions!$E$11=14,IF($P233=Instructions!$F$50,AP232+1,AP232),IF(Instructions!$E$11=16,IF($T233=Instructions!$F$50,AP232+1,AP232))))))</f>
        <v>19</v>
      </c>
      <c r="AQ233" s="321" t="str">
        <f t="shared" si="72"/>
        <v>919</v>
      </c>
      <c r="AR233" s="321">
        <f>IF(Instructions!$E$11=8,IF($D233=Instructions!$F$51,AR232+1,AR232),IF(Instructions!$E$11=10,IF($H233=Instructions!$F$51,AR232+1,AR232),IF(Instructions!$E$11=12,IF($L233=Instructions!$F$51,AR232+1,AR232),IF(Instructions!$E$11=14,IF($P233=Instructions!$F$51,AR232+1,AR232),IF(Instructions!$E$11=16,IF($T233=Instructions!$F$51,AR232+1,AR232))))))</f>
        <v>20</v>
      </c>
      <c r="AS233" s="321" t="str">
        <f t="shared" si="73"/>
        <v>1020</v>
      </c>
      <c r="AT233" s="321">
        <f>IF(Instructions!$E$11=8,IF($D233=Instructions!$F$52,AT232+1,AT232),IF(Instructions!$E$11=10,IF($H233=Instructions!$F$52,AT232+1,AT232),IF(Instructions!$E$11=12,IF($L233=Instructions!$F$52,AT232+1,AT232),IF(Instructions!$E$11=14,IF($P233=Instructions!$F$52,AT232+1,AT232),IF(Instructions!$E$11=16,IF($T233=Instructions!$F$52,AT232+1,AT232))))))</f>
        <v>20</v>
      </c>
      <c r="AU233" s="321" t="str">
        <f t="shared" si="74"/>
        <v>1120</v>
      </c>
      <c r="AV233" s="321">
        <f>IF(Instructions!$E$11=8,IF($D233=Instructions!$F$53,AV232+1,AV232),IF(Instructions!$E$11=10,IF($H233=Instructions!$F$53,AV232+1,AV232),IF(Instructions!$E$11=12,IF($L233=Instructions!$F$53,AV232+1,AV232),IF(Instructions!$E$11=14,IF($P233=Instructions!$F$53,AV232+1,AV232),IF(Instructions!$E$11=16,IF($T233=Instructions!$F$53,AV232+1,AV232))))))</f>
        <v>20</v>
      </c>
      <c r="AW233" s="321" t="str">
        <f t="shared" si="75"/>
        <v>1220</v>
      </c>
      <c r="AX233" s="321">
        <f>IF(Instructions!$E$11=8,IF($D233=Instructions!$F$54,AX232+1,AX232),IF(Instructions!$E$11=10,IF($H233=Instructions!$F$54,AX232+1,AX232),IF(Instructions!$E$11=12,IF($L233=Instructions!$F$54,AX232+1,AX232),IF(Instructions!$E$11=14,IF($P233=Instructions!$F$54,AX232+1,AX232),IF(Instructions!$E$11=16,IF($T233=Instructions!$F$54,AX232+1,AX232))))))</f>
        <v>0</v>
      </c>
      <c r="AY233" s="321" t="str">
        <f t="shared" si="76"/>
        <v>1300</v>
      </c>
      <c r="AZ233" s="321">
        <f>IF(Instructions!$E$11=8,IF($D233=Instructions!$F$55,AZ232+1,AZ232),IF(Instructions!$E$11=10,IF($H233=Instructions!$F$55,AZ232+1,AZ232),IF(Instructions!$E$11=12,IF($L233=Instructions!$F$55,AZ232+1,AZ232),IF(Instructions!$E$11=14,IF($P233=Instructions!$F$55,AZ232+1,AZ232),IF(Instructions!$E$11=16,IF($T233=Instructions!$F$55,AZ232+1,AZ232))))))</f>
        <v>0</v>
      </c>
      <c r="BA233" s="321" t="str">
        <f t="shared" si="77"/>
        <v>1400</v>
      </c>
      <c r="BB233" s="321">
        <f>IF(Instructions!$E$11=8,IF($D233=Instructions!$F$56,BB232+1,BB232),IF(Instructions!$E$11=10,IF($H233=Instructions!$F$56,BB232+1,BB232),IF(Instructions!$E$11=12,IF($L233=Instructions!$F$56,BB232+1,BB232),IF(Instructions!$E$11=14,IF($P233=Instructions!$F$56,BB232+1,BB232),IF(Instructions!$E$11=16,IF($T233=Instructions!$F$56,BB232+1,BB232))))))</f>
        <v>0</v>
      </c>
      <c r="BC233" s="321" t="str">
        <f t="shared" si="62"/>
        <v>1500</v>
      </c>
      <c r="BD233" s="321">
        <f>IF(Instructions!$E$11=8,IF($D233=Instructions!$F$57,BD232+1,BD232),IF(Instructions!$E$11=10,IF($H233=Instructions!$F$57,BD232+1,BD232),IF(Instructions!$E$11=12,IF($L233=Instructions!$F$57,BD232+1,BD232),IF(Instructions!$E$11=14,IF($P233=Instructions!$F$57,BD232+1,BD232),IF(Instructions!$E$11=16,IF($T233=Instructions!$F$57,BD232+1,BD232))))))</f>
        <v>0</v>
      </c>
      <c r="BE233" s="321" t="str">
        <f t="shared" si="63"/>
        <v>1600</v>
      </c>
      <c r="BF233" s="321">
        <v>231</v>
      </c>
    </row>
    <row r="234" spans="1:58" x14ac:dyDescent="0.25">
      <c r="A234" s="280"/>
      <c r="B234" s="323" t="str">
        <f>IF(Instructions!$J$11=1,AA234,IF(Instructions!$J$11=2,AC234,IF(Instructions!$J$11=3,AE234,IF(Instructions!$J$11=4,AG234,IF(Instructions!$J$11=5,AI234,IF(Instructions!$J$11=6,AK234,IF(Instructions!$J$11=7,AM234,IF(Instructions!$J$11=8,AO234,IF(Instructions!$J$11=9,AQ234,IF(Instructions!$J$11=10,AS234,IF(Instructions!$J$11=11,AU234,IF(Instructions!$J$11=12,AW234,IF(Instructions!$J$11=13, AY234, IF(Instructions!$J$11=14,BA234,IF(Instructions!$J$11=15,BC234,BE234)))))))))))))))</f>
        <v>219</v>
      </c>
      <c r="C234" s="272">
        <v>232</v>
      </c>
      <c r="D234" s="281"/>
      <c r="E234" s="282"/>
      <c r="F234" s="281"/>
      <c r="H234" s="294" t="str">
        <f>Instructions!F$50</f>
        <v>Dan</v>
      </c>
      <c r="I234" s="274" t="s">
        <v>1521</v>
      </c>
      <c r="J234" s="709"/>
      <c r="K234" s="279">
        <v>24</v>
      </c>
      <c r="L234" s="294" t="str">
        <f>Instructions!F$50</f>
        <v>Dan</v>
      </c>
      <c r="M234" s="274" t="s">
        <v>1491</v>
      </c>
      <c r="N234" s="709"/>
      <c r="O234">
        <v>20</v>
      </c>
      <c r="P234" s="294" t="str">
        <f>Instructions!F$49</f>
        <v>Luke</v>
      </c>
      <c r="Q234" s="274" t="s">
        <v>882</v>
      </c>
      <c r="R234" s="709"/>
      <c r="S234" s="279">
        <v>17</v>
      </c>
      <c r="T234" s="327" t="str">
        <f>Instructions!F$49</f>
        <v>Luke</v>
      </c>
      <c r="U234" s="274" t="s">
        <v>882</v>
      </c>
      <c r="V234" s="706"/>
      <c r="W234" s="279">
        <v>15</v>
      </c>
      <c r="X234" s="280"/>
      <c r="Y234" s="190" t="str">
        <f>IFERROR( IF(Instructions!$E$11=8, D234&amp;COUNTIF(D$3:D234,D234), IF(Instructions!$E$11=10, H234&amp;COUNTIF(H$3:H234,H234),IF(Instructions!$E$11=12, L234&amp;COUNTIF(L$3:L234,L234),IF(Instructions!$E$11=14, P234&amp;COUNTIF(P$3:P234,P234),T234&amp;COUNTIF(T$3:T234,T234))))),"")</f>
        <v>Dan20</v>
      </c>
      <c r="Z234" s="321">
        <f>IF(Instructions!$E$11=8,IF($D234=Instructions!$F$42,Z233+1,Z233),IF(Instructions!$E$11=10,IF($H234=Instructions!$F$42,Z233+1,Z233),IF(Instructions!$E$11=12,IF($L234=Instructions!$F$42,Z233+1,Z233),IF(Instructions!$E$11=14,IF($P234=Instructions!$F$42,Z233+1,Z233),IF(Instructions!$E$11=16,IF($T234=Instructions!$F$42,Z233+1,Z233))))))</f>
        <v>19</v>
      </c>
      <c r="AA234" s="321" t="str">
        <f t="shared" si="64"/>
        <v>119</v>
      </c>
      <c r="AB234" s="321">
        <f>IF(Instructions!$E$11=8,IF($D234=Instructions!$F$43,AB233+1,AB233),IF(Instructions!$E$11=10,IF($H234=Instructions!$F$43,AB233+1,AB233),IF(Instructions!$E$11=12,IF($L234=Instructions!$F$43,AB233+1,AB233),IF(Instructions!$E$11=14,IF($P234=Instructions!$F$43,AB233+1,AB233),IF(Instructions!$E$11=16,IF($T234=Instructions!$F$43,AB233+1,AB233))))))</f>
        <v>19</v>
      </c>
      <c r="AC234" s="321" t="str">
        <f t="shared" si="65"/>
        <v>219</v>
      </c>
      <c r="AD234" s="321">
        <f>IF(Instructions!$E$11=8,IF($D234=Instructions!$F$44,AD233+1,AD233),IF(Instructions!$E$11=10,IF($H234=Instructions!$F$44,AD233+1,AD233),IF(Instructions!$E$11=12,IF($L234=Instructions!$F$44,AD233+1,AD233),IF(Instructions!$E$11=14,IF($P234=Instructions!$F$44,AD233+1,AD233),IF(Instructions!$E$11=16,IF($T234=Instructions!$F$44,AD233+1,AD233))))))</f>
        <v>19</v>
      </c>
      <c r="AE234" s="321" t="str">
        <f t="shared" si="66"/>
        <v>319</v>
      </c>
      <c r="AF234" s="321">
        <f>IF(Instructions!$E$11=8,IF($D234=Instructions!$F$45,AF233+1,AF233),IF(Instructions!$E$11=10,IF($H234=Instructions!$F$45,AF233+1,AF233),IF(Instructions!$E$11=12,IF($L234=Instructions!$F$45,AF233+1,AF233),IF(Instructions!$E$11=14,IF($P234=Instructions!$F$45,AF233+1,AF233),IF(Instructions!$E$11=16,IF($T234=Instructions!$F$45,AF233+1,AF233))))))</f>
        <v>19</v>
      </c>
      <c r="AG234" s="321" t="str">
        <f t="shared" si="67"/>
        <v>419</v>
      </c>
      <c r="AH234" s="321">
        <f>IF(Instructions!$E$11=8,IF($D234=Instructions!$F$46,AH233+1,AH233),IF(Instructions!$E$11=10,IF($H234=Instructions!$F$46,AH233+1,AH233),IF(Instructions!$E$11=12,IF($L234=Instructions!$F$46,AH233+1,AH233),IF(Instructions!$E$11=14,IF($P234=Instructions!$F$46,AH233+1,AH233),IF(Instructions!$E$11=16,IF($T234=Instructions!$F$46,AH233+1,AH233))))))</f>
        <v>19</v>
      </c>
      <c r="AI234" s="321" t="str">
        <f t="shared" si="68"/>
        <v>519</v>
      </c>
      <c r="AJ234" s="321">
        <f>IF(Instructions!$E$11=8,IF($D234=Instructions!$F$47,AJ233+1,AJ233),IF(Instructions!$E$11=10,IF($H234=Instructions!$F$47,AJ233+1,AJ233),IF(Instructions!$E$11=12,IF($L234=Instructions!$F$47,AJ233+1,AJ233),IF(Instructions!$E$11=14,IF($P234=Instructions!$F$47,AJ233+1,AJ233),IF(Instructions!$E$11=16,IF($T234=Instructions!$F$47,AJ233+1,AJ233))))))</f>
        <v>19</v>
      </c>
      <c r="AK234" s="321" t="str">
        <f t="shared" si="69"/>
        <v>619</v>
      </c>
      <c r="AL234" s="321">
        <f>IF(Instructions!$E$11=8,IF($D234=Instructions!$F$48,AL233+1,AL233),IF(Instructions!$E$11=10,IF($H234=Instructions!$F$48,AL233+1,AL233),IF(Instructions!$E$11=12,IF($L234=Instructions!$F$48,AL233+1,AL233),IF(Instructions!$E$11=14,IF($P234=Instructions!$F$48,AL233+1,AL233),IF(Instructions!$E$11=16,IF($T234=Instructions!$F$48,AL233+1,AL233))))))</f>
        <v>19</v>
      </c>
      <c r="AM234" s="321" t="str">
        <f t="shared" si="70"/>
        <v>719</v>
      </c>
      <c r="AN234" s="321">
        <f>IF(Instructions!$E$11=8,IF($D234=Instructions!$F$49,AN233+1,AN233),IF(Instructions!$E$11=10,IF($H234=Instructions!$F$49,AN233+1,AN233),IF(Instructions!$E$11=12,IF($L234=Instructions!$F$49,AN233+1,AN233),IF(Instructions!$E$11=14,IF($P234=Instructions!$F$49,AN233+1,AN233),IF(Instructions!$E$11=16,IF($T234=Instructions!$F$49,AN233+1,AN233))))))</f>
        <v>19</v>
      </c>
      <c r="AO234" s="321" t="str">
        <f t="shared" si="71"/>
        <v>819</v>
      </c>
      <c r="AP234" s="321">
        <f>IF(Instructions!$E$11=8,IF($D234=Instructions!$F$50,AP233+1,AP233),IF(Instructions!$E$11=10,IF($H234=Instructions!$F$50,AP233+1,AP233),IF(Instructions!$E$11=12,IF($L234=Instructions!$F$50,AP233+1,AP233),IF(Instructions!$E$11=14,IF($P234=Instructions!$F$50,AP233+1,AP233),IF(Instructions!$E$11=16,IF($T234=Instructions!$F$50,AP233+1,AP233))))))</f>
        <v>20</v>
      </c>
      <c r="AQ234" s="321" t="str">
        <f t="shared" si="72"/>
        <v>920</v>
      </c>
      <c r="AR234" s="321">
        <f>IF(Instructions!$E$11=8,IF($D234=Instructions!$F$51,AR233+1,AR233),IF(Instructions!$E$11=10,IF($H234=Instructions!$F$51,AR233+1,AR233),IF(Instructions!$E$11=12,IF($L234=Instructions!$F$51,AR233+1,AR233),IF(Instructions!$E$11=14,IF($P234=Instructions!$F$51,AR233+1,AR233),IF(Instructions!$E$11=16,IF($T234=Instructions!$F$51,AR233+1,AR233))))))</f>
        <v>20</v>
      </c>
      <c r="AS234" s="321" t="str">
        <f t="shared" si="73"/>
        <v>1020</v>
      </c>
      <c r="AT234" s="321">
        <f>IF(Instructions!$E$11=8,IF($D234=Instructions!$F$52,AT233+1,AT233),IF(Instructions!$E$11=10,IF($H234=Instructions!$F$52,AT233+1,AT233),IF(Instructions!$E$11=12,IF($L234=Instructions!$F$52,AT233+1,AT233),IF(Instructions!$E$11=14,IF($P234=Instructions!$F$52,AT233+1,AT233),IF(Instructions!$E$11=16,IF($T234=Instructions!$F$52,AT233+1,AT233))))))</f>
        <v>20</v>
      </c>
      <c r="AU234" s="321" t="str">
        <f t="shared" si="74"/>
        <v>1120</v>
      </c>
      <c r="AV234" s="321">
        <f>IF(Instructions!$E$11=8,IF($D234=Instructions!$F$53,AV233+1,AV233),IF(Instructions!$E$11=10,IF($H234=Instructions!$F$53,AV233+1,AV233),IF(Instructions!$E$11=12,IF($L234=Instructions!$F$53,AV233+1,AV233),IF(Instructions!$E$11=14,IF($P234=Instructions!$F$53,AV233+1,AV233),IF(Instructions!$E$11=16,IF($T234=Instructions!$F$53,AV233+1,AV233))))))</f>
        <v>20</v>
      </c>
      <c r="AW234" s="321" t="str">
        <f t="shared" si="75"/>
        <v>1220</v>
      </c>
      <c r="AX234" s="321">
        <f>IF(Instructions!$E$11=8,IF($D234=Instructions!$F$54,AX233+1,AX233),IF(Instructions!$E$11=10,IF($H234=Instructions!$F$54,AX233+1,AX233),IF(Instructions!$E$11=12,IF($L234=Instructions!$F$54,AX233+1,AX233),IF(Instructions!$E$11=14,IF($P234=Instructions!$F$54,AX233+1,AX233),IF(Instructions!$E$11=16,IF($T234=Instructions!$F$54,AX233+1,AX233))))))</f>
        <v>0</v>
      </c>
      <c r="AY234" s="321" t="str">
        <f t="shared" si="76"/>
        <v>1300</v>
      </c>
      <c r="AZ234" s="321">
        <f>IF(Instructions!$E$11=8,IF($D234=Instructions!$F$55,AZ233+1,AZ233),IF(Instructions!$E$11=10,IF($H234=Instructions!$F$55,AZ233+1,AZ233),IF(Instructions!$E$11=12,IF($L234=Instructions!$F$55,AZ233+1,AZ233),IF(Instructions!$E$11=14,IF($P234=Instructions!$F$55,AZ233+1,AZ233),IF(Instructions!$E$11=16,IF($T234=Instructions!$F$55,AZ233+1,AZ233))))))</f>
        <v>0</v>
      </c>
      <c r="BA234" s="321" t="str">
        <f t="shared" si="77"/>
        <v>1400</v>
      </c>
      <c r="BB234" s="321">
        <f>IF(Instructions!$E$11=8,IF($D234=Instructions!$F$56,BB233+1,BB233),IF(Instructions!$E$11=10,IF($H234=Instructions!$F$56,BB233+1,BB233),IF(Instructions!$E$11=12,IF($L234=Instructions!$F$56,BB233+1,BB233),IF(Instructions!$E$11=14,IF($P234=Instructions!$F$56,BB233+1,BB233),IF(Instructions!$E$11=16,IF($T234=Instructions!$F$56,BB233+1,BB233))))))</f>
        <v>0</v>
      </c>
      <c r="BC234" s="321" t="str">
        <f t="shared" si="62"/>
        <v>1500</v>
      </c>
      <c r="BD234" s="321">
        <f>IF(Instructions!$E$11=8,IF($D234=Instructions!$F$57,BD233+1,BD233),IF(Instructions!$E$11=10,IF($H234=Instructions!$F$57,BD233+1,BD233),IF(Instructions!$E$11=12,IF($L234=Instructions!$F$57,BD233+1,BD233),IF(Instructions!$E$11=14,IF($P234=Instructions!$F$57,BD233+1,BD233),IF(Instructions!$E$11=16,IF($T234=Instructions!$F$57,BD233+1,BD233))))))</f>
        <v>0</v>
      </c>
      <c r="BE234" s="321" t="str">
        <f t="shared" si="63"/>
        <v>1600</v>
      </c>
      <c r="BF234" s="321">
        <v>232</v>
      </c>
    </row>
    <row r="235" spans="1:58" x14ac:dyDescent="0.25">
      <c r="A235" s="280"/>
      <c r="B235" s="323" t="str">
        <f>IF(Instructions!$J$11=1,AA235,IF(Instructions!$J$11=2,AC235,IF(Instructions!$J$11=3,AE235,IF(Instructions!$J$11=4,AG235,IF(Instructions!$J$11=5,AI235,IF(Instructions!$J$11=6,AK235,IF(Instructions!$J$11=7,AM235,IF(Instructions!$J$11=8,AO235,IF(Instructions!$J$11=9,AQ235,IF(Instructions!$J$11=10,AS235,IF(Instructions!$J$11=11,AU235,IF(Instructions!$J$11=12,AW235,IF(Instructions!$J$11=13, AY235, IF(Instructions!$J$11=14,BA235,IF(Instructions!$J$11=15,BC235,BE235)))))))))))))))</f>
        <v>219</v>
      </c>
      <c r="C235" s="271">
        <v>233</v>
      </c>
      <c r="D235" s="281"/>
      <c r="E235" s="282"/>
      <c r="F235" s="281"/>
      <c r="H235" s="293" t="str">
        <f>Instructions!F$49</f>
        <v>Luke</v>
      </c>
      <c r="I235" s="273" t="s">
        <v>1522</v>
      </c>
      <c r="J235" s="709"/>
      <c r="K235" s="279">
        <v>24</v>
      </c>
      <c r="L235" s="293" t="str">
        <f>Instructions!F$49</f>
        <v>Luke</v>
      </c>
      <c r="M235" s="273" t="s">
        <v>1492</v>
      </c>
      <c r="N235" s="709"/>
      <c r="O235">
        <v>20</v>
      </c>
      <c r="P235" s="293" t="str">
        <f>Instructions!F$50</f>
        <v>Dan</v>
      </c>
      <c r="Q235" s="273" t="s">
        <v>883</v>
      </c>
      <c r="R235" s="709"/>
      <c r="S235" s="279">
        <v>17</v>
      </c>
      <c r="T235" s="328" t="str">
        <f>Instructions!F$50</f>
        <v>Dan</v>
      </c>
      <c r="U235" s="273" t="s">
        <v>883</v>
      </c>
      <c r="V235" s="706"/>
      <c r="W235" s="279">
        <v>15</v>
      </c>
      <c r="X235" s="280"/>
      <c r="Y235" s="190" t="str">
        <f>IFERROR( IF(Instructions!$E$11=8, D235&amp;COUNTIF(D$3:D235,D235), IF(Instructions!$E$11=10, H235&amp;COUNTIF(H$3:H235,H235),IF(Instructions!$E$11=12, L235&amp;COUNTIF(L$3:L235,L235),IF(Instructions!$E$11=14, P235&amp;COUNTIF(P$3:P235,P235),T235&amp;COUNTIF(T$3:T235,T235))))),"")</f>
        <v>Luke20</v>
      </c>
      <c r="Z235" s="321">
        <f>IF(Instructions!$E$11=8,IF($D235=Instructions!$F$42,Z234+1,Z234),IF(Instructions!$E$11=10,IF($H235=Instructions!$F$42,Z234+1,Z234),IF(Instructions!$E$11=12,IF($L235=Instructions!$F$42,Z234+1,Z234),IF(Instructions!$E$11=14,IF($P235=Instructions!$F$42,Z234+1,Z234),IF(Instructions!$E$11=16,IF($T235=Instructions!$F$42,Z234+1,Z234))))))</f>
        <v>19</v>
      </c>
      <c r="AA235" s="321" t="str">
        <f t="shared" si="64"/>
        <v>119</v>
      </c>
      <c r="AB235" s="321">
        <f>IF(Instructions!$E$11=8,IF($D235=Instructions!$F$43,AB234+1,AB234),IF(Instructions!$E$11=10,IF($H235=Instructions!$F$43,AB234+1,AB234),IF(Instructions!$E$11=12,IF($L235=Instructions!$F$43,AB234+1,AB234),IF(Instructions!$E$11=14,IF($P235=Instructions!$F$43,AB234+1,AB234),IF(Instructions!$E$11=16,IF($T235=Instructions!$F$43,AB234+1,AB234))))))</f>
        <v>19</v>
      </c>
      <c r="AC235" s="321" t="str">
        <f t="shared" si="65"/>
        <v>219</v>
      </c>
      <c r="AD235" s="321">
        <f>IF(Instructions!$E$11=8,IF($D235=Instructions!$F$44,AD234+1,AD234),IF(Instructions!$E$11=10,IF($H235=Instructions!$F$44,AD234+1,AD234),IF(Instructions!$E$11=12,IF($L235=Instructions!$F$44,AD234+1,AD234),IF(Instructions!$E$11=14,IF($P235=Instructions!$F$44,AD234+1,AD234),IF(Instructions!$E$11=16,IF($T235=Instructions!$F$44,AD234+1,AD234))))))</f>
        <v>19</v>
      </c>
      <c r="AE235" s="321" t="str">
        <f t="shared" si="66"/>
        <v>319</v>
      </c>
      <c r="AF235" s="321">
        <f>IF(Instructions!$E$11=8,IF($D235=Instructions!$F$45,AF234+1,AF234),IF(Instructions!$E$11=10,IF($H235=Instructions!$F$45,AF234+1,AF234),IF(Instructions!$E$11=12,IF($L235=Instructions!$F$45,AF234+1,AF234),IF(Instructions!$E$11=14,IF($P235=Instructions!$F$45,AF234+1,AF234),IF(Instructions!$E$11=16,IF($T235=Instructions!$F$45,AF234+1,AF234))))))</f>
        <v>19</v>
      </c>
      <c r="AG235" s="321" t="str">
        <f t="shared" si="67"/>
        <v>419</v>
      </c>
      <c r="AH235" s="321">
        <f>IF(Instructions!$E$11=8,IF($D235=Instructions!$F$46,AH234+1,AH234),IF(Instructions!$E$11=10,IF($H235=Instructions!$F$46,AH234+1,AH234),IF(Instructions!$E$11=12,IF($L235=Instructions!$F$46,AH234+1,AH234),IF(Instructions!$E$11=14,IF($P235=Instructions!$F$46,AH234+1,AH234),IF(Instructions!$E$11=16,IF($T235=Instructions!$F$46,AH234+1,AH234))))))</f>
        <v>19</v>
      </c>
      <c r="AI235" s="321" t="str">
        <f t="shared" si="68"/>
        <v>519</v>
      </c>
      <c r="AJ235" s="321">
        <f>IF(Instructions!$E$11=8,IF($D235=Instructions!$F$47,AJ234+1,AJ234),IF(Instructions!$E$11=10,IF($H235=Instructions!$F$47,AJ234+1,AJ234),IF(Instructions!$E$11=12,IF($L235=Instructions!$F$47,AJ234+1,AJ234),IF(Instructions!$E$11=14,IF($P235=Instructions!$F$47,AJ234+1,AJ234),IF(Instructions!$E$11=16,IF($T235=Instructions!$F$47,AJ234+1,AJ234))))))</f>
        <v>19</v>
      </c>
      <c r="AK235" s="321" t="str">
        <f t="shared" si="69"/>
        <v>619</v>
      </c>
      <c r="AL235" s="321">
        <f>IF(Instructions!$E$11=8,IF($D235=Instructions!$F$48,AL234+1,AL234),IF(Instructions!$E$11=10,IF($H235=Instructions!$F$48,AL234+1,AL234),IF(Instructions!$E$11=12,IF($L235=Instructions!$F$48,AL234+1,AL234),IF(Instructions!$E$11=14,IF($P235=Instructions!$F$48,AL234+1,AL234),IF(Instructions!$E$11=16,IF($T235=Instructions!$F$48,AL234+1,AL234))))))</f>
        <v>19</v>
      </c>
      <c r="AM235" s="321" t="str">
        <f t="shared" si="70"/>
        <v>719</v>
      </c>
      <c r="AN235" s="321">
        <f>IF(Instructions!$E$11=8,IF($D235=Instructions!$F$49,AN234+1,AN234),IF(Instructions!$E$11=10,IF($H235=Instructions!$F$49,AN234+1,AN234),IF(Instructions!$E$11=12,IF($L235=Instructions!$F$49,AN234+1,AN234),IF(Instructions!$E$11=14,IF($P235=Instructions!$F$49,AN234+1,AN234),IF(Instructions!$E$11=16,IF($T235=Instructions!$F$49,AN234+1,AN234))))))</f>
        <v>20</v>
      </c>
      <c r="AO235" s="321" t="str">
        <f t="shared" si="71"/>
        <v>820</v>
      </c>
      <c r="AP235" s="321">
        <f>IF(Instructions!$E$11=8,IF($D235=Instructions!$F$50,AP234+1,AP234),IF(Instructions!$E$11=10,IF($H235=Instructions!$F$50,AP234+1,AP234),IF(Instructions!$E$11=12,IF($L235=Instructions!$F$50,AP234+1,AP234),IF(Instructions!$E$11=14,IF($P235=Instructions!$F$50,AP234+1,AP234),IF(Instructions!$E$11=16,IF($T235=Instructions!$F$50,AP234+1,AP234))))))</f>
        <v>20</v>
      </c>
      <c r="AQ235" s="321" t="str">
        <f t="shared" si="72"/>
        <v>920</v>
      </c>
      <c r="AR235" s="321">
        <f>IF(Instructions!$E$11=8,IF($D235=Instructions!$F$51,AR234+1,AR234),IF(Instructions!$E$11=10,IF($H235=Instructions!$F$51,AR234+1,AR234),IF(Instructions!$E$11=12,IF($L235=Instructions!$F$51,AR234+1,AR234),IF(Instructions!$E$11=14,IF($P235=Instructions!$F$51,AR234+1,AR234),IF(Instructions!$E$11=16,IF($T235=Instructions!$F$51,AR234+1,AR234))))))</f>
        <v>20</v>
      </c>
      <c r="AS235" s="321" t="str">
        <f t="shared" si="73"/>
        <v>1020</v>
      </c>
      <c r="AT235" s="321">
        <f>IF(Instructions!$E$11=8,IF($D235=Instructions!$F$52,AT234+1,AT234),IF(Instructions!$E$11=10,IF($H235=Instructions!$F$52,AT234+1,AT234),IF(Instructions!$E$11=12,IF($L235=Instructions!$F$52,AT234+1,AT234),IF(Instructions!$E$11=14,IF($P235=Instructions!$F$52,AT234+1,AT234),IF(Instructions!$E$11=16,IF($T235=Instructions!$F$52,AT234+1,AT234))))))</f>
        <v>20</v>
      </c>
      <c r="AU235" s="321" t="str">
        <f t="shared" si="74"/>
        <v>1120</v>
      </c>
      <c r="AV235" s="321">
        <f>IF(Instructions!$E$11=8,IF($D235=Instructions!$F$53,AV234+1,AV234),IF(Instructions!$E$11=10,IF($H235=Instructions!$F$53,AV234+1,AV234),IF(Instructions!$E$11=12,IF($L235=Instructions!$F$53,AV234+1,AV234),IF(Instructions!$E$11=14,IF($P235=Instructions!$F$53,AV234+1,AV234),IF(Instructions!$E$11=16,IF($T235=Instructions!$F$53,AV234+1,AV234))))))</f>
        <v>20</v>
      </c>
      <c r="AW235" s="321" t="str">
        <f t="shared" si="75"/>
        <v>1220</v>
      </c>
      <c r="AX235" s="321">
        <f>IF(Instructions!$E$11=8,IF($D235=Instructions!$F$54,AX234+1,AX234),IF(Instructions!$E$11=10,IF($H235=Instructions!$F$54,AX234+1,AX234),IF(Instructions!$E$11=12,IF($L235=Instructions!$F$54,AX234+1,AX234),IF(Instructions!$E$11=14,IF($P235=Instructions!$F$54,AX234+1,AX234),IF(Instructions!$E$11=16,IF($T235=Instructions!$F$54,AX234+1,AX234))))))</f>
        <v>0</v>
      </c>
      <c r="AY235" s="321" t="str">
        <f t="shared" si="76"/>
        <v>1300</v>
      </c>
      <c r="AZ235" s="321">
        <f>IF(Instructions!$E$11=8,IF($D235=Instructions!$F$55,AZ234+1,AZ234),IF(Instructions!$E$11=10,IF($H235=Instructions!$F$55,AZ234+1,AZ234),IF(Instructions!$E$11=12,IF($L235=Instructions!$F$55,AZ234+1,AZ234),IF(Instructions!$E$11=14,IF($P235=Instructions!$F$55,AZ234+1,AZ234),IF(Instructions!$E$11=16,IF($T235=Instructions!$F$55,AZ234+1,AZ234))))))</f>
        <v>0</v>
      </c>
      <c r="BA235" s="321" t="str">
        <f t="shared" si="77"/>
        <v>1400</v>
      </c>
      <c r="BB235" s="321">
        <f>IF(Instructions!$E$11=8,IF($D235=Instructions!$F$56,BB234+1,BB234),IF(Instructions!$E$11=10,IF($H235=Instructions!$F$56,BB234+1,BB234),IF(Instructions!$E$11=12,IF($L235=Instructions!$F$56,BB234+1,BB234),IF(Instructions!$E$11=14,IF($P235=Instructions!$F$56,BB234+1,BB234),IF(Instructions!$E$11=16,IF($T235=Instructions!$F$56,BB234+1,BB234))))))</f>
        <v>0</v>
      </c>
      <c r="BC235" s="321" t="str">
        <f t="shared" si="62"/>
        <v>1500</v>
      </c>
      <c r="BD235" s="321">
        <f>IF(Instructions!$E$11=8,IF($D235=Instructions!$F$57,BD234+1,BD234),IF(Instructions!$E$11=10,IF($H235=Instructions!$F$57,BD234+1,BD234),IF(Instructions!$E$11=12,IF($L235=Instructions!$F$57,BD234+1,BD234),IF(Instructions!$E$11=14,IF($P235=Instructions!$F$57,BD234+1,BD234),IF(Instructions!$E$11=16,IF($T235=Instructions!$F$57,BD234+1,BD234))))))</f>
        <v>0</v>
      </c>
      <c r="BE235" s="321" t="str">
        <f t="shared" si="63"/>
        <v>1600</v>
      </c>
      <c r="BF235" s="321">
        <v>233</v>
      </c>
    </row>
    <row r="236" spans="1:58" x14ac:dyDescent="0.25">
      <c r="A236" s="280"/>
      <c r="B236" s="323" t="str">
        <f>IF(Instructions!$J$11=1,AA236,IF(Instructions!$J$11=2,AC236,IF(Instructions!$J$11=3,AE236,IF(Instructions!$J$11=4,AG236,IF(Instructions!$J$11=5,AI236,IF(Instructions!$J$11=6,AK236,IF(Instructions!$J$11=7,AM236,IF(Instructions!$J$11=8,AO236,IF(Instructions!$J$11=9,AQ236,IF(Instructions!$J$11=10,AS236,IF(Instructions!$J$11=11,AU236,IF(Instructions!$J$11=12,AW236,IF(Instructions!$J$11=13, AY236, IF(Instructions!$J$11=14,BA236,IF(Instructions!$J$11=15,BC236,BE236)))))))))))))))</f>
        <v>219</v>
      </c>
      <c r="C236" s="272">
        <v>234</v>
      </c>
      <c r="D236" s="281"/>
      <c r="E236" s="282"/>
      <c r="F236" s="281"/>
      <c r="H236" s="294" t="str">
        <f>Instructions!F$48</f>
        <v>Bui</v>
      </c>
      <c r="I236" s="274" t="s">
        <v>1523</v>
      </c>
      <c r="J236" s="709"/>
      <c r="K236" s="279">
        <v>24</v>
      </c>
      <c r="L236" s="294" t="str">
        <f>Instructions!F$48</f>
        <v>Bui</v>
      </c>
      <c r="M236" s="274" t="s">
        <v>1493</v>
      </c>
      <c r="N236" s="709"/>
      <c r="O236">
        <v>20</v>
      </c>
      <c r="P236" s="294" t="str">
        <f>Instructions!F$51</f>
        <v>Josh</v>
      </c>
      <c r="Q236" s="274" t="s">
        <v>884</v>
      </c>
      <c r="R236" s="709"/>
      <c r="S236" s="279">
        <v>17</v>
      </c>
      <c r="T236" s="327" t="str">
        <f>Instructions!F$51</f>
        <v>Josh</v>
      </c>
      <c r="U236" s="274" t="s">
        <v>884</v>
      </c>
      <c r="V236" s="706"/>
      <c r="W236" s="279">
        <v>15</v>
      </c>
      <c r="X236" s="280"/>
      <c r="Y236" s="190" t="str">
        <f>IFERROR( IF(Instructions!$E$11=8, D236&amp;COUNTIF(D$3:D236,D236), IF(Instructions!$E$11=10, H236&amp;COUNTIF(H$3:H236,H236),IF(Instructions!$E$11=12, L236&amp;COUNTIF(L$3:L236,L236),IF(Instructions!$E$11=14, P236&amp;COUNTIF(P$3:P236,P236),T236&amp;COUNTIF(T$3:T236,T236))))),"")</f>
        <v>Bui20</v>
      </c>
      <c r="Z236" s="321">
        <f>IF(Instructions!$E$11=8,IF($D236=Instructions!$F$42,Z235+1,Z235),IF(Instructions!$E$11=10,IF($H236=Instructions!$F$42,Z235+1,Z235),IF(Instructions!$E$11=12,IF($L236=Instructions!$F$42,Z235+1,Z235),IF(Instructions!$E$11=14,IF($P236=Instructions!$F$42,Z235+1,Z235),IF(Instructions!$E$11=16,IF($T236=Instructions!$F$42,Z235+1,Z235))))))</f>
        <v>19</v>
      </c>
      <c r="AA236" s="321" t="str">
        <f t="shared" si="64"/>
        <v>119</v>
      </c>
      <c r="AB236" s="321">
        <f>IF(Instructions!$E$11=8,IF($D236=Instructions!$F$43,AB235+1,AB235),IF(Instructions!$E$11=10,IF($H236=Instructions!$F$43,AB235+1,AB235),IF(Instructions!$E$11=12,IF($L236=Instructions!$F$43,AB235+1,AB235),IF(Instructions!$E$11=14,IF($P236=Instructions!$F$43,AB235+1,AB235),IF(Instructions!$E$11=16,IF($T236=Instructions!$F$43,AB235+1,AB235))))))</f>
        <v>19</v>
      </c>
      <c r="AC236" s="321" t="str">
        <f t="shared" si="65"/>
        <v>219</v>
      </c>
      <c r="AD236" s="321">
        <f>IF(Instructions!$E$11=8,IF($D236=Instructions!$F$44,AD235+1,AD235),IF(Instructions!$E$11=10,IF($H236=Instructions!$F$44,AD235+1,AD235),IF(Instructions!$E$11=12,IF($L236=Instructions!$F$44,AD235+1,AD235),IF(Instructions!$E$11=14,IF($P236=Instructions!$F$44,AD235+1,AD235),IF(Instructions!$E$11=16,IF($T236=Instructions!$F$44,AD235+1,AD235))))))</f>
        <v>19</v>
      </c>
      <c r="AE236" s="321" t="str">
        <f t="shared" si="66"/>
        <v>319</v>
      </c>
      <c r="AF236" s="321">
        <f>IF(Instructions!$E$11=8,IF($D236=Instructions!$F$45,AF235+1,AF235),IF(Instructions!$E$11=10,IF($H236=Instructions!$F$45,AF235+1,AF235),IF(Instructions!$E$11=12,IF($L236=Instructions!$F$45,AF235+1,AF235),IF(Instructions!$E$11=14,IF($P236=Instructions!$F$45,AF235+1,AF235),IF(Instructions!$E$11=16,IF($T236=Instructions!$F$45,AF235+1,AF235))))))</f>
        <v>19</v>
      </c>
      <c r="AG236" s="321" t="str">
        <f t="shared" si="67"/>
        <v>419</v>
      </c>
      <c r="AH236" s="321">
        <f>IF(Instructions!$E$11=8,IF($D236=Instructions!$F$46,AH235+1,AH235),IF(Instructions!$E$11=10,IF($H236=Instructions!$F$46,AH235+1,AH235),IF(Instructions!$E$11=12,IF($L236=Instructions!$F$46,AH235+1,AH235),IF(Instructions!$E$11=14,IF($P236=Instructions!$F$46,AH235+1,AH235),IF(Instructions!$E$11=16,IF($T236=Instructions!$F$46,AH235+1,AH235))))))</f>
        <v>19</v>
      </c>
      <c r="AI236" s="321" t="str">
        <f t="shared" si="68"/>
        <v>519</v>
      </c>
      <c r="AJ236" s="321">
        <f>IF(Instructions!$E$11=8,IF($D236=Instructions!$F$47,AJ235+1,AJ235),IF(Instructions!$E$11=10,IF($H236=Instructions!$F$47,AJ235+1,AJ235),IF(Instructions!$E$11=12,IF($L236=Instructions!$F$47,AJ235+1,AJ235),IF(Instructions!$E$11=14,IF($P236=Instructions!$F$47,AJ235+1,AJ235),IF(Instructions!$E$11=16,IF($T236=Instructions!$F$47,AJ235+1,AJ235))))))</f>
        <v>19</v>
      </c>
      <c r="AK236" s="321" t="str">
        <f t="shared" si="69"/>
        <v>619</v>
      </c>
      <c r="AL236" s="321">
        <f>IF(Instructions!$E$11=8,IF($D236=Instructions!$F$48,AL235+1,AL235),IF(Instructions!$E$11=10,IF($H236=Instructions!$F$48,AL235+1,AL235),IF(Instructions!$E$11=12,IF($L236=Instructions!$F$48,AL235+1,AL235),IF(Instructions!$E$11=14,IF($P236=Instructions!$F$48,AL235+1,AL235),IF(Instructions!$E$11=16,IF($T236=Instructions!$F$48,AL235+1,AL235))))))</f>
        <v>20</v>
      </c>
      <c r="AM236" s="321" t="str">
        <f t="shared" si="70"/>
        <v>720</v>
      </c>
      <c r="AN236" s="321">
        <f>IF(Instructions!$E$11=8,IF($D236=Instructions!$F$49,AN235+1,AN235),IF(Instructions!$E$11=10,IF($H236=Instructions!$F$49,AN235+1,AN235),IF(Instructions!$E$11=12,IF($L236=Instructions!$F$49,AN235+1,AN235),IF(Instructions!$E$11=14,IF($P236=Instructions!$F$49,AN235+1,AN235),IF(Instructions!$E$11=16,IF($T236=Instructions!$F$49,AN235+1,AN235))))))</f>
        <v>20</v>
      </c>
      <c r="AO236" s="321" t="str">
        <f t="shared" si="71"/>
        <v>820</v>
      </c>
      <c r="AP236" s="321">
        <f>IF(Instructions!$E$11=8,IF($D236=Instructions!$F$50,AP235+1,AP235),IF(Instructions!$E$11=10,IF($H236=Instructions!$F$50,AP235+1,AP235),IF(Instructions!$E$11=12,IF($L236=Instructions!$F$50,AP235+1,AP235),IF(Instructions!$E$11=14,IF($P236=Instructions!$F$50,AP235+1,AP235),IF(Instructions!$E$11=16,IF($T236=Instructions!$F$50,AP235+1,AP235))))))</f>
        <v>20</v>
      </c>
      <c r="AQ236" s="321" t="str">
        <f t="shared" si="72"/>
        <v>920</v>
      </c>
      <c r="AR236" s="321">
        <f>IF(Instructions!$E$11=8,IF($D236=Instructions!$F$51,AR235+1,AR235),IF(Instructions!$E$11=10,IF($H236=Instructions!$F$51,AR235+1,AR235),IF(Instructions!$E$11=12,IF($L236=Instructions!$F$51,AR235+1,AR235),IF(Instructions!$E$11=14,IF($P236=Instructions!$F$51,AR235+1,AR235),IF(Instructions!$E$11=16,IF($T236=Instructions!$F$51,AR235+1,AR235))))))</f>
        <v>20</v>
      </c>
      <c r="AS236" s="321" t="str">
        <f t="shared" si="73"/>
        <v>1020</v>
      </c>
      <c r="AT236" s="321">
        <f>IF(Instructions!$E$11=8,IF($D236=Instructions!$F$52,AT235+1,AT235),IF(Instructions!$E$11=10,IF($H236=Instructions!$F$52,AT235+1,AT235),IF(Instructions!$E$11=12,IF($L236=Instructions!$F$52,AT235+1,AT235),IF(Instructions!$E$11=14,IF($P236=Instructions!$F$52,AT235+1,AT235),IF(Instructions!$E$11=16,IF($T236=Instructions!$F$52,AT235+1,AT235))))))</f>
        <v>20</v>
      </c>
      <c r="AU236" s="321" t="str">
        <f t="shared" si="74"/>
        <v>1120</v>
      </c>
      <c r="AV236" s="321">
        <f>IF(Instructions!$E$11=8,IF($D236=Instructions!$F$53,AV235+1,AV235),IF(Instructions!$E$11=10,IF($H236=Instructions!$F$53,AV235+1,AV235),IF(Instructions!$E$11=12,IF($L236=Instructions!$F$53,AV235+1,AV235),IF(Instructions!$E$11=14,IF($P236=Instructions!$F$53,AV235+1,AV235),IF(Instructions!$E$11=16,IF($T236=Instructions!$F$53,AV235+1,AV235))))))</f>
        <v>20</v>
      </c>
      <c r="AW236" s="321" t="str">
        <f t="shared" si="75"/>
        <v>1220</v>
      </c>
      <c r="AX236" s="321">
        <f>IF(Instructions!$E$11=8,IF($D236=Instructions!$F$54,AX235+1,AX235),IF(Instructions!$E$11=10,IF($H236=Instructions!$F$54,AX235+1,AX235),IF(Instructions!$E$11=12,IF($L236=Instructions!$F$54,AX235+1,AX235),IF(Instructions!$E$11=14,IF($P236=Instructions!$F$54,AX235+1,AX235),IF(Instructions!$E$11=16,IF($T236=Instructions!$F$54,AX235+1,AX235))))))</f>
        <v>0</v>
      </c>
      <c r="AY236" s="321" t="str">
        <f t="shared" si="76"/>
        <v>1300</v>
      </c>
      <c r="AZ236" s="321">
        <f>IF(Instructions!$E$11=8,IF($D236=Instructions!$F$55,AZ235+1,AZ235),IF(Instructions!$E$11=10,IF($H236=Instructions!$F$55,AZ235+1,AZ235),IF(Instructions!$E$11=12,IF($L236=Instructions!$F$55,AZ235+1,AZ235),IF(Instructions!$E$11=14,IF($P236=Instructions!$F$55,AZ235+1,AZ235),IF(Instructions!$E$11=16,IF($T236=Instructions!$F$55,AZ235+1,AZ235))))))</f>
        <v>0</v>
      </c>
      <c r="BA236" s="321" t="str">
        <f t="shared" si="77"/>
        <v>1400</v>
      </c>
      <c r="BB236" s="321">
        <f>IF(Instructions!$E$11=8,IF($D236=Instructions!$F$56,BB235+1,BB235),IF(Instructions!$E$11=10,IF($H236=Instructions!$F$56,BB235+1,BB235),IF(Instructions!$E$11=12,IF($L236=Instructions!$F$56,BB235+1,BB235),IF(Instructions!$E$11=14,IF($P236=Instructions!$F$56,BB235+1,BB235),IF(Instructions!$E$11=16,IF($T236=Instructions!$F$56,BB235+1,BB235))))))</f>
        <v>0</v>
      </c>
      <c r="BC236" s="321" t="str">
        <f t="shared" si="62"/>
        <v>1500</v>
      </c>
      <c r="BD236" s="321">
        <f>IF(Instructions!$E$11=8,IF($D236=Instructions!$F$57,BD235+1,BD235),IF(Instructions!$E$11=10,IF($H236=Instructions!$F$57,BD235+1,BD235),IF(Instructions!$E$11=12,IF($L236=Instructions!$F$57,BD235+1,BD235),IF(Instructions!$E$11=14,IF($P236=Instructions!$F$57,BD235+1,BD235),IF(Instructions!$E$11=16,IF($T236=Instructions!$F$57,BD235+1,BD235))))))</f>
        <v>0</v>
      </c>
      <c r="BE236" s="321" t="str">
        <f t="shared" si="63"/>
        <v>1600</v>
      </c>
      <c r="BF236" s="321">
        <v>234</v>
      </c>
    </row>
    <row r="237" spans="1:58" x14ac:dyDescent="0.25">
      <c r="A237" s="280"/>
      <c r="B237" s="323" t="str">
        <f>IF(Instructions!$J$11=1,AA237,IF(Instructions!$J$11=2,AC237,IF(Instructions!$J$11=3,AE237,IF(Instructions!$J$11=4,AG237,IF(Instructions!$J$11=5,AI237,IF(Instructions!$J$11=6,AK237,IF(Instructions!$J$11=7,AM237,IF(Instructions!$J$11=8,AO237,IF(Instructions!$J$11=9,AQ237,IF(Instructions!$J$11=10,AS237,IF(Instructions!$J$11=11,AU237,IF(Instructions!$J$11=12,AW237,IF(Instructions!$J$11=13, AY237, IF(Instructions!$J$11=14,BA237,IF(Instructions!$J$11=15,BC237,BE237)))))))))))))))</f>
        <v>219</v>
      </c>
      <c r="C237" s="271">
        <v>235</v>
      </c>
      <c r="D237" s="281"/>
      <c r="E237" s="282"/>
      <c r="F237" s="281"/>
      <c r="H237" s="293" t="str">
        <f>Instructions!F$47</f>
        <v>Devin</v>
      </c>
      <c r="I237" s="273" t="s">
        <v>1524</v>
      </c>
      <c r="J237" s="709"/>
      <c r="K237" s="279">
        <v>24</v>
      </c>
      <c r="L237" s="293" t="str">
        <f>Instructions!F$47</f>
        <v>Devin</v>
      </c>
      <c r="M237" s="273" t="s">
        <v>1494</v>
      </c>
      <c r="N237" s="709"/>
      <c r="O237">
        <v>20</v>
      </c>
      <c r="P237" s="293" t="str">
        <f>Instructions!F$52</f>
        <v>Big R</v>
      </c>
      <c r="Q237" s="273" t="s">
        <v>885</v>
      </c>
      <c r="R237" s="709"/>
      <c r="S237" s="279">
        <v>17</v>
      </c>
      <c r="T237" s="328" t="str">
        <f>Instructions!F$52</f>
        <v>Big R</v>
      </c>
      <c r="U237" s="273" t="s">
        <v>885</v>
      </c>
      <c r="V237" s="706"/>
      <c r="W237" s="279">
        <v>15</v>
      </c>
      <c r="X237" s="280"/>
      <c r="Y237" s="190" t="str">
        <f>IFERROR( IF(Instructions!$E$11=8, D237&amp;COUNTIF(D$3:D237,D237), IF(Instructions!$E$11=10, H237&amp;COUNTIF(H$3:H237,H237),IF(Instructions!$E$11=12, L237&amp;COUNTIF(L$3:L237,L237),IF(Instructions!$E$11=14, P237&amp;COUNTIF(P$3:P237,P237),T237&amp;COUNTIF(T$3:T237,T237))))),"")</f>
        <v>Devin20</v>
      </c>
      <c r="Z237" s="321">
        <f>IF(Instructions!$E$11=8,IF($D237=Instructions!$F$42,Z236+1,Z236),IF(Instructions!$E$11=10,IF($H237=Instructions!$F$42,Z236+1,Z236),IF(Instructions!$E$11=12,IF($L237=Instructions!$F$42,Z236+1,Z236),IF(Instructions!$E$11=14,IF($P237=Instructions!$F$42,Z236+1,Z236),IF(Instructions!$E$11=16,IF($T237=Instructions!$F$42,Z236+1,Z236))))))</f>
        <v>19</v>
      </c>
      <c r="AA237" s="321" t="str">
        <f t="shared" si="64"/>
        <v>119</v>
      </c>
      <c r="AB237" s="321">
        <f>IF(Instructions!$E$11=8,IF($D237=Instructions!$F$43,AB236+1,AB236),IF(Instructions!$E$11=10,IF($H237=Instructions!$F$43,AB236+1,AB236),IF(Instructions!$E$11=12,IF($L237=Instructions!$F$43,AB236+1,AB236),IF(Instructions!$E$11=14,IF($P237=Instructions!$F$43,AB236+1,AB236),IF(Instructions!$E$11=16,IF($T237=Instructions!$F$43,AB236+1,AB236))))))</f>
        <v>19</v>
      </c>
      <c r="AC237" s="321" t="str">
        <f t="shared" si="65"/>
        <v>219</v>
      </c>
      <c r="AD237" s="321">
        <f>IF(Instructions!$E$11=8,IF($D237=Instructions!$F$44,AD236+1,AD236),IF(Instructions!$E$11=10,IF($H237=Instructions!$F$44,AD236+1,AD236),IF(Instructions!$E$11=12,IF($L237=Instructions!$F$44,AD236+1,AD236),IF(Instructions!$E$11=14,IF($P237=Instructions!$F$44,AD236+1,AD236),IF(Instructions!$E$11=16,IF($T237=Instructions!$F$44,AD236+1,AD236))))))</f>
        <v>19</v>
      </c>
      <c r="AE237" s="321" t="str">
        <f t="shared" si="66"/>
        <v>319</v>
      </c>
      <c r="AF237" s="321">
        <f>IF(Instructions!$E$11=8,IF($D237=Instructions!$F$45,AF236+1,AF236),IF(Instructions!$E$11=10,IF($H237=Instructions!$F$45,AF236+1,AF236),IF(Instructions!$E$11=12,IF($L237=Instructions!$F$45,AF236+1,AF236),IF(Instructions!$E$11=14,IF($P237=Instructions!$F$45,AF236+1,AF236),IF(Instructions!$E$11=16,IF($T237=Instructions!$F$45,AF236+1,AF236))))))</f>
        <v>19</v>
      </c>
      <c r="AG237" s="321" t="str">
        <f t="shared" si="67"/>
        <v>419</v>
      </c>
      <c r="AH237" s="321">
        <f>IF(Instructions!$E$11=8,IF($D237=Instructions!$F$46,AH236+1,AH236),IF(Instructions!$E$11=10,IF($H237=Instructions!$F$46,AH236+1,AH236),IF(Instructions!$E$11=12,IF($L237=Instructions!$F$46,AH236+1,AH236),IF(Instructions!$E$11=14,IF($P237=Instructions!$F$46,AH236+1,AH236),IF(Instructions!$E$11=16,IF($T237=Instructions!$F$46,AH236+1,AH236))))))</f>
        <v>19</v>
      </c>
      <c r="AI237" s="321" t="str">
        <f t="shared" si="68"/>
        <v>519</v>
      </c>
      <c r="AJ237" s="321">
        <f>IF(Instructions!$E$11=8,IF($D237=Instructions!$F$47,AJ236+1,AJ236),IF(Instructions!$E$11=10,IF($H237=Instructions!$F$47,AJ236+1,AJ236),IF(Instructions!$E$11=12,IF($L237=Instructions!$F$47,AJ236+1,AJ236),IF(Instructions!$E$11=14,IF($P237=Instructions!$F$47,AJ236+1,AJ236),IF(Instructions!$E$11=16,IF($T237=Instructions!$F$47,AJ236+1,AJ236))))))</f>
        <v>20</v>
      </c>
      <c r="AK237" s="321" t="str">
        <f t="shared" si="69"/>
        <v>620</v>
      </c>
      <c r="AL237" s="321">
        <f>IF(Instructions!$E$11=8,IF($D237=Instructions!$F$48,AL236+1,AL236),IF(Instructions!$E$11=10,IF($H237=Instructions!$F$48,AL236+1,AL236),IF(Instructions!$E$11=12,IF($L237=Instructions!$F$48,AL236+1,AL236),IF(Instructions!$E$11=14,IF($P237=Instructions!$F$48,AL236+1,AL236),IF(Instructions!$E$11=16,IF($T237=Instructions!$F$48,AL236+1,AL236))))))</f>
        <v>20</v>
      </c>
      <c r="AM237" s="321" t="str">
        <f t="shared" si="70"/>
        <v>720</v>
      </c>
      <c r="AN237" s="321">
        <f>IF(Instructions!$E$11=8,IF($D237=Instructions!$F$49,AN236+1,AN236),IF(Instructions!$E$11=10,IF($H237=Instructions!$F$49,AN236+1,AN236),IF(Instructions!$E$11=12,IF($L237=Instructions!$F$49,AN236+1,AN236),IF(Instructions!$E$11=14,IF($P237=Instructions!$F$49,AN236+1,AN236),IF(Instructions!$E$11=16,IF($T237=Instructions!$F$49,AN236+1,AN236))))))</f>
        <v>20</v>
      </c>
      <c r="AO237" s="321" t="str">
        <f t="shared" si="71"/>
        <v>820</v>
      </c>
      <c r="AP237" s="321">
        <f>IF(Instructions!$E$11=8,IF($D237=Instructions!$F$50,AP236+1,AP236),IF(Instructions!$E$11=10,IF($H237=Instructions!$F$50,AP236+1,AP236),IF(Instructions!$E$11=12,IF($L237=Instructions!$F$50,AP236+1,AP236),IF(Instructions!$E$11=14,IF($P237=Instructions!$F$50,AP236+1,AP236),IF(Instructions!$E$11=16,IF($T237=Instructions!$F$50,AP236+1,AP236))))))</f>
        <v>20</v>
      </c>
      <c r="AQ237" s="321" t="str">
        <f t="shared" si="72"/>
        <v>920</v>
      </c>
      <c r="AR237" s="321">
        <f>IF(Instructions!$E$11=8,IF($D237=Instructions!$F$51,AR236+1,AR236),IF(Instructions!$E$11=10,IF($H237=Instructions!$F$51,AR236+1,AR236),IF(Instructions!$E$11=12,IF($L237=Instructions!$F$51,AR236+1,AR236),IF(Instructions!$E$11=14,IF($P237=Instructions!$F$51,AR236+1,AR236),IF(Instructions!$E$11=16,IF($T237=Instructions!$F$51,AR236+1,AR236))))))</f>
        <v>20</v>
      </c>
      <c r="AS237" s="321" t="str">
        <f t="shared" si="73"/>
        <v>1020</v>
      </c>
      <c r="AT237" s="321">
        <f>IF(Instructions!$E$11=8,IF($D237=Instructions!$F$52,AT236+1,AT236),IF(Instructions!$E$11=10,IF($H237=Instructions!$F$52,AT236+1,AT236),IF(Instructions!$E$11=12,IF($L237=Instructions!$F$52,AT236+1,AT236),IF(Instructions!$E$11=14,IF($P237=Instructions!$F$52,AT236+1,AT236),IF(Instructions!$E$11=16,IF($T237=Instructions!$F$52,AT236+1,AT236))))))</f>
        <v>20</v>
      </c>
      <c r="AU237" s="321" t="str">
        <f t="shared" si="74"/>
        <v>1120</v>
      </c>
      <c r="AV237" s="321">
        <f>IF(Instructions!$E$11=8,IF($D237=Instructions!$F$53,AV236+1,AV236),IF(Instructions!$E$11=10,IF($H237=Instructions!$F$53,AV236+1,AV236),IF(Instructions!$E$11=12,IF($L237=Instructions!$F$53,AV236+1,AV236),IF(Instructions!$E$11=14,IF($P237=Instructions!$F$53,AV236+1,AV236),IF(Instructions!$E$11=16,IF($T237=Instructions!$F$53,AV236+1,AV236))))))</f>
        <v>20</v>
      </c>
      <c r="AW237" s="321" t="str">
        <f t="shared" si="75"/>
        <v>1220</v>
      </c>
      <c r="AX237" s="321">
        <f>IF(Instructions!$E$11=8,IF($D237=Instructions!$F$54,AX236+1,AX236),IF(Instructions!$E$11=10,IF($H237=Instructions!$F$54,AX236+1,AX236),IF(Instructions!$E$11=12,IF($L237=Instructions!$F$54,AX236+1,AX236),IF(Instructions!$E$11=14,IF($P237=Instructions!$F$54,AX236+1,AX236),IF(Instructions!$E$11=16,IF($T237=Instructions!$F$54,AX236+1,AX236))))))</f>
        <v>0</v>
      </c>
      <c r="AY237" s="321" t="str">
        <f t="shared" si="76"/>
        <v>1300</v>
      </c>
      <c r="AZ237" s="321">
        <f>IF(Instructions!$E$11=8,IF($D237=Instructions!$F$55,AZ236+1,AZ236),IF(Instructions!$E$11=10,IF($H237=Instructions!$F$55,AZ236+1,AZ236),IF(Instructions!$E$11=12,IF($L237=Instructions!$F$55,AZ236+1,AZ236),IF(Instructions!$E$11=14,IF($P237=Instructions!$F$55,AZ236+1,AZ236),IF(Instructions!$E$11=16,IF($T237=Instructions!$F$55,AZ236+1,AZ236))))))</f>
        <v>0</v>
      </c>
      <c r="BA237" s="321" t="str">
        <f t="shared" si="77"/>
        <v>1400</v>
      </c>
      <c r="BB237" s="321">
        <f>IF(Instructions!$E$11=8,IF($D237=Instructions!$F$56,BB236+1,BB236),IF(Instructions!$E$11=10,IF($H237=Instructions!$F$56,BB236+1,BB236),IF(Instructions!$E$11=12,IF($L237=Instructions!$F$56,BB236+1,BB236),IF(Instructions!$E$11=14,IF($P237=Instructions!$F$56,BB236+1,BB236),IF(Instructions!$E$11=16,IF($T237=Instructions!$F$56,BB236+1,BB236))))))</f>
        <v>0</v>
      </c>
      <c r="BC237" s="321" t="str">
        <f t="shared" si="62"/>
        <v>1500</v>
      </c>
      <c r="BD237" s="321">
        <f>IF(Instructions!$E$11=8,IF($D237=Instructions!$F$57,BD236+1,BD236),IF(Instructions!$E$11=10,IF($H237=Instructions!$F$57,BD236+1,BD236),IF(Instructions!$E$11=12,IF($L237=Instructions!$F$57,BD236+1,BD236),IF(Instructions!$E$11=14,IF($P237=Instructions!$F$57,BD236+1,BD236),IF(Instructions!$E$11=16,IF($T237=Instructions!$F$57,BD236+1,BD236))))))</f>
        <v>0</v>
      </c>
      <c r="BE237" s="321" t="str">
        <f t="shared" si="63"/>
        <v>1600</v>
      </c>
      <c r="BF237" s="321">
        <v>235</v>
      </c>
    </row>
    <row r="238" spans="1:58" x14ac:dyDescent="0.25">
      <c r="A238" s="280"/>
      <c r="B238" s="323" t="str">
        <f>IF(Instructions!$J$11=1,AA238,IF(Instructions!$J$11=2,AC238,IF(Instructions!$J$11=3,AE238,IF(Instructions!$J$11=4,AG238,IF(Instructions!$J$11=5,AI238,IF(Instructions!$J$11=6,AK238,IF(Instructions!$J$11=7,AM238,IF(Instructions!$J$11=8,AO238,IF(Instructions!$J$11=9,AQ238,IF(Instructions!$J$11=10,AS238,IF(Instructions!$J$11=11,AU238,IF(Instructions!$J$11=12,AW238,IF(Instructions!$J$11=13, AY238, IF(Instructions!$J$11=14,BA238,IF(Instructions!$J$11=15,BC238,BE238)))))))))))))))</f>
        <v>219</v>
      </c>
      <c r="C238" s="272">
        <v>236</v>
      </c>
      <c r="D238" s="281"/>
      <c r="E238" s="282"/>
      <c r="F238" s="281"/>
      <c r="H238" s="294" t="str">
        <f>Instructions!F$46</f>
        <v>Con</v>
      </c>
      <c r="I238" s="274" t="s">
        <v>1525</v>
      </c>
      <c r="J238" s="709"/>
      <c r="K238" s="279">
        <v>24</v>
      </c>
      <c r="L238" s="294" t="str">
        <f>Instructions!F$46</f>
        <v>Con</v>
      </c>
      <c r="M238" s="274" t="s">
        <v>1495</v>
      </c>
      <c r="N238" s="709"/>
      <c r="O238">
        <v>20</v>
      </c>
      <c r="P238" s="294" t="str">
        <f>Instructions!F$53</f>
        <v>Zack</v>
      </c>
      <c r="Q238" s="274" t="s">
        <v>886</v>
      </c>
      <c r="R238" s="709"/>
      <c r="S238" s="279">
        <v>17</v>
      </c>
      <c r="T238" s="327" t="str">
        <f>Instructions!F$53</f>
        <v>Zack</v>
      </c>
      <c r="U238" s="274" t="s">
        <v>886</v>
      </c>
      <c r="V238" s="706"/>
      <c r="W238" s="279">
        <v>15</v>
      </c>
      <c r="X238" s="280"/>
      <c r="Y238" s="190" t="str">
        <f>IFERROR( IF(Instructions!$E$11=8, D238&amp;COUNTIF(D$3:D238,D238), IF(Instructions!$E$11=10, H238&amp;COUNTIF(H$3:H238,H238),IF(Instructions!$E$11=12, L238&amp;COUNTIF(L$3:L238,L238),IF(Instructions!$E$11=14, P238&amp;COUNTIF(P$3:P238,P238),T238&amp;COUNTIF(T$3:T238,T238))))),"")</f>
        <v>Con20</v>
      </c>
      <c r="Z238" s="321">
        <f>IF(Instructions!$E$11=8,IF($D238=Instructions!$F$42,Z237+1,Z237),IF(Instructions!$E$11=10,IF($H238=Instructions!$F$42,Z237+1,Z237),IF(Instructions!$E$11=12,IF($L238=Instructions!$F$42,Z237+1,Z237),IF(Instructions!$E$11=14,IF($P238=Instructions!$F$42,Z237+1,Z237),IF(Instructions!$E$11=16,IF($T238=Instructions!$F$42,Z237+1,Z237))))))</f>
        <v>19</v>
      </c>
      <c r="AA238" s="321" t="str">
        <f t="shared" si="64"/>
        <v>119</v>
      </c>
      <c r="AB238" s="321">
        <f>IF(Instructions!$E$11=8,IF($D238=Instructions!$F$43,AB237+1,AB237),IF(Instructions!$E$11=10,IF($H238=Instructions!$F$43,AB237+1,AB237),IF(Instructions!$E$11=12,IF($L238=Instructions!$F$43,AB237+1,AB237),IF(Instructions!$E$11=14,IF($P238=Instructions!$F$43,AB237+1,AB237),IF(Instructions!$E$11=16,IF($T238=Instructions!$F$43,AB237+1,AB237))))))</f>
        <v>19</v>
      </c>
      <c r="AC238" s="321" t="str">
        <f t="shared" si="65"/>
        <v>219</v>
      </c>
      <c r="AD238" s="321">
        <f>IF(Instructions!$E$11=8,IF($D238=Instructions!$F$44,AD237+1,AD237),IF(Instructions!$E$11=10,IF($H238=Instructions!$F$44,AD237+1,AD237),IF(Instructions!$E$11=12,IF($L238=Instructions!$F$44,AD237+1,AD237),IF(Instructions!$E$11=14,IF($P238=Instructions!$F$44,AD237+1,AD237),IF(Instructions!$E$11=16,IF($T238=Instructions!$F$44,AD237+1,AD237))))))</f>
        <v>19</v>
      </c>
      <c r="AE238" s="321" t="str">
        <f t="shared" si="66"/>
        <v>319</v>
      </c>
      <c r="AF238" s="321">
        <f>IF(Instructions!$E$11=8,IF($D238=Instructions!$F$45,AF237+1,AF237),IF(Instructions!$E$11=10,IF($H238=Instructions!$F$45,AF237+1,AF237),IF(Instructions!$E$11=12,IF($L238=Instructions!$F$45,AF237+1,AF237),IF(Instructions!$E$11=14,IF($P238=Instructions!$F$45,AF237+1,AF237),IF(Instructions!$E$11=16,IF($T238=Instructions!$F$45,AF237+1,AF237))))))</f>
        <v>19</v>
      </c>
      <c r="AG238" s="321" t="str">
        <f t="shared" si="67"/>
        <v>419</v>
      </c>
      <c r="AH238" s="321">
        <f>IF(Instructions!$E$11=8,IF($D238=Instructions!$F$46,AH237+1,AH237),IF(Instructions!$E$11=10,IF($H238=Instructions!$F$46,AH237+1,AH237),IF(Instructions!$E$11=12,IF($L238=Instructions!$F$46,AH237+1,AH237),IF(Instructions!$E$11=14,IF($P238=Instructions!$F$46,AH237+1,AH237),IF(Instructions!$E$11=16,IF($T238=Instructions!$F$46,AH237+1,AH237))))))</f>
        <v>20</v>
      </c>
      <c r="AI238" s="321" t="str">
        <f t="shared" si="68"/>
        <v>520</v>
      </c>
      <c r="AJ238" s="321">
        <f>IF(Instructions!$E$11=8,IF($D238=Instructions!$F$47,AJ237+1,AJ237),IF(Instructions!$E$11=10,IF($H238=Instructions!$F$47,AJ237+1,AJ237),IF(Instructions!$E$11=12,IF($L238=Instructions!$F$47,AJ237+1,AJ237),IF(Instructions!$E$11=14,IF($P238=Instructions!$F$47,AJ237+1,AJ237),IF(Instructions!$E$11=16,IF($T238=Instructions!$F$47,AJ237+1,AJ237))))))</f>
        <v>20</v>
      </c>
      <c r="AK238" s="321" t="str">
        <f t="shared" si="69"/>
        <v>620</v>
      </c>
      <c r="AL238" s="321">
        <f>IF(Instructions!$E$11=8,IF($D238=Instructions!$F$48,AL237+1,AL237),IF(Instructions!$E$11=10,IF($H238=Instructions!$F$48,AL237+1,AL237),IF(Instructions!$E$11=12,IF($L238=Instructions!$F$48,AL237+1,AL237),IF(Instructions!$E$11=14,IF($P238=Instructions!$F$48,AL237+1,AL237),IF(Instructions!$E$11=16,IF($T238=Instructions!$F$48,AL237+1,AL237))))))</f>
        <v>20</v>
      </c>
      <c r="AM238" s="321" t="str">
        <f t="shared" si="70"/>
        <v>720</v>
      </c>
      <c r="AN238" s="321">
        <f>IF(Instructions!$E$11=8,IF($D238=Instructions!$F$49,AN237+1,AN237),IF(Instructions!$E$11=10,IF($H238=Instructions!$F$49,AN237+1,AN237),IF(Instructions!$E$11=12,IF($L238=Instructions!$F$49,AN237+1,AN237),IF(Instructions!$E$11=14,IF($P238=Instructions!$F$49,AN237+1,AN237),IF(Instructions!$E$11=16,IF($T238=Instructions!$F$49,AN237+1,AN237))))))</f>
        <v>20</v>
      </c>
      <c r="AO238" s="321" t="str">
        <f t="shared" si="71"/>
        <v>820</v>
      </c>
      <c r="AP238" s="321">
        <f>IF(Instructions!$E$11=8,IF($D238=Instructions!$F$50,AP237+1,AP237),IF(Instructions!$E$11=10,IF($H238=Instructions!$F$50,AP237+1,AP237),IF(Instructions!$E$11=12,IF($L238=Instructions!$F$50,AP237+1,AP237),IF(Instructions!$E$11=14,IF($P238=Instructions!$F$50,AP237+1,AP237),IF(Instructions!$E$11=16,IF($T238=Instructions!$F$50,AP237+1,AP237))))))</f>
        <v>20</v>
      </c>
      <c r="AQ238" s="321" t="str">
        <f t="shared" si="72"/>
        <v>920</v>
      </c>
      <c r="AR238" s="321">
        <f>IF(Instructions!$E$11=8,IF($D238=Instructions!$F$51,AR237+1,AR237),IF(Instructions!$E$11=10,IF($H238=Instructions!$F$51,AR237+1,AR237),IF(Instructions!$E$11=12,IF($L238=Instructions!$F$51,AR237+1,AR237),IF(Instructions!$E$11=14,IF($P238=Instructions!$F$51,AR237+1,AR237),IF(Instructions!$E$11=16,IF($T238=Instructions!$F$51,AR237+1,AR237))))))</f>
        <v>20</v>
      </c>
      <c r="AS238" s="321" t="str">
        <f t="shared" si="73"/>
        <v>1020</v>
      </c>
      <c r="AT238" s="321">
        <f>IF(Instructions!$E$11=8,IF($D238=Instructions!$F$52,AT237+1,AT237),IF(Instructions!$E$11=10,IF($H238=Instructions!$F$52,AT237+1,AT237),IF(Instructions!$E$11=12,IF($L238=Instructions!$F$52,AT237+1,AT237),IF(Instructions!$E$11=14,IF($P238=Instructions!$F$52,AT237+1,AT237),IF(Instructions!$E$11=16,IF($T238=Instructions!$F$52,AT237+1,AT237))))))</f>
        <v>20</v>
      </c>
      <c r="AU238" s="321" t="str">
        <f t="shared" si="74"/>
        <v>1120</v>
      </c>
      <c r="AV238" s="321">
        <f>IF(Instructions!$E$11=8,IF($D238=Instructions!$F$53,AV237+1,AV237),IF(Instructions!$E$11=10,IF($H238=Instructions!$F$53,AV237+1,AV237),IF(Instructions!$E$11=12,IF($L238=Instructions!$F$53,AV237+1,AV237),IF(Instructions!$E$11=14,IF($P238=Instructions!$F$53,AV237+1,AV237),IF(Instructions!$E$11=16,IF($T238=Instructions!$F$53,AV237+1,AV237))))))</f>
        <v>20</v>
      </c>
      <c r="AW238" s="321" t="str">
        <f t="shared" si="75"/>
        <v>1220</v>
      </c>
      <c r="AX238" s="321">
        <f>IF(Instructions!$E$11=8,IF($D238=Instructions!$F$54,AX237+1,AX237),IF(Instructions!$E$11=10,IF($H238=Instructions!$F$54,AX237+1,AX237),IF(Instructions!$E$11=12,IF($L238=Instructions!$F$54,AX237+1,AX237),IF(Instructions!$E$11=14,IF($P238=Instructions!$F$54,AX237+1,AX237),IF(Instructions!$E$11=16,IF($T238=Instructions!$F$54,AX237+1,AX237))))))</f>
        <v>0</v>
      </c>
      <c r="AY238" s="321" t="str">
        <f t="shared" si="76"/>
        <v>1300</v>
      </c>
      <c r="AZ238" s="321">
        <f>IF(Instructions!$E$11=8,IF($D238=Instructions!$F$55,AZ237+1,AZ237),IF(Instructions!$E$11=10,IF($H238=Instructions!$F$55,AZ237+1,AZ237),IF(Instructions!$E$11=12,IF($L238=Instructions!$F$55,AZ237+1,AZ237),IF(Instructions!$E$11=14,IF($P238=Instructions!$F$55,AZ237+1,AZ237),IF(Instructions!$E$11=16,IF($T238=Instructions!$F$55,AZ237+1,AZ237))))))</f>
        <v>0</v>
      </c>
      <c r="BA238" s="321" t="str">
        <f t="shared" si="77"/>
        <v>1400</v>
      </c>
      <c r="BB238" s="321">
        <f>IF(Instructions!$E$11=8,IF($D238=Instructions!$F$56,BB237+1,BB237),IF(Instructions!$E$11=10,IF($H238=Instructions!$F$56,BB237+1,BB237),IF(Instructions!$E$11=12,IF($L238=Instructions!$F$56,BB237+1,BB237),IF(Instructions!$E$11=14,IF($P238=Instructions!$F$56,BB237+1,BB237),IF(Instructions!$E$11=16,IF($T238=Instructions!$F$56,BB237+1,BB237))))))</f>
        <v>0</v>
      </c>
      <c r="BC238" s="321" t="str">
        <f t="shared" si="62"/>
        <v>1500</v>
      </c>
      <c r="BD238" s="321">
        <f>IF(Instructions!$E$11=8,IF($D238=Instructions!$F$57,BD237+1,BD237),IF(Instructions!$E$11=10,IF($H238=Instructions!$F$57,BD237+1,BD237),IF(Instructions!$E$11=12,IF($L238=Instructions!$F$57,BD237+1,BD237),IF(Instructions!$E$11=14,IF($P238=Instructions!$F$57,BD237+1,BD237),IF(Instructions!$E$11=16,IF($T238=Instructions!$F$57,BD237+1,BD237))))))</f>
        <v>0</v>
      </c>
      <c r="BE238" s="321" t="str">
        <f t="shared" si="63"/>
        <v>1600</v>
      </c>
      <c r="BF238" s="321">
        <v>236</v>
      </c>
    </row>
    <row r="239" spans="1:58" x14ac:dyDescent="0.25">
      <c r="A239" s="280"/>
      <c r="B239" s="323" t="str">
        <f>IF(Instructions!$J$11=1,AA239,IF(Instructions!$J$11=2,AC239,IF(Instructions!$J$11=3,AE239,IF(Instructions!$J$11=4,AG239,IF(Instructions!$J$11=5,AI239,IF(Instructions!$J$11=6,AK239,IF(Instructions!$J$11=7,AM239,IF(Instructions!$J$11=8,AO239,IF(Instructions!$J$11=9,AQ239,IF(Instructions!$J$11=10,AS239,IF(Instructions!$J$11=11,AU239,IF(Instructions!$J$11=12,AW239,IF(Instructions!$J$11=13, AY239, IF(Instructions!$J$11=14,BA239,IF(Instructions!$J$11=15,BC239,BE239)))))))))))))))</f>
        <v>219</v>
      </c>
      <c r="C239" s="271">
        <v>237</v>
      </c>
      <c r="D239" s="281"/>
      <c r="E239" s="282"/>
      <c r="F239" s="281"/>
      <c r="H239" s="293" t="str">
        <f>Instructions!F$45</f>
        <v>Miles</v>
      </c>
      <c r="I239" s="273" t="s">
        <v>1526</v>
      </c>
      <c r="J239" s="709"/>
      <c r="K239" s="279">
        <v>24</v>
      </c>
      <c r="L239" s="293" t="str">
        <f>Instructions!F$45</f>
        <v>Miles</v>
      </c>
      <c r="M239" s="273" t="s">
        <v>1542</v>
      </c>
      <c r="N239" s="709"/>
      <c r="O239">
        <v>20</v>
      </c>
      <c r="P239" s="293" t="str">
        <f>Instructions!F$54</f>
        <v>[TEAM 13]</v>
      </c>
      <c r="Q239" s="273" t="s">
        <v>956</v>
      </c>
      <c r="R239" s="709"/>
      <c r="S239" s="279">
        <v>17</v>
      </c>
      <c r="T239" s="328" t="str">
        <f>Instructions!F$54</f>
        <v>[TEAM 13]</v>
      </c>
      <c r="U239" s="273" t="s">
        <v>956</v>
      </c>
      <c r="V239" s="706"/>
      <c r="W239" s="279">
        <v>15</v>
      </c>
      <c r="X239" s="280"/>
      <c r="Y239" s="190" t="str">
        <f>IFERROR( IF(Instructions!$E$11=8, D239&amp;COUNTIF(D$3:D239,D239), IF(Instructions!$E$11=10, H239&amp;COUNTIF(H$3:H239,H239),IF(Instructions!$E$11=12, L239&amp;COUNTIF(L$3:L239,L239),IF(Instructions!$E$11=14, P239&amp;COUNTIF(P$3:P239,P239),T239&amp;COUNTIF(T$3:T239,T239))))),"")</f>
        <v>Miles20</v>
      </c>
      <c r="Z239" s="321">
        <f>IF(Instructions!$E$11=8,IF($D239=Instructions!$F$42,Z238+1,Z238),IF(Instructions!$E$11=10,IF($H239=Instructions!$F$42,Z238+1,Z238),IF(Instructions!$E$11=12,IF($L239=Instructions!$F$42,Z238+1,Z238),IF(Instructions!$E$11=14,IF($P239=Instructions!$F$42,Z238+1,Z238),IF(Instructions!$E$11=16,IF($T239=Instructions!$F$42,Z238+1,Z238))))))</f>
        <v>19</v>
      </c>
      <c r="AA239" s="321" t="str">
        <f t="shared" si="64"/>
        <v>119</v>
      </c>
      <c r="AB239" s="321">
        <f>IF(Instructions!$E$11=8,IF($D239=Instructions!$F$43,AB238+1,AB238),IF(Instructions!$E$11=10,IF($H239=Instructions!$F$43,AB238+1,AB238),IF(Instructions!$E$11=12,IF($L239=Instructions!$F$43,AB238+1,AB238),IF(Instructions!$E$11=14,IF($P239=Instructions!$F$43,AB238+1,AB238),IF(Instructions!$E$11=16,IF($T239=Instructions!$F$43,AB238+1,AB238))))))</f>
        <v>19</v>
      </c>
      <c r="AC239" s="321" t="str">
        <f t="shared" si="65"/>
        <v>219</v>
      </c>
      <c r="AD239" s="321">
        <f>IF(Instructions!$E$11=8,IF($D239=Instructions!$F$44,AD238+1,AD238),IF(Instructions!$E$11=10,IF($H239=Instructions!$F$44,AD238+1,AD238),IF(Instructions!$E$11=12,IF($L239=Instructions!$F$44,AD238+1,AD238),IF(Instructions!$E$11=14,IF($P239=Instructions!$F$44,AD238+1,AD238),IF(Instructions!$E$11=16,IF($T239=Instructions!$F$44,AD238+1,AD238))))))</f>
        <v>19</v>
      </c>
      <c r="AE239" s="321" t="str">
        <f t="shared" si="66"/>
        <v>319</v>
      </c>
      <c r="AF239" s="321">
        <f>IF(Instructions!$E$11=8,IF($D239=Instructions!$F$45,AF238+1,AF238),IF(Instructions!$E$11=10,IF($H239=Instructions!$F$45,AF238+1,AF238),IF(Instructions!$E$11=12,IF($L239=Instructions!$F$45,AF238+1,AF238),IF(Instructions!$E$11=14,IF($P239=Instructions!$F$45,AF238+1,AF238),IF(Instructions!$E$11=16,IF($T239=Instructions!$F$45,AF238+1,AF238))))))</f>
        <v>20</v>
      </c>
      <c r="AG239" s="321" t="str">
        <f t="shared" si="67"/>
        <v>420</v>
      </c>
      <c r="AH239" s="321">
        <f>IF(Instructions!$E$11=8,IF($D239=Instructions!$F$46,AH238+1,AH238),IF(Instructions!$E$11=10,IF($H239=Instructions!$F$46,AH238+1,AH238),IF(Instructions!$E$11=12,IF($L239=Instructions!$F$46,AH238+1,AH238),IF(Instructions!$E$11=14,IF($P239=Instructions!$F$46,AH238+1,AH238),IF(Instructions!$E$11=16,IF($T239=Instructions!$F$46,AH238+1,AH238))))))</f>
        <v>20</v>
      </c>
      <c r="AI239" s="321" t="str">
        <f t="shared" si="68"/>
        <v>520</v>
      </c>
      <c r="AJ239" s="321">
        <f>IF(Instructions!$E$11=8,IF($D239=Instructions!$F$47,AJ238+1,AJ238),IF(Instructions!$E$11=10,IF($H239=Instructions!$F$47,AJ238+1,AJ238),IF(Instructions!$E$11=12,IF($L239=Instructions!$F$47,AJ238+1,AJ238),IF(Instructions!$E$11=14,IF($P239=Instructions!$F$47,AJ238+1,AJ238),IF(Instructions!$E$11=16,IF($T239=Instructions!$F$47,AJ238+1,AJ238))))))</f>
        <v>20</v>
      </c>
      <c r="AK239" s="321" t="str">
        <f t="shared" si="69"/>
        <v>620</v>
      </c>
      <c r="AL239" s="321">
        <f>IF(Instructions!$E$11=8,IF($D239=Instructions!$F$48,AL238+1,AL238),IF(Instructions!$E$11=10,IF($H239=Instructions!$F$48,AL238+1,AL238),IF(Instructions!$E$11=12,IF($L239=Instructions!$F$48,AL238+1,AL238),IF(Instructions!$E$11=14,IF($P239=Instructions!$F$48,AL238+1,AL238),IF(Instructions!$E$11=16,IF($T239=Instructions!$F$48,AL238+1,AL238))))))</f>
        <v>20</v>
      </c>
      <c r="AM239" s="321" t="str">
        <f t="shared" si="70"/>
        <v>720</v>
      </c>
      <c r="AN239" s="321">
        <f>IF(Instructions!$E$11=8,IF($D239=Instructions!$F$49,AN238+1,AN238),IF(Instructions!$E$11=10,IF($H239=Instructions!$F$49,AN238+1,AN238),IF(Instructions!$E$11=12,IF($L239=Instructions!$F$49,AN238+1,AN238),IF(Instructions!$E$11=14,IF($P239=Instructions!$F$49,AN238+1,AN238),IF(Instructions!$E$11=16,IF($T239=Instructions!$F$49,AN238+1,AN238))))))</f>
        <v>20</v>
      </c>
      <c r="AO239" s="321" t="str">
        <f t="shared" si="71"/>
        <v>820</v>
      </c>
      <c r="AP239" s="321">
        <f>IF(Instructions!$E$11=8,IF($D239=Instructions!$F$50,AP238+1,AP238),IF(Instructions!$E$11=10,IF($H239=Instructions!$F$50,AP238+1,AP238),IF(Instructions!$E$11=12,IF($L239=Instructions!$F$50,AP238+1,AP238),IF(Instructions!$E$11=14,IF($P239=Instructions!$F$50,AP238+1,AP238),IF(Instructions!$E$11=16,IF($T239=Instructions!$F$50,AP238+1,AP238))))))</f>
        <v>20</v>
      </c>
      <c r="AQ239" s="321" t="str">
        <f t="shared" si="72"/>
        <v>920</v>
      </c>
      <c r="AR239" s="321">
        <f>IF(Instructions!$E$11=8,IF($D239=Instructions!$F$51,AR238+1,AR238),IF(Instructions!$E$11=10,IF($H239=Instructions!$F$51,AR238+1,AR238),IF(Instructions!$E$11=12,IF($L239=Instructions!$F$51,AR238+1,AR238),IF(Instructions!$E$11=14,IF($P239=Instructions!$F$51,AR238+1,AR238),IF(Instructions!$E$11=16,IF($T239=Instructions!$F$51,AR238+1,AR238))))))</f>
        <v>20</v>
      </c>
      <c r="AS239" s="321" t="str">
        <f t="shared" si="73"/>
        <v>1020</v>
      </c>
      <c r="AT239" s="321">
        <f>IF(Instructions!$E$11=8,IF($D239=Instructions!$F$52,AT238+1,AT238),IF(Instructions!$E$11=10,IF($H239=Instructions!$F$52,AT238+1,AT238),IF(Instructions!$E$11=12,IF($L239=Instructions!$F$52,AT238+1,AT238),IF(Instructions!$E$11=14,IF($P239=Instructions!$F$52,AT238+1,AT238),IF(Instructions!$E$11=16,IF($T239=Instructions!$F$52,AT238+1,AT238))))))</f>
        <v>20</v>
      </c>
      <c r="AU239" s="321" t="str">
        <f t="shared" si="74"/>
        <v>1120</v>
      </c>
      <c r="AV239" s="321">
        <f>IF(Instructions!$E$11=8,IF($D239=Instructions!$F$53,AV238+1,AV238),IF(Instructions!$E$11=10,IF($H239=Instructions!$F$53,AV238+1,AV238),IF(Instructions!$E$11=12,IF($L239=Instructions!$F$53,AV238+1,AV238),IF(Instructions!$E$11=14,IF($P239=Instructions!$F$53,AV238+1,AV238),IF(Instructions!$E$11=16,IF($T239=Instructions!$F$53,AV238+1,AV238))))))</f>
        <v>20</v>
      </c>
      <c r="AW239" s="321" t="str">
        <f t="shared" si="75"/>
        <v>1220</v>
      </c>
      <c r="AX239" s="321">
        <f>IF(Instructions!$E$11=8,IF($D239=Instructions!$F$54,AX238+1,AX238),IF(Instructions!$E$11=10,IF($H239=Instructions!$F$54,AX238+1,AX238),IF(Instructions!$E$11=12,IF($L239=Instructions!$F$54,AX238+1,AX238),IF(Instructions!$E$11=14,IF($P239=Instructions!$F$54,AX238+1,AX238),IF(Instructions!$E$11=16,IF($T239=Instructions!$F$54,AX238+1,AX238))))))</f>
        <v>0</v>
      </c>
      <c r="AY239" s="321" t="str">
        <f t="shared" si="76"/>
        <v>1300</v>
      </c>
      <c r="AZ239" s="321">
        <f>IF(Instructions!$E$11=8,IF($D239=Instructions!$F$55,AZ238+1,AZ238),IF(Instructions!$E$11=10,IF($H239=Instructions!$F$55,AZ238+1,AZ238),IF(Instructions!$E$11=12,IF($L239=Instructions!$F$55,AZ238+1,AZ238),IF(Instructions!$E$11=14,IF($P239=Instructions!$F$55,AZ238+1,AZ238),IF(Instructions!$E$11=16,IF($T239=Instructions!$F$55,AZ238+1,AZ238))))))</f>
        <v>0</v>
      </c>
      <c r="BA239" s="321" t="str">
        <f t="shared" si="77"/>
        <v>1400</v>
      </c>
      <c r="BB239" s="321">
        <f>IF(Instructions!$E$11=8,IF($D239=Instructions!$F$56,BB238+1,BB238),IF(Instructions!$E$11=10,IF($H239=Instructions!$F$56,BB238+1,BB238),IF(Instructions!$E$11=12,IF($L239=Instructions!$F$56,BB238+1,BB238),IF(Instructions!$E$11=14,IF($P239=Instructions!$F$56,BB238+1,BB238),IF(Instructions!$E$11=16,IF($T239=Instructions!$F$56,BB238+1,BB238))))))</f>
        <v>0</v>
      </c>
      <c r="BC239" s="321" t="str">
        <f t="shared" si="62"/>
        <v>1500</v>
      </c>
      <c r="BD239" s="321">
        <f>IF(Instructions!$E$11=8,IF($D239=Instructions!$F$57,BD238+1,BD238),IF(Instructions!$E$11=10,IF($H239=Instructions!$F$57,BD238+1,BD238),IF(Instructions!$E$11=12,IF($L239=Instructions!$F$57,BD238+1,BD238),IF(Instructions!$E$11=14,IF($P239=Instructions!$F$57,BD238+1,BD238),IF(Instructions!$E$11=16,IF($T239=Instructions!$F$57,BD238+1,BD238))))))</f>
        <v>0</v>
      </c>
      <c r="BE239" s="321" t="str">
        <f t="shared" si="63"/>
        <v>1600</v>
      </c>
      <c r="BF239" s="321">
        <v>237</v>
      </c>
    </row>
    <row r="240" spans="1:58" ht="15.75" thickBot="1" x14ac:dyDescent="0.3">
      <c r="A240" s="280"/>
      <c r="B240" s="323" t="str">
        <f>IF(Instructions!$J$11=1,AA240,IF(Instructions!$J$11=2,AC240,IF(Instructions!$J$11=3,AE240,IF(Instructions!$J$11=4,AG240,IF(Instructions!$J$11=5,AI240,IF(Instructions!$J$11=6,AK240,IF(Instructions!$J$11=7,AM240,IF(Instructions!$J$11=8,AO240,IF(Instructions!$J$11=9,AQ240,IF(Instructions!$J$11=10,AS240,IF(Instructions!$J$11=11,AU240,IF(Instructions!$J$11=12,AW240,IF(Instructions!$J$11=13, AY240, IF(Instructions!$J$11=14,BA240,IF(Instructions!$J$11=15,BC240,BE240)))))))))))))))</f>
        <v>219</v>
      </c>
      <c r="C240" s="272">
        <v>238</v>
      </c>
      <c r="D240" s="281"/>
      <c r="E240" s="282"/>
      <c r="F240" s="281"/>
      <c r="H240" s="294" t="str">
        <f>Instructions!F$44</f>
        <v>Cam</v>
      </c>
      <c r="I240" s="274" t="s">
        <v>1527</v>
      </c>
      <c r="J240" s="709"/>
      <c r="K240" s="279">
        <v>24</v>
      </c>
      <c r="L240" s="294" t="str">
        <f>Instructions!F$44</f>
        <v>Cam</v>
      </c>
      <c r="M240" s="274" t="s">
        <v>1543</v>
      </c>
      <c r="N240" s="709"/>
      <c r="O240">
        <v>20</v>
      </c>
      <c r="P240" s="295" t="str">
        <f>Instructions!F$55</f>
        <v>[TEAM 14]</v>
      </c>
      <c r="Q240" s="277" t="s">
        <v>957</v>
      </c>
      <c r="R240" s="710"/>
      <c r="S240" s="279">
        <v>17</v>
      </c>
      <c r="T240" s="327" t="str">
        <f>Instructions!F$55</f>
        <v>[TEAM 14]</v>
      </c>
      <c r="U240" s="274" t="s">
        <v>957</v>
      </c>
      <c r="V240" s="706"/>
      <c r="W240" s="279">
        <v>15</v>
      </c>
      <c r="X240" s="280"/>
      <c r="Y240" s="190" t="str">
        <f>IFERROR( IF(Instructions!$E$11=8, D240&amp;COUNTIF(D$3:D240,D240), IF(Instructions!$E$11=10, H240&amp;COUNTIF(H$3:H240,H240),IF(Instructions!$E$11=12, L240&amp;COUNTIF(L$3:L240,L240),IF(Instructions!$E$11=14, P240&amp;COUNTIF(P$3:P240,P240),T240&amp;COUNTIF(T$3:T240,T240))))),"")</f>
        <v>Cam20</v>
      </c>
      <c r="Z240" s="321">
        <f>IF(Instructions!$E$11=8,IF($D240=Instructions!$F$42,Z239+1,Z239),IF(Instructions!$E$11=10,IF($H240=Instructions!$F$42,Z239+1,Z239),IF(Instructions!$E$11=12,IF($L240=Instructions!$F$42,Z239+1,Z239),IF(Instructions!$E$11=14,IF($P240=Instructions!$F$42,Z239+1,Z239),IF(Instructions!$E$11=16,IF($T240=Instructions!$F$42,Z239+1,Z239))))))</f>
        <v>19</v>
      </c>
      <c r="AA240" s="321" t="str">
        <f t="shared" si="64"/>
        <v>119</v>
      </c>
      <c r="AB240" s="321">
        <f>IF(Instructions!$E$11=8,IF($D240=Instructions!$F$43,AB239+1,AB239),IF(Instructions!$E$11=10,IF($H240=Instructions!$F$43,AB239+1,AB239),IF(Instructions!$E$11=12,IF($L240=Instructions!$F$43,AB239+1,AB239),IF(Instructions!$E$11=14,IF($P240=Instructions!$F$43,AB239+1,AB239),IF(Instructions!$E$11=16,IF($T240=Instructions!$F$43,AB239+1,AB239))))))</f>
        <v>19</v>
      </c>
      <c r="AC240" s="321" t="str">
        <f t="shared" si="65"/>
        <v>219</v>
      </c>
      <c r="AD240" s="321">
        <f>IF(Instructions!$E$11=8,IF($D240=Instructions!$F$44,AD239+1,AD239),IF(Instructions!$E$11=10,IF($H240=Instructions!$F$44,AD239+1,AD239),IF(Instructions!$E$11=12,IF($L240=Instructions!$F$44,AD239+1,AD239),IF(Instructions!$E$11=14,IF($P240=Instructions!$F$44,AD239+1,AD239),IF(Instructions!$E$11=16,IF($T240=Instructions!$F$44,AD239+1,AD239))))))</f>
        <v>20</v>
      </c>
      <c r="AE240" s="321" t="str">
        <f t="shared" si="66"/>
        <v>320</v>
      </c>
      <c r="AF240" s="321">
        <f>IF(Instructions!$E$11=8,IF($D240=Instructions!$F$45,AF239+1,AF239),IF(Instructions!$E$11=10,IF($H240=Instructions!$F$45,AF239+1,AF239),IF(Instructions!$E$11=12,IF($L240=Instructions!$F$45,AF239+1,AF239),IF(Instructions!$E$11=14,IF($P240=Instructions!$F$45,AF239+1,AF239),IF(Instructions!$E$11=16,IF($T240=Instructions!$F$45,AF239+1,AF239))))))</f>
        <v>20</v>
      </c>
      <c r="AG240" s="321" t="str">
        <f t="shared" si="67"/>
        <v>420</v>
      </c>
      <c r="AH240" s="321">
        <f>IF(Instructions!$E$11=8,IF($D240=Instructions!$F$46,AH239+1,AH239),IF(Instructions!$E$11=10,IF($H240=Instructions!$F$46,AH239+1,AH239),IF(Instructions!$E$11=12,IF($L240=Instructions!$F$46,AH239+1,AH239),IF(Instructions!$E$11=14,IF($P240=Instructions!$F$46,AH239+1,AH239),IF(Instructions!$E$11=16,IF($T240=Instructions!$F$46,AH239+1,AH239))))))</f>
        <v>20</v>
      </c>
      <c r="AI240" s="321" t="str">
        <f t="shared" si="68"/>
        <v>520</v>
      </c>
      <c r="AJ240" s="321">
        <f>IF(Instructions!$E$11=8,IF($D240=Instructions!$F$47,AJ239+1,AJ239),IF(Instructions!$E$11=10,IF($H240=Instructions!$F$47,AJ239+1,AJ239),IF(Instructions!$E$11=12,IF($L240=Instructions!$F$47,AJ239+1,AJ239),IF(Instructions!$E$11=14,IF($P240=Instructions!$F$47,AJ239+1,AJ239),IF(Instructions!$E$11=16,IF($T240=Instructions!$F$47,AJ239+1,AJ239))))))</f>
        <v>20</v>
      </c>
      <c r="AK240" s="321" t="str">
        <f t="shared" si="69"/>
        <v>620</v>
      </c>
      <c r="AL240" s="321">
        <f>IF(Instructions!$E$11=8,IF($D240=Instructions!$F$48,AL239+1,AL239),IF(Instructions!$E$11=10,IF($H240=Instructions!$F$48,AL239+1,AL239),IF(Instructions!$E$11=12,IF($L240=Instructions!$F$48,AL239+1,AL239),IF(Instructions!$E$11=14,IF($P240=Instructions!$F$48,AL239+1,AL239),IF(Instructions!$E$11=16,IF($T240=Instructions!$F$48,AL239+1,AL239))))))</f>
        <v>20</v>
      </c>
      <c r="AM240" s="321" t="str">
        <f t="shared" si="70"/>
        <v>720</v>
      </c>
      <c r="AN240" s="321">
        <f>IF(Instructions!$E$11=8,IF($D240=Instructions!$F$49,AN239+1,AN239),IF(Instructions!$E$11=10,IF($H240=Instructions!$F$49,AN239+1,AN239),IF(Instructions!$E$11=12,IF($L240=Instructions!$F$49,AN239+1,AN239),IF(Instructions!$E$11=14,IF($P240=Instructions!$F$49,AN239+1,AN239),IF(Instructions!$E$11=16,IF($T240=Instructions!$F$49,AN239+1,AN239))))))</f>
        <v>20</v>
      </c>
      <c r="AO240" s="321" t="str">
        <f t="shared" si="71"/>
        <v>820</v>
      </c>
      <c r="AP240" s="321">
        <f>IF(Instructions!$E$11=8,IF($D240=Instructions!$F$50,AP239+1,AP239),IF(Instructions!$E$11=10,IF($H240=Instructions!$F$50,AP239+1,AP239),IF(Instructions!$E$11=12,IF($L240=Instructions!$F$50,AP239+1,AP239),IF(Instructions!$E$11=14,IF($P240=Instructions!$F$50,AP239+1,AP239),IF(Instructions!$E$11=16,IF($T240=Instructions!$F$50,AP239+1,AP239))))))</f>
        <v>20</v>
      </c>
      <c r="AQ240" s="321" t="str">
        <f t="shared" si="72"/>
        <v>920</v>
      </c>
      <c r="AR240" s="321">
        <f>IF(Instructions!$E$11=8,IF($D240=Instructions!$F$51,AR239+1,AR239),IF(Instructions!$E$11=10,IF($H240=Instructions!$F$51,AR239+1,AR239),IF(Instructions!$E$11=12,IF($L240=Instructions!$F$51,AR239+1,AR239),IF(Instructions!$E$11=14,IF($P240=Instructions!$F$51,AR239+1,AR239),IF(Instructions!$E$11=16,IF($T240=Instructions!$F$51,AR239+1,AR239))))))</f>
        <v>20</v>
      </c>
      <c r="AS240" s="321" t="str">
        <f t="shared" si="73"/>
        <v>1020</v>
      </c>
      <c r="AT240" s="321">
        <f>IF(Instructions!$E$11=8,IF($D240=Instructions!$F$52,AT239+1,AT239),IF(Instructions!$E$11=10,IF($H240=Instructions!$F$52,AT239+1,AT239),IF(Instructions!$E$11=12,IF($L240=Instructions!$F$52,AT239+1,AT239),IF(Instructions!$E$11=14,IF($P240=Instructions!$F$52,AT239+1,AT239),IF(Instructions!$E$11=16,IF($T240=Instructions!$F$52,AT239+1,AT239))))))</f>
        <v>20</v>
      </c>
      <c r="AU240" s="321" t="str">
        <f t="shared" si="74"/>
        <v>1120</v>
      </c>
      <c r="AV240" s="321">
        <f>IF(Instructions!$E$11=8,IF($D240=Instructions!$F$53,AV239+1,AV239),IF(Instructions!$E$11=10,IF($H240=Instructions!$F$53,AV239+1,AV239),IF(Instructions!$E$11=12,IF($L240=Instructions!$F$53,AV239+1,AV239),IF(Instructions!$E$11=14,IF($P240=Instructions!$F$53,AV239+1,AV239),IF(Instructions!$E$11=16,IF($T240=Instructions!$F$53,AV239+1,AV239))))))</f>
        <v>20</v>
      </c>
      <c r="AW240" s="321" t="str">
        <f t="shared" si="75"/>
        <v>1220</v>
      </c>
      <c r="AX240" s="321">
        <f>IF(Instructions!$E$11=8,IF($D240=Instructions!$F$54,AX239+1,AX239),IF(Instructions!$E$11=10,IF($H240=Instructions!$F$54,AX239+1,AX239),IF(Instructions!$E$11=12,IF($L240=Instructions!$F$54,AX239+1,AX239),IF(Instructions!$E$11=14,IF($P240=Instructions!$F$54,AX239+1,AX239),IF(Instructions!$E$11=16,IF($T240=Instructions!$F$54,AX239+1,AX239))))))</f>
        <v>0</v>
      </c>
      <c r="AY240" s="321" t="str">
        <f t="shared" si="76"/>
        <v>1300</v>
      </c>
      <c r="AZ240" s="321">
        <f>IF(Instructions!$E$11=8,IF($D240=Instructions!$F$55,AZ239+1,AZ239),IF(Instructions!$E$11=10,IF($H240=Instructions!$F$55,AZ239+1,AZ239),IF(Instructions!$E$11=12,IF($L240=Instructions!$F$55,AZ239+1,AZ239),IF(Instructions!$E$11=14,IF($P240=Instructions!$F$55,AZ239+1,AZ239),IF(Instructions!$E$11=16,IF($T240=Instructions!$F$55,AZ239+1,AZ239))))))</f>
        <v>0</v>
      </c>
      <c r="BA240" s="321" t="str">
        <f t="shared" si="77"/>
        <v>1400</v>
      </c>
      <c r="BB240" s="321">
        <f>IF(Instructions!$E$11=8,IF($D240=Instructions!$F$56,BB239+1,BB239),IF(Instructions!$E$11=10,IF($H240=Instructions!$F$56,BB239+1,BB239),IF(Instructions!$E$11=12,IF($L240=Instructions!$F$56,BB239+1,BB239),IF(Instructions!$E$11=14,IF($P240=Instructions!$F$56,BB239+1,BB239),IF(Instructions!$E$11=16,IF($T240=Instructions!$F$56,BB239+1,BB239))))))</f>
        <v>0</v>
      </c>
      <c r="BC240" s="321" t="str">
        <f t="shared" si="62"/>
        <v>1500</v>
      </c>
      <c r="BD240" s="321">
        <f>IF(Instructions!$E$11=8,IF($D240=Instructions!$F$57,BD239+1,BD239),IF(Instructions!$E$11=10,IF($H240=Instructions!$F$57,BD239+1,BD239),IF(Instructions!$E$11=12,IF($L240=Instructions!$F$57,BD239+1,BD239),IF(Instructions!$E$11=14,IF($P240=Instructions!$F$57,BD239+1,BD239),IF(Instructions!$E$11=16,IF($T240=Instructions!$F$57,BD239+1,BD239))))))</f>
        <v>0</v>
      </c>
      <c r="BE240" s="321" t="str">
        <f t="shared" si="63"/>
        <v>1600</v>
      </c>
      <c r="BF240" s="321">
        <v>238</v>
      </c>
    </row>
    <row r="241" spans="1:58" ht="15" customHeight="1" x14ac:dyDescent="0.25">
      <c r="A241" s="280"/>
      <c r="B241" s="323" t="str">
        <f>IF(Instructions!$J$11=1,AA241,IF(Instructions!$J$11=2,AC241,IF(Instructions!$J$11=3,AE241,IF(Instructions!$J$11=4,AG241,IF(Instructions!$J$11=5,AI241,IF(Instructions!$J$11=6,AK241,IF(Instructions!$J$11=7,AM241,IF(Instructions!$J$11=8,AO241,IF(Instructions!$J$11=9,AQ241,IF(Instructions!$J$11=10,AS241,IF(Instructions!$J$11=11,AU241,IF(Instructions!$J$11=12,AW241,IF(Instructions!$J$11=13, AY241, IF(Instructions!$J$11=14,BA241,IF(Instructions!$J$11=15,BC241,BE241)))))))))))))))</f>
        <v>220</v>
      </c>
      <c r="C241" s="271">
        <v>239</v>
      </c>
      <c r="D241" s="281"/>
      <c r="E241" s="282"/>
      <c r="F241" s="281"/>
      <c r="H241" s="293" t="str">
        <f>Instructions!F$43</f>
        <v>Camden</v>
      </c>
      <c r="I241" s="273" t="s">
        <v>1550</v>
      </c>
      <c r="J241" s="709"/>
      <c r="K241" s="279">
        <v>24</v>
      </c>
      <c r="L241" s="293" t="str">
        <f>Instructions!F$43</f>
        <v>Camden</v>
      </c>
      <c r="M241" s="273" t="s">
        <v>1560</v>
      </c>
      <c r="N241" s="709"/>
      <c r="O241">
        <v>20</v>
      </c>
      <c r="P241" s="292" t="str">
        <f>Instructions!F$55</f>
        <v>[TEAM 14]</v>
      </c>
      <c r="Q241" s="276" t="s">
        <v>1087</v>
      </c>
      <c r="R241" s="708" t="s">
        <v>1456</v>
      </c>
      <c r="S241">
        <v>18</v>
      </c>
      <c r="T241" s="328" t="str">
        <f>Instructions!F$56</f>
        <v>[TEAM 15]</v>
      </c>
      <c r="U241" s="273" t="s">
        <v>1592</v>
      </c>
      <c r="V241" s="706"/>
      <c r="W241" s="279">
        <v>15</v>
      </c>
      <c r="X241" s="280"/>
      <c r="Y241" s="190" t="str">
        <f>IFERROR( IF(Instructions!$E$11=8, D241&amp;COUNTIF(D$3:D241,D241), IF(Instructions!$E$11=10, H241&amp;COUNTIF(H$3:H241,H241),IF(Instructions!$E$11=12, L241&amp;COUNTIF(L$3:L241,L241),IF(Instructions!$E$11=14, P241&amp;COUNTIF(P$3:P241,P241),T241&amp;COUNTIF(T$3:T241,T241))))),"")</f>
        <v>Camden20</v>
      </c>
      <c r="Z241" s="321">
        <f>IF(Instructions!$E$11=8,IF($D241=Instructions!$F$42,Z240+1,Z240),IF(Instructions!$E$11=10,IF($H241=Instructions!$F$42,Z240+1,Z240),IF(Instructions!$E$11=12,IF($L241=Instructions!$F$42,Z240+1,Z240),IF(Instructions!$E$11=14,IF($P241=Instructions!$F$42,Z240+1,Z240),IF(Instructions!$E$11=16,IF($T241=Instructions!$F$42,Z240+1,Z240))))))</f>
        <v>19</v>
      </c>
      <c r="AA241" s="321" t="str">
        <f t="shared" si="64"/>
        <v>119</v>
      </c>
      <c r="AB241" s="321">
        <f>IF(Instructions!$E$11=8,IF($D241=Instructions!$F$43,AB240+1,AB240),IF(Instructions!$E$11=10,IF($H241=Instructions!$F$43,AB240+1,AB240),IF(Instructions!$E$11=12,IF($L241=Instructions!$F$43,AB240+1,AB240),IF(Instructions!$E$11=14,IF($P241=Instructions!$F$43,AB240+1,AB240),IF(Instructions!$E$11=16,IF($T241=Instructions!$F$43,AB240+1,AB240))))))</f>
        <v>20</v>
      </c>
      <c r="AC241" s="321" t="str">
        <f t="shared" si="65"/>
        <v>220</v>
      </c>
      <c r="AD241" s="321">
        <f>IF(Instructions!$E$11=8,IF($D241=Instructions!$F$44,AD240+1,AD240),IF(Instructions!$E$11=10,IF($H241=Instructions!$F$44,AD240+1,AD240),IF(Instructions!$E$11=12,IF($L241=Instructions!$F$44,AD240+1,AD240),IF(Instructions!$E$11=14,IF($P241=Instructions!$F$44,AD240+1,AD240),IF(Instructions!$E$11=16,IF($T241=Instructions!$F$44,AD240+1,AD240))))))</f>
        <v>20</v>
      </c>
      <c r="AE241" s="321" t="str">
        <f t="shared" si="66"/>
        <v>320</v>
      </c>
      <c r="AF241" s="321">
        <f>IF(Instructions!$E$11=8,IF($D241=Instructions!$F$45,AF240+1,AF240),IF(Instructions!$E$11=10,IF($H241=Instructions!$F$45,AF240+1,AF240),IF(Instructions!$E$11=12,IF($L241=Instructions!$F$45,AF240+1,AF240),IF(Instructions!$E$11=14,IF($P241=Instructions!$F$45,AF240+1,AF240),IF(Instructions!$E$11=16,IF($T241=Instructions!$F$45,AF240+1,AF240))))))</f>
        <v>20</v>
      </c>
      <c r="AG241" s="321" t="str">
        <f t="shared" si="67"/>
        <v>420</v>
      </c>
      <c r="AH241" s="321">
        <f>IF(Instructions!$E$11=8,IF($D241=Instructions!$F$46,AH240+1,AH240),IF(Instructions!$E$11=10,IF($H241=Instructions!$F$46,AH240+1,AH240),IF(Instructions!$E$11=12,IF($L241=Instructions!$F$46,AH240+1,AH240),IF(Instructions!$E$11=14,IF($P241=Instructions!$F$46,AH240+1,AH240),IF(Instructions!$E$11=16,IF($T241=Instructions!$F$46,AH240+1,AH240))))))</f>
        <v>20</v>
      </c>
      <c r="AI241" s="321" t="str">
        <f t="shared" si="68"/>
        <v>520</v>
      </c>
      <c r="AJ241" s="321">
        <f>IF(Instructions!$E$11=8,IF($D241=Instructions!$F$47,AJ240+1,AJ240),IF(Instructions!$E$11=10,IF($H241=Instructions!$F$47,AJ240+1,AJ240),IF(Instructions!$E$11=12,IF($L241=Instructions!$F$47,AJ240+1,AJ240),IF(Instructions!$E$11=14,IF($P241=Instructions!$F$47,AJ240+1,AJ240),IF(Instructions!$E$11=16,IF($T241=Instructions!$F$47,AJ240+1,AJ240))))))</f>
        <v>20</v>
      </c>
      <c r="AK241" s="321" t="str">
        <f t="shared" si="69"/>
        <v>620</v>
      </c>
      <c r="AL241" s="321">
        <f>IF(Instructions!$E$11=8,IF($D241=Instructions!$F$48,AL240+1,AL240),IF(Instructions!$E$11=10,IF($H241=Instructions!$F$48,AL240+1,AL240),IF(Instructions!$E$11=12,IF($L241=Instructions!$F$48,AL240+1,AL240),IF(Instructions!$E$11=14,IF($P241=Instructions!$F$48,AL240+1,AL240),IF(Instructions!$E$11=16,IF($T241=Instructions!$F$48,AL240+1,AL240))))))</f>
        <v>20</v>
      </c>
      <c r="AM241" s="321" t="str">
        <f t="shared" si="70"/>
        <v>720</v>
      </c>
      <c r="AN241" s="321">
        <f>IF(Instructions!$E$11=8,IF($D241=Instructions!$F$49,AN240+1,AN240),IF(Instructions!$E$11=10,IF($H241=Instructions!$F$49,AN240+1,AN240),IF(Instructions!$E$11=12,IF($L241=Instructions!$F$49,AN240+1,AN240),IF(Instructions!$E$11=14,IF($P241=Instructions!$F$49,AN240+1,AN240),IF(Instructions!$E$11=16,IF($T241=Instructions!$F$49,AN240+1,AN240))))))</f>
        <v>20</v>
      </c>
      <c r="AO241" s="321" t="str">
        <f t="shared" si="71"/>
        <v>820</v>
      </c>
      <c r="AP241" s="321">
        <f>IF(Instructions!$E$11=8,IF($D241=Instructions!$F$50,AP240+1,AP240),IF(Instructions!$E$11=10,IF($H241=Instructions!$F$50,AP240+1,AP240),IF(Instructions!$E$11=12,IF($L241=Instructions!$F$50,AP240+1,AP240),IF(Instructions!$E$11=14,IF($P241=Instructions!$F$50,AP240+1,AP240),IF(Instructions!$E$11=16,IF($T241=Instructions!$F$50,AP240+1,AP240))))))</f>
        <v>20</v>
      </c>
      <c r="AQ241" s="321" t="str">
        <f t="shared" si="72"/>
        <v>920</v>
      </c>
      <c r="AR241" s="321">
        <f>IF(Instructions!$E$11=8,IF($D241=Instructions!$F$51,AR240+1,AR240),IF(Instructions!$E$11=10,IF($H241=Instructions!$F$51,AR240+1,AR240),IF(Instructions!$E$11=12,IF($L241=Instructions!$F$51,AR240+1,AR240),IF(Instructions!$E$11=14,IF($P241=Instructions!$F$51,AR240+1,AR240),IF(Instructions!$E$11=16,IF($T241=Instructions!$F$51,AR240+1,AR240))))))</f>
        <v>20</v>
      </c>
      <c r="AS241" s="321" t="str">
        <f t="shared" si="73"/>
        <v>1020</v>
      </c>
      <c r="AT241" s="321">
        <f>IF(Instructions!$E$11=8,IF($D241=Instructions!$F$52,AT240+1,AT240),IF(Instructions!$E$11=10,IF($H241=Instructions!$F$52,AT240+1,AT240),IF(Instructions!$E$11=12,IF($L241=Instructions!$F$52,AT240+1,AT240),IF(Instructions!$E$11=14,IF($P241=Instructions!$F$52,AT240+1,AT240),IF(Instructions!$E$11=16,IF($T241=Instructions!$F$52,AT240+1,AT240))))))</f>
        <v>20</v>
      </c>
      <c r="AU241" s="321" t="str">
        <f t="shared" si="74"/>
        <v>1120</v>
      </c>
      <c r="AV241" s="321">
        <f>IF(Instructions!$E$11=8,IF($D241=Instructions!$F$53,AV240+1,AV240),IF(Instructions!$E$11=10,IF($H241=Instructions!$F$53,AV240+1,AV240),IF(Instructions!$E$11=12,IF($L241=Instructions!$F$53,AV240+1,AV240),IF(Instructions!$E$11=14,IF($P241=Instructions!$F$53,AV240+1,AV240),IF(Instructions!$E$11=16,IF($T241=Instructions!$F$53,AV240+1,AV240))))))</f>
        <v>20</v>
      </c>
      <c r="AW241" s="321" t="str">
        <f t="shared" si="75"/>
        <v>1220</v>
      </c>
      <c r="AX241" s="321">
        <f>IF(Instructions!$E$11=8,IF($D241=Instructions!$F$54,AX240+1,AX240),IF(Instructions!$E$11=10,IF($H241=Instructions!$F$54,AX240+1,AX240),IF(Instructions!$E$11=12,IF($L241=Instructions!$F$54,AX240+1,AX240),IF(Instructions!$E$11=14,IF($P241=Instructions!$F$54,AX240+1,AX240),IF(Instructions!$E$11=16,IF($T241=Instructions!$F$54,AX240+1,AX240))))))</f>
        <v>0</v>
      </c>
      <c r="AY241" s="321" t="str">
        <f t="shared" si="76"/>
        <v>1300</v>
      </c>
      <c r="AZ241" s="321">
        <f>IF(Instructions!$E$11=8,IF($D241=Instructions!$F$55,AZ240+1,AZ240),IF(Instructions!$E$11=10,IF($H241=Instructions!$F$55,AZ240+1,AZ240),IF(Instructions!$E$11=12,IF($L241=Instructions!$F$55,AZ240+1,AZ240),IF(Instructions!$E$11=14,IF($P241=Instructions!$F$55,AZ240+1,AZ240),IF(Instructions!$E$11=16,IF($T241=Instructions!$F$55,AZ240+1,AZ240))))))</f>
        <v>0</v>
      </c>
      <c r="BA241" s="321" t="str">
        <f t="shared" si="77"/>
        <v>1400</v>
      </c>
      <c r="BB241" s="321">
        <f>IF(Instructions!$E$11=8,IF($D241=Instructions!$F$56,BB240+1,BB240),IF(Instructions!$E$11=10,IF($H241=Instructions!$F$56,BB240+1,BB240),IF(Instructions!$E$11=12,IF($L241=Instructions!$F$56,BB240+1,BB240),IF(Instructions!$E$11=14,IF($P241=Instructions!$F$56,BB240+1,BB240),IF(Instructions!$E$11=16,IF($T241=Instructions!$F$56,BB240+1,BB240))))))</f>
        <v>0</v>
      </c>
      <c r="BC241" s="321" t="str">
        <f t="shared" si="62"/>
        <v>1500</v>
      </c>
      <c r="BD241" s="321">
        <f>IF(Instructions!$E$11=8,IF($D241=Instructions!$F$57,BD240+1,BD240),IF(Instructions!$E$11=10,IF($H241=Instructions!$F$57,BD240+1,BD240),IF(Instructions!$E$11=12,IF($L241=Instructions!$F$57,BD240+1,BD240),IF(Instructions!$E$11=14,IF($P241=Instructions!$F$57,BD240+1,BD240),IF(Instructions!$E$11=16,IF($T241=Instructions!$F$57,BD240+1,BD240))))))</f>
        <v>0</v>
      </c>
      <c r="BE241" s="321" t="str">
        <f t="shared" si="63"/>
        <v>1600</v>
      </c>
      <c r="BF241" s="321">
        <v>239</v>
      </c>
    </row>
    <row r="242" spans="1:58" ht="15.75" thickBot="1" x14ac:dyDescent="0.3">
      <c r="A242" s="280"/>
      <c r="B242" s="323" t="str">
        <f>IF(Instructions!$J$11=1,AA242,IF(Instructions!$J$11=2,AC242,IF(Instructions!$J$11=3,AE242,IF(Instructions!$J$11=4,AG242,IF(Instructions!$J$11=5,AI242,IF(Instructions!$J$11=6,AK242,IF(Instructions!$J$11=7,AM242,IF(Instructions!$J$11=8,AO242,IF(Instructions!$J$11=9,AQ242,IF(Instructions!$J$11=10,AS242,IF(Instructions!$J$11=11,AU242,IF(Instructions!$J$11=12,AW242,IF(Instructions!$J$11=13, AY242, IF(Instructions!$J$11=14,BA242,IF(Instructions!$J$11=15,BC242,BE242)))))))))))))))</f>
        <v>220</v>
      </c>
      <c r="C242" s="272">
        <v>240</v>
      </c>
      <c r="D242" s="281"/>
      <c r="E242" s="282"/>
      <c r="F242" s="281"/>
      <c r="H242" s="295" t="str">
        <f>Instructions!F$42</f>
        <v>Trumbo</v>
      </c>
      <c r="I242" s="277" t="s">
        <v>1551</v>
      </c>
      <c r="J242" s="710"/>
      <c r="K242" s="279">
        <v>24</v>
      </c>
      <c r="L242" s="295" t="str">
        <f>Instructions!F$42</f>
        <v>Trumbo</v>
      </c>
      <c r="M242" s="277" t="s">
        <v>1561</v>
      </c>
      <c r="N242" s="710"/>
      <c r="O242">
        <v>20</v>
      </c>
      <c r="P242" s="294" t="str">
        <f>Instructions!F$54</f>
        <v>[TEAM 13]</v>
      </c>
      <c r="Q242" s="274" t="s">
        <v>1088</v>
      </c>
      <c r="R242" s="709"/>
      <c r="S242">
        <v>18</v>
      </c>
      <c r="T242" s="329" t="str">
        <f>Instructions!F$57</f>
        <v>[TEAM 16]</v>
      </c>
      <c r="U242" s="330" t="s">
        <v>1593</v>
      </c>
      <c r="V242" s="707"/>
      <c r="W242" s="279">
        <v>15</v>
      </c>
      <c r="X242" s="280"/>
      <c r="Y242" s="190" t="str">
        <f>IFERROR( IF(Instructions!$E$11=8, D242&amp;COUNTIF(D$3:D242,D242), IF(Instructions!$E$11=10, H242&amp;COUNTIF(H$3:H242,H242),IF(Instructions!$E$11=12, L242&amp;COUNTIF(L$3:L242,L242),IF(Instructions!$E$11=14, P242&amp;COUNTIF(P$3:P242,P242),T242&amp;COUNTIF(T$3:T242,T242))))),"")</f>
        <v>Trumbo20</v>
      </c>
      <c r="Z242" s="321">
        <f>IF(Instructions!$E$11=8,IF($D242=Instructions!$F$42,Z241+1,Z241),IF(Instructions!$E$11=10,IF($H242=Instructions!$F$42,Z241+1,Z241),IF(Instructions!$E$11=12,IF($L242=Instructions!$F$42,Z241+1,Z241),IF(Instructions!$E$11=14,IF($P242=Instructions!$F$42,Z241+1,Z241),IF(Instructions!$E$11=16,IF($T242=Instructions!$F$42,Z241+1,Z241))))))</f>
        <v>20</v>
      </c>
      <c r="AA242" s="321" t="str">
        <f t="shared" si="64"/>
        <v>120</v>
      </c>
      <c r="AB242" s="321">
        <f>IF(Instructions!$E$11=8,IF($D242=Instructions!$F$43,AB241+1,AB241),IF(Instructions!$E$11=10,IF($H242=Instructions!$F$43,AB241+1,AB241),IF(Instructions!$E$11=12,IF($L242=Instructions!$F$43,AB241+1,AB241),IF(Instructions!$E$11=14,IF($P242=Instructions!$F$43,AB241+1,AB241),IF(Instructions!$E$11=16,IF($T242=Instructions!$F$43,AB241+1,AB241))))))</f>
        <v>20</v>
      </c>
      <c r="AC242" s="321" t="str">
        <f t="shared" si="65"/>
        <v>220</v>
      </c>
      <c r="AD242" s="321">
        <f>IF(Instructions!$E$11=8,IF($D242=Instructions!$F$44,AD241+1,AD241),IF(Instructions!$E$11=10,IF($H242=Instructions!$F$44,AD241+1,AD241),IF(Instructions!$E$11=12,IF($L242=Instructions!$F$44,AD241+1,AD241),IF(Instructions!$E$11=14,IF($P242=Instructions!$F$44,AD241+1,AD241),IF(Instructions!$E$11=16,IF($T242=Instructions!$F$44,AD241+1,AD241))))))</f>
        <v>20</v>
      </c>
      <c r="AE242" s="321" t="str">
        <f t="shared" si="66"/>
        <v>320</v>
      </c>
      <c r="AF242" s="321">
        <f>IF(Instructions!$E$11=8,IF($D242=Instructions!$F$45,AF241+1,AF241),IF(Instructions!$E$11=10,IF($H242=Instructions!$F$45,AF241+1,AF241),IF(Instructions!$E$11=12,IF($L242=Instructions!$F$45,AF241+1,AF241),IF(Instructions!$E$11=14,IF($P242=Instructions!$F$45,AF241+1,AF241),IF(Instructions!$E$11=16,IF($T242=Instructions!$F$45,AF241+1,AF241))))))</f>
        <v>20</v>
      </c>
      <c r="AG242" s="321" t="str">
        <f t="shared" si="67"/>
        <v>420</v>
      </c>
      <c r="AH242" s="321">
        <f>IF(Instructions!$E$11=8,IF($D242=Instructions!$F$46,AH241+1,AH241),IF(Instructions!$E$11=10,IF($H242=Instructions!$F$46,AH241+1,AH241),IF(Instructions!$E$11=12,IF($L242=Instructions!$F$46,AH241+1,AH241),IF(Instructions!$E$11=14,IF($P242=Instructions!$F$46,AH241+1,AH241),IF(Instructions!$E$11=16,IF($T242=Instructions!$F$46,AH241+1,AH241))))))</f>
        <v>20</v>
      </c>
      <c r="AI242" s="321" t="str">
        <f t="shared" si="68"/>
        <v>520</v>
      </c>
      <c r="AJ242" s="321">
        <f>IF(Instructions!$E$11=8,IF($D242=Instructions!$F$47,AJ241+1,AJ241),IF(Instructions!$E$11=10,IF($H242=Instructions!$F$47,AJ241+1,AJ241),IF(Instructions!$E$11=12,IF($L242=Instructions!$F$47,AJ241+1,AJ241),IF(Instructions!$E$11=14,IF($P242=Instructions!$F$47,AJ241+1,AJ241),IF(Instructions!$E$11=16,IF($T242=Instructions!$F$47,AJ241+1,AJ241))))))</f>
        <v>20</v>
      </c>
      <c r="AK242" s="321" t="str">
        <f t="shared" si="69"/>
        <v>620</v>
      </c>
      <c r="AL242" s="321">
        <f>IF(Instructions!$E$11=8,IF($D242=Instructions!$F$48,AL241+1,AL241),IF(Instructions!$E$11=10,IF($H242=Instructions!$F$48,AL241+1,AL241),IF(Instructions!$E$11=12,IF($L242=Instructions!$F$48,AL241+1,AL241),IF(Instructions!$E$11=14,IF($P242=Instructions!$F$48,AL241+1,AL241),IF(Instructions!$E$11=16,IF($T242=Instructions!$F$48,AL241+1,AL241))))))</f>
        <v>20</v>
      </c>
      <c r="AM242" s="321" t="str">
        <f t="shared" si="70"/>
        <v>720</v>
      </c>
      <c r="AN242" s="321">
        <f>IF(Instructions!$E$11=8,IF($D242=Instructions!$F$49,AN241+1,AN241),IF(Instructions!$E$11=10,IF($H242=Instructions!$F$49,AN241+1,AN241),IF(Instructions!$E$11=12,IF($L242=Instructions!$F$49,AN241+1,AN241),IF(Instructions!$E$11=14,IF($P242=Instructions!$F$49,AN241+1,AN241),IF(Instructions!$E$11=16,IF($T242=Instructions!$F$49,AN241+1,AN241))))))</f>
        <v>20</v>
      </c>
      <c r="AO242" s="321" t="str">
        <f t="shared" si="71"/>
        <v>820</v>
      </c>
      <c r="AP242" s="321">
        <f>IF(Instructions!$E$11=8,IF($D242=Instructions!$F$50,AP241+1,AP241),IF(Instructions!$E$11=10,IF($H242=Instructions!$F$50,AP241+1,AP241),IF(Instructions!$E$11=12,IF($L242=Instructions!$F$50,AP241+1,AP241),IF(Instructions!$E$11=14,IF($P242=Instructions!$F$50,AP241+1,AP241),IF(Instructions!$E$11=16,IF($T242=Instructions!$F$50,AP241+1,AP241))))))</f>
        <v>20</v>
      </c>
      <c r="AQ242" s="321" t="str">
        <f t="shared" si="72"/>
        <v>920</v>
      </c>
      <c r="AR242" s="321">
        <f>IF(Instructions!$E$11=8,IF($D242=Instructions!$F$51,AR241+1,AR241),IF(Instructions!$E$11=10,IF($H242=Instructions!$F$51,AR241+1,AR241),IF(Instructions!$E$11=12,IF($L242=Instructions!$F$51,AR241+1,AR241),IF(Instructions!$E$11=14,IF($P242=Instructions!$F$51,AR241+1,AR241),IF(Instructions!$E$11=16,IF($T242=Instructions!$F$51,AR241+1,AR241))))))</f>
        <v>20</v>
      </c>
      <c r="AS242" s="321" t="str">
        <f t="shared" si="73"/>
        <v>1020</v>
      </c>
      <c r="AT242" s="321">
        <f>IF(Instructions!$E$11=8,IF($D242=Instructions!$F$52,AT241+1,AT241),IF(Instructions!$E$11=10,IF($H242=Instructions!$F$52,AT241+1,AT241),IF(Instructions!$E$11=12,IF($L242=Instructions!$F$52,AT241+1,AT241),IF(Instructions!$E$11=14,IF($P242=Instructions!$F$52,AT241+1,AT241),IF(Instructions!$E$11=16,IF($T242=Instructions!$F$52,AT241+1,AT241))))))</f>
        <v>20</v>
      </c>
      <c r="AU242" s="321" t="str">
        <f t="shared" si="74"/>
        <v>1120</v>
      </c>
      <c r="AV242" s="321">
        <f>IF(Instructions!$E$11=8,IF($D242=Instructions!$F$53,AV241+1,AV241),IF(Instructions!$E$11=10,IF($H242=Instructions!$F$53,AV241+1,AV241),IF(Instructions!$E$11=12,IF($L242=Instructions!$F$53,AV241+1,AV241),IF(Instructions!$E$11=14,IF($P242=Instructions!$F$53,AV241+1,AV241),IF(Instructions!$E$11=16,IF($T242=Instructions!$F$53,AV241+1,AV241))))))</f>
        <v>20</v>
      </c>
      <c r="AW242" s="321" t="str">
        <f t="shared" si="75"/>
        <v>1220</v>
      </c>
      <c r="AX242" s="321">
        <f>IF(Instructions!$E$11=8,IF($D242=Instructions!$F$54,AX241+1,AX241),IF(Instructions!$E$11=10,IF($H242=Instructions!$F$54,AX241+1,AX241),IF(Instructions!$E$11=12,IF($L242=Instructions!$F$54,AX241+1,AX241),IF(Instructions!$E$11=14,IF($P242=Instructions!$F$54,AX241+1,AX241),IF(Instructions!$E$11=16,IF($T242=Instructions!$F$54,AX241+1,AX241))))))</f>
        <v>0</v>
      </c>
      <c r="AY242" s="321" t="str">
        <f t="shared" si="76"/>
        <v>1300</v>
      </c>
      <c r="AZ242" s="321">
        <f>IF(Instructions!$E$11=8,IF($D242=Instructions!$F$55,AZ241+1,AZ241),IF(Instructions!$E$11=10,IF($H242=Instructions!$F$55,AZ241+1,AZ241),IF(Instructions!$E$11=12,IF($L242=Instructions!$F$55,AZ241+1,AZ241),IF(Instructions!$E$11=14,IF($P242=Instructions!$F$55,AZ241+1,AZ241),IF(Instructions!$E$11=16,IF($T242=Instructions!$F$55,AZ241+1,AZ241))))))</f>
        <v>0</v>
      </c>
      <c r="BA242" s="321" t="str">
        <f t="shared" si="77"/>
        <v>1400</v>
      </c>
      <c r="BB242" s="321">
        <f>IF(Instructions!$E$11=8,IF($D242=Instructions!$F$56,BB241+1,BB241),IF(Instructions!$E$11=10,IF($H242=Instructions!$F$56,BB241+1,BB241),IF(Instructions!$E$11=12,IF($L242=Instructions!$F$56,BB241+1,BB241),IF(Instructions!$E$11=14,IF($P242=Instructions!$F$56,BB241+1,BB241),IF(Instructions!$E$11=16,IF($T242=Instructions!$F$56,BB241+1,BB241))))))</f>
        <v>0</v>
      </c>
      <c r="BC242" s="321" t="str">
        <f t="shared" si="62"/>
        <v>1500</v>
      </c>
      <c r="BD242" s="321">
        <f>IF(Instructions!$E$11=8,IF($D242=Instructions!$F$57,BD241+1,BD241),IF(Instructions!$E$11=10,IF($H242=Instructions!$F$57,BD241+1,BD241),IF(Instructions!$E$11=12,IF($L242=Instructions!$F$57,BD241+1,BD241),IF(Instructions!$E$11=14,IF($P242=Instructions!$F$57,BD241+1,BD241),IF(Instructions!$E$11=16,IF($T242=Instructions!$F$57,BD241+1,BD241))))))</f>
        <v>0</v>
      </c>
      <c r="BE242" s="321" t="str">
        <f t="shared" si="63"/>
        <v>1600</v>
      </c>
      <c r="BF242" s="321">
        <v>240</v>
      </c>
    </row>
    <row r="243" spans="1:58" ht="15" customHeight="1" x14ac:dyDescent="0.25">
      <c r="A243" s="280"/>
      <c r="B243" s="323" t="str">
        <f>IF(Instructions!$J$11=1,AA243,IF(Instructions!$J$11=2,AC243,IF(Instructions!$J$11=3,AE243,IF(Instructions!$J$11=4,AG243,IF(Instructions!$J$11=5,AI243,IF(Instructions!$J$11=6,AK243,IF(Instructions!$J$11=7,AM243,IF(Instructions!$J$11=8,AO243,IF(Instructions!$J$11=9,AQ243,IF(Instructions!$J$11=10,AS243,IF(Instructions!$J$11=11,AU243,IF(Instructions!$J$11=12,AW243,IF(Instructions!$J$11=13, AY243, IF(Instructions!$J$11=14,BA243,IF(Instructions!$J$11=15,BC243,BE243)))))))))))))))</f>
        <v>220</v>
      </c>
      <c r="C243" s="271">
        <v>241</v>
      </c>
      <c r="D243" s="281"/>
      <c r="E243" s="282"/>
      <c r="F243" s="281"/>
      <c r="H243" s="292" t="str">
        <f>Instructions!F$42</f>
        <v>Trumbo</v>
      </c>
      <c r="I243" s="276" t="s">
        <v>1528</v>
      </c>
      <c r="J243" s="708" t="s">
        <v>1463</v>
      </c>
      <c r="K243" s="279">
        <v>25</v>
      </c>
      <c r="L243" s="292" t="str">
        <f>Instructions!F$42</f>
        <v>Trumbo</v>
      </c>
      <c r="M243" s="276" t="s">
        <v>1496</v>
      </c>
      <c r="N243" s="708" t="s">
        <v>1459</v>
      </c>
      <c r="O243">
        <v>21</v>
      </c>
      <c r="P243" s="293" t="str">
        <f>Instructions!F$53</f>
        <v>Zack</v>
      </c>
      <c r="Q243" s="273" t="s">
        <v>1089</v>
      </c>
      <c r="R243" s="709"/>
      <c r="S243">
        <v>18</v>
      </c>
      <c r="T243" s="127"/>
      <c r="U243" s="339"/>
      <c r="V243" s="127"/>
      <c r="X243" s="280"/>
      <c r="Y243" s="190" t="str">
        <f>IFERROR( IF(Instructions!$E$11=8, D243&amp;COUNTIF(D$3:D243,D243), IF(Instructions!$E$11=10, H243&amp;COUNTIF(H$3:H243,H243),IF(Instructions!$E$11=12, L243&amp;COUNTIF(L$3:L243,L243),IF(Instructions!$E$11=14, P243&amp;COUNTIF(P$3:P243,P243),T243&amp;COUNTIF(T$3:T243,T243))))),"")</f>
        <v>Trumbo21</v>
      </c>
      <c r="Z243" s="321">
        <f>IF(Instructions!$E$11=8,IF($D243=Instructions!$F$42,Z242+1,Z242),IF(Instructions!$E$11=10,IF($H243=Instructions!$F$42,Z242+1,Z242),IF(Instructions!$E$11=12,IF($L243=Instructions!$F$42,Z242+1,Z242),IF(Instructions!$E$11=14,IF($P243=Instructions!$F$42,Z242+1,Z242),IF(Instructions!$E$11=16,IF($T243=Instructions!$F$42,Z242+1,Z242))))))</f>
        <v>21</v>
      </c>
      <c r="AA243" s="321" t="str">
        <f t="shared" si="64"/>
        <v>121</v>
      </c>
      <c r="AB243" s="321">
        <f>IF(Instructions!$E$11=8,IF($D243=Instructions!$F$43,AB242+1,AB242),IF(Instructions!$E$11=10,IF($H243=Instructions!$F$43,AB242+1,AB242),IF(Instructions!$E$11=12,IF($L243=Instructions!$F$43,AB242+1,AB242),IF(Instructions!$E$11=14,IF($P243=Instructions!$F$43,AB242+1,AB242),IF(Instructions!$E$11=16,IF($T243=Instructions!$F$43,AB242+1,AB242))))))</f>
        <v>20</v>
      </c>
      <c r="AC243" s="321" t="str">
        <f t="shared" si="65"/>
        <v>220</v>
      </c>
      <c r="AD243" s="321">
        <f>IF(Instructions!$E$11=8,IF($D243=Instructions!$F$44,AD242+1,AD242),IF(Instructions!$E$11=10,IF($H243=Instructions!$F$44,AD242+1,AD242),IF(Instructions!$E$11=12,IF($L243=Instructions!$F$44,AD242+1,AD242),IF(Instructions!$E$11=14,IF($P243=Instructions!$F$44,AD242+1,AD242),IF(Instructions!$E$11=16,IF($T243=Instructions!$F$44,AD242+1,AD242))))))</f>
        <v>20</v>
      </c>
      <c r="AE243" s="321" t="str">
        <f t="shared" si="66"/>
        <v>320</v>
      </c>
      <c r="AF243" s="321">
        <f>IF(Instructions!$E$11=8,IF($D243=Instructions!$F$45,AF242+1,AF242),IF(Instructions!$E$11=10,IF($H243=Instructions!$F$45,AF242+1,AF242),IF(Instructions!$E$11=12,IF($L243=Instructions!$F$45,AF242+1,AF242),IF(Instructions!$E$11=14,IF($P243=Instructions!$F$45,AF242+1,AF242),IF(Instructions!$E$11=16,IF($T243=Instructions!$F$45,AF242+1,AF242))))))</f>
        <v>20</v>
      </c>
      <c r="AG243" s="321" t="str">
        <f t="shared" si="67"/>
        <v>420</v>
      </c>
      <c r="AH243" s="321">
        <f>IF(Instructions!$E$11=8,IF($D243=Instructions!$F$46,AH242+1,AH242),IF(Instructions!$E$11=10,IF($H243=Instructions!$F$46,AH242+1,AH242),IF(Instructions!$E$11=12,IF($L243=Instructions!$F$46,AH242+1,AH242),IF(Instructions!$E$11=14,IF($P243=Instructions!$F$46,AH242+1,AH242),IF(Instructions!$E$11=16,IF($T243=Instructions!$F$46,AH242+1,AH242))))))</f>
        <v>20</v>
      </c>
      <c r="AI243" s="321" t="str">
        <f t="shared" si="68"/>
        <v>520</v>
      </c>
      <c r="AJ243" s="321">
        <f>IF(Instructions!$E$11=8,IF($D243=Instructions!$F$47,AJ242+1,AJ242),IF(Instructions!$E$11=10,IF($H243=Instructions!$F$47,AJ242+1,AJ242),IF(Instructions!$E$11=12,IF($L243=Instructions!$F$47,AJ242+1,AJ242),IF(Instructions!$E$11=14,IF($P243=Instructions!$F$47,AJ242+1,AJ242),IF(Instructions!$E$11=16,IF($T243=Instructions!$F$47,AJ242+1,AJ242))))))</f>
        <v>20</v>
      </c>
      <c r="AK243" s="321" t="str">
        <f t="shared" si="69"/>
        <v>620</v>
      </c>
      <c r="AL243" s="321">
        <f>IF(Instructions!$E$11=8,IF($D243=Instructions!$F$48,AL242+1,AL242),IF(Instructions!$E$11=10,IF($H243=Instructions!$F$48,AL242+1,AL242),IF(Instructions!$E$11=12,IF($L243=Instructions!$F$48,AL242+1,AL242),IF(Instructions!$E$11=14,IF($P243=Instructions!$F$48,AL242+1,AL242),IF(Instructions!$E$11=16,IF($T243=Instructions!$F$48,AL242+1,AL242))))))</f>
        <v>20</v>
      </c>
      <c r="AM243" s="321" t="str">
        <f t="shared" si="70"/>
        <v>720</v>
      </c>
      <c r="AN243" s="321">
        <f>IF(Instructions!$E$11=8,IF($D243=Instructions!$F$49,AN242+1,AN242),IF(Instructions!$E$11=10,IF($H243=Instructions!$F$49,AN242+1,AN242),IF(Instructions!$E$11=12,IF($L243=Instructions!$F$49,AN242+1,AN242),IF(Instructions!$E$11=14,IF($P243=Instructions!$F$49,AN242+1,AN242),IF(Instructions!$E$11=16,IF($T243=Instructions!$F$49,AN242+1,AN242))))))</f>
        <v>20</v>
      </c>
      <c r="AO243" s="321" t="str">
        <f t="shared" si="71"/>
        <v>820</v>
      </c>
      <c r="AP243" s="321">
        <f>IF(Instructions!$E$11=8,IF($D243=Instructions!$F$50,AP242+1,AP242),IF(Instructions!$E$11=10,IF($H243=Instructions!$F$50,AP242+1,AP242),IF(Instructions!$E$11=12,IF($L243=Instructions!$F$50,AP242+1,AP242),IF(Instructions!$E$11=14,IF($P243=Instructions!$F$50,AP242+1,AP242),IF(Instructions!$E$11=16,IF($T243=Instructions!$F$50,AP242+1,AP242))))))</f>
        <v>20</v>
      </c>
      <c r="AQ243" s="321" t="str">
        <f t="shared" si="72"/>
        <v>920</v>
      </c>
      <c r="AR243" s="321">
        <f>IF(Instructions!$E$11=8,IF($D243=Instructions!$F$51,AR242+1,AR242),IF(Instructions!$E$11=10,IF($H243=Instructions!$F$51,AR242+1,AR242),IF(Instructions!$E$11=12,IF($L243=Instructions!$F$51,AR242+1,AR242),IF(Instructions!$E$11=14,IF($P243=Instructions!$F$51,AR242+1,AR242),IF(Instructions!$E$11=16,IF($T243=Instructions!$F$51,AR242+1,AR242))))))</f>
        <v>20</v>
      </c>
      <c r="AS243" s="321" t="str">
        <f t="shared" si="73"/>
        <v>1020</v>
      </c>
      <c r="AT243" s="321">
        <f>IF(Instructions!$E$11=8,IF($D243=Instructions!$F$52,AT242+1,AT242),IF(Instructions!$E$11=10,IF($H243=Instructions!$F$52,AT242+1,AT242),IF(Instructions!$E$11=12,IF($L243=Instructions!$F$52,AT242+1,AT242),IF(Instructions!$E$11=14,IF($P243=Instructions!$F$52,AT242+1,AT242),IF(Instructions!$E$11=16,IF($T243=Instructions!$F$52,AT242+1,AT242))))))</f>
        <v>20</v>
      </c>
      <c r="AU243" s="321" t="str">
        <f t="shared" si="74"/>
        <v>1120</v>
      </c>
      <c r="AV243" s="321">
        <f>IF(Instructions!$E$11=8,IF($D243=Instructions!$F$53,AV242+1,AV242),IF(Instructions!$E$11=10,IF($H243=Instructions!$F$53,AV242+1,AV242),IF(Instructions!$E$11=12,IF($L243=Instructions!$F$53,AV242+1,AV242),IF(Instructions!$E$11=14,IF($P243=Instructions!$F$53,AV242+1,AV242),IF(Instructions!$E$11=16,IF($T243=Instructions!$F$53,AV242+1,AV242))))))</f>
        <v>20</v>
      </c>
      <c r="AW243" s="321" t="str">
        <f t="shared" si="75"/>
        <v>1220</v>
      </c>
      <c r="AX243" s="321">
        <f>IF(Instructions!$E$11=8,IF($D243=Instructions!$F$54,AX242+1,AX242),IF(Instructions!$E$11=10,IF($H243=Instructions!$F$54,AX242+1,AX242),IF(Instructions!$E$11=12,IF($L243=Instructions!$F$54,AX242+1,AX242),IF(Instructions!$E$11=14,IF($P243=Instructions!$F$54,AX242+1,AX242),IF(Instructions!$E$11=16,IF($T243=Instructions!$F$54,AX242+1,AX242))))))</f>
        <v>0</v>
      </c>
      <c r="AY243" s="321" t="str">
        <f t="shared" si="76"/>
        <v>1300</v>
      </c>
      <c r="AZ243" s="321">
        <f>IF(Instructions!$E$11=8,IF($D243=Instructions!$F$55,AZ242+1,AZ242),IF(Instructions!$E$11=10,IF($H243=Instructions!$F$55,AZ242+1,AZ242),IF(Instructions!$E$11=12,IF($L243=Instructions!$F$55,AZ242+1,AZ242),IF(Instructions!$E$11=14,IF($P243=Instructions!$F$55,AZ242+1,AZ242),IF(Instructions!$E$11=16,IF($T243=Instructions!$F$55,AZ242+1,AZ242))))))</f>
        <v>0</v>
      </c>
      <c r="BA243" s="321" t="str">
        <f t="shared" si="77"/>
        <v>1400</v>
      </c>
      <c r="BB243" s="321">
        <f>IF(Instructions!$E$11=8,IF($D243=Instructions!$F$56,BB242+1,BB242),IF(Instructions!$E$11=10,IF($H243=Instructions!$F$56,BB242+1,BB242),IF(Instructions!$E$11=12,IF($L243=Instructions!$F$56,BB242+1,BB242),IF(Instructions!$E$11=14,IF($P243=Instructions!$F$56,BB242+1,BB242),IF(Instructions!$E$11=16,IF($T243=Instructions!$F$56,BB242+1,BB242))))))</f>
        <v>0</v>
      </c>
      <c r="BC243" s="321" t="str">
        <f t="shared" si="62"/>
        <v>1500</v>
      </c>
      <c r="BD243" s="321">
        <f>IF(Instructions!$E$11=8,IF($D243=Instructions!$F$57,BD242+1,BD242),IF(Instructions!$E$11=10,IF($H243=Instructions!$F$57,BD242+1,BD242),IF(Instructions!$E$11=12,IF($L243=Instructions!$F$57,BD242+1,BD242),IF(Instructions!$E$11=14,IF($P243=Instructions!$F$57,BD242+1,BD242),IF(Instructions!$E$11=16,IF($T243=Instructions!$F$57,BD242+1,BD242))))))</f>
        <v>0</v>
      </c>
      <c r="BE243" s="321" t="str">
        <f t="shared" si="63"/>
        <v>1600</v>
      </c>
      <c r="BF243" s="321">
        <v>241</v>
      </c>
    </row>
    <row r="244" spans="1:58" x14ac:dyDescent="0.25">
      <c r="A244" s="280"/>
      <c r="B244" s="323" t="str">
        <f>IF(Instructions!$J$11=1,AA244,IF(Instructions!$J$11=2,AC244,IF(Instructions!$J$11=3,AE244,IF(Instructions!$J$11=4,AG244,IF(Instructions!$J$11=5,AI244,IF(Instructions!$J$11=6,AK244,IF(Instructions!$J$11=7,AM244,IF(Instructions!$J$11=8,AO244,IF(Instructions!$J$11=9,AQ244,IF(Instructions!$J$11=10,AS244,IF(Instructions!$J$11=11,AU244,IF(Instructions!$J$11=12,AW244,IF(Instructions!$J$11=13, AY244, IF(Instructions!$J$11=14,BA244,IF(Instructions!$J$11=15,BC244,BE244)))))))))))))))</f>
        <v>221</v>
      </c>
      <c r="C244" s="272">
        <v>242</v>
      </c>
      <c r="D244" s="281"/>
      <c r="E244" s="282"/>
      <c r="F244" s="281"/>
      <c r="H244" s="294" t="str">
        <f>Instructions!F$43</f>
        <v>Camden</v>
      </c>
      <c r="I244" s="274" t="s">
        <v>1529</v>
      </c>
      <c r="J244" s="709"/>
      <c r="K244" s="279">
        <v>25</v>
      </c>
      <c r="L244" s="294" t="str">
        <f>Instructions!F$43</f>
        <v>Camden</v>
      </c>
      <c r="M244" s="274" t="s">
        <v>1497</v>
      </c>
      <c r="N244" s="709"/>
      <c r="O244">
        <v>21</v>
      </c>
      <c r="P244" s="294" t="str">
        <f>Instructions!F$52</f>
        <v>Big R</v>
      </c>
      <c r="Q244" s="274" t="s">
        <v>1090</v>
      </c>
      <c r="R244" s="709"/>
      <c r="S244">
        <v>18</v>
      </c>
      <c r="T244" s="127"/>
      <c r="U244" s="339"/>
      <c r="V244" s="127"/>
      <c r="X244" s="280"/>
      <c r="Y244" s="190" t="str">
        <f>IFERROR( IF(Instructions!$E$11=8, D244&amp;COUNTIF(D$3:D244,D244), IF(Instructions!$E$11=10, H244&amp;COUNTIF(H$3:H244,H244),IF(Instructions!$E$11=12, L244&amp;COUNTIF(L$3:L244,L244),IF(Instructions!$E$11=14, P244&amp;COUNTIF(P$3:P244,P244),T244&amp;COUNTIF(T$3:T244,T244))))),"")</f>
        <v>Camden21</v>
      </c>
      <c r="Z244" s="321">
        <f>IF(Instructions!$E$11=8,IF($D244=Instructions!$F$42,Z243+1,Z243),IF(Instructions!$E$11=10,IF($H244=Instructions!$F$42,Z243+1,Z243),IF(Instructions!$E$11=12,IF($L244=Instructions!$F$42,Z243+1,Z243),IF(Instructions!$E$11=14,IF($P244=Instructions!$F$42,Z243+1,Z243),IF(Instructions!$E$11=16,IF($T244=Instructions!$F$42,Z243+1,Z243))))))</f>
        <v>21</v>
      </c>
      <c r="AA244" s="321" t="str">
        <f t="shared" si="64"/>
        <v>121</v>
      </c>
      <c r="AB244" s="321">
        <f>IF(Instructions!$E$11=8,IF($D244=Instructions!$F$43,AB243+1,AB243),IF(Instructions!$E$11=10,IF($H244=Instructions!$F$43,AB243+1,AB243),IF(Instructions!$E$11=12,IF($L244=Instructions!$F$43,AB243+1,AB243),IF(Instructions!$E$11=14,IF($P244=Instructions!$F$43,AB243+1,AB243),IF(Instructions!$E$11=16,IF($T244=Instructions!$F$43,AB243+1,AB243))))))</f>
        <v>21</v>
      </c>
      <c r="AC244" s="321" t="str">
        <f t="shared" si="65"/>
        <v>221</v>
      </c>
      <c r="AD244" s="321">
        <f>IF(Instructions!$E$11=8,IF($D244=Instructions!$F$44,AD243+1,AD243),IF(Instructions!$E$11=10,IF($H244=Instructions!$F$44,AD243+1,AD243),IF(Instructions!$E$11=12,IF($L244=Instructions!$F$44,AD243+1,AD243),IF(Instructions!$E$11=14,IF($P244=Instructions!$F$44,AD243+1,AD243),IF(Instructions!$E$11=16,IF($T244=Instructions!$F$44,AD243+1,AD243))))))</f>
        <v>20</v>
      </c>
      <c r="AE244" s="321" t="str">
        <f t="shared" si="66"/>
        <v>320</v>
      </c>
      <c r="AF244" s="321">
        <f>IF(Instructions!$E$11=8,IF($D244=Instructions!$F$45,AF243+1,AF243),IF(Instructions!$E$11=10,IF($H244=Instructions!$F$45,AF243+1,AF243),IF(Instructions!$E$11=12,IF($L244=Instructions!$F$45,AF243+1,AF243),IF(Instructions!$E$11=14,IF($P244=Instructions!$F$45,AF243+1,AF243),IF(Instructions!$E$11=16,IF($T244=Instructions!$F$45,AF243+1,AF243))))))</f>
        <v>20</v>
      </c>
      <c r="AG244" s="321" t="str">
        <f t="shared" si="67"/>
        <v>420</v>
      </c>
      <c r="AH244" s="321">
        <f>IF(Instructions!$E$11=8,IF($D244=Instructions!$F$46,AH243+1,AH243),IF(Instructions!$E$11=10,IF($H244=Instructions!$F$46,AH243+1,AH243),IF(Instructions!$E$11=12,IF($L244=Instructions!$F$46,AH243+1,AH243),IF(Instructions!$E$11=14,IF($P244=Instructions!$F$46,AH243+1,AH243),IF(Instructions!$E$11=16,IF($T244=Instructions!$F$46,AH243+1,AH243))))))</f>
        <v>20</v>
      </c>
      <c r="AI244" s="321" t="str">
        <f t="shared" si="68"/>
        <v>520</v>
      </c>
      <c r="AJ244" s="321">
        <f>IF(Instructions!$E$11=8,IF($D244=Instructions!$F$47,AJ243+1,AJ243),IF(Instructions!$E$11=10,IF($H244=Instructions!$F$47,AJ243+1,AJ243),IF(Instructions!$E$11=12,IF($L244=Instructions!$F$47,AJ243+1,AJ243),IF(Instructions!$E$11=14,IF($P244=Instructions!$F$47,AJ243+1,AJ243),IF(Instructions!$E$11=16,IF($T244=Instructions!$F$47,AJ243+1,AJ243))))))</f>
        <v>20</v>
      </c>
      <c r="AK244" s="321" t="str">
        <f t="shared" si="69"/>
        <v>620</v>
      </c>
      <c r="AL244" s="321">
        <f>IF(Instructions!$E$11=8,IF($D244=Instructions!$F$48,AL243+1,AL243),IF(Instructions!$E$11=10,IF($H244=Instructions!$F$48,AL243+1,AL243),IF(Instructions!$E$11=12,IF($L244=Instructions!$F$48,AL243+1,AL243),IF(Instructions!$E$11=14,IF($P244=Instructions!$F$48,AL243+1,AL243),IF(Instructions!$E$11=16,IF($T244=Instructions!$F$48,AL243+1,AL243))))))</f>
        <v>20</v>
      </c>
      <c r="AM244" s="321" t="str">
        <f t="shared" si="70"/>
        <v>720</v>
      </c>
      <c r="AN244" s="321">
        <f>IF(Instructions!$E$11=8,IF($D244=Instructions!$F$49,AN243+1,AN243),IF(Instructions!$E$11=10,IF($H244=Instructions!$F$49,AN243+1,AN243),IF(Instructions!$E$11=12,IF($L244=Instructions!$F$49,AN243+1,AN243),IF(Instructions!$E$11=14,IF($P244=Instructions!$F$49,AN243+1,AN243),IF(Instructions!$E$11=16,IF($T244=Instructions!$F$49,AN243+1,AN243))))))</f>
        <v>20</v>
      </c>
      <c r="AO244" s="321" t="str">
        <f t="shared" si="71"/>
        <v>820</v>
      </c>
      <c r="AP244" s="321">
        <f>IF(Instructions!$E$11=8,IF($D244=Instructions!$F$50,AP243+1,AP243),IF(Instructions!$E$11=10,IF($H244=Instructions!$F$50,AP243+1,AP243),IF(Instructions!$E$11=12,IF($L244=Instructions!$F$50,AP243+1,AP243),IF(Instructions!$E$11=14,IF($P244=Instructions!$F$50,AP243+1,AP243),IF(Instructions!$E$11=16,IF($T244=Instructions!$F$50,AP243+1,AP243))))))</f>
        <v>20</v>
      </c>
      <c r="AQ244" s="321" t="str">
        <f t="shared" si="72"/>
        <v>920</v>
      </c>
      <c r="AR244" s="321">
        <f>IF(Instructions!$E$11=8,IF($D244=Instructions!$F$51,AR243+1,AR243),IF(Instructions!$E$11=10,IF($H244=Instructions!$F$51,AR243+1,AR243),IF(Instructions!$E$11=12,IF($L244=Instructions!$F$51,AR243+1,AR243),IF(Instructions!$E$11=14,IF($P244=Instructions!$F$51,AR243+1,AR243),IF(Instructions!$E$11=16,IF($T244=Instructions!$F$51,AR243+1,AR243))))))</f>
        <v>20</v>
      </c>
      <c r="AS244" s="321" t="str">
        <f t="shared" si="73"/>
        <v>1020</v>
      </c>
      <c r="AT244" s="321">
        <f>IF(Instructions!$E$11=8,IF($D244=Instructions!$F$52,AT243+1,AT243),IF(Instructions!$E$11=10,IF($H244=Instructions!$F$52,AT243+1,AT243),IF(Instructions!$E$11=12,IF($L244=Instructions!$F$52,AT243+1,AT243),IF(Instructions!$E$11=14,IF($P244=Instructions!$F$52,AT243+1,AT243),IF(Instructions!$E$11=16,IF($T244=Instructions!$F$52,AT243+1,AT243))))))</f>
        <v>20</v>
      </c>
      <c r="AU244" s="321" t="str">
        <f t="shared" si="74"/>
        <v>1120</v>
      </c>
      <c r="AV244" s="321">
        <f>IF(Instructions!$E$11=8,IF($D244=Instructions!$F$53,AV243+1,AV243),IF(Instructions!$E$11=10,IF($H244=Instructions!$F$53,AV243+1,AV243),IF(Instructions!$E$11=12,IF($L244=Instructions!$F$53,AV243+1,AV243),IF(Instructions!$E$11=14,IF($P244=Instructions!$F$53,AV243+1,AV243),IF(Instructions!$E$11=16,IF($T244=Instructions!$F$53,AV243+1,AV243))))))</f>
        <v>20</v>
      </c>
      <c r="AW244" s="321" t="str">
        <f t="shared" si="75"/>
        <v>1220</v>
      </c>
      <c r="AX244" s="321">
        <f>IF(Instructions!$E$11=8,IF($D244=Instructions!$F$54,AX243+1,AX243),IF(Instructions!$E$11=10,IF($H244=Instructions!$F$54,AX243+1,AX243),IF(Instructions!$E$11=12,IF($L244=Instructions!$F$54,AX243+1,AX243),IF(Instructions!$E$11=14,IF($P244=Instructions!$F$54,AX243+1,AX243),IF(Instructions!$E$11=16,IF($T244=Instructions!$F$54,AX243+1,AX243))))))</f>
        <v>0</v>
      </c>
      <c r="AY244" s="321" t="str">
        <f t="shared" si="76"/>
        <v>1300</v>
      </c>
      <c r="AZ244" s="321">
        <f>IF(Instructions!$E$11=8,IF($D244=Instructions!$F$55,AZ243+1,AZ243),IF(Instructions!$E$11=10,IF($H244=Instructions!$F$55,AZ243+1,AZ243),IF(Instructions!$E$11=12,IF($L244=Instructions!$F$55,AZ243+1,AZ243),IF(Instructions!$E$11=14,IF($P244=Instructions!$F$55,AZ243+1,AZ243),IF(Instructions!$E$11=16,IF($T244=Instructions!$F$55,AZ243+1,AZ243))))))</f>
        <v>0</v>
      </c>
      <c r="BA244" s="321" t="str">
        <f t="shared" si="77"/>
        <v>1400</v>
      </c>
      <c r="BB244" s="321">
        <f>IF(Instructions!$E$11=8,IF($D244=Instructions!$F$56,BB243+1,BB243),IF(Instructions!$E$11=10,IF($H244=Instructions!$F$56,BB243+1,BB243),IF(Instructions!$E$11=12,IF($L244=Instructions!$F$56,BB243+1,BB243),IF(Instructions!$E$11=14,IF($P244=Instructions!$F$56,BB243+1,BB243),IF(Instructions!$E$11=16,IF($T244=Instructions!$F$56,BB243+1,BB243))))))</f>
        <v>0</v>
      </c>
      <c r="BC244" s="321" t="str">
        <f t="shared" si="62"/>
        <v>1500</v>
      </c>
      <c r="BD244" s="321">
        <f>IF(Instructions!$E$11=8,IF($D244=Instructions!$F$57,BD243+1,BD243),IF(Instructions!$E$11=10,IF($H244=Instructions!$F$57,BD243+1,BD243),IF(Instructions!$E$11=12,IF($L244=Instructions!$F$57,BD243+1,BD243),IF(Instructions!$E$11=14,IF($P244=Instructions!$F$57,BD243+1,BD243),IF(Instructions!$E$11=16,IF($T244=Instructions!$F$57,BD243+1,BD243))))))</f>
        <v>0</v>
      </c>
      <c r="BE244" s="321" t="str">
        <f t="shared" si="63"/>
        <v>1600</v>
      </c>
      <c r="BF244" s="321">
        <v>242</v>
      </c>
    </row>
    <row r="245" spans="1:58" x14ac:dyDescent="0.25">
      <c r="A245" s="280"/>
      <c r="B245" s="323" t="str">
        <f>IF(Instructions!$J$11=1,AA245,IF(Instructions!$J$11=2,AC245,IF(Instructions!$J$11=3,AE245,IF(Instructions!$J$11=4,AG245,IF(Instructions!$J$11=5,AI245,IF(Instructions!$J$11=6,AK245,IF(Instructions!$J$11=7,AM245,IF(Instructions!$J$11=8,AO245,IF(Instructions!$J$11=9,AQ245,IF(Instructions!$J$11=10,AS245,IF(Instructions!$J$11=11,AU245,IF(Instructions!$J$11=12,AW245,IF(Instructions!$J$11=13, AY245, IF(Instructions!$J$11=14,BA245,IF(Instructions!$J$11=15,BC245,BE245)))))))))))))))</f>
        <v>221</v>
      </c>
      <c r="C245" s="271">
        <v>243</v>
      </c>
      <c r="D245" s="281"/>
      <c r="E245" s="282"/>
      <c r="F245" s="281"/>
      <c r="H245" s="293" t="str">
        <f>Instructions!F$44</f>
        <v>Cam</v>
      </c>
      <c r="I245" s="273" t="s">
        <v>1530</v>
      </c>
      <c r="J245" s="709"/>
      <c r="K245" s="279">
        <v>25</v>
      </c>
      <c r="L245" s="293" t="str">
        <f>Instructions!F$44</f>
        <v>Cam</v>
      </c>
      <c r="M245" s="273" t="s">
        <v>1498</v>
      </c>
      <c r="N245" s="709"/>
      <c r="O245">
        <v>21</v>
      </c>
      <c r="P245" s="293" t="str">
        <f>Instructions!F$51</f>
        <v>Josh</v>
      </c>
      <c r="Q245" s="273" t="s">
        <v>1091</v>
      </c>
      <c r="R245" s="709"/>
      <c r="S245">
        <v>18</v>
      </c>
      <c r="T245" s="127"/>
      <c r="U245" s="339"/>
      <c r="V245" s="127"/>
      <c r="X245" s="280"/>
      <c r="Y245" s="190" t="str">
        <f>IFERROR( IF(Instructions!$E$11=8, D245&amp;COUNTIF(D$3:D245,D245), IF(Instructions!$E$11=10, H245&amp;COUNTIF(H$3:H245,H245),IF(Instructions!$E$11=12, L245&amp;COUNTIF(L$3:L245,L245),IF(Instructions!$E$11=14, P245&amp;COUNTIF(P$3:P245,P245),T245&amp;COUNTIF(T$3:T245,T245))))),"")</f>
        <v>Cam21</v>
      </c>
      <c r="Z245" s="321">
        <f>IF(Instructions!$E$11=8,IF($D245=Instructions!$F$42,Z244+1,Z244),IF(Instructions!$E$11=10,IF($H245=Instructions!$F$42,Z244+1,Z244),IF(Instructions!$E$11=12,IF($L245=Instructions!$F$42,Z244+1,Z244),IF(Instructions!$E$11=14,IF($P245=Instructions!$F$42,Z244+1,Z244),IF(Instructions!$E$11=16,IF($T245=Instructions!$F$42,Z244+1,Z244))))))</f>
        <v>21</v>
      </c>
      <c r="AA245" s="321" t="str">
        <f t="shared" si="64"/>
        <v>121</v>
      </c>
      <c r="AB245" s="321">
        <f>IF(Instructions!$E$11=8,IF($D245=Instructions!$F$43,AB244+1,AB244),IF(Instructions!$E$11=10,IF($H245=Instructions!$F$43,AB244+1,AB244),IF(Instructions!$E$11=12,IF($L245=Instructions!$F$43,AB244+1,AB244),IF(Instructions!$E$11=14,IF($P245=Instructions!$F$43,AB244+1,AB244),IF(Instructions!$E$11=16,IF($T245=Instructions!$F$43,AB244+1,AB244))))))</f>
        <v>21</v>
      </c>
      <c r="AC245" s="321" t="str">
        <f t="shared" si="65"/>
        <v>221</v>
      </c>
      <c r="AD245" s="321">
        <f>IF(Instructions!$E$11=8,IF($D245=Instructions!$F$44,AD244+1,AD244),IF(Instructions!$E$11=10,IF($H245=Instructions!$F$44,AD244+1,AD244),IF(Instructions!$E$11=12,IF($L245=Instructions!$F$44,AD244+1,AD244),IF(Instructions!$E$11=14,IF($P245=Instructions!$F$44,AD244+1,AD244),IF(Instructions!$E$11=16,IF($T245=Instructions!$F$44,AD244+1,AD244))))))</f>
        <v>21</v>
      </c>
      <c r="AE245" s="321" t="str">
        <f t="shared" si="66"/>
        <v>321</v>
      </c>
      <c r="AF245" s="321">
        <f>IF(Instructions!$E$11=8,IF($D245=Instructions!$F$45,AF244+1,AF244),IF(Instructions!$E$11=10,IF($H245=Instructions!$F$45,AF244+1,AF244),IF(Instructions!$E$11=12,IF($L245=Instructions!$F$45,AF244+1,AF244),IF(Instructions!$E$11=14,IF($P245=Instructions!$F$45,AF244+1,AF244),IF(Instructions!$E$11=16,IF($T245=Instructions!$F$45,AF244+1,AF244))))))</f>
        <v>20</v>
      </c>
      <c r="AG245" s="321" t="str">
        <f t="shared" si="67"/>
        <v>420</v>
      </c>
      <c r="AH245" s="321">
        <f>IF(Instructions!$E$11=8,IF($D245=Instructions!$F$46,AH244+1,AH244),IF(Instructions!$E$11=10,IF($H245=Instructions!$F$46,AH244+1,AH244),IF(Instructions!$E$11=12,IF($L245=Instructions!$F$46,AH244+1,AH244),IF(Instructions!$E$11=14,IF($P245=Instructions!$F$46,AH244+1,AH244),IF(Instructions!$E$11=16,IF($T245=Instructions!$F$46,AH244+1,AH244))))))</f>
        <v>20</v>
      </c>
      <c r="AI245" s="321" t="str">
        <f t="shared" si="68"/>
        <v>520</v>
      </c>
      <c r="AJ245" s="321">
        <f>IF(Instructions!$E$11=8,IF($D245=Instructions!$F$47,AJ244+1,AJ244),IF(Instructions!$E$11=10,IF($H245=Instructions!$F$47,AJ244+1,AJ244),IF(Instructions!$E$11=12,IF($L245=Instructions!$F$47,AJ244+1,AJ244),IF(Instructions!$E$11=14,IF($P245=Instructions!$F$47,AJ244+1,AJ244),IF(Instructions!$E$11=16,IF($T245=Instructions!$F$47,AJ244+1,AJ244))))))</f>
        <v>20</v>
      </c>
      <c r="AK245" s="321" t="str">
        <f t="shared" si="69"/>
        <v>620</v>
      </c>
      <c r="AL245" s="321">
        <f>IF(Instructions!$E$11=8,IF($D245=Instructions!$F$48,AL244+1,AL244),IF(Instructions!$E$11=10,IF($H245=Instructions!$F$48,AL244+1,AL244),IF(Instructions!$E$11=12,IF($L245=Instructions!$F$48,AL244+1,AL244),IF(Instructions!$E$11=14,IF($P245=Instructions!$F$48,AL244+1,AL244),IF(Instructions!$E$11=16,IF($T245=Instructions!$F$48,AL244+1,AL244))))))</f>
        <v>20</v>
      </c>
      <c r="AM245" s="321" t="str">
        <f t="shared" si="70"/>
        <v>720</v>
      </c>
      <c r="AN245" s="321">
        <f>IF(Instructions!$E$11=8,IF($D245=Instructions!$F$49,AN244+1,AN244),IF(Instructions!$E$11=10,IF($H245=Instructions!$F$49,AN244+1,AN244),IF(Instructions!$E$11=12,IF($L245=Instructions!$F$49,AN244+1,AN244),IF(Instructions!$E$11=14,IF($P245=Instructions!$F$49,AN244+1,AN244),IF(Instructions!$E$11=16,IF($T245=Instructions!$F$49,AN244+1,AN244))))))</f>
        <v>20</v>
      </c>
      <c r="AO245" s="321" t="str">
        <f t="shared" si="71"/>
        <v>820</v>
      </c>
      <c r="AP245" s="321">
        <f>IF(Instructions!$E$11=8,IF($D245=Instructions!$F$50,AP244+1,AP244),IF(Instructions!$E$11=10,IF($H245=Instructions!$F$50,AP244+1,AP244),IF(Instructions!$E$11=12,IF($L245=Instructions!$F$50,AP244+1,AP244),IF(Instructions!$E$11=14,IF($P245=Instructions!$F$50,AP244+1,AP244),IF(Instructions!$E$11=16,IF($T245=Instructions!$F$50,AP244+1,AP244))))))</f>
        <v>20</v>
      </c>
      <c r="AQ245" s="321" t="str">
        <f t="shared" si="72"/>
        <v>920</v>
      </c>
      <c r="AR245" s="321">
        <f>IF(Instructions!$E$11=8,IF($D245=Instructions!$F$51,AR244+1,AR244),IF(Instructions!$E$11=10,IF($H245=Instructions!$F$51,AR244+1,AR244),IF(Instructions!$E$11=12,IF($L245=Instructions!$F$51,AR244+1,AR244),IF(Instructions!$E$11=14,IF($P245=Instructions!$F$51,AR244+1,AR244),IF(Instructions!$E$11=16,IF($T245=Instructions!$F$51,AR244+1,AR244))))))</f>
        <v>20</v>
      </c>
      <c r="AS245" s="321" t="str">
        <f t="shared" si="73"/>
        <v>1020</v>
      </c>
      <c r="AT245" s="321">
        <f>IF(Instructions!$E$11=8,IF($D245=Instructions!$F$52,AT244+1,AT244),IF(Instructions!$E$11=10,IF($H245=Instructions!$F$52,AT244+1,AT244),IF(Instructions!$E$11=12,IF($L245=Instructions!$F$52,AT244+1,AT244),IF(Instructions!$E$11=14,IF($P245=Instructions!$F$52,AT244+1,AT244),IF(Instructions!$E$11=16,IF($T245=Instructions!$F$52,AT244+1,AT244))))))</f>
        <v>20</v>
      </c>
      <c r="AU245" s="321" t="str">
        <f t="shared" si="74"/>
        <v>1120</v>
      </c>
      <c r="AV245" s="321">
        <f>IF(Instructions!$E$11=8,IF($D245=Instructions!$F$53,AV244+1,AV244),IF(Instructions!$E$11=10,IF($H245=Instructions!$F$53,AV244+1,AV244),IF(Instructions!$E$11=12,IF($L245=Instructions!$F$53,AV244+1,AV244),IF(Instructions!$E$11=14,IF($P245=Instructions!$F$53,AV244+1,AV244),IF(Instructions!$E$11=16,IF($T245=Instructions!$F$53,AV244+1,AV244))))))</f>
        <v>20</v>
      </c>
      <c r="AW245" s="321" t="str">
        <f t="shared" si="75"/>
        <v>1220</v>
      </c>
      <c r="AX245" s="321">
        <f>IF(Instructions!$E$11=8,IF($D245=Instructions!$F$54,AX244+1,AX244),IF(Instructions!$E$11=10,IF($H245=Instructions!$F$54,AX244+1,AX244),IF(Instructions!$E$11=12,IF($L245=Instructions!$F$54,AX244+1,AX244),IF(Instructions!$E$11=14,IF($P245=Instructions!$F$54,AX244+1,AX244),IF(Instructions!$E$11=16,IF($T245=Instructions!$F$54,AX244+1,AX244))))))</f>
        <v>0</v>
      </c>
      <c r="AY245" s="321" t="str">
        <f t="shared" si="76"/>
        <v>1300</v>
      </c>
      <c r="AZ245" s="321">
        <f>IF(Instructions!$E$11=8,IF($D245=Instructions!$F$55,AZ244+1,AZ244),IF(Instructions!$E$11=10,IF($H245=Instructions!$F$55,AZ244+1,AZ244),IF(Instructions!$E$11=12,IF($L245=Instructions!$F$55,AZ244+1,AZ244),IF(Instructions!$E$11=14,IF($P245=Instructions!$F$55,AZ244+1,AZ244),IF(Instructions!$E$11=16,IF($T245=Instructions!$F$55,AZ244+1,AZ244))))))</f>
        <v>0</v>
      </c>
      <c r="BA245" s="321" t="str">
        <f t="shared" si="77"/>
        <v>1400</v>
      </c>
      <c r="BB245" s="321">
        <f>IF(Instructions!$E$11=8,IF($D245=Instructions!$F$56,BB244+1,BB244),IF(Instructions!$E$11=10,IF($H245=Instructions!$F$56,BB244+1,BB244),IF(Instructions!$E$11=12,IF($L245=Instructions!$F$56,BB244+1,BB244),IF(Instructions!$E$11=14,IF($P245=Instructions!$F$56,BB244+1,BB244),IF(Instructions!$E$11=16,IF($T245=Instructions!$F$56,BB244+1,BB244))))))</f>
        <v>0</v>
      </c>
      <c r="BC245" s="321" t="str">
        <f t="shared" si="62"/>
        <v>1500</v>
      </c>
      <c r="BD245" s="321">
        <f>IF(Instructions!$E$11=8,IF($D245=Instructions!$F$57,BD244+1,BD244),IF(Instructions!$E$11=10,IF($H245=Instructions!$F$57,BD244+1,BD244),IF(Instructions!$E$11=12,IF($L245=Instructions!$F$57,BD244+1,BD244),IF(Instructions!$E$11=14,IF($P245=Instructions!$F$57,BD244+1,BD244),IF(Instructions!$E$11=16,IF($T245=Instructions!$F$57,BD244+1,BD244))))))</f>
        <v>0</v>
      </c>
      <c r="BE245" s="321" t="str">
        <f t="shared" si="63"/>
        <v>1600</v>
      </c>
      <c r="BF245" s="321">
        <v>243</v>
      </c>
    </row>
    <row r="246" spans="1:58" x14ac:dyDescent="0.25">
      <c r="A246" s="280"/>
      <c r="B246" s="323" t="str">
        <f>IF(Instructions!$J$11=1,AA246,IF(Instructions!$J$11=2,AC246,IF(Instructions!$J$11=3,AE246,IF(Instructions!$J$11=4,AG246,IF(Instructions!$J$11=5,AI246,IF(Instructions!$J$11=6,AK246,IF(Instructions!$J$11=7,AM246,IF(Instructions!$J$11=8,AO246,IF(Instructions!$J$11=9,AQ246,IF(Instructions!$J$11=10,AS246,IF(Instructions!$J$11=11,AU246,IF(Instructions!$J$11=12,AW246,IF(Instructions!$J$11=13, AY246, IF(Instructions!$J$11=14,BA246,IF(Instructions!$J$11=15,BC246,BE246)))))))))))))))</f>
        <v>221</v>
      </c>
      <c r="C246" s="272">
        <v>244</v>
      </c>
      <c r="D246" s="281"/>
      <c r="E246" s="282"/>
      <c r="F246" s="281"/>
      <c r="H246" s="294" t="str">
        <f>Instructions!F$45</f>
        <v>Miles</v>
      </c>
      <c r="I246" s="274" t="s">
        <v>1531</v>
      </c>
      <c r="J246" s="709"/>
      <c r="K246" s="279">
        <v>25</v>
      </c>
      <c r="L246" s="294" t="str">
        <f>Instructions!F$45</f>
        <v>Miles</v>
      </c>
      <c r="M246" s="274" t="s">
        <v>1499</v>
      </c>
      <c r="N246" s="709"/>
      <c r="O246">
        <v>21</v>
      </c>
      <c r="P246" s="294" t="str">
        <f>Instructions!F$50</f>
        <v>Dan</v>
      </c>
      <c r="Q246" s="274" t="s">
        <v>1092</v>
      </c>
      <c r="R246" s="709"/>
      <c r="S246">
        <v>18</v>
      </c>
      <c r="T246" s="127"/>
      <c r="U246" s="339"/>
      <c r="V246" s="127"/>
      <c r="X246" s="280"/>
      <c r="Y246" s="190" t="str">
        <f>IFERROR( IF(Instructions!$E$11=8, D246&amp;COUNTIF(D$3:D246,D246), IF(Instructions!$E$11=10, H246&amp;COUNTIF(H$3:H246,H246),IF(Instructions!$E$11=12, L246&amp;COUNTIF(L$3:L246,L246),IF(Instructions!$E$11=14, P246&amp;COUNTIF(P$3:P246,P246),T246&amp;COUNTIF(T$3:T246,T246))))),"")</f>
        <v>Miles21</v>
      </c>
      <c r="Z246" s="321">
        <f>IF(Instructions!$E$11=8,IF($D246=Instructions!$F$42,Z245+1,Z245),IF(Instructions!$E$11=10,IF($H246=Instructions!$F$42,Z245+1,Z245),IF(Instructions!$E$11=12,IF($L246=Instructions!$F$42,Z245+1,Z245),IF(Instructions!$E$11=14,IF($P246=Instructions!$F$42,Z245+1,Z245),IF(Instructions!$E$11=16,IF($T246=Instructions!$F$42,Z245+1,Z245))))))</f>
        <v>21</v>
      </c>
      <c r="AA246" s="321" t="str">
        <f t="shared" si="64"/>
        <v>121</v>
      </c>
      <c r="AB246" s="321">
        <f>IF(Instructions!$E$11=8,IF($D246=Instructions!$F$43,AB245+1,AB245),IF(Instructions!$E$11=10,IF($H246=Instructions!$F$43,AB245+1,AB245),IF(Instructions!$E$11=12,IF($L246=Instructions!$F$43,AB245+1,AB245),IF(Instructions!$E$11=14,IF($P246=Instructions!$F$43,AB245+1,AB245),IF(Instructions!$E$11=16,IF($T246=Instructions!$F$43,AB245+1,AB245))))))</f>
        <v>21</v>
      </c>
      <c r="AC246" s="321" t="str">
        <f t="shared" si="65"/>
        <v>221</v>
      </c>
      <c r="AD246" s="321">
        <f>IF(Instructions!$E$11=8,IF($D246=Instructions!$F$44,AD245+1,AD245),IF(Instructions!$E$11=10,IF($H246=Instructions!$F$44,AD245+1,AD245),IF(Instructions!$E$11=12,IF($L246=Instructions!$F$44,AD245+1,AD245),IF(Instructions!$E$11=14,IF($P246=Instructions!$F$44,AD245+1,AD245),IF(Instructions!$E$11=16,IF($T246=Instructions!$F$44,AD245+1,AD245))))))</f>
        <v>21</v>
      </c>
      <c r="AE246" s="321" t="str">
        <f t="shared" si="66"/>
        <v>321</v>
      </c>
      <c r="AF246" s="321">
        <f>IF(Instructions!$E$11=8,IF($D246=Instructions!$F$45,AF245+1,AF245),IF(Instructions!$E$11=10,IF($H246=Instructions!$F$45,AF245+1,AF245),IF(Instructions!$E$11=12,IF($L246=Instructions!$F$45,AF245+1,AF245),IF(Instructions!$E$11=14,IF($P246=Instructions!$F$45,AF245+1,AF245),IF(Instructions!$E$11=16,IF($T246=Instructions!$F$45,AF245+1,AF245))))))</f>
        <v>21</v>
      </c>
      <c r="AG246" s="321" t="str">
        <f t="shared" si="67"/>
        <v>421</v>
      </c>
      <c r="AH246" s="321">
        <f>IF(Instructions!$E$11=8,IF($D246=Instructions!$F$46,AH245+1,AH245),IF(Instructions!$E$11=10,IF($H246=Instructions!$F$46,AH245+1,AH245),IF(Instructions!$E$11=12,IF($L246=Instructions!$F$46,AH245+1,AH245),IF(Instructions!$E$11=14,IF($P246=Instructions!$F$46,AH245+1,AH245),IF(Instructions!$E$11=16,IF($T246=Instructions!$F$46,AH245+1,AH245))))))</f>
        <v>20</v>
      </c>
      <c r="AI246" s="321" t="str">
        <f t="shared" si="68"/>
        <v>520</v>
      </c>
      <c r="AJ246" s="321">
        <f>IF(Instructions!$E$11=8,IF($D246=Instructions!$F$47,AJ245+1,AJ245),IF(Instructions!$E$11=10,IF($H246=Instructions!$F$47,AJ245+1,AJ245),IF(Instructions!$E$11=12,IF($L246=Instructions!$F$47,AJ245+1,AJ245),IF(Instructions!$E$11=14,IF($P246=Instructions!$F$47,AJ245+1,AJ245),IF(Instructions!$E$11=16,IF($T246=Instructions!$F$47,AJ245+1,AJ245))))))</f>
        <v>20</v>
      </c>
      <c r="AK246" s="321" t="str">
        <f t="shared" si="69"/>
        <v>620</v>
      </c>
      <c r="AL246" s="321">
        <f>IF(Instructions!$E$11=8,IF($D246=Instructions!$F$48,AL245+1,AL245),IF(Instructions!$E$11=10,IF($H246=Instructions!$F$48,AL245+1,AL245),IF(Instructions!$E$11=12,IF($L246=Instructions!$F$48,AL245+1,AL245),IF(Instructions!$E$11=14,IF($P246=Instructions!$F$48,AL245+1,AL245),IF(Instructions!$E$11=16,IF($T246=Instructions!$F$48,AL245+1,AL245))))))</f>
        <v>20</v>
      </c>
      <c r="AM246" s="321" t="str">
        <f t="shared" si="70"/>
        <v>720</v>
      </c>
      <c r="AN246" s="321">
        <f>IF(Instructions!$E$11=8,IF($D246=Instructions!$F$49,AN245+1,AN245),IF(Instructions!$E$11=10,IF($H246=Instructions!$F$49,AN245+1,AN245),IF(Instructions!$E$11=12,IF($L246=Instructions!$F$49,AN245+1,AN245),IF(Instructions!$E$11=14,IF($P246=Instructions!$F$49,AN245+1,AN245),IF(Instructions!$E$11=16,IF($T246=Instructions!$F$49,AN245+1,AN245))))))</f>
        <v>20</v>
      </c>
      <c r="AO246" s="321" t="str">
        <f t="shared" si="71"/>
        <v>820</v>
      </c>
      <c r="AP246" s="321">
        <f>IF(Instructions!$E$11=8,IF($D246=Instructions!$F$50,AP245+1,AP245),IF(Instructions!$E$11=10,IF($H246=Instructions!$F$50,AP245+1,AP245),IF(Instructions!$E$11=12,IF($L246=Instructions!$F$50,AP245+1,AP245),IF(Instructions!$E$11=14,IF($P246=Instructions!$F$50,AP245+1,AP245),IF(Instructions!$E$11=16,IF($T246=Instructions!$F$50,AP245+1,AP245))))))</f>
        <v>20</v>
      </c>
      <c r="AQ246" s="321" t="str">
        <f t="shared" si="72"/>
        <v>920</v>
      </c>
      <c r="AR246" s="321">
        <f>IF(Instructions!$E$11=8,IF($D246=Instructions!$F$51,AR245+1,AR245),IF(Instructions!$E$11=10,IF($H246=Instructions!$F$51,AR245+1,AR245),IF(Instructions!$E$11=12,IF($L246=Instructions!$F$51,AR245+1,AR245),IF(Instructions!$E$11=14,IF($P246=Instructions!$F$51,AR245+1,AR245),IF(Instructions!$E$11=16,IF($T246=Instructions!$F$51,AR245+1,AR245))))))</f>
        <v>20</v>
      </c>
      <c r="AS246" s="321" t="str">
        <f t="shared" si="73"/>
        <v>1020</v>
      </c>
      <c r="AT246" s="321">
        <f>IF(Instructions!$E$11=8,IF($D246=Instructions!$F$52,AT245+1,AT245),IF(Instructions!$E$11=10,IF($H246=Instructions!$F$52,AT245+1,AT245),IF(Instructions!$E$11=12,IF($L246=Instructions!$F$52,AT245+1,AT245),IF(Instructions!$E$11=14,IF($P246=Instructions!$F$52,AT245+1,AT245),IF(Instructions!$E$11=16,IF($T246=Instructions!$F$52,AT245+1,AT245))))))</f>
        <v>20</v>
      </c>
      <c r="AU246" s="321" t="str">
        <f t="shared" si="74"/>
        <v>1120</v>
      </c>
      <c r="AV246" s="321">
        <f>IF(Instructions!$E$11=8,IF($D246=Instructions!$F$53,AV245+1,AV245),IF(Instructions!$E$11=10,IF($H246=Instructions!$F$53,AV245+1,AV245),IF(Instructions!$E$11=12,IF($L246=Instructions!$F$53,AV245+1,AV245),IF(Instructions!$E$11=14,IF($P246=Instructions!$F$53,AV245+1,AV245),IF(Instructions!$E$11=16,IF($T246=Instructions!$F$53,AV245+1,AV245))))))</f>
        <v>20</v>
      </c>
      <c r="AW246" s="321" t="str">
        <f t="shared" si="75"/>
        <v>1220</v>
      </c>
      <c r="AX246" s="321">
        <f>IF(Instructions!$E$11=8,IF($D246=Instructions!$F$54,AX245+1,AX245),IF(Instructions!$E$11=10,IF($H246=Instructions!$F$54,AX245+1,AX245),IF(Instructions!$E$11=12,IF($L246=Instructions!$F$54,AX245+1,AX245),IF(Instructions!$E$11=14,IF($P246=Instructions!$F$54,AX245+1,AX245),IF(Instructions!$E$11=16,IF($T246=Instructions!$F$54,AX245+1,AX245))))))</f>
        <v>0</v>
      </c>
      <c r="AY246" s="321" t="str">
        <f t="shared" si="76"/>
        <v>1300</v>
      </c>
      <c r="AZ246" s="321">
        <f>IF(Instructions!$E$11=8,IF($D246=Instructions!$F$55,AZ245+1,AZ245),IF(Instructions!$E$11=10,IF($H246=Instructions!$F$55,AZ245+1,AZ245),IF(Instructions!$E$11=12,IF($L246=Instructions!$F$55,AZ245+1,AZ245),IF(Instructions!$E$11=14,IF($P246=Instructions!$F$55,AZ245+1,AZ245),IF(Instructions!$E$11=16,IF($T246=Instructions!$F$55,AZ245+1,AZ245))))))</f>
        <v>0</v>
      </c>
      <c r="BA246" s="321" t="str">
        <f t="shared" si="77"/>
        <v>1400</v>
      </c>
      <c r="BB246" s="321">
        <f>IF(Instructions!$E$11=8,IF($D246=Instructions!$F$56,BB245+1,BB245),IF(Instructions!$E$11=10,IF($H246=Instructions!$F$56,BB245+1,BB245),IF(Instructions!$E$11=12,IF($L246=Instructions!$F$56,BB245+1,BB245),IF(Instructions!$E$11=14,IF($P246=Instructions!$F$56,BB245+1,BB245),IF(Instructions!$E$11=16,IF($T246=Instructions!$F$56,BB245+1,BB245))))))</f>
        <v>0</v>
      </c>
      <c r="BC246" s="321" t="str">
        <f t="shared" si="62"/>
        <v>1500</v>
      </c>
      <c r="BD246" s="321">
        <f>IF(Instructions!$E$11=8,IF($D246=Instructions!$F$57,BD245+1,BD245),IF(Instructions!$E$11=10,IF($H246=Instructions!$F$57,BD245+1,BD245),IF(Instructions!$E$11=12,IF($L246=Instructions!$F$57,BD245+1,BD245),IF(Instructions!$E$11=14,IF($P246=Instructions!$F$57,BD245+1,BD245),IF(Instructions!$E$11=16,IF($T246=Instructions!$F$57,BD245+1,BD245))))))</f>
        <v>0</v>
      </c>
      <c r="BE246" s="321" t="str">
        <f t="shared" si="63"/>
        <v>1600</v>
      </c>
      <c r="BF246" s="321">
        <v>244</v>
      </c>
    </row>
    <row r="247" spans="1:58" x14ac:dyDescent="0.25">
      <c r="A247" s="280"/>
      <c r="B247" s="323" t="str">
        <f>IF(Instructions!$J$11=1,AA247,IF(Instructions!$J$11=2,AC247,IF(Instructions!$J$11=3,AE247,IF(Instructions!$J$11=4,AG247,IF(Instructions!$J$11=5,AI247,IF(Instructions!$J$11=6,AK247,IF(Instructions!$J$11=7,AM247,IF(Instructions!$J$11=8,AO247,IF(Instructions!$J$11=9,AQ247,IF(Instructions!$J$11=10,AS247,IF(Instructions!$J$11=11,AU247,IF(Instructions!$J$11=12,AW247,IF(Instructions!$J$11=13, AY247, IF(Instructions!$J$11=14,BA247,IF(Instructions!$J$11=15,BC247,BE247)))))))))))))))</f>
        <v>221</v>
      </c>
      <c r="C247" s="271">
        <v>245</v>
      </c>
      <c r="D247" s="281"/>
      <c r="E247" s="282"/>
      <c r="F247" s="281"/>
      <c r="H247" s="293" t="str">
        <f>Instructions!F$46</f>
        <v>Con</v>
      </c>
      <c r="I247" s="273" t="s">
        <v>1532</v>
      </c>
      <c r="J247" s="709"/>
      <c r="K247" s="279">
        <v>25</v>
      </c>
      <c r="L247" s="293" t="str">
        <f>Instructions!F$46</f>
        <v>Con</v>
      </c>
      <c r="M247" s="273" t="s">
        <v>1500</v>
      </c>
      <c r="N247" s="709"/>
      <c r="O247">
        <v>21</v>
      </c>
      <c r="P247" s="293" t="str">
        <f>Instructions!F$49</f>
        <v>Luke</v>
      </c>
      <c r="Q247" s="273" t="s">
        <v>1093</v>
      </c>
      <c r="R247" s="709"/>
      <c r="S247">
        <v>18</v>
      </c>
      <c r="T247" s="127"/>
      <c r="U247" s="339"/>
      <c r="V247" s="127"/>
      <c r="X247" s="280"/>
      <c r="Y247" s="190" t="str">
        <f>IFERROR( IF(Instructions!$E$11=8, D247&amp;COUNTIF(D$3:D247,D247), IF(Instructions!$E$11=10, H247&amp;COUNTIF(H$3:H247,H247),IF(Instructions!$E$11=12, L247&amp;COUNTIF(L$3:L247,L247),IF(Instructions!$E$11=14, P247&amp;COUNTIF(P$3:P247,P247),T247&amp;COUNTIF(T$3:T247,T247))))),"")</f>
        <v>Con21</v>
      </c>
      <c r="Z247" s="321">
        <f>IF(Instructions!$E$11=8,IF($D247=Instructions!$F$42,Z246+1,Z246),IF(Instructions!$E$11=10,IF($H247=Instructions!$F$42,Z246+1,Z246),IF(Instructions!$E$11=12,IF($L247=Instructions!$F$42,Z246+1,Z246),IF(Instructions!$E$11=14,IF($P247=Instructions!$F$42,Z246+1,Z246),IF(Instructions!$E$11=16,IF($T247=Instructions!$F$42,Z246+1,Z246))))))</f>
        <v>21</v>
      </c>
      <c r="AA247" s="321" t="str">
        <f t="shared" si="64"/>
        <v>121</v>
      </c>
      <c r="AB247" s="321">
        <f>IF(Instructions!$E$11=8,IF($D247=Instructions!$F$43,AB246+1,AB246),IF(Instructions!$E$11=10,IF($H247=Instructions!$F$43,AB246+1,AB246),IF(Instructions!$E$11=12,IF($L247=Instructions!$F$43,AB246+1,AB246),IF(Instructions!$E$11=14,IF($P247=Instructions!$F$43,AB246+1,AB246),IF(Instructions!$E$11=16,IF($T247=Instructions!$F$43,AB246+1,AB246))))))</f>
        <v>21</v>
      </c>
      <c r="AC247" s="321" t="str">
        <f t="shared" si="65"/>
        <v>221</v>
      </c>
      <c r="AD247" s="321">
        <f>IF(Instructions!$E$11=8,IF($D247=Instructions!$F$44,AD246+1,AD246),IF(Instructions!$E$11=10,IF($H247=Instructions!$F$44,AD246+1,AD246),IF(Instructions!$E$11=12,IF($L247=Instructions!$F$44,AD246+1,AD246),IF(Instructions!$E$11=14,IF($P247=Instructions!$F$44,AD246+1,AD246),IF(Instructions!$E$11=16,IF($T247=Instructions!$F$44,AD246+1,AD246))))))</f>
        <v>21</v>
      </c>
      <c r="AE247" s="321" t="str">
        <f t="shared" si="66"/>
        <v>321</v>
      </c>
      <c r="AF247" s="321">
        <f>IF(Instructions!$E$11=8,IF($D247=Instructions!$F$45,AF246+1,AF246),IF(Instructions!$E$11=10,IF($H247=Instructions!$F$45,AF246+1,AF246),IF(Instructions!$E$11=12,IF($L247=Instructions!$F$45,AF246+1,AF246),IF(Instructions!$E$11=14,IF($P247=Instructions!$F$45,AF246+1,AF246),IF(Instructions!$E$11=16,IF($T247=Instructions!$F$45,AF246+1,AF246))))))</f>
        <v>21</v>
      </c>
      <c r="AG247" s="321" t="str">
        <f t="shared" si="67"/>
        <v>421</v>
      </c>
      <c r="AH247" s="321">
        <f>IF(Instructions!$E$11=8,IF($D247=Instructions!$F$46,AH246+1,AH246),IF(Instructions!$E$11=10,IF($H247=Instructions!$F$46,AH246+1,AH246),IF(Instructions!$E$11=12,IF($L247=Instructions!$F$46,AH246+1,AH246),IF(Instructions!$E$11=14,IF($P247=Instructions!$F$46,AH246+1,AH246),IF(Instructions!$E$11=16,IF($T247=Instructions!$F$46,AH246+1,AH246))))))</f>
        <v>21</v>
      </c>
      <c r="AI247" s="321" t="str">
        <f t="shared" si="68"/>
        <v>521</v>
      </c>
      <c r="AJ247" s="321">
        <f>IF(Instructions!$E$11=8,IF($D247=Instructions!$F$47,AJ246+1,AJ246),IF(Instructions!$E$11=10,IF($H247=Instructions!$F$47,AJ246+1,AJ246),IF(Instructions!$E$11=12,IF($L247=Instructions!$F$47,AJ246+1,AJ246),IF(Instructions!$E$11=14,IF($P247=Instructions!$F$47,AJ246+1,AJ246),IF(Instructions!$E$11=16,IF($T247=Instructions!$F$47,AJ246+1,AJ246))))))</f>
        <v>20</v>
      </c>
      <c r="AK247" s="321" t="str">
        <f t="shared" si="69"/>
        <v>620</v>
      </c>
      <c r="AL247" s="321">
        <f>IF(Instructions!$E$11=8,IF($D247=Instructions!$F$48,AL246+1,AL246),IF(Instructions!$E$11=10,IF($H247=Instructions!$F$48,AL246+1,AL246),IF(Instructions!$E$11=12,IF($L247=Instructions!$F$48,AL246+1,AL246),IF(Instructions!$E$11=14,IF($P247=Instructions!$F$48,AL246+1,AL246),IF(Instructions!$E$11=16,IF($T247=Instructions!$F$48,AL246+1,AL246))))))</f>
        <v>20</v>
      </c>
      <c r="AM247" s="321" t="str">
        <f t="shared" si="70"/>
        <v>720</v>
      </c>
      <c r="AN247" s="321">
        <f>IF(Instructions!$E$11=8,IF($D247=Instructions!$F$49,AN246+1,AN246),IF(Instructions!$E$11=10,IF($H247=Instructions!$F$49,AN246+1,AN246),IF(Instructions!$E$11=12,IF($L247=Instructions!$F$49,AN246+1,AN246),IF(Instructions!$E$11=14,IF($P247=Instructions!$F$49,AN246+1,AN246),IF(Instructions!$E$11=16,IF($T247=Instructions!$F$49,AN246+1,AN246))))))</f>
        <v>20</v>
      </c>
      <c r="AO247" s="321" t="str">
        <f t="shared" si="71"/>
        <v>820</v>
      </c>
      <c r="AP247" s="321">
        <f>IF(Instructions!$E$11=8,IF($D247=Instructions!$F$50,AP246+1,AP246),IF(Instructions!$E$11=10,IF($H247=Instructions!$F$50,AP246+1,AP246),IF(Instructions!$E$11=12,IF($L247=Instructions!$F$50,AP246+1,AP246),IF(Instructions!$E$11=14,IF($P247=Instructions!$F$50,AP246+1,AP246),IF(Instructions!$E$11=16,IF($T247=Instructions!$F$50,AP246+1,AP246))))))</f>
        <v>20</v>
      </c>
      <c r="AQ247" s="321" t="str">
        <f t="shared" si="72"/>
        <v>920</v>
      </c>
      <c r="AR247" s="321">
        <f>IF(Instructions!$E$11=8,IF($D247=Instructions!$F$51,AR246+1,AR246),IF(Instructions!$E$11=10,IF($H247=Instructions!$F$51,AR246+1,AR246),IF(Instructions!$E$11=12,IF($L247=Instructions!$F$51,AR246+1,AR246),IF(Instructions!$E$11=14,IF($P247=Instructions!$F$51,AR246+1,AR246),IF(Instructions!$E$11=16,IF($T247=Instructions!$F$51,AR246+1,AR246))))))</f>
        <v>20</v>
      </c>
      <c r="AS247" s="321" t="str">
        <f t="shared" si="73"/>
        <v>1020</v>
      </c>
      <c r="AT247" s="321">
        <f>IF(Instructions!$E$11=8,IF($D247=Instructions!$F$52,AT246+1,AT246),IF(Instructions!$E$11=10,IF($H247=Instructions!$F$52,AT246+1,AT246),IF(Instructions!$E$11=12,IF($L247=Instructions!$F$52,AT246+1,AT246),IF(Instructions!$E$11=14,IF($P247=Instructions!$F$52,AT246+1,AT246),IF(Instructions!$E$11=16,IF($T247=Instructions!$F$52,AT246+1,AT246))))))</f>
        <v>20</v>
      </c>
      <c r="AU247" s="321" t="str">
        <f t="shared" si="74"/>
        <v>1120</v>
      </c>
      <c r="AV247" s="321">
        <f>IF(Instructions!$E$11=8,IF($D247=Instructions!$F$53,AV246+1,AV246),IF(Instructions!$E$11=10,IF($H247=Instructions!$F$53,AV246+1,AV246),IF(Instructions!$E$11=12,IF($L247=Instructions!$F$53,AV246+1,AV246),IF(Instructions!$E$11=14,IF($P247=Instructions!$F$53,AV246+1,AV246),IF(Instructions!$E$11=16,IF($T247=Instructions!$F$53,AV246+1,AV246))))))</f>
        <v>20</v>
      </c>
      <c r="AW247" s="321" t="str">
        <f t="shared" si="75"/>
        <v>1220</v>
      </c>
      <c r="AX247" s="321">
        <f>IF(Instructions!$E$11=8,IF($D247=Instructions!$F$54,AX246+1,AX246),IF(Instructions!$E$11=10,IF($H247=Instructions!$F$54,AX246+1,AX246),IF(Instructions!$E$11=12,IF($L247=Instructions!$F$54,AX246+1,AX246),IF(Instructions!$E$11=14,IF($P247=Instructions!$F$54,AX246+1,AX246),IF(Instructions!$E$11=16,IF($T247=Instructions!$F$54,AX246+1,AX246))))))</f>
        <v>0</v>
      </c>
      <c r="AY247" s="321" t="str">
        <f t="shared" si="76"/>
        <v>1300</v>
      </c>
      <c r="AZ247" s="321">
        <f>IF(Instructions!$E$11=8,IF($D247=Instructions!$F$55,AZ246+1,AZ246),IF(Instructions!$E$11=10,IF($H247=Instructions!$F$55,AZ246+1,AZ246),IF(Instructions!$E$11=12,IF($L247=Instructions!$F$55,AZ246+1,AZ246),IF(Instructions!$E$11=14,IF($P247=Instructions!$F$55,AZ246+1,AZ246),IF(Instructions!$E$11=16,IF($T247=Instructions!$F$55,AZ246+1,AZ246))))))</f>
        <v>0</v>
      </c>
      <c r="BA247" s="321" t="str">
        <f t="shared" si="77"/>
        <v>1400</v>
      </c>
      <c r="BB247" s="321">
        <f>IF(Instructions!$E$11=8,IF($D247=Instructions!$F$56,BB246+1,BB246),IF(Instructions!$E$11=10,IF($H247=Instructions!$F$56,BB246+1,BB246),IF(Instructions!$E$11=12,IF($L247=Instructions!$F$56,BB246+1,BB246),IF(Instructions!$E$11=14,IF($P247=Instructions!$F$56,BB246+1,BB246),IF(Instructions!$E$11=16,IF($T247=Instructions!$F$56,BB246+1,BB246))))))</f>
        <v>0</v>
      </c>
      <c r="BC247" s="321" t="str">
        <f t="shared" si="62"/>
        <v>1500</v>
      </c>
      <c r="BD247" s="321">
        <f>IF(Instructions!$E$11=8,IF($D247=Instructions!$F$57,BD246+1,BD246),IF(Instructions!$E$11=10,IF($H247=Instructions!$F$57,BD246+1,BD246),IF(Instructions!$E$11=12,IF($L247=Instructions!$F$57,BD246+1,BD246),IF(Instructions!$E$11=14,IF($P247=Instructions!$F$57,BD246+1,BD246),IF(Instructions!$E$11=16,IF($T247=Instructions!$F$57,BD246+1,BD246))))))</f>
        <v>0</v>
      </c>
      <c r="BE247" s="321" t="str">
        <f t="shared" si="63"/>
        <v>1600</v>
      </c>
      <c r="BF247" s="321">
        <v>245</v>
      </c>
    </row>
    <row r="248" spans="1:58" x14ac:dyDescent="0.25">
      <c r="A248" s="280"/>
      <c r="B248" s="323" t="str">
        <f>IF(Instructions!$J$11=1,AA248,IF(Instructions!$J$11=2,AC248,IF(Instructions!$J$11=3,AE248,IF(Instructions!$J$11=4,AG248,IF(Instructions!$J$11=5,AI248,IF(Instructions!$J$11=6,AK248,IF(Instructions!$J$11=7,AM248,IF(Instructions!$J$11=8,AO248,IF(Instructions!$J$11=9,AQ248,IF(Instructions!$J$11=10,AS248,IF(Instructions!$J$11=11,AU248,IF(Instructions!$J$11=12,AW248,IF(Instructions!$J$11=13, AY248, IF(Instructions!$J$11=14,BA248,IF(Instructions!$J$11=15,BC248,BE248)))))))))))))))</f>
        <v>221</v>
      </c>
      <c r="C248" s="272">
        <v>246</v>
      </c>
      <c r="D248" s="281"/>
      <c r="E248" s="282"/>
      <c r="F248" s="281"/>
      <c r="H248" s="294" t="str">
        <f>Instructions!F$47</f>
        <v>Devin</v>
      </c>
      <c r="I248" s="274" t="s">
        <v>1533</v>
      </c>
      <c r="J248" s="709"/>
      <c r="K248" s="279">
        <v>25</v>
      </c>
      <c r="L248" s="294" t="str">
        <f>Instructions!F$47</f>
        <v>Devin</v>
      </c>
      <c r="M248" s="274" t="s">
        <v>1501</v>
      </c>
      <c r="N248" s="709"/>
      <c r="O248">
        <v>21</v>
      </c>
      <c r="P248" s="294" t="str">
        <f>Instructions!F$48</f>
        <v>Bui</v>
      </c>
      <c r="Q248" s="274" t="s">
        <v>1094</v>
      </c>
      <c r="R248" s="709"/>
      <c r="S248">
        <v>18</v>
      </c>
      <c r="T248" s="127"/>
      <c r="U248" s="339"/>
      <c r="V248" s="127"/>
      <c r="X248" s="280"/>
      <c r="Y248" s="190" t="str">
        <f>IFERROR( IF(Instructions!$E$11=8, D248&amp;COUNTIF(D$3:D248,D248), IF(Instructions!$E$11=10, H248&amp;COUNTIF(H$3:H248,H248),IF(Instructions!$E$11=12, L248&amp;COUNTIF(L$3:L248,L248),IF(Instructions!$E$11=14, P248&amp;COUNTIF(P$3:P248,P248),T248&amp;COUNTIF(T$3:T248,T248))))),"")</f>
        <v>Devin21</v>
      </c>
      <c r="Z248" s="321">
        <f>IF(Instructions!$E$11=8,IF($D248=Instructions!$F$42,Z247+1,Z247),IF(Instructions!$E$11=10,IF($H248=Instructions!$F$42,Z247+1,Z247),IF(Instructions!$E$11=12,IF($L248=Instructions!$F$42,Z247+1,Z247),IF(Instructions!$E$11=14,IF($P248=Instructions!$F$42,Z247+1,Z247),IF(Instructions!$E$11=16,IF($T248=Instructions!$F$42,Z247+1,Z247))))))</f>
        <v>21</v>
      </c>
      <c r="AA248" s="321" t="str">
        <f t="shared" si="64"/>
        <v>121</v>
      </c>
      <c r="AB248" s="321">
        <f>IF(Instructions!$E$11=8,IF($D248=Instructions!$F$43,AB247+1,AB247),IF(Instructions!$E$11=10,IF($H248=Instructions!$F$43,AB247+1,AB247),IF(Instructions!$E$11=12,IF($L248=Instructions!$F$43,AB247+1,AB247),IF(Instructions!$E$11=14,IF($P248=Instructions!$F$43,AB247+1,AB247),IF(Instructions!$E$11=16,IF($T248=Instructions!$F$43,AB247+1,AB247))))))</f>
        <v>21</v>
      </c>
      <c r="AC248" s="321" t="str">
        <f t="shared" si="65"/>
        <v>221</v>
      </c>
      <c r="AD248" s="321">
        <f>IF(Instructions!$E$11=8,IF($D248=Instructions!$F$44,AD247+1,AD247),IF(Instructions!$E$11=10,IF($H248=Instructions!$F$44,AD247+1,AD247),IF(Instructions!$E$11=12,IF($L248=Instructions!$F$44,AD247+1,AD247),IF(Instructions!$E$11=14,IF($P248=Instructions!$F$44,AD247+1,AD247),IF(Instructions!$E$11=16,IF($T248=Instructions!$F$44,AD247+1,AD247))))))</f>
        <v>21</v>
      </c>
      <c r="AE248" s="321" t="str">
        <f t="shared" si="66"/>
        <v>321</v>
      </c>
      <c r="AF248" s="321">
        <f>IF(Instructions!$E$11=8,IF($D248=Instructions!$F$45,AF247+1,AF247),IF(Instructions!$E$11=10,IF($H248=Instructions!$F$45,AF247+1,AF247),IF(Instructions!$E$11=12,IF($L248=Instructions!$F$45,AF247+1,AF247),IF(Instructions!$E$11=14,IF($P248=Instructions!$F$45,AF247+1,AF247),IF(Instructions!$E$11=16,IF($T248=Instructions!$F$45,AF247+1,AF247))))))</f>
        <v>21</v>
      </c>
      <c r="AG248" s="321" t="str">
        <f t="shared" si="67"/>
        <v>421</v>
      </c>
      <c r="AH248" s="321">
        <f>IF(Instructions!$E$11=8,IF($D248=Instructions!$F$46,AH247+1,AH247),IF(Instructions!$E$11=10,IF($H248=Instructions!$F$46,AH247+1,AH247),IF(Instructions!$E$11=12,IF($L248=Instructions!$F$46,AH247+1,AH247),IF(Instructions!$E$11=14,IF($P248=Instructions!$F$46,AH247+1,AH247),IF(Instructions!$E$11=16,IF($T248=Instructions!$F$46,AH247+1,AH247))))))</f>
        <v>21</v>
      </c>
      <c r="AI248" s="321" t="str">
        <f t="shared" si="68"/>
        <v>521</v>
      </c>
      <c r="AJ248" s="321">
        <f>IF(Instructions!$E$11=8,IF($D248=Instructions!$F$47,AJ247+1,AJ247),IF(Instructions!$E$11=10,IF($H248=Instructions!$F$47,AJ247+1,AJ247),IF(Instructions!$E$11=12,IF($L248=Instructions!$F$47,AJ247+1,AJ247),IF(Instructions!$E$11=14,IF($P248=Instructions!$F$47,AJ247+1,AJ247),IF(Instructions!$E$11=16,IF($T248=Instructions!$F$47,AJ247+1,AJ247))))))</f>
        <v>21</v>
      </c>
      <c r="AK248" s="321" t="str">
        <f t="shared" si="69"/>
        <v>621</v>
      </c>
      <c r="AL248" s="321">
        <f>IF(Instructions!$E$11=8,IF($D248=Instructions!$F$48,AL247+1,AL247),IF(Instructions!$E$11=10,IF($H248=Instructions!$F$48,AL247+1,AL247),IF(Instructions!$E$11=12,IF($L248=Instructions!$F$48,AL247+1,AL247),IF(Instructions!$E$11=14,IF($P248=Instructions!$F$48,AL247+1,AL247),IF(Instructions!$E$11=16,IF($T248=Instructions!$F$48,AL247+1,AL247))))))</f>
        <v>20</v>
      </c>
      <c r="AM248" s="321" t="str">
        <f t="shared" si="70"/>
        <v>720</v>
      </c>
      <c r="AN248" s="321">
        <f>IF(Instructions!$E$11=8,IF($D248=Instructions!$F$49,AN247+1,AN247),IF(Instructions!$E$11=10,IF($H248=Instructions!$F$49,AN247+1,AN247),IF(Instructions!$E$11=12,IF($L248=Instructions!$F$49,AN247+1,AN247),IF(Instructions!$E$11=14,IF($P248=Instructions!$F$49,AN247+1,AN247),IF(Instructions!$E$11=16,IF($T248=Instructions!$F$49,AN247+1,AN247))))))</f>
        <v>20</v>
      </c>
      <c r="AO248" s="321" t="str">
        <f t="shared" si="71"/>
        <v>820</v>
      </c>
      <c r="AP248" s="321">
        <f>IF(Instructions!$E$11=8,IF($D248=Instructions!$F$50,AP247+1,AP247),IF(Instructions!$E$11=10,IF($H248=Instructions!$F$50,AP247+1,AP247),IF(Instructions!$E$11=12,IF($L248=Instructions!$F$50,AP247+1,AP247),IF(Instructions!$E$11=14,IF($P248=Instructions!$F$50,AP247+1,AP247),IF(Instructions!$E$11=16,IF($T248=Instructions!$F$50,AP247+1,AP247))))))</f>
        <v>20</v>
      </c>
      <c r="AQ248" s="321" t="str">
        <f t="shared" si="72"/>
        <v>920</v>
      </c>
      <c r="AR248" s="321">
        <f>IF(Instructions!$E$11=8,IF($D248=Instructions!$F$51,AR247+1,AR247),IF(Instructions!$E$11=10,IF($H248=Instructions!$F$51,AR247+1,AR247),IF(Instructions!$E$11=12,IF($L248=Instructions!$F$51,AR247+1,AR247),IF(Instructions!$E$11=14,IF($P248=Instructions!$F$51,AR247+1,AR247),IF(Instructions!$E$11=16,IF($T248=Instructions!$F$51,AR247+1,AR247))))))</f>
        <v>20</v>
      </c>
      <c r="AS248" s="321" t="str">
        <f t="shared" si="73"/>
        <v>1020</v>
      </c>
      <c r="AT248" s="321">
        <f>IF(Instructions!$E$11=8,IF($D248=Instructions!$F$52,AT247+1,AT247),IF(Instructions!$E$11=10,IF($H248=Instructions!$F$52,AT247+1,AT247),IF(Instructions!$E$11=12,IF($L248=Instructions!$F$52,AT247+1,AT247),IF(Instructions!$E$11=14,IF($P248=Instructions!$F$52,AT247+1,AT247),IF(Instructions!$E$11=16,IF($T248=Instructions!$F$52,AT247+1,AT247))))))</f>
        <v>20</v>
      </c>
      <c r="AU248" s="321" t="str">
        <f t="shared" si="74"/>
        <v>1120</v>
      </c>
      <c r="AV248" s="321">
        <f>IF(Instructions!$E$11=8,IF($D248=Instructions!$F$53,AV247+1,AV247),IF(Instructions!$E$11=10,IF($H248=Instructions!$F$53,AV247+1,AV247),IF(Instructions!$E$11=12,IF($L248=Instructions!$F$53,AV247+1,AV247),IF(Instructions!$E$11=14,IF($P248=Instructions!$F$53,AV247+1,AV247),IF(Instructions!$E$11=16,IF($T248=Instructions!$F$53,AV247+1,AV247))))))</f>
        <v>20</v>
      </c>
      <c r="AW248" s="321" t="str">
        <f t="shared" si="75"/>
        <v>1220</v>
      </c>
      <c r="AX248" s="321">
        <f>IF(Instructions!$E$11=8,IF($D248=Instructions!$F$54,AX247+1,AX247),IF(Instructions!$E$11=10,IF($H248=Instructions!$F$54,AX247+1,AX247),IF(Instructions!$E$11=12,IF($L248=Instructions!$F$54,AX247+1,AX247),IF(Instructions!$E$11=14,IF($P248=Instructions!$F$54,AX247+1,AX247),IF(Instructions!$E$11=16,IF($T248=Instructions!$F$54,AX247+1,AX247))))))</f>
        <v>0</v>
      </c>
      <c r="AY248" s="321" t="str">
        <f t="shared" si="76"/>
        <v>1300</v>
      </c>
      <c r="AZ248" s="321">
        <f>IF(Instructions!$E$11=8,IF($D248=Instructions!$F$55,AZ247+1,AZ247),IF(Instructions!$E$11=10,IF($H248=Instructions!$F$55,AZ247+1,AZ247),IF(Instructions!$E$11=12,IF($L248=Instructions!$F$55,AZ247+1,AZ247),IF(Instructions!$E$11=14,IF($P248=Instructions!$F$55,AZ247+1,AZ247),IF(Instructions!$E$11=16,IF($T248=Instructions!$F$55,AZ247+1,AZ247))))))</f>
        <v>0</v>
      </c>
      <c r="BA248" s="321" t="str">
        <f t="shared" si="77"/>
        <v>1400</v>
      </c>
      <c r="BB248" s="321">
        <f>IF(Instructions!$E$11=8,IF($D248=Instructions!$F$56,BB247+1,BB247),IF(Instructions!$E$11=10,IF($H248=Instructions!$F$56,BB247+1,BB247),IF(Instructions!$E$11=12,IF($L248=Instructions!$F$56,BB247+1,BB247),IF(Instructions!$E$11=14,IF($P248=Instructions!$F$56,BB247+1,BB247),IF(Instructions!$E$11=16,IF($T248=Instructions!$F$56,BB247+1,BB247))))))</f>
        <v>0</v>
      </c>
      <c r="BC248" s="321" t="str">
        <f t="shared" si="62"/>
        <v>1500</v>
      </c>
      <c r="BD248" s="321">
        <f>IF(Instructions!$E$11=8,IF($D248=Instructions!$F$57,BD247+1,BD247),IF(Instructions!$E$11=10,IF($H248=Instructions!$F$57,BD247+1,BD247),IF(Instructions!$E$11=12,IF($L248=Instructions!$F$57,BD247+1,BD247),IF(Instructions!$E$11=14,IF($P248=Instructions!$F$57,BD247+1,BD247),IF(Instructions!$E$11=16,IF($T248=Instructions!$F$57,BD247+1,BD247))))))</f>
        <v>0</v>
      </c>
      <c r="BE248" s="321" t="str">
        <f t="shared" si="63"/>
        <v>1600</v>
      </c>
      <c r="BF248" s="321">
        <v>246</v>
      </c>
    </row>
    <row r="249" spans="1:58" x14ac:dyDescent="0.25">
      <c r="A249" s="280"/>
      <c r="B249" s="323" t="str">
        <f>IF(Instructions!$J$11=1,AA249,IF(Instructions!$J$11=2,AC249,IF(Instructions!$J$11=3,AE249,IF(Instructions!$J$11=4,AG249,IF(Instructions!$J$11=5,AI249,IF(Instructions!$J$11=6,AK249,IF(Instructions!$J$11=7,AM249,IF(Instructions!$J$11=8,AO249,IF(Instructions!$J$11=9,AQ249,IF(Instructions!$J$11=10,AS249,IF(Instructions!$J$11=11,AU249,IF(Instructions!$J$11=12,AW249,IF(Instructions!$J$11=13, AY249, IF(Instructions!$J$11=14,BA249,IF(Instructions!$J$11=15,BC249,BE249)))))))))))))))</f>
        <v>221</v>
      </c>
      <c r="C249" s="271">
        <v>247</v>
      </c>
      <c r="D249" s="281"/>
      <c r="E249" s="282"/>
      <c r="F249" s="281"/>
      <c r="H249" s="293" t="str">
        <f>Instructions!F$48</f>
        <v>Bui</v>
      </c>
      <c r="I249" s="273" t="s">
        <v>1534</v>
      </c>
      <c r="J249" s="709"/>
      <c r="K249" s="279">
        <v>25</v>
      </c>
      <c r="L249" s="293" t="str">
        <f>Instructions!F$48</f>
        <v>Bui</v>
      </c>
      <c r="M249" s="273" t="s">
        <v>1502</v>
      </c>
      <c r="N249" s="709"/>
      <c r="O249">
        <v>21</v>
      </c>
      <c r="P249" s="293" t="str">
        <f>Instructions!F$47</f>
        <v>Devin</v>
      </c>
      <c r="Q249" s="273" t="s">
        <v>1095</v>
      </c>
      <c r="R249" s="709"/>
      <c r="S249">
        <v>18</v>
      </c>
      <c r="T249" s="127"/>
      <c r="U249" s="339"/>
      <c r="V249" s="127"/>
      <c r="X249" s="280"/>
      <c r="Y249" s="190" t="str">
        <f>IFERROR( IF(Instructions!$E$11=8, D249&amp;COUNTIF(D$3:D249,D249), IF(Instructions!$E$11=10, H249&amp;COUNTIF(H$3:H249,H249),IF(Instructions!$E$11=12, L249&amp;COUNTIF(L$3:L249,L249),IF(Instructions!$E$11=14, P249&amp;COUNTIF(P$3:P249,P249),T249&amp;COUNTIF(T$3:T249,T249))))),"")</f>
        <v>Bui21</v>
      </c>
      <c r="Z249" s="321">
        <f>IF(Instructions!$E$11=8,IF($D249=Instructions!$F$42,Z248+1,Z248),IF(Instructions!$E$11=10,IF($H249=Instructions!$F$42,Z248+1,Z248),IF(Instructions!$E$11=12,IF($L249=Instructions!$F$42,Z248+1,Z248),IF(Instructions!$E$11=14,IF($P249=Instructions!$F$42,Z248+1,Z248),IF(Instructions!$E$11=16,IF($T249=Instructions!$F$42,Z248+1,Z248))))))</f>
        <v>21</v>
      </c>
      <c r="AA249" s="321" t="str">
        <f t="shared" si="64"/>
        <v>121</v>
      </c>
      <c r="AB249" s="321">
        <f>IF(Instructions!$E$11=8,IF($D249=Instructions!$F$43,AB248+1,AB248),IF(Instructions!$E$11=10,IF($H249=Instructions!$F$43,AB248+1,AB248),IF(Instructions!$E$11=12,IF($L249=Instructions!$F$43,AB248+1,AB248),IF(Instructions!$E$11=14,IF($P249=Instructions!$F$43,AB248+1,AB248),IF(Instructions!$E$11=16,IF($T249=Instructions!$F$43,AB248+1,AB248))))))</f>
        <v>21</v>
      </c>
      <c r="AC249" s="321" t="str">
        <f t="shared" si="65"/>
        <v>221</v>
      </c>
      <c r="AD249" s="321">
        <f>IF(Instructions!$E$11=8,IF($D249=Instructions!$F$44,AD248+1,AD248),IF(Instructions!$E$11=10,IF($H249=Instructions!$F$44,AD248+1,AD248),IF(Instructions!$E$11=12,IF($L249=Instructions!$F$44,AD248+1,AD248),IF(Instructions!$E$11=14,IF($P249=Instructions!$F$44,AD248+1,AD248),IF(Instructions!$E$11=16,IF($T249=Instructions!$F$44,AD248+1,AD248))))))</f>
        <v>21</v>
      </c>
      <c r="AE249" s="321" t="str">
        <f t="shared" si="66"/>
        <v>321</v>
      </c>
      <c r="AF249" s="321">
        <f>IF(Instructions!$E$11=8,IF($D249=Instructions!$F$45,AF248+1,AF248),IF(Instructions!$E$11=10,IF($H249=Instructions!$F$45,AF248+1,AF248),IF(Instructions!$E$11=12,IF($L249=Instructions!$F$45,AF248+1,AF248),IF(Instructions!$E$11=14,IF($P249=Instructions!$F$45,AF248+1,AF248),IF(Instructions!$E$11=16,IF($T249=Instructions!$F$45,AF248+1,AF248))))))</f>
        <v>21</v>
      </c>
      <c r="AG249" s="321" t="str">
        <f t="shared" si="67"/>
        <v>421</v>
      </c>
      <c r="AH249" s="321">
        <f>IF(Instructions!$E$11=8,IF($D249=Instructions!$F$46,AH248+1,AH248),IF(Instructions!$E$11=10,IF($H249=Instructions!$F$46,AH248+1,AH248),IF(Instructions!$E$11=12,IF($L249=Instructions!$F$46,AH248+1,AH248),IF(Instructions!$E$11=14,IF($P249=Instructions!$F$46,AH248+1,AH248),IF(Instructions!$E$11=16,IF($T249=Instructions!$F$46,AH248+1,AH248))))))</f>
        <v>21</v>
      </c>
      <c r="AI249" s="321" t="str">
        <f t="shared" si="68"/>
        <v>521</v>
      </c>
      <c r="AJ249" s="321">
        <f>IF(Instructions!$E$11=8,IF($D249=Instructions!$F$47,AJ248+1,AJ248),IF(Instructions!$E$11=10,IF($H249=Instructions!$F$47,AJ248+1,AJ248),IF(Instructions!$E$11=12,IF($L249=Instructions!$F$47,AJ248+1,AJ248),IF(Instructions!$E$11=14,IF($P249=Instructions!$F$47,AJ248+1,AJ248),IF(Instructions!$E$11=16,IF($T249=Instructions!$F$47,AJ248+1,AJ248))))))</f>
        <v>21</v>
      </c>
      <c r="AK249" s="321" t="str">
        <f t="shared" si="69"/>
        <v>621</v>
      </c>
      <c r="AL249" s="321">
        <f>IF(Instructions!$E$11=8,IF($D249=Instructions!$F$48,AL248+1,AL248),IF(Instructions!$E$11=10,IF($H249=Instructions!$F$48,AL248+1,AL248),IF(Instructions!$E$11=12,IF($L249=Instructions!$F$48,AL248+1,AL248),IF(Instructions!$E$11=14,IF($P249=Instructions!$F$48,AL248+1,AL248),IF(Instructions!$E$11=16,IF($T249=Instructions!$F$48,AL248+1,AL248))))))</f>
        <v>21</v>
      </c>
      <c r="AM249" s="321" t="str">
        <f t="shared" si="70"/>
        <v>721</v>
      </c>
      <c r="AN249" s="321">
        <f>IF(Instructions!$E$11=8,IF($D249=Instructions!$F$49,AN248+1,AN248),IF(Instructions!$E$11=10,IF($H249=Instructions!$F$49,AN248+1,AN248),IF(Instructions!$E$11=12,IF($L249=Instructions!$F$49,AN248+1,AN248),IF(Instructions!$E$11=14,IF($P249=Instructions!$F$49,AN248+1,AN248),IF(Instructions!$E$11=16,IF($T249=Instructions!$F$49,AN248+1,AN248))))))</f>
        <v>20</v>
      </c>
      <c r="AO249" s="321" t="str">
        <f t="shared" si="71"/>
        <v>820</v>
      </c>
      <c r="AP249" s="321">
        <f>IF(Instructions!$E$11=8,IF($D249=Instructions!$F$50,AP248+1,AP248),IF(Instructions!$E$11=10,IF($H249=Instructions!$F$50,AP248+1,AP248),IF(Instructions!$E$11=12,IF($L249=Instructions!$F$50,AP248+1,AP248),IF(Instructions!$E$11=14,IF($P249=Instructions!$F$50,AP248+1,AP248),IF(Instructions!$E$11=16,IF($T249=Instructions!$F$50,AP248+1,AP248))))))</f>
        <v>20</v>
      </c>
      <c r="AQ249" s="321" t="str">
        <f t="shared" si="72"/>
        <v>920</v>
      </c>
      <c r="AR249" s="321">
        <f>IF(Instructions!$E$11=8,IF($D249=Instructions!$F$51,AR248+1,AR248),IF(Instructions!$E$11=10,IF($H249=Instructions!$F$51,AR248+1,AR248),IF(Instructions!$E$11=12,IF($L249=Instructions!$F$51,AR248+1,AR248),IF(Instructions!$E$11=14,IF($P249=Instructions!$F$51,AR248+1,AR248),IF(Instructions!$E$11=16,IF($T249=Instructions!$F$51,AR248+1,AR248))))))</f>
        <v>20</v>
      </c>
      <c r="AS249" s="321" t="str">
        <f t="shared" si="73"/>
        <v>1020</v>
      </c>
      <c r="AT249" s="321">
        <f>IF(Instructions!$E$11=8,IF($D249=Instructions!$F$52,AT248+1,AT248),IF(Instructions!$E$11=10,IF($H249=Instructions!$F$52,AT248+1,AT248),IF(Instructions!$E$11=12,IF($L249=Instructions!$F$52,AT248+1,AT248),IF(Instructions!$E$11=14,IF($P249=Instructions!$F$52,AT248+1,AT248),IF(Instructions!$E$11=16,IF($T249=Instructions!$F$52,AT248+1,AT248))))))</f>
        <v>20</v>
      </c>
      <c r="AU249" s="321" t="str">
        <f t="shared" si="74"/>
        <v>1120</v>
      </c>
      <c r="AV249" s="321">
        <f>IF(Instructions!$E$11=8,IF($D249=Instructions!$F$53,AV248+1,AV248),IF(Instructions!$E$11=10,IF($H249=Instructions!$F$53,AV248+1,AV248),IF(Instructions!$E$11=12,IF($L249=Instructions!$F$53,AV248+1,AV248),IF(Instructions!$E$11=14,IF($P249=Instructions!$F$53,AV248+1,AV248),IF(Instructions!$E$11=16,IF($T249=Instructions!$F$53,AV248+1,AV248))))))</f>
        <v>20</v>
      </c>
      <c r="AW249" s="321" t="str">
        <f t="shared" si="75"/>
        <v>1220</v>
      </c>
      <c r="AX249" s="321">
        <f>IF(Instructions!$E$11=8,IF($D249=Instructions!$F$54,AX248+1,AX248),IF(Instructions!$E$11=10,IF($H249=Instructions!$F$54,AX248+1,AX248),IF(Instructions!$E$11=12,IF($L249=Instructions!$F$54,AX248+1,AX248),IF(Instructions!$E$11=14,IF($P249=Instructions!$F$54,AX248+1,AX248),IF(Instructions!$E$11=16,IF($T249=Instructions!$F$54,AX248+1,AX248))))))</f>
        <v>0</v>
      </c>
      <c r="AY249" s="321" t="str">
        <f t="shared" si="76"/>
        <v>1300</v>
      </c>
      <c r="AZ249" s="321">
        <f>IF(Instructions!$E$11=8,IF($D249=Instructions!$F$55,AZ248+1,AZ248),IF(Instructions!$E$11=10,IF($H249=Instructions!$F$55,AZ248+1,AZ248),IF(Instructions!$E$11=12,IF($L249=Instructions!$F$55,AZ248+1,AZ248),IF(Instructions!$E$11=14,IF($P249=Instructions!$F$55,AZ248+1,AZ248),IF(Instructions!$E$11=16,IF($T249=Instructions!$F$55,AZ248+1,AZ248))))))</f>
        <v>0</v>
      </c>
      <c r="BA249" s="321" t="str">
        <f t="shared" si="77"/>
        <v>1400</v>
      </c>
      <c r="BB249" s="321">
        <f>IF(Instructions!$E$11=8,IF($D249=Instructions!$F$56,BB248+1,BB248),IF(Instructions!$E$11=10,IF($H249=Instructions!$F$56,BB248+1,BB248),IF(Instructions!$E$11=12,IF($L249=Instructions!$F$56,BB248+1,BB248),IF(Instructions!$E$11=14,IF($P249=Instructions!$F$56,BB248+1,BB248),IF(Instructions!$E$11=16,IF($T249=Instructions!$F$56,BB248+1,BB248))))))</f>
        <v>0</v>
      </c>
      <c r="BC249" s="321" t="str">
        <f t="shared" si="62"/>
        <v>1500</v>
      </c>
      <c r="BD249" s="321">
        <f>IF(Instructions!$E$11=8,IF($D249=Instructions!$F$57,BD248+1,BD248),IF(Instructions!$E$11=10,IF($H249=Instructions!$F$57,BD248+1,BD248),IF(Instructions!$E$11=12,IF($L249=Instructions!$F$57,BD248+1,BD248),IF(Instructions!$E$11=14,IF($P249=Instructions!$F$57,BD248+1,BD248),IF(Instructions!$E$11=16,IF($T249=Instructions!$F$57,BD248+1,BD248))))))</f>
        <v>0</v>
      </c>
      <c r="BE249" s="321" t="str">
        <f t="shared" si="63"/>
        <v>1600</v>
      </c>
      <c r="BF249" s="321">
        <v>247</v>
      </c>
    </row>
    <row r="250" spans="1:58" x14ac:dyDescent="0.25">
      <c r="A250" s="280"/>
      <c r="B250" s="323" t="str">
        <f>IF(Instructions!$J$11=1,AA250,IF(Instructions!$J$11=2,AC250,IF(Instructions!$J$11=3,AE250,IF(Instructions!$J$11=4,AG250,IF(Instructions!$J$11=5,AI250,IF(Instructions!$J$11=6,AK250,IF(Instructions!$J$11=7,AM250,IF(Instructions!$J$11=8,AO250,IF(Instructions!$J$11=9,AQ250,IF(Instructions!$J$11=10,AS250,IF(Instructions!$J$11=11,AU250,IF(Instructions!$J$11=12,AW250,IF(Instructions!$J$11=13, AY250, IF(Instructions!$J$11=14,BA250,IF(Instructions!$J$11=15,BC250,BE250)))))))))))))))</f>
        <v>221</v>
      </c>
      <c r="C250" s="272">
        <v>248</v>
      </c>
      <c r="D250" s="281"/>
      <c r="E250" s="282"/>
      <c r="F250" s="281"/>
      <c r="H250" s="294" t="str">
        <f>Instructions!F$49</f>
        <v>Luke</v>
      </c>
      <c r="I250" s="274" t="s">
        <v>1535</v>
      </c>
      <c r="J250" s="709"/>
      <c r="K250" s="279">
        <v>25</v>
      </c>
      <c r="L250" s="294" t="str">
        <f>Instructions!F$49</f>
        <v>Luke</v>
      </c>
      <c r="M250" s="274" t="s">
        <v>1503</v>
      </c>
      <c r="N250" s="709"/>
      <c r="O250">
        <v>21</v>
      </c>
      <c r="P250" s="294" t="str">
        <f>Instructions!F$46</f>
        <v>Con</v>
      </c>
      <c r="Q250" s="274" t="s">
        <v>1096</v>
      </c>
      <c r="R250" s="709"/>
      <c r="S250">
        <v>18</v>
      </c>
      <c r="T250" s="127"/>
      <c r="U250" s="339"/>
      <c r="V250" s="127"/>
      <c r="X250" s="280"/>
      <c r="Y250" s="190" t="str">
        <f>IFERROR( IF(Instructions!$E$11=8, D250&amp;COUNTIF(D$3:D250,D250), IF(Instructions!$E$11=10, H250&amp;COUNTIF(H$3:H250,H250),IF(Instructions!$E$11=12, L250&amp;COUNTIF(L$3:L250,L250),IF(Instructions!$E$11=14, P250&amp;COUNTIF(P$3:P250,P250),T250&amp;COUNTIF(T$3:T250,T250))))),"")</f>
        <v>Luke21</v>
      </c>
      <c r="Z250" s="321">
        <f>IF(Instructions!$E$11=8,IF($D250=Instructions!$F$42,Z249+1,Z249),IF(Instructions!$E$11=10,IF($H250=Instructions!$F$42,Z249+1,Z249),IF(Instructions!$E$11=12,IF($L250=Instructions!$F$42,Z249+1,Z249),IF(Instructions!$E$11=14,IF($P250=Instructions!$F$42,Z249+1,Z249),IF(Instructions!$E$11=16,IF($T250=Instructions!$F$42,Z249+1,Z249))))))</f>
        <v>21</v>
      </c>
      <c r="AA250" s="321" t="str">
        <f t="shared" si="64"/>
        <v>121</v>
      </c>
      <c r="AB250" s="321">
        <f>IF(Instructions!$E$11=8,IF($D250=Instructions!$F$43,AB249+1,AB249),IF(Instructions!$E$11=10,IF($H250=Instructions!$F$43,AB249+1,AB249),IF(Instructions!$E$11=12,IF($L250=Instructions!$F$43,AB249+1,AB249),IF(Instructions!$E$11=14,IF($P250=Instructions!$F$43,AB249+1,AB249),IF(Instructions!$E$11=16,IF($T250=Instructions!$F$43,AB249+1,AB249))))))</f>
        <v>21</v>
      </c>
      <c r="AC250" s="321" t="str">
        <f t="shared" si="65"/>
        <v>221</v>
      </c>
      <c r="AD250" s="321">
        <f>IF(Instructions!$E$11=8,IF($D250=Instructions!$F$44,AD249+1,AD249),IF(Instructions!$E$11=10,IF($H250=Instructions!$F$44,AD249+1,AD249),IF(Instructions!$E$11=12,IF($L250=Instructions!$F$44,AD249+1,AD249),IF(Instructions!$E$11=14,IF($P250=Instructions!$F$44,AD249+1,AD249),IF(Instructions!$E$11=16,IF($T250=Instructions!$F$44,AD249+1,AD249))))))</f>
        <v>21</v>
      </c>
      <c r="AE250" s="321" t="str">
        <f t="shared" si="66"/>
        <v>321</v>
      </c>
      <c r="AF250" s="321">
        <f>IF(Instructions!$E$11=8,IF($D250=Instructions!$F$45,AF249+1,AF249),IF(Instructions!$E$11=10,IF($H250=Instructions!$F$45,AF249+1,AF249),IF(Instructions!$E$11=12,IF($L250=Instructions!$F$45,AF249+1,AF249),IF(Instructions!$E$11=14,IF($P250=Instructions!$F$45,AF249+1,AF249),IF(Instructions!$E$11=16,IF($T250=Instructions!$F$45,AF249+1,AF249))))))</f>
        <v>21</v>
      </c>
      <c r="AG250" s="321" t="str">
        <f t="shared" si="67"/>
        <v>421</v>
      </c>
      <c r="AH250" s="321">
        <f>IF(Instructions!$E$11=8,IF($D250=Instructions!$F$46,AH249+1,AH249),IF(Instructions!$E$11=10,IF($H250=Instructions!$F$46,AH249+1,AH249),IF(Instructions!$E$11=12,IF($L250=Instructions!$F$46,AH249+1,AH249),IF(Instructions!$E$11=14,IF($P250=Instructions!$F$46,AH249+1,AH249),IF(Instructions!$E$11=16,IF($T250=Instructions!$F$46,AH249+1,AH249))))))</f>
        <v>21</v>
      </c>
      <c r="AI250" s="321" t="str">
        <f t="shared" si="68"/>
        <v>521</v>
      </c>
      <c r="AJ250" s="321">
        <f>IF(Instructions!$E$11=8,IF($D250=Instructions!$F$47,AJ249+1,AJ249),IF(Instructions!$E$11=10,IF($H250=Instructions!$F$47,AJ249+1,AJ249),IF(Instructions!$E$11=12,IF($L250=Instructions!$F$47,AJ249+1,AJ249),IF(Instructions!$E$11=14,IF($P250=Instructions!$F$47,AJ249+1,AJ249),IF(Instructions!$E$11=16,IF($T250=Instructions!$F$47,AJ249+1,AJ249))))))</f>
        <v>21</v>
      </c>
      <c r="AK250" s="321" t="str">
        <f t="shared" si="69"/>
        <v>621</v>
      </c>
      <c r="AL250" s="321">
        <f>IF(Instructions!$E$11=8,IF($D250=Instructions!$F$48,AL249+1,AL249),IF(Instructions!$E$11=10,IF($H250=Instructions!$F$48,AL249+1,AL249),IF(Instructions!$E$11=12,IF($L250=Instructions!$F$48,AL249+1,AL249),IF(Instructions!$E$11=14,IF($P250=Instructions!$F$48,AL249+1,AL249),IF(Instructions!$E$11=16,IF($T250=Instructions!$F$48,AL249+1,AL249))))))</f>
        <v>21</v>
      </c>
      <c r="AM250" s="321" t="str">
        <f t="shared" si="70"/>
        <v>721</v>
      </c>
      <c r="AN250" s="321">
        <f>IF(Instructions!$E$11=8,IF($D250=Instructions!$F$49,AN249+1,AN249),IF(Instructions!$E$11=10,IF($H250=Instructions!$F$49,AN249+1,AN249),IF(Instructions!$E$11=12,IF($L250=Instructions!$F$49,AN249+1,AN249),IF(Instructions!$E$11=14,IF($P250=Instructions!$F$49,AN249+1,AN249),IF(Instructions!$E$11=16,IF($T250=Instructions!$F$49,AN249+1,AN249))))))</f>
        <v>21</v>
      </c>
      <c r="AO250" s="321" t="str">
        <f t="shared" si="71"/>
        <v>821</v>
      </c>
      <c r="AP250" s="321">
        <f>IF(Instructions!$E$11=8,IF($D250=Instructions!$F$50,AP249+1,AP249),IF(Instructions!$E$11=10,IF($H250=Instructions!$F$50,AP249+1,AP249),IF(Instructions!$E$11=12,IF($L250=Instructions!$F$50,AP249+1,AP249),IF(Instructions!$E$11=14,IF($P250=Instructions!$F$50,AP249+1,AP249),IF(Instructions!$E$11=16,IF($T250=Instructions!$F$50,AP249+1,AP249))))))</f>
        <v>20</v>
      </c>
      <c r="AQ250" s="321" t="str">
        <f t="shared" si="72"/>
        <v>920</v>
      </c>
      <c r="AR250" s="321">
        <f>IF(Instructions!$E$11=8,IF($D250=Instructions!$F$51,AR249+1,AR249),IF(Instructions!$E$11=10,IF($H250=Instructions!$F$51,AR249+1,AR249),IF(Instructions!$E$11=12,IF($L250=Instructions!$F$51,AR249+1,AR249),IF(Instructions!$E$11=14,IF($P250=Instructions!$F$51,AR249+1,AR249),IF(Instructions!$E$11=16,IF($T250=Instructions!$F$51,AR249+1,AR249))))))</f>
        <v>20</v>
      </c>
      <c r="AS250" s="321" t="str">
        <f t="shared" si="73"/>
        <v>1020</v>
      </c>
      <c r="AT250" s="321">
        <f>IF(Instructions!$E$11=8,IF($D250=Instructions!$F$52,AT249+1,AT249),IF(Instructions!$E$11=10,IF($H250=Instructions!$F$52,AT249+1,AT249),IF(Instructions!$E$11=12,IF($L250=Instructions!$F$52,AT249+1,AT249),IF(Instructions!$E$11=14,IF($P250=Instructions!$F$52,AT249+1,AT249),IF(Instructions!$E$11=16,IF($T250=Instructions!$F$52,AT249+1,AT249))))))</f>
        <v>20</v>
      </c>
      <c r="AU250" s="321" t="str">
        <f t="shared" si="74"/>
        <v>1120</v>
      </c>
      <c r="AV250" s="321">
        <f>IF(Instructions!$E$11=8,IF($D250=Instructions!$F$53,AV249+1,AV249),IF(Instructions!$E$11=10,IF($H250=Instructions!$F$53,AV249+1,AV249),IF(Instructions!$E$11=12,IF($L250=Instructions!$F$53,AV249+1,AV249),IF(Instructions!$E$11=14,IF($P250=Instructions!$F$53,AV249+1,AV249),IF(Instructions!$E$11=16,IF($T250=Instructions!$F$53,AV249+1,AV249))))))</f>
        <v>20</v>
      </c>
      <c r="AW250" s="321" t="str">
        <f t="shared" si="75"/>
        <v>1220</v>
      </c>
      <c r="AX250" s="321">
        <f>IF(Instructions!$E$11=8,IF($D250=Instructions!$F$54,AX249+1,AX249),IF(Instructions!$E$11=10,IF($H250=Instructions!$F$54,AX249+1,AX249),IF(Instructions!$E$11=12,IF($L250=Instructions!$F$54,AX249+1,AX249),IF(Instructions!$E$11=14,IF($P250=Instructions!$F$54,AX249+1,AX249),IF(Instructions!$E$11=16,IF($T250=Instructions!$F$54,AX249+1,AX249))))))</f>
        <v>0</v>
      </c>
      <c r="AY250" s="321" t="str">
        <f t="shared" si="76"/>
        <v>1300</v>
      </c>
      <c r="AZ250" s="321">
        <f>IF(Instructions!$E$11=8,IF($D250=Instructions!$F$55,AZ249+1,AZ249),IF(Instructions!$E$11=10,IF($H250=Instructions!$F$55,AZ249+1,AZ249),IF(Instructions!$E$11=12,IF($L250=Instructions!$F$55,AZ249+1,AZ249),IF(Instructions!$E$11=14,IF($P250=Instructions!$F$55,AZ249+1,AZ249),IF(Instructions!$E$11=16,IF($T250=Instructions!$F$55,AZ249+1,AZ249))))))</f>
        <v>0</v>
      </c>
      <c r="BA250" s="321" t="str">
        <f t="shared" si="77"/>
        <v>1400</v>
      </c>
      <c r="BB250" s="321">
        <f>IF(Instructions!$E$11=8,IF($D250=Instructions!$F$56,BB249+1,BB249),IF(Instructions!$E$11=10,IF($H250=Instructions!$F$56,BB249+1,BB249),IF(Instructions!$E$11=12,IF($L250=Instructions!$F$56,BB249+1,BB249),IF(Instructions!$E$11=14,IF($P250=Instructions!$F$56,BB249+1,BB249),IF(Instructions!$E$11=16,IF($T250=Instructions!$F$56,BB249+1,BB249))))))</f>
        <v>0</v>
      </c>
      <c r="BC250" s="321" t="str">
        <f t="shared" si="62"/>
        <v>1500</v>
      </c>
      <c r="BD250" s="321">
        <f>IF(Instructions!$E$11=8,IF($D250=Instructions!$F$57,BD249+1,BD249),IF(Instructions!$E$11=10,IF($H250=Instructions!$F$57,BD249+1,BD249),IF(Instructions!$E$11=12,IF($L250=Instructions!$F$57,BD249+1,BD249),IF(Instructions!$E$11=14,IF($P250=Instructions!$F$57,BD249+1,BD249),IF(Instructions!$E$11=16,IF($T250=Instructions!$F$57,BD249+1,BD249))))))</f>
        <v>0</v>
      </c>
      <c r="BE250" s="321" t="str">
        <f t="shared" si="63"/>
        <v>1600</v>
      </c>
      <c r="BF250" s="321">
        <v>248</v>
      </c>
    </row>
    <row r="251" spans="1:58" x14ac:dyDescent="0.25">
      <c r="A251" s="280"/>
      <c r="B251" s="323" t="str">
        <f>IF(Instructions!$J$11=1,AA251,IF(Instructions!$J$11=2,AC251,IF(Instructions!$J$11=3,AE251,IF(Instructions!$J$11=4,AG251,IF(Instructions!$J$11=5,AI251,IF(Instructions!$J$11=6,AK251,IF(Instructions!$J$11=7,AM251,IF(Instructions!$J$11=8,AO251,IF(Instructions!$J$11=9,AQ251,IF(Instructions!$J$11=10,AS251,IF(Instructions!$J$11=11,AU251,IF(Instructions!$J$11=12,AW251,IF(Instructions!$J$11=13, AY251, IF(Instructions!$J$11=14,BA251,IF(Instructions!$J$11=15,BC251,BE251)))))))))))))))</f>
        <v>221</v>
      </c>
      <c r="C251" s="271">
        <v>249</v>
      </c>
      <c r="D251" s="281"/>
      <c r="E251" s="282"/>
      <c r="F251" s="281"/>
      <c r="H251" s="293" t="str">
        <f>Instructions!F$50</f>
        <v>Dan</v>
      </c>
      <c r="I251" s="273" t="s">
        <v>1552</v>
      </c>
      <c r="J251" s="709"/>
      <c r="K251" s="279">
        <v>25</v>
      </c>
      <c r="L251" s="293" t="str">
        <f>Instructions!F$50</f>
        <v>Dan</v>
      </c>
      <c r="M251" s="273" t="s">
        <v>1544</v>
      </c>
      <c r="N251" s="709"/>
      <c r="O251">
        <v>21</v>
      </c>
      <c r="P251" s="293" t="str">
        <f>Instructions!F$45</f>
        <v>Miles</v>
      </c>
      <c r="Q251" s="273" t="s">
        <v>1097</v>
      </c>
      <c r="R251" s="709"/>
      <c r="S251">
        <v>18</v>
      </c>
      <c r="T251" s="127"/>
      <c r="U251" s="339"/>
      <c r="V251" s="127"/>
      <c r="X251" s="280"/>
      <c r="Y251" s="190" t="str">
        <f>IFERROR( IF(Instructions!$E$11=8, D251&amp;COUNTIF(D$3:D251,D251), IF(Instructions!$E$11=10, H251&amp;COUNTIF(H$3:H251,H251),IF(Instructions!$E$11=12, L251&amp;COUNTIF(L$3:L251,L251),IF(Instructions!$E$11=14, P251&amp;COUNTIF(P$3:P251,P251),T251&amp;COUNTIF(T$3:T251,T251))))),"")</f>
        <v>Dan21</v>
      </c>
      <c r="Z251" s="321">
        <f>IF(Instructions!$E$11=8,IF($D251=Instructions!$F$42,Z250+1,Z250),IF(Instructions!$E$11=10,IF($H251=Instructions!$F$42,Z250+1,Z250),IF(Instructions!$E$11=12,IF($L251=Instructions!$F$42,Z250+1,Z250),IF(Instructions!$E$11=14,IF($P251=Instructions!$F$42,Z250+1,Z250),IF(Instructions!$E$11=16,IF($T251=Instructions!$F$42,Z250+1,Z250))))))</f>
        <v>21</v>
      </c>
      <c r="AA251" s="321" t="str">
        <f>IF(Z251&lt;10, 1&amp;0&amp;Z251, 1&amp;Z251)</f>
        <v>121</v>
      </c>
      <c r="AB251" s="321">
        <f>IF(Instructions!$E$11=8,IF($D251=Instructions!$F$43,AB250+1,AB250),IF(Instructions!$E$11=10,IF($H251=Instructions!$F$43,AB250+1,AB250),IF(Instructions!$E$11=12,IF($L251=Instructions!$F$43,AB250+1,AB250),IF(Instructions!$E$11=14,IF($P251=Instructions!$F$43,AB250+1,AB250),IF(Instructions!$E$11=16,IF($T251=Instructions!$F$43,AB250+1,AB250))))))</f>
        <v>21</v>
      </c>
      <c r="AC251" s="321" t="str">
        <f>IF(AB251&lt;10, 2&amp;0&amp;AB251, 2&amp;AB251)</f>
        <v>221</v>
      </c>
      <c r="AD251" s="321">
        <f>IF(Instructions!$E$11=8,IF($D251=Instructions!$F$44,AD250+1,AD250),IF(Instructions!$E$11=10,IF($H251=Instructions!$F$44,AD250+1,AD250),IF(Instructions!$E$11=12,IF($L251=Instructions!$F$44,AD250+1,AD250),IF(Instructions!$E$11=14,IF($P251=Instructions!$F$44,AD250+1,AD250),IF(Instructions!$E$11=16,IF($T251=Instructions!$F$44,AD250+1,AD250))))))</f>
        <v>21</v>
      </c>
      <c r="AE251" s="321" t="str">
        <f>IF(AD251&lt;10, 3&amp;0&amp;AD251, 3&amp;AD251)</f>
        <v>321</v>
      </c>
      <c r="AF251" s="321">
        <f>IF(Instructions!$E$11=8,IF($D251=Instructions!$F$45,AF250+1,AF250),IF(Instructions!$E$11=10,IF($H251=Instructions!$F$45,AF250+1,AF250),IF(Instructions!$E$11=12,IF($L251=Instructions!$F$45,AF250+1,AF250),IF(Instructions!$E$11=14,IF($P251=Instructions!$F$45,AF250+1,AF250),IF(Instructions!$E$11=16,IF($T251=Instructions!$F$45,AF250+1,AF250))))))</f>
        <v>21</v>
      </c>
      <c r="AG251" s="321" t="str">
        <f>IF(AF251&lt;10, 4&amp;0&amp;AF251, 4&amp;AF251)</f>
        <v>421</v>
      </c>
      <c r="AH251" s="321">
        <f>IF(Instructions!$E$11=8,IF($D251=Instructions!$F$46,AH250+1,AH250),IF(Instructions!$E$11=10,IF($H251=Instructions!$F$46,AH250+1,AH250),IF(Instructions!$E$11=12,IF($L251=Instructions!$F$46,AH250+1,AH250),IF(Instructions!$E$11=14,IF($P251=Instructions!$F$46,AH250+1,AH250),IF(Instructions!$E$11=16,IF($T251=Instructions!$F$46,AH250+1,AH250))))))</f>
        <v>21</v>
      </c>
      <c r="AI251" s="321" t="str">
        <f>IF(AH251&lt;10, 5&amp;0&amp;AH251, 5&amp;AH251)</f>
        <v>521</v>
      </c>
      <c r="AJ251" s="321">
        <f>IF(Instructions!$E$11=8,IF($D251=Instructions!$F$47,AJ250+1,AJ250),IF(Instructions!$E$11=10,IF($H251=Instructions!$F$47,AJ250+1,AJ250),IF(Instructions!$E$11=12,IF($L251=Instructions!$F$47,AJ250+1,AJ250),IF(Instructions!$E$11=14,IF($P251=Instructions!$F$47,AJ250+1,AJ250),IF(Instructions!$E$11=16,IF($T251=Instructions!$F$47,AJ250+1,AJ250))))))</f>
        <v>21</v>
      </c>
      <c r="AK251" s="321" t="str">
        <f>IF(AJ251&lt;10, 6&amp;0&amp;AJ251, 6&amp;AJ251)</f>
        <v>621</v>
      </c>
      <c r="AL251" s="321">
        <f>IF(Instructions!$E$11=8,IF($D251=Instructions!$F$48,AL250+1,AL250),IF(Instructions!$E$11=10,IF($H251=Instructions!$F$48,AL250+1,AL250),IF(Instructions!$E$11=12,IF($L251=Instructions!$F$48,AL250+1,AL250),IF(Instructions!$E$11=14,IF($P251=Instructions!$F$48,AL250+1,AL250),IF(Instructions!$E$11=16,IF($T251=Instructions!$F$48,AL250+1,AL250))))))</f>
        <v>21</v>
      </c>
      <c r="AM251" s="321" t="str">
        <f>IF(AL251&lt;10, 7&amp;0&amp;AL251, 7&amp;AL251)</f>
        <v>721</v>
      </c>
      <c r="AN251" s="321">
        <f>IF(Instructions!$E$11=8,IF($D251=Instructions!$F$49,AN250+1,AN250),IF(Instructions!$E$11=10,IF($H251=Instructions!$F$49,AN250+1,AN250),IF(Instructions!$E$11=12,IF($L251=Instructions!$F$49,AN250+1,AN250),IF(Instructions!$E$11=14,IF($P251=Instructions!$F$49,AN250+1,AN250),IF(Instructions!$E$11=16,IF($T251=Instructions!$F$49,AN250+1,AN250))))))</f>
        <v>21</v>
      </c>
      <c r="AO251" s="321" t="str">
        <f>IF(AN251&lt;10, 8&amp;0&amp;AN251, 8&amp;AN251)</f>
        <v>821</v>
      </c>
      <c r="AP251" s="321">
        <f>IF(Instructions!$E$11=8,IF($D251=Instructions!$F$50,AP250+1,AP250),IF(Instructions!$E$11=10,IF($H251=Instructions!$F$50,AP250+1,AP250),IF(Instructions!$E$11=12,IF($L251=Instructions!$F$50,AP250+1,AP250),IF(Instructions!$E$11=14,IF($P251=Instructions!$F$50,AP250+1,AP250),IF(Instructions!$E$11=16,IF($T251=Instructions!$F$50,AP250+1,AP250))))))</f>
        <v>21</v>
      </c>
      <c r="AQ251" s="321" t="str">
        <f>IF(AP251&lt;10, 9&amp;0&amp;AP251, 9&amp;AP251)</f>
        <v>921</v>
      </c>
      <c r="AR251" s="321">
        <f>IF(Instructions!$E$11=8,IF($D251=Instructions!$F$51,AR250+1,AR250),IF(Instructions!$E$11=10,IF($H251=Instructions!$F$51,AR250+1,AR250),IF(Instructions!$E$11=12,IF($L251=Instructions!$F$51,AR250+1,AR250),IF(Instructions!$E$11=14,IF($P251=Instructions!$F$51,AR250+1,AR250),IF(Instructions!$E$11=16,IF($T251=Instructions!$F$51,AR250+1,AR250))))))</f>
        <v>20</v>
      </c>
      <c r="AS251" s="321" t="str">
        <f>IF(AR251&gt;9, 10&amp;AR251, 100&amp;AR251)</f>
        <v>1020</v>
      </c>
      <c r="AT251" s="321">
        <f>IF(Instructions!$E$11=8,IF($D251=Instructions!$F$52,AT250+1,AT250),IF(Instructions!$E$11=10,IF($H251=Instructions!$F$52,AT250+1,AT250),IF(Instructions!$E$11=12,IF($L251=Instructions!$F$52,AT250+1,AT250),IF(Instructions!$E$11=14,IF($P251=Instructions!$F$52,AT250+1,AT250),IF(Instructions!$E$11=16,IF($T251=Instructions!$F$52,AT250+1,AT250))))))</f>
        <v>20</v>
      </c>
      <c r="AU251" s="321" t="str">
        <f>IF(AT251&gt;9, 11&amp;AT251, 110&amp;AT251)</f>
        <v>1120</v>
      </c>
      <c r="AV251" s="321">
        <f>IF(Instructions!$E$11=8,IF($D251=Instructions!$F$53,AV250+1,AV250),IF(Instructions!$E$11=10,IF($H251=Instructions!$F$53,AV250+1,AV250),IF(Instructions!$E$11=12,IF($L251=Instructions!$F$53,AV250+1,AV250),IF(Instructions!$E$11=14,IF($P251=Instructions!$F$53,AV250+1,AV250),IF(Instructions!$E$11=16,IF($T251=Instructions!$F$53,AV250+1,AV250))))))</f>
        <v>20</v>
      </c>
      <c r="AW251" s="321" t="str">
        <f>IF(AV251&gt;9, 12&amp;AV251, 120&amp;AV251)</f>
        <v>1220</v>
      </c>
      <c r="AX251" s="321">
        <f>IF(Instructions!$E$11=8,IF($D251=Instructions!$F$54,AX250+1,AX250),IF(Instructions!$E$11=10,IF($H251=Instructions!$F$54,AX250+1,AX250),IF(Instructions!$E$11=12,IF($L251=Instructions!$F$54,AX250+1,AX250),IF(Instructions!$E$11=14,IF($P251=Instructions!$F$54,AX250+1,AX250),IF(Instructions!$E$11=16,IF($T251=Instructions!$F$54,AX250+1,AX250))))))</f>
        <v>0</v>
      </c>
      <c r="AY251" s="321" t="str">
        <f>IF(AX251&gt;9, 13&amp;AX251, 130&amp;AX251)</f>
        <v>1300</v>
      </c>
      <c r="AZ251" s="321">
        <f>IF(Instructions!$E$11=8,IF($D251=Instructions!$F$55,AZ250+1,AZ250),IF(Instructions!$E$11=10,IF($H251=Instructions!$F$55,AZ250+1,AZ250),IF(Instructions!$E$11=12,IF($L251=Instructions!$F$55,AZ250+1,AZ250),IF(Instructions!$E$11=14,IF($P251=Instructions!$F$55,AZ250+1,AZ250),IF(Instructions!$E$11=16,IF($T251=Instructions!$F$55,AZ250+1,AZ250))))))</f>
        <v>0</v>
      </c>
      <c r="BA251" s="321" t="str">
        <f>IF(AZ251&gt;9, 14&amp;AZ251, 140&amp;AZ251)</f>
        <v>1400</v>
      </c>
      <c r="BB251" s="321">
        <f>IF(Instructions!$E$11=8,IF($D251=Instructions!$F$56,BB250+1,BB250),IF(Instructions!$E$11=10,IF($H251=Instructions!$F$56,BB250+1,BB250),IF(Instructions!$E$11=12,IF($L251=Instructions!$F$56,BB250+1,BB250),IF(Instructions!$E$11=14,IF($P251=Instructions!$F$56,BB250+1,BB250),IF(Instructions!$E$11=16,IF($T251=Instructions!$F$56,BB250+1,BB250))))))</f>
        <v>0</v>
      </c>
      <c r="BC251" s="321" t="str">
        <f t="shared" si="62"/>
        <v>1500</v>
      </c>
      <c r="BD251" s="321">
        <f>IF(Instructions!$E$11=8,IF($D251=Instructions!$F$57,BD250+1,BD250),IF(Instructions!$E$11=10,IF($H251=Instructions!$F$57,BD250+1,BD250),IF(Instructions!$E$11=12,IF($L251=Instructions!$F$57,BD250+1,BD250),IF(Instructions!$E$11=14,IF($P251=Instructions!$F$57,BD250+1,BD250),IF(Instructions!$E$11=16,IF($T251=Instructions!$F$57,BD250+1,BD250))))))</f>
        <v>0</v>
      </c>
      <c r="BE251" s="321" t="str">
        <f t="shared" si="63"/>
        <v>1600</v>
      </c>
      <c r="BF251" s="321">
        <v>249</v>
      </c>
    </row>
    <row r="252" spans="1:58" ht="15.75" thickBot="1" x14ac:dyDescent="0.3">
      <c r="A252" s="280"/>
      <c r="B252" s="323" t="str">
        <f>IF(Instructions!$J$11=1,AA252,IF(Instructions!$J$11=2,AC252,IF(Instructions!$J$11=3,AE252,IF(Instructions!$J$11=4,AG252,IF(Instructions!$J$11=5,AI252,IF(Instructions!$J$11=6,AK252,IF(Instructions!$J$11=7,AM252,IF(Instructions!$J$11=8,AO252,IF(Instructions!$J$11=9,AQ252,IF(Instructions!$J$11=10,AS252,IF(Instructions!$J$11=11,AU252,IF(Instructions!$J$11=12,AW252,IF(Instructions!$J$11=13, AY252, IF(Instructions!$J$11=14,BA252,IF(Instructions!$J$11=15,BC252,BE252)))))))))))))))</f>
        <v>221</v>
      </c>
      <c r="C252" s="272">
        <v>250</v>
      </c>
      <c r="D252" s="281"/>
      <c r="E252" s="282"/>
      <c r="F252" s="281"/>
      <c r="H252" s="295" t="str">
        <f>Instructions!F$51</f>
        <v>Josh</v>
      </c>
      <c r="I252" s="277" t="s">
        <v>1553</v>
      </c>
      <c r="J252" s="710"/>
      <c r="K252" s="279">
        <v>25</v>
      </c>
      <c r="L252" s="294" t="str">
        <f>Instructions!F$51</f>
        <v>Josh</v>
      </c>
      <c r="M252" s="274" t="s">
        <v>1545</v>
      </c>
      <c r="N252" s="709"/>
      <c r="O252">
        <v>21</v>
      </c>
      <c r="P252" s="294" t="str">
        <f>Instructions!F$44</f>
        <v>Cam</v>
      </c>
      <c r="Q252" s="274" t="s">
        <v>1098</v>
      </c>
      <c r="R252" s="709"/>
      <c r="S252">
        <v>18</v>
      </c>
      <c r="T252" s="127"/>
      <c r="U252" s="339"/>
      <c r="V252" s="127"/>
      <c r="X252" s="280"/>
      <c r="Y252" s="190" t="str">
        <f>IFERROR( IF(Instructions!$E$11=8, D252&amp;COUNTIF(D$3:D252,D252), IF(Instructions!$E$11=10, H252&amp;COUNTIF(H$3:H252,H252),IF(Instructions!$E$11=12, L252&amp;COUNTIF(L$3:L252,L252),IF(Instructions!$E$11=14, P252&amp;COUNTIF(P$3:P252,P252),T252&amp;COUNTIF(T$3:T252,T252))))),"")</f>
        <v>Josh21</v>
      </c>
      <c r="Z252" s="321">
        <f>IF(Instructions!$E$11=8,IF($D252=Instructions!$F$42,Z251+1,Z251),IF(Instructions!$E$11=10,IF($H252=Instructions!$F$42,Z251+1,Z251),IF(Instructions!$E$11=12,IF($L252=Instructions!$F$42,Z251+1,Z251),IF(Instructions!$E$11=14,IF($P252=Instructions!$F$42,Z251+1,Z251),IF(Instructions!$E$11=16,IF($T252=Instructions!$F$42,Z251+1,Z251))))))</f>
        <v>21</v>
      </c>
      <c r="AA252" s="321" t="str">
        <f>IF(Z252&lt;10, 1&amp;0&amp;Z252, 1&amp;Z252)</f>
        <v>121</v>
      </c>
      <c r="AB252" s="321">
        <f>IF(Instructions!$E$11=8,IF($D252=Instructions!$F$43,AB251+1,AB251),IF(Instructions!$E$11=10,IF($H252=Instructions!$F$43,AB251+1,AB251),IF(Instructions!$E$11=12,IF($L252=Instructions!$F$43,AB251+1,AB251),IF(Instructions!$E$11=14,IF($P252=Instructions!$F$43,AB251+1,AB251),IF(Instructions!$E$11=16,IF($T252=Instructions!$F$43,AB251+1,AB251))))))</f>
        <v>21</v>
      </c>
      <c r="AC252" s="321" t="str">
        <f>IF(AB252&lt;10, 2&amp;0&amp;AB252, 2&amp;AB252)</f>
        <v>221</v>
      </c>
      <c r="AD252" s="321">
        <f>IF(Instructions!$E$11=8,IF($D252=Instructions!$F$44,AD251+1,AD251),IF(Instructions!$E$11=10,IF($H252=Instructions!$F$44,AD251+1,AD251),IF(Instructions!$E$11=12,IF($L252=Instructions!$F$44,AD251+1,AD251),IF(Instructions!$E$11=14,IF($P252=Instructions!$F$44,AD251+1,AD251),IF(Instructions!$E$11=16,IF($T252=Instructions!$F$44,AD251+1,AD251))))))</f>
        <v>21</v>
      </c>
      <c r="AE252" s="321" t="str">
        <f>IF(AD252&lt;10, 3&amp;0&amp;AD252, 3&amp;AD252)</f>
        <v>321</v>
      </c>
      <c r="AF252" s="321">
        <f>IF(Instructions!$E$11=8,IF($D252=Instructions!$F$45,AF251+1,AF251),IF(Instructions!$E$11=10,IF($H252=Instructions!$F$45,AF251+1,AF251),IF(Instructions!$E$11=12,IF($L252=Instructions!$F$45,AF251+1,AF251),IF(Instructions!$E$11=14,IF($P252=Instructions!$F$45,AF251+1,AF251),IF(Instructions!$E$11=16,IF($T252=Instructions!$F$45,AF251+1,AF251))))))</f>
        <v>21</v>
      </c>
      <c r="AG252" s="321" t="str">
        <f>IF(AF252&lt;10, 4&amp;0&amp;AF252, 4&amp;AF252)</f>
        <v>421</v>
      </c>
      <c r="AH252" s="321">
        <f>IF(Instructions!$E$11=8,IF($D252=Instructions!$F$46,AH251+1,AH251),IF(Instructions!$E$11=10,IF($H252=Instructions!$F$46,AH251+1,AH251),IF(Instructions!$E$11=12,IF($L252=Instructions!$F$46,AH251+1,AH251),IF(Instructions!$E$11=14,IF($P252=Instructions!$F$46,AH251+1,AH251),IF(Instructions!$E$11=16,IF($T252=Instructions!$F$46,AH251+1,AH251))))))</f>
        <v>21</v>
      </c>
      <c r="AI252" s="321" t="str">
        <f>IF(AH252&lt;10, 5&amp;0&amp;AH252, 5&amp;AH252)</f>
        <v>521</v>
      </c>
      <c r="AJ252" s="321">
        <f>IF(Instructions!$E$11=8,IF($D252=Instructions!$F$47,AJ251+1,AJ251),IF(Instructions!$E$11=10,IF($H252=Instructions!$F$47,AJ251+1,AJ251),IF(Instructions!$E$11=12,IF($L252=Instructions!$F$47,AJ251+1,AJ251),IF(Instructions!$E$11=14,IF($P252=Instructions!$F$47,AJ251+1,AJ251),IF(Instructions!$E$11=16,IF($T252=Instructions!$F$47,AJ251+1,AJ251))))))</f>
        <v>21</v>
      </c>
      <c r="AK252" s="321" t="str">
        <f>IF(AJ252&lt;10, 6&amp;0&amp;AJ252, 6&amp;AJ252)</f>
        <v>621</v>
      </c>
      <c r="AL252" s="321">
        <f>IF(Instructions!$E$11=8,IF($D252=Instructions!$F$48,AL251+1,AL251),IF(Instructions!$E$11=10,IF($H252=Instructions!$F$48,AL251+1,AL251),IF(Instructions!$E$11=12,IF($L252=Instructions!$F$48,AL251+1,AL251),IF(Instructions!$E$11=14,IF($P252=Instructions!$F$48,AL251+1,AL251),IF(Instructions!$E$11=16,IF($T252=Instructions!$F$48,AL251+1,AL251))))))</f>
        <v>21</v>
      </c>
      <c r="AM252" s="321" t="str">
        <f>IF(AL252&lt;10, 7&amp;0&amp;AL252, 7&amp;AL252)</f>
        <v>721</v>
      </c>
      <c r="AN252" s="321">
        <f>IF(Instructions!$E$11=8,IF($D252=Instructions!$F$49,AN251+1,AN251),IF(Instructions!$E$11=10,IF($H252=Instructions!$F$49,AN251+1,AN251),IF(Instructions!$E$11=12,IF($L252=Instructions!$F$49,AN251+1,AN251),IF(Instructions!$E$11=14,IF($P252=Instructions!$F$49,AN251+1,AN251),IF(Instructions!$E$11=16,IF($T252=Instructions!$F$49,AN251+1,AN251))))))</f>
        <v>21</v>
      </c>
      <c r="AO252" s="321" t="str">
        <f>IF(AN252&lt;10, 8&amp;0&amp;AN252, 8&amp;AN252)</f>
        <v>821</v>
      </c>
      <c r="AP252" s="321">
        <f>IF(Instructions!$E$11=8,IF($D252=Instructions!$F$50,AP251+1,AP251),IF(Instructions!$E$11=10,IF($H252=Instructions!$F$50,AP251+1,AP251),IF(Instructions!$E$11=12,IF($L252=Instructions!$F$50,AP251+1,AP251),IF(Instructions!$E$11=14,IF($P252=Instructions!$F$50,AP251+1,AP251),IF(Instructions!$E$11=16,IF($T252=Instructions!$F$50,AP251+1,AP251))))))</f>
        <v>21</v>
      </c>
      <c r="AQ252" s="321" t="str">
        <f>IF(AP252&lt;10, 9&amp;0&amp;AP252, 9&amp;AP252)</f>
        <v>921</v>
      </c>
      <c r="AR252" s="321">
        <f>IF(Instructions!$E$11=8,IF($D252=Instructions!$F$51,AR251+1,AR251),IF(Instructions!$E$11=10,IF($H252=Instructions!$F$51,AR251+1,AR251),IF(Instructions!$E$11=12,IF($L252=Instructions!$F$51,AR251+1,AR251),IF(Instructions!$E$11=14,IF($P252=Instructions!$F$51,AR251+1,AR251),IF(Instructions!$E$11=16,IF($T252=Instructions!$F$51,AR251+1,AR251))))))</f>
        <v>21</v>
      </c>
      <c r="AS252" s="321" t="str">
        <f>IF(AR252&gt;9, 10&amp;AR252, 100&amp;AR252)</f>
        <v>1021</v>
      </c>
      <c r="AT252" s="321">
        <f>IF(Instructions!$E$11=8,IF($D252=Instructions!$F$52,AT251+1,AT251),IF(Instructions!$E$11=10,IF($H252=Instructions!$F$52,AT251+1,AT251),IF(Instructions!$E$11=12,IF($L252=Instructions!$F$52,AT251+1,AT251),IF(Instructions!$E$11=14,IF($P252=Instructions!$F$52,AT251+1,AT251),IF(Instructions!$E$11=16,IF($T252=Instructions!$F$52,AT251+1,AT251))))))</f>
        <v>20</v>
      </c>
      <c r="AU252" s="321" t="str">
        <f>IF(AT252&gt;9, 11&amp;AT252, 110&amp;AT252)</f>
        <v>1120</v>
      </c>
      <c r="AV252" s="321">
        <f>IF(Instructions!$E$11=8,IF($D252=Instructions!$F$53,AV251+1,AV251),IF(Instructions!$E$11=10,IF($H252=Instructions!$F$53,AV251+1,AV251),IF(Instructions!$E$11=12,IF($L252=Instructions!$F$53,AV251+1,AV251),IF(Instructions!$E$11=14,IF($P252=Instructions!$F$53,AV251+1,AV251),IF(Instructions!$E$11=16,IF($T252=Instructions!$F$53,AV251+1,AV251))))))</f>
        <v>20</v>
      </c>
      <c r="AW252" s="321" t="str">
        <f>IF(AV252&gt;9, 12&amp;AV252, 120&amp;AV252)</f>
        <v>1220</v>
      </c>
      <c r="AX252" s="321">
        <f>IF(Instructions!$E$11=8,IF($D252=Instructions!$F$54,AX251+1,AX251),IF(Instructions!$E$11=10,IF($H252=Instructions!$F$54,AX251+1,AX251),IF(Instructions!$E$11=12,IF($L252=Instructions!$F$54,AX251+1,AX251),IF(Instructions!$E$11=14,IF($P252=Instructions!$F$54,AX251+1,AX251),IF(Instructions!$E$11=16,IF($T252=Instructions!$F$54,AX251+1,AX251))))))</f>
        <v>0</v>
      </c>
      <c r="AY252" s="321" t="str">
        <f>IF(AX252&gt;9, 13&amp;AX252, 130&amp;AX252)</f>
        <v>1300</v>
      </c>
      <c r="AZ252" s="321">
        <f>IF(Instructions!$E$11=8,IF($D252=Instructions!$F$55,AZ251+1,AZ251),IF(Instructions!$E$11=10,IF($H252=Instructions!$F$55,AZ251+1,AZ251),IF(Instructions!$E$11=12,IF($L252=Instructions!$F$55,AZ251+1,AZ251),IF(Instructions!$E$11=14,IF($P252=Instructions!$F$55,AZ251+1,AZ251),IF(Instructions!$E$11=16,IF($T252=Instructions!$F$55,AZ251+1,AZ251))))))</f>
        <v>0</v>
      </c>
      <c r="BA252" s="321" t="str">
        <f>IF(AZ252&gt;9, 14&amp;AZ252, 140&amp;AZ252)</f>
        <v>1400</v>
      </c>
      <c r="BB252" s="321">
        <f>IF(Instructions!$E$11=8,IF($D252=Instructions!$F$56,BB251+1,BB251),IF(Instructions!$E$11=10,IF($H252=Instructions!$F$56,BB251+1,BB251),IF(Instructions!$E$11=12,IF($L252=Instructions!$F$56,BB251+1,BB251),IF(Instructions!$E$11=14,IF($P252=Instructions!$F$56,BB251+1,BB251),IF(Instructions!$E$11=16,IF($T252=Instructions!$F$56,BB251+1,BB251))))))</f>
        <v>0</v>
      </c>
      <c r="BC252" s="321" t="str">
        <f t="shared" si="62"/>
        <v>1500</v>
      </c>
      <c r="BD252" s="321">
        <f>IF(Instructions!$E$11=8,IF($D252=Instructions!$F$57,BD251+1,BD251),IF(Instructions!$E$11=10,IF($H252=Instructions!$F$57,BD251+1,BD251),IF(Instructions!$E$11=12,IF($L252=Instructions!$F$57,BD251+1,BD251),IF(Instructions!$E$11=14,IF($P252=Instructions!$F$57,BD251+1,BD251),IF(Instructions!$E$11=16,IF($T252=Instructions!$F$57,BD251+1,BD251))))))</f>
        <v>0</v>
      </c>
      <c r="BE252" s="321" t="str">
        <f t="shared" si="63"/>
        <v>1600</v>
      </c>
      <c r="BF252" s="321">
        <v>250</v>
      </c>
    </row>
    <row r="253" spans="1:58" x14ac:dyDescent="0.25">
      <c r="A253" s="280"/>
      <c r="B253" s="323" t="str">
        <f>IF(Instructions!$J$11=1,AA253,IF(Instructions!$J$11=2,AC253,IF(Instructions!$J$11=3,AE253,IF(Instructions!$J$11=4,AG253,IF(Instructions!$J$11=5,AI253,IF(Instructions!$J$11=6,AK253,IF(Instructions!$J$11=7,AM253,IF(Instructions!$J$11=8,AO253,IF(Instructions!$J$11=9,AQ253,IF(Instructions!$J$11=10,AS253,IF(Instructions!$J$11=11,AU253,IF(Instructions!$J$11=12,AW253,IF(Instructions!$J$11=13, AY253, IF(Instructions!$J$11=14,BA253,IF(Instructions!$J$11=15,BC253,BE253)))))))))))))))</f>
        <v>221</v>
      </c>
      <c r="C253" s="272">
        <v>251</v>
      </c>
      <c r="D253" s="281"/>
      <c r="E253" s="282"/>
      <c r="F253" s="281"/>
      <c r="H253" s="281"/>
      <c r="I253" s="282"/>
      <c r="J253" s="281"/>
      <c r="L253" s="293" t="str">
        <f>Instructions!F$52</f>
        <v>Big R</v>
      </c>
      <c r="M253" s="273" t="s">
        <v>1562</v>
      </c>
      <c r="N253" s="709"/>
      <c r="O253">
        <v>21</v>
      </c>
      <c r="P253" s="293" t="str">
        <f>Instructions!F$43</f>
        <v>Camden</v>
      </c>
      <c r="Q253" s="273" t="s">
        <v>1099</v>
      </c>
      <c r="R253" s="709"/>
      <c r="S253">
        <v>18</v>
      </c>
      <c r="T253" s="127"/>
      <c r="U253" s="339"/>
      <c r="V253" s="127"/>
      <c r="X253" s="280"/>
      <c r="Y253" s="190" t="str">
        <f>IFERROR( IF(Instructions!$E$11=8, D253&amp;COUNTIF(D$3:D253,D253), IF(Instructions!$E$11=10, H253&amp;COUNTIF(H$3:H253,H253),IF(Instructions!$E$11=12, L253&amp;COUNTIF(L$3:L253,L253),IF(Instructions!$E$11=14, P253&amp;COUNTIF(P$3:P253,P253),T253&amp;COUNTIF(T$3:T253,T253))))),"")</f>
        <v>Big R21</v>
      </c>
      <c r="Z253" s="321">
        <f>IF(Instructions!$E$11=8,IF($D253=Instructions!$F$42,Z252+1,Z252),IF(Instructions!$E$11=10,IF($H253=Instructions!$F$42,Z252+1,Z252),IF(Instructions!$E$11=12,IF($L253=Instructions!$F$42,Z252+1,Z252),IF(Instructions!$E$11=14,IF($P253=Instructions!$F$42,Z252+1,Z252),IF(Instructions!$E$11=16,IF($T253=Instructions!$F$42,Z252+1,Z252))))))</f>
        <v>21</v>
      </c>
      <c r="AA253" s="321" t="str">
        <f>IF(Z253&lt;10, 1&amp;0&amp;Z253, 1&amp;Z253)</f>
        <v>121</v>
      </c>
      <c r="AB253" s="321">
        <f>IF(Instructions!$E$11=8,IF($D253=Instructions!$F$43,AB252+1,AB252),IF(Instructions!$E$11=10,IF($H253=Instructions!$F$43,AB252+1,AB252),IF(Instructions!$E$11=12,IF($L253=Instructions!$F$43,AB252+1,AB252),IF(Instructions!$E$11=14,IF($P253=Instructions!$F$43,AB252+1,AB252),IF(Instructions!$E$11=16,IF($T253=Instructions!$F$43,AB252+1,AB252))))))</f>
        <v>21</v>
      </c>
      <c r="AC253" s="321" t="str">
        <f>IF(AB253&lt;10, 2&amp;0&amp;AB253, 2&amp;AB253)</f>
        <v>221</v>
      </c>
      <c r="AD253" s="321">
        <f>IF(Instructions!$E$11=8,IF($D253=Instructions!$F$44,AD252+1,AD252),IF(Instructions!$E$11=10,IF($H253=Instructions!$F$44,AD252+1,AD252),IF(Instructions!$E$11=12,IF($L253=Instructions!$F$44,AD252+1,AD252),IF(Instructions!$E$11=14,IF($P253=Instructions!$F$44,AD252+1,AD252),IF(Instructions!$E$11=16,IF($T253=Instructions!$F$44,AD252+1,AD252))))))</f>
        <v>21</v>
      </c>
      <c r="AE253" s="321" t="str">
        <f>IF(AD253&lt;10, 3&amp;0&amp;AD253, 3&amp;AD253)</f>
        <v>321</v>
      </c>
      <c r="AF253" s="321">
        <f>IF(Instructions!$E$11=8,IF($D253=Instructions!$F$45,AF252+1,AF252),IF(Instructions!$E$11=10,IF($H253=Instructions!$F$45,AF252+1,AF252),IF(Instructions!$E$11=12,IF($L253=Instructions!$F$45,AF252+1,AF252),IF(Instructions!$E$11=14,IF($P253=Instructions!$F$45,AF252+1,AF252),IF(Instructions!$E$11=16,IF($T253=Instructions!$F$45,AF252+1,AF252))))))</f>
        <v>21</v>
      </c>
      <c r="AG253" s="321" t="str">
        <f>IF(AF253&lt;10, 4&amp;0&amp;AF253, 4&amp;AF253)</f>
        <v>421</v>
      </c>
      <c r="AH253" s="321">
        <f>IF(Instructions!$E$11=8,IF($D253=Instructions!$F$46,AH252+1,AH252),IF(Instructions!$E$11=10,IF($H253=Instructions!$F$46,AH252+1,AH252),IF(Instructions!$E$11=12,IF($L253=Instructions!$F$46,AH252+1,AH252),IF(Instructions!$E$11=14,IF($P253=Instructions!$F$46,AH252+1,AH252),IF(Instructions!$E$11=16,IF($T253=Instructions!$F$46,AH252+1,AH252))))))</f>
        <v>21</v>
      </c>
      <c r="AI253" s="321" t="str">
        <f>IF(AH253&lt;10, 5&amp;0&amp;AH253, 5&amp;AH253)</f>
        <v>521</v>
      </c>
      <c r="AJ253" s="321">
        <f>IF(Instructions!$E$11=8,IF($D253=Instructions!$F$47,AJ252+1,AJ252),IF(Instructions!$E$11=10,IF($H253=Instructions!$F$47,AJ252+1,AJ252),IF(Instructions!$E$11=12,IF($L253=Instructions!$F$47,AJ252+1,AJ252),IF(Instructions!$E$11=14,IF($P253=Instructions!$F$47,AJ252+1,AJ252),IF(Instructions!$E$11=16,IF($T253=Instructions!$F$47,AJ252+1,AJ252))))))</f>
        <v>21</v>
      </c>
      <c r="AK253" s="321" t="str">
        <f>IF(AJ253&lt;10, 6&amp;0&amp;AJ253, 6&amp;AJ253)</f>
        <v>621</v>
      </c>
      <c r="AL253" s="321">
        <f>IF(Instructions!$E$11=8,IF($D253=Instructions!$F$48,AL252+1,AL252),IF(Instructions!$E$11=10,IF($H253=Instructions!$F$48,AL252+1,AL252),IF(Instructions!$E$11=12,IF($L253=Instructions!$F$48,AL252+1,AL252),IF(Instructions!$E$11=14,IF($P253=Instructions!$F$48,AL252+1,AL252),IF(Instructions!$E$11=16,IF($T253=Instructions!$F$48,AL252+1,AL252))))))</f>
        <v>21</v>
      </c>
      <c r="AM253" s="321" t="str">
        <f>IF(AL253&lt;10, 7&amp;0&amp;AL253, 7&amp;AL253)</f>
        <v>721</v>
      </c>
      <c r="AN253" s="321">
        <f>IF(Instructions!$E$11=8,IF($D253=Instructions!$F$49,AN252+1,AN252),IF(Instructions!$E$11=10,IF($H253=Instructions!$F$49,AN252+1,AN252),IF(Instructions!$E$11=12,IF($L253=Instructions!$F$49,AN252+1,AN252),IF(Instructions!$E$11=14,IF($P253=Instructions!$F$49,AN252+1,AN252),IF(Instructions!$E$11=16,IF($T253=Instructions!$F$49,AN252+1,AN252))))))</f>
        <v>21</v>
      </c>
      <c r="AO253" s="321" t="str">
        <f>IF(AN253&lt;10, 8&amp;0&amp;AN253, 8&amp;AN253)</f>
        <v>821</v>
      </c>
      <c r="AP253" s="321">
        <f>IF(Instructions!$E$11=8,IF($D253=Instructions!$F$50,AP252+1,AP252),IF(Instructions!$E$11=10,IF($H253=Instructions!$F$50,AP252+1,AP252),IF(Instructions!$E$11=12,IF($L253=Instructions!$F$50,AP252+1,AP252),IF(Instructions!$E$11=14,IF($P253=Instructions!$F$50,AP252+1,AP252),IF(Instructions!$E$11=16,IF($T253=Instructions!$F$50,AP252+1,AP252))))))</f>
        <v>21</v>
      </c>
      <c r="AQ253" s="321" t="str">
        <f>IF(AP253&lt;10, 9&amp;0&amp;AP253, 9&amp;AP253)</f>
        <v>921</v>
      </c>
      <c r="AR253" s="321">
        <f>IF(Instructions!$E$11=8,IF($D253=Instructions!$F$51,AR252+1,AR252),IF(Instructions!$E$11=10,IF($H253=Instructions!$F$51,AR252+1,AR252),IF(Instructions!$E$11=12,IF($L253=Instructions!$F$51,AR252+1,AR252),IF(Instructions!$E$11=14,IF($P253=Instructions!$F$51,AR252+1,AR252),IF(Instructions!$E$11=16,IF($T253=Instructions!$F$51,AR252+1,AR252))))))</f>
        <v>21</v>
      </c>
      <c r="AS253" s="321" t="str">
        <f>IF(AR253&gt;9, 10&amp;AR253, 100&amp;AR253)</f>
        <v>1021</v>
      </c>
      <c r="AT253" s="321">
        <f>IF(Instructions!$E$11=8,IF($D253=Instructions!$F$52,AT252+1,AT252),IF(Instructions!$E$11=10,IF($H253=Instructions!$F$52,AT252+1,AT252),IF(Instructions!$E$11=12,IF($L253=Instructions!$F$52,AT252+1,AT252),IF(Instructions!$E$11=14,IF($P253=Instructions!$F$52,AT252+1,AT252),IF(Instructions!$E$11=16,IF($T253=Instructions!$F$52,AT252+1,AT252))))))</f>
        <v>21</v>
      </c>
      <c r="AU253" s="321" t="str">
        <f>IF(AT253&gt;9, 11&amp;AT253, 110&amp;AT253)</f>
        <v>1121</v>
      </c>
      <c r="AV253" s="321">
        <f>IF(Instructions!$E$11=8,IF($D253=Instructions!$F$53,AV252+1,AV252),IF(Instructions!$E$11=10,IF($H253=Instructions!$F$53,AV252+1,AV252),IF(Instructions!$E$11=12,IF($L253=Instructions!$F$53,AV252+1,AV252),IF(Instructions!$E$11=14,IF($P253=Instructions!$F$53,AV252+1,AV252),IF(Instructions!$E$11=16,IF($T253=Instructions!$F$53,AV252+1,AV252))))))</f>
        <v>20</v>
      </c>
      <c r="AW253" s="321" t="str">
        <f>IF(AV253&gt;9, 12&amp;AV253, 120&amp;AV253)</f>
        <v>1220</v>
      </c>
      <c r="AX253" s="321">
        <f>IF(Instructions!$E$11=8,IF($D253=Instructions!$F$54,AX252+1,AX252),IF(Instructions!$E$11=10,IF($H253=Instructions!$F$54,AX252+1,AX252),IF(Instructions!$E$11=12,IF($L253=Instructions!$F$54,AX252+1,AX252),IF(Instructions!$E$11=14,IF($P253=Instructions!$F$54,AX252+1,AX252),IF(Instructions!$E$11=16,IF($T253=Instructions!$F$54,AX252+1,AX252))))))</f>
        <v>0</v>
      </c>
      <c r="AY253" s="321" t="str">
        <f>IF(AX253&gt;9, 13&amp;AX253, 130&amp;AX253)</f>
        <v>1300</v>
      </c>
      <c r="AZ253" s="321">
        <f>IF(Instructions!$E$11=8,IF($D253=Instructions!$F$55,AZ252+1,AZ252),IF(Instructions!$E$11=10,IF($H253=Instructions!$F$55,AZ252+1,AZ252),IF(Instructions!$E$11=12,IF($L253=Instructions!$F$55,AZ252+1,AZ252),IF(Instructions!$E$11=14,IF($P253=Instructions!$F$55,AZ252+1,AZ252),IF(Instructions!$E$11=16,IF($T253=Instructions!$F$55,AZ252+1,AZ252))))))</f>
        <v>0</v>
      </c>
      <c r="BA253" s="321" t="str">
        <f>IF(AZ253&gt;9, 14&amp;AZ253, 140&amp;AZ253)</f>
        <v>1400</v>
      </c>
      <c r="BB253" s="321">
        <f>IF(Instructions!$E$11=8,IF($D253=Instructions!$F$56,BB252+1,BB252),IF(Instructions!$E$11=10,IF($H253=Instructions!$F$56,BB252+1,BB252),IF(Instructions!$E$11=12,IF($L253=Instructions!$F$56,BB252+1,BB252),IF(Instructions!$E$11=14,IF($P253=Instructions!$F$56,BB252+1,BB252),IF(Instructions!$E$11=16,IF($T253=Instructions!$F$56,BB252+1,BB252))))))</f>
        <v>0</v>
      </c>
      <c r="BC253" s="321" t="str">
        <f t="shared" si="62"/>
        <v>1500</v>
      </c>
      <c r="BD253" s="321">
        <f>IF(Instructions!$E$11=8,IF($D253=Instructions!$F$57,BD252+1,BD252),IF(Instructions!$E$11=10,IF($H253=Instructions!$F$57,BD252+1,BD252),IF(Instructions!$E$11=12,IF($L253=Instructions!$F$57,BD252+1,BD252),IF(Instructions!$E$11=14,IF($P253=Instructions!$F$57,BD252+1,BD252),IF(Instructions!$E$11=16,IF($T253=Instructions!$F$57,BD252+1,BD252))))))</f>
        <v>0</v>
      </c>
      <c r="BE253" s="321" t="str">
        <f t="shared" si="63"/>
        <v>1600</v>
      </c>
      <c r="BF253" s="321">
        <v>251</v>
      </c>
    </row>
    <row r="254" spans="1:58" ht="15.75" thickBot="1" x14ac:dyDescent="0.3">
      <c r="A254" s="280"/>
      <c r="B254" s="323" t="str">
        <f>IF(Instructions!$J$11=1,AA254,IF(Instructions!$J$11=2,AC254,IF(Instructions!$J$11=3,AE254,IF(Instructions!$J$11=4,AG254,IF(Instructions!$J$11=5,AI254,IF(Instructions!$J$11=6,AK254,IF(Instructions!$J$11=7,AM254,IF(Instructions!$J$11=8,AO254,IF(Instructions!$J$11=9,AQ254,IF(Instructions!$J$11=10,AS254,IF(Instructions!$J$11=11,AU254,IF(Instructions!$J$11=12,AW254,IF(Instructions!$J$11=13, AY254, IF(Instructions!$J$11=14,BA254,IF(Instructions!$J$11=15,BC254,BE254)))))))))))))))</f>
        <v>221</v>
      </c>
      <c r="C254" s="272">
        <v>252</v>
      </c>
      <c r="D254" s="281"/>
      <c r="E254" s="282"/>
      <c r="F254" s="281"/>
      <c r="H254" s="281"/>
      <c r="I254" s="282"/>
      <c r="J254" s="281"/>
      <c r="L254" s="295" t="str">
        <f>Instructions!F$53</f>
        <v>Zack</v>
      </c>
      <c r="M254" s="277" t="s">
        <v>1563</v>
      </c>
      <c r="N254" s="710"/>
      <c r="O254">
        <v>21</v>
      </c>
      <c r="P254" s="295" t="str">
        <f>Instructions!F$42</f>
        <v>Trumbo</v>
      </c>
      <c r="Q254" s="277" t="s">
        <v>1100</v>
      </c>
      <c r="R254" s="710"/>
      <c r="S254">
        <v>18</v>
      </c>
      <c r="T254" s="127"/>
      <c r="U254" s="339"/>
      <c r="V254" s="127"/>
      <c r="X254" s="280"/>
      <c r="Y254" s="190" t="str">
        <f>IFERROR( IF(Instructions!$E$11=8, D254&amp;COUNTIF(D$3:D254,D254), IF(Instructions!$E$11=10, H254&amp;COUNTIF(H$3:H254,H254),IF(Instructions!$E$11=12, L254&amp;COUNTIF(L$3:L254,L254),IF(Instructions!$E$11=14, P254&amp;COUNTIF(P$3:P254,P254),T254&amp;COUNTIF(T$3:T254,T254))))),"")</f>
        <v>Zack21</v>
      </c>
      <c r="Z254" s="321">
        <f>IF(Instructions!$E$11=8,IF($D254=Instructions!$F$42,Z253+1,Z253),IF(Instructions!$E$11=10,IF($H254=Instructions!$F$42,Z253+1,Z253),IF(Instructions!$E$11=12,IF($L254=Instructions!$F$42,Z253+1,Z253),IF(Instructions!$E$11=14,IF($P254=Instructions!$F$42,Z253+1,Z253),IF(Instructions!$E$11=16,IF($T254=Instructions!$F$42,Z253+1,Z253))))))</f>
        <v>21</v>
      </c>
      <c r="AA254" s="321" t="str">
        <f>IF(Z254&lt;10, 1&amp;0&amp;Z254, 1&amp;Z254)</f>
        <v>121</v>
      </c>
      <c r="AB254" s="321">
        <f>IF(Instructions!$E$11=8,IF($D254=Instructions!$F$43,AB253+1,AB253),IF(Instructions!$E$11=10,IF($H254=Instructions!$F$43,AB253+1,AB253),IF(Instructions!$E$11=12,IF($L254=Instructions!$F$43,AB253+1,AB253),IF(Instructions!$E$11=14,IF($P254=Instructions!$F$43,AB253+1,AB253),IF(Instructions!$E$11=16,IF($T254=Instructions!$F$43,AB253+1,AB253))))))</f>
        <v>21</v>
      </c>
      <c r="AC254" s="321" t="str">
        <f>IF(AB254&lt;10, 2&amp;0&amp;AB254, 2&amp;AB254)</f>
        <v>221</v>
      </c>
      <c r="AD254" s="321">
        <f>IF(Instructions!$E$11=8,IF($D254=Instructions!$F$44,AD253+1,AD253),IF(Instructions!$E$11=10,IF($H254=Instructions!$F$44,AD253+1,AD253),IF(Instructions!$E$11=12,IF($L254=Instructions!$F$44,AD253+1,AD253),IF(Instructions!$E$11=14,IF($P254=Instructions!$F$44,AD253+1,AD253),IF(Instructions!$E$11=16,IF($T254=Instructions!$F$44,AD253+1,AD253))))))</f>
        <v>21</v>
      </c>
      <c r="AE254" s="321" t="str">
        <f>IF(AD254&lt;10, 3&amp;0&amp;AD254, 3&amp;AD254)</f>
        <v>321</v>
      </c>
      <c r="AF254" s="321">
        <f>IF(Instructions!$E$11=8,IF($D254=Instructions!$F$45,AF253+1,AF253),IF(Instructions!$E$11=10,IF($H254=Instructions!$F$45,AF253+1,AF253),IF(Instructions!$E$11=12,IF($L254=Instructions!$F$45,AF253+1,AF253),IF(Instructions!$E$11=14,IF($P254=Instructions!$F$45,AF253+1,AF253),IF(Instructions!$E$11=16,IF($T254=Instructions!$F$45,AF253+1,AF253))))))</f>
        <v>21</v>
      </c>
      <c r="AG254" s="321" t="str">
        <f>IF(AF254&lt;10, 4&amp;0&amp;AF254, 4&amp;AF254)</f>
        <v>421</v>
      </c>
      <c r="AH254" s="321">
        <f>IF(Instructions!$E$11=8,IF($D254=Instructions!$F$46,AH253+1,AH253),IF(Instructions!$E$11=10,IF($H254=Instructions!$F$46,AH253+1,AH253),IF(Instructions!$E$11=12,IF($L254=Instructions!$F$46,AH253+1,AH253),IF(Instructions!$E$11=14,IF($P254=Instructions!$F$46,AH253+1,AH253),IF(Instructions!$E$11=16,IF($T254=Instructions!$F$46,AH253+1,AH253))))))</f>
        <v>21</v>
      </c>
      <c r="AI254" s="321" t="str">
        <f>IF(AH254&lt;10, 5&amp;0&amp;AH254, 5&amp;AH254)</f>
        <v>521</v>
      </c>
      <c r="AJ254" s="321">
        <f>IF(Instructions!$E$11=8,IF($D254=Instructions!$F$47,AJ253+1,AJ253),IF(Instructions!$E$11=10,IF($H254=Instructions!$F$47,AJ253+1,AJ253),IF(Instructions!$E$11=12,IF($L254=Instructions!$F$47,AJ253+1,AJ253),IF(Instructions!$E$11=14,IF($P254=Instructions!$F$47,AJ253+1,AJ253),IF(Instructions!$E$11=16,IF($T254=Instructions!$F$47,AJ253+1,AJ253))))))</f>
        <v>21</v>
      </c>
      <c r="AK254" s="321" t="str">
        <f>IF(AJ254&lt;10, 6&amp;0&amp;AJ254, 6&amp;AJ254)</f>
        <v>621</v>
      </c>
      <c r="AL254" s="321">
        <f>IF(Instructions!$E$11=8,IF($D254=Instructions!$F$48,AL253+1,AL253),IF(Instructions!$E$11=10,IF($H254=Instructions!$F$48,AL253+1,AL253),IF(Instructions!$E$11=12,IF($L254=Instructions!$F$48,AL253+1,AL253),IF(Instructions!$E$11=14,IF($P254=Instructions!$F$48,AL253+1,AL253),IF(Instructions!$E$11=16,IF($T254=Instructions!$F$48,AL253+1,AL253))))))</f>
        <v>21</v>
      </c>
      <c r="AM254" s="321" t="str">
        <f>IF(AL254&lt;10, 7&amp;0&amp;AL254, 7&amp;AL254)</f>
        <v>721</v>
      </c>
      <c r="AN254" s="321">
        <f>IF(Instructions!$E$11=8,IF($D254=Instructions!$F$49,AN253+1,AN253),IF(Instructions!$E$11=10,IF($H254=Instructions!$F$49,AN253+1,AN253),IF(Instructions!$E$11=12,IF($L254=Instructions!$F$49,AN253+1,AN253),IF(Instructions!$E$11=14,IF($P254=Instructions!$F$49,AN253+1,AN253),IF(Instructions!$E$11=16,IF($T254=Instructions!$F$49,AN253+1,AN253))))))</f>
        <v>21</v>
      </c>
      <c r="AO254" s="321" t="str">
        <f>IF(AN254&lt;10, 8&amp;0&amp;AN254, 8&amp;AN254)</f>
        <v>821</v>
      </c>
      <c r="AP254" s="321">
        <f>IF(Instructions!$E$11=8,IF($D254=Instructions!$F$50,AP253+1,AP253),IF(Instructions!$E$11=10,IF($H254=Instructions!$F$50,AP253+1,AP253),IF(Instructions!$E$11=12,IF($L254=Instructions!$F$50,AP253+1,AP253),IF(Instructions!$E$11=14,IF($P254=Instructions!$F$50,AP253+1,AP253),IF(Instructions!$E$11=16,IF($T254=Instructions!$F$50,AP253+1,AP253))))))</f>
        <v>21</v>
      </c>
      <c r="AQ254" s="321" t="str">
        <f>IF(AP254&lt;10, 9&amp;0&amp;AP254, 9&amp;AP254)</f>
        <v>921</v>
      </c>
      <c r="AR254" s="321">
        <f>IF(Instructions!$E$11=8,IF($D254=Instructions!$F$51,AR253+1,AR253),IF(Instructions!$E$11=10,IF($H254=Instructions!$F$51,AR253+1,AR253),IF(Instructions!$E$11=12,IF($L254=Instructions!$F$51,AR253+1,AR253),IF(Instructions!$E$11=14,IF($P254=Instructions!$F$51,AR253+1,AR253),IF(Instructions!$E$11=16,IF($T254=Instructions!$F$51,AR253+1,AR253))))))</f>
        <v>21</v>
      </c>
      <c r="AS254" s="321" t="str">
        <f>IF(AR254&gt;9, 10&amp;AR254, 100&amp;AR254)</f>
        <v>1021</v>
      </c>
      <c r="AT254" s="321">
        <f>IF(Instructions!$E$11=8,IF($D254=Instructions!$F$52,AT253+1,AT253),IF(Instructions!$E$11=10,IF($H254=Instructions!$F$52,AT253+1,AT253),IF(Instructions!$E$11=12,IF($L254=Instructions!$F$52,AT253+1,AT253),IF(Instructions!$E$11=14,IF($P254=Instructions!$F$52,AT253+1,AT253),IF(Instructions!$E$11=16,IF($T254=Instructions!$F$52,AT253+1,AT253))))))</f>
        <v>21</v>
      </c>
      <c r="AU254" s="321" t="str">
        <f>IF(AT254&gt;9, 11&amp;AT254, 110&amp;AT254)</f>
        <v>1121</v>
      </c>
      <c r="AV254" s="321">
        <f>IF(Instructions!$E$11=8,IF($D254=Instructions!$F$53,AV253+1,AV253),IF(Instructions!$E$11=10,IF($H254=Instructions!$F$53,AV253+1,AV253),IF(Instructions!$E$11=12,IF($L254=Instructions!$F$53,AV253+1,AV253),IF(Instructions!$E$11=14,IF($P254=Instructions!$F$53,AV253+1,AV253),IF(Instructions!$E$11=16,IF($T254=Instructions!$F$53,AV253+1,AV253))))))</f>
        <v>21</v>
      </c>
      <c r="AW254" s="321" t="str">
        <f>IF(AV254&gt;9, 12&amp;AV254, 120&amp;AV254)</f>
        <v>1221</v>
      </c>
      <c r="AX254" s="321">
        <f>IF(Instructions!$E$11=8,IF($D254=Instructions!$F$54,AX253+1,AX253),IF(Instructions!$E$11=10,IF($H254=Instructions!$F$54,AX253+1,AX253),IF(Instructions!$E$11=12,IF($L254=Instructions!$F$54,AX253+1,AX253),IF(Instructions!$E$11=14,IF($P254=Instructions!$F$54,AX253+1,AX253),IF(Instructions!$E$11=16,IF($T254=Instructions!$F$54,AX253+1,AX253))))))</f>
        <v>0</v>
      </c>
      <c r="AY254" s="321" t="str">
        <f>IF(AX254&gt;9, 13&amp;AX254, 130&amp;AX254)</f>
        <v>1300</v>
      </c>
      <c r="AZ254" s="321">
        <f>IF(Instructions!$E$11=8,IF($D254=Instructions!$F$55,AZ253+1,AZ253),IF(Instructions!$E$11=10,IF($H254=Instructions!$F$55,AZ253+1,AZ253),IF(Instructions!$E$11=12,IF($L254=Instructions!$F$55,AZ253+1,AZ253),IF(Instructions!$E$11=14,IF($P254=Instructions!$F$55,AZ253+1,AZ253),IF(Instructions!$E$11=16,IF($T254=Instructions!$F$55,AZ253+1,AZ253))))))</f>
        <v>0</v>
      </c>
      <c r="BA254" s="321" t="str">
        <f>IF(AZ254&gt;9, 14&amp;AZ254, 140&amp;AZ254)</f>
        <v>1400</v>
      </c>
      <c r="BB254" s="321">
        <f>IF(Instructions!$E$11=8,IF($D254=Instructions!$F$56,BB253+1,BB253),IF(Instructions!$E$11=10,IF($H254=Instructions!$F$56,BB253+1,BB253),IF(Instructions!$E$11=12,IF($L254=Instructions!$F$56,BB253+1,BB253),IF(Instructions!$E$11=14,IF($P254=Instructions!$F$56,BB253+1,BB253),IF(Instructions!$E$11=16,IF($T254=Instructions!$F$56,BB253+1,BB253))))))</f>
        <v>0</v>
      </c>
      <c r="BC254" s="321" t="str">
        <f t="shared" si="62"/>
        <v>1500</v>
      </c>
      <c r="BD254" s="321">
        <f>IF(Instructions!$E$11=8,IF($D254=Instructions!$F$57,BD253+1,BD253),IF(Instructions!$E$11=10,IF($H254=Instructions!$F$57,BD253+1,BD253),IF(Instructions!$E$11=12,IF($L254=Instructions!$F$57,BD253+1,BD253),IF(Instructions!$E$11=14,IF($P254=Instructions!$F$57,BD253+1,BD253),IF(Instructions!$E$11=16,IF($T254=Instructions!$F$57,BD253+1,BD253))))))</f>
        <v>0</v>
      </c>
      <c r="BE254" s="321" t="str">
        <f t="shared" si="63"/>
        <v>1600</v>
      </c>
      <c r="BF254" s="321">
        <v>252</v>
      </c>
    </row>
    <row r="255" spans="1:58" x14ac:dyDescent="0.25">
      <c r="A255" s="281"/>
      <c r="B255" s="281"/>
      <c r="C255" s="281"/>
      <c r="D255" s="281"/>
      <c r="E255" s="281"/>
      <c r="F255" s="281"/>
      <c r="G255" s="281"/>
      <c r="H255" s="281"/>
      <c r="I255" s="281"/>
      <c r="J255" s="281"/>
      <c r="K255" s="281"/>
      <c r="L255" s="281"/>
      <c r="M255" s="281"/>
      <c r="N255" s="281"/>
      <c r="O255" s="281"/>
      <c r="P255" s="281"/>
      <c r="Q255" s="281"/>
      <c r="R255" s="281"/>
      <c r="S255" s="281"/>
      <c r="T255" s="281"/>
      <c r="U255" s="282"/>
      <c r="V255" s="281"/>
      <c r="W255" s="281"/>
      <c r="X255" s="281"/>
      <c r="Y255" s="190"/>
      <c r="Z255" s="321"/>
      <c r="AA255" s="321"/>
      <c r="AB255" s="321"/>
      <c r="AC255" s="321"/>
      <c r="AD255" s="321"/>
      <c r="AE255" s="321"/>
      <c r="AF255" s="321"/>
      <c r="AG255" s="321"/>
      <c r="AH255" s="321"/>
      <c r="AI255" s="321"/>
      <c r="AJ255" s="321"/>
      <c r="AK255" s="321"/>
      <c r="AL255" s="321"/>
      <c r="AM255" s="321"/>
      <c r="AN255" s="321"/>
      <c r="AO255" s="321"/>
      <c r="AP255" s="321"/>
      <c r="AQ255" s="321"/>
      <c r="AR255" s="321"/>
      <c r="AS255" s="321"/>
      <c r="AT255" s="321"/>
      <c r="AU255" s="321"/>
      <c r="AV255" s="321"/>
      <c r="AW255" s="321"/>
      <c r="AX255" s="321"/>
      <c r="AY255" s="321"/>
      <c r="AZ255" s="321"/>
      <c r="BA255" s="321"/>
      <c r="BB255" s="321"/>
      <c r="BC255" s="190"/>
      <c r="BD255" s="190"/>
      <c r="BE255" s="190"/>
      <c r="BF255" s="190"/>
    </row>
  </sheetData>
  <sheetProtection sheet="1" objects="1" scenarios="1"/>
  <mergeCells count="104">
    <mergeCell ref="R3:R16"/>
    <mergeCell ref="R17:R30"/>
    <mergeCell ref="R31:R44"/>
    <mergeCell ref="R45:R58"/>
    <mergeCell ref="R59:R72"/>
    <mergeCell ref="R73:R86"/>
    <mergeCell ref="N75:N86"/>
    <mergeCell ref="N87:N98"/>
    <mergeCell ref="N99:N110"/>
    <mergeCell ref="N63:N74"/>
    <mergeCell ref="N3:N14"/>
    <mergeCell ref="N15:N26"/>
    <mergeCell ref="N27:N38"/>
    <mergeCell ref="N39:N50"/>
    <mergeCell ref="N51:N62"/>
    <mergeCell ref="F139:F146"/>
    <mergeCell ref="F147:F154"/>
    <mergeCell ref="F155:F162"/>
    <mergeCell ref="R171:R184"/>
    <mergeCell ref="R185:R198"/>
    <mergeCell ref="R199:R212"/>
    <mergeCell ref="R213:R226"/>
    <mergeCell ref="R87:R100"/>
    <mergeCell ref="R101:R114"/>
    <mergeCell ref="R115:R128"/>
    <mergeCell ref="R129:R142"/>
    <mergeCell ref="R143:R156"/>
    <mergeCell ref="R157:R170"/>
    <mergeCell ref="N147:N158"/>
    <mergeCell ref="N159:N170"/>
    <mergeCell ref="N171:N182"/>
    <mergeCell ref="N183:N194"/>
    <mergeCell ref="N111:N122"/>
    <mergeCell ref="N123:N134"/>
    <mergeCell ref="N135:N146"/>
    <mergeCell ref="J83:J92"/>
    <mergeCell ref="J93:J102"/>
    <mergeCell ref="J113:J122"/>
    <mergeCell ref="J123:J132"/>
    <mergeCell ref="J3:J12"/>
    <mergeCell ref="J13:J22"/>
    <mergeCell ref="J23:J32"/>
    <mergeCell ref="J33:J42"/>
    <mergeCell ref="J43:J52"/>
    <mergeCell ref="F123:F130"/>
    <mergeCell ref="F131:F138"/>
    <mergeCell ref="J153:J162"/>
    <mergeCell ref="F3:F10"/>
    <mergeCell ref="F11:F18"/>
    <mergeCell ref="F19:F26"/>
    <mergeCell ref="F27:F34"/>
    <mergeCell ref="F35:F42"/>
    <mergeCell ref="F43:F50"/>
    <mergeCell ref="F51:F58"/>
    <mergeCell ref="F59:F66"/>
    <mergeCell ref="F67:F74"/>
    <mergeCell ref="F75:F82"/>
    <mergeCell ref="F83:F90"/>
    <mergeCell ref="F91:F98"/>
    <mergeCell ref="F99:F106"/>
    <mergeCell ref="F107:F114"/>
    <mergeCell ref="F115:F122"/>
    <mergeCell ref="J103:J112"/>
    <mergeCell ref="J133:J142"/>
    <mergeCell ref="J143:J152"/>
    <mergeCell ref="J53:J62"/>
    <mergeCell ref="J63:J72"/>
    <mergeCell ref="J73:J82"/>
    <mergeCell ref="J163:J172"/>
    <mergeCell ref="J173:J182"/>
    <mergeCell ref="J183:J192"/>
    <mergeCell ref="J193:J202"/>
    <mergeCell ref="J203:J212"/>
    <mergeCell ref="F163:F170"/>
    <mergeCell ref="F171:F178"/>
    <mergeCell ref="F179:F186"/>
    <mergeCell ref="F187:F194"/>
    <mergeCell ref="F195:F202"/>
    <mergeCell ref="R227:R240"/>
    <mergeCell ref="R241:R254"/>
    <mergeCell ref="J213:J222"/>
    <mergeCell ref="J223:J232"/>
    <mergeCell ref="J233:J242"/>
    <mergeCell ref="J243:J252"/>
    <mergeCell ref="N195:N206"/>
    <mergeCell ref="N207:N218"/>
    <mergeCell ref="N219:N230"/>
    <mergeCell ref="N231:N242"/>
    <mergeCell ref="N243:N254"/>
    <mergeCell ref="V227:V242"/>
    <mergeCell ref="V19:V34"/>
    <mergeCell ref="V3:V18"/>
    <mergeCell ref="V35:V50"/>
    <mergeCell ref="V51:V66"/>
    <mergeCell ref="V67:V82"/>
    <mergeCell ref="V83:V98"/>
    <mergeCell ref="V99:V114"/>
    <mergeCell ref="V115:V130"/>
    <mergeCell ref="V131:V146"/>
    <mergeCell ref="V147:V162"/>
    <mergeCell ref="V163:V178"/>
    <mergeCell ref="V179:V194"/>
    <mergeCell ref="V195:V210"/>
    <mergeCell ref="V211:V226"/>
  </mergeCells>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600-000000000000}">
          <x14:formula1>
            <xm:f>Instructions!$F$42:$F$51</xm:f>
          </x14:formula1>
          <xm:sqref>H3:H252</xm:sqref>
        </x14:dataValidation>
        <x14:dataValidation type="list" allowBlank="1" showInputMessage="1" showErrorMessage="1" xr:uid="{00000000-0002-0000-0600-000001000000}">
          <x14:formula1>
            <xm:f>Instructions!$F$42:$F$53</xm:f>
          </x14:formula1>
          <xm:sqref>L3:L254</xm:sqref>
        </x14:dataValidation>
        <x14:dataValidation type="list" allowBlank="1" showInputMessage="1" showErrorMessage="1" xr:uid="{00000000-0002-0000-0600-000002000000}">
          <x14:formula1>
            <xm:f>Instructions!$F$42:$F$49</xm:f>
          </x14:formula1>
          <xm:sqref>D3:D202</xm:sqref>
        </x14:dataValidation>
        <x14:dataValidation type="list" allowBlank="1" showInputMessage="1" showErrorMessage="1" xr:uid="{00000000-0002-0000-0600-000003000000}">
          <x14:formula1>
            <xm:f>Instructions!$F$42:F$55</xm:f>
          </x14:formula1>
          <xm:sqref>P3:P254</xm:sqref>
        </x14:dataValidation>
        <x14:dataValidation type="list" allowBlank="1" showInputMessage="1" showErrorMessage="1" xr:uid="{00000000-0002-0000-0600-000004000000}">
          <x14:formula1>
            <xm:f>Instructions!$F$42:F$57</xm:f>
          </x14:formula1>
          <xm:sqref>T3:T242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Y101"/>
  <sheetViews>
    <sheetView zoomScale="110" zoomScaleNormal="110" workbookViewId="0">
      <pane ySplit="6" topLeftCell="A7" activePane="bottomLeft" state="frozen"/>
      <selection activeCell="M1" sqref="M1:U1048576"/>
      <selection pane="bottomLeft" activeCell="F5" sqref="F5:F6"/>
    </sheetView>
  </sheetViews>
  <sheetFormatPr defaultColWidth="0" defaultRowHeight="15" zeroHeight="1" x14ac:dyDescent="0.25"/>
  <cols>
    <col min="1" max="1" width="4.7109375" customWidth="1"/>
    <col min="2" max="2" width="6.5703125" customWidth="1"/>
    <col min="3" max="3" width="4.140625" hidden="1" customWidth="1"/>
    <col min="4" max="4" width="25.7109375" customWidth="1"/>
    <col min="5" max="8" width="10.7109375" customWidth="1"/>
    <col min="9" max="9" width="5.7109375" customWidth="1"/>
    <col min="10" max="10" width="4.7109375" customWidth="1"/>
    <col min="11" max="11" width="31.28515625" hidden="1" customWidth="1"/>
    <col min="12" max="13" width="9.140625" hidden="1" customWidth="1"/>
    <col min="14" max="14" width="18.28515625" hidden="1" customWidth="1"/>
    <col min="15" max="15" width="3.7109375" hidden="1" customWidth="1"/>
    <col min="16" max="16" width="2.7109375" hidden="1" customWidth="1"/>
    <col min="17" max="17" width="8.28515625" hidden="1" customWidth="1"/>
    <col min="18" max="18" width="20" hidden="1" customWidth="1"/>
    <col min="19" max="19" width="18.28515625" hidden="1" customWidth="1"/>
    <col min="20" max="20" width="16.85546875" hidden="1" customWidth="1"/>
    <col min="21" max="24" width="16.7109375" hidden="1" customWidth="1"/>
    <col min="25" max="16384" width="9.140625" hidden="1"/>
  </cols>
  <sheetData>
    <row r="1" spans="1:25" x14ac:dyDescent="0.25">
      <c r="A1" s="135"/>
      <c r="B1" s="105"/>
      <c r="D1" s="106"/>
      <c r="E1" s="105"/>
      <c r="F1" s="107"/>
      <c r="G1" s="716" t="s">
        <v>1169</v>
      </c>
      <c r="H1" s="716"/>
      <c r="I1" s="388"/>
      <c r="J1" s="302"/>
      <c r="K1" s="89"/>
      <c r="M1" s="3"/>
      <c r="N1" s="4"/>
      <c r="O1" s="4"/>
      <c r="P1" s="4"/>
      <c r="Q1" s="4"/>
      <c r="R1" s="303"/>
      <c r="S1" s="303"/>
      <c r="T1" s="304"/>
      <c r="U1" s="245"/>
      <c r="V1" s="245"/>
      <c r="W1" s="245"/>
      <c r="X1" s="245"/>
    </row>
    <row r="2" spans="1:25" ht="15.75" thickBot="1" x14ac:dyDescent="0.3">
      <c r="A2" s="135"/>
      <c r="B2" s="105"/>
      <c r="D2" s="108"/>
      <c r="E2" s="105"/>
      <c r="F2" s="107"/>
      <c r="G2" s="716"/>
      <c r="H2" s="716"/>
      <c r="I2" s="388"/>
      <c r="J2" s="302"/>
      <c r="K2" s="89"/>
      <c r="M2" s="3"/>
      <c r="N2" s="4"/>
      <c r="O2" s="4"/>
      <c r="P2" s="4"/>
      <c r="Q2" s="4"/>
      <c r="R2" s="303"/>
      <c r="S2" s="303"/>
      <c r="T2" s="305"/>
      <c r="U2">
        <f>IF(Instructions!$E$11=10,5,IF(Instructions!$E$11=12, 9,13))</f>
        <v>9</v>
      </c>
    </row>
    <row r="3" spans="1:25" x14ac:dyDescent="0.25">
      <c r="A3" s="135"/>
      <c r="B3" s="105"/>
      <c r="D3" s="106"/>
      <c r="E3" s="105"/>
      <c r="F3" s="107"/>
      <c r="G3" s="716"/>
      <c r="H3" s="716"/>
      <c r="I3" s="388"/>
      <c r="J3" s="302"/>
      <c r="K3" s="89"/>
      <c r="M3" s="3"/>
      <c r="N3" s="4"/>
      <c r="O3" s="4"/>
      <c r="P3" s="4"/>
      <c r="Q3" s="4"/>
      <c r="R3" s="303"/>
      <c r="S3" s="303"/>
      <c r="T3" s="305"/>
    </row>
    <row r="4" spans="1:25" ht="15.75" thickBot="1" x14ac:dyDescent="0.3">
      <c r="A4" s="135"/>
      <c r="B4" s="105"/>
      <c r="D4" s="109"/>
      <c r="E4" s="105"/>
      <c r="F4" s="107"/>
      <c r="G4" s="716"/>
      <c r="H4" s="716"/>
      <c r="I4" s="388"/>
      <c r="J4" s="302"/>
      <c r="K4" s="89"/>
      <c r="M4" s="3"/>
      <c r="N4" s="4"/>
      <c r="O4" s="4"/>
      <c r="P4" s="4"/>
      <c r="Q4" s="4"/>
      <c r="R4" s="303"/>
      <c r="S4" s="303"/>
      <c r="T4" s="305"/>
    </row>
    <row r="5" spans="1:25" x14ac:dyDescent="0.25">
      <c r="A5" s="135"/>
      <c r="B5" s="629" t="s">
        <v>912</v>
      </c>
      <c r="C5" s="441"/>
      <c r="D5" s="596" t="s">
        <v>244</v>
      </c>
      <c r="E5" s="596" t="s">
        <v>913</v>
      </c>
      <c r="F5" s="717" t="s">
        <v>1241</v>
      </c>
      <c r="G5" s="637" t="s">
        <v>1167</v>
      </c>
      <c r="H5" s="719" t="s">
        <v>1759</v>
      </c>
      <c r="I5" s="390" t="s">
        <v>1744</v>
      </c>
      <c r="J5" s="127"/>
      <c r="K5" s="89"/>
      <c r="M5" s="3"/>
      <c r="N5" s="4"/>
      <c r="O5" s="4"/>
      <c r="P5" s="4"/>
      <c r="Q5" s="4"/>
      <c r="R5" s="303"/>
      <c r="S5" s="303"/>
      <c r="T5" s="305"/>
    </row>
    <row r="6" spans="1:25" ht="15" customHeight="1" thickBot="1" x14ac:dyDescent="0.3">
      <c r="A6" s="135"/>
      <c r="B6" s="714"/>
      <c r="D6" s="715"/>
      <c r="E6" s="715"/>
      <c r="F6" s="718"/>
      <c r="G6" s="638"/>
      <c r="H6" s="720"/>
      <c r="I6" s="391" t="s">
        <v>246</v>
      </c>
      <c r="J6" s="127"/>
      <c r="K6" s="89" t="s">
        <v>912</v>
      </c>
      <c r="M6" s="3"/>
      <c r="N6" s="4"/>
      <c r="O6" s="4"/>
      <c r="P6" s="4"/>
      <c r="Q6" s="4"/>
      <c r="R6" s="306" t="s">
        <v>918</v>
      </c>
      <c r="S6" t="s">
        <v>967</v>
      </c>
      <c r="T6" t="s">
        <v>971</v>
      </c>
      <c r="U6" s="246" t="s">
        <v>1156</v>
      </c>
      <c r="V6" s="241" t="s">
        <v>1157</v>
      </c>
      <c r="W6" s="241" t="s">
        <v>1999</v>
      </c>
      <c r="X6" s="241" t="s">
        <v>1998</v>
      </c>
      <c r="Y6" s="242" t="s">
        <v>1167</v>
      </c>
    </row>
    <row r="7" spans="1:25" ht="15" customHeight="1" x14ac:dyDescent="0.25">
      <c r="A7" s="135"/>
      <c r="B7" s="142" t="s">
        <v>250</v>
      </c>
      <c r="C7" t="str">
        <f>IF(AND(IFERROR(INDEX(Instructions!$T$111:$T$222,MATCH(D7,Instructions!$T$111:$T$222,0)), "")=D7, D7&lt;&gt;""), "X", "")</f>
        <v>X</v>
      </c>
      <c r="D7" s="141" t="s">
        <v>1761</v>
      </c>
      <c r="E7" s="100" t="s">
        <v>156</v>
      </c>
      <c r="F7" s="431">
        <f>IFERROR(IF(AND($F$5="Projected Points",Beersheet!A2&lt;&gt;"QB"), T7, IF(H7="", INDEX(Tier!B$4:$B$12,MATCH(G7,Tier!$A$4:$A$12,0)), INDEX(Tier!$B$4:$B$12,MATCH(H7,Tier!$A$4:$A$12,0)))), "")</f>
        <v>388.81601999999998</v>
      </c>
      <c r="G7" s="250">
        <f>IF(D7="","",Y7)</f>
        <v>1</v>
      </c>
      <c r="H7" s="291"/>
      <c r="I7" s="392">
        <f>IFERROR(INDEX(ADP!Q:Q,MATCH(D7,ADP!D:D,0))-RBproj!K7,"")</f>
        <v>1</v>
      </c>
      <c r="J7" s="127"/>
      <c r="K7" s="89">
        <v>1</v>
      </c>
      <c r="L7" s="2" t="s">
        <v>250</v>
      </c>
      <c r="M7" s="3">
        <f>IF(N7-MEDIAN(N4:N10)&lt;0,0,N7-MEDIAN(N4:N10))</f>
        <v>0</v>
      </c>
      <c r="N7" s="4">
        <f>IFERROR(INDEX(ADP!AC:AC,MATCH(D7,ADP!Y:Y,0)),0)</f>
        <v>4.5999999999999996</v>
      </c>
      <c r="O7" s="4" t="s">
        <v>1</v>
      </c>
      <c r="P7" s="4"/>
      <c r="Q7" s="4"/>
      <c r="R7" s="303" t="str">
        <f>IFERROR(VLOOKUP(S7,FFARawStatProjections!AP:AQ,2,FALSE),"")</f>
        <v>BUF</v>
      </c>
      <c r="S7" s="4" t="str">
        <f>INDEX(FFARawStatProjections!AP:AP,MATCH(T7,FFARawStatProjections!AR:AR,0))</f>
        <v>Josh Allen</v>
      </c>
      <c r="T7" s="438">
        <f>LARGE(FFARawStatProjections!AR:AR,QBproj!K7)</f>
        <v>388.81601999999998</v>
      </c>
      <c r="U7" s="248">
        <f>T7-$W$10</f>
        <v>83.709900000000005</v>
      </c>
      <c r="V7" s="243">
        <f>U7^2</f>
        <v>7007.3473580100008</v>
      </c>
      <c r="W7" s="243">
        <v>16</v>
      </c>
      <c r="X7" s="243">
        <f>U7/$W$7</f>
        <v>5.2318687500000003</v>
      </c>
      <c r="Y7" s="238">
        <f>IFERROR(IF(ISBLANK(Beersheet!$A$1)=FALSE,
INDEX(Beersheet!$A:$U,MATCH(S7,INDEX(Beersheet!$A:$U,0,FFARawStatProjections!$BV$2),0),FFARawStatProjections!$BV$6),
IF(X7&gt;6,0,
IF(AND(X7&lt;=6,X7&gt;5),1,
IF(AND(X7&lt;=5,X7&gt;4),2,
IF(AND(X7&lt;=4,X7&gt;3),3,
IF(AND(X7&lt;=3,X7&gt;2),4,
IF(AND(X7&lt;=2,X7&gt;1),5,
IF(AND(X7&lt;=1,X7&gt;0),6,
IF(AND(X7&lt;=0,X7&gt;-1),7,
8))))))))),10)</f>
        <v>1</v>
      </c>
    </row>
    <row r="8" spans="1:25" ht="15" customHeight="1" x14ac:dyDescent="0.25">
      <c r="A8" s="135"/>
      <c r="B8" s="143" t="s">
        <v>384</v>
      </c>
      <c r="C8" t="str">
        <f>IF(AND(IFERROR(INDEX(Instructions!$T$111:$T$222,MATCH(D8,Instructions!$T$111:$T$222,0)), "")=D8, D8&lt;&gt;""), "X", "")</f>
        <v/>
      </c>
      <c r="D8" s="137" t="s">
        <v>1928</v>
      </c>
      <c r="E8" s="99" t="s">
        <v>136</v>
      </c>
      <c r="F8" s="232">
        <f>IFERROR(IF(AND($F$5="Projected Points",Beersheet!A3&lt;&gt;"QB"), T8, IF(H8="", INDEX(Tier!B$4:$B$12,MATCH(G8,Tier!$A$4:$A$12,0)), INDEX(Tier!$B$4:$B$12,MATCH(H8,Tier!$A$4:$A$12,0)))), "")</f>
        <v>387.68401</v>
      </c>
      <c r="G8" s="283">
        <f>IF(D8="","",Y8)</f>
        <v>1</v>
      </c>
      <c r="H8" s="288"/>
      <c r="I8" s="392">
        <f>IFERROR(INDEX(ADP!Q:Q,MATCH(D8,ADP!D:D,0))-RBproj!K8,"")</f>
        <v>-1</v>
      </c>
      <c r="J8" s="127"/>
      <c r="K8" s="89">
        <v>2</v>
      </c>
      <c r="L8" s="2" t="s">
        <v>384</v>
      </c>
      <c r="M8" s="3">
        <f t="shared" ref="M8:M62" si="0">IF(N8-MEDIAN(N5:N11)&lt;0,0,N8-MEDIAN(N5:N11))</f>
        <v>0.30000000000000071</v>
      </c>
      <c r="N8" s="4">
        <f>IFERROR(INDEX(ADP!AC:AC,MATCH(QBproj!D8,ADP!Y:Y,0)),0)</f>
        <v>4.9000000000000004</v>
      </c>
      <c r="O8" s="4" t="s">
        <v>1</v>
      </c>
      <c r="P8" s="4"/>
      <c r="Q8" s="4"/>
      <c r="R8" s="303" t="str">
        <f>IFERROR(VLOOKUP(S8,FFARawStatProjections!AP:AQ,2,FALSE),"")</f>
        <v>KC</v>
      </c>
      <c r="S8" s="4" t="str">
        <f>INDEX(FFARawStatProjections!AP:AP,MATCH(T8,FFARawStatProjections!AR:AR,0))</f>
        <v>Patrick Mahomes</v>
      </c>
      <c r="T8">
        <f>LARGE(FFARawStatProjections!AR:AR,QBproj!K8)</f>
        <v>387.68401</v>
      </c>
      <c r="U8" s="248">
        <f t="shared" ref="U8:U62" si="1">T8-$W$10</f>
        <v>82.577890000000025</v>
      </c>
      <c r="V8" s="243">
        <f t="shared" ref="V8:V62" si="2">U8^2</f>
        <v>6819.1079168521037</v>
      </c>
      <c r="W8" s="243">
        <f>AVERAGE(V7:INDEX(V7:V65,Instructions!$E$11*Instructions!$E$15,1))</f>
        <v>2162.0169877142175</v>
      </c>
      <c r="X8" s="243">
        <f t="shared" ref="X8:X62" si="3">U8/$W$7</f>
        <v>5.1611181250000016</v>
      </c>
      <c r="Y8" s="238">
        <f>IFERROR(IF(ISBLANK(Beersheet!$A$1)=FALSE,
INDEX(Beersheet!$A:$U,MATCH(S8,INDEX(Beersheet!$A:$U,0,FFARawStatProjections!$BV$2),0),FFARawStatProjections!$BV$6),
IF(X8&gt;6,0,
IF(AND(X8&lt;=6,X8&gt;5),1,
IF(AND(X8&lt;=5,X8&gt;4),2,
IF(AND(X8&lt;=4,X8&gt;3),3,
IF(AND(X8&lt;=3,X8&gt;2),4,
IF(AND(X8&lt;=2,X8&gt;1),5,
IF(AND(X8&lt;=1,X8&gt;0),6,
IF(AND(X8&lt;=0,X8&gt;-1),7,
8))))))))),10)</f>
        <v>1</v>
      </c>
    </row>
    <row r="9" spans="1:25" ht="15" customHeight="1" x14ac:dyDescent="0.25">
      <c r="A9" s="135"/>
      <c r="B9" s="142" t="s">
        <v>385</v>
      </c>
      <c r="C9" t="str">
        <f>IF(AND(IFERROR(INDEX(Instructions!$T$111:$T$222,MATCH(D9,Instructions!$T$111:$T$222,0)), "")=D9, D9&lt;&gt;""), "X", "")</f>
        <v/>
      </c>
      <c r="D9" s="138" t="s">
        <v>2108</v>
      </c>
      <c r="E9" s="100" t="s">
        <v>137</v>
      </c>
      <c r="F9" s="431">
        <f>IFERROR(IF(AND($F$5="Projected Points",Beersheet!A4&lt;&gt;"QB"), T9, IF(H9="", INDEX(Tier!B$4:$B$12,MATCH(G9,Tier!$A$4:$A$12,0)), INDEX(Tier!$B$4:$B$12,MATCH(H9,Tier!$A$4:$A$12,0)))), "")</f>
        <v>382.08402999999998</v>
      </c>
      <c r="G9" s="250">
        <f>IF(D9="","",Y9)</f>
        <v>2</v>
      </c>
      <c r="H9" s="291"/>
      <c r="I9" s="392">
        <f>IFERROR(INDEX(ADP!Q:Q,MATCH(D9,ADP!D:D,0))-RBproj!K9,"")</f>
        <v>0</v>
      </c>
      <c r="J9" s="127"/>
      <c r="K9" s="89">
        <v>3</v>
      </c>
      <c r="L9" s="2" t="s">
        <v>385</v>
      </c>
      <c r="M9" s="3">
        <f t="shared" si="0"/>
        <v>0</v>
      </c>
      <c r="N9" s="4">
        <f>IFERROR(INDEX(ADP!AC:AC,MATCH(QBproj!D9,ADP!Y:Y,0)),0)</f>
        <v>4.5</v>
      </c>
      <c r="O9" s="4" t="s">
        <v>1</v>
      </c>
      <c r="P9" s="4"/>
      <c r="Q9" s="4"/>
      <c r="R9" s="303" t="str">
        <f>IFERROR(VLOOKUP(S9,FFARawStatProjections!AP:AQ,2,FALSE),"")</f>
        <v>PHI</v>
      </c>
      <c r="S9" s="4" t="str">
        <f>INDEX(FFARawStatProjections!AP:AP,MATCH(T9,FFARawStatProjections!AR:AR,0))</f>
        <v>Jalen Hurts</v>
      </c>
      <c r="T9">
        <f>LARGE(FFARawStatProjections!AR:AR,QBproj!K9)</f>
        <v>382.08402999999998</v>
      </c>
      <c r="U9" s="248">
        <f t="shared" si="1"/>
        <v>76.977910000000008</v>
      </c>
      <c r="V9" s="243">
        <f t="shared" si="2"/>
        <v>5925.598627968101</v>
      </c>
      <c r="W9" s="243"/>
      <c r="X9" s="243">
        <f t="shared" si="3"/>
        <v>4.8111193750000005</v>
      </c>
      <c r="Y9" s="238">
        <f>IFERROR(IF(ISBLANK(Beersheet!$A$1)=FALSE,
INDEX(Beersheet!$A:$U,MATCH(S9,INDEX(Beersheet!$A:$U,0,FFARawStatProjections!$BV$2),0),FFARawStatProjections!$BV$6),
IF(X9&gt;6,0,
IF(AND(X9&lt;=6,X9&gt;5),1,
IF(AND(X9&lt;=5,X9&gt;4),2,
IF(AND(X9&lt;=4,X9&gt;3),3,
IF(AND(X9&lt;=3,X9&gt;2),4,
IF(AND(X9&lt;=2,X9&gt;1),5,
IF(AND(X9&lt;=1,X9&gt;0),6,
IF(AND(X9&lt;=0,X9&gt;-1),7,
8))))))))),10)</f>
        <v>2</v>
      </c>
    </row>
    <row r="10" spans="1:25" ht="15" customHeight="1" x14ac:dyDescent="0.25">
      <c r="A10" s="135"/>
      <c r="B10" s="143" t="s">
        <v>386</v>
      </c>
      <c r="C10" t="str">
        <f>IF(AND(IFERROR(INDEX(Instructions!$T$111:$T$222,MATCH(D10,Instructions!$T$111:$T$222,0)), "")=D10, D10&lt;&gt;""), "X", "")</f>
        <v/>
      </c>
      <c r="D10" s="137" t="s">
        <v>1764</v>
      </c>
      <c r="E10" s="99" t="s">
        <v>162</v>
      </c>
      <c r="F10" s="232">
        <f>IFERROR(IF(AND($F$5="Projected Points",Beersheet!A5&lt;&gt;"QB"), T10, IF(H10="", INDEX(Tier!B$4:$B$12,MATCH(G10,Tier!$A$4:$A$12,0)), INDEX(Tier!$B$4:$B$12,MATCH(H10,Tier!$A$4:$A$12,0)))), "")</f>
        <v>357.19204000000002</v>
      </c>
      <c r="G10" s="283">
        <f t="shared" ref="G10:G62" si="4">IF(D10="","",Y10)</f>
        <v>3</v>
      </c>
      <c r="H10" s="288"/>
      <c r="I10" s="392">
        <f>IFERROR(INDEX(ADP!Q:Q,MATCH(D10,ADP!D:D,0))-RBproj!K10,"")</f>
        <v>0</v>
      </c>
      <c r="J10" s="127"/>
      <c r="K10" s="89">
        <v>4</v>
      </c>
      <c r="L10" s="2" t="s">
        <v>386</v>
      </c>
      <c r="M10" s="3">
        <f t="shared" si="0"/>
        <v>0</v>
      </c>
      <c r="N10" s="4">
        <f>IFERROR(INDEX(ADP!AC:AC,MATCH(QBproj!D10,ADP!Y:Y,0)),0)</f>
        <v>4.5999999999999996</v>
      </c>
      <c r="O10" s="4" t="s">
        <v>1</v>
      </c>
      <c r="P10" s="4"/>
      <c r="Q10" s="4"/>
      <c r="R10" s="303" t="str">
        <f>IFERROR(VLOOKUP(S10,FFARawStatProjections!AP:AQ,2,FALSE),"")</f>
        <v>BAL</v>
      </c>
      <c r="S10" s="4" t="str">
        <f>INDEX(FFARawStatProjections!AP:AP,MATCH(T10,FFARawStatProjections!AR:AR,0))</f>
        <v>Lamar Jackson</v>
      </c>
      <c r="T10">
        <f>LARGE(FFARawStatProjections!AR:AR,QBproj!K10)</f>
        <v>357.19204000000002</v>
      </c>
      <c r="U10" s="248">
        <f t="shared" si="1"/>
        <v>52.085920000000044</v>
      </c>
      <c r="V10" s="243">
        <f t="shared" si="2"/>
        <v>2712.9430622464047</v>
      </c>
      <c r="W10" s="481">
        <f>((INDEX(T7:T65,Instructions!$E$11*Instructions!$E$15,1)
+IF(Instructions!$E$15=2,INDEX(T7:T65,Instructions!$E$11,1),0))
/(Instructions!$E$15))</f>
        <v>305.10611999999998</v>
      </c>
      <c r="X10" s="243">
        <f t="shared" si="3"/>
        <v>3.2553700000000028</v>
      </c>
      <c r="Y10" s="238">
        <f>IFERROR(IF(ISBLANK(Beersheet!$A$1)=FALSE,
INDEX(Beersheet!$A:$U,MATCH(S10,INDEX(Beersheet!$A:$U,0,FFARawStatProjections!$BV$2),0),FFARawStatProjections!$BV$6),
IF(X10&gt;6,0,
IF(AND(X10&lt;=6,X10&gt;5),1,
IF(AND(X10&lt;=5,X10&gt;4),2,
IF(AND(X10&lt;=4,X10&gt;3),3,
IF(AND(X10&lt;=3,X10&gt;2),4,
IF(AND(X10&lt;=2,X10&gt;1),5,
IF(AND(X10&lt;=1,X10&gt;0),6,
IF(AND(X10&lt;=0,X10&gt;-1),7,
8))))))))),10)</f>
        <v>3</v>
      </c>
    </row>
    <row r="11" spans="1:25" ht="15" customHeight="1" x14ac:dyDescent="0.25">
      <c r="A11" s="135"/>
      <c r="B11" s="142" t="s">
        <v>387</v>
      </c>
      <c r="C11" t="str">
        <f>IF(AND(IFERROR(INDEX(Instructions!$T$111:$T$222,MATCH(D11,Instructions!$T$111:$T$222,0)), "")=D11, D11&lt;&gt;""), "X", "")</f>
        <v/>
      </c>
      <c r="D11" s="138" t="s">
        <v>2083</v>
      </c>
      <c r="E11" s="100" t="s">
        <v>145</v>
      </c>
      <c r="F11" s="431">
        <f>IFERROR(IF(AND($F$5="Projected Points",Beersheet!A6&lt;&gt;"QB"), T11, IF(H11="", INDEX(Tier!B$4:$B$12,MATCH(G11,Tier!$A$4:$A$12,0)), INDEX(Tier!$B$4:$B$12,MATCH(H11,Tier!$A$4:$A$12,0)))), "")</f>
        <v>350.62604999999996</v>
      </c>
      <c r="G11" s="250">
        <f t="shared" si="4"/>
        <v>4</v>
      </c>
      <c r="H11" s="291"/>
      <c r="I11" s="392">
        <f>IFERROR(INDEX(ADP!Q:Q,MATCH(D11,ADP!D:D,0))-RBproj!K11,"")</f>
        <v>0</v>
      </c>
      <c r="J11" s="127"/>
      <c r="K11" s="89">
        <v>5</v>
      </c>
      <c r="L11" s="2" t="s">
        <v>387</v>
      </c>
      <c r="M11" s="3">
        <f t="shared" si="0"/>
        <v>0</v>
      </c>
      <c r="N11" s="4">
        <f>IFERROR(INDEX(ADP!AC:AC,MATCH(QBproj!D11,ADP!Y:Y,0)),0)</f>
        <v>5.8</v>
      </c>
      <c r="O11" s="4" t="s">
        <v>1</v>
      </c>
      <c r="P11" s="4"/>
      <c r="Q11" s="4"/>
      <c r="R11" s="303" t="str">
        <f>IFERROR(VLOOKUP(S11,FFARawStatProjections!AP:AQ,2,FALSE),"")</f>
        <v>CIN</v>
      </c>
      <c r="S11" s="4" t="str">
        <f>INDEX(FFARawStatProjections!AP:AP,MATCH(T11,FFARawStatProjections!AR:AR,0))</f>
        <v>Joe Burrow</v>
      </c>
      <c r="T11">
        <f>LARGE(FFARawStatProjections!AR:AR,QBproj!K11)</f>
        <v>350.62604999999996</v>
      </c>
      <c r="U11" s="248">
        <f t="shared" si="1"/>
        <v>45.519929999999988</v>
      </c>
      <c r="V11" s="243">
        <f t="shared" si="2"/>
        <v>2072.064027204899</v>
      </c>
      <c r="W11" s="243"/>
      <c r="X11" s="243">
        <f t="shared" si="3"/>
        <v>2.8449956249999993</v>
      </c>
      <c r="Y11" s="238">
        <f>IFERROR(IF(ISBLANK(Beersheet!$A$1)=FALSE,
INDEX(Beersheet!$A:$U,MATCH(S11,INDEX(Beersheet!$A:$U,0,FFARawStatProjections!$BV$2),0),FFARawStatProjections!$BV$6),
IF(X11&gt;6,0,
IF(AND(X11&lt;=6,X11&gt;5),1,
IF(AND(X11&lt;=5,X11&gt;4),2,
IF(AND(X11&lt;=4,X11&gt;3),3,
IF(AND(X11&lt;=3,X11&gt;2),4,
IF(AND(X11&lt;=2,X11&gt;1),5,
IF(AND(X11&lt;=1,X11&gt;0),6,
IF(AND(X11&lt;=0,X11&gt;-1),7,
8))))))))),10)</f>
        <v>4</v>
      </c>
    </row>
    <row r="12" spans="1:25" ht="15" customHeight="1" x14ac:dyDescent="0.25">
      <c r="A12" s="135"/>
      <c r="B12" s="143" t="s">
        <v>388</v>
      </c>
      <c r="C12" t="str">
        <f>IF(AND(IFERROR(INDEX(Instructions!$T$111:$T$222,MATCH(D12,Instructions!$T$111:$T$222,0)), "")=D12, D12&lt;&gt;""), "X", "")</f>
        <v/>
      </c>
      <c r="D12" s="137" t="s">
        <v>2156</v>
      </c>
      <c r="E12" s="99" t="s">
        <v>141</v>
      </c>
      <c r="F12" s="232">
        <f>IFERROR(IF(AND($F$5="Projected Points",Beersheet!A7&lt;&gt;"QB"), T12, IF(H12="", INDEX(Tier!B$4:$B$12,MATCH(G12,Tier!$A$4:$A$12,0)), INDEX(Tier!$B$4:$B$12,MATCH(H12,Tier!$A$4:$A$12,0)))), "")</f>
        <v>334.33805999999998</v>
      </c>
      <c r="G12" s="283">
        <f t="shared" si="4"/>
        <v>5</v>
      </c>
      <c r="H12" s="288"/>
      <c r="I12" s="392">
        <f>IFERROR(INDEX(ADP!Q:Q,MATCH(D12,ADP!D:D,0))-RBproj!K12,"")</f>
        <v>1</v>
      </c>
      <c r="J12" s="127"/>
      <c r="K12" s="89">
        <v>6</v>
      </c>
      <c r="L12" s="2" t="s">
        <v>388</v>
      </c>
      <c r="M12" s="3">
        <f t="shared" si="0"/>
        <v>0.69999999999999929</v>
      </c>
      <c r="N12" s="4">
        <f>IFERROR(INDEX(ADP!AC:AC,MATCH(QBproj!D12,ADP!Y:Y,0)),0)</f>
        <v>6.6</v>
      </c>
      <c r="O12" s="4" t="s">
        <v>1</v>
      </c>
      <c r="P12" s="4"/>
      <c r="Q12" s="4"/>
      <c r="R12" s="303" t="str">
        <f>IFERROR(VLOOKUP(S12,FFARawStatProjections!AP:AQ,2,FALSE),"")</f>
        <v>CHI</v>
      </c>
      <c r="S12" s="4" t="str">
        <f>INDEX(FFARawStatProjections!AP:AP,MATCH(T12,FFARawStatProjections!AR:AR,0))</f>
        <v>Justin Fields</v>
      </c>
      <c r="T12">
        <f>LARGE(FFARawStatProjections!AR:AR,QBproj!K12)</f>
        <v>334.33805999999998</v>
      </c>
      <c r="U12" s="248">
        <f t="shared" si="1"/>
        <v>29.231940000000009</v>
      </c>
      <c r="V12" s="243">
        <f t="shared" si="2"/>
        <v>854.50631616360056</v>
      </c>
      <c r="W12" s="243"/>
      <c r="X12" s="243">
        <f t="shared" si="3"/>
        <v>1.8269962500000005</v>
      </c>
      <c r="Y12" s="238">
        <f>IFERROR(IF(ISBLANK(Beersheet!$A$1)=FALSE,
INDEX(Beersheet!$A:$U,MATCH(S12,INDEX(Beersheet!$A:$U,0,FFARawStatProjections!$BV$2),0),FFARawStatProjections!$BV$6),
IF(X12&gt;6,0,
IF(AND(X12&lt;=6,X12&gt;5),1,
IF(AND(X12&lt;=5,X12&gt;4),2,
IF(AND(X12&lt;=4,X12&gt;3),3,
IF(AND(X12&lt;=3,X12&gt;2),4,
IF(AND(X12&lt;=2,X12&gt;1),5,
IF(AND(X12&lt;=1,X12&gt;0),6,
IF(AND(X12&lt;=0,X12&gt;-1),7,
8))))))))),10)</f>
        <v>5</v>
      </c>
    </row>
    <row r="13" spans="1:25" ht="15" customHeight="1" x14ac:dyDescent="0.25">
      <c r="A13" s="135"/>
      <c r="B13" s="142" t="s">
        <v>389</v>
      </c>
      <c r="C13" t="str">
        <f>IF(AND(IFERROR(INDEX(Instructions!$T$111:$T$222,MATCH(D13,Instructions!$T$111:$T$222,0)), "")=D13, D13&lt;&gt;""), "X", "")</f>
        <v/>
      </c>
      <c r="D13" s="138" t="s">
        <v>2102</v>
      </c>
      <c r="E13" s="100" t="s">
        <v>1388</v>
      </c>
      <c r="F13" s="431">
        <f>IFERROR(IF(AND($F$5="Projected Points",Beersheet!A8&lt;&gt;"QB"), T13, IF(H13="", INDEX(Tier!B$4:$B$12,MATCH(G13,Tier!$A$4:$A$12,0)), INDEX(Tier!$B$4:$B$12,MATCH(H13,Tier!$A$4:$A$12,0)))), "")</f>
        <v>325.50606999999997</v>
      </c>
      <c r="G13" s="250">
        <f t="shared" si="4"/>
        <v>5</v>
      </c>
      <c r="H13" s="291"/>
      <c r="I13" s="392">
        <f>IFERROR(INDEX(ADP!Q:Q,MATCH(D13,ADP!D:D,0))-RBproj!K13,"")</f>
        <v>-1</v>
      </c>
      <c r="J13" s="127"/>
      <c r="K13" s="89">
        <v>7</v>
      </c>
      <c r="L13" s="2" t="s">
        <v>389</v>
      </c>
      <c r="M13" s="3">
        <f t="shared" si="0"/>
        <v>0</v>
      </c>
      <c r="N13" s="4">
        <f>IFERROR(INDEX(ADP!AC:AC,MATCH(QBproj!D13,ADP!Y:Y,0)),0)</f>
        <v>5.9</v>
      </c>
      <c r="O13" s="4" t="s">
        <v>1</v>
      </c>
      <c r="P13" s="4"/>
      <c r="Q13" s="4"/>
      <c r="R13" s="303" t="str">
        <f>IFERROR(VLOOKUP(S13,FFARawStatProjections!AP:AQ,2,FALSE),"")</f>
        <v>LAC</v>
      </c>
      <c r="S13" s="4" t="str">
        <f>INDEX(FFARawStatProjections!AP:AP,MATCH(T13,FFARawStatProjections!AR:AR,0))</f>
        <v>Justin Herbert</v>
      </c>
      <c r="T13">
        <f>LARGE(FFARawStatProjections!AR:AR,QBproj!K13)</f>
        <v>325.50606999999997</v>
      </c>
      <c r="U13" s="248">
        <f t="shared" si="1"/>
        <v>20.39994999999999</v>
      </c>
      <c r="V13" s="243">
        <f t="shared" si="2"/>
        <v>416.15796000249958</v>
      </c>
      <c r="W13" s="243"/>
      <c r="X13" s="243">
        <f t="shared" si="3"/>
        <v>1.2749968749999994</v>
      </c>
      <c r="Y13" s="238">
        <f>IFERROR(IF(ISBLANK(Beersheet!$A$1)=FALSE,
INDEX(Beersheet!$A:$U,MATCH(S13,INDEX(Beersheet!$A:$U,0,FFARawStatProjections!$BV$2),0),FFARawStatProjections!$BV$6),
IF(X13&gt;6,0,
IF(AND(X13&lt;=6,X13&gt;5),1,
IF(AND(X13&lt;=5,X13&gt;4),2,
IF(AND(X13&lt;=4,X13&gt;3),3,
IF(AND(X13&lt;=3,X13&gt;2),4,
IF(AND(X13&lt;=2,X13&gt;1),5,
IF(AND(X13&lt;=1,X13&gt;0),6,
IF(AND(X13&lt;=0,X13&gt;-1),7,
8))))))))),10)</f>
        <v>5</v>
      </c>
    </row>
    <row r="14" spans="1:25" ht="15" customHeight="1" x14ac:dyDescent="0.25">
      <c r="A14" s="135"/>
      <c r="B14" s="143" t="s">
        <v>390</v>
      </c>
      <c r="C14" t="str">
        <f>IF(AND(IFERROR(INDEX(Instructions!$T$111:$T$222,MATCH(D14,Instructions!$T$111:$T$222,0)), "")=D14, D14&lt;&gt;""), "X", "")</f>
        <v/>
      </c>
      <c r="D14" s="137" t="s">
        <v>1431</v>
      </c>
      <c r="E14" s="99" t="s">
        <v>161</v>
      </c>
      <c r="F14" s="232">
        <f>IFERROR(IF(AND($F$5="Projected Points",Beersheet!A9&lt;&gt;"QB"), T14, IF(H14="", INDEX(Tier!B$4:$B$12,MATCH(G14,Tier!$A$4:$A$12,0)), INDEX(Tier!$B$4:$B$12,MATCH(H14,Tier!$A$4:$A$12,0)))), "")</f>
        <v>315.00008000000003</v>
      </c>
      <c r="G14" s="283">
        <f t="shared" si="4"/>
        <v>6</v>
      </c>
      <c r="H14" s="288"/>
      <c r="I14" s="392">
        <f>IFERROR(INDEX(ADP!Q:Q,MATCH(D14,ADP!D:D,0))-RBproj!K14,"")</f>
        <v>1</v>
      </c>
      <c r="J14" s="127"/>
      <c r="K14" s="89">
        <v>8</v>
      </c>
      <c r="L14" s="2" t="s">
        <v>390</v>
      </c>
      <c r="M14" s="3">
        <f t="shared" si="0"/>
        <v>2.2000000000000011</v>
      </c>
      <c r="N14" s="4">
        <f>IFERROR(INDEX(ADP!AC:AC,MATCH(QBproj!D14,ADP!Y:Y,0)),0)</f>
        <v>8.8000000000000007</v>
      </c>
      <c r="O14" s="4" t="s">
        <v>1</v>
      </c>
      <c r="P14" s="4"/>
      <c r="Q14" s="4"/>
      <c r="R14" s="303" t="str">
        <f>IFERROR(VLOOKUP(S14,FFARawStatProjections!AP:AQ,2,FALSE),"")</f>
        <v>CLE</v>
      </c>
      <c r="S14" s="4" t="str">
        <f>INDEX(FFARawStatProjections!AP:AP,MATCH(T14,FFARawStatProjections!AR:AR,0))</f>
        <v>Deshaun Watson</v>
      </c>
      <c r="T14">
        <f>LARGE(FFARawStatProjections!AR:AR,QBproj!K14)</f>
        <v>315.00008000000003</v>
      </c>
      <c r="U14" s="248">
        <f t="shared" si="1"/>
        <v>9.8939600000000496</v>
      </c>
      <c r="V14" s="243">
        <f t="shared" si="2"/>
        <v>97.89044448160098</v>
      </c>
      <c r="W14" s="243"/>
      <c r="X14" s="243">
        <f t="shared" si="3"/>
        <v>0.6183725000000031</v>
      </c>
      <c r="Y14" s="238">
        <f>IFERROR(IF(ISBLANK(Beersheet!$A$1)=FALSE,
INDEX(Beersheet!$A:$U,MATCH(S14,INDEX(Beersheet!$A:$U,0,FFARawStatProjections!$BV$2),0),FFARawStatProjections!$BV$6),
IF(X14&gt;6,0,
IF(AND(X14&lt;=6,X14&gt;5),1,
IF(AND(X14&lt;=5,X14&gt;4),2,
IF(AND(X14&lt;=4,X14&gt;3),3,
IF(AND(X14&lt;=3,X14&gt;2),4,
IF(AND(X14&lt;=2,X14&gt;1),5,
IF(AND(X14&lt;=1,X14&gt;0),6,
IF(AND(X14&lt;=0,X14&gt;-1),7,
8))))))))),10)</f>
        <v>6</v>
      </c>
    </row>
    <row r="15" spans="1:25" ht="15" customHeight="1" x14ac:dyDescent="0.25">
      <c r="A15" s="135"/>
      <c r="B15" s="142" t="s">
        <v>391</v>
      </c>
      <c r="C15" t="str">
        <f>IF(AND(IFERROR(INDEX(Instructions!$T$111:$T$222,MATCH(D15,Instructions!$T$111:$T$222,0)), "")=D15, D15&lt;&gt;""), "X", "")</f>
        <v/>
      </c>
      <c r="D15" s="138" t="s">
        <v>2154</v>
      </c>
      <c r="E15" s="100" t="s">
        <v>165</v>
      </c>
      <c r="F15" s="431">
        <f>IFERROR(IF(AND($F$5="Projected Points",Beersheet!A10&lt;&gt;"QB"), T15, IF(H15="", INDEX(Tier!B$4:$B$12,MATCH(G15,Tier!$A$4:$A$12,0)), INDEX(Tier!$B$4:$B$12,MATCH(H15,Tier!$A$4:$A$12,0)))), "")</f>
        <v>310.87009999999998</v>
      </c>
      <c r="G15" s="250">
        <f t="shared" si="4"/>
        <v>6</v>
      </c>
      <c r="H15" s="291"/>
      <c r="I15" s="392">
        <f>IFERROR(INDEX(ADP!Q:Q,MATCH(D15,ADP!D:D,0))-RBproj!K15,"")</f>
        <v>-1</v>
      </c>
      <c r="J15" s="127"/>
      <c r="K15" s="89">
        <v>9</v>
      </c>
      <c r="L15" s="2" t="s">
        <v>391</v>
      </c>
      <c r="M15" s="3">
        <f t="shared" si="0"/>
        <v>0</v>
      </c>
      <c r="N15" s="4">
        <f>IFERROR(INDEX(ADP!AC:AC,MATCH(QBproj!D15,ADP!Y:Y,0)),0)</f>
        <v>6</v>
      </c>
      <c r="O15" s="4" t="s">
        <v>1</v>
      </c>
      <c r="P15" s="4"/>
      <c r="Q15" s="4"/>
      <c r="R15" s="303" t="str">
        <f>IFERROR(VLOOKUP(S15,FFARawStatProjections!AP:AQ,2,FALSE),"")</f>
        <v>JAC</v>
      </c>
      <c r="S15" s="4" t="str">
        <f>INDEX(FFARawStatProjections!AP:AP,MATCH(T15,FFARawStatProjections!AR:AR,0))</f>
        <v>Trevor Lawrence</v>
      </c>
      <c r="T15">
        <f>LARGE(FFARawStatProjections!AR:AR,QBproj!K15)</f>
        <v>310.87009999999998</v>
      </c>
      <c r="U15" s="248">
        <f t="shared" si="1"/>
        <v>5.7639800000000037</v>
      </c>
      <c r="V15" s="243">
        <f t="shared" si="2"/>
        <v>33.223465440400041</v>
      </c>
      <c r="W15" s="243"/>
      <c r="X15" s="243">
        <f t="shared" si="3"/>
        <v>0.36024875000000023</v>
      </c>
      <c r="Y15" s="238">
        <f>IFERROR(IF(ISBLANK(Beersheet!$A$1)=FALSE,
INDEX(Beersheet!$A:$U,MATCH(S15,INDEX(Beersheet!$A:$U,0,FFARawStatProjections!$BV$2),0),FFARawStatProjections!$BV$6),
IF(X15&gt;6,0,
IF(AND(X15&lt;=6,X15&gt;5),1,
IF(AND(X15&lt;=5,X15&gt;4),2,
IF(AND(X15&lt;=4,X15&gt;3),3,
IF(AND(X15&lt;=3,X15&gt;2),4,
IF(AND(X15&lt;=2,X15&gt;1),5,
IF(AND(X15&lt;=1,X15&gt;0),6,
IF(AND(X15&lt;=0,X15&gt;-1),7,
8))))))))),10)</f>
        <v>6</v>
      </c>
    </row>
    <row r="16" spans="1:25" ht="15" customHeight="1" x14ac:dyDescent="0.25">
      <c r="A16" s="135"/>
      <c r="B16" s="143" t="s">
        <v>392</v>
      </c>
      <c r="C16" t="str">
        <f>IF(AND(IFERROR(INDEX(Instructions!$T$111:$T$222,MATCH(D16,Instructions!$T$111:$T$222,0)), "")=D16, D16&lt;&gt;""), "X", "")</f>
        <v/>
      </c>
      <c r="D16" s="137" t="s">
        <v>1295</v>
      </c>
      <c r="E16" s="99" t="s">
        <v>146</v>
      </c>
      <c r="F16" s="232">
        <f>IFERROR(IF(AND($F$5="Projected Points",Beersheet!A11&lt;&gt;"QB"), T16, IF(H16="", INDEX(Tier!B$4:$B$12,MATCH(G16,Tier!$A$4:$A$12,0)), INDEX(Tier!$B$4:$B$12,MATCH(H16,Tier!$A$4:$A$12,0)))), "")</f>
        <v>307.36408999999998</v>
      </c>
      <c r="G16" s="283">
        <f t="shared" si="4"/>
        <v>6</v>
      </c>
      <c r="H16" s="288"/>
      <c r="I16" s="392">
        <f>IFERROR(INDEX(ADP!Q:Q,MATCH(D16,ADP!D:D,0))-RBproj!K16,"")</f>
        <v>0</v>
      </c>
      <c r="J16" s="127"/>
      <c r="K16" s="89">
        <v>10</v>
      </c>
      <c r="L16" s="2" t="s">
        <v>392</v>
      </c>
      <c r="M16" s="3">
        <f t="shared" si="0"/>
        <v>0</v>
      </c>
      <c r="N16" s="4">
        <f>IFERROR(INDEX(ADP!AC:AC,MATCH(QBproj!D16,ADP!Y:Y,0)),0)</f>
        <v>8.6</v>
      </c>
      <c r="O16" s="4" t="s">
        <v>1</v>
      </c>
      <c r="P16" s="4"/>
      <c r="Q16" s="4"/>
      <c r="R16" s="303" t="str">
        <f>IFERROR(VLOOKUP(S16,FFARawStatProjections!AP:AQ,2,FALSE),"")</f>
        <v>DAL</v>
      </c>
      <c r="S16" s="4" t="str">
        <f>INDEX(FFARawStatProjections!AP:AP,MATCH(T16,FFARawStatProjections!AR:AR,0))</f>
        <v>Dak Prescott</v>
      </c>
      <c r="T16">
        <f>LARGE(FFARawStatProjections!AR:AR,QBproj!K16)</f>
        <v>307.36408999999998</v>
      </c>
      <c r="U16" s="248">
        <f t="shared" si="1"/>
        <v>2.2579700000000003</v>
      </c>
      <c r="V16" s="243">
        <f t="shared" si="2"/>
        <v>5.0984285209000015</v>
      </c>
      <c r="W16" s="243"/>
      <c r="X16" s="243">
        <f t="shared" si="3"/>
        <v>0.14112312500000002</v>
      </c>
      <c r="Y16" s="238">
        <f>IFERROR(IF(ISBLANK(Beersheet!$A$1)=FALSE,
INDEX(Beersheet!$A:$U,MATCH(S16,INDEX(Beersheet!$A:$U,0,FFARawStatProjections!$BV$2),0),FFARawStatProjections!$BV$6),
IF(X16&gt;6,0,
IF(AND(X16&lt;=6,X16&gt;5),1,
IF(AND(X16&lt;=5,X16&gt;4),2,
IF(AND(X16&lt;=4,X16&gt;3),3,
IF(AND(X16&lt;=3,X16&gt;2),4,
IF(AND(X16&lt;=2,X16&gt;1),5,
IF(AND(X16&lt;=1,X16&gt;0),6,
IF(AND(X16&lt;=0,X16&gt;-1),7,
8))))))))),10)</f>
        <v>6</v>
      </c>
    </row>
    <row r="17" spans="1:25" ht="15" customHeight="1" x14ac:dyDescent="0.25">
      <c r="A17" s="135"/>
      <c r="B17" s="142" t="s">
        <v>393</v>
      </c>
      <c r="C17" t="str">
        <f>IF(AND(IFERROR(INDEX(Instructions!$T$111:$T$222,MATCH(D17,Instructions!$T$111:$T$222,0)), "")=D17, D17&lt;&gt;""), "X", "")</f>
        <v/>
      </c>
      <c r="D17" s="138" t="s">
        <v>177</v>
      </c>
      <c r="E17" s="100" t="s">
        <v>138</v>
      </c>
      <c r="F17" s="431">
        <f>IFERROR(IF(AND($F$5="Projected Points",Beersheet!A12&lt;&gt;"QB"), T17, IF(H17="", INDEX(Tier!B$4:$B$12,MATCH(G17,Tier!$A$4:$A$12,0)), INDEX(Tier!$B$4:$B$12,MATCH(H17,Tier!$A$4:$A$12,0)))), "")</f>
        <v>305.62211000000002</v>
      </c>
      <c r="G17" s="250">
        <f t="shared" si="4"/>
        <v>6</v>
      </c>
      <c r="H17" s="291"/>
      <c r="I17" s="392">
        <f>IFERROR(INDEX(ADP!Q:Q,MATCH(D17,ADP!D:D,0))-RBproj!K17,"")</f>
        <v>1</v>
      </c>
      <c r="J17" s="127"/>
      <c r="K17" s="89">
        <v>11</v>
      </c>
      <c r="L17" s="2" t="s">
        <v>393</v>
      </c>
      <c r="M17" s="3">
        <f t="shared" si="0"/>
        <v>1.2999999999999989</v>
      </c>
      <c r="N17" s="4">
        <f>IFERROR(INDEX(ADP!AC:AC,MATCH(QBproj!D17,ADP!Y:Y,0)),0)</f>
        <v>11.7</v>
      </c>
      <c r="O17" s="4" t="s">
        <v>1</v>
      </c>
      <c r="P17" s="4"/>
      <c r="Q17" s="4"/>
      <c r="R17" s="303" t="str">
        <f>IFERROR(VLOOKUP(S17,FFARawStatProjections!AP:AQ,2,FALSE),"")</f>
        <v>MIN</v>
      </c>
      <c r="S17" s="4" t="str">
        <f>INDEX(FFARawStatProjections!AP:AP,MATCH(T17,FFARawStatProjections!AR:AR,0))</f>
        <v>Kirk Cousins</v>
      </c>
      <c r="T17">
        <f>LARGE(FFARawStatProjections!AR:AR,QBproj!K17)</f>
        <v>305.62211000000002</v>
      </c>
      <c r="U17" s="248">
        <f t="shared" si="1"/>
        <v>0.5159900000000448</v>
      </c>
      <c r="V17" s="243">
        <f t="shared" si="2"/>
        <v>0.26624568010004623</v>
      </c>
      <c r="W17" s="243"/>
      <c r="X17" s="243">
        <f t="shared" si="3"/>
        <v>3.22493750000028E-2</v>
      </c>
      <c r="Y17" s="238">
        <f>IFERROR(IF(ISBLANK(Beersheet!$A$1)=FALSE,
INDEX(Beersheet!$A:$U,MATCH(S17,INDEX(Beersheet!$A:$U,0,FFARawStatProjections!$BV$2),0),FFARawStatProjections!$BV$6),
IF(X17&gt;6,0,
IF(AND(X17&lt;=6,X17&gt;5),1,
IF(AND(X17&lt;=5,X17&gt;4),2,
IF(AND(X17&lt;=4,X17&gt;3),3,
IF(AND(X17&lt;=3,X17&gt;2),4,
IF(AND(X17&lt;=2,X17&gt;1),5,
IF(AND(X17&lt;=1,X17&gt;0),6,
IF(AND(X17&lt;=0,X17&gt;-1),7,
8))))))))),10)</f>
        <v>6</v>
      </c>
    </row>
    <row r="18" spans="1:25" ht="15" customHeight="1" x14ac:dyDescent="0.25">
      <c r="A18" s="135"/>
      <c r="B18" s="143" t="s">
        <v>394</v>
      </c>
      <c r="C18" t="str">
        <f>IF(AND(IFERROR(INDEX(Instructions!$T$111:$T$222,MATCH(D18,Instructions!$T$111:$T$222,0)), "")=D18, D18&lt;&gt;""), "X", "")</f>
        <v/>
      </c>
      <c r="D18" s="137" t="s">
        <v>1882</v>
      </c>
      <c r="E18" s="99" t="s">
        <v>154</v>
      </c>
      <c r="F18" s="232">
        <f>IFERROR(IF(AND($F$5="Projected Points",Beersheet!A13&lt;&gt;"QB"), T18, IF(H18="", INDEX(Tier!B$4:$B$12,MATCH(G18,Tier!$A$4:$A$12,0)), INDEX(Tier!$B$4:$B$12,MATCH(H18,Tier!$A$4:$A$12,0)))), "")</f>
        <v>305.10611999999998</v>
      </c>
      <c r="G18" s="283">
        <f t="shared" si="4"/>
        <v>7</v>
      </c>
      <c r="H18" s="288"/>
      <c r="I18" s="392">
        <f>IFERROR(INDEX(ADP!Q:Q,MATCH(D18,ADP!D:D,0))-RBproj!K18,"")</f>
        <v>1</v>
      </c>
      <c r="J18" s="127"/>
      <c r="K18" s="89">
        <v>12</v>
      </c>
      <c r="L18" s="2" t="s">
        <v>394</v>
      </c>
      <c r="M18" s="3">
        <f t="shared" si="0"/>
        <v>0.5</v>
      </c>
      <c r="N18" s="4">
        <f>IFERROR(INDEX(ADP!AC:AC,MATCH(QBproj!D18,ADP!Y:Y,0)),0)</f>
        <v>10.9</v>
      </c>
      <c r="O18" s="4" t="s">
        <v>1</v>
      </c>
      <c r="P18" s="4"/>
      <c r="Q18" s="4"/>
      <c r="R18" s="303" t="str">
        <f>IFERROR(VLOOKUP(S18,FFARawStatProjections!AP:AQ,2,FALSE),"")</f>
        <v>NYG</v>
      </c>
      <c r="S18" s="4" t="str">
        <f>INDEX(FFARawStatProjections!AP:AP,MATCH(T18,FFARawStatProjections!AR:AR,0))</f>
        <v>Daniel Jones</v>
      </c>
      <c r="T18">
        <f>LARGE(FFARawStatProjections!AR:AR,QBproj!K18)</f>
        <v>305.10611999999998</v>
      </c>
      <c r="U18" s="248">
        <f t="shared" si="1"/>
        <v>0</v>
      </c>
      <c r="V18" s="243">
        <f t="shared" si="2"/>
        <v>0</v>
      </c>
      <c r="W18" s="243"/>
      <c r="X18" s="243">
        <f t="shared" si="3"/>
        <v>0</v>
      </c>
      <c r="Y18" s="238">
        <f>IFERROR(IF(ISBLANK(Beersheet!$A$1)=FALSE,
INDEX(Beersheet!$A:$U,MATCH(S18,INDEX(Beersheet!$A:$U,0,FFARawStatProjections!$BV$2),0),FFARawStatProjections!$BV$6),
IF(X18&gt;6,0,
IF(AND(X18&lt;=6,X18&gt;5),1,
IF(AND(X18&lt;=5,X18&gt;4),2,
IF(AND(X18&lt;=4,X18&gt;3),3,
IF(AND(X18&lt;=3,X18&gt;2),4,
IF(AND(X18&lt;=2,X18&gt;1),5,
IF(AND(X18&lt;=1,X18&gt;0),6,
IF(AND(X18&lt;=0,X18&gt;-1),7,
8))))))))),10)</f>
        <v>7</v>
      </c>
    </row>
    <row r="19" spans="1:25" ht="15" customHeight="1" x14ac:dyDescent="0.25">
      <c r="A19" s="135"/>
      <c r="B19" s="142" t="s">
        <v>395</v>
      </c>
      <c r="C19" t="str">
        <f>IF(AND(IFERROR(INDEX(Instructions!$T$111:$T$222,MATCH(D19,Instructions!$T$111:$T$222,0)), "")=D19, D19&lt;&gt;""), "X", "")</f>
        <v/>
      </c>
      <c r="D19" s="138" t="s">
        <v>173</v>
      </c>
      <c r="E19" s="100" t="s">
        <v>140</v>
      </c>
      <c r="F19" s="431">
        <f>IFERROR(IF(AND($F$5="Projected Points",Beersheet!A14&lt;&gt;"QB"), T19, IF(H19="", INDEX(Tier!B$4:$B$12,MATCH(G19,Tier!$A$4:$A$12,0)), INDEX(Tier!$B$4:$B$12,MATCH(H19,Tier!$A$4:$A$12,0)))), "")</f>
        <v>303.41213000000005</v>
      </c>
      <c r="G19" s="250">
        <f t="shared" si="4"/>
        <v>7</v>
      </c>
      <c r="H19" s="291"/>
      <c r="I19" s="392">
        <f>IFERROR(INDEX(ADP!Q:Q,MATCH(D19,ADP!D:D,0))-RBproj!K19,"")</f>
        <v>2</v>
      </c>
      <c r="J19" s="127"/>
      <c r="K19" s="89">
        <v>13</v>
      </c>
      <c r="L19" s="2" t="s">
        <v>395</v>
      </c>
      <c r="M19" s="3">
        <f t="shared" si="0"/>
        <v>0</v>
      </c>
      <c r="N19" s="4">
        <f>IFERROR(INDEX(ADP!AC:AC,MATCH(QBproj!D19,ADP!Y:Y,0)),0)</f>
        <v>10.4</v>
      </c>
      <c r="O19" s="4" t="s">
        <v>1</v>
      </c>
      <c r="P19" s="4"/>
      <c r="Q19" s="4"/>
      <c r="R19" s="303" t="str">
        <f>IFERROR(VLOOKUP(S19,FFARawStatProjections!AP:AQ,2,FALSE),"")</f>
        <v>SEA</v>
      </c>
      <c r="S19" s="4" t="str">
        <f>INDEX(FFARawStatProjections!AP:AP,MATCH(T19,FFARawStatProjections!AR:AR,0))</f>
        <v>Geno Smith</v>
      </c>
      <c r="T19">
        <f>LARGE(FFARawStatProjections!AR:AR,QBproj!K19)</f>
        <v>303.41213000000005</v>
      </c>
      <c r="U19" s="248">
        <f t="shared" si="1"/>
        <v>-1.6939899999999284</v>
      </c>
      <c r="V19" s="243">
        <f t="shared" si="2"/>
        <v>2.8696021200997572</v>
      </c>
      <c r="W19" s="243"/>
      <c r="X19" s="243">
        <f t="shared" si="3"/>
        <v>-0.10587437499999552</v>
      </c>
      <c r="Y19" s="238">
        <f>IFERROR(IF(ISBLANK(Beersheet!$A$1)=FALSE,
INDEX(Beersheet!$A:$U,MATCH(S19,INDEX(Beersheet!$A:$U,0,FFARawStatProjections!$BV$2),0),FFARawStatProjections!$BV$6),
IF(X19&gt;6,0,
IF(AND(X19&lt;=6,X19&gt;5),1,
IF(AND(X19&lt;=5,X19&gt;4),2,
IF(AND(X19&lt;=4,X19&gt;3),3,
IF(AND(X19&lt;=3,X19&gt;2),4,
IF(AND(X19&lt;=2,X19&gt;1),5,
IF(AND(X19&lt;=1,X19&gt;0),6,
IF(AND(X19&lt;=0,X19&gt;-1),7,
8))))))))),10)</f>
        <v>7</v>
      </c>
    </row>
    <row r="20" spans="1:25" ht="15" customHeight="1" x14ac:dyDescent="0.25">
      <c r="A20" s="135"/>
      <c r="B20" s="143" t="s">
        <v>396</v>
      </c>
      <c r="C20" t="str">
        <f>IF(AND(IFERROR(INDEX(Instructions!$T$111:$T$222,MATCH(D20,Instructions!$T$111:$T$222,0)), "")=D20, D20&lt;&gt;""), "X", "")</f>
        <v/>
      </c>
      <c r="D20" s="137" t="s">
        <v>13</v>
      </c>
      <c r="E20" s="99" t="s">
        <v>164</v>
      </c>
      <c r="F20" s="232">
        <f>IFERROR(IF(AND($F$5="Projected Points",Beersheet!A15&lt;&gt;"QB"), T20, IF(H20="", INDEX(Tier!B$4:$B$12,MATCH(G20,Tier!$A$4:$A$12,0)), INDEX(Tier!$B$4:$B$12,MATCH(H20,Tier!$A$4:$A$12,0)))), "")</f>
        <v>287.28613999999999</v>
      </c>
      <c r="G20" s="283">
        <f t="shared" si="4"/>
        <v>8</v>
      </c>
      <c r="H20" s="288"/>
      <c r="I20" s="392">
        <f>IFERROR(INDEX(ADP!Q:Q,MATCH(D20,ADP!D:D,0))-RBproj!K20,"")</f>
        <v>0</v>
      </c>
      <c r="J20" s="127"/>
      <c r="K20" s="89">
        <v>14</v>
      </c>
      <c r="L20" s="2" t="s">
        <v>396</v>
      </c>
      <c r="M20" s="3">
        <f t="shared" si="0"/>
        <v>1.9000000000000004</v>
      </c>
      <c r="N20" s="4">
        <f>IFERROR(INDEX(ADP!AC:AC,MATCH(QBproj!D20,ADP!Y:Y,0)),0)</f>
        <v>13.6</v>
      </c>
      <c r="O20" s="4" t="s">
        <v>1</v>
      </c>
      <c r="P20" s="4"/>
      <c r="Q20" s="4"/>
      <c r="R20" s="303" t="str">
        <f>IFERROR(VLOOKUP(S20,FFARawStatProjections!AP:AQ,2,FALSE),"")</f>
        <v>NYJ</v>
      </c>
      <c r="S20" s="4" t="str">
        <f>INDEX(FFARawStatProjections!AP:AP,MATCH(T20,FFARawStatProjections!AR:AR,0))</f>
        <v>Aaron Rodgers</v>
      </c>
      <c r="T20">
        <f>LARGE(FFARawStatProjections!AR:AR,QBproj!K20)</f>
        <v>287.28613999999999</v>
      </c>
      <c r="U20" s="248">
        <f t="shared" si="1"/>
        <v>-17.819979999999987</v>
      </c>
      <c r="V20" s="243">
        <f t="shared" si="2"/>
        <v>317.55168720039956</v>
      </c>
      <c r="W20" s="243"/>
      <c r="X20" s="243">
        <f t="shared" si="3"/>
        <v>-1.1137487499999992</v>
      </c>
      <c r="Y20" s="238">
        <f>IFERROR(IF(ISBLANK(Beersheet!$A$1)=FALSE,
INDEX(Beersheet!$A:$U,MATCH(S20,INDEX(Beersheet!$A:$U,0,FFARawStatProjections!$BV$2),0),FFARawStatProjections!$BV$6),
IF(X20&gt;6,0,
IF(AND(X20&lt;=6,X20&gt;5),1,
IF(AND(X20&lt;=5,X20&gt;4),2,
IF(AND(X20&lt;=4,X20&gt;3),3,
IF(AND(X20&lt;=3,X20&gt;2),4,
IF(AND(X20&lt;=2,X20&gt;1),5,
IF(AND(X20&lt;=1,X20&gt;0),6,
IF(AND(X20&lt;=0,X20&gt;-1),7,
8))))))))),10)</f>
        <v>8</v>
      </c>
    </row>
    <row r="21" spans="1:25" ht="15" customHeight="1" x14ac:dyDescent="0.25">
      <c r="A21" s="135"/>
      <c r="B21" s="142" t="s">
        <v>397</v>
      </c>
      <c r="C21" t="str">
        <f>IF(AND(IFERROR(INDEX(Instructions!$T$111:$T$222,MATCH(D21,Instructions!$T$111:$T$222,0)), "")=D21, D21&lt;&gt;""), "X", "")</f>
        <v/>
      </c>
      <c r="D21" s="138" t="s">
        <v>2099</v>
      </c>
      <c r="E21" s="100" t="s">
        <v>166</v>
      </c>
      <c r="F21" s="431">
        <f>IFERROR(IF(AND($F$5="Projected Points",Beersheet!A16&lt;&gt;"QB"), T21, IF(H21="", INDEX(Tier!B$4:$B$12,MATCH(G21,Tier!$A$4:$A$12,0)), INDEX(Tier!$B$4:$B$12,MATCH(H21,Tier!$A$4:$A$12,0)))), "")</f>
        <v>284.87615</v>
      </c>
      <c r="G21" s="250">
        <f t="shared" si="4"/>
        <v>8</v>
      </c>
      <c r="H21" s="291"/>
      <c r="I21" s="392">
        <f>IFERROR(INDEX(ADP!Q:Q,MATCH(D21,ADP!D:D,0))-RBproj!K21,"")</f>
        <v>-4</v>
      </c>
      <c r="J21" s="127"/>
      <c r="K21" s="89">
        <v>15</v>
      </c>
      <c r="L21" s="2" t="s">
        <v>397</v>
      </c>
      <c r="M21" s="3">
        <f t="shared" si="0"/>
        <v>0</v>
      </c>
      <c r="N21" s="4">
        <f>IFERROR(INDEX(ADP!AC:AC,MATCH(QBproj!D21,ADP!Y:Y,0)),0)</f>
        <v>9.5</v>
      </c>
      <c r="O21" s="4" t="s">
        <v>1</v>
      </c>
      <c r="P21" s="4"/>
      <c r="Q21" s="4"/>
      <c r="R21" s="303" t="str">
        <f>IFERROR(VLOOKUP(S21,FFARawStatProjections!AP:AQ,2,FALSE),"")</f>
        <v>MIA</v>
      </c>
      <c r="S21" s="4" t="str">
        <f>INDEX(FFARawStatProjections!AP:AP,MATCH(T21,FFARawStatProjections!AR:AR,0))</f>
        <v>Tua Tagovailoa</v>
      </c>
      <c r="T21">
        <f>LARGE(FFARawStatProjections!AR:AR,QBproj!K21)</f>
        <v>284.87615</v>
      </c>
      <c r="U21" s="248">
        <f t="shared" si="1"/>
        <v>-20.22996999999998</v>
      </c>
      <c r="V21" s="243">
        <f t="shared" si="2"/>
        <v>409.2516862008992</v>
      </c>
      <c r="W21" s="243"/>
      <c r="X21" s="243">
        <f t="shared" si="3"/>
        <v>-1.2643731249999988</v>
      </c>
      <c r="Y21" s="238">
        <f>IFERROR(IF(ISBLANK(Beersheet!$A$1)=FALSE,
INDEX(Beersheet!$A:$U,MATCH(S21,INDEX(Beersheet!$A:$U,0,FFARawStatProjections!$BV$2),0),FFARawStatProjections!$BV$6),
IF(X21&gt;6,0,
IF(AND(X21&lt;=6,X21&gt;5),1,
IF(AND(X21&lt;=5,X21&gt;4),2,
IF(AND(X21&lt;=4,X21&gt;3),3,
IF(AND(X21&lt;=3,X21&gt;2),4,
IF(AND(X21&lt;=2,X21&gt;1),5,
IF(AND(X21&lt;=1,X21&gt;0),6,
IF(AND(X21&lt;=0,X21&gt;-1),7,
8))))))))),10)</f>
        <v>8</v>
      </c>
    </row>
    <row r="22" spans="1:25" ht="15" customHeight="1" x14ac:dyDescent="0.25">
      <c r="A22" s="135"/>
      <c r="B22" s="143" t="s">
        <v>398</v>
      </c>
      <c r="C22" t="str">
        <f>IF(AND(IFERROR(INDEX(Instructions!$T$111:$T$222,MATCH(D22,Instructions!$T$111:$T$222,0)), "")=D22, D22&lt;&gt;""), "X", "")</f>
        <v/>
      </c>
      <c r="D22" s="137" t="s">
        <v>45</v>
      </c>
      <c r="E22" s="99" t="s">
        <v>144</v>
      </c>
      <c r="F22" s="232">
        <f>IFERROR(IF(AND($F$5="Projected Points",Beersheet!A17&lt;&gt;"QB"), T22, IF(H22="", INDEX(Tier!B$4:$B$12,MATCH(G22,Tier!$A$4:$A$12,0)), INDEX(Tier!$B$4:$B$12,MATCH(H22,Tier!$A$4:$A$12,0)))), "")</f>
        <v>283.70215999999999</v>
      </c>
      <c r="G22" s="283">
        <f t="shared" si="4"/>
        <v>8</v>
      </c>
      <c r="H22" s="288"/>
      <c r="I22" s="392">
        <f>IFERROR(INDEX(ADP!Q:Q,MATCH(D22,ADP!D:D,0))-RBproj!K22,"")</f>
        <v>1</v>
      </c>
      <c r="J22" s="127"/>
      <c r="K22" s="89">
        <v>16</v>
      </c>
      <c r="L22" s="2" t="s">
        <v>398</v>
      </c>
      <c r="M22" s="3">
        <f t="shared" si="0"/>
        <v>1.7000000000000011</v>
      </c>
      <c r="N22" s="4">
        <f>IFERROR(INDEX(ADP!AC:AC,MATCH(QBproj!D22,ADP!Y:Y,0)),0)</f>
        <v>15.3</v>
      </c>
      <c r="O22" s="4" t="s">
        <v>1</v>
      </c>
      <c r="P22" s="4"/>
      <c r="Q22" s="4"/>
      <c r="R22" s="303" t="str">
        <f>IFERROR(VLOOKUP(S22,FFARawStatProjections!AP:AQ,2,FALSE),"")</f>
        <v>DEN</v>
      </c>
      <c r="S22" s="4" t="str">
        <f>INDEX(FFARawStatProjections!AP:AP,MATCH(T22,FFARawStatProjections!AR:AR,0))</f>
        <v>Russell Wilson</v>
      </c>
      <c r="T22">
        <f>LARGE(FFARawStatProjections!AR:AR,QBproj!K22)</f>
        <v>283.70215999999999</v>
      </c>
      <c r="U22" s="248">
        <f t="shared" si="1"/>
        <v>-21.403959999999984</v>
      </c>
      <c r="V22" s="243">
        <f t="shared" si="2"/>
        <v>458.12950368159932</v>
      </c>
      <c r="W22" s="243"/>
      <c r="X22" s="243">
        <f t="shared" si="3"/>
        <v>-1.337747499999999</v>
      </c>
      <c r="Y22" s="238">
        <f>IFERROR(IF(ISBLANK(Beersheet!$A$1)=FALSE,
INDEX(Beersheet!$A:$U,MATCH(S22,INDEX(Beersheet!$A:$U,0,FFARawStatProjections!$BV$2),0),FFARawStatProjections!$BV$6),
IF(X22&gt;6,0,
IF(AND(X22&lt;=6,X22&gt;5),1,
IF(AND(X22&lt;=5,X22&gt;4),2,
IF(AND(X22&lt;=4,X22&gt;3),3,
IF(AND(X22&lt;=3,X22&gt;2),4,
IF(AND(X22&lt;=2,X22&gt;1),5,
IF(AND(X22&lt;=1,X22&gt;0),6,
IF(AND(X22&lt;=0,X22&gt;-1),7,
8))))))))),10)</f>
        <v>8</v>
      </c>
    </row>
    <row r="23" spans="1:25" ht="15" customHeight="1" x14ac:dyDescent="0.25">
      <c r="A23" s="135"/>
      <c r="B23" s="142" t="s">
        <v>399</v>
      </c>
      <c r="C23" t="str">
        <f>IF(AND(IFERROR(INDEX(Instructions!$T$111:$T$222,MATCH(D23,Instructions!$T$111:$T$222,0)), "")=D23, D23&lt;&gt;""), "X", "")</f>
        <v/>
      </c>
      <c r="D23" s="138" t="s">
        <v>1196</v>
      </c>
      <c r="E23" s="100" t="s">
        <v>142</v>
      </c>
      <c r="F23" s="431">
        <f>IFERROR(IF(AND($F$5="Projected Points",Beersheet!A18&lt;&gt;"QB"), T23, IF(H23="", INDEX(Tier!B$4:$B$12,MATCH(G23,Tier!$A$4:$A$12,0)), INDEX(Tier!$B$4:$B$12,MATCH(H23,Tier!$A$4:$A$12,0)))), "")</f>
        <v>283.52616999999998</v>
      </c>
      <c r="G23" s="250">
        <f t="shared" si="4"/>
        <v>8</v>
      </c>
      <c r="H23" s="291"/>
      <c r="I23" s="392">
        <f>IFERROR(INDEX(ADP!Q:Q,MATCH(D23,ADP!D:D,0))-RBproj!K23,"")</f>
        <v>-1</v>
      </c>
      <c r="J23" s="127"/>
      <c r="K23" s="89">
        <v>17</v>
      </c>
      <c r="L23" s="2" t="s">
        <v>399</v>
      </c>
      <c r="M23" s="3">
        <f t="shared" si="0"/>
        <v>0</v>
      </c>
      <c r="N23" s="4">
        <f>IFERROR(INDEX(ADP!AC:AC,MATCH(QBproj!D23,ADP!Y:Y,0)),0)</f>
        <v>12.4</v>
      </c>
      <c r="O23" s="4" t="s">
        <v>1</v>
      </c>
      <c r="P23" s="4"/>
      <c r="Q23" s="4"/>
      <c r="R23" s="303" t="str">
        <f>IFERROR(VLOOKUP(S23,FFARawStatProjections!AP:AQ,2,FALSE),"")</f>
        <v>DET</v>
      </c>
      <c r="S23" s="4" t="str">
        <f>INDEX(FFARawStatProjections!AP:AP,MATCH(T23,FFARawStatProjections!AR:AR,0))</f>
        <v>Jared Goff</v>
      </c>
      <c r="T23">
        <f>LARGE(FFARawStatProjections!AR:AR,QBproj!K23)</f>
        <v>283.52616999999998</v>
      </c>
      <c r="U23" s="248">
        <f t="shared" si="1"/>
        <v>-21.579949999999997</v>
      </c>
      <c r="V23" s="243">
        <f t="shared" si="2"/>
        <v>465.69424200249983</v>
      </c>
      <c r="W23" s="243"/>
      <c r="X23" s="243">
        <f t="shared" si="3"/>
        <v>-1.3487468749999998</v>
      </c>
      <c r="Y23" s="238">
        <f>IFERROR(IF(ISBLANK(Beersheet!$A$1)=FALSE,
INDEX(Beersheet!$A:$U,MATCH(S23,INDEX(Beersheet!$A:$U,0,FFARawStatProjections!$BV$2),0),FFARawStatProjections!$BV$6),
IF(X23&gt;6,0,
IF(AND(X23&lt;=6,X23&gt;5),1,
IF(AND(X23&lt;=5,X23&gt;4),2,
IF(AND(X23&lt;=4,X23&gt;3),3,
IF(AND(X23&lt;=3,X23&gt;2),4,
IF(AND(X23&lt;=2,X23&gt;1),5,
IF(AND(X23&lt;=1,X23&gt;0),6,
IF(AND(X23&lt;=0,X23&gt;-1),7,
8))))))))),10)</f>
        <v>8</v>
      </c>
    </row>
    <row r="24" spans="1:25" ht="15" customHeight="1" x14ac:dyDescent="0.25">
      <c r="A24" s="135"/>
      <c r="B24" s="143" t="s">
        <v>400</v>
      </c>
      <c r="C24" t="str">
        <f>IF(AND(IFERROR(INDEX(Instructions!$T$111:$T$222,MATCH(D24,Instructions!$T$111:$T$222,0)), "")=D24, D24&lt;&gt;""), "X", "")</f>
        <v/>
      </c>
      <c r="D24" s="137" t="s">
        <v>2535</v>
      </c>
      <c r="E24" s="99" t="s">
        <v>158</v>
      </c>
      <c r="F24" s="232">
        <f>IFERROR(IF(AND($F$5="Projected Points",Beersheet!A19&lt;&gt;"QB"), T24, IF(H24="", INDEX(Tier!B$4:$B$12,MATCH(G24,Tier!$A$4:$A$12,0)), INDEX(Tier!$B$4:$B$12,MATCH(H24,Tier!$A$4:$A$12,0)))), "")</f>
        <v>273.84818000000001</v>
      </c>
      <c r="G24" s="283">
        <f t="shared" si="4"/>
        <v>8</v>
      </c>
      <c r="H24" s="288"/>
      <c r="I24" s="392">
        <f>IFERROR(INDEX(ADP!Q:Q,MATCH(D24,ADP!D:D,0))-RBproj!K24,"")</f>
        <v>0</v>
      </c>
      <c r="J24" s="127"/>
      <c r="K24" s="89">
        <v>18</v>
      </c>
      <c r="L24" s="2" t="s">
        <v>400</v>
      </c>
      <c r="M24" s="3">
        <f t="shared" si="0"/>
        <v>0</v>
      </c>
      <c r="N24" s="4">
        <f>IFERROR(INDEX(ADP!AC:AC,MATCH(QBproj!D24,ADP!Y:Y,0)),0)</f>
        <v>13.6</v>
      </c>
      <c r="O24" s="4" t="s">
        <v>1</v>
      </c>
      <c r="P24" s="4"/>
      <c r="Q24" s="4"/>
      <c r="R24" s="303" t="str">
        <f>IFERROR(VLOOKUP(S24,FFARawStatProjections!AP:AQ,2,FALSE),"")</f>
        <v>IND</v>
      </c>
      <c r="S24" s="4" t="str">
        <f>INDEX(FFARawStatProjections!AP:AP,MATCH(T24,FFARawStatProjections!AR:AR,0))</f>
        <v>Anthony Richardson</v>
      </c>
      <c r="T24">
        <f>LARGE(FFARawStatProjections!AR:AR,QBproj!K24)</f>
        <v>273.84818000000001</v>
      </c>
      <c r="U24" s="248">
        <f t="shared" si="1"/>
        <v>-31.257939999999962</v>
      </c>
      <c r="V24" s="243">
        <f t="shared" si="2"/>
        <v>977.05881304359764</v>
      </c>
      <c r="W24" s="243"/>
      <c r="X24" s="243">
        <f t="shared" si="3"/>
        <v>-1.9536212499999976</v>
      </c>
      <c r="Y24" s="238">
        <f>IFERROR(IF(ISBLANK(Beersheet!$A$1)=FALSE,
INDEX(Beersheet!$A:$U,MATCH(S24,INDEX(Beersheet!$A:$U,0,FFARawStatProjections!$BV$2),0),FFARawStatProjections!$BV$6),
IF(X24&gt;6,0,
IF(AND(X24&lt;=6,X24&gt;5),1,
IF(AND(X24&lt;=5,X24&gt;4),2,
IF(AND(X24&lt;=4,X24&gt;3),3,
IF(AND(X24&lt;=3,X24&gt;2),4,
IF(AND(X24&lt;=2,X24&gt;1),5,
IF(AND(X24&lt;=1,X24&gt;0),6,
IF(AND(X24&lt;=0,X24&gt;-1),7,
8))))))))),10)</f>
        <v>8</v>
      </c>
    </row>
    <row r="25" spans="1:25" ht="15" customHeight="1" x14ac:dyDescent="0.25">
      <c r="A25" s="135"/>
      <c r="B25" s="142" t="s">
        <v>401</v>
      </c>
      <c r="C25" t="str">
        <f>IF(AND(IFERROR(INDEX(Instructions!$T$111:$T$222,MATCH(D25,Instructions!$T$111:$T$222,0)), "")=D25, D25&lt;&gt;""), "X", "")</f>
        <v/>
      </c>
      <c r="D25" s="138" t="s">
        <v>176</v>
      </c>
      <c r="E25" s="100" t="s">
        <v>143</v>
      </c>
      <c r="F25" s="431">
        <f>IFERROR(IF(AND($F$5="Projected Points",Beersheet!A20&lt;&gt;"QB"), T25, IF(H25="", INDEX(Tier!B$4:$B$12,MATCH(G25,Tier!$A$4:$A$12,0)), INDEX(Tier!$B$4:$B$12,MATCH(H25,Tier!$A$4:$A$12,0)))), "")</f>
        <v>257.57819000000001</v>
      </c>
      <c r="G25" s="250">
        <f t="shared" si="4"/>
        <v>8</v>
      </c>
      <c r="H25" s="291"/>
      <c r="I25" s="392">
        <f>IFERROR(INDEX(ADP!Q:Q,MATCH(D25,ADP!D:D,0))-RBproj!K25,"")</f>
        <v>1</v>
      </c>
      <c r="J25" s="127"/>
      <c r="K25" s="89">
        <v>19</v>
      </c>
      <c r="L25" s="2" t="s">
        <v>401</v>
      </c>
      <c r="M25" s="3">
        <f t="shared" si="0"/>
        <v>2</v>
      </c>
      <c r="N25" s="4">
        <f>IFERROR(INDEX(ADP!AC:AC,MATCH(QBproj!D25,ADP!Y:Y,0)),0)</f>
        <v>18.5</v>
      </c>
      <c r="O25" s="4" t="s">
        <v>1</v>
      </c>
      <c r="P25" s="4"/>
      <c r="Q25" s="4"/>
      <c r="R25" s="303" t="str">
        <f>IFERROR(VLOOKUP(S25,FFARawStatProjections!AP:AQ,2,FALSE),"")</f>
        <v>NO</v>
      </c>
      <c r="S25" s="4" t="str">
        <f>INDEX(FFARawStatProjections!AP:AP,MATCH(T25,FFARawStatProjections!AR:AR,0))</f>
        <v>Derek Carr</v>
      </c>
      <c r="T25">
        <f>LARGE(FFARawStatProjections!AR:AR,QBproj!K25)</f>
        <v>257.57819000000001</v>
      </c>
      <c r="U25" s="248">
        <f t="shared" si="1"/>
        <v>-47.527929999999969</v>
      </c>
      <c r="V25" s="243">
        <f t="shared" si="2"/>
        <v>2258.9041300848971</v>
      </c>
      <c r="W25" s="243"/>
      <c r="X25" s="243">
        <f t="shared" si="3"/>
        <v>-2.9704956249999981</v>
      </c>
      <c r="Y25" s="238">
        <f>IFERROR(IF(ISBLANK(Beersheet!$A$1)=FALSE,
INDEX(Beersheet!$A:$U,MATCH(S25,INDEX(Beersheet!$A:$U,0,FFARawStatProjections!$BV$2),0),FFARawStatProjections!$BV$6),
IF(X25&gt;6,0,
IF(AND(X25&lt;=6,X25&gt;5),1,
IF(AND(X25&lt;=5,X25&gt;4),2,
IF(AND(X25&lt;=4,X25&gt;3),3,
IF(AND(X25&lt;=3,X25&gt;2),4,
IF(AND(X25&lt;=2,X25&gt;1),5,
IF(AND(X25&lt;=1,X25&gt;0),6,
IF(AND(X25&lt;=0,X25&gt;-1),7,
8))))))))),10)</f>
        <v>8</v>
      </c>
    </row>
    <row r="26" spans="1:25" ht="15" customHeight="1" x14ac:dyDescent="0.25">
      <c r="A26" s="135"/>
      <c r="B26" s="143" t="s">
        <v>402</v>
      </c>
      <c r="C26" t="str">
        <f>IF(AND(IFERROR(INDEX(Instructions!$T$111:$T$222,MATCH(D26,Instructions!$T$111:$T$222,0)), "")=D26, D26&lt;&gt;""), "X", "")</f>
        <v/>
      </c>
      <c r="D26" s="137" t="s">
        <v>24</v>
      </c>
      <c r="E26" s="99" t="s">
        <v>1389</v>
      </c>
      <c r="F26" s="232">
        <f>IFERROR(IF(AND($F$5="Projected Points",Beersheet!A21&lt;&gt;"QB"), T26, IF(H26="", INDEX(Tier!B$4:$B$12,MATCH(G26,Tier!$A$4:$A$12,0)), INDEX(Tier!$B$4:$B$12,MATCH(H26,Tier!$A$4:$A$12,0)))), "")</f>
        <v>257.20819999999998</v>
      </c>
      <c r="G26" s="283">
        <f t="shared" si="4"/>
        <v>8</v>
      </c>
      <c r="H26" s="288"/>
      <c r="I26" s="392">
        <f>IFERROR(INDEX(ADP!Q:Q,MATCH(D26,ADP!D:D,0))-RBproj!K26,"")</f>
        <v>1</v>
      </c>
      <c r="J26" s="127"/>
      <c r="K26" s="89">
        <v>20</v>
      </c>
      <c r="L26" s="2" t="s">
        <v>402</v>
      </c>
      <c r="M26" s="3">
        <f t="shared" si="0"/>
        <v>0</v>
      </c>
      <c r="N26" s="4">
        <f>IFERROR(INDEX(ADP!AC:AC,MATCH(QBproj!D26,ADP!Y:Y,0)),0)</f>
        <v>16.5</v>
      </c>
      <c r="O26" s="4" t="s">
        <v>1</v>
      </c>
      <c r="P26" s="4"/>
      <c r="Q26" s="4"/>
      <c r="R26" s="303" t="str">
        <f>IFERROR(VLOOKUP(S26,FFARawStatProjections!AP:AQ,2,FALSE),"")</f>
        <v>LAR</v>
      </c>
      <c r="S26" s="4" t="str">
        <f>INDEX(FFARawStatProjections!AP:AP,MATCH(T26,FFARawStatProjections!AR:AR,0))</f>
        <v>Matthew Stafford</v>
      </c>
      <c r="T26">
        <f>LARGE(FFARawStatProjections!AR:AR,QBproj!K26)</f>
        <v>257.20819999999998</v>
      </c>
      <c r="U26" s="248">
        <f t="shared" si="1"/>
        <v>-47.897919999999999</v>
      </c>
      <c r="V26" s="243">
        <f t="shared" si="2"/>
        <v>2294.2107403263999</v>
      </c>
      <c r="W26" s="243"/>
      <c r="X26" s="243">
        <f t="shared" si="3"/>
        <v>-2.9936199999999999</v>
      </c>
      <c r="Y26" s="238">
        <f>IFERROR(IF(ISBLANK(Beersheet!$A$1)=FALSE,
INDEX(Beersheet!$A:$U,MATCH(S26,INDEX(Beersheet!$A:$U,0,FFARawStatProjections!$BV$2),0),FFARawStatProjections!$BV$6),
IF(X26&gt;6,0,
IF(AND(X26&lt;=6,X26&gt;5),1,
IF(AND(X26&lt;=5,X26&gt;4),2,
IF(AND(X26&lt;=4,X26&gt;3),3,
IF(AND(X26&lt;=3,X26&gt;2),4,
IF(AND(X26&lt;=2,X26&gt;1),5,
IF(AND(X26&lt;=1,X26&gt;0),6,
IF(AND(X26&lt;=0,X26&gt;-1),7,
8))))))))),10)</f>
        <v>8</v>
      </c>
    </row>
    <row r="27" spans="1:25" ht="15" customHeight="1" x14ac:dyDescent="0.25">
      <c r="A27" s="135"/>
      <c r="B27" s="142" t="s">
        <v>403</v>
      </c>
      <c r="C27" t="str">
        <f>IF(AND(IFERROR(INDEX(Instructions!$T$111:$T$222,MATCH(D27,Instructions!$T$111:$T$222,0)), "")=D27, D27&lt;&gt;""), "X", "")</f>
        <v/>
      </c>
      <c r="D27" s="138" t="s">
        <v>2148</v>
      </c>
      <c r="E27" s="100" t="s">
        <v>139</v>
      </c>
      <c r="F27" s="431">
        <f>IFERROR(IF(AND($F$5="Projected Points",Beersheet!A22&lt;&gt;"QB"), T27, IF(H27="", INDEX(Tier!B$4:$B$12,MATCH(G27,Tier!$A$4:$A$12,0)), INDEX(Tier!$B$4:$B$12,MATCH(H27,Tier!$A$4:$A$12,0)))), "")</f>
        <v>256.35820999999999</v>
      </c>
      <c r="G27" s="250">
        <f t="shared" si="4"/>
        <v>8</v>
      </c>
      <c r="H27" s="291"/>
      <c r="I27" s="392">
        <f>IFERROR(INDEX(ADP!Q:Q,MATCH(D27,ADP!D:D,0))-RBproj!K27,"")</f>
        <v>2</v>
      </c>
      <c r="J27" s="127"/>
      <c r="K27" s="89">
        <v>21</v>
      </c>
      <c r="L27" s="2" t="s">
        <v>403</v>
      </c>
      <c r="M27" s="3">
        <f t="shared" si="0"/>
        <v>0.80000000000000071</v>
      </c>
      <c r="N27" s="4">
        <f>IFERROR(INDEX(ADP!AC:AC,MATCH(QBproj!D27,ADP!Y:Y,0)),0)</f>
        <v>19.3</v>
      </c>
      <c r="O27" s="4" t="s">
        <v>1</v>
      </c>
      <c r="P27" s="4"/>
      <c r="Q27" s="4"/>
      <c r="R27" s="303" t="str">
        <f>IFERROR(VLOOKUP(S27,FFARawStatProjections!AP:AQ,2,FALSE),"")</f>
        <v>GB</v>
      </c>
      <c r="S27" s="4" t="str">
        <f>INDEX(FFARawStatProjections!AP:AP,MATCH(T27,FFARawStatProjections!AR:AR,0))</f>
        <v>Jordan Love</v>
      </c>
      <c r="T27">
        <f>LARGE(FFARawStatProjections!AR:AR,QBproj!K27)</f>
        <v>256.35820999999999</v>
      </c>
      <c r="U27" s="248">
        <f t="shared" si="1"/>
        <v>-48.74790999999999</v>
      </c>
      <c r="V27" s="243">
        <f t="shared" si="2"/>
        <v>2376.3587293680989</v>
      </c>
      <c r="W27" s="243"/>
      <c r="X27" s="243">
        <f t="shared" si="3"/>
        <v>-3.0467443749999994</v>
      </c>
      <c r="Y27" s="238">
        <f>IFERROR(IF(ISBLANK(Beersheet!$A$1)=FALSE,
INDEX(Beersheet!$A:$U,MATCH(S27,INDEX(Beersheet!$A:$U,0,FFARawStatProjections!$BV$2),0),FFARawStatProjections!$BV$6),
IF(X27&gt;6,0,
IF(AND(X27&lt;=6,X27&gt;5),1,
IF(AND(X27&lt;=5,X27&gt;4),2,
IF(AND(X27&lt;=4,X27&gt;3),3,
IF(AND(X27&lt;=3,X27&gt;2),4,
IF(AND(X27&lt;=2,X27&gt;1),5,
IF(AND(X27&lt;=1,X27&gt;0),6,
IF(AND(X27&lt;=0,X27&gt;-1),7,
8))))))))),10)</f>
        <v>8</v>
      </c>
    </row>
    <row r="28" spans="1:25" ht="15" customHeight="1" x14ac:dyDescent="0.25">
      <c r="A28" s="135"/>
      <c r="B28" s="143" t="s">
        <v>404</v>
      </c>
      <c r="C28" t="str">
        <f>IF(AND(IFERROR(INDEX(Instructions!$T$111:$T$222,MATCH(D28,Instructions!$T$111:$T$222,0)), "")=D28, D28&lt;&gt;""), "X", "")</f>
        <v/>
      </c>
      <c r="D28" s="137" t="s">
        <v>2281</v>
      </c>
      <c r="E28" s="99" t="s">
        <v>147</v>
      </c>
      <c r="F28" s="232">
        <f>IFERROR(IF(AND($F$5="Projected Points",Beersheet!A23&lt;&gt;"QB"), T28, IF(H28="", INDEX(Tier!B$4:$B$12,MATCH(G28,Tier!$A$4:$A$12,0)), INDEX(Tier!$B$4:$B$12,MATCH(H28,Tier!$A$4:$A$12,0)))), "")</f>
        <v>253.69622000000001</v>
      </c>
      <c r="G28" s="283">
        <f t="shared" si="4"/>
        <v>8</v>
      </c>
      <c r="H28" s="288"/>
      <c r="I28" s="392">
        <f>IFERROR(INDEX(ADP!Q:Q,MATCH(D28,ADP!D:D,0))-RBproj!K28,"")</f>
        <v>2</v>
      </c>
      <c r="J28" s="127"/>
      <c r="K28" s="89">
        <v>22</v>
      </c>
      <c r="L28" s="2" t="s">
        <v>404</v>
      </c>
      <c r="M28" s="3">
        <f t="shared" si="0"/>
        <v>2.8999999999999986</v>
      </c>
      <c r="N28" s="4">
        <f>IFERROR(INDEX(ADP!AC:AC,MATCH(QBproj!D28,ADP!Y:Y,0)),0)</f>
        <v>21.4</v>
      </c>
      <c r="O28" s="4" t="s">
        <v>1</v>
      </c>
      <c r="P28" s="4"/>
      <c r="Q28" s="4"/>
      <c r="R28" s="303" t="str">
        <f>IFERROR(VLOOKUP(S28,FFARawStatProjections!AP:AQ,2,FALSE),"")</f>
        <v>PIT</v>
      </c>
      <c r="S28" s="4" t="str">
        <f>INDEX(FFARawStatProjections!AP:AP,MATCH(T28,FFARawStatProjections!AR:AR,0))</f>
        <v>Kenny Pickett</v>
      </c>
      <c r="T28">
        <f>LARGE(FFARawStatProjections!AR:AR,QBproj!K28)</f>
        <v>253.69622000000001</v>
      </c>
      <c r="U28" s="248">
        <f t="shared" si="1"/>
        <v>-51.409899999999965</v>
      </c>
      <c r="V28" s="243">
        <f t="shared" si="2"/>
        <v>2642.9778180099966</v>
      </c>
      <c r="W28" s="243"/>
      <c r="X28" s="243">
        <f t="shared" si="3"/>
        <v>-3.2131187499999978</v>
      </c>
      <c r="Y28" s="238">
        <f>IFERROR(IF(ISBLANK(Beersheet!$A$1)=FALSE,
INDEX(Beersheet!$A:$U,MATCH(S28,INDEX(Beersheet!$A:$U,0,FFARawStatProjections!$BV$2),0),FFARawStatProjections!$BV$6),
IF(X28&gt;6,0,
IF(AND(X28&lt;=6,X28&gt;5),1,
IF(AND(X28&lt;=5,X28&gt;4),2,
IF(AND(X28&lt;=4,X28&gt;3),3,
IF(AND(X28&lt;=3,X28&gt;2),4,
IF(AND(X28&lt;=2,X28&gt;1),5,
IF(AND(X28&lt;=1,X28&gt;0),6,
IF(AND(X28&lt;=0,X28&gt;-1),7,
8))))))))),10)</f>
        <v>8</v>
      </c>
    </row>
    <row r="29" spans="1:25" ht="15" customHeight="1" x14ac:dyDescent="0.25">
      <c r="A29" s="135"/>
      <c r="B29" s="142" t="s">
        <v>405</v>
      </c>
      <c r="C29" t="str">
        <f>IF(AND(IFERROR(INDEX(Instructions!$T$111:$T$222,MATCH(D29,Instructions!$T$111:$T$222,0)), "")=D29, D29&lt;&gt;""), "X", "")</f>
        <v/>
      </c>
      <c r="D29" s="138" t="s">
        <v>2519</v>
      </c>
      <c r="E29" s="100" t="s">
        <v>159</v>
      </c>
      <c r="F29" s="431">
        <f>IFERROR(IF(AND($F$5="Projected Points",Beersheet!A24&lt;&gt;"QB"), T29, IF(H29="", INDEX(Tier!B$4:$B$12,MATCH(G29,Tier!$A$4:$A$12,0)), INDEX(Tier!$B$4:$B$12,MATCH(H29,Tier!$A$4:$A$12,0)))), "")</f>
        <v>243.72824</v>
      </c>
      <c r="G29" s="250">
        <f t="shared" si="4"/>
        <v>8</v>
      </c>
      <c r="H29" s="291"/>
      <c r="I29" s="392" t="str">
        <f>IFERROR(INDEX(ADP!Q:Q,MATCH(D29,ADP!D:D,0))-RBproj!K29,"")</f>
        <v/>
      </c>
      <c r="J29" s="127"/>
      <c r="K29" s="89">
        <v>23</v>
      </c>
      <c r="L29" s="2" t="s">
        <v>405</v>
      </c>
      <c r="M29" s="3">
        <f t="shared" si="0"/>
        <v>0</v>
      </c>
      <c r="N29" s="4">
        <f>IFERROR(INDEX(ADP!AC:AC,MATCH(QBproj!D29,ADP!Y:Y,0)),0)</f>
        <v>0</v>
      </c>
      <c r="O29" s="4" t="s">
        <v>1</v>
      </c>
      <c r="P29" s="4"/>
      <c r="Q29" s="4"/>
      <c r="R29" s="303" t="str">
        <f>IFERROR(VLOOKUP(S29,FFARawStatProjections!AP:AQ,2,FALSE),"")</f>
        <v>CAR</v>
      </c>
      <c r="S29" s="4" t="str">
        <f>INDEX(FFARawStatProjections!AP:AP,MATCH(T29,FFARawStatProjections!AR:AR,0))</f>
        <v>Bryce Young</v>
      </c>
      <c r="T29">
        <f>LARGE(FFARawStatProjections!AR:AR,QBproj!K29)</f>
        <v>243.72824</v>
      </c>
      <c r="U29" s="248">
        <f t="shared" si="1"/>
        <v>-61.377879999999976</v>
      </c>
      <c r="V29" s="243">
        <f t="shared" si="2"/>
        <v>3767.2441532943972</v>
      </c>
      <c r="W29" s="243"/>
      <c r="X29" s="243">
        <f t="shared" si="3"/>
        <v>-3.8361174999999985</v>
      </c>
      <c r="Y29" s="238">
        <f>IFERROR(IF(ISBLANK(Beersheet!$A$1)=FALSE,
INDEX(Beersheet!$A:$U,MATCH(S29,INDEX(Beersheet!$A:$U,0,FFARawStatProjections!$BV$2),0),FFARawStatProjections!$BV$6),
IF(X29&gt;6,0,
IF(AND(X29&lt;=6,X29&gt;5),1,
IF(AND(X29&lt;=5,X29&gt;4),2,
IF(AND(X29&lt;=4,X29&gt;3),3,
IF(AND(X29&lt;=3,X29&gt;2),4,
IF(AND(X29&lt;=2,X29&gt;1),5,
IF(AND(X29&lt;=1,X29&gt;0),6,
IF(AND(X29&lt;=0,X29&gt;-1),7,
8))))))))),10)</f>
        <v>8</v>
      </c>
    </row>
    <row r="30" spans="1:25" ht="15" customHeight="1" x14ac:dyDescent="0.25">
      <c r="A30" s="135"/>
      <c r="B30" s="143" t="s">
        <v>406</v>
      </c>
      <c r="C30" t="str">
        <f>IF(AND(IFERROR(INDEX(Instructions!$T$111:$T$222,MATCH(D30,Instructions!$T$111:$T$222,0)), "")=D30, D30&lt;&gt;""), "X", "")</f>
        <v/>
      </c>
      <c r="D30" s="137" t="s">
        <v>2521</v>
      </c>
      <c r="E30" s="99" t="s">
        <v>155</v>
      </c>
      <c r="F30" s="232">
        <f>IFERROR(IF(AND($F$5="Projected Points",Beersheet!A25&lt;&gt;"QB"), T30, IF(H30="", INDEX(Tier!B$4:$B$12,MATCH(G30,Tier!$A$4:$A$12,0)), INDEX(Tier!$B$4:$B$12,MATCH(H30,Tier!$A$4:$A$12,0)))), "")</f>
        <v>242.16822999999997</v>
      </c>
      <c r="G30" s="283">
        <f t="shared" si="4"/>
        <v>8</v>
      </c>
      <c r="H30" s="288"/>
      <c r="I30" s="392">
        <f>IFERROR(INDEX(ADP!Q:Q,MATCH(D30,ADP!D:D,0))-RBproj!K30,"")</f>
        <v>-2</v>
      </c>
      <c r="J30" s="127"/>
      <c r="K30" s="89">
        <v>24</v>
      </c>
      <c r="L30" s="2" t="s">
        <v>406</v>
      </c>
      <c r="M30" s="3">
        <f t="shared" si="0"/>
        <v>31.2</v>
      </c>
      <c r="N30" s="4">
        <f>IFERROR(INDEX(ADP!AC:AC,MATCH(QBproj!D30,ADP!Y:Y,0)),0)</f>
        <v>31.2</v>
      </c>
      <c r="O30" s="4" t="s">
        <v>1</v>
      </c>
      <c r="P30" s="4"/>
      <c r="Q30" s="4"/>
      <c r="R30" s="303" t="str">
        <f>IFERROR(VLOOKUP(S30,FFARawStatProjections!AP:AQ,2,FALSE),"")</f>
        <v>SF</v>
      </c>
      <c r="S30" s="4" t="str">
        <f>INDEX(FFARawStatProjections!AP:AP,MATCH(T30,FFARawStatProjections!AR:AR,0))</f>
        <v>Brock Purdy</v>
      </c>
      <c r="T30">
        <f>LARGE(FFARawStatProjections!AR:AR,QBproj!K30)</f>
        <v>242.16822999999997</v>
      </c>
      <c r="U30" s="248">
        <f t="shared" si="1"/>
        <v>-62.93789000000001</v>
      </c>
      <c r="V30" s="243">
        <f t="shared" si="2"/>
        <v>3961.1779976521011</v>
      </c>
      <c r="W30" s="243"/>
      <c r="X30" s="243">
        <f t="shared" si="3"/>
        <v>-3.9336181250000006</v>
      </c>
      <c r="Y30" s="238">
        <f>IFERROR(IF(ISBLANK(Beersheet!$A$1)=FALSE,
INDEX(Beersheet!$A:$U,MATCH(S30,INDEX(Beersheet!$A:$U,0,FFARawStatProjections!$BV$2),0),FFARawStatProjections!$BV$6),
IF(X30&gt;6,0,
IF(AND(X30&lt;=6,X30&gt;5),1,
IF(AND(X30&lt;=5,X30&gt;4),2,
IF(AND(X30&lt;=4,X30&gt;3),3,
IF(AND(X30&lt;=3,X30&gt;2),4,
IF(AND(X30&lt;=2,X30&gt;1),5,
IF(AND(X30&lt;=1,X30&gt;0),6,
IF(AND(X30&lt;=0,X30&gt;-1),7,
8))))))))),10)</f>
        <v>8</v>
      </c>
    </row>
    <row r="31" spans="1:25" ht="15" customHeight="1" x14ac:dyDescent="0.25">
      <c r="A31" s="135"/>
      <c r="B31" s="142" t="s">
        <v>407</v>
      </c>
      <c r="C31" t="str">
        <f>IF(AND(IFERROR(INDEX(Instructions!$T$111:$T$222,MATCH(D31,Instructions!$T$111:$T$222,0)), "")=D31, D31&lt;&gt;""), "X", "")</f>
        <v/>
      </c>
      <c r="D31" s="138" t="s">
        <v>1294</v>
      </c>
      <c r="E31" s="100" t="s">
        <v>2073</v>
      </c>
      <c r="F31" s="431">
        <f>IFERROR(IF(AND($F$5="Projected Points",Beersheet!A26&lt;&gt;"QB"), T31, IF(H31="", INDEX(Tier!B$4:$B$12,MATCH(G31,Tier!$A$4:$A$12,0)), INDEX(Tier!$B$4:$B$12,MATCH(H31,Tier!$A$4:$A$12,0)))), "")</f>
        <v>230.81424999999999</v>
      </c>
      <c r="G31" s="250">
        <f t="shared" si="4"/>
        <v>8</v>
      </c>
      <c r="H31" s="291"/>
      <c r="I31" s="392" t="str">
        <f>IFERROR(INDEX(ADP!Q:Q,MATCH(D31,ADP!D:D,0))-RBproj!K31,"")</f>
        <v/>
      </c>
      <c r="J31" s="127"/>
      <c r="K31" s="89">
        <v>25</v>
      </c>
      <c r="L31" s="2" t="s">
        <v>407</v>
      </c>
      <c r="M31" s="3">
        <f t="shared" si="0"/>
        <v>0</v>
      </c>
      <c r="N31" s="4">
        <f>IFERROR(INDEX(ADP!AC:AC,MATCH(QBproj!D31,ADP!Y:Y,0)),0)</f>
        <v>0</v>
      </c>
      <c r="O31" s="4" t="s">
        <v>1</v>
      </c>
      <c r="P31" s="4"/>
      <c r="Q31" s="4"/>
      <c r="R31" s="303" t="str">
        <f>IFERROR(VLOOKUP(S31,FFARawStatProjections!AP:AQ,2,FALSE),"")</f>
        <v>LV</v>
      </c>
      <c r="S31" s="4" t="str">
        <f>INDEX(FFARawStatProjections!AP:AP,MATCH(T31,FFARawStatProjections!AR:AR,0))</f>
        <v>Jimmy Garoppolo</v>
      </c>
      <c r="T31">
        <f>LARGE(FFARawStatProjections!AR:AR,QBproj!K31)</f>
        <v>230.81424999999999</v>
      </c>
      <c r="U31" s="248">
        <f t="shared" si="1"/>
        <v>-74.291869999999989</v>
      </c>
      <c r="V31" s="243">
        <f t="shared" si="2"/>
        <v>5519.2819480968983</v>
      </c>
      <c r="W31" s="243"/>
      <c r="X31" s="243">
        <f t="shared" si="3"/>
        <v>-4.6432418749999993</v>
      </c>
      <c r="Y31" s="238">
        <f>IFERROR(IF(ISBLANK(Beersheet!$A$1)=FALSE,
INDEX(Beersheet!$A:$U,MATCH(S31,INDEX(Beersheet!$A:$U,0,FFARawStatProjections!$BV$2),0),FFARawStatProjections!$BV$6),
IF(X31&gt;6,0,
IF(AND(X31&lt;=6,X31&gt;5),1,
IF(AND(X31&lt;=5,X31&gt;4),2,
IF(AND(X31&lt;=4,X31&gt;3),3,
IF(AND(X31&lt;=3,X31&gt;2),4,
IF(AND(X31&lt;=2,X31&gt;1),5,
IF(AND(X31&lt;=1,X31&gt;0),6,
IF(AND(X31&lt;=0,X31&gt;-1),7,
8))))))))),10)</f>
        <v>8</v>
      </c>
    </row>
    <row r="32" spans="1:25" ht="15" customHeight="1" x14ac:dyDescent="0.25">
      <c r="A32" s="135"/>
      <c r="B32" s="143" t="s">
        <v>408</v>
      </c>
      <c r="C32" t="str">
        <f>IF(AND(IFERROR(INDEX(Instructions!$T$111:$T$222,MATCH(D32,Instructions!$T$111:$T$222,0)), "")=D32, D32&lt;&gt;""), "X", "")</f>
        <v/>
      </c>
      <c r="D32" s="137" t="s">
        <v>79</v>
      </c>
      <c r="E32" s="99" t="s">
        <v>163</v>
      </c>
      <c r="F32" s="232">
        <f>IFERROR(IF(AND($F$5="Projected Points",Beersheet!A27&lt;&gt;"QB"), T32, IF(H32="", INDEX(Tier!B$4:$B$12,MATCH(G32,Tier!$A$4:$A$12,0)), INDEX(Tier!$B$4:$B$12,MATCH(H32,Tier!$A$4:$A$12,0)))), "")</f>
        <v>225.91026000000002</v>
      </c>
      <c r="G32" s="283">
        <f t="shared" si="4"/>
        <v>8</v>
      </c>
      <c r="H32" s="288"/>
      <c r="I32" s="392" t="str">
        <f>IFERROR(INDEX(ADP!Q:Q,MATCH(D32,ADP!D:D,0))-RBproj!K32,"")</f>
        <v/>
      </c>
      <c r="J32" s="127"/>
      <c r="K32" s="89">
        <v>26</v>
      </c>
      <c r="L32" s="2" t="s">
        <v>408</v>
      </c>
      <c r="M32" s="3">
        <f t="shared" si="0"/>
        <v>0</v>
      </c>
      <c r="N32" s="4">
        <f>IFERROR(INDEX(ADP!AC:AC,MATCH(QBproj!D32,ADP!Y:Y,0)),0)</f>
        <v>0</v>
      </c>
      <c r="O32" s="4" t="s">
        <v>1</v>
      </c>
      <c r="P32" s="4"/>
      <c r="Q32" s="4"/>
      <c r="R32" s="303" t="str">
        <f>IFERROR(VLOOKUP(S32,FFARawStatProjections!AP:AQ,2,FALSE),"")</f>
        <v>TEN</v>
      </c>
      <c r="S32" s="4" t="str">
        <f>INDEX(FFARawStatProjections!AP:AP,MATCH(T32,FFARawStatProjections!AR:AR,0))</f>
        <v>Ryan Tannehill</v>
      </c>
      <c r="T32">
        <f>LARGE(FFARawStatProjections!AR:AR,QBproj!K32)</f>
        <v>225.91026000000002</v>
      </c>
      <c r="U32" s="248">
        <f t="shared" si="1"/>
        <v>-79.195859999999954</v>
      </c>
      <c r="V32" s="243">
        <f t="shared" si="2"/>
        <v>6271.984241139593</v>
      </c>
      <c r="W32" s="243"/>
      <c r="X32" s="243">
        <f t="shared" si="3"/>
        <v>-4.9497412499999971</v>
      </c>
      <c r="Y32" s="238">
        <f>IFERROR(IF(ISBLANK(Beersheet!$A$1)=FALSE,
INDEX(Beersheet!$A:$U,MATCH(S32,INDEX(Beersheet!$A:$U,0,FFARawStatProjections!$BV$2),0),FFARawStatProjections!$BV$6),
IF(X32&gt;6,0,
IF(AND(X32&lt;=6,X32&gt;5),1,
IF(AND(X32&lt;=5,X32&gt;4),2,
IF(AND(X32&lt;=4,X32&gt;3),3,
IF(AND(X32&lt;=3,X32&gt;2),4,
IF(AND(X32&lt;=2,X32&gt;1),5,
IF(AND(X32&lt;=1,X32&gt;0),6,
IF(AND(X32&lt;=0,X32&gt;-1),7,
8))))))))),10)</f>
        <v>8</v>
      </c>
    </row>
    <row r="33" spans="1:25" ht="15" customHeight="1" x14ac:dyDescent="0.25">
      <c r="A33" s="135"/>
      <c r="B33" s="142" t="s">
        <v>409</v>
      </c>
      <c r="C33" t="str">
        <f>IF(AND(IFERROR(INDEX(Instructions!$T$111:$T$222,MATCH(D33,Instructions!$T$111:$T$222,0)), "")=D33, D33&lt;&gt;""), "X", "")</f>
        <v/>
      </c>
      <c r="D33" s="138" t="s">
        <v>2507</v>
      </c>
      <c r="E33" s="100" t="s">
        <v>151</v>
      </c>
      <c r="F33" s="431">
        <f>IFERROR(IF(AND($F$5="Projected Points",Beersheet!A28&lt;&gt;"QB"), T33, IF(H33="", INDEX(Tier!B$4:$B$12,MATCH(G33,Tier!$A$4:$A$12,0)), INDEX(Tier!$B$4:$B$12,MATCH(H33,Tier!$A$4:$A$12,0)))), "")</f>
        <v>225.68826999999999</v>
      </c>
      <c r="G33" s="250">
        <f t="shared" si="4"/>
        <v>8</v>
      </c>
      <c r="H33" s="291"/>
      <c r="I33" s="392" t="str">
        <f>IFERROR(INDEX(ADP!Q:Q,MATCH(D33,ADP!D:D,0))-RBproj!K33,"")</f>
        <v/>
      </c>
      <c r="J33" s="127"/>
      <c r="K33" s="89">
        <v>27</v>
      </c>
      <c r="L33" s="2" t="s">
        <v>409</v>
      </c>
      <c r="M33" s="3">
        <f t="shared" si="0"/>
        <v>0</v>
      </c>
      <c r="N33" s="4">
        <f>IFERROR(INDEX(ADP!AC:AC,MATCH(QBproj!D33,ADP!Y:Y,0)),0)</f>
        <v>0</v>
      </c>
      <c r="O33" s="4" t="s">
        <v>1</v>
      </c>
      <c r="P33" s="4"/>
      <c r="Q33" s="4"/>
      <c r="R33" s="303" t="str">
        <f>IFERROR(VLOOKUP(S33,FFARawStatProjections!AP:AQ,2,FALSE),"")</f>
        <v>HOU</v>
      </c>
      <c r="S33" s="4" t="str">
        <f>INDEX(FFARawStatProjections!AP:AP,MATCH(T33,FFARawStatProjections!AR:AR,0))</f>
        <v>CJ Stroud</v>
      </c>
      <c r="T33">
        <f>LARGE(FFARawStatProjections!AR:AR,QBproj!K33)</f>
        <v>225.68826999999999</v>
      </c>
      <c r="U33" s="248">
        <f t="shared" si="1"/>
        <v>-79.417849999999987</v>
      </c>
      <c r="V33" s="243">
        <f t="shared" si="2"/>
        <v>6307.1948986224979</v>
      </c>
      <c r="W33" s="243"/>
      <c r="X33" s="243">
        <f t="shared" si="3"/>
        <v>-4.9636156249999992</v>
      </c>
      <c r="Y33" s="238">
        <f>IFERROR(IF(ISBLANK(Beersheet!$A$1)=FALSE,
INDEX(Beersheet!$A:$U,MATCH(S33,INDEX(Beersheet!$A:$U,0,FFARawStatProjections!$BV$2),0),FFARawStatProjections!$BV$6),
IF(X33&gt;6,0,
IF(AND(X33&lt;=6,X33&gt;5),1,
IF(AND(X33&lt;=5,X33&gt;4),2,
IF(AND(X33&lt;=4,X33&gt;3),3,
IF(AND(X33&lt;=3,X33&gt;2),4,
IF(AND(X33&lt;=2,X33&gt;1),5,
IF(AND(X33&lt;=1,X33&gt;0),6,
IF(AND(X33&lt;=0,X33&gt;-1),7,
8))))))))),10)</f>
        <v>8</v>
      </c>
    </row>
    <row r="34" spans="1:25" ht="15" customHeight="1" x14ac:dyDescent="0.25">
      <c r="A34" s="135"/>
      <c r="B34" s="143" t="s">
        <v>410</v>
      </c>
      <c r="C34" t="str">
        <f>IF(AND(IFERROR(INDEX(Instructions!$T$111:$T$222,MATCH(D34,Instructions!$T$111:$T$222,0)), "")=D34, D34&lt;&gt;""), "X", "")</f>
        <v/>
      </c>
      <c r="D34" s="137" t="s">
        <v>2158</v>
      </c>
      <c r="E34" s="99" t="s">
        <v>157</v>
      </c>
      <c r="F34" s="232">
        <f>IFERROR(IF(AND($F$5="Projected Points",Beersheet!A29&lt;&gt;"QB"), T34, IF(H34="", INDEX(Tier!B$4:$B$12,MATCH(G34,Tier!$A$4:$A$12,0)), INDEX(Tier!$B$4:$B$12,MATCH(H34,Tier!$A$4:$A$12,0)))), "")</f>
        <v>222.10227999999998</v>
      </c>
      <c r="G34" s="283">
        <f t="shared" si="4"/>
        <v>8</v>
      </c>
      <c r="H34" s="288"/>
      <c r="I34" s="392" t="str">
        <f>IFERROR(INDEX(ADP!Q:Q,MATCH(D34,ADP!D:D,0))-RBproj!K34,"")</f>
        <v/>
      </c>
      <c r="J34" s="127"/>
      <c r="K34" s="89">
        <v>28</v>
      </c>
      <c r="L34" s="2" t="s">
        <v>410</v>
      </c>
      <c r="M34" s="3">
        <f t="shared" si="0"/>
        <v>0</v>
      </c>
      <c r="N34" s="4">
        <f>IFERROR(INDEX(ADP!AC:AC,MATCH(QBproj!D34,ADP!Y:Y,0)),0)</f>
        <v>0</v>
      </c>
      <c r="O34" s="4" t="s">
        <v>1</v>
      </c>
      <c r="P34" s="4"/>
      <c r="Q34" s="4"/>
      <c r="R34" s="303" t="str">
        <f>IFERROR(VLOOKUP(S34,FFARawStatProjections!AP:AQ,2,FALSE),"")</f>
        <v>NE</v>
      </c>
      <c r="S34" s="4" t="str">
        <f>INDEX(FFARawStatProjections!AP:AP,MATCH(T34,FFARawStatProjections!AR:AR,0))</f>
        <v>Mac Jones</v>
      </c>
      <c r="T34">
        <f>LARGE(FFARawStatProjections!AR:AR,QBproj!K34)</f>
        <v>222.10227999999998</v>
      </c>
      <c r="U34" s="248">
        <f t="shared" si="1"/>
        <v>-83.003839999999997</v>
      </c>
      <c r="V34" s="243">
        <f t="shared" si="2"/>
        <v>6889.6374547455998</v>
      </c>
      <c r="W34" s="243"/>
      <c r="X34" s="243">
        <f t="shared" si="3"/>
        <v>-5.1877399999999998</v>
      </c>
      <c r="Y34" s="238">
        <f>IFERROR(IF(ISBLANK(Beersheet!$A$1)=FALSE,
INDEX(Beersheet!$A:$U,MATCH(S34,INDEX(Beersheet!$A:$U,0,FFARawStatProjections!$BV$2),0),FFARawStatProjections!$BV$6),
IF(X34&gt;6,0,
IF(AND(X34&lt;=6,X34&gt;5),1,
IF(AND(X34&lt;=5,X34&gt;4),2,
IF(AND(X34&lt;=4,X34&gt;3),3,
IF(AND(X34&lt;=3,X34&gt;2),4,
IF(AND(X34&lt;=2,X34&gt;1),5,
IF(AND(X34&lt;=1,X34&gt;0),6,
IF(AND(X34&lt;=0,X34&gt;-1),7,
8))))))))),10)</f>
        <v>8</v>
      </c>
    </row>
    <row r="35" spans="1:25" ht="15" customHeight="1" x14ac:dyDescent="0.25">
      <c r="A35" s="135"/>
      <c r="B35" s="142" t="s">
        <v>411</v>
      </c>
      <c r="C35" t="str">
        <f>IF(AND(IFERROR(INDEX(Instructions!$T$111:$T$222,MATCH(D35,Instructions!$T$111:$T$222,0)), "")=D35, D35&lt;&gt;""), "X", "")</f>
        <v/>
      </c>
      <c r="D35" s="138" t="s">
        <v>1855</v>
      </c>
      <c r="E35" s="100" t="s">
        <v>2272</v>
      </c>
      <c r="F35" s="431">
        <f>IFERROR(IF(AND($F$5="Projected Points",Beersheet!A30&lt;&gt;"QB"), T35, IF(H35="", INDEX(Tier!B$4:$B$12,MATCH(G35,Tier!$A$4:$A$12,0)), INDEX(Tier!$B$4:$B$12,MATCH(H35,Tier!$A$4:$A$12,0)))), "")</f>
        <v>219.09828999999999</v>
      </c>
      <c r="G35" s="250">
        <f t="shared" si="4"/>
        <v>8</v>
      </c>
      <c r="H35" s="291"/>
      <c r="I35" s="392">
        <f>IFERROR(INDEX(ADP!Q:Q,MATCH(D35,ADP!D:D,0))-RBproj!K35,"")</f>
        <v>-10</v>
      </c>
      <c r="J35" s="127"/>
      <c r="K35" s="89">
        <v>29</v>
      </c>
      <c r="L35" s="2" t="s">
        <v>411</v>
      </c>
      <c r="M35" s="3">
        <f t="shared" si="0"/>
        <v>20.7</v>
      </c>
      <c r="N35" s="4">
        <f>IFERROR(INDEX(ADP!AC:AC,MATCH(QBproj!D35,ADP!Y:Y,0)),0)</f>
        <v>20.7</v>
      </c>
      <c r="O35" s="4" t="s">
        <v>1</v>
      </c>
      <c r="P35" s="4"/>
      <c r="Q35" s="4"/>
      <c r="R35" s="303" t="str">
        <f>IFERROR(VLOOKUP(S35,FFARawStatProjections!AP:AQ,2,FALSE),"")</f>
        <v>AZ</v>
      </c>
      <c r="S35" s="4" t="str">
        <f>INDEX(FFARawStatProjections!AP:AP,MATCH(T35,FFARawStatProjections!AR:AR,0))</f>
        <v>Kyler Murray</v>
      </c>
      <c r="T35">
        <f>LARGE(FFARawStatProjections!AR:AR,QBproj!K35)</f>
        <v>219.09828999999999</v>
      </c>
      <c r="U35" s="248">
        <f t="shared" si="1"/>
        <v>-86.007829999999984</v>
      </c>
      <c r="V35" s="243">
        <f t="shared" si="2"/>
        <v>7397.3468213088972</v>
      </c>
      <c r="W35" s="243"/>
      <c r="X35" s="243">
        <f t="shared" si="3"/>
        <v>-5.375489374999999</v>
      </c>
      <c r="Y35" s="238">
        <f>IFERROR(IF(ISBLANK(Beersheet!$A$1)=FALSE,
INDEX(Beersheet!$A:$U,MATCH(S35,INDEX(Beersheet!$A:$U,0,FFARawStatProjections!$BV$2),0),FFARawStatProjections!$BV$6),
IF(X35&gt;6,0,
IF(AND(X35&lt;=6,X35&gt;5),1,
IF(AND(X35&lt;=5,X35&gt;4),2,
IF(AND(X35&lt;=4,X35&gt;3),3,
IF(AND(X35&lt;=3,X35&gt;2),4,
IF(AND(X35&lt;=2,X35&gt;1),5,
IF(AND(X35&lt;=1,X35&gt;0),6,
IF(AND(X35&lt;=0,X35&gt;-1),7,
8))))))))),10)</f>
        <v>8</v>
      </c>
    </row>
    <row r="36" spans="1:25" ht="15" customHeight="1" x14ac:dyDescent="0.25">
      <c r="A36" s="135"/>
      <c r="B36" s="143" t="s">
        <v>412</v>
      </c>
      <c r="C36" t="str">
        <f>IF(AND(IFERROR(INDEX(Instructions!$T$111:$T$222,MATCH(D36,Instructions!$T$111:$T$222,0)), "")=D36, D36&lt;&gt;""), "X", "")</f>
        <v/>
      </c>
      <c r="D36" s="137" t="s">
        <v>2286</v>
      </c>
      <c r="E36" s="99" t="s">
        <v>152</v>
      </c>
      <c r="F36" s="232">
        <f>IFERROR(IF(AND($F$5="Projected Points",Beersheet!A31&lt;&gt;"QB"), T36, IF(H36="", INDEX(Tier!B$4:$B$12,MATCH(G36,Tier!$A$4:$A$12,0)), INDEX(Tier!$B$4:$B$12,MATCH(H36,Tier!$A$4:$A$12,0)))), "")</f>
        <v>212.42230000000004</v>
      </c>
      <c r="G36" s="283">
        <f t="shared" si="4"/>
        <v>8</v>
      </c>
      <c r="H36" s="288"/>
      <c r="I36" s="392" t="str">
        <f>IFERROR(INDEX(ADP!Q:Q,MATCH(D36,ADP!D:D,0))-RBproj!K36,"")</f>
        <v/>
      </c>
      <c r="J36" s="127"/>
      <c r="K36" s="89">
        <v>30</v>
      </c>
      <c r="L36" s="2" t="s">
        <v>412</v>
      </c>
      <c r="M36" s="3">
        <f t="shared" si="0"/>
        <v>0</v>
      </c>
      <c r="N36" s="4">
        <f>IFERROR(INDEX(ADP!AC:AC,MATCH(QBproj!D36,ADP!Y:Y,0)),0)</f>
        <v>0</v>
      </c>
      <c r="O36" s="4" t="s">
        <v>1</v>
      </c>
      <c r="P36" s="4"/>
      <c r="Q36" s="4"/>
      <c r="R36" s="303" t="str">
        <f>IFERROR(VLOOKUP(S36,FFARawStatProjections!AP:AQ,2,FALSE),"")</f>
        <v>WAS</v>
      </c>
      <c r="S36" s="4" t="str">
        <f>INDEX(FFARawStatProjections!AP:AP,MATCH(T36,FFARawStatProjections!AR:AR,0))</f>
        <v>Sam Howell</v>
      </c>
      <c r="T36">
        <f>LARGE(FFARawStatProjections!AR:AR,QBproj!K36)</f>
        <v>212.42230000000004</v>
      </c>
      <c r="U36" s="248">
        <f t="shared" si="1"/>
        <v>-92.68381999999994</v>
      </c>
      <c r="V36" s="243">
        <f t="shared" si="2"/>
        <v>8590.2904897923891</v>
      </c>
      <c r="W36" s="243"/>
      <c r="X36" s="243">
        <f t="shared" si="3"/>
        <v>-5.7927387499999963</v>
      </c>
      <c r="Y36" s="238">
        <f>IFERROR(IF(ISBLANK(Beersheet!$A$1)=FALSE,
INDEX(Beersheet!$A:$U,MATCH(S36,INDEX(Beersheet!$A:$U,0,FFARawStatProjections!$BV$2),0),FFARawStatProjections!$BV$6),
IF(X36&gt;6,0,
IF(AND(X36&lt;=6,X36&gt;5),1,
IF(AND(X36&lt;=5,X36&gt;4),2,
IF(AND(X36&lt;=4,X36&gt;3),3,
IF(AND(X36&lt;=3,X36&gt;2),4,
IF(AND(X36&lt;=2,X36&gt;1),5,
IF(AND(X36&lt;=1,X36&gt;0),6,
IF(AND(X36&lt;=0,X36&gt;-1),7,
8))))))))),10)</f>
        <v>8</v>
      </c>
    </row>
    <row r="37" spans="1:25" ht="15" customHeight="1" x14ac:dyDescent="0.25">
      <c r="A37" s="135"/>
      <c r="B37" s="142" t="s">
        <v>413</v>
      </c>
      <c r="C37" t="str">
        <f>IF(AND(IFERROR(INDEX(Instructions!$T$111:$T$222,MATCH(D37,Instructions!$T$111:$T$222,0)), "")=D37, D37&lt;&gt;""), "X", "")</f>
        <v/>
      </c>
      <c r="D37" s="138" t="s">
        <v>2282</v>
      </c>
      <c r="E37" s="100" t="s">
        <v>148</v>
      </c>
      <c r="F37" s="431">
        <f>IFERROR(IF(AND($F$5="Projected Points",Beersheet!A32&lt;&gt;"QB"), T37, IF(H37="", INDEX(Tier!B$4:$B$12,MATCH(G37,Tier!$A$4:$A$12,0)), INDEX(Tier!$B$4:$B$12,MATCH(H37,Tier!$A$4:$A$12,0)))), "")</f>
        <v>197.79231000000004</v>
      </c>
      <c r="G37" s="250">
        <f t="shared" si="4"/>
        <v>8</v>
      </c>
      <c r="H37" s="291"/>
      <c r="I37" s="392" t="str">
        <f>IFERROR(INDEX(ADP!Q:Q,MATCH(D37,ADP!D:D,0))-RBproj!K37,"")</f>
        <v/>
      </c>
      <c r="J37" s="127"/>
      <c r="K37" s="89">
        <v>31</v>
      </c>
      <c r="L37" s="2" t="s">
        <v>413</v>
      </c>
      <c r="M37" s="3">
        <f t="shared" si="0"/>
        <v>0</v>
      </c>
      <c r="N37" s="4">
        <f>IFERROR(INDEX(ADP!AC:AC,MATCH(QBproj!D37,ADP!Y:Y,0)),0)</f>
        <v>0</v>
      </c>
      <c r="O37" s="4" t="s">
        <v>1</v>
      </c>
      <c r="P37" s="4"/>
      <c r="Q37" s="4"/>
      <c r="R37" s="303" t="str">
        <f>IFERROR(VLOOKUP(S37,FFARawStatProjections!AP:AQ,2,FALSE),"")</f>
        <v>ATL</v>
      </c>
      <c r="S37" s="4" t="str">
        <f>INDEX(FFARawStatProjections!AP:AP,MATCH(T37,FFARawStatProjections!AR:AR,0))</f>
        <v>Desmond Ridder</v>
      </c>
      <c r="T37">
        <f>LARGE(FFARawStatProjections!AR:AR,QBproj!K37)</f>
        <v>197.79231000000004</v>
      </c>
      <c r="U37" s="248">
        <f t="shared" si="1"/>
        <v>-107.31380999999993</v>
      </c>
      <c r="V37" s="243">
        <f t="shared" si="2"/>
        <v>11516.253816716086</v>
      </c>
      <c r="W37" s="243"/>
      <c r="X37" s="243">
        <f t="shared" si="3"/>
        <v>-6.7071131249999958</v>
      </c>
      <c r="Y37" s="238">
        <f>IFERROR(IF(ISBLANK(Beersheet!$A$1)=FALSE,
INDEX(Beersheet!$A:$U,MATCH(S37,INDEX(Beersheet!$A:$U,0,FFARawStatProjections!$BV$2),0),FFARawStatProjections!$BV$6),
IF(X37&gt;6,0,
IF(AND(X37&lt;=6,X37&gt;5),1,
IF(AND(X37&lt;=5,X37&gt;4),2,
IF(AND(X37&lt;=4,X37&gt;3),3,
IF(AND(X37&lt;=3,X37&gt;2),4,
IF(AND(X37&lt;=2,X37&gt;1),5,
IF(AND(X37&lt;=1,X37&gt;0),6,
IF(AND(X37&lt;=0,X37&gt;-1),7,
8))))))))),10)</f>
        <v>8</v>
      </c>
    </row>
    <row r="38" spans="1:25" ht="15" customHeight="1" x14ac:dyDescent="0.25">
      <c r="A38" s="135"/>
      <c r="B38" s="143" t="s">
        <v>414</v>
      </c>
      <c r="C38" t="str">
        <f>IF(AND(IFERROR(INDEX(Instructions!$T$111:$T$222,MATCH(D38,Instructions!$T$111:$T$222,0)), "")=D38, D38&lt;&gt;""), "X", "")</f>
        <v/>
      </c>
      <c r="D38" s="137" t="s">
        <v>1763</v>
      </c>
      <c r="E38" s="99" t="s">
        <v>149</v>
      </c>
      <c r="F38" s="232">
        <f>IFERROR(IF(AND($F$5="Projected Points",Beersheet!A33&lt;&gt;"QB"), T38, IF(H38="", INDEX(Tier!B$4:$B$12,MATCH(G38,Tier!$A$4:$A$12,0)), INDEX(Tier!$B$4:$B$12,MATCH(H38,Tier!$A$4:$A$12,0)))), "")</f>
        <v>191.23431999999997</v>
      </c>
      <c r="G38" s="283">
        <f t="shared" si="4"/>
        <v>8</v>
      </c>
      <c r="H38" s="288"/>
      <c r="I38" s="392" t="str">
        <f>IFERROR(INDEX(ADP!Q:Q,MATCH(D38,ADP!D:D,0))-RBproj!K38,"")</f>
        <v/>
      </c>
      <c r="J38" s="127"/>
      <c r="K38" s="89">
        <v>32</v>
      </c>
      <c r="L38" s="2" t="s">
        <v>414</v>
      </c>
      <c r="M38" s="3">
        <f t="shared" si="0"/>
        <v>0</v>
      </c>
      <c r="N38" s="4">
        <f>IFERROR(INDEX(ADP!AC:AC,MATCH(QBproj!D38,ADP!Y:Y,0)),0)</f>
        <v>0</v>
      </c>
      <c r="O38" s="4" t="s">
        <v>1</v>
      </c>
      <c r="P38" s="4"/>
      <c r="Q38" s="4"/>
      <c r="R38" s="303" t="str">
        <f>IFERROR(VLOOKUP(S38,FFARawStatProjections!AP:AQ,2,FALSE),"")</f>
        <v>TB</v>
      </c>
      <c r="S38" s="4" t="str">
        <f>INDEX(FFARawStatProjections!AP:AP,MATCH(T38,FFARawStatProjections!AR:AR,0))</f>
        <v>Baker Mayfield</v>
      </c>
      <c r="T38">
        <f>LARGE(FFARawStatProjections!AR:AR,QBproj!K38)</f>
        <v>191.23431999999997</v>
      </c>
      <c r="U38" s="248">
        <f t="shared" si="1"/>
        <v>-113.87180000000001</v>
      </c>
      <c r="V38" s="243">
        <f t="shared" si="2"/>
        <v>12966.786835240002</v>
      </c>
      <c r="W38" s="243"/>
      <c r="X38" s="243">
        <f t="shared" si="3"/>
        <v>-7.1169875000000005</v>
      </c>
      <c r="Y38" s="238">
        <f>IFERROR(IF(ISBLANK(Beersheet!$A$1)=FALSE,
INDEX(Beersheet!$A:$U,MATCH(S38,INDEX(Beersheet!$A:$U,0,FFARawStatProjections!$BV$2),0),FFARawStatProjections!$BV$6),
IF(X38&gt;6,0,
IF(AND(X38&lt;=6,X38&gt;5),1,
IF(AND(X38&lt;=5,X38&gt;4),2,
IF(AND(X38&lt;=4,X38&gt;3),3,
IF(AND(X38&lt;=3,X38&gt;2),4,
IF(AND(X38&lt;=2,X38&gt;1),5,
IF(AND(X38&lt;=1,X38&gt;0),6,
IF(AND(X38&lt;=0,X38&gt;-1),7,
8))))))))),10)</f>
        <v>8</v>
      </c>
    </row>
    <row r="39" spans="1:25" ht="15" customHeight="1" x14ac:dyDescent="0.25">
      <c r="A39" s="135"/>
      <c r="B39" s="142" t="s">
        <v>415</v>
      </c>
      <c r="C39" t="str">
        <f>IF(AND(IFERROR(INDEX(Instructions!$T$111:$T$222,MATCH(D39,Instructions!$T$111:$T$222,0)), "")=D39, D39&lt;&gt;""), "X", "")</f>
        <v/>
      </c>
      <c r="D39" s="138" t="s">
        <v>1302</v>
      </c>
      <c r="E39" s="100" t="s">
        <v>152</v>
      </c>
      <c r="F39" s="431">
        <f>IFERROR(IF(AND($F$5="Projected Points",Beersheet!A34&lt;&gt;"QB"), T39, IF(H39="", INDEX(Tier!B$4:$B$12,MATCH(G39,Tier!$A$4:$A$12,0)), INDEX(Tier!$B$4:$B$12,MATCH(H39,Tier!$A$4:$A$12,0)))), "")</f>
        <v>82.694330000000022</v>
      </c>
      <c r="G39" s="250">
        <f t="shared" si="4"/>
        <v>8</v>
      </c>
      <c r="H39" s="291"/>
      <c r="I39" s="392" t="str">
        <f>IFERROR(INDEX(ADP!Q:Q,MATCH(D39,ADP!D:D,0))-RBproj!K39,"")</f>
        <v/>
      </c>
      <c r="J39" s="127"/>
      <c r="K39" s="89">
        <v>33</v>
      </c>
      <c r="L39" s="2" t="s">
        <v>415</v>
      </c>
      <c r="M39" s="3">
        <f t="shared" si="0"/>
        <v>0</v>
      </c>
      <c r="N39" s="4">
        <f>IFERROR(INDEX(ADP!AC:AC,MATCH(QBproj!D39,ADP!Y:Y,0)),0)</f>
        <v>0</v>
      </c>
      <c r="O39" s="4" t="s">
        <v>1</v>
      </c>
      <c r="P39" s="4"/>
      <c r="Q39" s="4"/>
      <c r="R39" s="303" t="str">
        <f>IFERROR(VLOOKUP(S39,FFARawStatProjections!AP:AQ,2,FALSE),"")</f>
        <v>WAS</v>
      </c>
      <c r="S39" s="4" t="str">
        <f>INDEX(FFARawStatProjections!AP:AP,MATCH(T39,FFARawStatProjections!AR:AR,0))</f>
        <v>Jacoby Brissett</v>
      </c>
      <c r="T39">
        <f>LARGE(FFARawStatProjections!AR:AR,QBproj!K39)</f>
        <v>82.694330000000022</v>
      </c>
      <c r="U39" s="248">
        <f t="shared" si="1"/>
        <v>-222.41178999999994</v>
      </c>
      <c r="V39" s="243">
        <f t="shared" si="2"/>
        <v>49467.004331004071</v>
      </c>
      <c r="X39" s="243">
        <f t="shared" si="3"/>
        <v>-13.900736874999996</v>
      </c>
      <c r="Y39" s="238">
        <f>IFERROR(IF(ISBLANK(Beersheet!$A$1)=FALSE,
INDEX(Beersheet!$A:$U,MATCH(S39,INDEX(Beersheet!$A:$U,0,FFARawStatProjections!$BV$2),0),FFARawStatProjections!$BV$6),
IF(X39&gt;6,0,
IF(AND(X39&lt;=6,X39&gt;5),1,
IF(AND(X39&lt;=5,X39&gt;4),2,
IF(AND(X39&lt;=4,X39&gt;3),3,
IF(AND(X39&lt;=3,X39&gt;2),4,
IF(AND(X39&lt;=2,X39&gt;1),5,
IF(AND(X39&lt;=1,X39&gt;0),6,
IF(AND(X39&lt;=0,X39&gt;-1),7,
8))))))))),10)</f>
        <v>8</v>
      </c>
    </row>
    <row r="40" spans="1:25" ht="15" customHeight="1" x14ac:dyDescent="0.25">
      <c r="A40" s="135"/>
      <c r="B40" s="143" t="s">
        <v>416</v>
      </c>
      <c r="C40" t="str">
        <f>IF(AND(IFERROR(INDEX(Instructions!$T$111:$T$222,MATCH(D40,Instructions!$T$111:$T$222,0)), "")=D40, D40&lt;&gt;""), "X", "")</f>
        <v/>
      </c>
      <c r="D40" s="137" t="s">
        <v>2160</v>
      </c>
      <c r="E40" s="99" t="s">
        <v>149</v>
      </c>
      <c r="F40" s="232">
        <f>IFERROR(IF(AND($F$5="Projected Points",Beersheet!A35&lt;&gt;"QB"), T40, IF(H40="", INDEX(Tier!B$4:$B$12,MATCH(G40,Tier!$A$4:$A$12,0)), INDEX(Tier!$B$4:$B$12,MATCH(H40,Tier!$A$4:$A$12,0)))), "")</f>
        <v>78.918340000000001</v>
      </c>
      <c r="G40" s="283">
        <f t="shared" si="4"/>
        <v>8</v>
      </c>
      <c r="H40" s="288"/>
      <c r="I40" s="392" t="str">
        <f>IFERROR(INDEX(ADP!Q:Q,MATCH(D40,ADP!D:D,0))-RBproj!K40,"")</f>
        <v/>
      </c>
      <c r="J40" s="127"/>
      <c r="K40" s="89">
        <v>34</v>
      </c>
      <c r="L40" s="2" t="s">
        <v>416</v>
      </c>
      <c r="M40" s="3">
        <f t="shared" si="0"/>
        <v>0</v>
      </c>
      <c r="N40" s="4">
        <f>IFERROR(INDEX(ADP!AC:AC,MATCH(QBproj!D40,ADP!Y:Y,0)),0)</f>
        <v>0</v>
      </c>
      <c r="O40" s="4" t="s">
        <v>1</v>
      </c>
      <c r="P40" s="4"/>
      <c r="Q40" s="4"/>
      <c r="R40" s="303" t="str">
        <f>IFERROR(VLOOKUP(S40,FFARawStatProjections!AP:AQ,2,FALSE),"")</f>
        <v>TB</v>
      </c>
      <c r="S40" s="4" t="str">
        <f>INDEX(FFARawStatProjections!AP:AP,MATCH(T40,FFARawStatProjections!AR:AR,0))</f>
        <v>Kyle Trask</v>
      </c>
      <c r="T40">
        <f>LARGE(FFARawStatProjections!AR:AR,QBproj!K40)</f>
        <v>78.918340000000001</v>
      </c>
      <c r="U40" s="248">
        <f t="shared" si="1"/>
        <v>-226.18777999999998</v>
      </c>
      <c r="V40" s="243">
        <f t="shared" si="2"/>
        <v>51160.911821328387</v>
      </c>
      <c r="X40" s="243">
        <f t="shared" si="3"/>
        <v>-14.136736249999998</v>
      </c>
      <c r="Y40" s="238">
        <f>IFERROR(IF(ISBLANK(Beersheet!$A$1)=FALSE,
INDEX(Beersheet!$A:$U,MATCH(S40,INDEX(Beersheet!$A:$U,0,FFARawStatProjections!$BV$2),0),FFARawStatProjections!$BV$6),
IF(X40&gt;6,0,
IF(AND(X40&lt;=6,X40&gt;5),1,
IF(AND(X40&lt;=5,X40&gt;4),2,
IF(AND(X40&lt;=4,X40&gt;3),3,
IF(AND(X40&lt;=3,X40&gt;2),4,
IF(AND(X40&lt;=2,X40&gt;1),5,
IF(AND(X40&lt;=1,X40&gt;0),6,
IF(AND(X40&lt;=0,X40&gt;-1),7,
8))))))))),10)</f>
        <v>8</v>
      </c>
    </row>
    <row r="41" spans="1:25" ht="15" customHeight="1" x14ac:dyDescent="0.25">
      <c r="A41" s="135"/>
      <c r="B41" s="142" t="s">
        <v>417</v>
      </c>
      <c r="C41" t="str">
        <f>IF(AND(IFERROR(INDEX(Instructions!$T$111:$T$222,MATCH(D41,Instructions!$T$111:$T$222,0)), "")=D41, D41&lt;&gt;""), "X", "")</f>
        <v/>
      </c>
      <c r="D41" s="138" t="s">
        <v>2164</v>
      </c>
      <c r="E41" s="100" t="s">
        <v>2272</v>
      </c>
      <c r="F41" s="431">
        <f>IFERROR(IF(AND($F$5="Projected Points",Beersheet!A36&lt;&gt;"QB"), T41, IF(H41="", INDEX(Tier!B$4:$B$12,MATCH(G41,Tier!$A$4:$A$12,0)), INDEX(Tier!$B$4:$B$12,MATCH(H41,Tier!$A$4:$A$12,0)))), "")</f>
        <v>73.994349999999997</v>
      </c>
      <c r="G41" s="250">
        <f t="shared" si="4"/>
        <v>8</v>
      </c>
      <c r="H41" s="291"/>
      <c r="I41" s="392" t="str">
        <f>IFERROR(INDEX(ADP!Q:Q,MATCH(D41,ADP!D:D,0))-RBproj!K41,"")</f>
        <v/>
      </c>
      <c r="J41" s="127"/>
      <c r="K41" s="89">
        <v>35</v>
      </c>
      <c r="L41" s="2" t="s">
        <v>417</v>
      </c>
      <c r="M41" s="3">
        <f t="shared" si="0"/>
        <v>0</v>
      </c>
      <c r="N41" s="4">
        <f>IFERROR(INDEX(ADP!AC:AC,MATCH(QBproj!D41,ADP!Y:Y,0)),0)</f>
        <v>0</v>
      </c>
      <c r="O41" s="4" t="s">
        <v>1</v>
      </c>
      <c r="P41" s="4"/>
      <c r="Q41" s="4"/>
      <c r="R41" s="303" t="str">
        <f>IFERROR(VLOOKUP(S41,FFARawStatProjections!AP:AQ,2,FALSE),"")</f>
        <v>AZ</v>
      </c>
      <c r="S41" s="4" t="str">
        <f>INDEX(FFARawStatProjections!AP:AP,MATCH(T41,FFARawStatProjections!AR:AR,0))</f>
        <v>Colt McCoy</v>
      </c>
      <c r="T41">
        <f>LARGE(FFARawStatProjections!AR:AR,QBproj!K41)</f>
        <v>73.994349999999997</v>
      </c>
      <c r="U41" s="248">
        <f t="shared" si="1"/>
        <v>-231.11176999999998</v>
      </c>
      <c r="V41" s="243">
        <f t="shared" si="2"/>
        <v>53412.650232532891</v>
      </c>
      <c r="X41" s="243">
        <f t="shared" si="3"/>
        <v>-14.444485624999999</v>
      </c>
      <c r="Y41" s="238">
        <f>IFERROR(IF(ISBLANK(Beersheet!$A$1)=FALSE,
INDEX(Beersheet!$A:$U,MATCH(S41,INDEX(Beersheet!$A:$U,0,FFARawStatProjections!$BV$2),0),FFARawStatProjections!$BV$6),
IF(X41&gt;6,0,
IF(AND(X41&lt;=6,X41&gt;5),1,
IF(AND(X41&lt;=5,X41&gt;4),2,
IF(AND(X41&lt;=4,X41&gt;3),3,
IF(AND(X41&lt;=3,X41&gt;2),4,
IF(AND(X41&lt;=2,X41&gt;1),5,
IF(AND(X41&lt;=1,X41&gt;0),6,
IF(AND(X41&lt;=0,X41&gt;-1),7,
8))))))))),10)</f>
        <v>8</v>
      </c>
    </row>
    <row r="42" spans="1:25" ht="15" customHeight="1" x14ac:dyDescent="0.25">
      <c r="A42" s="135"/>
      <c r="B42" s="143" t="s">
        <v>418</v>
      </c>
      <c r="C42" t="str">
        <f>IF(AND(IFERROR(INDEX(Instructions!$T$111:$T$222,MATCH(D42,Instructions!$T$111:$T$222,0)), "")=D42, D42&lt;&gt;""), "X", "")</f>
        <v/>
      </c>
      <c r="D42" s="137" t="s">
        <v>2394</v>
      </c>
      <c r="E42" s="99" t="s">
        <v>163</v>
      </c>
      <c r="F42" s="232">
        <f>IFERROR(IF(AND($F$5="Projected Points",Beersheet!A37&lt;&gt;"QB"), T42, IF(H42="", INDEX(Tier!B$4:$B$12,MATCH(G42,Tier!$A$4:$A$12,0)), INDEX(Tier!$B$4:$B$12,MATCH(H42,Tier!$A$4:$A$12,0)))), "")</f>
        <v>56.708359999999999</v>
      </c>
      <c r="G42" s="283">
        <f t="shared" si="4"/>
        <v>8</v>
      </c>
      <c r="H42" s="288"/>
      <c r="I42" s="392" t="str">
        <f>IFERROR(INDEX(ADP!Q:Q,MATCH(D42,ADP!D:D,0))-RBproj!K42,"")</f>
        <v/>
      </c>
      <c r="J42" s="127"/>
      <c r="K42" s="89">
        <v>36</v>
      </c>
      <c r="L42" s="2" t="s">
        <v>418</v>
      </c>
      <c r="M42" s="3">
        <f t="shared" si="0"/>
        <v>0</v>
      </c>
      <c r="N42" s="4">
        <f>IFERROR(INDEX(ADP!AC:AC,MATCH(QBproj!D42,ADP!Y:Y,0)),0)</f>
        <v>0</v>
      </c>
      <c r="O42" s="4" t="s">
        <v>1</v>
      </c>
      <c r="P42" s="4"/>
      <c r="Q42" s="4"/>
      <c r="R42" s="303" t="str">
        <f>IFERROR(VLOOKUP(S42,FFARawStatProjections!AP:AQ,2,FALSE),"")</f>
        <v>TEN</v>
      </c>
      <c r="S42" s="4" t="str">
        <f>INDEX(FFARawStatProjections!AP:AP,MATCH(T42,FFARawStatProjections!AR:AR,0))</f>
        <v>Will Levis</v>
      </c>
      <c r="T42">
        <f>LARGE(FFARawStatProjections!AR:AR,QBproj!K42)</f>
        <v>56.708359999999999</v>
      </c>
      <c r="U42" s="248">
        <f t="shared" si="1"/>
        <v>-248.39775999999998</v>
      </c>
      <c r="V42" s="243">
        <f t="shared" si="2"/>
        <v>61701.447173017586</v>
      </c>
      <c r="X42" s="243">
        <f t="shared" si="3"/>
        <v>-15.524859999999999</v>
      </c>
      <c r="Y42" s="238">
        <f>IFERROR(IF(ISBLANK(Beersheet!$A$1)=FALSE,
INDEX(Beersheet!$A:$U,MATCH(S42,INDEX(Beersheet!$A:$U,0,FFARawStatProjections!$BV$2),0),FFARawStatProjections!$BV$6),
IF(X42&gt;6,0,
IF(AND(X42&lt;=6,X42&gt;5),1,
IF(AND(X42&lt;=5,X42&gt;4),2,
IF(AND(X42&lt;=4,X42&gt;3),3,
IF(AND(X42&lt;=3,X42&gt;2),4,
IF(AND(X42&lt;=2,X42&gt;1),5,
IF(AND(X42&lt;=1,X42&gt;0),6,
IF(AND(X42&lt;=0,X42&gt;-1),7,
8))))))))),10)</f>
        <v>8</v>
      </c>
    </row>
    <row r="43" spans="1:25" ht="15" customHeight="1" x14ac:dyDescent="0.25">
      <c r="A43" s="135"/>
      <c r="B43" s="142" t="s">
        <v>419</v>
      </c>
      <c r="C43" t="str">
        <f>IF(AND(IFERROR(INDEX(Instructions!$T$111:$T$222,MATCH(D43,Instructions!$T$111:$T$222,0)), "")=D43, D43&lt;&gt;""), "X", "")</f>
        <v/>
      </c>
      <c r="D43" s="138" t="s">
        <v>2157</v>
      </c>
      <c r="E43" s="100" t="s">
        <v>155</v>
      </c>
      <c r="F43" s="431">
        <f>IFERROR(IF(AND($F$5="Projected Points",Beersheet!A38&lt;&gt;"QB"), T43, IF(H43="", INDEX(Tier!B$4:$B$12,MATCH(G43,Tier!$A$4:$A$12,0)), INDEX(Tier!$B$4:$B$12,MATCH(H43,Tier!$A$4:$A$12,0)))), "")</f>
        <v>54.02037</v>
      </c>
      <c r="G43" s="250">
        <f t="shared" si="4"/>
        <v>8</v>
      </c>
      <c r="H43" s="291"/>
      <c r="I43" s="392" t="str">
        <f>IFERROR(INDEX(ADP!Q:Q,MATCH(D43,ADP!D:D,0))-RBproj!K43,"")</f>
        <v/>
      </c>
      <c r="J43" s="127"/>
      <c r="K43" s="89">
        <v>37</v>
      </c>
      <c r="L43" s="2" t="s">
        <v>419</v>
      </c>
      <c r="M43" s="3">
        <f t="shared" si="0"/>
        <v>0</v>
      </c>
      <c r="N43" s="4">
        <f>IFERROR(INDEX(ADP!AC:AC,MATCH(QBproj!D43,ADP!Y:Y,0)),0)</f>
        <v>0</v>
      </c>
      <c r="O43" s="4" t="s">
        <v>1</v>
      </c>
      <c r="P43" s="4"/>
      <c r="Q43" s="4"/>
      <c r="R43" s="303" t="str">
        <f>IFERROR(VLOOKUP(S43,FFARawStatProjections!AP:AQ,2,FALSE),"")</f>
        <v>SF</v>
      </c>
      <c r="S43" s="4" t="str">
        <f>INDEX(FFARawStatProjections!AP:AP,MATCH(T43,FFARawStatProjections!AR:AR,0))</f>
        <v>Trey Lance</v>
      </c>
      <c r="T43">
        <f>LARGE(FFARawStatProjections!AR:AR,QBproj!K43)</f>
        <v>54.02037</v>
      </c>
      <c r="U43" s="248">
        <f t="shared" si="1"/>
        <v>-251.08574999999996</v>
      </c>
      <c r="V43" s="243">
        <f t="shared" si="2"/>
        <v>63044.053853062484</v>
      </c>
      <c r="X43" s="243">
        <f t="shared" si="3"/>
        <v>-15.692859374999998</v>
      </c>
      <c r="Y43" s="238">
        <f>IFERROR(IF(ISBLANK(Beersheet!$A$1)=FALSE,
INDEX(Beersheet!$A:$U,MATCH(S43,INDEX(Beersheet!$A:$U,0,FFARawStatProjections!$BV$2),0),FFARawStatProjections!$BV$6),
IF(X43&gt;6,0,
IF(AND(X43&lt;=6,X43&gt;5),1,
IF(AND(X43&lt;=5,X43&gt;4),2,
IF(AND(X43&lt;=4,X43&gt;3),3,
IF(AND(X43&lt;=3,X43&gt;2),4,
IF(AND(X43&lt;=2,X43&gt;1),5,
IF(AND(X43&lt;=1,X43&gt;0),6,
IF(AND(X43&lt;=0,X43&gt;-1),7,
8))))))))),10)</f>
        <v>8</v>
      </c>
    </row>
    <row r="44" spans="1:25" ht="15" customHeight="1" x14ac:dyDescent="0.25">
      <c r="A44" s="135"/>
      <c r="B44" s="143" t="s">
        <v>420</v>
      </c>
      <c r="C44" t="str">
        <f>IF(AND(IFERROR(INDEX(Instructions!$T$111:$T$222,MATCH(D44,Instructions!$T$111:$T$222,0)), "")=D44, D44&lt;&gt;""), "X", "")</f>
        <v/>
      </c>
      <c r="D44" s="137" t="s">
        <v>175</v>
      </c>
      <c r="E44" s="99" t="s">
        <v>2073</v>
      </c>
      <c r="F44" s="232">
        <f>IFERROR(IF(AND($F$5="Projected Points",Beersheet!A39&lt;&gt;"QB"), T44, IF(H44="", INDEX(Tier!B$4:$B$12,MATCH(G44,Tier!$A$4:$A$12,0)), INDEX(Tier!$B$4:$B$12,MATCH(H44,Tier!$A$4:$A$12,0)))), "")</f>
        <v>46.162380000000006</v>
      </c>
      <c r="G44" s="283">
        <f t="shared" si="4"/>
        <v>8</v>
      </c>
      <c r="H44" s="288"/>
      <c r="I44" s="392" t="str">
        <f>IFERROR(INDEX(ADP!Q:Q,MATCH(D44,ADP!D:D,0))-RBproj!K44,"")</f>
        <v/>
      </c>
      <c r="J44" s="127"/>
      <c r="K44" s="89">
        <v>38</v>
      </c>
      <c r="L44" s="2" t="s">
        <v>420</v>
      </c>
      <c r="M44" s="3">
        <f t="shared" si="0"/>
        <v>0</v>
      </c>
      <c r="N44" s="4">
        <f>IFERROR(INDEX(ADP!AC:AC,MATCH(QBproj!D44,ADP!Y:Y,0)),0)</f>
        <v>0</v>
      </c>
      <c r="O44" s="4" t="s">
        <v>1</v>
      </c>
      <c r="P44" s="4"/>
      <c r="Q44" s="4"/>
      <c r="R44" s="303" t="str">
        <f>IFERROR(VLOOKUP(S44,FFARawStatProjections!AP:AQ,2,FALSE),"")</f>
        <v>LV</v>
      </c>
      <c r="S44" s="4" t="str">
        <f>INDEX(FFARawStatProjections!AP:AP,MATCH(T44,FFARawStatProjections!AR:AR,0))</f>
        <v>Brian Hoyer</v>
      </c>
      <c r="T44">
        <f>LARGE(FFARawStatProjections!AR:AR,QBproj!K44)</f>
        <v>46.162380000000006</v>
      </c>
      <c r="U44" s="248">
        <f t="shared" si="1"/>
        <v>-258.94373999999999</v>
      </c>
      <c r="V44" s="243">
        <f t="shared" si="2"/>
        <v>67051.860485187601</v>
      </c>
      <c r="X44" s="243">
        <f t="shared" si="3"/>
        <v>-16.183983749999999</v>
      </c>
      <c r="Y44" s="238">
        <f>IFERROR(IF(ISBLANK(Beersheet!$A$1)=FALSE,
INDEX(Beersheet!$A:$U,MATCH(S44,INDEX(Beersheet!$A:$U,0,FFARawStatProjections!$BV$2),0),FFARawStatProjections!$BV$6),
IF(X44&gt;6,0,
IF(AND(X44&lt;=6,X44&gt;5),1,
IF(AND(X44&lt;=5,X44&gt;4),2,
IF(AND(X44&lt;=4,X44&gt;3),3,
IF(AND(X44&lt;=3,X44&gt;2),4,
IF(AND(X44&lt;=2,X44&gt;1),5,
IF(AND(X44&lt;=1,X44&gt;0),6,
IF(AND(X44&lt;=0,X44&gt;-1),7,
8))))))))),10)</f>
        <v>8</v>
      </c>
    </row>
    <row r="45" spans="1:25" ht="15" customHeight="1" x14ac:dyDescent="0.25">
      <c r="A45" s="135"/>
      <c r="B45" s="142" t="s">
        <v>421</v>
      </c>
      <c r="C45" t="str">
        <f>IF(AND(IFERROR(INDEX(Instructions!$T$111:$T$222,MATCH(D45,Instructions!$T$111:$T$222,0)), "")=D45, D45&lt;&gt;""), "X", "")</f>
        <v/>
      </c>
      <c r="D45" s="138" t="s">
        <v>2161</v>
      </c>
      <c r="E45" s="100" t="s">
        <v>148</v>
      </c>
      <c r="F45" s="431">
        <f>IFERROR(IF(AND($F$5="Projected Points",Beersheet!A40&lt;&gt;"QB"), T45, IF(H45="", INDEX(Tier!B$4:$B$12,MATCH(G45,Tier!$A$4:$A$12,0)), INDEX(Tier!$B$4:$B$12,MATCH(H45,Tier!$A$4:$A$12,0)))), "")</f>
        <v>45.796390000000002</v>
      </c>
      <c r="G45" s="250">
        <f t="shared" si="4"/>
        <v>8</v>
      </c>
      <c r="H45" s="291"/>
      <c r="I45" s="392" t="str">
        <f>IFERROR(INDEX(ADP!Q:Q,MATCH(D45,ADP!D:D,0))-RBproj!K45,"")</f>
        <v/>
      </c>
      <c r="J45" s="127"/>
      <c r="K45" s="89">
        <v>39</v>
      </c>
      <c r="L45" s="2" t="s">
        <v>421</v>
      </c>
      <c r="M45" s="3">
        <f t="shared" si="0"/>
        <v>0</v>
      </c>
      <c r="N45" s="4">
        <f>IFERROR(INDEX(ADP!AC:AC,MATCH(QBproj!D45,ADP!Y:Y,0)),0)</f>
        <v>0</v>
      </c>
      <c r="O45" s="4" t="s">
        <v>1</v>
      </c>
      <c r="P45" s="4"/>
      <c r="Q45" s="4"/>
      <c r="R45" s="303" t="str">
        <f>IFERROR(VLOOKUP(S45,FFARawStatProjections!AP:AQ,2,FALSE),"")</f>
        <v>ATL</v>
      </c>
      <c r="S45" s="4" t="str">
        <f>INDEX(FFARawStatProjections!AP:AP,MATCH(T45,FFARawStatProjections!AR:AR,0))</f>
        <v>Taylor Heinicke</v>
      </c>
      <c r="T45">
        <f>LARGE(FFARawStatProjections!AR:AR,QBproj!K45)</f>
        <v>45.796390000000002</v>
      </c>
      <c r="U45" s="248">
        <f t="shared" si="1"/>
        <v>-259.30972999999994</v>
      </c>
      <c r="V45" s="243">
        <f t="shared" si="2"/>
        <v>67241.536072672869</v>
      </c>
      <c r="X45" s="243">
        <f t="shared" si="3"/>
        <v>-16.206858124999997</v>
      </c>
      <c r="Y45" s="238">
        <f>IFERROR(IF(ISBLANK(Beersheet!$A$1)=FALSE,
INDEX(Beersheet!$A:$U,MATCH(S45,INDEX(Beersheet!$A:$U,0,FFARawStatProjections!$BV$2),0),FFARawStatProjections!$BV$6),
IF(X45&gt;6,0,
IF(AND(X45&lt;=6,X45&gt;5),1,
IF(AND(X45&lt;=5,X45&gt;4),2,
IF(AND(X45&lt;=4,X45&gt;3),3,
IF(AND(X45&lt;=3,X45&gt;2),4,
IF(AND(X45&lt;=2,X45&gt;1),5,
IF(AND(X45&lt;=1,X45&gt;0),6,
IF(AND(X45&lt;=0,X45&gt;-1),7,
8))))))))),10)</f>
        <v>8</v>
      </c>
    </row>
    <row r="46" spans="1:25" ht="15" customHeight="1" x14ac:dyDescent="0.25">
      <c r="A46" s="135"/>
      <c r="B46" s="143" t="s">
        <v>422</v>
      </c>
      <c r="C46" t="str">
        <f>IF(AND(IFERROR(INDEX(Instructions!$T$111:$T$222,MATCH(D46,Instructions!$T$111:$T$222,0)), "")=D46, D46&lt;&gt;""), "X", "")</f>
        <v/>
      </c>
      <c r="D46" s="137" t="s">
        <v>2061</v>
      </c>
      <c r="E46" s="99" t="s">
        <v>158</v>
      </c>
      <c r="F46" s="232">
        <f>IFERROR(IF(AND($F$5="Projected Points",Beersheet!A41&lt;&gt;"QB"), T46, IF(H46="", INDEX(Tier!B$4:$B$12,MATCH(G46,Tier!$A$4:$A$12,0)), INDEX(Tier!$B$4:$B$12,MATCH(H46,Tier!$A$4:$A$12,0)))), "")</f>
        <v>42.258400000000002</v>
      </c>
      <c r="G46" s="283">
        <f t="shared" si="4"/>
        <v>8</v>
      </c>
      <c r="H46" s="288"/>
      <c r="I46" s="392" t="str">
        <f>IFERROR(INDEX(ADP!Q:Q,MATCH(D46,ADP!D:D,0))-RBproj!K46,"")</f>
        <v/>
      </c>
      <c r="J46" s="127"/>
      <c r="K46" s="89">
        <v>40</v>
      </c>
      <c r="L46" s="2" t="s">
        <v>422</v>
      </c>
      <c r="M46" s="3">
        <f t="shared" si="0"/>
        <v>0</v>
      </c>
      <c r="N46" s="4">
        <f>IFERROR(INDEX(ADP!AC:AC,MATCH(QBproj!D46,ADP!Y:Y,0)),0)</f>
        <v>0</v>
      </c>
      <c r="O46" s="4" t="s">
        <v>1</v>
      </c>
      <c r="P46" s="4"/>
      <c r="Q46" s="4"/>
      <c r="R46" s="303" t="str">
        <f>IFERROR(VLOOKUP(S46,FFARawStatProjections!AP:AQ,2,FALSE),"")</f>
        <v>IND</v>
      </c>
      <c r="S46" s="4" t="str">
        <f>INDEX(FFARawStatProjections!AP:AP,MATCH(T46,FFARawStatProjections!AR:AR,0))</f>
        <v>Gardner Minshew</v>
      </c>
      <c r="T46">
        <f>LARGE(FFARawStatProjections!AR:AR,QBproj!K46)</f>
        <v>42.258400000000002</v>
      </c>
      <c r="U46" s="248">
        <f t="shared" si="1"/>
        <v>-262.84771999999998</v>
      </c>
      <c r="V46" s="243">
        <f t="shared" si="2"/>
        <v>69088.923909198391</v>
      </c>
      <c r="X46" s="243">
        <f t="shared" si="3"/>
        <v>-16.427982499999999</v>
      </c>
      <c r="Y46" s="238">
        <f>IFERROR(IF(ISBLANK(Beersheet!$A$1)=FALSE,
INDEX(Beersheet!$A:$U,MATCH(S46,INDEX(Beersheet!$A:$U,0,FFARawStatProjections!$BV$2),0),FFARawStatProjections!$BV$6),
IF(X46&gt;6,0,
IF(AND(X46&lt;=6,X46&gt;5),1,
IF(AND(X46&lt;=5,X46&gt;4),2,
IF(AND(X46&lt;=4,X46&gt;3),3,
IF(AND(X46&lt;=3,X46&gt;2),4,
IF(AND(X46&lt;=2,X46&gt;1),5,
IF(AND(X46&lt;=1,X46&gt;0),6,
IF(AND(X46&lt;=0,X46&gt;-1),7,
8))))))))),10)</f>
        <v>8</v>
      </c>
    </row>
    <row r="47" spans="1:25" ht="15" customHeight="1" x14ac:dyDescent="0.25">
      <c r="A47" s="135"/>
      <c r="B47" s="142" t="s">
        <v>423</v>
      </c>
      <c r="C47" t="str">
        <f>IF(AND(IFERROR(INDEX(Instructions!$T$111:$T$222,MATCH(D47,Instructions!$T$111:$T$222,0)), "")=D47, D47&lt;&gt;""), "X", "")</f>
        <v/>
      </c>
      <c r="D47" s="138" t="s">
        <v>2285</v>
      </c>
      <c r="E47" s="100" t="s">
        <v>166</v>
      </c>
      <c r="F47" s="431">
        <f>IFERROR(IF(AND($F$5="Projected Points",Beersheet!A42&lt;&gt;"QB"), T47, IF(H47="", INDEX(Tier!B$4:$B$12,MATCH(G47,Tier!$A$4:$A$12,0)), INDEX(Tier!$B$4:$B$12,MATCH(H47,Tier!$A$4:$A$12,0)))), "")</f>
        <v>34.406410000000001</v>
      </c>
      <c r="G47" s="250">
        <f t="shared" si="4"/>
        <v>8</v>
      </c>
      <c r="H47" s="291"/>
      <c r="I47" s="392" t="str">
        <f>IFERROR(INDEX(ADP!Q:Q,MATCH(D47,ADP!D:D,0))-RBproj!K47,"")</f>
        <v/>
      </c>
      <c r="J47" s="127"/>
      <c r="K47" s="89">
        <v>41</v>
      </c>
      <c r="L47" s="2" t="s">
        <v>423</v>
      </c>
      <c r="M47" s="3">
        <f t="shared" si="0"/>
        <v>0</v>
      </c>
      <c r="N47" s="4">
        <f>IFERROR(INDEX(ADP!AC:AC,MATCH(QBproj!D47,ADP!Y:Y,0)),0)</f>
        <v>0</v>
      </c>
      <c r="O47" s="4" t="s">
        <v>1</v>
      </c>
      <c r="P47" s="4"/>
      <c r="Q47" s="4"/>
      <c r="R47" s="303" t="str">
        <f>IFERROR(VLOOKUP(S47,FFARawStatProjections!AP:AQ,2,FALSE),"")</f>
        <v>MIA</v>
      </c>
      <c r="S47" s="4" t="str">
        <f>INDEX(FFARawStatProjections!AP:AP,MATCH(T47,FFARawStatProjections!AR:AR,0))</f>
        <v>Mike White</v>
      </c>
      <c r="T47">
        <f>LARGE(FFARawStatProjections!AR:AR,QBproj!K47)</f>
        <v>34.406410000000001</v>
      </c>
      <c r="U47" s="248">
        <f t="shared" si="1"/>
        <v>-270.69970999999998</v>
      </c>
      <c r="V47" s="243">
        <f t="shared" si="2"/>
        <v>73278.332994084092</v>
      </c>
      <c r="X47" s="243">
        <f t="shared" si="3"/>
        <v>-16.918731874999999</v>
      </c>
      <c r="Y47" s="238">
        <f>IFERROR(IF(ISBLANK(Beersheet!$A$1)=FALSE,
INDEX(Beersheet!$A:$U,MATCH(S47,INDEX(Beersheet!$A:$U,0,FFARawStatProjections!$BV$2),0),FFARawStatProjections!$BV$6),
IF(X47&gt;6,0,
IF(AND(X47&lt;=6,X47&gt;5),1,
IF(AND(X47&lt;=5,X47&gt;4),2,
IF(AND(X47&lt;=4,X47&gt;3),3,
IF(AND(X47&lt;=3,X47&gt;2),4,
IF(AND(X47&lt;=2,X47&gt;1),5,
IF(AND(X47&lt;=1,X47&gt;0),6,
IF(AND(X47&lt;=0,X47&gt;-1),7,
8))))))))),10)</f>
        <v>8</v>
      </c>
    </row>
    <row r="48" spans="1:25" ht="15" customHeight="1" x14ac:dyDescent="0.25">
      <c r="A48" s="135"/>
      <c r="B48" s="143" t="s">
        <v>424</v>
      </c>
      <c r="C48" t="str">
        <f>IF(AND(IFERROR(INDEX(Instructions!$T$111:$T$222,MATCH(D48,Instructions!$T$111:$T$222,0)), "")=D48, D48&lt;&gt;""), "X", "")</f>
        <v/>
      </c>
      <c r="D48" s="137" t="s">
        <v>2530</v>
      </c>
      <c r="E48" s="99" t="s">
        <v>157</v>
      </c>
      <c r="F48" s="232">
        <f>IFERROR(IF(AND($F$5="Projected Points",Beersheet!A43&lt;&gt;"QB"), T48, IF(H48="", INDEX(Tier!B$4:$B$12,MATCH(G48,Tier!$A$4:$A$12,0)), INDEX(Tier!$B$4:$B$12,MATCH(H48,Tier!$A$4:$A$12,0)))), "")</f>
        <v>32.79242</v>
      </c>
      <c r="G48" s="283">
        <f t="shared" si="4"/>
        <v>8</v>
      </c>
      <c r="H48" s="288"/>
      <c r="I48" s="392" t="str">
        <f>IFERROR(INDEX(ADP!Q:Q,MATCH(D48,ADP!D:D,0))-RBproj!K48,"")</f>
        <v/>
      </c>
      <c r="J48" s="127"/>
      <c r="K48" s="89">
        <v>42</v>
      </c>
      <c r="L48" s="2" t="s">
        <v>424</v>
      </c>
      <c r="M48" s="3">
        <f t="shared" si="0"/>
        <v>0</v>
      </c>
      <c r="N48" s="4">
        <f>IFERROR(INDEX(ADP!AC:AC,MATCH(QBproj!D48,ADP!Y:Y,0)),0)</f>
        <v>0</v>
      </c>
      <c r="O48" s="4" t="s">
        <v>1</v>
      </c>
      <c r="P48" s="4"/>
      <c r="Q48" s="4"/>
      <c r="R48" s="303" t="str">
        <f>IFERROR(VLOOKUP(S48,FFARawStatProjections!AP:AQ,2,FALSE),"")</f>
        <v>NE</v>
      </c>
      <c r="S48" s="4" t="str">
        <f>INDEX(FFARawStatProjections!AP:AP,MATCH(T48,FFARawStatProjections!AR:AR,0))</f>
        <v>Bailey Zappe</v>
      </c>
      <c r="T48">
        <f>LARGE(FFARawStatProjections!AR:AR,QBproj!K48)</f>
        <v>32.79242</v>
      </c>
      <c r="U48" s="248">
        <f t="shared" si="1"/>
        <v>-272.31369999999998</v>
      </c>
      <c r="V48" s="243">
        <f t="shared" si="2"/>
        <v>74154.751207689987</v>
      </c>
      <c r="X48" s="243">
        <f t="shared" si="3"/>
        <v>-17.019606249999999</v>
      </c>
      <c r="Y48" s="238">
        <f>IFERROR(IF(ISBLANK(Beersheet!$A$1)=FALSE,
INDEX(Beersheet!$A:$U,MATCH(S48,INDEX(Beersheet!$A:$U,0,FFARawStatProjections!$BV$2),0),FFARawStatProjections!$BV$6),
IF(X48&gt;6,0,
IF(AND(X48&lt;=6,X48&gt;5),1,
IF(AND(X48&lt;=5,X48&gt;4),2,
IF(AND(X48&lt;=4,X48&gt;3),3,
IF(AND(X48&lt;=3,X48&gt;2),4,
IF(AND(X48&lt;=2,X48&gt;1),5,
IF(AND(X48&lt;=1,X48&gt;0),6,
IF(AND(X48&lt;=0,X48&gt;-1),7,
8))))))))),10)</f>
        <v>8</v>
      </c>
    </row>
    <row r="49" spans="1:25" ht="15" customHeight="1" x14ac:dyDescent="0.25">
      <c r="A49" s="135"/>
      <c r="B49" s="142" t="s">
        <v>425</v>
      </c>
      <c r="C49" t="str">
        <f>IF(AND(IFERROR(INDEX(Instructions!$T$111:$T$222,MATCH(D49,Instructions!$T$111:$T$222,0)), "")=D49, D49&lt;&gt;""), "X", "")</f>
        <v/>
      </c>
      <c r="D49" s="138" t="s">
        <v>2506</v>
      </c>
      <c r="E49" s="100" t="s">
        <v>2272</v>
      </c>
      <c r="F49" s="431">
        <f>IFERROR(IF(AND($F$5="Projected Points",Beersheet!A44&lt;&gt;"QB"), T49, IF(H49="", INDEX(Tier!B$4:$B$12,MATCH(G49,Tier!$A$4:$A$12,0)), INDEX(Tier!$B$4:$B$12,MATCH(H49,Tier!$A$4:$A$12,0)))), "")</f>
        <v>32.288430000000005</v>
      </c>
      <c r="G49" s="250">
        <f t="shared" si="4"/>
        <v>8</v>
      </c>
      <c r="H49" s="291"/>
      <c r="I49" s="392" t="str">
        <f>IFERROR(INDEX(ADP!Q:Q,MATCH(D49,ADP!D:D,0))-RBproj!K49,"")</f>
        <v/>
      </c>
      <c r="J49" s="127"/>
      <c r="K49" s="89">
        <v>43</v>
      </c>
      <c r="L49" s="2" t="s">
        <v>425</v>
      </c>
      <c r="M49" s="3">
        <f t="shared" si="0"/>
        <v>0</v>
      </c>
      <c r="N49" s="4">
        <f>IFERROR(INDEX(ADP!AC:AC,MATCH(QBproj!D49,ADP!Y:Y,0)),0)</f>
        <v>0</v>
      </c>
      <c r="O49" s="4" t="s">
        <v>1</v>
      </c>
      <c r="P49" s="4"/>
      <c r="Q49" s="4"/>
      <c r="R49" s="303" t="str">
        <f>IFERROR(VLOOKUP(S49,FFARawStatProjections!AP:AQ,2,FALSE),"")</f>
        <v>AZ</v>
      </c>
      <c r="S49" s="4" t="str">
        <f>INDEX(FFARawStatProjections!AP:AP,MATCH(T49,FFARawStatProjections!AR:AR,0))</f>
        <v>Clayton Tune</v>
      </c>
      <c r="T49">
        <f>LARGE(FFARawStatProjections!AR:AR,QBproj!K49)</f>
        <v>32.288430000000005</v>
      </c>
      <c r="U49" s="248">
        <f t="shared" si="1"/>
        <v>-272.81768999999997</v>
      </c>
      <c r="V49" s="243">
        <f t="shared" si="2"/>
        <v>74429.491976936086</v>
      </c>
      <c r="X49" s="243">
        <f t="shared" si="3"/>
        <v>-17.051105624999998</v>
      </c>
      <c r="Y49" s="238">
        <f>IFERROR(IF(ISBLANK(Beersheet!$A$1)=FALSE,
INDEX(Beersheet!$A:$U,MATCH(S49,INDEX(Beersheet!$A:$U,0,FFARawStatProjections!$BV$2),0),FFARawStatProjections!$BV$6),
IF(X49&gt;6,0,
IF(AND(X49&lt;=6,X49&gt;5),1,
IF(AND(X49&lt;=5,X49&gt;4),2,
IF(AND(X49&lt;=4,X49&gt;3),3,
IF(AND(X49&lt;=3,X49&gt;2),4,
IF(AND(X49&lt;=2,X49&gt;1),5,
IF(AND(X49&lt;=1,X49&gt;0),6,
IF(AND(X49&lt;=0,X49&gt;-1),7,
8))))))))),10)</f>
        <v>8</v>
      </c>
    </row>
    <row r="50" spans="1:25" ht="15" customHeight="1" x14ac:dyDescent="0.25">
      <c r="A50" s="135"/>
      <c r="B50" s="143" t="s">
        <v>426</v>
      </c>
      <c r="C50" t="str">
        <f>IF(AND(IFERROR(INDEX(Instructions!$T$111:$T$222,MATCH(D50,Instructions!$T$111:$T$222,0)), "")=D50, D50&lt;&gt;""), "X", "")</f>
        <v/>
      </c>
      <c r="D50" s="137" t="s">
        <v>1762</v>
      </c>
      <c r="E50" s="99" t="s">
        <v>155</v>
      </c>
      <c r="F50" s="232">
        <f>IFERROR(IF(AND($F$5="Projected Points",Beersheet!A45&lt;&gt;"QB"), T50, IF(H50="", INDEX(Tier!B$4:$B$12,MATCH(G50,Tier!$A$4:$A$12,0)), INDEX(Tier!$B$4:$B$12,MATCH(H50,Tier!$A$4:$A$12,0)))), "")</f>
        <v>28.948440000000002</v>
      </c>
      <c r="G50" s="283">
        <f t="shared" si="4"/>
        <v>8</v>
      </c>
      <c r="H50" s="288"/>
      <c r="I50" s="392" t="str">
        <f>IFERROR(INDEX(ADP!Q:Q,MATCH(D50,ADP!D:D,0))-RBproj!K50,"")</f>
        <v/>
      </c>
      <c r="J50" s="127"/>
      <c r="K50" s="89">
        <v>44</v>
      </c>
      <c r="L50" s="2" t="s">
        <v>426</v>
      </c>
      <c r="M50" s="3">
        <f t="shared" si="0"/>
        <v>0</v>
      </c>
      <c r="N50" s="4">
        <f>IFERROR(INDEX(ADP!AC:AC,MATCH(QBproj!D50,ADP!Y:Y,0)),0)</f>
        <v>0</v>
      </c>
      <c r="O50" s="4" t="s">
        <v>1</v>
      </c>
      <c r="P50" s="4"/>
      <c r="Q50" s="4"/>
      <c r="R50" s="303" t="str">
        <f>IFERROR(VLOOKUP(S50,FFARawStatProjections!AP:AQ,2,FALSE),"")</f>
        <v>SF</v>
      </c>
      <c r="S50" s="4" t="str">
        <f>INDEX(FFARawStatProjections!AP:AP,MATCH(T50,FFARawStatProjections!AR:AR,0))</f>
        <v>Sam Darnold</v>
      </c>
      <c r="T50">
        <f>LARGE(FFARawStatProjections!AR:AR,QBproj!K50)</f>
        <v>28.948440000000002</v>
      </c>
      <c r="U50" s="248">
        <f t="shared" si="1"/>
        <v>-276.15767999999997</v>
      </c>
      <c r="V50" s="243">
        <f t="shared" si="2"/>
        <v>76263.064222982386</v>
      </c>
      <c r="X50" s="243">
        <f t="shared" si="3"/>
        <v>-17.259854999999998</v>
      </c>
      <c r="Y50" s="238">
        <f>IFERROR(IF(ISBLANK(Beersheet!$A$1)=FALSE,
INDEX(Beersheet!$A:$U,MATCH(S50,INDEX(Beersheet!$A:$U,0,FFARawStatProjections!$BV$2),0),FFARawStatProjections!$BV$6),
IF(X50&gt;6,0,
IF(AND(X50&lt;=6,X50&gt;5),1,
IF(AND(X50&lt;=5,X50&gt;4),2,
IF(AND(X50&lt;=4,X50&gt;3),3,
IF(AND(X50&lt;=3,X50&gt;2),4,
IF(AND(X50&lt;=2,X50&gt;1),5,
IF(AND(X50&lt;=1,X50&gt;0),6,
IF(AND(X50&lt;=0,X50&gt;-1),7,
8))))))))),10)</f>
        <v>8</v>
      </c>
    </row>
    <row r="51" spans="1:25" ht="15" customHeight="1" x14ac:dyDescent="0.25">
      <c r="A51" s="135"/>
      <c r="B51" s="142" t="s">
        <v>427</v>
      </c>
      <c r="C51" t="str">
        <f>IF(AND(IFERROR(INDEX(Instructions!$T$111:$T$222,MATCH(D51,Instructions!$T$111:$T$222,0)), "")=D51, D51&lt;&gt;""), "X", "")</f>
        <v/>
      </c>
      <c r="D51" s="138" t="s">
        <v>2159</v>
      </c>
      <c r="E51" s="100" t="s">
        <v>151</v>
      </c>
      <c r="F51" s="431">
        <f>IFERROR(IF(AND($F$5="Projected Points",Beersheet!A46&lt;&gt;"QB"), T51, IF(H51="", INDEX(Tier!B$4:$B$12,MATCH(G51,Tier!$A$4:$A$12,0)), INDEX(Tier!$B$4:$B$12,MATCH(H51,Tier!$A$4:$A$12,0)))), "")</f>
        <v>27.864450000000005</v>
      </c>
      <c r="G51" s="250">
        <f t="shared" si="4"/>
        <v>8</v>
      </c>
      <c r="H51" s="291"/>
      <c r="I51" s="392" t="str">
        <f>IFERROR(INDEX(ADP!Q:Q,MATCH(D51,ADP!D:D,0))-RBproj!K51,"")</f>
        <v/>
      </c>
      <c r="J51" s="127"/>
      <c r="K51" s="89">
        <v>45</v>
      </c>
      <c r="L51" s="2" t="s">
        <v>427</v>
      </c>
      <c r="M51" s="3">
        <f t="shared" si="0"/>
        <v>0</v>
      </c>
      <c r="N51" s="4">
        <f>IFERROR(INDEX(ADP!AC:AC,MATCH(QBproj!D51,ADP!Y:Y,0)),0)</f>
        <v>0</v>
      </c>
      <c r="O51" s="4" t="s">
        <v>1</v>
      </c>
      <c r="P51" s="4"/>
      <c r="Q51" s="4"/>
      <c r="R51" s="303" t="str">
        <f>IFERROR(VLOOKUP(S51,FFARawStatProjections!AP:AQ,2,FALSE),"")</f>
        <v>HOU</v>
      </c>
      <c r="S51" s="4" t="str">
        <f>INDEX(FFARawStatProjections!AP:AP,MATCH(T51,FFARawStatProjections!AR:AR,0))</f>
        <v>Davis Mills</v>
      </c>
      <c r="T51">
        <f>LARGE(FFARawStatProjections!AR:AR,QBproj!K51)</f>
        <v>27.864450000000005</v>
      </c>
      <c r="U51" s="248">
        <f t="shared" si="1"/>
        <v>-277.24167</v>
      </c>
      <c r="V51" s="243">
        <f t="shared" si="2"/>
        <v>76862.943584388893</v>
      </c>
      <c r="X51" s="243">
        <f t="shared" si="3"/>
        <v>-17.327604375</v>
      </c>
      <c r="Y51" s="238">
        <f>IFERROR(IF(ISBLANK(Beersheet!$A$1)=FALSE,
INDEX(Beersheet!$A:$U,MATCH(S51,INDEX(Beersheet!$A:$U,0,FFARawStatProjections!$BV$2),0),FFARawStatProjections!$BV$6),
IF(X51&gt;6,0,
IF(AND(X51&lt;=6,X51&gt;5),1,
IF(AND(X51&lt;=5,X51&gt;4),2,
IF(AND(X51&lt;=4,X51&gt;3),3,
IF(AND(X51&lt;=3,X51&gt;2),4,
IF(AND(X51&lt;=2,X51&gt;1),5,
IF(AND(X51&lt;=1,X51&gt;0),6,
IF(AND(X51&lt;=0,X51&gt;-1),7,
8))))))))),10)</f>
        <v>8</v>
      </c>
    </row>
    <row r="52" spans="1:25" ht="15" customHeight="1" x14ac:dyDescent="0.25">
      <c r="A52" s="135"/>
      <c r="B52" s="143" t="s">
        <v>428</v>
      </c>
      <c r="C52" t="str">
        <f>IF(AND(IFERROR(INDEX(Instructions!$T$111:$T$222,MATCH(D52,Instructions!$T$111:$T$222,0)), "")=D52, D52&lt;&gt;""), "X", "")</f>
        <v/>
      </c>
      <c r="D52" s="137" t="s">
        <v>2167</v>
      </c>
      <c r="E52" s="99" t="s">
        <v>1389</v>
      </c>
      <c r="F52" s="232">
        <f>IFERROR(IF(AND($F$5="Projected Points",Beersheet!A47&lt;&gt;"QB"), T52, IF(H52="", INDEX(Tier!B$4:$B$12,MATCH(G52,Tier!$A$4:$A$12,0)), INDEX(Tier!$B$4:$B$12,MATCH(H52,Tier!$A$4:$A$12,0)))), "")</f>
        <v>25.384480000000003</v>
      </c>
      <c r="G52" s="283">
        <f t="shared" si="4"/>
        <v>8</v>
      </c>
      <c r="H52" s="288"/>
      <c r="I52" s="392" t="str">
        <f>IFERROR(INDEX(ADP!Q:Q,MATCH(D52,ADP!D:D,0))-RBproj!K52,"")</f>
        <v/>
      </c>
      <c r="J52" s="127"/>
      <c r="K52" s="89">
        <v>46</v>
      </c>
      <c r="L52" s="2" t="s">
        <v>428</v>
      </c>
      <c r="M52" s="3">
        <f t="shared" si="0"/>
        <v>0</v>
      </c>
      <c r="N52" s="4">
        <f>IFERROR(INDEX(ADP!AC:AC,MATCH(QBproj!D52,ADP!Y:Y,0)),0)</f>
        <v>0</v>
      </c>
      <c r="O52" s="4" t="s">
        <v>1</v>
      </c>
      <c r="P52" s="4"/>
      <c r="Q52" s="4"/>
      <c r="R52" s="303" t="str">
        <f>IFERROR(VLOOKUP(S52,FFARawStatProjections!AP:AQ,2,FALSE),"")</f>
        <v>LAR</v>
      </c>
      <c r="S52" s="4" t="str">
        <f>INDEX(FFARawStatProjections!AP:AP,MATCH(T52,FFARawStatProjections!AR:AR,0))</f>
        <v>Brett Rypien</v>
      </c>
      <c r="T52">
        <f>LARGE(FFARawStatProjections!AR:AR,QBproj!K52)</f>
        <v>25.384480000000003</v>
      </c>
      <c r="U52" s="248">
        <f t="shared" si="1"/>
        <v>-279.72163999999998</v>
      </c>
      <c r="V52" s="243">
        <f t="shared" si="2"/>
        <v>78244.195884289584</v>
      </c>
      <c r="X52" s="243">
        <f t="shared" si="3"/>
        <v>-17.482602499999999</v>
      </c>
      <c r="Y52" s="238">
        <f>IFERROR(IF(ISBLANK(Beersheet!$A$1)=FALSE,
INDEX(Beersheet!$A:$U,MATCH(S52,INDEX(Beersheet!$A:$U,0,FFARawStatProjections!$BV$2),0),FFARawStatProjections!$BV$6),
IF(X52&gt;6,0,
IF(AND(X52&lt;=6,X52&gt;5),1,
IF(AND(X52&lt;=5,X52&gt;4),2,
IF(AND(X52&lt;=4,X52&gt;3),3,
IF(AND(X52&lt;=3,X52&gt;2),4,
IF(AND(X52&lt;=2,X52&gt;1),5,
IF(AND(X52&lt;=1,X52&gt;0),6,
IF(AND(X52&lt;=0,X52&gt;-1),7,
8))))))))),10)</f>
        <v>8</v>
      </c>
    </row>
    <row r="53" spans="1:25" ht="15" customHeight="1" x14ac:dyDescent="0.25">
      <c r="A53" s="135"/>
      <c r="B53" s="142" t="s">
        <v>429</v>
      </c>
      <c r="C53" t="str">
        <f>IF(AND(IFERROR(INDEX(Instructions!$T$111:$T$222,MATCH(D53,Instructions!$T$111:$T$222,0)), "")=D53, D53&lt;&gt;""), "X", "")</f>
        <v/>
      </c>
      <c r="D53" s="138" t="s">
        <v>180</v>
      </c>
      <c r="E53" s="100" t="s">
        <v>154</v>
      </c>
      <c r="F53" s="431">
        <f>IFERROR(IF(AND($F$5="Projected Points",Beersheet!A48&lt;&gt;"QB"), T53, IF(H53="", INDEX(Tier!B$4:$B$12,MATCH(G53,Tier!$A$4:$A$12,0)), INDEX(Tier!$B$4:$B$12,MATCH(H53,Tier!$A$4:$A$12,0)))), "")</f>
        <v>25.256460000000001</v>
      </c>
      <c r="G53" s="250">
        <f t="shared" si="4"/>
        <v>8</v>
      </c>
      <c r="H53" s="291"/>
      <c r="I53" s="392" t="str">
        <f>IFERROR(INDEX(ADP!Q:Q,MATCH(D53,ADP!D:D,0))-RBproj!K53,"")</f>
        <v/>
      </c>
      <c r="J53" s="127"/>
      <c r="K53" s="89">
        <v>47</v>
      </c>
      <c r="L53" s="2" t="s">
        <v>429</v>
      </c>
      <c r="M53" s="3">
        <f t="shared" si="0"/>
        <v>0</v>
      </c>
      <c r="N53" s="4">
        <f>IFERROR(INDEX(ADP!AC:AC,MATCH(QBproj!D53,ADP!Y:Y,0)),0)</f>
        <v>0</v>
      </c>
      <c r="O53" s="4" t="s">
        <v>1</v>
      </c>
      <c r="P53" s="4"/>
      <c r="Q53" s="4"/>
      <c r="R53" s="303" t="str">
        <f>IFERROR(VLOOKUP(S53,FFARawStatProjections!AP:AQ,2,FALSE),"")</f>
        <v>NYG</v>
      </c>
      <c r="S53" s="4" t="str">
        <f>INDEX(FFARawStatProjections!AP:AP,MATCH(T53,FFARawStatProjections!AR:AR,0))</f>
        <v>Tyrod Taylor</v>
      </c>
      <c r="T53">
        <f>LARGE(FFARawStatProjections!AR:AR,QBproj!K53)</f>
        <v>25.256460000000001</v>
      </c>
      <c r="U53" s="248">
        <f t="shared" si="1"/>
        <v>-279.84965999999997</v>
      </c>
      <c r="V53" s="243">
        <f t="shared" si="2"/>
        <v>78315.832202115591</v>
      </c>
      <c r="X53" s="243">
        <f t="shared" si="3"/>
        <v>-17.490603749999998</v>
      </c>
      <c r="Y53" s="238">
        <f>IFERROR(IF(ISBLANK(Beersheet!$A$1)=FALSE,
INDEX(Beersheet!$A:$U,MATCH(S53,INDEX(Beersheet!$A:$U,0,FFARawStatProjections!$BV$2),0),FFARawStatProjections!$BV$6),
IF(X53&gt;6,0,
IF(AND(X53&lt;=6,X53&gt;5),1,
IF(AND(X53&lt;=5,X53&gt;4),2,
IF(AND(X53&lt;=4,X53&gt;3),3,
IF(AND(X53&lt;=3,X53&gt;2),4,
IF(AND(X53&lt;=2,X53&gt;1),5,
IF(AND(X53&lt;=1,X53&gt;0),6,
IF(AND(X53&lt;=0,X53&gt;-1),7,
8))))))))),10)</f>
        <v>8</v>
      </c>
    </row>
    <row r="54" spans="1:25" ht="15" customHeight="1" x14ac:dyDescent="0.25">
      <c r="A54" s="135"/>
      <c r="B54" s="143" t="s">
        <v>430</v>
      </c>
      <c r="C54" t="str">
        <f>IF(AND(IFERROR(INDEX(Instructions!$T$111:$T$222,MATCH(D54,Instructions!$T$111:$T$222,0)), "")=D54, D54&lt;&gt;""), "X", "")</f>
        <v/>
      </c>
      <c r="D54" s="137" t="s">
        <v>1133</v>
      </c>
      <c r="E54" s="99" t="s">
        <v>137</v>
      </c>
      <c r="F54" s="232">
        <f>IFERROR(IF(AND($F$5="Projected Points",Beersheet!A49&lt;&gt;"QB"), T54, IF(H54="", INDEX(Tier!B$4:$B$12,MATCH(G54,Tier!$A$4:$A$12,0)), INDEX(Tier!$B$4:$B$12,MATCH(H54,Tier!$A$4:$A$12,0)))), "")</f>
        <v>24.900469999999999</v>
      </c>
      <c r="G54" s="283">
        <f t="shared" si="4"/>
        <v>8</v>
      </c>
      <c r="H54" s="288"/>
      <c r="I54" s="392" t="str">
        <f>IFERROR(INDEX(ADP!Q:Q,MATCH(D54,ADP!D:D,0))-RBproj!K54,"")</f>
        <v/>
      </c>
      <c r="J54" s="127"/>
      <c r="K54" s="89">
        <v>48</v>
      </c>
      <c r="L54" s="2" t="s">
        <v>430</v>
      </c>
      <c r="M54" s="3">
        <f t="shared" si="0"/>
        <v>0</v>
      </c>
      <c r="N54" s="4">
        <f>IFERROR(INDEX(ADP!AC:AC,MATCH(QBproj!D54,ADP!Y:Y,0)),0)</f>
        <v>0</v>
      </c>
      <c r="O54" s="4" t="s">
        <v>1</v>
      </c>
      <c r="P54" s="4"/>
      <c r="Q54" s="4"/>
      <c r="R54" s="303" t="str">
        <f>IFERROR(VLOOKUP(S54,FFARawStatProjections!AP:AQ,2,FALSE),"")</f>
        <v>PHI</v>
      </c>
      <c r="S54" s="4" t="str">
        <f>INDEX(FFARawStatProjections!AP:AP,MATCH(T54,FFARawStatProjections!AR:AR,0))</f>
        <v>Marcus Mariota</v>
      </c>
      <c r="T54">
        <f>LARGE(FFARawStatProjections!AR:AR,QBproj!K54)</f>
        <v>24.900469999999999</v>
      </c>
      <c r="U54" s="248">
        <f t="shared" si="1"/>
        <v>-280.20564999999999</v>
      </c>
      <c r="V54" s="243">
        <f t="shared" si="2"/>
        <v>78515.206291922499</v>
      </c>
      <c r="X54" s="243">
        <f t="shared" si="3"/>
        <v>-17.512853124999999</v>
      </c>
      <c r="Y54" s="238">
        <f>IFERROR(IF(ISBLANK(Beersheet!$A$1)=FALSE,
INDEX(Beersheet!$A:$U,MATCH(S54,INDEX(Beersheet!$A:$U,0,FFARawStatProjections!$BV$2),0),FFARawStatProjections!$BV$6),
IF(X54&gt;6,0,
IF(AND(X54&lt;=6,X54&gt;5),1,
IF(AND(X54&lt;=5,X54&gt;4),2,
IF(AND(X54&lt;=4,X54&gt;3),3,
IF(AND(X54&lt;=3,X54&gt;2),4,
IF(AND(X54&lt;=2,X54&gt;1),5,
IF(AND(X54&lt;=1,X54&gt;0),6,
IF(AND(X54&lt;=0,X54&gt;-1),7,
8))))))))),10)</f>
        <v>8</v>
      </c>
    </row>
    <row r="55" spans="1:25" ht="15" customHeight="1" x14ac:dyDescent="0.25">
      <c r="A55" s="135"/>
      <c r="B55" s="142" t="s">
        <v>431</v>
      </c>
      <c r="C55" t="str">
        <f>IF(AND(IFERROR(INDEX(Instructions!$T$111:$T$222,MATCH(D55,Instructions!$T$111:$T$222,0)), "")=D55, D55&lt;&gt;""), "X", "")</f>
        <v/>
      </c>
      <c r="D55" s="138" t="s">
        <v>2434</v>
      </c>
      <c r="E55" s="100" t="s">
        <v>147</v>
      </c>
      <c r="F55" s="431">
        <f>IFERROR(IF(AND($F$5="Projected Points",Beersheet!A50&lt;&gt;"QB"), T55, IF(H55="", INDEX(Tier!B$4:$B$12,MATCH(G55,Tier!$A$4:$A$12,0)), INDEX(Tier!$B$4:$B$12,MATCH(H55,Tier!$A$4:$A$12,0)))), "")</f>
        <v>24.154490000000003</v>
      </c>
      <c r="G55" s="250">
        <f t="shared" si="4"/>
        <v>8</v>
      </c>
      <c r="H55" s="291"/>
      <c r="I55" s="392" t="str">
        <f>IFERROR(INDEX(ADP!Q:Q,MATCH(D55,ADP!D:D,0))-RBproj!K55,"")</f>
        <v/>
      </c>
      <c r="J55" s="127"/>
      <c r="K55" s="89">
        <v>49</v>
      </c>
      <c r="L55" s="2" t="s">
        <v>431</v>
      </c>
      <c r="M55" s="3">
        <f t="shared" si="0"/>
        <v>0</v>
      </c>
      <c r="N55" s="4">
        <f>IFERROR(INDEX(ADP!AC:AC,MATCH(QBproj!D55,ADP!Y:Y,0)),0)</f>
        <v>0</v>
      </c>
      <c r="O55" s="4" t="s">
        <v>1</v>
      </c>
      <c r="P55" s="4"/>
      <c r="Q55" s="4"/>
      <c r="R55" s="303" t="str">
        <f>IFERROR(VLOOKUP(S55,FFARawStatProjections!AP:AQ,2,FALSE),"")</f>
        <v>PIT</v>
      </c>
      <c r="S55" s="4" t="str">
        <f>INDEX(FFARawStatProjections!AP:AP,MATCH(T55,FFARawStatProjections!AR:AR,0))</f>
        <v>Mitch Trubisky</v>
      </c>
      <c r="T55">
        <f>LARGE(FFARawStatProjections!AR:AR,QBproj!K55)</f>
        <v>24.154490000000003</v>
      </c>
      <c r="U55" s="248">
        <f t="shared" si="1"/>
        <v>-280.95162999999997</v>
      </c>
      <c r="V55" s="243">
        <f t="shared" si="2"/>
        <v>78933.818399656884</v>
      </c>
      <c r="X55" s="243">
        <f t="shared" si="3"/>
        <v>-17.559476874999998</v>
      </c>
      <c r="Y55" s="238">
        <f>IFERROR(IF(ISBLANK(Beersheet!$A$1)=FALSE,
INDEX(Beersheet!$A:$U,MATCH(S55,INDEX(Beersheet!$A:$U,0,FFARawStatProjections!$BV$2),0),FFARawStatProjections!$BV$6),
IF(X55&gt;6,0,
IF(AND(X55&lt;=6,X55&gt;5),1,
IF(AND(X55&lt;=5,X55&gt;4),2,
IF(AND(X55&lt;=4,X55&gt;3),3,
IF(AND(X55&lt;=3,X55&gt;2),4,
IF(AND(X55&lt;=2,X55&gt;1),5,
IF(AND(X55&lt;=1,X55&gt;0),6,
IF(AND(X55&lt;=0,X55&gt;-1),7,
8))))))))),10)</f>
        <v>8</v>
      </c>
    </row>
    <row r="56" spans="1:25" ht="15" customHeight="1" x14ac:dyDescent="0.25">
      <c r="A56" s="135"/>
      <c r="B56" s="143" t="s">
        <v>432</v>
      </c>
      <c r="C56" t="str">
        <f>IF(AND(IFERROR(INDEX(Instructions!$T$111:$T$222,MATCH(D56,Instructions!$T$111:$T$222,0)), "")=D56, D56&lt;&gt;""), "X", "")</f>
        <v/>
      </c>
      <c r="D56" s="137" t="s">
        <v>2163</v>
      </c>
      <c r="E56" s="99" t="s">
        <v>162</v>
      </c>
      <c r="F56" s="232">
        <f>IFERROR(IF(AND($F$5="Projected Points",Beersheet!A51&lt;&gt;"QB"), T56, IF(H56="", INDEX(Tier!B$4:$B$12,MATCH(G56,Tier!$A$4:$A$12,0)), INDEX(Tier!$B$4:$B$12,MATCH(H56,Tier!$A$4:$A$12,0)))), "")</f>
        <v>23.8325</v>
      </c>
      <c r="G56" s="283">
        <f t="shared" si="4"/>
        <v>8</v>
      </c>
      <c r="H56" s="288"/>
      <c r="I56" s="392" t="str">
        <f>IFERROR(INDEX(ADP!Q:Q,MATCH(D56,ADP!D:D,0))-RBproj!K56,"")</f>
        <v/>
      </c>
      <c r="J56" s="127"/>
      <c r="K56" s="89">
        <v>50</v>
      </c>
      <c r="L56" s="2" t="s">
        <v>432</v>
      </c>
      <c r="M56" s="3">
        <f t="shared" si="0"/>
        <v>0</v>
      </c>
      <c r="N56" s="4">
        <f>IFERROR(INDEX(ADP!AC:AC,MATCH(QBproj!D56,ADP!Y:Y,0)),0)</f>
        <v>0</v>
      </c>
      <c r="O56" s="4" t="s">
        <v>1</v>
      </c>
      <c r="P56" s="4"/>
      <c r="Q56" s="4"/>
      <c r="R56" s="303" t="str">
        <f>IFERROR(VLOOKUP(S56,FFARawStatProjections!AP:AQ,2,FALSE),"")</f>
        <v>BAL</v>
      </c>
      <c r="S56" s="4" t="str">
        <f>INDEX(FFARawStatProjections!AP:AP,MATCH(T56,FFARawStatProjections!AR:AR,0))</f>
        <v>Tyler Huntley</v>
      </c>
      <c r="T56">
        <f>LARGE(FFARawStatProjections!AR:AR,QBproj!K56)</f>
        <v>23.8325</v>
      </c>
      <c r="U56" s="248">
        <f t="shared" si="1"/>
        <v>-281.27361999999999</v>
      </c>
      <c r="V56" s="243">
        <f t="shared" si="2"/>
        <v>79114.849307904398</v>
      </c>
      <c r="X56" s="243">
        <f t="shared" si="3"/>
        <v>-17.57960125</v>
      </c>
      <c r="Y56" s="238">
        <f>IFERROR(IF(ISBLANK(Beersheet!$A$1)=FALSE,
INDEX(Beersheet!$A:$U,MATCH(S56,INDEX(Beersheet!$A:$U,0,FFARawStatProjections!$BV$2),0),FFARawStatProjections!$BV$6),
IF(X56&gt;6,0,
IF(AND(X56&lt;=6,X56&gt;5),1,
IF(AND(X56&lt;=5,X56&gt;4),2,
IF(AND(X56&lt;=4,X56&gt;3),3,
IF(AND(X56&lt;=3,X56&gt;2),4,
IF(AND(X56&lt;=2,X56&gt;1),5,
IF(AND(X56&lt;=1,X56&gt;0),6,
IF(AND(X56&lt;=0,X56&gt;-1),7,
8))))))))),10)</f>
        <v>8</v>
      </c>
    </row>
    <row r="57" spans="1:25" ht="15" customHeight="1" x14ac:dyDescent="0.25">
      <c r="A57" s="135"/>
      <c r="B57" s="142" t="s">
        <v>433</v>
      </c>
      <c r="C57" t="str">
        <f>IF(AND(IFERROR(INDEX(Instructions!$T$111:$T$222,MATCH(D57,Instructions!$T$111:$T$222,0)), "")=D57, D57&lt;&gt;""), "X", "")</f>
        <v/>
      </c>
      <c r="D57" s="138" t="s">
        <v>63</v>
      </c>
      <c r="E57" s="100" t="s">
        <v>159</v>
      </c>
      <c r="F57" s="431">
        <f>IFERROR(IF(AND($F$5="Projected Points",Beersheet!A52&lt;&gt;"QB"), T57, IF(H57="", INDEX(Tier!B$4:$B$12,MATCH(G57,Tier!$A$4:$A$12,0)), INDEX(Tier!$B$4:$B$12,MATCH(H57,Tier!$A$4:$A$12,0)))), "")</f>
        <v>23.274509999999999</v>
      </c>
      <c r="G57" s="250">
        <f t="shared" si="4"/>
        <v>8</v>
      </c>
      <c r="H57" s="291"/>
      <c r="I57" s="392" t="str">
        <f>IFERROR(INDEX(ADP!Q:Q,MATCH(D57,ADP!D:D,0))-RBproj!K57,"")</f>
        <v/>
      </c>
      <c r="J57" s="127"/>
      <c r="K57" s="89">
        <v>51</v>
      </c>
      <c r="L57" s="2" t="s">
        <v>433</v>
      </c>
      <c r="M57" s="3">
        <f t="shared" si="0"/>
        <v>0</v>
      </c>
      <c r="N57" s="4">
        <f>IFERROR(INDEX(ADP!AC:AC,MATCH(QBproj!D57,ADP!Y:Y,0)),0)</f>
        <v>0</v>
      </c>
      <c r="O57" s="4" t="s">
        <v>1</v>
      </c>
      <c r="P57" s="4"/>
      <c r="Q57" s="4"/>
      <c r="R57" s="303" t="str">
        <f>IFERROR(VLOOKUP(S57,FFARawStatProjections!AP:AQ,2,FALSE),"")</f>
        <v>CAR</v>
      </c>
      <c r="S57" s="4" t="str">
        <f>INDEX(FFARawStatProjections!AP:AP,MATCH(T57,FFARawStatProjections!AR:AR,0))</f>
        <v>Andy Dalton</v>
      </c>
      <c r="T57">
        <f>LARGE(FFARawStatProjections!AR:AR,QBproj!K57)</f>
        <v>23.274509999999999</v>
      </c>
      <c r="U57" s="248">
        <f t="shared" si="1"/>
        <v>-281.83160999999996</v>
      </c>
      <c r="V57" s="243">
        <f t="shared" si="2"/>
        <v>79429.056395192078</v>
      </c>
      <c r="X57" s="243">
        <f t="shared" si="3"/>
        <v>-17.614475624999997</v>
      </c>
      <c r="Y57" s="238">
        <f>IFERROR(IF(ISBLANK(Beersheet!$A$1)=FALSE,
INDEX(Beersheet!$A:$U,MATCH(S57,INDEX(Beersheet!$A:$U,0,FFARawStatProjections!$BV$2),0),FFARawStatProjections!$BV$6),
IF(X57&gt;6,0,
IF(AND(X57&lt;=6,X57&gt;5),1,
IF(AND(X57&lt;=5,X57&gt;4),2,
IF(AND(X57&lt;=4,X57&gt;3),3,
IF(AND(X57&lt;=3,X57&gt;2),4,
IF(AND(X57&lt;=2,X57&gt;1),5,
IF(AND(X57&lt;=1,X57&gt;0),6,
IF(AND(X57&lt;=0,X57&gt;-1),7,
8))))))))),10)</f>
        <v>8</v>
      </c>
    </row>
    <row r="58" spans="1:25" ht="15" customHeight="1" x14ac:dyDescent="0.25">
      <c r="A58" s="135"/>
      <c r="B58" s="143" t="s">
        <v>434</v>
      </c>
      <c r="C58" t="str">
        <f>IF(AND(IFERROR(INDEX(Instructions!$T$111:$T$222,MATCH(D58,Instructions!$T$111:$T$222,0)), "")=D58, D58&lt;&gt;""), "X", "")</f>
        <v/>
      </c>
      <c r="D58" s="137" t="s">
        <v>2485</v>
      </c>
      <c r="E58" s="99" t="s">
        <v>142</v>
      </c>
      <c r="F58" s="232">
        <f>IFERROR(IF(AND($F$5="Projected Points",Beersheet!A53&lt;&gt;"QB"), T58, IF(H58="", INDEX(Tier!B$4:$B$12,MATCH(G58,Tier!$A$4:$A$12,0)), INDEX(Tier!$B$4:$B$12,MATCH(H58,Tier!$A$4:$A$12,0)))), "")</f>
        <v>23.062539999999998</v>
      </c>
      <c r="G58" s="283">
        <f t="shared" si="4"/>
        <v>8</v>
      </c>
      <c r="H58" s="288"/>
      <c r="I58" s="392" t="str">
        <f>IFERROR(INDEX(ADP!Q:Q,MATCH(D58,ADP!D:D,0))-RBproj!K58,"")</f>
        <v/>
      </c>
      <c r="J58" s="127"/>
      <c r="K58" s="89">
        <v>52</v>
      </c>
      <c r="L58" s="2" t="s">
        <v>434</v>
      </c>
      <c r="M58" s="3">
        <f t="shared" si="0"/>
        <v>0</v>
      </c>
      <c r="N58" s="4">
        <f>IFERROR(INDEX(ADP!AC:AC,MATCH(QBproj!D58,ADP!Y:Y,0)),0)</f>
        <v>0</v>
      </c>
      <c r="O58" s="4" t="s">
        <v>1</v>
      </c>
      <c r="P58" s="4"/>
      <c r="Q58" s="4"/>
      <c r="R58" s="303" t="str">
        <f>IFERROR(VLOOKUP(S58,FFARawStatProjections!AP:AQ,2,FALSE),"")</f>
        <v>DET</v>
      </c>
      <c r="S58" s="4" t="str">
        <f>INDEX(FFARawStatProjections!AP:AP,MATCH(T58,FFARawStatProjections!AR:AR,0))</f>
        <v>Hendon Hooker</v>
      </c>
      <c r="T58">
        <f>LARGE(FFARawStatProjections!AR:AR,QBproj!K58)</f>
        <v>23.062539999999998</v>
      </c>
      <c r="U58" s="248">
        <f t="shared" si="1"/>
        <v>-282.04357999999996</v>
      </c>
      <c r="V58" s="243">
        <f t="shared" si="2"/>
        <v>79548.581019216377</v>
      </c>
      <c r="X58" s="243">
        <f t="shared" si="3"/>
        <v>-17.627723749999998</v>
      </c>
      <c r="Y58" s="238">
        <f>IFERROR(IF(ISBLANK(Beersheet!$A$1)=FALSE,
INDEX(Beersheet!$A:$U,MATCH(S58,INDEX(Beersheet!$A:$U,0,FFARawStatProjections!$BV$2),0),FFARawStatProjections!$BV$6),
IF(X58&gt;6,0,
IF(AND(X58&lt;=6,X58&gt;5),1,
IF(AND(X58&lt;=5,X58&gt;4),2,
IF(AND(X58&lt;=4,X58&gt;3),3,
IF(AND(X58&lt;=3,X58&gt;2),4,
IF(AND(X58&lt;=2,X58&gt;1),5,
IF(AND(X58&lt;=1,X58&gt;0),6,
IF(AND(X58&lt;=0,X58&gt;-1),7,
8))))))))),10)</f>
        <v>8</v>
      </c>
    </row>
    <row r="59" spans="1:25" ht="15" customHeight="1" x14ac:dyDescent="0.25">
      <c r="A59" s="135"/>
      <c r="B59" s="142" t="s">
        <v>435</v>
      </c>
      <c r="C59" t="str">
        <f>IF(AND(IFERROR(INDEX(Instructions!$T$111:$T$222,MATCH(D59,Instructions!$T$111:$T$222,0)), "")=D59, D59&lt;&gt;""), "X", "")</f>
        <v/>
      </c>
      <c r="D59" s="138" t="s">
        <v>2096</v>
      </c>
      <c r="E59" s="100" t="s">
        <v>144</v>
      </c>
      <c r="F59" s="431">
        <f>IFERROR(IF(AND($F$5="Projected Points",Beersheet!A54&lt;&gt;"QB"), T59, IF(H59="", INDEX(Tier!B$4:$B$12,MATCH(G59,Tier!$A$4:$A$12,0)), INDEX(Tier!$B$4:$B$12,MATCH(H59,Tier!$A$4:$A$12,0)))), "")</f>
        <v>22.154520000000005</v>
      </c>
      <c r="G59" s="250">
        <f t="shared" si="4"/>
        <v>8</v>
      </c>
      <c r="H59" s="291"/>
      <c r="I59" s="392" t="str">
        <f>IFERROR(INDEX(ADP!Q:Q,MATCH(D59,ADP!D:D,0))-RBproj!K59,"")</f>
        <v/>
      </c>
      <c r="J59" s="127"/>
      <c r="K59" s="89">
        <v>53</v>
      </c>
      <c r="L59" s="2" t="s">
        <v>435</v>
      </c>
      <c r="M59" s="3">
        <f t="shared" si="0"/>
        <v>0</v>
      </c>
      <c r="N59" s="4">
        <f>IFERROR(INDEX(ADP!AC:AC,MATCH(QBproj!D59,ADP!Y:Y,0)),0)</f>
        <v>0</v>
      </c>
      <c r="O59" s="4" t="s">
        <v>1</v>
      </c>
      <c r="P59" s="4"/>
      <c r="Q59" s="4"/>
      <c r="R59" s="303" t="str">
        <f>IFERROR(VLOOKUP(S59,FFARawStatProjections!AP:AQ,2,FALSE),"")</f>
        <v>DEN</v>
      </c>
      <c r="S59" s="4" t="str">
        <f>INDEX(FFARawStatProjections!AP:AP,MATCH(T59,FFARawStatProjections!AR:AR,0))</f>
        <v>Jarrett Stidham</v>
      </c>
      <c r="T59">
        <f>LARGE(FFARawStatProjections!AR:AR,QBproj!K59)</f>
        <v>22.154520000000005</v>
      </c>
      <c r="U59" s="248">
        <f t="shared" si="1"/>
        <v>-282.95159999999998</v>
      </c>
      <c r="V59" s="243">
        <f t="shared" si="2"/>
        <v>80061.607942559989</v>
      </c>
      <c r="X59" s="243">
        <f t="shared" si="3"/>
        <v>-17.684474999999999</v>
      </c>
      <c r="Y59" s="238">
        <f>IFERROR(IF(ISBLANK(Beersheet!$A$1)=FALSE,
INDEX(Beersheet!$A:$U,MATCH(S59,INDEX(Beersheet!$A:$U,0,FFARawStatProjections!$BV$2),0),FFARawStatProjections!$BV$6),
IF(X59&gt;6,0,
IF(AND(X59&lt;=6,X59&gt;5),1,
IF(AND(X59&lt;=5,X59&gt;4),2,
IF(AND(X59&lt;=4,X59&gt;3),3,
IF(AND(X59&lt;=3,X59&gt;2),4,
IF(AND(X59&lt;=2,X59&gt;1),5,
IF(AND(X59&lt;=1,X59&gt;0),6,
IF(AND(X59&lt;=0,X59&gt;-1),7,
8))))))))),10)</f>
        <v>8</v>
      </c>
    </row>
    <row r="60" spans="1:25" ht="15" customHeight="1" x14ac:dyDescent="0.25">
      <c r="A60" s="135"/>
      <c r="B60" s="143" t="s">
        <v>436</v>
      </c>
      <c r="C60" t="str">
        <f>IF(AND(IFERROR(INDEX(Instructions!$T$111:$T$222,MATCH(D60,Instructions!$T$111:$T$222,0)), "")=D60, D60&lt;&gt;""), "X", "")</f>
        <v/>
      </c>
      <c r="D60" s="137" t="s">
        <v>2415</v>
      </c>
      <c r="E60" s="99" t="s">
        <v>139</v>
      </c>
      <c r="F60" s="232">
        <f>IFERROR(IF(AND($F$5="Projected Points",Beersheet!A55&lt;&gt;"QB"), T60, IF(H60="", INDEX(Tier!B$4:$B$12,MATCH(G60,Tier!$A$4:$A$12,0)), INDEX(Tier!$B$4:$B$12,MATCH(H60,Tier!$A$4:$A$12,0)))), "")</f>
        <v>21.972530000000003</v>
      </c>
      <c r="G60" s="283">
        <f t="shared" si="4"/>
        <v>8</v>
      </c>
      <c r="H60" s="288"/>
      <c r="I60" s="392" t="str">
        <f>IFERROR(INDEX(ADP!Q:Q,MATCH(D60,ADP!D:D,0))-RBproj!K60,"")</f>
        <v/>
      </c>
      <c r="J60" s="127"/>
      <c r="K60" s="89">
        <v>54</v>
      </c>
      <c r="L60" s="2" t="s">
        <v>436</v>
      </c>
      <c r="M60" s="3">
        <f t="shared" si="0"/>
        <v>0</v>
      </c>
      <c r="N60" s="4">
        <f>IFERROR(INDEX(ADP!AC:AC,MATCH(QBproj!D60,ADP!Y:Y,0)),0)</f>
        <v>0</v>
      </c>
      <c r="O60" s="4" t="s">
        <v>1</v>
      </c>
      <c r="P60" s="4"/>
      <c r="Q60" s="4"/>
      <c r="R60" s="303" t="str">
        <f>IFERROR(VLOOKUP(S60,FFARawStatProjections!AP:AQ,2,FALSE),"")</f>
        <v>GB</v>
      </c>
      <c r="S60" s="4" t="str">
        <f>INDEX(FFARawStatProjections!AP:AP,MATCH(T60,FFARawStatProjections!AR:AR,0))</f>
        <v>Sean Clifford</v>
      </c>
      <c r="T60">
        <f>LARGE(FFARawStatProjections!AR:AR,QBproj!K60)</f>
        <v>21.972530000000003</v>
      </c>
      <c r="U60" s="248">
        <f t="shared" si="1"/>
        <v>-283.13358999999997</v>
      </c>
      <c r="V60" s="243">
        <f t="shared" si="2"/>
        <v>80164.629786288089</v>
      </c>
      <c r="X60" s="243">
        <f t="shared" si="3"/>
        <v>-17.695849374999998</v>
      </c>
      <c r="Y60" s="238">
        <f>IFERROR(IF(ISBLANK(Beersheet!$A$1)=FALSE,
INDEX(Beersheet!$A:$U,MATCH(S60,INDEX(Beersheet!$A:$U,0,FFARawStatProjections!$BV$2),0),FFARawStatProjections!$BV$6),
IF(X60&gt;6,0,
IF(AND(X60&lt;=6,X60&gt;5),1,
IF(AND(X60&lt;=5,X60&gt;4),2,
IF(AND(X60&lt;=4,X60&gt;3),3,
IF(AND(X60&lt;=3,X60&gt;2),4,
IF(AND(X60&lt;=2,X60&gt;1),5,
IF(AND(X60&lt;=1,X60&gt;0),6,
IF(AND(X60&lt;=0,X60&gt;-1),7,
8))))))))),10)</f>
        <v>8</v>
      </c>
    </row>
    <row r="61" spans="1:25" ht="15" customHeight="1" x14ac:dyDescent="0.25">
      <c r="A61" s="135"/>
      <c r="B61" s="142" t="s">
        <v>437</v>
      </c>
      <c r="C61" t="str">
        <f>IF(AND(IFERROR(INDEX(Instructions!$T$111:$T$222,MATCH(D61,Instructions!$T$111:$T$222,0)), "")=D61, D61&lt;&gt;""), "X", "")</f>
        <v/>
      </c>
      <c r="D61" s="138" t="s">
        <v>179</v>
      </c>
      <c r="E61" s="100" t="s">
        <v>136</v>
      </c>
      <c r="F61" s="431">
        <f>IFERROR(IF(AND($F$5="Projected Points",Beersheet!A56&lt;&gt;"QB"), T61, IF(H61="", INDEX(Tier!B$4:$B$12,MATCH(G61,Tier!$A$4:$A$12,0)), INDEX(Tier!$B$4:$B$12,MATCH(H61,Tier!$A$4:$A$12,0)))), "")</f>
        <v>20.420560000000002</v>
      </c>
      <c r="G61" s="250">
        <f t="shared" si="4"/>
        <v>8</v>
      </c>
      <c r="H61" s="291"/>
      <c r="I61" s="392" t="str">
        <f>IFERROR(INDEX(ADP!Q:Q,MATCH(D61,ADP!D:D,0))-RBproj!K61,"")</f>
        <v/>
      </c>
      <c r="J61" s="127"/>
      <c r="K61" s="89">
        <v>55</v>
      </c>
      <c r="L61" s="2" t="s">
        <v>437</v>
      </c>
      <c r="M61" s="3">
        <f t="shared" si="0"/>
        <v>0</v>
      </c>
      <c r="N61" s="4">
        <f>IFERROR(INDEX(ADP!AC:AC,MATCH(QBproj!D61,ADP!Y:Y,0)),0)</f>
        <v>0</v>
      </c>
      <c r="O61" s="4" t="s">
        <v>1</v>
      </c>
      <c r="P61" s="4"/>
      <c r="Q61" s="4"/>
      <c r="R61" s="303" t="str">
        <f>IFERROR(VLOOKUP(S61,FFARawStatProjections!AP:AQ,2,FALSE),"")</f>
        <v>KC</v>
      </c>
      <c r="S61" s="4" t="str">
        <f>INDEX(FFARawStatProjections!AP:AP,MATCH(T61,FFARawStatProjections!AR:AR,0))</f>
        <v>Blaine Gabbert</v>
      </c>
      <c r="T61">
        <f>LARGE(FFARawStatProjections!AR:AR,QBproj!K61)</f>
        <v>20.420560000000002</v>
      </c>
      <c r="U61" s="248">
        <f t="shared" si="1"/>
        <v>-284.68555999999995</v>
      </c>
      <c r="V61" s="243">
        <f t="shared" si="2"/>
        <v>81045.868072513578</v>
      </c>
      <c r="X61" s="243">
        <f t="shared" si="3"/>
        <v>-17.792847499999997</v>
      </c>
      <c r="Y61" s="238">
        <f>IFERROR(IF(ISBLANK(Beersheet!$A$1)=FALSE,
INDEX(Beersheet!$A:$U,MATCH(S61,INDEX(Beersheet!$A:$U,0,FFARawStatProjections!$BV$2),0),FFARawStatProjections!$BV$6),
IF(X61&gt;6,0,
IF(AND(X61&lt;=6,X61&gt;5),1,
IF(AND(X61&lt;=5,X61&gt;4),2,
IF(AND(X61&lt;=4,X61&gt;3),3,
IF(AND(X61&lt;=3,X61&gt;2),4,
IF(AND(X61&lt;=2,X61&gt;1),5,
IF(AND(X61&lt;=1,X61&gt;0),6,
IF(AND(X61&lt;=0,X61&gt;-1),7,
8))))))))),10)</f>
        <v>8</v>
      </c>
    </row>
    <row r="62" spans="1:25" ht="15" customHeight="1" thickBot="1" x14ac:dyDescent="0.3">
      <c r="A62" s="135"/>
      <c r="B62" s="397" t="s">
        <v>438</v>
      </c>
      <c r="C62" s="444" t="str">
        <f>IF(AND(IFERROR(INDEX(Instructions!$T$111:$T$222,MATCH(D62,Instructions!$T$111:$T$222,0)), "")=D62, D62&lt;&gt;""), "X", "")</f>
        <v/>
      </c>
      <c r="D62" s="398" t="s">
        <v>1225</v>
      </c>
      <c r="E62" s="399" t="s">
        <v>145</v>
      </c>
      <c r="F62" s="432">
        <f>IFERROR(IF(AND($F$5="Projected Points",Beersheet!A57&lt;&gt;"QB"), T62, IF(H62="", INDEX(Tier!B$4:$B$12,MATCH(G62,Tier!$A$4:$A$12,0)), INDEX(Tier!$B$4:$B$12,MATCH(H62,Tier!$A$4:$A$12,0)))), "")</f>
        <v>20.334580000000003</v>
      </c>
      <c r="G62" s="253">
        <f t="shared" si="4"/>
        <v>8</v>
      </c>
      <c r="H62" s="402"/>
      <c r="I62" s="393" t="str">
        <f>IFERROR(INDEX(ADP!Q:Q,MATCH(D62,ADP!D:D,0))-RBproj!K62,"")</f>
        <v/>
      </c>
      <c r="J62" s="127"/>
      <c r="K62" s="89">
        <v>56</v>
      </c>
      <c r="L62" s="2" t="s">
        <v>438</v>
      </c>
      <c r="M62" s="3">
        <f t="shared" si="0"/>
        <v>0</v>
      </c>
      <c r="N62" s="4">
        <f>IFERROR(INDEX(ADP!AC:AC,MATCH(QBproj!D62,ADP!Y:Y,0)),0)</f>
        <v>0</v>
      </c>
      <c r="O62" s="4" t="s">
        <v>1</v>
      </c>
      <c r="P62" s="4"/>
      <c r="Q62" s="4"/>
      <c r="R62" s="303" t="str">
        <f>IFERROR(VLOOKUP(S62,FFARawStatProjections!AP:AQ,2,FALSE),"")</f>
        <v>CIN</v>
      </c>
      <c r="S62" s="4" t="str">
        <f>INDEX(FFARawStatProjections!AP:AP,MATCH(T62,FFARawStatProjections!AR:AR,0))</f>
        <v>Trevor Siemian</v>
      </c>
      <c r="T62">
        <f>LARGE(FFARawStatProjections!AR:AR,QBproj!K62)</f>
        <v>20.334580000000003</v>
      </c>
      <c r="U62" s="248">
        <f t="shared" si="1"/>
        <v>-284.77153999999996</v>
      </c>
      <c r="V62" s="243">
        <f t="shared" si="2"/>
        <v>81094.82999397158</v>
      </c>
      <c r="X62" s="243">
        <f t="shared" si="3"/>
        <v>-17.798221249999997</v>
      </c>
      <c r="Y62" s="238">
        <f>IFERROR(IF(ISBLANK(Beersheet!$A$1)=FALSE,
INDEX(Beersheet!$A:$U,MATCH(S62,INDEX(Beersheet!$A:$U,0,FFARawStatProjections!$BV$2),0),FFARawStatProjections!$BV$6),
IF(X62&gt;6,0,
IF(AND(X62&lt;=6,X62&gt;5),1,
IF(AND(X62&lt;=5,X62&gt;4),2,
IF(AND(X62&lt;=4,X62&gt;3),3,
IF(AND(X62&lt;=3,X62&gt;2),4,
IF(AND(X62&lt;=2,X62&gt;1),5,
IF(AND(X62&lt;=1,X62&gt;0),6,
IF(AND(X62&lt;=0,X62&gt;-1),7,
8))))))))),10)</f>
        <v>8</v>
      </c>
    </row>
    <row r="63" spans="1:25" ht="15" customHeight="1" x14ac:dyDescent="0.25">
      <c r="A63" s="135"/>
      <c r="B63" s="127"/>
      <c r="D63" s="127"/>
      <c r="E63" s="127"/>
      <c r="F63" s="127"/>
      <c r="G63" s="127"/>
      <c r="H63" s="127"/>
      <c r="I63" s="127"/>
      <c r="J63" s="127"/>
    </row>
    <row r="64" spans="1:25"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sheetData>
  <sheetProtection sheet="1" objects="1" scenarios="1" selectLockedCells="1"/>
  <sortState xmlns:xlrd2="http://schemas.microsoft.com/office/spreadsheetml/2017/richdata2" ref="R7:T2000">
    <sortCondition descending="1" ref="T7:T2000"/>
    <sortCondition descending="1" ref="R7:R2000"/>
  </sortState>
  <customSheetViews>
    <customSheetView guid="{3F8A0846-2F87-40BF-8ED6-1DE413C2FC1A}" hiddenColumns="1">
      <pane xSplit="1" topLeftCell="AD1" activePane="topRight" state="frozen"/>
      <selection pane="topRight" activeCell="AD8" sqref="AD8:AD31"/>
      <pageMargins left="0.7" right="0.7" top="0.75" bottom="0.75" header="0.3" footer="0.3"/>
    </customSheetView>
    <customSheetView guid="{11E3893E-1244-4BD8-8481-55AC844C97C9}" hiddenColumns="1">
      <pane xSplit="1" topLeftCell="AD1" activePane="topRight" state="frozen"/>
      <selection pane="topRight" activeCell="AD8" sqref="AD8:AD31"/>
      <pageMargins left="0.7" right="0.7" top="0.75" bottom="0.75" header="0.3" footer="0.3"/>
    </customSheetView>
  </customSheetViews>
  <mergeCells count="7">
    <mergeCell ref="B5:B6"/>
    <mergeCell ref="D5:D6"/>
    <mergeCell ref="E5:E6"/>
    <mergeCell ref="G5:G6"/>
    <mergeCell ref="G1:H4"/>
    <mergeCell ref="F5:F6"/>
    <mergeCell ref="H5:H6"/>
  </mergeCells>
  <conditionalFormatting sqref="B7:B62 D7:I62">
    <cfRule type="expression" dxfId="5" priority="1">
      <formula>$C7="X"</formula>
    </cfRule>
  </conditionalFormatting>
  <conditionalFormatting sqref="I7:I62">
    <cfRule type="colorScale" priority="4836">
      <colorScale>
        <cfvo type="min"/>
        <cfvo type="num" val="0"/>
        <cfvo type="max"/>
        <color rgb="FFFF9999"/>
        <color theme="0"/>
        <color rgb="FFAFFFAF"/>
      </colorScale>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Up">
                <anchor moveWithCells="1" sizeWithCells="1">
                  <from>
                    <xdr:col>3</xdr:col>
                    <xdr:colOff>9525</xdr:colOff>
                    <xdr:row>0</xdr:row>
                    <xdr:rowOff>19050</xdr:rowOff>
                  </from>
                  <to>
                    <xdr:col>4</xdr:col>
                    <xdr:colOff>0</xdr:colOff>
                    <xdr:row>1</xdr:row>
                    <xdr:rowOff>190500</xdr:rowOff>
                  </to>
                </anchor>
              </controlPr>
            </control>
          </mc:Choice>
        </mc:AlternateContent>
        <mc:AlternateContent xmlns:mc="http://schemas.openxmlformats.org/markup-compatibility/2006">
          <mc:Choice Requires="x14">
            <control shapeId="6146" r:id="rId5" name="Button 2">
              <controlPr defaultSize="0" print="0" autoFill="0" autoPict="0" macro="[0]!Down">
                <anchor moveWithCells="1" sizeWithCells="1">
                  <from>
                    <xdr:col>3</xdr:col>
                    <xdr:colOff>9525</xdr:colOff>
                    <xdr:row>2</xdr:row>
                    <xdr:rowOff>9525</xdr:rowOff>
                  </from>
                  <to>
                    <xdr:col>4</xdr:col>
                    <xdr:colOff>0</xdr:colOff>
                    <xdr:row>4</xdr:row>
                    <xdr:rowOff>0</xdr:rowOff>
                  </to>
                </anchor>
              </controlPr>
            </control>
          </mc:Choice>
        </mc:AlternateContent>
        <mc:AlternateContent xmlns:mc="http://schemas.openxmlformats.org/markup-compatibility/2006">
          <mc:Choice Requires="x14">
            <control shapeId="6147" r:id="rId6" name="Button 3">
              <controlPr defaultSize="0" print="0" autoFill="0" autoPict="0" macro="[0]!QB_Order">
                <anchor moveWithCells="1">
                  <from>
                    <xdr:col>4</xdr:col>
                    <xdr:colOff>276225</xdr:colOff>
                    <xdr:row>0</xdr:row>
                    <xdr:rowOff>114300</xdr:rowOff>
                  </from>
                  <to>
                    <xdr:col>6</xdr:col>
                    <xdr:colOff>9525</xdr:colOff>
                    <xdr:row>3</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Instructions!$T$2:$T$3</xm:f>
          </x14:formula1>
          <xm:sqref>F5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Y201"/>
  <sheetViews>
    <sheetView zoomScale="110" zoomScaleNormal="110" workbookViewId="0">
      <pane ySplit="6" topLeftCell="A7" activePane="bottomLeft" state="frozen"/>
      <selection activeCell="M1" sqref="M1:U1048576"/>
      <selection pane="bottomLeft" activeCell="F5" sqref="F5:F6"/>
    </sheetView>
  </sheetViews>
  <sheetFormatPr defaultColWidth="0" defaultRowHeight="15" zeroHeight="1" x14ac:dyDescent="0.25"/>
  <cols>
    <col min="1" max="1" width="4.7109375" customWidth="1"/>
    <col min="2" max="2" width="6.42578125" customWidth="1"/>
    <col min="3" max="3" width="4.28515625" hidden="1" customWidth="1"/>
    <col min="4" max="4" width="25.7109375" customWidth="1"/>
    <col min="5" max="8" width="10.7109375" customWidth="1"/>
    <col min="9" max="9" width="5.7109375" customWidth="1"/>
    <col min="10" max="10" width="4.7109375" customWidth="1"/>
    <col min="11" max="13" width="9.140625" hidden="1" customWidth="1"/>
    <col min="14" max="14" width="18.28515625" hidden="1" customWidth="1"/>
    <col min="15" max="17" width="9.140625" hidden="1" customWidth="1"/>
    <col min="18" max="18" width="20.28515625" hidden="1" customWidth="1"/>
    <col min="19" max="19" width="20.140625" hidden="1" customWidth="1"/>
    <col min="20" max="20" width="17" hidden="1" customWidth="1"/>
    <col min="21" max="21" width="13.7109375" hidden="1" customWidth="1"/>
    <col min="22" max="22" width="15.28515625" hidden="1" customWidth="1"/>
    <col min="23" max="24" width="14.7109375" hidden="1" customWidth="1"/>
    <col min="25" max="16384" width="9.140625" hidden="1"/>
  </cols>
  <sheetData>
    <row r="1" spans="1:25" ht="15" customHeight="1" x14ac:dyDescent="0.25">
      <c r="A1" s="135"/>
      <c r="B1" s="105"/>
      <c r="D1" s="106"/>
      <c r="E1" s="105"/>
      <c r="F1" s="427"/>
      <c r="G1" s="721" t="s">
        <v>1169</v>
      </c>
      <c r="H1" s="721"/>
      <c r="I1" s="389"/>
      <c r="J1" s="302"/>
      <c r="K1" s="89"/>
    </row>
    <row r="2" spans="1:25" ht="15.75" thickBot="1" x14ac:dyDescent="0.3">
      <c r="A2" s="135"/>
      <c r="B2" s="105"/>
      <c r="D2" s="108"/>
      <c r="E2" s="105"/>
      <c r="F2" s="427"/>
      <c r="G2" s="721"/>
      <c r="H2" s="721"/>
      <c r="I2" s="389"/>
      <c r="J2" s="302"/>
      <c r="K2" s="89"/>
    </row>
    <row r="3" spans="1:25" x14ac:dyDescent="0.25">
      <c r="A3" s="135"/>
      <c r="B3" s="105"/>
      <c r="D3" s="106"/>
      <c r="E3" s="105"/>
      <c r="F3" s="427"/>
      <c r="G3" s="721"/>
      <c r="H3" s="721"/>
      <c r="I3" s="389"/>
      <c r="J3" s="302"/>
      <c r="K3" s="89"/>
    </row>
    <row r="4" spans="1:25" ht="15.75" thickBot="1" x14ac:dyDescent="0.3">
      <c r="A4" s="135"/>
      <c r="B4" s="105"/>
      <c r="D4" s="109"/>
      <c r="E4" s="105"/>
      <c r="F4" s="427"/>
      <c r="G4" s="721"/>
      <c r="H4" s="721"/>
      <c r="I4" s="389"/>
      <c r="J4" s="302"/>
      <c r="K4" s="89"/>
    </row>
    <row r="5" spans="1:25" x14ac:dyDescent="0.25">
      <c r="A5" s="135"/>
      <c r="B5" s="629" t="s">
        <v>912</v>
      </c>
      <c r="C5" s="441"/>
      <c r="D5" s="596" t="s">
        <v>244</v>
      </c>
      <c r="E5" s="596" t="s">
        <v>913</v>
      </c>
      <c r="F5" s="722" t="s">
        <v>1241</v>
      </c>
      <c r="G5" s="637" t="s">
        <v>1167</v>
      </c>
      <c r="H5" s="719" t="s">
        <v>1759</v>
      </c>
      <c r="I5" s="390" t="s">
        <v>1744</v>
      </c>
      <c r="J5" s="127"/>
      <c r="K5" s="89"/>
    </row>
    <row r="6" spans="1:25" ht="15" customHeight="1" thickBot="1" x14ac:dyDescent="0.3">
      <c r="A6" s="135"/>
      <c r="B6" s="714"/>
      <c r="D6" s="715"/>
      <c r="E6" s="715"/>
      <c r="F6" s="723"/>
      <c r="G6" s="638"/>
      <c r="H6" s="720"/>
      <c r="I6" s="391" t="s">
        <v>246</v>
      </c>
      <c r="J6" s="127"/>
      <c r="K6" s="89" t="s">
        <v>912</v>
      </c>
      <c r="R6" t="s">
        <v>918</v>
      </c>
      <c r="S6" t="s">
        <v>967</v>
      </c>
      <c r="T6" t="s">
        <v>971</v>
      </c>
      <c r="U6" s="247"/>
      <c r="V6" s="241" t="s">
        <v>1157</v>
      </c>
      <c r="W6" s="241" t="s">
        <v>1597</v>
      </c>
      <c r="X6" s="241" t="s">
        <v>1998</v>
      </c>
      <c r="Y6" s="242" t="s">
        <v>1167</v>
      </c>
    </row>
    <row r="7" spans="1:25" ht="15" customHeight="1" x14ac:dyDescent="0.25">
      <c r="A7" s="135"/>
      <c r="B7" s="405" t="s">
        <v>247</v>
      </c>
      <c r="C7" t="str">
        <f>IF(AND(IFERROR(INDEX(Instructions!$T$111:$T$222,MATCH(D7,Instructions!$T$111:$T$222,0)), "")=D7, D7&lt;&gt;""), "X", "")</f>
        <v/>
      </c>
      <c r="D7" s="406" t="s">
        <v>1426</v>
      </c>
      <c r="E7" s="407" t="s">
        <v>155</v>
      </c>
      <c r="F7" s="433">
        <f>IFERROR(IF(AND($F$5="Projected Points",Beersheet!A2&lt;&gt;"QB"), T7, IF(H7="", INDEX(Tier!$B$16:$B$24,MATCH(G7,Tier!$A$16:$A$24,0)), INDEX(Tier!$B$16:$B$24,MATCH(H7,Tier!$A$16:$A$24,0)))), "")</f>
        <v>309.36116000000004</v>
      </c>
      <c r="G7" s="408">
        <f>IF(D7="","",Y7)</f>
        <v>0</v>
      </c>
      <c r="H7" s="409"/>
      <c r="I7" s="410">
        <f>IFERROR(INDEX(ADP!R:R,MATCH(D7,ADP!D:D,0))-RBproj!K7,"")</f>
        <v>0</v>
      </c>
      <c r="J7" s="127"/>
      <c r="K7" s="89">
        <v>1</v>
      </c>
      <c r="L7" t="s">
        <v>247</v>
      </c>
      <c r="M7">
        <f>IF(N7-MEDIAN(N4:N10)&lt;0,0,N7-MEDIAN(N4:N10))</f>
        <v>0</v>
      </c>
      <c r="N7" s="4">
        <f>IFERROR(INDEX(ADP!AC:AC,MATCH(D7,ADP!Y:Y,0)),0)</f>
        <v>1</v>
      </c>
      <c r="O7" t="s">
        <v>3</v>
      </c>
      <c r="R7" t="str">
        <f>IFERROR(VLOOKUP(S7,FFARawStatProjections!AT:AV,2,FALSE),"")</f>
        <v>SF</v>
      </c>
      <c r="S7" s="4" t="str">
        <f>INDEX(FFARawStatProjections!AT:AT,MATCH(T7,FFARawStatProjections!AV:AV,0))</f>
        <v>Christian McCaffrey</v>
      </c>
      <c r="T7" s="428">
        <f>LARGE(FFARawStatProjections!AV:AV,RBproj!K7)</f>
        <v>309.36116000000004</v>
      </c>
      <c r="U7" s="249">
        <f>$T7-$W$17</f>
        <v>116.98976333333337</v>
      </c>
      <c r="V7" s="243">
        <f>U7^2</f>
        <v>13686.604724789353</v>
      </c>
      <c r="W7" s="243">
        <v>16</v>
      </c>
      <c r="X7" s="243">
        <f>U7/$W$7</f>
        <v>7.3118602083333357</v>
      </c>
      <c r="Y7" s="238">
        <f>IFERROR(IF(ISBLANK(Beersheet!$A$1)=FALSE,
INDEX(Beersheet!$A:$U,MATCH(S7,INDEX(Beersheet!$A:$U,0,FFARawStatProjections!$BV$2),0),FFARawStatProjections!$BV$6),
IF(X7&gt;6,0,
IF(AND(X7&lt;=6,X7&gt;5),1,
IF(AND(X7&lt;=5,X7&gt;4),2,
IF(AND(X7&lt;=4,X7&gt;3),3,
IF(AND(X7&lt;=3,X7&gt;2),4,
IF(AND(X7&lt;=2,X7&gt;1),5,
IF(AND(X7&lt;=1,X7&gt;0),6,
IF(AND(X7&lt;=0,X7&gt;-1),7,
8))))))))),
10)</f>
        <v>0</v>
      </c>
    </row>
    <row r="8" spans="1:25" ht="15" customHeight="1" x14ac:dyDescent="0.25">
      <c r="A8" s="135"/>
      <c r="B8" s="143" t="s">
        <v>252</v>
      </c>
      <c r="C8" t="str">
        <f>IF(AND(IFERROR(INDEX(Instructions!$T$111:$T$222,MATCH(D8,Instructions!$T$111:$T$222,0)), "")=D8, D8&lt;&gt;""), "X", "")</f>
        <v>X</v>
      </c>
      <c r="D8" s="137" t="s">
        <v>1756</v>
      </c>
      <c r="E8" s="286" t="s">
        <v>1388</v>
      </c>
      <c r="F8" s="232">
        <f>IFERROR(IF(AND($F$5="Projected Points",Beersheet!A3&lt;&gt;"QB"), T8, IF(H8="", INDEX(Tier!$B$16:$B$24,MATCH(G8,Tier!$A$16:$A$24,0)), INDEX(Tier!$B$16:$B$24,MATCH(H8,Tier!$A$16:$A$24,0)))), "")</f>
        <v>303.69117000000006</v>
      </c>
      <c r="G8" s="287">
        <f>IF(D8="","",Y8)</f>
        <v>0</v>
      </c>
      <c r="H8" s="288"/>
      <c r="I8" s="392">
        <f>IFERROR(INDEX(ADP!R:R,MATCH(D8,ADP!D:D,0))-RBproj!K8,"")</f>
        <v>0</v>
      </c>
      <c r="J8" s="127"/>
      <c r="K8" s="89">
        <v>2</v>
      </c>
      <c r="L8" t="s">
        <v>252</v>
      </c>
      <c r="M8">
        <f t="shared" ref="M8:M71" si="0">IF(N8-MEDIAN(N5:N11)&lt;0,0,N8-MEDIAN(N5:N11))</f>
        <v>0</v>
      </c>
      <c r="N8" s="4">
        <f>IFERROR(INDEX(ADP!AC:AC,MATCH(D8,ADP!Y:Y,0)),0)</f>
        <v>1.4</v>
      </c>
      <c r="O8" t="s">
        <v>3</v>
      </c>
      <c r="R8" t="str">
        <f>IFERROR(VLOOKUP(S8,FFARawStatProjections!AT:AV,2,FALSE),"")</f>
        <v>LAC</v>
      </c>
      <c r="S8" s="4" t="str">
        <f>INDEX(FFARawStatProjections!AT:AT,MATCH(T8,FFARawStatProjections!AV:AV,0))</f>
        <v>Austin Ekeler</v>
      </c>
      <c r="T8" s="428">
        <f>LARGE(FFARawStatProjections!AV:AV,RBproj!K8)</f>
        <v>303.69117000000006</v>
      </c>
      <c r="U8" s="249">
        <f t="shared" ref="U8:U71" si="1">$T8-$W$17</f>
        <v>111.31977333333339</v>
      </c>
      <c r="V8" s="243">
        <f t="shared" ref="V8:V56" si="2">U8^2</f>
        <v>12392.091934984723</v>
      </c>
      <c r="W8" s="243">
        <f>AVERAGE(V7:INDEX(V7:V100,Instructions!$E$11*(Instructions!$E$19+Instructions!$J$15*0.5),1))</f>
        <v>2054.7267168404765</v>
      </c>
      <c r="X8" s="243">
        <f t="shared" ref="X8:X71" si="3">U8/$W$7</f>
        <v>6.9574858333333367</v>
      </c>
      <c r="Y8" s="238">
        <f>IFERROR(IF(ISBLANK(Beersheet!$A$1)=FALSE,
INDEX(Beersheet!$A:$U,MATCH(S8,INDEX(Beersheet!$A:$U,0,FFARawStatProjections!$BV$2),0),FFARawStatProjections!$BV$6),
IF(X8&gt;6,0,
IF(AND(X8&lt;=6,X8&gt;5),1,
IF(AND(X8&lt;=5,X8&gt;4),2,
IF(AND(X8&lt;=4,X8&gt;3),3,
IF(AND(X8&lt;=3,X8&gt;2),4,
IF(AND(X8&lt;=2,X8&gt;1),5,
IF(AND(X8&lt;=1,X8&gt;0),6,
IF(AND(X8&lt;=0,X8&gt;-1),7,
8))))))))),
10)</f>
        <v>0</v>
      </c>
    </row>
    <row r="9" spans="1:25" ht="15" customHeight="1" x14ac:dyDescent="0.25">
      <c r="A9" s="135"/>
      <c r="B9" s="142" t="s">
        <v>253</v>
      </c>
      <c r="C9" t="str">
        <f>IF(AND(IFERROR(INDEX(Instructions!$T$111:$T$222,MATCH(D9,Instructions!$T$111:$T$222,0)), "")=D9, D9&lt;&gt;""), "X", "")</f>
        <v/>
      </c>
      <c r="D9" s="138" t="s">
        <v>1180</v>
      </c>
      <c r="E9" s="289" t="s">
        <v>163</v>
      </c>
      <c r="F9" s="434">
        <f>IFERROR(IF(AND($F$5="Projected Points",Beersheet!A4&lt;&gt;"QB"), T9, IF(H9="", INDEX(Tier!$B$16:$B$24,MATCH(G9,Tier!$A$16:$A$24,0)), INDEX(Tier!$B$16:$B$24,MATCH(H9,Tier!$A$16:$A$24,0)))), "")</f>
        <v>260.70123000000007</v>
      </c>
      <c r="G9" s="290">
        <f>IF(D9="","",Y9)</f>
        <v>2</v>
      </c>
      <c r="H9" s="291"/>
      <c r="I9" s="392">
        <f>IFERROR(INDEX(ADP!R:R,MATCH(D9,ADP!D:D,0))-RBproj!K9,"")</f>
        <v>3</v>
      </c>
      <c r="J9" s="127"/>
      <c r="K9" s="89">
        <v>3</v>
      </c>
      <c r="L9" t="s">
        <v>253</v>
      </c>
      <c r="M9">
        <f t="shared" si="0"/>
        <v>0.20000000000000018</v>
      </c>
      <c r="N9" s="4">
        <f>IFERROR(INDEX(ADP!AC:AC,MATCH(D9,ADP!Y:Y,0)),0)</f>
        <v>3</v>
      </c>
      <c r="O9" t="s">
        <v>3</v>
      </c>
      <c r="R9" t="str">
        <f>IFERROR(VLOOKUP(S9,FFARawStatProjections!AT:AV,2,FALSE),"")</f>
        <v>NYG</v>
      </c>
      <c r="S9" s="4" t="str">
        <f>INDEX(FFARawStatProjections!AT:AT,MATCH(T9,FFARawStatProjections!AV:AV,0))</f>
        <v>Saquon Barkley</v>
      </c>
      <c r="T9" s="428">
        <f>LARGE(FFARawStatProjections!AV:AV,RBproj!K9)</f>
        <v>260.70123000000007</v>
      </c>
      <c r="U9" s="249">
        <f t="shared" si="1"/>
        <v>68.329833333333397</v>
      </c>
      <c r="V9" s="243">
        <f t="shared" si="2"/>
        <v>4668.9661233611196</v>
      </c>
      <c r="W9" s="244"/>
      <c r="X9" s="243">
        <f t="shared" si="3"/>
        <v>4.2706145833333373</v>
      </c>
      <c r="Y9" s="238">
        <f>IFERROR(IF(ISBLANK(Beersheet!$A$1)=FALSE,
INDEX(Beersheet!$A:$U,MATCH(S9,INDEX(Beersheet!$A:$U,0,FFARawStatProjections!$BV$2),0),FFARawStatProjections!$BV$6),
IF(X9&gt;6,0,
IF(AND(X9&lt;=6,X9&gt;5),1,
IF(AND(X9&lt;=5,X9&gt;4),2,
IF(AND(X9&lt;=4,X9&gt;3),3,
IF(AND(X9&lt;=3,X9&gt;2),4,
IF(AND(X9&lt;=2,X9&gt;1),5,
IF(AND(X9&lt;=1,X9&gt;0),6,
IF(AND(X9&lt;=0,X9&gt;-1),7,
8))))))))),
10)</f>
        <v>2</v>
      </c>
    </row>
    <row r="10" spans="1:25" ht="15" customHeight="1" x14ac:dyDescent="0.25">
      <c r="A10" s="135"/>
      <c r="B10" s="143" t="s">
        <v>254</v>
      </c>
      <c r="C10" t="str">
        <f>IF(AND(IFERROR(INDEX(Instructions!$T$111:$T$222,MATCH(D10,Instructions!$T$111:$T$222,0)), "")=D10, D10&lt;&gt;""), "X", "")</f>
        <v/>
      </c>
      <c r="D10" s="137" t="s">
        <v>2528</v>
      </c>
      <c r="E10" s="286" t="s">
        <v>148</v>
      </c>
      <c r="F10" s="232">
        <f>IFERROR(IF(AND($F$5="Projected Points",Beersheet!A5&lt;&gt;"QB"), T10, IF(H10="", INDEX(Tier!$B$16:$B$24,MATCH(G10,Tier!$A$16:$A$24,0)), INDEX(Tier!$B$16:$B$24,MATCH(H10,Tier!$A$16:$A$24,0)))), "")</f>
        <v>257.28120999999999</v>
      </c>
      <c r="G10" s="287">
        <f t="shared" ref="G10:G73" si="4">IF(D10="","",Y10)</f>
        <v>2</v>
      </c>
      <c r="H10" s="288"/>
      <c r="I10" s="392">
        <f>IFERROR(INDEX(ADP!R:R,MATCH(D10,ADP!D:D,0))-RBproj!K10,"")</f>
        <v>0</v>
      </c>
      <c r="J10" s="127"/>
      <c r="K10" s="89">
        <v>4</v>
      </c>
      <c r="L10" t="s">
        <v>254</v>
      </c>
      <c r="M10">
        <f t="shared" si="0"/>
        <v>0</v>
      </c>
      <c r="N10" s="4">
        <f>IFERROR(INDEX(ADP!AC:AC,MATCH(D10,ADP!Y:Y,0)),0)</f>
        <v>2.7</v>
      </c>
      <c r="O10" t="s">
        <v>3</v>
      </c>
      <c r="R10" t="str">
        <f>IFERROR(VLOOKUP(S10,FFARawStatProjections!AT:AV,2,FALSE),"")</f>
        <v>ATL</v>
      </c>
      <c r="S10" s="4" t="str">
        <f>INDEX(FFARawStatProjections!AT:AT,MATCH(T10,FFARawStatProjections!AV:AV,0))</f>
        <v>Bijan Robinson</v>
      </c>
      <c r="T10" s="428">
        <f>LARGE(FFARawStatProjections!AV:AV,RBproj!K10)</f>
        <v>257.28120999999999</v>
      </c>
      <c r="U10" s="249">
        <f t="shared" si="1"/>
        <v>64.909813333333318</v>
      </c>
      <c r="V10" s="243">
        <f t="shared" si="2"/>
        <v>4213.283866968176</v>
      </c>
      <c r="W10" s="356">
        <f>W11+W7/2</f>
        <v>248.37139666666667</v>
      </c>
      <c r="X10" s="243">
        <f t="shared" si="3"/>
        <v>4.0568633333333324</v>
      </c>
      <c r="Y10" s="238">
        <f>IFERROR(IF(ISBLANK(Beersheet!$A$1)=FALSE,
INDEX(Beersheet!$A:$U,MATCH(S10,INDEX(Beersheet!$A:$U,0,FFARawStatProjections!$BV$2),0),FFARawStatProjections!$BV$6),
IF(X10&gt;6,0,
IF(AND(X10&lt;=6,X10&gt;5),1,
IF(AND(X10&lt;=5,X10&gt;4),2,
IF(AND(X10&lt;=4,X10&gt;3),3,
IF(AND(X10&lt;=3,X10&gt;2),4,
IF(AND(X10&lt;=2,X10&gt;1),5,
IF(AND(X10&lt;=1,X10&gt;0),6,
IF(AND(X10&lt;=0,X10&gt;-1),7,
8))))))))),
10)</f>
        <v>2</v>
      </c>
    </row>
    <row r="11" spans="1:25" ht="15" customHeight="1" x14ac:dyDescent="0.25">
      <c r="A11" s="135"/>
      <c r="B11" s="142" t="s">
        <v>255</v>
      </c>
      <c r="C11" t="str">
        <f>IF(AND(IFERROR(INDEX(Instructions!$T$111:$T$222,MATCH(D11,Instructions!$T$111:$T$222,0)), "")=D11, D11&lt;&gt;""), "X", "")</f>
        <v/>
      </c>
      <c r="D11" s="138" t="s">
        <v>1772</v>
      </c>
      <c r="E11" s="289" t="s">
        <v>161</v>
      </c>
      <c r="F11" s="434">
        <f>IFERROR(IF(AND($F$5="Projected Points",Beersheet!A6&lt;&gt;"QB"), T11, IF(H11="", INDEX(Tier!$B$16:$B$24,MATCH(G11,Tier!$A$16:$A$24,0)), INDEX(Tier!$B$16:$B$24,MATCH(H11,Tier!$A$16:$A$24,0)))), "")</f>
        <v>257.19121999999999</v>
      </c>
      <c r="G11" s="290">
        <f t="shared" si="4"/>
        <v>2</v>
      </c>
      <c r="H11" s="291"/>
      <c r="I11" s="392">
        <f>IFERROR(INDEX(ADP!R:R,MATCH(D11,ADP!D:D,0))-RBproj!K11,"")</f>
        <v>-2</v>
      </c>
      <c r="J11" s="127"/>
      <c r="K11" s="89">
        <v>5</v>
      </c>
      <c r="L11" t="s">
        <v>255</v>
      </c>
      <c r="M11">
        <f t="shared" si="0"/>
        <v>0.19999999999999973</v>
      </c>
      <c r="N11" s="4">
        <f>IFERROR(INDEX(ADP!AC:AC,MATCH(D11,ADP!Y:Y,0)),0)</f>
        <v>2.9</v>
      </c>
      <c r="O11" t="s">
        <v>3</v>
      </c>
      <c r="R11" t="str">
        <f>IFERROR(VLOOKUP(S11,FFARawStatProjections!AT:AV,2,FALSE),"")</f>
        <v>DAL</v>
      </c>
      <c r="S11" s="4" t="str">
        <f>INDEX(FFARawStatProjections!AT:AT,MATCH(T11,FFARawStatProjections!AV:AV,0))</f>
        <v>Tony Pollard</v>
      </c>
      <c r="T11" s="428">
        <f>LARGE(FFARawStatProjections!AV:AV,RBproj!K11)</f>
        <v>257.19121999999999</v>
      </c>
      <c r="U11" s="249">
        <f t="shared" si="1"/>
        <v>64.819823333333318</v>
      </c>
      <c r="V11" s="243">
        <f t="shared" si="2"/>
        <v>4201.6094969645428</v>
      </c>
      <c r="W11" s="356">
        <f>W12+W7/2</f>
        <v>240.37139666666667</v>
      </c>
      <c r="X11" s="243">
        <f t="shared" si="3"/>
        <v>4.0512389583333324</v>
      </c>
      <c r="Y11" s="238">
        <f>IFERROR(IF(ISBLANK(Beersheet!$A$1)=FALSE,
INDEX(Beersheet!$A:$U,MATCH(S11,INDEX(Beersheet!$A:$U,0,FFARawStatProjections!$BV$2),0),FFARawStatProjections!$BV$6),
IF(X11&gt;6,0,
IF(AND(X11&lt;=6,X11&gt;5),1,
IF(AND(X11&lt;=5,X11&gt;4),2,
IF(AND(X11&lt;=4,X11&gt;3),3,
IF(AND(X11&lt;=3,X11&gt;2),4,
IF(AND(X11&lt;=2,X11&gt;1),5,
IF(AND(X11&lt;=1,X11&gt;0),6,
IF(AND(X11&lt;=0,X11&gt;-1),7,
8))))))))),
10)</f>
        <v>2</v>
      </c>
    </row>
    <row r="12" spans="1:25" ht="15" customHeight="1" x14ac:dyDescent="0.25">
      <c r="A12" s="135"/>
      <c r="B12" s="143" t="s">
        <v>256</v>
      </c>
      <c r="C12" t="str">
        <f>IF(AND(IFERROR(INDEX(Instructions!$T$111:$T$222,MATCH(D12,Instructions!$T$111:$T$222,0)), "")=D12, D12&lt;&gt;""), "X", "")</f>
        <v/>
      </c>
      <c r="D12" s="137" t="s">
        <v>1853</v>
      </c>
      <c r="E12" s="286" t="s">
        <v>2073</v>
      </c>
      <c r="F12" s="232">
        <f>IFERROR(IF(AND($F$5="Projected Points",Beersheet!A7&lt;&gt;"QB"), T12, IF(H12="", INDEX(Tier!$B$16:$B$24,MATCH(G12,Tier!$A$16:$A$24,0)), INDEX(Tier!$B$16:$B$24,MATCH(H12,Tier!$A$16:$A$24,0)))), "")</f>
        <v>255.56120000000001</v>
      </c>
      <c r="G12" s="287">
        <f t="shared" si="4"/>
        <v>3</v>
      </c>
      <c r="H12" s="288"/>
      <c r="I12" s="392">
        <f>IFERROR(INDEX(ADP!R:R,MATCH(D12,ADP!D:D,0))-RBproj!K12,"")</f>
        <v>2</v>
      </c>
      <c r="J12" s="127"/>
      <c r="K12" s="89">
        <v>6</v>
      </c>
      <c r="L12" t="s">
        <v>256</v>
      </c>
      <c r="M12">
        <f t="shared" si="0"/>
        <v>0.70000000000000018</v>
      </c>
      <c r="N12" s="4">
        <f>IFERROR(INDEX(ADP!AC:AC,MATCH(D12,ADP!Y:Y,0)),0)</f>
        <v>3.6</v>
      </c>
      <c r="O12" t="s">
        <v>3</v>
      </c>
      <c r="R12" t="str">
        <f>IFERROR(VLOOKUP(S12,FFARawStatProjections!AT:AV,2,FALSE),"")</f>
        <v>LV</v>
      </c>
      <c r="S12" s="4" t="str">
        <f>INDEX(FFARawStatProjections!AT:AT,MATCH(T12,FFARawStatProjections!AV:AV,0))</f>
        <v>Josh Jacobs</v>
      </c>
      <c r="T12" s="428">
        <f>LARGE(FFARawStatProjections!AV:AV,RBproj!K12)</f>
        <v>255.56120000000001</v>
      </c>
      <c r="U12" s="249">
        <f t="shared" si="1"/>
        <v>63.189803333333344</v>
      </c>
      <c r="V12" s="243">
        <f t="shared" si="2"/>
        <v>3992.9512453053458</v>
      </c>
      <c r="W12" s="356">
        <f>W13+W7/2</f>
        <v>232.37139666666667</v>
      </c>
      <c r="X12" s="243">
        <f t="shared" si="3"/>
        <v>3.949362708333334</v>
      </c>
      <c r="Y12" s="238">
        <f>IFERROR(IF(ISBLANK(Beersheet!$A$1)=FALSE,
INDEX(Beersheet!$A:$U,MATCH(S12,INDEX(Beersheet!$A:$U,0,FFARawStatProjections!$BV$2),0),FFARawStatProjections!$BV$6),
IF(X12&gt;6,0,
IF(AND(X12&lt;=6,X12&gt;5),1,
IF(AND(X12&lt;=5,X12&gt;4),2,
IF(AND(X12&lt;=4,X12&gt;3),3,
IF(AND(X12&lt;=3,X12&gt;2),4,
IF(AND(X12&lt;=2,X12&gt;1),5,
IF(AND(X12&lt;=1,X12&gt;0),6,
IF(AND(X12&lt;=0,X12&gt;-1),7,
8))))))))),
10)</f>
        <v>3</v>
      </c>
    </row>
    <row r="13" spans="1:25" ht="15" customHeight="1" x14ac:dyDescent="0.25">
      <c r="A13" s="135"/>
      <c r="B13" s="142" t="s">
        <v>257</v>
      </c>
      <c r="C13" t="str">
        <f>IF(AND(IFERROR(INDEX(Instructions!$T$111:$T$222,MATCH(D13,Instructions!$T$111:$T$222,0)), "")=D13, D13&lt;&gt;""), "X", "")</f>
        <v>X</v>
      </c>
      <c r="D13" s="138" t="s">
        <v>1881</v>
      </c>
      <c r="E13" s="289" t="s">
        <v>146</v>
      </c>
      <c r="F13" s="434">
        <f>IFERROR(IF(AND($F$5="Projected Points",Beersheet!A8&lt;&gt;"QB"), T13, IF(H13="", INDEX(Tier!$B$16:$B$24,MATCH(G13,Tier!$A$16:$A$24,0)), INDEX(Tier!$B$16:$B$24,MATCH(H13,Tier!$A$16:$A$24,0)))), "")</f>
        <v>254.98119000000003</v>
      </c>
      <c r="G13" s="290">
        <f t="shared" si="4"/>
        <v>3</v>
      </c>
      <c r="H13" s="291"/>
      <c r="I13" s="392">
        <f>IFERROR(INDEX(ADP!R:R,MATCH(D13,ADP!D:D,0))-RBproj!K13,"")</f>
        <v>0</v>
      </c>
      <c r="J13" s="127"/>
      <c r="K13" s="89">
        <v>7</v>
      </c>
      <c r="L13" t="s">
        <v>257</v>
      </c>
      <c r="M13">
        <f t="shared" si="0"/>
        <v>0</v>
      </c>
      <c r="N13" s="4">
        <f>IFERROR(INDEX(ADP!AC:AC,MATCH(D13,ADP!Y:Y,0)),0)</f>
        <v>2.7</v>
      </c>
      <c r="O13" t="s">
        <v>3</v>
      </c>
      <c r="R13" t="str">
        <f>IFERROR(VLOOKUP(S13,FFARawStatProjections!AT:AV,2,FALSE),"")</f>
        <v>TEN</v>
      </c>
      <c r="S13" s="4" t="str">
        <f>INDEX(FFARawStatProjections!AT:AT,MATCH(T13,FFARawStatProjections!AV:AV,0))</f>
        <v>Derrick Henry</v>
      </c>
      <c r="T13" s="428">
        <f>LARGE(FFARawStatProjections!AV:AV,RBproj!K13)</f>
        <v>254.98119000000003</v>
      </c>
      <c r="U13" s="249">
        <f t="shared" si="1"/>
        <v>62.609793333333357</v>
      </c>
      <c r="V13" s="243">
        <f t="shared" si="2"/>
        <v>3919.9862212427142</v>
      </c>
      <c r="W13" s="356">
        <f>W14+W7/2</f>
        <v>224.37139666666667</v>
      </c>
      <c r="X13" s="243">
        <f t="shared" si="3"/>
        <v>3.9131120833333348</v>
      </c>
      <c r="Y13" s="238">
        <f>IFERROR(IF(ISBLANK(Beersheet!$A$1)=FALSE,
INDEX(Beersheet!$A:$U,MATCH(S13,INDEX(Beersheet!$A:$U,0,FFARawStatProjections!$BV$2),0),FFARawStatProjections!$BV$6),
IF(X13&gt;6,0,
IF(AND(X13&lt;=6,X13&gt;5),1,
IF(AND(X13&lt;=5,X13&gt;4),2,
IF(AND(X13&lt;=4,X13&gt;3),3,
IF(AND(X13&lt;=3,X13&gt;2),4,
IF(AND(X13&lt;=2,X13&gt;1),5,
IF(AND(X13&lt;=1,X13&gt;0),6,
IF(AND(X13&lt;=0,X13&gt;-1),7,
8))))))))),
10)</f>
        <v>3</v>
      </c>
    </row>
    <row r="14" spans="1:25" ht="15" customHeight="1" x14ac:dyDescent="0.25">
      <c r="A14" s="135"/>
      <c r="B14" s="143" t="s">
        <v>258</v>
      </c>
      <c r="C14" t="str">
        <f>IF(AND(IFERROR(INDEX(Instructions!$T$111:$T$222,MATCH(D14,Instructions!$T$111:$T$222,0)), "")=D14, D14&lt;&gt;""), "X", "")</f>
        <v/>
      </c>
      <c r="D14" s="137" t="s">
        <v>1766</v>
      </c>
      <c r="E14" s="286" t="s">
        <v>154</v>
      </c>
      <c r="F14" s="232">
        <f>IFERROR(IF(AND($F$5="Projected Points",Beersheet!A9&lt;&gt;"QB"), T14, IF(H14="", INDEX(Tier!$B$16:$B$24,MATCH(G14,Tier!$A$16:$A$24,0)), INDEX(Tier!$B$16:$B$24,MATCH(H14,Tier!$A$16:$A$24,0)))), "")</f>
        <v>250.26118</v>
      </c>
      <c r="G14" s="287">
        <f t="shared" si="4"/>
        <v>3</v>
      </c>
      <c r="H14" s="288"/>
      <c r="I14" s="392">
        <f>IFERROR(INDEX(ADP!R:R,MATCH(D14,ADP!D:D,0))-RBproj!K14,"")</f>
        <v>-3</v>
      </c>
      <c r="J14" s="127"/>
      <c r="K14" s="89">
        <v>8</v>
      </c>
      <c r="L14" t="s">
        <v>258</v>
      </c>
      <c r="M14">
        <f t="shared" si="0"/>
        <v>0</v>
      </c>
      <c r="N14" s="4">
        <f>IFERROR(INDEX(ADP!AC:AC,MATCH(D14,ADP!Y:Y,0)),0)</f>
        <v>2.2000000000000002</v>
      </c>
      <c r="O14" t="s">
        <v>3</v>
      </c>
      <c r="R14" t="str">
        <f>IFERROR(VLOOKUP(S14,FFARawStatProjections!AT:AV,2,FALSE),"")</f>
        <v>CLE</v>
      </c>
      <c r="S14" s="4" t="str">
        <f>INDEX(FFARawStatProjections!AT:AT,MATCH(T14,FFARawStatProjections!AV:AV,0))</f>
        <v>Nick Chubb</v>
      </c>
      <c r="T14" s="428">
        <f>LARGE(FFARawStatProjections!AV:AV,RBproj!K14)</f>
        <v>250.26118</v>
      </c>
      <c r="U14" s="249">
        <f t="shared" si="1"/>
        <v>57.889783333333327</v>
      </c>
      <c r="V14" s="243">
        <f t="shared" si="2"/>
        <v>3351.2270143802771</v>
      </c>
      <c r="W14" s="356">
        <f>W15+W7/2</f>
        <v>216.37139666666667</v>
      </c>
      <c r="X14" s="243">
        <f t="shared" si="3"/>
        <v>3.6181114583333329</v>
      </c>
      <c r="Y14" s="238">
        <f>IFERROR(IF(ISBLANK(Beersheet!$A$1)=FALSE,
INDEX(Beersheet!$A:$U,MATCH(S14,INDEX(Beersheet!$A:$U,0,FFARawStatProjections!$BV$2),0),FFARawStatProjections!$BV$6),
IF(X14&gt;6,0,
IF(AND(X14&lt;=6,X14&gt;5),1,
IF(AND(X14&lt;=5,X14&gt;4),2,
IF(AND(X14&lt;=4,X14&gt;3),3,
IF(AND(X14&lt;=3,X14&gt;2),4,
IF(AND(X14&lt;=2,X14&gt;1),5,
IF(AND(X14&lt;=1,X14&gt;0),6,
IF(AND(X14&lt;=0,X14&gt;-1),7,
8))))))))),
10)</f>
        <v>3</v>
      </c>
    </row>
    <row r="15" spans="1:25" ht="15" customHeight="1" x14ac:dyDescent="0.25">
      <c r="A15" s="135"/>
      <c r="B15" s="142" t="s">
        <v>259</v>
      </c>
      <c r="C15" t="str">
        <f>IF(AND(IFERROR(INDEX(Instructions!$T$111:$T$222,MATCH(D15,Instructions!$T$111:$T$222,0)), "")=D15, D15&lt;&gt;""), "X", "")</f>
        <v/>
      </c>
      <c r="D15" s="138" t="s">
        <v>2075</v>
      </c>
      <c r="E15" s="289" t="s">
        <v>158</v>
      </c>
      <c r="F15" s="434">
        <f>IFERROR(IF(AND($F$5="Projected Points",Beersheet!A10&lt;&gt;"QB"), T15, IF(H15="", INDEX(Tier!$B$16:$B$24,MATCH(G15,Tier!$A$16:$A$24,0)), INDEX(Tier!$B$16:$B$24,MATCH(H15,Tier!$A$16:$A$24,0)))), "")</f>
        <v>241.02125000000001</v>
      </c>
      <c r="G15" s="290">
        <f t="shared" si="4"/>
        <v>3</v>
      </c>
      <c r="H15" s="291"/>
      <c r="I15" s="392">
        <f>IFERROR(INDEX(ADP!R:R,MATCH(D15,ADP!D:D,0))-RBproj!K15,"")</f>
        <v>0</v>
      </c>
      <c r="J15" s="127"/>
      <c r="K15" s="89">
        <v>9</v>
      </c>
      <c r="L15" t="s">
        <v>259</v>
      </c>
      <c r="M15">
        <f t="shared" si="0"/>
        <v>0</v>
      </c>
      <c r="N15" s="4">
        <f>IFERROR(INDEX(ADP!AC:AC,MATCH(D15,ADP!Y:Y,0)),0)</f>
        <v>3.7</v>
      </c>
      <c r="O15" t="s">
        <v>3</v>
      </c>
      <c r="R15" t="str">
        <f>IFERROR(VLOOKUP(S15,FFARawStatProjections!AT:AV,2,FALSE),"")</f>
        <v>CIN</v>
      </c>
      <c r="S15" s="4" t="str">
        <f>INDEX(FFARawStatProjections!AT:AT,MATCH(T15,FFARawStatProjections!AV:AV,0))</f>
        <v>Joe Mixon</v>
      </c>
      <c r="T15" s="428">
        <f>LARGE(FFARawStatProjections!AV:AV,RBproj!K15)</f>
        <v>241.02125000000001</v>
      </c>
      <c r="U15" s="249">
        <f t="shared" si="1"/>
        <v>48.64985333333334</v>
      </c>
      <c r="V15" s="243">
        <f t="shared" si="2"/>
        <v>2366.808229354845</v>
      </c>
      <c r="W15" s="356">
        <f>W16+W7/2</f>
        <v>208.37139666666667</v>
      </c>
      <c r="X15" s="243">
        <f t="shared" si="3"/>
        <v>3.0406158333333337</v>
      </c>
      <c r="Y15" s="238">
        <f>IFERROR(IF(ISBLANK(Beersheet!$A$1)=FALSE,
INDEX(Beersheet!$A:$U,MATCH(S15,INDEX(Beersheet!$A:$U,0,FFARawStatProjections!$BV$2),0),FFARawStatProjections!$BV$6),
IF(X15&gt;6,0,
IF(AND(X15&lt;=6,X15&gt;5),1,
IF(AND(X15&lt;=5,X15&gt;4),2,
IF(AND(X15&lt;=4,X15&gt;3),3,
IF(AND(X15&lt;=3,X15&gt;2),4,
IF(AND(X15&lt;=2,X15&gt;1),5,
IF(AND(X15&lt;=1,X15&gt;0),6,
IF(AND(X15&lt;=0,X15&gt;-1),7,
8))))))))),
10)</f>
        <v>3</v>
      </c>
    </row>
    <row r="16" spans="1:25" ht="15" customHeight="1" x14ac:dyDescent="0.25">
      <c r="A16" s="135"/>
      <c r="B16" s="143" t="s">
        <v>260</v>
      </c>
      <c r="C16" t="str">
        <f>IF(AND(IFERROR(INDEX(Instructions!$T$111:$T$222,MATCH(D16,Instructions!$T$111:$T$222,0)), "")=D16, D16&lt;&gt;""), "X", "")</f>
        <v/>
      </c>
      <c r="D16" s="137" t="s">
        <v>1421</v>
      </c>
      <c r="E16" s="286" t="s">
        <v>145</v>
      </c>
      <c r="F16" s="232">
        <f>IFERROR(IF(AND($F$5="Projected Points",Beersheet!A11&lt;&gt;"QB"), T16, IF(H16="", INDEX(Tier!$B$16:$B$24,MATCH(G16,Tier!$A$16:$A$24,0)), INDEX(Tier!$B$16:$B$24,MATCH(H16,Tier!$A$16:$A$24,0)))), "")</f>
        <v>237.80124000000001</v>
      </c>
      <c r="G16" s="287">
        <f t="shared" si="4"/>
        <v>4</v>
      </c>
      <c r="H16" s="288"/>
      <c r="I16" s="392">
        <f>IFERROR(INDEX(ADP!R:R,MATCH(D16,ADP!D:D,0))-RBproj!K16,"")</f>
        <v>4</v>
      </c>
      <c r="J16" s="127"/>
      <c r="K16" s="89">
        <v>10</v>
      </c>
      <c r="L16" t="s">
        <v>260</v>
      </c>
      <c r="M16">
        <f t="shared" si="0"/>
        <v>0</v>
      </c>
      <c r="N16" s="4">
        <f>IFERROR(INDEX(ADP!AC:AC,MATCH(D16,ADP!Y:Y,0)),0)</f>
        <v>4.4000000000000004</v>
      </c>
      <c r="O16" t="s">
        <v>3</v>
      </c>
      <c r="R16" t="str">
        <f>IFERROR(VLOOKUP(S16,FFARawStatProjections!AT:AV,2,FALSE),"")</f>
        <v>IND</v>
      </c>
      <c r="S16" s="4" t="str">
        <f>INDEX(FFARawStatProjections!AT:AT,MATCH(T16,FFARawStatProjections!AV:AV,0))</f>
        <v>Jonathan Taylor</v>
      </c>
      <c r="T16" s="428">
        <f>LARGE(FFARawStatProjections!AV:AV,RBproj!K16)</f>
        <v>237.80124000000001</v>
      </c>
      <c r="U16" s="249">
        <f t="shared" si="1"/>
        <v>45.429843333333338</v>
      </c>
      <c r="V16" s="243">
        <f t="shared" si="2"/>
        <v>2063.8706652912115</v>
      </c>
      <c r="W16" s="356">
        <f>W17+W7/2</f>
        <v>200.37139666666667</v>
      </c>
      <c r="X16" s="243">
        <f t="shared" si="3"/>
        <v>2.8393652083333336</v>
      </c>
      <c r="Y16" s="238">
        <f>IFERROR(IF(ISBLANK(Beersheet!$A$1)=FALSE,
INDEX(Beersheet!$A:$U,MATCH(S16,INDEX(Beersheet!$A:$U,0,FFARawStatProjections!$BV$2),0),FFARawStatProjections!$BV$6),
IF(X16&gt;6,0,
IF(AND(X16&lt;=6,X16&gt;5),1,
IF(AND(X16&lt;=5,X16&gt;4),2,
IF(AND(X16&lt;=4,X16&gt;3),3,
IF(AND(X16&lt;=3,X16&gt;2),4,
IF(AND(X16&lt;=2,X16&gt;1),5,
IF(AND(X16&lt;=1,X16&gt;0),6,
IF(AND(X16&lt;=0,X16&gt;-1),7,
8))))))))),
10)</f>
        <v>4</v>
      </c>
    </row>
    <row r="17" spans="1:25" ht="15" customHeight="1" x14ac:dyDescent="0.25">
      <c r="A17" s="135"/>
      <c r="B17" s="142" t="s">
        <v>261</v>
      </c>
      <c r="C17" t="str">
        <f>IF(AND(IFERROR(INDEX(Instructions!$T$111:$T$222,MATCH(D17,Instructions!$T$111:$T$222,0)), "")=D17, D17&lt;&gt;""), "X", "")</f>
        <v/>
      </c>
      <c r="D17" s="138" t="s">
        <v>1436</v>
      </c>
      <c r="E17" s="289" t="s">
        <v>139</v>
      </c>
      <c r="F17" s="434">
        <f>IFERROR(IF(AND($F$5="Projected Points",Beersheet!A12&lt;&gt;"QB"), T17, IF(H17="", INDEX(Tier!$B$16:$B$24,MATCH(G17,Tier!$A$16:$A$24,0)), INDEX(Tier!$B$16:$B$24,MATCH(H17,Tier!$A$16:$A$24,0)))), "")</f>
        <v>235.81126</v>
      </c>
      <c r="G17" s="290">
        <f t="shared" si="4"/>
        <v>4</v>
      </c>
      <c r="H17" s="291"/>
      <c r="I17" s="392">
        <f>IFERROR(INDEX(ADP!R:R,MATCH(D17,ADP!D:D,0))-RBproj!K17,"")</f>
        <v>4</v>
      </c>
      <c r="J17" s="127"/>
      <c r="K17" s="89">
        <v>11</v>
      </c>
      <c r="L17" t="s">
        <v>261</v>
      </c>
      <c r="M17">
        <f t="shared" si="0"/>
        <v>9.9999999999999645E-2</v>
      </c>
      <c r="N17" s="4">
        <f>IFERROR(INDEX(ADP!AC:AC,MATCH(D17,ADP!Y:Y,0)),0)</f>
        <v>4.5</v>
      </c>
      <c r="O17" t="s">
        <v>3</v>
      </c>
      <c r="R17" t="str">
        <f>IFERROR(VLOOKUP(S17,FFARawStatProjections!AT:AV,2,FALSE),"")</f>
        <v>GB</v>
      </c>
      <c r="S17" s="4" t="str">
        <f>INDEX(FFARawStatProjections!AT:AT,MATCH(T17,FFARawStatProjections!AV:AV,0))</f>
        <v>Aaron Jones</v>
      </c>
      <c r="T17" s="428">
        <f>LARGE(FFARawStatProjections!AV:AV,RBproj!K17)</f>
        <v>235.81126</v>
      </c>
      <c r="U17" s="249">
        <f t="shared" si="1"/>
        <v>43.439863333333335</v>
      </c>
      <c r="V17" s="243">
        <f t="shared" si="2"/>
        <v>1887.0217264186779</v>
      </c>
      <c r="W17" s="481">
        <f>(INDEX(T7:T150, Instructions!$E$11*Instructions!$E$19,1)
+IF(Instructions!$E$19=2, INDEX(T7:T150,Instructions!$E$11,1),0)
+IF(Instructions!$J$15&gt;0, INDEX(T7:T150,Instructions!$E$11*(Instructions!$E$19+Instructions!$J$15*0.5),1),0)
+IF(Instructions!$J$15=2, INDEX(T7:T150,Instructions!$E$11*(Instructions!$E$19+0.5),1),0))
/(Instructions!$E$19+Instructions!$J$15)</f>
        <v>192.37139666666667</v>
      </c>
      <c r="X17" s="243">
        <f t="shared" si="3"/>
        <v>2.7149914583333334</v>
      </c>
      <c r="Y17" s="238">
        <f>IFERROR(IF(ISBLANK(Beersheet!$A$1)=FALSE,
INDEX(Beersheet!$A:$U,MATCH(S17,INDEX(Beersheet!$A:$U,0,FFARawStatProjections!$BV$2),0),FFARawStatProjections!$BV$6),
IF(X17&gt;6,0,
IF(AND(X17&lt;=6,X17&gt;5),1,
IF(AND(X17&lt;=5,X17&gt;4),2,
IF(AND(X17&lt;=4,X17&gt;3),3,
IF(AND(X17&lt;=3,X17&gt;2),4,
IF(AND(X17&lt;=2,X17&gt;1),5,
IF(AND(X17&lt;=1,X17&gt;0),6,
IF(AND(X17&lt;=0,X17&gt;-1),7,
8))))))))),
10)</f>
        <v>4</v>
      </c>
    </row>
    <row r="18" spans="1:25" ht="15" customHeight="1" x14ac:dyDescent="0.25">
      <c r="A18" s="135"/>
      <c r="B18" s="143" t="s">
        <v>262</v>
      </c>
      <c r="C18" t="str">
        <f>IF(AND(IFERROR(INDEX(Instructions!$T$111:$T$222,MATCH(D18,Instructions!$T$111:$T$222,0)), "")=D18, D18&lt;&gt;""), "X", "")</f>
        <v/>
      </c>
      <c r="D18" s="137" t="s">
        <v>2172</v>
      </c>
      <c r="E18" s="286" t="s">
        <v>147</v>
      </c>
      <c r="F18" s="232">
        <f>IFERROR(IF(AND($F$5="Projected Points",Beersheet!A13&lt;&gt;"QB"), T18, IF(H18="", INDEX(Tier!$B$16:$B$24,MATCH(G18,Tier!$A$16:$A$24,0)), INDEX(Tier!$B$16:$B$24,MATCH(H18,Tier!$A$16:$A$24,0)))), "")</f>
        <v>223.17127000000002</v>
      </c>
      <c r="G18" s="287">
        <f t="shared" si="4"/>
        <v>5</v>
      </c>
      <c r="H18" s="288"/>
      <c r="I18" s="392">
        <f>IFERROR(INDEX(ADP!R:R,MATCH(D18,ADP!D:D,0))-RBproj!K18,"")</f>
        <v>-1</v>
      </c>
      <c r="J18" s="127"/>
      <c r="K18" s="89">
        <v>12</v>
      </c>
      <c r="L18" t="s">
        <v>262</v>
      </c>
      <c r="M18">
        <f t="shared" si="0"/>
        <v>0.20000000000000018</v>
      </c>
      <c r="N18" s="4">
        <f>IFERROR(INDEX(ADP!AC:AC,MATCH(D18,ADP!Y:Y,0)),0)</f>
        <v>4.7</v>
      </c>
      <c r="O18" t="s">
        <v>3</v>
      </c>
      <c r="R18" t="str">
        <f>IFERROR(VLOOKUP(S18,FFARawStatProjections!AT:AV,2,FALSE),"")</f>
        <v>PIT</v>
      </c>
      <c r="S18" s="4" t="str">
        <f>INDEX(FFARawStatProjections!AT:AT,MATCH(T18,FFARawStatProjections!AV:AV,0))</f>
        <v>Najee Harris</v>
      </c>
      <c r="T18" s="428">
        <f>LARGE(FFARawStatProjections!AV:AV,RBproj!K18)</f>
        <v>223.17127000000002</v>
      </c>
      <c r="U18" s="249">
        <f t="shared" si="1"/>
        <v>30.799873333333352</v>
      </c>
      <c r="V18" s="243">
        <f t="shared" si="2"/>
        <v>948.63219734937888</v>
      </c>
      <c r="W18" s="356">
        <f>W17-W7/2</f>
        <v>184.37139666666667</v>
      </c>
      <c r="X18" s="243">
        <f t="shared" si="3"/>
        <v>1.9249920833333345</v>
      </c>
      <c r="Y18" s="238">
        <f>IFERROR(IF(ISBLANK(Beersheet!$A$1)=FALSE,
INDEX(Beersheet!$A:$U,MATCH(S18,INDEX(Beersheet!$A:$U,0,FFARawStatProjections!$BV$2),0),FFARawStatProjections!$BV$6),
IF(X18&gt;6,0,
IF(AND(X18&lt;=6,X18&gt;5),1,
IF(AND(X18&lt;=5,X18&gt;4),2,
IF(AND(X18&lt;=4,X18&gt;3),3,
IF(AND(X18&lt;=3,X18&gt;2),4,
IF(AND(X18&lt;=2,X18&gt;1),5,
IF(AND(X18&lt;=1,X18&gt;0),6,
IF(AND(X18&lt;=0,X18&gt;-1),7,
8))))))))),
10)</f>
        <v>5</v>
      </c>
    </row>
    <row r="19" spans="1:25" ht="15" customHeight="1" x14ac:dyDescent="0.25">
      <c r="A19" s="135"/>
      <c r="B19" s="142" t="s">
        <v>263</v>
      </c>
      <c r="C19" t="str">
        <f>IF(AND(IFERROR(INDEX(Instructions!$T$111:$T$222,MATCH(D19,Instructions!$T$111:$T$222,0)), "")=D19, D19&lt;&gt;""), "X", "")</f>
        <v/>
      </c>
      <c r="D19" s="138" t="s">
        <v>2173</v>
      </c>
      <c r="E19" s="289" t="s">
        <v>165</v>
      </c>
      <c r="F19" s="434">
        <f>IFERROR(IF(AND($F$5="Projected Points",Beersheet!A14&lt;&gt;"QB"), T19, IF(H19="", INDEX(Tier!$B$16:$B$24,MATCH(G19,Tier!$A$16:$A$24,0)), INDEX(Tier!$B$16:$B$24,MATCH(H19,Tier!$A$16:$A$24,0)))), "")</f>
        <v>222.28130999999999</v>
      </c>
      <c r="G19" s="290">
        <f t="shared" si="4"/>
        <v>5</v>
      </c>
      <c r="H19" s="291"/>
      <c r="I19" s="392">
        <f>IFERROR(INDEX(ADP!R:R,MATCH(D19,ADP!D:D,0))-RBproj!K19,"")</f>
        <v>-1</v>
      </c>
      <c r="J19" s="127"/>
      <c r="K19" s="89">
        <v>13</v>
      </c>
      <c r="L19" t="s">
        <v>263</v>
      </c>
      <c r="M19">
        <f t="shared" si="0"/>
        <v>0.29999999999999982</v>
      </c>
      <c r="N19" s="4">
        <f>IFERROR(INDEX(ADP!AC:AC,MATCH(D19,ADP!Y:Y,0)),0)</f>
        <v>5</v>
      </c>
      <c r="O19" t="s">
        <v>3</v>
      </c>
      <c r="R19" t="str">
        <f>IFERROR(VLOOKUP(S19,FFARawStatProjections!AT:AV,2,FALSE),"")</f>
        <v>NE</v>
      </c>
      <c r="S19" s="4" t="str">
        <f>INDEX(FFARawStatProjections!AT:AT,MATCH(T19,FFARawStatProjections!AV:AV,0))</f>
        <v>Rhamondre Stevenson</v>
      </c>
      <c r="T19" s="428">
        <f>LARGE(FFARawStatProjections!AV:AV,RBproj!K19)</f>
        <v>222.28130999999999</v>
      </c>
      <c r="U19" s="249">
        <f t="shared" si="1"/>
        <v>29.909913333333321</v>
      </c>
      <c r="V19" s="243">
        <f t="shared" si="2"/>
        <v>894.60291560751034</v>
      </c>
      <c r="W19" s="356">
        <f>W18-W7/2</f>
        <v>176.37139666666667</v>
      </c>
      <c r="X19" s="243">
        <f t="shared" si="3"/>
        <v>1.8693695833333326</v>
      </c>
      <c r="Y19" s="238">
        <f>IFERROR(IF(ISBLANK(Beersheet!$A$1)=FALSE,
INDEX(Beersheet!$A:$U,MATCH(S19,INDEX(Beersheet!$A:$U,0,FFARawStatProjections!$BV$2),0),FFARawStatProjections!$BV$6),
IF(X19&gt;6,0,
IF(AND(X19&lt;=6,X19&gt;5),1,
IF(AND(X19&lt;=5,X19&gt;4),2,
IF(AND(X19&lt;=4,X19&gt;3),3,
IF(AND(X19&lt;=3,X19&gt;2),4,
IF(AND(X19&lt;=2,X19&gt;1),5,
IF(AND(X19&lt;=1,X19&gt;0),6,
IF(AND(X19&lt;=0,X19&gt;-1),7,
8))))))))),
10)</f>
        <v>5</v>
      </c>
    </row>
    <row r="20" spans="1:25" ht="15" customHeight="1" x14ac:dyDescent="0.25">
      <c r="A20" s="135"/>
      <c r="B20" s="143" t="s">
        <v>264</v>
      </c>
      <c r="C20" t="str">
        <f>IF(AND(IFERROR(INDEX(Instructions!$T$111:$T$222,MATCH(D20,Instructions!$T$111:$T$222,0)), "")=D20, D20&lt;&gt;""), "X", "")</f>
        <v/>
      </c>
      <c r="D20" s="137" t="s">
        <v>2180</v>
      </c>
      <c r="E20" s="286" t="s">
        <v>157</v>
      </c>
      <c r="F20" s="232">
        <f>IFERROR(IF(AND($F$5="Projected Points",Beersheet!A15&lt;&gt;"QB"), T20, IF(H20="", INDEX(Tier!$B$16:$B$24,MATCH(G20,Tier!$A$16:$A$24,0)), INDEX(Tier!$B$16:$B$24,MATCH(H20,Tier!$A$16:$A$24,0)))), "")</f>
        <v>216.28127999999998</v>
      </c>
      <c r="G20" s="287">
        <f t="shared" si="4"/>
        <v>5</v>
      </c>
      <c r="H20" s="288"/>
      <c r="I20" s="392">
        <f>IFERROR(INDEX(ADP!R:R,MATCH(D20,ADP!D:D,0))-RBproj!K20,"")</f>
        <v>-4</v>
      </c>
      <c r="J20" s="127"/>
      <c r="K20" s="89">
        <v>14</v>
      </c>
      <c r="L20" t="s">
        <v>264</v>
      </c>
      <c r="M20">
        <f t="shared" si="0"/>
        <v>0</v>
      </c>
      <c r="N20" s="4">
        <f>IFERROR(INDEX(ADP!AC:AC,MATCH(D20,ADP!Y:Y,0)),0)</f>
        <v>3.2</v>
      </c>
      <c r="O20" t="s">
        <v>3</v>
      </c>
      <c r="R20" t="str">
        <f>IFERROR(VLOOKUP(S20,FFARawStatProjections!AT:AV,2,FALSE),"")</f>
        <v>JAC</v>
      </c>
      <c r="S20" s="4" t="str">
        <f>INDEX(FFARawStatProjections!AT:AT,MATCH(T20,FFARawStatProjections!AV:AV,0))</f>
        <v>Travis Etienne</v>
      </c>
      <c r="T20" s="428">
        <f>LARGE(FFARawStatProjections!AV:AV,RBproj!K20)</f>
        <v>216.28127999999998</v>
      </c>
      <c r="U20" s="249">
        <f t="shared" si="1"/>
        <v>23.909883333333312</v>
      </c>
      <c r="V20" s="243">
        <f t="shared" si="2"/>
        <v>571.68252101361008</v>
      </c>
      <c r="W20" s="356">
        <f>W19-W7/2</f>
        <v>168.37139666666667</v>
      </c>
      <c r="X20" s="243">
        <f t="shared" si="3"/>
        <v>1.494367708333332</v>
      </c>
      <c r="Y20" s="238">
        <f>IFERROR(IF(ISBLANK(Beersheet!$A$1)=FALSE,
INDEX(Beersheet!$A:$U,MATCH(S20,INDEX(Beersheet!$A:$U,0,FFARawStatProjections!$BV$2),0),FFARawStatProjections!$BV$6),
IF(X20&gt;6,0,
IF(AND(X20&lt;=6,X20&gt;5),1,
IF(AND(X20&lt;=5,X20&gt;4),2,
IF(AND(X20&lt;=4,X20&gt;3),3,
IF(AND(X20&lt;=3,X20&gt;2),4,
IF(AND(X20&lt;=2,X20&gt;1),5,
IF(AND(X20&lt;=1,X20&gt;0),6,
IF(AND(X20&lt;=0,X20&gt;-1),7,
8))))))))),
10)</f>
        <v>5</v>
      </c>
    </row>
    <row r="21" spans="1:25" ht="15" customHeight="1" x14ac:dyDescent="0.25">
      <c r="A21" s="135"/>
      <c r="B21" s="142" t="s">
        <v>265</v>
      </c>
      <c r="C21" t="str">
        <f>IF(AND(IFERROR(INDEX(Instructions!$T$111:$T$222,MATCH(D21,Instructions!$T$111:$T$222,0)), "")=D21, D21&lt;&gt;""), "X", "")</f>
        <v/>
      </c>
      <c r="D21" s="138" t="s">
        <v>1871</v>
      </c>
      <c r="E21" s="289" t="s">
        <v>138</v>
      </c>
      <c r="F21" s="434">
        <f>IFERROR(IF(AND($F$5="Projected Points",Beersheet!A16&lt;&gt;"QB"), T21, IF(H21="", INDEX(Tier!$B$16:$B$24,MATCH(G21,Tier!$A$16:$A$24,0)), INDEX(Tier!$B$16:$B$24,MATCH(H21,Tier!$A$16:$A$24,0)))), "")</f>
        <v>210.70131999999998</v>
      </c>
      <c r="G21" s="290">
        <f t="shared" si="4"/>
        <v>5</v>
      </c>
      <c r="H21" s="291"/>
      <c r="I21" s="392">
        <f>IFERROR(INDEX(ADP!R:R,MATCH(D21,ADP!D:D,0))-RBproj!K21,"")</f>
        <v>6</v>
      </c>
      <c r="J21" s="127"/>
      <c r="K21" s="89">
        <v>15</v>
      </c>
      <c r="L21" t="s">
        <v>265</v>
      </c>
      <c r="M21">
        <f t="shared" si="0"/>
        <v>2.2000000000000002</v>
      </c>
      <c r="N21" s="4">
        <f>IFERROR(INDEX(ADP!AC:AC,MATCH(D21,ADP!Y:Y,0)),0)</f>
        <v>7.7</v>
      </c>
      <c r="O21" t="s">
        <v>3</v>
      </c>
      <c r="R21" t="str">
        <f>IFERROR(VLOOKUP(S21,FFARawStatProjections!AT:AV,2,FALSE),"")</f>
        <v>AZ</v>
      </c>
      <c r="S21" s="4" t="str">
        <f>INDEX(FFARawStatProjections!AT:AT,MATCH(T21,FFARawStatProjections!AV:AV,0))</f>
        <v>James Conner</v>
      </c>
      <c r="T21" s="428">
        <f>LARGE(FFARawStatProjections!AV:AV,RBproj!K21)</f>
        <v>210.70131999999998</v>
      </c>
      <c r="U21" s="249">
        <f t="shared" si="1"/>
        <v>18.329923333333312</v>
      </c>
      <c r="V21" s="243">
        <f t="shared" si="2"/>
        <v>335.98608940587701</v>
      </c>
      <c r="W21" s="356">
        <f>W20-W7/2</f>
        <v>160.37139666666667</v>
      </c>
      <c r="X21" s="243">
        <f t="shared" si="3"/>
        <v>1.145620208333332</v>
      </c>
      <c r="Y21" s="238">
        <f>IFERROR(IF(ISBLANK(Beersheet!$A$1)=FALSE,
INDEX(Beersheet!$A:$U,MATCH(S21,INDEX(Beersheet!$A:$U,0,FFARawStatProjections!$BV$2),0),FFARawStatProjections!$BV$6),
IF(X21&gt;6,0,
IF(AND(X21&lt;=6,X21&gt;5),1,
IF(AND(X21&lt;=5,X21&gt;4),2,
IF(AND(X21&lt;=4,X21&gt;3),3,
IF(AND(X21&lt;=3,X21&gt;2),4,
IF(AND(X21&lt;=2,X21&gt;1),5,
IF(AND(X21&lt;=1,X21&gt;0),6,
IF(AND(X21&lt;=0,X21&gt;-1),7,
8))))))))),
10)</f>
        <v>5</v>
      </c>
    </row>
    <row r="22" spans="1:25" ht="15" customHeight="1" x14ac:dyDescent="0.25">
      <c r="A22" s="135"/>
      <c r="B22" s="143" t="s">
        <v>266</v>
      </c>
      <c r="C22" t="str">
        <f>IF(AND(IFERROR(INDEX(Instructions!$T$111:$T$222,MATCH(D22,Instructions!$T$111:$T$222,0)), "")=D22, D22&lt;&gt;""), "X", "")</f>
        <v/>
      </c>
      <c r="D22" s="137" t="s">
        <v>1422</v>
      </c>
      <c r="E22" s="286" t="s">
        <v>2272</v>
      </c>
      <c r="F22" s="232">
        <f>IFERROR(IF(AND($F$5="Projected Points",Beersheet!A17&lt;&gt;"QB"), T22, IF(H22="", INDEX(Tier!$B$16:$B$24,MATCH(G22,Tier!$A$16:$A$24,0)), INDEX(Tier!$B$16:$B$24,MATCH(H22,Tier!$A$16:$A$24,0)))), "")</f>
        <v>210.42129000000003</v>
      </c>
      <c r="G22" s="287">
        <f t="shared" si="4"/>
        <v>5</v>
      </c>
      <c r="H22" s="288"/>
      <c r="I22" s="392">
        <f>IFERROR(INDEX(ADP!R:R,MATCH(D22,ADP!D:D,0))-RBproj!K22,"")</f>
        <v>7</v>
      </c>
      <c r="J22" s="127"/>
      <c r="K22" s="89">
        <v>16</v>
      </c>
      <c r="L22" t="s">
        <v>266</v>
      </c>
      <c r="M22">
        <f t="shared" si="0"/>
        <v>0.90000000000000036</v>
      </c>
      <c r="N22" s="4">
        <f>IFERROR(INDEX(ADP!AC:AC,MATCH(D22,ADP!Y:Y,0)),0)</f>
        <v>6.7</v>
      </c>
      <c r="O22" t="s">
        <v>3</v>
      </c>
      <c r="R22" t="str">
        <f>IFERROR(VLOOKUP(S22,FFARawStatProjections!AT:AV,2,FALSE),"")</f>
        <v>MIN</v>
      </c>
      <c r="S22" s="4" t="str">
        <f>INDEX(FFARawStatProjections!AT:AT,MATCH(T22,FFARawStatProjections!AV:AV,0))</f>
        <v>Alexander Mattison</v>
      </c>
      <c r="T22" s="428">
        <f>LARGE(FFARawStatProjections!AV:AV,RBproj!K22)</f>
        <v>210.42129000000003</v>
      </c>
      <c r="U22" s="249">
        <f t="shared" si="1"/>
        <v>18.049893333333358</v>
      </c>
      <c r="V22" s="243">
        <f t="shared" si="2"/>
        <v>325.79864934471203</v>
      </c>
      <c r="W22" s="244"/>
      <c r="X22" s="243">
        <f t="shared" si="3"/>
        <v>1.1281183333333349</v>
      </c>
      <c r="Y22" s="238">
        <f>IFERROR(IF(ISBLANK(Beersheet!$A$1)=FALSE,
INDEX(Beersheet!$A:$U,MATCH(S22,INDEX(Beersheet!$A:$U,0,FFARawStatProjections!$BV$2),0),FFARawStatProjections!$BV$6),
IF(X22&gt;6,0,
IF(AND(X22&lt;=6,X22&gt;5),1,
IF(AND(X22&lt;=5,X22&gt;4),2,
IF(AND(X22&lt;=4,X22&gt;3),3,
IF(AND(X22&lt;=3,X22&gt;2),4,
IF(AND(X22&lt;=2,X22&gt;1),5,
IF(AND(X22&lt;=1,X22&gt;0),6,
IF(AND(X22&lt;=0,X22&gt;-1),7,
8))))))))),
10)</f>
        <v>5</v>
      </c>
    </row>
    <row r="23" spans="1:25" ht="15" customHeight="1" x14ac:dyDescent="0.25">
      <c r="A23" s="135"/>
      <c r="B23" s="142" t="s">
        <v>267</v>
      </c>
      <c r="C23" t="str">
        <f>IF(AND(IFERROR(INDEX(Instructions!$T$111:$T$222,MATCH(D23,Instructions!$T$111:$T$222,0)), "")=D23, D23&lt;&gt;""), "X", "")</f>
        <v/>
      </c>
      <c r="D23" s="138" t="s">
        <v>2478</v>
      </c>
      <c r="E23" s="289" t="s">
        <v>142</v>
      </c>
      <c r="F23" s="434">
        <f>IFERROR(IF(AND($F$5="Projected Points",Beersheet!A18&lt;&gt;"QB"), T23, IF(H23="", INDEX(Tier!$B$16:$B$24,MATCH(G23,Tier!$A$16:$A$24,0)), INDEX(Tier!$B$16:$B$24,MATCH(H23,Tier!$A$16:$A$24,0)))), "")</f>
        <v>209.63133999999999</v>
      </c>
      <c r="G23" s="290">
        <f t="shared" si="4"/>
        <v>5</v>
      </c>
      <c r="H23" s="291"/>
      <c r="I23" s="392">
        <f>IFERROR(INDEX(ADP!R:R,MATCH(D23,ADP!D:D,0))-RBproj!K23,"")</f>
        <v>-1</v>
      </c>
      <c r="J23" s="127"/>
      <c r="K23" s="89">
        <v>17</v>
      </c>
      <c r="L23" t="s">
        <v>267</v>
      </c>
      <c r="M23">
        <f t="shared" si="0"/>
        <v>0</v>
      </c>
      <c r="N23" s="4">
        <f>IFERROR(INDEX(ADP!AC:AC,MATCH(D23,ADP!Y:Y,0)),0)</f>
        <v>5.5</v>
      </c>
      <c r="O23" t="s">
        <v>3</v>
      </c>
      <c r="R23" t="str">
        <f>IFERROR(VLOOKUP(S23,FFARawStatProjections!AT:AV,2,FALSE),"")</f>
        <v>DET</v>
      </c>
      <c r="S23" s="4" t="str">
        <f>INDEX(FFARawStatProjections!AT:AT,MATCH(T23,FFARawStatProjections!AV:AV,0))</f>
        <v>Jahmyr Gibbs</v>
      </c>
      <c r="T23" s="428">
        <f>LARGE(FFARawStatProjections!AV:AV,RBproj!K23)</f>
        <v>209.63133999999999</v>
      </c>
      <c r="U23" s="249">
        <f t="shared" si="1"/>
        <v>17.259943333333325</v>
      </c>
      <c r="V23" s="243">
        <f t="shared" si="2"/>
        <v>297.90564386987751</v>
      </c>
      <c r="W23" s="244"/>
      <c r="X23" s="243">
        <f t="shared" si="3"/>
        <v>1.0787464583333328</v>
      </c>
      <c r="Y23" s="238">
        <f>IFERROR(IF(ISBLANK(Beersheet!$A$1)=FALSE,
INDEX(Beersheet!$A:$U,MATCH(S23,INDEX(Beersheet!$A:$U,0,FFARawStatProjections!$BV$2),0),FFARawStatProjections!$BV$6),
IF(X23&gt;6,0,
IF(AND(X23&lt;=6,X23&gt;5),1,
IF(AND(X23&lt;=5,X23&gt;4),2,
IF(AND(X23&lt;=4,X23&gt;3),3,
IF(AND(X23&lt;=3,X23&gt;2),4,
IF(AND(X23&lt;=2,X23&gt;1),5,
IF(AND(X23&lt;=1,X23&gt;0),6,
IF(AND(X23&lt;=0,X23&gt;-1),7,
8))))))))),
10)</f>
        <v>5</v>
      </c>
    </row>
    <row r="24" spans="1:25" ht="15" customHeight="1" x14ac:dyDescent="0.25">
      <c r="A24" s="135"/>
      <c r="B24" s="143" t="s">
        <v>268</v>
      </c>
      <c r="C24" t="str">
        <f>IF(AND(IFERROR(INDEX(Instructions!$T$111:$T$222,MATCH(D24,Instructions!$T$111:$T$222,0)), "")=D24, D24&lt;&gt;""), "X", "")</f>
        <v/>
      </c>
      <c r="D24" s="137" t="s">
        <v>2450</v>
      </c>
      <c r="E24" s="286" t="s">
        <v>140</v>
      </c>
      <c r="F24" s="232">
        <f>IFERROR(IF(AND($F$5="Projected Points",Beersheet!A19&lt;&gt;"QB"), T24, IF(H24="", INDEX(Tier!$B$16:$B$24,MATCH(G24,Tier!$A$16:$A$24,0)), INDEX(Tier!$B$16:$B$24,MATCH(H24,Tier!$A$16:$A$24,0)))), "")</f>
        <v>204.69139999999999</v>
      </c>
      <c r="G24" s="287">
        <f t="shared" si="4"/>
        <v>6</v>
      </c>
      <c r="H24" s="288"/>
      <c r="I24" s="392">
        <f>IFERROR(INDEX(ADP!R:R,MATCH(D24,ADP!D:D,0))-RBproj!K24,"")</f>
        <v>-1</v>
      </c>
      <c r="J24" s="127"/>
      <c r="K24" s="89">
        <v>18</v>
      </c>
      <c r="L24" t="s">
        <v>268</v>
      </c>
      <c r="M24">
        <f t="shared" si="0"/>
        <v>0</v>
      </c>
      <c r="N24" s="4">
        <f>IFERROR(INDEX(ADP!AC:AC,MATCH(D24,ADP!Y:Y,0)),0)</f>
        <v>5.8</v>
      </c>
      <c r="O24" t="s">
        <v>3</v>
      </c>
      <c r="R24" t="str">
        <f>IFERROR(VLOOKUP(S24,FFARawStatProjections!AT:AV,2,FALSE),"")</f>
        <v>TB</v>
      </c>
      <c r="S24" s="4" t="str">
        <f>INDEX(FFARawStatProjections!AT:AT,MATCH(T24,FFARawStatProjections!AV:AV,0))</f>
        <v>Rachaad White</v>
      </c>
      <c r="T24" s="428">
        <f>LARGE(FFARawStatProjections!AV:AV,RBproj!K24)</f>
        <v>204.69139999999999</v>
      </c>
      <c r="U24" s="249">
        <f t="shared" si="1"/>
        <v>12.320003333333318</v>
      </c>
      <c r="V24" s="243">
        <f t="shared" si="2"/>
        <v>151.78248213334408</v>
      </c>
      <c r="W24" s="244"/>
      <c r="X24" s="243">
        <f t="shared" si="3"/>
        <v>0.77000020833333238</v>
      </c>
      <c r="Y24" s="238">
        <f>IFERROR(IF(ISBLANK(Beersheet!$A$1)=FALSE,
INDEX(Beersheet!$A:$U,MATCH(S24,INDEX(Beersheet!$A:$U,0,FFARawStatProjections!$BV$2),0),FFARawStatProjections!$BV$6),
IF(X24&gt;6,0,
IF(AND(X24&lt;=6,X24&gt;5),1,
IF(AND(X24&lt;=5,X24&gt;4),2,
IF(AND(X24&lt;=4,X24&gt;3),3,
IF(AND(X24&lt;=3,X24&gt;2),4,
IF(AND(X24&lt;=2,X24&gt;1),5,
IF(AND(X24&lt;=1,X24&gt;0),6,
IF(AND(X24&lt;=0,X24&gt;-1),7,
8))))))))),
10)</f>
        <v>6</v>
      </c>
    </row>
    <row r="25" spans="1:25" ht="15" customHeight="1" x14ac:dyDescent="0.25">
      <c r="A25" s="135"/>
      <c r="B25" s="142" t="s">
        <v>269</v>
      </c>
      <c r="C25" t="str">
        <f>IF(AND(IFERROR(INDEX(Instructions!$T$111:$T$222,MATCH(D25,Instructions!$T$111:$T$222,0)), "")=D25, D25&lt;&gt;""), "X", "")</f>
        <v/>
      </c>
      <c r="D25" s="138" t="s">
        <v>2292</v>
      </c>
      <c r="E25" s="289" t="s">
        <v>151</v>
      </c>
      <c r="F25" s="434">
        <f>IFERROR(IF(AND($F$5="Projected Points",Beersheet!A20&lt;&gt;"QB"), T25, IF(H25="", INDEX(Tier!$B$16:$B$24,MATCH(G25,Tier!$A$16:$A$24,0)), INDEX(Tier!$B$16:$B$24,MATCH(H25,Tier!$A$16:$A$24,0)))), "")</f>
        <v>202.70132999999998</v>
      </c>
      <c r="G25" s="290">
        <f t="shared" si="4"/>
        <v>6</v>
      </c>
      <c r="H25" s="291"/>
      <c r="I25" s="392">
        <f>IFERROR(INDEX(ADP!R:R,MATCH(D25,ADP!D:D,0))-RBproj!K25,"")</f>
        <v>3</v>
      </c>
      <c r="J25" s="127"/>
      <c r="K25" s="89">
        <v>19</v>
      </c>
      <c r="L25" t="s">
        <v>269</v>
      </c>
      <c r="M25">
        <f t="shared" si="0"/>
        <v>1.8999999999999995</v>
      </c>
      <c r="N25" s="4">
        <f>IFERROR(INDEX(ADP!AC:AC,MATCH(D25,ADP!Y:Y,0)),0)</f>
        <v>7.8</v>
      </c>
      <c r="O25" t="s">
        <v>3</v>
      </c>
      <c r="R25" t="str">
        <f>IFERROR(VLOOKUP(S25,FFARawStatProjections!AT:AV,2,FALSE),"")</f>
        <v>HOU</v>
      </c>
      <c r="S25" s="4" t="str">
        <f>INDEX(FFARawStatProjections!AT:AT,MATCH(T25,FFARawStatProjections!AV:AV,0))</f>
        <v>Dameon Pierce</v>
      </c>
      <c r="T25" s="428">
        <f>LARGE(FFARawStatProjections!AV:AV,RBproj!K25)</f>
        <v>202.70132999999998</v>
      </c>
      <c r="U25" s="249">
        <f t="shared" si="1"/>
        <v>10.329933333333315</v>
      </c>
      <c r="V25" s="243">
        <f t="shared" si="2"/>
        <v>106.70752267111074</v>
      </c>
      <c r="W25" s="244"/>
      <c r="X25" s="243">
        <f t="shared" si="3"/>
        <v>0.6456208333333322</v>
      </c>
      <c r="Y25" s="238">
        <f>IFERROR(IF(ISBLANK(Beersheet!$A$1)=FALSE,
INDEX(Beersheet!$A:$U,MATCH(S25,INDEX(Beersheet!$A:$U,0,FFARawStatProjections!$BV$2),0),FFARawStatProjections!$BV$6),
IF(X25&gt;6,0,
IF(AND(X25&lt;=6,X25&gt;5),1,
IF(AND(X25&lt;=5,X25&gt;4),2,
IF(AND(X25&lt;=4,X25&gt;3),3,
IF(AND(X25&lt;=3,X25&gt;2),4,
IF(AND(X25&lt;=2,X25&gt;1),5,
IF(AND(X25&lt;=1,X25&gt;0),6,
IF(AND(X25&lt;=0,X25&gt;-1),7,
8))))))))),
10)</f>
        <v>6</v>
      </c>
    </row>
    <row r="26" spans="1:25" ht="15" customHeight="1" x14ac:dyDescent="0.25">
      <c r="A26" s="135"/>
      <c r="B26" s="143" t="s">
        <v>270</v>
      </c>
      <c r="C26" t="str">
        <f>IF(AND(IFERROR(INDEX(Instructions!$T$111:$T$222,MATCH(D26,Instructions!$T$111:$T$222,0)), "")=D26, D26&lt;&gt;""), "X", "")</f>
        <v/>
      </c>
      <c r="D26" s="137" t="s">
        <v>2295</v>
      </c>
      <c r="E26" s="286" t="s">
        <v>149</v>
      </c>
      <c r="F26" s="232">
        <f>IFERROR(IF(AND($F$5="Projected Points",Beersheet!A21&lt;&gt;"QB"), T26, IF(H26="", INDEX(Tier!$B$16:$B$24,MATCH(G26,Tier!$A$16:$A$24,0)), INDEX(Tier!$B$16:$B$24,MATCH(H26,Tier!$A$16:$A$24,0)))), "")</f>
        <v>200.10129999999998</v>
      </c>
      <c r="G26" s="287">
        <f t="shared" si="4"/>
        <v>6</v>
      </c>
      <c r="H26" s="288"/>
      <c r="I26" s="392">
        <f>IFERROR(INDEX(ADP!R:R,MATCH(D26,ADP!D:D,0))-RBproj!K26,"")</f>
        <v>6</v>
      </c>
      <c r="J26" s="127"/>
      <c r="K26" s="89">
        <v>20</v>
      </c>
      <c r="L26" t="s">
        <v>270</v>
      </c>
      <c r="M26">
        <f t="shared" si="0"/>
        <v>0.69999999999999929</v>
      </c>
      <c r="N26" s="4">
        <f>IFERROR(INDEX(ADP!AC:AC,MATCH(D26,ADP!Y:Y,0)),0)</f>
        <v>6.6</v>
      </c>
      <c r="O26" t="s">
        <v>3</v>
      </c>
      <c r="R26" t="str">
        <f>IFERROR(VLOOKUP(S26,FFARawStatProjections!AT:AV,2,FALSE),"")</f>
        <v>SEA</v>
      </c>
      <c r="S26" s="4" t="str">
        <f>INDEX(FFARawStatProjections!AT:AT,MATCH(T26,FFARawStatProjections!AV:AV,0))</f>
        <v>Kenneth Walker</v>
      </c>
      <c r="T26" s="428">
        <f>LARGE(FFARawStatProjections!AV:AV,RBproj!K26)</f>
        <v>200.10129999999998</v>
      </c>
      <c r="U26" s="249">
        <f t="shared" si="1"/>
        <v>7.7299033333333114</v>
      </c>
      <c r="V26" s="243">
        <f t="shared" si="2"/>
        <v>59.751405542677439</v>
      </c>
      <c r="W26" s="244"/>
      <c r="X26" s="243">
        <f t="shared" si="3"/>
        <v>0.48311895833333196</v>
      </c>
      <c r="Y26" s="238">
        <f>IFERROR(IF(ISBLANK(Beersheet!$A$1)=FALSE,
INDEX(Beersheet!$A:$U,MATCH(S26,INDEX(Beersheet!$A:$U,0,FFARawStatProjections!$BV$2),0),FFARawStatProjections!$BV$6),
IF(X26&gt;6,0,
IF(AND(X26&lt;=6,X26&gt;5),1,
IF(AND(X26&lt;=5,X26&gt;4),2,
IF(AND(X26&lt;=4,X26&gt;3),3,
IF(AND(X26&lt;=3,X26&gt;2),4,
IF(AND(X26&lt;=2,X26&gt;1),5,
IF(AND(X26&lt;=1,X26&gt;0),6,
IF(AND(X26&lt;=0,X26&gt;-1),7,
8))))))))),
10)</f>
        <v>6</v>
      </c>
    </row>
    <row r="27" spans="1:25" ht="15" customHeight="1" x14ac:dyDescent="0.25">
      <c r="A27" s="135"/>
      <c r="B27" s="142" t="s">
        <v>271</v>
      </c>
      <c r="C27" t="str">
        <f>IF(AND(IFERROR(INDEX(Instructions!$T$111:$T$222,MATCH(D27,Instructions!$T$111:$T$222,0)), "")=D27, D27&lt;&gt;""), "X", "")</f>
        <v/>
      </c>
      <c r="D27" s="138" t="s">
        <v>2290</v>
      </c>
      <c r="E27" s="289" t="s">
        <v>164</v>
      </c>
      <c r="F27" s="434">
        <f>IFERROR(IF(AND($F$5="Projected Points",Beersheet!A22&lt;&gt;"QB"), T27, IF(H27="", INDEX(Tier!$B$16:$B$24,MATCH(G27,Tier!$A$16:$A$24,0)), INDEX(Tier!$B$16:$B$24,MATCH(H27,Tier!$A$16:$A$24,0)))), "")</f>
        <v>196.11136000000002</v>
      </c>
      <c r="G27" s="290">
        <f t="shared" si="4"/>
        <v>6</v>
      </c>
      <c r="H27" s="291"/>
      <c r="I27" s="392">
        <f>IFERROR(INDEX(ADP!R:R,MATCH(D27,ADP!D:D,0))-RBproj!K27,"")</f>
        <v>-8</v>
      </c>
      <c r="J27" s="127"/>
      <c r="K27" s="89">
        <v>21</v>
      </c>
      <c r="L27" t="s">
        <v>271</v>
      </c>
      <c r="M27">
        <f t="shared" si="0"/>
        <v>0</v>
      </c>
      <c r="N27" s="4">
        <f>IFERROR(INDEX(ADP!AC:AC,MATCH(D27,ADP!Y:Y,0)),0)</f>
        <v>5.4</v>
      </c>
      <c r="O27" t="s">
        <v>3</v>
      </c>
      <c r="R27" t="str">
        <f>IFERROR(VLOOKUP(S27,FFARawStatProjections!AT:AV,2,FALSE),"")</f>
        <v>NYJ</v>
      </c>
      <c r="S27" s="4" t="str">
        <f>INDEX(FFARawStatProjections!AT:AT,MATCH(T27,FFARawStatProjections!AV:AV,0))</f>
        <v>Breece Hall</v>
      </c>
      <c r="T27" s="428">
        <f>LARGE(FFARawStatProjections!AV:AV,RBproj!K27)</f>
        <v>196.11136000000002</v>
      </c>
      <c r="U27" s="249">
        <f t="shared" si="1"/>
        <v>3.7399633333333497</v>
      </c>
      <c r="V27" s="243">
        <f t="shared" si="2"/>
        <v>13.987325734677901</v>
      </c>
      <c r="W27" s="244"/>
      <c r="X27" s="243">
        <f t="shared" si="3"/>
        <v>0.23374770833333436</v>
      </c>
      <c r="Y27" s="238">
        <f>IFERROR(IF(ISBLANK(Beersheet!$A$1)=FALSE,
INDEX(Beersheet!$A:$U,MATCH(S27,INDEX(Beersheet!$A:$U,0,FFARawStatProjections!$BV$2),0),FFARawStatProjections!$BV$6),
IF(X27&gt;6,0,
IF(AND(X27&lt;=6,X27&gt;5),1,
IF(AND(X27&lt;=5,X27&gt;4),2,
IF(AND(X27&lt;=4,X27&gt;3),3,
IF(AND(X27&lt;=3,X27&gt;2),4,
IF(AND(X27&lt;=2,X27&gt;1),5,
IF(AND(X27&lt;=1,X27&gt;0),6,
IF(AND(X27&lt;=0,X27&gt;-1),7,
8))))))))),
10)</f>
        <v>6</v>
      </c>
    </row>
    <row r="28" spans="1:25" ht="15" customHeight="1" x14ac:dyDescent="0.25">
      <c r="A28" s="135"/>
      <c r="B28" s="143" t="s">
        <v>272</v>
      </c>
      <c r="C28" t="str">
        <f>IF(AND(IFERROR(INDEX(Instructions!$T$111:$T$222,MATCH(D28,Instructions!$T$111:$T$222,0)), "")=D28, D28&lt;&gt;""), "X", "")</f>
        <v/>
      </c>
      <c r="D28" s="137" t="s">
        <v>1856</v>
      </c>
      <c r="E28" s="286" t="s">
        <v>159</v>
      </c>
      <c r="F28" s="232">
        <f>IFERROR(IF(AND($F$5="Projected Points",Beersheet!A23&lt;&gt;"QB"), T28, IF(H28="", INDEX(Tier!$B$16:$B$24,MATCH(G28,Tier!$A$16:$A$24,0)), INDEX(Tier!$B$16:$B$24,MATCH(H28,Tier!$A$16:$A$24,0)))), "")</f>
        <v>193.20135000000002</v>
      </c>
      <c r="G28" s="287">
        <f t="shared" si="4"/>
        <v>6</v>
      </c>
      <c r="H28" s="288"/>
      <c r="I28" s="392">
        <f>IFERROR(INDEX(ADP!R:R,MATCH(D28,ADP!D:D,0))-RBproj!K28,"")</f>
        <v>-4</v>
      </c>
      <c r="J28" s="127"/>
      <c r="K28" s="89">
        <v>22</v>
      </c>
      <c r="L28" t="s">
        <v>272</v>
      </c>
      <c r="M28">
        <f t="shared" si="0"/>
        <v>0</v>
      </c>
      <c r="N28" s="4">
        <f>IFERROR(INDEX(ADP!AC:AC,MATCH(D28,ADP!Y:Y,0)),0)</f>
        <v>5.9</v>
      </c>
      <c r="O28" t="s">
        <v>3</v>
      </c>
      <c r="R28" t="str">
        <f>IFERROR(VLOOKUP(S28,FFARawStatProjections!AT:AV,2,FALSE),"")</f>
        <v>CAR</v>
      </c>
      <c r="S28" s="4" t="str">
        <f>INDEX(FFARawStatProjections!AT:AT,MATCH(T28,FFARawStatProjections!AV:AV,0))</f>
        <v>Miles Sanders</v>
      </c>
      <c r="T28" s="428">
        <f>LARGE(FFARawStatProjections!AV:AV,RBproj!K28)</f>
        <v>193.20135000000002</v>
      </c>
      <c r="U28" s="249">
        <f t="shared" si="1"/>
        <v>0.82995333333334997</v>
      </c>
      <c r="V28" s="243">
        <f t="shared" si="2"/>
        <v>0.6888225355111387</v>
      </c>
      <c r="W28" s="244"/>
      <c r="X28" s="243">
        <f t="shared" si="3"/>
        <v>5.1872083333334373E-2</v>
      </c>
      <c r="Y28" s="238">
        <f>IFERROR(IF(ISBLANK(Beersheet!$A$1)=FALSE,
INDEX(Beersheet!$A:$U,MATCH(S28,INDEX(Beersheet!$A:$U,0,FFARawStatProjections!$BV$2),0),FFARawStatProjections!$BV$6),
IF(X28&gt;6,0,
IF(AND(X28&lt;=6,X28&gt;5),1,
IF(AND(X28&lt;=5,X28&gt;4),2,
IF(AND(X28&lt;=4,X28&gt;3),3,
IF(AND(X28&lt;=3,X28&gt;2),4,
IF(AND(X28&lt;=2,X28&gt;1),5,
IF(AND(X28&lt;=1,X28&gt;0),6,
IF(AND(X28&lt;=0,X28&gt;-1),7,
8))))))))),
10)</f>
        <v>6</v>
      </c>
    </row>
    <row r="29" spans="1:25" ht="15" customHeight="1" x14ac:dyDescent="0.25">
      <c r="A29" s="135"/>
      <c r="B29" s="142" t="s">
        <v>273</v>
      </c>
      <c r="C29" t="str">
        <f>IF(AND(IFERROR(INDEX(Instructions!$T$111:$T$222,MATCH(D29,Instructions!$T$111:$T$222,0)), "")=D29, D29&lt;&gt;""), "X", "")</f>
        <v>X</v>
      </c>
      <c r="D29" s="138" t="s">
        <v>2289</v>
      </c>
      <c r="E29" s="289" t="s">
        <v>1389</v>
      </c>
      <c r="F29" s="434">
        <f>IFERROR(IF(AND($F$5="Projected Points",Beersheet!A24&lt;&gt;"QB"), T29, IF(H29="", INDEX(Tier!$B$16:$B$24,MATCH(G29,Tier!$A$16:$A$24,0)), INDEX(Tier!$B$16:$B$24,MATCH(H29,Tier!$A$16:$A$24,0)))), "")</f>
        <v>186.86137000000002</v>
      </c>
      <c r="G29" s="290">
        <f t="shared" si="4"/>
        <v>7</v>
      </c>
      <c r="H29" s="291"/>
      <c r="I29" s="392">
        <f>IFERROR(INDEX(ADP!R:R,MATCH(D29,ADP!D:D,0))-RBproj!K29,"")</f>
        <v>-3</v>
      </c>
      <c r="J29" s="127"/>
      <c r="K29" s="89">
        <v>23</v>
      </c>
      <c r="L29" t="s">
        <v>273</v>
      </c>
      <c r="M29">
        <f t="shared" si="0"/>
        <v>0.5</v>
      </c>
      <c r="N29" s="4">
        <f>IFERROR(INDEX(ADP!AC:AC,MATCH(D29,ADP!Y:Y,0)),0)</f>
        <v>7.1</v>
      </c>
      <c r="O29" t="s">
        <v>3</v>
      </c>
      <c r="R29" t="str">
        <f>IFERROR(VLOOKUP(S29,FFARawStatProjections!AT:AV,2,FALSE),"")</f>
        <v>LAR</v>
      </c>
      <c r="S29" s="4" t="str">
        <f>INDEX(FFARawStatProjections!AT:AT,MATCH(T29,FFARawStatProjections!AV:AV,0))</f>
        <v>Cam Akers</v>
      </c>
      <c r="T29" s="428">
        <f>LARGE(FFARawStatProjections!AV:AV,RBproj!K29)</f>
        <v>186.86137000000002</v>
      </c>
      <c r="U29" s="249">
        <f t="shared" si="1"/>
        <v>-5.5100266666666471</v>
      </c>
      <c r="V29" s="243">
        <f t="shared" si="2"/>
        <v>30.360393867377564</v>
      </c>
      <c r="W29" s="244"/>
      <c r="X29" s="243">
        <f t="shared" si="3"/>
        <v>-0.34437666666666544</v>
      </c>
      <c r="Y29" s="238">
        <f>IFERROR(IF(ISBLANK(Beersheet!$A$1)=FALSE,
INDEX(Beersheet!$A:$U,MATCH(S29,INDEX(Beersheet!$A:$U,0,FFARawStatProjections!$BV$2),0),FFARawStatProjections!$BV$6),
IF(X29&gt;6,0,
IF(AND(X29&lt;=6,X29&gt;5),1,
IF(AND(X29&lt;=5,X29&gt;4),2,
IF(AND(X29&lt;=4,X29&gt;3),3,
IF(AND(X29&lt;=3,X29&gt;2),4,
IF(AND(X29&lt;=2,X29&gt;1),5,
IF(AND(X29&lt;=1,X29&gt;0),6,
IF(AND(X29&lt;=0,X29&gt;-1),7,
8))))))))),
10)</f>
        <v>7</v>
      </c>
    </row>
    <row r="30" spans="1:25" ht="15" customHeight="1" x14ac:dyDescent="0.25">
      <c r="A30" s="135"/>
      <c r="B30" s="143" t="s">
        <v>274</v>
      </c>
      <c r="C30" t="str">
        <f>IF(AND(IFERROR(INDEX(Instructions!$T$111:$T$222,MATCH(D30,Instructions!$T$111:$T$222,0)), "")=D30, D30&lt;&gt;""), "X", "")</f>
        <v/>
      </c>
      <c r="D30" s="137" t="s">
        <v>2481</v>
      </c>
      <c r="E30" s="286" t="s">
        <v>136</v>
      </c>
      <c r="F30" s="232">
        <f>IFERROR(IF(AND($F$5="Projected Points",Beersheet!A25&lt;&gt;"QB"), T30, IF(H30="", INDEX(Tier!$B$16:$B$24,MATCH(G30,Tier!$A$16:$A$24,0)), INDEX(Tier!$B$16:$B$24,MATCH(H30,Tier!$A$16:$A$24,0)))), "")</f>
        <v>185.91144</v>
      </c>
      <c r="G30" s="287">
        <f t="shared" si="4"/>
        <v>7</v>
      </c>
      <c r="H30" s="288"/>
      <c r="I30" s="392">
        <f>IFERROR(INDEX(ADP!R:R,MATCH(D30,ADP!D:D,0))-RBproj!K30,"")</f>
        <v>0</v>
      </c>
      <c r="J30" s="127"/>
      <c r="K30" s="89">
        <v>24</v>
      </c>
      <c r="L30" t="s">
        <v>274</v>
      </c>
      <c r="M30">
        <f t="shared" si="0"/>
        <v>0</v>
      </c>
      <c r="N30" s="4">
        <f>IFERROR(INDEX(ADP!AC:AC,MATCH(D30,ADP!Y:Y,0)),0)</f>
        <v>6.6</v>
      </c>
      <c r="O30" t="s">
        <v>3</v>
      </c>
      <c r="R30" t="str">
        <f>IFERROR(VLOOKUP(S30,FFARawStatProjections!AT:AV,2,FALSE),"")</f>
        <v>NO</v>
      </c>
      <c r="S30" s="4" t="str">
        <f>INDEX(FFARawStatProjections!AT:AT,MATCH(T30,FFARawStatProjections!AV:AV,0))</f>
        <v>Alvin Kamara</v>
      </c>
      <c r="T30" s="428">
        <f>LARGE(FFARawStatProjections!AV:AV,RBproj!K30)</f>
        <v>185.91144</v>
      </c>
      <c r="U30" s="249">
        <f t="shared" si="1"/>
        <v>-6.4599566666666703</v>
      </c>
      <c r="V30" s="243">
        <f t="shared" si="2"/>
        <v>41.73104013521116</v>
      </c>
      <c r="W30" s="244"/>
      <c r="X30" s="243">
        <f t="shared" si="3"/>
        <v>-0.4037472916666669</v>
      </c>
      <c r="Y30" s="238">
        <f>IFERROR(IF(ISBLANK(Beersheet!$A$1)=FALSE,
INDEX(Beersheet!$A:$U,MATCH(S30,INDEX(Beersheet!$A:$U,0,FFARawStatProjections!$BV$2),0),FFARawStatProjections!$BV$6),
IF(X30&gt;6,0,
IF(AND(X30&lt;=6,X30&gt;5),1,
IF(AND(X30&lt;=5,X30&gt;4),2,
IF(AND(X30&lt;=4,X30&gt;3),3,
IF(AND(X30&lt;=3,X30&gt;2),4,
IF(AND(X30&lt;=2,X30&gt;1),5,
IF(AND(X30&lt;=1,X30&gt;0),6,
IF(AND(X30&lt;=0,X30&gt;-1),7,
8))))))))),
10)</f>
        <v>7</v>
      </c>
    </row>
    <row r="31" spans="1:25" ht="15" customHeight="1" x14ac:dyDescent="0.25">
      <c r="A31" s="135"/>
      <c r="B31" s="142" t="s">
        <v>275</v>
      </c>
      <c r="C31" t="str">
        <f>IF(AND(IFERROR(INDEX(Instructions!$T$111:$T$222,MATCH(D31,Instructions!$T$111:$T$222,0)), "")=D31, D31&lt;&gt;""), "X", "")</f>
        <v/>
      </c>
      <c r="D31" s="138" t="s">
        <v>2078</v>
      </c>
      <c r="E31" s="289" t="s">
        <v>162</v>
      </c>
      <c r="F31" s="434">
        <f>IFERROR(IF(AND($F$5="Projected Points",Beersheet!A26&lt;&gt;"QB"), T31, IF(H31="", INDEX(Tier!$B$16:$B$24,MATCH(G31,Tier!$A$16:$A$24,0)), INDEX(Tier!$B$16:$B$24,MATCH(H31,Tier!$A$16:$A$24,0)))), "")</f>
        <v>183.57141000000001</v>
      </c>
      <c r="G31" s="290">
        <f t="shared" si="4"/>
        <v>7</v>
      </c>
      <c r="H31" s="291"/>
      <c r="I31" s="392">
        <f>IFERROR(INDEX(ADP!R:R,MATCH(D31,ADP!D:D,0))-RBproj!K31,"")</f>
        <v>-6</v>
      </c>
      <c r="J31" s="127"/>
      <c r="K31" s="89">
        <v>25</v>
      </c>
      <c r="L31" t="s">
        <v>275</v>
      </c>
      <c r="M31">
        <f t="shared" si="0"/>
        <v>0</v>
      </c>
      <c r="N31" s="4">
        <f>IFERROR(INDEX(ADP!AC:AC,MATCH(D31,ADP!Y:Y,0)),0)</f>
        <v>6.9</v>
      </c>
      <c r="O31" t="s">
        <v>3</v>
      </c>
      <c r="R31" t="str">
        <f>IFERROR(VLOOKUP(S31,FFARawStatProjections!AT:AV,2,FALSE),"")</f>
        <v>DET</v>
      </c>
      <c r="S31" s="4" t="str">
        <f>INDEX(FFARawStatProjections!AT:AT,MATCH(T31,FFARawStatProjections!AV:AV,0))</f>
        <v>David Montgomery</v>
      </c>
      <c r="T31" s="428">
        <f>LARGE(FFARawStatProjections!AV:AV,RBproj!K31)</f>
        <v>183.57141000000001</v>
      </c>
      <c r="U31" s="249">
        <f t="shared" si="1"/>
        <v>-8.7999866666666549</v>
      </c>
      <c r="V31" s="243">
        <f t="shared" si="2"/>
        <v>77.439765333510906</v>
      </c>
      <c r="W31" s="244"/>
      <c r="X31" s="243">
        <f t="shared" si="3"/>
        <v>-0.54999916666666593</v>
      </c>
      <c r="Y31" s="238">
        <f>IFERROR(IF(ISBLANK(Beersheet!$A$1)=FALSE,
INDEX(Beersheet!$A:$U,MATCH(S31,INDEX(Beersheet!$A:$U,0,FFARawStatProjections!$BV$2),0),FFARawStatProjections!$BV$6),
IF(X31&gt;6,0,
IF(AND(X31&lt;=6,X31&gt;5),1,
IF(AND(X31&lt;=5,X31&gt;4),2,
IF(AND(X31&lt;=4,X31&gt;3),3,
IF(AND(X31&lt;=3,X31&gt;2),4,
IF(AND(X31&lt;=2,X31&gt;1),5,
IF(AND(X31&lt;=1,X31&gt;0),6,
IF(AND(X31&lt;=0,X31&gt;-1),7,
8))))))))),
10)</f>
        <v>7</v>
      </c>
    </row>
    <row r="32" spans="1:25" ht="15" customHeight="1" x14ac:dyDescent="0.25">
      <c r="A32" s="135"/>
      <c r="B32" s="143" t="s">
        <v>276</v>
      </c>
      <c r="C32" t="str">
        <f>IF(AND(IFERROR(INDEX(Instructions!$T$111:$T$222,MATCH(D32,Instructions!$T$111:$T$222,0)), "")=D32, D32&lt;&gt;""), "X", "")</f>
        <v/>
      </c>
      <c r="D32" s="137" t="s">
        <v>1854</v>
      </c>
      <c r="E32" s="286" t="s">
        <v>142</v>
      </c>
      <c r="F32" s="232">
        <f>IFERROR(IF(AND($F$5="Projected Points",Beersheet!A27&lt;&gt;"QB"), T32, IF(H32="", INDEX(Tier!$B$16:$B$24,MATCH(G32,Tier!$A$16:$A$24,0)), INDEX(Tier!$B$16:$B$24,MATCH(H32,Tier!$A$16:$A$24,0)))), "")</f>
        <v>183.25142</v>
      </c>
      <c r="G32" s="287">
        <f t="shared" si="4"/>
        <v>7</v>
      </c>
      <c r="H32" s="288"/>
      <c r="I32" s="392">
        <f>IFERROR(INDEX(ADP!R:R,MATCH(D32,ADP!D:D,0))-RBproj!K32,"")</f>
        <v>-1</v>
      </c>
      <c r="J32" s="127"/>
      <c r="K32" s="89">
        <v>26</v>
      </c>
      <c r="L32" t="s">
        <v>276</v>
      </c>
      <c r="M32">
        <f t="shared" si="0"/>
        <v>0</v>
      </c>
      <c r="N32" s="4">
        <f>IFERROR(INDEX(ADP!AC:AC,MATCH(D32,ADP!Y:Y,0)),0)</f>
        <v>6.5</v>
      </c>
      <c r="O32" t="s">
        <v>3</v>
      </c>
      <c r="R32" t="str">
        <f>IFERROR(VLOOKUP(S32,FFARawStatProjections!AT:AV,2,FALSE),"")</f>
        <v>DEN</v>
      </c>
      <c r="S32" s="4" t="str">
        <f>INDEX(FFARawStatProjections!AT:AT,MATCH(T32,FFARawStatProjections!AV:AV,0))</f>
        <v>Javonte Williams</v>
      </c>
      <c r="T32" s="428">
        <f>LARGE(FFARawStatProjections!AV:AV,RBproj!K32)</f>
        <v>183.25142</v>
      </c>
      <c r="U32" s="249">
        <f t="shared" si="1"/>
        <v>-9.1199766666666733</v>
      </c>
      <c r="V32" s="243">
        <f t="shared" si="2"/>
        <v>83.173974400544566</v>
      </c>
      <c r="W32" s="244"/>
      <c r="X32" s="243">
        <f t="shared" si="3"/>
        <v>-0.56999854166666708</v>
      </c>
      <c r="Y32" s="238">
        <f>IFERROR(IF(ISBLANK(Beersheet!$A$1)=FALSE,
INDEX(Beersheet!$A:$U,MATCH(S32,INDEX(Beersheet!$A:$U,0,FFARawStatProjections!$BV$2),0),FFARawStatProjections!$BV$6),
IF(X32&gt;6,0,
IF(AND(X32&lt;=6,X32&gt;5),1,
IF(AND(X32&lt;=5,X32&gt;4),2,
IF(AND(X32&lt;=4,X32&gt;3),3,
IF(AND(X32&lt;=3,X32&gt;2),4,
IF(AND(X32&lt;=2,X32&gt;1),5,
IF(AND(X32&lt;=1,X32&gt;0),6,
IF(AND(X32&lt;=0,X32&gt;-1),7,
8))))))))),
10)</f>
        <v>7</v>
      </c>
    </row>
    <row r="33" spans="1:25" ht="15" customHeight="1" x14ac:dyDescent="0.25">
      <c r="A33" s="135"/>
      <c r="B33" s="142" t="s">
        <v>277</v>
      </c>
      <c r="C33" t="str">
        <f>IF(AND(IFERROR(INDEX(Instructions!$T$111:$T$222,MATCH(D33,Instructions!$T$111:$T$222,0)), "")=D33, D33&lt;&gt;""), "X", "")</f>
        <v/>
      </c>
      <c r="D33" s="138" t="s">
        <v>2174</v>
      </c>
      <c r="E33" s="289" t="s">
        <v>144</v>
      </c>
      <c r="F33" s="434">
        <f>IFERROR(IF(AND($F$5="Projected Points",Beersheet!A28&lt;&gt;"QB"), T33, IF(H33="", INDEX(Tier!$B$16:$B$24,MATCH(G33,Tier!$A$16:$A$24,0)), INDEX(Tier!$B$16:$B$24,MATCH(H33,Tier!$A$16:$A$24,0)))), "")</f>
        <v>182.98139</v>
      </c>
      <c r="G33" s="290">
        <f t="shared" si="4"/>
        <v>7</v>
      </c>
      <c r="H33" s="291"/>
      <c r="I33" s="392">
        <f>IFERROR(INDEX(ADP!R:R,MATCH(D33,ADP!D:D,0))-RBproj!K33,"")</f>
        <v>0</v>
      </c>
      <c r="J33" s="127"/>
      <c r="K33" s="89">
        <v>27</v>
      </c>
      <c r="L33" t="s">
        <v>277</v>
      </c>
      <c r="M33">
        <f t="shared" si="0"/>
        <v>1</v>
      </c>
      <c r="N33" s="4">
        <f>IFERROR(INDEX(ADP!AC:AC,MATCH(D33,ADP!Y:Y,0)),0)</f>
        <v>7.9</v>
      </c>
      <c r="O33" t="s">
        <v>3</v>
      </c>
      <c r="R33" t="str">
        <f>IFERROR(VLOOKUP(S33,FFARawStatProjections!AT:AV,2,FALSE),"")</f>
        <v>KC</v>
      </c>
      <c r="S33" s="4" t="str">
        <f>INDEX(FFARawStatProjections!AT:AT,MATCH(T33,FFARawStatProjections!AV:AV,0))</f>
        <v>Isiah Pacheco</v>
      </c>
      <c r="T33" s="428">
        <f>LARGE(FFARawStatProjections!AV:AV,RBproj!K33)</f>
        <v>182.98139</v>
      </c>
      <c r="U33" s="249">
        <f t="shared" si="1"/>
        <v>-9.3900066666666646</v>
      </c>
      <c r="V33" s="243">
        <f t="shared" si="2"/>
        <v>88.172225200044409</v>
      </c>
      <c r="W33" s="244"/>
      <c r="X33" s="243">
        <f t="shared" si="3"/>
        <v>-0.58687541666666654</v>
      </c>
      <c r="Y33" s="238">
        <f>IFERROR(IF(ISBLANK(Beersheet!$A$1)=FALSE,
INDEX(Beersheet!$A:$U,MATCH(S33,INDEX(Beersheet!$A:$U,0,FFARawStatProjections!$BV$2),0),FFARawStatProjections!$BV$6),
IF(X33&gt;6,0,
IF(AND(X33&lt;=6,X33&gt;5),1,
IF(AND(X33&lt;=5,X33&gt;4),2,
IF(AND(X33&lt;=4,X33&gt;3),3,
IF(AND(X33&lt;=3,X33&gt;2),4,
IF(AND(X33&lt;=2,X33&gt;1),5,
IF(AND(X33&lt;=1,X33&gt;0),6,
IF(AND(X33&lt;=0,X33&gt;-1),7,
8))))))))),
10)</f>
        <v>7</v>
      </c>
    </row>
    <row r="34" spans="1:25" ht="15" customHeight="1" x14ac:dyDescent="0.25">
      <c r="A34" s="135"/>
      <c r="B34" s="143" t="s">
        <v>278</v>
      </c>
      <c r="C34" t="str">
        <f>IF(AND(IFERROR(INDEX(Instructions!$T$111:$T$222,MATCH(D34,Instructions!$T$111:$T$222,0)), "")=D34, D34&lt;&gt;""), "X", "")</f>
        <v/>
      </c>
      <c r="D34" s="137" t="s">
        <v>1429</v>
      </c>
      <c r="E34" s="286" t="s">
        <v>143</v>
      </c>
      <c r="F34" s="232">
        <f>IFERROR(IF(AND($F$5="Projected Points",Beersheet!A29&lt;&gt;"QB"), T34, IF(H34="", INDEX(Tier!$B$16:$B$24,MATCH(G34,Tier!$A$16:$A$24,0)), INDEX(Tier!$B$16:$B$24,MATCH(H34,Tier!$A$16:$A$24,0)))), "")</f>
        <v>180.92143000000002</v>
      </c>
      <c r="G34" s="287">
        <f t="shared" si="4"/>
        <v>7</v>
      </c>
      <c r="H34" s="288"/>
      <c r="I34" s="392">
        <f>IFERROR(INDEX(ADP!R:R,MATCH(D34,ADP!D:D,0))-RBproj!K34,"")</f>
        <v>0</v>
      </c>
      <c r="J34" s="127"/>
      <c r="K34" s="89">
        <v>28</v>
      </c>
      <c r="L34" t="s">
        <v>278</v>
      </c>
      <c r="M34">
        <f t="shared" si="0"/>
        <v>0.89999999999999947</v>
      </c>
      <c r="N34" s="4">
        <f>IFERROR(INDEX(ADP!AC:AC,MATCH(D34,ADP!Y:Y,0)),0)</f>
        <v>7.8</v>
      </c>
      <c r="O34" t="s">
        <v>3</v>
      </c>
      <c r="R34" t="str">
        <f>IFERROR(VLOOKUP(S34,FFARawStatProjections!AT:AV,2,FALSE),"")</f>
        <v>BUF</v>
      </c>
      <c r="S34" s="4" t="str">
        <f>INDEX(FFARawStatProjections!AT:AT,MATCH(T34,FFARawStatProjections!AV:AV,0))</f>
        <v>James Cook</v>
      </c>
      <c r="T34" s="428">
        <f>LARGE(FFARawStatProjections!AV:AV,RBproj!K34)</f>
        <v>180.92143000000002</v>
      </c>
      <c r="U34" s="249">
        <f t="shared" si="1"/>
        <v>-11.449966666666654</v>
      </c>
      <c r="V34" s="243">
        <f t="shared" si="2"/>
        <v>131.10173666777749</v>
      </c>
      <c r="W34" s="244"/>
      <c r="X34" s="243">
        <f t="shared" si="3"/>
        <v>-0.71562291666666589</v>
      </c>
      <c r="Y34" s="238">
        <f>IFERROR(IF(ISBLANK(Beersheet!$A$1)=FALSE,
INDEX(Beersheet!$A:$U,MATCH(S34,INDEX(Beersheet!$A:$U,0,FFARawStatProjections!$BV$2),0),FFARawStatProjections!$BV$6),
IF(X34&gt;6,0,
IF(AND(X34&lt;=6,X34&gt;5),1,
IF(AND(X34&lt;=5,X34&gt;4),2,
IF(AND(X34&lt;=4,X34&gt;3),3,
IF(AND(X34&lt;=3,X34&gt;2),4,
IF(AND(X34&lt;=2,X34&gt;1),5,
IF(AND(X34&lt;=1,X34&gt;0),6,
IF(AND(X34&lt;=0,X34&gt;-1),7,
8))))))))),
10)</f>
        <v>7</v>
      </c>
    </row>
    <row r="35" spans="1:25" ht="15" customHeight="1" x14ac:dyDescent="0.25">
      <c r="A35" s="135"/>
      <c r="B35" s="142" t="s">
        <v>279</v>
      </c>
      <c r="C35" t="str">
        <f>IF(AND(IFERROR(INDEX(Instructions!$T$111:$T$222,MATCH(D35,Instructions!$T$111:$T$222,0)), "")=D35, D35&lt;&gt;""), "X", "")</f>
        <v/>
      </c>
      <c r="D35" s="138" t="s">
        <v>2291</v>
      </c>
      <c r="E35" s="289" t="s">
        <v>156</v>
      </c>
      <c r="F35" s="434">
        <f>IFERROR(IF(AND($F$5="Projected Points",Beersheet!A30&lt;&gt;"QB"), T35, IF(H35="", INDEX(Tier!$B$16:$B$24,MATCH(G35,Tier!$A$16:$A$24,0)), INDEX(Tier!$B$16:$B$24,MATCH(H35,Tier!$A$16:$A$24,0)))), "")</f>
        <v>180.31138000000001</v>
      </c>
      <c r="G35" s="290">
        <f t="shared" si="4"/>
        <v>7</v>
      </c>
      <c r="H35" s="291"/>
      <c r="I35" s="392">
        <f>IFERROR(INDEX(ADP!R:R,MATCH(D35,ADP!D:D,0))-RBproj!K35,"")</f>
        <v>1</v>
      </c>
      <c r="J35" s="127"/>
      <c r="K35" s="89">
        <v>29</v>
      </c>
      <c r="L35" t="s">
        <v>279</v>
      </c>
      <c r="M35">
        <f t="shared" si="0"/>
        <v>0</v>
      </c>
      <c r="N35" s="4">
        <f>IFERROR(INDEX(ADP!AC:AC,MATCH(D35,ADP!Y:Y,0)),0)</f>
        <v>6.7</v>
      </c>
      <c r="O35" t="s">
        <v>3</v>
      </c>
      <c r="R35" t="str">
        <f>IFERROR(VLOOKUP(S35,FFARawStatProjections!AT:AV,2,FALSE),"")</f>
        <v>BAL</v>
      </c>
      <c r="S35" s="4" t="str">
        <f>INDEX(FFARawStatProjections!AT:AT,MATCH(T35,FFARawStatProjections!AV:AV,0))</f>
        <v>JK Dobbins</v>
      </c>
      <c r="T35" s="428">
        <f>LARGE(FFARawStatProjections!AV:AV,RBproj!K35)</f>
        <v>180.31138000000001</v>
      </c>
      <c r="U35" s="249">
        <f t="shared" si="1"/>
        <v>-12.060016666666655</v>
      </c>
      <c r="V35" s="243">
        <f t="shared" si="2"/>
        <v>145.44400200027749</v>
      </c>
      <c r="W35" s="244"/>
      <c r="X35" s="243">
        <f t="shared" si="3"/>
        <v>-0.75375104166666596</v>
      </c>
      <c r="Y35" s="238">
        <f>IFERROR(IF(ISBLANK(Beersheet!$A$1)=FALSE,
INDEX(Beersheet!$A:$U,MATCH(S35,INDEX(Beersheet!$A:$U,0,FFARawStatProjections!$BV$2),0),FFARawStatProjections!$BV$6),
IF(X35&gt;6,0,
IF(AND(X35&lt;=6,X35&gt;5),1,
IF(AND(X35&lt;=5,X35&gt;4),2,
IF(AND(X35&lt;=4,X35&gt;3),3,
IF(AND(X35&lt;=3,X35&gt;2),4,
IF(AND(X35&lt;=2,X35&gt;1),5,
IF(AND(X35&lt;=1,X35&gt;0),6,
IF(AND(X35&lt;=0,X35&gt;-1),7,
8))))))))),
10)</f>
        <v>7</v>
      </c>
    </row>
    <row r="36" spans="1:25" ht="15" customHeight="1" x14ac:dyDescent="0.25">
      <c r="A36" s="135"/>
      <c r="B36" s="143" t="s">
        <v>280</v>
      </c>
      <c r="C36" t="str">
        <f>IF(AND(IFERROR(INDEX(Instructions!$T$111:$T$222,MATCH(D36,Instructions!$T$111:$T$222,0)), "")=D36, D36&lt;&gt;""), "X", "")</f>
        <v/>
      </c>
      <c r="D36" s="137" t="s">
        <v>2076</v>
      </c>
      <c r="E36" s="286" t="s">
        <v>137</v>
      </c>
      <c r="F36" s="232">
        <f>IFERROR(IF(AND($F$5="Projected Points",Beersheet!A31&lt;&gt;"QB"), T36, IF(H36="", INDEX(Tier!$B$16:$B$24,MATCH(G36,Tier!$A$16:$A$24,0)), INDEX(Tier!$B$16:$B$24,MATCH(H36,Tier!$A$16:$A$24,0)))), "")</f>
        <v>168.03147999999999</v>
      </c>
      <c r="G36" s="287">
        <f t="shared" si="4"/>
        <v>8</v>
      </c>
      <c r="H36" s="288"/>
      <c r="I36" s="392">
        <f>IFERROR(INDEX(ADP!R:R,MATCH(D36,ADP!D:D,0))-RBproj!K36,"")</f>
        <v>-1</v>
      </c>
      <c r="J36" s="127"/>
      <c r="K36" s="89">
        <v>30</v>
      </c>
      <c r="L36" t="s">
        <v>280</v>
      </c>
      <c r="M36">
        <f t="shared" si="0"/>
        <v>0</v>
      </c>
      <c r="N36" s="4">
        <f>IFERROR(INDEX(ADP!AC:AC,MATCH(D36,ADP!Y:Y,0)),0)</f>
        <v>7.3</v>
      </c>
      <c r="O36" t="s">
        <v>3</v>
      </c>
      <c r="R36" t="str">
        <f>IFERROR(VLOOKUP(S36,FFARawStatProjections!AT:AV,2,FALSE),"")</f>
        <v>PHI</v>
      </c>
      <c r="S36" s="4" t="str">
        <f>INDEX(FFARawStatProjections!AT:AT,MATCH(T36,FFARawStatProjections!AV:AV,0))</f>
        <v>DAndre Swift</v>
      </c>
      <c r="T36" s="428">
        <f>LARGE(FFARawStatProjections!AV:AV,RBproj!K36)</f>
        <v>168.03147999999999</v>
      </c>
      <c r="U36" s="249">
        <f t="shared" si="1"/>
        <v>-24.339916666666682</v>
      </c>
      <c r="V36" s="243">
        <f t="shared" si="2"/>
        <v>592.43154334027849</v>
      </c>
      <c r="W36" s="244"/>
      <c r="X36" s="243">
        <f t="shared" si="3"/>
        <v>-1.5212447916666676</v>
      </c>
      <c r="Y36" s="238">
        <f>IFERROR(IF(ISBLANK(Beersheet!$A$1)=FALSE,
INDEX(Beersheet!$A:$U,MATCH(S36,INDEX(Beersheet!$A:$U,0,FFARawStatProjections!$BV$2),0),FFARawStatProjections!$BV$6),
IF(X36&gt;6,0,
IF(AND(X36&lt;=6,X36&gt;5),1,
IF(AND(X36&lt;=5,X36&gt;4),2,
IF(AND(X36&lt;=4,X36&gt;3),3,
IF(AND(X36&lt;=3,X36&gt;2),4,
IF(AND(X36&lt;=2,X36&gt;1),5,
IF(AND(X36&lt;=1,X36&gt;0),6,
IF(AND(X36&lt;=0,X36&gt;-1),7,
8))))))))),
10)</f>
        <v>8</v>
      </c>
    </row>
    <row r="37" spans="1:25" ht="15" customHeight="1" x14ac:dyDescent="0.25">
      <c r="A37" s="135"/>
      <c r="B37" s="142" t="s">
        <v>281</v>
      </c>
      <c r="C37" t="str">
        <f>IF(AND(IFERROR(INDEX(Instructions!$T$111:$T$222,MATCH(D37,Instructions!$T$111:$T$222,0)), "")=D37, D37&lt;&gt;""), "X", "")</f>
        <v/>
      </c>
      <c r="D37" s="138" t="s">
        <v>2086</v>
      </c>
      <c r="E37" s="289" t="s">
        <v>139</v>
      </c>
      <c r="F37" s="434">
        <f>IFERROR(IF(AND($F$5="Projected Points",Beersheet!A32&lt;&gt;"QB"), T37, IF(H37="", INDEX(Tier!$B$16:$B$24,MATCH(G37,Tier!$A$16:$A$24,0)), INDEX(Tier!$B$16:$B$24,MATCH(H37,Tier!$A$16:$A$24,0)))), "")</f>
        <v>159.44150999999999</v>
      </c>
      <c r="G37" s="290">
        <f t="shared" si="4"/>
        <v>8</v>
      </c>
      <c r="H37" s="291"/>
      <c r="I37" s="392">
        <f>IFERROR(INDEX(ADP!R:R,MATCH(D37,ADP!D:D,0))-RBproj!K37,"")</f>
        <v>2</v>
      </c>
      <c r="J37" s="127"/>
      <c r="K37" s="89">
        <v>31</v>
      </c>
      <c r="L37" t="s">
        <v>281</v>
      </c>
      <c r="M37">
        <f t="shared" si="0"/>
        <v>0</v>
      </c>
      <c r="N37" s="4">
        <f>IFERROR(INDEX(ADP!AC:AC,MATCH(D37,ADP!Y:Y,0)),0)</f>
        <v>6</v>
      </c>
      <c r="O37" t="s">
        <v>3</v>
      </c>
      <c r="R37" t="str">
        <f>IFERROR(VLOOKUP(S37,FFARawStatProjections!AT:AV,2,FALSE),"")</f>
        <v>WAS</v>
      </c>
      <c r="S37" s="4" t="str">
        <f>INDEX(FFARawStatProjections!AT:AT,MATCH(T37,FFARawStatProjections!AV:AV,0))</f>
        <v>Antonio Gibson</v>
      </c>
      <c r="T37" s="428">
        <f>LARGE(FFARawStatProjections!AV:AV,RBproj!K37)</f>
        <v>159.44150999999999</v>
      </c>
      <c r="U37" s="249">
        <f t="shared" si="1"/>
        <v>-32.929886666666675</v>
      </c>
      <c r="V37" s="243">
        <f t="shared" si="2"/>
        <v>1084.3774358795117</v>
      </c>
      <c r="W37" s="244"/>
      <c r="X37" s="243">
        <f t="shared" si="3"/>
        <v>-2.0581179166666672</v>
      </c>
      <c r="Y37" s="238">
        <f>IFERROR(IF(ISBLANK(Beersheet!$A$1)=FALSE,
INDEX(Beersheet!$A:$U,MATCH(S37,INDEX(Beersheet!$A:$U,0,FFARawStatProjections!$BV$2),0),FFARawStatProjections!$BV$6),
IF(X37&gt;6,0,
IF(AND(X37&lt;=6,X37&gt;5),1,
IF(AND(X37&lt;=5,X37&gt;4),2,
IF(AND(X37&lt;=4,X37&gt;3),3,
IF(AND(X37&lt;=3,X37&gt;2),4,
IF(AND(X37&lt;=2,X37&gt;1),5,
IF(AND(X37&lt;=1,X37&gt;0),6,
IF(AND(X37&lt;=0,X37&gt;-1),7,
8))))))))),
10)</f>
        <v>8</v>
      </c>
    </row>
    <row r="38" spans="1:25" ht="15" customHeight="1" x14ac:dyDescent="0.25">
      <c r="A38" s="135"/>
      <c r="B38" s="143" t="s">
        <v>282</v>
      </c>
      <c r="C38" t="str">
        <f>IF(AND(IFERROR(INDEX(Instructions!$T$111:$T$222,MATCH(D38,Instructions!$T$111:$T$222,0)), "")=D38, D38&lt;&gt;""), "X", "")</f>
        <v/>
      </c>
      <c r="D38" s="137" t="s">
        <v>1425</v>
      </c>
      <c r="E38" s="286" t="s">
        <v>164</v>
      </c>
      <c r="F38" s="232">
        <f>IFERROR(IF(AND($F$5="Projected Points",Beersheet!A33&lt;&gt;"QB"), T38, IF(H38="", INDEX(Tier!$B$16:$B$24,MATCH(G38,Tier!$A$16:$A$24,0)), INDEX(Tier!$B$16:$B$24,MATCH(H38,Tier!$A$16:$A$24,0)))), "")</f>
        <v>155.33144999999999</v>
      </c>
      <c r="G38" s="287">
        <f t="shared" si="4"/>
        <v>8</v>
      </c>
      <c r="H38" s="288"/>
      <c r="I38" s="392" t="str">
        <f>IFERROR(INDEX(ADP!R:R,MATCH(D38,ADP!D:D,0))-RBproj!K38,"")</f>
        <v/>
      </c>
      <c r="J38" s="127"/>
      <c r="K38" s="89">
        <v>32</v>
      </c>
      <c r="L38" t="s">
        <v>282</v>
      </c>
      <c r="M38">
        <f t="shared" si="0"/>
        <v>0</v>
      </c>
      <c r="N38" s="4">
        <f>IFERROR(INDEX(ADP!AC:AC,MATCH(D38,ADP!Y:Y,0)),0)</f>
        <v>0</v>
      </c>
      <c r="O38" t="s">
        <v>3</v>
      </c>
      <c r="R38" t="str">
        <f>IFERROR(VLOOKUP(S38,FFARawStatProjections!AT:AV,2,FALSE),"")</f>
        <v>GB</v>
      </c>
      <c r="S38" s="4" t="str">
        <f>INDEX(FFARawStatProjections!AT:AT,MATCH(T38,FFARawStatProjections!AV:AV,0))</f>
        <v>AJ Dillon</v>
      </c>
      <c r="T38" s="428">
        <f>LARGE(FFARawStatProjections!AV:AV,RBproj!K38)</f>
        <v>155.33144999999999</v>
      </c>
      <c r="U38" s="249">
        <f t="shared" si="1"/>
        <v>-37.03994666666668</v>
      </c>
      <c r="V38" s="243">
        <f t="shared" si="2"/>
        <v>1371.9576490695122</v>
      </c>
      <c r="W38" s="244"/>
      <c r="X38" s="243">
        <f t="shared" si="3"/>
        <v>-2.3149966666666675</v>
      </c>
      <c r="Y38" s="238">
        <f>IFERROR(IF(ISBLANK(Beersheet!$A$1)=FALSE,
INDEX(Beersheet!$A:$U,MATCH(S38,INDEX(Beersheet!$A:$U,0,FFARawStatProjections!$BV$2),0),FFARawStatProjections!$BV$6),
IF(X38&gt;6,0,
IF(AND(X38&lt;=6,X38&gt;5),1,
IF(AND(X38&lt;=5,X38&gt;4),2,
IF(AND(X38&lt;=4,X38&gt;3),3,
IF(AND(X38&lt;=3,X38&gt;2),4,
IF(AND(X38&lt;=2,X38&gt;1),5,
IF(AND(X38&lt;=1,X38&gt;0),6,
IF(AND(X38&lt;=0,X38&gt;-1),7,
8))))))))),
10)</f>
        <v>8</v>
      </c>
    </row>
    <row r="39" spans="1:25" ht="15" customHeight="1" x14ac:dyDescent="0.25">
      <c r="A39" s="135"/>
      <c r="B39" s="142" t="s">
        <v>283</v>
      </c>
      <c r="C39" t="str">
        <f>IF(AND(IFERROR(INDEX(Instructions!$T$111:$T$222,MATCH(D39,Instructions!$T$111:$T$222,0)), "")=D39, D39&lt;&gt;""), "X", "")</f>
        <v/>
      </c>
      <c r="D39" s="138" t="s">
        <v>2191</v>
      </c>
      <c r="E39" s="289" t="s">
        <v>141</v>
      </c>
      <c r="F39" s="434">
        <f>IFERROR(IF(AND($F$5="Projected Points",Beersheet!A34&lt;&gt;"QB"), T39, IF(H39="", INDEX(Tier!$B$16:$B$24,MATCH(G39,Tier!$A$16:$A$24,0)), INDEX(Tier!$B$16:$B$24,MATCH(H39,Tier!$A$16:$A$24,0)))), "")</f>
        <v>154.04149000000001</v>
      </c>
      <c r="G39" s="290">
        <f t="shared" si="4"/>
        <v>8</v>
      </c>
      <c r="H39" s="291"/>
      <c r="I39" s="392">
        <f>IFERROR(INDEX(ADP!R:R,MATCH(D39,ADP!D:D,0))-RBproj!K39,"")</f>
        <v>6</v>
      </c>
      <c r="J39" s="127"/>
      <c r="K39" s="89">
        <v>33</v>
      </c>
      <c r="L39" t="s">
        <v>283</v>
      </c>
      <c r="M39">
        <f t="shared" si="0"/>
        <v>1.1000000000000005</v>
      </c>
      <c r="N39" s="4">
        <f>IFERROR(INDEX(ADP!AC:AC,MATCH(D39,ADP!Y:Y,0)),0)</f>
        <v>8.4</v>
      </c>
      <c r="O39" t="s">
        <v>3</v>
      </c>
      <c r="R39" t="str">
        <f>IFERROR(VLOOKUP(S39,FFARawStatProjections!AT:AV,2,FALSE),"")</f>
        <v>NYJ</v>
      </c>
      <c r="S39" s="4" t="str">
        <f>INDEX(FFARawStatProjections!AT:AT,MATCH(T39,FFARawStatProjections!AV:AV,0))</f>
        <v>Dalvin Cook</v>
      </c>
      <c r="T39" s="428">
        <f>LARGE(FFARawStatProjections!AV:AV,RBproj!K39)</f>
        <v>154.04149000000001</v>
      </c>
      <c r="U39" s="249">
        <f t="shared" si="1"/>
        <v>-38.329906666666659</v>
      </c>
      <c r="V39" s="243">
        <f t="shared" si="2"/>
        <v>1469.1817450753772</v>
      </c>
      <c r="W39" s="244"/>
      <c r="X39" s="243">
        <f t="shared" si="3"/>
        <v>-2.3956191666666662</v>
      </c>
      <c r="Y39" s="238">
        <f>IFERROR(IF(ISBLANK(Beersheet!$A$1)=FALSE,
INDEX(Beersheet!$A:$U,MATCH(S39,INDEX(Beersheet!$A:$U,0,FFARawStatProjections!$BV$2),0),FFARawStatProjections!$BV$6),
IF(X39&gt;6,0,
IF(AND(X39&lt;=6,X39&gt;5),1,
IF(AND(X39&lt;=5,X39&gt;4),2,
IF(AND(X39&lt;=4,X39&gt;3),3,
IF(AND(X39&lt;=3,X39&gt;2),4,
IF(AND(X39&lt;=2,X39&gt;1),5,
IF(AND(X39&lt;=1,X39&gt;0),6,
IF(AND(X39&lt;=0,X39&gt;-1),7,
8))))))))),
10)</f>
        <v>8</v>
      </c>
    </row>
    <row r="40" spans="1:25" ht="15" customHeight="1" x14ac:dyDescent="0.25">
      <c r="A40" s="135"/>
      <c r="B40" s="143" t="s">
        <v>284</v>
      </c>
      <c r="C40" t="str">
        <f>IF(AND(IFERROR(INDEX(Instructions!$T$111:$T$222,MATCH(D40,Instructions!$T$111:$T$222,0)), "")=D40, D40&lt;&gt;""), "X", "")</f>
        <v/>
      </c>
      <c r="D40" s="137" t="s">
        <v>2091</v>
      </c>
      <c r="E40" s="286" t="s">
        <v>152</v>
      </c>
      <c r="F40" s="232">
        <f>IFERROR(IF(AND($F$5="Projected Points",Beersheet!A35&lt;&gt;"QB"), T40, IF(H40="", INDEX(Tier!$B$16:$B$24,MATCH(G40,Tier!$A$16:$A$24,0)), INDEX(Tier!$B$16:$B$24,MATCH(H40,Tier!$A$16:$A$24,0)))), "")</f>
        <v>148.61147000000003</v>
      </c>
      <c r="G40" s="287">
        <f t="shared" si="4"/>
        <v>8</v>
      </c>
      <c r="H40" s="288"/>
      <c r="I40" s="392">
        <f>IFERROR(INDEX(ADP!R:R,MATCH(D40,ADP!D:D,0))-RBproj!K40,"")</f>
        <v>1</v>
      </c>
      <c r="J40" s="127"/>
      <c r="K40" s="89">
        <v>34</v>
      </c>
      <c r="L40" t="s">
        <v>284</v>
      </c>
      <c r="M40">
        <f t="shared" si="0"/>
        <v>0</v>
      </c>
      <c r="N40" s="4">
        <f>IFERROR(INDEX(ADP!AC:AC,MATCH(D40,ADP!Y:Y,0)),0)</f>
        <v>6</v>
      </c>
      <c r="O40" t="s">
        <v>3</v>
      </c>
      <c r="R40" t="str">
        <f>IFERROR(VLOOKUP(S40,FFARawStatProjections!AT:AV,2,FALSE),"")</f>
        <v>CHI</v>
      </c>
      <c r="S40" s="4" t="str">
        <f>INDEX(FFARawStatProjections!AT:AT,MATCH(T40,FFARawStatProjections!AV:AV,0))</f>
        <v>Khalil Herbert</v>
      </c>
      <c r="T40" s="428">
        <f>LARGE(FFARawStatProjections!AV:AV,RBproj!K40)</f>
        <v>148.61147000000003</v>
      </c>
      <c r="U40" s="249">
        <f t="shared" si="1"/>
        <v>-43.759926666666644</v>
      </c>
      <c r="V40" s="243">
        <f t="shared" si="2"/>
        <v>1914.9311818720425</v>
      </c>
      <c r="W40" s="244"/>
      <c r="X40" s="243">
        <f t="shared" si="3"/>
        <v>-2.7349954166666652</v>
      </c>
      <c r="Y40" s="238">
        <f>IFERROR(IF(ISBLANK(Beersheet!$A$1)=FALSE,
INDEX(Beersheet!$A:$U,MATCH(S40,INDEX(Beersheet!$A:$U,0,FFARawStatProjections!$BV$2),0),FFARawStatProjections!$BV$6),
IF(X40&gt;6,0,
IF(AND(X40&lt;=6,X40&gt;5),1,
IF(AND(X40&lt;=5,X40&gt;4),2,
IF(AND(X40&lt;=4,X40&gt;3),3,
IF(AND(X40&lt;=3,X40&gt;2),4,
IF(AND(X40&lt;=2,X40&gt;1),5,
IF(AND(X40&lt;=1,X40&gt;0),6,
IF(AND(X40&lt;=0,X40&gt;-1),7,
8))))))))),
10)</f>
        <v>8</v>
      </c>
    </row>
    <row r="41" spans="1:25" ht="15" customHeight="1" x14ac:dyDescent="0.25">
      <c r="A41" s="135"/>
      <c r="B41" s="142" t="s">
        <v>285</v>
      </c>
      <c r="C41" t="str">
        <f>IF(AND(IFERROR(INDEX(Instructions!$T$111:$T$222,MATCH(D41,Instructions!$T$111:$T$222,0)), "")=D41, D41&lt;&gt;""), "X", "")</f>
        <v/>
      </c>
      <c r="D41" s="138" t="s">
        <v>2296</v>
      </c>
      <c r="E41" s="289" t="s">
        <v>152</v>
      </c>
      <c r="F41" s="434">
        <f>IFERROR(IF(AND($F$5="Projected Points",Beersheet!A36&lt;&gt;"QB"), T41, IF(H41="", INDEX(Tier!$B$16:$B$24,MATCH(G41,Tier!$A$16:$A$24,0)), INDEX(Tier!$B$16:$B$24,MATCH(H41,Tier!$A$16:$A$24,0)))), "")</f>
        <v>148.10150000000002</v>
      </c>
      <c r="G41" s="290">
        <f t="shared" si="4"/>
        <v>8</v>
      </c>
      <c r="H41" s="291"/>
      <c r="I41" s="392">
        <f>IFERROR(INDEX(ADP!R:R,MATCH(D41,ADP!D:D,0))-RBproj!K41,"")</f>
        <v>-4</v>
      </c>
      <c r="J41" s="127"/>
      <c r="K41" s="89">
        <v>35</v>
      </c>
      <c r="L41" t="s">
        <v>285</v>
      </c>
      <c r="M41">
        <f t="shared" si="0"/>
        <v>0.39999999999999947</v>
      </c>
      <c r="N41" s="4">
        <f>IFERROR(INDEX(ADP!AC:AC,MATCH(D41,ADP!Y:Y,0)),0)</f>
        <v>8.1</v>
      </c>
      <c r="O41" t="s">
        <v>3</v>
      </c>
      <c r="R41" t="str">
        <f>IFERROR(VLOOKUP(S41,FFARawStatProjections!AT:AV,2,FALSE),"")</f>
        <v>DEN</v>
      </c>
      <c r="S41" s="4" t="str">
        <f>INDEX(FFARawStatProjections!AT:AT,MATCH(T41,FFARawStatProjections!AV:AV,0))</f>
        <v>Samaje Perine</v>
      </c>
      <c r="T41" s="428">
        <f>LARGE(FFARawStatProjections!AV:AV,RBproj!K41)</f>
        <v>148.10150000000002</v>
      </c>
      <c r="U41" s="249">
        <f t="shared" si="1"/>
        <v>-44.269896666666654</v>
      </c>
      <c r="V41" s="243">
        <f t="shared" si="2"/>
        <v>1959.8237508773432</v>
      </c>
      <c r="W41" s="244"/>
      <c r="X41" s="243">
        <f t="shared" si="3"/>
        <v>-2.7668685416666658</v>
      </c>
      <c r="Y41" s="238">
        <f>IFERROR(IF(ISBLANK(Beersheet!$A$1)=FALSE,
INDEX(Beersheet!$A:$U,MATCH(S41,INDEX(Beersheet!$A:$U,0,FFARawStatProjections!$BV$2),0),FFARawStatProjections!$BV$6),
IF(X41&gt;6,0,
IF(AND(X41&lt;=6,X41&gt;5),1,
IF(AND(X41&lt;=5,X41&gt;4),2,
IF(AND(X41&lt;=4,X41&gt;3),3,
IF(AND(X41&lt;=3,X41&gt;2),4,
IF(AND(X41&lt;=2,X41&gt;1),5,
IF(AND(X41&lt;=1,X41&gt;0),6,
IF(AND(X41&lt;=0,X41&gt;-1),7,
8))))))))),
10)</f>
        <v>8</v>
      </c>
    </row>
    <row r="42" spans="1:25" ht="15" customHeight="1" x14ac:dyDescent="0.25">
      <c r="A42" s="135"/>
      <c r="B42" s="143" t="s">
        <v>286</v>
      </c>
      <c r="C42" t="str">
        <f>IF(AND(IFERROR(INDEX(Instructions!$T$111:$T$222,MATCH(D42,Instructions!$T$111:$T$222,0)), "")=D42, D42&lt;&gt;""), "X", "")</f>
        <v/>
      </c>
      <c r="D42" s="137" t="s">
        <v>1440</v>
      </c>
      <c r="E42" s="286" t="s">
        <v>144</v>
      </c>
      <c r="F42" s="232">
        <f>IFERROR(IF(AND($F$5="Projected Points",Beersheet!A37&lt;&gt;"QB"), T42, IF(H42="", INDEX(Tier!$B$16:$B$24,MATCH(G42,Tier!$A$16:$A$24,0)), INDEX(Tier!$B$16:$B$24,MATCH(H42,Tier!$A$16:$A$24,0)))), "")</f>
        <v>145.00146000000001</v>
      </c>
      <c r="G42" s="287">
        <f t="shared" si="4"/>
        <v>8</v>
      </c>
      <c r="H42" s="288"/>
      <c r="I42" s="392">
        <f>IFERROR(INDEX(ADP!R:R,MATCH(D42,ADP!D:D,0))-RBproj!K42,"")</f>
        <v>0</v>
      </c>
      <c r="J42" s="127"/>
      <c r="K42" s="89">
        <v>36</v>
      </c>
      <c r="L42" t="s">
        <v>286</v>
      </c>
      <c r="M42">
        <f t="shared" si="0"/>
        <v>0</v>
      </c>
      <c r="N42" s="4">
        <f>IFERROR(INDEX(ADP!AC:AC,MATCH(D42,ADP!Y:Y,0)),0)</f>
        <v>7.7</v>
      </c>
      <c r="O42" t="s">
        <v>3</v>
      </c>
      <c r="R42" t="str">
        <f>IFERROR(VLOOKUP(S42,FFARawStatProjections!AT:AV,2,FALSE),"")</f>
        <v>WAS</v>
      </c>
      <c r="S42" s="4" t="str">
        <f>INDEX(FFARawStatProjections!AT:AT,MATCH(T42,FFARawStatProjections!AV:AV,0))</f>
        <v>Brian Robinson</v>
      </c>
      <c r="T42" s="428">
        <f>LARGE(FFARawStatProjections!AV:AV,RBproj!K42)</f>
        <v>145.00146000000001</v>
      </c>
      <c r="U42" s="249">
        <f t="shared" si="1"/>
        <v>-47.369936666666661</v>
      </c>
      <c r="V42" s="243">
        <f t="shared" si="2"/>
        <v>2243.9108998040106</v>
      </c>
      <c r="W42" s="244"/>
      <c r="X42" s="243">
        <f t="shared" si="3"/>
        <v>-2.9606210416666663</v>
      </c>
      <c r="Y42" s="238">
        <f>IFERROR(IF(ISBLANK(Beersheet!$A$1)=FALSE,
INDEX(Beersheet!$A:$U,MATCH(S42,INDEX(Beersheet!$A:$U,0,FFARawStatProjections!$BV$2),0),FFARawStatProjections!$BV$6),
IF(X42&gt;6,0,
IF(AND(X42&lt;=6,X42&gt;5),1,
IF(AND(X42&lt;=5,X42&gt;4),2,
IF(AND(X42&lt;=4,X42&gt;3),3,
IF(AND(X42&lt;=3,X42&gt;2),4,
IF(AND(X42&lt;=2,X42&gt;1),5,
IF(AND(X42&lt;=1,X42&gt;0),6,
IF(AND(X42&lt;=0,X42&gt;-1),7,
8))))))))),
10)</f>
        <v>8</v>
      </c>
    </row>
    <row r="43" spans="1:25" ht="15" customHeight="1" x14ac:dyDescent="0.25">
      <c r="A43" s="135"/>
      <c r="B43" s="142" t="s">
        <v>287</v>
      </c>
      <c r="C43" t="str">
        <f>IF(AND(IFERROR(INDEX(Instructions!$T$111:$T$222,MATCH(D43,Instructions!$T$111:$T$222,0)), "")=D43, D43&lt;&gt;""), "X", "")</f>
        <v/>
      </c>
      <c r="D43" s="138" t="s">
        <v>1877</v>
      </c>
      <c r="E43" s="289" t="s">
        <v>166</v>
      </c>
      <c r="F43" s="434">
        <f>IFERROR(IF(AND($F$5="Projected Points",Beersheet!A38&lt;&gt;"QB"), T43, IF(H43="", INDEX(Tier!$B$16:$B$24,MATCH(G43,Tier!$A$16:$A$24,0)), INDEX(Tier!$B$16:$B$24,MATCH(H43,Tier!$A$16:$A$24,0)))), "")</f>
        <v>134.85154000000003</v>
      </c>
      <c r="G43" s="290">
        <f t="shared" si="4"/>
        <v>8</v>
      </c>
      <c r="H43" s="291"/>
      <c r="I43" s="392" t="str">
        <f>IFERROR(INDEX(ADP!R:R,MATCH(D43,ADP!D:D,0))-RBproj!K43,"")</f>
        <v/>
      </c>
      <c r="J43" s="127"/>
      <c r="K43" s="89">
        <v>37</v>
      </c>
      <c r="L43" t="s">
        <v>287</v>
      </c>
      <c r="M43">
        <f t="shared" si="0"/>
        <v>0</v>
      </c>
      <c r="N43" s="4">
        <f>IFERROR(INDEX(ADP!AC:AC,MATCH(D43,ADP!Y:Y,0)),0)</f>
        <v>0</v>
      </c>
      <c r="O43" t="s">
        <v>3</v>
      </c>
      <c r="R43" t="str">
        <f>IFERROR(VLOOKUP(S43,FFARawStatProjections!AT:AV,2,FALSE),"")</f>
        <v>MIA</v>
      </c>
      <c r="S43" s="4" t="str">
        <f>INDEX(FFARawStatProjections!AT:AT,MATCH(T43,FFARawStatProjections!AV:AV,0))</f>
        <v>Jeff Wilson</v>
      </c>
      <c r="T43" s="428">
        <f>LARGE(FFARawStatProjections!AV:AV,RBproj!K43)</f>
        <v>134.85154000000003</v>
      </c>
      <c r="U43" s="249">
        <f t="shared" si="1"/>
        <v>-57.519856666666641</v>
      </c>
      <c r="V43" s="243">
        <f t="shared" si="2"/>
        <v>3308.533910953875</v>
      </c>
      <c r="W43" s="244"/>
      <c r="X43" s="243">
        <f t="shared" si="3"/>
        <v>-3.5949910416666651</v>
      </c>
      <c r="Y43" s="238">
        <f>IFERROR(IF(ISBLANK(Beersheet!$A$1)=FALSE,
INDEX(Beersheet!$A:$U,MATCH(S43,INDEX(Beersheet!$A:$U,0,FFARawStatProjections!$BV$2),0),FFARawStatProjections!$BV$6),
IF(X43&gt;6,0,
IF(AND(X43&lt;=6,X43&gt;5),1,
IF(AND(X43&lt;=5,X43&gt;4),2,
IF(AND(X43&lt;=4,X43&gt;3),3,
IF(AND(X43&lt;=3,X43&gt;2),4,
IF(AND(X43&lt;=2,X43&gt;1),5,
IF(AND(X43&lt;=1,X43&gt;0),6,
IF(AND(X43&lt;=0,X43&gt;-1),7,
8))))))))),
10)</f>
        <v>8</v>
      </c>
    </row>
    <row r="44" spans="1:25" ht="15" customHeight="1" x14ac:dyDescent="0.25">
      <c r="A44" s="135"/>
      <c r="B44" s="143" t="s">
        <v>288</v>
      </c>
      <c r="C44" t="str">
        <f>IF(AND(IFERROR(INDEX(Instructions!$T$111:$T$222,MATCH(D44,Instructions!$T$111:$T$222,0)), "")=D44, D44&lt;&gt;""), "X", "")</f>
        <v/>
      </c>
      <c r="D44" s="137" t="s">
        <v>1446</v>
      </c>
      <c r="E44" s="286" t="s">
        <v>143</v>
      </c>
      <c r="F44" s="232">
        <f>IFERROR(IF(AND($F$5="Projected Points",Beersheet!A39&lt;&gt;"QB"), T44, IF(H44="", INDEX(Tier!$B$16:$B$24,MATCH(G44,Tier!$A$16:$A$24,0)), INDEX(Tier!$B$16:$B$24,MATCH(H44,Tier!$A$16:$A$24,0)))), "")</f>
        <v>126.37153000000001</v>
      </c>
      <c r="G44" s="287">
        <f t="shared" si="4"/>
        <v>8</v>
      </c>
      <c r="H44" s="288"/>
      <c r="I44" s="392">
        <f>IFERROR(INDEX(ADP!R:R,MATCH(D44,ADP!D:D,0))-RBproj!K44,"")</f>
        <v>-4</v>
      </c>
      <c r="J44" s="127"/>
      <c r="K44" s="89">
        <v>38</v>
      </c>
      <c r="L44" t="s">
        <v>288</v>
      </c>
      <c r="M44">
        <f t="shared" si="0"/>
        <v>1.8000000000000007</v>
      </c>
      <c r="N44" s="4">
        <f>IFERROR(INDEX(ADP!AC:AC,MATCH(D44,ADP!Y:Y,0)),0)</f>
        <v>9.9</v>
      </c>
      <c r="O44" t="s">
        <v>3</v>
      </c>
      <c r="R44" t="str">
        <f>IFERROR(VLOOKUP(S44,FFARawStatProjections!AT:AV,2,FALSE),"")</f>
        <v>NO</v>
      </c>
      <c r="S44" s="4" t="str">
        <f>INDEX(FFARawStatProjections!AT:AT,MATCH(T44,FFARawStatProjections!AV:AV,0))</f>
        <v>Jamaal Williams</v>
      </c>
      <c r="T44" s="428">
        <f>LARGE(FFARawStatProjections!AV:AV,RBproj!K44)</f>
        <v>126.37153000000001</v>
      </c>
      <c r="U44" s="249">
        <f t="shared" si="1"/>
        <v>-65.999866666666662</v>
      </c>
      <c r="V44" s="243">
        <f t="shared" si="2"/>
        <v>4355.9824000177769</v>
      </c>
      <c r="W44" s="244"/>
      <c r="X44" s="243">
        <f t="shared" si="3"/>
        <v>-4.1249916666666664</v>
      </c>
      <c r="Y44" s="238">
        <f>IFERROR(IF(ISBLANK(Beersheet!$A$1)=FALSE,
INDEX(Beersheet!$A:$U,MATCH(S44,INDEX(Beersheet!$A:$U,0,FFARawStatProjections!$BV$2),0),FFARawStatProjections!$BV$6),
IF(X44&gt;6,0,
IF(AND(X44&lt;=6,X44&gt;5),1,
IF(AND(X44&lt;=5,X44&gt;4),2,
IF(AND(X44&lt;=4,X44&gt;3),3,
IF(AND(X44&lt;=3,X44&gt;2),4,
IF(AND(X44&lt;=2,X44&gt;1),5,
IF(AND(X44&lt;=1,X44&gt;0),6,
IF(AND(X44&lt;=0,X44&gt;-1),7,
8))))))))),
10)</f>
        <v>8</v>
      </c>
    </row>
    <row r="45" spans="1:25" ht="15" customHeight="1" x14ac:dyDescent="0.25">
      <c r="A45" s="135"/>
      <c r="B45" s="142" t="s">
        <v>289</v>
      </c>
      <c r="C45" t="str">
        <f>IF(AND(IFERROR(INDEX(Instructions!$T$111:$T$222,MATCH(D45,Instructions!$T$111:$T$222,0)), "")=D45, D45&lt;&gt;""), "X", "")</f>
        <v/>
      </c>
      <c r="D45" s="138" t="s">
        <v>1767</v>
      </c>
      <c r="E45" s="289" t="s">
        <v>137</v>
      </c>
      <c r="F45" s="434">
        <f>IFERROR(IF(AND($F$5="Projected Points",Beersheet!A40&lt;&gt;"QB"), T45, IF(H45="", INDEX(Tier!$B$16:$B$24,MATCH(G45,Tier!$A$16:$A$24,0)), INDEX(Tier!$B$16:$B$24,MATCH(H45,Tier!$A$16:$A$24,0)))), "")</f>
        <v>123.59157</v>
      </c>
      <c r="G45" s="290">
        <f t="shared" si="4"/>
        <v>8</v>
      </c>
      <c r="H45" s="291"/>
      <c r="I45" s="392">
        <f>IFERROR(INDEX(ADP!R:R,MATCH(D45,ADP!D:D,0))-RBproj!K45,"")</f>
        <v>-7</v>
      </c>
      <c r="J45" s="127"/>
      <c r="K45" s="89">
        <v>39</v>
      </c>
      <c r="L45" t="s">
        <v>289</v>
      </c>
      <c r="M45">
        <f t="shared" si="0"/>
        <v>0</v>
      </c>
      <c r="N45" s="4">
        <f>IFERROR(INDEX(ADP!AC:AC,MATCH(D45,ADP!Y:Y,0)),0)</f>
        <v>7.3</v>
      </c>
      <c r="O45" t="s">
        <v>3</v>
      </c>
      <c r="R45" t="str">
        <f>IFERROR(VLOOKUP(S45,FFARawStatProjections!AT:AV,2,FALSE),"")</f>
        <v>MIA</v>
      </c>
      <c r="S45" s="4" t="str">
        <f>INDEX(FFARawStatProjections!AT:AT,MATCH(T45,FFARawStatProjections!AV:AV,0))</f>
        <v>Raheem Mostert</v>
      </c>
      <c r="T45" s="428">
        <f>LARGE(FFARawStatProjections!AV:AV,RBproj!K45)</f>
        <v>123.59157</v>
      </c>
      <c r="U45" s="249">
        <f t="shared" si="1"/>
        <v>-68.779826666666665</v>
      </c>
      <c r="V45" s="243">
        <f t="shared" si="2"/>
        <v>4730.6645562967105</v>
      </c>
      <c r="W45" s="244"/>
      <c r="X45" s="243">
        <f t="shared" si="3"/>
        <v>-4.2987391666666666</v>
      </c>
      <c r="Y45" s="238">
        <f>IFERROR(IF(ISBLANK(Beersheet!$A$1)=FALSE,
INDEX(Beersheet!$A:$U,MATCH(S45,INDEX(Beersheet!$A:$U,0,FFARawStatProjections!$BV$2),0),FFARawStatProjections!$BV$6),
IF(X45&gt;6,0,
IF(AND(X45&lt;=6,X45&gt;5),1,
IF(AND(X45&lt;=5,X45&gt;4),2,
IF(AND(X45&lt;=4,X45&gt;3),3,
IF(AND(X45&lt;=3,X45&gt;2),4,
IF(AND(X45&lt;=2,X45&gt;1),5,
IF(AND(X45&lt;=1,X45&gt;0),6,
IF(AND(X45&lt;=0,X45&gt;-1),7,
8))))))))),
10)</f>
        <v>8</v>
      </c>
    </row>
    <row r="46" spans="1:25" ht="15" customHeight="1" x14ac:dyDescent="0.25">
      <c r="A46" s="135"/>
      <c r="B46" s="143" t="s">
        <v>290</v>
      </c>
      <c r="C46" t="str">
        <f>IF(AND(IFERROR(INDEX(Instructions!$T$111:$T$222,MATCH(D46,Instructions!$T$111:$T$222,0)), "")=D46, D46&lt;&gt;""), "X", "")</f>
        <v/>
      </c>
      <c r="D46" s="137" t="s">
        <v>1280</v>
      </c>
      <c r="E46" s="286" t="s">
        <v>166</v>
      </c>
      <c r="F46" s="232">
        <f>IFERROR(IF(AND($F$5="Projected Points",Beersheet!A41&lt;&gt;"QB"), T46, IF(H46="", INDEX(Tier!$B$16:$B$24,MATCH(G46,Tier!$A$16:$A$24,0)), INDEX(Tier!$B$16:$B$24,MATCH(H46,Tier!$A$16:$A$24,0)))), "")</f>
        <v>122.27158000000001</v>
      </c>
      <c r="G46" s="287">
        <f t="shared" si="4"/>
        <v>8</v>
      </c>
      <c r="H46" s="288"/>
      <c r="I46" s="392">
        <f>IFERROR(INDEX(ADP!R:R,MATCH(D46,ADP!D:D,0))-RBproj!K46,"")</f>
        <v>2</v>
      </c>
      <c r="J46" s="127"/>
      <c r="K46" s="89">
        <v>40</v>
      </c>
      <c r="L46" t="s">
        <v>290</v>
      </c>
      <c r="M46">
        <f t="shared" si="0"/>
        <v>2.7000000000000011</v>
      </c>
      <c r="N46" s="4">
        <f>IFERROR(INDEX(ADP!AC:AC,MATCH(D46,ADP!Y:Y,0)),0)</f>
        <v>11.4</v>
      </c>
      <c r="O46" t="s">
        <v>3</v>
      </c>
      <c r="R46" t="str">
        <f>IFERROR(VLOOKUP(S46,FFARawStatProjections!AT:AV,2,FALSE),"")</f>
        <v>SEA</v>
      </c>
      <c r="S46" s="4" t="str">
        <f>INDEX(FFARawStatProjections!AT:AT,MATCH(T46,FFARawStatProjections!AV:AV,0))</f>
        <v>Zach Charbonnet</v>
      </c>
      <c r="T46" s="428">
        <f>LARGE(FFARawStatProjections!AV:AV,RBproj!K46)</f>
        <v>122.27158000000001</v>
      </c>
      <c r="U46" s="249">
        <f t="shared" si="1"/>
        <v>-70.099816666666655</v>
      </c>
      <c r="V46" s="243">
        <f t="shared" si="2"/>
        <v>4913.984296700276</v>
      </c>
      <c r="W46" s="244"/>
      <c r="X46" s="243">
        <f t="shared" si="3"/>
        <v>-4.3812385416666659</v>
      </c>
      <c r="Y46" s="238">
        <f>IFERROR(IF(ISBLANK(Beersheet!$A$1)=FALSE,
INDEX(Beersheet!$A:$U,MATCH(S46,INDEX(Beersheet!$A:$U,0,FFARawStatProjections!$BV$2),0),FFARawStatProjections!$BV$6),
IF(X46&gt;6,0,
IF(AND(X46&lt;=6,X46&gt;5),1,
IF(AND(X46&lt;=5,X46&gt;4),2,
IF(AND(X46&lt;=4,X46&gt;3),3,
IF(AND(X46&lt;=3,X46&gt;2),4,
IF(AND(X46&lt;=2,X46&gt;1),5,
IF(AND(X46&lt;=1,X46&gt;0),6,
IF(AND(X46&lt;=0,X46&gt;-1),7,
8))))))))),
10)</f>
        <v>8</v>
      </c>
    </row>
    <row r="47" spans="1:25" ht="15" customHeight="1" x14ac:dyDescent="0.25">
      <c r="A47" s="135"/>
      <c r="B47" s="142" t="s">
        <v>291</v>
      </c>
      <c r="C47" t="str">
        <f>IF(AND(IFERROR(INDEX(Instructions!$T$111:$T$222,MATCH(D47,Instructions!$T$111:$T$222,0)), "")=D47, D47&lt;&gt;""), "X", "")</f>
        <v/>
      </c>
      <c r="D47" s="138" t="s">
        <v>2391</v>
      </c>
      <c r="E47" s="289" t="s">
        <v>140</v>
      </c>
      <c r="F47" s="434">
        <f>IFERROR(IF(AND($F$5="Projected Points",Beersheet!A42&lt;&gt;"QB"), T47, IF(H47="", INDEX(Tier!$B$16:$B$24,MATCH(G47,Tier!$A$16:$A$24,0)), INDEX(Tier!$B$16:$B$24,MATCH(H47,Tier!$A$16:$A$24,0)))), "")</f>
        <v>121.95167000000001</v>
      </c>
      <c r="G47" s="290">
        <f t="shared" si="4"/>
        <v>8</v>
      </c>
      <c r="H47" s="291"/>
      <c r="I47" s="392">
        <f>IFERROR(INDEX(ADP!R:R,MATCH(D47,ADP!D:D,0))-RBproj!K47,"")</f>
        <v>-4</v>
      </c>
      <c r="J47" s="127"/>
      <c r="K47" s="89">
        <v>41</v>
      </c>
      <c r="L47" t="s">
        <v>291</v>
      </c>
      <c r="M47">
        <f t="shared" si="0"/>
        <v>0</v>
      </c>
      <c r="N47" s="4">
        <f>IFERROR(INDEX(ADP!AC:AC,MATCH(D47,ADP!Y:Y,0)),0)</f>
        <v>8.3000000000000007</v>
      </c>
      <c r="O47" t="s">
        <v>3</v>
      </c>
      <c r="R47" t="str">
        <f>IFERROR(VLOOKUP(S47,FFARawStatProjections!AT:AV,2,FALSE),"")</f>
        <v>KC</v>
      </c>
      <c r="S47" s="4" t="str">
        <f>INDEX(FFARawStatProjections!AT:AT,MATCH(T47,FFARawStatProjections!AV:AV,0))</f>
        <v>Jerick McKinnon</v>
      </c>
      <c r="T47" s="428">
        <f>LARGE(FFARawStatProjections!AV:AV,RBproj!K47)</f>
        <v>121.95167000000001</v>
      </c>
      <c r="U47" s="249">
        <f t="shared" si="1"/>
        <v>-70.419726666666662</v>
      </c>
      <c r="V47" s="243">
        <f t="shared" si="2"/>
        <v>4958.9379038080442</v>
      </c>
      <c r="W47" s="244"/>
      <c r="X47" s="243">
        <f t="shared" si="3"/>
        <v>-4.4012329166666664</v>
      </c>
      <c r="Y47" s="238">
        <f>IFERROR(IF(ISBLANK(Beersheet!$A$1)=FALSE,
INDEX(Beersheet!$A:$U,MATCH(S47,INDEX(Beersheet!$A:$U,0,FFARawStatProjections!$BV$2),0),FFARawStatProjections!$BV$6),
IF(X47&gt;6,0,
IF(AND(X47&lt;=6,X47&gt;5),1,
IF(AND(X47&lt;=5,X47&gt;4),2,
IF(AND(X47&lt;=4,X47&gt;3),3,
IF(AND(X47&lt;=3,X47&gt;2),4,
IF(AND(X47&lt;=2,X47&gt;1),5,
IF(AND(X47&lt;=1,X47&gt;0),6,
IF(AND(X47&lt;=0,X47&gt;-1),7,
8))))))))),
10)</f>
        <v>8</v>
      </c>
    </row>
    <row r="48" spans="1:25" ht="15" customHeight="1" x14ac:dyDescent="0.25">
      <c r="A48" s="135"/>
      <c r="B48" s="143" t="s">
        <v>292</v>
      </c>
      <c r="C48" t="str">
        <f>IF(AND(IFERROR(INDEX(Instructions!$T$111:$T$222,MATCH(D48,Instructions!$T$111:$T$222,0)), "")=D48, D48&lt;&gt;""), "X", "")</f>
        <v/>
      </c>
      <c r="D48" s="137" t="s">
        <v>2182</v>
      </c>
      <c r="E48" s="286" t="s">
        <v>155</v>
      </c>
      <c r="F48" s="232">
        <f>IFERROR(IF(AND($F$5="Projected Points",Beersheet!A43&lt;&gt;"QB"), T48, IF(H48="", INDEX(Tier!$B$16:$B$24,MATCH(G48,Tier!$A$16:$A$24,0)), INDEX(Tier!$B$16:$B$24,MATCH(H48,Tier!$A$16:$A$24,0)))), "")</f>
        <v>121.17152</v>
      </c>
      <c r="G48" s="287">
        <f t="shared" si="4"/>
        <v>8</v>
      </c>
      <c r="H48" s="288"/>
      <c r="I48" s="392">
        <f>IFERROR(INDEX(ADP!R:R,MATCH(D48,ADP!D:D,0))-RBproj!K48,"")</f>
        <v>-2</v>
      </c>
      <c r="J48" s="127"/>
      <c r="K48" s="89">
        <v>42</v>
      </c>
      <c r="L48" t="s">
        <v>292</v>
      </c>
      <c r="M48">
        <f t="shared" si="0"/>
        <v>0</v>
      </c>
      <c r="N48" s="4">
        <f>IFERROR(INDEX(ADP!AC:AC,MATCH(D48,ADP!Y:Y,0)),0)</f>
        <v>8.6999999999999993</v>
      </c>
      <c r="O48" t="s">
        <v>3</v>
      </c>
      <c r="R48" t="str">
        <f>IFERROR(VLOOKUP(S48,FFARawStatProjections!AT:AV,2,FALSE),"")</f>
        <v>PHI</v>
      </c>
      <c r="S48" s="4" t="str">
        <f>INDEX(FFARawStatProjections!AT:AT,MATCH(T48,FFARawStatProjections!AV:AV,0))</f>
        <v>Rashaad Penny</v>
      </c>
      <c r="T48" s="428">
        <f>LARGE(FFARawStatProjections!AV:AV,RBproj!K48)</f>
        <v>121.17152</v>
      </c>
      <c r="U48" s="249">
        <f t="shared" si="1"/>
        <v>-71.199876666666668</v>
      </c>
      <c r="V48" s="243">
        <f t="shared" si="2"/>
        <v>5069.4224373485449</v>
      </c>
      <c r="W48" s="244"/>
      <c r="X48" s="243">
        <f t="shared" si="3"/>
        <v>-4.4499922916666668</v>
      </c>
      <c r="Y48" s="238">
        <f>IFERROR(IF(ISBLANK(Beersheet!$A$1)=FALSE,
INDEX(Beersheet!$A:$U,MATCH(S48,INDEX(Beersheet!$A:$U,0,FFARawStatProjections!$BV$2),0),FFARawStatProjections!$BV$6),
IF(X48&gt;6,0,
IF(AND(X48&lt;=6,X48&gt;5),1,
IF(AND(X48&lt;=5,X48&gt;4),2,
IF(AND(X48&lt;=4,X48&gt;3),3,
IF(AND(X48&lt;=3,X48&gt;2),4,
IF(AND(X48&lt;=2,X48&gt;1),5,
IF(AND(X48&lt;=1,X48&gt;0),6,
IF(AND(X48&lt;=0,X48&gt;-1),7,
8))))))))),
10)</f>
        <v>8</v>
      </c>
    </row>
    <row r="49" spans="1:25" ht="15" customHeight="1" x14ac:dyDescent="0.25">
      <c r="A49" s="135"/>
      <c r="B49" s="142" t="s">
        <v>293</v>
      </c>
      <c r="C49" t="str">
        <f>IF(AND(IFERROR(INDEX(Instructions!$T$111:$T$222,MATCH(D49,Instructions!$T$111:$T$222,0)), "")=D49, D49&lt;&gt;""), "X", "")</f>
        <v/>
      </c>
      <c r="D49" s="138" t="s">
        <v>2293</v>
      </c>
      <c r="E49" s="289" t="s">
        <v>148</v>
      </c>
      <c r="F49" s="434">
        <f>IFERROR(IF(AND($F$5="Projected Points",Beersheet!A44&lt;&gt;"QB"), T49, IF(H49="", INDEX(Tier!$B$16:$B$24,MATCH(G49,Tier!$A$16:$A$24,0)), INDEX(Tier!$B$16:$B$24,MATCH(H49,Tier!$A$16:$A$24,0)))), "")</f>
        <v>116.11154999999999</v>
      </c>
      <c r="G49" s="290">
        <f t="shared" si="4"/>
        <v>8</v>
      </c>
      <c r="H49" s="291"/>
      <c r="I49" s="392">
        <f>IFERROR(INDEX(ADP!R:R,MATCH(D49,ADP!D:D,0))-RBproj!K49,"")</f>
        <v>-2</v>
      </c>
      <c r="J49" s="127"/>
      <c r="K49" s="89">
        <v>43</v>
      </c>
      <c r="L49" t="s">
        <v>293</v>
      </c>
      <c r="M49">
        <f t="shared" si="0"/>
        <v>3.5</v>
      </c>
      <c r="N49" s="4">
        <f>IFERROR(INDEX(ADP!AC:AC,MATCH(D49,ADP!Y:Y,0)),0)</f>
        <v>12.2</v>
      </c>
      <c r="O49" t="s">
        <v>3</v>
      </c>
      <c r="R49" t="str">
        <f>IFERROR(VLOOKUP(S49,FFARawStatProjections!AT:AV,2,FALSE),"")</f>
        <v>SF</v>
      </c>
      <c r="S49" s="4" t="str">
        <f>INDEX(FFARawStatProjections!AT:AT,MATCH(T49,FFARawStatProjections!AV:AV,0))</f>
        <v>Elijah Mitchell</v>
      </c>
      <c r="T49" s="428">
        <f>LARGE(FFARawStatProjections!AV:AV,RBproj!K49)</f>
        <v>116.11154999999999</v>
      </c>
      <c r="U49" s="249">
        <f t="shared" si="1"/>
        <v>-76.259846666666675</v>
      </c>
      <c r="V49" s="243">
        <f t="shared" si="2"/>
        <v>5815.5642136235128</v>
      </c>
      <c r="W49" s="244"/>
      <c r="X49" s="243">
        <f t="shared" si="3"/>
        <v>-4.7662404166666672</v>
      </c>
      <c r="Y49" s="238">
        <f>IFERROR(IF(ISBLANK(Beersheet!$A$1)=FALSE,
INDEX(Beersheet!$A:$U,MATCH(S49,INDEX(Beersheet!$A:$U,0,FFARawStatProjections!$BV$2),0),FFARawStatProjections!$BV$6),
IF(X49&gt;6,0,
IF(AND(X49&lt;=6,X49&gt;5),1,
IF(AND(X49&lt;=5,X49&gt;4),2,
IF(AND(X49&lt;=4,X49&gt;3),3,
IF(AND(X49&lt;=3,X49&gt;2),4,
IF(AND(X49&lt;=2,X49&gt;1),5,
IF(AND(X49&lt;=1,X49&gt;0),6,
IF(AND(X49&lt;=0,X49&gt;-1),7,
8))))))))),
10)</f>
        <v>8</v>
      </c>
    </row>
    <row r="50" spans="1:25" ht="15" customHeight="1" x14ac:dyDescent="0.25">
      <c r="A50" s="135"/>
      <c r="B50" s="143" t="s">
        <v>294</v>
      </c>
      <c r="C50" t="str">
        <f>IF(AND(IFERROR(INDEX(Instructions!$T$111:$T$222,MATCH(D50,Instructions!$T$111:$T$222,0)), "")=D50, D50&lt;&gt;""), "X", "")</f>
        <v/>
      </c>
      <c r="D50" s="137" t="s">
        <v>1866</v>
      </c>
      <c r="E50" s="286" t="s">
        <v>151</v>
      </c>
      <c r="F50" s="232">
        <f>IFERROR(IF(AND($F$5="Projected Points",Beersheet!A45&lt;&gt;"QB"), T50, IF(H50="", INDEX(Tier!$B$16:$B$24,MATCH(G50,Tier!$A$16:$A$24,0)), INDEX(Tier!$B$16:$B$24,MATCH(H50,Tier!$A$16:$A$24,0)))), "")</f>
        <v>115.05163</v>
      </c>
      <c r="G50" s="287">
        <f t="shared" si="4"/>
        <v>8</v>
      </c>
      <c r="H50" s="288"/>
      <c r="I50" s="392">
        <f>IFERROR(INDEX(ADP!R:R,MATCH(D50,ADP!D:D,0))-RBproj!K50,"")</f>
        <v>3</v>
      </c>
      <c r="J50" s="127"/>
      <c r="K50" s="89">
        <v>44</v>
      </c>
      <c r="L50" t="s">
        <v>294</v>
      </c>
      <c r="M50">
        <f t="shared" si="0"/>
        <v>4.1000000000000014</v>
      </c>
      <c r="N50" s="4">
        <f>IFERROR(INDEX(ADP!AC:AC,MATCH(D50,ADP!Y:Y,0)),0)</f>
        <v>12.8</v>
      </c>
      <c r="O50" t="s">
        <v>3</v>
      </c>
      <c r="R50" t="str">
        <f>IFERROR(VLOOKUP(S50,FFARawStatProjections!AT:AV,2,FALSE),"")</f>
        <v>HOU</v>
      </c>
      <c r="S50" s="4" t="str">
        <f>INDEX(FFARawStatProjections!AT:AT,MATCH(T50,FFARawStatProjections!AV:AV,0))</f>
        <v>Devin Singletary</v>
      </c>
      <c r="T50" s="428">
        <f>LARGE(FFARawStatProjections!AV:AV,RBproj!K50)</f>
        <v>115.05163</v>
      </c>
      <c r="U50" s="249">
        <f t="shared" si="1"/>
        <v>-77.319766666666666</v>
      </c>
      <c r="V50" s="243">
        <f t="shared" si="2"/>
        <v>5978.3463173877781</v>
      </c>
      <c r="W50" s="244"/>
      <c r="X50" s="243">
        <f t="shared" si="3"/>
        <v>-4.8324854166666666</v>
      </c>
      <c r="Y50" s="238">
        <f>IFERROR(IF(ISBLANK(Beersheet!$A$1)=FALSE,
INDEX(Beersheet!$A:$U,MATCH(S50,INDEX(Beersheet!$A:$U,0,FFARawStatProjections!$BV$2),0),FFARawStatProjections!$BV$6),
IF(X50&gt;6,0,
IF(AND(X50&lt;=6,X50&gt;5),1,
IF(AND(X50&lt;=5,X50&gt;4),2,
IF(AND(X50&lt;=4,X50&gt;3),3,
IF(AND(X50&lt;=3,X50&gt;2),4,
IF(AND(X50&lt;=2,X50&gt;1),5,
IF(AND(X50&lt;=1,X50&gt;0),6,
IF(AND(X50&lt;=0,X50&gt;-1),7,
8))))))))),
10)</f>
        <v>8</v>
      </c>
    </row>
    <row r="51" spans="1:25" ht="15" customHeight="1" x14ac:dyDescent="0.25">
      <c r="A51" s="135"/>
      <c r="B51" s="142" t="s">
        <v>295</v>
      </c>
      <c r="C51" t="str">
        <f>IF(AND(IFERROR(INDEX(Instructions!$T$111:$T$222,MATCH(D51,Instructions!$T$111:$T$222,0)), "")=D51, D51&lt;&gt;""), "X", "")</f>
        <v/>
      </c>
      <c r="D51" s="138" t="s">
        <v>1179</v>
      </c>
      <c r="E51" s="289" t="s">
        <v>157</v>
      </c>
      <c r="F51" s="434">
        <f>IFERROR(IF(AND($F$5="Projected Points",Beersheet!A46&lt;&gt;"QB"), T51, IF(H51="", INDEX(Tier!$B$16:$B$24,MATCH(G51,Tier!$A$16:$A$24,0)), INDEX(Tier!$B$16:$B$24,MATCH(H51,Tier!$A$16:$A$24,0)))), "")</f>
        <v>113.01155999999999</v>
      </c>
      <c r="G51" s="290">
        <f t="shared" si="4"/>
        <v>8</v>
      </c>
      <c r="H51" s="291"/>
      <c r="I51" s="392" t="str">
        <f>IFERROR(INDEX(ADP!R:R,MATCH(D51,ADP!D:D,0))-RBproj!K51,"")</f>
        <v/>
      </c>
      <c r="J51" s="127"/>
      <c r="K51" s="89">
        <v>45</v>
      </c>
      <c r="L51" t="s">
        <v>295</v>
      </c>
      <c r="M51">
        <f t="shared" si="0"/>
        <v>0</v>
      </c>
      <c r="N51" s="4">
        <f>IFERROR(INDEX(ADP!AC:AC,MATCH(D51,ADP!Y:Y,0)),0)</f>
        <v>0</v>
      </c>
      <c r="O51" t="s">
        <v>3</v>
      </c>
      <c r="R51" t="str">
        <f>IFERROR(VLOOKUP(S51,FFARawStatProjections!AT:AV,2,FALSE),"")</f>
        <v>ATL</v>
      </c>
      <c r="S51" s="4" t="str">
        <f>INDEX(FFARawStatProjections!AT:AT,MATCH(T51,FFARawStatProjections!AV:AV,0))</f>
        <v>Tyler Allgeier</v>
      </c>
      <c r="T51" s="428">
        <f>LARGE(FFARawStatProjections!AV:AV,RBproj!K51)</f>
        <v>113.01155999999999</v>
      </c>
      <c r="U51" s="249">
        <f t="shared" si="1"/>
        <v>-79.359836666666681</v>
      </c>
      <c r="V51" s="243">
        <f t="shared" si="2"/>
        <v>6297.9836757600133</v>
      </c>
      <c r="W51" s="244"/>
      <c r="X51" s="243">
        <f t="shared" si="3"/>
        <v>-4.9599897916666675</v>
      </c>
      <c r="Y51" s="238">
        <f>IFERROR(IF(ISBLANK(Beersheet!$A$1)=FALSE,
INDEX(Beersheet!$A:$U,MATCH(S51,INDEX(Beersheet!$A:$U,0,FFARawStatProjections!$BV$2),0),FFARawStatProjections!$BV$6),
IF(X51&gt;6,0,
IF(AND(X51&lt;=6,X51&gt;5),1,
IF(AND(X51&lt;=5,X51&gt;4),2,
IF(AND(X51&lt;=4,X51&gt;3),3,
IF(AND(X51&lt;=3,X51&gt;2),4,
IF(AND(X51&lt;=2,X51&gt;1),5,
IF(AND(X51&lt;=1,X51&gt;0),6,
IF(AND(X51&lt;=0,X51&gt;-1),7,
8))))))))),
10)</f>
        <v>8</v>
      </c>
    </row>
    <row r="52" spans="1:25" ht="15" customHeight="1" x14ac:dyDescent="0.25">
      <c r="A52" s="135"/>
      <c r="B52" s="143" t="s">
        <v>296</v>
      </c>
      <c r="C52" t="str">
        <f>IF(AND(IFERROR(INDEX(Instructions!$T$111:$T$222,MATCH(D52,Instructions!$T$111:$T$222,0)), "")=D52, D52&lt;&gt;""), "X", "")</f>
        <v/>
      </c>
      <c r="D52" s="137" t="s">
        <v>986</v>
      </c>
      <c r="E52" s="286" t="s">
        <v>136</v>
      </c>
      <c r="F52" s="232">
        <f>IFERROR(IF(AND($F$5="Projected Points",Beersheet!A47&lt;&gt;"QB"), T52, IF(H52="", INDEX(Tier!$B$16:$B$24,MATCH(G52,Tier!$A$16:$A$24,0)), INDEX(Tier!$B$16:$B$24,MATCH(H52,Tier!$A$16:$A$24,0)))), "")</f>
        <v>110.99164</v>
      </c>
      <c r="G52" s="287">
        <f t="shared" si="4"/>
        <v>8</v>
      </c>
      <c r="H52" s="288"/>
      <c r="I52" s="392">
        <f>IFERROR(INDEX(ADP!R:R,MATCH(D52,ADP!D:D,0))-RBproj!K52,"")</f>
        <v>0</v>
      </c>
      <c r="J52" s="127"/>
      <c r="K52" s="89">
        <v>46</v>
      </c>
      <c r="L52" t="s">
        <v>296</v>
      </c>
      <c r="M52">
        <f t="shared" si="0"/>
        <v>0</v>
      </c>
      <c r="N52" s="4">
        <f>IFERROR(INDEX(ADP!AC:AC,MATCH(D52,ADP!Y:Y,0)),0)</f>
        <v>8.4</v>
      </c>
      <c r="O52" t="s">
        <v>3</v>
      </c>
      <c r="R52" t="str">
        <f>IFERROR(VLOOKUP(S52,FFARawStatProjections!AT:AV,2,FALSE),"")</f>
        <v>MIA</v>
      </c>
      <c r="S52" s="4" t="str">
        <f>INDEX(FFARawStatProjections!AT:AT,MATCH(T52,FFARawStatProjections!AV:AV,0))</f>
        <v>DeVon Achane</v>
      </c>
      <c r="T52" s="428">
        <f>LARGE(FFARawStatProjections!AV:AV,RBproj!K52)</f>
        <v>110.99164</v>
      </c>
      <c r="U52" s="249">
        <f t="shared" si="1"/>
        <v>-81.379756666666665</v>
      </c>
      <c r="V52" s="243">
        <f t="shared" si="2"/>
        <v>6622.6647951258774</v>
      </c>
      <c r="W52" s="244"/>
      <c r="X52" s="243">
        <f t="shared" si="3"/>
        <v>-5.0862347916666666</v>
      </c>
      <c r="Y52" s="238">
        <f>IFERROR(IF(ISBLANK(Beersheet!$A$1)=FALSE,
INDEX(Beersheet!$A:$U,MATCH(S52,INDEX(Beersheet!$A:$U,0,FFARawStatProjections!$BV$2),0),FFARawStatProjections!$BV$6),
IF(X52&gt;6,0,
IF(AND(X52&lt;=6,X52&gt;5),1,
IF(AND(X52&lt;=5,X52&gt;4),2,
IF(AND(X52&lt;=4,X52&gt;3),3,
IF(AND(X52&lt;=3,X52&gt;2),4,
IF(AND(X52&lt;=2,X52&gt;1),5,
IF(AND(X52&lt;=1,X52&gt;0),6,
IF(AND(X52&lt;=0,X52&gt;-1),7,
8))))))))),
10)</f>
        <v>8</v>
      </c>
    </row>
    <row r="53" spans="1:25" ht="15" customHeight="1" x14ac:dyDescent="0.25">
      <c r="A53" s="135"/>
      <c r="B53" s="142" t="s">
        <v>297</v>
      </c>
      <c r="C53" t="str">
        <f>IF(AND(IFERROR(INDEX(Instructions!$T$111:$T$222,MATCH(D53,Instructions!$T$111:$T$222,0)), "")=D53, D53&lt;&gt;""), "X", "")</f>
        <v/>
      </c>
      <c r="D53" s="138" t="s">
        <v>1867</v>
      </c>
      <c r="E53" s="289" t="s">
        <v>156</v>
      </c>
      <c r="F53" s="434">
        <f>IFERROR(IF(AND($F$5="Projected Points",Beersheet!A48&lt;&gt;"QB"), T53, IF(H53="", INDEX(Tier!$B$16:$B$24,MATCH(G53,Tier!$A$16:$A$24,0)), INDEX(Tier!$B$16:$B$24,MATCH(H53,Tier!$A$16:$A$24,0)))), "")</f>
        <v>110.62159</v>
      </c>
      <c r="G53" s="290">
        <f t="shared" si="4"/>
        <v>8</v>
      </c>
      <c r="H53" s="291"/>
      <c r="I53" s="392">
        <f>IFERROR(INDEX(ADP!R:R,MATCH(D53,ADP!D:D,0))-RBproj!K53,"")</f>
        <v>-9</v>
      </c>
      <c r="J53" s="127"/>
      <c r="K53" s="89">
        <v>47</v>
      </c>
      <c r="L53" t="s">
        <v>297</v>
      </c>
      <c r="M53">
        <f t="shared" si="0"/>
        <v>0</v>
      </c>
      <c r="N53" s="4">
        <f>IFERROR(INDEX(ADP!AC:AC,MATCH(D53,ADP!Y:Y,0)),0)</f>
        <v>9.4</v>
      </c>
      <c r="O53" t="s">
        <v>3</v>
      </c>
      <c r="R53" t="str">
        <f>IFERROR(VLOOKUP(S53,FFARawStatProjections!AT:AV,2,FALSE),"")</f>
        <v>NE</v>
      </c>
      <c r="S53" s="4" t="str">
        <f>INDEX(FFARawStatProjections!AT:AT,MATCH(T53,FFARawStatProjections!AV:AV,0))</f>
        <v>Ezekiel Elliott</v>
      </c>
      <c r="T53" s="428">
        <f>LARGE(FFARawStatProjections!AV:AV,RBproj!K53)</f>
        <v>110.62159</v>
      </c>
      <c r="U53" s="249">
        <f t="shared" si="1"/>
        <v>-81.749806666666672</v>
      </c>
      <c r="V53" s="243">
        <f t="shared" si="2"/>
        <v>6683.0308900373784</v>
      </c>
      <c r="W53" s="244"/>
      <c r="X53" s="243">
        <f t="shared" si="3"/>
        <v>-5.109362916666667</v>
      </c>
      <c r="Y53" s="238">
        <f>IFERROR(IF(ISBLANK(Beersheet!$A$1)=FALSE,
INDEX(Beersheet!$A:$U,MATCH(S53,INDEX(Beersheet!$A:$U,0,FFARawStatProjections!$BV$2),0),FFARawStatProjections!$BV$6),
IF(X53&gt;6,0,
IF(AND(X53&lt;=6,X53&gt;5),1,
IF(AND(X53&lt;=5,X53&gt;4),2,
IF(AND(X53&lt;=4,X53&gt;3),3,
IF(AND(X53&lt;=3,X53&gt;2),4,
IF(AND(X53&lt;=2,X53&gt;1),5,
IF(AND(X53&lt;=1,X53&gt;0),6,
IF(AND(X53&lt;=0,X53&gt;-1),7,
8))))))))),
10)</f>
        <v>8</v>
      </c>
    </row>
    <row r="54" spans="1:25" ht="15" customHeight="1" x14ac:dyDescent="0.25">
      <c r="A54" s="135"/>
      <c r="B54" s="143" t="s">
        <v>298</v>
      </c>
      <c r="C54" t="str">
        <f>IF(AND(IFERROR(INDEX(Instructions!$T$111:$T$222,MATCH(D54,Instructions!$T$111:$T$222,0)), "")=D54, D54&lt;&gt;""), "X", "")</f>
        <v/>
      </c>
      <c r="D54" s="137" t="s">
        <v>2494</v>
      </c>
      <c r="E54" s="286" t="s">
        <v>166</v>
      </c>
      <c r="F54" s="232">
        <f>IFERROR(IF(AND($F$5="Projected Points",Beersheet!A49&lt;&gt;"QB"), T54, IF(H54="", INDEX(Tier!$B$16:$B$24,MATCH(G54,Tier!$A$16:$A$24,0)), INDEX(Tier!$B$16:$B$24,MATCH(H54,Tier!$A$16:$A$24,0)))), "")</f>
        <v>110.29165</v>
      </c>
      <c r="G54" s="287">
        <f t="shared" si="4"/>
        <v>8</v>
      </c>
      <c r="H54" s="288"/>
      <c r="I54" s="392">
        <f>IFERROR(INDEX(ADP!R:R,MATCH(D54,ADP!D:D,0))-RBproj!K54,"")</f>
        <v>-5</v>
      </c>
      <c r="J54" s="127"/>
      <c r="K54" s="89">
        <v>48</v>
      </c>
      <c r="L54" t="s">
        <v>298</v>
      </c>
      <c r="M54">
        <f t="shared" si="0"/>
        <v>0</v>
      </c>
      <c r="N54" s="4">
        <f>IFERROR(INDEX(ADP!AC:AC,MATCH(D54,ADP!Y:Y,0)),0)</f>
        <v>8.6</v>
      </c>
      <c r="O54" t="s">
        <v>3</v>
      </c>
      <c r="R54" t="str">
        <f>IFERROR(VLOOKUP(S54,FFARawStatProjections!AT:AV,2,FALSE),"")</f>
        <v>PIT</v>
      </c>
      <c r="S54" s="4" t="str">
        <f>INDEX(FFARawStatProjections!AT:AT,MATCH(T54,FFARawStatProjections!AV:AV,0))</f>
        <v>Jaylen Warren</v>
      </c>
      <c r="T54" s="428">
        <f>LARGE(FFARawStatProjections!AV:AV,RBproj!K54)</f>
        <v>110.29165</v>
      </c>
      <c r="U54" s="249">
        <f t="shared" si="1"/>
        <v>-82.079746666666665</v>
      </c>
      <c r="V54" s="243">
        <f t="shared" si="2"/>
        <v>6737.0848128641774</v>
      </c>
      <c r="W54" s="244"/>
      <c r="X54" s="243">
        <f t="shared" si="3"/>
        <v>-5.1299841666666666</v>
      </c>
      <c r="Y54" s="238">
        <f>IFERROR(IF(ISBLANK(Beersheet!$A$1)=FALSE,
INDEX(Beersheet!$A:$U,MATCH(S54,INDEX(Beersheet!$A:$U,0,FFARawStatProjections!$BV$2),0),FFARawStatProjections!$BV$6),
IF(X54&gt;6,0,
IF(AND(X54&lt;=6,X54&gt;5),1,
IF(AND(X54&lt;=5,X54&gt;4),2,
IF(AND(X54&lt;=4,X54&gt;3),3,
IF(AND(X54&lt;=3,X54&gt;2),4,
IF(AND(X54&lt;=2,X54&gt;1),5,
IF(AND(X54&lt;=1,X54&gt;0),6,
IF(AND(X54&lt;=0,X54&gt;-1),7,
8))))))))),
10)</f>
        <v>8</v>
      </c>
    </row>
    <row r="55" spans="1:25" ht="15" customHeight="1" x14ac:dyDescent="0.25">
      <c r="A55" s="135"/>
      <c r="B55" s="142" t="s">
        <v>299</v>
      </c>
      <c r="C55" t="str">
        <f>IF(AND(IFERROR(INDEX(Instructions!$T$111:$T$222,MATCH(D55,Instructions!$T$111:$T$222,0)), "")=D55, D55&lt;&gt;""), "X", "")</f>
        <v/>
      </c>
      <c r="D55" s="138" t="s">
        <v>2467</v>
      </c>
      <c r="E55" s="289" t="s">
        <v>147</v>
      </c>
      <c r="F55" s="434">
        <f>IFERROR(IF(AND($F$5="Projected Points",Beersheet!A50&lt;&gt;"QB"), T55, IF(H55="", INDEX(Tier!$B$16:$B$24,MATCH(G55,Tier!$A$16:$A$24,0)), INDEX(Tier!$B$16:$B$24,MATCH(H55,Tier!$A$16:$A$24,0)))), "")</f>
        <v>108.92161</v>
      </c>
      <c r="G55" s="290">
        <f t="shared" si="4"/>
        <v>8</v>
      </c>
      <c r="H55" s="291"/>
      <c r="I55" s="392">
        <f>IFERROR(INDEX(ADP!R:R,MATCH(D55,ADP!D:D,0))-RBproj!K55,"")</f>
        <v>2</v>
      </c>
      <c r="J55" s="127"/>
      <c r="K55" s="89">
        <v>49</v>
      </c>
      <c r="L55" t="s">
        <v>299</v>
      </c>
      <c r="M55">
        <f t="shared" si="0"/>
        <v>1.3999999999999986</v>
      </c>
      <c r="N55" s="4">
        <f>IFERROR(INDEX(ADP!AC:AC,MATCH(D55,ADP!Y:Y,0)),0)</f>
        <v>12.2</v>
      </c>
      <c r="O55" t="s">
        <v>3</v>
      </c>
      <c r="R55" t="str">
        <f>IFERROR(VLOOKUP(S55,FFARawStatProjections!AT:AV,2,FALSE),"")</f>
        <v>BUF</v>
      </c>
      <c r="S55" s="4" t="str">
        <f>INDEX(FFARawStatProjections!AT:AT,MATCH(T55,FFARawStatProjections!AV:AV,0))</f>
        <v>Damien Harris</v>
      </c>
      <c r="T55" s="428">
        <f>LARGE(FFARawStatProjections!AV:AV,RBproj!K55)</f>
        <v>108.92161</v>
      </c>
      <c r="U55" s="249">
        <f t="shared" si="1"/>
        <v>-83.449786666666668</v>
      </c>
      <c r="V55" s="243">
        <f t="shared" si="2"/>
        <v>6963.8668947121778</v>
      </c>
      <c r="W55" s="244"/>
      <c r="X55" s="243">
        <f t="shared" si="3"/>
        <v>-5.2156116666666668</v>
      </c>
      <c r="Y55" s="238">
        <f>IFERROR(IF(ISBLANK(Beersheet!$A$1)=FALSE,
INDEX(Beersheet!$A:$U,MATCH(S55,INDEX(Beersheet!$A:$U,0,FFARawStatProjections!$BV$2),0),FFARawStatProjections!$BV$6),
IF(X55&gt;6,0,
IF(AND(X55&lt;=6,X55&gt;5),1,
IF(AND(X55&lt;=5,X55&gt;4),2,
IF(AND(X55&lt;=4,X55&gt;3),3,
IF(AND(X55&lt;=3,X55&gt;2),4,
IF(AND(X55&lt;=2,X55&gt;1),5,
IF(AND(X55&lt;=1,X55&gt;0),6,
IF(AND(X55&lt;=0,X55&gt;-1),7,
8))))))))),
10)</f>
        <v>8</v>
      </c>
    </row>
    <row r="56" spans="1:25" ht="15" customHeight="1" x14ac:dyDescent="0.25">
      <c r="A56" s="135"/>
      <c r="B56" s="143" t="s">
        <v>300</v>
      </c>
      <c r="C56" t="str">
        <f>IF(AND(IFERROR(INDEX(Instructions!$T$111:$T$222,MATCH(D56,Instructions!$T$111:$T$222,0)), "")=D56, D56&lt;&gt;""), "X", "")</f>
        <v/>
      </c>
      <c r="D56" s="137" t="s">
        <v>2179</v>
      </c>
      <c r="E56" s="286" t="s">
        <v>159</v>
      </c>
      <c r="F56" s="232">
        <f>IFERROR(IF(AND($F$5="Projected Points",Beersheet!A51&lt;&gt;"QB"), T56, IF(H56="", INDEX(Tier!$B$16:$B$24,MATCH(G56,Tier!$A$16:$A$24,0)), INDEX(Tier!$B$16:$B$24,MATCH(H56,Tier!$A$16:$A$24,0)))), "")</f>
        <v>107.15162000000001</v>
      </c>
      <c r="G56" s="287">
        <f t="shared" si="4"/>
        <v>8</v>
      </c>
      <c r="H56" s="288"/>
      <c r="I56" s="392">
        <f>IFERROR(INDEX(ADP!R:R,MATCH(D56,ADP!D:D,0))-RBproj!K56,"")</f>
        <v>4</v>
      </c>
      <c r="J56" s="127"/>
      <c r="K56" s="89">
        <v>50</v>
      </c>
      <c r="L56" t="s">
        <v>300</v>
      </c>
      <c r="M56">
        <f t="shared" si="0"/>
        <v>2.5999999999999996</v>
      </c>
      <c r="N56" s="4">
        <f>IFERROR(INDEX(ADP!AC:AC,MATCH(D56,ADP!Y:Y,0)),0)</f>
        <v>14.5</v>
      </c>
      <c r="O56" t="s">
        <v>3</v>
      </c>
      <c r="R56" t="str">
        <f>IFERROR(VLOOKUP(S56,FFARawStatProjections!AT:AV,2,FALSE),"")</f>
        <v>CAR</v>
      </c>
      <c r="S56" s="4" t="str">
        <f>INDEX(FFARawStatProjections!AT:AT,MATCH(T56,FFARawStatProjections!AV:AV,0))</f>
        <v>Chuba Hubbard</v>
      </c>
      <c r="T56" s="428">
        <f>LARGE(FFARawStatProjections!AV:AV,RBproj!K56)</f>
        <v>107.15162000000001</v>
      </c>
      <c r="U56" s="249">
        <f t="shared" si="1"/>
        <v>-85.219776666666661</v>
      </c>
      <c r="V56" s="243">
        <f t="shared" si="2"/>
        <v>7262.4103351165431</v>
      </c>
      <c r="W56" s="244"/>
      <c r="X56" s="243">
        <f t="shared" si="3"/>
        <v>-5.3262360416666663</v>
      </c>
      <c r="Y56" s="238">
        <f>IFERROR(IF(ISBLANK(Beersheet!$A$1)=FALSE,
INDEX(Beersheet!$A:$U,MATCH(S56,INDEX(Beersheet!$A:$U,0,FFARawStatProjections!$BV$2),0),FFARawStatProjections!$BV$6),
IF(X56&gt;6,0,
IF(AND(X56&lt;=6,X56&gt;5),1,
IF(AND(X56&lt;=5,X56&gt;4),2,
IF(AND(X56&lt;=4,X56&gt;3),3,
IF(AND(X56&lt;=3,X56&gt;2),4,
IF(AND(X56&lt;=2,X56&gt;1),5,
IF(AND(X56&lt;=1,X56&gt;0),6,
IF(AND(X56&lt;=0,X56&gt;-1),7,
8))))))))),
10)</f>
        <v>8</v>
      </c>
    </row>
    <row r="57" spans="1:25" ht="15" customHeight="1" x14ac:dyDescent="0.25">
      <c r="A57" s="135"/>
      <c r="B57" s="142" t="s">
        <v>301</v>
      </c>
      <c r="C57" t="str">
        <f>IF(AND(IFERROR(INDEX(Instructions!$T$111:$T$222,MATCH(D57,Instructions!$T$111:$T$222,0)), "")=D57, D57&lt;&gt;""), "X", "")</f>
        <v/>
      </c>
      <c r="D57" s="138" t="s">
        <v>2279</v>
      </c>
      <c r="E57" s="289" t="s">
        <v>141</v>
      </c>
      <c r="F57" s="434">
        <f>IFERROR(IF(AND($F$5="Projected Points",Beersheet!A52&lt;&gt;"QB"), T57, IF(H57="", INDEX(Tier!$B$16:$B$24,MATCH(G57,Tier!$A$16:$A$24,0)), INDEX(Tier!$B$16:$B$24,MATCH(H57,Tier!$A$16:$A$24,0)))), "")</f>
        <v>106.15165999999999</v>
      </c>
      <c r="G57" s="290">
        <f t="shared" si="4"/>
        <v>8</v>
      </c>
      <c r="H57" s="291"/>
      <c r="I57" s="392">
        <f>IFERROR(INDEX(ADP!R:R,MATCH(D57,ADP!D:D,0))-RBproj!K57,"")</f>
        <v>-6</v>
      </c>
      <c r="J57" s="127"/>
      <c r="K57" s="89">
        <v>51</v>
      </c>
      <c r="L57" t="s">
        <v>301</v>
      </c>
      <c r="M57">
        <f t="shared" si="0"/>
        <v>0</v>
      </c>
      <c r="N57" s="4">
        <f>IFERROR(INDEX(ADP!AC:AC,MATCH(D57,ADP!Y:Y,0)),0)</f>
        <v>11.9</v>
      </c>
      <c r="O57" t="s">
        <v>3</v>
      </c>
      <c r="R57" t="str">
        <f>IFERROR(VLOOKUP(S57,FFARawStatProjections!AT:AV,2,FALSE),"")</f>
        <v>PHI</v>
      </c>
      <c r="S57" s="4" t="str">
        <f>INDEX(FFARawStatProjections!AT:AT,MATCH(T57,FFARawStatProjections!AV:AV,0))</f>
        <v>Kenneth Gainwell</v>
      </c>
      <c r="T57" s="428">
        <f>LARGE(FFARawStatProjections!AV:AV,RBproj!K57)</f>
        <v>106.15165999999999</v>
      </c>
      <c r="U57" s="249">
        <f t="shared" si="1"/>
        <v>-86.219736666666677</v>
      </c>
      <c r="V57" s="243">
        <f>U57^2</f>
        <v>7433.8429908693461</v>
      </c>
      <c r="W57" s="243"/>
      <c r="X57" s="243">
        <f t="shared" si="3"/>
        <v>-5.3887335416666673</v>
      </c>
      <c r="Y57" s="238">
        <f>IFERROR(IF(ISBLANK(Beersheet!$A$1)=FALSE,
INDEX(Beersheet!$A:$U,MATCH(S57,INDEX(Beersheet!$A:$U,0,FFARawStatProjections!$BV$2),0),FFARawStatProjections!$BV$6),
IF(X57&gt;6,0,
IF(AND(X57&lt;=6,X57&gt;5),1,
IF(AND(X57&lt;=5,X57&gt;4),2,
IF(AND(X57&lt;=4,X57&gt;3),3,
IF(AND(X57&lt;=3,X57&gt;2),4,
IF(AND(X57&lt;=2,X57&gt;1),5,
IF(AND(X57&lt;=1,X57&gt;0),6,
IF(AND(X57&lt;=0,X57&gt;-1),7,
8))))))))),
10)</f>
        <v>8</v>
      </c>
    </row>
    <row r="58" spans="1:25" ht="15" customHeight="1" x14ac:dyDescent="0.25">
      <c r="A58" s="135"/>
      <c r="B58" s="143" t="s">
        <v>302</v>
      </c>
      <c r="C58" t="str">
        <f>IF(AND(IFERROR(INDEX(Instructions!$T$111:$T$222,MATCH(D58,Instructions!$T$111:$T$222,0)), "")=D58, D58&lt;&gt;""), "X", "")</f>
        <v/>
      </c>
      <c r="D58" s="137" t="s">
        <v>2178</v>
      </c>
      <c r="E58" s="286" t="s">
        <v>137</v>
      </c>
      <c r="F58" s="232">
        <f>IFERROR(IF(AND($F$5="Projected Points",Beersheet!A53&lt;&gt;"QB"), T58, IF(H58="", INDEX(Tier!$B$16:$B$24,MATCH(G58,Tier!$A$16:$A$24,0)), INDEX(Tier!$B$16:$B$24,MATCH(H58,Tier!$A$16:$A$24,0)))), "")</f>
        <v>98.611599999999996</v>
      </c>
      <c r="G58" s="287">
        <f t="shared" si="4"/>
        <v>8</v>
      </c>
      <c r="H58" s="288"/>
      <c r="I58" s="392">
        <f>IFERROR(INDEX(ADP!R:R,MATCH(D58,ADP!D:D,0))-RBproj!K58,"")</f>
        <v>-8</v>
      </c>
      <c r="J58" s="127"/>
      <c r="K58" s="89">
        <v>52</v>
      </c>
      <c r="L58" t="s">
        <v>302</v>
      </c>
      <c r="M58">
        <f t="shared" si="0"/>
        <v>0</v>
      </c>
      <c r="N58" s="4">
        <f>IFERROR(INDEX(ADP!AC:AC,MATCH(D58,ADP!Y:Y,0)),0)</f>
        <v>10.8</v>
      </c>
      <c r="O58" t="s">
        <v>3</v>
      </c>
      <c r="R58" t="str">
        <f>IFERROR(VLOOKUP(S58,FFARawStatProjections!AT:AV,2,FALSE),"")</f>
        <v>CHI</v>
      </c>
      <c r="S58" s="4" t="str">
        <f>INDEX(FFARawStatProjections!AT:AT,MATCH(T58,FFARawStatProjections!AV:AV,0))</f>
        <v>DOnta Foreman</v>
      </c>
      <c r="T58" s="428">
        <f>LARGE(FFARawStatProjections!AV:AV,RBproj!K58)</f>
        <v>98.611599999999996</v>
      </c>
      <c r="U58" s="249">
        <f t="shared" si="1"/>
        <v>-93.759796666666674</v>
      </c>
      <c r="V58" s="243">
        <f t="shared" ref="V58:V121" si="5">U58^2</f>
        <v>8790.8994709746785</v>
      </c>
      <c r="W58" s="243"/>
      <c r="X58" s="243">
        <f t="shared" si="3"/>
        <v>-5.8599872916666671</v>
      </c>
      <c r="Y58" s="238">
        <f>IFERROR(IF(ISBLANK(Beersheet!$A$1)=FALSE,
INDEX(Beersheet!$A:$U,MATCH(S58,INDEX(Beersheet!$A:$U,0,FFARawStatProjections!$BV$2),0),FFARawStatProjections!$BV$6),
IF(X58&gt;6,0,
IF(AND(X58&lt;=6,X58&gt;5),1,
IF(AND(X58&lt;=5,X58&gt;4),2,
IF(AND(X58&lt;=4,X58&gt;3),3,
IF(AND(X58&lt;=3,X58&gt;2),4,
IF(AND(X58&lt;=2,X58&gt;1),5,
IF(AND(X58&lt;=1,X58&gt;0),6,
IF(AND(X58&lt;=0,X58&gt;-1),7,
8))))))))),
10)</f>
        <v>8</v>
      </c>
    </row>
    <row r="59" spans="1:25" ht="15" customHeight="1" x14ac:dyDescent="0.25">
      <c r="A59" s="135"/>
      <c r="B59" s="142" t="s">
        <v>303</v>
      </c>
      <c r="C59" t="str">
        <f>IF(AND(IFERROR(INDEX(Instructions!$T$111:$T$222,MATCH(D59,Instructions!$T$111:$T$222,0)), "")=D59, D59&lt;&gt;""), "X", "")</f>
        <v/>
      </c>
      <c r="D59" s="138" t="s">
        <v>2407</v>
      </c>
      <c r="E59" s="289" t="s">
        <v>165</v>
      </c>
      <c r="F59" s="434">
        <f>IFERROR(IF(AND($F$5="Projected Points",Beersheet!A54&lt;&gt;"QB"), T59, IF(H59="", INDEX(Tier!$B$16:$B$24,MATCH(G59,Tier!$A$16:$A$24,0)), INDEX(Tier!$B$16:$B$24,MATCH(H59,Tier!$A$16:$A$24,0)))), "")</f>
        <v>95.651690000000002</v>
      </c>
      <c r="G59" s="290">
        <f t="shared" si="4"/>
        <v>8</v>
      </c>
      <c r="H59" s="291"/>
      <c r="I59" s="392">
        <f>IFERROR(INDEX(ADP!R:R,MATCH(D59,ADP!D:D,0))-RBproj!K59,"")</f>
        <v>0</v>
      </c>
      <c r="J59" s="127"/>
      <c r="K59" s="89">
        <v>53</v>
      </c>
      <c r="L59" t="s">
        <v>303</v>
      </c>
      <c r="M59">
        <f t="shared" si="0"/>
        <v>1.9000000000000004</v>
      </c>
      <c r="N59" s="4">
        <f>IFERROR(INDEX(ADP!AC:AC,MATCH(D59,ADP!Y:Y,0)),0)</f>
        <v>13.8</v>
      </c>
      <c r="O59" t="s">
        <v>3</v>
      </c>
      <c r="R59" t="str">
        <f>IFERROR(VLOOKUP(S59,FFARawStatProjections!AT:AV,2,FALSE),"")</f>
        <v>JAC</v>
      </c>
      <c r="S59" s="4" t="str">
        <f>INDEX(FFARawStatProjections!AT:AT,MATCH(T59,FFARawStatProjections!AV:AV,0))</f>
        <v>Tank Bigsby</v>
      </c>
      <c r="T59" s="428">
        <f>LARGE(FFARawStatProjections!AV:AV,RBproj!K59)</f>
        <v>95.651690000000002</v>
      </c>
      <c r="U59" s="249">
        <f t="shared" si="1"/>
        <v>-96.719706666666667</v>
      </c>
      <c r="V59" s="243">
        <f t="shared" si="5"/>
        <v>9354.7016576860442</v>
      </c>
      <c r="W59" s="244"/>
      <c r="X59" s="243">
        <f t="shared" si="3"/>
        <v>-6.0449816666666667</v>
      </c>
      <c r="Y59" s="238">
        <f>IFERROR(IF(ISBLANK(Beersheet!$A$1)=FALSE,
INDEX(Beersheet!$A:$U,MATCH(S59,INDEX(Beersheet!$A:$U,0,FFARawStatProjections!$BV$2),0),FFARawStatProjections!$BV$6),
IF(X59&gt;6,0,
IF(AND(X59&lt;=6,X59&gt;5),1,
IF(AND(X59&lt;=5,X59&gt;4),2,
IF(AND(X59&lt;=4,X59&gt;3),3,
IF(AND(X59&lt;=3,X59&gt;2),4,
IF(AND(X59&lt;=2,X59&gt;1),5,
IF(AND(X59&lt;=1,X59&gt;0),6,
IF(AND(X59&lt;=0,X59&gt;-1),7,
8))))))))),
10)</f>
        <v>8</v>
      </c>
    </row>
    <row r="60" spans="1:25" ht="15" customHeight="1" x14ac:dyDescent="0.25">
      <c r="A60" s="135"/>
      <c r="B60" s="143" t="s">
        <v>304</v>
      </c>
      <c r="C60" t="str">
        <f>IF(AND(IFERROR(INDEX(Instructions!$T$111:$T$222,MATCH(D60,Instructions!$T$111:$T$222,0)), "")=D60, D60&lt;&gt;""), "X", "")</f>
        <v/>
      </c>
      <c r="D60" s="137" t="s">
        <v>1829</v>
      </c>
      <c r="E60" s="286" t="s">
        <v>162</v>
      </c>
      <c r="F60" s="232">
        <f>IFERROR(IF(AND($F$5="Projected Points",Beersheet!A55&lt;&gt;"QB"), T60, IF(H60="", INDEX(Tier!$B$16:$B$24,MATCH(G60,Tier!$A$16:$A$24,0)), INDEX(Tier!$B$16:$B$24,MATCH(H60,Tier!$A$16:$A$24,0)))), "")</f>
        <v>93.208410000000001</v>
      </c>
      <c r="G60" s="287">
        <f t="shared" si="4"/>
        <v>8</v>
      </c>
      <c r="H60" s="288"/>
      <c r="I60" s="392">
        <f>IFERROR(INDEX(ADP!R:R,MATCH(D60,ADP!D:D,0))-RBproj!K60,"")</f>
        <v>-2</v>
      </c>
      <c r="J60" s="127"/>
      <c r="K60" s="89">
        <v>54</v>
      </c>
      <c r="L60" t="s">
        <v>304</v>
      </c>
      <c r="M60">
        <f t="shared" si="0"/>
        <v>3.6999999999999993</v>
      </c>
      <c r="N60" s="4">
        <f>IFERROR(INDEX(ADP!AC:AC,MATCH(D60,ADP!Y:Y,0)),0)</f>
        <v>15.6</v>
      </c>
      <c r="O60" t="s">
        <v>3</v>
      </c>
      <c r="R60" t="str">
        <f>IFERROR(VLOOKUP(S60,FFARawStatProjections!AT:AV,2,FALSE),"")</f>
        <v>FA</v>
      </c>
      <c r="S60" s="4" t="str">
        <f>INDEX(FFARawStatProjections!AT:AT,MATCH(T60,FFARawStatProjections!AV:AV,0))</f>
        <v>Kareem Hunt</v>
      </c>
      <c r="T60" s="428">
        <f>LARGE(FFARawStatProjections!AV:AV,RBproj!K60)</f>
        <v>93.208410000000001</v>
      </c>
      <c r="U60" s="249">
        <f t="shared" si="1"/>
        <v>-99.162986666666669</v>
      </c>
      <c r="V60" s="243">
        <f t="shared" si="5"/>
        <v>9833.2979246535124</v>
      </c>
      <c r="W60" s="244"/>
      <c r="X60" s="243">
        <f t="shared" si="3"/>
        <v>-6.1976866666666668</v>
      </c>
      <c r="Y60" s="238">
        <f>IFERROR(IF(ISBLANK(Beersheet!$A$1)=FALSE,
INDEX(Beersheet!$A:$U,MATCH(S60,INDEX(Beersheet!$A:$U,0,FFARawStatProjections!$BV$2),0),FFARawStatProjections!$BV$6),
IF(X60&gt;6,0,
IF(AND(X60&lt;=6,X60&gt;5),1,
IF(AND(X60&lt;=5,X60&gt;4),2,
IF(AND(X60&lt;=4,X60&gt;3),3,
IF(AND(X60&lt;=3,X60&gt;2),4,
IF(AND(X60&lt;=2,X60&gt;1),5,
IF(AND(X60&lt;=1,X60&gt;0),6,
IF(AND(X60&lt;=0,X60&gt;-1),7,
8))))))))),
10)</f>
        <v>8</v>
      </c>
    </row>
    <row r="61" spans="1:25" ht="15" customHeight="1" x14ac:dyDescent="0.25">
      <c r="A61" s="135"/>
      <c r="B61" s="142" t="s">
        <v>305</v>
      </c>
      <c r="C61" t="str">
        <f>IF(AND(IFERROR(INDEX(Instructions!$T$111:$T$222,MATCH(D61,Instructions!$T$111:$T$222,0)), "")=D61, D61&lt;&gt;""), "X", "")</f>
        <v/>
      </c>
      <c r="D61" s="138" t="s">
        <v>1417</v>
      </c>
      <c r="E61" s="289" t="s">
        <v>2540</v>
      </c>
      <c r="F61" s="434">
        <f>IFERROR(IF(AND($F$5="Projected Points",Beersheet!A56&lt;&gt;"QB"), T61, IF(H61="", INDEX(Tier!$B$16:$B$24,MATCH(G61,Tier!$A$16:$A$24,0)), INDEX(Tier!$B$16:$B$24,MATCH(H61,Tier!$A$16:$A$24,0)))), "")</f>
        <v>89.471680000000006</v>
      </c>
      <c r="G61" s="290">
        <f t="shared" si="4"/>
        <v>8</v>
      </c>
      <c r="H61" s="291"/>
      <c r="I61" s="392" t="str">
        <f>IFERROR(INDEX(ADP!R:R,MATCH(D61,ADP!D:D,0))-RBproj!K61,"")</f>
        <v/>
      </c>
      <c r="J61" s="127"/>
      <c r="K61" s="89">
        <v>55</v>
      </c>
      <c r="L61" t="s">
        <v>305</v>
      </c>
      <c r="M61">
        <f t="shared" si="0"/>
        <v>0</v>
      </c>
      <c r="N61" s="4">
        <f>IFERROR(INDEX(ADP!AC:AC,MATCH(D61,ADP!Y:Y,0)),0)</f>
        <v>0</v>
      </c>
      <c r="O61" t="s">
        <v>3</v>
      </c>
      <c r="R61" t="str">
        <f>IFERROR(VLOOKUP(S61,FFARawStatProjections!AT:AV,2,FALSE),"")</f>
        <v>BAL</v>
      </c>
      <c r="S61" s="4" t="str">
        <f>INDEX(FFARawStatProjections!AT:AT,MATCH(T61,FFARawStatProjections!AV:AV,0))</f>
        <v>Gus Edwards</v>
      </c>
      <c r="T61" s="428">
        <f>LARGE(FFARawStatProjections!AV:AV,RBproj!K61)</f>
        <v>89.471680000000006</v>
      </c>
      <c r="U61" s="249">
        <f t="shared" si="1"/>
        <v>-102.89971666666666</v>
      </c>
      <c r="V61" s="243">
        <f t="shared" si="5"/>
        <v>10588.351690080277</v>
      </c>
      <c r="W61" s="243"/>
      <c r="X61" s="243">
        <f t="shared" si="3"/>
        <v>-6.4312322916666664</v>
      </c>
      <c r="Y61" s="238">
        <f>IFERROR(IF(ISBLANK(Beersheet!$A$1)=FALSE,
INDEX(Beersheet!$A:$U,MATCH(S61,INDEX(Beersheet!$A:$U,0,FFARawStatProjections!$BV$2),0),FFARawStatProjections!$BV$6),
IF(X61&gt;6,0,
IF(AND(X61&lt;=6,X61&gt;5),1,
IF(AND(X61&lt;=5,X61&gt;4),2,
IF(AND(X61&lt;=4,X61&gt;3),3,
IF(AND(X61&lt;=3,X61&gt;2),4,
IF(AND(X61&lt;=2,X61&gt;1),5,
IF(AND(X61&lt;=1,X61&gt;0),6,
IF(AND(X61&lt;=0,X61&gt;-1),7,
8))))))))),
10)</f>
        <v>8</v>
      </c>
    </row>
    <row r="62" spans="1:25" ht="15" customHeight="1" x14ac:dyDescent="0.25">
      <c r="A62" s="135"/>
      <c r="B62" s="143" t="s">
        <v>306</v>
      </c>
      <c r="C62" t="str">
        <f>IF(AND(IFERROR(INDEX(Instructions!$T$111:$T$222,MATCH(D62,Instructions!$T$111:$T$222,0)), "")=D62, D62&lt;&gt;""), "X", "")</f>
        <v/>
      </c>
      <c r="D62" s="137" t="s">
        <v>1774</v>
      </c>
      <c r="E62" s="286" t="s">
        <v>149</v>
      </c>
      <c r="F62" s="232">
        <f>IFERROR(IF(AND($F$5="Projected Points",Beersheet!A57&lt;&gt;"QB"), T62, IF(H62="", INDEX(Tier!$B$16:$B$24,MATCH(G62,Tier!$A$16:$A$24,0)), INDEX(Tier!$B$16:$B$24,MATCH(H62,Tier!$A$16:$A$24,0)))), "")</f>
        <v>87.861710000000016</v>
      </c>
      <c r="G62" s="287">
        <f t="shared" si="4"/>
        <v>8</v>
      </c>
      <c r="H62" s="288"/>
      <c r="I62" s="392" t="str">
        <f>IFERROR(INDEX(ADP!R:R,MATCH(D62,ADP!D:D,0))-RBproj!K62,"")</f>
        <v/>
      </c>
      <c r="J62" s="127"/>
      <c r="K62" s="89">
        <v>56</v>
      </c>
      <c r="L62" t="s">
        <v>306</v>
      </c>
      <c r="M62">
        <f t="shared" si="0"/>
        <v>0</v>
      </c>
      <c r="N62" s="4">
        <f>IFERROR(INDEX(ADP!AC:AC,MATCH(D62,ADP!Y:Y,0)),0)</f>
        <v>0</v>
      </c>
      <c r="O62" t="s">
        <v>3</v>
      </c>
      <c r="R62" t="str">
        <f>IFERROR(VLOOKUP(S62,FFARawStatProjections!AT:AV,2,FALSE),"")</f>
        <v>TB</v>
      </c>
      <c r="S62" s="4" t="str">
        <f>INDEX(FFARawStatProjections!AT:AT,MATCH(T62,FFARawStatProjections!AV:AV,0))</f>
        <v>Chase Edmonds</v>
      </c>
      <c r="T62" s="428">
        <f>LARGE(FFARawStatProjections!AV:AV,RBproj!K62)</f>
        <v>87.861710000000016</v>
      </c>
      <c r="U62" s="249">
        <f t="shared" si="1"/>
        <v>-104.50968666666665</v>
      </c>
      <c r="V62" s="243">
        <f t="shared" si="5"/>
        <v>10922.274607164842</v>
      </c>
      <c r="W62" s="243"/>
      <c r="X62" s="243">
        <f t="shared" si="3"/>
        <v>-6.5318554166666658</v>
      </c>
      <c r="Y62" s="238">
        <f>IFERROR(IF(ISBLANK(Beersheet!$A$1)=FALSE,
INDEX(Beersheet!$A:$U,MATCH(S62,INDEX(Beersheet!$A:$U,0,FFARawStatProjections!$BV$2),0),FFARawStatProjections!$BV$6),
IF(X62&gt;6,0,
IF(AND(X62&lt;=6,X62&gt;5),1,
IF(AND(X62&lt;=5,X62&gt;4),2,
IF(AND(X62&lt;=4,X62&gt;3),3,
IF(AND(X62&lt;=3,X62&gt;2),4,
IF(AND(X62&lt;=2,X62&gt;1),5,
IF(AND(X62&lt;=1,X62&gt;0),6,
IF(AND(X62&lt;=0,X62&gt;-1),7,
8))))))))),
10)</f>
        <v>8</v>
      </c>
    </row>
    <row r="63" spans="1:25" ht="15" customHeight="1" x14ac:dyDescent="0.25">
      <c r="A63" s="135"/>
      <c r="B63" s="142" t="s">
        <v>307</v>
      </c>
      <c r="C63" t="str">
        <f>IF(AND(IFERROR(INDEX(Instructions!$T$111:$T$222,MATCH(D63,Instructions!$T$111:$T$222,0)), "")=D63, D63&lt;&gt;""), "X", "")</f>
        <v/>
      </c>
      <c r="D63" s="138" t="s">
        <v>2418</v>
      </c>
      <c r="E63" s="289" t="s">
        <v>141</v>
      </c>
      <c r="F63" s="434">
        <f>IFERROR(IF(AND($F$5="Projected Points",Beersheet!A58&lt;&gt;"QB"), T63, IF(H63="", INDEX(Tier!$B$16:$B$24,MATCH(G63,Tier!$A$16:$A$24,0)), INDEX(Tier!$B$16:$B$24,MATCH(H63,Tier!$A$16:$A$24,0)))), "")</f>
        <v>85.471720000000005</v>
      </c>
      <c r="G63" s="290">
        <f t="shared" si="4"/>
        <v>8</v>
      </c>
      <c r="H63" s="291"/>
      <c r="I63" s="392">
        <f>IFERROR(INDEX(ADP!R:R,MATCH(D63,ADP!D:D,0))-RBproj!K63,"")</f>
        <v>-1</v>
      </c>
      <c r="J63" s="127"/>
      <c r="K63" s="89">
        <v>57</v>
      </c>
      <c r="L63" t="s">
        <v>307</v>
      </c>
      <c r="M63">
        <f t="shared" si="0"/>
        <v>23.9</v>
      </c>
      <c r="N63" s="4">
        <f>IFERROR(INDEX(ADP!AC:AC,MATCH(D63,ADP!Y:Y,0)),0)</f>
        <v>23.9</v>
      </c>
      <c r="O63" t="s">
        <v>3</v>
      </c>
      <c r="R63" t="str">
        <f>IFERROR(VLOOKUP(S63,FFARawStatProjections!AT:AV,2,FALSE),"")</f>
        <v>ATL</v>
      </c>
      <c r="S63" s="4" t="str">
        <f>INDEX(FFARawStatProjections!AT:AT,MATCH(T63,FFARawStatProjections!AV:AV,0))</f>
        <v>Cordarrelle Patterson</v>
      </c>
      <c r="T63" s="428">
        <f>LARGE(FFARawStatProjections!AV:AV,RBproj!K63)</f>
        <v>85.471720000000005</v>
      </c>
      <c r="U63" s="249">
        <f t="shared" si="1"/>
        <v>-106.89967666666666</v>
      </c>
      <c r="V63" s="243">
        <f t="shared" si="5"/>
        <v>11427.540871437877</v>
      </c>
      <c r="W63" s="243"/>
      <c r="X63" s="243">
        <f t="shared" si="3"/>
        <v>-6.6812297916666665</v>
      </c>
      <c r="Y63" s="238">
        <f>IFERROR(IF(ISBLANK(Beersheet!$A$1)=FALSE,
INDEX(Beersheet!$A:$U,MATCH(S63,INDEX(Beersheet!$A:$U,0,FFARawStatProjections!$BV$2),0),FFARawStatProjections!$BV$6),
IF(X63&gt;6,0,
IF(AND(X63&lt;=6,X63&gt;5),1,
IF(AND(X63&lt;=5,X63&gt;4),2,
IF(AND(X63&lt;=4,X63&gt;3),3,
IF(AND(X63&lt;=3,X63&gt;2),4,
IF(AND(X63&lt;=2,X63&gt;1),5,
IF(AND(X63&lt;=1,X63&gt;0),6,
IF(AND(X63&lt;=0,X63&gt;-1),7,
8))))))))),
10)</f>
        <v>8</v>
      </c>
    </row>
    <row r="64" spans="1:25" ht="15" customHeight="1" x14ac:dyDescent="0.25">
      <c r="A64" s="135"/>
      <c r="B64" s="143" t="s">
        <v>308</v>
      </c>
      <c r="C64" t="str">
        <f>IF(AND(IFERROR(INDEX(Instructions!$T$111:$T$222,MATCH(D64,Instructions!$T$111:$T$222,0)), "")=D64, D64&lt;&gt;""), "X", "")</f>
        <v/>
      </c>
      <c r="D64" s="137" t="s">
        <v>76</v>
      </c>
      <c r="E64" s="286" t="s">
        <v>148</v>
      </c>
      <c r="F64" s="232">
        <f>IFERROR(IF(AND($F$5="Projected Points",Beersheet!A59&lt;&gt;"QB"), T64, IF(H64="", INDEX(Tier!$B$16:$B$24,MATCH(G64,Tier!$A$16:$A$24,0)), INDEX(Tier!$B$16:$B$24,MATCH(H64,Tier!$A$16:$A$24,0)))), "")</f>
        <v>82.8917</v>
      </c>
      <c r="G64" s="287">
        <f t="shared" si="4"/>
        <v>8</v>
      </c>
      <c r="H64" s="288"/>
      <c r="I64" s="392">
        <f>IFERROR(INDEX(ADP!R:R,MATCH(D64,ADP!D:D,0))-RBproj!K64,"")</f>
        <v>-10</v>
      </c>
      <c r="J64" s="127"/>
      <c r="K64" s="89">
        <v>58</v>
      </c>
      <c r="L64" t="s">
        <v>308</v>
      </c>
      <c r="M64">
        <f t="shared" si="0"/>
        <v>13.5</v>
      </c>
      <c r="N64" s="4">
        <f>IFERROR(INDEX(ADP!AC:AC,MATCH(D64,ADP!Y:Y,0)),0)</f>
        <v>13.5</v>
      </c>
      <c r="O64" t="s">
        <v>3</v>
      </c>
      <c r="R64" t="str">
        <f>IFERROR(VLOOKUP(S64,FFARawStatProjections!AT:AV,2,FALSE),"")</f>
        <v>CHI</v>
      </c>
      <c r="S64" s="4" t="str">
        <f>INDEX(FFARawStatProjections!AT:AT,MATCH(T64,FFARawStatProjections!AV:AV,0))</f>
        <v>Roschon Johnson</v>
      </c>
      <c r="T64" s="428">
        <f>LARGE(FFARawStatProjections!AV:AV,RBproj!K64)</f>
        <v>82.8917</v>
      </c>
      <c r="U64" s="249">
        <f t="shared" si="1"/>
        <v>-109.47969666666667</v>
      </c>
      <c r="V64" s="243">
        <f t="shared" si="5"/>
        <v>11985.803982225345</v>
      </c>
      <c r="W64" s="243"/>
      <c r="X64" s="243">
        <f t="shared" si="3"/>
        <v>-6.8424810416666668</v>
      </c>
      <c r="Y64" s="238">
        <f>IFERROR(IF(ISBLANK(Beersheet!$A$1)=FALSE,
INDEX(Beersheet!$A:$U,MATCH(S64,INDEX(Beersheet!$A:$U,0,FFARawStatProjections!$BV$2),0),FFARawStatProjections!$BV$6),
IF(X64&gt;6,0,
IF(AND(X64&lt;=6,X64&gt;5),1,
IF(AND(X64&lt;=5,X64&gt;4),2,
IF(AND(X64&lt;=4,X64&gt;3),3,
IF(AND(X64&lt;=3,X64&gt;2),4,
IF(AND(X64&lt;=2,X64&gt;1),5,
IF(AND(X64&lt;=1,X64&gt;0),6,
IF(AND(X64&lt;=0,X64&gt;-1),7,
8))))))))),
10)</f>
        <v>8</v>
      </c>
    </row>
    <row r="65" spans="1:25" ht="15" customHeight="1" x14ac:dyDescent="0.25">
      <c r="A65" s="135"/>
      <c r="B65" s="142" t="s">
        <v>309</v>
      </c>
      <c r="C65" t="str">
        <f>IF(AND(IFERROR(INDEX(Instructions!$T$111:$T$222,MATCH(D65,Instructions!$T$111:$T$222,0)), "")=D65, D65&lt;&gt;""), "X", "")</f>
        <v/>
      </c>
      <c r="D65" s="138" t="s">
        <v>2093</v>
      </c>
      <c r="E65" s="289" t="s">
        <v>1388</v>
      </c>
      <c r="F65" s="434">
        <f>IFERROR(IF(AND($F$5="Projected Points",Beersheet!A60&lt;&gt;"QB"), T65, IF(H65="", INDEX(Tier!$B$16:$B$24,MATCH(G65,Tier!$A$16:$A$24,0)), INDEX(Tier!$B$16:$B$24,MATCH(H65,Tier!$A$16:$A$24,0)))), "")</f>
        <v>78.831729999999993</v>
      </c>
      <c r="G65" s="290">
        <f t="shared" si="4"/>
        <v>8</v>
      </c>
      <c r="H65" s="291"/>
      <c r="I65" s="392" t="str">
        <f>IFERROR(INDEX(ADP!R:R,MATCH(D65,ADP!D:D,0))-RBproj!K65,"")</f>
        <v/>
      </c>
      <c r="J65" s="127"/>
      <c r="K65" s="89">
        <v>59</v>
      </c>
      <c r="L65" t="s">
        <v>309</v>
      </c>
      <c r="M65">
        <f t="shared" si="0"/>
        <v>0</v>
      </c>
      <c r="N65" s="4">
        <f>IFERROR(INDEX(ADP!AC:AC,MATCH(D65,ADP!Y:Y,0)),0)</f>
        <v>0</v>
      </c>
      <c r="O65" t="s">
        <v>3</v>
      </c>
      <c r="R65" t="str">
        <f>IFERROR(VLOOKUP(S65,FFARawStatProjections!AT:AV,2,FALSE),"")</f>
        <v>LAC</v>
      </c>
      <c r="S65" s="4" t="str">
        <f>INDEX(FFARawStatProjections!AT:AT,MATCH(T65,FFARawStatProjections!AV:AV,0))</f>
        <v>Joshua Kelley</v>
      </c>
      <c r="T65" s="428">
        <f>LARGE(FFARawStatProjections!AV:AV,RBproj!K65)</f>
        <v>78.831729999999993</v>
      </c>
      <c r="U65" s="249">
        <f t="shared" si="1"/>
        <v>-113.53966666666668</v>
      </c>
      <c r="V65" s="243">
        <f t="shared" si="5"/>
        <v>12891.25590677778</v>
      </c>
      <c r="W65" s="243"/>
      <c r="X65" s="243">
        <f t="shared" si="3"/>
        <v>-7.0962291666666673</v>
      </c>
      <c r="Y65" s="238">
        <f>IFERROR(IF(ISBLANK(Beersheet!$A$1)=FALSE,
INDEX(Beersheet!$A:$U,MATCH(S65,INDEX(Beersheet!$A:$U,0,FFARawStatProjections!$BV$2),0),FFARawStatProjections!$BV$6),
IF(X65&gt;6,0,
IF(AND(X65&lt;=6,X65&gt;5),1,
IF(AND(X65&lt;=5,X65&gt;4),2,
IF(AND(X65&lt;=4,X65&gt;3),3,
IF(AND(X65&lt;=3,X65&gt;2),4,
IF(AND(X65&lt;=2,X65&gt;1),5,
IF(AND(X65&lt;=1,X65&gt;0),6,
IF(AND(X65&lt;=0,X65&gt;-1),7,
8))))))))),
10)</f>
        <v>8</v>
      </c>
    </row>
    <row r="66" spans="1:25" ht="15" customHeight="1" x14ac:dyDescent="0.25">
      <c r="A66" s="135"/>
      <c r="B66" s="143" t="s">
        <v>310</v>
      </c>
      <c r="C66" t="str">
        <f>IF(AND(IFERROR(INDEX(Instructions!$T$111:$T$222,MATCH(D66,Instructions!$T$111:$T$222,0)), "")=D66, D66&lt;&gt;""), "X", "")</f>
        <v/>
      </c>
      <c r="D66" s="137" t="s">
        <v>2397</v>
      </c>
      <c r="E66" s="286" t="s">
        <v>163</v>
      </c>
      <c r="F66" s="232">
        <f>IFERROR(IF(AND($F$5="Projected Points",Beersheet!A61&lt;&gt;"QB"), T66, IF(H66="", INDEX(Tier!$B$16:$B$24,MATCH(G66,Tier!$A$16:$A$24,0)), INDEX(Tier!$B$16:$B$24,MATCH(H66,Tier!$A$16:$A$24,0)))), "")</f>
        <v>78.811750000000004</v>
      </c>
      <c r="G66" s="287">
        <f t="shared" si="4"/>
        <v>8</v>
      </c>
      <c r="H66" s="288"/>
      <c r="I66" s="392" t="str">
        <f>IFERROR(INDEX(ADP!R:R,MATCH(D66,ADP!D:D,0))-RBproj!K66,"")</f>
        <v/>
      </c>
      <c r="J66" s="127"/>
      <c r="K66" s="89">
        <v>60</v>
      </c>
      <c r="L66" t="s">
        <v>310</v>
      </c>
      <c r="M66">
        <f t="shared" si="0"/>
        <v>0</v>
      </c>
      <c r="N66" s="4">
        <f>IFERROR(INDEX(ADP!AC:AC,MATCH(D66,ADP!Y:Y,0)),0)</f>
        <v>0</v>
      </c>
      <c r="O66" t="s">
        <v>3</v>
      </c>
      <c r="R66" t="str">
        <f>IFERROR(VLOOKUP(S66,FFARawStatProjections!AT:AV,2,FALSE),"")</f>
        <v>TEN</v>
      </c>
      <c r="S66" s="4" t="str">
        <f>INDEX(FFARawStatProjections!AT:AT,MATCH(T66,FFARawStatProjections!AV:AV,0))</f>
        <v>Tyjae Spears</v>
      </c>
      <c r="T66" s="428">
        <f>LARGE(FFARawStatProjections!AV:AV,RBproj!K66)</f>
        <v>78.811750000000004</v>
      </c>
      <c r="U66" s="249">
        <f t="shared" si="1"/>
        <v>-113.55964666666667</v>
      </c>
      <c r="V66" s="243">
        <f t="shared" si="5"/>
        <v>12895.793351058177</v>
      </c>
      <c r="W66" s="243"/>
      <c r="X66" s="243">
        <f t="shared" si="3"/>
        <v>-7.0974779166666666</v>
      </c>
      <c r="Y66" s="238">
        <f>IFERROR(IF(ISBLANK(Beersheet!$A$1)=FALSE,
INDEX(Beersheet!$A:$U,MATCH(S66,INDEX(Beersheet!$A:$U,0,FFARawStatProjections!$BV$2),0),FFARawStatProjections!$BV$6),
IF(X66&gt;6,0,
IF(AND(X66&lt;=6,X66&gt;5),1,
IF(AND(X66&lt;=5,X66&gt;4),2,
IF(AND(X66&lt;=4,X66&gt;3),3,
IF(AND(X66&lt;=3,X66&gt;2),4,
IF(AND(X66&lt;=2,X66&gt;1),5,
IF(AND(X66&lt;=1,X66&gt;0),6,
IF(AND(X66&lt;=0,X66&gt;-1),7,
8))))))))),
10)</f>
        <v>8</v>
      </c>
    </row>
    <row r="67" spans="1:25" ht="15" customHeight="1" x14ac:dyDescent="0.25">
      <c r="A67" s="135"/>
      <c r="B67" s="142" t="s">
        <v>311</v>
      </c>
      <c r="C67" t="str">
        <f>IF(AND(IFERROR(INDEX(Instructions!$T$111:$T$222,MATCH(D67,Instructions!$T$111:$T$222,0)), "")=D67, D67&lt;&gt;""), "X", "")</f>
        <v/>
      </c>
      <c r="D67" s="138" t="s">
        <v>2074</v>
      </c>
      <c r="E67" s="289" t="s">
        <v>136</v>
      </c>
      <c r="F67" s="434">
        <f>IFERROR(IF(AND($F$5="Projected Points",Beersheet!A62&lt;&gt;"QB"), T67, IF(H67="", INDEX(Tier!$B$16:$B$24,MATCH(G67,Tier!$A$16:$A$24,0)), INDEX(Tier!$B$16:$B$24,MATCH(H67,Tier!$A$16:$A$24,0)))), "")</f>
        <v>75.251739999999998</v>
      </c>
      <c r="G67" s="290">
        <f t="shared" si="4"/>
        <v>8</v>
      </c>
      <c r="H67" s="291"/>
      <c r="I67" s="392">
        <f>IFERROR(INDEX(ADP!R:R,MATCH(D67,ADP!D:D,0))-RBproj!K67,"")</f>
        <v>-11</v>
      </c>
      <c r="J67" s="127"/>
      <c r="K67" s="89">
        <v>61</v>
      </c>
      <c r="L67" t="s">
        <v>311</v>
      </c>
      <c r="M67">
        <f t="shared" si="0"/>
        <v>14.3</v>
      </c>
      <c r="N67" s="4">
        <f>IFERROR(INDEX(ADP!AC:AC,MATCH(D67,ADP!Y:Y,0)),0)</f>
        <v>14.3</v>
      </c>
      <c r="O67" t="s">
        <v>3</v>
      </c>
      <c r="R67" t="str">
        <f>IFERROR(VLOOKUP(S67,FFARawStatProjections!AT:AV,2,FALSE),"")</f>
        <v>KC</v>
      </c>
      <c r="S67" s="4" t="str">
        <f>INDEX(FFARawStatProjections!AT:AT,MATCH(T67,FFARawStatProjections!AV:AV,0))</f>
        <v>Clyde Edwards-Helaire</v>
      </c>
      <c r="T67" s="428">
        <f>LARGE(FFARawStatProjections!AV:AV,RBproj!K67)</f>
        <v>75.251739999999998</v>
      </c>
      <c r="U67" s="249">
        <f t="shared" si="1"/>
        <v>-117.11965666666667</v>
      </c>
      <c r="V67" s="243">
        <f t="shared" si="5"/>
        <v>13717.013977717879</v>
      </c>
      <c r="W67" s="243"/>
      <c r="X67" s="243">
        <f t="shared" si="3"/>
        <v>-7.3199785416666669</v>
      </c>
      <c r="Y67" s="238">
        <f>IFERROR(IF(ISBLANK(Beersheet!$A$1)=FALSE,
INDEX(Beersheet!$A:$U,MATCH(S67,INDEX(Beersheet!$A:$U,0,FFARawStatProjections!$BV$2),0),FFARawStatProjections!$BV$6),
IF(X67&gt;6,0,
IF(AND(X67&lt;=6,X67&gt;5),1,
IF(AND(X67&lt;=5,X67&gt;4),2,
IF(AND(X67&lt;=4,X67&gt;3),3,
IF(AND(X67&lt;=3,X67&gt;2),4,
IF(AND(X67&lt;=2,X67&gt;1),5,
IF(AND(X67&lt;=1,X67&gt;0),6,
IF(AND(X67&lt;=0,X67&gt;-1),7,
8))))))))),
10)</f>
        <v>8</v>
      </c>
    </row>
    <row r="68" spans="1:25" ht="15" customHeight="1" x14ac:dyDescent="0.25">
      <c r="A68" s="135"/>
      <c r="B68" s="143" t="s">
        <v>312</v>
      </c>
      <c r="C68" t="str">
        <f>IF(AND(IFERROR(INDEX(Instructions!$T$111:$T$222,MATCH(D68,Instructions!$T$111:$T$222,0)), "")=D68, D68&lt;&gt;""), "X", "")</f>
        <v/>
      </c>
      <c r="D68" s="137" t="s">
        <v>2309</v>
      </c>
      <c r="E68" s="286" t="s">
        <v>138</v>
      </c>
      <c r="F68" s="232">
        <f>IFERROR(IF(AND($F$5="Projected Points",Beersheet!A63&lt;&gt;"QB"), T68, IF(H68="", INDEX(Tier!$B$16:$B$24,MATCH(G68,Tier!$A$16:$A$24,0)), INDEX(Tier!$B$16:$B$24,MATCH(H68,Tier!$A$16:$A$24,0)))), "")</f>
        <v>74.601779999999991</v>
      </c>
      <c r="G68" s="287">
        <f t="shared" si="4"/>
        <v>8</v>
      </c>
      <c r="H68" s="288"/>
      <c r="I68" s="392" t="str">
        <f>IFERROR(INDEX(ADP!R:R,MATCH(D68,ADP!D:D,0))-RBproj!K68,"")</f>
        <v/>
      </c>
      <c r="J68" s="127"/>
      <c r="K68" s="89">
        <v>62</v>
      </c>
      <c r="L68" t="s">
        <v>312</v>
      </c>
      <c r="M68">
        <f t="shared" si="0"/>
        <v>0</v>
      </c>
      <c r="N68" s="4">
        <f>IFERROR(INDEX(ADP!AC:AC,MATCH(D68,ADP!Y:Y,0)),0)</f>
        <v>0</v>
      </c>
      <c r="O68" t="s">
        <v>3</v>
      </c>
      <c r="R68" t="str">
        <f>IFERROR(VLOOKUP(S68,FFARawStatProjections!AT:AV,2,FALSE),"")</f>
        <v>LAR</v>
      </c>
      <c r="S68" s="4" t="str">
        <f>INDEX(FFARawStatProjections!AT:AT,MATCH(T68,FFARawStatProjections!AV:AV,0))</f>
        <v>Kyren Williams</v>
      </c>
      <c r="T68" s="428">
        <f>LARGE(FFARawStatProjections!AV:AV,RBproj!K68)</f>
        <v>74.601779999999991</v>
      </c>
      <c r="U68" s="249">
        <f t="shared" si="1"/>
        <v>-117.76961666666668</v>
      </c>
      <c r="V68" s="243">
        <f t="shared" si="5"/>
        <v>13869.682609813613</v>
      </c>
      <c r="W68" s="244"/>
      <c r="X68" s="243">
        <f t="shared" si="3"/>
        <v>-7.3606010416666674</v>
      </c>
      <c r="Y68" s="238">
        <f>IFERROR(IF(ISBLANK(Beersheet!$A$1)=FALSE,
INDEX(Beersheet!$A:$U,MATCH(S68,INDEX(Beersheet!$A:$U,0,FFARawStatProjections!$BV$2),0),FFARawStatProjections!$BV$6),
IF(X68&gt;6,0,
IF(AND(X68&lt;=6,X68&gt;5),1,
IF(AND(X68&lt;=5,X68&gt;4),2,
IF(AND(X68&lt;=4,X68&gt;3),3,
IF(AND(X68&lt;=3,X68&gt;2),4,
IF(AND(X68&lt;=2,X68&gt;1),5,
IF(AND(X68&lt;=1,X68&gt;0),6,
IF(AND(X68&lt;=0,X68&gt;-1),7,
8))))))))),
10)</f>
        <v>8</v>
      </c>
    </row>
    <row r="69" spans="1:25" ht="15" customHeight="1" x14ac:dyDescent="0.25">
      <c r="A69" s="135"/>
      <c r="B69" s="142" t="s">
        <v>313</v>
      </c>
      <c r="C69" t="str">
        <f>IF(AND(IFERROR(INDEX(Instructions!$T$111:$T$222,MATCH(D69,Instructions!$T$111:$T$222,0)), "")=D69, D69&lt;&gt;""), "X", "")</f>
        <v/>
      </c>
      <c r="D69" s="138" t="s">
        <v>2305</v>
      </c>
      <c r="E69" s="289" t="s">
        <v>1389</v>
      </c>
      <c r="F69" s="434">
        <f>IFERROR(IF(AND($F$5="Projected Points",Beersheet!A64&lt;&gt;"QB"), T69, IF(H69="", INDEX(Tier!$B$16:$B$24,MATCH(G69,Tier!$A$16:$A$24,0)), INDEX(Tier!$B$16:$B$24,MATCH(H69,Tier!$A$16:$A$24,0)))), "")</f>
        <v>73.65176000000001</v>
      </c>
      <c r="G69" s="290">
        <f t="shared" si="4"/>
        <v>8</v>
      </c>
      <c r="H69" s="291"/>
      <c r="I69" s="392" t="str">
        <f>IFERROR(INDEX(ADP!R:R,MATCH(D69,ADP!D:D,0))-RBproj!K69,"")</f>
        <v/>
      </c>
      <c r="J69" s="127"/>
      <c r="K69" s="89">
        <v>63</v>
      </c>
      <c r="L69" t="s">
        <v>313</v>
      </c>
      <c r="M69">
        <f t="shared" si="0"/>
        <v>0</v>
      </c>
      <c r="N69" s="4">
        <f>IFERROR(INDEX(ADP!AC:AC,MATCH(D69,ADP!Y:Y,0)),0)</f>
        <v>0</v>
      </c>
      <c r="O69" t="s">
        <v>3</v>
      </c>
      <c r="R69" t="str">
        <f>IFERROR(VLOOKUP(S69,FFARawStatProjections!AT:AV,2,FALSE),"")</f>
        <v>MIN</v>
      </c>
      <c r="S69" s="4" t="str">
        <f>INDEX(FFARawStatProjections!AT:AT,MATCH(T69,FFARawStatProjections!AV:AV,0))</f>
        <v>Ty Chandler</v>
      </c>
      <c r="T69" s="428">
        <f>LARGE(FFARawStatProjections!AV:AV,RBproj!K69)</f>
        <v>73.65176000000001</v>
      </c>
      <c r="U69" s="249">
        <f t="shared" si="1"/>
        <v>-118.71963666666666</v>
      </c>
      <c r="V69" s="243">
        <f t="shared" si="5"/>
        <v>14094.352130265343</v>
      </c>
      <c r="W69" s="244"/>
      <c r="X69" s="243">
        <f t="shared" si="3"/>
        <v>-7.4199772916666662</v>
      </c>
      <c r="Y69" s="238">
        <f>IFERROR(IF(ISBLANK(Beersheet!$A$1)=FALSE,
INDEX(Beersheet!$A:$U,MATCH(S69,INDEX(Beersheet!$A:$U,0,FFARawStatProjections!$BV$2),0),FFARawStatProjections!$BV$6),
IF(X69&gt;6,0,
IF(AND(X69&lt;=6,X69&gt;5),1,
IF(AND(X69&lt;=5,X69&gt;4),2,
IF(AND(X69&lt;=4,X69&gt;3),3,
IF(AND(X69&lt;=3,X69&gt;2),4,
IF(AND(X69&lt;=2,X69&gt;1),5,
IF(AND(X69&lt;=1,X69&gt;0),6,
IF(AND(X69&lt;=0,X69&gt;-1),7,
8))))))))),
10)</f>
        <v>8</v>
      </c>
    </row>
    <row r="70" spans="1:25" ht="15" customHeight="1" x14ac:dyDescent="0.25">
      <c r="A70" s="135"/>
      <c r="B70" s="143" t="s">
        <v>314</v>
      </c>
      <c r="C70" t="str">
        <f>IF(AND(IFERROR(INDEX(Instructions!$T$111:$T$222,MATCH(D70,Instructions!$T$111:$T$222,0)), "")=D70, D70&lt;&gt;""), "X", "")</f>
        <v/>
      </c>
      <c r="D70" s="137" t="s">
        <v>2511</v>
      </c>
      <c r="E70" s="286" t="s">
        <v>145</v>
      </c>
      <c r="F70" s="232">
        <f>IFERROR(IF(AND($F$5="Projected Points",Beersheet!A65&lt;&gt;"QB"), T70, IF(H70="", INDEX(Tier!$B$16:$B$24,MATCH(G70,Tier!$A$16:$A$24,0)), INDEX(Tier!$B$16:$B$24,MATCH(H70,Tier!$A$16:$A$24,0)))), "")</f>
        <v>73.321789999999993</v>
      </c>
      <c r="G70" s="287">
        <f t="shared" si="4"/>
        <v>8</v>
      </c>
      <c r="H70" s="288"/>
      <c r="I70" s="392" t="str">
        <f>IFERROR(INDEX(ADP!R:R,MATCH(D70,ADP!D:D,0))-RBproj!K70,"")</f>
        <v/>
      </c>
      <c r="J70" s="127"/>
      <c r="K70" s="89">
        <v>64</v>
      </c>
      <c r="L70" t="s">
        <v>314</v>
      </c>
      <c r="M70">
        <f t="shared" si="0"/>
        <v>0</v>
      </c>
      <c r="N70" s="4">
        <f>IFERROR(INDEX(ADP!AC:AC,MATCH(D70,ADP!Y:Y,0)),0)</f>
        <v>0</v>
      </c>
      <c r="O70" t="s">
        <v>3</v>
      </c>
      <c r="R70" t="str">
        <f>IFERROR(VLOOKUP(S70,FFARawStatProjections!AT:AV,2,FALSE),"")</f>
        <v>CIN</v>
      </c>
      <c r="S70" s="4" t="str">
        <f>INDEX(FFARawStatProjections!AT:AT,MATCH(T70,FFARawStatProjections!AV:AV,0))</f>
        <v>Chase Brown</v>
      </c>
      <c r="T70" s="428">
        <f>LARGE(FFARawStatProjections!AV:AV,RBproj!K70)</f>
        <v>73.321789999999993</v>
      </c>
      <c r="U70" s="249">
        <f t="shared" si="1"/>
        <v>-119.04960666666668</v>
      </c>
      <c r="V70" s="243">
        <f t="shared" si="5"/>
        <v>14172.808847488046</v>
      </c>
      <c r="W70" s="244"/>
      <c r="X70" s="243">
        <f t="shared" si="3"/>
        <v>-7.4406004166666673</v>
      </c>
      <c r="Y70" s="238">
        <f>IFERROR(IF(ISBLANK(Beersheet!$A$1)=FALSE,
INDEX(Beersheet!$A:$U,MATCH(S70,INDEX(Beersheet!$A:$U,0,FFARawStatProjections!$BV$2),0),FFARawStatProjections!$BV$6),
IF(X70&gt;6,0,
IF(AND(X70&lt;=6,X70&gt;5),1,
IF(AND(X70&lt;=5,X70&gt;4),2,
IF(AND(X70&lt;=4,X70&gt;3),3,
IF(AND(X70&lt;=3,X70&gt;2),4,
IF(AND(X70&lt;=2,X70&gt;1),5,
IF(AND(X70&lt;=1,X70&gt;0),6,
IF(AND(X70&lt;=0,X70&gt;-1),7,
8))))))))),
10)</f>
        <v>8</v>
      </c>
    </row>
    <row r="71" spans="1:25" ht="15" customHeight="1" x14ac:dyDescent="0.25">
      <c r="A71" s="135"/>
      <c r="B71" s="142" t="s">
        <v>315</v>
      </c>
      <c r="C71" t="str">
        <f>IF(AND(IFERROR(INDEX(Instructions!$T$111:$T$222,MATCH(D71,Instructions!$T$111:$T$222,0)), "")=D71, D71&lt;&gt;""), "X", "")</f>
        <v/>
      </c>
      <c r="D71" s="138" t="s">
        <v>2308</v>
      </c>
      <c r="E71" s="289" t="s">
        <v>161</v>
      </c>
      <c r="F71" s="434">
        <f>IFERROR(IF(AND($F$5="Projected Points",Beersheet!A66&lt;&gt;"QB"), T71, IF(H71="", INDEX(Tier!$B$16:$B$24,MATCH(G71,Tier!$A$16:$A$24,0)), INDEX(Tier!$B$16:$B$24,MATCH(H71,Tier!$A$16:$A$24,0)))), "")</f>
        <v>68.91176999999999</v>
      </c>
      <c r="G71" s="290">
        <f t="shared" si="4"/>
        <v>8</v>
      </c>
      <c r="H71" s="291"/>
      <c r="I71" s="392">
        <f>IFERROR(INDEX(ADP!R:R,MATCH(D71,ADP!D:D,0))-RBproj!K71,"")</f>
        <v>-10</v>
      </c>
      <c r="J71" s="127"/>
      <c r="K71" s="89">
        <v>65</v>
      </c>
      <c r="L71" t="s">
        <v>315</v>
      </c>
      <c r="M71">
        <f t="shared" si="0"/>
        <v>13.1</v>
      </c>
      <c r="N71" s="4">
        <f>IFERROR(INDEX(ADP!AC:AC,MATCH(D71,ADP!Y:Y,0)),0)</f>
        <v>13.1</v>
      </c>
      <c r="O71" t="s">
        <v>3</v>
      </c>
      <c r="R71" t="str">
        <f>IFERROR(VLOOKUP(S71,FFARawStatProjections!AT:AV,2,FALSE),"")</f>
        <v>CLE</v>
      </c>
      <c r="S71" s="4" t="str">
        <f>INDEX(FFARawStatProjections!AT:AT,MATCH(T71,FFARawStatProjections!AV:AV,0))</f>
        <v>Jerome Ford</v>
      </c>
      <c r="T71" s="428">
        <f>LARGE(FFARawStatProjections!AV:AV,RBproj!K71)</f>
        <v>68.91176999999999</v>
      </c>
      <c r="U71" s="249">
        <f t="shared" si="1"/>
        <v>-123.45962666666668</v>
      </c>
      <c r="V71" s="243">
        <f t="shared" si="5"/>
        <v>15242.279416672714</v>
      </c>
      <c r="W71" s="244"/>
      <c r="X71" s="243">
        <f t="shared" si="3"/>
        <v>-7.7162266666666675</v>
      </c>
      <c r="Y71" s="238">
        <f>IFERROR(IF(ISBLANK(Beersheet!$A$1)=FALSE,
INDEX(Beersheet!$A:$U,MATCH(S71,INDEX(Beersheet!$A:$U,0,FFARawStatProjections!$BV$2),0),FFARawStatProjections!$BV$6),
IF(X71&gt;6,0,
IF(AND(X71&lt;=6,X71&gt;5),1,
IF(AND(X71&lt;=5,X71&gt;4),2,
IF(AND(X71&lt;=4,X71&gt;3),3,
IF(AND(X71&lt;=3,X71&gt;2),4,
IF(AND(X71&lt;=2,X71&gt;1),5,
IF(AND(X71&lt;=1,X71&gt;0),6,
IF(AND(X71&lt;=0,X71&gt;-1),7,
8))))))))),
10)</f>
        <v>8</v>
      </c>
    </row>
    <row r="72" spans="1:25" ht="15" customHeight="1" x14ac:dyDescent="0.25">
      <c r="A72" s="135"/>
      <c r="B72" s="143" t="s">
        <v>316</v>
      </c>
      <c r="C72" t="str">
        <f>IF(AND(IFERROR(INDEX(Instructions!$T$111:$T$222,MATCH(D72,Instructions!$T$111:$T$222,0)), "")=D72, D72&lt;&gt;""), "X", "")</f>
        <v/>
      </c>
      <c r="D72" s="137" t="s">
        <v>2451</v>
      </c>
      <c r="E72" s="286" t="s">
        <v>143</v>
      </c>
      <c r="F72" s="232">
        <f>IFERROR(IF(AND($F$5="Projected Points",Beersheet!A67&lt;&gt;"QB"), T72, IF(H72="", INDEX(Tier!$B$16:$B$24,MATCH(G72,Tier!$A$16:$A$24,0)), INDEX(Tier!$B$16:$B$24,MATCH(H72,Tier!$A$16:$A$24,0)))), "")</f>
        <v>65.381810000000002</v>
      </c>
      <c r="G72" s="287">
        <f t="shared" si="4"/>
        <v>8</v>
      </c>
      <c r="H72" s="288"/>
      <c r="I72" s="392" t="str">
        <f>IFERROR(INDEX(ADP!R:R,MATCH(D72,ADP!D:D,0))-RBproj!K72,"")</f>
        <v/>
      </c>
      <c r="J72" s="127"/>
      <c r="K72" s="89">
        <v>66</v>
      </c>
      <c r="L72" t="s">
        <v>316</v>
      </c>
      <c r="M72">
        <f t="shared" ref="M72:M135" si="6">IF(N72-MEDIAN(N69:N75)&lt;0,0,N72-MEDIAN(N69:N75))</f>
        <v>0</v>
      </c>
      <c r="N72" s="4">
        <f>IFERROR(INDEX(ADP!AC:AC,MATCH(D72,ADP!Y:Y,0)),0)</f>
        <v>0</v>
      </c>
      <c r="O72" t="s">
        <v>3</v>
      </c>
      <c r="R72" t="str">
        <f>IFERROR(VLOOKUP(S72,FFARawStatProjections!AT:AV,2,FALSE),"")</f>
        <v>NO</v>
      </c>
      <c r="S72" s="4" t="str">
        <f>INDEX(FFARawStatProjections!AT:AT,MATCH(T72,FFARawStatProjections!AV:AV,0))</f>
        <v>Kendre Miller</v>
      </c>
      <c r="T72" s="428">
        <f>LARGE(FFARawStatProjections!AV:AV,RBproj!K72)</f>
        <v>65.381810000000002</v>
      </c>
      <c r="U72" s="249">
        <f t="shared" ref="U72:U135" si="7">$T72-$W$17</f>
        <v>-126.98958666666667</v>
      </c>
      <c r="V72" s="243">
        <f t="shared" si="5"/>
        <v>16126.355121770845</v>
      </c>
      <c r="W72" s="244"/>
      <c r="X72" s="243">
        <f t="shared" ref="X72:X135" si="8">U72/$W$7</f>
        <v>-7.9368491666666667</v>
      </c>
      <c r="Y72" s="238">
        <f>IFERROR(IF(ISBLANK(Beersheet!$A$1)=FALSE,
INDEX(Beersheet!$A:$U,MATCH(S72,INDEX(Beersheet!$A:$U,0,FFARawStatProjections!$BV$2),0),FFARawStatProjections!$BV$6),
IF(X72&gt;6,0,
IF(AND(X72&lt;=6,X72&gt;5),1,
IF(AND(X72&lt;=5,X72&gt;4),2,
IF(AND(X72&lt;=4,X72&gt;3),3,
IF(AND(X72&lt;=3,X72&gt;2),4,
IF(AND(X72&lt;=2,X72&gt;1),5,
IF(AND(X72&lt;=1,X72&gt;0),6,
IF(AND(X72&lt;=0,X72&gt;-1),7,
8))))))))),
10)</f>
        <v>8</v>
      </c>
    </row>
    <row r="73" spans="1:25" ht="15" customHeight="1" x14ac:dyDescent="0.25">
      <c r="A73" s="135"/>
      <c r="B73" s="142" t="s">
        <v>317</v>
      </c>
      <c r="C73" t="str">
        <f>IF(AND(IFERROR(INDEX(Instructions!$T$111:$T$222,MATCH(D73,Instructions!$T$111:$T$222,0)), "")=D73, D73&lt;&gt;""), "X", "")</f>
        <v/>
      </c>
      <c r="D73" s="138" t="s">
        <v>2304</v>
      </c>
      <c r="E73" s="289" t="s">
        <v>2272</v>
      </c>
      <c r="F73" s="434">
        <f>IFERROR(IF(AND($F$5="Projected Points",Beersheet!A68&lt;&gt;"QB"), T73, IF(H73="", INDEX(Tier!$B$16:$B$24,MATCH(G73,Tier!$A$16:$A$24,0)), INDEX(Tier!$B$16:$B$24,MATCH(H73,Tier!$A$16:$A$24,0)))), "")</f>
        <v>64.781819999999996</v>
      </c>
      <c r="G73" s="290">
        <f t="shared" si="4"/>
        <v>8</v>
      </c>
      <c r="H73" s="291"/>
      <c r="I73" s="392" t="str">
        <f>IFERROR(INDEX(ADP!R:R,MATCH(D73,ADP!D:D,0))-RBproj!K73,"")</f>
        <v/>
      </c>
      <c r="J73" s="127"/>
      <c r="K73" s="89">
        <v>67</v>
      </c>
      <c r="L73" t="s">
        <v>317</v>
      </c>
      <c r="M73">
        <f t="shared" si="6"/>
        <v>0</v>
      </c>
      <c r="N73" s="4">
        <f>IFERROR(INDEX(ADP!AC:AC,MATCH(D73,ADP!Y:Y,0)),0)</f>
        <v>0</v>
      </c>
      <c r="O73" t="s">
        <v>3</v>
      </c>
      <c r="R73" t="str">
        <f>IFERROR(VLOOKUP(S73,FFARawStatProjections!AT:AV,2,FALSE),"")</f>
        <v>AZ</v>
      </c>
      <c r="S73" s="4" t="str">
        <f>INDEX(FFARawStatProjections!AT:AT,MATCH(T73,FFARawStatProjections!AV:AV,0))</f>
        <v>Keaontay Ingram</v>
      </c>
      <c r="T73" s="428">
        <f>LARGE(FFARawStatProjections!AV:AV,RBproj!K73)</f>
        <v>64.781819999999996</v>
      </c>
      <c r="U73" s="249">
        <f t="shared" si="7"/>
        <v>-127.58957666666667</v>
      </c>
      <c r="V73" s="243">
        <f t="shared" si="5"/>
        <v>16279.100073979213</v>
      </c>
      <c r="W73" s="244"/>
      <c r="X73" s="243">
        <f t="shared" si="8"/>
        <v>-7.9743485416666671</v>
      </c>
      <c r="Y73" s="238">
        <f>IFERROR(IF(ISBLANK(Beersheet!$A$1)=FALSE,
INDEX(Beersheet!$A:$U,MATCH(S73,INDEX(Beersheet!$A:$U,0,FFARawStatProjections!$BV$2),0),FFARawStatProjections!$BV$6),
IF(X73&gt;6,0,
IF(AND(X73&lt;=6,X73&gt;5),1,
IF(AND(X73&lt;=5,X73&gt;4),2,
IF(AND(X73&lt;=4,X73&gt;3),3,
IF(AND(X73&lt;=3,X73&gt;2),4,
IF(AND(X73&lt;=2,X73&gt;1),5,
IF(AND(X73&lt;=1,X73&gt;0),6,
IF(AND(X73&lt;=0,X73&gt;-1),7,
8))))))))),
10)</f>
        <v>8</v>
      </c>
    </row>
    <row r="74" spans="1:25" ht="15" customHeight="1" x14ac:dyDescent="0.25">
      <c r="A74" s="135"/>
      <c r="B74" s="143" t="s">
        <v>318</v>
      </c>
      <c r="C74" t="str">
        <f>IF(AND(IFERROR(INDEX(Instructions!$T$111:$T$222,MATCH(D74,Instructions!$T$111:$T$222,0)), "")=D74, D74&lt;&gt;""), "X", "")</f>
        <v/>
      </c>
      <c r="D74" s="137" t="s">
        <v>1955</v>
      </c>
      <c r="E74" s="286" t="s">
        <v>146</v>
      </c>
      <c r="F74" s="232">
        <f>IFERROR(IF(AND($F$5="Projected Points",Beersheet!A69&lt;&gt;"QB"), T74, IF(H74="", INDEX(Tier!$B$16:$B$24,MATCH(G74,Tier!$A$16:$A$24,0)), INDEX(Tier!$B$16:$B$24,MATCH(H74,Tier!$A$16:$A$24,0)))), "")</f>
        <v>60.331800000000008</v>
      </c>
      <c r="G74" s="287">
        <f t="shared" ref="G74:G137" si="9">IF(D74="","",Y74)</f>
        <v>8</v>
      </c>
      <c r="H74" s="288"/>
      <c r="I74" s="392" t="str">
        <f>IFERROR(INDEX(ADP!R:R,MATCH(D74,ADP!D:D,0))-RBproj!K74,"")</f>
        <v/>
      </c>
      <c r="J74" s="127"/>
      <c r="K74" s="89">
        <v>68</v>
      </c>
      <c r="L74" t="s">
        <v>318</v>
      </c>
      <c r="M74">
        <f t="shared" si="6"/>
        <v>0</v>
      </c>
      <c r="N74" s="4">
        <f>IFERROR(INDEX(ADP!AC:AC,MATCH(D74,ADP!Y:Y,0)),0)</f>
        <v>0</v>
      </c>
      <c r="O74" t="s">
        <v>3</v>
      </c>
      <c r="R74" t="str">
        <f>IFERROR(VLOOKUP(S74,FFARawStatProjections!AT:AV,2,FALSE),"")</f>
        <v>DAL</v>
      </c>
      <c r="S74" s="4" t="str">
        <f>INDEX(FFARawStatProjections!AT:AT,MATCH(T74,FFARawStatProjections!AV:AV,0))</f>
        <v>Ronald Jones</v>
      </c>
      <c r="T74" s="428">
        <f>LARGE(FFARawStatProjections!AV:AV,RBproj!K74)</f>
        <v>60.331800000000008</v>
      </c>
      <c r="U74" s="249">
        <f t="shared" si="7"/>
        <v>-132.03959666666665</v>
      </c>
      <c r="V74" s="243">
        <f t="shared" si="5"/>
        <v>17434.455087896007</v>
      </c>
      <c r="W74" s="244"/>
      <c r="X74" s="243">
        <f t="shared" si="8"/>
        <v>-8.2524747916666659</v>
      </c>
      <c r="Y74" s="238">
        <f>IFERROR(IF(ISBLANK(Beersheet!$A$1)=FALSE,
INDEX(Beersheet!$A:$U,MATCH(S74,INDEX(Beersheet!$A:$U,0,FFARawStatProjections!$BV$2),0),FFARawStatProjections!$BV$6),
IF(X74&gt;6,0,
IF(AND(X74&lt;=6,X74&gt;5),1,
IF(AND(X74&lt;=5,X74&gt;4),2,
IF(AND(X74&lt;=4,X74&gt;3),3,
IF(AND(X74&lt;=3,X74&gt;2),4,
IF(AND(X74&lt;=2,X74&gt;1),5,
IF(AND(X74&lt;=1,X74&gt;0),6,
IF(AND(X74&lt;=0,X74&gt;-1),7,
8))))))))),
10)</f>
        <v>8</v>
      </c>
    </row>
    <row r="75" spans="1:25" ht="15" customHeight="1" x14ac:dyDescent="0.25">
      <c r="A75" s="135"/>
      <c r="B75" s="142" t="s">
        <v>319</v>
      </c>
      <c r="C75" t="str">
        <f>IF(AND(IFERROR(INDEX(Instructions!$T$111:$T$222,MATCH(D75,Instructions!$T$111:$T$222,0)), "")=D75, D75&lt;&gt;""), "X", "")</f>
        <v/>
      </c>
      <c r="D75" s="138" t="s">
        <v>1748</v>
      </c>
      <c r="E75" s="289" t="s">
        <v>154</v>
      </c>
      <c r="F75" s="434">
        <f>IFERROR(IF(AND($F$5="Projected Points",Beersheet!A70&lt;&gt;"QB"), T75, IF(H75="", INDEX(Tier!$B$16:$B$24,MATCH(G75,Tier!$A$16:$A$24,0)), INDEX(Tier!$B$16:$B$24,MATCH(H75,Tier!$A$16:$A$24,0)))), "")</f>
        <v>59.961849999999998</v>
      </c>
      <c r="G75" s="290">
        <f t="shared" si="9"/>
        <v>8</v>
      </c>
      <c r="H75" s="291"/>
      <c r="I75" s="392" t="str">
        <f>IFERROR(INDEX(ADP!R:R,MATCH(D75,ADP!D:D,0))-RBproj!K75,"")</f>
        <v/>
      </c>
      <c r="J75" s="127"/>
      <c r="K75" s="89">
        <v>69</v>
      </c>
      <c r="L75" t="s">
        <v>319</v>
      </c>
      <c r="M75">
        <f t="shared" si="6"/>
        <v>0</v>
      </c>
      <c r="N75" s="4">
        <f>IFERROR(INDEX(ADP!AC:AC,MATCH(D75,ADP!Y:Y,0)),0)</f>
        <v>0</v>
      </c>
      <c r="O75" t="s">
        <v>3</v>
      </c>
      <c r="R75" t="str">
        <f>IFERROR(VLOOKUP(S75,FFARawStatProjections!AT:AV,2,FALSE),"")</f>
        <v>NYG</v>
      </c>
      <c r="S75" s="4" t="str">
        <f>INDEX(FFARawStatProjections!AT:AT,MATCH(T75,FFARawStatProjections!AV:AV,0))</f>
        <v>Matt Breida</v>
      </c>
      <c r="T75" s="428">
        <f>LARGE(FFARawStatProjections!AV:AV,RBproj!K75)</f>
        <v>59.961849999999998</v>
      </c>
      <c r="U75" s="249">
        <f t="shared" si="7"/>
        <v>-132.40954666666667</v>
      </c>
      <c r="V75" s="243">
        <f t="shared" si="5"/>
        <v>17532.288048472179</v>
      </c>
      <c r="W75" s="244"/>
      <c r="X75" s="243">
        <f t="shared" si="8"/>
        <v>-8.2755966666666669</v>
      </c>
      <c r="Y75" s="238">
        <f>IFERROR(IF(ISBLANK(Beersheet!$A$1)=FALSE,
INDEX(Beersheet!$A:$U,MATCH(S75,INDEX(Beersheet!$A:$U,0,FFARawStatProjections!$BV$2),0),FFARawStatProjections!$BV$6),
IF(X75&gt;6,0,
IF(AND(X75&lt;=6,X75&gt;5),1,
IF(AND(X75&lt;=5,X75&gt;4),2,
IF(AND(X75&lt;=4,X75&gt;3),3,
IF(AND(X75&lt;=3,X75&gt;2),4,
IF(AND(X75&lt;=2,X75&gt;1),5,
IF(AND(X75&lt;=1,X75&gt;0),6,
IF(AND(X75&lt;=0,X75&gt;-1),7,
8))))))))),
10)</f>
        <v>8</v>
      </c>
    </row>
    <row r="76" spans="1:25" ht="15" customHeight="1" x14ac:dyDescent="0.25">
      <c r="A76" s="135"/>
      <c r="B76" s="143" t="s">
        <v>320</v>
      </c>
      <c r="C76" t="str">
        <f>IF(AND(IFERROR(INDEX(Instructions!$T$111:$T$222,MATCH(D76,Instructions!$T$111:$T$222,0)), "")=D76, D76&lt;&gt;""), "X", "")</f>
        <v/>
      </c>
      <c r="D76" s="137" t="s">
        <v>129</v>
      </c>
      <c r="E76" s="286" t="s">
        <v>156</v>
      </c>
      <c r="F76" s="232">
        <f>IFERROR(IF(AND($F$5="Projected Points",Beersheet!A71&lt;&gt;"QB"), T76, IF(H76="", INDEX(Tier!$B$16:$B$24,MATCH(G76,Tier!$A$16:$A$24,0)), INDEX(Tier!$B$16:$B$24,MATCH(H76,Tier!$A$16:$A$24,0)))), "")</f>
        <v>58.521839999999997</v>
      </c>
      <c r="G76" s="287">
        <f t="shared" si="9"/>
        <v>8</v>
      </c>
      <c r="H76" s="288"/>
      <c r="I76" s="392" t="str">
        <f>IFERROR(INDEX(ADP!R:R,MATCH(D76,ADP!D:D,0))-RBproj!K76,"")</f>
        <v/>
      </c>
      <c r="J76" s="127"/>
      <c r="K76" s="89">
        <v>70</v>
      </c>
      <c r="L76" t="s">
        <v>320</v>
      </c>
      <c r="M76">
        <f t="shared" si="6"/>
        <v>0</v>
      </c>
      <c r="N76" s="4">
        <f>IFERROR(INDEX(ADP!AC:AC,MATCH(D76,ADP!Y:Y,0)),0)</f>
        <v>0</v>
      </c>
      <c r="O76" t="s">
        <v>3</v>
      </c>
      <c r="R76" t="str">
        <f>IFERROR(VLOOKUP(S76,FFARawStatProjections!AT:AV,2,FALSE),"")</f>
        <v>BUF</v>
      </c>
      <c r="S76" s="4" t="str">
        <f>INDEX(FFARawStatProjections!AT:AT,MATCH(T76,FFARawStatProjections!AV:AV,0))</f>
        <v>Latavius Murray</v>
      </c>
      <c r="T76" s="428">
        <f>LARGE(FFARawStatProjections!AV:AV,RBproj!K76)</f>
        <v>58.521839999999997</v>
      </c>
      <c r="U76" s="249">
        <f t="shared" si="7"/>
        <v>-133.84955666666667</v>
      </c>
      <c r="V76" s="243">
        <f t="shared" si="5"/>
        <v>17915.703819863211</v>
      </c>
      <c r="W76" s="244"/>
      <c r="X76" s="243">
        <f t="shared" si="8"/>
        <v>-8.365597291666667</v>
      </c>
      <c r="Y76" s="238">
        <f>IFERROR(IF(ISBLANK(Beersheet!$A$1)=FALSE,
INDEX(Beersheet!$A:$U,MATCH(S76,INDEX(Beersheet!$A:$U,0,FFARawStatProjections!$BV$2),0),FFARawStatProjections!$BV$6),
IF(X76&gt;6,0,
IF(AND(X76&lt;=6,X76&gt;5),1,
IF(AND(X76&lt;=5,X76&gt;4),2,
IF(AND(X76&lt;=4,X76&gt;3),3,
IF(AND(X76&lt;=3,X76&gt;2),4,
IF(AND(X76&lt;=2,X76&gt;1),5,
IF(AND(X76&lt;=1,X76&gt;0),6,
IF(AND(X76&lt;=0,X76&gt;-1),7,
8))))))))),
10)</f>
        <v>8</v>
      </c>
    </row>
    <row r="77" spans="1:25" ht="15" customHeight="1" x14ac:dyDescent="0.25">
      <c r="A77" s="135"/>
      <c r="B77" s="142" t="s">
        <v>321</v>
      </c>
      <c r="C77" t="str">
        <f>IF(AND(IFERROR(INDEX(Instructions!$T$111:$T$222,MATCH(D77,Instructions!$T$111:$T$222,0)), "")=D77, D77&lt;&gt;""), "X", "")</f>
        <v/>
      </c>
      <c r="D77" s="138" t="s">
        <v>2480</v>
      </c>
      <c r="E77" s="289" t="s">
        <v>164</v>
      </c>
      <c r="F77" s="434">
        <f>IFERROR(IF(AND($F$5="Projected Points",Beersheet!A72&lt;&gt;"QB"), T77, IF(H77="", INDEX(Tier!$B$16:$B$24,MATCH(G77,Tier!$A$16:$A$24,0)), INDEX(Tier!$B$16:$B$24,MATCH(H77,Tier!$A$16:$A$24,0)))), "")</f>
        <v>56.991919999999993</v>
      </c>
      <c r="G77" s="290">
        <f t="shared" si="9"/>
        <v>8</v>
      </c>
      <c r="H77" s="291"/>
      <c r="I77" s="392" t="str">
        <f>IFERROR(INDEX(ADP!R:R,MATCH(D77,ADP!D:D,0))-RBproj!K77,"")</f>
        <v/>
      </c>
      <c r="J77" s="127"/>
      <c r="K77" s="89">
        <v>71</v>
      </c>
      <c r="L77" t="s">
        <v>321</v>
      </c>
      <c r="M77">
        <f t="shared" si="6"/>
        <v>0</v>
      </c>
      <c r="N77" s="4">
        <f>IFERROR(INDEX(ADP!AC:AC,MATCH(D77,ADP!Y:Y,0)),0)</f>
        <v>0</v>
      </c>
      <c r="O77" t="s">
        <v>3</v>
      </c>
      <c r="R77" t="str">
        <f>IFERROR(VLOOKUP(S77,FFARawStatProjections!AT:AV,2,FALSE),"")</f>
        <v>MIN</v>
      </c>
      <c r="S77" s="4" t="str">
        <f>INDEX(FFARawStatProjections!AT:AT,MATCH(T77,FFARawStatProjections!AV:AV,0))</f>
        <v>Abram Smith</v>
      </c>
      <c r="T77" s="428">
        <f>LARGE(FFARawStatProjections!AV:AV,RBproj!K77)</f>
        <v>56.991919999999993</v>
      </c>
      <c r="U77" s="249">
        <f t="shared" si="7"/>
        <v>-135.37947666666668</v>
      </c>
      <c r="V77" s="243">
        <f t="shared" si="5"/>
        <v>18327.602702540546</v>
      </c>
      <c r="W77" s="244"/>
      <c r="X77" s="243">
        <f t="shared" si="8"/>
        <v>-8.4612172916666673</v>
      </c>
      <c r="Y77" s="238">
        <f>IFERROR(IF(ISBLANK(Beersheet!$A$1)=FALSE,
INDEX(Beersheet!$A:$U,MATCH(S77,INDEX(Beersheet!$A:$U,0,FFARawStatProjections!$BV$2),0),FFARawStatProjections!$BV$6),
IF(X77&gt;6,0,
IF(AND(X77&lt;=6,X77&gt;5),1,
IF(AND(X77&lt;=5,X77&gt;4),2,
IF(AND(X77&lt;=4,X77&gt;3),3,
IF(AND(X77&lt;=3,X77&gt;2),4,
IF(AND(X77&lt;=2,X77&gt;1),5,
IF(AND(X77&lt;=1,X77&gt;0),6,
IF(AND(X77&lt;=0,X77&gt;-1),7,
8))))))))),
10)</f>
        <v>8</v>
      </c>
    </row>
    <row r="78" spans="1:25" ht="15" customHeight="1" x14ac:dyDescent="0.25">
      <c r="A78" s="135"/>
      <c r="B78" s="143" t="s">
        <v>322</v>
      </c>
      <c r="C78" t="str">
        <f>IF(AND(IFERROR(INDEX(Instructions!$T$111:$T$222,MATCH(D78,Instructions!$T$111:$T$222,0)), "")=D78, D78&lt;&gt;""), "X", "")</f>
        <v/>
      </c>
      <c r="D78" s="137" t="s">
        <v>2294</v>
      </c>
      <c r="E78" s="286" t="s">
        <v>1388</v>
      </c>
      <c r="F78" s="232">
        <f>IFERROR(IF(AND($F$5="Projected Points",Beersheet!A73&lt;&gt;"QB"), T78, IF(H78="", INDEX(Tier!$B$16:$B$24,MATCH(G78,Tier!$A$16:$A$24,0)), INDEX(Tier!$B$16:$B$24,MATCH(H78,Tier!$A$16:$A$24,0)))), "")</f>
        <v>54.371910000000007</v>
      </c>
      <c r="G78" s="287">
        <f t="shared" si="9"/>
        <v>8</v>
      </c>
      <c r="H78" s="288"/>
      <c r="I78" s="392" t="str">
        <f>IFERROR(INDEX(ADP!R:R,MATCH(D78,ADP!D:D,0))-RBproj!K78,"")</f>
        <v/>
      </c>
      <c r="J78" s="127"/>
      <c r="K78" s="89">
        <v>72</v>
      </c>
      <c r="L78" t="s">
        <v>322</v>
      </c>
      <c r="M78">
        <f t="shared" si="6"/>
        <v>0</v>
      </c>
      <c r="N78" s="4">
        <f>IFERROR(INDEX(ADP!AC:AC,MATCH(D78,ADP!Y:Y,0)),0)</f>
        <v>0</v>
      </c>
      <c r="O78" t="s">
        <v>3</v>
      </c>
      <c r="R78" t="str">
        <f>IFERROR(VLOOKUP(S78,FFARawStatProjections!AT:AV,2,FALSE),"")</f>
        <v>IND</v>
      </c>
      <c r="S78" s="4" t="str">
        <f>INDEX(FFARawStatProjections!AT:AT,MATCH(T78,FFARawStatProjections!AV:AV,0))</f>
        <v>Kenyan Drake</v>
      </c>
      <c r="T78" s="428">
        <f>LARGE(FFARawStatProjections!AV:AV,RBproj!K78)</f>
        <v>54.371910000000007</v>
      </c>
      <c r="U78" s="249">
        <f t="shared" si="7"/>
        <v>-137.99948666666666</v>
      </c>
      <c r="V78" s="243">
        <f t="shared" si="5"/>
        <v>19043.858320263509</v>
      </c>
      <c r="W78" s="244"/>
      <c r="X78" s="243">
        <f t="shared" si="8"/>
        <v>-8.624967916666666</v>
      </c>
      <c r="Y78" s="238">
        <f>IFERROR(IF(ISBLANK(Beersheet!$A$1)=FALSE,
INDEX(Beersheet!$A:$U,MATCH(S78,INDEX(Beersheet!$A:$U,0,FFARawStatProjections!$BV$2),0),FFARawStatProjections!$BV$6),
IF(X78&gt;6,0,
IF(AND(X78&lt;=6,X78&gt;5),1,
IF(AND(X78&lt;=5,X78&gt;4),2,
IF(AND(X78&lt;=4,X78&gt;3),3,
IF(AND(X78&lt;=3,X78&gt;2),4,
IF(AND(X78&lt;=2,X78&gt;1),5,
IF(AND(X78&lt;=1,X78&gt;0),6,
IF(AND(X78&lt;=0,X78&gt;-1),7,
8))))))))),
10)</f>
        <v>8</v>
      </c>
    </row>
    <row r="79" spans="1:25" ht="15" customHeight="1" x14ac:dyDescent="0.25">
      <c r="A79" s="135"/>
      <c r="B79" s="142" t="s">
        <v>323</v>
      </c>
      <c r="C79" t="str">
        <f>IF(AND(IFERROR(INDEX(Instructions!$T$111:$T$222,MATCH(D79,Instructions!$T$111:$T$222,0)), "")=D79, D79&lt;&gt;""), "X", "")</f>
        <v/>
      </c>
      <c r="D79" s="138" t="s">
        <v>2563</v>
      </c>
      <c r="E79" s="289" t="s">
        <v>138</v>
      </c>
      <c r="F79" s="434">
        <f>IFERROR(IF(AND($F$5="Projected Points",Beersheet!A74&lt;&gt;"QB"), T79, IF(H79="", INDEX(Tier!$B$16:$B$24,MATCH(G79,Tier!$A$16:$A$24,0)), INDEX(Tier!$B$16:$B$24,MATCH(H79,Tier!$A$16:$A$24,0)))), "")</f>
        <v>54.141860000000001</v>
      </c>
      <c r="G79" s="290">
        <f t="shared" si="9"/>
        <v>8</v>
      </c>
      <c r="H79" s="291"/>
      <c r="I79" s="392" t="str">
        <f>IFERROR(INDEX(ADP!R:R,MATCH(D79,ADP!D:D,0))-RBproj!K79,"")</f>
        <v/>
      </c>
      <c r="J79" s="127"/>
      <c r="K79" s="89">
        <v>73</v>
      </c>
      <c r="L79" t="s">
        <v>323</v>
      </c>
      <c r="M79">
        <f t="shared" si="6"/>
        <v>0</v>
      </c>
      <c r="N79" s="4">
        <f>IFERROR(INDEX(ADP!AC:AC,MATCH(D79,ADP!Y:Y,0)),0)</f>
        <v>0</v>
      </c>
      <c r="O79" t="s">
        <v>3</v>
      </c>
      <c r="R79" t="str">
        <f>IFERROR(VLOOKUP(S79,FFARawStatProjections!AT:AV,2,FALSE),"")</f>
        <v>LAC</v>
      </c>
      <c r="S79" s="4" t="str">
        <f>INDEX(FFARawStatProjections!AT:AT,MATCH(T79,FFARawStatProjections!AV:AV,0))</f>
        <v>Isaiah Spiller</v>
      </c>
      <c r="T79" s="428">
        <f>LARGE(FFARawStatProjections!AV:AV,RBproj!K79)</f>
        <v>54.141860000000001</v>
      </c>
      <c r="U79" s="249">
        <f t="shared" si="7"/>
        <v>-138.22953666666666</v>
      </c>
      <c r="V79" s="243">
        <f t="shared" si="5"/>
        <v>19107.404807081344</v>
      </c>
      <c r="W79" s="244"/>
      <c r="X79" s="243">
        <f t="shared" si="8"/>
        <v>-8.6393460416666663</v>
      </c>
      <c r="Y79" s="238">
        <f>IFERROR(IF(ISBLANK(Beersheet!$A$1)=FALSE,
INDEX(Beersheet!$A:$U,MATCH(S79,INDEX(Beersheet!$A:$U,0,FFARawStatProjections!$BV$2),0),FFARawStatProjections!$BV$6),
IF(X79&gt;6,0,
IF(AND(X79&lt;=6,X79&gt;5),1,
IF(AND(X79&lt;=5,X79&gt;4),2,
IF(AND(X79&lt;=4,X79&gt;3),3,
IF(AND(X79&lt;=3,X79&gt;2),4,
IF(AND(X79&lt;=2,X79&gt;1),5,
IF(AND(X79&lt;=1,X79&gt;0),6,
IF(AND(X79&lt;=0,X79&gt;-1),7,
8))))))))),
10)</f>
        <v>8</v>
      </c>
    </row>
    <row r="80" spans="1:25" ht="15" customHeight="1" x14ac:dyDescent="0.25">
      <c r="A80" s="135"/>
      <c r="B80" s="143" t="s">
        <v>324</v>
      </c>
      <c r="C80" t="str">
        <f>IF(AND(IFERROR(INDEX(Instructions!$T$111:$T$222,MATCH(D80,Instructions!$T$111:$T$222,0)), "")=D80, D80&lt;&gt;""), "X", "")</f>
        <v/>
      </c>
      <c r="D80" s="137" t="s">
        <v>2297</v>
      </c>
      <c r="E80" s="286" t="s">
        <v>2073</v>
      </c>
      <c r="F80" s="232">
        <f>IFERROR(IF(AND($F$5="Projected Points",Beersheet!A75&lt;&gt;"QB"), T80, IF(H80="", INDEX(Tier!$B$16:$B$24,MATCH(G80,Tier!$A$16:$A$24,0)), INDEX(Tier!$B$16:$B$24,MATCH(H80,Tier!$A$16:$A$24,0)))), "")</f>
        <v>53.7819</v>
      </c>
      <c r="G80" s="287">
        <f t="shared" si="9"/>
        <v>8</v>
      </c>
      <c r="H80" s="288"/>
      <c r="I80" s="392">
        <f>IFERROR(INDEX(ADP!R:R,MATCH(D80,ADP!D:D,0))-RBproj!K80,"")</f>
        <v>-25</v>
      </c>
      <c r="J80" s="127"/>
      <c r="K80" s="89">
        <v>74</v>
      </c>
      <c r="L80" t="s">
        <v>324</v>
      </c>
      <c r="M80">
        <f t="shared" si="6"/>
        <v>14</v>
      </c>
      <c r="N80" s="4">
        <f>IFERROR(INDEX(ADP!AC:AC,MATCH(D80,ADP!Y:Y,0)),0)</f>
        <v>14</v>
      </c>
      <c r="O80" t="s">
        <v>3</v>
      </c>
      <c r="R80" t="str">
        <f>IFERROR(VLOOKUP(S80,FFARawStatProjections!AT:AV,2,FALSE),"")</f>
        <v>DAL</v>
      </c>
      <c r="S80" s="4" t="str">
        <f>INDEX(FFARawStatProjections!AT:AT,MATCH(T80,FFARawStatProjections!AV:AV,0))</f>
        <v>Deuce Vaughn</v>
      </c>
      <c r="T80" s="428">
        <f>LARGE(FFARawStatProjections!AV:AV,RBproj!K80)</f>
        <v>53.7819</v>
      </c>
      <c r="U80" s="249">
        <f t="shared" si="7"/>
        <v>-138.58949666666666</v>
      </c>
      <c r="V80" s="243">
        <f t="shared" si="5"/>
        <v>19207.048586320008</v>
      </c>
      <c r="W80" s="244"/>
      <c r="X80" s="243">
        <f t="shared" si="8"/>
        <v>-8.6618435416666664</v>
      </c>
      <c r="Y80" s="238">
        <f>IFERROR(IF(ISBLANK(Beersheet!$A$1)=FALSE,
INDEX(Beersheet!$A:$U,MATCH(S80,INDEX(Beersheet!$A:$U,0,FFARawStatProjections!$BV$2),0),FFARawStatProjections!$BV$6),
IF(X80&gt;6,0,
IF(AND(X80&lt;=6,X80&gt;5),1,
IF(AND(X80&lt;=5,X80&gt;4),2,
IF(AND(X80&lt;=4,X80&gt;3),3,
IF(AND(X80&lt;=3,X80&gt;2),4,
IF(AND(X80&lt;=2,X80&gt;1),5,
IF(AND(X80&lt;=1,X80&gt;0),6,
IF(AND(X80&lt;=0,X80&gt;-1),7,
8))))))))),
10)</f>
        <v>8</v>
      </c>
    </row>
    <row r="81" spans="1:25" ht="15" customHeight="1" x14ac:dyDescent="0.25">
      <c r="A81" s="135"/>
      <c r="B81" s="142" t="s">
        <v>325</v>
      </c>
      <c r="C81" t="str">
        <f>IF(AND(IFERROR(INDEX(Instructions!$T$111:$T$222,MATCH(D81,Instructions!$T$111:$T$222,0)), "")=D81, D81&lt;&gt;""), "X", "")</f>
        <v/>
      </c>
      <c r="D81" s="138" t="s">
        <v>2496</v>
      </c>
      <c r="E81" s="289" t="s">
        <v>146</v>
      </c>
      <c r="F81" s="434">
        <f>IFERROR(IF(AND($F$5="Projected Points",Beersheet!A76&lt;&gt;"QB"), T81, IF(H81="", INDEX(Tier!$B$16:$B$24,MATCH(G81,Tier!$A$16:$A$24,0)), INDEX(Tier!$B$16:$B$24,MATCH(H81,Tier!$A$16:$A$24,0)))), "")</f>
        <v>53.761869999999995</v>
      </c>
      <c r="G81" s="290">
        <f t="shared" si="9"/>
        <v>8</v>
      </c>
      <c r="H81" s="291"/>
      <c r="I81" s="392" t="str">
        <f>IFERROR(INDEX(ADP!R:R,MATCH(D81,ADP!D:D,0))-RBproj!K81,"")</f>
        <v/>
      </c>
      <c r="J81" s="127"/>
      <c r="K81" s="89">
        <v>75</v>
      </c>
      <c r="L81" t="s">
        <v>325</v>
      </c>
      <c r="M81">
        <f t="shared" si="6"/>
        <v>0</v>
      </c>
      <c r="N81" s="4">
        <f>IFERROR(INDEX(ADP!AC:AC,MATCH(D81,ADP!Y:Y,0)),0)</f>
        <v>0</v>
      </c>
      <c r="O81" t="s">
        <v>3</v>
      </c>
      <c r="R81" t="str">
        <f>IFERROR(VLOOKUP(S81,FFARawStatProjections!AT:AV,2,FALSE),"")</f>
        <v>LV</v>
      </c>
      <c r="S81" s="4" t="str">
        <f>INDEX(FFARawStatProjections!AT:AT,MATCH(T81,FFARawStatProjections!AV:AV,0))</f>
        <v>Zamir White</v>
      </c>
      <c r="T81" s="428">
        <f>LARGE(FFARawStatProjections!AV:AV,RBproj!K81)</f>
        <v>53.761869999999995</v>
      </c>
      <c r="U81" s="249">
        <f t="shared" si="7"/>
        <v>-138.60952666666668</v>
      </c>
      <c r="V81" s="243">
        <f t="shared" si="5"/>
        <v>19212.600882757382</v>
      </c>
      <c r="W81" s="244"/>
      <c r="X81" s="243">
        <f t="shared" si="8"/>
        <v>-8.6630954166666676</v>
      </c>
      <c r="Y81" s="238">
        <f>IFERROR(IF(ISBLANK(Beersheet!$A$1)=FALSE,
INDEX(Beersheet!$A:$U,MATCH(S81,INDEX(Beersheet!$A:$U,0,FFARawStatProjections!$BV$2),0),FFARawStatProjections!$BV$6),
IF(X81&gt;6,0,
IF(AND(X81&lt;=6,X81&gt;5),1,
IF(AND(X81&lt;=5,X81&gt;4),2,
IF(AND(X81&lt;=4,X81&gt;3),3,
IF(AND(X81&lt;=3,X81&gt;2),4,
IF(AND(X81&lt;=2,X81&gt;1),5,
IF(AND(X81&lt;=1,X81&gt;0),6,
IF(AND(X81&lt;=0,X81&gt;-1),7,
8))))))))),
10)</f>
        <v>8</v>
      </c>
    </row>
    <row r="82" spans="1:25" ht="15" customHeight="1" x14ac:dyDescent="0.25">
      <c r="A82" s="135"/>
      <c r="B82" s="143" t="s">
        <v>326</v>
      </c>
      <c r="C82" t="str">
        <f>IF(AND(IFERROR(INDEX(Instructions!$T$111:$T$222,MATCH(D82,Instructions!$T$111:$T$222,0)), "")=D82, D82&lt;&gt;""), "X", "")</f>
        <v/>
      </c>
      <c r="D82" s="137" t="s">
        <v>2390</v>
      </c>
      <c r="E82" s="286" t="s">
        <v>1389</v>
      </c>
      <c r="F82" s="232">
        <f>IFERROR(IF(AND($F$5="Projected Points",Beersheet!A77&lt;&gt;"QB"), T82, IF(H82="", INDEX(Tier!$B$16:$B$24,MATCH(G82,Tier!$A$16:$A$24,0)), INDEX(Tier!$B$16:$B$24,MATCH(H82,Tier!$A$16:$A$24,0)))), "")</f>
        <v>53.161880000000004</v>
      </c>
      <c r="G82" s="287">
        <f t="shared" si="9"/>
        <v>8</v>
      </c>
      <c r="H82" s="288"/>
      <c r="I82" s="392" t="str">
        <f>IFERROR(INDEX(ADP!R:R,MATCH(D82,ADP!D:D,0))-RBproj!K82,"")</f>
        <v/>
      </c>
      <c r="J82" s="127"/>
      <c r="K82" s="89">
        <v>76</v>
      </c>
      <c r="L82" t="s">
        <v>326</v>
      </c>
      <c r="M82">
        <f t="shared" si="6"/>
        <v>0</v>
      </c>
      <c r="N82" s="4">
        <f>IFERROR(INDEX(ADP!AC:AC,MATCH(D82,ADP!Y:Y,0)),0)</f>
        <v>0</v>
      </c>
      <c r="O82" t="s">
        <v>3</v>
      </c>
      <c r="R82" t="str">
        <f>IFERROR(VLOOKUP(S82,FFARawStatProjections!AT:AV,2,FALSE),"")</f>
        <v>LAR</v>
      </c>
      <c r="S82" s="4" t="str">
        <f>INDEX(FFARawStatProjections!AT:AT,MATCH(T82,FFARawStatProjections!AV:AV,0))</f>
        <v>Zach Evans</v>
      </c>
      <c r="T82" s="428">
        <f>LARGE(FFARawStatProjections!AV:AV,RBproj!K82)</f>
        <v>53.161880000000004</v>
      </c>
      <c r="U82" s="249">
        <f t="shared" si="7"/>
        <v>-139.20951666666667</v>
      </c>
      <c r="V82" s="243">
        <f t="shared" si="5"/>
        <v>19379.289530566944</v>
      </c>
      <c r="W82" s="244"/>
      <c r="X82" s="243">
        <f t="shared" si="8"/>
        <v>-8.700594791666667</v>
      </c>
      <c r="Y82" s="238">
        <f>IFERROR(IF(ISBLANK(Beersheet!$A$1)=FALSE,
INDEX(Beersheet!$A:$U,MATCH(S82,INDEX(Beersheet!$A:$U,0,FFARawStatProjections!$BV$2),0),FFARawStatProjections!$BV$6),
IF(X82&gt;6,0,
IF(AND(X82&lt;=6,X82&gt;5),1,
IF(AND(X82&lt;=5,X82&gt;4),2,
IF(AND(X82&lt;=4,X82&gt;3),3,
IF(AND(X82&lt;=3,X82&gt;2),4,
IF(AND(X82&lt;=2,X82&gt;1),5,
IF(AND(X82&lt;=1,X82&gt;0),6,
IF(AND(X82&lt;=0,X82&gt;-1),7,
8))))))))),
10)</f>
        <v>8</v>
      </c>
    </row>
    <row r="83" spans="1:25" ht="15" customHeight="1" x14ac:dyDescent="0.25">
      <c r="A83" s="135"/>
      <c r="B83" s="142" t="s">
        <v>327</v>
      </c>
      <c r="C83" t="str">
        <f>IF(AND(IFERROR(INDEX(Instructions!$T$111:$T$222,MATCH(D83,Instructions!$T$111:$T$222,0)), "")=D83, D83&lt;&gt;""), "X", "")</f>
        <v/>
      </c>
      <c r="D83" s="138" t="s">
        <v>1193</v>
      </c>
      <c r="E83" s="289" t="s">
        <v>158</v>
      </c>
      <c r="F83" s="434">
        <f>IFERROR(IF(AND($F$5="Projected Points",Beersheet!A78&lt;&gt;"QB"), T83, IF(H83="", INDEX(Tier!$B$16:$B$24,MATCH(G83,Tier!$A$16:$A$24,0)), INDEX(Tier!$B$16:$B$24,MATCH(H83,Tier!$A$16:$A$24,0)))), "")</f>
        <v>52.341890000000006</v>
      </c>
      <c r="G83" s="290">
        <f t="shared" si="9"/>
        <v>8</v>
      </c>
      <c r="H83" s="291"/>
      <c r="I83" s="392" t="str">
        <f>IFERROR(INDEX(ADP!R:R,MATCH(D83,ADP!D:D,0))-RBproj!K83,"")</f>
        <v/>
      </c>
      <c r="J83" s="127"/>
      <c r="K83" s="89">
        <v>77</v>
      </c>
      <c r="L83" t="s">
        <v>327</v>
      </c>
      <c r="M83">
        <f t="shared" si="6"/>
        <v>0</v>
      </c>
      <c r="N83" s="4">
        <f>IFERROR(INDEX(ADP!AC:AC,MATCH(D83,ADP!Y:Y,0)),0)</f>
        <v>0</v>
      </c>
      <c r="O83" t="s">
        <v>3</v>
      </c>
      <c r="R83" t="str">
        <f>IFERROR(VLOOKUP(S83,FFARawStatProjections!AT:AV,2,FALSE),"")</f>
        <v>IND</v>
      </c>
      <c r="S83" s="4" t="str">
        <f>INDEX(FFARawStatProjections!AT:AT,MATCH(T83,FFARawStatProjections!AV:AV,0))</f>
        <v>Zack Moss</v>
      </c>
      <c r="T83" s="428">
        <f>LARGE(FFARawStatProjections!AV:AV,RBproj!K83)</f>
        <v>52.341890000000006</v>
      </c>
      <c r="U83" s="249">
        <f t="shared" si="7"/>
        <v>-140.02950666666666</v>
      </c>
      <c r="V83" s="243">
        <f t="shared" si="5"/>
        <v>19608.262737310044</v>
      </c>
      <c r="W83" s="244"/>
      <c r="X83" s="243">
        <f t="shared" si="8"/>
        <v>-8.7518441666666664</v>
      </c>
      <c r="Y83" s="238">
        <f>IFERROR(IF(ISBLANK(Beersheet!$A$1)=FALSE,
INDEX(Beersheet!$A:$U,MATCH(S83,INDEX(Beersheet!$A:$U,0,FFARawStatProjections!$BV$2),0),FFARawStatProjections!$BV$6),
IF(X83&gt;6,0,
IF(AND(X83&lt;=6,X83&gt;5),1,
IF(AND(X83&lt;=5,X83&gt;4),2,
IF(AND(X83&lt;=4,X83&gt;3),3,
IF(AND(X83&lt;=3,X83&gt;2),4,
IF(AND(X83&lt;=2,X83&gt;1),5,
IF(AND(X83&lt;=1,X83&gt;0),6,
IF(AND(X83&lt;=0,X83&gt;-1),7,
8))))))))),
10)</f>
        <v>8</v>
      </c>
    </row>
    <row r="84" spans="1:25" ht="15" customHeight="1" x14ac:dyDescent="0.25">
      <c r="A84" s="135"/>
      <c r="B84" s="143" t="s">
        <v>328</v>
      </c>
      <c r="C84" t="str">
        <f>IF(AND(IFERROR(INDEX(Instructions!$T$111:$T$222,MATCH(D84,Instructions!$T$111:$T$222,0)), "")=D84, D84&lt;&gt;""), "X", "")</f>
        <v/>
      </c>
      <c r="D84" s="137" t="s">
        <v>2082</v>
      </c>
      <c r="E84" s="286" t="s">
        <v>158</v>
      </c>
      <c r="F84" s="232">
        <f>IFERROR(IF(AND($F$5="Projected Points",Beersheet!A79&lt;&gt;"QB"), T84, IF(H84="", INDEX(Tier!$B$16:$B$24,MATCH(G84,Tier!$A$16:$A$24,0)), INDEX(Tier!$B$16:$B$24,MATCH(H84,Tier!$A$16:$A$24,0)))), "")</f>
        <v>51.781930000000003</v>
      </c>
      <c r="G84" s="287">
        <f t="shared" si="9"/>
        <v>8</v>
      </c>
      <c r="H84" s="288"/>
      <c r="I84" s="392" t="str">
        <f>IFERROR(INDEX(ADP!R:R,MATCH(D84,ADP!D:D,0))-RBproj!K84,"")</f>
        <v/>
      </c>
      <c r="J84" s="127"/>
      <c r="K84" s="89">
        <v>78</v>
      </c>
      <c r="L84" t="s">
        <v>328</v>
      </c>
      <c r="M84">
        <f t="shared" si="6"/>
        <v>0</v>
      </c>
      <c r="N84" s="4">
        <f>IFERROR(INDEX(ADP!AC:AC,MATCH(D84,ADP!Y:Y,0)),0)</f>
        <v>0</v>
      </c>
      <c r="O84" t="s">
        <v>3</v>
      </c>
      <c r="R84" t="str">
        <f>IFERROR(VLOOKUP(S84,FFARawStatProjections!AT:AV,2,FALSE),"")</f>
        <v>AZ</v>
      </c>
      <c r="S84" s="4" t="str">
        <f>INDEX(FFARawStatProjections!AT:AT,MATCH(T84,FFARawStatProjections!AV:AV,0))</f>
        <v>Corey Clement</v>
      </c>
      <c r="T84" s="428">
        <f>LARGE(FFARawStatProjections!AV:AV,RBproj!K84)</f>
        <v>51.781930000000003</v>
      </c>
      <c r="U84" s="249">
        <f t="shared" si="7"/>
        <v>-140.58946666666668</v>
      </c>
      <c r="V84" s="243">
        <f t="shared" si="5"/>
        <v>19765.398137617784</v>
      </c>
      <c r="W84" s="244"/>
      <c r="X84" s="243">
        <f t="shared" si="8"/>
        <v>-8.7868416666666675</v>
      </c>
      <c r="Y84" s="238">
        <f>IFERROR(IF(ISBLANK(Beersheet!$A$1)=FALSE,
INDEX(Beersheet!$A:$U,MATCH(S84,INDEX(Beersheet!$A:$U,0,FFARawStatProjections!$BV$2),0),FFARawStatProjections!$BV$6),
IF(X84&gt;6,0,
IF(AND(X84&lt;=6,X84&gt;5),1,
IF(AND(X84&lt;=5,X84&gt;4),2,
IF(AND(X84&lt;=4,X84&gt;3),3,
IF(AND(X84&lt;=3,X84&gt;2),4,
IF(AND(X84&lt;=2,X84&gt;1),5,
IF(AND(X84&lt;=1,X84&gt;0),6,
IF(AND(X84&lt;=0,X84&gt;-1),7,
8))))))))),
10)</f>
        <v>8</v>
      </c>
    </row>
    <row r="85" spans="1:25" ht="15" customHeight="1" x14ac:dyDescent="0.25">
      <c r="A85" s="135"/>
      <c r="B85" s="142" t="s">
        <v>329</v>
      </c>
      <c r="C85" t="str">
        <f>IF(AND(IFERROR(INDEX(Instructions!$T$111:$T$222,MATCH(D85,Instructions!$T$111:$T$222,0)), "")=D85, D85&lt;&gt;""), "X", "")</f>
        <v/>
      </c>
      <c r="D85" s="138" t="s">
        <v>1749</v>
      </c>
      <c r="E85" s="289" t="s">
        <v>2272</v>
      </c>
      <c r="F85" s="434">
        <f>IFERROR(IF(AND($F$5="Projected Points",Beersheet!A80&lt;&gt;"QB"), T85, IF(H85="", INDEX(Tier!$B$16:$B$24,MATCH(G85,Tier!$A$16:$A$24,0)), INDEX(Tier!$B$16:$B$24,MATCH(H85,Tier!$A$16:$A$24,0)))), "")</f>
        <v>50.721829999999997</v>
      </c>
      <c r="G85" s="290">
        <f t="shared" si="9"/>
        <v>8</v>
      </c>
      <c r="H85" s="291"/>
      <c r="I85" s="392" t="str">
        <f>IFERROR(INDEX(ADP!R:R,MATCH(D85,ADP!D:D,0))-RBproj!K85,"")</f>
        <v/>
      </c>
      <c r="J85" s="127"/>
      <c r="K85" s="89">
        <v>79</v>
      </c>
      <c r="L85" t="s">
        <v>329</v>
      </c>
      <c r="M85">
        <f t="shared" si="6"/>
        <v>0</v>
      </c>
      <c r="N85" s="4">
        <f>IFERROR(INDEX(ADP!AC:AC,MATCH(D85,ADP!Y:Y,0)),0)</f>
        <v>0</v>
      </c>
      <c r="O85" t="s">
        <v>3</v>
      </c>
      <c r="R85" t="str">
        <f>IFERROR(VLOOKUP(S85,FFARawStatProjections!AT:AV,2,FALSE),"")</f>
        <v>NYJ</v>
      </c>
      <c r="S85" s="4" t="str">
        <f>INDEX(FFARawStatProjections!AT:AT,MATCH(T85,FFARawStatProjections!AV:AV,0))</f>
        <v>Israel Abanikanda</v>
      </c>
      <c r="T85" s="428">
        <f>LARGE(FFARawStatProjections!AV:AV,RBproj!K85)</f>
        <v>50.721829999999997</v>
      </c>
      <c r="U85" s="249">
        <f t="shared" si="7"/>
        <v>-141.64956666666666</v>
      </c>
      <c r="V85" s="243">
        <f t="shared" si="5"/>
        <v>20064.599736854441</v>
      </c>
      <c r="W85" s="244"/>
      <c r="X85" s="243">
        <f t="shared" si="8"/>
        <v>-8.8530979166666661</v>
      </c>
      <c r="Y85" s="238">
        <f>IFERROR(IF(ISBLANK(Beersheet!$A$1)=FALSE,
INDEX(Beersheet!$A:$U,MATCH(S85,INDEX(Beersheet!$A:$U,0,FFARawStatProjections!$BV$2),0),FFARawStatProjections!$BV$6),
IF(X85&gt;6,0,
IF(AND(X85&lt;=6,X85&gt;5),1,
IF(AND(X85&lt;=5,X85&gt;4),2,
IF(AND(X85&lt;=4,X85&gt;3),3,
IF(AND(X85&lt;=3,X85&gt;2),4,
IF(AND(X85&lt;=2,X85&gt;1),5,
IF(AND(X85&lt;=1,X85&gt;0),6,
IF(AND(X85&lt;=0,X85&gt;-1),7,
8))))))))),
10)</f>
        <v>8</v>
      </c>
    </row>
    <row r="86" spans="1:25" ht="15" customHeight="1" x14ac:dyDescent="0.25">
      <c r="A86" s="135"/>
      <c r="B86" s="143" t="s">
        <v>330</v>
      </c>
      <c r="C86" t="str">
        <f>IF(AND(IFERROR(INDEX(Instructions!$T$111:$T$222,MATCH(D86,Instructions!$T$111:$T$222,0)), "")=D86, D86&lt;&gt;""), "X", "")</f>
        <v/>
      </c>
      <c r="D86" s="137" t="s">
        <v>2114</v>
      </c>
      <c r="E86" s="286" t="s">
        <v>165</v>
      </c>
      <c r="F86" s="232">
        <f>IFERROR(IF(AND($F$5="Projected Points",Beersheet!A81&lt;&gt;"QB"), T86, IF(H86="", INDEX(Tier!$B$16:$B$24,MATCH(G86,Tier!$A$16:$A$24,0)), INDEX(Tier!$B$16:$B$24,MATCH(H86,Tier!$A$16:$A$24,0)))), "")</f>
        <v>48.771950000000004</v>
      </c>
      <c r="G86" s="287">
        <f t="shared" si="9"/>
        <v>8</v>
      </c>
      <c r="H86" s="288"/>
      <c r="I86" s="392" t="str">
        <f>IFERROR(INDEX(ADP!R:R,MATCH(D86,ADP!D:D,0))-RBproj!K86,"")</f>
        <v/>
      </c>
      <c r="J86" s="127"/>
      <c r="K86" s="89">
        <v>80</v>
      </c>
      <c r="L86" t="s">
        <v>330</v>
      </c>
      <c r="M86">
        <f t="shared" si="6"/>
        <v>0</v>
      </c>
      <c r="N86" s="4">
        <f>IFERROR(INDEX(ADP!AC:AC,MATCH(D86,ADP!Y:Y,0)),0)</f>
        <v>0</v>
      </c>
      <c r="O86" t="s">
        <v>3</v>
      </c>
      <c r="R86" t="str">
        <f>IFERROR(VLOOKUP(S86,FFARawStatProjections!AT:AV,2,FALSE),"")</f>
        <v>JAC</v>
      </c>
      <c r="S86" s="4" t="str">
        <f>INDEX(FFARawStatProjections!AT:AT,MATCH(T86,FFARawStatProjections!AV:AV,0))</f>
        <v>JaMycal Hasty</v>
      </c>
      <c r="T86" s="428">
        <f>LARGE(FFARawStatProjections!AV:AV,RBproj!K86)</f>
        <v>48.771950000000004</v>
      </c>
      <c r="U86" s="249">
        <f t="shared" si="7"/>
        <v>-143.59944666666667</v>
      </c>
      <c r="V86" s="243">
        <f t="shared" si="5"/>
        <v>20620.801082972845</v>
      </c>
      <c r="W86" s="244"/>
      <c r="X86" s="243">
        <f t="shared" si="8"/>
        <v>-8.9749654166666666</v>
      </c>
      <c r="Y86" s="238">
        <f>IFERROR(IF(ISBLANK(Beersheet!$A$1)=FALSE,
INDEX(Beersheet!$A:$U,MATCH(S86,INDEX(Beersheet!$A:$U,0,FFARawStatProjections!$BV$2),0),FFARawStatProjections!$BV$6),
IF(X86&gt;6,0,
IF(AND(X86&lt;=6,X86&gt;5),1,
IF(AND(X86&lt;=5,X86&gt;4),2,
IF(AND(X86&lt;=4,X86&gt;3),3,
IF(AND(X86&lt;=3,X86&gt;2),4,
IF(AND(X86&lt;=2,X86&gt;1),5,
IF(AND(X86&lt;=1,X86&gt;0),6,
IF(AND(X86&lt;=0,X86&gt;-1),7,
8))))))))),
10)</f>
        <v>8</v>
      </c>
    </row>
    <row r="87" spans="1:25" ht="15" customHeight="1" x14ac:dyDescent="0.25">
      <c r="A87" s="135"/>
      <c r="B87" s="142" t="s">
        <v>331</v>
      </c>
      <c r="C87" t="str">
        <f>IF(AND(IFERROR(INDEX(Instructions!$T$111:$T$222,MATCH(D87,Instructions!$T$111:$T$222,0)), "")=D87, D87&lt;&gt;""), "X", "")</f>
        <v/>
      </c>
      <c r="D87" s="138" t="s">
        <v>2488</v>
      </c>
      <c r="E87" s="289" t="s">
        <v>154</v>
      </c>
      <c r="F87" s="434">
        <f>IFERROR(IF(AND($F$5="Projected Points",Beersheet!A82&lt;&gt;"QB"), T87, IF(H87="", INDEX(Tier!$B$16:$B$24,MATCH(G87,Tier!$A$16:$A$24,0)), INDEX(Tier!$B$16:$B$24,MATCH(H87,Tier!$A$16:$A$24,0)))), "")</f>
        <v>48.162009999999995</v>
      </c>
      <c r="G87" s="290">
        <f t="shared" si="9"/>
        <v>8</v>
      </c>
      <c r="H87" s="291"/>
      <c r="I87" s="392" t="str">
        <f>IFERROR(INDEX(ADP!R:R,MATCH(D87,ADP!D:D,0))-RBproj!K87,"")</f>
        <v/>
      </c>
      <c r="J87" s="127"/>
      <c r="K87" s="89">
        <v>81</v>
      </c>
      <c r="L87" t="s">
        <v>331</v>
      </c>
      <c r="M87">
        <f t="shared" si="6"/>
        <v>0</v>
      </c>
      <c r="N87" s="4">
        <f>IFERROR(INDEX(ADP!AC:AC,MATCH(D87,ADP!Y:Y,0)),0)</f>
        <v>0</v>
      </c>
      <c r="O87" t="s">
        <v>3</v>
      </c>
      <c r="R87" t="str">
        <f>IFERROR(VLOOKUP(S87,FFARawStatProjections!AT:AV,2,FALSE),"")</f>
        <v>LV</v>
      </c>
      <c r="S87" s="4" t="str">
        <f>INDEX(FFARawStatProjections!AT:AT,MATCH(T87,FFARawStatProjections!AV:AV,0))</f>
        <v>Ameer Abdullah</v>
      </c>
      <c r="T87" s="428">
        <f>LARGE(FFARawStatProjections!AV:AV,RBproj!K87)</f>
        <v>48.162009999999995</v>
      </c>
      <c r="U87" s="249">
        <f t="shared" si="7"/>
        <v>-144.20938666666666</v>
      </c>
      <c r="V87" s="243">
        <f t="shared" si="5"/>
        <v>20796.347202776175</v>
      </c>
      <c r="W87" s="244"/>
      <c r="X87" s="243">
        <f t="shared" si="8"/>
        <v>-9.0130866666666662</v>
      </c>
      <c r="Y87" s="238">
        <f>IFERROR(IF(ISBLANK(Beersheet!$A$1)=FALSE,
INDEX(Beersheet!$A:$U,MATCH(S87,INDEX(Beersheet!$A:$U,0,FFARawStatProjections!$BV$2),0),FFARawStatProjections!$BV$6),
IF(X87&gt;6,0,
IF(AND(X87&lt;=6,X87&gt;5),1,
IF(AND(X87&lt;=5,X87&gt;4),2,
IF(AND(X87&lt;=4,X87&gt;3),3,
IF(AND(X87&lt;=3,X87&gt;2),4,
IF(AND(X87&lt;=2,X87&gt;1),5,
IF(AND(X87&lt;=1,X87&gt;0),6,
IF(AND(X87&lt;=0,X87&gt;-1),7,
8))))))))),
10)</f>
        <v>8</v>
      </c>
    </row>
    <row r="88" spans="1:25" ht="15" customHeight="1" x14ac:dyDescent="0.25">
      <c r="A88" s="135"/>
      <c r="B88" s="143" t="s">
        <v>332</v>
      </c>
      <c r="C88" t="str">
        <f>IF(AND(IFERROR(INDEX(Instructions!$T$111:$T$222,MATCH(D88,Instructions!$T$111:$T$222,0)), "")=D88, D88&lt;&gt;""), "X", "")</f>
        <v/>
      </c>
      <c r="D88" s="137" t="s">
        <v>1130</v>
      </c>
      <c r="E88" s="286" t="s">
        <v>2073</v>
      </c>
      <c r="F88" s="232">
        <f>IFERROR(IF(AND($F$5="Projected Points",Beersheet!A83&lt;&gt;"QB"), T88, IF(H88="", INDEX(Tier!$B$16:$B$24,MATCH(G88,Tier!$A$16:$A$24,0)), INDEX(Tier!$B$16:$B$24,MATCH(H88,Tier!$A$16:$A$24,0)))), "")</f>
        <v>45.921939999999999</v>
      </c>
      <c r="G88" s="287">
        <f t="shared" si="9"/>
        <v>8</v>
      </c>
      <c r="H88" s="288"/>
      <c r="I88" s="392" t="str">
        <f>IFERROR(INDEX(ADP!R:R,MATCH(D88,ADP!D:D,0))-RBproj!K88,"")</f>
        <v/>
      </c>
      <c r="J88" s="127"/>
      <c r="K88" s="89">
        <v>82</v>
      </c>
      <c r="L88" t="s">
        <v>332</v>
      </c>
      <c r="M88">
        <f t="shared" si="6"/>
        <v>0</v>
      </c>
      <c r="N88" s="4">
        <f>IFERROR(INDEX(ADP!AC:AC,MATCH(D88,ADP!Y:Y,0)),0)</f>
        <v>0</v>
      </c>
      <c r="O88" t="s">
        <v>3</v>
      </c>
      <c r="R88" t="str">
        <f>IFERROR(VLOOKUP(S88,FFARawStatProjections!AT:AV,2,FALSE),"")</f>
        <v>NYG</v>
      </c>
      <c r="S88" s="4" t="str">
        <f>INDEX(FFARawStatProjections!AT:AT,MATCH(T88,FFARawStatProjections!AV:AV,0))</f>
        <v>Eric Gray</v>
      </c>
      <c r="T88" s="428">
        <f>LARGE(FFARawStatProjections!AV:AV,RBproj!K88)</f>
        <v>45.921939999999999</v>
      </c>
      <c r="U88" s="249">
        <f t="shared" si="7"/>
        <v>-146.44945666666666</v>
      </c>
      <c r="V88" s="243">
        <f t="shared" si="5"/>
        <v>21447.443357961878</v>
      </c>
      <c r="W88" s="244"/>
      <c r="X88" s="243">
        <f t="shared" si="8"/>
        <v>-9.1530910416666664</v>
      </c>
      <c r="Y88" s="238">
        <f>IFERROR(IF(ISBLANK(Beersheet!$A$1)=FALSE,
INDEX(Beersheet!$A:$U,MATCH(S88,INDEX(Beersheet!$A:$U,0,FFARawStatProjections!$BV$2),0),FFARawStatProjections!$BV$6),
IF(X88&gt;6,0,
IF(AND(X88&lt;=6,X88&gt;5),1,
IF(AND(X88&lt;=5,X88&gt;4),2,
IF(AND(X88&lt;=4,X88&gt;3),3,
IF(AND(X88&lt;=3,X88&gt;2),4,
IF(AND(X88&lt;=2,X88&gt;1),5,
IF(AND(X88&lt;=1,X88&gt;0),6,
IF(AND(X88&lt;=0,X88&gt;-1),7,
8))))))))),
10)</f>
        <v>8</v>
      </c>
    </row>
    <row r="89" spans="1:25" ht="15" customHeight="1" x14ac:dyDescent="0.25">
      <c r="A89" s="135"/>
      <c r="B89" s="142" t="s">
        <v>333</v>
      </c>
      <c r="C89" t="str">
        <f>IF(AND(IFERROR(INDEX(Instructions!$T$111:$T$222,MATCH(D89,Instructions!$T$111:$T$222,0)), "")=D89, D89&lt;&gt;""), "X", "")</f>
        <v/>
      </c>
      <c r="D89" s="138" t="s">
        <v>2077</v>
      </c>
      <c r="E89" s="289" t="s">
        <v>149</v>
      </c>
      <c r="F89" s="434">
        <f>IFERROR(IF(AND($F$5="Projected Points",Beersheet!A84&lt;&gt;"QB"), T89, IF(H89="", INDEX(Tier!$B$16:$B$24,MATCH(G89,Tier!$A$16:$A$24,0)), INDEX(Tier!$B$16:$B$24,MATCH(H89,Tier!$A$16:$A$24,0)))), "")</f>
        <v>44.842140000000001</v>
      </c>
      <c r="G89" s="290">
        <f t="shared" si="9"/>
        <v>8</v>
      </c>
      <c r="H89" s="291"/>
      <c r="I89" s="392" t="str">
        <f>IFERROR(INDEX(ADP!R:R,MATCH(D89,ADP!D:D,0))-RBproj!K89,"")</f>
        <v/>
      </c>
      <c r="J89" s="127"/>
      <c r="K89" s="89">
        <v>83</v>
      </c>
      <c r="L89" t="s">
        <v>333</v>
      </c>
      <c r="M89">
        <f t="shared" si="6"/>
        <v>0</v>
      </c>
      <c r="N89" s="4">
        <f>IFERROR(INDEX(ADP!AC:AC,MATCH(D89,ADP!Y:Y,0)),0)</f>
        <v>0</v>
      </c>
      <c r="O89" t="s">
        <v>3</v>
      </c>
      <c r="R89" t="str">
        <f>IFERROR(VLOOKUP(S89,FFARawStatProjections!AT:AV,2,FALSE),"")</f>
        <v>IND</v>
      </c>
      <c r="S89" s="4" t="str">
        <f>INDEX(FFARawStatProjections!AT:AT,MATCH(T89,FFARawStatProjections!AV:AV,0))</f>
        <v>Deon Jackson</v>
      </c>
      <c r="T89" s="428">
        <f>LARGE(FFARawStatProjections!AV:AV,RBproj!K89)</f>
        <v>44.842140000000001</v>
      </c>
      <c r="U89" s="249">
        <f t="shared" si="7"/>
        <v>-147.52925666666667</v>
      </c>
      <c r="V89" s="243">
        <f t="shared" si="5"/>
        <v>21764.881572619212</v>
      </c>
      <c r="W89" s="244"/>
      <c r="X89" s="243">
        <f t="shared" si="8"/>
        <v>-9.2205785416666668</v>
      </c>
      <c r="Y89" s="238">
        <f>IFERROR(IF(ISBLANK(Beersheet!$A$1)=FALSE,
INDEX(Beersheet!$A:$U,MATCH(S89,INDEX(Beersheet!$A:$U,0,FFARawStatProjections!$BV$2),0),FFARawStatProjections!$BV$6),
IF(X89&gt;6,0,
IF(AND(X89&lt;=6,X89&gt;5),1,
IF(AND(X89&lt;=5,X89&gt;4),2,
IF(AND(X89&lt;=4,X89&gt;3),3,
IF(AND(X89&lt;=3,X89&gt;2),4,
IF(AND(X89&lt;=2,X89&gt;1),5,
IF(AND(X89&lt;=1,X89&gt;0),6,
IF(AND(X89&lt;=0,X89&gt;-1),7,
8))))))))),
10)</f>
        <v>8</v>
      </c>
    </row>
    <row r="90" spans="1:25" ht="15" customHeight="1" x14ac:dyDescent="0.25">
      <c r="A90" s="135"/>
      <c r="B90" s="143" t="s">
        <v>334</v>
      </c>
      <c r="C90" t="str">
        <f>IF(AND(IFERROR(INDEX(Instructions!$T$111:$T$222,MATCH(D90,Instructions!$T$111:$T$222,0)), "")=D90, D90&lt;&gt;""), "X", "")</f>
        <v/>
      </c>
      <c r="D90" s="137" t="s">
        <v>2176</v>
      </c>
      <c r="E90" s="286" t="s">
        <v>164</v>
      </c>
      <c r="F90" s="232">
        <f>IFERROR(IF(AND($F$5="Projected Points",Beersheet!A85&lt;&gt;"QB"), T90, IF(H90="", INDEX(Tier!$B$16:$B$24,MATCH(G90,Tier!$A$16:$A$24,0)), INDEX(Tier!$B$16:$B$24,MATCH(H90,Tier!$A$16:$A$24,0)))), "")</f>
        <v>44.331980000000001</v>
      </c>
      <c r="G90" s="287">
        <f t="shared" si="9"/>
        <v>8</v>
      </c>
      <c r="H90" s="288"/>
      <c r="I90" s="392" t="str">
        <f>IFERROR(INDEX(ADP!R:R,MATCH(D90,ADP!D:D,0))-RBproj!K90,"")</f>
        <v/>
      </c>
      <c r="J90" s="127"/>
      <c r="K90" s="89">
        <v>84</v>
      </c>
      <c r="L90" t="s">
        <v>334</v>
      </c>
      <c r="M90">
        <f t="shared" si="6"/>
        <v>0</v>
      </c>
      <c r="N90" s="4">
        <f>IFERROR(INDEX(ADP!AC:AC,MATCH(D90,ADP!Y:Y,0)),0)</f>
        <v>0</v>
      </c>
      <c r="O90" t="s">
        <v>3</v>
      </c>
      <c r="R90" t="str">
        <f>IFERROR(VLOOKUP(S90,FFARawStatProjections!AT:AV,2,FALSE),"")</f>
        <v>NYJ</v>
      </c>
      <c r="S90" s="4" t="str">
        <f>INDEX(FFARawStatProjections!AT:AT,MATCH(T90,FFARawStatProjections!AV:AV,0))</f>
        <v>Michael Carter</v>
      </c>
      <c r="T90" s="428">
        <f>LARGE(FFARawStatProjections!AV:AV,RBproj!K90)</f>
        <v>44.331980000000001</v>
      </c>
      <c r="U90" s="249">
        <f t="shared" si="7"/>
        <v>-148.03941666666668</v>
      </c>
      <c r="V90" s="243">
        <f t="shared" si="5"/>
        <v>21915.668887006948</v>
      </c>
      <c r="W90" s="244"/>
      <c r="X90" s="243">
        <f t="shared" si="8"/>
        <v>-9.2524635416666676</v>
      </c>
      <c r="Y90" s="238">
        <f>IFERROR(IF(ISBLANK(Beersheet!$A$1)=FALSE,
INDEX(Beersheet!$A:$U,MATCH(S90,INDEX(Beersheet!$A:$U,0,FFARawStatProjections!$BV$2),0),FFARawStatProjections!$BV$6),
IF(X90&gt;6,0,
IF(AND(X90&lt;=6,X90&gt;5),1,
IF(AND(X90&lt;=5,X90&gt;4),2,
IF(AND(X90&lt;=4,X90&gt;3),3,
IF(AND(X90&lt;=3,X90&gt;2),4,
IF(AND(X90&lt;=2,X90&gt;1),5,
IF(AND(X90&lt;=1,X90&gt;0),6,
IF(AND(X90&lt;=0,X90&gt;-1),7,
8))))))))),
10)</f>
        <v>8</v>
      </c>
    </row>
    <row r="91" spans="1:25" ht="15" customHeight="1" x14ac:dyDescent="0.25">
      <c r="A91" s="135"/>
      <c r="B91" s="142" t="s">
        <v>335</v>
      </c>
      <c r="C91" t="str">
        <f>IF(AND(IFERROR(INDEX(Instructions!$T$111:$T$222,MATCH(D91,Instructions!$T$111:$T$222,0)), "")=D91, D91&lt;&gt;""), "X", "")</f>
        <v/>
      </c>
      <c r="D91" s="138" t="s">
        <v>1126</v>
      </c>
      <c r="E91" s="289" t="s">
        <v>162</v>
      </c>
      <c r="F91" s="434">
        <f>IFERROR(IF(AND($F$5="Projected Points",Beersheet!A86&lt;&gt;"QB"), T91, IF(H91="", INDEX(Tier!$B$16:$B$24,MATCH(G91,Tier!$A$16:$A$24,0)), INDEX(Tier!$B$16:$B$24,MATCH(H91,Tier!$A$16:$A$24,0)))), "")</f>
        <v>43.511989999999997</v>
      </c>
      <c r="G91" s="290">
        <f t="shared" si="9"/>
        <v>8</v>
      </c>
      <c r="H91" s="291"/>
      <c r="I91" s="392" t="str">
        <f>IFERROR(INDEX(ADP!R:R,MATCH(D91,ADP!D:D,0))-RBproj!K91,"")</f>
        <v/>
      </c>
      <c r="J91" s="127"/>
      <c r="K91" s="89">
        <v>85</v>
      </c>
      <c r="L91" t="s">
        <v>335</v>
      </c>
      <c r="M91">
        <f t="shared" si="6"/>
        <v>0</v>
      </c>
      <c r="N91" s="4">
        <f>IFERROR(INDEX(ADP!AC:AC,MATCH(D91,ADP!Y:Y,0)),0)</f>
        <v>0</v>
      </c>
      <c r="O91" t="s">
        <v>3</v>
      </c>
      <c r="R91" t="str">
        <f>IFERROR(VLOOKUP(S91,FFARawStatProjections!AT:AV,2,FALSE),"")</f>
        <v>BAL</v>
      </c>
      <c r="S91" s="4" t="str">
        <f>INDEX(FFARawStatProjections!AT:AT,MATCH(T91,FFARawStatProjections!AV:AV,0))</f>
        <v>Melvin Gordon</v>
      </c>
      <c r="T91" s="428">
        <f>LARGE(FFARawStatProjections!AV:AV,RBproj!K91)</f>
        <v>43.511989999999997</v>
      </c>
      <c r="U91" s="249">
        <f t="shared" si="7"/>
        <v>-148.85940666666667</v>
      </c>
      <c r="V91" s="243">
        <f t="shared" si="5"/>
        <v>22159.122953152048</v>
      </c>
      <c r="W91" s="244"/>
      <c r="X91" s="243">
        <f t="shared" si="8"/>
        <v>-9.303712916666667</v>
      </c>
      <c r="Y91" s="238">
        <f>IFERROR(IF(ISBLANK(Beersheet!$A$1)=FALSE,
INDEX(Beersheet!$A:$U,MATCH(S91,INDEX(Beersheet!$A:$U,0,FFARawStatProjections!$BV$2),0),FFARawStatProjections!$BV$6),
IF(X91&gt;6,0,
IF(AND(X91&lt;=6,X91&gt;5),1,
IF(AND(X91&lt;=5,X91&gt;4),2,
IF(AND(X91&lt;=4,X91&gt;3),3,
IF(AND(X91&lt;=3,X91&gt;2),4,
IF(AND(X91&lt;=2,X91&gt;1),5,
IF(AND(X91&lt;=1,X91&gt;0),6,
IF(AND(X91&lt;=0,X91&gt;-1),7,
8))))))))),
10)</f>
        <v>8</v>
      </c>
    </row>
    <row r="92" spans="1:25" ht="15" customHeight="1" x14ac:dyDescent="0.25">
      <c r="A92" s="135"/>
      <c r="B92" s="143" t="s">
        <v>336</v>
      </c>
      <c r="C92" t="str">
        <f>IF(AND(IFERROR(INDEX(Instructions!$T$111:$T$222,MATCH(D92,Instructions!$T$111:$T$222,0)), "")=D92, D92&lt;&gt;""), "X", "")</f>
        <v/>
      </c>
      <c r="D92" s="137" t="s">
        <v>2298</v>
      </c>
      <c r="E92" s="286" t="s">
        <v>163</v>
      </c>
      <c r="F92" s="232">
        <f>IFERROR(IF(AND($F$5="Projected Points",Beersheet!A87&lt;&gt;"QB"), T92, IF(H92="", INDEX(Tier!$B$16:$B$24,MATCH(G92,Tier!$A$16:$A$24,0)), INDEX(Tier!$B$16:$B$24,MATCH(H92,Tier!$A$16:$A$24,0)))), "")</f>
        <v>42.49203</v>
      </c>
      <c r="G92" s="287">
        <f t="shared" si="9"/>
        <v>8</v>
      </c>
      <c r="H92" s="288"/>
      <c r="I92" s="392" t="str">
        <f>IFERROR(INDEX(ADP!R:R,MATCH(D92,ADP!D:D,0))-RBproj!K92,"")</f>
        <v/>
      </c>
      <c r="J92" s="127"/>
      <c r="K92" s="89">
        <v>86</v>
      </c>
      <c r="L92" t="s">
        <v>336</v>
      </c>
      <c r="M92">
        <f t="shared" si="6"/>
        <v>0</v>
      </c>
      <c r="N92" s="4">
        <f>IFERROR(INDEX(ADP!AC:AC,MATCH(D92,ADP!Y:Y,0)),0)</f>
        <v>0</v>
      </c>
      <c r="O92" t="s">
        <v>3</v>
      </c>
      <c r="R92" t="str">
        <f>IFERROR(VLOOKUP(S92,FFARawStatProjections!AT:AV,2,FALSE),"")</f>
        <v>TEN</v>
      </c>
      <c r="S92" s="4" t="str">
        <f>INDEX(FFARawStatProjections!AT:AT,MATCH(T92,FFARawStatProjections!AV:AV,0))</f>
        <v>Hassan Haskins</v>
      </c>
      <c r="T92" s="428">
        <f>LARGE(FFARawStatProjections!AV:AV,RBproj!K92)</f>
        <v>42.49203</v>
      </c>
      <c r="U92" s="249">
        <f t="shared" si="7"/>
        <v>-149.87936666666667</v>
      </c>
      <c r="V92" s="243">
        <f t="shared" si="5"/>
        <v>22463.824552401111</v>
      </c>
      <c r="W92" s="244"/>
      <c r="X92" s="243">
        <f t="shared" si="8"/>
        <v>-9.3674604166666668</v>
      </c>
      <c r="Y92" s="238">
        <f>IFERROR(IF(ISBLANK(Beersheet!$A$1)=FALSE,
INDEX(Beersheet!$A:$U,MATCH(S92,INDEX(Beersheet!$A:$U,0,FFARawStatProjections!$BV$2),0),FFARawStatProjections!$BV$6),
IF(X92&gt;6,0,
IF(AND(X92&lt;=6,X92&gt;5),1,
IF(AND(X92&lt;=5,X92&gt;4),2,
IF(AND(X92&lt;=4,X92&gt;3),3,
IF(AND(X92&lt;=3,X92&gt;2),4,
IF(AND(X92&lt;=2,X92&gt;1),5,
IF(AND(X92&lt;=1,X92&gt;0),6,
IF(AND(X92&lt;=0,X92&gt;-1),7,
8))))))))),
10)</f>
        <v>8</v>
      </c>
    </row>
    <row r="93" spans="1:25" ht="15" customHeight="1" x14ac:dyDescent="0.25">
      <c r="A93" s="135"/>
      <c r="B93" s="142" t="s">
        <v>337</v>
      </c>
      <c r="C93" t="str">
        <f>IF(AND(IFERROR(INDEX(Instructions!$T$111:$T$222,MATCH(D93,Instructions!$T$111:$T$222,0)), "")=D93, D93&lt;&gt;""), "X", "")</f>
        <v/>
      </c>
      <c r="D93" s="138" t="s">
        <v>2313</v>
      </c>
      <c r="E93" s="289" t="s">
        <v>158</v>
      </c>
      <c r="F93" s="434">
        <f>IFERROR(IF(AND($F$5="Projected Points",Beersheet!A88&lt;&gt;"QB"), T93, IF(H93="", INDEX(Tier!$B$16:$B$24,MATCH(G93,Tier!$A$16:$A$24,0)), INDEX(Tier!$B$16:$B$24,MATCH(H93,Tier!$A$16:$A$24,0)))), "")</f>
        <v>42.151960000000003</v>
      </c>
      <c r="G93" s="290">
        <f t="shared" si="9"/>
        <v>8</v>
      </c>
      <c r="H93" s="291"/>
      <c r="I93" s="392" t="str">
        <f>IFERROR(INDEX(ADP!R:R,MATCH(D93,ADP!D:D,0))-RBproj!K93,"")</f>
        <v/>
      </c>
      <c r="J93" s="127"/>
      <c r="K93" s="89">
        <v>87</v>
      </c>
      <c r="L93" t="s">
        <v>337</v>
      </c>
      <c r="M93">
        <f t="shared" si="6"/>
        <v>0</v>
      </c>
      <c r="N93" s="4">
        <f>IFERROR(INDEX(ADP!AC:AC,MATCH(D93,ADP!Y:Y,0)),0)</f>
        <v>0</v>
      </c>
      <c r="O93" t="s">
        <v>3</v>
      </c>
      <c r="R93" t="str">
        <f>IFERROR(VLOOKUP(S93,FFARawStatProjections!AT:AV,2,FALSE),"")</f>
        <v>TB</v>
      </c>
      <c r="S93" s="4" t="str">
        <f>INDEX(FFARawStatProjections!AT:AT,MATCH(T93,FFARawStatProjections!AV:AV,0))</f>
        <v>KeShawn Vaughn</v>
      </c>
      <c r="T93" s="428">
        <f>LARGE(FFARawStatProjections!AV:AV,RBproj!K93)</f>
        <v>42.151960000000003</v>
      </c>
      <c r="U93" s="249">
        <f t="shared" si="7"/>
        <v>-150.21943666666667</v>
      </c>
      <c r="V93" s="243">
        <f t="shared" si="5"/>
        <v>22565.879152450678</v>
      </c>
      <c r="W93" s="244"/>
      <c r="X93" s="243">
        <f t="shared" si="8"/>
        <v>-9.3887147916666667</v>
      </c>
      <c r="Y93" s="238">
        <f>IFERROR(IF(ISBLANK(Beersheet!$A$1)=FALSE,
INDEX(Beersheet!$A:$U,MATCH(S93,INDEX(Beersheet!$A:$U,0,FFARawStatProjections!$BV$2),0),FFARawStatProjections!$BV$6),
IF(X93&gt;6,0,
IF(AND(X93&lt;=6,X93&gt;5),1,
IF(AND(X93&lt;=5,X93&gt;4),2,
IF(AND(X93&lt;=4,X93&gt;3),3,
IF(AND(X93&lt;=3,X93&gt;2),4,
IF(AND(X93&lt;=2,X93&gt;1),5,
IF(AND(X93&lt;=1,X93&gt;0),6,
IF(AND(X93&lt;=0,X93&gt;-1),7,
8))))))))),
10)</f>
        <v>8</v>
      </c>
    </row>
    <row r="94" spans="1:25" ht="15" customHeight="1" x14ac:dyDescent="0.25">
      <c r="A94" s="135"/>
      <c r="B94" s="143" t="s">
        <v>338</v>
      </c>
      <c r="C94" t="str">
        <f>IF(AND(IFERROR(INDEX(Instructions!$T$111:$T$222,MATCH(D94,Instructions!$T$111:$T$222,0)), "")=D94, D94&lt;&gt;""), "X", "")</f>
        <v/>
      </c>
      <c r="D94" s="137" t="s">
        <v>1883</v>
      </c>
      <c r="E94" s="286" t="s">
        <v>145</v>
      </c>
      <c r="F94" s="232">
        <f>IFERROR(IF(AND($F$5="Projected Points",Beersheet!A89&lt;&gt;"QB"), T94, IF(H94="", INDEX(Tier!$B$16:$B$24,MATCH(G94,Tier!$A$16:$A$24,0)), INDEX(Tier!$B$16:$B$24,MATCH(H94,Tier!$A$16:$A$24,0)))), "")</f>
        <v>39.832049999999995</v>
      </c>
      <c r="G94" s="287">
        <f t="shared" si="9"/>
        <v>8</v>
      </c>
      <c r="H94" s="288"/>
      <c r="I94" s="392" t="str">
        <f>IFERROR(INDEX(ADP!R:R,MATCH(D94,ADP!D:D,0))-RBproj!K94,"")</f>
        <v/>
      </c>
      <c r="J94" s="127"/>
      <c r="K94" s="89">
        <v>88</v>
      </c>
      <c r="L94" t="s">
        <v>338</v>
      </c>
      <c r="M94">
        <f t="shared" si="6"/>
        <v>0</v>
      </c>
      <c r="N94" s="4">
        <f>IFERROR(INDEX(ADP!AC:AC,MATCH(D94,ADP!Y:Y,0)),0)</f>
        <v>0</v>
      </c>
      <c r="O94" t="s">
        <v>3</v>
      </c>
      <c r="R94" t="str">
        <f>IFERROR(VLOOKUP(S94,FFARawStatProjections!AT:AV,2,FALSE),"")</f>
        <v>CAR</v>
      </c>
      <c r="S94" s="4" t="str">
        <f>INDEX(FFARawStatProjections!AT:AT,MATCH(T94,FFARawStatProjections!AV:AV,0))</f>
        <v>Raheem Blackshear</v>
      </c>
      <c r="T94" s="428">
        <f>LARGE(FFARawStatProjections!AV:AV,RBproj!K94)</f>
        <v>39.832049999999995</v>
      </c>
      <c r="U94" s="249">
        <f t="shared" si="7"/>
        <v>-152.53934666666669</v>
      </c>
      <c r="V94" s="243">
        <f t="shared" si="5"/>
        <v>23268.252281493518</v>
      </c>
      <c r="W94" s="244"/>
      <c r="X94" s="243">
        <f t="shared" si="8"/>
        <v>-9.533709166666668</v>
      </c>
      <c r="Y94" s="238">
        <f>IFERROR(IF(ISBLANK(Beersheet!$A$1)=FALSE,
INDEX(Beersheet!$A:$U,MATCH(S94,INDEX(Beersheet!$A:$U,0,FFARawStatProjections!$BV$2),0),FFARawStatProjections!$BV$6),
IF(X94&gt;6,0,
IF(AND(X94&lt;=6,X94&gt;5),1,
IF(AND(X94&lt;=5,X94&gt;4),2,
IF(AND(X94&lt;=4,X94&gt;3),3,
IF(AND(X94&lt;=3,X94&gt;2),4,
IF(AND(X94&lt;=2,X94&gt;1),5,
IF(AND(X94&lt;=1,X94&gt;0),6,
IF(AND(X94&lt;=0,X94&gt;-1),7,
8))))))))),
10)</f>
        <v>8</v>
      </c>
    </row>
    <row r="95" spans="1:25" ht="15" customHeight="1" x14ac:dyDescent="0.25">
      <c r="A95" s="135"/>
      <c r="B95" s="142" t="s">
        <v>339</v>
      </c>
      <c r="C95" t="str">
        <f>IF(AND(IFERROR(INDEX(Instructions!$T$111:$T$222,MATCH(D95,Instructions!$T$111:$T$222,0)), "")=D95, D95&lt;&gt;""), "X", "")</f>
        <v/>
      </c>
      <c r="D95" s="138" t="s">
        <v>2463</v>
      </c>
      <c r="E95" s="289" t="s">
        <v>155</v>
      </c>
      <c r="F95" s="434">
        <f>IFERROR(IF(AND($F$5="Projected Points",Beersheet!A90&lt;&gt;"QB"), T95, IF(H95="", INDEX(Tier!$B$16:$B$24,MATCH(G95,Tier!$A$16:$A$24,0)), INDEX(Tier!$B$16:$B$24,MATCH(H95,Tier!$A$16:$A$24,0)))), "")</f>
        <v>38.782020000000003</v>
      </c>
      <c r="G95" s="290">
        <f t="shared" si="9"/>
        <v>8</v>
      </c>
      <c r="H95" s="291"/>
      <c r="I95" s="392" t="str">
        <f>IFERROR(INDEX(ADP!R:R,MATCH(D95,ADP!D:D,0))-RBproj!K95,"")</f>
        <v/>
      </c>
      <c r="J95" s="127"/>
      <c r="K95" s="89">
        <v>89</v>
      </c>
      <c r="L95" t="s">
        <v>339</v>
      </c>
      <c r="M95">
        <f t="shared" si="6"/>
        <v>0</v>
      </c>
      <c r="N95" s="4">
        <f>IFERROR(INDEX(ADP!AC:AC,MATCH(D95,ADP!Y:Y,0)),0)</f>
        <v>0</v>
      </c>
      <c r="O95" t="s">
        <v>3</v>
      </c>
      <c r="R95" t="str">
        <f>IFERROR(VLOOKUP(S95,FFARawStatProjections!AT:AV,2,FALSE),"")</f>
        <v>CIN</v>
      </c>
      <c r="S95" s="4" t="str">
        <f>INDEX(FFARawStatProjections!AT:AT,MATCH(T95,FFARawStatProjections!AV:AV,0))</f>
        <v>Trayveon Williams</v>
      </c>
      <c r="T95" s="428">
        <f>LARGE(FFARawStatProjections!AV:AV,RBproj!K95)</f>
        <v>38.782020000000003</v>
      </c>
      <c r="U95" s="249">
        <f t="shared" si="7"/>
        <v>-153.58937666666668</v>
      </c>
      <c r="V95" s="243">
        <f t="shared" si="5"/>
        <v>23589.696624855216</v>
      </c>
      <c r="W95" s="244"/>
      <c r="X95" s="243">
        <f t="shared" si="8"/>
        <v>-9.5993360416666675</v>
      </c>
      <c r="Y95" s="238">
        <f>IFERROR(IF(ISBLANK(Beersheet!$A$1)=FALSE,
INDEX(Beersheet!$A:$U,MATCH(S95,INDEX(Beersheet!$A:$U,0,FFARawStatProjections!$BV$2),0),FFARawStatProjections!$BV$6),
IF(X95&gt;6,0,
IF(AND(X95&lt;=6,X95&gt;5),1,
IF(AND(X95&lt;=5,X95&gt;4),2,
IF(AND(X95&lt;=4,X95&gt;3),3,
IF(AND(X95&lt;=3,X95&gt;2),4,
IF(AND(X95&lt;=2,X95&gt;1),5,
IF(AND(X95&lt;=1,X95&gt;0),6,
IF(AND(X95&lt;=0,X95&gt;-1),7,
8))))))))),
10)</f>
        <v>8</v>
      </c>
    </row>
    <row r="96" spans="1:25" ht="15" customHeight="1" x14ac:dyDescent="0.25">
      <c r="A96" s="135"/>
      <c r="B96" s="143" t="s">
        <v>340</v>
      </c>
      <c r="C96" t="str">
        <f>IF(AND(IFERROR(INDEX(Instructions!$T$111:$T$222,MATCH(D96,Instructions!$T$111:$T$222,0)), "")=D96, D96&lt;&gt;""), "X", "")</f>
        <v/>
      </c>
      <c r="D96" s="137" t="s">
        <v>2423</v>
      </c>
      <c r="E96" s="286" t="s">
        <v>159</v>
      </c>
      <c r="F96" s="232">
        <f>IFERROR(IF(AND($F$5="Projected Points",Beersheet!A91&lt;&gt;"QB"), T96, IF(H96="", INDEX(Tier!$B$16:$B$24,MATCH(G96,Tier!$A$16:$A$24,0)), INDEX(Tier!$B$16:$B$24,MATCH(H96,Tier!$A$16:$A$24,0)))), "")</f>
        <v>37.142040000000001</v>
      </c>
      <c r="G96" s="287">
        <f t="shared" si="9"/>
        <v>8</v>
      </c>
      <c r="H96" s="288"/>
      <c r="I96" s="392" t="str">
        <f>IFERROR(INDEX(ADP!R:R,MATCH(D96,ADP!D:D,0))-RBproj!K96,"")</f>
        <v/>
      </c>
      <c r="J96" s="127"/>
      <c r="K96" s="89">
        <v>90</v>
      </c>
      <c r="L96" t="s">
        <v>340</v>
      </c>
      <c r="M96">
        <f t="shared" si="6"/>
        <v>0</v>
      </c>
      <c r="N96" s="4">
        <f>IFERROR(INDEX(ADP!AC:AC,MATCH(D96,ADP!Y:Y,0)),0)</f>
        <v>0</v>
      </c>
      <c r="O96" t="s">
        <v>3</v>
      </c>
      <c r="R96" t="str">
        <f>IFERROR(VLOOKUP(S96,FFARawStatProjections!AT:AV,2,FALSE),"")</f>
        <v>WAS</v>
      </c>
      <c r="S96" s="4" t="str">
        <f>INDEX(FFARawStatProjections!AT:AT,MATCH(T96,FFARawStatProjections!AV:AV,0))</f>
        <v>Chris Rodriguez</v>
      </c>
      <c r="T96" s="428">
        <f>LARGE(FFARawStatProjections!AV:AV,RBproj!K96)</f>
        <v>37.142040000000001</v>
      </c>
      <c r="U96" s="249">
        <f t="shared" si="7"/>
        <v>-155.22935666666666</v>
      </c>
      <c r="V96" s="243">
        <f t="shared" si="5"/>
        <v>24096.153171147209</v>
      </c>
      <c r="W96" s="244"/>
      <c r="X96" s="243">
        <f t="shared" si="8"/>
        <v>-9.7018347916666663</v>
      </c>
      <c r="Y96" s="238">
        <f>IFERROR(IF(ISBLANK(Beersheet!$A$1)=FALSE,
INDEX(Beersheet!$A:$U,MATCH(S96,INDEX(Beersheet!$A:$U,0,FFARawStatProjections!$BV$2),0),FFARawStatProjections!$BV$6),
IF(X96&gt;6,0,
IF(AND(X96&lt;=6,X96&gt;5),1,
IF(AND(X96&lt;=5,X96&gt;4),2,
IF(AND(X96&lt;=4,X96&gt;3),3,
IF(AND(X96&lt;=3,X96&gt;2),4,
IF(AND(X96&lt;=2,X96&gt;1),5,
IF(AND(X96&lt;=1,X96&gt;0),6,
IF(AND(X96&lt;=0,X96&gt;-1),7,
8))))))))),
10)</f>
        <v>8</v>
      </c>
    </row>
    <row r="97" spans="1:25" ht="15" customHeight="1" x14ac:dyDescent="0.25">
      <c r="A97" s="135"/>
      <c r="B97" s="142" t="s">
        <v>341</v>
      </c>
      <c r="C97" t="str">
        <f>IF(AND(IFERROR(INDEX(Instructions!$T$111:$T$222,MATCH(D97,Instructions!$T$111:$T$222,0)), "")=D97, D97&lt;&gt;""), "X", "")</f>
        <v/>
      </c>
      <c r="D97" s="138" t="s">
        <v>2310</v>
      </c>
      <c r="E97" s="289" t="s">
        <v>157</v>
      </c>
      <c r="F97" s="434">
        <f>IFERROR(IF(AND($F$5="Projected Points",Beersheet!A92&lt;&gt;"QB"), T97, IF(H97="", INDEX(Tier!$B$16:$B$24,MATCH(G97,Tier!$A$16:$A$24,0)), INDEX(Tier!$B$16:$B$24,MATCH(H97,Tier!$A$16:$A$24,0)))), "")</f>
        <v>36.141970000000001</v>
      </c>
      <c r="G97" s="290">
        <f t="shared" si="9"/>
        <v>8</v>
      </c>
      <c r="H97" s="291"/>
      <c r="I97" s="392" t="str">
        <f>IFERROR(INDEX(ADP!R:R,MATCH(D97,ADP!D:D,0))-RBproj!K97,"")</f>
        <v/>
      </c>
      <c r="J97" s="127"/>
      <c r="K97" s="89">
        <v>91</v>
      </c>
      <c r="L97" t="s">
        <v>341</v>
      </c>
      <c r="M97">
        <f t="shared" si="6"/>
        <v>0</v>
      </c>
      <c r="N97" s="4">
        <f>IFERROR(INDEX(ADP!AC:AC,MATCH(D97,ADP!Y:Y,0)),0)</f>
        <v>0</v>
      </c>
      <c r="O97" t="s">
        <v>3</v>
      </c>
      <c r="R97" t="str">
        <f>IFERROR(VLOOKUP(S97,FFARawStatProjections!AT:AV,2,FALSE),"")</f>
        <v>SF</v>
      </c>
      <c r="S97" s="4" t="str">
        <f>INDEX(FFARawStatProjections!AT:AT,MATCH(T97,FFARawStatProjections!AV:AV,0))</f>
        <v>Jordan Mason</v>
      </c>
      <c r="T97" s="428">
        <f>LARGE(FFARawStatProjections!AV:AV,RBproj!K97)</f>
        <v>36.141970000000001</v>
      </c>
      <c r="U97" s="249">
        <f t="shared" si="7"/>
        <v>-156.22942666666665</v>
      </c>
      <c r="V97" s="243">
        <f t="shared" si="5"/>
        <v>24407.633756595373</v>
      </c>
      <c r="W97" s="244"/>
      <c r="X97" s="243">
        <f t="shared" si="8"/>
        <v>-9.7643391666666659</v>
      </c>
      <c r="Y97" s="238">
        <f>IFERROR(IF(ISBLANK(Beersheet!$A$1)=FALSE,
INDEX(Beersheet!$A:$U,MATCH(S97,INDEX(Beersheet!$A:$U,0,FFARawStatProjections!$BV$2),0),FFARawStatProjections!$BV$6),
IF(X97&gt;6,0,
IF(AND(X97&lt;=6,X97&gt;5),1,
IF(AND(X97&lt;=5,X97&gt;4),2,
IF(AND(X97&lt;=4,X97&gt;3),3,
IF(AND(X97&lt;=3,X97&gt;2),4,
IF(AND(X97&lt;=2,X97&gt;1),5,
IF(AND(X97&lt;=1,X97&gt;0),6,
IF(AND(X97&lt;=0,X97&gt;-1),7,
8))))))))),
10)</f>
        <v>8</v>
      </c>
    </row>
    <row r="98" spans="1:25" ht="15" customHeight="1" x14ac:dyDescent="0.25">
      <c r="A98" s="135"/>
      <c r="B98" s="143" t="s">
        <v>342</v>
      </c>
      <c r="C98" t="str">
        <f>IF(AND(IFERROR(INDEX(Instructions!$T$111:$T$222,MATCH(D98,Instructions!$T$111:$T$222,0)), "")=D98, D98&lt;&gt;""), "X", "")</f>
        <v/>
      </c>
      <c r="D98" s="137" t="s">
        <v>2509</v>
      </c>
      <c r="E98" s="286" t="s">
        <v>152</v>
      </c>
      <c r="F98" s="232">
        <f>IFERROR(IF(AND($F$5="Projected Points",Beersheet!A93&lt;&gt;"QB"), T98, IF(H98="", INDEX(Tier!$B$16:$B$24,MATCH(G98,Tier!$A$16:$A$24,0)), INDEX(Tier!$B$16:$B$24,MATCH(H98,Tier!$A$16:$A$24,0)))), "")</f>
        <v>35.772130000000004</v>
      </c>
      <c r="G98" s="287">
        <f t="shared" si="9"/>
        <v>8</v>
      </c>
      <c r="H98" s="288"/>
      <c r="I98" s="392" t="str">
        <f>IFERROR(INDEX(ADP!R:R,MATCH(D98,ADP!D:D,0))-RBproj!K98,"")</f>
        <v/>
      </c>
      <c r="J98" s="127"/>
      <c r="K98" s="89">
        <v>92</v>
      </c>
      <c r="L98" t="s">
        <v>342</v>
      </c>
      <c r="M98">
        <f t="shared" si="6"/>
        <v>0</v>
      </c>
      <c r="N98" s="4">
        <f>IFERROR(INDEX(ADP!AC:AC,MATCH(D98,ADP!Y:Y,0)),0)</f>
        <v>0</v>
      </c>
      <c r="O98" t="s">
        <v>3</v>
      </c>
      <c r="R98" t="str">
        <f>IFERROR(VLOOKUP(S98,FFARawStatProjections!AT:AV,2,FALSE),"")</f>
        <v>CIN</v>
      </c>
      <c r="S98" s="4" t="str">
        <f>INDEX(FFARawStatProjections!AT:AT,MATCH(T98,FFARawStatProjections!AV:AV,0))</f>
        <v>Chris Evans</v>
      </c>
      <c r="T98" s="428">
        <f>LARGE(FFARawStatProjections!AV:AV,RBproj!K98)</f>
        <v>35.772130000000004</v>
      </c>
      <c r="U98" s="249">
        <f t="shared" si="7"/>
        <v>-156.59926666666667</v>
      </c>
      <c r="V98" s="243">
        <f t="shared" si="5"/>
        <v>24523.330320537778</v>
      </c>
      <c r="W98" s="244"/>
      <c r="X98" s="243">
        <f t="shared" si="8"/>
        <v>-9.7874541666666666</v>
      </c>
      <c r="Y98" s="238">
        <f>IFERROR(IF(ISBLANK(Beersheet!$A$1)=FALSE,
INDEX(Beersheet!$A:$U,MATCH(S98,INDEX(Beersheet!$A:$U,0,FFARawStatProjections!$BV$2),0),FFARawStatProjections!$BV$6),
IF(X98&gt;6,0,
IF(AND(X98&lt;=6,X98&gt;5),1,
IF(AND(X98&lt;=5,X98&gt;4),2,
IF(AND(X98&lt;=4,X98&gt;3),3,
IF(AND(X98&lt;=3,X98&gt;2),4,
IF(AND(X98&lt;=2,X98&gt;1),5,
IF(AND(X98&lt;=1,X98&gt;0),6,
IF(AND(X98&lt;=0,X98&gt;-1),7,
8))))))))),
10)</f>
        <v>8</v>
      </c>
    </row>
    <row r="99" spans="1:25" ht="15" customHeight="1" x14ac:dyDescent="0.25">
      <c r="A99" s="135"/>
      <c r="B99" s="142" t="s">
        <v>343</v>
      </c>
      <c r="C99" t="str">
        <f>IF(AND(IFERROR(INDEX(Instructions!$T$111:$T$222,MATCH(D99,Instructions!$T$111:$T$222,0)), "")=D99, D99&lt;&gt;""), "X", "")</f>
        <v/>
      </c>
      <c r="D99" s="138" t="s">
        <v>2414</v>
      </c>
      <c r="E99" s="289" t="s">
        <v>149</v>
      </c>
      <c r="F99" s="434">
        <f>IFERROR(IF(AND($F$5="Projected Points",Beersheet!A94&lt;&gt;"QB"), T99, IF(H99="", INDEX(Tier!$B$16:$B$24,MATCH(G99,Tier!$A$16:$A$24,0)), INDEX(Tier!$B$16:$B$24,MATCH(H99,Tier!$A$16:$A$24,0)))), "")</f>
        <v>35.742120000000007</v>
      </c>
      <c r="G99" s="290">
        <f t="shared" si="9"/>
        <v>8</v>
      </c>
      <c r="H99" s="291"/>
      <c r="I99" s="392" t="str">
        <f>IFERROR(INDEX(ADP!R:R,MATCH(D99,ADP!D:D,0))-RBproj!K99,"")</f>
        <v/>
      </c>
      <c r="J99" s="127"/>
      <c r="K99" s="89">
        <v>93</v>
      </c>
      <c r="L99" t="s">
        <v>343</v>
      </c>
      <c r="M99">
        <f t="shared" si="6"/>
        <v>0</v>
      </c>
      <c r="N99" s="4">
        <f>IFERROR(INDEX(ADP!AC:AC,MATCH(D99,ADP!Y:Y,0)),0)</f>
        <v>0</v>
      </c>
      <c r="O99" t="s">
        <v>3</v>
      </c>
      <c r="R99" t="str">
        <f>IFERROR(VLOOKUP(S99,FFARawStatProjections!AT:AV,2,FALSE),"")</f>
        <v>SEA</v>
      </c>
      <c r="S99" s="4" t="str">
        <f>INDEX(FFARawStatProjections!AT:AT,MATCH(T99,FFARawStatProjections!AV:AV,0))</f>
        <v>DeeJay Dallas</v>
      </c>
      <c r="T99" s="428">
        <f>LARGE(FFARawStatProjections!AV:AV,RBproj!K99)</f>
        <v>35.742120000000007</v>
      </c>
      <c r="U99" s="249">
        <f t="shared" si="7"/>
        <v>-156.62927666666667</v>
      </c>
      <c r="V99" s="243">
        <f t="shared" si="5"/>
        <v>24532.730309123213</v>
      </c>
      <c r="W99" s="244"/>
      <c r="X99" s="243">
        <f t="shared" si="8"/>
        <v>-9.7893297916666668</v>
      </c>
      <c r="Y99" s="238">
        <f>IFERROR(IF(ISBLANK(Beersheet!$A$1)=FALSE,
INDEX(Beersheet!$A:$U,MATCH(S99,INDEX(Beersheet!$A:$U,0,FFARawStatProjections!$BV$2),0),FFARawStatProjections!$BV$6),
IF(X99&gt;6,0,
IF(AND(X99&lt;=6,X99&gt;5),1,
IF(AND(X99&lt;=5,X99&gt;4),2,
IF(AND(X99&lt;=4,X99&gt;3),3,
IF(AND(X99&lt;=3,X99&gt;2),4,
IF(AND(X99&lt;=2,X99&gt;1),5,
IF(AND(X99&lt;=1,X99&gt;0),6,
IF(AND(X99&lt;=0,X99&gt;-1),7,
8))))))))),
10)</f>
        <v>8</v>
      </c>
    </row>
    <row r="100" spans="1:25" ht="15" customHeight="1" x14ac:dyDescent="0.25">
      <c r="A100" s="135"/>
      <c r="B100" s="143" t="s">
        <v>344</v>
      </c>
      <c r="C100" t="str">
        <f>IF(AND(IFERROR(INDEX(Instructions!$T$111:$T$222,MATCH(D100,Instructions!$T$111:$T$222,0)), "")=D100, D100&lt;&gt;""), "X", "")</f>
        <v/>
      </c>
      <c r="D100" s="137" t="s">
        <v>2103</v>
      </c>
      <c r="E100" s="286" t="s">
        <v>140</v>
      </c>
      <c r="F100" s="232">
        <f>IFERROR(IF(AND($F$5="Projected Points",Beersheet!A95&lt;&gt;"QB"), T100, IF(H100="", INDEX(Tier!$B$16:$B$24,MATCH(G100,Tier!$A$16:$A$24,0)), INDEX(Tier!$B$16:$B$24,MATCH(H100,Tier!$A$16:$A$24,0)))), "")</f>
        <v>35.692</v>
      </c>
      <c r="G100" s="287">
        <f t="shared" si="9"/>
        <v>8</v>
      </c>
      <c r="H100" s="288"/>
      <c r="I100" s="392" t="str">
        <f>IFERROR(INDEX(ADP!R:R,MATCH(D100,ADP!D:D,0))-RBproj!K100,"")</f>
        <v/>
      </c>
      <c r="J100" s="127"/>
      <c r="K100" s="89">
        <v>94</v>
      </c>
      <c r="L100" t="s">
        <v>344</v>
      </c>
      <c r="M100">
        <f t="shared" si="6"/>
        <v>0</v>
      </c>
      <c r="N100" s="4">
        <f>IFERROR(INDEX(ADP!AC:AC,MATCH(D100,ADP!Y:Y,0)),0)</f>
        <v>0</v>
      </c>
      <c r="O100" t="s">
        <v>3</v>
      </c>
      <c r="R100" t="str">
        <f>IFERROR(VLOOKUP(S100,FFARawStatProjections!AT:AV,2,FALSE),"")</f>
        <v>NE</v>
      </c>
      <c r="S100" s="4" t="str">
        <f>INDEX(FFARawStatProjections!AT:AT,MATCH(T100,FFARawStatProjections!AV:AV,0))</f>
        <v>Pierre Strong</v>
      </c>
      <c r="T100" s="428">
        <f>LARGE(FFARawStatProjections!AV:AV,RBproj!K100)</f>
        <v>35.692</v>
      </c>
      <c r="U100" s="249">
        <f t="shared" si="7"/>
        <v>-156.67939666666666</v>
      </c>
      <c r="V100" s="243">
        <f t="shared" si="5"/>
        <v>24548.433339830677</v>
      </c>
      <c r="W100" s="244"/>
      <c r="X100" s="243">
        <f t="shared" si="8"/>
        <v>-9.7924622916666664</v>
      </c>
      <c r="Y100" s="238">
        <f>IFERROR(IF(ISBLANK(Beersheet!$A$1)=FALSE,
INDEX(Beersheet!$A:$U,MATCH(S100,INDEX(Beersheet!$A:$U,0,FFARawStatProjections!$BV$2),0),FFARawStatProjections!$BV$6),
IF(X100&gt;6,0,
IF(AND(X100&lt;=6,X100&gt;5),1,
IF(AND(X100&lt;=5,X100&gt;4),2,
IF(AND(X100&lt;=4,X100&gt;3),3,
IF(AND(X100&lt;=3,X100&gt;2),4,
IF(AND(X100&lt;=2,X100&gt;1),5,
IF(AND(X100&lt;=1,X100&gt;0),6,
IF(AND(X100&lt;=0,X100&gt;-1),7,
8))))))))),
10)</f>
        <v>8</v>
      </c>
    </row>
    <row r="101" spans="1:25" ht="15" customHeight="1" x14ac:dyDescent="0.25">
      <c r="A101" s="135"/>
      <c r="B101" s="142" t="s">
        <v>345</v>
      </c>
      <c r="C101" t="str">
        <f>IF(AND(IFERROR(INDEX(Instructions!$T$111:$T$222,MATCH(D101,Instructions!$T$111:$T$222,0)), "")=D101, D101&lt;&gt;""), "X", "")</f>
        <v/>
      </c>
      <c r="D101" s="138" t="s">
        <v>2188</v>
      </c>
      <c r="E101" s="289" t="s">
        <v>145</v>
      </c>
      <c r="F101" s="434">
        <f>IFERROR(IF(AND($F$5="Projected Points",Beersheet!A96&lt;&gt;"QB"), T101, IF(H101="", INDEX(Tier!$B$16:$B$24,MATCH(G101,Tier!$A$16:$A$24,0)), INDEX(Tier!$B$16:$B$24,MATCH(H101,Tier!$A$16:$A$24,0)))), "")</f>
        <v>35.24221</v>
      </c>
      <c r="G101" s="290">
        <f t="shared" si="9"/>
        <v>8</v>
      </c>
      <c r="H101" s="291"/>
      <c r="I101" s="392" t="str">
        <f>IFERROR(INDEX(ADP!R:R,MATCH(D101,ADP!D:D,0))-RBproj!K101,"")</f>
        <v/>
      </c>
      <c r="J101" s="127"/>
      <c r="K101" s="89">
        <v>95</v>
      </c>
      <c r="L101" t="s">
        <v>345</v>
      </c>
      <c r="M101">
        <f t="shared" si="6"/>
        <v>0</v>
      </c>
      <c r="N101" s="4">
        <f>IFERROR(INDEX(ADP!AC:AC,MATCH(D101,ADP!Y:Y,0)),0)</f>
        <v>0</v>
      </c>
      <c r="O101" t="s">
        <v>3</v>
      </c>
      <c r="R101" t="str">
        <f>IFERROR(VLOOKUP(S101,FFARawStatProjections!AT:AV,2,FALSE),"")</f>
        <v>NE</v>
      </c>
      <c r="S101" s="4" t="str">
        <f>INDEX(FFARawStatProjections!AT:AT,MATCH(T101,FFARawStatProjections!AV:AV,0))</f>
        <v>Ty Montgomery</v>
      </c>
      <c r="T101" s="428">
        <f>LARGE(FFARawStatProjections!AV:AV,RBproj!K101)</f>
        <v>35.24221</v>
      </c>
      <c r="U101" s="249">
        <f t="shared" si="7"/>
        <v>-157.12918666666667</v>
      </c>
      <c r="V101" s="243">
        <f t="shared" si="5"/>
        <v>24689.581302528179</v>
      </c>
      <c r="W101" s="244"/>
      <c r="X101" s="243">
        <f t="shared" si="8"/>
        <v>-9.8205741666666668</v>
      </c>
      <c r="Y101" s="238">
        <f>IFERROR(IF(ISBLANK(Beersheet!$A$1)=FALSE,
INDEX(Beersheet!$A:$U,MATCH(S101,INDEX(Beersheet!$A:$U,0,FFARawStatProjections!$BV$2),0),FFARawStatProjections!$BV$6),
IF(X101&gt;6,0,
IF(AND(X101&lt;=6,X101&gt;5),1,
IF(AND(X101&lt;=5,X101&gt;4),2,
IF(AND(X101&lt;=4,X101&gt;3),3,
IF(AND(X101&lt;=3,X101&gt;2),4,
IF(AND(X101&lt;=2,X101&gt;1),5,
IF(AND(X101&lt;=1,X101&gt;0),6,
IF(AND(X101&lt;=0,X101&gt;-1),7,
8))))))))),
10)</f>
        <v>8</v>
      </c>
    </row>
    <row r="102" spans="1:25" ht="15" customHeight="1" x14ac:dyDescent="0.25">
      <c r="A102" s="135"/>
      <c r="B102" s="143" t="s">
        <v>346</v>
      </c>
      <c r="C102" t="str">
        <f>IF(AND(IFERROR(INDEX(Instructions!$T$111:$T$222,MATCH(D102,Instructions!$T$111:$T$222,0)), "")=D102, D102&lt;&gt;""), "X", "")</f>
        <v/>
      </c>
      <c r="D102" s="137" t="s">
        <v>2185</v>
      </c>
      <c r="E102" s="286" t="s">
        <v>138</v>
      </c>
      <c r="F102" s="232">
        <f>IFERROR(IF(AND($F$5="Projected Points",Beersheet!A97&lt;&gt;"QB"), T102, IF(H102="", INDEX(Tier!$B$16:$B$24,MATCH(G102,Tier!$A$16:$A$24,0)), INDEX(Tier!$B$16:$B$24,MATCH(H102,Tier!$A$16:$A$24,0)))), "")</f>
        <v>34.302079999999997</v>
      </c>
      <c r="G102" s="287">
        <f t="shared" si="9"/>
        <v>8</v>
      </c>
      <c r="H102" s="288"/>
      <c r="I102" s="392" t="str">
        <f>IFERROR(INDEX(ADP!R:R,MATCH(D102,ADP!D:D,0))-RBproj!K102,"")</f>
        <v/>
      </c>
      <c r="J102" s="127"/>
      <c r="K102" s="89">
        <v>96</v>
      </c>
      <c r="L102" t="s">
        <v>346</v>
      </c>
      <c r="M102">
        <f t="shared" si="6"/>
        <v>0</v>
      </c>
      <c r="N102" s="4">
        <f>IFERROR(INDEX(ADP!AC:AC,MATCH(D102,ADP!Y:Y,0)),0)</f>
        <v>0</v>
      </c>
      <c r="O102" t="s">
        <v>3</v>
      </c>
      <c r="R102" t="str">
        <f>IFERROR(VLOOKUP(S102,FFARawStatProjections!AT:AV,2,FALSE),"")</f>
        <v>TB</v>
      </c>
      <c r="S102" s="4" t="str">
        <f>INDEX(FFARawStatProjections!AT:AT,MATCH(T102,FFARawStatProjections!AV:AV,0))</f>
        <v>Sean Tucker</v>
      </c>
      <c r="T102" s="428">
        <f>LARGE(FFARawStatProjections!AV:AV,RBproj!K102)</f>
        <v>34.302079999999997</v>
      </c>
      <c r="U102" s="249">
        <f t="shared" si="7"/>
        <v>-158.06931666666668</v>
      </c>
      <c r="V102" s="243">
        <f t="shared" si="5"/>
        <v>24985.908871466949</v>
      </c>
      <c r="W102" s="244"/>
      <c r="X102" s="243">
        <f t="shared" si="8"/>
        <v>-9.8793322916666675</v>
      </c>
      <c r="Y102" s="238">
        <f>IFERROR(IF(ISBLANK(Beersheet!$A$1)=FALSE,
INDEX(Beersheet!$A:$U,MATCH(S102,INDEX(Beersheet!$A:$U,0,FFARawStatProjections!$BV$2),0),FFARawStatProjections!$BV$6),
IF(X102&gt;6,0,
IF(AND(X102&lt;=6,X102&gt;5),1,
IF(AND(X102&lt;=5,X102&gt;4),2,
IF(AND(X102&lt;=4,X102&gt;3),3,
IF(AND(X102&lt;=3,X102&gt;2),4,
IF(AND(X102&lt;=2,X102&gt;1),5,
IF(AND(X102&lt;=1,X102&gt;0),6,
IF(AND(X102&lt;=0,X102&gt;-1),7,
8))))))))),
10)</f>
        <v>8</v>
      </c>
    </row>
    <row r="103" spans="1:25" ht="15" customHeight="1" x14ac:dyDescent="0.25">
      <c r="A103" s="135"/>
      <c r="B103" s="142" t="s">
        <v>347</v>
      </c>
      <c r="C103" t="str">
        <f>IF(AND(IFERROR(INDEX(Instructions!$T$111:$T$222,MATCH(D103,Instructions!$T$111:$T$222,0)), "")=D103, D103&lt;&gt;""), "X", "")</f>
        <v/>
      </c>
      <c r="D103" s="138" t="s">
        <v>2184</v>
      </c>
      <c r="E103" s="289" t="s">
        <v>146</v>
      </c>
      <c r="F103" s="434">
        <f>IFERROR(IF(AND($F$5="Projected Points",Beersheet!A98&lt;&gt;"QB"), T103, IF(H103="", INDEX(Tier!$B$16:$B$24,MATCH(G103,Tier!$A$16:$A$24,0)), INDEX(Tier!$B$16:$B$24,MATCH(H103,Tier!$A$16:$A$24,0)))), "")</f>
        <v>34.292090000000002</v>
      </c>
      <c r="G103" s="290">
        <f t="shared" si="9"/>
        <v>8</v>
      </c>
      <c r="H103" s="291"/>
      <c r="I103" s="392" t="str">
        <f>IFERROR(INDEX(ADP!R:R,MATCH(D103,ADP!D:D,0))-RBproj!K103,"")</f>
        <v/>
      </c>
      <c r="J103" s="127"/>
      <c r="K103" s="89">
        <v>97</v>
      </c>
      <c r="L103" t="s">
        <v>347</v>
      </c>
      <c r="M103">
        <f t="shared" si="6"/>
        <v>0</v>
      </c>
      <c r="N103" s="4">
        <f>IFERROR(INDEX(ADP!AC:AC,MATCH(D103,ADP!Y:Y,0)),0)</f>
        <v>0</v>
      </c>
      <c r="O103" t="s">
        <v>3</v>
      </c>
      <c r="R103" t="str">
        <f>IFERROR(VLOOKUP(S103,FFARawStatProjections!AT:AV,2,FALSE),"")</f>
        <v>MIN</v>
      </c>
      <c r="S103" s="4" t="str">
        <f>INDEX(FFARawStatProjections!AT:AT,MATCH(T103,FFARawStatProjections!AV:AV,0))</f>
        <v>Kene Nwangwu</v>
      </c>
      <c r="T103" s="428">
        <f>LARGE(FFARawStatProjections!AV:AV,RBproj!K103)</f>
        <v>34.292090000000002</v>
      </c>
      <c r="U103" s="249">
        <f t="shared" si="7"/>
        <v>-158.07930666666667</v>
      </c>
      <c r="V103" s="243">
        <f t="shared" si="5"/>
        <v>24989.067196214044</v>
      </c>
      <c r="W103" s="244"/>
      <c r="X103" s="243">
        <f t="shared" si="8"/>
        <v>-9.8799566666666667</v>
      </c>
      <c r="Y103" s="238">
        <f>IFERROR(IF(ISBLANK(Beersheet!$A$1)=FALSE,
INDEX(Beersheet!$A:$U,MATCH(S103,INDEX(Beersheet!$A:$U,0,FFARawStatProjections!$BV$2),0),FFARawStatProjections!$BV$6),
IF(X103&gt;6,0,
IF(AND(X103&lt;=6,X103&gt;5),1,
IF(AND(X103&lt;=5,X103&gt;4),2,
IF(AND(X103&lt;=4,X103&gt;3),3,
IF(AND(X103&lt;=3,X103&gt;2),4,
IF(AND(X103&lt;=2,X103&gt;1),5,
IF(AND(X103&lt;=1,X103&gt;0),6,
IF(AND(X103&lt;=0,X103&gt;-1),7,
8))))))))),
10)</f>
        <v>8</v>
      </c>
    </row>
    <row r="104" spans="1:25" ht="15" customHeight="1" x14ac:dyDescent="0.25">
      <c r="A104" s="135"/>
      <c r="B104" s="143" t="s">
        <v>348</v>
      </c>
      <c r="C104" t="str">
        <f>IF(AND(IFERROR(INDEX(Instructions!$T$111:$T$222,MATCH(D104,Instructions!$T$111:$T$222,0)), "")=D104, D104&lt;&gt;""), "X", "")</f>
        <v/>
      </c>
      <c r="D104" s="137" t="s">
        <v>2487</v>
      </c>
      <c r="E104" s="286" t="s">
        <v>158</v>
      </c>
      <c r="F104" s="232">
        <f>IFERROR(IF(AND($F$5="Projected Points",Beersheet!A99&lt;&gt;"QB"), T104, IF(H104="", INDEX(Tier!$B$16:$B$24,MATCH(G104,Tier!$A$16:$A$24,0)), INDEX(Tier!$B$16:$B$24,MATCH(H104,Tier!$A$16:$A$24,0)))), "")</f>
        <v>33.75206</v>
      </c>
      <c r="G104" s="287">
        <f t="shared" si="9"/>
        <v>8</v>
      </c>
      <c r="H104" s="288"/>
      <c r="I104" s="392" t="str">
        <f>IFERROR(INDEX(ADP!R:R,MATCH(D104,ADP!D:D,0))-RBproj!K104,"")</f>
        <v/>
      </c>
      <c r="J104" s="127"/>
      <c r="K104" s="89">
        <v>98</v>
      </c>
      <c r="L104" t="s">
        <v>348</v>
      </c>
      <c r="M104">
        <f t="shared" si="6"/>
        <v>0</v>
      </c>
      <c r="N104" s="4">
        <f>IFERROR(INDEX(ADP!AC:AC,MATCH(D104,ADP!Y:Y,0)),0)</f>
        <v>0</v>
      </c>
      <c r="O104" t="s">
        <v>3</v>
      </c>
      <c r="R104" t="str">
        <f>IFERROR(VLOOKUP(S104,FFARawStatProjections!AT:AV,2,FALSE),"")</f>
        <v>DAL</v>
      </c>
      <c r="S104" s="4" t="str">
        <f>INDEX(FFARawStatProjections!AT:AT,MATCH(T104,FFARawStatProjections!AV:AV,0))</f>
        <v>Rico Dowdle</v>
      </c>
      <c r="T104" s="428">
        <f>LARGE(FFARawStatProjections!AV:AV,RBproj!K104)</f>
        <v>33.75206</v>
      </c>
      <c r="U104" s="249">
        <f t="shared" si="7"/>
        <v>-158.61933666666667</v>
      </c>
      <c r="V104" s="243">
        <f t="shared" si="5"/>
        <v>25160.093964573345</v>
      </c>
      <c r="W104" s="244"/>
      <c r="X104" s="243">
        <f t="shared" si="8"/>
        <v>-9.9137085416666668</v>
      </c>
      <c r="Y104" s="238">
        <f>IFERROR(IF(ISBLANK(Beersheet!$A$1)=FALSE,
INDEX(Beersheet!$A:$U,MATCH(S104,INDEX(Beersheet!$A:$U,0,FFARawStatProjections!$BV$2),0),FFARawStatProjections!$BV$6),
IF(X104&gt;6,0,
IF(AND(X104&lt;=6,X104&gt;5),1,
IF(AND(X104&lt;=5,X104&gt;4),2,
IF(AND(X104&lt;=4,X104&gt;3),3,
IF(AND(X104&lt;=3,X104&gt;2),4,
IF(AND(X104&lt;=2,X104&gt;1),5,
IF(AND(X104&lt;=1,X104&gt;0),6,
IF(AND(X104&lt;=0,X104&gt;-1),7,
8))))))))),
10)</f>
        <v>8</v>
      </c>
    </row>
    <row r="105" spans="1:25" ht="15" customHeight="1" x14ac:dyDescent="0.25">
      <c r="A105" s="135"/>
      <c r="B105" s="142" t="s">
        <v>349</v>
      </c>
      <c r="C105" t="str">
        <f>IF(AND(IFERROR(INDEX(Instructions!$T$111:$T$222,MATCH(D105,Instructions!$T$111:$T$222,0)), "")=D105, D105&lt;&gt;""), "X", "")</f>
        <v/>
      </c>
      <c r="D105" s="138" t="s">
        <v>2299</v>
      </c>
      <c r="E105" s="289" t="s">
        <v>142</v>
      </c>
      <c r="F105" s="434">
        <f>IFERROR(IF(AND($F$5="Projected Points",Beersheet!A100&lt;&gt;"QB"), T105, IF(H105="", INDEX(Tier!$B$16:$B$24,MATCH(G105,Tier!$A$16:$A$24,0)), INDEX(Tier!$B$16:$B$24,MATCH(H105,Tier!$A$16:$A$24,0)))), "")</f>
        <v>33.302149999999997</v>
      </c>
      <c r="G105" s="290">
        <f t="shared" si="9"/>
        <v>8</v>
      </c>
      <c r="H105" s="291"/>
      <c r="I105" s="392" t="str">
        <f>IFERROR(INDEX(ADP!R:R,MATCH(D105,ADP!D:D,0))-RBproj!K105,"")</f>
        <v/>
      </c>
      <c r="J105" s="127"/>
      <c r="K105" s="89">
        <v>99</v>
      </c>
      <c r="L105" t="s">
        <v>349</v>
      </c>
      <c r="M105">
        <f t="shared" si="6"/>
        <v>0</v>
      </c>
      <c r="N105" s="4">
        <f>IFERROR(INDEX(ADP!AC:AC,MATCH(D105,ADP!Y:Y,0)),0)</f>
        <v>0</v>
      </c>
      <c r="O105" t="s">
        <v>3</v>
      </c>
      <c r="R105" t="str">
        <f>IFERROR(VLOOKUP(S105,FFARawStatProjections!AT:AV,2,FALSE),"")</f>
        <v>DET</v>
      </c>
      <c r="S105" s="4" t="str">
        <f>INDEX(FFARawStatProjections!AT:AT,MATCH(T105,FFARawStatProjections!AV:AV,0))</f>
        <v>Craig Reynolds</v>
      </c>
      <c r="T105" s="428">
        <f>LARGE(FFARawStatProjections!AV:AV,RBproj!K105)</f>
        <v>33.302149999999997</v>
      </c>
      <c r="U105" s="249">
        <f t="shared" si="7"/>
        <v>-159.06924666666669</v>
      </c>
      <c r="V105" s="243">
        <f t="shared" si="5"/>
        <v>25303.025235100849</v>
      </c>
      <c r="W105" s="244"/>
      <c r="X105" s="243">
        <f t="shared" si="8"/>
        <v>-9.9418279166666679</v>
      </c>
      <c r="Y105" s="238">
        <f>IFERROR(IF(ISBLANK(Beersheet!$A$1)=FALSE,
INDEX(Beersheet!$A:$U,MATCH(S105,INDEX(Beersheet!$A:$U,0,FFARawStatProjections!$BV$2),0),FFARawStatProjections!$BV$6),
IF(X105&gt;6,0,
IF(AND(X105&lt;=6,X105&gt;5),1,
IF(AND(X105&lt;=5,X105&gt;4),2,
IF(AND(X105&lt;=4,X105&gt;3),3,
IF(AND(X105&lt;=3,X105&gt;2),4,
IF(AND(X105&lt;=2,X105&gt;1),5,
IF(AND(X105&lt;=1,X105&gt;0),6,
IF(AND(X105&lt;=0,X105&gt;-1),7,
8))))))))),
10)</f>
        <v>8</v>
      </c>
    </row>
    <row r="106" spans="1:25" ht="15" customHeight="1" x14ac:dyDescent="0.25">
      <c r="A106" s="135"/>
      <c r="B106" s="143" t="s">
        <v>350</v>
      </c>
      <c r="C106" t="str">
        <f>IF(AND(IFERROR(INDEX(Instructions!$T$111:$T$222,MATCH(D106,Instructions!$T$111:$T$222,0)), "")=D106, D106&lt;&gt;""), "X", "")</f>
        <v/>
      </c>
      <c r="D106" s="137" t="s">
        <v>2443</v>
      </c>
      <c r="E106" s="286" t="s">
        <v>146</v>
      </c>
      <c r="F106" s="232">
        <f>IFERROR(IF(AND($F$5="Projected Points",Beersheet!A101&lt;&gt;"QB"), T106, IF(H106="", INDEX(Tier!$B$16:$B$24,MATCH(G106,Tier!$A$16:$A$24,0)), INDEX(Tier!$B$16:$B$24,MATCH(H106,Tier!$A$16:$A$24,0)))), "")</f>
        <v>32.892070000000004</v>
      </c>
      <c r="G106" s="287">
        <f t="shared" si="9"/>
        <v>8</v>
      </c>
      <c r="H106" s="288"/>
      <c r="I106" s="392" t="str">
        <f>IFERROR(INDEX(ADP!R:R,MATCH(D106,ADP!D:D,0))-RBproj!K106,"")</f>
        <v/>
      </c>
      <c r="J106" s="127"/>
      <c r="K106" s="89">
        <v>100</v>
      </c>
      <c r="L106" t="s">
        <v>350</v>
      </c>
      <c r="M106">
        <f t="shared" si="6"/>
        <v>0</v>
      </c>
      <c r="N106" s="4">
        <f>IFERROR(INDEX(ADP!AC:AC,MATCH(D106,ADP!Y:Y,0)),0)</f>
        <v>0</v>
      </c>
      <c r="O106" t="s">
        <v>3</v>
      </c>
      <c r="R106" t="str">
        <f>IFERROR(VLOOKUP(S106,FFARawStatProjections!AT:AV,2,FALSE),"")</f>
        <v>IND</v>
      </c>
      <c r="S106" s="4" t="str">
        <f>INDEX(FFARawStatProjections!AT:AT,MATCH(T106,FFARawStatProjections!AV:AV,0))</f>
        <v>Evan Hull</v>
      </c>
      <c r="T106" s="428">
        <f>LARGE(FFARawStatProjections!AV:AV,RBproj!K106)</f>
        <v>32.892070000000004</v>
      </c>
      <c r="U106" s="249">
        <f t="shared" si="7"/>
        <v>-159.47932666666668</v>
      </c>
      <c r="V106" s="243">
        <f t="shared" si="5"/>
        <v>25433.655634053383</v>
      </c>
      <c r="W106" s="244"/>
      <c r="X106" s="243">
        <f t="shared" si="8"/>
        <v>-9.9674579166666675</v>
      </c>
      <c r="Y106" s="238">
        <f>IFERROR(IF(ISBLANK(Beersheet!$A$1)=FALSE,
INDEX(Beersheet!$A:$U,MATCH(S106,INDEX(Beersheet!$A:$U,0,FFARawStatProjections!$BV$2),0),FFARawStatProjections!$BV$6),
IF(X106&gt;6,0,
IF(AND(X106&lt;=6,X106&gt;5),1,
IF(AND(X106&lt;=5,X106&gt;4),2,
IF(AND(X106&lt;=4,X106&gt;3),3,
IF(AND(X106&lt;=3,X106&gt;2),4,
IF(AND(X106&lt;=2,X106&gt;1),5,
IF(AND(X106&lt;=1,X106&gt;0),6,
IF(AND(X106&lt;=0,X106&gt;-1),7,
8))))))))),
10)</f>
        <v>8</v>
      </c>
    </row>
    <row r="107" spans="1:25" ht="15" customHeight="1" x14ac:dyDescent="0.25">
      <c r="A107" s="135"/>
      <c r="B107" s="142" t="s">
        <v>351</v>
      </c>
      <c r="C107" t="str">
        <f>IF(AND(IFERROR(INDEX(Instructions!$T$111:$T$222,MATCH(D107,Instructions!$T$111:$T$222,0)), "")=D107, D107&lt;&gt;""), "X", "")</f>
        <v/>
      </c>
      <c r="D107" s="138" t="s">
        <v>2493</v>
      </c>
      <c r="E107" s="289" t="s">
        <v>138</v>
      </c>
      <c r="F107" s="434">
        <f>IFERROR(IF(AND($F$5="Projected Points",Beersheet!A102&lt;&gt;"QB"), T107, IF(H107="", INDEX(Tier!$B$16:$B$24,MATCH(G107,Tier!$A$16:$A$24,0)), INDEX(Tier!$B$16:$B$24,MATCH(H107,Tier!$A$16:$A$24,0)))), "")</f>
        <v>32.832259999999998</v>
      </c>
      <c r="G107" s="290">
        <f t="shared" si="9"/>
        <v>8</v>
      </c>
      <c r="H107" s="291"/>
      <c r="I107" s="392" t="str">
        <f>IFERROR(INDEX(ADP!R:R,MATCH(D107,ADP!D:D,0))-RBproj!K107,"")</f>
        <v/>
      </c>
      <c r="J107" s="127"/>
      <c r="K107" s="89">
        <v>101</v>
      </c>
      <c r="L107" t="s">
        <v>351</v>
      </c>
      <c r="M107">
        <f t="shared" si="6"/>
        <v>0</v>
      </c>
      <c r="N107" s="4">
        <f>IFERROR(INDEX(ADP!AC:AC,MATCH(D107,ADP!Y:Y,0)),0)</f>
        <v>0</v>
      </c>
      <c r="O107" t="s">
        <v>3</v>
      </c>
      <c r="R107" t="str">
        <f>IFERROR(VLOOKUP(S107,FFARawStatProjections!AT:AV,2,FALSE),"")</f>
        <v>SF</v>
      </c>
      <c r="S107" s="4" t="str">
        <f>INDEX(FFARawStatProjections!AT:AT,MATCH(T107,FFARawStatProjections!AV:AV,0))</f>
        <v>Kyle Juszczyk</v>
      </c>
      <c r="T107" s="428">
        <f>LARGE(FFARawStatProjections!AV:AV,RBproj!K107)</f>
        <v>32.832259999999998</v>
      </c>
      <c r="U107" s="249">
        <f t="shared" si="7"/>
        <v>-159.53913666666668</v>
      </c>
      <c r="V107" s="243">
        <f t="shared" si="5"/>
        <v>25452.736128345347</v>
      </c>
      <c r="W107" s="243"/>
      <c r="X107" s="243">
        <f t="shared" si="8"/>
        <v>-9.9711960416666674</v>
      </c>
      <c r="Y107" s="238">
        <f>IFERROR(IF(ISBLANK(Beersheet!$A$1)=FALSE,
INDEX(Beersheet!$A:$U,MATCH(S107,INDEX(Beersheet!$A:$U,0,FFARawStatProjections!$BV$2),0),FFARawStatProjections!$BV$6),
IF(X107&gt;6,0,
IF(AND(X107&lt;=6,X107&gt;5),1,
IF(AND(X107&lt;=5,X107&gt;4),2,
IF(AND(X107&lt;=4,X107&gt;3),3,
IF(AND(X107&lt;=3,X107&gt;2),4,
IF(AND(X107&lt;=2,X107&gt;1),5,
IF(AND(X107&lt;=1,X107&gt;0),6,
IF(AND(X107&lt;=0,X107&gt;-1),7,
8))))))))),
10)</f>
        <v>8</v>
      </c>
    </row>
    <row r="108" spans="1:25" ht="15" customHeight="1" x14ac:dyDescent="0.25">
      <c r="A108" s="135"/>
      <c r="B108" s="143" t="s">
        <v>352</v>
      </c>
      <c r="C108" t="str">
        <f>IF(AND(IFERROR(INDEX(Instructions!$T$111:$T$222,MATCH(D108,Instructions!$T$111:$T$222,0)), "")=D108, D108&lt;&gt;""), "X", "")</f>
        <v/>
      </c>
      <c r="D108" s="137" t="s">
        <v>1114</v>
      </c>
      <c r="E108" s="286" t="s">
        <v>157</v>
      </c>
      <c r="F108" s="232">
        <f>IFERROR(IF(AND($F$5="Projected Points",Beersheet!A103&lt;&gt;"QB"), T108, IF(H108="", INDEX(Tier!$B$16:$B$24,MATCH(G108,Tier!$A$16:$A$24,0)), INDEX(Tier!$B$16:$B$24,MATCH(H108,Tier!$A$16:$A$24,0)))), "")</f>
        <v>31.302180000000003</v>
      </c>
      <c r="G108" s="287">
        <f t="shared" si="9"/>
        <v>8</v>
      </c>
      <c r="H108" s="288"/>
      <c r="I108" s="392" t="str">
        <f>IFERROR(INDEX(ADP!R:R,MATCH(D108,ADP!D:D,0))-RBproj!K108,"")</f>
        <v/>
      </c>
      <c r="J108" s="127"/>
      <c r="K108" s="89">
        <v>102</v>
      </c>
      <c r="L108" t="s">
        <v>352</v>
      </c>
      <c r="M108">
        <f t="shared" si="6"/>
        <v>0</v>
      </c>
      <c r="N108" s="4">
        <f>IFERROR(INDEX(ADP!AC:AC,MATCH(D108,ADP!Y:Y,0)),0)</f>
        <v>0</v>
      </c>
      <c r="O108" t="s">
        <v>3</v>
      </c>
      <c r="R108" t="str">
        <f>IFERROR(VLOOKUP(S108,FFARawStatProjections!AT:AV,2,FALSE),"")</f>
        <v>PIT</v>
      </c>
      <c r="S108" s="4" t="str">
        <f>INDEX(FFARawStatProjections!AT:AT,MATCH(T108,FFARawStatProjections!AV:AV,0))</f>
        <v>Anthony McFarland</v>
      </c>
      <c r="T108" s="428">
        <f>LARGE(FFARawStatProjections!AV:AV,RBproj!K108)</f>
        <v>31.302180000000003</v>
      </c>
      <c r="U108" s="249">
        <f t="shared" si="7"/>
        <v>-161.06921666666668</v>
      </c>
      <c r="V108" s="243">
        <f t="shared" si="5"/>
        <v>25943.292557613615</v>
      </c>
      <c r="W108" s="243"/>
      <c r="X108" s="243">
        <f t="shared" si="8"/>
        <v>-10.066826041666667</v>
      </c>
      <c r="Y108" s="238">
        <f>IFERROR(IF(ISBLANK(Beersheet!$A$1)=FALSE,
INDEX(Beersheet!$A:$U,MATCH(S108,INDEX(Beersheet!$A:$U,0,FFARawStatProjections!$BV$2),0),FFARawStatProjections!$BV$6),
IF(X108&gt;6,0,
IF(AND(X108&lt;=6,X108&gt;5),1,
IF(AND(X108&lt;=5,X108&gt;4),2,
IF(AND(X108&lt;=4,X108&gt;3),3,
IF(AND(X108&lt;=3,X108&gt;2),4,
IF(AND(X108&lt;=2,X108&gt;1),5,
IF(AND(X108&lt;=1,X108&gt;0),6,
IF(AND(X108&lt;=0,X108&gt;-1),7,
8))))))))),
10)</f>
        <v>8</v>
      </c>
    </row>
    <row r="109" spans="1:25" ht="15" customHeight="1" x14ac:dyDescent="0.25">
      <c r="A109" s="135"/>
      <c r="B109" s="142" t="s">
        <v>353</v>
      </c>
      <c r="C109" t="str">
        <f>IF(AND(IFERROR(INDEX(Instructions!$T$111:$T$222,MATCH(D109,Instructions!$T$111:$T$222,0)), "")=D109, D109&lt;&gt;""), "X", "")</f>
        <v/>
      </c>
      <c r="D109" s="138" t="s">
        <v>2089</v>
      </c>
      <c r="E109" s="289" t="s">
        <v>147</v>
      </c>
      <c r="F109" s="434">
        <f>IFERROR(IF(AND($F$5="Projected Points",Beersheet!A104&lt;&gt;"QB"), T109, IF(H109="", INDEX(Tier!$B$16:$B$24,MATCH(G109,Tier!$A$16:$A$24,0)), INDEX(Tier!$B$16:$B$24,MATCH(H109,Tier!$A$16:$A$24,0)))), "")</f>
        <v>30.442100000000003</v>
      </c>
      <c r="G109" s="290">
        <f t="shared" si="9"/>
        <v>8</v>
      </c>
      <c r="H109" s="291"/>
      <c r="I109" s="392" t="str">
        <f>IFERROR(INDEX(ADP!R:R,MATCH(D109,ADP!D:D,0))-RBproj!K109,"")</f>
        <v/>
      </c>
      <c r="J109" s="127"/>
      <c r="K109" s="89">
        <v>103</v>
      </c>
      <c r="L109" t="s">
        <v>353</v>
      </c>
      <c r="M109">
        <f t="shared" si="6"/>
        <v>0</v>
      </c>
      <c r="N109" s="4">
        <f>IFERROR(INDEX(ADP!AC:AC,MATCH(D109,ADP!Y:Y,0)),0)</f>
        <v>0</v>
      </c>
      <c r="O109" t="s">
        <v>3</v>
      </c>
      <c r="R109" t="str">
        <f>IFERROR(VLOOKUP(S109,FFARawStatProjections!AT:AV,2,FALSE),"")</f>
        <v>DAL</v>
      </c>
      <c r="S109" s="4" t="str">
        <f>INDEX(FFARawStatProjections!AT:AT,MATCH(T109,FFARawStatProjections!AV:AV,0))</f>
        <v>Malik Davis</v>
      </c>
      <c r="T109" s="428">
        <f>LARGE(FFARawStatProjections!AV:AV,RBproj!K109)</f>
        <v>30.442100000000003</v>
      </c>
      <c r="U109" s="249">
        <f t="shared" si="7"/>
        <v>-161.92929666666666</v>
      </c>
      <c r="V109" s="243">
        <f t="shared" si="5"/>
        <v>26221.097118961341</v>
      </c>
      <c r="W109" s="244"/>
      <c r="X109" s="243">
        <f t="shared" si="8"/>
        <v>-10.120581041666666</v>
      </c>
      <c r="Y109" s="238">
        <f>IFERROR(IF(ISBLANK(Beersheet!$A$1)=FALSE,
INDEX(Beersheet!$A:$U,MATCH(S109,INDEX(Beersheet!$A:$U,0,FFARawStatProjections!$BV$2),0),FFARawStatProjections!$BV$6),
IF(X109&gt;6,0,
IF(AND(X109&lt;=6,X109&gt;5),1,
IF(AND(X109&lt;=5,X109&gt;4),2,
IF(AND(X109&lt;=4,X109&gt;3),3,
IF(AND(X109&lt;=3,X109&gt;2),4,
IF(AND(X109&lt;=2,X109&gt;1),5,
IF(AND(X109&lt;=1,X109&gt;0),6,
IF(AND(X109&lt;=0,X109&gt;-1),7,
8))))))))),
10)</f>
        <v>8</v>
      </c>
    </row>
    <row r="110" spans="1:25" ht="15" customHeight="1" x14ac:dyDescent="0.25">
      <c r="A110" s="135"/>
      <c r="B110" s="143" t="s">
        <v>354</v>
      </c>
      <c r="C110" t="str">
        <f>IF(AND(IFERROR(INDEX(Instructions!$T$111:$T$222,MATCH(D110,Instructions!$T$111:$T$222,0)), "")=D110, D110&lt;&gt;""), "X", "")</f>
        <v/>
      </c>
      <c r="D110" s="137" t="s">
        <v>1780</v>
      </c>
      <c r="E110" s="286" t="s">
        <v>137</v>
      </c>
      <c r="F110" s="232">
        <f>IFERROR(IF(AND($F$5="Projected Points",Beersheet!A105&lt;&gt;"QB"), T110, IF(H110="", INDEX(Tier!$B$16:$B$24,MATCH(G110,Tier!$A$16:$A$24,0)), INDEX(Tier!$B$16:$B$24,MATCH(H110,Tier!$A$16:$A$24,0)))), "")</f>
        <v>29.92211</v>
      </c>
      <c r="G110" s="287">
        <f t="shared" si="9"/>
        <v>8</v>
      </c>
      <c r="H110" s="288"/>
      <c r="I110" s="392" t="str">
        <f>IFERROR(INDEX(ADP!R:R,MATCH(D110,ADP!D:D,0))-RBproj!K110,"")</f>
        <v/>
      </c>
      <c r="J110" s="127"/>
      <c r="K110" s="89">
        <v>104</v>
      </c>
      <c r="L110" t="s">
        <v>354</v>
      </c>
      <c r="M110">
        <f t="shared" si="6"/>
        <v>0</v>
      </c>
      <c r="N110" s="4">
        <f>IFERROR(INDEX(ADP!AC:AC,MATCH(D110,ADP!Y:Y,0)),0)</f>
        <v>0</v>
      </c>
      <c r="O110" t="s">
        <v>3</v>
      </c>
      <c r="R110" t="str">
        <f>IFERROR(VLOOKUP(S110,FFARawStatProjections!AT:AV,2,FALSE),"")</f>
        <v>MIN</v>
      </c>
      <c r="S110" s="4" t="str">
        <f>INDEX(FFARawStatProjections!AT:AT,MATCH(T110,FFARawStatProjections!AV:AV,0))</f>
        <v>DeWayne McBride</v>
      </c>
      <c r="T110" s="428">
        <f>LARGE(FFARawStatProjections!AV:AV,RBproj!K110)</f>
        <v>29.92211</v>
      </c>
      <c r="U110" s="249">
        <f t="shared" si="7"/>
        <v>-162.44928666666667</v>
      </c>
      <c r="V110" s="243">
        <f t="shared" si="5"/>
        <v>26389.770738508843</v>
      </c>
      <c r="W110" s="244"/>
      <c r="X110" s="243">
        <f t="shared" si="8"/>
        <v>-10.153080416666667</v>
      </c>
      <c r="Y110" s="238">
        <f>IFERROR(IF(ISBLANK(Beersheet!$A$1)=FALSE,
INDEX(Beersheet!$A:$U,MATCH(S110,INDEX(Beersheet!$A:$U,0,FFARawStatProjections!$BV$2),0),FFARawStatProjections!$BV$6),
IF(X110&gt;6,0,
IF(AND(X110&lt;=6,X110&gt;5),1,
IF(AND(X110&lt;=5,X110&gt;4),2,
IF(AND(X110&lt;=4,X110&gt;3),3,
IF(AND(X110&lt;=3,X110&gt;2),4,
IF(AND(X110&lt;=2,X110&gt;1),5,
IF(AND(X110&lt;=1,X110&gt;0),6,
IF(AND(X110&lt;=0,X110&gt;-1),7,
8))))))))),
10)</f>
        <v>8</v>
      </c>
    </row>
    <row r="111" spans="1:25" ht="15" customHeight="1" x14ac:dyDescent="0.25">
      <c r="A111" s="135"/>
      <c r="B111" s="142" t="s">
        <v>355</v>
      </c>
      <c r="C111" t="str">
        <f>IF(AND(IFERROR(INDEX(Instructions!$T$111:$T$222,MATCH(D111,Instructions!$T$111:$T$222,0)), "")=D111, D111&lt;&gt;""), "X", "")</f>
        <v/>
      </c>
      <c r="D111" s="138" t="s">
        <v>991</v>
      </c>
      <c r="E111" s="289" t="s">
        <v>155</v>
      </c>
      <c r="F111" s="434">
        <f>IFERROR(IF(AND($F$5="Projected Points",Beersheet!A106&lt;&gt;"QB"), T111, IF(H111="", INDEX(Tier!$B$16:$B$24,MATCH(G111,Tier!$A$16:$A$24,0)), INDEX(Tier!$B$16:$B$24,MATCH(H111,Tier!$A$16:$A$24,0)))), "")</f>
        <v>28.972190000000001</v>
      </c>
      <c r="G111" s="290">
        <f t="shared" si="9"/>
        <v>8</v>
      </c>
      <c r="H111" s="291"/>
      <c r="I111" s="392" t="str">
        <f>IFERROR(INDEX(ADP!R:R,MATCH(D111,ADP!D:D,0))-RBproj!K111,"")</f>
        <v/>
      </c>
      <c r="J111" s="127"/>
      <c r="K111" s="89">
        <v>105</v>
      </c>
      <c r="L111" t="s">
        <v>355</v>
      </c>
      <c r="M111">
        <f t="shared" si="6"/>
        <v>0</v>
      </c>
      <c r="N111" s="4">
        <f>IFERROR(INDEX(ADP!AC:AC,MATCH(D111,ADP!Y:Y,0)),0)</f>
        <v>0</v>
      </c>
      <c r="O111" t="s">
        <v>3</v>
      </c>
      <c r="R111" t="str">
        <f>IFERROR(VLOOKUP(S111,FFARawStatProjections!AT:AV,2,FALSE),"")</f>
        <v>NYJ</v>
      </c>
      <c r="S111" s="4" t="str">
        <f>INDEX(FFARawStatProjections!AT:AT,MATCH(T111,FFARawStatProjections!AV:AV,0))</f>
        <v>Zonovan Knight</v>
      </c>
      <c r="T111" s="428">
        <f>LARGE(FFARawStatProjections!AV:AV,RBproj!K111)</f>
        <v>28.972190000000001</v>
      </c>
      <c r="U111" s="249">
        <f t="shared" si="7"/>
        <v>-163.39920666666666</v>
      </c>
      <c r="V111" s="243">
        <f t="shared" si="5"/>
        <v>26699.300739296043</v>
      </c>
      <c r="W111" s="243"/>
      <c r="X111" s="243">
        <f t="shared" si="8"/>
        <v>-10.212450416666666</v>
      </c>
      <c r="Y111" s="238">
        <f>IFERROR(IF(ISBLANK(Beersheet!$A$1)=FALSE,
INDEX(Beersheet!$A:$U,MATCH(S111,INDEX(Beersheet!$A:$U,0,FFARawStatProjections!$BV$2),0),FFARawStatProjections!$BV$6),
IF(X111&gt;6,0,
IF(AND(X111&lt;=6,X111&gt;5),1,
IF(AND(X111&lt;=5,X111&gt;4),2,
IF(AND(X111&lt;=4,X111&gt;3),3,
IF(AND(X111&lt;=3,X111&gt;2),4,
IF(AND(X111&lt;=2,X111&gt;1),5,
IF(AND(X111&lt;=1,X111&gt;0),6,
IF(AND(X111&lt;=0,X111&gt;-1),7,
8))))))))),
10)</f>
        <v>8</v>
      </c>
    </row>
    <row r="112" spans="1:25" ht="15" customHeight="1" x14ac:dyDescent="0.25">
      <c r="A112" s="135"/>
      <c r="B112" s="143" t="s">
        <v>356</v>
      </c>
      <c r="C112" t="str">
        <f>IF(AND(IFERROR(INDEX(Instructions!$T$111:$T$222,MATCH(D112,Instructions!$T$111:$T$222,0)), "")=D112, D112&lt;&gt;""), "X", "")</f>
        <v/>
      </c>
      <c r="D112" s="137" t="s">
        <v>2386</v>
      </c>
      <c r="E112" s="286" t="s">
        <v>164</v>
      </c>
      <c r="F112" s="232">
        <f>IFERROR(IF(AND($F$5="Projected Points",Beersheet!A107&lt;&gt;"QB"), T112, IF(H112="", INDEX(Tier!$B$16:$B$24,MATCH(G112,Tier!$A$16:$A$24,0)), INDEX(Tier!$B$16:$B$24,MATCH(H112,Tier!$A$16:$A$24,0)))), "")</f>
        <v>28.782160000000005</v>
      </c>
      <c r="G112" s="287">
        <f t="shared" si="9"/>
        <v>8</v>
      </c>
      <c r="H112" s="288"/>
      <c r="I112" s="392" t="str">
        <f>IFERROR(INDEX(ADP!R:R,MATCH(D112,ADP!D:D,0))-RBproj!K112,"")</f>
        <v/>
      </c>
      <c r="J112" s="127"/>
      <c r="K112" s="89">
        <v>106</v>
      </c>
      <c r="L112" t="s">
        <v>356</v>
      </c>
      <c r="M112">
        <f t="shared" si="6"/>
        <v>0</v>
      </c>
      <c r="N112" s="4">
        <f>IFERROR(INDEX(ADP!AC:AC,MATCH(D112,ADP!Y:Y,0)),0)</f>
        <v>0</v>
      </c>
      <c r="O112" t="s">
        <v>3</v>
      </c>
      <c r="R112" t="str">
        <f>IFERROR(VLOOKUP(S112,FFARawStatProjections!AT:AV,2,FALSE),"")</f>
        <v>PHI</v>
      </c>
      <c r="S112" s="4" t="str">
        <f>INDEX(FFARawStatProjections!AT:AT,MATCH(T112,FFARawStatProjections!AV:AV,0))</f>
        <v>Boston Scott</v>
      </c>
      <c r="T112" s="428">
        <f>LARGE(FFARawStatProjections!AV:AV,RBproj!K112)</f>
        <v>28.782160000000005</v>
      </c>
      <c r="U112" s="249">
        <f t="shared" si="7"/>
        <v>-163.58923666666666</v>
      </c>
      <c r="V112" s="243">
        <f t="shared" si="5"/>
        <v>26761.438353182679</v>
      </c>
      <c r="W112" s="243"/>
      <c r="X112" s="243">
        <f t="shared" si="8"/>
        <v>-10.224327291666667</v>
      </c>
      <c r="Y112" s="238">
        <f>IFERROR(IF(ISBLANK(Beersheet!$A$1)=FALSE,
INDEX(Beersheet!$A:$U,MATCH(S112,INDEX(Beersheet!$A:$U,0,FFARawStatProjections!$BV$2),0),FFARawStatProjections!$BV$6),
IF(X112&gt;6,0,
IF(AND(X112&lt;=6,X112&gt;5),1,
IF(AND(X112&lt;=5,X112&gt;4),2,
IF(AND(X112&lt;=4,X112&gt;3),3,
IF(AND(X112&lt;=3,X112&gt;2),4,
IF(AND(X112&lt;=2,X112&gt;1),5,
IF(AND(X112&lt;=1,X112&gt;0),6,
IF(AND(X112&lt;=0,X112&gt;-1),7,
8))))))))),
10)</f>
        <v>8</v>
      </c>
    </row>
    <row r="113" spans="1:25" ht="15" customHeight="1" x14ac:dyDescent="0.25">
      <c r="A113" s="135"/>
      <c r="B113" s="142" t="s">
        <v>357</v>
      </c>
      <c r="C113" t="str">
        <f>IF(AND(IFERROR(INDEX(Instructions!$T$111:$T$222,MATCH(D113,Instructions!$T$111:$T$222,0)), "")=D113, D113&lt;&gt;""), "X", "")</f>
        <v/>
      </c>
      <c r="D113" s="138" t="s">
        <v>2411</v>
      </c>
      <c r="E113" s="289" t="s">
        <v>2073</v>
      </c>
      <c r="F113" s="434">
        <f>IFERROR(IF(AND($F$5="Projected Points",Beersheet!A108&lt;&gt;"QB"), T113, IF(H113="", INDEX(Tier!$B$16:$B$24,MATCH(G113,Tier!$A$16:$A$24,0)), INDEX(Tier!$B$16:$B$24,MATCH(H113,Tier!$A$16:$A$24,0)))), "")</f>
        <v>28.38223</v>
      </c>
      <c r="G113" s="290">
        <f t="shared" si="9"/>
        <v>8</v>
      </c>
      <c r="H113" s="291"/>
      <c r="I113" s="392" t="str">
        <f>IFERROR(INDEX(ADP!R:R,MATCH(D113,ADP!D:D,0))-RBproj!K113,"")</f>
        <v/>
      </c>
      <c r="J113" s="127"/>
      <c r="K113" s="89">
        <v>107</v>
      </c>
      <c r="L113" t="s">
        <v>357</v>
      </c>
      <c r="M113">
        <f t="shared" si="6"/>
        <v>0</v>
      </c>
      <c r="N113" s="4">
        <f>IFERROR(INDEX(ADP!AC:AC,MATCH(D113,ADP!Y:Y,0)),0)</f>
        <v>0</v>
      </c>
      <c r="O113" t="s">
        <v>3</v>
      </c>
      <c r="R113" t="str">
        <f>IFERROR(VLOOKUP(S113,FFARawStatProjections!AT:AV,2,FALSE),"")</f>
        <v>CHI</v>
      </c>
      <c r="S113" s="4" t="str">
        <f>INDEX(FFARawStatProjections!AT:AT,MATCH(T113,FFARawStatProjections!AV:AV,0))</f>
        <v>Travis Homer</v>
      </c>
      <c r="T113" s="428">
        <f>LARGE(FFARawStatProjections!AV:AV,RBproj!K113)</f>
        <v>28.38223</v>
      </c>
      <c r="U113" s="249">
        <f t="shared" si="7"/>
        <v>-163.98916666666668</v>
      </c>
      <c r="V113" s="243">
        <f t="shared" si="5"/>
        <v>26892.446784027779</v>
      </c>
      <c r="W113" s="243"/>
      <c r="X113" s="243">
        <f t="shared" si="8"/>
        <v>-10.249322916666667</v>
      </c>
      <c r="Y113" s="238">
        <f>IFERROR(IF(ISBLANK(Beersheet!$A$1)=FALSE,
INDEX(Beersheet!$A:$U,MATCH(S113,INDEX(Beersheet!$A:$U,0,FFARawStatProjections!$BV$2),0),FFARawStatProjections!$BV$6),
IF(X113&gt;6,0,
IF(AND(X113&lt;=6,X113&gt;5),1,
IF(AND(X113&lt;=5,X113&gt;4),2,
IF(AND(X113&lt;=4,X113&gt;3),3,
IF(AND(X113&lt;=3,X113&gt;2),4,
IF(AND(X113&lt;=2,X113&gt;1),5,
IF(AND(X113&lt;=1,X113&gt;0),6,
IF(AND(X113&lt;=0,X113&gt;-1),7,
8))))))))),
10)</f>
        <v>8</v>
      </c>
    </row>
    <row r="114" spans="1:25" ht="15" customHeight="1" x14ac:dyDescent="0.25">
      <c r="A114" s="135"/>
      <c r="B114" s="143" t="s">
        <v>358</v>
      </c>
      <c r="C114" t="str">
        <f>IF(AND(IFERROR(INDEX(Instructions!$T$111:$T$222,MATCH(D114,Instructions!$T$111:$T$222,0)), "")=D114, D114&lt;&gt;""), "X", "")</f>
        <v/>
      </c>
      <c r="D114" s="137" t="s">
        <v>2449</v>
      </c>
      <c r="E114" s="286" t="s">
        <v>140</v>
      </c>
      <c r="F114" s="232">
        <f>IFERROR(IF(AND($F$5="Projected Points",Beersheet!A109&lt;&gt;"QB"), T114, IF(H114="", INDEX(Tier!$B$16:$B$24,MATCH(G114,Tier!$A$16:$A$24,0)), INDEX(Tier!$B$16:$B$24,MATCH(H114,Tier!$A$16:$A$24,0)))), "")</f>
        <v>27.642310000000005</v>
      </c>
      <c r="G114" s="287">
        <f t="shared" si="9"/>
        <v>8</v>
      </c>
      <c r="H114" s="288"/>
      <c r="I114" s="392" t="str">
        <f>IFERROR(INDEX(ADP!R:R,MATCH(D114,ADP!D:D,0))-RBproj!K114,"")</f>
        <v/>
      </c>
      <c r="J114" s="127"/>
      <c r="K114" s="89">
        <v>108</v>
      </c>
      <c r="L114" t="s">
        <v>358</v>
      </c>
      <c r="M114">
        <f t="shared" si="6"/>
        <v>0</v>
      </c>
      <c r="N114" s="4">
        <f>IFERROR(INDEX(ADP!AC:AC,MATCH(D114,ADP!Y:Y,0)),0)</f>
        <v>0</v>
      </c>
      <c r="O114" t="s">
        <v>3</v>
      </c>
      <c r="R114" t="str">
        <f>IFERROR(VLOOKUP(S114,FFARawStatProjections!AT:AV,2,FALSE),"")</f>
        <v>DEN</v>
      </c>
      <c r="S114" s="4" t="str">
        <f>INDEX(FFARawStatProjections!AT:AT,MATCH(T114,FFARawStatProjections!AV:AV,0))</f>
        <v>Tyler Badie</v>
      </c>
      <c r="T114" s="428">
        <f>LARGE(FFARawStatProjections!AV:AV,RBproj!K114)</f>
        <v>27.642310000000005</v>
      </c>
      <c r="U114" s="249">
        <f t="shared" si="7"/>
        <v>-164.72908666666666</v>
      </c>
      <c r="V114" s="243">
        <f t="shared" si="5"/>
        <v>27135.671994034175</v>
      </c>
      <c r="W114" s="243"/>
      <c r="X114" s="243">
        <f t="shared" si="8"/>
        <v>-10.295567916666666</v>
      </c>
      <c r="Y114" s="238">
        <f>IFERROR(IF(ISBLANK(Beersheet!$A$1)=FALSE,
INDEX(Beersheet!$A:$U,MATCH(S114,INDEX(Beersheet!$A:$U,0,FFARawStatProjections!$BV$2),0),FFARawStatProjections!$BV$6),
IF(X114&gt;6,0,
IF(AND(X114&lt;=6,X114&gt;5),1,
IF(AND(X114&lt;=5,X114&gt;4),2,
IF(AND(X114&lt;=4,X114&gt;3),3,
IF(AND(X114&lt;=3,X114&gt;2),4,
IF(AND(X114&lt;=2,X114&gt;1),5,
IF(AND(X114&lt;=1,X114&gt;0),6,
IF(AND(X114&lt;=0,X114&gt;-1),7,
8))))))))),
10)</f>
        <v>8</v>
      </c>
    </row>
    <row r="115" spans="1:25" ht="15" customHeight="1" x14ac:dyDescent="0.25">
      <c r="A115" s="135"/>
      <c r="B115" s="142" t="s">
        <v>359</v>
      </c>
      <c r="C115" t="str">
        <f>IF(AND(IFERROR(INDEX(Instructions!$T$111:$T$222,MATCH(D115,Instructions!$T$111:$T$222,0)), "")=D115, D115&lt;&gt;""), "X", "")</f>
        <v/>
      </c>
      <c r="D115" s="138" t="s">
        <v>1890</v>
      </c>
      <c r="E115" s="289" t="s">
        <v>141</v>
      </c>
      <c r="F115" s="434">
        <f>IFERROR(IF(AND($F$5="Projected Points",Beersheet!A110&lt;&gt;"QB"), T115, IF(H115="", INDEX(Tier!$B$16:$B$24,MATCH(G115,Tier!$A$16:$A$24,0)), INDEX(Tier!$B$16:$B$24,MATCH(H115,Tier!$A$16:$A$24,0)))), "")</f>
        <v>27.50217</v>
      </c>
      <c r="G115" s="290">
        <f t="shared" si="9"/>
        <v>8</v>
      </c>
      <c r="H115" s="291"/>
      <c r="I115" s="392" t="str">
        <f>IFERROR(INDEX(ADP!R:R,MATCH(D115,ADP!D:D,0))-RBproj!K115,"")</f>
        <v/>
      </c>
      <c r="J115" s="127"/>
      <c r="K115" s="89">
        <v>109</v>
      </c>
      <c r="L115" t="s">
        <v>359</v>
      </c>
      <c r="M115">
        <f t="shared" si="6"/>
        <v>0</v>
      </c>
      <c r="N115" s="4">
        <f>IFERROR(INDEX(ADP!AC:AC,MATCH(D115,ADP!Y:Y,0)),0)</f>
        <v>0</v>
      </c>
      <c r="O115" t="s">
        <v>3</v>
      </c>
      <c r="R115" t="str">
        <f>IFERROR(VLOOKUP(S115,FFARawStatProjections!AT:AV,2,FALSE),"")</f>
        <v>LV</v>
      </c>
      <c r="S115" s="4" t="str">
        <f>INDEX(FFARawStatProjections!AT:AT,MATCH(T115,FFARawStatProjections!AV:AV,0))</f>
        <v>Sincere McCormick</v>
      </c>
      <c r="T115" s="428">
        <f>LARGE(FFARawStatProjections!AV:AV,RBproj!K115)</f>
        <v>27.50217</v>
      </c>
      <c r="U115" s="249">
        <f t="shared" si="7"/>
        <v>-164.86922666666666</v>
      </c>
      <c r="V115" s="243">
        <f t="shared" si="5"/>
        <v>27181.86190166471</v>
      </c>
      <c r="W115" s="243"/>
      <c r="X115" s="243">
        <f t="shared" si="8"/>
        <v>-10.304326666666666</v>
      </c>
      <c r="Y115" s="238">
        <f>IFERROR(IF(ISBLANK(Beersheet!$A$1)=FALSE,
INDEX(Beersheet!$A:$U,MATCH(S115,INDEX(Beersheet!$A:$U,0,FFARawStatProjections!$BV$2),0),FFARawStatProjections!$BV$6),
IF(X115&gt;6,0,
IF(AND(X115&lt;=6,X115&gt;5),1,
IF(AND(X115&lt;=5,X115&gt;4),2,
IF(AND(X115&lt;=4,X115&gt;3),3,
IF(AND(X115&lt;=3,X115&gt;2),4,
IF(AND(X115&lt;=2,X115&gt;1),5,
IF(AND(X115&lt;=1,X115&gt;0),6,
IF(AND(X115&lt;=0,X115&gt;-1),7,
8))))))))),
10)</f>
        <v>8</v>
      </c>
    </row>
    <row r="116" spans="1:25" ht="15" customHeight="1" x14ac:dyDescent="0.25">
      <c r="A116" s="135"/>
      <c r="B116" s="143" t="s">
        <v>360</v>
      </c>
      <c r="C116" t="str">
        <f>IF(AND(IFERROR(INDEX(Instructions!$T$111:$T$222,MATCH(D116,Instructions!$T$111:$T$222,0)), "")=D116, D116&lt;&gt;""), "X", "")</f>
        <v/>
      </c>
      <c r="D116" s="137" t="s">
        <v>2499</v>
      </c>
      <c r="E116" s="286" t="s">
        <v>136</v>
      </c>
      <c r="F116" s="232">
        <f>IFERROR(IF(AND($F$5="Projected Points",Beersheet!A111&lt;&gt;"QB"), T116, IF(H116="", INDEX(Tier!$B$16:$B$24,MATCH(G116,Tier!$A$16:$A$24,0)), INDEX(Tier!$B$16:$B$24,MATCH(H116,Tier!$A$16:$A$24,0)))), "")</f>
        <v>27.452330000000003</v>
      </c>
      <c r="G116" s="287">
        <f t="shared" si="9"/>
        <v>8</v>
      </c>
      <c r="H116" s="288"/>
      <c r="I116" s="392" t="str">
        <f>IFERROR(INDEX(ADP!R:R,MATCH(D116,ADP!D:D,0))-RBproj!K116,"")</f>
        <v/>
      </c>
      <c r="J116" s="127"/>
      <c r="K116" s="89">
        <v>110</v>
      </c>
      <c r="L116" t="s">
        <v>360</v>
      </c>
      <c r="M116">
        <f t="shared" si="6"/>
        <v>0</v>
      </c>
      <c r="N116" s="4">
        <f>IFERROR(INDEX(ADP!AC:AC,MATCH(D116,ADP!Y:Y,0)),0)</f>
        <v>0</v>
      </c>
      <c r="O116" t="s">
        <v>3</v>
      </c>
      <c r="R116" t="str">
        <f>IFERROR(VLOOKUP(S116,FFARawStatProjections!AT:AV,2,FALSE),"")</f>
        <v>CLE</v>
      </c>
      <c r="S116" s="4" t="str">
        <f>INDEX(FFARawStatProjections!AT:AT,MATCH(T116,FFARawStatProjections!AV:AV,0))</f>
        <v>Demetric Felton</v>
      </c>
      <c r="T116" s="428">
        <f>LARGE(FFARawStatProjections!AV:AV,RBproj!K116)</f>
        <v>27.452330000000003</v>
      </c>
      <c r="U116" s="249">
        <f t="shared" si="7"/>
        <v>-164.91906666666665</v>
      </c>
      <c r="V116" s="243">
        <f t="shared" si="5"/>
        <v>27198.298550204439</v>
      </c>
      <c r="W116" s="243"/>
      <c r="X116" s="243">
        <f t="shared" si="8"/>
        <v>-10.307441666666666</v>
      </c>
      <c r="Y116" s="238">
        <f>IFERROR(IF(ISBLANK(Beersheet!$A$1)=FALSE,
INDEX(Beersheet!$A:$U,MATCH(S116,INDEX(Beersheet!$A:$U,0,FFARawStatProjections!$BV$2),0),FFARawStatProjections!$BV$6),
IF(X116&gt;6,0,
IF(AND(X116&lt;=6,X116&gt;5),1,
IF(AND(X116&lt;=5,X116&gt;4),2,
IF(AND(X116&lt;=4,X116&gt;3),3,
IF(AND(X116&lt;=3,X116&gt;2),4,
IF(AND(X116&lt;=2,X116&gt;1),5,
IF(AND(X116&lt;=1,X116&gt;0),6,
IF(AND(X116&lt;=0,X116&gt;-1),7,
8))))))))),
10)</f>
        <v>8</v>
      </c>
    </row>
    <row r="117" spans="1:25" ht="15" customHeight="1" x14ac:dyDescent="0.25">
      <c r="A117" s="135"/>
      <c r="B117" s="142" t="s">
        <v>361</v>
      </c>
      <c r="C117" t="str">
        <f>IF(AND(IFERROR(INDEX(Instructions!$T$111:$T$222,MATCH(D117,Instructions!$T$111:$T$222,0)), "")=D117, D117&lt;&gt;""), "X", "")</f>
        <v/>
      </c>
      <c r="D117" s="138" t="s">
        <v>2311</v>
      </c>
      <c r="E117" s="289" t="s">
        <v>139</v>
      </c>
      <c r="F117" s="434">
        <f>IFERROR(IF(AND($F$5="Projected Points",Beersheet!A112&lt;&gt;"QB"), T117, IF(H117="", INDEX(Tier!$B$16:$B$24,MATCH(G117,Tier!$A$16:$A$24,0)), INDEX(Tier!$B$16:$B$24,MATCH(H117,Tier!$A$16:$A$24,0)))), "")</f>
        <v>27.312320000000003</v>
      </c>
      <c r="G117" s="290">
        <f t="shared" si="9"/>
        <v>8</v>
      </c>
      <c r="H117" s="291"/>
      <c r="I117" s="392" t="str">
        <f>IFERROR(INDEX(ADP!R:R,MATCH(D117,ADP!D:D,0))-RBproj!K117,"")</f>
        <v/>
      </c>
      <c r="J117" s="127"/>
      <c r="K117" s="89">
        <v>111</v>
      </c>
      <c r="L117" t="s">
        <v>361</v>
      </c>
      <c r="M117">
        <f t="shared" si="6"/>
        <v>0</v>
      </c>
      <c r="N117" s="4">
        <f>IFERROR(INDEX(ADP!AC:AC,MATCH(D117,ADP!Y:Y,0)),0)</f>
        <v>0</v>
      </c>
      <c r="O117" t="s">
        <v>3</v>
      </c>
      <c r="R117" t="str">
        <f>IFERROR(VLOOKUP(S117,FFARawStatProjections!AT:AV,2,FALSE),"")</f>
        <v>HOU</v>
      </c>
      <c r="S117" s="4" t="str">
        <f>INDEX(FFARawStatProjections!AT:AT,MATCH(T117,FFARawStatProjections!AV:AV,0))</f>
        <v>Dare Ogunbowale</v>
      </c>
      <c r="T117" s="428">
        <f>LARGE(FFARawStatProjections!AV:AV,RBproj!K117)</f>
        <v>27.312320000000003</v>
      </c>
      <c r="U117" s="249">
        <f t="shared" si="7"/>
        <v>-165.05907666666667</v>
      </c>
      <c r="V117" s="243">
        <f t="shared" si="5"/>
        <v>27244.498790052545</v>
      </c>
      <c r="W117" s="243"/>
      <c r="X117" s="243">
        <f t="shared" si="8"/>
        <v>-10.316192291666667</v>
      </c>
      <c r="Y117" s="238">
        <f>IFERROR(IF(ISBLANK(Beersheet!$A$1)=FALSE,
INDEX(Beersheet!$A:$U,MATCH(S117,INDEX(Beersheet!$A:$U,0,FFARawStatProjections!$BV$2),0),FFARawStatProjections!$BV$6),
IF(X117&gt;6,0,
IF(AND(X117&lt;=6,X117&gt;5),1,
IF(AND(X117&lt;=5,X117&gt;4),2,
IF(AND(X117&lt;=4,X117&gt;3),3,
IF(AND(X117&lt;=3,X117&gt;2),4,
IF(AND(X117&lt;=2,X117&gt;1),5,
IF(AND(X117&lt;=1,X117&gt;0),6,
IF(AND(X117&lt;=0,X117&gt;-1),7,
8))))))))),
10)</f>
        <v>8</v>
      </c>
    </row>
    <row r="118" spans="1:25" ht="15" customHeight="1" x14ac:dyDescent="0.25">
      <c r="A118" s="135"/>
      <c r="B118" s="143" t="s">
        <v>362</v>
      </c>
      <c r="C118" t="str">
        <f>IF(AND(IFERROR(INDEX(Instructions!$T$111:$T$222,MATCH(D118,Instructions!$T$111:$T$222,0)), "")=D118, D118&lt;&gt;""), "X", "")</f>
        <v/>
      </c>
      <c r="D118" s="137" t="s">
        <v>2119</v>
      </c>
      <c r="E118" s="286" t="s">
        <v>165</v>
      </c>
      <c r="F118" s="232">
        <f>IFERROR(IF(AND($F$5="Projected Points",Beersheet!A113&lt;&gt;"QB"), T118, IF(H118="", INDEX(Tier!$B$16:$B$24,MATCH(G118,Tier!$A$16:$A$24,0)), INDEX(Tier!$B$16:$B$24,MATCH(H118,Tier!$A$16:$A$24,0)))), "")</f>
        <v>26.6022</v>
      </c>
      <c r="G118" s="287">
        <f t="shared" si="9"/>
        <v>8</v>
      </c>
      <c r="H118" s="288"/>
      <c r="I118" s="392" t="str">
        <f>IFERROR(INDEX(ADP!R:R,MATCH(D118,ADP!D:D,0))-RBproj!K118,"")</f>
        <v/>
      </c>
      <c r="J118" s="127"/>
      <c r="K118" s="89">
        <v>112</v>
      </c>
      <c r="L118" t="s">
        <v>362</v>
      </c>
      <c r="M118">
        <f t="shared" si="6"/>
        <v>0</v>
      </c>
      <c r="N118" s="4">
        <f>IFERROR(INDEX(ADP!AC:AC,MATCH(D118,ADP!Y:Y,0)),0)</f>
        <v>0</v>
      </c>
      <c r="O118" t="s">
        <v>3</v>
      </c>
      <c r="R118" t="str">
        <f>IFERROR(VLOOKUP(S118,FFARawStatProjections!AT:AV,2,FALSE),"")</f>
        <v>SEA</v>
      </c>
      <c r="S118" s="4" t="str">
        <f>INDEX(FFARawStatProjections!AT:AT,MATCH(T118,FFARawStatProjections!AV:AV,0))</f>
        <v>Kenny McIntosh</v>
      </c>
      <c r="T118" s="428">
        <f>LARGE(FFARawStatProjections!AV:AV,RBproj!K118)</f>
        <v>26.6022</v>
      </c>
      <c r="U118" s="249">
        <f t="shared" si="7"/>
        <v>-165.76919666666666</v>
      </c>
      <c r="V118" s="243">
        <f t="shared" si="5"/>
        <v>27479.42656351201</v>
      </c>
      <c r="W118" s="244"/>
      <c r="X118" s="243">
        <f t="shared" si="8"/>
        <v>-10.360574791666666</v>
      </c>
      <c r="Y118" s="238">
        <f>IFERROR(IF(ISBLANK(Beersheet!$A$1)=FALSE,
INDEX(Beersheet!$A:$U,MATCH(S118,INDEX(Beersheet!$A:$U,0,FFARawStatProjections!$BV$2),0),FFARawStatProjections!$BV$6),
IF(X118&gt;6,0,
IF(AND(X118&lt;=6,X118&gt;5),1,
IF(AND(X118&lt;=5,X118&gt;4),2,
IF(AND(X118&lt;=4,X118&gt;3),3,
IF(AND(X118&lt;=3,X118&gt;2),4,
IF(AND(X118&lt;=2,X118&gt;1),5,
IF(AND(X118&lt;=1,X118&gt;0),6,
IF(AND(X118&lt;=0,X118&gt;-1),7,
8))))))))),
10)</f>
        <v>8</v>
      </c>
    </row>
    <row r="119" spans="1:25" ht="15" customHeight="1" x14ac:dyDescent="0.25">
      <c r="A119" s="135"/>
      <c r="B119" s="142" t="s">
        <v>363</v>
      </c>
      <c r="C119" t="str">
        <f>IF(AND(IFERROR(INDEX(Instructions!$T$111:$T$222,MATCH(D119,Instructions!$T$111:$T$222,0)), "")=D119, D119&lt;&gt;""), "X", "")</f>
        <v/>
      </c>
      <c r="D119" s="138" t="s">
        <v>2302</v>
      </c>
      <c r="E119" s="289" t="s">
        <v>144</v>
      </c>
      <c r="F119" s="434">
        <f>IFERROR(IF(AND($F$5="Projected Points",Beersheet!A114&lt;&gt;"QB"), T119, IF(H119="", INDEX(Tier!$B$16:$B$24,MATCH(G119,Tier!$A$16:$A$24,0)), INDEX(Tier!$B$16:$B$24,MATCH(H119,Tier!$A$16:$A$24,0)))), "")</f>
        <v>26.102250000000002</v>
      </c>
      <c r="G119" s="290">
        <f t="shared" si="9"/>
        <v>8</v>
      </c>
      <c r="H119" s="291"/>
      <c r="I119" s="392" t="str">
        <f>IFERROR(INDEX(ADP!R:R,MATCH(D119,ADP!D:D,0))-RBproj!K119,"")</f>
        <v/>
      </c>
      <c r="J119" s="127"/>
      <c r="K119" s="89">
        <v>113</v>
      </c>
      <c r="L119" t="s">
        <v>363</v>
      </c>
      <c r="M119">
        <f t="shared" si="6"/>
        <v>0</v>
      </c>
      <c r="N119" s="4">
        <f>IFERROR(INDEX(ADP!AC:AC,MATCH(D119,ADP!Y:Y,0)),0)</f>
        <v>0</v>
      </c>
      <c r="O119" t="s">
        <v>3</v>
      </c>
      <c r="R119" t="str">
        <f>IFERROR(VLOOKUP(S119,FFARawStatProjections!AT:AV,2,FALSE),"")</f>
        <v>GB</v>
      </c>
      <c r="S119" s="4" t="str">
        <f>INDEX(FFARawStatProjections!AT:AT,MATCH(T119,FFARawStatProjections!AV:AV,0))</f>
        <v>Patrick Taylor</v>
      </c>
      <c r="T119" s="428">
        <f>LARGE(FFARawStatProjections!AV:AV,RBproj!K119)</f>
        <v>26.102250000000002</v>
      </c>
      <c r="U119" s="249">
        <f t="shared" si="7"/>
        <v>-166.26914666666667</v>
      </c>
      <c r="V119" s="243">
        <f t="shared" si="5"/>
        <v>27645.429133261514</v>
      </c>
      <c r="W119" s="244"/>
      <c r="X119" s="243">
        <f t="shared" si="8"/>
        <v>-10.391821666666667</v>
      </c>
      <c r="Y119" s="238">
        <f>IFERROR(IF(ISBLANK(Beersheet!$A$1)=FALSE,
INDEX(Beersheet!$A:$U,MATCH(S119,INDEX(Beersheet!$A:$U,0,FFARawStatProjections!$BV$2),0),FFARawStatProjections!$BV$6),
IF(X119&gt;6,0,
IF(AND(X119&lt;=6,X119&gt;5),1,
IF(AND(X119&lt;=5,X119&gt;4),2,
IF(AND(X119&lt;=4,X119&gt;3),3,
IF(AND(X119&lt;=3,X119&gt;2),4,
IF(AND(X119&lt;=2,X119&gt;1),5,
IF(AND(X119&lt;=1,X119&gt;0),6,
IF(AND(X119&lt;=0,X119&gt;-1),7,
8))))))))),
10)</f>
        <v>8</v>
      </c>
    </row>
    <row r="120" spans="1:25" ht="15" customHeight="1" x14ac:dyDescent="0.25">
      <c r="A120" s="135"/>
      <c r="B120" s="143" t="s">
        <v>364</v>
      </c>
      <c r="C120" t="str">
        <f>IF(AND(IFERROR(INDEX(Instructions!$T$111:$T$222,MATCH(D120,Instructions!$T$111:$T$222,0)), "")=D120, D120&lt;&gt;""), "X", "")</f>
        <v/>
      </c>
      <c r="D120" s="137" t="s">
        <v>1959</v>
      </c>
      <c r="E120" s="286" t="s">
        <v>151</v>
      </c>
      <c r="F120" s="232">
        <f>IFERROR(IF(AND($F$5="Projected Points",Beersheet!A115&lt;&gt;"QB"), T120, IF(H120="", INDEX(Tier!$B$16:$B$24,MATCH(G120,Tier!$A$16:$A$24,0)), INDEX(Tier!$B$16:$B$24,MATCH(H120,Tier!$A$16:$A$24,0)))), "")</f>
        <v>26.04224</v>
      </c>
      <c r="G120" s="287">
        <f t="shared" si="9"/>
        <v>8</v>
      </c>
      <c r="H120" s="288"/>
      <c r="I120" s="392" t="str">
        <f>IFERROR(INDEX(ADP!R:R,MATCH(D120,ADP!D:D,0))-RBproj!K120,"")</f>
        <v/>
      </c>
      <c r="J120" s="127"/>
      <c r="K120" s="89">
        <v>114</v>
      </c>
      <c r="L120" t="s">
        <v>364</v>
      </c>
      <c r="M120">
        <f t="shared" si="6"/>
        <v>0</v>
      </c>
      <c r="N120" s="4">
        <f>IFERROR(INDEX(ADP!AC:AC,MATCH(D120,ADP!Y:Y,0)),0)</f>
        <v>0</v>
      </c>
      <c r="O120" t="s">
        <v>3</v>
      </c>
      <c r="R120" t="str">
        <f>IFERROR(VLOOKUP(S120,FFARawStatProjections!AT:AV,2,FALSE),"")</f>
        <v>KC</v>
      </c>
      <c r="S120" s="4" t="str">
        <f>INDEX(FFARawStatProjections!AT:AT,MATCH(T120,FFARawStatProjections!AV:AV,0))</f>
        <v>Deneric Prince</v>
      </c>
      <c r="T120" s="428">
        <f>LARGE(FFARawStatProjections!AV:AV,RBproj!K120)</f>
        <v>26.04224</v>
      </c>
      <c r="U120" s="249">
        <f t="shared" si="7"/>
        <v>-166.32915666666668</v>
      </c>
      <c r="V120" s="243">
        <f t="shared" si="5"/>
        <v>27665.388357444546</v>
      </c>
      <c r="W120" s="244"/>
      <c r="X120" s="243">
        <f t="shared" si="8"/>
        <v>-10.395572291666667</v>
      </c>
      <c r="Y120" s="238">
        <f>IFERROR(IF(ISBLANK(Beersheet!$A$1)=FALSE,
INDEX(Beersheet!$A:$U,MATCH(S120,INDEX(Beersheet!$A:$U,0,FFARawStatProjections!$BV$2),0),FFARawStatProjections!$BV$6),
IF(X120&gt;6,0,
IF(AND(X120&lt;=6,X120&gt;5),1,
IF(AND(X120&lt;=5,X120&gt;4),2,
IF(AND(X120&lt;=4,X120&gt;3),3,
IF(AND(X120&lt;=3,X120&gt;2),4,
IF(AND(X120&lt;=2,X120&gt;1),5,
IF(AND(X120&lt;=1,X120&gt;0),6,
IF(AND(X120&lt;=0,X120&gt;-1),7,
8))))))))),
10)</f>
        <v>8</v>
      </c>
    </row>
    <row r="121" spans="1:25" ht="15" customHeight="1" x14ac:dyDescent="0.25">
      <c r="A121" s="135"/>
      <c r="B121" s="142" t="s">
        <v>365</v>
      </c>
      <c r="C121" t="str">
        <f>IF(AND(IFERROR(INDEX(Instructions!$T$111:$T$222,MATCH(D121,Instructions!$T$111:$T$222,0)), "")=D121, D121&lt;&gt;""), "X", "")</f>
        <v/>
      </c>
      <c r="D121" s="138" t="s">
        <v>2189</v>
      </c>
      <c r="E121" s="289" t="s">
        <v>161</v>
      </c>
      <c r="F121" s="434">
        <f>IFERROR(IF(AND($F$5="Projected Points",Beersheet!A116&lt;&gt;"QB"), T121, IF(H121="", INDEX(Tier!$B$16:$B$24,MATCH(G121,Tier!$A$16:$A$24,0)), INDEX(Tier!$B$16:$B$24,MATCH(H121,Tier!$A$16:$A$24,0)))), "")</f>
        <v>25.372220000000002</v>
      </c>
      <c r="G121" s="290">
        <f t="shared" si="9"/>
        <v>8</v>
      </c>
      <c r="H121" s="291"/>
      <c r="I121" s="392" t="str">
        <f>IFERROR(INDEX(ADP!R:R,MATCH(D121,ADP!D:D,0))-RBproj!K121,"")</f>
        <v/>
      </c>
      <c r="J121" s="127"/>
      <c r="K121" s="89">
        <v>115</v>
      </c>
      <c r="L121" t="s">
        <v>365</v>
      </c>
      <c r="M121">
        <f t="shared" si="6"/>
        <v>0</v>
      </c>
      <c r="N121" s="4">
        <f>IFERROR(INDEX(ADP!AC:AC,MATCH(D121,ADP!Y:Y,0)),0)</f>
        <v>0</v>
      </c>
      <c r="O121" t="s">
        <v>3</v>
      </c>
      <c r="R121" t="str">
        <f>IFERROR(VLOOKUP(S121,FFARawStatProjections!AT:AV,2,FALSE),"")</f>
        <v>JAC</v>
      </c>
      <c r="S121" s="4" t="str">
        <f>INDEX(FFARawStatProjections!AT:AT,MATCH(T121,FFARawStatProjections!AV:AV,0))</f>
        <v>DErnest Johnson</v>
      </c>
      <c r="T121" s="428">
        <f>LARGE(FFARawStatProjections!AV:AV,RBproj!K121)</f>
        <v>25.372220000000002</v>
      </c>
      <c r="U121" s="249">
        <f t="shared" si="7"/>
        <v>-166.99917666666667</v>
      </c>
      <c r="V121" s="243">
        <f t="shared" si="5"/>
        <v>27888.725007344547</v>
      </c>
      <c r="W121" s="244"/>
      <c r="X121" s="243">
        <f t="shared" si="8"/>
        <v>-10.437448541666667</v>
      </c>
      <c r="Y121" s="238">
        <f>IFERROR(IF(ISBLANK(Beersheet!$A$1)=FALSE,
INDEX(Beersheet!$A:$U,MATCH(S121,INDEX(Beersheet!$A:$U,0,FFARawStatProjections!$BV$2),0),FFARawStatProjections!$BV$6),
IF(X121&gt;6,0,
IF(AND(X121&lt;=6,X121&gt;5),1,
IF(AND(X121&lt;=5,X121&gt;4),2,
IF(AND(X121&lt;=4,X121&gt;3),3,
IF(AND(X121&lt;=3,X121&gt;2),4,
IF(AND(X121&lt;=2,X121&gt;1),5,
IF(AND(X121&lt;=1,X121&gt;0),6,
IF(AND(X121&lt;=0,X121&gt;-1),7,
8))))))))),
10)</f>
        <v>8</v>
      </c>
    </row>
    <row r="122" spans="1:25" ht="15" customHeight="1" x14ac:dyDescent="0.25">
      <c r="A122" s="135"/>
      <c r="B122" s="143" t="s">
        <v>366</v>
      </c>
      <c r="C122" t="str">
        <f>IF(AND(IFERROR(INDEX(Instructions!$T$111:$T$222,MATCH(D122,Instructions!$T$111:$T$222,0)), "")=D122, D122&lt;&gt;""), "X", "")</f>
        <v/>
      </c>
      <c r="D122" s="137" t="s">
        <v>2111</v>
      </c>
      <c r="E122" s="286" t="s">
        <v>154</v>
      </c>
      <c r="F122" s="232">
        <f>IFERROR(IF(AND($F$5="Projected Points",Beersheet!A117&lt;&gt;"QB"), T122, IF(H122="", INDEX(Tier!$B$16:$B$24,MATCH(G122,Tier!$A$16:$A$24,0)), INDEX(Tier!$B$16:$B$24,MATCH(H122,Tier!$A$16:$A$24,0)))), "")</f>
        <v>24.21228</v>
      </c>
      <c r="G122" s="287">
        <f t="shared" si="9"/>
        <v>8</v>
      </c>
      <c r="H122" s="288"/>
      <c r="I122" s="392">
        <f>IFERROR(INDEX(ADP!R:R,MATCH(D122,ADP!D:D,0))-RBproj!K122,"")</f>
        <v>-59</v>
      </c>
      <c r="J122" s="127"/>
      <c r="K122" s="89">
        <v>116</v>
      </c>
      <c r="L122" t="s">
        <v>366</v>
      </c>
      <c r="M122">
        <f t="shared" si="6"/>
        <v>0</v>
      </c>
      <c r="N122" s="4">
        <f>IFERROR(INDEX(ADP!AC:AC,MATCH(D122,ADP!Y:Y,0)),0)</f>
        <v>0</v>
      </c>
      <c r="O122" t="s">
        <v>3</v>
      </c>
      <c r="R122" t="str">
        <f>IFERROR(VLOOKUP(S122,FFARawStatProjections!AT:AV,2,FALSE),"")</f>
        <v>NYG</v>
      </c>
      <c r="S122" s="4" t="str">
        <f>INDEX(FFARawStatProjections!AT:AT,MATCH(T122,FFARawStatProjections!AV:AV,0))</f>
        <v>James Robinson</v>
      </c>
      <c r="T122" s="428">
        <f>LARGE(FFARawStatProjections!AV:AV,RBproj!K122)</f>
        <v>24.21228</v>
      </c>
      <c r="U122" s="249">
        <f t="shared" si="7"/>
        <v>-168.15911666666668</v>
      </c>
      <c r="V122" s="243">
        <f t="shared" ref="V122:V156" si="10">U122^2</f>
        <v>28277.488518113616</v>
      </c>
      <c r="W122" s="244"/>
      <c r="X122" s="243">
        <f t="shared" si="8"/>
        <v>-10.509944791666667</v>
      </c>
      <c r="Y122" s="238">
        <f>IFERROR(IF(ISBLANK(Beersheet!$A$1)=FALSE,
INDEX(Beersheet!$A:$U,MATCH(S122,INDEX(Beersheet!$A:$U,0,FFARawStatProjections!$BV$2),0),FFARawStatProjections!$BV$6),
IF(X122&gt;6,0,
IF(AND(X122&lt;=6,X122&gt;5),1,
IF(AND(X122&lt;=5,X122&gt;4),2,
IF(AND(X122&lt;=4,X122&gt;3),3,
IF(AND(X122&lt;=3,X122&gt;2),4,
IF(AND(X122&lt;=2,X122&gt;1),5,
IF(AND(X122&lt;=1,X122&gt;0),6,
IF(AND(X122&lt;=0,X122&gt;-1),7,
8))))))))),
10)</f>
        <v>8</v>
      </c>
    </row>
    <row r="123" spans="1:25" ht="15" customHeight="1" x14ac:dyDescent="0.25">
      <c r="A123" s="135"/>
      <c r="B123" s="142" t="s">
        <v>367</v>
      </c>
      <c r="C123" t="str">
        <f>IF(AND(IFERROR(INDEX(Instructions!$T$111:$T$222,MATCH(D123,Instructions!$T$111:$T$222,0)), "")=D123, D123&lt;&gt;""), "X", "")</f>
        <v/>
      </c>
      <c r="D123" s="138" t="s">
        <v>2186</v>
      </c>
      <c r="E123" s="289" t="s">
        <v>154</v>
      </c>
      <c r="F123" s="434">
        <f>IFERROR(IF(AND($F$5="Projected Points",Beersheet!A118&lt;&gt;"QB"), T123, IF(H123="", INDEX(Tier!$B$16:$B$24,MATCH(G123,Tier!$A$16:$A$24,0)), INDEX(Tier!$B$16:$B$24,MATCH(H123,Tier!$A$16:$A$24,0)))), "")</f>
        <v>24.08229</v>
      </c>
      <c r="G123" s="290">
        <f t="shared" si="9"/>
        <v>8</v>
      </c>
      <c r="H123" s="291"/>
      <c r="I123" s="392" t="str">
        <f>IFERROR(INDEX(ADP!R:R,MATCH(D123,ADP!D:D,0))-RBproj!K123,"")</f>
        <v/>
      </c>
      <c r="J123" s="127"/>
      <c r="K123" s="89">
        <v>117</v>
      </c>
      <c r="L123" t="s">
        <v>367</v>
      </c>
      <c r="M123">
        <f t="shared" si="6"/>
        <v>0</v>
      </c>
      <c r="N123" s="4">
        <f>IFERROR(INDEX(ADP!AC:AC,MATCH(D123,ADP!Y:Y,0)),0)</f>
        <v>0</v>
      </c>
      <c r="O123" t="s">
        <v>3</v>
      </c>
      <c r="R123" t="str">
        <f>IFERROR(VLOOKUP(S123,FFARawStatProjections!AT:AV,2,FALSE),"")</f>
        <v>NYG</v>
      </c>
      <c r="S123" s="4" t="str">
        <f>INDEX(FFARawStatProjections!AT:AT,MATCH(T123,FFARawStatProjections!AV:AV,0))</f>
        <v>Gary Brightwell</v>
      </c>
      <c r="T123" s="428">
        <f>LARGE(FFARawStatProjections!AV:AV,RBproj!K123)</f>
        <v>24.08229</v>
      </c>
      <c r="U123" s="249">
        <f t="shared" si="7"/>
        <v>-168.28910666666667</v>
      </c>
      <c r="V123" s="243">
        <f t="shared" si="10"/>
        <v>28321.223422664712</v>
      </c>
      <c r="W123" s="244"/>
      <c r="X123" s="243">
        <f t="shared" si="8"/>
        <v>-10.518069166666667</v>
      </c>
      <c r="Y123" s="238">
        <f>IFERROR(IF(ISBLANK(Beersheet!$A$1)=FALSE,
INDEX(Beersheet!$A:$U,MATCH(S123,INDEX(Beersheet!$A:$U,0,FFARawStatProjections!$BV$2),0),FFARawStatProjections!$BV$6),
IF(X123&gt;6,0,
IF(AND(X123&lt;=6,X123&gt;5),1,
IF(AND(X123&lt;=5,X123&gt;4),2,
IF(AND(X123&lt;=4,X123&gt;3),3,
IF(AND(X123&lt;=3,X123&gt;2),4,
IF(AND(X123&lt;=2,X123&gt;1),5,
IF(AND(X123&lt;=1,X123&gt;0),6,
IF(AND(X123&lt;=0,X123&gt;-1),7,
8))))))))),
10)</f>
        <v>8</v>
      </c>
    </row>
    <row r="124" spans="1:25" ht="15" customHeight="1" x14ac:dyDescent="0.25">
      <c r="A124" s="135"/>
      <c r="B124" s="143" t="s">
        <v>368</v>
      </c>
      <c r="C124" t="str">
        <f>IF(AND(IFERROR(INDEX(Instructions!$T$111:$T$222,MATCH(D124,Instructions!$T$111:$T$222,0)), "")=D124, D124&lt;&gt;""), "X", "")</f>
        <v/>
      </c>
      <c r="D124" s="137" t="s">
        <v>2307</v>
      </c>
      <c r="E124" s="286" t="s">
        <v>157</v>
      </c>
      <c r="F124" s="232">
        <f>IFERROR(IF(AND($F$5="Projected Points",Beersheet!A119&lt;&gt;"QB"), T124, IF(H124="", INDEX(Tier!$B$16:$B$24,MATCH(G124,Tier!$A$16:$A$24,0)), INDEX(Tier!$B$16:$B$24,MATCH(H124,Tier!$A$16:$A$24,0)))), "")</f>
        <v>23.48237</v>
      </c>
      <c r="G124" s="287">
        <f t="shared" si="9"/>
        <v>8</v>
      </c>
      <c r="H124" s="288"/>
      <c r="I124" s="392" t="str">
        <f>IFERROR(INDEX(ADP!R:R,MATCH(D124,ADP!D:D,0))-RBproj!K124,"")</f>
        <v/>
      </c>
      <c r="J124" s="127"/>
      <c r="K124" s="89">
        <v>118</v>
      </c>
      <c r="L124" t="s">
        <v>368</v>
      </c>
      <c r="M124">
        <f t="shared" si="6"/>
        <v>0</v>
      </c>
      <c r="N124" s="4">
        <f>IFERROR(INDEX(ADP!AC:AC,MATCH(D124,ADP!Y:Y,0)),0)</f>
        <v>0</v>
      </c>
      <c r="O124" t="s">
        <v>3</v>
      </c>
      <c r="R124" t="str">
        <f>IFERROR(VLOOKUP(S124,FFARawStatProjections!AT:AV,2,FALSE),"")</f>
        <v>LV</v>
      </c>
      <c r="S124" s="4" t="str">
        <f>INDEX(FFARawStatProjections!AT:AT,MATCH(T124,FFARawStatProjections!AV:AV,0))</f>
        <v>Damien Williams</v>
      </c>
      <c r="T124" s="428">
        <f>LARGE(FFARawStatProjections!AV:AV,RBproj!K124)</f>
        <v>23.48237</v>
      </c>
      <c r="U124" s="249">
        <f t="shared" si="7"/>
        <v>-168.88902666666667</v>
      </c>
      <c r="V124" s="243">
        <f t="shared" si="10"/>
        <v>28523.503328414045</v>
      </c>
      <c r="W124" s="244"/>
      <c r="X124" s="243">
        <f t="shared" si="8"/>
        <v>-10.555564166666667</v>
      </c>
      <c r="Y124" s="238">
        <f>IFERROR(IF(ISBLANK(Beersheet!$A$1)=FALSE,
INDEX(Beersheet!$A:$U,MATCH(S124,INDEX(Beersheet!$A:$U,0,FFARawStatProjections!$BV$2),0),FFARawStatProjections!$BV$6),
IF(X124&gt;6,0,
IF(AND(X124&lt;=6,X124&gt;5),1,
IF(AND(X124&lt;=5,X124&gt;4),2,
IF(AND(X124&lt;=4,X124&gt;3),3,
IF(AND(X124&lt;=3,X124&gt;2),4,
IF(AND(X124&lt;=2,X124&gt;1),5,
IF(AND(X124&lt;=1,X124&gt;0),6,
IF(AND(X124&lt;=0,X124&gt;-1),7,
8))))))))),
10)</f>
        <v>8</v>
      </c>
    </row>
    <row r="125" spans="1:25" ht="15" customHeight="1" x14ac:dyDescent="0.25">
      <c r="A125" s="135"/>
      <c r="B125" s="142" t="s">
        <v>369</v>
      </c>
      <c r="C125" t="str">
        <f>IF(AND(IFERROR(INDEX(Instructions!$T$111:$T$222,MATCH(D125,Instructions!$T$111:$T$222,0)), "")=D125, D125&lt;&gt;""), "X", "")</f>
        <v/>
      </c>
      <c r="D125" s="138" t="s">
        <v>1778</v>
      </c>
      <c r="E125" s="289" t="s">
        <v>161</v>
      </c>
      <c r="F125" s="434">
        <f>IFERROR(IF(AND($F$5="Projected Points",Beersheet!A120&lt;&gt;"QB"), T125, IF(H125="", INDEX(Tier!$B$16:$B$24,MATCH(G125,Tier!$A$16:$A$24,0)), INDEX(Tier!$B$16:$B$24,MATCH(H125,Tier!$A$16:$A$24,0)))), "")</f>
        <v>23.082349999999998</v>
      </c>
      <c r="G125" s="290">
        <f t="shared" si="9"/>
        <v>8</v>
      </c>
      <c r="H125" s="291"/>
      <c r="I125" s="392" t="str">
        <f>IFERROR(INDEX(ADP!R:R,MATCH(D125,ADP!D:D,0))-RBproj!K125,"")</f>
        <v/>
      </c>
      <c r="J125" s="127"/>
      <c r="K125" s="89">
        <v>119</v>
      </c>
      <c r="L125" t="s">
        <v>369</v>
      </c>
      <c r="M125">
        <f t="shared" si="6"/>
        <v>0</v>
      </c>
      <c r="N125" s="4">
        <f>IFERROR(INDEX(ADP!AC:AC,MATCH(D125,ADP!Y:Y,0)),0)</f>
        <v>0</v>
      </c>
      <c r="O125" t="s">
        <v>3</v>
      </c>
      <c r="R125" t="str">
        <f>IFERROR(VLOOKUP(S125,FFARawStatProjections!AT:AV,2,FALSE),"")</f>
        <v>CLE</v>
      </c>
      <c r="S125" s="4" t="str">
        <f>INDEX(FFARawStatProjections!AT:AT,MATCH(T125,FFARawStatProjections!AV:AV,0))</f>
        <v>John Kelly</v>
      </c>
      <c r="T125" s="428">
        <f>LARGE(FFARawStatProjections!AV:AV,RBproj!K125)</f>
        <v>23.082349999999998</v>
      </c>
      <c r="U125" s="249">
        <f t="shared" si="7"/>
        <v>-169.28904666666668</v>
      </c>
      <c r="V125" s="243">
        <f t="shared" si="10"/>
        <v>28658.781321308848</v>
      </c>
      <c r="W125" s="244"/>
      <c r="X125" s="243">
        <f t="shared" si="8"/>
        <v>-10.580565416666667</v>
      </c>
      <c r="Y125" s="238">
        <f>IFERROR(IF(ISBLANK(Beersheet!$A$1)=FALSE,
INDEX(Beersheet!$A:$U,MATCH(S125,INDEX(Beersheet!$A:$U,0,FFARawStatProjections!$BV$2),0),FFARawStatProjections!$BV$6),
IF(X125&gt;6,0,
IF(AND(X125&lt;=6,X125&gt;5),1,
IF(AND(X125&lt;=5,X125&gt;4),2,
IF(AND(X125&lt;=4,X125&gt;3),3,
IF(AND(X125&lt;=3,X125&gt;2),4,
IF(AND(X125&lt;=2,X125&gt;1),5,
IF(AND(X125&lt;=1,X125&gt;0),6,
IF(AND(X125&lt;=0,X125&gt;-1),7,
8))))))))),
10)</f>
        <v>8</v>
      </c>
    </row>
    <row r="126" spans="1:25" ht="15" customHeight="1" x14ac:dyDescent="0.25">
      <c r="A126" s="135"/>
      <c r="B126" s="143" t="s">
        <v>370</v>
      </c>
      <c r="C126" t="str">
        <f>IF(AND(IFERROR(INDEX(Instructions!$T$111:$T$222,MATCH(D126,Instructions!$T$111:$T$222,0)), "")=D126, D126&lt;&gt;""), "X", "")</f>
        <v/>
      </c>
      <c r="D126" s="137" t="s">
        <v>1149</v>
      </c>
      <c r="E126" s="286" t="s">
        <v>2073</v>
      </c>
      <c r="F126" s="232">
        <f>IFERROR(IF(AND($F$5="Projected Points",Beersheet!A121&lt;&gt;"QB"), T126, IF(H126="", INDEX(Tier!$B$16:$B$24,MATCH(G126,Tier!$A$16:$A$24,0)), INDEX(Tier!$B$16:$B$24,MATCH(H126,Tier!$A$16:$A$24,0)))), "")</f>
        <v>22.862269999999999</v>
      </c>
      <c r="G126" s="287">
        <f t="shared" si="9"/>
        <v>8</v>
      </c>
      <c r="H126" s="288"/>
      <c r="I126" s="392" t="str">
        <f>IFERROR(INDEX(ADP!R:R,MATCH(D126,ADP!D:D,0))-RBproj!K126,"")</f>
        <v/>
      </c>
      <c r="J126" s="127"/>
      <c r="K126" s="89">
        <v>120</v>
      </c>
      <c r="L126" t="s">
        <v>370</v>
      </c>
      <c r="M126">
        <f t="shared" si="6"/>
        <v>0</v>
      </c>
      <c r="N126" s="4">
        <f>IFERROR(INDEX(ADP!AC:AC,MATCH(D126,ADP!Y:Y,0)),0)</f>
        <v>0</v>
      </c>
      <c r="O126" t="s">
        <v>3</v>
      </c>
      <c r="R126" t="str">
        <f>IFERROR(VLOOKUP(S126,FFARawStatProjections!AT:AV,2,FALSE),"")</f>
        <v>NE</v>
      </c>
      <c r="S126" s="4" t="str">
        <f>INDEX(FFARawStatProjections!AT:AT,MATCH(T126,FFARawStatProjections!AV:AV,0))</f>
        <v>Kevin Harris</v>
      </c>
      <c r="T126" s="428">
        <f>LARGE(FFARawStatProjections!AV:AV,RBproj!K126)</f>
        <v>22.862269999999999</v>
      </c>
      <c r="U126" s="249">
        <f t="shared" si="7"/>
        <v>-169.50912666666667</v>
      </c>
      <c r="V126" s="243">
        <f t="shared" si="10"/>
        <v>28733.344023296046</v>
      </c>
      <c r="W126" s="244"/>
      <c r="X126" s="243">
        <f t="shared" si="8"/>
        <v>-10.594320416666667</v>
      </c>
      <c r="Y126" s="238">
        <f>IFERROR(IF(ISBLANK(Beersheet!$A$1)=FALSE,
INDEX(Beersheet!$A:$U,MATCH(S126,INDEX(Beersheet!$A:$U,0,FFARawStatProjections!$BV$2),0),FFARawStatProjections!$BV$6),
IF(X126&gt;6,0,
IF(AND(X126&lt;=6,X126&gt;5),1,
IF(AND(X126&lt;=5,X126&gt;4),2,
IF(AND(X126&lt;=4,X126&gt;3),3,
IF(AND(X126&lt;=3,X126&gt;2),4,
IF(AND(X126&lt;=2,X126&gt;1),5,
IF(AND(X126&lt;=1,X126&gt;0),6,
IF(AND(X126&lt;=0,X126&gt;-1),7,
8))))))))),
10)</f>
        <v>8</v>
      </c>
    </row>
    <row r="127" spans="1:25" ht="15" customHeight="1" x14ac:dyDescent="0.25">
      <c r="A127" s="135"/>
      <c r="B127" s="142" t="s">
        <v>371</v>
      </c>
      <c r="C127" t="str">
        <f>IF(AND(IFERROR(INDEX(Instructions!$T$111:$T$222,MATCH(D127,Instructions!$T$111:$T$222,0)), "")=D127, D127&lt;&gt;""), "X", "")</f>
        <v/>
      </c>
      <c r="D127" s="138" t="s">
        <v>2194</v>
      </c>
      <c r="E127" s="289" t="s">
        <v>144</v>
      </c>
      <c r="F127" s="434">
        <f>IFERROR(IF(AND($F$5="Projected Points",Beersheet!A122&lt;&gt;"QB"), T127, IF(H127="", INDEX(Tier!$B$16:$B$24,MATCH(G127,Tier!$A$16:$A$24,0)), INDEX(Tier!$B$16:$B$24,MATCH(H127,Tier!$A$16:$A$24,0)))), "")</f>
        <v>22.772360000000003</v>
      </c>
      <c r="G127" s="290">
        <f t="shared" si="9"/>
        <v>8</v>
      </c>
      <c r="H127" s="291"/>
      <c r="I127" s="392" t="str">
        <f>IFERROR(INDEX(ADP!R:R,MATCH(D127,ADP!D:D,0))-RBproj!K127,"")</f>
        <v/>
      </c>
      <c r="J127" s="127"/>
      <c r="K127" s="89">
        <v>121</v>
      </c>
      <c r="L127" t="s">
        <v>371</v>
      </c>
      <c r="M127">
        <f t="shared" si="6"/>
        <v>0</v>
      </c>
      <c r="N127" s="4">
        <f>IFERROR(INDEX(ADP!AC:AC,MATCH(D127,ADP!Y:Y,0)),0)</f>
        <v>0</v>
      </c>
      <c r="O127" t="s">
        <v>3</v>
      </c>
      <c r="R127" t="str">
        <f>IFERROR(VLOOKUP(S127,FFARawStatProjections!AT:AV,2,FALSE),"")</f>
        <v>DEN</v>
      </c>
      <c r="S127" s="4" t="str">
        <f>INDEX(FFARawStatProjections!AT:AT,MATCH(T127,FFARawStatProjections!AV:AV,0))</f>
        <v>Tony Jones</v>
      </c>
      <c r="T127" s="428">
        <f>LARGE(FFARawStatProjections!AV:AV,RBproj!K127)</f>
        <v>22.772360000000003</v>
      </c>
      <c r="U127" s="249">
        <f t="shared" si="7"/>
        <v>-169.59903666666668</v>
      </c>
      <c r="V127" s="243">
        <f t="shared" si="10"/>
        <v>28763.833238261348</v>
      </c>
      <c r="W127" s="244"/>
      <c r="X127" s="243">
        <f t="shared" si="8"/>
        <v>-10.599939791666667</v>
      </c>
      <c r="Y127" s="238">
        <f>IFERROR(IF(ISBLANK(Beersheet!$A$1)=FALSE,
INDEX(Beersheet!$A:$U,MATCH(S127,INDEX(Beersheet!$A:$U,0,FFARawStatProjections!$BV$2),0),FFARawStatProjections!$BV$6),
IF(X127&gt;6,0,
IF(AND(X127&lt;=6,X127&gt;5),1,
IF(AND(X127&lt;=5,X127&gt;4),2,
IF(AND(X127&lt;=4,X127&gt;3),3,
IF(AND(X127&lt;=3,X127&gt;2),4,
IF(AND(X127&lt;=2,X127&gt;1),5,
IF(AND(X127&lt;=1,X127&gt;0),6,
IF(AND(X127&lt;=0,X127&gt;-1),7,
8))))))))),
10)</f>
        <v>8</v>
      </c>
    </row>
    <row r="128" spans="1:25" ht="15" customHeight="1" x14ac:dyDescent="0.25">
      <c r="A128" s="135"/>
      <c r="B128" s="143" t="s">
        <v>372</v>
      </c>
      <c r="C128" t="str">
        <f>IF(AND(IFERROR(INDEX(Instructions!$T$111:$T$222,MATCH(D128,Instructions!$T$111:$T$222,0)), "")=D128, D128&lt;&gt;""), "X", "")</f>
        <v/>
      </c>
      <c r="D128" s="137" t="s">
        <v>1831</v>
      </c>
      <c r="E128" s="286" t="s">
        <v>143</v>
      </c>
      <c r="F128" s="232">
        <f>IFERROR(IF(AND($F$5="Projected Points",Beersheet!A123&lt;&gt;"QB"), T128, IF(H128="", INDEX(Tier!$B$16:$B$24,MATCH(G128,Tier!$A$16:$A$24,0)), INDEX(Tier!$B$16:$B$24,MATCH(H128,Tier!$A$16:$A$24,0)))), "")</f>
        <v>21.652560000000001</v>
      </c>
      <c r="G128" s="287">
        <f t="shared" si="9"/>
        <v>8</v>
      </c>
      <c r="H128" s="288"/>
      <c r="I128" s="392" t="str">
        <f>IFERROR(INDEX(ADP!R:R,MATCH(D128,ADP!D:D,0))-RBproj!K128,"")</f>
        <v/>
      </c>
      <c r="J128" s="127"/>
      <c r="K128" s="89">
        <v>122</v>
      </c>
      <c r="L128" t="s">
        <v>372</v>
      </c>
      <c r="M128">
        <f t="shared" si="6"/>
        <v>0</v>
      </c>
      <c r="N128" s="4">
        <f>IFERROR(INDEX(ADP!AC:AC,MATCH(D128,ADP!Y:Y,0)),0)</f>
        <v>0</v>
      </c>
      <c r="O128" t="s">
        <v>3</v>
      </c>
      <c r="R128" t="str">
        <f>IFERROR(VLOOKUP(S128,FFARawStatProjections!AT:AV,2,FALSE),"")</f>
        <v>MIA</v>
      </c>
      <c r="S128" s="4" t="str">
        <f>INDEX(FFARawStatProjections!AT:AT,MATCH(T128,FFARawStatProjections!AV:AV,0))</f>
        <v>Alec Ingold</v>
      </c>
      <c r="T128" s="428">
        <f>LARGE(FFARawStatProjections!AV:AV,RBproj!K128)</f>
        <v>21.652560000000001</v>
      </c>
      <c r="U128" s="249">
        <f t="shared" si="7"/>
        <v>-170.71883666666668</v>
      </c>
      <c r="V128" s="243">
        <f t="shared" si="10"/>
        <v>29144.921192820013</v>
      </c>
      <c r="W128" s="244"/>
      <c r="X128" s="243">
        <f t="shared" si="8"/>
        <v>-10.669927291666667</v>
      </c>
      <c r="Y128" s="238">
        <f>IFERROR(IF(ISBLANK(Beersheet!$A$1)=FALSE,
INDEX(Beersheet!$A:$U,MATCH(S128,INDEX(Beersheet!$A:$U,0,FFARawStatProjections!$BV$2),0),FFARawStatProjections!$BV$6),
IF(X128&gt;6,0,
IF(AND(X128&lt;=6,X128&gt;5),1,
IF(AND(X128&lt;=5,X128&gt;4),2,
IF(AND(X128&lt;=4,X128&gt;3),3,
IF(AND(X128&lt;=3,X128&gt;2),4,
IF(AND(X128&lt;=2,X128&gt;1),5,
IF(AND(X128&lt;=1,X128&gt;0),6,
IF(AND(X128&lt;=0,X128&gt;-1),7,
8))))))))),
10)</f>
        <v>8</v>
      </c>
    </row>
    <row r="129" spans="1:25" ht="15" customHeight="1" x14ac:dyDescent="0.25">
      <c r="A129" s="135"/>
      <c r="B129" s="142" t="s">
        <v>373</v>
      </c>
      <c r="C129" t="str">
        <f>IF(AND(IFERROR(INDEX(Instructions!$T$111:$T$222,MATCH(D129,Instructions!$T$111:$T$222,0)), "")=D129, D129&lt;&gt;""), "X", "")</f>
        <v/>
      </c>
      <c r="D129" s="138" t="s">
        <v>1879</v>
      </c>
      <c r="E129" s="289" t="s">
        <v>166</v>
      </c>
      <c r="F129" s="434">
        <f>IFERROR(IF(AND($F$5="Projected Points",Beersheet!A124&lt;&gt;"QB"), T129, IF(H129="", INDEX(Tier!$B$16:$B$24,MATCH(G129,Tier!$A$16:$A$24,0)), INDEX(Tier!$B$16:$B$24,MATCH(H129,Tier!$A$16:$A$24,0)))), "")</f>
        <v>21.642500000000002</v>
      </c>
      <c r="G129" s="290">
        <f t="shared" si="9"/>
        <v>8</v>
      </c>
      <c r="H129" s="291"/>
      <c r="I129" s="392" t="str">
        <f>IFERROR(INDEX(ADP!R:R,MATCH(D129,ADP!D:D,0))-RBproj!K129,"")</f>
        <v/>
      </c>
      <c r="J129" s="127"/>
      <c r="K129" s="89">
        <v>123</v>
      </c>
      <c r="L129" t="s">
        <v>373</v>
      </c>
      <c r="M129">
        <f t="shared" si="6"/>
        <v>0</v>
      </c>
      <c r="N129" s="4">
        <f>IFERROR(INDEX(ADP!AC:AC,MATCH(D129,ADP!Y:Y,0)),0)</f>
        <v>0</v>
      </c>
      <c r="O129" t="s">
        <v>3</v>
      </c>
      <c r="R129" t="str">
        <f>IFERROR(VLOOKUP(S129,FFARawStatProjections!AT:AV,2,FALSE),"")</f>
        <v>BUF</v>
      </c>
      <c r="S129" s="4" t="str">
        <f>INDEX(FFARawStatProjections!AT:AT,MATCH(T129,FFARawStatProjections!AV:AV,0))</f>
        <v>Reggie Gilliam</v>
      </c>
      <c r="T129" s="428">
        <f>LARGE(FFARawStatProjections!AV:AV,RBproj!K129)</f>
        <v>21.642500000000002</v>
      </c>
      <c r="U129" s="249">
        <f t="shared" si="7"/>
        <v>-170.72889666666666</v>
      </c>
      <c r="V129" s="243">
        <f t="shared" si="10"/>
        <v>29148.356157017341</v>
      </c>
      <c r="W129" s="244"/>
      <c r="X129" s="243">
        <f t="shared" si="8"/>
        <v>-10.670556041666666</v>
      </c>
      <c r="Y129" s="238">
        <f>IFERROR(IF(ISBLANK(Beersheet!$A$1)=FALSE,
INDEX(Beersheet!$A:$U,MATCH(S129,INDEX(Beersheet!$A:$U,0,FFARawStatProjections!$BV$2),0),FFARawStatProjections!$BV$6),
IF(X129&gt;6,0,
IF(AND(X129&lt;=6,X129&gt;5),1,
IF(AND(X129&lt;=5,X129&gt;4),2,
IF(AND(X129&lt;=4,X129&gt;3),3,
IF(AND(X129&lt;=3,X129&gt;2),4,
IF(AND(X129&lt;=2,X129&gt;1),5,
IF(AND(X129&lt;=1,X129&gt;0),6,
IF(AND(X129&lt;=0,X129&gt;-1),7,
8))))))))),
10)</f>
        <v>8</v>
      </c>
    </row>
    <row r="130" spans="1:25" ht="15" customHeight="1" x14ac:dyDescent="0.25">
      <c r="A130" s="135"/>
      <c r="B130" s="143" t="s">
        <v>374</v>
      </c>
      <c r="C130" t="str">
        <f>IF(AND(IFERROR(INDEX(Instructions!$T$111:$T$222,MATCH(D130,Instructions!$T$111:$T$222,0)), "")=D130, D130&lt;&gt;""), "X", "")</f>
        <v/>
      </c>
      <c r="D130" s="137" t="s">
        <v>2300</v>
      </c>
      <c r="E130" s="286" t="s">
        <v>155</v>
      </c>
      <c r="F130" s="232">
        <f>IFERROR(IF(AND($F$5="Projected Points",Beersheet!A125&lt;&gt;"QB"), T130, IF(H130="", INDEX(Tier!$B$16:$B$24,MATCH(G130,Tier!$A$16:$A$24,0)), INDEX(Tier!$B$16:$B$24,MATCH(H130,Tier!$A$16:$A$24,0)))), "")</f>
        <v>21.272440000000003</v>
      </c>
      <c r="G130" s="287">
        <f t="shared" si="9"/>
        <v>8</v>
      </c>
      <c r="H130" s="288"/>
      <c r="I130" s="392" t="str">
        <f>IFERROR(INDEX(ADP!R:R,MATCH(D130,ADP!D:D,0))-RBproj!K130,"")</f>
        <v/>
      </c>
      <c r="J130" s="127"/>
      <c r="K130" s="89">
        <v>124</v>
      </c>
      <c r="L130" t="s">
        <v>374</v>
      </c>
      <c r="M130">
        <f t="shared" si="6"/>
        <v>0</v>
      </c>
      <c r="N130" s="4">
        <f>IFERROR(INDEX(ADP!AC:AC,MATCH(D130,ADP!Y:Y,0)),0)</f>
        <v>0</v>
      </c>
      <c r="O130" t="s">
        <v>3</v>
      </c>
      <c r="R130" t="str">
        <f>IFERROR(VLOOKUP(S130,FFARawStatProjections!AT:AV,2,FALSE),"")</f>
        <v>BAL</v>
      </c>
      <c r="S130" s="4" t="str">
        <f>INDEX(FFARawStatProjections!AT:AT,MATCH(T130,FFARawStatProjections!AV:AV,0))</f>
        <v>Justice Hill</v>
      </c>
      <c r="T130" s="428">
        <f>LARGE(FFARawStatProjections!AV:AV,RBproj!K130)</f>
        <v>21.272440000000003</v>
      </c>
      <c r="U130" s="249">
        <f t="shared" si="7"/>
        <v>-171.09895666666665</v>
      </c>
      <c r="V130" s="243">
        <f t="shared" si="10"/>
        <v>29274.852972421872</v>
      </c>
      <c r="W130" s="244"/>
      <c r="X130" s="243">
        <f t="shared" si="8"/>
        <v>-10.693684791666666</v>
      </c>
      <c r="Y130" s="238">
        <f>IFERROR(IF(ISBLANK(Beersheet!$A$1)=FALSE,
INDEX(Beersheet!$A:$U,MATCH(S130,INDEX(Beersheet!$A:$U,0,FFARawStatProjections!$BV$2),0),FFARawStatProjections!$BV$6),
IF(X130&gt;6,0,
IF(AND(X130&lt;=6,X130&gt;5),1,
IF(AND(X130&lt;=5,X130&gt;4),2,
IF(AND(X130&lt;=4,X130&gt;3),3,
IF(AND(X130&lt;=3,X130&gt;2),4,
IF(AND(X130&lt;=2,X130&gt;1),5,
IF(AND(X130&lt;=1,X130&gt;0),6,
IF(AND(X130&lt;=0,X130&gt;-1),7,
8))))))))),
10)</f>
        <v>8</v>
      </c>
    </row>
    <row r="131" spans="1:25" ht="15" customHeight="1" x14ac:dyDescent="0.25">
      <c r="A131" s="135"/>
      <c r="B131" s="142" t="s">
        <v>375</v>
      </c>
      <c r="C131" t="str">
        <f>IF(AND(IFERROR(INDEX(Instructions!$T$111:$T$222,MATCH(D131,Instructions!$T$111:$T$222,0)), "")=D131, D131&lt;&gt;""), "X", "")</f>
        <v/>
      </c>
      <c r="D131" s="138" t="s">
        <v>2177</v>
      </c>
      <c r="E131" s="289" t="s">
        <v>166</v>
      </c>
      <c r="F131" s="434">
        <f>IFERROR(IF(AND($F$5="Projected Points",Beersheet!A126&lt;&gt;"QB"), T131, IF(H131="", INDEX(Tier!$B$16:$B$24,MATCH(G131,Tier!$A$16:$A$24,0)), INDEX(Tier!$B$16:$B$24,MATCH(H131,Tier!$A$16:$A$24,0)))), "")</f>
        <v>21.032389999999999</v>
      </c>
      <c r="G131" s="290">
        <f t="shared" si="9"/>
        <v>8</v>
      </c>
      <c r="H131" s="291"/>
      <c r="I131" s="392" t="str">
        <f>IFERROR(INDEX(ADP!R:R,MATCH(D131,ADP!D:D,0))-RBproj!K131,"")</f>
        <v/>
      </c>
      <c r="J131" s="127"/>
      <c r="K131" s="89">
        <v>125</v>
      </c>
      <c r="L131" t="s">
        <v>375</v>
      </c>
      <c r="M131">
        <f t="shared" si="6"/>
        <v>0</v>
      </c>
      <c r="N131" s="4">
        <f>IFERROR(INDEX(ADP!AC:AC,MATCH(D131,ADP!Y:Y,0)),0)</f>
        <v>0</v>
      </c>
      <c r="O131" t="s">
        <v>3</v>
      </c>
      <c r="R131" t="str">
        <f>IFERROR(VLOOKUP(S131,FFARawStatProjections!AT:AV,2,FALSE),"")</f>
        <v>MIA</v>
      </c>
      <c r="S131" s="4" t="str">
        <f>INDEX(FFARawStatProjections!AT:AT,MATCH(T131,FFARawStatProjections!AV:AV,0))</f>
        <v>Myles Gaskin</v>
      </c>
      <c r="T131" s="428">
        <f>LARGE(FFARawStatProjections!AV:AV,RBproj!K131)</f>
        <v>21.032389999999999</v>
      </c>
      <c r="U131" s="249">
        <f t="shared" si="7"/>
        <v>-171.33900666666668</v>
      </c>
      <c r="V131" s="243">
        <f t="shared" si="10"/>
        <v>29357.05520552005</v>
      </c>
      <c r="W131" s="244"/>
      <c r="X131" s="243">
        <f t="shared" si="8"/>
        <v>-10.708687916666667</v>
      </c>
      <c r="Y131" s="238">
        <f>IFERROR(IF(ISBLANK(Beersheet!$A$1)=FALSE,
INDEX(Beersheet!$A:$U,MATCH(S131,INDEX(Beersheet!$A:$U,0,FFARawStatProjections!$BV$2),0),FFARawStatProjections!$BV$6),
IF(X131&gt;6,0,
IF(AND(X131&lt;=6,X131&gt;5),1,
IF(AND(X131&lt;=5,X131&gt;4),2,
IF(AND(X131&lt;=4,X131&gt;3),3,
IF(AND(X131&lt;=3,X131&gt;2),4,
IF(AND(X131&lt;=2,X131&gt;1),5,
IF(AND(X131&lt;=1,X131&gt;0),6,
IF(AND(X131&lt;=0,X131&gt;-1),7,
8))))))))),
10)</f>
        <v>8</v>
      </c>
    </row>
    <row r="132" spans="1:25" ht="15" customHeight="1" x14ac:dyDescent="0.25">
      <c r="A132" s="135"/>
      <c r="B132" s="143" t="s">
        <v>376</v>
      </c>
      <c r="C132" t="str">
        <f>IF(AND(IFERROR(INDEX(Instructions!$T$111:$T$222,MATCH(D132,Instructions!$T$111:$T$222,0)), "")=D132, D132&lt;&gt;""), "X", "")</f>
        <v/>
      </c>
      <c r="D132" s="137" t="s">
        <v>1869</v>
      </c>
      <c r="E132" s="286" t="s">
        <v>162</v>
      </c>
      <c r="F132" s="232">
        <f>IFERROR(IF(AND($F$5="Projected Points",Beersheet!A127&lt;&gt;"QB"), T132, IF(H132="", INDEX(Tier!$B$16:$B$24,MATCH(G132,Tier!$A$16:$A$24,0)), INDEX(Tier!$B$16:$B$24,MATCH(H132,Tier!$A$16:$A$24,0)))), "")</f>
        <v>20.682490000000001</v>
      </c>
      <c r="G132" s="287">
        <f t="shared" si="9"/>
        <v>8</v>
      </c>
      <c r="H132" s="288"/>
      <c r="I132" s="392" t="str">
        <f>IFERROR(INDEX(ADP!R:R,MATCH(D132,ADP!D:D,0))-RBproj!K132,"")</f>
        <v/>
      </c>
      <c r="J132" s="127"/>
      <c r="K132" s="89">
        <v>126</v>
      </c>
      <c r="L132" t="s">
        <v>376</v>
      </c>
      <c r="M132">
        <f t="shared" si="6"/>
        <v>0</v>
      </c>
      <c r="N132" s="4">
        <f>IFERROR(INDEX(ADP!AC:AC,MATCH(D132,ADP!Y:Y,0)),0)</f>
        <v>0</v>
      </c>
      <c r="O132" t="s">
        <v>3</v>
      </c>
      <c r="R132" t="str">
        <f>IFERROR(VLOOKUP(S132,FFARawStatProjections!AT:AV,2,FALSE),"")</f>
        <v>NO</v>
      </c>
      <c r="S132" s="4" t="str">
        <f>INDEX(FFARawStatProjections!AT:AT,MATCH(T132,FFARawStatProjections!AV:AV,0))</f>
        <v>Kirk Merritt</v>
      </c>
      <c r="T132" s="428">
        <f>LARGE(FFARawStatProjections!AV:AV,RBproj!K132)</f>
        <v>20.682490000000001</v>
      </c>
      <c r="U132" s="249">
        <f t="shared" si="7"/>
        <v>-171.68890666666667</v>
      </c>
      <c r="V132" s="243">
        <f t="shared" si="10"/>
        <v>29477.080672395379</v>
      </c>
      <c r="W132" s="244"/>
      <c r="X132" s="243">
        <f t="shared" si="8"/>
        <v>-10.730556666666667</v>
      </c>
      <c r="Y132" s="238">
        <f>IFERROR(IF(ISBLANK(Beersheet!$A$1)=FALSE,
INDEX(Beersheet!$A:$U,MATCH(S132,INDEX(Beersheet!$A:$U,0,FFARawStatProjections!$BV$2),0),FFARawStatProjections!$BV$6),
IF(X132&gt;6,0,
IF(AND(X132&lt;=6,X132&gt;5),1,
IF(AND(X132&lt;=5,X132&gt;4),2,
IF(AND(X132&lt;=4,X132&gt;3),3,
IF(AND(X132&lt;=3,X132&gt;2),4,
IF(AND(X132&lt;=2,X132&gt;1),5,
IF(AND(X132&lt;=1,X132&gt;0),6,
IF(AND(X132&lt;=0,X132&gt;-1),7,
8))))))))),
10)</f>
        <v>8</v>
      </c>
    </row>
    <row r="133" spans="1:25" ht="15" customHeight="1" x14ac:dyDescent="0.25">
      <c r="A133" s="135"/>
      <c r="B133" s="142" t="s">
        <v>377</v>
      </c>
      <c r="C133" t="str">
        <f>IF(AND(IFERROR(INDEX(Instructions!$T$111:$T$222,MATCH(D133,Instructions!$T$111:$T$222,0)), "")=D133, D133&lt;&gt;""), "X", "")</f>
        <v/>
      </c>
      <c r="D133" s="138" t="s">
        <v>980</v>
      </c>
      <c r="E133" s="289" t="s">
        <v>2073</v>
      </c>
      <c r="F133" s="434">
        <f>IFERROR(IF(AND($F$5="Projected Points",Beersheet!A128&lt;&gt;"QB"), T133, IF(H133="", INDEX(Tier!$B$16:$B$24,MATCH(G133,Tier!$A$16:$A$24,0)), INDEX(Tier!$B$16:$B$24,MATCH(H133,Tier!$A$16:$A$24,0)))), "")</f>
        <v>20.462420000000002</v>
      </c>
      <c r="G133" s="290">
        <f t="shared" si="9"/>
        <v>8</v>
      </c>
      <c r="H133" s="291"/>
      <c r="I133" s="392" t="str">
        <f>IFERROR(INDEX(ADP!R:R,MATCH(D133,ADP!D:D,0))-RBproj!K133,"")</f>
        <v/>
      </c>
      <c r="J133" s="127"/>
      <c r="K133" s="89">
        <v>127</v>
      </c>
      <c r="L133" t="s">
        <v>377</v>
      </c>
      <c r="M133">
        <f t="shared" si="6"/>
        <v>0</v>
      </c>
      <c r="N133" s="4">
        <f>IFERROR(INDEX(ADP!AC:AC,MATCH(D133,ADP!Y:Y,0)),0)</f>
        <v>0</v>
      </c>
      <c r="O133" t="s">
        <v>3</v>
      </c>
      <c r="R133" t="str">
        <f>IFERROR(VLOOKUP(S133,FFARawStatProjections!AT:AV,2,FALSE),"")</f>
        <v>LV</v>
      </c>
      <c r="S133" s="4" t="str">
        <f>INDEX(FFARawStatProjections!AT:AT,MATCH(T133,FFARawStatProjections!AV:AV,0))</f>
        <v>Brandon Bolden</v>
      </c>
      <c r="T133" s="428">
        <f>LARGE(FFARawStatProjections!AV:AV,RBproj!K133)</f>
        <v>20.462420000000002</v>
      </c>
      <c r="U133" s="249">
        <f t="shared" si="7"/>
        <v>-171.90897666666666</v>
      </c>
      <c r="V133" s="243">
        <f t="shared" si="10"/>
        <v>29552.696258580541</v>
      </c>
      <c r="W133" s="244"/>
      <c r="X133" s="243">
        <f t="shared" si="8"/>
        <v>-10.744311041666666</v>
      </c>
      <c r="Y133" s="238">
        <f>IFERROR(IF(ISBLANK(Beersheet!$A$1)=FALSE,
INDEX(Beersheet!$A:$U,MATCH(S133,INDEX(Beersheet!$A:$U,0,FFARawStatProjections!$BV$2),0),FFARawStatProjections!$BV$6),
IF(X133&gt;6,0,
IF(AND(X133&lt;=6,X133&gt;5),1,
IF(AND(X133&lt;=5,X133&gt;4),2,
IF(AND(X133&lt;=4,X133&gt;3),3,
IF(AND(X133&lt;=3,X133&gt;2),4,
IF(AND(X133&lt;=2,X133&gt;1),5,
IF(AND(X133&lt;=1,X133&gt;0),6,
IF(AND(X133&lt;=0,X133&gt;-1),7,
8))))))))),
10)</f>
        <v>8</v>
      </c>
    </row>
    <row r="134" spans="1:25" ht="15" customHeight="1" x14ac:dyDescent="0.25">
      <c r="A134" s="135"/>
      <c r="B134" s="143" t="s">
        <v>378</v>
      </c>
      <c r="C134" t="str">
        <f>IF(AND(IFERROR(INDEX(Instructions!$T$111:$T$222,MATCH(D134,Instructions!$T$111:$T$222,0)), "")=D134, D134&lt;&gt;""), "X", "")</f>
        <v/>
      </c>
      <c r="D134" s="137" t="s">
        <v>1216</v>
      </c>
      <c r="E134" s="286" t="s">
        <v>152</v>
      </c>
      <c r="F134" s="232">
        <f>IFERROR(IF(AND($F$5="Projected Points",Beersheet!A129&lt;&gt;"QB"), T134, IF(H134="", INDEX(Tier!$B$16:$B$24,MATCH(G134,Tier!$A$16:$A$24,0)), INDEX(Tier!$B$16:$B$24,MATCH(H134,Tier!$A$16:$A$24,0)))), "")</f>
        <v>20.42238</v>
      </c>
      <c r="G134" s="287">
        <f t="shared" si="9"/>
        <v>8</v>
      </c>
      <c r="H134" s="288"/>
      <c r="I134" s="392" t="str">
        <f>IFERROR(INDEX(ADP!R:R,MATCH(D134,ADP!D:D,0))-RBproj!K134,"")</f>
        <v/>
      </c>
      <c r="J134" s="127"/>
      <c r="K134" s="89">
        <v>128</v>
      </c>
      <c r="L134" t="s">
        <v>378</v>
      </c>
      <c r="M134">
        <f t="shared" si="6"/>
        <v>0</v>
      </c>
      <c r="N134" s="4">
        <f>IFERROR(INDEX(ADP!AC:AC,MATCH(D134,ADP!Y:Y,0)),0)</f>
        <v>0</v>
      </c>
      <c r="O134" t="s">
        <v>3</v>
      </c>
      <c r="R134" t="str">
        <f>IFERROR(VLOOKUP(S134,FFARawStatProjections!AT:AV,2,FALSE),"")</f>
        <v>MIA</v>
      </c>
      <c r="S134" s="4" t="str">
        <f>INDEX(FFARawStatProjections!AT:AT,MATCH(T134,FFARawStatProjections!AV:AV,0))</f>
        <v>Salvon Ahmed</v>
      </c>
      <c r="T134" s="428">
        <f>LARGE(FFARawStatProjections!AV:AV,RBproj!K134)</f>
        <v>20.42238</v>
      </c>
      <c r="U134" s="249">
        <f t="shared" si="7"/>
        <v>-171.94901666666667</v>
      </c>
      <c r="V134" s="243">
        <f t="shared" si="10"/>
        <v>29566.464332633612</v>
      </c>
      <c r="W134" s="244"/>
      <c r="X134" s="243">
        <f t="shared" si="8"/>
        <v>-10.746813541666667</v>
      </c>
      <c r="Y134" s="238">
        <f>IFERROR(IF(ISBLANK(Beersheet!$A$1)=FALSE,
INDEX(Beersheet!$A:$U,MATCH(S134,INDEX(Beersheet!$A:$U,0,FFARawStatProjections!$BV$2),0),FFARawStatProjections!$BV$6),
IF(X134&gt;6,0,
IF(AND(X134&lt;=6,X134&gt;5),1,
IF(AND(X134&lt;=5,X134&gt;4),2,
IF(AND(X134&lt;=4,X134&gt;3),3,
IF(AND(X134&lt;=3,X134&gt;2),4,
IF(AND(X134&lt;=2,X134&gt;1),5,
IF(AND(X134&lt;=1,X134&gt;0),6,
IF(AND(X134&lt;=0,X134&gt;-1),7,
8))))))))),
10)</f>
        <v>8</v>
      </c>
    </row>
    <row r="135" spans="1:25" ht="15" customHeight="1" x14ac:dyDescent="0.25">
      <c r="A135" s="135"/>
      <c r="B135" s="142" t="s">
        <v>379</v>
      </c>
      <c r="C135" t="str">
        <f>IF(AND(IFERROR(INDEX(Instructions!$T$111:$T$222,MATCH(D135,Instructions!$T$111:$T$222,0)), "")=D135, D135&lt;&gt;""), "X", "")</f>
        <v/>
      </c>
      <c r="D135" s="138" t="s">
        <v>2446</v>
      </c>
      <c r="E135" s="289" t="s">
        <v>139</v>
      </c>
      <c r="F135" s="434">
        <f>IFERROR(IF(AND($F$5="Projected Points",Beersheet!A130&lt;&gt;"QB"), T135, IF(H135="", INDEX(Tier!$B$16:$B$24,MATCH(G135,Tier!$A$16:$A$24,0)), INDEX(Tier!$B$16:$B$24,MATCH(H135,Tier!$A$16:$A$24,0)))), "")</f>
        <v>20.33257</v>
      </c>
      <c r="G135" s="290">
        <f t="shared" si="9"/>
        <v>8</v>
      </c>
      <c r="H135" s="291"/>
      <c r="I135" s="392" t="str">
        <f>IFERROR(INDEX(ADP!R:R,MATCH(D135,ADP!D:D,0))-RBproj!K135,"")</f>
        <v/>
      </c>
      <c r="J135" s="127"/>
      <c r="K135" s="89">
        <v>129</v>
      </c>
      <c r="L135" t="s">
        <v>379</v>
      </c>
      <c r="M135">
        <f t="shared" si="6"/>
        <v>0</v>
      </c>
      <c r="N135" s="4">
        <f>IFERROR(INDEX(ADP!AC:AC,MATCH(D135,ADP!Y:Y,0)),0)</f>
        <v>0</v>
      </c>
      <c r="O135" t="s">
        <v>3</v>
      </c>
      <c r="R135" t="str">
        <f>IFERROR(VLOOKUP(S135,FFARawStatProjections!AT:AV,2,FALSE),"")</f>
        <v>BUF</v>
      </c>
      <c r="S135" s="4" t="str">
        <f>INDEX(FFARawStatProjections!AT:AT,MATCH(T135,FFARawStatProjections!AV:AV,0))</f>
        <v>Darrynton Evans</v>
      </c>
      <c r="T135" s="428">
        <f>LARGE(FFARawStatProjections!AV:AV,RBproj!K135)</f>
        <v>20.33257</v>
      </c>
      <c r="U135" s="249">
        <f t="shared" si="7"/>
        <v>-172.03882666666667</v>
      </c>
      <c r="V135" s="243">
        <f t="shared" si="10"/>
        <v>29597.357880843378</v>
      </c>
      <c r="W135" s="244"/>
      <c r="X135" s="243">
        <f t="shared" si="8"/>
        <v>-10.752426666666667</v>
      </c>
      <c r="Y135" s="238">
        <f>IFERROR(IF(ISBLANK(Beersheet!$A$1)=FALSE,
INDEX(Beersheet!$A:$U,MATCH(S135,INDEX(Beersheet!$A:$U,0,FFARawStatProjections!$BV$2),0),FFARawStatProjections!$BV$6),
IF(X135&gt;6,0,
IF(AND(X135&lt;=6,X135&gt;5),1,
IF(AND(X135&lt;=5,X135&gt;4),2,
IF(AND(X135&lt;=4,X135&gt;3),3,
IF(AND(X135&lt;=3,X135&gt;2),4,
IF(AND(X135&lt;=2,X135&gt;1),5,
IF(AND(X135&lt;=1,X135&gt;0),6,
IF(AND(X135&lt;=0,X135&gt;-1),7,
8))))))))),
10)</f>
        <v>8</v>
      </c>
    </row>
    <row r="136" spans="1:25" ht="15" customHeight="1" x14ac:dyDescent="0.25">
      <c r="A136" s="135"/>
      <c r="B136" s="143" t="s">
        <v>380</v>
      </c>
      <c r="C136" t="str">
        <f>IF(AND(IFERROR(INDEX(Instructions!$T$111:$T$222,MATCH(D136,Instructions!$T$111:$T$222,0)), "")=D136, D136&lt;&gt;""), "X", "")</f>
        <v/>
      </c>
      <c r="D136" s="137" t="s">
        <v>2242</v>
      </c>
      <c r="E136" s="286" t="s">
        <v>156</v>
      </c>
      <c r="F136" s="232">
        <f>IFERROR(IF(AND($F$5="Projected Points",Beersheet!A131&lt;&gt;"QB"), T136, IF(H136="", INDEX(Tier!$B$16:$B$24,MATCH(G136,Tier!$A$16:$A$24,0)), INDEX(Tier!$B$16:$B$24,MATCH(H136,Tier!$A$16:$A$24,0)))), "")</f>
        <v>19.992340000000002</v>
      </c>
      <c r="G136" s="287">
        <f t="shared" si="9"/>
        <v>8</v>
      </c>
      <c r="H136" s="288"/>
      <c r="I136" s="392" t="str">
        <f>IFERROR(INDEX(ADP!R:R,MATCH(D136,ADP!D:D,0))-RBproj!K136,"")</f>
        <v/>
      </c>
      <c r="J136" s="127"/>
      <c r="K136" s="89">
        <v>130</v>
      </c>
      <c r="L136" t="s">
        <v>380</v>
      </c>
      <c r="M136">
        <f t="shared" ref="M136:M156" si="11">IF(N136-MEDIAN(N133:N139)&lt;0,0,N136-MEDIAN(N133:N139))</f>
        <v>0</v>
      </c>
      <c r="N136" s="4">
        <f>IFERROR(INDEX(ADP!AC:AC,MATCH(D136,ADP!Y:Y,0)),0)</f>
        <v>0</v>
      </c>
      <c r="O136" t="s">
        <v>3</v>
      </c>
      <c r="R136" t="str">
        <f>IFERROR(VLOOKUP(S136,FFARawStatProjections!AT:AV,2,FALSE),"")</f>
        <v>SF</v>
      </c>
      <c r="S136" s="4" t="str">
        <f>INDEX(FFARawStatProjections!AT:AT,MATCH(T136,FFARawStatProjections!AV:AV,0))</f>
        <v>Tyrion Davis-Price</v>
      </c>
      <c r="T136" s="428">
        <f>LARGE(FFARawStatProjections!AV:AV,RBproj!K136)</f>
        <v>19.992340000000002</v>
      </c>
      <c r="U136" s="249">
        <f t="shared" ref="U136:U156" si="12">$T136-$W$17</f>
        <v>-172.37905666666666</v>
      </c>
      <c r="V136" s="243">
        <f t="shared" si="10"/>
        <v>29714.539177289873</v>
      </c>
      <c r="W136" s="244"/>
      <c r="X136" s="243">
        <f t="shared" ref="X136:X156" si="13">U136/$W$7</f>
        <v>-10.773691041666666</v>
      </c>
      <c r="Y136" s="238">
        <f>IFERROR(IF(ISBLANK(Beersheet!$A$1)=FALSE,
INDEX(Beersheet!$A:$U,MATCH(S136,INDEX(Beersheet!$A:$U,0,FFARawStatProjections!$BV$2),0),FFARawStatProjections!$BV$6),
IF(X136&gt;6,0,
IF(AND(X136&lt;=6,X136&gt;5),1,
IF(AND(X136&lt;=5,X136&gt;4),2,
IF(AND(X136&lt;=4,X136&gt;3),3,
IF(AND(X136&lt;=3,X136&gt;2),4,
IF(AND(X136&lt;=2,X136&gt;1),5,
IF(AND(X136&lt;=1,X136&gt;0),6,
IF(AND(X136&lt;=0,X136&gt;-1),7,
8))))))))),
10)</f>
        <v>8</v>
      </c>
    </row>
    <row r="137" spans="1:25" ht="15" customHeight="1" x14ac:dyDescent="0.25">
      <c r="A137" s="135"/>
      <c r="B137" s="142" t="s">
        <v>381</v>
      </c>
      <c r="C137" t="str">
        <f>IF(AND(IFERROR(INDEX(Instructions!$T$111:$T$222,MATCH(D137,Instructions!$T$111:$T$222,0)), "")=D137, D137&lt;&gt;""), "X", "")</f>
        <v/>
      </c>
      <c r="D137" s="138" t="s">
        <v>2555</v>
      </c>
      <c r="E137" s="289" t="s">
        <v>143</v>
      </c>
      <c r="F137" s="434">
        <f>IFERROR(IF(AND($F$5="Projected Points",Beersheet!A132&lt;&gt;"QB"), T137, IF(H137="", INDEX(Tier!$B$16:$B$24,MATCH(G137,Tier!$A$16:$A$24,0)), INDEX(Tier!$B$16:$B$24,MATCH(H137,Tier!$A$16:$A$24,0)))), "")</f>
        <v>19.80247</v>
      </c>
      <c r="G137" s="290">
        <f t="shared" si="9"/>
        <v>8</v>
      </c>
      <c r="H137" s="291"/>
      <c r="I137" s="392" t="str">
        <f>IFERROR(INDEX(ADP!R:R,MATCH(D137,ADP!D:D,0))-RBproj!K137,"")</f>
        <v/>
      </c>
      <c r="J137" s="127"/>
      <c r="K137" s="89">
        <v>131</v>
      </c>
      <c r="L137" t="s">
        <v>381</v>
      </c>
      <c r="M137">
        <f t="shared" si="11"/>
        <v>0</v>
      </c>
      <c r="N137" s="4">
        <f>IFERROR(INDEX(ADP!AC:AC,MATCH(D137,ADP!Y:Y,0)),0)</f>
        <v>0</v>
      </c>
      <c r="O137" t="s">
        <v>3</v>
      </c>
      <c r="R137" t="str">
        <f>IFERROR(VLOOKUP(S137,FFARawStatProjections!AT:AV,2,FALSE),"")</f>
        <v>DET</v>
      </c>
      <c r="S137" s="4" t="str">
        <f>INDEX(FFARawStatProjections!AT:AT,MATCH(T137,FFARawStatProjections!AV:AV,0))</f>
        <v>Mohamed Ibrahim</v>
      </c>
      <c r="T137" s="428">
        <f>LARGE(FFARawStatProjections!AV:AV,RBproj!K137)</f>
        <v>19.80247</v>
      </c>
      <c r="U137" s="249">
        <f t="shared" si="12"/>
        <v>-172.56892666666667</v>
      </c>
      <c r="V137" s="243">
        <f t="shared" si="10"/>
        <v>29780.034450885378</v>
      </c>
      <c r="W137" s="244"/>
      <c r="X137" s="243">
        <f t="shared" si="13"/>
        <v>-10.785557916666667</v>
      </c>
      <c r="Y137" s="238">
        <f>IFERROR(IF(ISBLANK(Beersheet!$A$1)=FALSE,
INDEX(Beersheet!$A:$U,MATCH(S137,INDEX(Beersheet!$A:$U,0,FFARawStatProjections!$BV$2),0),FFARawStatProjections!$BV$6),
IF(X137&gt;6,0,
IF(AND(X137&lt;=6,X137&gt;5),1,
IF(AND(X137&lt;=5,X137&gt;4),2,
IF(AND(X137&lt;=4,X137&gt;3),3,
IF(AND(X137&lt;=3,X137&gt;2),4,
IF(AND(X137&lt;=2,X137&gt;1),5,
IF(AND(X137&lt;=1,X137&gt;0),6,
IF(AND(X137&lt;=0,X137&gt;-1),7,
8))))))))),
10)</f>
        <v>8</v>
      </c>
    </row>
    <row r="138" spans="1:25" ht="15" customHeight="1" x14ac:dyDescent="0.25">
      <c r="A138" s="135"/>
      <c r="B138" s="143" t="s">
        <v>382</v>
      </c>
      <c r="C138" t="str">
        <f>IF(AND(IFERROR(INDEX(Instructions!$T$111:$T$222,MATCH(D138,Instructions!$T$111:$T$222,0)), "")=D138, D138&lt;&gt;""), "X", "")</f>
        <v/>
      </c>
      <c r="D138" s="137" t="s">
        <v>2564</v>
      </c>
      <c r="E138" s="286" t="s">
        <v>1388</v>
      </c>
      <c r="F138" s="232">
        <f>IFERROR(IF(AND($F$5="Projected Points",Beersheet!A133&lt;&gt;"QB"), T138, IF(H138="", INDEX(Tier!$B$16:$B$24,MATCH(G138,Tier!$A$16:$A$24,0)), INDEX(Tier!$B$16:$B$24,MATCH(H138,Tier!$A$16:$A$24,0)))), "")</f>
        <v>19.242410000000003</v>
      </c>
      <c r="G138" s="287">
        <f t="shared" ref="G138:G156" si="14">IF(D138="","",Y138)</f>
        <v>8</v>
      </c>
      <c r="H138" s="288"/>
      <c r="I138" s="392" t="str">
        <f>IFERROR(INDEX(ADP!R:R,MATCH(D138,ADP!D:D,0))-RBproj!K138,"")</f>
        <v/>
      </c>
      <c r="J138" s="127"/>
      <c r="K138" s="89">
        <v>132</v>
      </c>
      <c r="L138" t="s">
        <v>382</v>
      </c>
      <c r="M138">
        <f t="shared" si="11"/>
        <v>0</v>
      </c>
      <c r="N138" s="4">
        <f>IFERROR(INDEX(ADP!AC:AC,MATCH(D138,ADP!Y:Y,0)),0)</f>
        <v>0</v>
      </c>
      <c r="O138" t="s">
        <v>3</v>
      </c>
      <c r="R138" t="str">
        <f>IFERROR(VLOOKUP(S138,FFARawStatProjections!AT:AV,2,FALSE),"")</f>
        <v>GB</v>
      </c>
      <c r="S138" s="4" t="str">
        <f>INDEX(FFARawStatProjections!AT:AT,MATCH(T138,FFARawStatProjections!AV:AV,0))</f>
        <v>Lew Nichols</v>
      </c>
      <c r="T138" s="428">
        <f>LARGE(FFARawStatProjections!AV:AV,RBproj!K138)</f>
        <v>19.242410000000003</v>
      </c>
      <c r="U138" s="249">
        <f t="shared" si="12"/>
        <v>-173.12898666666666</v>
      </c>
      <c r="V138" s="243">
        <f t="shared" si="10"/>
        <v>29973.646024226844</v>
      </c>
      <c r="W138" s="244"/>
      <c r="X138" s="243">
        <f t="shared" si="13"/>
        <v>-10.820561666666666</v>
      </c>
      <c r="Y138" s="238">
        <f>IFERROR(IF(ISBLANK(Beersheet!$A$1)=FALSE,
INDEX(Beersheet!$A:$U,MATCH(S138,INDEX(Beersheet!$A:$U,0,FFARawStatProjections!$BV$2),0),FFARawStatProjections!$BV$6),
IF(X138&gt;6,0,
IF(AND(X138&lt;=6,X138&gt;5),1,
IF(AND(X138&lt;=5,X138&gt;4),2,
IF(AND(X138&lt;=4,X138&gt;3),3,
IF(AND(X138&lt;=3,X138&gt;2),4,
IF(AND(X138&lt;=2,X138&gt;1),5,
IF(AND(X138&lt;=1,X138&gt;0),6,
IF(AND(X138&lt;=0,X138&gt;-1),7,
8))))))))),
10)</f>
        <v>8</v>
      </c>
    </row>
    <row r="139" spans="1:25" ht="15" customHeight="1" x14ac:dyDescent="0.25">
      <c r="A139" s="135"/>
      <c r="B139" s="142" t="s">
        <v>383</v>
      </c>
      <c r="C139" t="str">
        <f>IF(AND(IFERROR(INDEX(Instructions!$T$111:$T$222,MATCH(D139,Instructions!$T$111:$T$222,0)), "")=D139, D139&lt;&gt;""), "X", "")</f>
        <v/>
      </c>
      <c r="D139" s="138" t="s">
        <v>2433</v>
      </c>
      <c r="E139" s="289" t="s">
        <v>142</v>
      </c>
      <c r="F139" s="434">
        <f>IFERROR(IF(AND($F$5="Projected Points",Beersheet!A134&lt;&gt;"QB"), T139, IF(H139="", INDEX(Tier!$B$16:$B$24,MATCH(G139,Tier!$A$16:$A$24,0)), INDEX(Tier!$B$16:$B$24,MATCH(H139,Tier!$A$16:$A$24,0)))), "")</f>
        <v>19.082429999999999</v>
      </c>
      <c r="G139" s="290">
        <f t="shared" si="14"/>
        <v>8</v>
      </c>
      <c r="H139" s="291"/>
      <c r="I139" s="392" t="str">
        <f>IFERROR(INDEX(ADP!R:R,MATCH(D139,ADP!D:D,0))-RBproj!K139,"")</f>
        <v/>
      </c>
      <c r="J139" s="127"/>
      <c r="K139" s="89">
        <v>133</v>
      </c>
      <c r="L139" t="s">
        <v>383</v>
      </c>
      <c r="M139">
        <f t="shared" si="11"/>
        <v>0</v>
      </c>
      <c r="N139" s="4">
        <f>IFERROR(INDEX(ADP!AC:AC,MATCH(D139,ADP!Y:Y,0)),0)</f>
        <v>0</v>
      </c>
      <c r="O139" t="s">
        <v>3</v>
      </c>
      <c r="R139" t="str">
        <f>IFERROR(VLOOKUP(S139,FFARawStatProjections!AT:AV,2,FALSE),"")</f>
        <v>LAC</v>
      </c>
      <c r="S139" s="4" t="str">
        <f>INDEX(FFARawStatProjections!AT:AT,MATCH(T139,FFARawStatProjections!AV:AV,0))</f>
        <v>Elijah Dotson</v>
      </c>
      <c r="T139" s="428">
        <f>LARGE(FFARawStatProjections!AV:AV,RBproj!K139)</f>
        <v>19.082429999999999</v>
      </c>
      <c r="U139" s="249">
        <f t="shared" si="12"/>
        <v>-173.28896666666668</v>
      </c>
      <c r="V139" s="243">
        <f t="shared" si="10"/>
        <v>30029.065968401115</v>
      </c>
      <c r="W139" s="244"/>
      <c r="X139" s="243">
        <f t="shared" si="13"/>
        <v>-10.830560416666668</v>
      </c>
      <c r="Y139" s="238">
        <f>IFERROR(IF(ISBLANK(Beersheet!$A$1)=FALSE,
INDEX(Beersheet!$A:$U,MATCH(S139,INDEX(Beersheet!$A:$U,0,FFARawStatProjections!$BV$2),0),FFARawStatProjections!$BV$6),
IF(X139&gt;6,0,
IF(AND(X139&lt;=6,X139&gt;5),1,
IF(AND(X139&lt;=5,X139&gt;4),2,
IF(AND(X139&lt;=4,X139&gt;3),3,
IF(AND(X139&lt;=3,X139&gt;2),4,
IF(AND(X139&lt;=2,X139&gt;1),5,
IF(AND(X139&lt;=1,X139&gt;0),6,
IF(AND(X139&lt;=0,X139&gt;-1),7,
8))))))))),
10)</f>
        <v>8</v>
      </c>
    </row>
    <row r="140" spans="1:25" ht="15" customHeight="1" x14ac:dyDescent="0.25">
      <c r="A140" s="135"/>
      <c r="B140" s="143" t="s">
        <v>994</v>
      </c>
      <c r="C140" t="str">
        <f>IF(AND(IFERROR(INDEX(Instructions!$T$111:$T$222,MATCH(D140,Instructions!$T$111:$T$222,0)), "")=D140, D140&lt;&gt;""), "X", "")</f>
        <v/>
      </c>
      <c r="D140" s="137" t="s">
        <v>2120</v>
      </c>
      <c r="E140" s="286" t="s">
        <v>166</v>
      </c>
      <c r="F140" s="232">
        <f>IFERROR(IF(AND($F$5="Projected Points",Beersheet!A135&lt;&gt;"QB"), T140, IF(H140="", INDEX(Tier!$B$16:$B$24,MATCH(G140,Tier!$A$16:$A$24,0)), INDEX(Tier!$B$16:$B$24,MATCH(H140,Tier!$A$16:$A$24,0)))), "")</f>
        <v>18.992400000000004</v>
      </c>
      <c r="G140" s="287">
        <f t="shared" si="14"/>
        <v>8</v>
      </c>
      <c r="H140" s="288"/>
      <c r="I140" s="392" t="str">
        <f>IFERROR(INDEX(ADP!R:R,MATCH(D140,ADP!D:D,0))-RBproj!K140,"")</f>
        <v/>
      </c>
      <c r="J140" s="127"/>
      <c r="K140" s="89">
        <v>134</v>
      </c>
      <c r="L140" t="s">
        <v>994</v>
      </c>
      <c r="M140">
        <f t="shared" si="11"/>
        <v>0</v>
      </c>
      <c r="N140" s="4">
        <f>IFERROR(INDEX(ADP!AC:AC,MATCH(D140,ADP!Y:Y,0)),0)</f>
        <v>0</v>
      </c>
      <c r="O140" t="s">
        <v>3</v>
      </c>
      <c r="R140" t="str">
        <f>IFERROR(VLOOKUP(S140,FFARawStatProjections!AT:AV,2,FALSE),"")</f>
        <v>WAS</v>
      </c>
      <c r="S140" s="4" t="str">
        <f>INDEX(FFARawStatProjections!AT:AT,MATCH(T140,FFARawStatProjections!AV:AV,0))</f>
        <v>Jonathan Williams</v>
      </c>
      <c r="T140" s="428">
        <f>LARGE(FFARawStatProjections!AV:AV,RBproj!K140)</f>
        <v>18.992400000000004</v>
      </c>
      <c r="U140" s="249">
        <f t="shared" si="12"/>
        <v>-173.37899666666667</v>
      </c>
      <c r="V140" s="243">
        <f t="shared" si="10"/>
        <v>30060.27648514001</v>
      </c>
      <c r="W140" s="244"/>
      <c r="X140" s="243">
        <f t="shared" si="13"/>
        <v>-10.836187291666667</v>
      </c>
      <c r="Y140" s="238">
        <f>IFERROR(IF(ISBLANK(Beersheet!$A$1)=FALSE,
INDEX(Beersheet!$A:$U,MATCH(S140,INDEX(Beersheet!$A:$U,0,FFARawStatProjections!$BV$2),0),FFARawStatProjections!$BV$6),
IF(X140&gt;6,0,
IF(AND(X140&lt;=6,X140&gt;5),1,
IF(AND(X140&lt;=5,X140&gt;4),2,
IF(AND(X140&lt;=4,X140&gt;3),3,
IF(AND(X140&lt;=3,X140&gt;2),4,
IF(AND(X140&lt;=2,X140&gt;1),5,
IF(AND(X140&lt;=1,X140&gt;0),6,
IF(AND(X140&lt;=0,X140&gt;-1),7,
8))))))))),
10)</f>
        <v>8</v>
      </c>
    </row>
    <row r="141" spans="1:25" ht="15" customHeight="1" x14ac:dyDescent="0.25">
      <c r="A141" s="135"/>
      <c r="B141" s="142" t="s">
        <v>995</v>
      </c>
      <c r="C141" t="str">
        <f>IF(AND(IFERROR(INDEX(Instructions!$T$111:$T$222,MATCH(D141,Instructions!$T$111:$T$222,0)), "")=D141, D141&lt;&gt;""), "X", "")</f>
        <v/>
      </c>
      <c r="D141" s="138" t="s">
        <v>2116</v>
      </c>
      <c r="E141" s="289" t="s">
        <v>157</v>
      </c>
      <c r="F141" s="434">
        <f>IFERROR(IF(AND($F$5="Projected Points",Beersheet!A136&lt;&gt;"QB"), T141, IF(H141="", INDEX(Tier!$B$16:$B$24,MATCH(G141,Tier!$A$16:$A$24,0)), INDEX(Tier!$B$16:$B$24,MATCH(H141,Tier!$A$16:$A$24,0)))), "")</f>
        <v>18.972300000000001</v>
      </c>
      <c r="G141" s="290">
        <f t="shared" si="14"/>
        <v>8</v>
      </c>
      <c r="H141" s="291"/>
      <c r="I141" s="392" t="str">
        <f>IFERROR(INDEX(ADP!R:R,MATCH(D141,ADP!D:D,0))-RBproj!K141,"")</f>
        <v/>
      </c>
      <c r="J141" s="127"/>
      <c r="K141" s="89">
        <v>135</v>
      </c>
      <c r="L141" t="s">
        <v>995</v>
      </c>
      <c r="M141">
        <f t="shared" si="11"/>
        <v>0</v>
      </c>
      <c r="N141" s="4">
        <f>IFERROR(INDEX(ADP!AC:AC,MATCH(D141,ADP!Y:Y,0)),0)</f>
        <v>0</v>
      </c>
      <c r="O141" t="s">
        <v>3</v>
      </c>
      <c r="R141" t="str">
        <f>IFERROR(VLOOKUP(S141,FFARawStatProjections!AT:AV,2,FALSE),"")</f>
        <v>NO</v>
      </c>
      <c r="S141" s="4" t="str">
        <f>INDEX(FFARawStatProjections!AT:AT,MATCH(T141,FFARawStatProjections!AV:AV,0))</f>
        <v>Darrel Williams</v>
      </c>
      <c r="T141" s="428">
        <f>LARGE(FFARawStatProjections!AV:AV,RBproj!K141)</f>
        <v>18.972300000000001</v>
      </c>
      <c r="U141" s="249">
        <f t="shared" si="12"/>
        <v>-173.39909666666668</v>
      </c>
      <c r="V141" s="243">
        <f t="shared" si="10"/>
        <v>30067.246724816014</v>
      </c>
      <c r="W141" s="244"/>
      <c r="X141" s="243">
        <f t="shared" si="13"/>
        <v>-10.837443541666667</v>
      </c>
      <c r="Y141" s="238">
        <f>IFERROR(IF(ISBLANK(Beersheet!$A$1)=FALSE,
INDEX(Beersheet!$A:$U,MATCH(S141,INDEX(Beersheet!$A:$U,0,FFARawStatProjections!$BV$2),0),FFARawStatProjections!$BV$6),
IF(X141&gt;6,0,
IF(AND(X141&lt;=6,X141&gt;5),1,
IF(AND(X141&lt;=5,X141&gt;4),2,
IF(AND(X141&lt;=4,X141&gt;3),3,
IF(AND(X141&lt;=3,X141&gt;2),4,
IF(AND(X141&lt;=2,X141&gt;1),5,
IF(AND(X141&lt;=1,X141&gt;0),6,
IF(AND(X141&lt;=0,X141&gt;-1),7,
8))))))))),
10)</f>
        <v>8</v>
      </c>
    </row>
    <row r="142" spans="1:25" ht="15" customHeight="1" x14ac:dyDescent="0.25">
      <c r="A142" s="135"/>
      <c r="B142" s="143" t="s">
        <v>996</v>
      </c>
      <c r="C142" t="str">
        <f>IF(AND(IFERROR(INDEX(Instructions!$T$111:$T$222,MATCH(D142,Instructions!$T$111:$T$222,0)), "")=D142, D142&lt;&gt;""), "X", "")</f>
        <v/>
      </c>
      <c r="D142" s="137" t="s">
        <v>2090</v>
      </c>
      <c r="E142" s="286" t="s">
        <v>156</v>
      </c>
      <c r="F142" s="232">
        <f>IFERROR(IF(AND($F$5="Projected Points",Beersheet!A137&lt;&gt;"QB"), T142, IF(H142="", INDEX(Tier!$B$16:$B$24,MATCH(G142,Tier!$A$16:$A$24,0)), INDEX(Tier!$B$16:$B$24,MATCH(H142,Tier!$A$16:$A$24,0)))), "")</f>
        <v>18.182479999999998</v>
      </c>
      <c r="G142" s="287">
        <f t="shared" si="14"/>
        <v>8</v>
      </c>
      <c r="H142" s="288"/>
      <c r="I142" s="392" t="str">
        <f>IFERROR(INDEX(ADP!R:R,MATCH(D142,ADP!D:D,0))-RBproj!K142,"")</f>
        <v/>
      </c>
      <c r="J142" s="127"/>
      <c r="K142" s="89">
        <v>136</v>
      </c>
      <c r="L142" t="s">
        <v>996</v>
      </c>
      <c r="M142">
        <f t="shared" si="11"/>
        <v>0</v>
      </c>
      <c r="N142" s="4">
        <f>IFERROR(INDEX(ADP!AC:AC,MATCH(D142,ADP!Y:Y,0)),0)</f>
        <v>0</v>
      </c>
      <c r="O142" t="s">
        <v>3</v>
      </c>
      <c r="R142" t="str">
        <f>IFERROR(VLOOKUP(S142,FFARawStatProjections!AT:AV,2,FALSE),"")</f>
        <v>NE</v>
      </c>
      <c r="S142" s="4" t="str">
        <f>INDEX(FFARawStatProjections!AT:AT,MATCH(T142,FFARawStatProjections!AV:AV,0))</f>
        <v>JJ Taylor</v>
      </c>
      <c r="T142" s="428">
        <f>LARGE(FFARawStatProjections!AV:AV,RBproj!K142)</f>
        <v>18.182479999999998</v>
      </c>
      <c r="U142" s="249">
        <f t="shared" si="12"/>
        <v>-174.18891666666667</v>
      </c>
      <c r="V142" s="243">
        <f t="shared" si="10"/>
        <v>30341.778689506948</v>
      </c>
      <c r="W142" s="244"/>
      <c r="X142" s="243">
        <f t="shared" si="13"/>
        <v>-10.886807291666667</v>
      </c>
      <c r="Y142" s="238">
        <f>IFERROR(IF(ISBLANK(Beersheet!$A$1)=FALSE,
INDEX(Beersheet!$A:$U,MATCH(S142,INDEX(Beersheet!$A:$U,0,FFARawStatProjections!$BV$2),0),FFARawStatProjections!$BV$6),
IF(X142&gt;6,0,
IF(AND(X142&lt;=6,X142&gt;5),1,
IF(AND(X142&lt;=5,X142&gt;4),2,
IF(AND(X142&lt;=4,X142&gt;3),3,
IF(AND(X142&lt;=3,X142&gt;2),4,
IF(AND(X142&lt;=2,X142&gt;1),5,
IF(AND(X142&lt;=1,X142&gt;0),6,
IF(AND(X142&lt;=0,X142&gt;-1),7,
8))))))))),
10)</f>
        <v>8</v>
      </c>
    </row>
    <row r="143" spans="1:25" ht="15" customHeight="1" x14ac:dyDescent="0.25">
      <c r="A143" s="135"/>
      <c r="B143" s="142" t="s">
        <v>997</v>
      </c>
      <c r="C143" t="str">
        <f>IF(AND(IFERROR(INDEX(Instructions!$T$111:$T$222,MATCH(D143,Instructions!$T$111:$T$222,0)), "")=D143, D143&lt;&gt;""), "X", "")</f>
        <v/>
      </c>
      <c r="D143" s="138" t="s">
        <v>2301</v>
      </c>
      <c r="E143" s="289" t="s">
        <v>165</v>
      </c>
      <c r="F143" s="434">
        <f>IFERROR(IF(AND($F$5="Projected Points",Beersheet!A138&lt;&gt;"QB"), T143, IF(H143="", INDEX(Tier!$B$16:$B$24,MATCH(G143,Tier!$A$16:$A$24,0)), INDEX(Tier!$B$16:$B$24,MATCH(H143,Tier!$A$16:$A$24,0)))), "")</f>
        <v>16.922460000000001</v>
      </c>
      <c r="G143" s="290">
        <f t="shared" si="14"/>
        <v>8</v>
      </c>
      <c r="H143" s="291"/>
      <c r="I143" s="392" t="str">
        <f>IFERROR(INDEX(ADP!R:R,MATCH(D143,ADP!D:D,0))-RBproj!K143,"")</f>
        <v/>
      </c>
      <c r="J143" s="127"/>
      <c r="K143" s="89">
        <v>137</v>
      </c>
      <c r="L143" t="s">
        <v>997</v>
      </c>
      <c r="M143">
        <f t="shared" si="11"/>
        <v>0</v>
      </c>
      <c r="N143" s="4">
        <f>IFERROR(INDEX(ADP!AC:AC,MATCH(D143,ADP!Y:Y,0)),0)</f>
        <v>0</v>
      </c>
      <c r="O143" t="s">
        <v>3</v>
      </c>
      <c r="R143" t="str">
        <f>IFERROR(VLOOKUP(S143,FFARawStatProjections!AT:AV,2,FALSE),"")</f>
        <v>JAC</v>
      </c>
      <c r="S143" s="4" t="str">
        <f>INDEX(FFARawStatProjections!AT:AT,MATCH(T143,FFARawStatProjections!AV:AV,0))</f>
        <v>Snoop Conner</v>
      </c>
      <c r="T143" s="428">
        <f>LARGE(FFARawStatProjections!AV:AV,RBproj!K143)</f>
        <v>16.922460000000001</v>
      </c>
      <c r="U143" s="249">
        <f t="shared" si="12"/>
        <v>-175.44893666666667</v>
      </c>
      <c r="V143" s="243">
        <f t="shared" si="10"/>
        <v>30782.329377464011</v>
      </c>
      <c r="W143" s="244"/>
      <c r="X143" s="243">
        <f t="shared" si="13"/>
        <v>-10.965558541666667</v>
      </c>
      <c r="Y143" s="238">
        <f>IFERROR(IF(ISBLANK(Beersheet!$A$1)=FALSE,
INDEX(Beersheet!$A:$U,MATCH(S143,INDEX(Beersheet!$A:$U,0,FFARawStatProjections!$BV$2),0),FFARawStatProjections!$BV$6),
IF(X143&gt;6,0,
IF(AND(X143&lt;=6,X143&gt;5),1,
IF(AND(X143&lt;=5,X143&gt;4),2,
IF(AND(X143&lt;=4,X143&gt;3),3,
IF(AND(X143&lt;=3,X143&gt;2),4,
IF(AND(X143&lt;=2,X143&gt;1),5,
IF(AND(X143&lt;=1,X143&gt;0),6,
IF(AND(X143&lt;=0,X143&gt;-1),7,
8))))))))),
10)</f>
        <v>8</v>
      </c>
    </row>
    <row r="144" spans="1:25" ht="15" customHeight="1" x14ac:dyDescent="0.25">
      <c r="A144" s="135"/>
      <c r="B144" s="143" t="s">
        <v>998</v>
      </c>
      <c r="C144" t="str">
        <f>IF(AND(IFERROR(INDEX(Instructions!$T$111:$T$222,MATCH(D144,Instructions!$T$111:$T$222,0)), "")=D144, D144&lt;&gt;""), "X", "")</f>
        <v/>
      </c>
      <c r="D144" s="137" t="s">
        <v>2175</v>
      </c>
      <c r="E144" s="286" t="s">
        <v>137</v>
      </c>
      <c r="F144" s="232">
        <f>IFERROR(IF(AND($F$5="Projected Points",Beersheet!A139&lt;&gt;"QB"), T144, IF(H144="", INDEX(Tier!$B$16:$B$24,MATCH(G144,Tier!$A$16:$A$24,0)), INDEX(Tier!$B$16:$B$24,MATCH(H144,Tier!$A$16:$A$24,0)))), "")</f>
        <v>16.882629999999999</v>
      </c>
      <c r="G144" s="287">
        <f t="shared" si="14"/>
        <v>8</v>
      </c>
      <c r="H144" s="288"/>
      <c r="I144" s="392" t="str">
        <f>IFERROR(INDEX(ADP!R:R,MATCH(D144,ADP!D:D,0))-RBproj!K144,"")</f>
        <v/>
      </c>
      <c r="J144" s="127"/>
      <c r="K144" s="89">
        <v>138</v>
      </c>
      <c r="L144" t="s">
        <v>998</v>
      </c>
      <c r="M144">
        <f t="shared" si="11"/>
        <v>0</v>
      </c>
      <c r="N144" s="4">
        <f>IFERROR(INDEX(ADP!AC:AC,MATCH(D144,ADP!Y:Y,0)),0)</f>
        <v>0</v>
      </c>
      <c r="O144" t="s">
        <v>3</v>
      </c>
      <c r="R144" t="str">
        <f>IFERROR(VLOOKUP(S144,FFARawStatProjections!AT:AV,2,FALSE),"")</f>
        <v>MIN</v>
      </c>
      <c r="S144" s="4" t="str">
        <f>INDEX(FFARawStatProjections!AT:AT,MATCH(T144,FFARawStatProjections!AV:AV,0))</f>
        <v>CJ Ham</v>
      </c>
      <c r="T144" s="428">
        <f>LARGE(FFARawStatProjections!AV:AV,RBproj!K144)</f>
        <v>16.882629999999999</v>
      </c>
      <c r="U144" s="249">
        <f t="shared" si="12"/>
        <v>-175.48876666666666</v>
      </c>
      <c r="V144" s="243">
        <f t="shared" si="10"/>
        <v>30796.307226187775</v>
      </c>
      <c r="W144" s="244"/>
      <c r="X144" s="243">
        <f t="shared" si="13"/>
        <v>-10.968047916666666</v>
      </c>
      <c r="Y144" s="238">
        <f>IFERROR(IF(ISBLANK(Beersheet!$A$1)=FALSE,
INDEX(Beersheet!$A:$U,MATCH(S144,INDEX(Beersheet!$A:$U,0,FFARawStatProjections!$BV$2),0),FFARawStatProjections!$BV$6),
IF(X144&gt;6,0,
IF(AND(X144&lt;=6,X144&gt;5),1,
IF(AND(X144&lt;=5,X144&gt;4),2,
IF(AND(X144&lt;=4,X144&gt;3),3,
IF(AND(X144&lt;=3,X144&gt;2),4,
IF(AND(X144&lt;=2,X144&gt;1),5,
IF(AND(X144&lt;=1,X144&gt;0),6,
IF(AND(X144&lt;=0,X144&gt;-1),7,
8))))))))),
10)</f>
        <v>8</v>
      </c>
    </row>
    <row r="145" spans="1:25" ht="15" customHeight="1" x14ac:dyDescent="0.25">
      <c r="A145" s="135"/>
      <c r="B145" s="142" t="s">
        <v>999</v>
      </c>
      <c r="C145" t="str">
        <f>IF(AND(IFERROR(INDEX(Instructions!$T$111:$T$222,MATCH(D145,Instructions!$T$111:$T$222,0)), "")=D145, D145&lt;&gt;""), "X", "")</f>
        <v/>
      </c>
      <c r="D145" s="138" t="s">
        <v>2452</v>
      </c>
      <c r="E145" s="289" t="s">
        <v>162</v>
      </c>
      <c r="F145" s="434">
        <f>IFERROR(IF(AND($F$5="Projected Points",Beersheet!A140&lt;&gt;"QB"), T145, IF(H145="", INDEX(Tier!$B$16:$B$24,MATCH(G145,Tier!$A$16:$A$24,0)), INDEX(Tier!$B$16:$B$24,MATCH(H145,Tier!$A$16:$A$24,0)))), "")</f>
        <v>16.682510000000001</v>
      </c>
      <c r="G145" s="290">
        <f t="shared" si="14"/>
        <v>8</v>
      </c>
      <c r="H145" s="291"/>
      <c r="I145" s="392" t="str">
        <f>IFERROR(INDEX(ADP!R:R,MATCH(D145,ADP!D:D,0))-RBproj!K145,"")</f>
        <v/>
      </c>
      <c r="J145" s="127"/>
      <c r="K145" s="89">
        <v>139</v>
      </c>
      <c r="L145" t="s">
        <v>999</v>
      </c>
      <c r="M145">
        <f t="shared" si="11"/>
        <v>0</v>
      </c>
      <c r="N145" s="4">
        <f>IFERROR(INDEX(ADP!AC:AC,MATCH(D145,ADP!Y:Y,0)),0)</f>
        <v>0</v>
      </c>
      <c r="O145" t="s">
        <v>3</v>
      </c>
      <c r="R145" t="str">
        <f>IFERROR(VLOOKUP(S145,FFARawStatProjections!AT:AV,2,FALSE),"")</f>
        <v>PHI</v>
      </c>
      <c r="S145" s="4" t="str">
        <f>INDEX(FFARawStatProjections!AT:AT,MATCH(T145,FFARawStatProjections!AV:AV,0))</f>
        <v>Trey Sermon</v>
      </c>
      <c r="T145" s="428">
        <f>LARGE(FFARawStatProjections!AV:AV,RBproj!K145)</f>
        <v>16.682510000000001</v>
      </c>
      <c r="U145" s="249">
        <f t="shared" si="12"/>
        <v>-175.68888666666666</v>
      </c>
      <c r="V145" s="243">
        <f t="shared" si="10"/>
        <v>30866.584898172841</v>
      </c>
      <c r="W145" s="244"/>
      <c r="X145" s="243">
        <f t="shared" si="13"/>
        <v>-10.980555416666666</v>
      </c>
      <c r="Y145" s="238">
        <f>IFERROR(IF(ISBLANK(Beersheet!$A$1)=FALSE,
INDEX(Beersheet!$A:$U,MATCH(S145,INDEX(Beersheet!$A:$U,0,FFARawStatProjections!$BV$2),0),FFARawStatProjections!$BV$6),
IF(X145&gt;6,0,
IF(AND(X145&lt;=6,X145&gt;5),1,
IF(AND(X145&lt;=5,X145&gt;4),2,
IF(AND(X145&lt;=4,X145&gt;3),3,
IF(AND(X145&lt;=3,X145&gt;2),4,
IF(AND(X145&lt;=2,X145&gt;1),5,
IF(AND(X145&lt;=1,X145&gt;0),6,
IF(AND(X145&lt;=0,X145&gt;-1),7,
8))))))))),
10)</f>
        <v>8</v>
      </c>
    </row>
    <row r="146" spans="1:25" ht="15" customHeight="1" x14ac:dyDescent="0.25">
      <c r="A146" s="135"/>
      <c r="B146" s="143" t="s">
        <v>1000</v>
      </c>
      <c r="C146" t="str">
        <f>IF(AND(IFERROR(INDEX(Instructions!$T$111:$T$222,MATCH(D146,Instructions!$T$111:$T$222,0)), "")=D146, D146&lt;&gt;""), "X", "")</f>
        <v/>
      </c>
      <c r="D146" s="137" t="s">
        <v>1768</v>
      </c>
      <c r="E146" s="286" t="s">
        <v>1389</v>
      </c>
      <c r="F146" s="232">
        <f>IFERROR(IF(AND($F$5="Projected Points",Beersheet!A141&lt;&gt;"QB"), T146, IF(H146="", INDEX(Tier!$B$16:$B$24,MATCH(G146,Tier!$A$16:$A$24,0)), INDEX(Tier!$B$16:$B$24,MATCH(H146,Tier!$A$16:$A$24,0)))), "")</f>
        <v>16.252690000000001</v>
      </c>
      <c r="G146" s="287">
        <f t="shared" si="14"/>
        <v>8</v>
      </c>
      <c r="H146" s="288"/>
      <c r="I146" s="392" t="str">
        <f>IFERROR(INDEX(ADP!R:R,MATCH(D146,ADP!D:D,0))-RBproj!K146,"")</f>
        <v/>
      </c>
      <c r="J146" s="127"/>
      <c r="K146" s="89">
        <v>140</v>
      </c>
      <c r="L146" t="s">
        <v>1000</v>
      </c>
      <c r="M146">
        <f t="shared" si="11"/>
        <v>0</v>
      </c>
      <c r="N146" s="4">
        <f>IFERROR(INDEX(ADP!AC:AC,MATCH(D146,ADP!Y:Y,0)),0)</f>
        <v>0</v>
      </c>
      <c r="O146" t="s">
        <v>3</v>
      </c>
      <c r="R146" t="str">
        <f>IFERROR(VLOOKUP(S146,FFARawStatProjections!AT:AV,2,FALSE),"")</f>
        <v>BAL</v>
      </c>
      <c r="S146" s="4" t="str">
        <f>INDEX(FFARawStatProjections!AT:AT,MATCH(T146,FFARawStatProjections!AV:AV,0))</f>
        <v>Patrick Ricard</v>
      </c>
      <c r="T146" s="428">
        <f>LARGE(FFARawStatProjections!AV:AV,RBproj!K146)</f>
        <v>16.252690000000001</v>
      </c>
      <c r="U146" s="249">
        <f t="shared" si="12"/>
        <v>-176.11870666666667</v>
      </c>
      <c r="V146" s="243">
        <f t="shared" si="10"/>
        <v>31017.798837939379</v>
      </c>
      <c r="W146" s="244"/>
      <c r="X146" s="243">
        <f t="shared" si="13"/>
        <v>-11.007419166666667</v>
      </c>
      <c r="Y146" s="238">
        <f>IFERROR(IF(ISBLANK(Beersheet!$A$1)=FALSE,
INDEX(Beersheet!$A:$U,MATCH(S146,INDEX(Beersheet!$A:$U,0,FFARawStatProjections!$BV$2),0),FFARawStatProjections!$BV$6),
IF(X146&gt;6,0,
IF(AND(X146&lt;=6,X146&gt;5),1,
IF(AND(X146&lt;=5,X146&gt;4),2,
IF(AND(X146&lt;=4,X146&gt;3),3,
IF(AND(X146&lt;=3,X146&gt;2),4,
IF(AND(X146&lt;=2,X146&gt;1),5,
IF(AND(X146&lt;=1,X146&gt;0),6,
IF(AND(X146&lt;=0,X146&gt;-1),7,
8))))))))),
10)</f>
        <v>8</v>
      </c>
    </row>
    <row r="147" spans="1:25" ht="15" customHeight="1" x14ac:dyDescent="0.25">
      <c r="A147" s="135"/>
      <c r="B147" s="142" t="s">
        <v>1001</v>
      </c>
      <c r="C147" t="str">
        <f>IF(AND(IFERROR(INDEX(Instructions!$T$111:$T$222,MATCH(D147,Instructions!$T$111:$T$222,0)), "")=D147, D147&lt;&gt;""), "X", "")</f>
        <v/>
      </c>
      <c r="D147" s="138" t="s">
        <v>2303</v>
      </c>
      <c r="E147" s="289" t="s">
        <v>2272</v>
      </c>
      <c r="F147" s="434">
        <f>IFERROR(IF(AND($F$5="Projected Points",Beersheet!A142&lt;&gt;"QB"), T147, IF(H147="", INDEX(Tier!$B$16:$B$24,MATCH(G147,Tier!$A$16:$A$24,0)), INDEX(Tier!$B$16:$B$24,MATCH(H147,Tier!$A$16:$A$24,0)))), "")</f>
        <v>16.042580000000001</v>
      </c>
      <c r="G147" s="290">
        <f t="shared" si="14"/>
        <v>8</v>
      </c>
      <c r="H147" s="291"/>
      <c r="I147" s="392" t="str">
        <f>IFERROR(INDEX(ADP!R:R,MATCH(D147,ADP!D:D,0))-RBproj!K147,"")</f>
        <v/>
      </c>
      <c r="J147" s="127"/>
      <c r="K147" s="89">
        <v>141</v>
      </c>
      <c r="L147" t="s">
        <v>1001</v>
      </c>
      <c r="M147">
        <f t="shared" si="11"/>
        <v>0</v>
      </c>
      <c r="N147" s="4">
        <f>IFERROR(INDEX(ADP!AC:AC,MATCH(D147,ADP!Y:Y,0)),0)</f>
        <v>0</v>
      </c>
      <c r="O147" t="s">
        <v>3</v>
      </c>
      <c r="R147" t="str">
        <f>IFERROR(VLOOKUP(S147,FFARawStatProjections!AT:AV,2,FALSE),"")</f>
        <v>LAC</v>
      </c>
      <c r="S147" s="4" t="str">
        <f>INDEX(FFARawStatProjections!AT:AT,MATCH(T147,FFARawStatProjections!AV:AV,0))</f>
        <v>Zander Horvath</v>
      </c>
      <c r="T147" s="428">
        <f>LARGE(FFARawStatProjections!AV:AV,RBproj!K147)</f>
        <v>16.042580000000001</v>
      </c>
      <c r="U147" s="249">
        <f t="shared" si="12"/>
        <v>-176.32881666666668</v>
      </c>
      <c r="V147" s="243">
        <f t="shared" si="10"/>
        <v>31091.851587066951</v>
      </c>
      <c r="W147" s="244"/>
      <c r="X147" s="243">
        <f t="shared" si="13"/>
        <v>-11.020551041666668</v>
      </c>
      <c r="Y147" s="238">
        <f>IFERROR(IF(ISBLANK(Beersheet!$A$1)=FALSE,
INDEX(Beersheet!$A:$U,MATCH(S147,INDEX(Beersheet!$A:$U,0,FFARawStatProjections!$BV$2),0),FFARawStatProjections!$BV$6),
IF(X147&gt;6,0,
IF(AND(X147&lt;=6,X147&gt;5),1,
IF(AND(X147&lt;=5,X147&gt;4),2,
IF(AND(X147&lt;=4,X147&gt;3),3,
IF(AND(X147&lt;=3,X147&gt;2),4,
IF(AND(X147&lt;=2,X147&gt;1),5,
IF(AND(X147&lt;=1,X147&gt;0),6,
IF(AND(X147&lt;=0,X147&gt;-1),7,
8))))))))),
10)</f>
        <v>8</v>
      </c>
    </row>
    <row r="148" spans="1:25" ht="15" customHeight="1" x14ac:dyDescent="0.25">
      <c r="A148" s="135"/>
      <c r="B148" s="143" t="s">
        <v>1002</v>
      </c>
      <c r="C148" t="str">
        <f>IF(AND(IFERROR(INDEX(Instructions!$T$111:$T$222,MATCH(D148,Instructions!$T$111:$T$222,0)), "")=D148, D148&lt;&gt;""), "X", "")</f>
        <v/>
      </c>
      <c r="D148" s="137" t="s">
        <v>2522</v>
      </c>
      <c r="E148" s="286" t="s">
        <v>2073</v>
      </c>
      <c r="F148" s="232">
        <f>IFERROR(IF(AND($F$5="Projected Points",Beersheet!A143&lt;&gt;"QB"), T148, IF(H148="", INDEX(Tier!$B$16:$B$24,MATCH(G148,Tier!$A$16:$A$24,0)), INDEX(Tier!$B$16:$B$24,MATCH(H148,Tier!$A$16:$A$24,0)))), "")</f>
        <v>16.042540000000002</v>
      </c>
      <c r="G148" s="287">
        <f t="shared" si="14"/>
        <v>8</v>
      </c>
      <c r="H148" s="288"/>
      <c r="I148" s="392" t="str">
        <f>IFERROR(INDEX(ADP!R:R,MATCH(D148,ADP!D:D,0))-RBproj!K148,"")</f>
        <v/>
      </c>
      <c r="J148" s="127"/>
      <c r="K148" s="89">
        <v>142</v>
      </c>
      <c r="L148" t="s">
        <v>1002</v>
      </c>
      <c r="M148">
        <f t="shared" si="11"/>
        <v>0</v>
      </c>
      <c r="N148" s="4">
        <f>IFERROR(INDEX(ADP!AC:AC,MATCH(D148,ADP!Y:Y,0)),0)</f>
        <v>0</v>
      </c>
      <c r="O148" t="s">
        <v>3</v>
      </c>
      <c r="R148" t="str">
        <f>IFERROR(VLOOKUP(S148,FFARawStatProjections!AT:AV,2,FALSE),"")</f>
        <v>LAR</v>
      </c>
      <c r="S148" s="4" t="str">
        <f>INDEX(FFARawStatProjections!AT:AT,MATCH(T148,FFARawStatProjections!AV:AV,0))</f>
        <v>Royce Freeman</v>
      </c>
      <c r="T148" s="428">
        <f>LARGE(FFARawStatProjections!AV:AV,RBproj!K148)</f>
        <v>16.042540000000002</v>
      </c>
      <c r="U148" s="249">
        <f t="shared" si="12"/>
        <v>-176.32885666666667</v>
      </c>
      <c r="V148" s="243">
        <f t="shared" si="10"/>
        <v>31091.865693373878</v>
      </c>
      <c r="W148" s="244"/>
      <c r="X148" s="243">
        <f t="shared" si="13"/>
        <v>-11.020553541666667</v>
      </c>
      <c r="Y148" s="238">
        <f>IFERROR(IF(ISBLANK(Beersheet!$A$1)=FALSE,
INDEX(Beersheet!$A:$U,MATCH(S148,INDEX(Beersheet!$A:$U,0,FFARawStatProjections!$BV$2),0),FFARawStatProjections!$BV$6),
IF(X148&gt;6,0,
IF(AND(X148&lt;=6,X148&gt;5),1,
IF(AND(X148&lt;=5,X148&gt;4),2,
IF(AND(X148&lt;=4,X148&gt;3),3,
IF(AND(X148&lt;=3,X148&gt;2),4,
IF(AND(X148&lt;=2,X148&gt;1),5,
IF(AND(X148&lt;=1,X148&gt;0),6,
IF(AND(X148&lt;=0,X148&gt;-1),7,
8))))))))),
10)</f>
        <v>8</v>
      </c>
    </row>
    <row r="149" spans="1:25" ht="15" customHeight="1" x14ac:dyDescent="0.25">
      <c r="A149" s="135"/>
      <c r="B149" s="142" t="s">
        <v>1003</v>
      </c>
      <c r="C149" t="str">
        <f>IF(AND(IFERROR(INDEX(Instructions!$T$111:$T$222,MATCH(D149,Instructions!$T$111:$T$222,0)), "")=D149, D149&lt;&gt;""), "X", "")</f>
        <v/>
      </c>
      <c r="D149" s="138" t="s">
        <v>2388</v>
      </c>
      <c r="E149" s="289" t="s">
        <v>1388</v>
      </c>
      <c r="F149" s="434">
        <f>IFERROR(IF(AND($F$5="Projected Points",Beersheet!A144&lt;&gt;"QB"), T149, IF(H149="", INDEX(Tier!$B$16:$B$24,MATCH(G149,Tier!$A$16:$A$24,0)), INDEX(Tier!$B$16:$B$24,MATCH(H149,Tier!$A$16:$A$24,0)))), "")</f>
        <v>15.73255</v>
      </c>
      <c r="G149" s="290">
        <f t="shared" si="14"/>
        <v>8</v>
      </c>
      <c r="H149" s="291"/>
      <c r="I149" s="392" t="str">
        <f>IFERROR(INDEX(ADP!R:R,MATCH(D149,ADP!D:D,0))-RBproj!K149,"")</f>
        <v/>
      </c>
      <c r="J149" s="127"/>
      <c r="K149" s="89">
        <v>143</v>
      </c>
      <c r="L149" t="s">
        <v>1003</v>
      </c>
      <c r="M149">
        <f t="shared" si="11"/>
        <v>0</v>
      </c>
      <c r="N149" s="4">
        <f>IFERROR(INDEX(ADP!AC:AC,MATCH(D149,ADP!Y:Y,0)),0)</f>
        <v>0</v>
      </c>
      <c r="O149" t="s">
        <v>3</v>
      </c>
      <c r="R149" t="str">
        <f>IFERROR(VLOOKUP(S149,FFARawStatProjections!AT:AV,2,FALSE),"")</f>
        <v>LV</v>
      </c>
      <c r="S149" s="4" t="str">
        <f>INDEX(FFARawStatProjections!AT:AT,MATCH(T149,FFARawStatProjections!AV:AV,0))</f>
        <v>Brittain Brown</v>
      </c>
      <c r="T149" s="428">
        <f>LARGE(FFARawStatProjections!AV:AV,RBproj!K149)</f>
        <v>15.73255</v>
      </c>
      <c r="U149" s="249">
        <f t="shared" si="12"/>
        <v>-176.63884666666667</v>
      </c>
      <c r="V149" s="243">
        <f t="shared" si="10"/>
        <v>31201.282151730178</v>
      </c>
      <c r="W149" s="244"/>
      <c r="X149" s="243">
        <f t="shared" si="13"/>
        <v>-11.039927916666667</v>
      </c>
      <c r="Y149" s="238">
        <f>IFERROR(IF(ISBLANK(Beersheet!$A$1)=FALSE,
INDEX(Beersheet!$A:$U,MATCH(S149,INDEX(Beersheet!$A:$U,0,FFARawStatProjections!$BV$2),0),FFARawStatProjections!$BV$6),
IF(X149&gt;6,0,
IF(AND(X149&lt;=6,X149&gt;5),1,
IF(AND(X149&lt;=5,X149&gt;4),2,
IF(AND(X149&lt;=4,X149&gt;3),3,
IF(AND(X149&lt;=3,X149&gt;2),4,
IF(AND(X149&lt;=2,X149&gt;1),5,
IF(AND(X149&lt;=1,X149&gt;0),6,
IF(AND(X149&lt;=0,X149&gt;-1),7,
8))))))))),
10)</f>
        <v>8</v>
      </c>
    </row>
    <row r="150" spans="1:25" ht="15" customHeight="1" x14ac:dyDescent="0.25">
      <c r="A150" s="135"/>
      <c r="B150" s="143" t="s">
        <v>1004</v>
      </c>
      <c r="C150" t="str">
        <f>IF(AND(IFERROR(INDEX(Instructions!$T$111:$T$222,MATCH(D150,Instructions!$T$111:$T$222,0)), "")=D150, D150&lt;&gt;""), "X", "")</f>
        <v/>
      </c>
      <c r="D150" s="137" t="s">
        <v>2118</v>
      </c>
      <c r="E150" s="286" t="s">
        <v>138</v>
      </c>
      <c r="F150" s="232">
        <f>IFERROR(IF(AND($F$5="Projected Points",Beersheet!A145&lt;&gt;"QB"), T150, IF(H150="", INDEX(Tier!$B$16:$B$24,MATCH(G150,Tier!$A$16:$A$24,0)), INDEX(Tier!$B$16:$B$24,MATCH(H150,Tier!$A$16:$A$24,0)))), "")</f>
        <v>15.72259</v>
      </c>
      <c r="G150" s="287">
        <f t="shared" si="14"/>
        <v>8</v>
      </c>
      <c r="H150" s="288"/>
      <c r="I150" s="392" t="str">
        <f>IFERROR(INDEX(ADP!R:R,MATCH(D150,ADP!D:D,0))-RBproj!K150,"")</f>
        <v/>
      </c>
      <c r="J150" s="127"/>
      <c r="K150" s="89">
        <v>144</v>
      </c>
      <c r="L150" t="s">
        <v>1004</v>
      </c>
      <c r="M150">
        <f t="shared" si="11"/>
        <v>0</v>
      </c>
      <c r="N150" s="4">
        <f>IFERROR(INDEX(ADP!AC:AC,MATCH(D150,ADP!Y:Y,0)),0)</f>
        <v>0</v>
      </c>
      <c r="O150" t="s">
        <v>3</v>
      </c>
      <c r="R150" t="str">
        <f>IFERROR(VLOOKUP(S150,FFARawStatProjections!AT:AV,2,FALSE),"")</f>
        <v>TEN</v>
      </c>
      <c r="S150" s="4" t="str">
        <f>INDEX(FFARawStatProjections!AT:AT,MATCH(T150,FFARawStatProjections!AV:AV,0))</f>
        <v>Julius Chestnut</v>
      </c>
      <c r="T150" s="428">
        <f>LARGE(FFARawStatProjections!AV:AV,RBproj!K150)</f>
        <v>15.72259</v>
      </c>
      <c r="U150" s="249">
        <f t="shared" si="12"/>
        <v>-176.64880666666667</v>
      </c>
      <c r="V150" s="243">
        <f t="shared" si="10"/>
        <v>31204.800896757381</v>
      </c>
      <c r="W150" s="244"/>
      <c r="X150" s="243">
        <f t="shared" si="13"/>
        <v>-11.040550416666667</v>
      </c>
      <c r="Y150" s="238">
        <f>IFERROR(IF(ISBLANK(Beersheet!$A$1)=FALSE,
INDEX(Beersheet!$A:$U,MATCH(S150,INDEX(Beersheet!$A:$U,0,FFARawStatProjections!$BV$2),0),FFARawStatProjections!$BV$6),
IF(X150&gt;6,0,
IF(AND(X150&lt;=6,X150&gt;5),1,
IF(AND(X150&lt;=5,X150&gt;4),2,
IF(AND(X150&lt;=4,X150&gt;3),3,
IF(AND(X150&lt;=3,X150&gt;2),4,
IF(AND(X150&lt;=2,X150&gt;1),5,
IF(AND(X150&lt;=1,X150&gt;0),6,
IF(AND(X150&lt;=0,X150&gt;-1),7,
8))))))))),
10)</f>
        <v>8</v>
      </c>
    </row>
    <row r="151" spans="1:25" ht="15" customHeight="1" x14ac:dyDescent="0.25">
      <c r="A151" s="135"/>
      <c r="B151" s="142" t="s">
        <v>1005</v>
      </c>
      <c r="C151" t="str">
        <f>IF(AND(IFERROR(INDEX(Instructions!$T$111:$T$222,MATCH(D151,Instructions!$T$111:$T$222,0)), "")=D151, D151&lt;&gt;""), "X", "")</f>
        <v/>
      </c>
      <c r="D151" s="138" t="s">
        <v>2459</v>
      </c>
      <c r="E151" s="289" t="s">
        <v>163</v>
      </c>
      <c r="F151" s="434">
        <f>IFERROR(IF(AND($F$5="Projected Points",Beersheet!A146&lt;&gt;"QB"), T151, IF(H151="", INDEX(Tier!$B$16:$B$24,MATCH(G151,Tier!$A$16:$A$24,0)), INDEX(Tier!$B$16:$B$24,MATCH(H151,Tier!$A$16:$A$24,0)))), "")</f>
        <v>15.622530000000001</v>
      </c>
      <c r="G151" s="290">
        <f t="shared" si="14"/>
        <v>8</v>
      </c>
      <c r="H151" s="291"/>
      <c r="I151" s="392" t="str">
        <f>IFERROR(INDEX(ADP!R:R,MATCH(D151,ADP!D:D,0))-RBproj!K151,"")</f>
        <v/>
      </c>
      <c r="J151" s="127"/>
      <c r="K151" s="89">
        <v>145</v>
      </c>
      <c r="L151" t="s">
        <v>1005</v>
      </c>
      <c r="M151">
        <f t="shared" si="11"/>
        <v>0</v>
      </c>
      <c r="N151" s="4">
        <f>IFERROR(INDEX(ADP!AC:AC,MATCH(D151,ADP!Y:Y,0)),0)</f>
        <v>0</v>
      </c>
      <c r="O151" t="s">
        <v>3</v>
      </c>
      <c r="R151" t="str">
        <f>IFERROR(VLOOKUP(S151,FFARawStatProjections!AT:AV,2,FALSE),"")</f>
        <v>AZ</v>
      </c>
      <c r="S151" s="4" t="str">
        <f>INDEX(FFARawStatProjections!AT:AT,MATCH(T151,FFARawStatProjections!AV:AV,0))</f>
        <v>TySon Williams</v>
      </c>
      <c r="T151" s="428">
        <f>LARGE(FFARawStatProjections!AV:AV,RBproj!K151)</f>
        <v>15.622530000000001</v>
      </c>
      <c r="U151" s="249">
        <f t="shared" si="12"/>
        <v>-176.74886666666666</v>
      </c>
      <c r="V151" s="243">
        <f t="shared" si="10"/>
        <v>31240.161867951108</v>
      </c>
      <c r="W151" s="244"/>
      <c r="X151" s="243">
        <f t="shared" si="13"/>
        <v>-11.046804166666666</v>
      </c>
      <c r="Y151" s="238">
        <f>IFERROR(IF(ISBLANK(Beersheet!$A$1)=FALSE,
INDEX(Beersheet!$A:$U,MATCH(S151,INDEX(Beersheet!$A:$U,0,FFARawStatProjections!$BV$2),0),FFARawStatProjections!$BV$6),
IF(X151&gt;6,0,
IF(AND(X151&lt;=6,X151&gt;5),1,
IF(AND(X151&lt;=5,X151&gt;4),2,
IF(AND(X151&lt;=4,X151&gt;3),3,
IF(AND(X151&lt;=3,X151&gt;2),4,
IF(AND(X151&lt;=2,X151&gt;1),5,
IF(AND(X151&lt;=1,X151&gt;0),6,
IF(AND(X151&lt;=0,X151&gt;-1),7,
8))))))))),
10)</f>
        <v>8</v>
      </c>
    </row>
    <row r="152" spans="1:25" ht="15" customHeight="1" x14ac:dyDescent="0.25">
      <c r="A152" s="135"/>
      <c r="B152" s="143" t="s">
        <v>1006</v>
      </c>
      <c r="C152" t="str">
        <f>IF(AND(IFERROR(INDEX(Instructions!$T$111:$T$222,MATCH(D152,Instructions!$T$111:$T$222,0)), "")=D152, D152&lt;&gt;""), "X", "")</f>
        <v/>
      </c>
      <c r="D152" s="137" t="s">
        <v>1835</v>
      </c>
      <c r="E152" s="286" t="s">
        <v>151</v>
      </c>
      <c r="F152" s="232">
        <f>IFERROR(IF(AND($F$5="Projected Points",Beersheet!A147&lt;&gt;"QB"), T152, IF(H152="", INDEX(Tier!$B$16:$B$24,MATCH(G152,Tier!$A$16:$A$24,0)), INDEX(Tier!$B$16:$B$24,MATCH(H152,Tier!$A$16:$A$24,0)))), "")</f>
        <v>14.272520000000002</v>
      </c>
      <c r="G152" s="287">
        <f t="shared" si="14"/>
        <v>8</v>
      </c>
      <c r="H152" s="288"/>
      <c r="I152" s="392" t="str">
        <f>IFERROR(INDEX(ADP!R:R,MATCH(D152,ADP!D:D,0))-RBproj!K152,"")</f>
        <v/>
      </c>
      <c r="J152" s="127"/>
      <c r="K152" s="89">
        <v>146</v>
      </c>
      <c r="L152" t="s">
        <v>1006</v>
      </c>
      <c r="M152">
        <f t="shared" si="11"/>
        <v>0</v>
      </c>
      <c r="N152" s="4">
        <f>IFERROR(INDEX(ADP!AC:AC,MATCH(D152,ADP!Y:Y,0)),0)</f>
        <v>0</v>
      </c>
      <c r="O152" t="s">
        <v>3</v>
      </c>
      <c r="R152" t="str">
        <f>IFERROR(VLOOKUP(S152,FFARawStatProjections!AT:AV,2,FALSE),"")</f>
        <v>HOU</v>
      </c>
      <c r="S152" s="4" t="str">
        <f>INDEX(FFARawStatProjections!AT:AT,MATCH(T152,FFARawStatProjections!AV:AV,0))</f>
        <v>Mike Boone</v>
      </c>
      <c r="T152" s="428">
        <f>LARGE(FFARawStatProjections!AV:AV,RBproj!K152)</f>
        <v>14.272520000000002</v>
      </c>
      <c r="U152" s="249">
        <f t="shared" si="12"/>
        <v>-178.09887666666665</v>
      </c>
      <c r="V152" s="243">
        <f t="shared" si="10"/>
        <v>31719.209869928542</v>
      </c>
      <c r="W152" s="244"/>
      <c r="X152" s="243">
        <f t="shared" si="13"/>
        <v>-11.131179791666666</v>
      </c>
      <c r="Y152" s="238">
        <f>IFERROR(IF(ISBLANK(Beersheet!$A$1)=FALSE,
INDEX(Beersheet!$A:$U,MATCH(S152,INDEX(Beersheet!$A:$U,0,FFARawStatProjections!$BV$2),0),FFARawStatProjections!$BV$6),
IF(X152&gt;6,0,
IF(AND(X152&lt;=6,X152&gt;5),1,
IF(AND(X152&lt;=5,X152&gt;4),2,
IF(AND(X152&lt;=4,X152&gt;3),3,
IF(AND(X152&lt;=3,X152&gt;2),4,
IF(AND(X152&lt;=2,X152&gt;1),5,
IF(AND(X152&lt;=1,X152&gt;0),6,
IF(AND(X152&lt;=0,X152&gt;-1),7,
8))))))))),
10)</f>
        <v>8</v>
      </c>
    </row>
    <row r="153" spans="1:25" ht="15" customHeight="1" x14ac:dyDescent="0.25">
      <c r="A153" s="135"/>
      <c r="B153" s="142" t="s">
        <v>1007</v>
      </c>
      <c r="C153" t="str">
        <f>IF(AND(IFERROR(INDEX(Instructions!$T$111:$T$222,MATCH(D153,Instructions!$T$111:$T$222,0)), "")=D153, D153&lt;&gt;""), "X", "")</f>
        <v/>
      </c>
      <c r="D153" s="138" t="s">
        <v>2187</v>
      </c>
      <c r="E153" s="289" t="s">
        <v>162</v>
      </c>
      <c r="F153" s="434">
        <f>IFERROR(IF(AND($F$5="Projected Points",Beersheet!A148&lt;&gt;"QB"), T153, IF(H153="", INDEX(Tier!$B$16:$B$24,MATCH(G153,Tier!$A$16:$A$24,0)), INDEX(Tier!$B$16:$B$24,MATCH(H153,Tier!$A$16:$A$24,0)))), "")</f>
        <v>14.192450000000001</v>
      </c>
      <c r="G153" s="290">
        <f t="shared" si="14"/>
        <v>8</v>
      </c>
      <c r="H153" s="291"/>
      <c r="I153" s="392" t="str">
        <f>IFERROR(INDEX(ADP!R:R,MATCH(D153,ADP!D:D,0))-RBproj!K153,"")</f>
        <v/>
      </c>
      <c r="J153" s="127"/>
      <c r="K153" s="89">
        <v>147</v>
      </c>
      <c r="L153" t="s">
        <v>1007</v>
      </c>
      <c r="M153">
        <f t="shared" si="11"/>
        <v>0</v>
      </c>
      <c r="N153" s="4">
        <f>IFERROR(INDEX(ADP!AC:AC,MATCH(D153,ADP!Y:Y,0)),0)</f>
        <v>0</v>
      </c>
      <c r="O153" t="s">
        <v>3</v>
      </c>
      <c r="R153" t="str">
        <f>IFERROR(VLOOKUP(S153,FFARawStatProjections!AT:AV,2,FALSE),"")</f>
        <v>BAL</v>
      </c>
      <c r="S153" s="4" t="str">
        <f>INDEX(FFARawStatProjections!AT:AT,MATCH(T153,FFARawStatProjections!AV:AV,0))</f>
        <v>Keaton Mitchell</v>
      </c>
      <c r="T153" s="428">
        <f>LARGE(FFARawStatProjections!AV:AV,RBproj!K153)</f>
        <v>14.192450000000001</v>
      </c>
      <c r="U153" s="249">
        <f t="shared" si="12"/>
        <v>-178.17894666666666</v>
      </c>
      <c r="V153" s="243">
        <f t="shared" si="10"/>
        <v>31747.737035242844</v>
      </c>
      <c r="W153" s="244"/>
      <c r="X153" s="243">
        <f t="shared" si="13"/>
        <v>-11.136184166666666</v>
      </c>
      <c r="Y153" s="238">
        <f>IFERROR(IF(ISBLANK(Beersheet!$A$1)=FALSE,
INDEX(Beersheet!$A:$U,MATCH(S153,INDEX(Beersheet!$A:$U,0,FFARawStatProjections!$BV$2),0),FFARawStatProjections!$BV$6),
IF(X153&gt;6,0,
IF(AND(X153&lt;=6,X153&gt;5),1,
IF(AND(X153&lt;=5,X153&gt;4),2,
IF(AND(X153&lt;=4,X153&gt;3),3,
IF(AND(X153&lt;=3,X153&gt;2),4,
IF(AND(X153&lt;=2,X153&gt;1),5,
IF(AND(X153&lt;=1,X153&gt;0),6,
IF(AND(X153&lt;=0,X153&gt;-1),7,
8))))))))),
10)</f>
        <v>8</v>
      </c>
    </row>
    <row r="154" spans="1:25" ht="15" customHeight="1" x14ac:dyDescent="0.25">
      <c r="A154" s="135"/>
      <c r="B154" s="143" t="s">
        <v>1008</v>
      </c>
      <c r="C154" t="str">
        <f>IF(AND(IFERROR(INDEX(Instructions!$T$111:$T$222,MATCH(D154,Instructions!$T$111:$T$222,0)), "")=D154, D154&lt;&gt;""), "X", "")</f>
        <v/>
      </c>
      <c r="D154" s="137" t="s">
        <v>2565</v>
      </c>
      <c r="E154" s="286" t="s">
        <v>156</v>
      </c>
      <c r="F154" s="232">
        <f>IFERROR(IF(AND($F$5="Projected Points",Beersheet!A149&lt;&gt;"QB"), T154, IF(H154="", INDEX(Tier!$B$16:$B$24,MATCH(G154,Tier!$A$16:$A$24,0)), INDEX(Tier!$B$16:$B$24,MATCH(H154,Tier!$A$16:$A$24,0)))), "")</f>
        <v>14.092599999999999</v>
      </c>
      <c r="G154" s="287">
        <f t="shared" si="14"/>
        <v>8</v>
      </c>
      <c r="H154" s="288"/>
      <c r="I154" s="392" t="str">
        <f>IFERROR(INDEX(ADP!R:R,MATCH(D154,ADP!D:D,0))-RBproj!K154,"")</f>
        <v/>
      </c>
      <c r="J154" s="127"/>
      <c r="K154" s="89">
        <v>148</v>
      </c>
      <c r="L154" t="s">
        <v>1008</v>
      </c>
      <c r="M154">
        <f t="shared" si="11"/>
        <v>0</v>
      </c>
      <c r="N154" s="4">
        <f>IFERROR(INDEX(ADP!AC:AC,MATCH(D154,ADP!Y:Y,0)),0)</f>
        <v>0</v>
      </c>
      <c r="O154" t="s">
        <v>3</v>
      </c>
      <c r="R154" t="str">
        <f>IFERROR(VLOOKUP(S154,FFARawStatProjections!AT:AV,2,FALSE),"")</f>
        <v>BUF</v>
      </c>
      <c r="S154" s="4" t="str">
        <f>INDEX(FFARawStatProjections!AT:AT,MATCH(T154,FFARawStatProjections!AV:AV,0))</f>
        <v>Ty Johnson</v>
      </c>
      <c r="T154" s="428">
        <f>LARGE(FFARawStatProjections!AV:AV,RBproj!K154)</f>
        <v>14.092599999999999</v>
      </c>
      <c r="U154" s="249">
        <f t="shared" si="12"/>
        <v>-178.27879666666666</v>
      </c>
      <c r="V154" s="243">
        <f t="shared" si="10"/>
        <v>31783.329340914675</v>
      </c>
      <c r="W154" s="244"/>
      <c r="X154" s="243">
        <f t="shared" si="13"/>
        <v>-11.142424791666667</v>
      </c>
      <c r="Y154" s="238">
        <f>IFERROR(IF(ISBLANK(Beersheet!$A$1)=FALSE,
INDEX(Beersheet!$A:$U,MATCH(S154,INDEX(Beersheet!$A:$U,0,FFARawStatProjections!$BV$2),0),FFARawStatProjections!$BV$6),
IF(X154&gt;6,0,
IF(AND(X154&lt;=6,X154&gt;5),1,
IF(AND(X154&lt;=5,X154&gt;4),2,
IF(AND(X154&lt;=4,X154&gt;3),3,
IF(AND(X154&lt;=3,X154&gt;2),4,
IF(AND(X154&lt;=2,X154&gt;1),5,
IF(AND(X154&lt;=1,X154&gt;0),6,
IF(AND(X154&lt;=0,X154&gt;-1),7,
8))))))))),
10)</f>
        <v>8</v>
      </c>
    </row>
    <row r="155" spans="1:25" ht="15" customHeight="1" x14ac:dyDescent="0.25">
      <c r="A155" s="135"/>
      <c r="B155" s="142" t="s">
        <v>1009</v>
      </c>
      <c r="C155" t="str">
        <f>IF(AND(IFERROR(INDEX(Instructions!$T$111:$T$222,MATCH(D155,Instructions!$T$111:$T$222,0)), "")=D155, D155&lt;&gt;""), "X", "")</f>
        <v/>
      </c>
      <c r="D155" s="138" t="s">
        <v>2542</v>
      </c>
      <c r="E155" s="289" t="s">
        <v>144</v>
      </c>
      <c r="F155" s="434">
        <f>IFERROR(IF(AND($F$5="Projected Points",Beersheet!A150&lt;&gt;"QB"), T155, IF(H155="", INDEX(Tier!$B$16:$B$24,MATCH(G155,Tier!$A$16:$A$24,0)), INDEX(Tier!$B$16:$B$24,MATCH(H155,Tier!$A$16:$A$24,0)))), "")</f>
        <v>13.912699999999999</v>
      </c>
      <c r="G155" s="290">
        <f t="shared" si="14"/>
        <v>8</v>
      </c>
      <c r="H155" s="291"/>
      <c r="I155" s="392" t="str">
        <f>IFERROR(INDEX(ADP!R:R,MATCH(D155,ADP!D:D,0))-RBproj!K155,"")</f>
        <v/>
      </c>
      <c r="J155" s="127"/>
      <c r="K155" s="89">
        <v>149</v>
      </c>
      <c r="L155" t="s">
        <v>1009</v>
      </c>
      <c r="M155">
        <f t="shared" si="11"/>
        <v>0</v>
      </c>
      <c r="N155" s="4">
        <f>IFERROR(INDEX(ADP!AC:AC,MATCH(D155,ADP!Y:Y,0)),0)</f>
        <v>0</v>
      </c>
      <c r="O155" t="s">
        <v>3</v>
      </c>
      <c r="R155" t="str">
        <f>IFERROR(VLOOKUP(S155,FFARawStatProjections!AT:AV,2,FALSE),"")</f>
        <v>ATL</v>
      </c>
      <c r="S155" s="4" t="str">
        <f>INDEX(FFARawStatProjections!AT:AT,MATCH(T155,FFARawStatProjections!AV:AV,0))</f>
        <v>Godwin Igwebuike</v>
      </c>
      <c r="T155" s="428">
        <f>LARGE(FFARawStatProjections!AV:AV,RBproj!K155)</f>
        <v>13.912699999999999</v>
      </c>
      <c r="U155" s="249">
        <f t="shared" si="12"/>
        <v>-178.45869666666667</v>
      </c>
      <c r="V155" s="243">
        <f t="shared" si="10"/>
        <v>31847.506415965345</v>
      </c>
      <c r="W155" s="244"/>
      <c r="X155" s="243">
        <f t="shared" si="13"/>
        <v>-11.153668541666667</v>
      </c>
      <c r="Y155" s="238">
        <f>IFERROR(IF(ISBLANK(Beersheet!$A$1)=FALSE,
INDEX(Beersheet!$A:$U,MATCH(S155,INDEX(Beersheet!$A:$U,0,FFARawStatProjections!$BV$2),0),FFARawStatProjections!$BV$6),
IF(X155&gt;6,0,
IF(AND(X155&lt;=6,X155&gt;5),1,
IF(AND(X155&lt;=5,X155&gt;4),2,
IF(AND(X155&lt;=4,X155&gt;3),3,
IF(AND(X155&lt;=3,X155&gt;2),4,
IF(AND(X155&lt;=2,X155&gt;1),5,
IF(AND(X155&lt;=1,X155&gt;0),6,
IF(AND(X155&lt;=0,X155&gt;-1),7,
8))))))))),
10)</f>
        <v>8</v>
      </c>
    </row>
    <row r="156" spans="1:25" ht="15" customHeight="1" thickBot="1" x14ac:dyDescent="0.3">
      <c r="A156" s="135"/>
      <c r="B156" s="397" t="s">
        <v>1010</v>
      </c>
      <c r="C156" s="444" t="str">
        <f>IF(AND(IFERROR(INDEX(Instructions!$T$111:$T$222,MATCH(D156,Instructions!$T$111:$T$222,0)), "")=D156, D156&lt;&gt;""), "X", "")</f>
        <v/>
      </c>
      <c r="D156" s="398" t="s">
        <v>2306</v>
      </c>
      <c r="E156" s="411" t="s">
        <v>141</v>
      </c>
      <c r="F156" s="432">
        <f>IFERROR(IF(AND($F$5="Projected Points",Beersheet!A151&lt;&gt;"QB"), T156, IF(H156="", INDEX(Tier!$B$16:$B$24,MATCH(G156,Tier!$A$16:$A$24,0)), INDEX(Tier!$B$16:$B$24,MATCH(H156,Tier!$A$16:$A$24,0)))), "")</f>
        <v>13.322639999999998</v>
      </c>
      <c r="G156" s="412">
        <f t="shared" si="14"/>
        <v>8</v>
      </c>
      <c r="H156" s="402"/>
      <c r="I156" s="393" t="str">
        <f>IFERROR(INDEX(ADP!R:R,MATCH(D156,ADP!D:D,0))-RBproj!K156,"")</f>
        <v/>
      </c>
      <c r="J156" s="127"/>
      <c r="K156" s="89">
        <v>150</v>
      </c>
      <c r="L156" t="s">
        <v>1010</v>
      </c>
      <c r="M156">
        <f t="shared" si="11"/>
        <v>0</v>
      </c>
      <c r="N156" s="4">
        <f>IFERROR(INDEX(ADP!AC:AC,MATCH(D156,ADP!Y:Y,0)),0)</f>
        <v>0</v>
      </c>
      <c r="O156" t="s">
        <v>3</v>
      </c>
      <c r="R156" t="str">
        <f>IFERROR(VLOOKUP(S156,FFARawStatProjections!AT:AV,2,FALSE),"")</f>
        <v>KC</v>
      </c>
      <c r="S156" s="4" t="str">
        <f>INDEX(FFARawStatProjections!AT:AT,MATCH(T156,FFARawStatProjections!AV:AV,0))</f>
        <v>LaMical Perine</v>
      </c>
      <c r="T156" s="428">
        <f>LARGE(FFARawStatProjections!AV:AV,RBproj!K156)</f>
        <v>13.322639999999998</v>
      </c>
      <c r="U156" s="249">
        <f t="shared" si="12"/>
        <v>-179.04875666666666</v>
      </c>
      <c r="V156" s="243">
        <f t="shared" si="10"/>
        <v>32058.457263879209</v>
      </c>
      <c r="W156" s="244"/>
      <c r="X156" s="243">
        <f t="shared" si="13"/>
        <v>-11.190547291666666</v>
      </c>
      <c r="Y156" s="238">
        <f>IFERROR(IF(ISBLANK(Beersheet!$A$1)=FALSE,
INDEX(Beersheet!$A:$U,MATCH(S156,INDEX(Beersheet!$A:$U,0,FFARawStatProjections!$BV$2),0),FFARawStatProjections!$BV$6),
IF(X156&gt;6,0,
IF(AND(X156&lt;=6,X156&gt;5),1,
IF(AND(X156&lt;=5,X156&gt;4),2,
IF(AND(X156&lt;=4,X156&gt;3),3,
IF(AND(X156&lt;=3,X156&gt;2),4,
IF(AND(X156&lt;=2,X156&gt;1),5,
IF(AND(X156&lt;=1,X156&gt;0),6,
IF(AND(X156&lt;=0,X156&gt;-1),7,
8))))))))),
10)</f>
        <v>8</v>
      </c>
    </row>
    <row r="157" spans="1:25" ht="15" customHeight="1" x14ac:dyDescent="0.25">
      <c r="A157" s="127"/>
      <c r="B157" s="127"/>
      <c r="C157" s="127"/>
      <c r="D157" s="127"/>
      <c r="E157" s="127"/>
      <c r="F157" s="127"/>
      <c r="G157" s="127"/>
      <c r="H157" s="127"/>
      <c r="I157" s="127"/>
      <c r="J157" s="127"/>
    </row>
    <row r="158" spans="1:25" ht="15" hidden="1" customHeight="1" x14ac:dyDescent="0.25">
      <c r="F158" s="428"/>
    </row>
    <row r="159" spans="1:25" ht="15" hidden="1" customHeight="1" x14ac:dyDescent="0.25">
      <c r="F159" s="428"/>
    </row>
    <row r="160" spans="1:25" ht="15" hidden="1" customHeight="1" x14ac:dyDescent="0.25">
      <c r="F160" s="428"/>
    </row>
    <row r="161" spans="6:6" ht="15" hidden="1" customHeight="1" x14ac:dyDescent="0.25">
      <c r="F161" s="428"/>
    </row>
    <row r="162" spans="6:6" ht="15" hidden="1" customHeight="1" x14ac:dyDescent="0.25">
      <c r="F162" s="428"/>
    </row>
    <row r="163" spans="6:6" ht="15" hidden="1" customHeight="1" x14ac:dyDescent="0.25">
      <c r="F163" s="428"/>
    </row>
    <row r="164" spans="6:6" ht="15" hidden="1" customHeight="1" x14ac:dyDescent="0.25">
      <c r="F164" s="428"/>
    </row>
    <row r="165" spans="6:6" ht="15" hidden="1" customHeight="1" x14ac:dyDescent="0.25">
      <c r="F165" s="428"/>
    </row>
    <row r="166" spans="6:6" ht="15" hidden="1" customHeight="1" x14ac:dyDescent="0.25">
      <c r="F166" s="428"/>
    </row>
    <row r="167" spans="6:6" ht="15" hidden="1" customHeight="1" x14ac:dyDescent="0.25">
      <c r="F167" s="428"/>
    </row>
    <row r="168" spans="6:6" ht="15" hidden="1" customHeight="1" x14ac:dyDescent="0.25">
      <c r="F168" s="428"/>
    </row>
    <row r="169" spans="6:6" ht="15" hidden="1" customHeight="1" x14ac:dyDescent="0.25">
      <c r="F169" s="428"/>
    </row>
    <row r="170" spans="6:6" ht="15" hidden="1" customHeight="1" x14ac:dyDescent="0.25">
      <c r="F170" s="428"/>
    </row>
    <row r="171" spans="6:6" ht="15" hidden="1" customHeight="1" x14ac:dyDescent="0.25">
      <c r="F171" s="428"/>
    </row>
    <row r="172" spans="6:6" ht="15" hidden="1" customHeight="1" x14ac:dyDescent="0.25">
      <c r="F172" s="428"/>
    </row>
    <row r="173" spans="6:6" ht="15" hidden="1" customHeight="1" x14ac:dyDescent="0.25">
      <c r="F173" s="428"/>
    </row>
    <row r="174" spans="6:6" ht="15" hidden="1" customHeight="1" x14ac:dyDescent="0.25">
      <c r="F174" s="428"/>
    </row>
    <row r="175" spans="6:6" ht="15" hidden="1" customHeight="1" x14ac:dyDescent="0.25">
      <c r="F175" s="428"/>
    </row>
    <row r="176" spans="6:6" ht="15" hidden="1" customHeight="1" x14ac:dyDescent="0.25">
      <c r="F176" s="428"/>
    </row>
    <row r="177" spans="6:6" ht="15" hidden="1" customHeight="1" x14ac:dyDescent="0.25">
      <c r="F177" s="428"/>
    </row>
    <row r="178" spans="6:6" ht="15" hidden="1" customHeight="1" x14ac:dyDescent="0.25">
      <c r="F178" s="428"/>
    </row>
    <row r="179" spans="6:6" ht="15" hidden="1" customHeight="1" x14ac:dyDescent="0.25"/>
    <row r="180" spans="6:6" ht="15" hidden="1" customHeight="1" x14ac:dyDescent="0.25"/>
    <row r="181" spans="6:6" ht="15" hidden="1" customHeight="1" x14ac:dyDescent="0.25"/>
    <row r="182" spans="6:6" ht="15" hidden="1" customHeight="1" x14ac:dyDescent="0.25"/>
    <row r="183" spans="6:6" ht="15" hidden="1" customHeight="1" x14ac:dyDescent="0.25"/>
    <row r="184" spans="6:6" ht="15" hidden="1" customHeight="1" x14ac:dyDescent="0.25"/>
    <row r="185" spans="6:6" ht="15" hidden="1" customHeight="1" x14ac:dyDescent="0.25"/>
    <row r="186" spans="6:6" ht="15" hidden="1" customHeight="1" x14ac:dyDescent="0.25"/>
    <row r="187" spans="6:6" ht="15" hidden="1" customHeight="1" x14ac:dyDescent="0.25"/>
    <row r="188" spans="6:6" ht="15" hidden="1" customHeight="1" x14ac:dyDescent="0.25"/>
    <row r="189" spans="6:6" ht="15" hidden="1" customHeight="1" x14ac:dyDescent="0.25"/>
    <row r="190" spans="6:6" ht="15" hidden="1" customHeight="1" x14ac:dyDescent="0.25"/>
    <row r="191" spans="6:6" ht="15" hidden="1" customHeight="1" x14ac:dyDescent="0.25"/>
    <row r="192" spans="6:6"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sheetData>
  <sheetProtection sheet="1" objects="1" scenarios="1" selectLockedCells="1"/>
  <sortState xmlns:xlrd2="http://schemas.microsoft.com/office/spreadsheetml/2017/richdata2" ref="R7:T2000">
    <sortCondition descending="1" ref="T7:T2000"/>
    <sortCondition descending="1" ref="R7:R2000"/>
  </sortState>
  <mergeCells count="7">
    <mergeCell ref="B5:B6"/>
    <mergeCell ref="D5:D6"/>
    <mergeCell ref="E5:E6"/>
    <mergeCell ref="G5:G6"/>
    <mergeCell ref="G1:H4"/>
    <mergeCell ref="F5:F6"/>
    <mergeCell ref="H5:H6"/>
  </mergeCells>
  <conditionalFormatting sqref="B7:B156 D7:I156">
    <cfRule type="expression" dxfId="4" priority="1">
      <formula>$C7="X"</formula>
    </cfRule>
  </conditionalFormatting>
  <conditionalFormatting sqref="I7:I156">
    <cfRule type="colorScale" priority="4857">
      <colorScale>
        <cfvo type="min"/>
        <cfvo type="num" val="0"/>
        <cfvo type="max"/>
        <color rgb="FFFF9999"/>
        <color theme="0"/>
        <color rgb="FFAFFFAF"/>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80" r:id="rId4" name="Button 4">
              <controlPr defaultSize="0" print="0" autoFill="0" autoPict="0" macro="[0]!Up">
                <anchor moveWithCells="1" sizeWithCells="1">
                  <from>
                    <xdr:col>3</xdr:col>
                    <xdr:colOff>9525</xdr:colOff>
                    <xdr:row>0</xdr:row>
                    <xdr:rowOff>19050</xdr:rowOff>
                  </from>
                  <to>
                    <xdr:col>4</xdr:col>
                    <xdr:colOff>0</xdr:colOff>
                    <xdr:row>1</xdr:row>
                    <xdr:rowOff>190500</xdr:rowOff>
                  </to>
                </anchor>
              </controlPr>
            </control>
          </mc:Choice>
        </mc:AlternateContent>
        <mc:AlternateContent xmlns:mc="http://schemas.openxmlformats.org/markup-compatibility/2006">
          <mc:Choice Requires="x14">
            <control shapeId="50181" r:id="rId5" name="Button 5">
              <controlPr defaultSize="0" print="0" autoFill="0" autoPict="0" macro="[0]!Down">
                <anchor moveWithCells="1" sizeWithCells="1">
                  <from>
                    <xdr:col>3</xdr:col>
                    <xdr:colOff>9525</xdr:colOff>
                    <xdr:row>2</xdr:row>
                    <xdr:rowOff>9525</xdr:rowOff>
                  </from>
                  <to>
                    <xdr:col>4</xdr:col>
                    <xdr:colOff>0</xdr:colOff>
                    <xdr:row>4</xdr:row>
                    <xdr:rowOff>0</xdr:rowOff>
                  </to>
                </anchor>
              </controlPr>
            </control>
          </mc:Choice>
        </mc:AlternateContent>
        <mc:AlternateContent xmlns:mc="http://schemas.openxmlformats.org/markup-compatibility/2006">
          <mc:Choice Requires="x14">
            <control shapeId="50182" r:id="rId6" name="Button 6">
              <controlPr defaultSize="0" print="0" autoFill="0" autoPict="0" macro="[0]!RB_Order">
                <anchor moveWithCells="1">
                  <from>
                    <xdr:col>4</xdr:col>
                    <xdr:colOff>209550</xdr:colOff>
                    <xdr:row>0</xdr:row>
                    <xdr:rowOff>114300</xdr:rowOff>
                  </from>
                  <to>
                    <xdr:col>5</xdr:col>
                    <xdr:colOff>676275</xdr:colOff>
                    <xdr:row>3</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Instructions!$T$2:$T$3</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AO305"/>
  <sheetViews>
    <sheetView tabSelected="1" zoomScale="110" zoomScaleNormal="110" workbookViewId="0">
      <pane ySplit="6" topLeftCell="A16" activePane="bottomLeft" state="frozen"/>
      <selection activeCell="M1" sqref="M1:U1048576"/>
      <selection pane="bottomLeft" activeCell="F5" sqref="F5:F6"/>
    </sheetView>
  </sheetViews>
  <sheetFormatPr defaultColWidth="0" defaultRowHeight="15" zeroHeight="1" x14ac:dyDescent="0.25"/>
  <cols>
    <col min="1" max="1" width="4.7109375" customWidth="1"/>
    <col min="2" max="2" width="6.5703125" customWidth="1"/>
    <col min="3" max="3" width="4.28515625" hidden="1" customWidth="1"/>
    <col min="4" max="4" width="25.7109375" customWidth="1"/>
    <col min="5" max="8" width="10.7109375" customWidth="1"/>
    <col min="9" max="9" width="5.7109375" style="3" customWidth="1"/>
    <col min="10" max="10" width="4.7109375" customWidth="1"/>
    <col min="11" max="11" width="31.28515625" hidden="1" customWidth="1"/>
    <col min="12" max="13" width="9.140625" hidden="1" customWidth="1"/>
    <col min="14" max="14" width="20.28515625" hidden="1" customWidth="1"/>
    <col min="15" max="15" width="4.28515625" hidden="1" customWidth="1"/>
    <col min="16" max="17" width="3.28515625" hidden="1" customWidth="1"/>
    <col min="18" max="18" width="21.140625" hidden="1" customWidth="1"/>
    <col min="19" max="19" width="24.28515625" hidden="1" customWidth="1"/>
    <col min="20" max="20" width="16.85546875" hidden="1" customWidth="1"/>
    <col min="21" max="21" width="7.28515625" hidden="1" customWidth="1"/>
    <col min="22" max="22" width="15.28515625" hidden="1" customWidth="1"/>
    <col min="23" max="23" width="8.85546875" hidden="1" customWidth="1"/>
    <col min="24" max="24" width="7.28515625" hidden="1" customWidth="1"/>
    <col min="25" max="25" width="5.42578125" hidden="1" customWidth="1"/>
    <col min="26" max="40" width="9.140625" hidden="1" customWidth="1"/>
    <col min="41" max="41" width="6.42578125" hidden="1" customWidth="1"/>
    <col min="42" max="16384" width="9.140625" hidden="1"/>
  </cols>
  <sheetData>
    <row r="1" spans="1:25" ht="15" customHeight="1" x14ac:dyDescent="0.25">
      <c r="A1" s="135"/>
      <c r="B1" s="105" t="s">
        <v>1154</v>
      </c>
      <c r="D1" s="106"/>
      <c r="E1" s="105"/>
      <c r="F1" s="107"/>
      <c r="G1" s="721" t="s">
        <v>1169</v>
      </c>
      <c r="H1" s="721"/>
      <c r="I1" s="389"/>
      <c r="J1" s="302"/>
      <c r="K1" s="3"/>
      <c r="L1" s="2"/>
      <c r="M1" s="3"/>
      <c r="N1" s="4"/>
      <c r="O1" s="4"/>
      <c r="P1" s="4"/>
      <c r="Q1" s="4"/>
      <c r="R1" s="1"/>
      <c r="S1" s="1"/>
    </row>
    <row r="2" spans="1:25" ht="15.75" thickBot="1" x14ac:dyDescent="0.3">
      <c r="A2" s="135"/>
      <c r="B2" s="105"/>
      <c r="D2" s="108"/>
      <c r="E2" s="105"/>
      <c r="F2" s="107"/>
      <c r="G2" s="721"/>
      <c r="H2" s="721"/>
      <c r="I2" s="389"/>
      <c r="J2" s="302"/>
      <c r="K2" s="3"/>
      <c r="L2" s="2"/>
      <c r="M2" s="3"/>
      <c r="N2" s="4"/>
      <c r="O2" s="4"/>
      <c r="P2" s="4"/>
      <c r="Q2" s="4"/>
      <c r="R2" s="1"/>
      <c r="S2" s="1"/>
    </row>
    <row r="3" spans="1:25" x14ac:dyDescent="0.25">
      <c r="A3" s="135"/>
      <c r="B3" s="105"/>
      <c r="D3" s="106"/>
      <c r="E3" s="105"/>
      <c r="F3" s="107"/>
      <c r="G3" s="721"/>
      <c r="H3" s="721"/>
      <c r="I3" s="389"/>
      <c r="J3" s="302"/>
      <c r="K3" s="3"/>
      <c r="L3" s="2"/>
      <c r="M3" s="3"/>
      <c r="N3" s="4"/>
      <c r="O3" s="4"/>
      <c r="P3" s="4"/>
      <c r="Q3" s="4"/>
      <c r="R3" s="1"/>
      <c r="S3" s="1"/>
    </row>
    <row r="4" spans="1:25" ht="15.75" thickBot="1" x14ac:dyDescent="0.3">
      <c r="A4" s="135"/>
      <c r="B4" s="105"/>
      <c r="D4" s="109"/>
      <c r="E4" s="105"/>
      <c r="F4" s="107"/>
      <c r="G4" s="721"/>
      <c r="H4" s="721"/>
      <c r="I4" s="389"/>
      <c r="J4" s="302"/>
      <c r="K4" s="3"/>
      <c r="L4" s="2"/>
      <c r="M4" s="3"/>
      <c r="N4" s="4"/>
      <c r="O4" s="4"/>
      <c r="P4" s="4"/>
      <c r="Q4" s="4"/>
      <c r="R4" s="1"/>
      <c r="S4" s="1"/>
    </row>
    <row r="5" spans="1:25" x14ac:dyDescent="0.25">
      <c r="A5" s="135"/>
      <c r="B5" s="629" t="s">
        <v>912</v>
      </c>
      <c r="C5" s="441"/>
      <c r="D5" s="596" t="s">
        <v>244</v>
      </c>
      <c r="E5" s="596" t="s">
        <v>913</v>
      </c>
      <c r="F5" s="717" t="s">
        <v>1241</v>
      </c>
      <c r="G5" s="637" t="s">
        <v>1167</v>
      </c>
      <c r="H5" s="719" t="s">
        <v>1759</v>
      </c>
      <c r="I5" s="390" t="s">
        <v>1744</v>
      </c>
      <c r="J5" s="127"/>
      <c r="K5" s="3"/>
      <c r="L5" s="2"/>
      <c r="M5" s="3"/>
      <c r="N5" s="4"/>
      <c r="O5" s="4"/>
      <c r="P5" s="4"/>
      <c r="Q5" s="4"/>
      <c r="R5" s="1"/>
      <c r="S5" s="1"/>
    </row>
    <row r="6" spans="1:25" ht="15" customHeight="1" thickBot="1" x14ac:dyDescent="0.3">
      <c r="A6" s="135"/>
      <c r="B6" s="714"/>
      <c r="D6" s="715"/>
      <c r="E6" s="715"/>
      <c r="F6" s="718"/>
      <c r="G6" s="638"/>
      <c r="H6" s="720"/>
      <c r="I6" s="391" t="s">
        <v>246</v>
      </c>
      <c r="J6" s="127"/>
      <c r="K6" s="89" t="s">
        <v>1080</v>
      </c>
      <c r="L6" s="2"/>
      <c r="M6" s="3"/>
      <c r="N6" s="4"/>
      <c r="O6" s="4"/>
      <c r="P6" s="4"/>
      <c r="Q6" s="4"/>
      <c r="R6" s="6" t="s">
        <v>918</v>
      </c>
      <c r="S6" t="s">
        <v>967</v>
      </c>
      <c r="T6" t="s">
        <v>971</v>
      </c>
      <c r="U6" s="247"/>
      <c r="V6" s="241" t="s">
        <v>1157</v>
      </c>
      <c r="W6" s="241" t="s">
        <v>1999</v>
      </c>
      <c r="X6" s="241" t="s">
        <v>1998</v>
      </c>
      <c r="Y6" s="242" t="s">
        <v>1167</v>
      </c>
    </row>
    <row r="7" spans="1:25" ht="15" customHeight="1" x14ac:dyDescent="0.25">
      <c r="A7" s="135"/>
      <c r="B7" s="142" t="s">
        <v>248</v>
      </c>
      <c r="C7" t="str">
        <f>IF(AND(IFERROR(INDEX(Instructions!$T$111:$T$222,MATCH(D7,Instructions!$T$111:$T$222,0)), "")=D7, D7&lt;&gt;""), "X", "")</f>
        <v>X</v>
      </c>
      <c r="D7" s="141" t="s">
        <v>2081</v>
      </c>
      <c r="E7" s="100" t="s">
        <v>138</v>
      </c>
      <c r="F7" s="431">
        <f>IFERROR(IF(AND($F$5="Projected Points",Beersheet!A2&lt;&gt;"QB"), T7, IF(H7="", INDEX(Tier!$B$28:$B$36,MATCH(G7,Tier!$A$28:$A$36,0)), INDEX(Tier!$B$28:$B$36,MATCH(G7,Tier!$A$28:$A$36,0)))), "")</f>
        <v>315.59314999999998</v>
      </c>
      <c r="G7" s="250">
        <f>IF(D7="","",Y7)</f>
        <v>0</v>
      </c>
      <c r="H7" s="252"/>
      <c r="I7" s="396">
        <f>IFERROR(INDEX(ADP!S:S,MATCH(D7,ADP!D:D,0))-RBproj!K7,"")</f>
        <v>0</v>
      </c>
      <c r="J7" s="127"/>
      <c r="K7" s="89">
        <v>1</v>
      </c>
      <c r="L7" s="2" t="s">
        <v>248</v>
      </c>
      <c r="M7" s="3">
        <f>IF(N7-MEDIAN(N4:N10)&lt;0,0,N7-MEDIAN(N4:N10))</f>
        <v>0</v>
      </c>
      <c r="N7" s="4">
        <f>IFERROR(INDEX(ADP!AC:AC,MATCH(D7,ADP!Y:Y,0)),0)</f>
        <v>0.7</v>
      </c>
      <c r="O7" s="4" t="s">
        <v>6</v>
      </c>
      <c r="P7" s="4"/>
      <c r="Q7" s="4"/>
      <c r="R7" s="1" t="str">
        <f>IFERROR(VLOOKUP(S7,FFARawStatProjections!AX:AZ,2,FALSE),"")</f>
        <v>MIN</v>
      </c>
      <c r="S7" s="4" t="str">
        <f>INDEX(FFARawStatProjections!AX:AX,MATCH(WRproj!T7,FFARawStatProjections!AZ:AZ,0))</f>
        <v>Justin Jefferson</v>
      </c>
      <c r="T7">
        <f>LARGE(FFARawStatProjections!AZ:AZ,K7)</f>
        <v>315.59314999999998</v>
      </c>
      <c r="U7" s="249">
        <f t="shared" ref="U7:U70" si="0">T7-$W$10</f>
        <v>102.49309333333332</v>
      </c>
      <c r="V7" s="243">
        <f>U7^2</f>
        <v>10504.834181035376</v>
      </c>
      <c r="W7" s="243">
        <v>16</v>
      </c>
      <c r="X7" s="243">
        <f>U7/$W$7</f>
        <v>6.4058183333333325</v>
      </c>
      <c r="Y7" s="238">
        <f>IFERROR(
IF(ISBLANK(Beersheet!$A$1)=FALSE,
INDEX(Beersheet!$A:$U,MATCH(S7,INDEX(Beersheet!$A:$U,0,FFARawStatProjections!$BV$2),0),FFARawStatProjections!$BV$6),
IF(X7&gt;6,0,
IF(AND(X7&lt;=6,X7&gt;5),1,
IF(AND(X7&lt;=5,X7&gt;4),2,
IF(AND(X7&lt;=4,X7&gt;3),3,
IF(AND(X7&lt;=3,X7&gt;2),4,
IF(AND(X7&lt;=2,X7&gt;1),5,
IF(AND(X7&lt;=1,X7&gt;0),6,
IF(AND(X7&lt;=0,X7&gt;-1),7,
8))))))))),
10)</f>
        <v>0</v>
      </c>
    </row>
    <row r="8" spans="1:25" ht="15" customHeight="1" x14ac:dyDescent="0.25">
      <c r="A8" s="135"/>
      <c r="B8" s="143" t="s">
        <v>439</v>
      </c>
      <c r="C8" t="str">
        <f>IF(AND(IFERROR(INDEX(Instructions!$T$111:$T$222,MATCH(D8,Instructions!$T$111:$T$222,0)), "")=D8, D8&lt;&gt;""), "X", "")</f>
        <v>X</v>
      </c>
      <c r="D8" s="137" t="s">
        <v>2195</v>
      </c>
      <c r="E8" s="99" t="s">
        <v>145</v>
      </c>
      <c r="F8" s="232">
        <f>IFERROR(IF(AND($F$5="Projected Points",Beersheet!A3&lt;&gt;"QB"), T8, IF(H8="", INDEX(Tier!$B$28:$B$36,MATCH(G8,Tier!$A$28:$A$36,0)), INDEX(Tier!$B$28:$B$36,MATCH(G8,Tier!$A$28:$A$36,0)))), "")</f>
        <v>309.69316000000003</v>
      </c>
      <c r="G8" s="283">
        <f>IF(D8="","",Y8)</f>
        <v>0</v>
      </c>
      <c r="H8" s="284"/>
      <c r="I8" s="396">
        <f>IFERROR(INDEX(ADP!S:S,MATCH(D8,ADP!D:D,0))-RBproj!K8,"")</f>
        <v>1</v>
      </c>
      <c r="J8" s="127"/>
      <c r="K8" s="89">
        <v>2</v>
      </c>
      <c r="L8" s="2" t="s">
        <v>439</v>
      </c>
      <c r="M8" s="3">
        <f t="shared" ref="M8:M71" si="1">IF(N8-MEDIAN(N5:N11)&lt;0,0,N8-MEDIAN(N5:N11))</f>
        <v>0</v>
      </c>
      <c r="N8" s="4">
        <f>IFERROR(INDEX(ADP!AC:AC,MATCH(D8,ADP!Y:Y,0)),0)</f>
        <v>0.9</v>
      </c>
      <c r="O8" s="4" t="s">
        <v>6</v>
      </c>
      <c r="P8" s="4"/>
      <c r="Q8" s="4"/>
      <c r="R8" s="1" t="str">
        <f>IFERROR(VLOOKUP(S8,FFARawStatProjections!AX:AZ,2,FALSE),"")</f>
        <v>CIN</v>
      </c>
      <c r="S8" s="4" t="str">
        <f>INDEX(FFARawStatProjections!AX:AX,MATCH(WRproj!T8,FFARawStatProjections!AZ:AZ,0))</f>
        <v>JaMarr Chase</v>
      </c>
      <c r="T8">
        <f>LARGE(FFARawStatProjections!AZ:AZ,K8)</f>
        <v>309.69316000000003</v>
      </c>
      <c r="U8" s="249">
        <f t="shared" si="0"/>
        <v>96.593103333333374</v>
      </c>
      <c r="V8" s="243">
        <f t="shared" ref="V8:V56" si="2">U8^2</f>
        <v>9330.2276115640198</v>
      </c>
      <c r="W8" s="243">
        <f>AVERAGE(V7:INDEX(V7:V207,Instructions!$E$11*(Instructions!$E$17+Instructions!$J$15*0.5),1))</f>
        <v>1808.2179161879319</v>
      </c>
      <c r="X8" s="243">
        <f t="shared" ref="X8:X71" si="3">U8/$W$7</f>
        <v>6.0370689583333359</v>
      </c>
      <c r="Y8" s="238">
        <f>IFERROR(
IF(ISBLANK(Beersheet!$A$1)=FALSE,
INDEX(Beersheet!$A:$U,MATCH(S8,INDEX(Beersheet!$A:$U,0,FFARawStatProjections!$BV$2),0),FFARawStatProjections!$BV$6),
IF(X8&gt;6,0,
IF(AND(X8&lt;=6,X8&gt;5),1,
IF(AND(X8&lt;=5,X8&gt;4),2,
IF(AND(X8&lt;=4,X8&gt;3),3,
IF(AND(X8&lt;=3,X8&gt;2),4,
IF(AND(X8&lt;=2,X8&gt;1),5,
IF(AND(X8&lt;=1,X8&gt;0),6,
IF(AND(X8&lt;=0,X8&gt;-1),7,
8))))))))),
10)</f>
        <v>0</v>
      </c>
    </row>
    <row r="9" spans="1:25" ht="15" customHeight="1" x14ac:dyDescent="0.25">
      <c r="A9" s="135"/>
      <c r="B9" s="142" t="s">
        <v>440</v>
      </c>
      <c r="C9" t="str">
        <f>IF(AND(IFERROR(INDEX(Instructions!$T$111:$T$222,MATCH(D9,Instructions!$T$111:$T$222,0)), "")=D9, D9&lt;&gt;""), "X", "")</f>
        <v>X</v>
      </c>
      <c r="D9" s="138" t="s">
        <v>1416</v>
      </c>
      <c r="E9" s="100" t="s">
        <v>1389</v>
      </c>
      <c r="F9" s="431">
        <f>IFERROR(IF(AND($F$5="Projected Points",Beersheet!A4&lt;&gt;"QB"), T9, IF(H9="", INDEX(Tier!$B$28:$B$36,MATCH(G9,Tier!$A$28:$A$36,0)), INDEX(Tier!$B$28:$B$36,MATCH(G9,Tier!$A$28:$A$36,0)))), "")</f>
        <v>304.49317000000002</v>
      </c>
      <c r="G9" s="250">
        <f>IF(D9="","",Y9)</f>
        <v>1</v>
      </c>
      <c r="H9" s="252"/>
      <c r="I9" s="396">
        <f>IFERROR(INDEX(ADP!S:S,MATCH(D9,ADP!D:D,0))-RBproj!K9,"")</f>
        <v>1</v>
      </c>
      <c r="J9" s="127"/>
      <c r="K9" s="89">
        <v>3</v>
      </c>
      <c r="L9" s="2" t="s">
        <v>440</v>
      </c>
      <c r="M9" s="3">
        <f t="shared" si="1"/>
        <v>0.25</v>
      </c>
      <c r="N9" s="4">
        <f>IFERROR(INDEX(ADP!AC:AC,MATCH(D9,ADP!Y:Y,0)),0)</f>
        <v>1.7</v>
      </c>
      <c r="O9" s="4" t="s">
        <v>6</v>
      </c>
      <c r="P9" s="4"/>
      <c r="Q9" s="4"/>
      <c r="R9" s="1" t="str">
        <f>IFERROR(VLOOKUP(S9,FFARawStatProjections!AX:AZ,2,FALSE),"")</f>
        <v>LAR</v>
      </c>
      <c r="S9" s="4" t="str">
        <f>INDEX(FFARawStatProjections!AX:AX,MATCH(WRproj!T9,FFARawStatProjections!AZ:AZ,0))</f>
        <v>Cooper Kupp</v>
      </c>
      <c r="T9">
        <f>LARGE(FFARawStatProjections!AZ:AZ,K9)</f>
        <v>304.49317000000002</v>
      </c>
      <c r="U9" s="249">
        <f t="shared" si="0"/>
        <v>91.393113333333361</v>
      </c>
      <c r="V9" s="243">
        <f t="shared" si="2"/>
        <v>8352.7011647595154</v>
      </c>
      <c r="W9" s="244"/>
      <c r="X9" s="243">
        <f t="shared" si="3"/>
        <v>5.712069583333335</v>
      </c>
      <c r="Y9" s="238">
        <f>IFERROR(
IF(ISBLANK(Beersheet!$A$1)=FALSE,
INDEX(Beersheet!$A:$U,MATCH(S9,INDEX(Beersheet!$A:$U,0,FFARawStatProjections!$BV$2),0),FFARawStatProjections!$BV$6),
IF(X9&gt;6,0,
IF(AND(X9&lt;=6,X9&gt;5),1,
IF(AND(X9&lt;=5,X9&gt;4),2,
IF(AND(X9&lt;=4,X9&gt;3),3,
IF(AND(X9&lt;=3,X9&gt;2),4,
IF(AND(X9&lt;=2,X9&gt;1),5,
IF(AND(X9&lt;=1,X9&gt;0),6,
IF(AND(X9&lt;=0,X9&gt;-1),7,
8))))))))),
10)</f>
        <v>1</v>
      </c>
    </row>
    <row r="10" spans="1:25" ht="15" customHeight="1" x14ac:dyDescent="0.25">
      <c r="A10" s="135"/>
      <c r="B10" s="143" t="s">
        <v>441</v>
      </c>
      <c r="C10" t="str">
        <f>IF(AND(IFERROR(INDEX(Instructions!$T$111:$T$222,MATCH(D10,Instructions!$T$111:$T$222,0)), "")=D10, D10&lt;&gt;""), "X", "")</f>
        <v/>
      </c>
      <c r="D10" s="137" t="s">
        <v>1267</v>
      </c>
      <c r="E10" s="99" t="s">
        <v>166</v>
      </c>
      <c r="F10" s="232">
        <f>IFERROR(IF(AND($F$5="Projected Points",Beersheet!A5&lt;&gt;"QB"), T10, IF(H10="", INDEX(Tier!$B$28:$B$36,MATCH(G10,Tier!$A$28:$A$36,0)), INDEX(Tier!$B$28:$B$36,MATCH(G10,Tier!$A$28:$A$36,0)))), "")</f>
        <v>301.02318000000002</v>
      </c>
      <c r="G10" s="283">
        <f t="shared" ref="G10:G73" si="4">IF(D10="","",Y10)</f>
        <v>1</v>
      </c>
      <c r="H10" s="284"/>
      <c r="I10" s="396">
        <f>IFERROR(INDEX(ADP!S:S,MATCH(D10,ADP!D:D,0))-RBproj!K10,"")</f>
        <v>-2</v>
      </c>
      <c r="J10" s="127"/>
      <c r="K10" s="89">
        <v>4</v>
      </c>
      <c r="L10" s="2" t="s">
        <v>441</v>
      </c>
      <c r="M10" s="3">
        <f t="shared" si="1"/>
        <v>0</v>
      </c>
      <c r="N10" s="4">
        <f>IFERROR(INDEX(ADP!AC:AC,MATCH(D10,ADP!Y:Y,0)),0)</f>
        <v>1.2</v>
      </c>
      <c r="O10" s="4" t="s">
        <v>6</v>
      </c>
      <c r="P10" s="4"/>
      <c r="Q10" s="4"/>
      <c r="R10" s="1" t="str">
        <f>IFERROR(VLOOKUP(S10,FFARawStatProjections!AX:AZ,2,FALSE),"")</f>
        <v>MIA</v>
      </c>
      <c r="S10" s="4" t="str">
        <f>INDEX(FFARawStatProjections!AX:AX,MATCH(WRproj!T10,FFARawStatProjections!AZ:AZ,0))</f>
        <v>Tyreek Hill</v>
      </c>
      <c r="T10">
        <f>LARGE(FFARawStatProjections!AZ:AZ,K10)</f>
        <v>301.02318000000002</v>
      </c>
      <c r="U10" s="249">
        <f t="shared" si="0"/>
        <v>87.923123333333365</v>
      </c>
      <c r="V10" s="243">
        <f t="shared" si="2"/>
        <v>7730.47561668855</v>
      </c>
      <c r="W10" s="481">
        <f>(INDEX(T7:T200,Instructions!$E$11,1)
+IF(Instructions!$E$17&gt;=2,INDEX(T7:T200,Instructions!$E$11*2,1),0)
+IF(Instructions!$E$17=3,INDEX(T7:T200,Instructions!$E$11*3,1),0)
+IF(Instructions!$J$15&gt;0,INDEX(T7:T200,Instructions!$E$11*(Instructions!$E$17+Instructions!$J$15*0.5),1),0)
+IF(Instructions!$J$15=2,INDEX(T7:T200,Instructions!$E$11*(Instructions!$E$17+0.5),1),0))
/(Instructions!$E$17+Instructions!$J$15)</f>
        <v>213.10005666666666</v>
      </c>
      <c r="X10" s="243">
        <f t="shared" si="3"/>
        <v>5.4951952083333353</v>
      </c>
      <c r="Y10" s="238">
        <f>IFERROR(
IF(ISBLANK(Beersheet!$A$1)=FALSE,
INDEX(Beersheet!$A:$U,MATCH(S10,INDEX(Beersheet!$A:$U,0,FFARawStatProjections!$BV$2),0),FFARawStatProjections!$BV$6),
IF(X10&gt;6,0,
IF(AND(X10&lt;=6,X10&gt;5),1,
IF(AND(X10&lt;=5,X10&gt;4),2,
IF(AND(X10&lt;=4,X10&gt;3),3,
IF(AND(X10&lt;=3,X10&gt;2),4,
IF(AND(X10&lt;=2,X10&gt;1),5,
IF(AND(X10&lt;=1,X10&gt;0),6,
IF(AND(X10&lt;=0,X10&gt;-1),7,
8))))))))),
10)</f>
        <v>1</v>
      </c>
    </row>
    <row r="11" spans="1:25" ht="15" customHeight="1" x14ac:dyDescent="0.25">
      <c r="A11" s="135"/>
      <c r="B11" s="142" t="s">
        <v>442</v>
      </c>
      <c r="C11" t="str">
        <f>IF(AND(IFERROR(INDEX(Instructions!$T$111:$T$222,MATCH(D11,Instructions!$T$111:$T$222,0)), "")=D11, D11&lt;&gt;""), "X", "")</f>
        <v>X</v>
      </c>
      <c r="D11" s="138" t="s">
        <v>2079</v>
      </c>
      <c r="E11" s="100" t="s">
        <v>146</v>
      </c>
      <c r="F11" s="431">
        <f>IFERROR(IF(AND($F$5="Projected Points",Beersheet!A6&lt;&gt;"QB"), T11, IF(H11="", INDEX(Tier!$B$28:$B$36,MATCH(G11,Tier!$A$28:$A$36,0)), INDEX(Tier!$B$28:$B$36,MATCH(G11,Tier!$A$28:$A$36,0)))), "")</f>
        <v>282.02319</v>
      </c>
      <c r="G11" s="250">
        <f t="shared" si="4"/>
        <v>2</v>
      </c>
      <c r="H11" s="252"/>
      <c r="I11" s="396">
        <f>IFERROR(INDEX(ADP!S:S,MATCH(D11,ADP!D:D,0))-RBproj!K11,"")</f>
        <v>2</v>
      </c>
      <c r="J11" s="127"/>
      <c r="K11" s="89">
        <v>5</v>
      </c>
      <c r="L11" s="2" t="s">
        <v>443</v>
      </c>
      <c r="M11" s="3">
        <f t="shared" si="1"/>
        <v>0.49999999999999978</v>
      </c>
      <c r="N11" s="4">
        <f>IFERROR(INDEX(ADP!AC:AC,MATCH(D11,ADP!Y:Y,0)),0)</f>
        <v>2.2999999999999998</v>
      </c>
      <c r="O11" s="4" t="s">
        <v>6</v>
      </c>
      <c r="P11" s="4"/>
      <c r="Q11" s="4"/>
      <c r="R11" s="1" t="str">
        <f>IFERROR(VLOOKUP(S11,FFARawStatProjections!AX:AZ,2,FALSE),"")</f>
        <v>DAL</v>
      </c>
      <c r="S11" s="4" t="str">
        <f>INDEX(FFARawStatProjections!AX:AX,MATCH(WRproj!T11,FFARawStatProjections!AZ:AZ,0))</f>
        <v>CeeDee Lamb</v>
      </c>
      <c r="T11">
        <f>LARGE(FFARawStatProjections!AZ:AZ,K11)</f>
        <v>282.02319</v>
      </c>
      <c r="U11" s="249">
        <f t="shared" si="0"/>
        <v>68.92313333333334</v>
      </c>
      <c r="V11" s="243">
        <f t="shared" si="2"/>
        <v>4750.3983084844449</v>
      </c>
      <c r="W11" s="356"/>
      <c r="X11" s="243">
        <f t="shared" si="3"/>
        <v>4.3076958333333337</v>
      </c>
      <c r="Y11" s="238">
        <f>IFERROR(
IF(ISBLANK(Beersheet!$A$1)=FALSE,
INDEX(Beersheet!$A:$U,MATCH(S11,INDEX(Beersheet!$A:$U,0,FFARawStatProjections!$BV$2),0),FFARawStatProjections!$BV$6),
IF(X11&gt;6,0,
IF(AND(X11&lt;=6,X11&gt;5),1,
IF(AND(X11&lt;=5,X11&gt;4),2,
IF(AND(X11&lt;=4,X11&gt;3),3,
IF(AND(X11&lt;=3,X11&gt;2),4,
IF(AND(X11&lt;=2,X11&gt;1),5,
IF(AND(X11&lt;=1,X11&gt;0),6,
IF(AND(X11&lt;=0,X11&gt;-1),7,
8))))))))),
10)</f>
        <v>2</v>
      </c>
    </row>
    <row r="12" spans="1:25" ht="15" customHeight="1" x14ac:dyDescent="0.25">
      <c r="A12" s="135"/>
      <c r="B12" s="143" t="s">
        <v>443</v>
      </c>
      <c r="C12" t="str">
        <f>IF(AND(IFERROR(INDEX(Instructions!$T$111:$T$222,MATCH(D12,Instructions!$T$111:$T$222,0)), "")=D12, D12&lt;&gt;""), "X", "")</f>
        <v>X</v>
      </c>
      <c r="D12" s="137" t="s">
        <v>1124</v>
      </c>
      <c r="E12" s="99" t="s">
        <v>156</v>
      </c>
      <c r="F12" s="232">
        <f>IFERROR(IF(AND($F$5="Projected Points",Beersheet!A7&lt;&gt;"QB"), T12, IF(H12="", INDEX(Tier!$B$28:$B$36,MATCH(G12,Tier!$A$28:$A$36,0)), INDEX(Tier!$B$28:$B$36,MATCH(G12,Tier!$A$28:$A$36,0)))), "")</f>
        <v>275.30321000000004</v>
      </c>
      <c r="G12" s="283">
        <f t="shared" si="4"/>
        <v>3</v>
      </c>
      <c r="H12" s="284"/>
      <c r="I12" s="396">
        <f>IFERROR(INDEX(ADP!S:S,MATCH(D12,ADP!D:D,0))-RBproj!K12,"")</f>
        <v>-1</v>
      </c>
      <c r="J12" s="127"/>
      <c r="K12" s="89">
        <v>6</v>
      </c>
      <c r="L12" s="2" t="s">
        <v>442</v>
      </c>
      <c r="M12" s="3">
        <f t="shared" si="1"/>
        <v>0</v>
      </c>
      <c r="N12" s="4">
        <f>IFERROR(INDEX(ADP!AC:AC,MATCH(D12,ADP!Y:Y,0)),0)</f>
        <v>1.8</v>
      </c>
      <c r="O12" s="4" t="s">
        <v>6</v>
      </c>
      <c r="P12" s="4"/>
      <c r="Q12" s="4"/>
      <c r="R12" s="1" t="str">
        <f>IFERROR(VLOOKUP(S12,FFARawStatProjections!AX:AZ,2,FALSE),"")</f>
        <v>BUF</v>
      </c>
      <c r="S12" s="4" t="str">
        <f>INDEX(FFARawStatProjections!AX:AX,MATCH(WRproj!T12,FFARawStatProjections!AZ:AZ,0))</f>
        <v>Stefon Diggs</v>
      </c>
      <c r="T12">
        <f>LARGE(FFARawStatProjections!AZ:AZ,K12)</f>
        <v>275.30321000000004</v>
      </c>
      <c r="U12" s="249">
        <f t="shared" si="0"/>
        <v>62.203153333333375</v>
      </c>
      <c r="V12" s="243">
        <f t="shared" si="2"/>
        <v>3869.2322846101829</v>
      </c>
      <c r="W12" s="356"/>
      <c r="X12" s="243">
        <f t="shared" si="3"/>
        <v>3.887697083333336</v>
      </c>
      <c r="Y12" s="238">
        <f>IFERROR(
IF(ISBLANK(Beersheet!$A$1)=FALSE,
INDEX(Beersheet!$A:$U,MATCH(S12,INDEX(Beersheet!$A:$U,0,FFARawStatProjections!$BV$2),0),FFARawStatProjections!$BV$6),
IF(X12&gt;6,0,
IF(AND(X12&lt;=6,X12&gt;5),1,
IF(AND(X12&lt;=5,X12&gt;4),2,
IF(AND(X12&lt;=4,X12&gt;3),3,
IF(AND(X12&lt;=3,X12&gt;2),4,
IF(AND(X12&lt;=2,X12&gt;1),5,
IF(AND(X12&lt;=1,X12&gt;0),6,
IF(AND(X12&lt;=0,X12&gt;-1),7,
8))))))))),
10)</f>
        <v>3</v>
      </c>
    </row>
    <row r="13" spans="1:25" ht="15" customHeight="1" x14ac:dyDescent="0.25">
      <c r="A13" s="135"/>
      <c r="B13" s="142" t="s">
        <v>444</v>
      </c>
      <c r="C13" t="str">
        <f>IF(AND(IFERROR(INDEX(Instructions!$T$111:$T$222,MATCH(D13,Instructions!$T$111:$T$222,0)), "")=D13, D13&lt;&gt;""), "X", "")</f>
        <v/>
      </c>
      <c r="D13" s="138" t="s">
        <v>193</v>
      </c>
      <c r="E13" s="100" t="s">
        <v>2073</v>
      </c>
      <c r="F13" s="431">
        <f>IFERROR(IF(AND($F$5="Projected Points",Beersheet!A8&lt;&gt;"QB"), T13, IF(H13="", INDEX(Tier!$B$28:$B$36,MATCH(G13,Tier!$A$28:$A$36,0)), INDEX(Tier!$B$28:$B$36,MATCH(G13,Tier!$A$28:$A$36,0)))), "")</f>
        <v>271.40320000000003</v>
      </c>
      <c r="G13" s="250">
        <f t="shared" si="4"/>
        <v>3</v>
      </c>
      <c r="H13" s="252"/>
      <c r="I13" s="396">
        <f>IFERROR(INDEX(ADP!S:S,MATCH(D13,ADP!D:D,0))-RBproj!K13,"")</f>
        <v>1</v>
      </c>
      <c r="J13" s="127"/>
      <c r="K13" s="89">
        <v>7</v>
      </c>
      <c r="L13" s="2" t="s">
        <v>444</v>
      </c>
      <c r="M13" s="3">
        <f t="shared" si="1"/>
        <v>0.29999999999999982</v>
      </c>
      <c r="N13" s="4">
        <f>IFERROR(INDEX(ADP!AC:AC,MATCH(D13,ADP!Y:Y,0)),0)</f>
        <v>2.5</v>
      </c>
      <c r="O13" s="4" t="s">
        <v>6</v>
      </c>
      <c r="P13" s="4"/>
      <c r="Q13" s="4"/>
      <c r="R13" s="1" t="str">
        <f>IFERROR(VLOOKUP(S13,FFARawStatProjections!AX:AZ,2,FALSE),"")</f>
        <v>LV</v>
      </c>
      <c r="S13" s="4" t="str">
        <f>INDEX(FFARawStatProjections!AX:AX,MATCH(WRproj!T13,FFARawStatProjections!AZ:AZ,0))</f>
        <v>Davante Adams</v>
      </c>
      <c r="T13">
        <f>LARGE(FFARawStatProjections!AZ:AZ,K13)</f>
        <v>271.40320000000003</v>
      </c>
      <c r="U13" s="249">
        <f t="shared" si="0"/>
        <v>58.303143333333367</v>
      </c>
      <c r="V13" s="243">
        <f t="shared" si="2"/>
        <v>3399.2565225472149</v>
      </c>
      <c r="W13" s="356"/>
      <c r="X13" s="243">
        <f t="shared" si="3"/>
        <v>3.6439464583333354</v>
      </c>
      <c r="Y13" s="238">
        <f>IFERROR(
IF(ISBLANK(Beersheet!$A$1)=FALSE,
INDEX(Beersheet!$A:$U,MATCH(S13,INDEX(Beersheet!$A:$U,0,FFARawStatProjections!$BV$2),0),FFARawStatProjections!$BV$6),
IF(X13&gt;6,0,
IF(AND(X13&lt;=6,X13&gt;5),1,
IF(AND(X13&lt;=5,X13&gt;4),2,
IF(AND(X13&lt;=4,X13&gt;3),3,
IF(AND(X13&lt;=3,X13&gt;2),4,
IF(AND(X13&lt;=2,X13&gt;1),5,
IF(AND(X13&lt;=1,X13&gt;0),6,
IF(AND(X13&lt;=0,X13&gt;-1),7,
8))))))))),
10)</f>
        <v>3</v>
      </c>
    </row>
    <row r="14" spans="1:25" ht="15" customHeight="1" x14ac:dyDescent="0.25">
      <c r="A14" s="135"/>
      <c r="B14" s="143" t="s">
        <v>445</v>
      </c>
      <c r="C14" t="str">
        <f>IF(AND(IFERROR(INDEX(Instructions!$T$111:$T$222,MATCH(D14,Instructions!$T$111:$T$222,0)), "")=D14, D14&lt;&gt;""), "X", "")</f>
        <v/>
      </c>
      <c r="D14" s="137" t="s">
        <v>2202</v>
      </c>
      <c r="E14" s="99" t="s">
        <v>142</v>
      </c>
      <c r="F14" s="232">
        <f>IFERROR(IF(AND($F$5="Projected Points",Beersheet!A9&lt;&gt;"QB"), T14, IF(H14="", INDEX(Tier!$B$28:$B$36,MATCH(G14,Tier!$A$28:$A$36,0)), INDEX(Tier!$B$28:$B$36,MATCH(G14,Tier!$A$28:$A$36,0)))), "")</f>
        <v>259.51322999999996</v>
      </c>
      <c r="G14" s="283">
        <f t="shared" si="4"/>
        <v>4</v>
      </c>
      <c r="H14" s="284"/>
      <c r="I14" s="396">
        <f>IFERROR(INDEX(ADP!S:S,MATCH(D14,ADP!D:D,0))-RBproj!K14,"")</f>
        <v>1</v>
      </c>
      <c r="J14" s="127"/>
      <c r="K14" s="89">
        <v>8</v>
      </c>
      <c r="L14" s="2" t="s">
        <v>445</v>
      </c>
      <c r="M14" s="3">
        <f t="shared" si="1"/>
        <v>0</v>
      </c>
      <c r="N14" s="4">
        <f>IFERROR(INDEX(ADP!AC:AC,MATCH(D14,ADP!Y:Y,0)),0)</f>
        <v>2.2000000000000002</v>
      </c>
      <c r="O14" s="4" t="s">
        <v>6</v>
      </c>
      <c r="P14" s="4"/>
      <c r="Q14" s="4"/>
      <c r="R14" s="1" t="str">
        <f>IFERROR(VLOOKUP(S14,FFARawStatProjections!AX:AZ,2,FALSE),"")</f>
        <v>DET</v>
      </c>
      <c r="S14" s="4" t="str">
        <f>INDEX(FFARawStatProjections!AX:AX,MATCH(WRproj!T14,FFARawStatProjections!AZ:AZ,0))</f>
        <v>Amon-Ra St Brown</v>
      </c>
      <c r="T14">
        <f>LARGE(FFARawStatProjections!AZ:AZ,K14)</f>
        <v>259.51322999999996</v>
      </c>
      <c r="U14" s="249">
        <f t="shared" si="0"/>
        <v>46.413173333333305</v>
      </c>
      <c r="V14" s="243">
        <f t="shared" si="2"/>
        <v>2154.1826588700419</v>
      </c>
      <c r="W14" s="356"/>
      <c r="X14" s="243">
        <f t="shared" si="3"/>
        <v>2.9008233333333315</v>
      </c>
      <c r="Y14" s="238">
        <f>IFERROR(
IF(ISBLANK(Beersheet!$A$1)=FALSE,
INDEX(Beersheet!$A:$U,MATCH(S14,INDEX(Beersheet!$A:$U,0,FFARawStatProjections!$BV$2),0),FFARawStatProjections!$BV$6),
IF(X14&gt;6,0,
IF(AND(X14&lt;=6,X14&gt;5),1,
IF(AND(X14&lt;=5,X14&gt;4),2,
IF(AND(X14&lt;=4,X14&gt;3),3,
IF(AND(X14&lt;=3,X14&gt;2),4,
IF(AND(X14&lt;=2,X14&gt;1),5,
IF(AND(X14&lt;=1,X14&gt;0),6,
IF(AND(X14&lt;=0,X14&gt;-1),7,
8))))))))),
10)</f>
        <v>4</v>
      </c>
    </row>
    <row r="15" spans="1:25" ht="15" customHeight="1" x14ac:dyDescent="0.25">
      <c r="A15" s="135"/>
      <c r="B15" s="142" t="s">
        <v>446</v>
      </c>
      <c r="C15" t="str">
        <f>IF(AND(IFERROR(INDEX(Instructions!$T$111:$T$222,MATCH(D15,Instructions!$T$111:$T$222,0)), "")=D15, D15&lt;&gt;""), "X", "")</f>
        <v/>
      </c>
      <c r="D15" s="138" t="s">
        <v>1861</v>
      </c>
      <c r="E15" s="100" t="s">
        <v>137</v>
      </c>
      <c r="F15" s="431">
        <f>IFERROR(IF(AND($F$5="Projected Points",Beersheet!A10&lt;&gt;"QB"), T15, IF(H15="", INDEX(Tier!$B$28:$B$36,MATCH(G15,Tier!$A$28:$A$36,0)), INDEX(Tier!$B$28:$B$36,MATCH(G15,Tier!$A$28:$A$36,0)))), "")</f>
        <v>247.48321999999999</v>
      </c>
      <c r="G15" s="250">
        <f t="shared" si="4"/>
        <v>4</v>
      </c>
      <c r="H15" s="252"/>
      <c r="I15" s="396">
        <f>IFERROR(INDEX(ADP!S:S,MATCH(D15,ADP!D:D,0))-RBproj!K15,"")</f>
        <v>-3</v>
      </c>
      <c r="J15" s="127"/>
      <c r="K15" s="89">
        <v>9</v>
      </c>
      <c r="L15" s="2" t="s">
        <v>446</v>
      </c>
      <c r="M15" s="3">
        <f t="shared" si="1"/>
        <v>0</v>
      </c>
      <c r="N15" s="4">
        <f>IFERROR(INDEX(ADP!AC:AC,MATCH(D15,ADP!Y:Y,0)),0)</f>
        <v>2.4</v>
      </c>
      <c r="O15" s="4" t="s">
        <v>6</v>
      </c>
      <c r="P15" s="4"/>
      <c r="Q15" s="4"/>
      <c r="R15" s="1" t="str">
        <f>IFERROR(VLOOKUP(S15,FFARawStatProjections!AX:AZ,2,FALSE),"")</f>
        <v>PHI</v>
      </c>
      <c r="S15" s="4" t="str">
        <f>INDEX(FFARawStatProjections!AX:AX,MATCH(WRproj!T15,FFARawStatProjections!AZ:AZ,0))</f>
        <v>AJ Brown</v>
      </c>
      <c r="T15">
        <f>LARGE(FFARawStatProjections!AZ:AZ,K15)</f>
        <v>247.48321999999999</v>
      </c>
      <c r="U15" s="249">
        <f t="shared" si="0"/>
        <v>34.383163333333329</v>
      </c>
      <c r="V15" s="243">
        <f t="shared" si="2"/>
        <v>1182.2019208066774</v>
      </c>
      <c r="W15" s="356"/>
      <c r="X15" s="243">
        <f t="shared" si="3"/>
        <v>2.148947708333333</v>
      </c>
      <c r="Y15" s="238">
        <f>IFERROR(
IF(ISBLANK(Beersheet!$A$1)=FALSE,
INDEX(Beersheet!$A:$U,MATCH(S15,INDEX(Beersheet!$A:$U,0,FFARawStatProjections!$BV$2),0),FFARawStatProjections!$BV$6),
IF(X15&gt;6,0,
IF(AND(X15&lt;=6,X15&gt;5),1,
IF(AND(X15&lt;=5,X15&gt;4),2,
IF(AND(X15&lt;=4,X15&gt;3),3,
IF(AND(X15&lt;=3,X15&gt;2),4,
IF(AND(X15&lt;=2,X15&gt;1),5,
IF(AND(X15&lt;=1,X15&gt;0),6,
IF(AND(X15&lt;=0,X15&gt;-1),7,
8))))))))),
10)</f>
        <v>4</v>
      </c>
    </row>
    <row r="16" spans="1:25" ht="15" customHeight="1" x14ac:dyDescent="0.25">
      <c r="A16" s="135"/>
      <c r="B16" s="143" t="s">
        <v>447</v>
      </c>
      <c r="C16" t="str">
        <f>IF(AND(IFERROR(INDEX(Instructions!$T$111:$T$222,MATCH(D16,Instructions!$T$111:$T$222,0)), "")=D16, D16&lt;&gt;""), "X", "")</f>
        <v/>
      </c>
      <c r="D16" s="137" t="s">
        <v>2197</v>
      </c>
      <c r="E16" s="99" t="s">
        <v>166</v>
      </c>
      <c r="F16" s="232">
        <f>IFERROR(IF(AND($F$5="Projected Points",Beersheet!A11&lt;&gt;"QB"), T16, IF(H16="", INDEX(Tier!$B$28:$B$36,MATCH(G16,Tier!$A$28:$A$36,0)), INDEX(Tier!$B$28:$B$36,MATCH(G16,Tier!$A$28:$A$36,0)))), "")</f>
        <v>238.75324000000003</v>
      </c>
      <c r="G16" s="283">
        <f t="shared" si="4"/>
        <v>5</v>
      </c>
      <c r="H16" s="284"/>
      <c r="I16" s="396">
        <f>IFERROR(INDEX(ADP!S:S,MATCH(D16,ADP!D:D,0))-RBproj!K16,"")</f>
        <v>1</v>
      </c>
      <c r="J16" s="127"/>
      <c r="K16" s="89">
        <v>10</v>
      </c>
      <c r="L16" s="2" t="s">
        <v>447</v>
      </c>
      <c r="M16" s="3">
        <f t="shared" si="1"/>
        <v>0</v>
      </c>
      <c r="N16" s="4">
        <f>IFERROR(INDEX(ADP!AC:AC,MATCH(D16,ADP!Y:Y,0)),0)</f>
        <v>2.2000000000000002</v>
      </c>
      <c r="O16" s="4" t="s">
        <v>6</v>
      </c>
      <c r="P16" s="4"/>
      <c r="Q16" s="4"/>
      <c r="R16" s="1" t="str">
        <f>IFERROR(VLOOKUP(S16,FFARawStatProjections!AX:AZ,2,FALSE),"")</f>
        <v>MIA</v>
      </c>
      <c r="S16" s="4" t="str">
        <f>INDEX(FFARawStatProjections!AX:AX,MATCH(WRproj!T16,FFARawStatProjections!AZ:AZ,0))</f>
        <v>Jaylen Waddle</v>
      </c>
      <c r="T16">
        <f>LARGE(FFARawStatProjections!AZ:AZ,K16)</f>
        <v>238.75324000000003</v>
      </c>
      <c r="U16" s="249">
        <f t="shared" si="0"/>
        <v>25.653183333333374</v>
      </c>
      <c r="V16" s="243">
        <f t="shared" si="2"/>
        <v>658.08581513361321</v>
      </c>
      <c r="W16" s="356"/>
      <c r="X16" s="243">
        <f t="shared" si="3"/>
        <v>1.6033239583333359</v>
      </c>
      <c r="Y16" s="238">
        <f>IFERROR(
IF(ISBLANK(Beersheet!$A$1)=FALSE,
INDEX(Beersheet!$A:$U,MATCH(S16,INDEX(Beersheet!$A:$U,0,FFARawStatProjections!$BV$2),0),FFARawStatProjections!$BV$6),
IF(X16&gt;6,0,
IF(AND(X16&lt;=6,X16&gt;5),1,
IF(AND(X16&lt;=5,X16&gt;4),2,
IF(AND(X16&lt;=4,X16&gt;3),3,
IF(AND(X16&lt;=3,X16&gt;2),4,
IF(AND(X16&lt;=2,X16&gt;1),5,
IF(AND(X16&lt;=1,X16&gt;0),6,
IF(AND(X16&lt;=0,X16&gt;-1),7,
8))))))))),
10)</f>
        <v>5</v>
      </c>
    </row>
    <row r="17" spans="1:25" ht="15" customHeight="1" x14ac:dyDescent="0.25">
      <c r="A17" s="135"/>
      <c r="B17" s="142" t="s">
        <v>448</v>
      </c>
      <c r="C17" t="str">
        <f>IF(AND(IFERROR(INDEX(Instructions!$T$111:$T$222,MATCH(D17,Instructions!$T$111:$T$222,0)), "")=D17, D17&lt;&gt;""), "X", "")</f>
        <v>X</v>
      </c>
      <c r="D17" s="138" t="s">
        <v>2319</v>
      </c>
      <c r="E17" s="100" t="s">
        <v>164</v>
      </c>
      <c r="F17" s="431">
        <f>IFERROR(IF(AND($F$5="Projected Points",Beersheet!A12&lt;&gt;"QB"), T17, IF(H17="", INDEX(Tier!$B$28:$B$36,MATCH(G17,Tier!$A$28:$A$36,0)), INDEX(Tier!$B$28:$B$36,MATCH(G17,Tier!$A$28:$A$36,0)))), "")</f>
        <v>235.79325</v>
      </c>
      <c r="G17" s="250">
        <f t="shared" si="4"/>
        <v>5</v>
      </c>
      <c r="H17" s="252"/>
      <c r="I17" s="396">
        <f>IFERROR(INDEX(ADP!S:S,MATCH(D17,ADP!D:D,0))-RBproj!K17,"")</f>
        <v>-1</v>
      </c>
      <c r="J17" s="127"/>
      <c r="K17" s="89">
        <v>11</v>
      </c>
      <c r="L17" s="2" t="s">
        <v>448</v>
      </c>
      <c r="M17" s="3">
        <f t="shared" si="1"/>
        <v>0</v>
      </c>
      <c r="N17" s="4">
        <f>IFERROR(INDEX(ADP!AC:AC,MATCH(D17,ADP!Y:Y,0)),0)</f>
        <v>2.5</v>
      </c>
      <c r="O17" s="4" t="s">
        <v>6</v>
      </c>
      <c r="P17" s="4"/>
      <c r="Q17" s="4"/>
      <c r="R17" s="1" t="str">
        <f>IFERROR(VLOOKUP(S17,FFARawStatProjections!AX:AZ,2,FALSE),"")</f>
        <v>NYJ</v>
      </c>
      <c r="S17" s="4" t="str">
        <f>INDEX(FFARawStatProjections!AX:AX,MATCH(WRproj!T17,FFARawStatProjections!AZ:AZ,0))</f>
        <v>Garrett Wilson</v>
      </c>
      <c r="T17">
        <f>LARGE(FFARawStatProjections!AZ:AZ,K17)</f>
        <v>235.79325</v>
      </c>
      <c r="U17" s="249">
        <f t="shared" si="0"/>
        <v>22.69319333333334</v>
      </c>
      <c r="V17" s="243">
        <f t="shared" si="2"/>
        <v>514.98102366404476</v>
      </c>
      <c r="X17" s="243">
        <f t="shared" si="3"/>
        <v>1.4183245833333338</v>
      </c>
      <c r="Y17" s="238">
        <f>IFERROR(
IF(ISBLANK(Beersheet!$A$1)=FALSE,
INDEX(Beersheet!$A:$U,MATCH(S17,INDEX(Beersheet!$A:$U,0,FFARawStatProjections!$BV$2),0),FFARawStatProjections!$BV$6),
IF(X17&gt;6,0,
IF(AND(X17&lt;=6,X17&gt;5),1,
IF(AND(X17&lt;=5,X17&gt;4),2,
IF(AND(X17&lt;=4,X17&gt;3),3,
IF(AND(X17&lt;=3,X17&gt;2),4,
IF(AND(X17&lt;=2,X17&gt;1),5,
IF(AND(X17&lt;=1,X17&gt;0),6,
IF(AND(X17&lt;=0,X17&gt;-1),7,
8))))))))),
10)</f>
        <v>5</v>
      </c>
    </row>
    <row r="18" spans="1:25" ht="15" customHeight="1" x14ac:dyDescent="0.25">
      <c r="A18" s="135"/>
      <c r="B18" s="143" t="s">
        <v>449</v>
      </c>
      <c r="C18" t="str">
        <f>IF(AND(IFERROR(INDEX(Instructions!$T$111:$T$222,MATCH(D18,Instructions!$T$111:$T$222,0)), "")=D18, D18&lt;&gt;""), "X", "")</f>
        <v>X</v>
      </c>
      <c r="D18" s="137" t="s">
        <v>2320</v>
      </c>
      <c r="E18" s="99" t="s">
        <v>143</v>
      </c>
      <c r="F18" s="232">
        <f>IFERROR(IF(AND($F$5="Projected Points",Beersheet!A13&lt;&gt;"QB"), T18, IF(H18="", INDEX(Tier!$B$28:$B$36,MATCH(G18,Tier!$A$28:$A$36,0)), INDEX(Tier!$B$28:$B$36,MATCH(G18,Tier!$A$28:$A$36,0)))), "")</f>
        <v>230.21327999999997</v>
      </c>
      <c r="G18" s="283">
        <f t="shared" si="4"/>
        <v>5</v>
      </c>
      <c r="H18" s="284"/>
      <c r="I18" s="396">
        <f>IFERROR(INDEX(ADP!S:S,MATCH(D18,ADP!D:D,0))-RBproj!K18,"")</f>
        <v>0</v>
      </c>
      <c r="J18" s="127"/>
      <c r="K18" s="89">
        <v>12</v>
      </c>
      <c r="L18" s="2" t="s">
        <v>449</v>
      </c>
      <c r="M18" s="3">
        <f t="shared" si="1"/>
        <v>0</v>
      </c>
      <c r="N18" s="4">
        <f>IFERROR(INDEX(ADP!AC:AC,MATCH(D18,ADP!Y:Y,0)),0)</f>
        <v>2.7</v>
      </c>
      <c r="O18" s="4" t="s">
        <v>6</v>
      </c>
      <c r="P18" s="4"/>
      <c r="Q18" s="4"/>
      <c r="R18" s="1" t="str">
        <f>IFERROR(VLOOKUP(S18,FFARawStatProjections!AX:AZ,2,FALSE),"")</f>
        <v>NO</v>
      </c>
      <c r="S18" s="4" t="str">
        <f>INDEX(FFARawStatProjections!AX:AX,MATCH(WRproj!T18,FFARawStatProjections!AZ:AZ,0))</f>
        <v>Chris Olave</v>
      </c>
      <c r="T18">
        <f>LARGE(FFARawStatProjections!AZ:AZ,K18)</f>
        <v>230.21327999999997</v>
      </c>
      <c r="U18" s="249">
        <f t="shared" si="0"/>
        <v>17.113223333333309</v>
      </c>
      <c r="V18" s="243">
        <f t="shared" si="2"/>
        <v>292.86241285654359</v>
      </c>
      <c r="W18" s="356"/>
      <c r="X18" s="243">
        <f t="shared" si="3"/>
        <v>1.0695764583333318</v>
      </c>
      <c r="Y18" s="238">
        <f>IFERROR(
IF(ISBLANK(Beersheet!$A$1)=FALSE,
INDEX(Beersheet!$A:$U,MATCH(S18,INDEX(Beersheet!$A:$U,0,FFARawStatProjections!$BV$2),0),FFARawStatProjections!$BV$6),
IF(X18&gt;6,0,
IF(AND(X18&lt;=6,X18&gt;5),1,
IF(AND(X18&lt;=5,X18&gt;4),2,
IF(AND(X18&lt;=4,X18&gt;3),3,
IF(AND(X18&lt;=3,X18&gt;2),4,
IF(AND(X18&lt;=2,X18&gt;1),5,
IF(AND(X18&lt;=1,X18&gt;0),6,
IF(AND(X18&lt;=0,X18&gt;-1),7,
8))))))))),
10)</f>
        <v>5</v>
      </c>
    </row>
    <row r="19" spans="1:25" ht="15" customHeight="1" x14ac:dyDescent="0.25">
      <c r="A19" s="135"/>
      <c r="B19" s="142" t="s">
        <v>450</v>
      </c>
      <c r="C19" t="str">
        <f>IF(AND(IFERROR(INDEX(Instructions!$T$111:$T$222,MATCH(D19,Instructions!$T$111:$T$222,0)), "")=D19, D19&lt;&gt;""), "X", "")</f>
        <v/>
      </c>
      <c r="D19" s="138" t="s">
        <v>2092</v>
      </c>
      <c r="E19" s="100" t="s">
        <v>145</v>
      </c>
      <c r="F19" s="431">
        <f>IFERROR(IF(AND($F$5="Projected Points",Beersheet!A14&lt;&gt;"QB"), T19, IF(H19="", INDEX(Tier!$B$28:$B$36,MATCH(G19,Tier!$A$28:$A$36,0)), INDEX(Tier!$B$28:$B$36,MATCH(G19,Tier!$A$28:$A$36,0)))), "")</f>
        <v>229.09327000000002</v>
      </c>
      <c r="G19" s="250">
        <f t="shared" si="4"/>
        <v>6</v>
      </c>
      <c r="H19" s="252"/>
      <c r="I19" s="396">
        <f>IFERROR(INDEX(ADP!S:S,MATCH(D19,ADP!D:D,0))-RBproj!K19,"")</f>
        <v>0</v>
      </c>
      <c r="J19" s="127"/>
      <c r="K19" s="89">
        <v>13</v>
      </c>
      <c r="L19" s="2" t="s">
        <v>450</v>
      </c>
      <c r="M19" s="3">
        <f t="shared" si="1"/>
        <v>0.60000000000000009</v>
      </c>
      <c r="N19" s="4">
        <f>IFERROR(INDEX(ADP!AC:AC,MATCH(D19,ADP!Y:Y,0)),0)</f>
        <v>3.5</v>
      </c>
      <c r="O19" s="4" t="s">
        <v>6</v>
      </c>
      <c r="P19" s="4"/>
      <c r="Q19" s="4"/>
      <c r="R19" s="1" t="str">
        <f>IFERROR(VLOOKUP(S19,FFARawStatProjections!AX:AZ,2,FALSE),"")</f>
        <v>CIN</v>
      </c>
      <c r="S19" s="4" t="str">
        <f>INDEX(FFARawStatProjections!AX:AX,MATCH(WRproj!T19,FFARawStatProjections!AZ:AZ,0))</f>
        <v>Tee Higgins</v>
      </c>
      <c r="T19">
        <f>LARGE(FFARawStatProjections!AZ:AZ,K19)</f>
        <v>229.09327000000002</v>
      </c>
      <c r="U19" s="249">
        <f t="shared" si="0"/>
        <v>15.993213333333358</v>
      </c>
      <c r="V19" s="243">
        <f t="shared" si="2"/>
        <v>255.78287272551191</v>
      </c>
      <c r="W19" s="356"/>
      <c r="X19" s="243">
        <f t="shared" si="3"/>
        <v>0.99957583333333488</v>
      </c>
      <c r="Y19" s="238">
        <f>IFERROR(
IF(ISBLANK(Beersheet!$A$1)=FALSE,
INDEX(Beersheet!$A:$U,MATCH(S19,INDEX(Beersheet!$A:$U,0,FFARawStatProjections!$BV$2),0),FFARawStatProjections!$BV$6),
IF(X19&gt;6,0,
IF(AND(X19&lt;=6,X19&gt;5),1,
IF(AND(X19&lt;=5,X19&gt;4),2,
IF(AND(X19&lt;=4,X19&gt;3),3,
IF(AND(X19&lt;=3,X19&gt;2),4,
IF(AND(X19&lt;=2,X19&gt;1),5,
IF(AND(X19&lt;=1,X19&gt;0),6,
IF(AND(X19&lt;=0,X19&gt;-1),7,
8))))))))),
10)</f>
        <v>6</v>
      </c>
    </row>
    <row r="20" spans="1:25" ht="15" customHeight="1" x14ac:dyDescent="0.25">
      <c r="A20" s="135"/>
      <c r="B20" s="143" t="s">
        <v>451</v>
      </c>
      <c r="C20" t="str">
        <f>IF(AND(IFERROR(INDEX(Instructions!$T$111:$T$222,MATCH(D20,Instructions!$T$111:$T$222,0)), "")=D20, D20&lt;&gt;""), "X", "")</f>
        <v/>
      </c>
      <c r="D20" s="137" t="s">
        <v>1865</v>
      </c>
      <c r="E20" s="99" t="s">
        <v>155</v>
      </c>
      <c r="F20" s="232">
        <f>IFERROR(IF(AND($F$5="Projected Points",Beersheet!A15&lt;&gt;"QB"), T20, IF(H20="", INDEX(Tier!$B$28:$B$36,MATCH(G20,Tier!$A$28:$A$36,0)), INDEX(Tier!$B$28:$B$36,MATCH(G20,Tier!$A$28:$A$36,0)))), "")</f>
        <v>227.77331000000004</v>
      </c>
      <c r="G20" s="283">
        <f t="shared" si="4"/>
        <v>6</v>
      </c>
      <c r="H20" s="284"/>
      <c r="I20" s="396">
        <f>IFERROR(INDEX(ADP!S:S,MATCH(D20,ADP!D:D,0))-RBproj!K20,"")</f>
        <v>2</v>
      </c>
      <c r="J20" s="127"/>
      <c r="K20" s="89">
        <v>14</v>
      </c>
      <c r="L20" s="2" t="s">
        <v>451</v>
      </c>
      <c r="M20" s="3">
        <f t="shared" si="1"/>
        <v>0.90000000000000036</v>
      </c>
      <c r="N20" s="4">
        <f>IFERROR(INDEX(ADP!AC:AC,MATCH(D20,ADP!Y:Y,0)),0)</f>
        <v>4.4000000000000004</v>
      </c>
      <c r="O20" s="4" t="s">
        <v>6</v>
      </c>
      <c r="P20" s="4"/>
      <c r="Q20" s="4"/>
      <c r="R20" s="1" t="str">
        <f>IFERROR(VLOOKUP(S20,FFARawStatProjections!AX:AZ,2,FALSE),"")</f>
        <v>SEA</v>
      </c>
      <c r="S20" s="4" t="str">
        <f>INDEX(FFARawStatProjections!AX:AX,MATCH(WRproj!T20,FFARawStatProjections!AZ:AZ,0))</f>
        <v>DK Metcalf</v>
      </c>
      <c r="T20">
        <f>LARGE(FFARawStatProjections!AZ:AZ,K20)</f>
        <v>227.77331000000004</v>
      </c>
      <c r="U20" s="249">
        <f t="shared" si="0"/>
        <v>14.673253333333378</v>
      </c>
      <c r="V20" s="243">
        <f t="shared" si="2"/>
        <v>215.30436338417908</v>
      </c>
      <c r="W20" s="356"/>
      <c r="X20" s="243">
        <f t="shared" si="3"/>
        <v>0.9170783333333361</v>
      </c>
      <c r="Y20" s="238">
        <f>IFERROR(
IF(ISBLANK(Beersheet!$A$1)=FALSE,
INDEX(Beersheet!$A:$U,MATCH(S20,INDEX(Beersheet!$A:$U,0,FFARawStatProjections!$BV$2),0),FFARawStatProjections!$BV$6),
IF(X20&gt;6,0,
IF(AND(X20&lt;=6,X20&gt;5),1,
IF(AND(X20&lt;=5,X20&gt;4),2,
IF(AND(X20&lt;=4,X20&gt;3),3,
IF(AND(X20&lt;=3,X20&gt;2),4,
IF(AND(X20&lt;=2,X20&gt;1),5,
IF(AND(X20&lt;=1,X20&gt;0),6,
IF(AND(X20&lt;=0,X20&gt;-1),7,
8))))))))),
10)</f>
        <v>6</v>
      </c>
    </row>
    <row r="21" spans="1:25" ht="15" customHeight="1" x14ac:dyDescent="0.25">
      <c r="A21" s="135"/>
      <c r="B21" s="142" t="s">
        <v>452</v>
      </c>
      <c r="C21" t="str">
        <f>IF(AND(IFERROR(INDEX(Instructions!$T$111:$T$222,MATCH(D21,Instructions!$T$111:$T$222,0)), "")=D21, D21&lt;&gt;""), "X", "")</f>
        <v/>
      </c>
      <c r="D21" s="138" t="s">
        <v>1857</v>
      </c>
      <c r="E21" s="100" t="s">
        <v>140</v>
      </c>
      <c r="F21" s="431">
        <f>IFERROR(IF(AND($F$5="Projected Points",Beersheet!A16&lt;&gt;"QB"), T21, IF(H21="", INDEX(Tier!$B$28:$B$36,MATCH(G21,Tier!$A$28:$A$36,0)), INDEX(Tier!$B$28:$B$36,MATCH(G21,Tier!$A$28:$A$36,0)))), "")</f>
        <v>226.29332000000002</v>
      </c>
      <c r="G21" s="250">
        <f t="shared" si="4"/>
        <v>6</v>
      </c>
      <c r="H21" s="252"/>
      <c r="I21" s="396">
        <f>IFERROR(INDEX(ADP!S:S,MATCH(D21,ADP!D:D,0))-RBproj!K21,"")</f>
        <v>2</v>
      </c>
      <c r="J21" s="127"/>
      <c r="K21" s="89">
        <v>15</v>
      </c>
      <c r="L21" s="2" t="s">
        <v>452</v>
      </c>
      <c r="M21" s="3">
        <f t="shared" si="1"/>
        <v>0.29999999999999982</v>
      </c>
      <c r="N21" s="4">
        <f>IFERROR(INDEX(ADP!AC:AC,MATCH(D21,ADP!Y:Y,0)),0)</f>
        <v>4.3</v>
      </c>
      <c r="O21" s="4" t="s">
        <v>6</v>
      </c>
      <c r="P21" s="4"/>
      <c r="Q21" s="4"/>
      <c r="R21" s="1" t="str">
        <f>IFERROR(VLOOKUP(S21,FFARawStatProjections!AX:AZ,2,FALSE),"")</f>
        <v>PHI</v>
      </c>
      <c r="S21" s="4" t="str">
        <f>INDEX(FFARawStatProjections!AX:AX,MATCH(WRproj!T21,FFARawStatProjections!AZ:AZ,0))</f>
        <v>DeVonta Smith</v>
      </c>
      <c r="T21">
        <f>LARGE(FFARawStatProjections!AZ:AZ,K21)</f>
        <v>226.29332000000002</v>
      </c>
      <c r="U21" s="249">
        <f t="shared" si="0"/>
        <v>13.193263333333363</v>
      </c>
      <c r="V21" s="243">
        <f t="shared" si="2"/>
        <v>174.06219738267856</v>
      </c>
      <c r="W21" s="356"/>
      <c r="X21" s="243">
        <f t="shared" si="3"/>
        <v>0.82457895833333517</v>
      </c>
      <c r="Y21" s="238">
        <f>IFERROR(
IF(ISBLANK(Beersheet!$A$1)=FALSE,
INDEX(Beersheet!$A:$U,MATCH(S21,INDEX(Beersheet!$A:$U,0,FFARawStatProjections!$BV$2),0),FFARawStatProjections!$BV$6),
IF(X21&gt;6,0,
IF(AND(X21&lt;=6,X21&gt;5),1,
IF(AND(X21&lt;=5,X21&gt;4),2,
IF(AND(X21&lt;=4,X21&gt;3),3,
IF(AND(X21&lt;=3,X21&gt;2),4,
IF(AND(X21&lt;=2,X21&gt;1),5,
IF(AND(X21&lt;=1,X21&gt;0),6,
IF(AND(X21&lt;=0,X21&gt;-1),7,
8))))))))),
10)</f>
        <v>6</v>
      </c>
    </row>
    <row r="22" spans="1:25" ht="15" customHeight="1" x14ac:dyDescent="0.25">
      <c r="A22" s="135"/>
      <c r="B22" s="143" t="s">
        <v>453</v>
      </c>
      <c r="C22" t="str">
        <f>IF(AND(IFERROR(INDEX(Instructions!$T$111:$T$222,MATCH(D22,Instructions!$T$111:$T$222,0)), "")=D22, D22&lt;&gt;""), "X", "")</f>
        <v/>
      </c>
      <c r="D22" s="137" t="s">
        <v>2196</v>
      </c>
      <c r="E22" s="99" t="s">
        <v>137</v>
      </c>
      <c r="F22" s="232">
        <f>IFERROR(IF(AND($F$5="Projected Points",Beersheet!A17&lt;&gt;"QB"), T22, IF(H22="", INDEX(Tier!$B$28:$B$36,MATCH(G22,Tier!$A$28:$A$36,0)), INDEX(Tier!$B$28:$B$36,MATCH(G22,Tier!$A$28:$A$36,0)))), "")</f>
        <v>223.24339000000001</v>
      </c>
      <c r="G22" s="283">
        <f t="shared" si="4"/>
        <v>6</v>
      </c>
      <c r="H22" s="284"/>
      <c r="I22" s="396">
        <f>IFERROR(INDEX(ADP!S:S,MATCH(D22,ADP!D:D,0))-RBproj!K22,"")</f>
        <v>-2</v>
      </c>
      <c r="J22" s="127"/>
      <c r="K22" s="89">
        <v>16</v>
      </c>
      <c r="L22" s="2" t="s">
        <v>453</v>
      </c>
      <c r="M22" s="3">
        <f t="shared" si="1"/>
        <v>0</v>
      </c>
      <c r="N22" s="4">
        <f>IFERROR(INDEX(ADP!AC:AC,MATCH(D22,ADP!Y:Y,0)),0)</f>
        <v>2.9</v>
      </c>
      <c r="O22" s="4" t="s">
        <v>6</v>
      </c>
      <c r="P22" s="4"/>
      <c r="Q22" s="4"/>
      <c r="R22" s="1" t="str">
        <f>IFERROR(VLOOKUP(S22,FFARawStatProjections!AX:AZ,2,FALSE),"")</f>
        <v>LAC</v>
      </c>
      <c r="S22" s="4" t="str">
        <f>INDEX(FFARawStatProjections!AX:AX,MATCH(WRproj!T22,FFARawStatProjections!AZ:AZ,0))</f>
        <v>Keenan Allen</v>
      </c>
      <c r="T22">
        <f>LARGE(FFARawStatProjections!AZ:AZ,K22)</f>
        <v>223.24339000000001</v>
      </c>
      <c r="U22" s="249">
        <f t="shared" si="0"/>
        <v>10.143333333333345</v>
      </c>
      <c r="V22" s="243">
        <f t="shared" si="2"/>
        <v>102.88721111111136</v>
      </c>
      <c r="W22" s="244"/>
      <c r="X22" s="243">
        <f t="shared" si="3"/>
        <v>0.63395833333333407</v>
      </c>
      <c r="Y22" s="238">
        <f>IFERROR(
IF(ISBLANK(Beersheet!$A$1)=FALSE,
INDEX(Beersheet!$A:$U,MATCH(S22,INDEX(Beersheet!$A:$U,0,FFARawStatProjections!$BV$2),0),FFARawStatProjections!$BV$6),
IF(X22&gt;6,0,
IF(AND(X22&lt;=6,X22&gt;5),1,
IF(AND(X22&lt;=5,X22&gt;4),2,
IF(AND(X22&lt;=4,X22&gt;3),3,
IF(AND(X22&lt;=3,X22&gt;2),4,
IF(AND(X22&lt;=2,X22&gt;1),5,
IF(AND(X22&lt;=1,X22&gt;0),6,
IF(AND(X22&lt;=0,X22&gt;-1),7,
8))))))))),
10)</f>
        <v>6</v>
      </c>
    </row>
    <row r="23" spans="1:25" ht="15" customHeight="1" x14ac:dyDescent="0.25">
      <c r="A23" s="135"/>
      <c r="B23" s="142" t="s">
        <v>454</v>
      </c>
      <c r="C23" t="str">
        <f>IF(AND(IFERROR(INDEX(Instructions!$T$111:$T$222,MATCH(D23,Instructions!$T$111:$T$222,0)), "")=D23, D23&lt;&gt;""), "X", "")</f>
        <v/>
      </c>
      <c r="D23" s="138" t="s">
        <v>1787</v>
      </c>
      <c r="E23" s="100" t="s">
        <v>165</v>
      </c>
      <c r="F23" s="431">
        <f>IFERROR(IF(AND($F$5="Projected Points",Beersheet!A18&lt;&gt;"QB"), T23, IF(H23="", INDEX(Tier!$B$28:$B$36,MATCH(G23,Tier!$A$28:$A$36,0)), INDEX(Tier!$B$28:$B$36,MATCH(G23,Tier!$A$28:$A$36,0)))), "")</f>
        <v>222.39326000000003</v>
      </c>
      <c r="G23" s="250">
        <f t="shared" si="4"/>
        <v>6</v>
      </c>
      <c r="H23" s="252"/>
      <c r="I23" s="396">
        <f>IFERROR(INDEX(ADP!S:S,MATCH(D23,ADP!D:D,0))-RBproj!K23,"")</f>
        <v>1</v>
      </c>
      <c r="J23" s="127"/>
      <c r="K23" s="89">
        <v>17</v>
      </c>
      <c r="L23" s="2" t="s">
        <v>454</v>
      </c>
      <c r="M23" s="3">
        <f t="shared" si="1"/>
        <v>0.20000000000000018</v>
      </c>
      <c r="N23" s="4">
        <f>IFERROR(INDEX(ADP!AC:AC,MATCH(D23,ADP!Y:Y,0)),0)</f>
        <v>4.5</v>
      </c>
      <c r="O23" s="4" t="s">
        <v>6</v>
      </c>
      <c r="P23" s="4"/>
      <c r="Q23" s="4"/>
      <c r="R23" s="1" t="str">
        <f>IFERROR(VLOOKUP(S23,FFARawStatProjections!AX:AZ,2,FALSE),"")</f>
        <v>SF</v>
      </c>
      <c r="S23" s="4" t="str">
        <f>INDEX(FFARawStatProjections!AX:AX,MATCH(WRproj!T23,FFARawStatProjections!AZ:AZ,0))</f>
        <v>Deebo Samuel</v>
      </c>
      <c r="T23">
        <f>LARGE(FFARawStatProjections!AZ:AZ,K23)</f>
        <v>222.39326000000003</v>
      </c>
      <c r="U23" s="249">
        <f t="shared" si="0"/>
        <v>9.2932033333333663</v>
      </c>
      <c r="V23" s="243">
        <f t="shared" si="2"/>
        <v>86.363628194678398</v>
      </c>
      <c r="W23" s="244"/>
      <c r="X23" s="243">
        <f t="shared" si="3"/>
        <v>0.5808252083333354</v>
      </c>
      <c r="Y23" s="238">
        <f>IFERROR(
IF(ISBLANK(Beersheet!$A$1)=FALSE,
INDEX(Beersheet!$A:$U,MATCH(S23,INDEX(Beersheet!$A:$U,0,FFARawStatProjections!$BV$2),0),FFARawStatProjections!$BV$6),
IF(X23&gt;6,0,
IF(AND(X23&lt;=6,X23&gt;5),1,
IF(AND(X23&lt;=5,X23&gt;4),2,
IF(AND(X23&lt;=4,X23&gt;3),3,
IF(AND(X23&lt;=3,X23&gt;2),4,
IF(AND(X23&lt;=2,X23&gt;1),5,
IF(AND(X23&lt;=1,X23&gt;0),6,
IF(AND(X23&lt;=0,X23&gt;-1),7,
8))))))))),
10)</f>
        <v>6</v>
      </c>
    </row>
    <row r="24" spans="1:25" ht="15" customHeight="1" x14ac:dyDescent="0.25">
      <c r="A24" s="135"/>
      <c r="B24" s="143" t="s">
        <v>455</v>
      </c>
      <c r="C24" t="str">
        <f>IF(AND(IFERROR(INDEX(Instructions!$T$111:$T$222,MATCH(D24,Instructions!$T$111:$T$222,0)), "")=D24, D24&lt;&gt;""), "X", "")</f>
        <v/>
      </c>
      <c r="D24" s="137" t="s">
        <v>1101</v>
      </c>
      <c r="E24" s="99" t="s">
        <v>161</v>
      </c>
      <c r="F24" s="232">
        <f>IFERROR(IF(AND($F$5="Projected Points",Beersheet!A19&lt;&gt;"QB"), T24, IF(H24="", INDEX(Tier!$B$28:$B$36,MATCH(G24,Tier!$A$28:$A$36,0)), INDEX(Tier!$B$28:$B$36,MATCH(G24,Tier!$A$28:$A$36,0)))), "")</f>
        <v>222.30333000000002</v>
      </c>
      <c r="G24" s="283">
        <f t="shared" si="4"/>
        <v>6</v>
      </c>
      <c r="H24" s="284"/>
      <c r="I24" s="396">
        <f>IFERROR(INDEX(ADP!S:S,MATCH(D24,ADP!D:D,0))-RBproj!K24,"")</f>
        <v>-3</v>
      </c>
      <c r="J24" s="127"/>
      <c r="K24" s="89">
        <v>18</v>
      </c>
      <c r="L24" s="2" t="s">
        <v>455</v>
      </c>
      <c r="M24" s="3">
        <f t="shared" si="1"/>
        <v>0</v>
      </c>
      <c r="N24" s="4">
        <f>IFERROR(INDEX(ADP!AC:AC,MATCH(D24,ADP!Y:Y,0)),0)</f>
        <v>4</v>
      </c>
      <c r="O24" s="4" t="s">
        <v>6</v>
      </c>
      <c r="P24" s="4"/>
      <c r="Q24" s="4"/>
      <c r="R24" s="1" t="str">
        <f>IFERROR(VLOOKUP(S24,FFARawStatProjections!AX:AZ,2,FALSE),"")</f>
        <v>JAC</v>
      </c>
      <c r="S24" s="4" t="str">
        <f>INDEX(FFARawStatProjections!AX:AX,MATCH(WRproj!T24,FFARawStatProjections!AZ:AZ,0))</f>
        <v>Calvin Ridley</v>
      </c>
      <c r="T24">
        <f>LARGE(FFARawStatProjections!AZ:AZ,K24)</f>
        <v>222.30333000000002</v>
      </c>
      <c r="U24" s="249">
        <f t="shared" si="0"/>
        <v>9.2032733333333567</v>
      </c>
      <c r="V24" s="243">
        <f t="shared" si="2"/>
        <v>84.700240048044876</v>
      </c>
      <c r="W24" s="244"/>
      <c r="X24" s="243">
        <f t="shared" si="3"/>
        <v>0.5752045833333348</v>
      </c>
      <c r="Y24" s="238">
        <f>IFERROR(
IF(ISBLANK(Beersheet!$A$1)=FALSE,
INDEX(Beersheet!$A:$U,MATCH(S24,INDEX(Beersheet!$A:$U,0,FFARawStatProjections!$BV$2),0),FFARawStatProjections!$BV$6),
IF(X24&gt;6,0,
IF(AND(X24&lt;=6,X24&gt;5),1,
IF(AND(X24&lt;=5,X24&gt;4),2,
IF(AND(X24&lt;=4,X24&gt;3),3,
IF(AND(X24&lt;=3,X24&gt;2),4,
IF(AND(X24&lt;=2,X24&gt;1),5,
IF(AND(X24&lt;=1,X24&gt;0),6,
IF(AND(X24&lt;=0,X24&gt;-1),7,
8))))))))),
10)</f>
        <v>6</v>
      </c>
    </row>
    <row r="25" spans="1:25" ht="15" customHeight="1" x14ac:dyDescent="0.25">
      <c r="A25" s="135"/>
      <c r="B25" s="142" t="s">
        <v>456</v>
      </c>
      <c r="C25" t="str">
        <f>IF(AND(IFERROR(INDEX(Instructions!$T$111:$T$222,MATCH(D25,Instructions!$T$111:$T$222,0)), "")=D25, D25&lt;&gt;""), "X", "")</f>
        <v/>
      </c>
      <c r="D25" s="138" t="s">
        <v>2321</v>
      </c>
      <c r="E25" s="100" t="s">
        <v>139</v>
      </c>
      <c r="F25" s="431">
        <f>IFERROR(IF(AND($F$5="Projected Points",Beersheet!A20&lt;&gt;"QB"), T25, IF(H25="", INDEX(Tier!$B$28:$B$36,MATCH(G25,Tier!$A$28:$A$36,0)), INDEX(Tier!$B$28:$B$36,MATCH(G25,Tier!$A$28:$A$36,0)))), "")</f>
        <v>218.83329000000001</v>
      </c>
      <c r="G25" s="250">
        <f t="shared" si="4"/>
        <v>6</v>
      </c>
      <c r="H25" s="252"/>
      <c r="I25" s="396">
        <f>IFERROR(INDEX(ADP!S:S,MATCH(D25,ADP!D:D,0))-RBproj!K25,"")</f>
        <v>3</v>
      </c>
      <c r="J25" s="127"/>
      <c r="K25" s="89">
        <v>19</v>
      </c>
      <c r="L25" s="2" t="s">
        <v>456</v>
      </c>
      <c r="M25" s="3">
        <f t="shared" si="1"/>
        <v>1</v>
      </c>
      <c r="N25" s="4">
        <f>IFERROR(INDEX(ADP!AC:AC,MATCH(D25,ADP!Y:Y,0)),0)</f>
        <v>5.3</v>
      </c>
      <c r="O25" s="4" t="s">
        <v>6</v>
      </c>
      <c r="P25" s="4"/>
      <c r="Q25" s="4"/>
      <c r="R25" s="1" t="str">
        <f>IFERROR(VLOOKUP(S25,FFARawStatProjections!AX:AZ,2,FALSE),"")</f>
        <v>CLE</v>
      </c>
      <c r="S25" s="4" t="str">
        <f>INDEX(FFARawStatProjections!AX:AX,MATCH(WRproj!T25,FFARawStatProjections!AZ:AZ,0))</f>
        <v>Amari Cooper</v>
      </c>
      <c r="T25">
        <f>LARGE(FFARawStatProjections!AZ:AZ,K25)</f>
        <v>218.83329000000001</v>
      </c>
      <c r="U25" s="249">
        <f t="shared" si="0"/>
        <v>5.7332333333333452</v>
      </c>
      <c r="V25" s="243">
        <f t="shared" si="2"/>
        <v>32.869964454444577</v>
      </c>
      <c r="W25" s="244"/>
      <c r="X25" s="243">
        <f t="shared" si="3"/>
        <v>0.35832708333333407</v>
      </c>
      <c r="Y25" s="238">
        <f>IFERROR(
IF(ISBLANK(Beersheet!$A$1)=FALSE,
INDEX(Beersheet!$A:$U,MATCH(S25,INDEX(Beersheet!$A:$U,0,FFARawStatProjections!$BV$2),0),FFARawStatProjections!$BV$6),
IF(X25&gt;6,0,
IF(AND(X25&lt;=6,X25&gt;5),1,
IF(AND(X25&lt;=5,X25&gt;4),2,
IF(AND(X25&lt;=4,X25&gt;3),3,
IF(AND(X25&lt;=3,X25&gt;2),4,
IF(AND(X25&lt;=2,X25&gt;1),5,
IF(AND(X25&lt;=1,X25&gt;0),6,
IF(AND(X25&lt;=0,X25&gt;-1),7,
8))))))))),
10)</f>
        <v>6</v>
      </c>
    </row>
    <row r="26" spans="1:25" ht="15" customHeight="1" x14ac:dyDescent="0.25">
      <c r="A26" s="135"/>
      <c r="B26" s="143" t="s">
        <v>457</v>
      </c>
      <c r="C26" t="str">
        <f>IF(AND(IFERROR(INDEX(Instructions!$T$111:$T$222,MATCH(D26,Instructions!$T$111:$T$222,0)), "")=D26, D26&lt;&gt;""), "X", "")</f>
        <v/>
      </c>
      <c r="D26" s="137" t="s">
        <v>53</v>
      </c>
      <c r="E26" s="99" t="s">
        <v>1388</v>
      </c>
      <c r="F26" s="232">
        <f>IFERROR(IF(AND($F$5="Projected Points",Beersheet!A21&lt;&gt;"QB"), T26, IF(H26="", INDEX(Tier!$B$28:$B$36,MATCH(G26,Tier!$A$28:$A$36,0)), INDEX(Tier!$B$28:$B$36,MATCH(G26,Tier!$A$28:$A$36,0)))), "")</f>
        <v>214.0333</v>
      </c>
      <c r="G26" s="283">
        <f t="shared" si="4"/>
        <v>6</v>
      </c>
      <c r="H26" s="284"/>
      <c r="I26" s="396">
        <f>IFERROR(INDEX(ADP!S:S,MATCH(D26,ADP!D:D,0))-RBproj!K26,"")</f>
        <v>0</v>
      </c>
      <c r="J26" s="127"/>
      <c r="K26" s="89">
        <v>20</v>
      </c>
      <c r="L26" s="2" t="s">
        <v>457</v>
      </c>
      <c r="M26" s="3">
        <f t="shared" si="1"/>
        <v>0</v>
      </c>
      <c r="N26" s="4">
        <f>IFERROR(INDEX(ADP!AC:AC,MATCH(D26,ADP!Y:Y,0)),0)</f>
        <v>4.0999999999999996</v>
      </c>
      <c r="O26" s="4" t="s">
        <v>6</v>
      </c>
      <c r="P26" s="4"/>
      <c r="Q26" s="4"/>
      <c r="R26" s="1" t="str">
        <f>IFERROR(VLOOKUP(S26,FFARawStatProjections!AX:AZ,2,FALSE),"")</f>
        <v>GB</v>
      </c>
      <c r="S26" s="4" t="str">
        <f>INDEX(FFARawStatProjections!AX:AX,MATCH(WRproj!T26,FFARawStatProjections!AZ:AZ,0))</f>
        <v>Christian Watson</v>
      </c>
      <c r="T26">
        <f>LARGE(FFARawStatProjections!AZ:AZ,K26)</f>
        <v>214.0333</v>
      </c>
      <c r="U26" s="249">
        <f t="shared" si="0"/>
        <v>0.93324333333333698</v>
      </c>
      <c r="V26" s="243">
        <f t="shared" si="2"/>
        <v>0.87094311921111789</v>
      </c>
      <c r="W26" s="244"/>
      <c r="X26" s="243">
        <f t="shared" si="3"/>
        <v>5.8327708333333561E-2</v>
      </c>
      <c r="Y26" s="238">
        <f>IFERROR(
IF(ISBLANK(Beersheet!$A$1)=FALSE,
INDEX(Beersheet!$A:$U,MATCH(S26,INDEX(Beersheet!$A:$U,0,FFARawStatProjections!$BV$2),0),FFARawStatProjections!$BV$6),
IF(X26&gt;6,0,
IF(AND(X26&lt;=6,X26&gt;5),1,
IF(AND(X26&lt;=5,X26&gt;4),2,
IF(AND(X26&lt;=4,X26&gt;3),3,
IF(AND(X26&lt;=3,X26&gt;2),4,
IF(AND(X26&lt;=2,X26&gt;1),5,
IF(AND(X26&lt;=1,X26&gt;0),6,
IF(AND(X26&lt;=0,X26&gt;-1),7,
8))))))))),
10)</f>
        <v>6</v>
      </c>
    </row>
    <row r="27" spans="1:25" ht="15" customHeight="1" x14ac:dyDescent="0.25">
      <c r="A27" s="135"/>
      <c r="B27" s="142" t="s">
        <v>458</v>
      </c>
      <c r="C27" t="str">
        <f>IF(AND(IFERROR(INDEX(Instructions!$T$111:$T$222,MATCH(D27,Instructions!$T$111:$T$222,0)), "")=D27, D27&lt;&gt;""), "X", "")</f>
        <v/>
      </c>
      <c r="D27" s="138" t="s">
        <v>2080</v>
      </c>
      <c r="E27" s="100" t="s">
        <v>144</v>
      </c>
      <c r="F27" s="431">
        <f>IFERROR(IF(AND($F$5="Projected Points",Beersheet!A22&lt;&gt;"QB"), T27, IF(H27="", INDEX(Tier!$B$28:$B$36,MATCH(G27,Tier!$A$28:$A$36,0)), INDEX(Tier!$B$28:$B$36,MATCH(G27,Tier!$A$28:$A$36,0)))), "")</f>
        <v>212.94334000000001</v>
      </c>
      <c r="G27" s="250">
        <f t="shared" si="4"/>
        <v>7</v>
      </c>
      <c r="H27" s="252"/>
      <c r="I27" s="396">
        <f>IFERROR(INDEX(ADP!S:S,MATCH(D27,ADP!D:D,0))-RBproj!K27,"")</f>
        <v>0</v>
      </c>
      <c r="J27" s="127"/>
      <c r="K27" s="89">
        <v>21</v>
      </c>
      <c r="L27" s="2" t="s">
        <v>458</v>
      </c>
      <c r="M27" s="3">
        <f t="shared" si="1"/>
        <v>0</v>
      </c>
      <c r="N27" s="4">
        <f>IFERROR(INDEX(ADP!AC:AC,MATCH(D27,ADP!Y:Y,0)),0)</f>
        <v>4.3</v>
      </c>
      <c r="O27" s="4" t="s">
        <v>6</v>
      </c>
      <c r="P27" s="4"/>
      <c r="Q27" s="4"/>
      <c r="R27" s="1" t="str">
        <f>IFERROR(VLOOKUP(S27,FFARawStatProjections!AX:AZ,2,FALSE),"")</f>
        <v>DEN</v>
      </c>
      <c r="S27" s="4" t="str">
        <f>INDEX(FFARawStatProjections!AX:AX,MATCH(WRproj!T27,FFARawStatProjections!AZ:AZ,0))</f>
        <v>Jerry Jeudy</v>
      </c>
      <c r="T27">
        <f>LARGE(FFARawStatProjections!AZ:AZ,K27)</f>
        <v>212.94334000000001</v>
      </c>
      <c r="U27" s="249">
        <f t="shared" si="0"/>
        <v>-0.15671666666665374</v>
      </c>
      <c r="V27" s="243">
        <f t="shared" si="2"/>
        <v>2.4560113611107059E-2</v>
      </c>
      <c r="W27" s="244"/>
      <c r="X27" s="243">
        <f t="shared" si="3"/>
        <v>-9.7947916666658585E-3</v>
      </c>
      <c r="Y27" s="238">
        <f>IFERROR(
IF(ISBLANK(Beersheet!$A$1)=FALSE,
INDEX(Beersheet!$A:$U,MATCH(S27,INDEX(Beersheet!$A:$U,0,FFARawStatProjections!$BV$2),0),FFARawStatProjections!$BV$6),
IF(X27&gt;6,0,
IF(AND(X27&lt;=6,X27&gt;5),1,
IF(AND(X27&lt;=5,X27&gt;4),2,
IF(AND(X27&lt;=4,X27&gt;3),3,
IF(AND(X27&lt;=3,X27&gt;2),4,
IF(AND(X27&lt;=2,X27&gt;1),5,
IF(AND(X27&lt;=1,X27&gt;0),6,
IF(AND(X27&lt;=0,X27&gt;-1),7,
8))))))))),
10)</f>
        <v>7</v>
      </c>
    </row>
    <row r="28" spans="1:25" ht="15" customHeight="1" x14ac:dyDescent="0.25">
      <c r="A28" s="135"/>
      <c r="B28" s="143" t="s">
        <v>459</v>
      </c>
      <c r="C28" t="str">
        <f>IF(AND(IFERROR(INDEX(Instructions!$T$111:$T$222,MATCH(D28,Instructions!$T$111:$T$222,0)), "")=D28, D28&lt;&gt;""), "X", "")</f>
        <v/>
      </c>
      <c r="D28" s="137" t="s">
        <v>1878</v>
      </c>
      <c r="E28" s="99" t="s">
        <v>152</v>
      </c>
      <c r="F28" s="232">
        <f>IFERROR(IF(AND($F$5="Projected Points",Beersheet!A23&lt;&gt;"QB"), T28, IF(H28="", INDEX(Tier!$B$28:$B$36,MATCH(G28,Tier!$A$28:$A$36,0)), INDEX(Tier!$B$28:$B$36,MATCH(G28,Tier!$A$28:$A$36,0)))), "")</f>
        <v>212.78344000000001</v>
      </c>
      <c r="G28" s="283">
        <f t="shared" si="4"/>
        <v>7</v>
      </c>
      <c r="H28" s="284"/>
      <c r="I28" s="396">
        <f>IFERROR(INDEX(ADP!S:S,MATCH(D28,ADP!D:D,0))-RBproj!K28,"")</f>
        <v>1</v>
      </c>
      <c r="J28" s="127"/>
      <c r="K28" s="89">
        <v>22</v>
      </c>
      <c r="L28" s="2" t="s">
        <v>459</v>
      </c>
      <c r="M28" s="3">
        <f t="shared" si="1"/>
        <v>0</v>
      </c>
      <c r="N28" s="4">
        <f>IFERROR(INDEX(ADP!AC:AC,MATCH(D28,ADP!Y:Y,0)),0)</f>
        <v>5.2</v>
      </c>
      <c r="O28" s="4" t="s">
        <v>6</v>
      </c>
      <c r="P28" s="4"/>
      <c r="Q28" s="4"/>
      <c r="R28" s="1" t="str">
        <f>IFERROR(VLOOKUP(S28,FFARawStatProjections!AX:AZ,2,FALSE),"")</f>
        <v>TB</v>
      </c>
      <c r="S28" s="4" t="str">
        <f>INDEX(FFARawStatProjections!AX:AX,MATCH(WRproj!T28,FFARawStatProjections!AZ:AZ,0))</f>
        <v>Chris Godwin</v>
      </c>
      <c r="T28">
        <f>LARGE(FFARawStatProjections!AZ:AZ,K28)</f>
        <v>212.78344000000001</v>
      </c>
      <c r="U28" s="249">
        <f t="shared" si="0"/>
        <v>-0.31661666666664701</v>
      </c>
      <c r="V28" s="243">
        <f t="shared" si="2"/>
        <v>0.10024611361109866</v>
      </c>
      <c r="W28" s="244"/>
      <c r="X28" s="243">
        <f t="shared" si="3"/>
        <v>-1.9788541666665438E-2</v>
      </c>
      <c r="Y28" s="238">
        <f>IFERROR(
IF(ISBLANK(Beersheet!$A$1)=FALSE,
INDEX(Beersheet!$A:$U,MATCH(S28,INDEX(Beersheet!$A:$U,0,FFARawStatProjections!$BV$2),0),FFARawStatProjections!$BV$6),
IF(X28&gt;6,0,
IF(AND(X28&lt;=6,X28&gt;5),1,
IF(AND(X28&lt;=5,X28&gt;4),2,
IF(AND(X28&lt;=4,X28&gt;3),3,
IF(AND(X28&lt;=3,X28&gt;2),4,
IF(AND(X28&lt;=2,X28&gt;1),5,
IF(AND(X28&lt;=1,X28&gt;0),6,
IF(AND(X28&lt;=0,X28&gt;-1),7,
8))))))))),
10)</f>
        <v>7</v>
      </c>
    </row>
    <row r="29" spans="1:25" ht="15" customHeight="1" x14ac:dyDescent="0.25">
      <c r="A29" s="135"/>
      <c r="B29" s="142" t="s">
        <v>460</v>
      </c>
      <c r="C29" t="str">
        <f>IF(AND(IFERROR(INDEX(Instructions!$T$111:$T$222,MATCH(D29,Instructions!$T$111:$T$222,0)), "")=D29, D29&lt;&gt;""), "X", "")</f>
        <v/>
      </c>
      <c r="D29" s="138" t="s">
        <v>1852</v>
      </c>
      <c r="E29" s="100" t="s">
        <v>141</v>
      </c>
      <c r="F29" s="431">
        <f>IFERROR(IF(AND($F$5="Projected Points",Beersheet!A24&lt;&gt;"QB"), T29, IF(H29="", INDEX(Tier!$B$28:$B$36,MATCH(G29,Tier!$A$28:$A$36,0)), INDEX(Tier!$B$28:$B$36,MATCH(G29,Tier!$A$28:$A$36,0)))), "")</f>
        <v>210.08335999999997</v>
      </c>
      <c r="G29" s="250">
        <f t="shared" si="4"/>
        <v>7</v>
      </c>
      <c r="H29" s="252"/>
      <c r="I29" s="396">
        <f>IFERROR(INDEX(ADP!S:S,MATCH(D29,ADP!D:D,0))-RBproj!K29,"")</f>
        <v>-4</v>
      </c>
      <c r="J29" s="127"/>
      <c r="K29" s="89">
        <v>23</v>
      </c>
      <c r="L29" s="2" t="s">
        <v>460</v>
      </c>
      <c r="M29" s="3">
        <f t="shared" si="1"/>
        <v>0</v>
      </c>
      <c r="N29" s="4">
        <f>IFERROR(INDEX(ADP!AC:AC,MATCH(D29,ADP!Y:Y,0)),0)</f>
        <v>4.9000000000000004</v>
      </c>
      <c r="O29" s="4" t="s">
        <v>6</v>
      </c>
      <c r="P29" s="4"/>
      <c r="Q29" s="4"/>
      <c r="R29" s="1" t="str">
        <f>IFERROR(VLOOKUP(S29,FFARawStatProjections!AX:AZ,2,FALSE),"")</f>
        <v>WAS</v>
      </c>
      <c r="S29" s="4" t="str">
        <f>INDEX(FFARawStatProjections!AX:AX,MATCH(WRproj!T29,FFARawStatProjections!AZ:AZ,0))</f>
        <v>Terry McLaurin</v>
      </c>
      <c r="T29">
        <f>LARGE(FFARawStatProjections!AZ:AZ,K29)</f>
        <v>210.08335999999997</v>
      </c>
      <c r="U29" s="249">
        <f t="shared" si="0"/>
        <v>-3.0166966666666895</v>
      </c>
      <c r="V29" s="243">
        <f t="shared" si="2"/>
        <v>9.1004587786779148</v>
      </c>
      <c r="W29" s="244"/>
      <c r="X29" s="243">
        <f t="shared" si="3"/>
        <v>-0.18854354166666809</v>
      </c>
      <c r="Y29" s="238">
        <f>IFERROR(
IF(ISBLANK(Beersheet!$A$1)=FALSE,
INDEX(Beersheet!$A:$U,MATCH(S29,INDEX(Beersheet!$A:$U,0,FFARawStatProjections!$BV$2),0),FFARawStatProjections!$BV$6),
IF(X29&gt;6,0,
IF(AND(X29&lt;=6,X29&gt;5),1,
IF(AND(X29&lt;=5,X29&gt;4),2,
IF(AND(X29&lt;=4,X29&gt;3),3,
IF(AND(X29&lt;=3,X29&gt;2),4,
IF(AND(X29&lt;=2,X29&gt;1),5,
IF(AND(X29&lt;=1,X29&gt;0),6,
IF(AND(X29&lt;=0,X29&gt;-1),7,
8))))))))),
10)</f>
        <v>7</v>
      </c>
    </row>
    <row r="30" spans="1:25" ht="15" customHeight="1" x14ac:dyDescent="0.25">
      <c r="A30" s="135"/>
      <c r="B30" s="143" t="s">
        <v>461</v>
      </c>
      <c r="C30" t="str">
        <f>IF(AND(IFERROR(INDEX(Instructions!$T$111:$T$222,MATCH(D30,Instructions!$T$111:$T$222,0)), "")=D30, D30&lt;&gt;""), "X", "")</f>
        <v/>
      </c>
      <c r="D30" s="137" t="s">
        <v>1164</v>
      </c>
      <c r="E30" s="99" t="s">
        <v>1388</v>
      </c>
      <c r="F30" s="232">
        <f>IFERROR(IF(AND($F$5="Projected Points",Beersheet!A25&lt;&gt;"QB"), T30, IF(H30="", INDEX(Tier!$B$28:$B$36,MATCH(G30,Tier!$A$28:$A$36,0)), INDEX(Tier!$B$28:$B$36,MATCH(G30,Tier!$A$28:$A$36,0)))), "")</f>
        <v>209.18340000000001</v>
      </c>
      <c r="G30" s="283">
        <f t="shared" si="4"/>
        <v>7</v>
      </c>
      <c r="H30" s="284"/>
      <c r="I30" s="396">
        <f>IFERROR(INDEX(ADP!S:S,MATCH(D30,ADP!D:D,0))-RBproj!K30,"")</f>
        <v>3</v>
      </c>
      <c r="J30" s="127"/>
      <c r="K30" s="89">
        <v>24</v>
      </c>
      <c r="L30" s="2" t="s">
        <v>461</v>
      </c>
      <c r="M30" s="3">
        <f t="shared" si="1"/>
        <v>1.1999999999999993</v>
      </c>
      <c r="N30" s="4">
        <f>IFERROR(INDEX(ADP!AC:AC,MATCH(D30,ADP!Y:Y,0)),0)</f>
        <v>6.1</v>
      </c>
      <c r="O30" s="4" t="s">
        <v>6</v>
      </c>
      <c r="P30" s="4"/>
      <c r="Q30" s="4"/>
      <c r="R30" s="1" t="str">
        <f>IFERROR(VLOOKUP(S30,FFARawStatProjections!AX:AZ,2,FALSE),"")</f>
        <v>TEN</v>
      </c>
      <c r="S30" s="4" t="str">
        <f>INDEX(FFARawStatProjections!AX:AX,MATCH(WRproj!T30,FFARawStatProjections!AZ:AZ,0))</f>
        <v>DeAndre Hopkins</v>
      </c>
      <c r="T30">
        <f>LARGE(FFARawStatProjections!AZ:AZ,K30)</f>
        <v>209.18340000000001</v>
      </c>
      <c r="U30" s="249">
        <f t="shared" si="0"/>
        <v>-3.916656666666654</v>
      </c>
      <c r="V30" s="243">
        <f t="shared" si="2"/>
        <v>15.340199444544345</v>
      </c>
      <c r="W30" s="244"/>
      <c r="X30" s="243">
        <f t="shared" si="3"/>
        <v>-0.24479104166666588</v>
      </c>
      <c r="Y30" s="238">
        <f>IFERROR(
IF(ISBLANK(Beersheet!$A$1)=FALSE,
INDEX(Beersheet!$A:$U,MATCH(S30,INDEX(Beersheet!$A:$U,0,FFARawStatProjections!$BV$2),0),FFARawStatProjections!$BV$6),
IF(X30&gt;6,0,
IF(AND(X30&lt;=6,X30&gt;5),1,
IF(AND(X30&lt;=5,X30&gt;4),2,
IF(AND(X30&lt;=4,X30&gt;3),3,
IF(AND(X30&lt;=3,X30&gt;2),4,
IF(AND(X30&lt;=2,X30&gt;1),5,
IF(AND(X30&lt;=1,X30&gt;0),6,
IF(AND(X30&lt;=0,X30&gt;-1),7,
8))))))))),
10)</f>
        <v>7</v>
      </c>
    </row>
    <row r="31" spans="1:25" ht="15" customHeight="1" x14ac:dyDescent="0.25">
      <c r="A31" s="135"/>
      <c r="B31" s="142" t="s">
        <v>462</v>
      </c>
      <c r="C31" t="str">
        <f>IF(AND(IFERROR(INDEX(Instructions!$T$111:$T$222,MATCH(D31,Instructions!$T$111:$T$222,0)), "")=D31, D31&lt;&gt;""), "X", "")</f>
        <v/>
      </c>
      <c r="D31" s="138" t="s">
        <v>104</v>
      </c>
      <c r="E31" s="100" t="s">
        <v>149</v>
      </c>
      <c r="F31" s="431">
        <f>IFERROR(IF(AND($F$5="Projected Points",Beersheet!A26&lt;&gt;"QB"), T31, IF(H31="", INDEX(Tier!$B$28:$B$36,MATCH(G31,Tier!$A$28:$A$36,0)), INDEX(Tier!$B$28:$B$36,MATCH(G31,Tier!$A$28:$A$36,0)))), "")</f>
        <v>206.17337000000001</v>
      </c>
      <c r="G31" s="250">
        <f t="shared" si="4"/>
        <v>7</v>
      </c>
      <c r="H31" s="252"/>
      <c r="I31" s="396">
        <f>IFERROR(INDEX(ADP!S:S,MATCH(D31,ADP!D:D,0))-RBproj!K31,"")</f>
        <v>5</v>
      </c>
      <c r="J31" s="127"/>
      <c r="K31" s="89">
        <v>25</v>
      </c>
      <c r="L31" s="2" t="s">
        <v>462</v>
      </c>
      <c r="M31" s="3">
        <f t="shared" si="1"/>
        <v>1.7999999999999998</v>
      </c>
      <c r="N31" s="4">
        <f>IFERROR(INDEX(ADP!AC:AC,MATCH(D31,ADP!Y:Y,0)),0)</f>
        <v>7</v>
      </c>
      <c r="O31" s="4" t="s">
        <v>6</v>
      </c>
      <c r="P31" s="4"/>
      <c r="Q31" s="4"/>
      <c r="R31" s="1" t="str">
        <f>IFERROR(VLOOKUP(S31,FFARawStatProjections!AX:AZ,2,FALSE),"")</f>
        <v>LAC</v>
      </c>
      <c r="S31" s="4" t="str">
        <f>INDEX(FFARawStatProjections!AX:AX,MATCH(WRproj!T31,FFARawStatProjections!AZ:AZ,0))</f>
        <v>Mike Williams</v>
      </c>
      <c r="T31">
        <f>LARGE(FFARawStatProjections!AZ:AZ,K31)</f>
        <v>206.17337000000001</v>
      </c>
      <c r="U31" s="249">
        <f t="shared" si="0"/>
        <v>-6.9266866666666544</v>
      </c>
      <c r="V31" s="243">
        <f t="shared" si="2"/>
        <v>47.978988178177609</v>
      </c>
      <c r="W31" s="244"/>
      <c r="X31" s="243">
        <f t="shared" si="3"/>
        <v>-0.4329179166666659</v>
      </c>
      <c r="Y31" s="238">
        <f>IFERROR(
IF(ISBLANK(Beersheet!$A$1)=FALSE,
INDEX(Beersheet!$A:$U,MATCH(S31,INDEX(Beersheet!$A:$U,0,FFARawStatProjections!$BV$2),0),FFARawStatProjections!$BV$6),
IF(X31&gt;6,0,
IF(AND(X31&lt;=6,X31&gt;5),1,
IF(AND(X31&lt;=5,X31&gt;4),2,
IF(AND(X31&lt;=4,X31&gt;3),3,
IF(AND(X31&lt;=3,X31&gt;2),4,
IF(AND(X31&lt;=2,X31&gt;1),5,
IF(AND(X31&lt;=1,X31&gt;0),6,
IF(AND(X31&lt;=0,X31&gt;-1),7,
8))))))))),
10)</f>
        <v>7</v>
      </c>
    </row>
    <row r="32" spans="1:25" ht="15" customHeight="1" x14ac:dyDescent="0.25">
      <c r="A32" s="135"/>
      <c r="B32" s="143" t="s">
        <v>463</v>
      </c>
      <c r="C32" t="str">
        <f>IF(AND(IFERROR(INDEX(Instructions!$T$111:$T$222,MATCH(D32,Instructions!$T$111:$T$222,0)), "")=D32, D32&lt;&gt;""), "X", "")</f>
        <v/>
      </c>
      <c r="D32" s="137" t="s">
        <v>108</v>
      </c>
      <c r="E32" s="99" t="s">
        <v>163</v>
      </c>
      <c r="F32" s="232">
        <f>IFERROR(IF(AND($F$5="Projected Points",Beersheet!A27&lt;&gt;"QB"), T32, IF(H32="", INDEX(Tier!$B$28:$B$36,MATCH(G32,Tier!$A$28:$A$36,0)), INDEX(Tier!$B$28:$B$36,MATCH(G32,Tier!$A$28:$A$36,0)))), "")</f>
        <v>205.93338</v>
      </c>
      <c r="G32" s="283">
        <f t="shared" si="4"/>
        <v>7</v>
      </c>
      <c r="H32" s="284"/>
      <c r="I32" s="396">
        <f>IFERROR(INDEX(ADP!S:S,MATCH(D32,ADP!D:D,0))-RBproj!K32,"")</f>
        <v>-2</v>
      </c>
      <c r="J32" s="127"/>
      <c r="K32" s="89">
        <v>26</v>
      </c>
      <c r="L32" s="2" t="s">
        <v>463</v>
      </c>
      <c r="M32" s="3">
        <f t="shared" si="1"/>
        <v>0</v>
      </c>
      <c r="N32" s="4">
        <f>IFERROR(INDEX(ADP!AC:AC,MATCH(D32,ADP!Y:Y,0)),0)</f>
        <v>4.2</v>
      </c>
      <c r="O32" s="4" t="s">
        <v>6</v>
      </c>
      <c r="P32" s="4"/>
      <c r="Q32" s="4"/>
      <c r="R32" s="1" t="str">
        <f>IFERROR(VLOOKUP(S32,FFARawStatProjections!AX:AZ,2,FALSE),"")</f>
        <v>TB</v>
      </c>
      <c r="S32" s="4" t="str">
        <f>INDEX(FFARawStatProjections!AX:AX,MATCH(WRproj!T32,FFARawStatProjections!AZ:AZ,0))</f>
        <v>Mike Evans</v>
      </c>
      <c r="T32">
        <f>LARGE(FFARawStatProjections!AZ:AZ,K32)</f>
        <v>205.93338</v>
      </c>
      <c r="U32" s="249">
        <f t="shared" si="0"/>
        <v>-7.1666766666666604</v>
      </c>
      <c r="V32" s="243">
        <f t="shared" si="2"/>
        <v>51.361254444544358</v>
      </c>
      <c r="W32" s="244"/>
      <c r="X32" s="243">
        <f t="shared" si="3"/>
        <v>-0.44791729166666627</v>
      </c>
      <c r="Y32" s="238">
        <f>IFERROR(
IF(ISBLANK(Beersheet!$A$1)=FALSE,
INDEX(Beersheet!$A:$U,MATCH(S32,INDEX(Beersheet!$A:$U,0,FFARawStatProjections!$BV$2),0),FFARawStatProjections!$BV$6),
IF(X32&gt;6,0,
IF(AND(X32&lt;=6,X32&gt;5),1,
IF(AND(X32&lt;=5,X32&gt;4),2,
IF(AND(X32&lt;=4,X32&gt;3),3,
IF(AND(X32&lt;=3,X32&gt;2),4,
IF(AND(X32&lt;=2,X32&gt;1),5,
IF(AND(X32&lt;=1,X32&gt;0),6,
IF(AND(X32&lt;=0,X32&gt;-1),7,
8))))))))),
10)</f>
        <v>7</v>
      </c>
    </row>
    <row r="33" spans="1:25" ht="15" customHeight="1" x14ac:dyDescent="0.25">
      <c r="A33" s="135"/>
      <c r="B33" s="142" t="s">
        <v>464</v>
      </c>
      <c r="C33" t="str">
        <f>IF(AND(IFERROR(INDEX(Instructions!$T$111:$T$222,MATCH(D33,Instructions!$T$111:$T$222,0)), "")=D33, D33&lt;&gt;""), "X", "")</f>
        <v/>
      </c>
      <c r="D33" s="138" t="s">
        <v>1434</v>
      </c>
      <c r="E33" s="100" t="s">
        <v>149</v>
      </c>
      <c r="F33" s="431">
        <f>IFERROR(IF(AND($F$5="Projected Points",Beersheet!A28&lt;&gt;"QB"), T33, IF(H33="", INDEX(Tier!$B$28:$B$36,MATCH(G33,Tier!$A$28:$A$36,0)), INDEX(Tier!$B$28:$B$36,MATCH(G33,Tier!$A$28:$A$36,0)))), "")</f>
        <v>204.87335000000002</v>
      </c>
      <c r="G33" s="250">
        <f t="shared" si="4"/>
        <v>7</v>
      </c>
      <c r="H33" s="252"/>
      <c r="I33" s="396">
        <f>IFERROR(INDEX(ADP!S:S,MATCH(D33,ADP!D:D,0))-RBproj!K33,"")</f>
        <v>4</v>
      </c>
      <c r="J33" s="127"/>
      <c r="K33" s="89">
        <v>27</v>
      </c>
      <c r="L33" s="2" t="s">
        <v>464</v>
      </c>
      <c r="M33" s="3">
        <f t="shared" si="1"/>
        <v>0</v>
      </c>
      <c r="N33" s="4">
        <f>IFERROR(INDEX(ADP!AC:AC,MATCH(D33,ADP!Y:Y,0)),0)</f>
        <v>4.7</v>
      </c>
      <c r="O33" s="4" t="s">
        <v>6</v>
      </c>
      <c r="P33" s="4"/>
      <c r="Q33" s="4"/>
      <c r="R33" s="1" t="str">
        <f>IFERROR(VLOOKUP(S33,FFARawStatProjections!AX:AZ,2,FALSE),"")</f>
        <v>CHI</v>
      </c>
      <c r="S33" s="4" t="str">
        <f>INDEX(FFARawStatProjections!AX:AX,MATCH(WRproj!T33,FFARawStatProjections!AZ:AZ,0))</f>
        <v>DJ Moore</v>
      </c>
      <c r="T33">
        <f>LARGE(FFARawStatProjections!AZ:AZ,K33)</f>
        <v>204.87335000000002</v>
      </c>
      <c r="U33" s="249">
        <f t="shared" si="0"/>
        <v>-8.2267066666666437</v>
      </c>
      <c r="V33" s="243">
        <f t="shared" si="2"/>
        <v>67.678702579377401</v>
      </c>
      <c r="W33" s="244"/>
      <c r="X33" s="243">
        <f t="shared" si="3"/>
        <v>-0.51416916666666523</v>
      </c>
      <c r="Y33" s="238">
        <f>IFERROR(
IF(ISBLANK(Beersheet!$A$1)=FALSE,
INDEX(Beersheet!$A:$U,MATCH(S33,INDEX(Beersheet!$A:$U,0,FFARawStatProjections!$BV$2),0),FFARawStatProjections!$BV$6),
IF(X33&gt;6,0,
IF(AND(X33&lt;=6,X33&gt;5),1,
IF(AND(X33&lt;=5,X33&gt;4),2,
IF(AND(X33&lt;=4,X33&gt;3),3,
IF(AND(X33&lt;=3,X33&gt;2),4,
IF(AND(X33&lt;=2,X33&gt;1),5,
IF(AND(X33&lt;=1,X33&gt;0),6,
IF(AND(X33&lt;=0,X33&gt;-1),7,
8))))))))),
10)</f>
        <v>7</v>
      </c>
    </row>
    <row r="34" spans="1:25" ht="15" customHeight="1" x14ac:dyDescent="0.25">
      <c r="A34" s="135"/>
      <c r="B34" s="143" t="s">
        <v>465</v>
      </c>
      <c r="C34" t="str">
        <f>IF(AND(IFERROR(INDEX(Instructions!$T$111:$T$222,MATCH(D34,Instructions!$T$111:$T$222,0)), "")=D34, D34&lt;&gt;""), "X", "")</f>
        <v/>
      </c>
      <c r="D34" s="137" t="s">
        <v>1791</v>
      </c>
      <c r="E34" s="99" t="s">
        <v>165</v>
      </c>
      <c r="F34" s="232">
        <f>IFERROR(IF(AND($F$5="Projected Points",Beersheet!A29&lt;&gt;"QB"), T34, IF(H34="", INDEX(Tier!$B$28:$B$36,MATCH(G34,Tier!$A$28:$A$36,0)), INDEX(Tier!$B$28:$B$36,MATCH(G34,Tier!$A$28:$A$36,0)))), "")</f>
        <v>204.21341000000001</v>
      </c>
      <c r="G34" s="283">
        <f t="shared" si="4"/>
        <v>7</v>
      </c>
      <c r="H34" s="284"/>
      <c r="I34" s="396">
        <f>IFERROR(INDEX(ADP!S:S,MATCH(D34,ADP!D:D,0))-RBproj!K34,"")</f>
        <v>1</v>
      </c>
      <c r="J34" s="127"/>
      <c r="K34" s="89">
        <v>28</v>
      </c>
      <c r="L34" s="2" t="s">
        <v>465</v>
      </c>
      <c r="M34" s="3">
        <f t="shared" si="1"/>
        <v>0.29999999999999982</v>
      </c>
      <c r="N34" s="4">
        <f>IFERROR(INDEX(ADP!AC:AC,MATCH(D34,ADP!Y:Y,0)),0)</f>
        <v>5.5</v>
      </c>
      <c r="O34" s="4" t="s">
        <v>6</v>
      </c>
      <c r="P34" s="4"/>
      <c r="Q34" s="4"/>
      <c r="R34" s="1" t="str">
        <f>IFERROR(VLOOKUP(S34,FFARawStatProjections!AX:AZ,2,FALSE),"")</f>
        <v>JAC</v>
      </c>
      <c r="S34" s="4" t="str">
        <f>INDEX(FFARawStatProjections!AX:AX,MATCH(WRproj!T34,FFARawStatProjections!AZ:AZ,0))</f>
        <v>Christian Kirk</v>
      </c>
      <c r="T34">
        <f>LARGE(FFARawStatProjections!AZ:AZ,K34)</f>
        <v>204.21341000000001</v>
      </c>
      <c r="U34" s="249">
        <f t="shared" si="0"/>
        <v>-8.8866466666666497</v>
      </c>
      <c r="V34" s="243">
        <f t="shared" si="2"/>
        <v>78.972488978177481</v>
      </c>
      <c r="W34" s="244"/>
      <c r="X34" s="243">
        <f t="shared" si="3"/>
        <v>-0.55541541666666561</v>
      </c>
      <c r="Y34" s="238">
        <f>IFERROR(
IF(ISBLANK(Beersheet!$A$1)=FALSE,
INDEX(Beersheet!$A:$U,MATCH(S34,INDEX(Beersheet!$A:$U,0,FFARawStatProjections!$BV$2),0),FFARawStatProjections!$BV$6),
IF(X34&gt;6,0,
IF(AND(X34&lt;=6,X34&gt;5),1,
IF(AND(X34&lt;=5,X34&gt;4),2,
IF(AND(X34&lt;=4,X34&gt;3),3,
IF(AND(X34&lt;=3,X34&gt;2),4,
IF(AND(X34&lt;=2,X34&gt;1),5,
IF(AND(X34&lt;=1,X34&gt;0),6,
IF(AND(X34&lt;=0,X34&gt;-1),7,
8))))))))),
10)</f>
        <v>7</v>
      </c>
    </row>
    <row r="35" spans="1:25" ht="15" customHeight="1" x14ac:dyDescent="0.25">
      <c r="A35" s="135"/>
      <c r="B35" s="142" t="s">
        <v>466</v>
      </c>
      <c r="C35" t="str">
        <f>IF(AND(IFERROR(INDEX(Instructions!$T$111:$T$222,MATCH(D35,Instructions!$T$111:$T$222,0)), "")=D35, D35&lt;&gt;""), "X", "")</f>
        <v/>
      </c>
      <c r="D35" s="138" t="s">
        <v>2318</v>
      </c>
      <c r="E35" s="100" t="s">
        <v>148</v>
      </c>
      <c r="F35" s="431">
        <f>IFERROR(IF(AND($F$5="Projected Points",Beersheet!A30&lt;&gt;"QB"), T35, IF(H35="", INDEX(Tier!$B$28:$B$36,MATCH(G35,Tier!$A$28:$A$36,0)), INDEX(Tier!$B$28:$B$36,MATCH(G35,Tier!$A$28:$A$36,0)))), "")</f>
        <v>202.63343</v>
      </c>
      <c r="G35" s="250">
        <f t="shared" si="4"/>
        <v>7</v>
      </c>
      <c r="H35" s="252"/>
      <c r="I35" s="396">
        <f>IFERROR(INDEX(ADP!S:S,MATCH(D35,ADP!D:D,0))-RBproj!K35,"")</f>
        <v>-4</v>
      </c>
      <c r="J35" s="127"/>
      <c r="K35" s="89">
        <v>29</v>
      </c>
      <c r="L35" s="2" t="s">
        <v>466</v>
      </c>
      <c r="M35" s="3">
        <f t="shared" si="1"/>
        <v>0</v>
      </c>
      <c r="N35" s="4">
        <f>IFERROR(INDEX(ADP!AC:AC,MATCH(D35,ADP!Y:Y,0)),0)</f>
        <v>4.9000000000000004</v>
      </c>
      <c r="O35" s="4" t="s">
        <v>6</v>
      </c>
      <c r="P35" s="4"/>
      <c r="Q35" s="4"/>
      <c r="R35" s="1" t="str">
        <f>IFERROR(VLOOKUP(S35,FFARawStatProjections!AX:AZ,2,FALSE),"")</f>
        <v>ATL</v>
      </c>
      <c r="S35" s="4" t="str">
        <f>INDEX(FFARawStatProjections!AX:AX,MATCH(WRproj!T35,FFARawStatProjections!AZ:AZ,0))</f>
        <v>Drake London</v>
      </c>
      <c r="T35">
        <f>LARGE(FFARawStatProjections!AZ:AZ,K35)</f>
        <v>202.63343</v>
      </c>
      <c r="U35" s="249">
        <f t="shared" si="0"/>
        <v>-10.466626666666656</v>
      </c>
      <c r="V35" s="243">
        <f t="shared" si="2"/>
        <v>109.55027377937755</v>
      </c>
      <c r="W35" s="244"/>
      <c r="X35" s="243">
        <f t="shared" si="3"/>
        <v>-0.65416416666666599</v>
      </c>
      <c r="Y35" s="238">
        <f>IFERROR(
IF(ISBLANK(Beersheet!$A$1)=FALSE,
INDEX(Beersheet!$A:$U,MATCH(S35,INDEX(Beersheet!$A:$U,0,FFARawStatProjections!$BV$2),0),FFARawStatProjections!$BV$6),
IF(X35&gt;6,0,
IF(AND(X35&lt;=6,X35&gt;5),1,
IF(AND(X35&lt;=5,X35&gt;4),2,
IF(AND(X35&lt;=4,X35&gt;3),3,
IF(AND(X35&lt;=3,X35&gt;2),4,
IF(AND(X35&lt;=2,X35&gt;1),5,
IF(AND(X35&lt;=1,X35&gt;0),6,
IF(AND(X35&lt;=0,X35&gt;-1),7,
8))))))))),
10)</f>
        <v>7</v>
      </c>
    </row>
    <row r="36" spans="1:25" ht="15" customHeight="1" x14ac:dyDescent="0.25">
      <c r="A36" s="135"/>
      <c r="B36" s="143" t="s">
        <v>467</v>
      </c>
      <c r="C36" t="str">
        <f>IF(AND(IFERROR(INDEX(Instructions!$T$111:$T$222,MATCH(D36,Instructions!$T$111:$T$222,0)), "")=D36, D36&lt;&gt;""), "X", "")</f>
        <v/>
      </c>
      <c r="D36" s="137" t="s">
        <v>1109</v>
      </c>
      <c r="E36" s="99" t="s">
        <v>140</v>
      </c>
      <c r="F36" s="232">
        <f>IFERROR(IF(AND($F$5="Projected Points",Beersheet!A31&lt;&gt;"QB"), T36, IF(H36="", INDEX(Tier!$B$28:$B$36,MATCH(G36,Tier!$A$28:$A$36,0)), INDEX(Tier!$B$28:$B$36,MATCH(G36,Tier!$A$28:$A$36,0)))), "")</f>
        <v>199.90349000000001</v>
      </c>
      <c r="G36" s="283">
        <f t="shared" si="4"/>
        <v>7</v>
      </c>
      <c r="H36" s="284"/>
      <c r="I36" s="396">
        <f>IFERROR(INDEX(ADP!S:S,MATCH(D36,ADP!D:D,0))-RBproj!K36,"")</f>
        <v>-2</v>
      </c>
      <c r="J36" s="127"/>
      <c r="K36" s="89">
        <v>30</v>
      </c>
      <c r="L36" s="2" t="s">
        <v>467</v>
      </c>
      <c r="M36" s="3">
        <f t="shared" si="1"/>
        <v>0</v>
      </c>
      <c r="N36" s="4">
        <f>IFERROR(INDEX(ADP!AC:AC,MATCH(D36,ADP!Y:Y,0)),0)</f>
        <v>5.2</v>
      </c>
      <c r="O36" s="4" t="s">
        <v>6</v>
      </c>
      <c r="P36" s="4"/>
      <c r="Q36" s="4"/>
      <c r="R36" s="1" t="str">
        <f>IFERROR(VLOOKUP(S36,FFARawStatProjections!AX:AZ,2,FALSE),"")</f>
        <v>PIT</v>
      </c>
      <c r="S36" s="4" t="str">
        <f>INDEX(FFARawStatProjections!AX:AX,MATCH(WRproj!T36,FFARawStatProjections!AZ:AZ,0))</f>
        <v>Diontae Johnson</v>
      </c>
      <c r="T36">
        <f>LARGE(FFARawStatProjections!AZ:AZ,K36)</f>
        <v>199.90349000000001</v>
      </c>
      <c r="U36" s="249">
        <f t="shared" si="0"/>
        <v>-13.196566666666655</v>
      </c>
      <c r="V36" s="243">
        <f t="shared" si="2"/>
        <v>174.14937178777748</v>
      </c>
      <c r="W36" s="244"/>
      <c r="X36" s="243">
        <f t="shared" si="3"/>
        <v>-0.82478541666666594</v>
      </c>
      <c r="Y36" s="238">
        <f>IFERROR(
IF(ISBLANK(Beersheet!$A$1)=FALSE,
INDEX(Beersheet!$A:$U,MATCH(S36,INDEX(Beersheet!$A:$U,0,FFARawStatProjections!$BV$2),0),FFARawStatProjections!$BV$6),
IF(X36&gt;6,0,
IF(AND(X36&lt;=6,X36&gt;5),1,
IF(AND(X36&lt;=5,X36&gt;4),2,
IF(AND(X36&lt;=4,X36&gt;3),3,
IF(AND(X36&lt;=3,X36&gt;2),4,
IF(AND(X36&lt;=2,X36&gt;1),5,
IF(AND(X36&lt;=1,X36&gt;0),6,
IF(AND(X36&lt;=0,X36&gt;-1),7,
8))))))))),
10)</f>
        <v>7</v>
      </c>
    </row>
    <row r="37" spans="1:25" ht="15" customHeight="1" x14ac:dyDescent="0.25">
      <c r="A37" s="135"/>
      <c r="B37" s="142" t="s">
        <v>468</v>
      </c>
      <c r="C37" t="str">
        <f>IF(AND(IFERROR(INDEX(Instructions!$T$111:$T$222,MATCH(D37,Instructions!$T$111:$T$222,0)), "")=D37, D37&lt;&gt;""), "X", "")</f>
        <v/>
      </c>
      <c r="D37" s="138" t="s">
        <v>1875</v>
      </c>
      <c r="E37" s="100" t="s">
        <v>147</v>
      </c>
      <c r="F37" s="431">
        <f>IFERROR(IF(AND($F$5="Projected Points",Beersheet!A32&lt;&gt;"QB"), T37, IF(H37="", INDEX(Tier!$B$28:$B$36,MATCH(G37,Tier!$A$28:$A$36,0)), INDEX(Tier!$B$28:$B$36,MATCH(G37,Tier!$A$28:$A$36,0)))), "")</f>
        <v>198.48346000000001</v>
      </c>
      <c r="G37" s="250">
        <f t="shared" si="4"/>
        <v>7</v>
      </c>
      <c r="H37" s="252"/>
      <c r="I37" s="396">
        <f>IFERROR(INDEX(ADP!S:S,MATCH(D37,ADP!D:D,0))-RBproj!K37,"")</f>
        <v>1</v>
      </c>
      <c r="J37" s="127"/>
      <c r="K37" s="89">
        <v>31</v>
      </c>
      <c r="L37" s="2" t="s">
        <v>468</v>
      </c>
      <c r="M37" s="3">
        <f t="shared" si="1"/>
        <v>0</v>
      </c>
      <c r="N37" s="4">
        <f>IFERROR(INDEX(ADP!AC:AC,MATCH(D37,ADP!Y:Y,0)),0)</f>
        <v>5.3</v>
      </c>
      <c r="O37" s="4" t="s">
        <v>6</v>
      </c>
      <c r="P37" s="4"/>
      <c r="Q37" s="4"/>
      <c r="R37" s="1" t="str">
        <f>IFERROR(VLOOKUP(S37,FFARawStatProjections!AX:AZ,2,FALSE),"")</f>
        <v>AZ</v>
      </c>
      <c r="S37" s="4" t="str">
        <f>INDEX(FFARawStatProjections!AX:AX,MATCH(WRproj!T37,FFARawStatProjections!AZ:AZ,0))</f>
        <v>Marquise Brown</v>
      </c>
      <c r="T37">
        <f>LARGE(FFARawStatProjections!AZ:AZ,K37)</f>
        <v>198.48346000000001</v>
      </c>
      <c r="U37" s="249">
        <f t="shared" si="0"/>
        <v>-14.616596666666652</v>
      </c>
      <c r="V37" s="243">
        <f t="shared" si="2"/>
        <v>213.64489811601069</v>
      </c>
      <c r="W37" s="244"/>
      <c r="X37" s="243">
        <f t="shared" si="3"/>
        <v>-0.91353729166666575</v>
      </c>
      <c r="Y37" s="238">
        <f>IFERROR(
IF(ISBLANK(Beersheet!$A$1)=FALSE,
INDEX(Beersheet!$A:$U,MATCH(S37,INDEX(Beersheet!$A:$U,0,FFARawStatProjections!$BV$2),0),FFARawStatProjections!$BV$6),
IF(X37&gt;6,0,
IF(AND(X37&lt;=6,X37&gt;5),1,
IF(AND(X37&lt;=5,X37&gt;4),2,
IF(AND(X37&lt;=4,X37&gt;3),3,
IF(AND(X37&lt;=3,X37&gt;2),4,
IF(AND(X37&lt;=2,X37&gt;1),5,
IF(AND(X37&lt;=1,X37&gt;0),6,
IF(AND(X37&lt;=0,X37&gt;-1),7,
8))))))))),
10)</f>
        <v>7</v>
      </c>
    </row>
    <row r="38" spans="1:25" ht="15" customHeight="1" x14ac:dyDescent="0.25">
      <c r="A38" s="135"/>
      <c r="B38" s="143" t="s">
        <v>469</v>
      </c>
      <c r="C38" t="str">
        <f>IF(AND(IFERROR(INDEX(Instructions!$T$111:$T$222,MATCH(D38,Instructions!$T$111:$T$222,0)), "")=D38, D38&lt;&gt;""), "X", "")</f>
        <v/>
      </c>
      <c r="D38" s="137" t="s">
        <v>1864</v>
      </c>
      <c r="E38" s="99" t="s">
        <v>2272</v>
      </c>
      <c r="F38" s="232">
        <f>IFERROR(IF(AND($F$5="Projected Points",Beersheet!A33&lt;&gt;"QB"), T38, IF(H38="", INDEX(Tier!$B$28:$B$36,MATCH(G38,Tier!$A$28:$A$36,0)), INDEX(Tier!$B$28:$B$36,MATCH(G38,Tier!$A$28:$A$36,0)))), "")</f>
        <v>197.12344999999999</v>
      </c>
      <c r="G38" s="283">
        <f t="shared" si="4"/>
        <v>7</v>
      </c>
      <c r="H38" s="284"/>
      <c r="I38" s="396">
        <f>IFERROR(INDEX(ADP!S:S,MATCH(D38,ADP!D:D,0))-RBproj!K38,"")</f>
        <v>1</v>
      </c>
      <c r="J38" s="127"/>
      <c r="K38" s="89">
        <v>32</v>
      </c>
      <c r="L38" s="2" t="s">
        <v>469</v>
      </c>
      <c r="M38" s="3">
        <f t="shared" si="1"/>
        <v>1.0999999999999996</v>
      </c>
      <c r="N38" s="4">
        <f>IFERROR(INDEX(ADP!AC:AC,MATCH(D38,ADP!Y:Y,0)),0)</f>
        <v>6.8</v>
      </c>
      <c r="O38" s="4" t="s">
        <v>6</v>
      </c>
      <c r="P38" s="4"/>
      <c r="Q38" s="4"/>
      <c r="R38" s="1" t="str">
        <f>IFERROR(VLOOKUP(S38,FFARawStatProjections!AX:AZ,2,FALSE),"")</f>
        <v>SEA</v>
      </c>
      <c r="S38" s="4" t="str">
        <f>INDEX(FFARawStatProjections!AX:AX,MATCH(WRproj!T38,FFARawStatProjections!AZ:AZ,0))</f>
        <v>Tyler Lockett</v>
      </c>
      <c r="T38">
        <f>LARGE(FFARawStatProjections!AZ:AZ,K38)</f>
        <v>197.12344999999999</v>
      </c>
      <c r="U38" s="249">
        <f t="shared" si="0"/>
        <v>-15.976606666666669</v>
      </c>
      <c r="V38" s="243">
        <f t="shared" si="2"/>
        <v>255.25196058137786</v>
      </c>
      <c r="W38" s="244"/>
      <c r="X38" s="243">
        <f t="shared" si="3"/>
        <v>-0.9985379166666668</v>
      </c>
      <c r="Y38" s="238">
        <f>IFERROR(
IF(ISBLANK(Beersheet!$A$1)=FALSE,
INDEX(Beersheet!$A:$U,MATCH(S38,INDEX(Beersheet!$A:$U,0,FFARawStatProjections!$BV$2),0),FFARawStatProjections!$BV$6),
IF(X38&gt;6,0,
IF(AND(X38&lt;=6,X38&gt;5),1,
IF(AND(X38&lt;=5,X38&gt;4),2,
IF(AND(X38&lt;=4,X38&gt;3),3,
IF(AND(X38&lt;=3,X38&gt;2),4,
IF(AND(X38&lt;=2,X38&gt;1),5,
IF(AND(X38&lt;=1,X38&gt;0),6,
IF(AND(X38&lt;=0,X38&gt;-1),7,
8))))))))),
10)</f>
        <v>7</v>
      </c>
    </row>
    <row r="39" spans="1:25" ht="15" customHeight="1" x14ac:dyDescent="0.25">
      <c r="A39" s="135"/>
      <c r="B39" s="142" t="s">
        <v>470</v>
      </c>
      <c r="C39" t="str">
        <f>IF(AND(IFERROR(INDEX(Instructions!$T$111:$T$222,MATCH(D39,Instructions!$T$111:$T$222,0)), "")=D39, D39&lt;&gt;""), "X", "")</f>
        <v/>
      </c>
      <c r="D39" s="138" t="s">
        <v>2087</v>
      </c>
      <c r="E39" s="100" t="s">
        <v>155</v>
      </c>
      <c r="F39" s="431">
        <f>IFERROR(IF(AND($F$5="Projected Points",Beersheet!A34&lt;&gt;"QB"), T39, IF(H39="", INDEX(Tier!$B$28:$B$36,MATCH(G39,Tier!$A$28:$A$36,0)), INDEX(Tier!$B$28:$B$36,MATCH(G39,Tier!$A$28:$A$36,0)))), "")</f>
        <v>189.28342000000001</v>
      </c>
      <c r="G39" s="250">
        <f t="shared" si="4"/>
        <v>8</v>
      </c>
      <c r="H39" s="252"/>
      <c r="I39" s="396">
        <f>IFERROR(INDEX(ADP!S:S,MATCH(D39,ADP!D:D,0))-RBproj!K39,"")</f>
        <v>-7</v>
      </c>
      <c r="J39" s="127"/>
      <c r="K39" s="89">
        <v>33</v>
      </c>
      <c r="L39" s="2" t="s">
        <v>470</v>
      </c>
      <c r="M39" s="3">
        <f t="shared" si="1"/>
        <v>0</v>
      </c>
      <c r="N39" s="4">
        <f>IFERROR(INDEX(ADP!AC:AC,MATCH(D39,ADP!Y:Y,0)),0)</f>
        <v>5.7</v>
      </c>
      <c r="O39" s="4" t="s">
        <v>6</v>
      </c>
      <c r="P39" s="4"/>
      <c r="Q39" s="4"/>
      <c r="R39" s="1" t="str">
        <f>IFERROR(VLOOKUP(S39,FFARawStatProjections!AX:AZ,2,FALSE),"")</f>
        <v>SF</v>
      </c>
      <c r="S39" s="4" t="str">
        <f>INDEX(FFARawStatProjections!AX:AX,MATCH(WRproj!T39,FFARawStatProjections!AZ:AZ,0))</f>
        <v>Brandon Aiyuk</v>
      </c>
      <c r="T39">
        <f>LARGE(FFARawStatProjections!AZ:AZ,K39)</f>
        <v>189.28342000000001</v>
      </c>
      <c r="U39" s="249">
        <f t="shared" si="0"/>
        <v>-23.816636666666653</v>
      </c>
      <c r="V39" s="243">
        <f t="shared" si="2"/>
        <v>567.23218211201049</v>
      </c>
      <c r="W39" s="244"/>
      <c r="X39" s="243">
        <f t="shared" si="3"/>
        <v>-1.4885397916666658</v>
      </c>
      <c r="Y39" s="238">
        <f>IFERROR(
IF(ISBLANK(Beersheet!$A$1)=FALSE,
INDEX(Beersheet!$A:$U,MATCH(S39,INDEX(Beersheet!$A:$U,0,FFARawStatProjections!$BV$2),0),FFARawStatProjections!$BV$6),
IF(X39&gt;6,0,
IF(AND(X39&lt;=6,X39&gt;5),1,
IF(AND(X39&lt;=5,X39&gt;4),2,
IF(AND(X39&lt;=4,X39&gt;3),3,
IF(AND(X39&lt;=3,X39&gt;2),4,
IF(AND(X39&lt;=2,X39&gt;1),5,
IF(AND(X39&lt;=1,X39&gt;0),6,
IF(AND(X39&lt;=0,X39&gt;-1),7,
8))))))))),
10)</f>
        <v>8</v>
      </c>
    </row>
    <row r="40" spans="1:25" ht="15" customHeight="1" x14ac:dyDescent="0.25">
      <c r="A40" s="135"/>
      <c r="B40" s="143" t="s">
        <v>471</v>
      </c>
      <c r="C40" t="str">
        <f>IF(AND(IFERROR(INDEX(Instructions!$T$111:$T$222,MATCH(D40,Instructions!$T$111:$T$222,0)), "")=D40, D40&lt;&gt;""), "X", "")</f>
        <v/>
      </c>
      <c r="D40" s="137" t="s">
        <v>2085</v>
      </c>
      <c r="E40" s="99" t="s">
        <v>158</v>
      </c>
      <c r="F40" s="232">
        <f>IFERROR(IF(AND($F$5="Projected Points",Beersheet!A35&lt;&gt;"QB"), T40, IF(H40="", INDEX(Tier!$B$28:$B$36,MATCH(G40,Tier!$A$28:$A$36,0)), INDEX(Tier!$B$28:$B$36,MATCH(G40,Tier!$A$28:$A$36,0)))), "")</f>
        <v>188.27353000000002</v>
      </c>
      <c r="G40" s="283">
        <f t="shared" si="4"/>
        <v>8</v>
      </c>
      <c r="H40" s="284"/>
      <c r="I40" s="396">
        <f>IFERROR(INDEX(ADP!S:S,MATCH(D40,ADP!D:D,0))-RBproj!K40,"")</f>
        <v>0</v>
      </c>
      <c r="J40" s="127"/>
      <c r="K40" s="89">
        <v>34</v>
      </c>
      <c r="L40" s="2" t="s">
        <v>471</v>
      </c>
      <c r="M40" s="3">
        <f t="shared" si="1"/>
        <v>0</v>
      </c>
      <c r="N40" s="4">
        <f>IFERROR(INDEX(ADP!AC:AC,MATCH(D40,ADP!Y:Y,0)),0)</f>
        <v>6</v>
      </c>
      <c r="O40" s="4" t="s">
        <v>6</v>
      </c>
      <c r="P40" s="4"/>
      <c r="Q40" s="4"/>
      <c r="R40" s="1" t="str">
        <f>IFERROR(VLOOKUP(S40,FFARawStatProjections!AX:AZ,2,FALSE),"")</f>
        <v>IND</v>
      </c>
      <c r="S40" s="4" t="str">
        <f>INDEX(FFARawStatProjections!AX:AX,MATCH(WRproj!T40,FFARawStatProjections!AZ:AZ,0))</f>
        <v>Michael Pittman</v>
      </c>
      <c r="T40">
        <f>LARGE(FFARawStatProjections!AZ:AZ,K40)</f>
        <v>188.27353000000002</v>
      </c>
      <c r="U40" s="249">
        <f t="shared" si="0"/>
        <v>-24.826526666666638</v>
      </c>
      <c r="V40" s="243">
        <f t="shared" si="2"/>
        <v>616.35642633070972</v>
      </c>
      <c r="W40" s="244"/>
      <c r="X40" s="243">
        <f t="shared" si="3"/>
        <v>-1.5516579166666649</v>
      </c>
      <c r="Y40" s="238">
        <f>IFERROR(
IF(ISBLANK(Beersheet!$A$1)=FALSE,
INDEX(Beersheet!$A:$U,MATCH(S40,INDEX(Beersheet!$A:$U,0,FFARawStatProjections!$BV$2),0),FFARawStatProjections!$BV$6),
IF(X40&gt;6,0,
IF(AND(X40&lt;=6,X40&gt;5),1,
IF(AND(X40&lt;=5,X40&gt;4),2,
IF(AND(X40&lt;=4,X40&gt;3),3,
IF(AND(X40&lt;=3,X40&gt;2),4,
IF(AND(X40&lt;=2,X40&gt;1),5,
IF(AND(X40&lt;=1,X40&gt;0),6,
IF(AND(X40&lt;=0,X40&gt;-1),7,
8))))))))),
10)</f>
        <v>8</v>
      </c>
    </row>
    <row r="41" spans="1:25" ht="15" customHeight="1" x14ac:dyDescent="0.25">
      <c r="A41" s="135"/>
      <c r="B41" s="142" t="s">
        <v>472</v>
      </c>
      <c r="C41" t="str">
        <f>IF(AND(IFERROR(INDEX(Instructions!$T$111:$T$222,MATCH(D41,Instructions!$T$111:$T$222,0)), "")=D41, D41&lt;&gt;""), "X", "")</f>
        <v/>
      </c>
      <c r="D41" s="138" t="s">
        <v>2323</v>
      </c>
      <c r="E41" s="100" t="s">
        <v>152</v>
      </c>
      <c r="F41" s="431">
        <f>IFERROR(IF(AND($F$5="Projected Points",Beersheet!A36&lt;&gt;"QB"), T41, IF(H41="", INDEX(Tier!$B$28:$B$36,MATCH(G41,Tier!$A$28:$A$36,0)), INDEX(Tier!$B$28:$B$36,MATCH(G41,Tier!$A$28:$A$36,0)))), "")</f>
        <v>178.14348000000001</v>
      </c>
      <c r="G41" s="250">
        <f t="shared" si="4"/>
        <v>8</v>
      </c>
      <c r="H41" s="252"/>
      <c r="I41" s="396">
        <f>IFERROR(INDEX(ADP!S:S,MATCH(D41,ADP!D:D,0))-RBproj!K41,"")</f>
        <v>1</v>
      </c>
      <c r="J41" s="127"/>
      <c r="K41" s="89">
        <v>35</v>
      </c>
      <c r="L41" s="2" t="s">
        <v>472</v>
      </c>
      <c r="M41" s="3">
        <f t="shared" si="1"/>
        <v>0.5</v>
      </c>
      <c r="N41" s="4">
        <f>IFERROR(INDEX(ADP!AC:AC,MATCH(D41,ADP!Y:Y,0)),0)</f>
        <v>6.7</v>
      </c>
      <c r="O41" s="4" t="s">
        <v>6</v>
      </c>
      <c r="P41" s="4"/>
      <c r="Q41" s="4"/>
      <c r="R41" s="1" t="str">
        <f>IFERROR(VLOOKUP(S41,FFARawStatProjections!AX:AZ,2,FALSE),"")</f>
        <v>WAS</v>
      </c>
      <c r="S41" s="4" t="str">
        <f>INDEX(FFARawStatProjections!AX:AX,MATCH(WRproj!T41,FFARawStatProjections!AZ:AZ,0))</f>
        <v>Jahan Dotson</v>
      </c>
      <c r="T41">
        <f>LARGE(FFARawStatProjections!AZ:AZ,K41)</f>
        <v>178.14348000000001</v>
      </c>
      <c r="U41" s="249">
        <f t="shared" si="0"/>
        <v>-34.956576666666649</v>
      </c>
      <c r="V41" s="243">
        <f t="shared" si="2"/>
        <v>1221.9622522525433</v>
      </c>
      <c r="W41" s="244"/>
      <c r="X41" s="243">
        <f t="shared" si="3"/>
        <v>-2.1847860416666656</v>
      </c>
      <c r="Y41" s="238">
        <f>IFERROR(
IF(ISBLANK(Beersheet!$A$1)=FALSE,
INDEX(Beersheet!$A:$U,MATCH(S41,INDEX(Beersheet!$A:$U,0,FFARawStatProjections!$BV$2),0),FFARawStatProjections!$BV$6),
IF(X41&gt;6,0,
IF(AND(X41&lt;=6,X41&gt;5),1,
IF(AND(X41&lt;=5,X41&gt;4),2,
IF(AND(X41&lt;=4,X41&gt;3),3,
IF(AND(X41&lt;=3,X41&gt;2),4,
IF(AND(X41&lt;=2,X41&gt;1),5,
IF(AND(X41&lt;=1,X41&gt;0),6,
IF(AND(X41&lt;=0,X41&gt;-1),7,
8))))))))),
10)</f>
        <v>8</v>
      </c>
    </row>
    <row r="42" spans="1:25" ht="15" customHeight="1" x14ac:dyDescent="0.25">
      <c r="A42" s="135"/>
      <c r="B42" s="143" t="s">
        <v>473</v>
      </c>
      <c r="C42" t="str">
        <f>IF(AND(IFERROR(INDEX(Instructions!$T$111:$T$222,MATCH(D42,Instructions!$T$111:$T$222,0)), "")=D42, D42&lt;&gt;""), "X", "")</f>
        <v/>
      </c>
      <c r="D42" s="137" t="s">
        <v>2326</v>
      </c>
      <c r="E42" s="99" t="s">
        <v>147</v>
      </c>
      <c r="F42" s="232">
        <f>IFERROR(IF(AND($F$5="Projected Points",Beersheet!A37&lt;&gt;"QB"), T42, IF(H42="", INDEX(Tier!$B$28:$B$36,MATCH(G42,Tier!$A$28:$A$36,0)), INDEX(Tier!$B$28:$B$36,MATCH(G42,Tier!$A$28:$A$36,0)))), "")</f>
        <v>176.85357999999999</v>
      </c>
      <c r="G42" s="283">
        <f t="shared" si="4"/>
        <v>8</v>
      </c>
      <c r="H42" s="284"/>
      <c r="I42" s="396">
        <f>IFERROR(INDEX(ADP!S:S,MATCH(D42,ADP!D:D,0))-RBproj!K42,"")</f>
        <v>-1</v>
      </c>
      <c r="J42" s="127"/>
      <c r="K42" s="89">
        <v>36</v>
      </c>
      <c r="L42" s="2" t="s">
        <v>473</v>
      </c>
      <c r="M42" s="3">
        <f t="shared" si="1"/>
        <v>1.7999999999999998</v>
      </c>
      <c r="N42" s="4">
        <f>IFERROR(INDEX(ADP!AC:AC,MATCH(D42,ADP!Y:Y,0)),0)</f>
        <v>8</v>
      </c>
      <c r="O42" s="4" t="s">
        <v>6</v>
      </c>
      <c r="P42" s="4"/>
      <c r="Q42" s="4"/>
      <c r="R42" s="1" t="str">
        <f>IFERROR(VLOOKUP(S42,FFARawStatProjections!AX:AZ,2,FALSE),"")</f>
        <v>NE</v>
      </c>
      <c r="S42" s="4" t="str">
        <f>INDEX(FFARawStatProjections!AX:AX,MATCH(WRproj!T42,FFARawStatProjections!AZ:AZ,0))</f>
        <v>JuJu Smith-Schuster</v>
      </c>
      <c r="T42">
        <f>LARGE(FFARawStatProjections!AZ:AZ,K42)</f>
        <v>176.85357999999999</v>
      </c>
      <c r="U42" s="249">
        <f t="shared" si="0"/>
        <v>-36.246476666666666</v>
      </c>
      <c r="V42" s="243">
        <f t="shared" si="2"/>
        <v>1313.8070707472111</v>
      </c>
      <c r="W42" s="244"/>
      <c r="X42" s="243">
        <f t="shared" si="3"/>
        <v>-2.2654047916666666</v>
      </c>
      <c r="Y42" s="238">
        <f>IFERROR(
IF(ISBLANK(Beersheet!$A$1)=FALSE,
INDEX(Beersheet!$A:$U,MATCH(S42,INDEX(Beersheet!$A:$U,0,FFARawStatProjections!$BV$2),0),FFARawStatProjections!$BV$6),
IF(X42&gt;6,0,
IF(AND(X42&lt;=6,X42&gt;5),1,
IF(AND(X42&lt;=5,X42&gt;4),2,
IF(AND(X42&lt;=4,X42&gt;3),3,
IF(AND(X42&lt;=3,X42&gt;2),4,
IF(AND(X42&lt;=2,X42&gt;1),5,
IF(AND(X42&lt;=1,X42&gt;0),6,
IF(AND(X42&lt;=0,X42&gt;-1),7,
8))))))))),
10)</f>
        <v>8</v>
      </c>
    </row>
    <row r="43" spans="1:25" ht="15" customHeight="1" x14ac:dyDescent="0.25">
      <c r="A43" s="135"/>
      <c r="B43" s="142" t="s">
        <v>474</v>
      </c>
      <c r="C43" t="str">
        <f>IF(AND(IFERROR(INDEX(Instructions!$T$111:$T$222,MATCH(D43,Instructions!$T$111:$T$222,0)), "")=D43, D43&lt;&gt;""), "X", "")</f>
        <v/>
      </c>
      <c r="D43" s="138" t="s">
        <v>2486</v>
      </c>
      <c r="E43" s="100" t="s">
        <v>156</v>
      </c>
      <c r="F43" s="431">
        <f>IFERROR(IF(AND($F$5="Projected Points",Beersheet!A38&lt;&gt;"QB"), T43, IF(H43="", INDEX(Tier!$B$28:$B$36,MATCH(G43,Tier!$A$28:$A$36,0)), INDEX(Tier!$B$28:$B$36,MATCH(G43,Tier!$A$28:$A$36,0)))), "")</f>
        <v>174.77350000000001</v>
      </c>
      <c r="G43" s="250">
        <f t="shared" si="4"/>
        <v>8</v>
      </c>
      <c r="H43" s="252"/>
      <c r="I43" s="396" t="str">
        <f>IFERROR(INDEX(ADP!S:S,MATCH(D43,ADP!D:D,0))-RBproj!K43,"")</f>
        <v/>
      </c>
      <c r="J43" s="127"/>
      <c r="K43" s="89">
        <v>37</v>
      </c>
      <c r="L43" s="2" t="s">
        <v>474</v>
      </c>
      <c r="M43" s="3">
        <f t="shared" si="1"/>
        <v>0</v>
      </c>
      <c r="N43" s="4">
        <f>IFERROR(INDEX(ADP!AC:AC,MATCH(D43,ADP!Y:Y,0)),0)</f>
        <v>0</v>
      </c>
      <c r="O43" s="4" t="s">
        <v>6</v>
      </c>
      <c r="P43" s="4"/>
      <c r="Q43" s="4"/>
      <c r="R43" s="1" t="str">
        <f>IFERROR(VLOOKUP(S43,FFARawStatProjections!AX:AZ,2,FALSE),"")</f>
        <v>PIT</v>
      </c>
      <c r="S43" s="4" t="str">
        <f>INDEX(FFARawStatProjections!AX:AX,MATCH(WRproj!T43,FFARawStatProjections!AZ:AZ,0))</f>
        <v>George Pickens</v>
      </c>
      <c r="T43">
        <f>LARGE(FFARawStatProjections!AZ:AZ,K43)</f>
        <v>174.77350000000001</v>
      </c>
      <c r="U43" s="249">
        <f t="shared" si="0"/>
        <v>-38.326556666666647</v>
      </c>
      <c r="V43" s="243">
        <f t="shared" si="2"/>
        <v>1468.9249459232096</v>
      </c>
      <c r="W43" s="244"/>
      <c r="X43" s="243">
        <f t="shared" si="3"/>
        <v>-2.3954097916666655</v>
      </c>
      <c r="Y43" s="238">
        <f>IFERROR(
IF(ISBLANK(Beersheet!$A$1)=FALSE,
INDEX(Beersheet!$A:$U,MATCH(S43,INDEX(Beersheet!$A:$U,0,FFARawStatProjections!$BV$2),0),FFARawStatProjections!$BV$6),
IF(X43&gt;6,0,
IF(AND(X43&lt;=6,X43&gt;5),1,
IF(AND(X43&lt;=5,X43&gt;4),2,
IF(AND(X43&lt;=4,X43&gt;3),3,
IF(AND(X43&lt;=3,X43&gt;2),4,
IF(AND(X43&lt;=2,X43&gt;1),5,
IF(AND(X43&lt;=1,X43&gt;0),6,
IF(AND(X43&lt;=0,X43&gt;-1),7,
8))))))))),
10)</f>
        <v>8</v>
      </c>
    </row>
    <row r="44" spans="1:25" ht="15" customHeight="1" x14ac:dyDescent="0.25">
      <c r="A44" s="135"/>
      <c r="B44" s="143" t="s">
        <v>475</v>
      </c>
      <c r="C44" t="str">
        <f>IF(AND(IFERROR(INDEX(Instructions!$T$111:$T$222,MATCH(D44,Instructions!$T$111:$T$222,0)), "")=D44, D44&lt;&gt;""), "X", "")</f>
        <v/>
      </c>
      <c r="D44" s="137" t="s">
        <v>2464</v>
      </c>
      <c r="E44" s="99" t="s">
        <v>138</v>
      </c>
      <c r="F44" s="232">
        <f>IFERROR(IF(AND($F$5="Projected Points",Beersheet!A39&lt;&gt;"QB"), T44, IF(H44="", INDEX(Tier!$B$28:$B$36,MATCH(G44,Tier!$A$28:$A$36,0)), INDEX(Tier!$B$28:$B$36,MATCH(G44,Tier!$A$28:$A$36,0)))), "")</f>
        <v>174.45352</v>
      </c>
      <c r="G44" s="283">
        <f t="shared" si="4"/>
        <v>8</v>
      </c>
      <c r="H44" s="284"/>
      <c r="I44" s="396">
        <f>IFERROR(INDEX(ADP!S:S,MATCH(D44,ADP!D:D,0))-RBproj!K44,"")</f>
        <v>-1</v>
      </c>
      <c r="J44" s="127"/>
      <c r="K44" s="89">
        <v>38</v>
      </c>
      <c r="L44" s="2" t="s">
        <v>475</v>
      </c>
      <c r="M44" s="3">
        <f t="shared" si="1"/>
        <v>0</v>
      </c>
      <c r="N44" s="4">
        <f>IFERROR(INDEX(ADP!AC:AC,MATCH(D44,ADP!Y:Y,0)),0)</f>
        <v>6.2</v>
      </c>
      <c r="O44" s="4" t="s">
        <v>6</v>
      </c>
      <c r="P44" s="4"/>
      <c r="Q44" s="4"/>
      <c r="R44" s="1" t="str">
        <f>IFERROR(VLOOKUP(S44,FFARawStatProjections!AX:AZ,2,FALSE),"")</f>
        <v>MIN</v>
      </c>
      <c r="S44" s="4" t="str">
        <f>INDEX(FFARawStatProjections!AX:AX,MATCH(WRproj!T44,FFARawStatProjections!AZ:AZ,0))</f>
        <v>Jordan Addison</v>
      </c>
      <c r="T44">
        <f>LARGE(FFARawStatProjections!AZ:AZ,K44)</f>
        <v>174.45352</v>
      </c>
      <c r="U44" s="249">
        <f t="shared" si="0"/>
        <v>-38.646536666666663</v>
      </c>
      <c r="V44" s="243">
        <f t="shared" si="2"/>
        <v>1493.5547963280108</v>
      </c>
      <c r="W44" s="244"/>
      <c r="X44" s="243">
        <f t="shared" si="3"/>
        <v>-2.4154085416666664</v>
      </c>
      <c r="Y44" s="238">
        <f>IFERROR(
IF(ISBLANK(Beersheet!$A$1)=FALSE,
INDEX(Beersheet!$A:$U,MATCH(S44,INDEX(Beersheet!$A:$U,0,FFARawStatProjections!$BV$2),0),FFARawStatProjections!$BV$6),
IF(X44&gt;6,0,
IF(AND(X44&lt;=6,X44&gt;5),1,
IF(AND(X44&lt;=5,X44&gt;4),2,
IF(AND(X44&lt;=4,X44&gt;3),3,
IF(AND(X44&lt;=3,X44&gt;2),4,
IF(AND(X44&lt;=2,X44&gt;1),5,
IF(AND(X44&lt;=1,X44&gt;0),6,
IF(AND(X44&lt;=0,X44&gt;-1),7,
8))))))))),
10)</f>
        <v>8</v>
      </c>
    </row>
    <row r="45" spans="1:25" ht="15" customHeight="1" x14ac:dyDescent="0.25">
      <c r="A45" s="135"/>
      <c r="B45" s="142" t="s">
        <v>476</v>
      </c>
      <c r="C45" t="str">
        <f>IF(AND(IFERROR(INDEX(Instructions!$T$111:$T$222,MATCH(D45,Instructions!$T$111:$T$222,0)), "")=D45, D45&lt;&gt;""), "X", "")</f>
        <v/>
      </c>
      <c r="D45" s="138" t="s">
        <v>107</v>
      </c>
      <c r="E45" s="100" t="s">
        <v>146</v>
      </c>
      <c r="F45" s="431">
        <f>IFERROR(IF(AND($F$5="Projected Points",Beersheet!A40&lt;&gt;"QB"), T45, IF(H45="", INDEX(Tier!$B$28:$B$36,MATCH(G45,Tier!$A$28:$A$36,0)), INDEX(Tier!$B$28:$B$36,MATCH(G45,Tier!$A$28:$A$36,0)))), "")</f>
        <v>173.95351000000002</v>
      </c>
      <c r="G45" s="250">
        <f t="shared" si="4"/>
        <v>8</v>
      </c>
      <c r="H45" s="252"/>
      <c r="I45" s="396">
        <f>IFERROR(INDEX(ADP!S:S,MATCH(D45,ADP!D:D,0))-RBproj!K45,"")</f>
        <v>0</v>
      </c>
      <c r="J45" s="127"/>
      <c r="K45" s="89">
        <v>39</v>
      </c>
      <c r="L45" s="2" t="s">
        <v>476</v>
      </c>
      <c r="M45" s="3">
        <f t="shared" si="1"/>
        <v>0</v>
      </c>
      <c r="N45" s="4">
        <f>IFERROR(INDEX(ADP!AC:AC,MATCH(D45,ADP!Y:Y,0)),0)</f>
        <v>6.6</v>
      </c>
      <c r="O45" s="4" t="s">
        <v>6</v>
      </c>
      <c r="P45" s="4"/>
      <c r="Q45" s="4"/>
      <c r="R45" s="1" t="str">
        <f>IFERROR(VLOOKUP(S45,FFARawStatProjections!AX:AZ,2,FALSE),"")</f>
        <v>DAL</v>
      </c>
      <c r="S45" s="4" t="str">
        <f>INDEX(FFARawStatProjections!AX:AX,MATCH(WRproj!T45,FFARawStatProjections!AZ:AZ,0))</f>
        <v>Brandin Cooks</v>
      </c>
      <c r="T45">
        <f>LARGE(FFARawStatProjections!AZ:AZ,K45)</f>
        <v>173.95351000000002</v>
      </c>
      <c r="U45" s="249">
        <f t="shared" si="0"/>
        <v>-39.146546666666637</v>
      </c>
      <c r="V45" s="243">
        <f t="shared" si="2"/>
        <v>1532.4521159255089</v>
      </c>
      <c r="W45" s="244"/>
      <c r="X45" s="243">
        <f t="shared" si="3"/>
        <v>-2.4466591666666648</v>
      </c>
      <c r="Y45" s="238">
        <f>IFERROR(
IF(ISBLANK(Beersheet!$A$1)=FALSE,
INDEX(Beersheet!$A:$U,MATCH(S45,INDEX(Beersheet!$A:$U,0,FFARawStatProjections!$BV$2),0),FFARawStatProjections!$BV$6),
IF(X45&gt;6,0,
IF(AND(X45&lt;=6,X45&gt;5),1,
IF(AND(X45&lt;=5,X45&gt;4),2,
IF(AND(X45&lt;=4,X45&gt;3),3,
IF(AND(X45&lt;=3,X45&gt;2),4,
IF(AND(X45&lt;=2,X45&gt;1),5,
IF(AND(X45&lt;=1,X45&gt;0),6,
IF(AND(X45&lt;=0,X45&gt;-1),7,
8))))))))),
10)</f>
        <v>8</v>
      </c>
    </row>
    <row r="46" spans="1:25" ht="15" customHeight="1" x14ac:dyDescent="0.25">
      <c r="A46" s="135"/>
      <c r="B46" s="143" t="s">
        <v>477</v>
      </c>
      <c r="C46" t="str">
        <f>IF(AND(IFERROR(INDEX(Instructions!$T$111:$T$222,MATCH(D46,Instructions!$T$111:$T$222,0)), "")=D46, D46&lt;&gt;""), "X", "")</f>
        <v/>
      </c>
      <c r="D46" s="137" t="s">
        <v>1441</v>
      </c>
      <c r="E46" s="99" t="s">
        <v>157</v>
      </c>
      <c r="F46" s="232">
        <f>IFERROR(IF(AND($F$5="Projected Points",Beersheet!A41&lt;&gt;"QB"), T46, IF(H46="", INDEX(Tier!$B$28:$B$36,MATCH(G46,Tier!$A$28:$A$36,0)), INDEX(Tier!$B$28:$B$36,MATCH(G46,Tier!$A$28:$A$36,0)))), "")</f>
        <v>171.73347000000001</v>
      </c>
      <c r="G46" s="283">
        <f t="shared" si="4"/>
        <v>8</v>
      </c>
      <c r="H46" s="284"/>
      <c r="I46" s="396">
        <f>IFERROR(INDEX(ADP!S:S,MATCH(D46,ADP!D:D,0))-RBproj!K46,"")</f>
        <v>8</v>
      </c>
      <c r="J46" s="127"/>
      <c r="K46" s="89">
        <v>40</v>
      </c>
      <c r="L46" s="2" t="s">
        <v>477</v>
      </c>
      <c r="M46" s="3">
        <f t="shared" si="1"/>
        <v>1.9000000000000004</v>
      </c>
      <c r="N46" s="4">
        <f>IFERROR(INDEX(ADP!AC:AC,MATCH(D46,ADP!Y:Y,0)),0)</f>
        <v>8.5</v>
      </c>
      <c r="O46" s="4" t="s">
        <v>6</v>
      </c>
      <c r="P46" s="4"/>
      <c r="Q46" s="4"/>
      <c r="R46" s="1" t="str">
        <f>IFERROR(VLOOKUP(S46,FFARawStatProjections!AX:AZ,2,FALSE),"")</f>
        <v>BUF</v>
      </c>
      <c r="S46" s="4" t="str">
        <f>INDEX(FFARawStatProjections!AX:AX,MATCH(WRproj!T46,FFARawStatProjections!AZ:AZ,0))</f>
        <v>Gabe Davis</v>
      </c>
      <c r="T46">
        <f>LARGE(FFARawStatProjections!AZ:AZ,K46)</f>
        <v>171.73347000000001</v>
      </c>
      <c r="U46" s="249">
        <f t="shared" si="0"/>
        <v>-41.366586666666649</v>
      </c>
      <c r="V46" s="243">
        <f t="shared" si="2"/>
        <v>1711.194492450843</v>
      </c>
      <c r="W46" s="244"/>
      <c r="X46" s="243">
        <f t="shared" si="3"/>
        <v>-2.5854116666666656</v>
      </c>
      <c r="Y46" s="238">
        <f>IFERROR(
IF(ISBLANK(Beersheet!$A$1)=FALSE,
INDEX(Beersheet!$A:$U,MATCH(S46,INDEX(Beersheet!$A:$U,0,FFARawStatProjections!$BV$2),0),FFARawStatProjections!$BV$6),
IF(X46&gt;6,0,
IF(AND(X46&lt;=6,X46&gt;5),1,
IF(AND(X46&lt;=5,X46&gt;4),2,
IF(AND(X46&lt;=4,X46&gt;3),3,
IF(AND(X46&lt;=3,X46&gt;2),4,
IF(AND(X46&lt;=2,X46&gt;1),5,
IF(AND(X46&lt;=1,X46&gt;0),6,
IF(AND(X46&lt;=0,X46&gt;-1),7,
8))))))))),
10)</f>
        <v>8</v>
      </c>
    </row>
    <row r="47" spans="1:25" ht="15" customHeight="1" x14ac:dyDescent="0.25">
      <c r="A47" s="135"/>
      <c r="B47" s="142" t="s">
        <v>478</v>
      </c>
      <c r="C47" t="str">
        <f>IF(AND(IFERROR(INDEX(Instructions!$T$111:$T$222,MATCH(D47,Instructions!$T$111:$T$222,0)), "")=D47, D47&lt;&gt;""), "X", "")</f>
        <v/>
      </c>
      <c r="D47" s="138" t="s">
        <v>2317</v>
      </c>
      <c r="E47" s="100" t="s">
        <v>163</v>
      </c>
      <c r="F47" s="431">
        <f>IFERROR(IF(AND($F$5="Projected Points",Beersheet!A42&lt;&gt;"QB"), T47, IF(H47="", INDEX(Tier!$B$28:$B$36,MATCH(G47,Tier!$A$28:$A$36,0)), INDEX(Tier!$B$28:$B$36,MATCH(G47,Tier!$A$28:$A$36,0)))), "")</f>
        <v>171.25357</v>
      </c>
      <c r="G47" s="250">
        <f t="shared" si="4"/>
        <v>8</v>
      </c>
      <c r="H47" s="252"/>
      <c r="I47" s="396">
        <f>IFERROR(INDEX(ADP!S:S,MATCH(D47,ADP!D:D,0))-RBproj!K47,"")</f>
        <v>-1</v>
      </c>
      <c r="J47" s="127"/>
      <c r="K47" s="89">
        <v>41</v>
      </c>
      <c r="L47" s="2" t="s">
        <v>478</v>
      </c>
      <c r="M47" s="3">
        <f t="shared" si="1"/>
        <v>0</v>
      </c>
      <c r="N47" s="4">
        <f>IFERROR(INDEX(ADP!AC:AC,MATCH(D47,ADP!Y:Y,0)),0)</f>
        <v>6.2</v>
      </c>
      <c r="O47" s="4" t="s">
        <v>6</v>
      </c>
      <c r="P47" s="4"/>
      <c r="Q47" s="4"/>
      <c r="R47" s="1" t="str">
        <f>IFERROR(VLOOKUP(S47,FFARawStatProjections!AX:AZ,2,FALSE),"")</f>
        <v>NO</v>
      </c>
      <c r="S47" s="4" t="str">
        <f>INDEX(FFARawStatProjections!AX:AX,MATCH(WRproj!T47,FFARawStatProjections!AZ:AZ,0))</f>
        <v>Michael Thomas</v>
      </c>
      <c r="T47">
        <f>LARGE(FFARawStatProjections!AZ:AZ,K47)</f>
        <v>171.25357</v>
      </c>
      <c r="U47" s="249">
        <f t="shared" si="0"/>
        <v>-41.846486666666664</v>
      </c>
      <c r="V47" s="243">
        <f t="shared" si="2"/>
        <v>1751.1284463435109</v>
      </c>
      <c r="W47" s="244"/>
      <c r="X47" s="243">
        <f t="shared" si="3"/>
        <v>-2.6154054166666665</v>
      </c>
      <c r="Y47" s="238">
        <f>IFERROR(
IF(ISBLANK(Beersheet!$A$1)=FALSE,
INDEX(Beersheet!$A:$U,MATCH(S47,INDEX(Beersheet!$A:$U,0,FFARawStatProjections!$BV$2),0),FFARawStatProjections!$BV$6),
IF(X47&gt;6,0,
IF(AND(X47&lt;=6,X47&gt;5),1,
IF(AND(X47&lt;=5,X47&gt;4),2,
IF(AND(X47&lt;=4,X47&gt;3),3,
IF(AND(X47&lt;=3,X47&gt;2),4,
IF(AND(X47&lt;=2,X47&gt;1),5,
IF(AND(X47&lt;=1,X47&gt;0),6,
IF(AND(X47&lt;=0,X47&gt;-1),7,
8))))))))),
10)</f>
        <v>8</v>
      </c>
    </row>
    <row r="48" spans="1:25" ht="15" customHeight="1" x14ac:dyDescent="0.25">
      <c r="A48" s="135"/>
      <c r="B48" s="143" t="s">
        <v>479</v>
      </c>
      <c r="C48" t="str">
        <f>IF(AND(IFERROR(INDEX(Instructions!$T$111:$T$222,MATCH(D48,Instructions!$T$111:$T$222,0)), "")=D48, D48&lt;&gt;""), "X", "")</f>
        <v/>
      </c>
      <c r="D48" s="137" t="s">
        <v>2469</v>
      </c>
      <c r="E48" s="99" t="s">
        <v>140</v>
      </c>
      <c r="F48" s="232">
        <f>IFERROR(IF(AND($F$5="Projected Points",Beersheet!A43&lt;&gt;"QB"), T48, IF(H48="", INDEX(Tier!$B$28:$B$36,MATCH(G48,Tier!$A$28:$A$36,0)), INDEX(Tier!$B$28:$B$36,MATCH(G48,Tier!$A$28:$A$36,0)))), "")</f>
        <v>167.99355</v>
      </c>
      <c r="G48" s="283">
        <f t="shared" si="4"/>
        <v>8</v>
      </c>
      <c r="H48" s="284"/>
      <c r="I48" s="396">
        <f>IFERROR(INDEX(ADP!S:S,MATCH(D48,ADP!D:D,0))-RBproj!K48,"")</f>
        <v>-4</v>
      </c>
      <c r="J48" s="127"/>
      <c r="K48" s="89">
        <v>42</v>
      </c>
      <c r="L48" s="2" t="s">
        <v>479</v>
      </c>
      <c r="M48" s="3">
        <f t="shared" si="1"/>
        <v>0</v>
      </c>
      <c r="N48" s="4">
        <f>IFERROR(INDEX(ADP!AC:AC,MATCH(D48,ADP!Y:Y,0)),0)</f>
        <v>7.3</v>
      </c>
      <c r="O48" s="4" t="s">
        <v>6</v>
      </c>
      <c r="P48" s="4"/>
      <c r="Q48" s="4"/>
      <c r="R48" s="1" t="str">
        <f>IFERROR(VLOOKUP(S48,FFARawStatProjections!AX:AZ,2,FALSE),"")</f>
        <v>SEA</v>
      </c>
      <c r="S48" s="4" t="str">
        <f>INDEX(FFARawStatProjections!AX:AX,MATCH(WRproj!T48,FFARawStatProjections!AZ:AZ,0))</f>
        <v>Jaxon Smith-Njigba</v>
      </c>
      <c r="T48">
        <f>LARGE(FFARawStatProjections!AZ:AZ,K48)</f>
        <v>167.99355</v>
      </c>
      <c r="U48" s="249">
        <f t="shared" si="0"/>
        <v>-45.106506666666661</v>
      </c>
      <c r="V48" s="243">
        <f t="shared" si="2"/>
        <v>2034.5969436700439</v>
      </c>
      <c r="W48" s="244"/>
      <c r="X48" s="243">
        <f t="shared" si="3"/>
        <v>-2.8191566666666663</v>
      </c>
      <c r="Y48" s="238">
        <f>IFERROR(
IF(ISBLANK(Beersheet!$A$1)=FALSE,
INDEX(Beersheet!$A:$U,MATCH(S48,INDEX(Beersheet!$A:$U,0,FFARawStatProjections!$BV$2),0),FFARawStatProjections!$BV$6),
IF(X48&gt;6,0,
IF(AND(X48&lt;=6,X48&gt;5),1,
IF(AND(X48&lt;=5,X48&gt;4),2,
IF(AND(X48&lt;=4,X48&gt;3),3,
IF(AND(X48&lt;=3,X48&gt;2),4,
IF(AND(X48&lt;=2,X48&gt;1),5,
IF(AND(X48&lt;=1,X48&gt;0),6,
IF(AND(X48&lt;=0,X48&gt;-1),7,
8))))))))),
10)</f>
        <v>8</v>
      </c>
    </row>
    <row r="49" spans="1:25" ht="15" customHeight="1" x14ac:dyDescent="0.25">
      <c r="A49" s="135"/>
      <c r="B49" s="142" t="s">
        <v>480</v>
      </c>
      <c r="C49" t="str">
        <f>IF(AND(IFERROR(INDEX(Instructions!$T$111:$T$222,MATCH(D49,Instructions!$T$111:$T$222,0)), "")=D49, D49&lt;&gt;""), "X", "")</f>
        <v/>
      </c>
      <c r="D49" s="138" t="s">
        <v>1192</v>
      </c>
      <c r="E49" s="100" t="s">
        <v>143</v>
      </c>
      <c r="F49" s="431">
        <f>IFERROR(IF(AND($F$5="Projected Points",Beersheet!A44&lt;&gt;"QB"), T49, IF(H49="", INDEX(Tier!$B$28:$B$36,MATCH(G49,Tier!$A$28:$A$36,0)), INDEX(Tier!$B$28:$B$36,MATCH(G49,Tier!$A$28:$A$36,0)))), "")</f>
        <v>167.52353999999997</v>
      </c>
      <c r="G49" s="250">
        <f t="shared" si="4"/>
        <v>8</v>
      </c>
      <c r="H49" s="252"/>
      <c r="I49" s="396">
        <f>IFERROR(INDEX(ADP!S:S,MATCH(D49,ADP!D:D,0))-RBproj!K49,"")</f>
        <v>4</v>
      </c>
      <c r="J49" s="127"/>
      <c r="K49" s="89">
        <v>43</v>
      </c>
      <c r="L49" s="2" t="s">
        <v>480</v>
      </c>
      <c r="M49" s="3">
        <f t="shared" si="1"/>
        <v>0.19999999999999929</v>
      </c>
      <c r="N49" s="4">
        <f>IFERROR(INDEX(ADP!AC:AC,MATCH(D49,ADP!Y:Y,0)),0)</f>
        <v>7.6</v>
      </c>
      <c r="O49" s="4" t="s">
        <v>6</v>
      </c>
      <c r="P49" s="4"/>
      <c r="Q49" s="4"/>
      <c r="R49" s="1" t="str">
        <f>IFERROR(VLOOKUP(S49,FFARawStatProjections!AX:AZ,2,FALSE),"")</f>
        <v>TEN</v>
      </c>
      <c r="S49" s="4" t="str">
        <f>INDEX(FFARawStatProjections!AX:AX,MATCH(WRproj!T49,FFARawStatProjections!AZ:AZ,0))</f>
        <v>Treylon Burks</v>
      </c>
      <c r="T49">
        <f>LARGE(FFARawStatProjections!AZ:AZ,K49)</f>
        <v>167.52353999999997</v>
      </c>
      <c r="U49" s="249">
        <f t="shared" si="0"/>
        <v>-45.576516666666691</v>
      </c>
      <c r="V49" s="243">
        <f t="shared" si="2"/>
        <v>2077.2188714669469</v>
      </c>
      <c r="W49" s="244"/>
      <c r="X49" s="243">
        <f t="shared" si="3"/>
        <v>-2.8485322916666682</v>
      </c>
      <c r="Y49" s="238">
        <f>IFERROR(
IF(ISBLANK(Beersheet!$A$1)=FALSE,
INDEX(Beersheet!$A:$U,MATCH(S49,INDEX(Beersheet!$A:$U,0,FFARawStatProjections!$BV$2),0),FFARawStatProjections!$BV$6),
IF(X49&gt;6,0,
IF(AND(X49&lt;=6,X49&gt;5),1,
IF(AND(X49&lt;=5,X49&gt;4),2,
IF(AND(X49&lt;=4,X49&gt;3),3,
IF(AND(X49&lt;=3,X49&gt;2),4,
IF(AND(X49&lt;=2,X49&gt;1),5,
IF(AND(X49&lt;=1,X49&gt;0),6,
IF(AND(X49&lt;=0,X49&gt;-1),7,
8))))))))),
10)</f>
        <v>8</v>
      </c>
    </row>
    <row r="50" spans="1:25" ht="15" customHeight="1" x14ac:dyDescent="0.25">
      <c r="A50" s="135"/>
      <c r="B50" s="143" t="s">
        <v>481</v>
      </c>
      <c r="C50" t="str">
        <f>IF(AND(IFERROR(INDEX(Instructions!$T$111:$T$222,MATCH(D50,Instructions!$T$111:$T$222,0)), "")=D50, D50&lt;&gt;""), "X", "")</f>
        <v/>
      </c>
      <c r="D50" s="137" t="s">
        <v>1792</v>
      </c>
      <c r="E50" s="99" t="s">
        <v>144</v>
      </c>
      <c r="F50" s="232">
        <f>IFERROR(IF(AND($F$5="Projected Points",Beersheet!A45&lt;&gt;"QB"), T50, IF(H50="", INDEX(Tier!$B$28:$B$36,MATCH(G50,Tier!$A$28:$A$36,0)), INDEX(Tier!$B$28:$B$36,MATCH(G50,Tier!$A$28:$A$36,0)))), "")</f>
        <v>162.87356000000003</v>
      </c>
      <c r="G50" s="283">
        <f t="shared" si="4"/>
        <v>8</v>
      </c>
      <c r="H50" s="284"/>
      <c r="I50" s="396">
        <f>IFERROR(INDEX(ADP!S:S,MATCH(D50,ADP!D:D,0))-RBproj!K50,"")</f>
        <v>-3</v>
      </c>
      <c r="J50" s="127"/>
      <c r="K50" s="89">
        <v>44</v>
      </c>
      <c r="L50" s="2" t="s">
        <v>481</v>
      </c>
      <c r="M50" s="3">
        <f t="shared" si="1"/>
        <v>0</v>
      </c>
      <c r="N50" s="4">
        <f>IFERROR(INDEX(ADP!AC:AC,MATCH(D50,ADP!Y:Y,0)),0)</f>
        <v>7.4</v>
      </c>
      <c r="O50" s="4" t="s">
        <v>6</v>
      </c>
      <c r="P50" s="4"/>
      <c r="Q50" s="4"/>
      <c r="R50" s="1" t="str">
        <f>IFERROR(VLOOKUP(S50,FFARawStatProjections!AX:AZ,2,FALSE),"")</f>
        <v>DEN</v>
      </c>
      <c r="S50" s="4" t="str">
        <f>INDEX(FFARawStatProjections!AX:AX,MATCH(WRproj!T50,FFARawStatProjections!AZ:AZ,0))</f>
        <v>Courtland Sutton</v>
      </c>
      <c r="T50">
        <f>LARGE(FFARawStatProjections!AZ:AZ,K50)</f>
        <v>162.87356000000003</v>
      </c>
      <c r="U50" s="249">
        <f t="shared" si="0"/>
        <v>-50.226496666666634</v>
      </c>
      <c r="V50" s="243">
        <f t="shared" si="2"/>
        <v>2522.7009674066744</v>
      </c>
      <c r="W50" s="244"/>
      <c r="X50" s="243">
        <f t="shared" si="3"/>
        <v>-3.1391560416666646</v>
      </c>
      <c r="Y50" s="238">
        <f>IFERROR(
IF(ISBLANK(Beersheet!$A$1)=FALSE,
INDEX(Beersheet!$A:$U,MATCH(S50,INDEX(Beersheet!$A:$U,0,FFARawStatProjections!$BV$2),0),FFARawStatProjections!$BV$6),
IF(X50&gt;6,0,
IF(AND(X50&lt;=6,X50&gt;5),1,
IF(AND(X50&lt;=5,X50&gt;4),2,
IF(AND(X50&lt;=4,X50&gt;3),3,
IF(AND(X50&lt;=3,X50&gt;2),4,
IF(AND(X50&lt;=2,X50&gt;1),5,
IF(AND(X50&lt;=1,X50&gt;0),6,
IF(AND(X50&lt;=0,X50&gt;-1),7,
8))))))))),
10)</f>
        <v>8</v>
      </c>
    </row>
    <row r="51" spans="1:25" ht="15" customHeight="1" x14ac:dyDescent="0.25">
      <c r="A51" s="135"/>
      <c r="B51" s="142" t="s">
        <v>482</v>
      </c>
      <c r="C51" t="str">
        <f>IF(AND(IFERROR(INDEX(Instructions!$T$111:$T$222,MATCH(D51,Instructions!$T$111:$T$222,0)), "")=D51, D51&lt;&gt;""), "X", "")</f>
        <v/>
      </c>
      <c r="D51" s="138" t="s">
        <v>2387</v>
      </c>
      <c r="E51" s="100" t="s">
        <v>162</v>
      </c>
      <c r="F51" s="431">
        <f>IFERROR(IF(AND($F$5="Projected Points",Beersheet!A46&lt;&gt;"QB"), T51, IF(H51="", INDEX(Tier!$B$28:$B$36,MATCH(G51,Tier!$A$28:$A$36,0)), INDEX(Tier!$B$28:$B$36,MATCH(G51,Tier!$A$28:$A$36,0)))), "")</f>
        <v>161.22362000000001</v>
      </c>
      <c r="G51" s="250">
        <f t="shared" si="4"/>
        <v>8</v>
      </c>
      <c r="H51" s="252"/>
      <c r="I51" s="396">
        <f>IFERROR(INDEX(ADP!S:S,MATCH(D51,ADP!D:D,0))-RBproj!K51,"")</f>
        <v>0</v>
      </c>
      <c r="J51" s="127"/>
      <c r="K51" s="89">
        <v>45</v>
      </c>
      <c r="L51" s="2" t="s">
        <v>482</v>
      </c>
      <c r="M51" s="3">
        <f t="shared" si="1"/>
        <v>0.40000000000000036</v>
      </c>
      <c r="N51" s="4">
        <f>IFERROR(INDEX(ADP!AC:AC,MATCH(D51,ADP!Y:Y,0)),0)</f>
        <v>8</v>
      </c>
      <c r="O51" s="4" t="s">
        <v>6</v>
      </c>
      <c r="P51" s="4"/>
      <c r="Q51" s="4"/>
      <c r="R51" s="1" t="str">
        <f>IFERROR(VLOOKUP(S51,FFARawStatProjections!AX:AZ,2,FALSE),"")</f>
        <v>LV</v>
      </c>
      <c r="S51" s="4" t="str">
        <f>INDEX(FFARawStatProjections!AX:AX,MATCH(WRproj!T51,FFARawStatProjections!AZ:AZ,0))</f>
        <v>Jakobi Meyers</v>
      </c>
      <c r="T51">
        <f>LARGE(FFARawStatProjections!AZ:AZ,K51)</f>
        <v>161.22362000000001</v>
      </c>
      <c r="U51" s="249">
        <f t="shared" si="0"/>
        <v>-51.876436666666649</v>
      </c>
      <c r="V51" s="243">
        <f t="shared" si="2"/>
        <v>2691.1646812306758</v>
      </c>
      <c r="W51" s="244"/>
      <c r="X51" s="243">
        <f t="shared" si="3"/>
        <v>-3.2422772916666656</v>
      </c>
      <c r="Y51" s="238">
        <f>IFERROR(
IF(ISBLANK(Beersheet!$A$1)=FALSE,
INDEX(Beersheet!$A:$U,MATCH(S51,INDEX(Beersheet!$A:$U,0,FFARawStatProjections!$BV$2),0),FFARawStatProjections!$BV$6),
IF(X51&gt;6,0,
IF(AND(X51&lt;=6,X51&gt;5),1,
IF(AND(X51&lt;=5,X51&gt;4),2,
IF(AND(X51&lt;=4,X51&gt;3),3,
IF(AND(X51&lt;=3,X51&gt;2),4,
IF(AND(X51&lt;=2,X51&gt;1),5,
IF(AND(X51&lt;=1,X51&gt;0),6,
IF(AND(X51&lt;=0,X51&gt;-1),7,
8))))))))),
10)</f>
        <v>8</v>
      </c>
    </row>
    <row r="52" spans="1:25" ht="15" customHeight="1" x14ac:dyDescent="0.25">
      <c r="A52" s="135"/>
      <c r="B52" s="143" t="s">
        <v>483</v>
      </c>
      <c r="C52" t="str">
        <f>IF(AND(IFERROR(INDEX(Instructions!$T$111:$T$222,MATCH(D52,Instructions!$T$111:$T$222,0)), "")=D52, D52&lt;&gt;""), "X", "")</f>
        <v/>
      </c>
      <c r="D52" s="137" t="s">
        <v>2066</v>
      </c>
      <c r="E52" s="99" t="s">
        <v>2073</v>
      </c>
      <c r="F52" s="232">
        <f>IFERROR(IF(AND($F$5="Projected Points",Beersheet!A47&lt;&gt;"QB"), T52, IF(H52="", INDEX(Tier!$B$28:$B$36,MATCH(G52,Tier!$A$28:$A$36,0)), INDEX(Tier!$B$28:$B$36,MATCH(G52,Tier!$A$28:$A$36,0)))), "")</f>
        <v>157.87358999999998</v>
      </c>
      <c r="G52" s="283">
        <f t="shared" si="4"/>
        <v>8</v>
      </c>
      <c r="H52" s="284"/>
      <c r="I52" s="396">
        <f>IFERROR(INDEX(ADP!S:S,MATCH(D52,ADP!D:D,0))-RBproj!K52,"")</f>
        <v>10</v>
      </c>
      <c r="J52" s="127"/>
      <c r="K52" s="89">
        <v>46</v>
      </c>
      <c r="L52" s="2" t="s">
        <v>483</v>
      </c>
      <c r="M52" s="3">
        <f t="shared" si="1"/>
        <v>0</v>
      </c>
      <c r="N52" s="4">
        <f>IFERROR(INDEX(ADP!AC:AC,MATCH(D52,ADP!Y:Y,0)),0)</f>
        <v>6.8</v>
      </c>
      <c r="O52" s="4" t="s">
        <v>6</v>
      </c>
      <c r="P52" s="4"/>
      <c r="Q52" s="4"/>
      <c r="R52" s="1" t="str">
        <f>IFERROR(VLOOKUP(S52,FFARawStatProjections!AX:AZ,2,FALSE),"")</f>
        <v>BAL</v>
      </c>
      <c r="S52" s="4" t="str">
        <f>INDEX(FFARawStatProjections!AX:AX,MATCH(WRproj!T52,FFARawStatProjections!AZ:AZ,0))</f>
        <v>Zay Flowers</v>
      </c>
      <c r="T52">
        <f>LARGE(FFARawStatProjections!AZ:AZ,K52)</f>
        <v>157.87358999999998</v>
      </c>
      <c r="U52" s="249">
        <f t="shared" si="0"/>
        <v>-55.226466666666681</v>
      </c>
      <c r="V52" s="243">
        <f t="shared" si="2"/>
        <v>3049.9626204844462</v>
      </c>
      <c r="W52" s="244"/>
      <c r="X52" s="243">
        <f t="shared" si="3"/>
        <v>-3.4516541666666676</v>
      </c>
      <c r="Y52" s="238">
        <f>IFERROR(
IF(ISBLANK(Beersheet!$A$1)=FALSE,
INDEX(Beersheet!$A:$U,MATCH(S52,INDEX(Beersheet!$A:$U,0,FFARawStatProjections!$BV$2),0),FFARawStatProjections!$BV$6),
IF(X52&gt;6,0,
IF(AND(X52&lt;=6,X52&gt;5),1,
IF(AND(X52&lt;=5,X52&gt;4),2,
IF(AND(X52&lt;=4,X52&gt;3),3,
IF(AND(X52&lt;=3,X52&gt;2),4,
IF(AND(X52&lt;=2,X52&gt;1),5,
IF(AND(X52&lt;=1,X52&gt;0),6,
IF(AND(X52&lt;=0,X52&gt;-1),7,
8))))))))),
10)</f>
        <v>8</v>
      </c>
    </row>
    <row r="53" spans="1:25" ht="15" customHeight="1" x14ac:dyDescent="0.25">
      <c r="A53" s="135"/>
      <c r="B53" s="142" t="s">
        <v>484</v>
      </c>
      <c r="C53" t="str">
        <f>IF(AND(IFERROR(INDEX(Instructions!$T$111:$T$222,MATCH(D53,Instructions!$T$111:$T$222,0)), "")=D53, D53&lt;&gt;""), "X", "")</f>
        <v/>
      </c>
      <c r="D53" s="138" t="s">
        <v>2203</v>
      </c>
      <c r="E53" s="100" t="s">
        <v>136</v>
      </c>
      <c r="F53" s="431">
        <f>IFERROR(IF(AND($F$5="Projected Points",Beersheet!A48&lt;&gt;"QB"), T53, IF(H53="", INDEX(Tier!$B$28:$B$36,MATCH(G53,Tier!$A$28:$A$36,0)), INDEX(Tier!$B$28:$B$36,MATCH(G53,Tier!$A$28:$A$36,0)))), "")</f>
        <v>155.68375</v>
      </c>
      <c r="G53" s="250">
        <f t="shared" si="4"/>
        <v>8</v>
      </c>
      <c r="H53" s="252"/>
      <c r="I53" s="396">
        <f>IFERROR(INDEX(ADP!S:S,MATCH(D53,ADP!D:D,0))-RBproj!K53,"")</f>
        <v>-4</v>
      </c>
      <c r="J53" s="127"/>
      <c r="K53" s="89">
        <v>47</v>
      </c>
      <c r="L53" s="2" t="s">
        <v>484</v>
      </c>
      <c r="M53" s="3">
        <f t="shared" si="1"/>
        <v>9.9999999999999645E-2</v>
      </c>
      <c r="N53" s="4">
        <f>IFERROR(INDEX(ADP!AC:AC,MATCH(D53,ADP!Y:Y,0)),0)</f>
        <v>8.6</v>
      </c>
      <c r="O53" s="4" t="s">
        <v>6</v>
      </c>
      <c r="P53" s="4"/>
      <c r="Q53" s="4"/>
      <c r="R53" s="1" t="str">
        <f>IFERROR(VLOOKUP(S53,FFARawStatProjections!AX:AZ,2,FALSE),"")</f>
        <v>AZ</v>
      </c>
      <c r="S53" s="4" t="str">
        <f>INDEX(FFARawStatProjections!AX:AX,MATCH(WRproj!T53,FFARawStatProjections!AZ:AZ,0))</f>
        <v>Rondale Moore</v>
      </c>
      <c r="T53">
        <f>LARGE(FFARawStatProjections!AZ:AZ,K53)</f>
        <v>155.68375</v>
      </c>
      <c r="U53" s="249">
        <f t="shared" si="0"/>
        <v>-57.416306666666657</v>
      </c>
      <c r="V53" s="243">
        <f t="shared" si="2"/>
        <v>3296.63227124071</v>
      </c>
      <c r="W53" s="244"/>
      <c r="X53" s="243">
        <f t="shared" si="3"/>
        <v>-3.588519166666666</v>
      </c>
      <c r="Y53" s="238">
        <f>IFERROR(
IF(ISBLANK(Beersheet!$A$1)=FALSE,
INDEX(Beersheet!$A:$U,MATCH(S53,INDEX(Beersheet!$A:$U,0,FFARawStatProjections!$BV$2),0),FFARawStatProjections!$BV$6),
IF(X53&gt;6,0,
IF(AND(X53&lt;=6,X53&gt;5),1,
IF(AND(X53&lt;=5,X53&gt;4),2,
IF(AND(X53&lt;=4,X53&gt;3),3,
IF(AND(X53&lt;=3,X53&gt;2),4,
IF(AND(X53&lt;=2,X53&gt;1),5,
IF(AND(X53&lt;=1,X53&gt;0),6,
IF(AND(X53&lt;=0,X53&gt;-1),7,
8))))))))),
10)</f>
        <v>8</v>
      </c>
    </row>
    <row r="54" spans="1:25" ht="15" customHeight="1" x14ac:dyDescent="0.25">
      <c r="A54" s="135"/>
      <c r="B54" s="143" t="s">
        <v>485</v>
      </c>
      <c r="C54" t="str">
        <f>IF(AND(IFERROR(INDEX(Instructions!$T$111:$T$222,MATCH(D54,Instructions!$T$111:$T$222,0)), "")=D54, D54&lt;&gt;""), "X", "")</f>
        <v/>
      </c>
      <c r="D54" s="137" t="s">
        <v>2205</v>
      </c>
      <c r="E54" s="99" t="s">
        <v>151</v>
      </c>
      <c r="F54" s="232">
        <f>IFERROR(IF(AND($F$5="Projected Points",Beersheet!A49&lt;&gt;"QB"), T54, IF(H54="", INDEX(Tier!$B$28:$B$36,MATCH(G54,Tier!$A$28:$A$36,0)), INDEX(Tier!$B$28:$B$36,MATCH(G54,Tier!$A$28:$A$36,0)))), "")</f>
        <v>155.42361000000002</v>
      </c>
      <c r="G54" s="283">
        <f t="shared" si="4"/>
        <v>8</v>
      </c>
      <c r="H54" s="284"/>
      <c r="I54" s="396">
        <f>IFERROR(INDEX(ADP!S:S,MATCH(D54,ADP!D:D,0))-RBproj!K54,"")</f>
        <v>6</v>
      </c>
      <c r="J54" s="127"/>
      <c r="K54" s="89">
        <v>48</v>
      </c>
      <c r="L54" s="2" t="s">
        <v>485</v>
      </c>
      <c r="M54" s="3">
        <f t="shared" si="1"/>
        <v>0</v>
      </c>
      <c r="N54" s="4">
        <f>IFERROR(INDEX(ADP!AC:AC,MATCH(D54,ADP!Y:Y,0)),0)</f>
        <v>8.5</v>
      </c>
      <c r="O54" s="4" t="s">
        <v>6</v>
      </c>
      <c r="P54" s="4"/>
      <c r="Q54" s="4"/>
      <c r="R54" s="1" t="str">
        <f>IFERROR(VLOOKUP(S54,FFARawStatProjections!AX:AZ,2,FALSE),"")</f>
        <v>HOU</v>
      </c>
      <c r="S54" s="4" t="str">
        <f>INDEX(FFARawStatProjections!AX:AX,MATCH(WRproj!T54,FFARawStatProjections!AZ:AZ,0))</f>
        <v>Nico Collins</v>
      </c>
      <c r="T54">
        <f>LARGE(FFARawStatProjections!AZ:AZ,K54)</f>
        <v>155.42361000000002</v>
      </c>
      <c r="U54" s="249">
        <f t="shared" si="0"/>
        <v>-57.676446666666635</v>
      </c>
      <c r="V54" s="243">
        <f t="shared" si="2"/>
        <v>3326.572500092841</v>
      </c>
      <c r="W54" s="244"/>
      <c r="X54" s="243">
        <f t="shared" si="3"/>
        <v>-3.6047779166666647</v>
      </c>
      <c r="Y54" s="238">
        <f>IFERROR(
IF(ISBLANK(Beersheet!$A$1)=FALSE,
INDEX(Beersheet!$A:$U,MATCH(S54,INDEX(Beersheet!$A:$U,0,FFARawStatProjections!$BV$2),0),FFARawStatProjections!$BV$6),
IF(X54&gt;6,0,
IF(AND(X54&lt;=6,X54&gt;5),1,
IF(AND(X54&lt;=5,X54&gt;4),2,
IF(AND(X54&lt;=4,X54&gt;3),3,
IF(AND(X54&lt;=3,X54&gt;2),4,
IF(AND(X54&lt;=2,X54&gt;1),5,
IF(AND(X54&lt;=1,X54&gt;0),6,
IF(AND(X54&lt;=0,X54&gt;-1),7,
8))))))))),
10)</f>
        <v>8</v>
      </c>
    </row>
    <row r="55" spans="1:25" ht="15" customHeight="1" x14ac:dyDescent="0.25">
      <c r="A55" s="135"/>
      <c r="B55" s="142" t="s">
        <v>486</v>
      </c>
      <c r="C55" t="str">
        <f>IF(AND(IFERROR(INDEX(Instructions!$T$111:$T$222,MATCH(D55,Instructions!$T$111:$T$222,0)), "")=D55, D55&lt;&gt;""), "X", "")</f>
        <v/>
      </c>
      <c r="D55" s="138" t="s">
        <v>1198</v>
      </c>
      <c r="E55" s="100" t="s">
        <v>145</v>
      </c>
      <c r="F55" s="431">
        <f>IFERROR(IF(AND($F$5="Projected Points",Beersheet!A50&lt;&gt;"QB"), T55, IF(H55="", INDEX(Tier!$B$28:$B$36,MATCH(G55,Tier!$A$28:$A$36,0)), INDEX(Tier!$B$28:$B$36,MATCH(G55,Tier!$A$28:$A$36,0)))), "")</f>
        <v>153.58364999999998</v>
      </c>
      <c r="G55" s="250">
        <f t="shared" si="4"/>
        <v>8</v>
      </c>
      <c r="H55" s="252"/>
      <c r="I55" s="396">
        <f>IFERROR(INDEX(ADP!S:S,MATCH(D55,ADP!D:D,0))-RBproj!K55,"")</f>
        <v>8</v>
      </c>
      <c r="J55" s="127"/>
      <c r="K55" s="89">
        <v>49</v>
      </c>
      <c r="L55" s="2" t="s">
        <v>486</v>
      </c>
      <c r="M55" s="3">
        <f t="shared" si="1"/>
        <v>0.30000000000000071</v>
      </c>
      <c r="N55" s="4">
        <f>IFERROR(INDEX(ADP!AC:AC,MATCH(D55,ADP!Y:Y,0)),0)</f>
        <v>9.5</v>
      </c>
      <c r="O55" s="4" t="s">
        <v>6</v>
      </c>
      <c r="P55" s="4"/>
      <c r="Q55" s="4"/>
      <c r="R55" s="1" t="str">
        <f>IFERROR(VLOOKUP(S55,FFARawStatProjections!AX:AZ,2,FALSE),"")</f>
        <v>CIN</v>
      </c>
      <c r="S55" s="4" t="str">
        <f>INDEX(FFARawStatProjections!AX:AX,MATCH(WRproj!T55,FFARawStatProjections!AZ:AZ,0))</f>
        <v>Tyler Boyd</v>
      </c>
      <c r="T55">
        <f>LARGE(FFARawStatProjections!AZ:AZ,K55)</f>
        <v>153.58364999999998</v>
      </c>
      <c r="U55" s="249">
        <f t="shared" si="0"/>
        <v>-59.516406666666683</v>
      </c>
      <c r="V55" s="243">
        <f t="shared" si="2"/>
        <v>3542.2026625120466</v>
      </c>
      <c r="W55" s="244"/>
      <c r="X55" s="243">
        <f t="shared" si="3"/>
        <v>-3.7197754166666677</v>
      </c>
      <c r="Y55" s="238">
        <f>IFERROR(
IF(ISBLANK(Beersheet!$A$1)=FALSE,
INDEX(Beersheet!$A:$U,MATCH(S55,INDEX(Beersheet!$A:$U,0,FFARawStatProjections!$BV$2),0),FFARawStatProjections!$BV$6),
IF(X55&gt;6,0,
IF(AND(X55&lt;=6,X55&gt;5),1,
IF(AND(X55&lt;=5,X55&gt;4),2,
IF(AND(X55&lt;=4,X55&gt;3),3,
IF(AND(X55&lt;=3,X55&gt;2),4,
IF(AND(X55&lt;=2,X55&gt;1),5,
IF(AND(X55&lt;=1,X55&gt;0),6,
IF(AND(X55&lt;=0,X55&gt;-1),7,
8))))))))),
10)</f>
        <v>8</v>
      </c>
    </row>
    <row r="56" spans="1:25" ht="15" customHeight="1" x14ac:dyDescent="0.25">
      <c r="A56" s="135"/>
      <c r="B56" s="143" t="s">
        <v>487</v>
      </c>
      <c r="C56" t="str">
        <f>IF(AND(IFERROR(INDEX(Instructions!$T$111:$T$222,MATCH(D56,Instructions!$T$111:$T$222,0)), "")=D56, D56&lt;&gt;""), "X", "")</f>
        <v/>
      </c>
      <c r="D56" s="137" t="s">
        <v>1206</v>
      </c>
      <c r="E56" s="99" t="s">
        <v>162</v>
      </c>
      <c r="F56" s="232">
        <f>IFERROR(IF(AND($F$5="Projected Points",Beersheet!A51&lt;&gt;"QB"), T56, IF(H56="", INDEX(Tier!$B$28:$B$36,MATCH(G56,Tier!$A$28:$A$36,0)), INDEX(Tier!$B$28:$B$36,MATCH(G56,Tier!$A$28:$A$36,0)))), "")</f>
        <v>153.4736</v>
      </c>
      <c r="G56" s="283">
        <f t="shared" si="4"/>
        <v>8</v>
      </c>
      <c r="H56" s="284"/>
      <c r="I56" s="396">
        <f>IFERROR(INDEX(ADP!S:S,MATCH(D56,ADP!D:D,0))-RBproj!K56,"")</f>
        <v>0</v>
      </c>
      <c r="J56" s="127"/>
      <c r="K56" s="89">
        <v>50</v>
      </c>
      <c r="L56" s="2" t="s">
        <v>487</v>
      </c>
      <c r="M56" s="3">
        <f t="shared" si="1"/>
        <v>3.5</v>
      </c>
      <c r="N56" s="4">
        <f>IFERROR(INDEX(ADP!AC:AC,MATCH(D56,ADP!Y:Y,0)),0)</f>
        <v>12.7</v>
      </c>
      <c r="O56" s="4" t="s">
        <v>6</v>
      </c>
      <c r="P56" s="4"/>
      <c r="Q56" s="4"/>
      <c r="R56" s="1" t="str">
        <f>IFERROR(VLOOKUP(S56,FFARawStatProjections!AX:AZ,2,FALSE),"")</f>
        <v>KC</v>
      </c>
      <c r="S56" s="4" t="str">
        <f>INDEX(FFARawStatProjections!AX:AX,MATCH(WRproj!T56,FFARawStatProjections!AZ:AZ,0))</f>
        <v>Kadarius Toney</v>
      </c>
      <c r="T56">
        <f>LARGE(FFARawStatProjections!AZ:AZ,K56)</f>
        <v>153.4736</v>
      </c>
      <c r="U56" s="249">
        <f t="shared" si="0"/>
        <v>-59.626456666666655</v>
      </c>
      <c r="V56" s="243">
        <f t="shared" si="2"/>
        <v>3555.3143346218762</v>
      </c>
      <c r="W56" s="244"/>
      <c r="X56" s="243">
        <f t="shared" si="3"/>
        <v>-3.726653541666666</v>
      </c>
      <c r="Y56" s="238">
        <f>IFERROR(
IF(ISBLANK(Beersheet!$A$1)=FALSE,
INDEX(Beersheet!$A:$U,MATCH(S56,INDEX(Beersheet!$A:$U,0,FFARawStatProjections!$BV$2),0),FFARawStatProjections!$BV$6),
IF(X56&gt;6,0,
IF(AND(X56&lt;=6,X56&gt;5),1,
IF(AND(X56&lt;=5,X56&gt;4),2,
IF(AND(X56&lt;=4,X56&gt;3),3,
IF(AND(X56&lt;=3,X56&gt;2),4,
IF(AND(X56&lt;=2,X56&gt;1),5,
IF(AND(X56&lt;=1,X56&gt;0),6,
IF(AND(X56&lt;=0,X56&gt;-1),7,
8))))))))),
10)</f>
        <v>8</v>
      </c>
    </row>
    <row r="57" spans="1:25" ht="15" customHeight="1" x14ac:dyDescent="0.25">
      <c r="A57" s="135"/>
      <c r="B57" s="142" t="s">
        <v>488</v>
      </c>
      <c r="C57" t="str">
        <f>IF(AND(IFERROR(INDEX(Instructions!$T$111:$T$222,MATCH(D57,Instructions!$T$111:$T$222,0)), "")=D57, D57&lt;&gt;""), "X", "")</f>
        <v/>
      </c>
      <c r="D57" s="138" t="s">
        <v>2201</v>
      </c>
      <c r="E57" s="100" t="s">
        <v>2272</v>
      </c>
      <c r="F57" s="431">
        <f>IFERROR(IF(AND($F$5="Projected Points",Beersheet!A52&lt;&gt;"QB"), T57, IF(H57="", INDEX(Tier!$B$28:$B$36,MATCH(G57,Tier!$A$28:$A$36,0)), INDEX(Tier!$B$28:$B$36,MATCH(G57,Tier!$A$28:$A$36,0)))), "")</f>
        <v>150.60371000000001</v>
      </c>
      <c r="G57" s="250">
        <f t="shared" si="4"/>
        <v>8</v>
      </c>
      <c r="H57" s="252"/>
      <c r="I57" s="396">
        <f>IFERROR(INDEX(ADP!S:S,MATCH(D57,ADP!D:D,0))-RBproj!K57,"")</f>
        <v>7</v>
      </c>
      <c r="J57" s="127"/>
      <c r="K57" s="89">
        <v>51</v>
      </c>
      <c r="L57" s="2" t="s">
        <v>488</v>
      </c>
      <c r="M57" s="3">
        <f t="shared" si="1"/>
        <v>0</v>
      </c>
      <c r="N57" s="4">
        <f>IFERROR(INDEX(ADP!AC:AC,MATCH(D57,ADP!Y:Y,0)),0)</f>
        <v>9.1999999999999993</v>
      </c>
      <c r="O57" s="4" t="s">
        <v>6</v>
      </c>
      <c r="P57" s="4"/>
      <c r="Q57" s="4"/>
      <c r="R57" s="1" t="str">
        <f>IFERROR(VLOOKUP(S57,FFARawStatProjections!AX:AZ,2,FALSE),"")</f>
        <v>JAC</v>
      </c>
      <c r="S57" s="4" t="str">
        <f>INDEX(FFARawStatProjections!AX:AX,MATCH(WRproj!T57,FFARawStatProjections!AZ:AZ,0))</f>
        <v>Zay Jones</v>
      </c>
      <c r="T57">
        <f>LARGE(FFARawStatProjections!AZ:AZ,K57)</f>
        <v>150.60371000000001</v>
      </c>
      <c r="U57" s="249">
        <f t="shared" si="0"/>
        <v>-62.496346666666653</v>
      </c>
      <c r="V57" s="243">
        <f>U57^2</f>
        <v>3905.793346680176</v>
      </c>
      <c r="W57" s="243"/>
      <c r="X57" s="243">
        <f t="shared" si="3"/>
        <v>-3.9060216666666658</v>
      </c>
      <c r="Y57" s="238">
        <f>IFERROR(
IF(ISBLANK(Beersheet!$A$1)=FALSE,
INDEX(Beersheet!$A:$U,MATCH(S57,INDEX(Beersheet!$A:$U,0,FFARawStatProjections!$BV$2),0),FFARawStatProjections!$BV$6),
IF(X57&gt;6,0,
IF(AND(X57&lt;=6,X57&gt;5),1,
IF(AND(X57&lt;=5,X57&gt;4),2,
IF(AND(X57&lt;=4,X57&gt;3),3,
IF(AND(X57&lt;=3,X57&gt;2),4,
IF(AND(X57&lt;=2,X57&gt;1),5,
IF(AND(X57&lt;=1,X57&gt;0),6,
IF(AND(X57&lt;=0,X57&gt;-1),7,
8))))))))),
10)</f>
        <v>8</v>
      </c>
    </row>
    <row r="58" spans="1:25" ht="15" customHeight="1" x14ac:dyDescent="0.25">
      <c r="A58" s="135"/>
      <c r="B58" s="143" t="s">
        <v>489</v>
      </c>
      <c r="C58" t="str">
        <f>IF(AND(IFERROR(INDEX(Instructions!$T$111:$T$222,MATCH(D58,Instructions!$T$111:$T$222,0)), "")=D58, D58&lt;&gt;""), "X", "")</f>
        <v/>
      </c>
      <c r="D58" s="137" t="s">
        <v>1413</v>
      </c>
      <c r="E58" s="99" t="s">
        <v>165</v>
      </c>
      <c r="F58" s="232">
        <f>IFERROR(IF(AND($F$5="Projected Points",Beersheet!A53&lt;&gt;"QB"), T58, IF(H58="", INDEX(Tier!$B$28:$B$36,MATCH(G58,Tier!$A$28:$A$36,0)), INDEX(Tier!$B$28:$B$36,MATCH(G58,Tier!$A$28:$A$36,0)))), "")</f>
        <v>148.27362999999997</v>
      </c>
      <c r="G58" s="283">
        <f t="shared" si="4"/>
        <v>8</v>
      </c>
      <c r="H58" s="284"/>
      <c r="I58" s="396">
        <f>IFERROR(INDEX(ADP!S:S,MATCH(D58,ADP!D:D,0))-RBproj!K58,"")</f>
        <v>8</v>
      </c>
      <c r="J58" s="127"/>
      <c r="K58" s="89">
        <v>52</v>
      </c>
      <c r="L58" s="2" t="s">
        <v>489</v>
      </c>
      <c r="M58" s="3">
        <f t="shared" si="1"/>
        <v>0</v>
      </c>
      <c r="N58" s="4">
        <f>IFERROR(INDEX(ADP!AC:AC,MATCH(D58,ADP!Y:Y,0)),0)</f>
        <v>10</v>
      </c>
      <c r="O58" s="4" t="s">
        <v>6</v>
      </c>
      <c r="P58" s="4"/>
      <c r="Q58" s="4"/>
      <c r="R58" s="1" t="str">
        <f>IFERROR(VLOOKUP(S58,FFARawStatProjections!AX:AZ,2,FALSE),"")</f>
        <v>BAL</v>
      </c>
      <c r="S58" s="4" t="str">
        <f>INDEX(FFARawStatProjections!AX:AX,MATCH(WRproj!T58,FFARawStatProjections!AZ:AZ,0))</f>
        <v>Odell Beckham</v>
      </c>
      <c r="T58">
        <f>LARGE(FFARawStatProjections!AZ:AZ,K58)</f>
        <v>148.27362999999997</v>
      </c>
      <c r="U58" s="249">
        <f t="shared" si="0"/>
        <v>-64.826426666666691</v>
      </c>
      <c r="V58" s="243">
        <f t="shared" ref="V58:V121" si="5">U58^2</f>
        <v>4202.4655943687139</v>
      </c>
      <c r="W58" s="243"/>
      <c r="X58" s="243">
        <f t="shared" si="3"/>
        <v>-4.0516516666666682</v>
      </c>
      <c r="Y58" s="238">
        <f>IFERROR(
IF(ISBLANK(Beersheet!$A$1)=FALSE,
INDEX(Beersheet!$A:$U,MATCH(S58,INDEX(Beersheet!$A:$U,0,FFARawStatProjections!$BV$2),0),FFARawStatProjections!$BV$6),
IF(X58&gt;6,0,
IF(AND(X58&lt;=6,X58&gt;5),1,
IF(AND(X58&lt;=5,X58&gt;4),2,
IF(AND(X58&lt;=4,X58&gt;3),3,
IF(AND(X58&lt;=3,X58&gt;2),4,
IF(AND(X58&lt;=2,X58&gt;1),5,
IF(AND(X58&lt;=1,X58&gt;0),6,
IF(AND(X58&lt;=0,X58&gt;-1),7,
8))))))))),
10)</f>
        <v>8</v>
      </c>
    </row>
    <row r="59" spans="1:25" ht="15" customHeight="1" x14ac:dyDescent="0.25">
      <c r="A59" s="135"/>
      <c r="B59" s="142" t="s">
        <v>490</v>
      </c>
      <c r="C59" t="str">
        <f>IF(AND(IFERROR(INDEX(Instructions!$T$111:$T$222,MATCH(D59,Instructions!$T$111:$T$222,0)), "")=D59, D59&lt;&gt;""), "X", "")</f>
        <v/>
      </c>
      <c r="D59" s="138" t="s">
        <v>2425</v>
      </c>
      <c r="E59" s="100" t="s">
        <v>1388</v>
      </c>
      <c r="F59" s="431">
        <f>IFERROR(IF(AND($F$5="Projected Points",Beersheet!A54&lt;&gt;"QB"), T59, IF(H59="", INDEX(Tier!$B$28:$B$36,MATCH(G59,Tier!$A$28:$A$36,0)), INDEX(Tier!$B$28:$B$36,MATCH(G59,Tier!$A$28:$A$36,0)))), "")</f>
        <v>144.8837</v>
      </c>
      <c r="G59" s="250">
        <f t="shared" si="4"/>
        <v>8</v>
      </c>
      <c r="H59" s="252"/>
      <c r="I59" s="396">
        <f>IFERROR(INDEX(ADP!S:S,MATCH(D59,ADP!D:D,0))-RBproj!K59,"")</f>
        <v>-11</v>
      </c>
      <c r="J59" s="127"/>
      <c r="K59" s="89">
        <v>53</v>
      </c>
      <c r="L59" s="2" t="s">
        <v>490</v>
      </c>
      <c r="M59" s="3">
        <f t="shared" si="1"/>
        <v>0</v>
      </c>
      <c r="N59" s="4">
        <f>IFERROR(INDEX(ADP!AC:AC,MATCH(D59,ADP!Y:Y,0)),0)</f>
        <v>7.7</v>
      </c>
      <c r="O59" s="4" t="s">
        <v>6</v>
      </c>
      <c r="P59" s="4"/>
      <c r="Q59" s="4"/>
      <c r="R59" s="1" t="str">
        <f>IFERROR(VLOOKUP(S59,FFARawStatProjections!AX:AZ,2,FALSE),"")</f>
        <v>CHI</v>
      </c>
      <c r="S59" s="4" t="str">
        <f>INDEX(FFARawStatProjections!AX:AX,MATCH(WRproj!T59,FFARawStatProjections!AZ:AZ,0))</f>
        <v>Darnell Mooney</v>
      </c>
      <c r="T59">
        <f>LARGE(FFARawStatProjections!AZ:AZ,K59)</f>
        <v>144.8837</v>
      </c>
      <c r="U59" s="249">
        <f t="shared" si="0"/>
        <v>-68.216356666666655</v>
      </c>
      <c r="V59" s="243">
        <f t="shared" si="5"/>
        <v>4653.4713168738763</v>
      </c>
      <c r="W59" s="244"/>
      <c r="X59" s="243">
        <f t="shared" si="3"/>
        <v>-4.263522291666666</v>
      </c>
      <c r="Y59" s="238">
        <f>IFERROR(
IF(ISBLANK(Beersheet!$A$1)=FALSE,
INDEX(Beersheet!$A:$U,MATCH(S59,INDEX(Beersheet!$A:$U,0,FFARawStatProjections!$BV$2),0),FFARawStatProjections!$BV$6),
IF(X59&gt;6,0,
IF(AND(X59&lt;=6,X59&gt;5),1,
IF(AND(X59&lt;=5,X59&gt;4),2,
IF(AND(X59&lt;=4,X59&gt;3),3,
IF(AND(X59&lt;=3,X59&gt;2),4,
IF(AND(X59&lt;=2,X59&gt;1),5,
IF(AND(X59&lt;=1,X59&gt;0),6,
IF(AND(X59&lt;=0,X59&gt;-1),7,
8))))))))),
10)</f>
        <v>8</v>
      </c>
    </row>
    <row r="60" spans="1:25" ht="15" customHeight="1" x14ac:dyDescent="0.25">
      <c r="A60" s="135"/>
      <c r="B60" s="143" t="s">
        <v>491</v>
      </c>
      <c r="C60" t="str">
        <f>IF(AND(IFERROR(INDEX(Instructions!$T$111:$T$222,MATCH(D60,Instructions!$T$111:$T$222,0)), "")=D60, D60&lt;&gt;""), "X", "")</f>
        <v/>
      </c>
      <c r="D60" s="137" t="s">
        <v>2128</v>
      </c>
      <c r="E60" s="99" t="s">
        <v>141</v>
      </c>
      <c r="F60" s="232">
        <f>IFERROR(IF(AND($F$5="Projected Points",Beersheet!A55&lt;&gt;"QB"), T60, IF(H60="", INDEX(Tier!$B$28:$B$36,MATCH(G60,Tier!$A$28:$A$36,0)), INDEX(Tier!$B$28:$B$36,MATCH(G60,Tier!$A$28:$A$36,0)))), "")</f>
        <v>144.51372000000001</v>
      </c>
      <c r="G60" s="283">
        <f t="shared" si="4"/>
        <v>8</v>
      </c>
      <c r="H60" s="284"/>
      <c r="I60" s="396">
        <f>IFERROR(INDEX(ADP!S:S,MATCH(D60,ADP!D:D,0))-RBproj!K60,"")</f>
        <v>-2</v>
      </c>
      <c r="J60" s="127"/>
      <c r="K60" s="89">
        <v>54</v>
      </c>
      <c r="L60" s="2" t="s">
        <v>491</v>
      </c>
      <c r="M60" s="3">
        <f t="shared" si="1"/>
        <v>0</v>
      </c>
      <c r="N60" s="4">
        <f>IFERROR(INDEX(ADP!AC:AC,MATCH(D60,ADP!Y:Y,0)),0)</f>
        <v>11.2</v>
      </c>
      <c r="O60" s="4" t="s">
        <v>6</v>
      </c>
      <c r="P60" s="4"/>
      <c r="Q60" s="4"/>
      <c r="R60" s="1" t="str">
        <f>IFERROR(VLOOKUP(S60,FFARawStatProjections!AX:AZ,2,FALSE),"")</f>
        <v>CAR</v>
      </c>
      <c r="S60" s="4" t="str">
        <f>INDEX(FFARawStatProjections!AX:AX,MATCH(WRproj!T60,FFARawStatProjections!AZ:AZ,0))</f>
        <v>Adam Thielen</v>
      </c>
      <c r="T60">
        <f>LARGE(FFARawStatProjections!AZ:AZ,K60)</f>
        <v>144.51372000000001</v>
      </c>
      <c r="U60" s="249">
        <f t="shared" si="0"/>
        <v>-68.586336666666654</v>
      </c>
      <c r="V60" s="243">
        <f t="shared" si="5"/>
        <v>4704.0855773533431</v>
      </c>
      <c r="W60" s="244"/>
      <c r="X60" s="243">
        <f t="shared" si="3"/>
        <v>-4.2866460416666659</v>
      </c>
      <c r="Y60" s="238">
        <f>IFERROR(
IF(ISBLANK(Beersheet!$A$1)=FALSE,
INDEX(Beersheet!$A:$U,MATCH(S60,INDEX(Beersheet!$A:$U,0,FFARawStatProjections!$BV$2),0),FFARawStatProjections!$BV$6),
IF(X60&gt;6,0,
IF(AND(X60&lt;=6,X60&gt;5),1,
IF(AND(X60&lt;=5,X60&gt;4),2,
IF(AND(X60&lt;=4,X60&gt;3),3,
IF(AND(X60&lt;=3,X60&gt;2),4,
IF(AND(X60&lt;=2,X60&gt;1),5,
IF(AND(X60&lt;=1,X60&gt;0),6,
IF(AND(X60&lt;=0,X60&gt;-1),7,
8))))))))),
10)</f>
        <v>8</v>
      </c>
    </row>
    <row r="61" spans="1:25" ht="15" customHeight="1" x14ac:dyDescent="0.25">
      <c r="A61" s="135"/>
      <c r="B61" s="142" t="s">
        <v>492</v>
      </c>
      <c r="C61" t="str">
        <f>IF(AND(IFERROR(INDEX(Instructions!$T$111:$T$222,MATCH(D61,Instructions!$T$111:$T$222,0)), "")=D61, D61&lt;&gt;""), "X", "")</f>
        <v/>
      </c>
      <c r="D61" s="138" t="s">
        <v>1870</v>
      </c>
      <c r="E61" s="100" t="s">
        <v>159</v>
      </c>
      <c r="F61" s="431">
        <f>IFERROR(IF(AND($F$5="Projected Points",Beersheet!A56&lt;&gt;"QB"), T61, IF(H61="", INDEX(Tier!$B$28:$B$36,MATCH(G61,Tier!$A$28:$A$36,0)), INDEX(Tier!$B$28:$B$36,MATCH(G61,Tier!$A$28:$A$36,0)))), "")</f>
        <v>143.95366999999999</v>
      </c>
      <c r="G61" s="250">
        <f t="shared" si="4"/>
        <v>8</v>
      </c>
      <c r="H61" s="252"/>
      <c r="I61" s="396" t="str">
        <f>IFERROR(INDEX(ADP!S:S,MATCH(D61,ADP!D:D,0))-RBproj!K61,"")</f>
        <v/>
      </c>
      <c r="J61" s="127"/>
      <c r="K61" s="89">
        <v>55</v>
      </c>
      <c r="L61" s="2" t="s">
        <v>492</v>
      </c>
      <c r="M61" s="3">
        <f t="shared" si="1"/>
        <v>1.8999999999999986</v>
      </c>
      <c r="N61" s="4">
        <f>IFERROR(INDEX(ADP!AC:AC,MATCH(D61,ADP!Y:Y,0)),0)</f>
        <v>13.2</v>
      </c>
      <c r="O61" s="4" t="s">
        <v>6</v>
      </c>
      <c r="P61" s="4"/>
      <c r="Q61" s="4"/>
      <c r="R61" s="1" t="str">
        <f>IFERROR(VLOOKUP(S61,FFARawStatProjections!AX:AZ,2,FALSE),"")</f>
        <v>LAC</v>
      </c>
      <c r="S61" s="4" t="str">
        <f>INDEX(FFARawStatProjections!AX:AX,MATCH(WRproj!T61,FFARawStatProjections!AZ:AZ,0))</f>
        <v>Quentin Johnston</v>
      </c>
      <c r="T61">
        <f>LARGE(FFARawStatProjections!AZ:AZ,K61)</f>
        <v>143.95366999999999</v>
      </c>
      <c r="U61" s="249">
        <f t="shared" si="0"/>
        <v>-69.146386666666672</v>
      </c>
      <c r="V61" s="243">
        <f t="shared" si="5"/>
        <v>4781.222789056178</v>
      </c>
      <c r="W61" s="243"/>
      <c r="X61" s="243">
        <f t="shared" si="3"/>
        <v>-4.321649166666667</v>
      </c>
      <c r="Y61" s="238">
        <f>IFERROR(
IF(ISBLANK(Beersheet!$A$1)=FALSE,
INDEX(Beersheet!$A:$U,MATCH(S61,INDEX(Beersheet!$A:$U,0,FFARawStatProjections!$BV$2),0),FFARawStatProjections!$BV$6),
IF(X61&gt;6,0,
IF(AND(X61&lt;=6,X61&gt;5),1,
IF(AND(X61&lt;=5,X61&gt;4),2,
IF(AND(X61&lt;=4,X61&gt;3),3,
IF(AND(X61&lt;=3,X61&gt;2),4,
IF(AND(X61&lt;=2,X61&gt;1),5,
IF(AND(X61&lt;=1,X61&gt;0),6,
IF(AND(X61&lt;=0,X61&gt;-1),7,
8))))))))),
10)</f>
        <v>8</v>
      </c>
    </row>
    <row r="62" spans="1:25" ht="15" customHeight="1" x14ac:dyDescent="0.25">
      <c r="A62" s="135"/>
      <c r="B62" s="143" t="s">
        <v>493</v>
      </c>
      <c r="C62" t="str">
        <f>IF(AND(IFERROR(INDEX(Instructions!$T$111:$T$222,MATCH(D62,Instructions!$T$111:$T$222,0)), "")=D62, D62&lt;&gt;""), "X", "")</f>
        <v/>
      </c>
      <c r="D62" s="137" t="s">
        <v>1788</v>
      </c>
      <c r="E62" s="99" t="s">
        <v>146</v>
      </c>
      <c r="F62" s="232">
        <f>IFERROR(IF(AND($F$5="Projected Points",Beersheet!A57&lt;&gt;"QB"), T62, IF(H62="", INDEX(Tier!$B$28:$B$36,MATCH(G62,Tier!$A$28:$A$36,0)), INDEX(Tier!$B$28:$B$36,MATCH(G62,Tier!$A$28:$A$36,0)))), "")</f>
        <v>143.57369</v>
      </c>
      <c r="G62" s="283">
        <f t="shared" si="4"/>
        <v>8</v>
      </c>
      <c r="H62" s="284"/>
      <c r="I62" s="396">
        <f>IFERROR(INDEX(ADP!S:S,MATCH(D62,ADP!D:D,0))-RBproj!K62,"")</f>
        <v>6</v>
      </c>
      <c r="J62" s="127"/>
      <c r="K62" s="89">
        <v>56</v>
      </c>
      <c r="L62" s="2" t="s">
        <v>493</v>
      </c>
      <c r="M62" s="3">
        <f t="shared" si="1"/>
        <v>0</v>
      </c>
      <c r="N62" s="4">
        <f>IFERROR(INDEX(ADP!AC:AC,MATCH(D62,ADP!Y:Y,0)),0)</f>
        <v>11.3</v>
      </c>
      <c r="O62" s="4" t="s">
        <v>6</v>
      </c>
      <c r="P62" s="4"/>
      <c r="Q62" s="4"/>
      <c r="R62" s="1" t="str">
        <f>IFERROR(VLOOKUP(S62,FFARawStatProjections!AX:AZ,2,FALSE),"")</f>
        <v>NYJ</v>
      </c>
      <c r="S62" s="4" t="str">
        <f>INDEX(FFARawStatProjections!AX:AX,MATCH(WRproj!T62,FFARawStatProjections!AZ:AZ,0))</f>
        <v>Allen Lazard</v>
      </c>
      <c r="T62">
        <f>LARGE(FFARawStatProjections!AZ:AZ,K62)</f>
        <v>143.57369</v>
      </c>
      <c r="U62" s="249">
        <f t="shared" si="0"/>
        <v>-69.526366666666661</v>
      </c>
      <c r="V62" s="243">
        <f t="shared" si="5"/>
        <v>4833.9156618677771</v>
      </c>
      <c r="W62" s="243"/>
      <c r="X62" s="243">
        <f t="shared" si="3"/>
        <v>-4.3453979166666663</v>
      </c>
      <c r="Y62" s="238">
        <f>IFERROR(
IF(ISBLANK(Beersheet!$A$1)=FALSE,
INDEX(Beersheet!$A:$U,MATCH(S62,INDEX(Beersheet!$A:$U,0,FFARawStatProjections!$BV$2),0),FFARawStatProjections!$BV$6),
IF(X62&gt;6,0,
IF(AND(X62&lt;=6,X62&gt;5),1,
IF(AND(X62&lt;=5,X62&gt;4),2,
IF(AND(X62&lt;=4,X62&gt;3),3,
IF(AND(X62&lt;=3,X62&gt;2),4,
IF(AND(X62&lt;=2,X62&gt;1),5,
IF(AND(X62&lt;=1,X62&gt;0),6,
IF(AND(X62&lt;=0,X62&gt;-1),7,
8))))))))),
10)</f>
        <v>8</v>
      </c>
    </row>
    <row r="63" spans="1:25" ht="15" customHeight="1" x14ac:dyDescent="0.25">
      <c r="A63" s="135"/>
      <c r="B63" s="142" t="s">
        <v>494</v>
      </c>
      <c r="C63" t="str">
        <f>IF(AND(IFERROR(INDEX(Instructions!$T$111:$T$222,MATCH(D63,Instructions!$T$111:$T$222,0)), "")=D63, D63&lt;&gt;""), "X", "")</f>
        <v/>
      </c>
      <c r="D63" s="138" t="s">
        <v>2064</v>
      </c>
      <c r="E63" s="100" t="s">
        <v>164</v>
      </c>
      <c r="F63" s="431">
        <f>IFERROR(IF(AND($F$5="Projected Points",Beersheet!A58&lt;&gt;"QB"), T63, IF(H63="", INDEX(Tier!$B$28:$B$36,MATCH(G63,Tier!$A$28:$A$36,0)), INDEX(Tier!$B$28:$B$36,MATCH(G63,Tier!$A$28:$A$36,0)))), "")</f>
        <v>143.30367999999999</v>
      </c>
      <c r="G63" s="250">
        <f t="shared" si="4"/>
        <v>8</v>
      </c>
      <c r="H63" s="252"/>
      <c r="I63" s="396">
        <f>IFERROR(INDEX(ADP!S:S,MATCH(D63,ADP!D:D,0))-RBproj!K63,"")</f>
        <v>-4</v>
      </c>
      <c r="J63" s="127"/>
      <c r="K63" s="89">
        <v>57</v>
      </c>
      <c r="L63" s="2" t="s">
        <v>494</v>
      </c>
      <c r="M63" s="3">
        <f t="shared" si="1"/>
        <v>1.6999999999999993</v>
      </c>
      <c r="N63" s="4">
        <f>IFERROR(INDEX(ADP!AC:AC,MATCH(D63,ADP!Y:Y,0)),0)</f>
        <v>13</v>
      </c>
      <c r="O63" s="4" t="s">
        <v>6</v>
      </c>
      <c r="P63" s="4"/>
      <c r="Q63" s="4"/>
      <c r="R63" s="1" t="str">
        <f>IFERROR(VLOOKUP(S63,FFARawStatProjections!AX:AZ,2,FALSE),"")</f>
        <v>DAL</v>
      </c>
      <c r="S63" s="4" t="str">
        <f>INDEX(FFARawStatProjections!AX:AX,MATCH(WRproj!T63,FFARawStatProjections!AZ:AZ,0))</f>
        <v>Michael Gallup</v>
      </c>
      <c r="T63">
        <f>LARGE(FFARawStatProjections!AZ:AZ,K63)</f>
        <v>143.30367999999999</v>
      </c>
      <c r="U63" s="249">
        <f t="shared" si="0"/>
        <v>-69.796376666666674</v>
      </c>
      <c r="V63" s="243">
        <f t="shared" si="5"/>
        <v>4871.5341957952123</v>
      </c>
      <c r="W63" s="243"/>
      <c r="X63" s="243">
        <f t="shared" si="3"/>
        <v>-4.3622735416666671</v>
      </c>
      <c r="Y63" s="238">
        <f>IFERROR(
IF(ISBLANK(Beersheet!$A$1)=FALSE,
INDEX(Beersheet!$A:$U,MATCH(S63,INDEX(Beersheet!$A:$U,0,FFARawStatProjections!$BV$2),0),FFARawStatProjections!$BV$6),
IF(X63&gt;6,0,
IF(AND(X63&lt;=6,X63&gt;5),1,
IF(AND(X63&lt;=5,X63&gt;4),2,
IF(AND(X63&lt;=4,X63&gt;3),3,
IF(AND(X63&lt;=3,X63&gt;2),4,
IF(AND(X63&lt;=2,X63&gt;1),5,
IF(AND(X63&lt;=1,X63&gt;0),6,
IF(AND(X63&lt;=0,X63&gt;-1),7,
8))))))))),
10)</f>
        <v>8</v>
      </c>
    </row>
    <row r="64" spans="1:25" ht="15" customHeight="1" x14ac:dyDescent="0.25">
      <c r="A64" s="135"/>
      <c r="B64" s="143" t="s">
        <v>495</v>
      </c>
      <c r="C64" t="str">
        <f>IF(AND(IFERROR(INDEX(Instructions!$T$111:$T$222,MATCH(D64,Instructions!$T$111:$T$222,0)), "")=D64, D64&lt;&gt;""), "X", "")</f>
        <v/>
      </c>
      <c r="D64" s="137" t="s">
        <v>1249</v>
      </c>
      <c r="E64" s="99" t="s">
        <v>159</v>
      </c>
      <c r="F64" s="232">
        <f>IFERROR(IF(AND($F$5="Projected Points",Beersheet!A59&lt;&gt;"QB"), T64, IF(H64="", INDEX(Tier!$B$28:$B$36,MATCH(G64,Tier!$A$28:$A$36,0)), INDEX(Tier!$B$28:$B$36,MATCH(G64,Tier!$A$28:$A$36,0)))), "")</f>
        <v>143.14375999999999</v>
      </c>
      <c r="G64" s="283">
        <f t="shared" si="4"/>
        <v>8</v>
      </c>
      <c r="H64" s="284"/>
      <c r="I64" s="396">
        <f>IFERROR(INDEX(ADP!S:S,MATCH(D64,ADP!D:D,0))-RBproj!K64,"")</f>
        <v>-3</v>
      </c>
      <c r="J64" s="127"/>
      <c r="K64" s="89">
        <v>58</v>
      </c>
      <c r="L64" s="2" t="s">
        <v>495</v>
      </c>
      <c r="M64" s="3">
        <f t="shared" si="1"/>
        <v>0</v>
      </c>
      <c r="N64" s="4">
        <f>IFERROR(INDEX(ADP!AC:AC,MATCH(D64,ADP!Y:Y,0)),0)</f>
        <v>11.4</v>
      </c>
      <c r="O64" s="4" t="s">
        <v>6</v>
      </c>
      <c r="P64" s="4"/>
      <c r="Q64" s="4"/>
      <c r="R64" s="1" t="str">
        <f>IFERROR(VLOOKUP(S64,FFARawStatProjections!AX:AZ,2,FALSE),"")</f>
        <v>GB</v>
      </c>
      <c r="S64" s="4" t="str">
        <f>INDEX(FFARawStatProjections!AX:AX,MATCH(WRproj!T64,FFARawStatProjections!AZ:AZ,0))</f>
        <v>Romeo Doubs</v>
      </c>
      <c r="T64">
        <f>LARGE(FFARawStatProjections!AZ:AZ,K64)</f>
        <v>143.14375999999999</v>
      </c>
      <c r="U64" s="249">
        <f t="shared" si="0"/>
        <v>-69.956296666666674</v>
      </c>
      <c r="V64" s="243">
        <f t="shared" si="5"/>
        <v>4893.8834433146785</v>
      </c>
      <c r="W64" s="243"/>
      <c r="X64" s="243">
        <f t="shared" si="3"/>
        <v>-4.3722685416666671</v>
      </c>
      <c r="Y64" s="238">
        <f>IFERROR(
IF(ISBLANK(Beersheet!$A$1)=FALSE,
INDEX(Beersheet!$A:$U,MATCH(S64,INDEX(Beersheet!$A:$U,0,FFARawStatProjections!$BV$2),0),FFARawStatProjections!$BV$6),
IF(X64&gt;6,0,
IF(AND(X64&lt;=6,X64&gt;5),1,
IF(AND(X64&lt;=5,X64&gt;4),2,
IF(AND(X64&lt;=4,X64&gt;3),3,
IF(AND(X64&lt;=3,X64&gt;2),4,
IF(AND(X64&lt;=2,X64&gt;1),5,
IF(AND(X64&lt;=1,X64&gt;0),6,
IF(AND(X64&lt;=0,X64&gt;-1),7,
8))))))))),
10)</f>
        <v>8</v>
      </c>
    </row>
    <row r="65" spans="1:25" ht="15" customHeight="1" x14ac:dyDescent="0.25">
      <c r="A65" s="135"/>
      <c r="B65" s="142" t="s">
        <v>496</v>
      </c>
      <c r="C65" t="str">
        <f>IF(AND(IFERROR(INDEX(Instructions!$T$111:$T$222,MATCH(D65,Instructions!$T$111:$T$222,0)), "")=D65, D65&lt;&gt;""), "X", "")</f>
        <v/>
      </c>
      <c r="D65" s="138" t="s">
        <v>2322</v>
      </c>
      <c r="E65" s="100" t="s">
        <v>136</v>
      </c>
      <c r="F65" s="431">
        <f>IFERROR(IF(AND($F$5="Projected Points",Beersheet!A60&lt;&gt;"QB"), T65, IF(H65="", INDEX(Tier!$B$28:$B$36,MATCH(G65,Tier!$A$28:$A$36,0)), INDEX(Tier!$B$28:$B$36,MATCH(G65,Tier!$A$28:$A$36,0)))), "")</f>
        <v>142.97382999999999</v>
      </c>
      <c r="G65" s="250">
        <f t="shared" si="4"/>
        <v>8</v>
      </c>
      <c r="H65" s="252"/>
      <c r="I65" s="396">
        <f>IFERROR(INDEX(ADP!S:S,MATCH(D65,ADP!D:D,0))-RBproj!K65,"")</f>
        <v>-8</v>
      </c>
      <c r="J65" s="127"/>
      <c r="K65" s="89">
        <v>59</v>
      </c>
      <c r="L65" s="2" t="s">
        <v>496</v>
      </c>
      <c r="M65" s="3">
        <f t="shared" si="1"/>
        <v>0</v>
      </c>
      <c r="N65" s="4">
        <f>IFERROR(INDEX(ADP!AC:AC,MATCH(D65,ADP!Y:Y,0)),0)</f>
        <v>8.9</v>
      </c>
      <c r="O65" s="4" t="s">
        <v>6</v>
      </c>
      <c r="P65" s="4"/>
      <c r="Q65" s="4"/>
      <c r="R65" s="1" t="str">
        <f>IFERROR(VLOOKUP(S65,FFARawStatProjections!AX:AZ,2,FALSE),"")</f>
        <v>LV</v>
      </c>
      <c r="S65" s="4" t="str">
        <f>INDEX(FFARawStatProjections!AX:AX,MATCH(WRproj!T65,FFARawStatProjections!AZ:AZ,0))</f>
        <v>Hunter Renfrow</v>
      </c>
      <c r="T65">
        <f>LARGE(FFARawStatProjections!AZ:AZ,K65)</f>
        <v>142.97382999999999</v>
      </c>
      <c r="U65" s="249">
        <f t="shared" si="0"/>
        <v>-70.126226666666668</v>
      </c>
      <c r="V65" s="243">
        <f t="shared" si="5"/>
        <v>4917.6876665047112</v>
      </c>
      <c r="W65" s="243"/>
      <c r="X65" s="243">
        <f t="shared" si="3"/>
        <v>-4.3828891666666667</v>
      </c>
      <c r="Y65" s="238">
        <f>IFERROR(
IF(ISBLANK(Beersheet!$A$1)=FALSE,
INDEX(Beersheet!$A:$U,MATCH(S65,INDEX(Beersheet!$A:$U,0,FFARawStatProjections!$BV$2),0),FFARawStatProjections!$BV$6),
IF(X65&gt;6,0,
IF(AND(X65&lt;=6,X65&gt;5),1,
IF(AND(X65&lt;=5,X65&gt;4),2,
IF(AND(X65&lt;=4,X65&gt;3),3,
IF(AND(X65&lt;=3,X65&gt;2),4,
IF(AND(X65&lt;=2,X65&gt;1),5,
IF(AND(X65&lt;=1,X65&gt;0),6,
IF(AND(X65&lt;=0,X65&gt;-1),7,
8))))))))),
10)</f>
        <v>8</v>
      </c>
    </row>
    <row r="66" spans="1:25" ht="15" customHeight="1" x14ac:dyDescent="0.25">
      <c r="A66" s="135"/>
      <c r="B66" s="143" t="s">
        <v>497</v>
      </c>
      <c r="C66" t="str">
        <f>IF(AND(IFERROR(INDEX(Instructions!$T$111:$T$222,MATCH(D66,Instructions!$T$111:$T$222,0)), "")=D66, D66&lt;&gt;""), "X", "")</f>
        <v/>
      </c>
      <c r="D66" s="137" t="s">
        <v>2335</v>
      </c>
      <c r="E66" s="99" t="s">
        <v>139</v>
      </c>
      <c r="F66" s="232">
        <f>IFERROR(IF(AND($F$5="Projected Points",Beersheet!A61&lt;&gt;"QB"), T66, IF(H66="", INDEX(Tier!$B$28:$B$36,MATCH(G66,Tier!$A$28:$A$36,0)), INDEX(Tier!$B$28:$B$36,MATCH(G66,Tier!$A$28:$A$36,0)))), "")</f>
        <v>141.86373999999998</v>
      </c>
      <c r="G66" s="283">
        <f t="shared" si="4"/>
        <v>8</v>
      </c>
      <c r="H66" s="284"/>
      <c r="I66" s="396">
        <f>IFERROR(INDEX(ADP!S:S,MATCH(D66,ADP!D:D,0))-RBproj!K66,"")</f>
        <v>1</v>
      </c>
      <c r="J66" s="127"/>
      <c r="K66" s="89">
        <v>60</v>
      </c>
      <c r="L66" s="2" t="s">
        <v>497</v>
      </c>
      <c r="M66" s="3">
        <f t="shared" si="1"/>
        <v>0</v>
      </c>
      <c r="N66" s="4">
        <f>IFERROR(INDEX(ADP!AC:AC,MATCH(D66,ADP!Y:Y,0)),0)</f>
        <v>11.1</v>
      </c>
      <c r="O66" s="4" t="s">
        <v>6</v>
      </c>
      <c r="P66" s="4"/>
      <c r="Q66" s="4"/>
      <c r="R66" s="1" t="str">
        <f>IFERROR(VLOOKUP(S66,FFARawStatProjections!AX:AZ,2,FALSE),"")</f>
        <v>KC</v>
      </c>
      <c r="S66" s="4" t="str">
        <f>INDEX(FFARawStatProjections!AX:AX,MATCH(WRproj!T66,FFARawStatProjections!AZ:AZ,0))</f>
        <v>Skyy Moore</v>
      </c>
      <c r="T66">
        <f>LARGE(FFARawStatProjections!AZ:AZ,K66)</f>
        <v>141.86373999999998</v>
      </c>
      <c r="U66" s="249">
        <f t="shared" si="0"/>
        <v>-71.236316666666681</v>
      </c>
      <c r="V66" s="243">
        <f t="shared" si="5"/>
        <v>5074.6128122336131</v>
      </c>
      <c r="W66" s="243"/>
      <c r="X66" s="243">
        <f t="shared" si="3"/>
        <v>-4.4522697916666676</v>
      </c>
      <c r="Y66" s="238">
        <f>IFERROR(
IF(ISBLANK(Beersheet!$A$1)=FALSE,
INDEX(Beersheet!$A:$U,MATCH(S66,INDEX(Beersheet!$A:$U,0,FFARawStatProjections!$BV$2),0),FFARawStatProjections!$BV$6),
IF(X66&gt;6,0,
IF(AND(X66&lt;=6,X66&gt;5),1,
IF(AND(X66&lt;=5,X66&gt;4),2,
IF(AND(X66&lt;=4,X66&gt;3),3,
IF(AND(X66&lt;=3,X66&gt;2),4,
IF(AND(X66&lt;=2,X66&gt;1),5,
IF(AND(X66&lt;=1,X66&gt;0),6,
IF(AND(X66&lt;=0,X66&gt;-1),7,
8))))))))),
10)</f>
        <v>8</v>
      </c>
    </row>
    <row r="67" spans="1:25" ht="15" customHeight="1" x14ac:dyDescent="0.25">
      <c r="A67" s="135"/>
      <c r="B67" s="142" t="s">
        <v>498</v>
      </c>
      <c r="C67" t="str">
        <f>IF(AND(IFERROR(INDEX(Instructions!$T$111:$T$222,MATCH(D67,Instructions!$T$111:$T$222,0)), "")=D67, D67&lt;&gt;""), "X", "")</f>
        <v/>
      </c>
      <c r="D67" s="138" t="s">
        <v>1801</v>
      </c>
      <c r="E67" s="100" t="s">
        <v>136</v>
      </c>
      <c r="F67" s="431">
        <f>IFERROR(IF(AND($F$5="Projected Points",Beersheet!A62&lt;&gt;"QB"), T67, IF(H67="", INDEX(Tier!$B$28:$B$36,MATCH(G67,Tier!$A$28:$A$36,0)), INDEX(Tier!$B$28:$B$36,MATCH(G67,Tier!$A$28:$A$36,0)))), "")</f>
        <v>141.56363999999999</v>
      </c>
      <c r="G67" s="250">
        <f t="shared" si="4"/>
        <v>8</v>
      </c>
      <c r="H67" s="252"/>
      <c r="I67" s="396">
        <f>IFERROR(INDEX(ADP!S:S,MATCH(D67,ADP!D:D,0))-RBproj!K67,"")</f>
        <v>8</v>
      </c>
      <c r="J67" s="127"/>
      <c r="K67" s="89">
        <v>61</v>
      </c>
      <c r="L67" s="2" t="s">
        <v>498</v>
      </c>
      <c r="M67" s="3">
        <f t="shared" si="1"/>
        <v>10.1</v>
      </c>
      <c r="N67" s="4">
        <f>IFERROR(INDEX(ADP!AC:AC,MATCH(D67,ADP!Y:Y,0)),0)</f>
        <v>21.2</v>
      </c>
      <c r="O67" s="4" t="s">
        <v>6</v>
      </c>
      <c r="P67" s="4"/>
      <c r="Q67" s="4"/>
      <c r="R67" s="1" t="str">
        <f>IFERROR(VLOOKUP(S67,FFARawStatProjections!AX:AZ,2,FALSE),"")</f>
        <v>CAR</v>
      </c>
      <c r="S67" s="4" t="str">
        <f>INDEX(FFARawStatProjections!AX:AX,MATCH(WRproj!T67,FFARawStatProjections!AZ:AZ,0))</f>
        <v>DJ Chark</v>
      </c>
      <c r="T67">
        <f>LARGE(FFARawStatProjections!AZ:AZ,K67)</f>
        <v>141.56363999999999</v>
      </c>
      <c r="U67" s="249">
        <f t="shared" si="0"/>
        <v>-71.536416666666668</v>
      </c>
      <c r="V67" s="243">
        <f t="shared" si="5"/>
        <v>5117.458909506945</v>
      </c>
      <c r="W67" s="243"/>
      <c r="X67" s="243">
        <f t="shared" si="3"/>
        <v>-4.4710260416666667</v>
      </c>
      <c r="Y67" s="238">
        <f>IFERROR(
IF(ISBLANK(Beersheet!$A$1)=FALSE,
INDEX(Beersheet!$A:$U,MATCH(S67,INDEX(Beersheet!$A:$U,0,FFARawStatProjections!$BV$2),0),FFARawStatProjections!$BV$6),
IF(X67&gt;6,0,
IF(AND(X67&lt;=6,X67&gt;5),1,
IF(AND(X67&lt;=5,X67&gt;4),2,
IF(AND(X67&lt;=4,X67&gt;3),3,
IF(AND(X67&lt;=3,X67&gt;2),4,
IF(AND(X67&lt;=2,X67&gt;1),5,
IF(AND(X67&lt;=1,X67&gt;0),6,
IF(AND(X67&lt;=0,X67&gt;-1),7,
8))))))))),
10)</f>
        <v>8</v>
      </c>
    </row>
    <row r="68" spans="1:25" ht="15" customHeight="1" x14ac:dyDescent="0.25">
      <c r="A68" s="135"/>
      <c r="B68" s="143" t="s">
        <v>499</v>
      </c>
      <c r="C68" t="str">
        <f>IF(AND(IFERROR(INDEX(Instructions!$T$111:$T$222,MATCH(D68,Instructions!$T$111:$T$222,0)), "")=D68, D68&lt;&gt;""), "X", "")</f>
        <v/>
      </c>
      <c r="D68" s="137" t="s">
        <v>1884</v>
      </c>
      <c r="E68" s="99" t="s">
        <v>2073</v>
      </c>
      <c r="F68" s="232">
        <f>IFERROR(IF(AND($F$5="Projected Points",Beersheet!A63&lt;&gt;"QB"), T68, IF(H68="", INDEX(Tier!$B$28:$B$36,MATCH(G68,Tier!$A$28:$A$36,0)), INDEX(Tier!$B$28:$B$36,MATCH(G68,Tier!$A$28:$A$36,0)))), "")</f>
        <v>136.60366000000002</v>
      </c>
      <c r="G68" s="283">
        <f t="shared" si="4"/>
        <v>8</v>
      </c>
      <c r="H68" s="284"/>
      <c r="I68" s="396">
        <f>IFERROR(INDEX(ADP!S:S,MATCH(D68,ADP!D:D,0))-RBproj!K68,"")</f>
        <v>-3</v>
      </c>
      <c r="J68" s="127"/>
      <c r="K68" s="89">
        <v>62</v>
      </c>
      <c r="L68" s="2" t="s">
        <v>499</v>
      </c>
      <c r="M68" s="3">
        <f t="shared" si="1"/>
        <v>5.5</v>
      </c>
      <c r="N68" s="4">
        <f>IFERROR(INDEX(ADP!AC:AC,MATCH(D68,ADP!Y:Y,0)),0)</f>
        <v>14.4</v>
      </c>
      <c r="O68" s="4" t="s">
        <v>6</v>
      </c>
      <c r="P68" s="4"/>
      <c r="Q68" s="4"/>
      <c r="R68" s="1" t="str">
        <f>IFERROR(VLOOKUP(S68,FFARawStatProjections!AX:AZ,2,FALSE),"")</f>
        <v>KC</v>
      </c>
      <c r="S68" s="4" t="str">
        <f>INDEX(FFARawStatProjections!AX:AX,MATCH(WRproj!T68,FFARawStatProjections!AZ:AZ,0))</f>
        <v>Marquez Valdes-Scantling</v>
      </c>
      <c r="T68">
        <f>LARGE(FFARawStatProjections!AZ:AZ,K68)</f>
        <v>136.60366000000002</v>
      </c>
      <c r="U68" s="249">
        <f t="shared" si="0"/>
        <v>-76.496396666666641</v>
      </c>
      <c r="V68" s="243">
        <f t="shared" si="5"/>
        <v>5851.6987029840075</v>
      </c>
      <c r="W68" s="244"/>
      <c r="X68" s="243">
        <f t="shared" si="3"/>
        <v>-4.7810247916666651</v>
      </c>
      <c r="Y68" s="238">
        <f>IFERROR(
IF(ISBLANK(Beersheet!$A$1)=FALSE,
INDEX(Beersheet!$A:$U,MATCH(S68,INDEX(Beersheet!$A:$U,0,FFARawStatProjections!$BV$2),0),FFARawStatProjections!$BV$6),
IF(X68&gt;6,0,
IF(AND(X68&lt;=6,X68&gt;5),1,
IF(AND(X68&lt;=5,X68&gt;4),2,
IF(AND(X68&lt;=4,X68&gt;3),3,
IF(AND(X68&lt;=3,X68&gt;2),4,
IF(AND(X68&lt;=2,X68&gt;1),5,
IF(AND(X68&lt;=1,X68&gt;0),6,
IF(AND(X68&lt;=0,X68&gt;-1),7,
8))))))))),
10)</f>
        <v>8</v>
      </c>
    </row>
    <row r="69" spans="1:25" ht="15" customHeight="1" x14ac:dyDescent="0.25">
      <c r="A69" s="135"/>
      <c r="B69" s="142" t="s">
        <v>500</v>
      </c>
      <c r="C69" t="str">
        <f>IF(AND(IFERROR(INDEX(Instructions!$T$111:$T$222,MATCH(D69,Instructions!$T$111:$T$222,0)), "")=D69, D69&lt;&gt;""), "X", "")</f>
        <v/>
      </c>
      <c r="D69" s="138" t="s">
        <v>1208</v>
      </c>
      <c r="E69" s="100" t="s">
        <v>157</v>
      </c>
      <c r="F69" s="431">
        <f>IFERROR(IF(AND($F$5="Projected Points",Beersheet!A64&lt;&gt;"QB"), T69, IF(H69="", INDEX(Tier!$B$28:$B$36,MATCH(G69,Tier!$A$28:$A$36,0)), INDEX(Tier!$B$28:$B$36,MATCH(G69,Tier!$A$28:$A$36,0)))), "")</f>
        <v>135.07377</v>
      </c>
      <c r="G69" s="250">
        <f t="shared" si="4"/>
        <v>8</v>
      </c>
      <c r="H69" s="252"/>
      <c r="I69" s="396" t="str">
        <f>IFERROR(INDEX(ADP!S:S,MATCH(D69,ADP!D:D,0))-RBproj!K69,"")</f>
        <v/>
      </c>
      <c r="J69" s="127"/>
      <c r="K69" s="89">
        <v>63</v>
      </c>
      <c r="L69" s="2" t="s">
        <v>500</v>
      </c>
      <c r="M69" s="3">
        <f t="shared" si="1"/>
        <v>0</v>
      </c>
      <c r="N69" s="4">
        <f>IFERROR(INDEX(ADP!AC:AC,MATCH(D69,ADP!Y:Y,0)),0)</f>
        <v>0</v>
      </c>
      <c r="O69" s="4" t="s">
        <v>6</v>
      </c>
      <c r="P69" s="4"/>
      <c r="Q69" s="4"/>
      <c r="R69" s="1" t="str">
        <f>IFERROR(VLOOKUP(S69,FFARawStatProjections!AX:AZ,2,FALSE),"")</f>
        <v>CAR</v>
      </c>
      <c r="S69" s="4" t="str">
        <f>INDEX(FFARawStatProjections!AX:AX,MATCH(WRproj!T69,FFARawStatProjections!AZ:AZ,0))</f>
        <v>Jonathan Mingo</v>
      </c>
      <c r="T69">
        <f>LARGE(FFARawStatProjections!AZ:AZ,K69)</f>
        <v>135.07377</v>
      </c>
      <c r="U69" s="249">
        <f t="shared" si="0"/>
        <v>-78.026286666666664</v>
      </c>
      <c r="V69" s="243">
        <f t="shared" si="5"/>
        <v>6088.1014109888438</v>
      </c>
      <c r="W69" s="244"/>
      <c r="X69" s="243">
        <f t="shared" si="3"/>
        <v>-4.8766429166666665</v>
      </c>
      <c r="Y69" s="238">
        <f>IFERROR(
IF(ISBLANK(Beersheet!$A$1)=FALSE,
INDEX(Beersheet!$A:$U,MATCH(S69,INDEX(Beersheet!$A:$U,0,FFARawStatProjections!$BV$2),0),FFARawStatProjections!$BV$6),
IF(X69&gt;6,0,
IF(AND(X69&lt;=6,X69&gt;5),1,
IF(AND(X69&lt;=5,X69&gt;4),2,
IF(AND(X69&lt;=4,X69&gt;3),3,
IF(AND(X69&lt;=3,X69&gt;2),4,
IF(AND(X69&lt;=2,X69&gt;1),5,
IF(AND(X69&lt;=1,X69&gt;0),6,
IF(AND(X69&lt;=0,X69&gt;-1),7,
8))))))))),
10)</f>
        <v>8</v>
      </c>
    </row>
    <row r="70" spans="1:25" ht="15" customHeight="1" x14ac:dyDescent="0.25">
      <c r="A70" s="135"/>
      <c r="B70" s="143" t="s">
        <v>501</v>
      </c>
      <c r="C70" t="str">
        <f>IF(AND(IFERROR(INDEX(Instructions!$T$111:$T$222,MATCH(D70,Instructions!$T$111:$T$222,0)), "")=D70, D70&lt;&gt;""), "X", "")</f>
        <v/>
      </c>
      <c r="D70" s="137" t="s">
        <v>2466</v>
      </c>
      <c r="E70" s="99" t="s">
        <v>159</v>
      </c>
      <c r="F70" s="232">
        <f>IFERROR(IF(AND($F$5="Projected Points",Beersheet!A65&lt;&gt;"QB"), T70, IF(H70="", INDEX(Tier!$B$28:$B$36,MATCH(G70,Tier!$A$28:$A$36,0)), INDEX(Tier!$B$28:$B$36,MATCH(G70,Tier!$A$28:$A$36,0)))), "")</f>
        <v>134.48373000000001</v>
      </c>
      <c r="G70" s="283">
        <f t="shared" si="4"/>
        <v>8</v>
      </c>
      <c r="H70" s="284"/>
      <c r="I70" s="396" t="str">
        <f>IFERROR(INDEX(ADP!S:S,MATCH(D70,ADP!D:D,0))-RBproj!K70,"")</f>
        <v/>
      </c>
      <c r="J70" s="127"/>
      <c r="K70" s="89">
        <v>64</v>
      </c>
      <c r="L70" s="2" t="s">
        <v>501</v>
      </c>
      <c r="M70" s="3">
        <f t="shared" si="1"/>
        <v>0</v>
      </c>
      <c r="N70" s="4">
        <f>IFERROR(INDEX(ADP!AC:AC,MATCH(D70,ADP!Y:Y,0)),0)</f>
        <v>0</v>
      </c>
      <c r="O70" s="4" t="s">
        <v>6</v>
      </c>
      <c r="P70" s="4"/>
      <c r="Q70" s="4"/>
      <c r="R70" s="1" t="str">
        <f>IFERROR(VLOOKUP(S70,FFARawStatProjections!AX:AZ,2,FALSE),"")</f>
        <v>NE</v>
      </c>
      <c r="S70" s="4" t="str">
        <f>INDEX(FFARawStatProjections!AX:AX,MATCH(WRproj!T70,FFARawStatProjections!AZ:AZ,0))</f>
        <v>DeVante Parker</v>
      </c>
      <c r="T70">
        <f>LARGE(FFARawStatProjections!AZ:AZ,K70)</f>
        <v>134.48373000000001</v>
      </c>
      <c r="U70" s="249">
        <f t="shared" si="0"/>
        <v>-78.616326666666652</v>
      </c>
      <c r="V70" s="243">
        <f t="shared" si="5"/>
        <v>6180.5268185600416</v>
      </c>
      <c r="W70" s="244"/>
      <c r="X70" s="243">
        <f t="shared" si="3"/>
        <v>-4.9135204166666657</v>
      </c>
      <c r="Y70" s="238">
        <f>IFERROR(
IF(ISBLANK(Beersheet!$A$1)=FALSE,
INDEX(Beersheet!$A:$U,MATCH(S70,INDEX(Beersheet!$A:$U,0,FFARawStatProjections!$BV$2),0),FFARawStatProjections!$BV$6),
IF(X70&gt;6,0,
IF(AND(X70&lt;=6,X70&gt;5),1,
IF(AND(X70&lt;=5,X70&gt;4),2,
IF(AND(X70&lt;=4,X70&gt;3),3,
IF(AND(X70&lt;=3,X70&gt;2),4,
IF(AND(X70&lt;=2,X70&gt;1),5,
IF(AND(X70&lt;=1,X70&gt;0),6,
IF(AND(X70&lt;=0,X70&gt;-1),7,
8))))))))),
10)</f>
        <v>8</v>
      </c>
    </row>
    <row r="71" spans="1:25" ht="15" customHeight="1" x14ac:dyDescent="0.25">
      <c r="A71" s="135"/>
      <c r="B71" s="142" t="s">
        <v>502</v>
      </c>
      <c r="C71" t="str">
        <f>IF(AND(IFERROR(INDEX(Instructions!$T$111:$T$222,MATCH(D71,Instructions!$T$111:$T$222,0)), "")=D71, D71&lt;&gt;""), "X", "")</f>
        <v/>
      </c>
      <c r="D71" s="138" t="s">
        <v>1432</v>
      </c>
      <c r="E71" s="100" t="s">
        <v>152</v>
      </c>
      <c r="F71" s="431">
        <f>IFERROR(IF(AND($F$5="Projected Points",Beersheet!A66&lt;&gt;"QB"), T71, IF(H71="", INDEX(Tier!$B$28:$B$36,MATCH(G71,Tier!$A$28:$A$36,0)), INDEX(Tier!$B$28:$B$36,MATCH(G71,Tier!$A$28:$A$36,0)))), "")</f>
        <v>134.37378000000001</v>
      </c>
      <c r="G71" s="250">
        <f t="shared" si="4"/>
        <v>8</v>
      </c>
      <c r="H71" s="252"/>
      <c r="I71" s="396" t="str">
        <f>IFERROR(INDEX(ADP!S:S,MATCH(D71,ADP!D:D,0))-RBproj!K71,"")</f>
        <v/>
      </c>
      <c r="J71" s="127"/>
      <c r="K71" s="89">
        <v>65</v>
      </c>
      <c r="L71" s="2" t="s">
        <v>502</v>
      </c>
      <c r="M71" s="3">
        <f t="shared" si="1"/>
        <v>0</v>
      </c>
      <c r="N71" s="4">
        <f>IFERROR(INDEX(ADP!AC:AC,MATCH(D71,ADP!Y:Y,0)),0)</f>
        <v>0</v>
      </c>
      <c r="O71" s="4" t="s">
        <v>6</v>
      </c>
      <c r="P71" s="4"/>
      <c r="Q71" s="4"/>
      <c r="R71" s="1" t="str">
        <f>IFERROR(VLOOKUP(S71,FFARawStatProjections!AX:AZ,2,FALSE),"")</f>
        <v>WAS</v>
      </c>
      <c r="S71" s="4" t="str">
        <f>INDEX(FFARawStatProjections!AX:AX,MATCH(WRproj!T71,FFARawStatProjections!AZ:AZ,0))</f>
        <v>Curtis Samuel</v>
      </c>
      <c r="T71">
        <f>LARGE(FFARawStatProjections!AZ:AZ,K71)</f>
        <v>134.37378000000001</v>
      </c>
      <c r="U71" s="249">
        <f t="shared" ref="U71:U134" si="6">T71-$W$10</f>
        <v>-78.726276666666649</v>
      </c>
      <c r="V71" s="243">
        <f t="shared" si="5"/>
        <v>6197.8266377965419</v>
      </c>
      <c r="W71" s="244"/>
      <c r="X71" s="243">
        <f t="shared" si="3"/>
        <v>-4.9203922916666656</v>
      </c>
      <c r="Y71" s="238">
        <f>IFERROR(
IF(ISBLANK(Beersheet!$A$1)=FALSE,
INDEX(Beersheet!$A:$U,MATCH(S71,INDEX(Beersheet!$A:$U,0,FFARawStatProjections!$BV$2),0),FFARawStatProjections!$BV$6),
IF(X71&gt;6,0,
IF(AND(X71&lt;=6,X71&gt;5),1,
IF(AND(X71&lt;=5,X71&gt;4),2,
IF(AND(X71&lt;=4,X71&gt;3),3,
IF(AND(X71&lt;=3,X71&gt;2),4,
IF(AND(X71&lt;=2,X71&gt;1),5,
IF(AND(X71&lt;=1,X71&gt;0),6,
IF(AND(X71&lt;=0,X71&gt;-1),7,
8))))))))),
10)</f>
        <v>8</v>
      </c>
    </row>
    <row r="72" spans="1:25" ht="15" customHeight="1" x14ac:dyDescent="0.25">
      <c r="A72" s="135"/>
      <c r="B72" s="143" t="s">
        <v>503</v>
      </c>
      <c r="C72" t="str">
        <f>IF(AND(IFERROR(INDEX(Instructions!$T$111:$T$222,MATCH(D72,Instructions!$T$111:$T$222,0)), "")=D72, D72&lt;&gt;""), "X", "")</f>
        <v/>
      </c>
      <c r="D72" s="137" t="s">
        <v>2222</v>
      </c>
      <c r="E72" s="99" t="s">
        <v>138</v>
      </c>
      <c r="F72" s="232">
        <f>IFERROR(IF(AND($F$5="Projected Points",Beersheet!A67&lt;&gt;"QB"), T72, IF(H72="", INDEX(Tier!$B$28:$B$36,MATCH(G72,Tier!$A$28:$A$36,0)), INDEX(Tier!$B$28:$B$36,MATCH(G72,Tier!$A$28:$A$36,0)))), "")</f>
        <v>131.77382</v>
      </c>
      <c r="G72" s="283">
        <f t="shared" si="4"/>
        <v>8</v>
      </c>
      <c r="H72" s="284"/>
      <c r="I72" s="396">
        <f>IFERROR(INDEX(ADP!S:S,MATCH(D72,ADP!D:D,0))-RBproj!K72,"")</f>
        <v>0</v>
      </c>
      <c r="J72" s="127"/>
      <c r="K72" s="89">
        <v>66</v>
      </c>
      <c r="L72" s="2" t="s">
        <v>503</v>
      </c>
      <c r="M72" s="3">
        <f t="shared" ref="M72:M135" si="7">IF(N72-MEDIAN(N69:N75)&lt;0,0,N72-MEDIAN(N69:N75))</f>
        <v>18.100000000000001</v>
      </c>
      <c r="N72" s="4">
        <f>IFERROR(INDEX(ADP!AC:AC,MATCH(D72,ADP!Y:Y,0)),0)</f>
        <v>18.100000000000001</v>
      </c>
      <c r="O72" s="4" t="s">
        <v>6</v>
      </c>
      <c r="P72" s="4"/>
      <c r="Q72" s="4"/>
      <c r="R72" s="1" t="str">
        <f>IFERROR(VLOOKUP(S72,FFARawStatProjections!AX:AZ,2,FALSE),"")</f>
        <v>MIN</v>
      </c>
      <c r="S72" s="4" t="str">
        <f>INDEX(FFARawStatProjections!AX:AX,MATCH(WRproj!T72,FFARawStatProjections!AZ:AZ,0))</f>
        <v>KJ Osborn</v>
      </c>
      <c r="T72">
        <f>LARGE(FFARawStatProjections!AZ:AZ,K72)</f>
        <v>131.77382</v>
      </c>
      <c r="U72" s="249">
        <f t="shared" si="6"/>
        <v>-81.326236666666659</v>
      </c>
      <c r="V72" s="243">
        <f t="shared" si="5"/>
        <v>6613.9567703626763</v>
      </c>
      <c r="W72" s="244"/>
      <c r="X72" s="243">
        <f t="shared" ref="X72:X135" si="8">U72/$W$7</f>
        <v>-5.0828897916666662</v>
      </c>
      <c r="Y72" s="238">
        <f>IFERROR(
IF(ISBLANK(Beersheet!$A$1)=FALSE,
INDEX(Beersheet!$A:$U,MATCH(S72,INDEX(Beersheet!$A:$U,0,FFARawStatProjections!$BV$2),0),FFARawStatProjections!$BV$6),
IF(X72&gt;6,0,
IF(AND(X72&lt;=6,X72&gt;5),1,
IF(AND(X72&lt;=5,X72&gt;4),2,
IF(AND(X72&lt;=4,X72&gt;3),3,
IF(AND(X72&lt;=3,X72&gt;2),4,
IF(AND(X72&lt;=2,X72&gt;1),5,
IF(AND(X72&lt;=1,X72&gt;0),6,
IF(AND(X72&lt;=0,X72&gt;-1),7,
8))))))))),
10)</f>
        <v>8</v>
      </c>
    </row>
    <row r="73" spans="1:25" ht="15" customHeight="1" x14ac:dyDescent="0.25">
      <c r="A73" s="135"/>
      <c r="B73" s="142" t="s">
        <v>504</v>
      </c>
      <c r="C73" t="str">
        <f>IF(AND(IFERROR(INDEX(Instructions!$T$111:$T$222,MATCH(D73,Instructions!$T$111:$T$222,0)), "")=D73, D73&lt;&gt;""), "X", "")</f>
        <v/>
      </c>
      <c r="D73" s="138" t="s">
        <v>2101</v>
      </c>
      <c r="E73" s="100" t="s">
        <v>1389</v>
      </c>
      <c r="F73" s="431">
        <f>IFERROR(IF(AND($F$5="Projected Points",Beersheet!A68&lt;&gt;"QB"), T73, IF(H73="", INDEX(Tier!$B$28:$B$36,MATCH(G73,Tier!$A$28:$A$36,0)), INDEX(Tier!$B$28:$B$36,MATCH(G73,Tier!$A$28:$A$36,0)))), "")</f>
        <v>129.12384</v>
      </c>
      <c r="G73" s="250">
        <f t="shared" si="4"/>
        <v>8</v>
      </c>
      <c r="H73" s="252"/>
      <c r="I73" s="396" t="str">
        <f>IFERROR(INDEX(ADP!S:S,MATCH(D73,ADP!D:D,0))-RBproj!K73,"")</f>
        <v/>
      </c>
      <c r="J73" s="127"/>
      <c r="K73" s="89">
        <v>67</v>
      </c>
      <c r="L73" s="2" t="s">
        <v>504</v>
      </c>
      <c r="M73" s="3">
        <f t="shared" si="7"/>
        <v>0</v>
      </c>
      <c r="N73" s="4">
        <f>IFERROR(INDEX(ADP!AC:AC,MATCH(D73,ADP!Y:Y,0)),0)</f>
        <v>0</v>
      </c>
      <c r="O73" s="4" t="s">
        <v>6</v>
      </c>
      <c r="P73" s="4"/>
      <c r="Q73" s="4"/>
      <c r="R73" s="1" t="str">
        <f>IFERROR(VLOOKUP(S73,FFARawStatProjections!AX:AZ,2,FALSE),"")</f>
        <v>GB</v>
      </c>
      <c r="S73" s="4" t="str">
        <f>INDEX(FFARawStatProjections!AX:AX,MATCH(WRproj!T73,FFARawStatProjections!AZ:AZ,0))</f>
        <v>Jayden Reed</v>
      </c>
      <c r="T73">
        <f>LARGE(FFARawStatProjections!AZ:AZ,K73)</f>
        <v>129.12384</v>
      </c>
      <c r="U73" s="249">
        <f t="shared" si="6"/>
        <v>-83.976216666666659</v>
      </c>
      <c r="V73" s="243">
        <f t="shared" si="5"/>
        <v>7052.0049656469428</v>
      </c>
      <c r="W73" s="244"/>
      <c r="X73" s="243">
        <f t="shared" si="8"/>
        <v>-5.2485135416666662</v>
      </c>
      <c r="Y73" s="238">
        <f>IFERROR(
IF(ISBLANK(Beersheet!$A$1)=FALSE,
INDEX(Beersheet!$A:$U,MATCH(S73,INDEX(Beersheet!$A:$U,0,FFARawStatProjections!$BV$2),0),FFARawStatProjections!$BV$6),
IF(X73&gt;6,0,
IF(AND(X73&lt;=6,X73&gt;5),1,
IF(AND(X73&lt;=5,X73&gt;4),2,
IF(AND(X73&lt;=4,X73&gt;3),3,
IF(AND(X73&lt;=3,X73&gt;2),4,
IF(AND(X73&lt;=2,X73&gt;1),5,
IF(AND(X73&lt;=1,X73&gt;0),6,
IF(AND(X73&lt;=0,X73&gt;-1),7,
8))))))))),
10)</f>
        <v>8</v>
      </c>
    </row>
    <row r="74" spans="1:25" ht="15" customHeight="1" x14ac:dyDescent="0.25">
      <c r="A74" s="135"/>
      <c r="B74" s="143" t="s">
        <v>505</v>
      </c>
      <c r="C74" t="str">
        <f>IF(AND(IFERROR(INDEX(Instructions!$T$111:$T$222,MATCH(D74,Instructions!$T$111:$T$222,0)), "")=D74, D74&lt;&gt;""), "X", "")</f>
        <v/>
      </c>
      <c r="D74" s="137" t="s">
        <v>2110</v>
      </c>
      <c r="E74" s="99" t="s">
        <v>161</v>
      </c>
      <c r="F74" s="232">
        <f>IFERROR(IF(AND($F$5="Projected Points",Beersheet!A69&lt;&gt;"QB"), T74, IF(H74="", INDEX(Tier!$B$28:$B$36,MATCH(G74,Tier!$A$28:$A$36,0)), INDEX(Tier!$B$28:$B$36,MATCH(G74,Tier!$A$28:$A$36,0)))), "")</f>
        <v>128.52381000000003</v>
      </c>
      <c r="G74" s="283">
        <f t="shared" ref="G74:G137" si="9">IF(D74="","",Y74)</f>
        <v>8</v>
      </c>
      <c r="H74" s="284"/>
      <c r="I74" s="396">
        <f>IFERROR(INDEX(ADP!S:S,MATCH(D74,ADP!D:D,0))-RBproj!K74,"")</f>
        <v>-5</v>
      </c>
      <c r="J74" s="127"/>
      <c r="K74" s="89">
        <v>68</v>
      </c>
      <c r="L74" s="2" t="s">
        <v>505</v>
      </c>
      <c r="M74" s="3">
        <f t="shared" si="7"/>
        <v>15</v>
      </c>
      <c r="N74" s="4">
        <f>IFERROR(INDEX(ADP!AC:AC,MATCH(D74,ADP!Y:Y,0)),0)</f>
        <v>15</v>
      </c>
      <c r="O74" s="4" t="s">
        <v>6</v>
      </c>
      <c r="P74" s="4"/>
      <c r="Q74" s="4"/>
      <c r="R74" s="1" t="str">
        <f>IFERROR(VLOOKUP(S74,FFARawStatProjections!AX:AZ,2,FALSE),"")</f>
        <v>CLE</v>
      </c>
      <c r="S74" s="4" t="str">
        <f>INDEX(FFARawStatProjections!AX:AX,MATCH(WRproj!T74,FFARawStatProjections!AZ:AZ,0))</f>
        <v>Donovan Peoples-Jones</v>
      </c>
      <c r="T74">
        <f>LARGE(FFARawStatProjections!AZ:AZ,K74)</f>
        <v>128.52381000000003</v>
      </c>
      <c r="U74" s="249">
        <f t="shared" si="6"/>
        <v>-84.576246666666634</v>
      </c>
      <c r="V74" s="243">
        <f t="shared" si="5"/>
        <v>7153.1415002208387</v>
      </c>
      <c r="W74" s="244"/>
      <c r="X74" s="243">
        <f t="shared" si="8"/>
        <v>-5.2860154166666646</v>
      </c>
      <c r="Y74" s="238">
        <f>IFERROR(
IF(ISBLANK(Beersheet!$A$1)=FALSE,
INDEX(Beersheet!$A:$U,MATCH(S74,INDEX(Beersheet!$A:$U,0,FFARawStatProjections!$BV$2),0),FFARawStatProjections!$BV$6),
IF(X74&gt;6,0,
IF(AND(X74&lt;=6,X74&gt;5),1,
IF(AND(X74&lt;=5,X74&gt;4),2,
IF(AND(X74&lt;=4,X74&gt;3),3,
IF(AND(X74&lt;=3,X74&gt;2),4,
IF(AND(X74&lt;=2,X74&gt;1),5,
IF(AND(X74&lt;=1,X74&gt;0),6,
IF(AND(X74&lt;=0,X74&gt;-1),7,
8))))))))),
10)</f>
        <v>8</v>
      </c>
    </row>
    <row r="75" spans="1:25" ht="15" customHeight="1" x14ac:dyDescent="0.25">
      <c r="A75" s="135"/>
      <c r="B75" s="142" t="s">
        <v>506</v>
      </c>
      <c r="C75" t="str">
        <f>IF(AND(IFERROR(INDEX(Instructions!$T$111:$T$222,MATCH(D75,Instructions!$T$111:$T$222,0)), "")=D75, D75&lt;&gt;""), "X", "")</f>
        <v/>
      </c>
      <c r="D75" s="138" t="s">
        <v>2199</v>
      </c>
      <c r="E75" s="100" t="s">
        <v>161</v>
      </c>
      <c r="F75" s="431">
        <f>IFERROR(IF(AND($F$5="Projected Points",Beersheet!A70&lt;&gt;"QB"), T75, IF(H75="", INDEX(Tier!$B$28:$B$36,MATCH(G75,Tier!$A$28:$A$36,0)), INDEX(Tier!$B$28:$B$36,MATCH(G75,Tier!$A$28:$A$36,0)))), "")</f>
        <v>127.9238</v>
      </c>
      <c r="G75" s="250">
        <f t="shared" si="9"/>
        <v>8</v>
      </c>
      <c r="H75" s="252"/>
      <c r="I75" s="396">
        <f>IFERROR(INDEX(ADP!S:S,MATCH(D75,ADP!D:D,0))-RBproj!K75,"")</f>
        <v>-25</v>
      </c>
      <c r="J75" s="127"/>
      <c r="K75" s="89">
        <v>69</v>
      </c>
      <c r="L75" s="2" t="s">
        <v>506</v>
      </c>
      <c r="M75" s="3">
        <f t="shared" si="7"/>
        <v>1.3000000000000007</v>
      </c>
      <c r="N75" s="4">
        <f>IFERROR(INDEX(ADP!AC:AC,MATCH(D75,ADP!Y:Y,0)),0)</f>
        <v>9.4</v>
      </c>
      <c r="O75" s="4" t="s">
        <v>6</v>
      </c>
      <c r="P75" s="4"/>
      <c r="Q75" s="4"/>
      <c r="R75" s="1" t="str">
        <f>IFERROR(VLOOKUP(S75,FFARawStatProjections!AX:AZ,2,FALSE),"")</f>
        <v>CLE</v>
      </c>
      <c r="S75" s="4" t="str">
        <f>INDEX(FFARawStatProjections!AX:AX,MATCH(WRproj!T75,FFARawStatProjections!AZ:AZ,0))</f>
        <v>Elijah Moore</v>
      </c>
      <c r="T75">
        <f>LARGE(FFARawStatProjections!AZ:AZ,K75)</f>
        <v>127.9238</v>
      </c>
      <c r="U75" s="249">
        <f t="shared" si="6"/>
        <v>-85.17625666666666</v>
      </c>
      <c r="V75" s="243">
        <f t="shared" si="5"/>
        <v>7254.9946997458765</v>
      </c>
      <c r="W75" s="244"/>
      <c r="X75" s="243">
        <f t="shared" si="8"/>
        <v>-5.3235160416666663</v>
      </c>
      <c r="Y75" s="238">
        <f>IFERROR(
IF(ISBLANK(Beersheet!$A$1)=FALSE,
INDEX(Beersheet!$A:$U,MATCH(S75,INDEX(Beersheet!$A:$U,0,FFARawStatProjections!$BV$2),0),FFARawStatProjections!$BV$6),
IF(X75&gt;6,0,
IF(AND(X75&lt;=6,X75&gt;5),1,
IF(AND(X75&lt;=5,X75&gt;4),2,
IF(AND(X75&lt;=4,X75&gt;3),3,
IF(AND(X75&lt;=3,X75&gt;2),4,
IF(AND(X75&lt;=2,X75&gt;1),5,
IF(AND(X75&lt;=1,X75&gt;0),6,
IF(AND(X75&lt;=0,X75&gt;-1),7,
8))))))))),
10)</f>
        <v>8</v>
      </c>
    </row>
    <row r="76" spans="1:25" ht="15" customHeight="1" x14ac:dyDescent="0.25">
      <c r="A76" s="135"/>
      <c r="B76" s="143" t="s">
        <v>507</v>
      </c>
      <c r="C76" t="str">
        <f>IF(AND(IFERROR(INDEX(Instructions!$T$111:$T$222,MATCH(D76,Instructions!$T$111:$T$222,0)), "")=D76, D76&lt;&gt;""), "X", "")</f>
        <v/>
      </c>
      <c r="D76" s="137" t="s">
        <v>2468</v>
      </c>
      <c r="E76" s="99" t="s">
        <v>139</v>
      </c>
      <c r="F76" s="232">
        <f>IFERROR(IF(AND($F$5="Projected Points",Beersheet!A71&lt;&gt;"QB"), T76, IF(H76="", INDEX(Tier!$B$28:$B$36,MATCH(G76,Tier!$A$28:$A$36,0)), INDEX(Tier!$B$28:$B$36,MATCH(G76,Tier!$A$28:$A$36,0)))), "")</f>
        <v>127.74379</v>
      </c>
      <c r="G76" s="283">
        <f t="shared" si="9"/>
        <v>8</v>
      </c>
      <c r="H76" s="284"/>
      <c r="I76" s="396" t="str">
        <f>IFERROR(INDEX(ADP!S:S,MATCH(D76,ADP!D:D,0))-RBproj!K76,"")</f>
        <v/>
      </c>
      <c r="J76" s="127"/>
      <c r="K76" s="89">
        <v>70</v>
      </c>
      <c r="L76" s="2" t="s">
        <v>507</v>
      </c>
      <c r="M76" s="3">
        <f t="shared" si="7"/>
        <v>0</v>
      </c>
      <c r="N76" s="4">
        <f>IFERROR(INDEX(ADP!AC:AC,MATCH(D76,ADP!Y:Y,0)),0)</f>
        <v>0</v>
      </c>
      <c r="O76" s="4" t="s">
        <v>6</v>
      </c>
      <c r="P76" s="4"/>
      <c r="Q76" s="4"/>
      <c r="R76" s="1" t="str">
        <f>IFERROR(VLOOKUP(S76,FFARawStatProjections!AX:AZ,2,FALSE),"")</f>
        <v>LAR</v>
      </c>
      <c r="S76" s="4" t="str">
        <f>INDEX(FFARawStatProjections!AX:AX,MATCH(WRproj!T76,FFARawStatProjections!AZ:AZ,0))</f>
        <v>Van Jefferson</v>
      </c>
      <c r="T76">
        <f>LARGE(FFARawStatProjections!AZ:AZ,K76)</f>
        <v>127.74379</v>
      </c>
      <c r="U76" s="249">
        <f t="shared" si="6"/>
        <v>-85.356266666666656</v>
      </c>
      <c r="V76" s="243">
        <f t="shared" si="5"/>
        <v>7285.6922592711089</v>
      </c>
      <c r="W76" s="244"/>
      <c r="X76" s="243">
        <f t="shared" si="8"/>
        <v>-5.334766666666666</v>
      </c>
      <c r="Y76" s="238">
        <f>IFERROR(
IF(ISBLANK(Beersheet!$A$1)=FALSE,
INDEX(Beersheet!$A:$U,MATCH(S76,INDEX(Beersheet!$A:$U,0,FFARawStatProjections!$BV$2),0),FFARawStatProjections!$BV$6),
IF(X76&gt;6,0,
IF(AND(X76&lt;=6,X76&gt;5),1,
IF(AND(X76&lt;=5,X76&gt;4),2,
IF(AND(X76&lt;=4,X76&gt;3),3,
IF(AND(X76&lt;=3,X76&gt;2),4,
IF(AND(X76&lt;=2,X76&gt;1),5,
IF(AND(X76&lt;=1,X76&gt;0),6,
IF(AND(X76&lt;=0,X76&gt;-1),7,
8))))))))),
10)</f>
        <v>8</v>
      </c>
    </row>
    <row r="77" spans="1:25" ht="15" customHeight="1" x14ac:dyDescent="0.25">
      <c r="A77" s="135"/>
      <c r="B77" s="142" t="s">
        <v>508</v>
      </c>
      <c r="C77" t="str">
        <f>IF(AND(IFERROR(INDEX(Instructions!$T$111:$T$222,MATCH(D77,Instructions!$T$111:$T$222,0)), "")=D77, D77&lt;&gt;""), "X", "")</f>
        <v/>
      </c>
      <c r="D77" s="138" t="s">
        <v>2482</v>
      </c>
      <c r="E77" s="100" t="s">
        <v>154</v>
      </c>
      <c r="F77" s="431">
        <f>IFERROR(IF(AND($F$5="Projected Points",Beersheet!A72&lt;&gt;"QB"), T77, IF(H77="", INDEX(Tier!$B$28:$B$36,MATCH(G77,Tier!$A$28:$A$36,0)), INDEX(Tier!$B$28:$B$36,MATCH(G77,Tier!$A$28:$A$36,0)))), "")</f>
        <v>127.27387</v>
      </c>
      <c r="G77" s="250">
        <f t="shared" si="9"/>
        <v>8</v>
      </c>
      <c r="H77" s="252"/>
      <c r="I77" s="396" t="str">
        <f>IFERROR(INDEX(ADP!S:S,MATCH(D77,ADP!D:D,0))-RBproj!K77,"")</f>
        <v/>
      </c>
      <c r="J77" s="127"/>
      <c r="K77" s="89">
        <v>71</v>
      </c>
      <c r="L77" s="2" t="s">
        <v>508</v>
      </c>
      <c r="M77" s="3">
        <f t="shared" si="7"/>
        <v>0</v>
      </c>
      <c r="N77" s="4">
        <f>IFERROR(INDEX(ADP!AC:AC,MATCH(D77,ADP!Y:Y,0)),0)</f>
        <v>0</v>
      </c>
      <c r="O77" s="4" t="s">
        <v>6</v>
      </c>
      <c r="P77" s="4"/>
      <c r="Q77" s="4"/>
      <c r="R77" s="1" t="str">
        <f>IFERROR(VLOOKUP(S77,FFARawStatProjections!AX:AZ,2,FALSE),"")</f>
        <v>NYG</v>
      </c>
      <c r="S77" s="4" t="str">
        <f>INDEX(FFARawStatProjections!AX:AX,MATCH(WRproj!T77,FFARawStatProjections!AZ:AZ,0))</f>
        <v>Isaiah Hodgins</v>
      </c>
      <c r="T77">
        <f>LARGE(FFARawStatProjections!AZ:AZ,K77)</f>
        <v>127.27387</v>
      </c>
      <c r="U77" s="249">
        <f t="shared" si="6"/>
        <v>-85.826186666666658</v>
      </c>
      <c r="V77" s="243">
        <f t="shared" si="5"/>
        <v>7366.1343177415092</v>
      </c>
      <c r="W77" s="244"/>
      <c r="X77" s="243">
        <f t="shared" si="8"/>
        <v>-5.3641366666666661</v>
      </c>
      <c r="Y77" s="238">
        <f>IFERROR(
IF(ISBLANK(Beersheet!$A$1)=FALSE,
INDEX(Beersheet!$A:$U,MATCH(S77,INDEX(Beersheet!$A:$U,0,FFARawStatProjections!$BV$2),0),FFARawStatProjections!$BV$6),
IF(X77&gt;6,0,
IF(AND(X77&lt;=6,X77&gt;5),1,
IF(AND(X77&lt;=5,X77&gt;4),2,
IF(AND(X77&lt;=4,X77&gt;3),3,
IF(AND(X77&lt;=3,X77&gt;2),4,
IF(AND(X77&lt;=2,X77&gt;1),5,
IF(AND(X77&lt;=1,X77&gt;0),6,
IF(AND(X77&lt;=0,X77&gt;-1),7,
8))))))))),
10)</f>
        <v>8</v>
      </c>
    </row>
    <row r="78" spans="1:25" ht="15" customHeight="1" x14ac:dyDescent="0.25">
      <c r="A78" s="135"/>
      <c r="B78" s="143" t="s">
        <v>509</v>
      </c>
      <c r="C78" t="str">
        <f>IF(AND(IFERROR(INDEX(Instructions!$T$111:$T$222,MATCH(D78,Instructions!$T$111:$T$222,0)), "")=D78, D78&lt;&gt;""), "X", "")</f>
        <v/>
      </c>
      <c r="D78" s="137" t="s">
        <v>2198</v>
      </c>
      <c r="E78" s="99" t="s">
        <v>162</v>
      </c>
      <c r="F78" s="232">
        <f>IFERROR(IF(AND($F$5="Projected Points",Beersheet!A73&lt;&gt;"QB"), T78, IF(H78="", INDEX(Tier!$B$28:$B$36,MATCH(G78,Tier!$A$28:$A$36,0)), INDEX(Tier!$B$28:$B$36,MATCH(G78,Tier!$A$28:$A$36,0)))), "")</f>
        <v>124.59400000000002</v>
      </c>
      <c r="G78" s="283">
        <f t="shared" si="9"/>
        <v>8</v>
      </c>
      <c r="H78" s="284"/>
      <c r="I78" s="396">
        <f>IFERROR(INDEX(ADP!S:S,MATCH(D78,ADP!D:D,0))-RBproj!K78,"")</f>
        <v>-26</v>
      </c>
      <c r="J78" s="127"/>
      <c r="K78" s="89">
        <v>72</v>
      </c>
      <c r="L78" s="2" t="s">
        <v>509</v>
      </c>
      <c r="M78" s="3">
        <f t="shared" si="7"/>
        <v>8.1</v>
      </c>
      <c r="N78" s="4">
        <f>IFERROR(INDEX(ADP!AC:AC,MATCH(D78,ADP!Y:Y,0)),0)</f>
        <v>8.1</v>
      </c>
      <c r="O78" s="4" t="s">
        <v>6</v>
      </c>
      <c r="P78" s="4"/>
      <c r="Q78" s="4"/>
      <c r="R78" s="1" t="str">
        <f>IFERROR(VLOOKUP(S78,FFARawStatProjections!AX:AZ,2,FALSE),"")</f>
        <v>TB</v>
      </c>
      <c r="S78" s="4" t="str">
        <f>INDEX(FFARawStatProjections!AX:AX,MATCH(WRproj!T78,FFARawStatProjections!AZ:AZ,0))</f>
        <v>Russell Gage</v>
      </c>
      <c r="T78">
        <f>LARGE(FFARawStatProjections!AZ:AZ,K78)</f>
        <v>124.59400000000002</v>
      </c>
      <c r="U78" s="249">
        <f t="shared" si="6"/>
        <v>-88.506056666666638</v>
      </c>
      <c r="V78" s="243">
        <f t="shared" si="5"/>
        <v>7833.3220666832058</v>
      </c>
      <c r="W78" s="244"/>
      <c r="X78" s="243">
        <f t="shared" si="8"/>
        <v>-5.5316285416666648</v>
      </c>
      <c r="Y78" s="238">
        <f>IFERROR(
IF(ISBLANK(Beersheet!$A$1)=FALSE,
INDEX(Beersheet!$A:$U,MATCH(S78,INDEX(Beersheet!$A:$U,0,FFARawStatProjections!$BV$2),0),FFARawStatProjections!$BV$6),
IF(X78&gt;6,0,
IF(AND(X78&lt;=6,X78&gt;5),1,
IF(AND(X78&lt;=5,X78&gt;4),2,
IF(AND(X78&lt;=4,X78&gt;3),3,
IF(AND(X78&lt;=3,X78&gt;2),4,
IF(AND(X78&lt;=2,X78&gt;1),5,
IF(AND(X78&lt;=1,X78&gt;0),6,
IF(AND(X78&lt;=0,X78&gt;-1),7,
8))))))))),
10)</f>
        <v>8</v>
      </c>
    </row>
    <row r="79" spans="1:25" ht="15" customHeight="1" x14ac:dyDescent="0.25">
      <c r="A79" s="135"/>
      <c r="B79" s="142" t="s">
        <v>510</v>
      </c>
      <c r="C79" t="str">
        <f>IF(AND(IFERROR(INDEX(Instructions!$T$111:$T$222,MATCH(D79,Instructions!$T$111:$T$222,0)), "")=D79, D79&lt;&gt;""), "X", "")</f>
        <v/>
      </c>
      <c r="D79" s="138" t="s">
        <v>2325</v>
      </c>
      <c r="E79" s="100" t="s">
        <v>142</v>
      </c>
      <c r="F79" s="431">
        <f>IFERROR(IF(AND($F$5="Projected Points",Beersheet!A74&lt;&gt;"QB"), T79, IF(H79="", INDEX(Tier!$B$28:$B$36,MATCH(G79,Tier!$A$28:$A$36,0)), INDEX(Tier!$B$28:$B$36,MATCH(G79,Tier!$A$28:$A$36,0)))), "")</f>
        <v>124.07390000000001</v>
      </c>
      <c r="G79" s="250">
        <f t="shared" si="9"/>
        <v>8</v>
      </c>
      <c r="H79" s="252"/>
      <c r="I79" s="396">
        <f>IFERROR(INDEX(ADP!S:S,MATCH(D79,ADP!D:D,0))-RBproj!K79,"")</f>
        <v>-24</v>
      </c>
      <c r="J79" s="127"/>
      <c r="K79" s="89">
        <v>73</v>
      </c>
      <c r="L79" s="2" t="s">
        <v>510</v>
      </c>
      <c r="M79" s="3">
        <f t="shared" si="7"/>
        <v>11.3</v>
      </c>
      <c r="N79" s="4">
        <f>IFERROR(INDEX(ADP!AC:AC,MATCH(D79,ADP!Y:Y,0)),0)</f>
        <v>11.3</v>
      </c>
      <c r="O79" s="4" t="s">
        <v>6</v>
      </c>
      <c r="P79" s="4"/>
      <c r="Q79" s="4"/>
      <c r="R79" s="1" t="str">
        <f>IFERROR(VLOOKUP(S79,FFARawStatProjections!AX:AZ,2,FALSE),"")</f>
        <v>HOU</v>
      </c>
      <c r="S79" s="4" t="str">
        <f>INDEX(FFARawStatProjections!AX:AX,MATCH(WRproj!T79,FFARawStatProjections!AZ:AZ,0))</f>
        <v>Robert Woods</v>
      </c>
      <c r="T79">
        <f>LARGE(FFARawStatProjections!AZ:AZ,K79)</f>
        <v>124.07390000000001</v>
      </c>
      <c r="U79" s="249">
        <f t="shared" si="6"/>
        <v>-89.026156666666651</v>
      </c>
      <c r="V79" s="243">
        <f t="shared" si="5"/>
        <v>7925.6565708378748</v>
      </c>
      <c r="W79" s="244"/>
      <c r="X79" s="243">
        <f t="shared" si="8"/>
        <v>-5.5641347916666657</v>
      </c>
      <c r="Y79" s="238">
        <f>IFERROR(
IF(ISBLANK(Beersheet!$A$1)=FALSE,
INDEX(Beersheet!$A:$U,MATCH(S79,INDEX(Beersheet!$A:$U,0,FFARawStatProjections!$BV$2),0),FFARawStatProjections!$BV$6),
IF(X79&gt;6,0,
IF(AND(X79&lt;=6,X79&gt;5),1,
IF(AND(X79&lt;=5,X79&gt;4),2,
IF(AND(X79&lt;=4,X79&gt;3),3,
IF(AND(X79&lt;=3,X79&gt;2),4,
IF(AND(X79&lt;=2,X79&gt;1),5,
IF(AND(X79&lt;=1,X79&gt;0),6,
IF(AND(X79&lt;=0,X79&gt;-1),7,
8))))))))),
10)</f>
        <v>8</v>
      </c>
    </row>
    <row r="80" spans="1:25" ht="15" customHeight="1" x14ac:dyDescent="0.25">
      <c r="A80" s="135"/>
      <c r="B80" s="143" t="s">
        <v>511</v>
      </c>
      <c r="C80" t="str">
        <f>IF(AND(IFERROR(INDEX(Instructions!$T$111:$T$222,MATCH(D80,Instructions!$T$111:$T$222,0)), "")=D80, D80&lt;&gt;""), "X", "")</f>
        <v/>
      </c>
      <c r="D80" s="137" t="s">
        <v>130</v>
      </c>
      <c r="E80" s="99" t="s">
        <v>151</v>
      </c>
      <c r="F80" s="232">
        <f>IFERROR(IF(AND($F$5="Projected Points",Beersheet!A75&lt;&gt;"QB"), T80, IF(H80="", INDEX(Tier!$B$28:$B$36,MATCH(G80,Tier!$A$28:$A$36,0)), INDEX(Tier!$B$28:$B$36,MATCH(G80,Tier!$A$28:$A$36,0)))), "")</f>
        <v>119.40387999999999</v>
      </c>
      <c r="G80" s="283">
        <f t="shared" si="9"/>
        <v>8</v>
      </c>
      <c r="H80" s="284"/>
      <c r="I80" s="396" t="str">
        <f>IFERROR(INDEX(ADP!S:S,MATCH(D80,ADP!D:D,0))-RBproj!K80,"")</f>
        <v/>
      </c>
      <c r="J80" s="127"/>
      <c r="K80" s="89">
        <v>74</v>
      </c>
      <c r="L80" s="2" t="s">
        <v>511</v>
      </c>
      <c r="M80" s="3">
        <f t="shared" si="7"/>
        <v>0</v>
      </c>
      <c r="N80" s="4">
        <f>IFERROR(INDEX(ADP!AC:AC,MATCH(D80,ADP!Y:Y,0)),0)</f>
        <v>0</v>
      </c>
      <c r="O80" s="4" t="s">
        <v>6</v>
      </c>
      <c r="P80" s="4"/>
      <c r="Q80" s="4"/>
      <c r="R80" s="1" t="str">
        <f>IFERROR(VLOOKUP(S80,FFARawStatProjections!AX:AZ,2,FALSE),"")</f>
        <v>BAL</v>
      </c>
      <c r="S80" s="4" t="str">
        <f>INDEX(FFARawStatProjections!AX:AX,MATCH(WRproj!T80,FFARawStatProjections!AZ:AZ,0))</f>
        <v>Rashod Bateman</v>
      </c>
      <c r="T80">
        <f>LARGE(FFARawStatProjections!AZ:AZ,K80)</f>
        <v>119.40387999999999</v>
      </c>
      <c r="U80" s="249">
        <f t="shared" si="6"/>
        <v>-93.696176666666673</v>
      </c>
      <c r="V80" s="243">
        <f t="shared" si="5"/>
        <v>8778.9735219512131</v>
      </c>
      <c r="W80" s="244"/>
      <c r="X80" s="243">
        <f t="shared" si="8"/>
        <v>-5.8560110416666671</v>
      </c>
      <c r="Y80" s="238">
        <f>IFERROR(
IF(ISBLANK(Beersheet!$A$1)=FALSE,
INDEX(Beersheet!$A:$U,MATCH(S80,INDEX(Beersheet!$A:$U,0,FFARawStatProjections!$BV$2),0),FFARawStatProjections!$BV$6),
IF(X80&gt;6,0,
IF(AND(X80&lt;=6,X80&gt;5),1,
IF(AND(X80&lt;=5,X80&gt;4),2,
IF(AND(X80&lt;=4,X80&gt;3),3,
IF(AND(X80&lt;=3,X80&gt;2),4,
IF(AND(X80&lt;=2,X80&gt;1),5,
IF(AND(X80&lt;=1,X80&gt;0),6,
IF(AND(X80&lt;=0,X80&gt;-1),7,
8))))))))),
10)</f>
        <v>8</v>
      </c>
    </row>
    <row r="81" spans="1:25" ht="15" customHeight="1" x14ac:dyDescent="0.25">
      <c r="A81" s="135"/>
      <c r="B81" s="142" t="s">
        <v>512</v>
      </c>
      <c r="C81" t="str">
        <f>IF(AND(IFERROR(INDEX(Instructions!$T$111:$T$222,MATCH(D81,Instructions!$T$111:$T$222,0)), "")=D81, D81&lt;&gt;""), "X", "")</f>
        <v/>
      </c>
      <c r="D81" s="138" t="s">
        <v>2421</v>
      </c>
      <c r="E81" s="100" t="s">
        <v>143</v>
      </c>
      <c r="F81" s="431">
        <f>IFERROR(IF(AND($F$5="Projected Points",Beersheet!A76&lt;&gt;"QB"), T81, IF(H81="", INDEX(Tier!$B$28:$B$36,MATCH(G81,Tier!$A$28:$A$36,0)), INDEX(Tier!$B$28:$B$36,MATCH(G81,Tier!$A$28:$A$36,0)))), "")</f>
        <v>118.57385000000001</v>
      </c>
      <c r="G81" s="250">
        <f t="shared" si="9"/>
        <v>8</v>
      </c>
      <c r="H81" s="252"/>
      <c r="I81" s="396" t="str">
        <f>IFERROR(INDEX(ADP!S:S,MATCH(D81,ADP!D:D,0))-RBproj!K81,"")</f>
        <v/>
      </c>
      <c r="J81" s="127"/>
      <c r="K81" s="89">
        <v>75</v>
      </c>
      <c r="L81" s="2" t="s">
        <v>512</v>
      </c>
      <c r="M81" s="3">
        <f t="shared" si="7"/>
        <v>0</v>
      </c>
      <c r="N81" s="4">
        <f>IFERROR(INDEX(ADP!AC:AC,MATCH(D81,ADP!Y:Y,0)),0)</f>
        <v>0</v>
      </c>
      <c r="O81" s="4" t="s">
        <v>6</v>
      </c>
      <c r="P81" s="4"/>
      <c r="Q81" s="4"/>
      <c r="R81" s="1" t="str">
        <f>IFERROR(VLOOKUP(S81,FFARawStatProjections!AX:AZ,2,FALSE),"")</f>
        <v>DET</v>
      </c>
      <c r="S81" s="4" t="str">
        <f>INDEX(FFARawStatProjections!AX:AX,MATCH(WRproj!T81,FFARawStatProjections!AZ:AZ,0))</f>
        <v>Jameson Williams</v>
      </c>
      <c r="T81">
        <f>LARGE(FFARawStatProjections!AZ:AZ,K81)</f>
        <v>118.57385000000001</v>
      </c>
      <c r="U81" s="249">
        <f t="shared" si="6"/>
        <v>-94.526206666666653</v>
      </c>
      <c r="V81" s="243">
        <f t="shared" si="5"/>
        <v>8935.2037467893751</v>
      </c>
      <c r="W81" s="244"/>
      <c r="X81" s="243">
        <f t="shared" si="8"/>
        <v>-5.9078879166666658</v>
      </c>
      <c r="Y81" s="238">
        <f>IFERROR(
IF(ISBLANK(Beersheet!$A$1)=FALSE,
INDEX(Beersheet!$A:$U,MATCH(S81,INDEX(Beersheet!$A:$U,0,FFARawStatProjections!$BV$2),0),FFARawStatProjections!$BV$6),
IF(X81&gt;6,0,
IF(AND(X81&lt;=6,X81&gt;5),1,
IF(AND(X81&lt;=5,X81&gt;4),2,
IF(AND(X81&lt;=4,X81&gt;3),3,
IF(AND(X81&lt;=3,X81&gt;2),4,
IF(AND(X81&lt;=2,X81&gt;1),5,
IF(AND(X81&lt;=1,X81&gt;0),6,
IF(AND(X81&lt;=0,X81&gt;-1),7,
8))))))))),
10)</f>
        <v>8</v>
      </c>
    </row>
    <row r="82" spans="1:25" ht="15" customHeight="1" x14ac:dyDescent="0.25">
      <c r="A82" s="135"/>
      <c r="B82" s="143" t="s">
        <v>513</v>
      </c>
      <c r="C82" t="str">
        <f>IF(AND(IFERROR(INDEX(Instructions!$T$111:$T$222,MATCH(D82,Instructions!$T$111:$T$222,0)), "")=D82, D82&lt;&gt;""), "X", "")</f>
        <v/>
      </c>
      <c r="D82" s="137" t="s">
        <v>1806</v>
      </c>
      <c r="E82" s="99" t="s">
        <v>149</v>
      </c>
      <c r="F82" s="232">
        <f>IFERROR(IF(AND($F$5="Projected Points",Beersheet!A77&lt;&gt;"QB"), T82, IF(H82="", INDEX(Tier!$B$28:$B$36,MATCH(G82,Tier!$A$28:$A$36,0)), INDEX(Tier!$B$28:$B$36,MATCH(G82,Tier!$A$28:$A$36,0)))), "")</f>
        <v>116.27386000000001</v>
      </c>
      <c r="G82" s="283">
        <f t="shared" si="9"/>
        <v>8</v>
      </c>
      <c r="H82" s="284"/>
      <c r="I82" s="396" t="str">
        <f>IFERROR(INDEX(ADP!S:S,MATCH(D82,ADP!D:D,0))-RBproj!K82,"")</f>
        <v/>
      </c>
      <c r="J82" s="127"/>
      <c r="K82" s="89">
        <v>76</v>
      </c>
      <c r="L82" s="2" t="s">
        <v>513</v>
      </c>
      <c r="M82" s="3">
        <f t="shared" si="7"/>
        <v>0</v>
      </c>
      <c r="N82" s="4">
        <f>IFERROR(INDEX(ADP!AC:AC,MATCH(D82,ADP!Y:Y,0)),0)</f>
        <v>0</v>
      </c>
      <c r="O82" s="4" t="s">
        <v>6</v>
      </c>
      <c r="P82" s="4"/>
      <c r="Q82" s="4"/>
      <c r="R82" s="1" t="str">
        <f>IFERROR(VLOOKUP(S82,FFARawStatProjections!AX:AZ,2,FALSE),"")</f>
        <v>NO</v>
      </c>
      <c r="S82" s="4" t="str">
        <f>INDEX(FFARawStatProjections!AX:AX,MATCH(WRproj!T82,FFARawStatProjections!AZ:AZ,0))</f>
        <v>Rashid Shaheed</v>
      </c>
      <c r="T82">
        <f>LARGE(FFARawStatProjections!AZ:AZ,K82)</f>
        <v>116.27386000000001</v>
      </c>
      <c r="U82" s="249">
        <f t="shared" si="6"/>
        <v>-96.826196666666647</v>
      </c>
      <c r="V82" s="243">
        <f t="shared" si="5"/>
        <v>9375.3123609320064</v>
      </c>
      <c r="W82" s="244"/>
      <c r="X82" s="243">
        <f t="shared" si="8"/>
        <v>-6.0516372916666654</v>
      </c>
      <c r="Y82" s="238">
        <f>IFERROR(
IF(ISBLANK(Beersheet!$A$1)=FALSE,
INDEX(Beersheet!$A:$U,MATCH(S82,INDEX(Beersheet!$A:$U,0,FFARawStatProjections!$BV$2),0),FFARawStatProjections!$BV$6),
IF(X82&gt;6,0,
IF(AND(X82&lt;=6,X82&gt;5),1,
IF(AND(X82&lt;=5,X82&gt;4),2,
IF(AND(X82&lt;=4,X82&gt;3),3,
IF(AND(X82&lt;=3,X82&gt;2),4,
IF(AND(X82&lt;=2,X82&gt;1),5,
IF(AND(X82&lt;=1,X82&gt;0),6,
IF(AND(X82&lt;=0,X82&gt;-1),7,
8))))))))),
10)</f>
        <v>8</v>
      </c>
    </row>
    <row r="83" spans="1:25" ht="15" customHeight="1" x14ac:dyDescent="0.25">
      <c r="A83" s="135"/>
      <c r="B83" s="142" t="s">
        <v>514</v>
      </c>
      <c r="C83" t="str">
        <f>IF(AND(IFERROR(INDEX(Instructions!$T$111:$T$222,MATCH(D83,Instructions!$T$111:$T$222,0)), "")=D83, D83&lt;&gt;""), "X", "")</f>
        <v/>
      </c>
      <c r="D83" s="138" t="s">
        <v>2327</v>
      </c>
      <c r="E83" s="100" t="s">
        <v>158</v>
      </c>
      <c r="F83" s="431">
        <f>IFERROR(IF(AND($F$5="Projected Points",Beersheet!A78&lt;&gt;"QB"), T83, IF(H83="", INDEX(Tier!$B$28:$B$36,MATCH(G83,Tier!$A$28:$A$36,0)), INDEX(Tier!$B$28:$B$36,MATCH(G83,Tier!$A$28:$A$36,0)))), "")</f>
        <v>113.36389</v>
      </c>
      <c r="G83" s="250">
        <f t="shared" si="9"/>
        <v>8</v>
      </c>
      <c r="H83" s="252"/>
      <c r="I83" s="396">
        <f>IFERROR(INDEX(ADP!S:S,MATCH(D83,ADP!D:D,0))-RBproj!K83,"")</f>
        <v>-7</v>
      </c>
      <c r="J83" s="127"/>
      <c r="K83" s="89">
        <v>77</v>
      </c>
      <c r="L83" s="2" t="s">
        <v>514</v>
      </c>
      <c r="M83" s="3">
        <f t="shared" si="7"/>
        <v>15.1</v>
      </c>
      <c r="N83" s="4">
        <f>IFERROR(INDEX(ADP!AC:AC,MATCH(D83,ADP!Y:Y,0)),0)</f>
        <v>15.1</v>
      </c>
      <c r="O83" s="4" t="s">
        <v>6</v>
      </c>
      <c r="P83" s="4"/>
      <c r="Q83" s="4"/>
      <c r="R83" s="1" t="str">
        <f>IFERROR(VLOOKUP(S83,FFARawStatProjections!AX:AZ,2,FALSE),"")</f>
        <v>IND</v>
      </c>
      <c r="S83" s="4" t="str">
        <f>INDEX(FFARawStatProjections!AX:AX,MATCH(WRproj!T83,FFARawStatProjections!AZ:AZ,0))</f>
        <v>Alec Pierce</v>
      </c>
      <c r="T83">
        <f>LARGE(FFARawStatProjections!AZ:AZ,K83)</f>
        <v>113.36389</v>
      </c>
      <c r="U83" s="249">
        <f t="shared" si="6"/>
        <v>-99.736166666666662</v>
      </c>
      <c r="V83" s="243">
        <f t="shared" si="5"/>
        <v>9947.3029413611093</v>
      </c>
      <c r="W83" s="244"/>
      <c r="X83" s="243">
        <f t="shared" si="8"/>
        <v>-6.2335104166666664</v>
      </c>
      <c r="Y83" s="238">
        <f>IFERROR(
IF(ISBLANK(Beersheet!$A$1)=FALSE,
INDEX(Beersheet!$A:$U,MATCH(S83,INDEX(Beersheet!$A:$U,0,FFARawStatProjections!$BV$2),0),FFARawStatProjections!$BV$6),
IF(X83&gt;6,0,
IF(AND(X83&lt;=6,X83&gt;5),1,
IF(AND(X83&lt;=5,X83&gt;4),2,
IF(AND(X83&lt;=4,X83&gt;3),3,
IF(AND(X83&lt;=3,X83&gt;2),4,
IF(AND(X83&lt;=2,X83&gt;1),5,
IF(AND(X83&lt;=1,X83&gt;0),6,
IF(AND(X83&lt;=0,X83&gt;-1),7,
8))))))))),
10)</f>
        <v>8</v>
      </c>
    </row>
    <row r="84" spans="1:25" ht="15" customHeight="1" x14ac:dyDescent="0.25">
      <c r="A84" s="135"/>
      <c r="B84" s="143" t="s">
        <v>515</v>
      </c>
      <c r="C84" t="str">
        <f>IF(AND(IFERROR(INDEX(Instructions!$T$111:$T$222,MATCH(D84,Instructions!$T$111:$T$222,0)), "")=D84, D84&lt;&gt;""), "X", "")</f>
        <v/>
      </c>
      <c r="D84" s="137" t="s">
        <v>2330</v>
      </c>
      <c r="E84" s="99" t="s">
        <v>151</v>
      </c>
      <c r="F84" s="232">
        <f>IFERROR(IF(AND($F$5="Projected Points",Beersheet!A79&lt;&gt;"QB"), T84, IF(H84="", INDEX(Tier!$B$28:$B$36,MATCH(G84,Tier!$A$28:$A$36,0)), INDEX(Tier!$B$28:$B$36,MATCH(G84,Tier!$A$28:$A$36,0)))), "")</f>
        <v>112.47391</v>
      </c>
      <c r="G84" s="283">
        <f t="shared" si="9"/>
        <v>8</v>
      </c>
      <c r="H84" s="284"/>
      <c r="I84" s="396">
        <f>IFERROR(INDEX(ADP!S:S,MATCH(D84,ADP!D:D,0))-RBproj!K84,"")</f>
        <v>-14</v>
      </c>
      <c r="J84" s="127"/>
      <c r="K84" s="89">
        <v>78</v>
      </c>
      <c r="L84" s="2" t="s">
        <v>515</v>
      </c>
      <c r="M84" s="3">
        <f t="shared" si="7"/>
        <v>17.2</v>
      </c>
      <c r="N84" s="4">
        <f>IFERROR(INDEX(ADP!AC:AC,MATCH(D84,ADP!Y:Y,0)),0)</f>
        <v>17.2</v>
      </c>
      <c r="O84" s="4" t="s">
        <v>6</v>
      </c>
      <c r="P84" s="4"/>
      <c r="Q84" s="4"/>
      <c r="R84" s="1" t="str">
        <f>IFERROR(VLOOKUP(S84,FFARawStatProjections!AX:AZ,2,FALSE),"")</f>
        <v>HOU</v>
      </c>
      <c r="S84" s="4" t="str">
        <f>INDEX(FFARawStatProjections!AX:AX,MATCH(WRproj!T84,FFARawStatProjections!AZ:AZ,0))</f>
        <v>John Metchie</v>
      </c>
      <c r="T84">
        <f>LARGE(FFARawStatProjections!AZ:AZ,K84)</f>
        <v>112.47391</v>
      </c>
      <c r="U84" s="249">
        <f t="shared" si="6"/>
        <v>-100.62614666666666</v>
      </c>
      <c r="V84" s="243">
        <f t="shared" si="5"/>
        <v>10125.621392981509</v>
      </c>
      <c r="W84" s="244"/>
      <c r="X84" s="243">
        <f t="shared" si="8"/>
        <v>-6.289134166666666</v>
      </c>
      <c r="Y84" s="238">
        <f>IFERROR(
IF(ISBLANK(Beersheet!$A$1)=FALSE,
INDEX(Beersheet!$A:$U,MATCH(S84,INDEX(Beersheet!$A:$U,0,FFARawStatProjections!$BV$2),0),FFARawStatProjections!$BV$6),
IF(X84&gt;6,0,
IF(AND(X84&lt;=6,X84&gt;5),1,
IF(AND(X84&lt;=5,X84&gt;4),2,
IF(AND(X84&lt;=4,X84&gt;3),3,
IF(AND(X84&lt;=3,X84&gt;2),4,
IF(AND(X84&lt;=2,X84&gt;1),5,
IF(AND(X84&lt;=1,X84&gt;0),6,
IF(AND(X84&lt;=0,X84&gt;-1),7,
8))))))))),
10)</f>
        <v>8</v>
      </c>
    </row>
    <row r="85" spans="1:25" ht="15" customHeight="1" x14ac:dyDescent="0.25">
      <c r="A85" s="135"/>
      <c r="B85" s="142" t="s">
        <v>516</v>
      </c>
      <c r="C85" t="str">
        <f>IF(AND(IFERROR(INDEX(Instructions!$T$111:$T$222,MATCH(D85,Instructions!$T$111:$T$222,0)), "")=D85, D85&lt;&gt;""), "X", "")</f>
        <v/>
      </c>
      <c r="D85" s="138" t="s">
        <v>1858</v>
      </c>
      <c r="E85" s="100" t="s">
        <v>164</v>
      </c>
      <c r="F85" s="431">
        <f>IFERROR(IF(AND($F$5="Projected Points",Beersheet!A80&lt;&gt;"QB"), T85, IF(H85="", INDEX(Tier!$B$28:$B$36,MATCH(G85,Tier!$A$28:$A$36,0)), INDEX(Tier!$B$28:$B$36,MATCH(G85,Tier!$A$28:$A$36,0)))), "")</f>
        <v>110.21396999999999</v>
      </c>
      <c r="G85" s="250">
        <f t="shared" si="9"/>
        <v>8</v>
      </c>
      <c r="H85" s="252"/>
      <c r="I85" s="396" t="str">
        <f>IFERROR(INDEX(ADP!S:S,MATCH(D85,ADP!D:D,0))-RBproj!K85,"")</f>
        <v/>
      </c>
      <c r="J85" s="127"/>
      <c r="K85" s="89">
        <v>79</v>
      </c>
      <c r="L85" s="2" t="s">
        <v>516</v>
      </c>
      <c r="M85" s="3">
        <f t="shared" si="7"/>
        <v>0</v>
      </c>
      <c r="N85" s="4">
        <f>IFERROR(INDEX(ADP!AC:AC,MATCH(D85,ADP!Y:Y,0)),0)</f>
        <v>0</v>
      </c>
      <c r="O85" s="4" t="s">
        <v>6</v>
      </c>
      <c r="P85" s="4"/>
      <c r="Q85" s="4"/>
      <c r="R85" s="1" t="str">
        <f>IFERROR(VLOOKUP(S85,FFARawStatProjections!AX:AZ,2,FALSE),"")</f>
        <v>ATL</v>
      </c>
      <c r="S85" s="4" t="str">
        <f>INDEX(FFARawStatProjections!AX:AX,MATCH(WRproj!T85,FFARawStatProjections!AZ:AZ,0))</f>
        <v>Mack Hollins</v>
      </c>
      <c r="T85">
        <f>LARGE(FFARawStatProjections!AZ:AZ,K85)</f>
        <v>110.21396999999999</v>
      </c>
      <c r="U85" s="249">
        <f t="shared" si="6"/>
        <v>-102.88608666666667</v>
      </c>
      <c r="V85" s="243">
        <f t="shared" si="5"/>
        <v>10585.546829580846</v>
      </c>
      <c r="W85" s="244"/>
      <c r="X85" s="243">
        <f t="shared" si="8"/>
        <v>-6.4303804166666669</v>
      </c>
      <c r="Y85" s="238">
        <f>IFERROR(
IF(ISBLANK(Beersheet!$A$1)=FALSE,
INDEX(Beersheet!$A:$U,MATCH(S85,INDEX(Beersheet!$A:$U,0,FFARawStatProjections!$BV$2),0),FFARawStatProjections!$BV$6),
IF(X85&gt;6,0,
IF(AND(X85&lt;=6,X85&gt;5),1,
IF(AND(X85&lt;=5,X85&gt;4),2,
IF(AND(X85&lt;=4,X85&gt;3),3,
IF(AND(X85&lt;=3,X85&gt;2),4,
IF(AND(X85&lt;=2,X85&gt;1),5,
IF(AND(X85&lt;=1,X85&gt;0),6,
IF(AND(X85&lt;=0,X85&gt;-1),7,
8))))))))),
10)</f>
        <v>8</v>
      </c>
    </row>
    <row r="86" spans="1:25" ht="15" customHeight="1" x14ac:dyDescent="0.25">
      <c r="A86" s="135"/>
      <c r="B86" s="143" t="s">
        <v>517</v>
      </c>
      <c r="C86" t="str">
        <f>IF(AND(IFERROR(INDEX(Instructions!$T$111:$T$222,MATCH(D86,Instructions!$T$111:$T$222,0)), "")=D86, D86&lt;&gt;""), "X", "")</f>
        <v/>
      </c>
      <c r="D86" s="137" t="s">
        <v>1450</v>
      </c>
      <c r="E86" s="99" t="s">
        <v>148</v>
      </c>
      <c r="F86" s="232">
        <f>IFERROR(IF(AND($F$5="Projected Points",Beersheet!A81&lt;&gt;"QB"), T86, IF(H86="", INDEX(Tier!$B$28:$B$36,MATCH(G86,Tier!$A$28:$A$36,0)), INDEX(Tier!$B$28:$B$36,MATCH(G86,Tier!$A$28:$A$36,0)))), "")</f>
        <v>107.65393</v>
      </c>
      <c r="G86" s="283">
        <f t="shared" si="9"/>
        <v>8</v>
      </c>
      <c r="H86" s="284"/>
      <c r="I86" s="396" t="str">
        <f>IFERROR(INDEX(ADP!S:S,MATCH(D86,ADP!D:D,0))-RBproj!K86,"")</f>
        <v/>
      </c>
      <c r="J86" s="127"/>
      <c r="K86" s="89">
        <v>80</v>
      </c>
      <c r="L86" s="2" t="s">
        <v>517</v>
      </c>
      <c r="M86" s="3">
        <f t="shared" si="7"/>
        <v>0</v>
      </c>
      <c r="N86" s="4">
        <f>IFERROR(INDEX(ADP!AC:AC,MATCH(D86,ADP!Y:Y,0)),0)</f>
        <v>0</v>
      </c>
      <c r="O86" s="4" t="s">
        <v>6</v>
      </c>
      <c r="P86" s="4"/>
      <c r="Q86" s="4"/>
      <c r="R86" s="1" t="str">
        <f>IFERROR(VLOOKUP(S86,FFARawStatProjections!AX:AZ,2,FALSE),"")</f>
        <v>NYJ</v>
      </c>
      <c r="S86" s="4" t="str">
        <f>INDEX(FFARawStatProjections!AX:AX,MATCH(WRproj!T86,FFARawStatProjections!AZ:AZ,0))</f>
        <v>Mecole Hardman</v>
      </c>
      <c r="T86">
        <f>LARGE(FFARawStatProjections!AZ:AZ,K86)</f>
        <v>107.65393</v>
      </c>
      <c r="U86" s="249">
        <f t="shared" si="6"/>
        <v>-105.44612666666666</v>
      </c>
      <c r="V86" s="243">
        <f t="shared" si="5"/>
        <v>11118.885629002709</v>
      </c>
      <c r="W86" s="244"/>
      <c r="X86" s="243">
        <f t="shared" si="8"/>
        <v>-6.5903829166666661</v>
      </c>
      <c r="Y86" s="238">
        <f>IFERROR(
IF(ISBLANK(Beersheet!$A$1)=FALSE,
INDEX(Beersheet!$A:$U,MATCH(S86,INDEX(Beersheet!$A:$U,0,FFARawStatProjections!$BV$2),0),FFARawStatProjections!$BV$6),
IF(X86&gt;6,0,
IF(AND(X86&lt;=6,X86&gt;5),1,
IF(AND(X86&lt;=5,X86&gt;4),2,
IF(AND(X86&lt;=4,X86&gt;3),3,
IF(AND(X86&lt;=3,X86&gt;2),4,
IF(AND(X86&lt;=2,X86&gt;1),5,
IF(AND(X86&lt;=1,X86&gt;0),6,
IF(AND(X86&lt;=0,X86&gt;-1),7,
8))))))))),
10)</f>
        <v>8</v>
      </c>
    </row>
    <row r="87" spans="1:25" ht="15" customHeight="1" x14ac:dyDescent="0.25">
      <c r="A87" s="135"/>
      <c r="B87" s="142" t="s">
        <v>518</v>
      </c>
      <c r="C87" t="str">
        <f>IF(AND(IFERROR(INDEX(Instructions!$T$111:$T$222,MATCH(D87,Instructions!$T$111:$T$222,0)), "")=D87, D87&lt;&gt;""), "X", "")</f>
        <v/>
      </c>
      <c r="D87" s="138" t="s">
        <v>2095</v>
      </c>
      <c r="E87" s="100" t="s">
        <v>141</v>
      </c>
      <c r="F87" s="431">
        <f>IFERROR(IF(AND($F$5="Projected Points",Beersheet!A82&lt;&gt;"QB"), T87, IF(H87="", INDEX(Tier!$B$28:$B$36,MATCH(G87,Tier!$A$28:$A$36,0)), INDEX(Tier!$B$28:$B$36,MATCH(G87,Tier!$A$28:$A$36,0)))), "")</f>
        <v>106.95395000000001</v>
      </c>
      <c r="G87" s="250">
        <f t="shared" si="9"/>
        <v>8</v>
      </c>
      <c r="H87" s="252"/>
      <c r="I87" s="396">
        <f>IFERROR(INDEX(ADP!S:S,MATCH(D87,ADP!D:D,0))-RBproj!K87,"")</f>
        <v>-14</v>
      </c>
      <c r="J87" s="127"/>
      <c r="K87" s="89">
        <v>81</v>
      </c>
      <c r="L87" s="2" t="s">
        <v>518</v>
      </c>
      <c r="M87" s="3">
        <f t="shared" si="7"/>
        <v>11</v>
      </c>
      <c r="N87" s="4">
        <f>IFERROR(INDEX(ADP!AC:AC,MATCH(D87,ADP!Y:Y,0)),0)</f>
        <v>11</v>
      </c>
      <c r="O87" s="4" t="s">
        <v>6</v>
      </c>
      <c r="P87" s="4"/>
      <c r="Q87" s="4"/>
      <c r="R87" s="1" t="str">
        <f>IFERROR(VLOOKUP(S87,FFARawStatProjections!AX:AZ,2,FALSE),"")</f>
        <v>DET</v>
      </c>
      <c r="S87" s="4" t="str">
        <f>INDEX(FFARawStatProjections!AX:AX,MATCH(WRproj!T87,FFARawStatProjections!AZ:AZ,0))</f>
        <v>Marvin Jones</v>
      </c>
      <c r="T87">
        <f>LARGE(FFARawStatProjections!AZ:AZ,K87)</f>
        <v>106.95395000000001</v>
      </c>
      <c r="U87" s="249">
        <f t="shared" si="6"/>
        <v>-106.14610666666665</v>
      </c>
      <c r="V87" s="243">
        <f t="shared" si="5"/>
        <v>11266.995960491375</v>
      </c>
      <c r="W87" s="244"/>
      <c r="X87" s="243">
        <f t="shared" si="8"/>
        <v>-6.6341316666666659</v>
      </c>
      <c r="Y87" s="238">
        <f>IFERROR(
IF(ISBLANK(Beersheet!$A$1)=FALSE,
INDEX(Beersheet!$A:$U,MATCH(S87,INDEX(Beersheet!$A:$U,0,FFARawStatProjections!$BV$2),0),FFARawStatProjections!$BV$6),
IF(X87&gt;6,0,
IF(AND(X87&lt;=6,X87&gt;5),1,
IF(AND(X87&lt;=5,X87&gt;4),2,
IF(AND(X87&lt;=4,X87&gt;3),3,
IF(AND(X87&lt;=3,X87&gt;2),4,
IF(AND(X87&lt;=2,X87&gt;1),5,
IF(AND(X87&lt;=1,X87&gt;0),6,
IF(AND(X87&lt;=0,X87&gt;-1),7,
8))))))))),
10)</f>
        <v>8</v>
      </c>
    </row>
    <row r="88" spans="1:25" ht="15" customHeight="1" x14ac:dyDescent="0.25">
      <c r="A88" s="135"/>
      <c r="B88" s="143" t="s">
        <v>519</v>
      </c>
      <c r="C88" t="str">
        <f>IF(AND(IFERROR(INDEX(Instructions!$T$111:$T$222,MATCH(D88,Instructions!$T$111:$T$222,0)), "")=D88, D88&lt;&gt;""), "X", "")</f>
        <v/>
      </c>
      <c r="D88" s="137" t="s">
        <v>118</v>
      </c>
      <c r="E88" s="99" t="s">
        <v>142</v>
      </c>
      <c r="F88" s="232">
        <f>IFERROR(IF(AND($F$5="Projected Points",Beersheet!A83&lt;&gt;"QB"), T88, IF(H88="", INDEX(Tier!$B$28:$B$36,MATCH(G88,Tier!$A$28:$A$36,0)), INDEX(Tier!$B$28:$B$36,MATCH(G88,Tier!$A$28:$A$36,0)))), "")</f>
        <v>106.67392</v>
      </c>
      <c r="G88" s="283">
        <f t="shared" si="9"/>
        <v>8</v>
      </c>
      <c r="H88" s="284"/>
      <c r="I88" s="396" t="str">
        <f>IFERROR(INDEX(ADP!S:S,MATCH(D88,ADP!D:D,0))-RBproj!K88,"")</f>
        <v/>
      </c>
      <c r="J88" s="127"/>
      <c r="K88" s="89">
        <v>82</v>
      </c>
      <c r="L88" s="2" t="s">
        <v>519</v>
      </c>
      <c r="M88" s="3">
        <f t="shared" si="7"/>
        <v>0</v>
      </c>
      <c r="N88" s="4">
        <f>IFERROR(INDEX(ADP!AC:AC,MATCH(D88,ADP!Y:Y,0)),0)</f>
        <v>0</v>
      </c>
      <c r="O88" s="4" t="s">
        <v>6</v>
      </c>
      <c r="P88" s="4"/>
      <c r="Q88" s="4"/>
      <c r="R88" s="1" t="str">
        <f>IFERROR(VLOOKUP(S88,FFARawStatProjections!AX:AZ,2,FALSE),"")</f>
        <v>CHI</v>
      </c>
      <c r="S88" s="4" t="str">
        <f>INDEX(FFARawStatProjections!AX:AX,MATCH(WRproj!T88,FFARawStatProjections!AZ:AZ,0))</f>
        <v>Chase Claypool</v>
      </c>
      <c r="T88">
        <f>LARGE(FFARawStatProjections!AZ:AZ,K88)</f>
        <v>106.67392</v>
      </c>
      <c r="U88" s="249">
        <f t="shared" si="6"/>
        <v>-106.42613666666666</v>
      </c>
      <c r="V88" s="243">
        <f t="shared" si="5"/>
        <v>11326.522565792011</v>
      </c>
      <c r="W88" s="244"/>
      <c r="X88" s="243">
        <f t="shared" si="8"/>
        <v>-6.6516335416666665</v>
      </c>
      <c r="Y88" s="238">
        <f>IFERROR(
IF(ISBLANK(Beersheet!$A$1)=FALSE,
INDEX(Beersheet!$A:$U,MATCH(S88,INDEX(Beersheet!$A:$U,0,FFARawStatProjections!$BV$2),0),FFARawStatProjections!$BV$6),
IF(X88&gt;6,0,
IF(AND(X88&lt;=6,X88&gt;5),1,
IF(AND(X88&lt;=5,X88&gt;4),2,
IF(AND(X88&lt;=4,X88&gt;3),3,
IF(AND(X88&lt;=3,X88&gt;2),4,
IF(AND(X88&lt;=2,X88&gt;1),5,
IF(AND(X88&lt;=1,X88&gt;0),6,
IF(AND(X88&lt;=0,X88&gt;-1),7,
8))))))))),
10)</f>
        <v>8</v>
      </c>
    </row>
    <row r="89" spans="1:25" ht="15" customHeight="1" x14ac:dyDescent="0.25">
      <c r="A89" s="135"/>
      <c r="B89" s="142" t="s">
        <v>520</v>
      </c>
      <c r="C89" t="str">
        <f>IF(AND(IFERROR(INDEX(Instructions!$T$111:$T$222,MATCH(D89,Instructions!$T$111:$T$222,0)), "")=D89, D89&lt;&gt;""), "X", "")</f>
        <v/>
      </c>
      <c r="D89" s="138" t="s">
        <v>1894</v>
      </c>
      <c r="E89" s="100" t="s">
        <v>154</v>
      </c>
      <c r="F89" s="431">
        <f>IFERROR(IF(AND($F$5="Projected Points",Beersheet!A84&lt;&gt;"QB"), T89, IF(H89="", INDEX(Tier!$B$28:$B$36,MATCH(G89,Tier!$A$28:$A$36,0)), INDEX(Tier!$B$28:$B$36,MATCH(G89,Tier!$A$28:$A$36,0)))), "")</f>
        <v>105.24396000000002</v>
      </c>
      <c r="G89" s="250">
        <f t="shared" si="9"/>
        <v>8</v>
      </c>
      <c r="H89" s="252"/>
      <c r="I89" s="396" t="str">
        <f>IFERROR(INDEX(ADP!S:S,MATCH(D89,ADP!D:D,0))-RBproj!K89,"")</f>
        <v/>
      </c>
      <c r="J89" s="127"/>
      <c r="K89" s="89">
        <v>83</v>
      </c>
      <c r="L89" s="2" t="s">
        <v>520</v>
      </c>
      <c r="M89" s="3">
        <f t="shared" si="7"/>
        <v>0</v>
      </c>
      <c r="N89" s="4">
        <f>IFERROR(INDEX(ADP!AC:AC,MATCH(D89,ADP!Y:Y,0)),0)</f>
        <v>0</v>
      </c>
      <c r="O89" s="4" t="s">
        <v>6</v>
      </c>
      <c r="P89" s="4"/>
      <c r="Q89" s="4"/>
      <c r="R89" s="1" t="str">
        <f>IFERROR(VLOOKUP(S89,FFARawStatProjections!AX:AZ,2,FALSE),"")</f>
        <v>NYG</v>
      </c>
      <c r="S89" s="4" t="str">
        <f>INDEX(FFARawStatProjections!AX:AX,MATCH(WRproj!T89,FFARawStatProjections!AZ:AZ,0))</f>
        <v>Darius Slayton</v>
      </c>
      <c r="T89">
        <f>LARGE(FFARawStatProjections!AZ:AZ,K89)</f>
        <v>105.24396000000002</v>
      </c>
      <c r="U89" s="249">
        <f t="shared" si="6"/>
        <v>-107.85609666666664</v>
      </c>
      <c r="V89" s="243">
        <f t="shared" si="5"/>
        <v>11632.93758816934</v>
      </c>
      <c r="W89" s="244"/>
      <c r="X89" s="243">
        <f t="shared" si="8"/>
        <v>-6.7410060416666653</v>
      </c>
      <c r="Y89" s="238">
        <f>IFERROR(
IF(ISBLANK(Beersheet!$A$1)=FALSE,
INDEX(Beersheet!$A:$U,MATCH(S89,INDEX(Beersheet!$A:$U,0,FFARawStatProjections!$BV$2),0),FFARawStatProjections!$BV$6),
IF(X89&gt;6,0,
IF(AND(X89&lt;=6,X89&gt;5),1,
IF(AND(X89&lt;=5,X89&gt;4),2,
IF(AND(X89&lt;=4,X89&gt;3),3,
IF(AND(X89&lt;=3,X89&gt;2),4,
IF(AND(X89&lt;=2,X89&gt;1),5,
IF(AND(X89&lt;=1,X89&gt;0),6,
IF(AND(X89&lt;=0,X89&gt;-1),7,
8))))))))),
10)</f>
        <v>8</v>
      </c>
    </row>
    <row r="90" spans="1:25" ht="15" customHeight="1" x14ac:dyDescent="0.25">
      <c r="A90" s="135"/>
      <c r="B90" s="143" t="s">
        <v>521</v>
      </c>
      <c r="C90" t="str">
        <f>IF(AND(IFERROR(INDEX(Instructions!$T$111:$T$222,MATCH(D90,Instructions!$T$111:$T$222,0)), "")=D90, D90&lt;&gt;""), "X", "")</f>
        <v/>
      </c>
      <c r="D90" s="137" t="s">
        <v>1410</v>
      </c>
      <c r="E90" s="99" t="s">
        <v>164</v>
      </c>
      <c r="F90" s="232">
        <f>IFERROR(IF(AND($F$5="Projected Points",Beersheet!A85&lt;&gt;"QB"), T90, IF(H90="", INDEX(Tier!$B$28:$B$36,MATCH(G90,Tier!$A$28:$A$36,0)), INDEX(Tier!$B$28:$B$36,MATCH(G90,Tier!$A$28:$A$36,0)))), "")</f>
        <v>105.04399000000001</v>
      </c>
      <c r="G90" s="283">
        <f t="shared" si="9"/>
        <v>8</v>
      </c>
      <c r="H90" s="284"/>
      <c r="I90" s="396" t="str">
        <f>IFERROR(INDEX(ADP!S:S,MATCH(D90,ADP!D:D,0))-RBproj!K90,"")</f>
        <v/>
      </c>
      <c r="J90" s="127"/>
      <c r="K90" s="89">
        <v>84</v>
      </c>
      <c r="L90" s="2" t="s">
        <v>521</v>
      </c>
      <c r="M90" s="3">
        <f t="shared" si="7"/>
        <v>0</v>
      </c>
      <c r="N90" s="4">
        <f>IFERROR(INDEX(ADP!AC:AC,MATCH(D90,ADP!Y:Y,0)),0)</f>
        <v>0</v>
      </c>
      <c r="O90" s="4" t="s">
        <v>6</v>
      </c>
      <c r="P90" s="4"/>
      <c r="Q90" s="4"/>
      <c r="R90" s="1" t="str">
        <f>IFERROR(VLOOKUP(S90,FFARawStatProjections!AX:AZ,2,FALSE),"")</f>
        <v>PIT</v>
      </c>
      <c r="S90" s="4" t="str">
        <f>INDEX(FFARawStatProjections!AX:AX,MATCH(WRproj!T90,FFARawStatProjections!AZ:AZ,0))</f>
        <v>Allen Robinson</v>
      </c>
      <c r="T90">
        <f>LARGE(FFARawStatProjections!AZ:AZ,K90)</f>
        <v>105.04399000000001</v>
      </c>
      <c r="U90" s="249">
        <f t="shared" si="6"/>
        <v>-108.05606666666665</v>
      </c>
      <c r="V90" s="243">
        <f t="shared" si="5"/>
        <v>11676.113543471109</v>
      </c>
      <c r="W90" s="244"/>
      <c r="X90" s="243">
        <f t="shared" si="8"/>
        <v>-6.7535041666666658</v>
      </c>
      <c r="Y90" s="238">
        <f>IFERROR(
IF(ISBLANK(Beersheet!$A$1)=FALSE,
INDEX(Beersheet!$A:$U,MATCH(S90,INDEX(Beersheet!$A:$U,0,FFARawStatProjections!$BV$2),0),FFARawStatProjections!$BV$6),
IF(X90&gt;6,0,
IF(AND(X90&lt;=6,X90&gt;5),1,
IF(AND(X90&lt;=5,X90&gt;4),2,
IF(AND(X90&lt;=4,X90&gt;3),3,
IF(AND(X90&lt;=3,X90&gt;2),4,
IF(AND(X90&lt;=2,X90&gt;1),5,
IF(AND(X90&lt;=1,X90&gt;0),6,
IF(AND(X90&lt;=0,X90&gt;-1),7,
8))))))))),
10)</f>
        <v>8</v>
      </c>
    </row>
    <row r="91" spans="1:25" ht="15" customHeight="1" x14ac:dyDescent="0.25">
      <c r="A91" s="135"/>
      <c r="B91" s="142" t="s">
        <v>522</v>
      </c>
      <c r="C91" t="str">
        <f>IF(AND(IFERROR(INDEX(Instructions!$T$111:$T$222,MATCH(D91,Instructions!$T$111:$T$222,0)), "")=D91, D91&lt;&gt;""), "X", "")</f>
        <v/>
      </c>
      <c r="D91" s="138" t="s">
        <v>190</v>
      </c>
      <c r="E91" s="100" t="s">
        <v>147</v>
      </c>
      <c r="F91" s="431">
        <f>IFERROR(IF(AND($F$5="Projected Points",Beersheet!A86&lt;&gt;"QB"), T91, IF(H91="", INDEX(Tier!$B$28:$B$36,MATCH(G91,Tier!$A$28:$A$36,0)), INDEX(Tier!$B$28:$B$36,MATCH(G91,Tier!$A$28:$A$36,0)))), "")</f>
        <v>104.69394000000001</v>
      </c>
      <c r="G91" s="250">
        <f t="shared" si="9"/>
        <v>8</v>
      </c>
      <c r="H91" s="252"/>
      <c r="I91" s="396">
        <f>IFERROR(INDEX(ADP!S:S,MATCH(D91,ADP!D:D,0))-RBproj!K91,"")</f>
        <v>-17</v>
      </c>
      <c r="J91" s="127"/>
      <c r="K91" s="89">
        <v>85</v>
      </c>
      <c r="L91" s="2" t="s">
        <v>522</v>
      </c>
      <c r="M91" s="3">
        <f t="shared" si="7"/>
        <v>13.2</v>
      </c>
      <c r="N91" s="4">
        <f>IFERROR(INDEX(ADP!AC:AC,MATCH(D91,ADP!Y:Y,0)),0)</f>
        <v>13.2</v>
      </c>
      <c r="O91" s="4" t="s">
        <v>6</v>
      </c>
      <c r="P91" s="4"/>
      <c r="Q91" s="4"/>
      <c r="R91" s="1" t="str">
        <f>IFERROR(VLOOKUP(S91,FFARawStatProjections!AX:AZ,2,FALSE),"")</f>
        <v>NYJ</v>
      </c>
      <c r="S91" s="4" t="str">
        <f>INDEX(FFARawStatProjections!AX:AX,MATCH(WRproj!T91,FFARawStatProjections!AZ:AZ,0))</f>
        <v>Corey Davis</v>
      </c>
      <c r="T91">
        <f>LARGE(FFARawStatProjections!AZ:AZ,K91)</f>
        <v>104.69394000000001</v>
      </c>
      <c r="U91" s="249">
        <f t="shared" si="6"/>
        <v>-108.40611666666665</v>
      </c>
      <c r="V91" s="243">
        <f t="shared" si="5"/>
        <v>11751.88613074694</v>
      </c>
      <c r="W91" s="244"/>
      <c r="X91" s="243">
        <f t="shared" si="8"/>
        <v>-6.7753822916666655</v>
      </c>
      <c r="Y91" s="238">
        <f>IFERROR(
IF(ISBLANK(Beersheet!$A$1)=FALSE,
INDEX(Beersheet!$A:$U,MATCH(S91,INDEX(Beersheet!$A:$U,0,FFARawStatProjections!$BV$2),0),FFARawStatProjections!$BV$6),
IF(X91&gt;6,0,
IF(AND(X91&lt;=6,X91&gt;5),1,
IF(AND(X91&lt;=5,X91&gt;4),2,
IF(AND(X91&lt;=4,X91&gt;3),3,
IF(AND(X91&lt;=3,X91&gt;2),4,
IF(AND(X91&lt;=2,X91&gt;1),5,
IF(AND(X91&lt;=1,X91&gt;0),6,
IF(AND(X91&lt;=0,X91&gt;-1),7,
8))))))))),
10)</f>
        <v>8</v>
      </c>
    </row>
    <row r="92" spans="1:25" ht="15" customHeight="1" x14ac:dyDescent="0.25">
      <c r="A92" s="135"/>
      <c r="B92" s="143" t="s">
        <v>523</v>
      </c>
      <c r="C92" t="str">
        <f>IF(AND(IFERROR(INDEX(Instructions!$T$111:$T$222,MATCH(D92,Instructions!$T$111:$T$222,0)), "")=D92, D92&lt;&gt;""), "X", "")</f>
        <v/>
      </c>
      <c r="D92" s="137" t="s">
        <v>2422</v>
      </c>
      <c r="E92" s="99" t="s">
        <v>136</v>
      </c>
      <c r="F92" s="232">
        <f>IFERROR(IF(AND($F$5="Projected Points",Beersheet!A87&lt;&gt;"QB"), T92, IF(H92="", INDEX(Tier!$B$28:$B$36,MATCH(G92,Tier!$A$28:$A$36,0)), INDEX(Tier!$B$28:$B$36,MATCH(G92,Tier!$A$28:$A$36,0)))), "")</f>
        <v>103.05400999999999</v>
      </c>
      <c r="G92" s="283">
        <f t="shared" si="9"/>
        <v>8</v>
      </c>
      <c r="H92" s="284"/>
      <c r="I92" s="396" t="str">
        <f>IFERROR(INDEX(ADP!S:S,MATCH(D92,ADP!D:D,0))-RBproj!K92,"")</f>
        <v/>
      </c>
      <c r="J92" s="127"/>
      <c r="K92" s="89">
        <v>86</v>
      </c>
      <c r="L92" s="2" t="s">
        <v>523</v>
      </c>
      <c r="M92" s="3">
        <f t="shared" si="7"/>
        <v>0</v>
      </c>
      <c r="N92" s="4">
        <f>IFERROR(INDEX(ADP!AC:AC,MATCH(D92,ADP!Y:Y,0)),0)</f>
        <v>0</v>
      </c>
      <c r="O92" s="4" t="s">
        <v>6</v>
      </c>
      <c r="P92" s="4"/>
      <c r="Q92" s="4"/>
      <c r="R92" s="1" t="str">
        <f>IFERROR(VLOOKUP(S92,FFARawStatProjections!AX:AZ,2,FALSE),"")</f>
        <v>NYG</v>
      </c>
      <c r="S92" s="4" t="str">
        <f>INDEX(FFARawStatProjections!AX:AX,MATCH(WRproj!T92,FFARawStatProjections!AZ:AZ,0))</f>
        <v>Parris Campbell</v>
      </c>
      <c r="T92">
        <f>LARGE(FFARawStatProjections!AZ:AZ,K92)</f>
        <v>103.05400999999999</v>
      </c>
      <c r="U92" s="249">
        <f t="shared" si="6"/>
        <v>-110.04604666666667</v>
      </c>
      <c r="V92" s="243">
        <f t="shared" si="5"/>
        <v>12110.132386962177</v>
      </c>
      <c r="W92" s="244"/>
      <c r="X92" s="243">
        <f t="shared" si="8"/>
        <v>-6.8778779166666668</v>
      </c>
      <c r="Y92" s="238">
        <f>IFERROR(
IF(ISBLANK(Beersheet!$A$1)=FALSE,
INDEX(Beersheet!$A:$U,MATCH(S92,INDEX(Beersheet!$A:$U,0,FFARawStatProjections!$BV$2),0),FFARawStatProjections!$BV$6),
IF(X92&gt;6,0,
IF(AND(X92&lt;=6,X92&gt;5),1,
IF(AND(X92&lt;=5,X92&gt;4),2,
IF(AND(X92&lt;=4,X92&gt;3),3,
IF(AND(X92&lt;=3,X92&gt;2),4,
IF(AND(X92&lt;=2,X92&gt;1),5,
IF(AND(X92&lt;=1,X92&gt;0),6,
IF(AND(X92&lt;=0,X92&gt;-1),7,
8))))))))),
10)</f>
        <v>8</v>
      </c>
    </row>
    <row r="93" spans="1:25" ht="15" customHeight="1" x14ac:dyDescent="0.25">
      <c r="A93" s="135"/>
      <c r="B93" s="142" t="s">
        <v>524</v>
      </c>
      <c r="C93" t="str">
        <f>IF(AND(IFERROR(INDEX(Instructions!$T$111:$T$222,MATCH(D93,Instructions!$T$111:$T$222,0)), "")=D93, D93&lt;&gt;""), "X", "")</f>
        <v/>
      </c>
      <c r="D93" s="138" t="s">
        <v>1860</v>
      </c>
      <c r="E93" s="100" t="s">
        <v>154</v>
      </c>
      <c r="F93" s="431">
        <f>IFERROR(IF(AND($F$5="Projected Points",Beersheet!A88&lt;&gt;"QB"), T93, IF(H93="", INDEX(Tier!$B$28:$B$36,MATCH(G93,Tier!$A$28:$A$36,0)), INDEX(Tier!$B$28:$B$36,MATCH(G93,Tier!$A$28:$A$36,0)))), "")</f>
        <v>100.95398</v>
      </c>
      <c r="G93" s="250">
        <f t="shared" si="9"/>
        <v>8</v>
      </c>
      <c r="H93" s="252"/>
      <c r="I93" s="396" t="str">
        <f>IFERROR(INDEX(ADP!S:S,MATCH(D93,ADP!D:D,0))-RBproj!K93,"")</f>
        <v/>
      </c>
      <c r="J93" s="127"/>
      <c r="K93" s="89">
        <v>87</v>
      </c>
      <c r="L93" s="2" t="s">
        <v>524</v>
      </c>
      <c r="M93" s="3">
        <f t="shared" si="7"/>
        <v>0</v>
      </c>
      <c r="N93" s="4">
        <f>IFERROR(INDEX(ADP!AC:AC,MATCH(D93,ADP!Y:Y,0)),0)</f>
        <v>0</v>
      </c>
      <c r="O93" s="4" t="s">
        <v>6</v>
      </c>
      <c r="P93" s="4"/>
      <c r="Q93" s="4"/>
      <c r="R93" s="1" t="str">
        <f>IFERROR(VLOOKUP(S93,FFARawStatProjections!AX:AZ,2,FALSE),"")</f>
        <v>KC</v>
      </c>
      <c r="S93" s="4" t="str">
        <f>INDEX(FFARawStatProjections!AX:AX,MATCH(WRproj!T93,FFARawStatProjections!AZ:AZ,0))</f>
        <v>Rashee Rice</v>
      </c>
      <c r="T93">
        <f>LARGE(FFARawStatProjections!AZ:AZ,K93)</f>
        <v>100.95398</v>
      </c>
      <c r="U93" s="249">
        <f t="shared" si="6"/>
        <v>-112.14607666666666</v>
      </c>
      <c r="V93" s="243">
        <f t="shared" si="5"/>
        <v>12576.742511725875</v>
      </c>
      <c r="W93" s="244"/>
      <c r="X93" s="243">
        <f t="shared" si="8"/>
        <v>-7.0091297916666662</v>
      </c>
      <c r="Y93" s="238">
        <f>IFERROR(
IF(ISBLANK(Beersheet!$A$1)=FALSE,
INDEX(Beersheet!$A:$U,MATCH(S93,INDEX(Beersheet!$A:$U,0,FFARawStatProjections!$BV$2),0),FFARawStatProjections!$BV$6),
IF(X93&gt;6,0,
IF(AND(X93&lt;=6,X93&gt;5),1,
IF(AND(X93&lt;=5,X93&gt;4),2,
IF(AND(X93&lt;=4,X93&gt;3),3,
IF(AND(X93&lt;=3,X93&gt;2),4,
IF(AND(X93&lt;=2,X93&gt;1),5,
IF(AND(X93&lt;=1,X93&gt;0),6,
IF(AND(X93&lt;=0,X93&gt;-1),7,
8))))))))),
10)</f>
        <v>8</v>
      </c>
    </row>
    <row r="94" spans="1:25" ht="15" customHeight="1" x14ac:dyDescent="0.25">
      <c r="A94" s="135"/>
      <c r="B94" s="143" t="s">
        <v>525</v>
      </c>
      <c r="C94" t="str">
        <f>IF(AND(IFERROR(INDEX(Instructions!$T$111:$T$222,MATCH(D94,Instructions!$T$111:$T$222,0)), "")=D94, D94&lt;&gt;""), "X", "")</f>
        <v/>
      </c>
      <c r="D94" s="137" t="s">
        <v>2342</v>
      </c>
      <c r="E94" s="99" t="s">
        <v>156</v>
      </c>
      <c r="F94" s="232">
        <f>IFERROR(IF(AND($F$5="Projected Points",Beersheet!A89&lt;&gt;"QB"), T94, IF(H94="", INDEX(Tier!$B$28:$B$36,MATCH(G94,Tier!$A$28:$A$36,0)), INDEX(Tier!$B$28:$B$36,MATCH(G94,Tier!$A$28:$A$36,0)))), "")</f>
        <v>90.264020000000002</v>
      </c>
      <c r="G94" s="283">
        <f t="shared" si="9"/>
        <v>8</v>
      </c>
      <c r="H94" s="284"/>
      <c r="I94" s="396" t="str">
        <f>IFERROR(INDEX(ADP!S:S,MATCH(D94,ADP!D:D,0))-RBproj!K94,"")</f>
        <v/>
      </c>
      <c r="J94" s="127"/>
      <c r="K94" s="89">
        <v>88</v>
      </c>
      <c r="L94" s="2" t="s">
        <v>525</v>
      </c>
      <c r="M94" s="3">
        <f t="shared" si="7"/>
        <v>0</v>
      </c>
      <c r="N94" s="4">
        <f>IFERROR(INDEX(ADP!AC:AC,MATCH(D94,ADP!Y:Y,0)),0)</f>
        <v>0</v>
      </c>
      <c r="O94" s="4" t="s">
        <v>6</v>
      </c>
      <c r="P94" s="4"/>
      <c r="Q94" s="4"/>
      <c r="R94" s="1" t="str">
        <f>IFERROR(VLOOKUP(S94,FFARawStatProjections!AX:AZ,2,FALSE),"")</f>
        <v>BUF</v>
      </c>
      <c r="S94" s="4" t="str">
        <f>INDEX(FFARawStatProjections!AX:AX,MATCH(WRproj!T94,FFARawStatProjections!AZ:AZ,0))</f>
        <v>Khalil Shakir</v>
      </c>
      <c r="T94">
        <f>LARGE(FFARawStatProjections!AZ:AZ,K94)</f>
        <v>90.264020000000002</v>
      </c>
      <c r="U94" s="249">
        <f t="shared" si="6"/>
        <v>-122.83603666666666</v>
      </c>
      <c r="V94" s="243">
        <f t="shared" si="5"/>
        <v>15088.691903974675</v>
      </c>
      <c r="W94" s="244"/>
      <c r="X94" s="243">
        <f t="shared" si="8"/>
        <v>-7.6772522916666661</v>
      </c>
      <c r="Y94" s="238">
        <f>IFERROR(
IF(ISBLANK(Beersheet!$A$1)=FALSE,
INDEX(Beersheet!$A:$U,MATCH(S94,INDEX(Beersheet!$A:$U,0,FFARawStatProjections!$BV$2),0),FFARawStatProjections!$BV$6),
IF(X94&gt;6,0,
IF(AND(X94&lt;=6,X94&gt;5),1,
IF(AND(X94&lt;=5,X94&gt;4),2,
IF(AND(X94&lt;=4,X94&gt;3),3,
IF(AND(X94&lt;=3,X94&gt;2),4,
IF(AND(X94&lt;=2,X94&gt;1),5,
IF(AND(X94&lt;=1,X94&gt;0),6,
IF(AND(X94&lt;=0,X94&gt;-1),7,
8))))))))),
10)</f>
        <v>8</v>
      </c>
    </row>
    <row r="95" spans="1:25" ht="15" customHeight="1" x14ac:dyDescent="0.25">
      <c r="A95" s="135"/>
      <c r="B95" s="142" t="s">
        <v>526</v>
      </c>
      <c r="C95" t="str">
        <f>IF(AND(IFERROR(INDEX(Instructions!$T$111:$T$222,MATCH(D95,Instructions!$T$111:$T$222,0)), "")=D95, D95&lt;&gt;""), "X", "")</f>
        <v/>
      </c>
      <c r="D95" s="138" t="s">
        <v>2334</v>
      </c>
      <c r="E95" s="100" t="s">
        <v>154</v>
      </c>
      <c r="F95" s="431">
        <f>IFERROR(IF(AND($F$5="Projected Points",Beersheet!A90&lt;&gt;"QB"), T95, IF(H95="", INDEX(Tier!$B$28:$B$36,MATCH(G95,Tier!$A$28:$A$36,0)), INDEX(Tier!$B$28:$B$36,MATCH(G95,Tier!$A$28:$A$36,0)))), "")</f>
        <v>90.204059999999984</v>
      </c>
      <c r="G95" s="250">
        <f t="shared" si="9"/>
        <v>8</v>
      </c>
      <c r="H95" s="252"/>
      <c r="I95" s="396" t="str">
        <f>IFERROR(INDEX(ADP!S:S,MATCH(D95,ADP!D:D,0))-RBproj!K95,"")</f>
        <v/>
      </c>
      <c r="J95" s="127"/>
      <c r="K95" s="89">
        <v>89</v>
      </c>
      <c r="L95" s="2" t="s">
        <v>526</v>
      </c>
      <c r="M95" s="3">
        <f t="shared" si="7"/>
        <v>10.7</v>
      </c>
      <c r="N95" s="4">
        <f>IFERROR(INDEX(ADP!AC:AC,MATCH(D95,ADP!Y:Y,0)),0)</f>
        <v>10.7</v>
      </c>
      <c r="O95" s="4" t="s">
        <v>6</v>
      </c>
      <c r="P95" s="4"/>
      <c r="Q95" s="4"/>
      <c r="R95" s="1" t="str">
        <f>IFERROR(VLOOKUP(S95,FFARawStatProjections!AX:AZ,2,FALSE),"")</f>
        <v>NYG</v>
      </c>
      <c r="S95" s="4" t="str">
        <f>INDEX(FFARawStatProjections!AX:AX,MATCH(WRproj!T95,FFARawStatProjections!AZ:AZ,0))</f>
        <v>WanDale Robinson</v>
      </c>
      <c r="T95">
        <f>LARGE(FFARawStatProjections!AZ:AZ,K95)</f>
        <v>90.204059999999984</v>
      </c>
      <c r="U95" s="249">
        <f t="shared" si="6"/>
        <v>-122.89599666666668</v>
      </c>
      <c r="V95" s="243">
        <f t="shared" si="5"/>
        <v>15103.425996693346</v>
      </c>
      <c r="W95" s="244"/>
      <c r="X95" s="243">
        <f t="shared" si="8"/>
        <v>-7.6809997916666672</v>
      </c>
      <c r="Y95" s="238">
        <f>IFERROR(
IF(ISBLANK(Beersheet!$A$1)=FALSE,
INDEX(Beersheet!$A:$U,MATCH(S95,INDEX(Beersheet!$A:$U,0,FFARawStatProjections!$BV$2),0),FFARawStatProjections!$BV$6),
IF(X95&gt;6,0,
IF(AND(X95&lt;=6,X95&gt;5),1,
IF(AND(X95&lt;=5,X95&gt;4),2,
IF(AND(X95&lt;=4,X95&gt;3),3,
IF(AND(X95&lt;=3,X95&gt;2),4,
IF(AND(X95&lt;=2,X95&gt;1),5,
IF(AND(X95&lt;=1,X95&gt;0),6,
IF(AND(X95&lt;=0,X95&gt;-1),7,
8))))))))),
10)</f>
        <v>8</v>
      </c>
    </row>
    <row r="96" spans="1:25" ht="15" customHeight="1" x14ac:dyDescent="0.25">
      <c r="A96" s="135"/>
      <c r="B96" s="143" t="s">
        <v>527</v>
      </c>
      <c r="C96" t="str">
        <f>IF(AND(IFERROR(INDEX(Instructions!$T$111:$T$222,MATCH(D96,Instructions!$T$111:$T$222,0)), "")=D96, D96&lt;&gt;""), "X", "")</f>
        <v/>
      </c>
      <c r="D96" s="137" t="s">
        <v>1800</v>
      </c>
      <c r="E96" s="99" t="s">
        <v>157</v>
      </c>
      <c r="F96" s="232">
        <f>IFERROR(IF(AND($F$5="Projected Points",Beersheet!A91&lt;&gt;"QB"), T96, IF(H96="", INDEX(Tier!$B$28:$B$36,MATCH(G96,Tier!$A$28:$A$36,0)), INDEX(Tier!$B$28:$B$36,MATCH(G96,Tier!$A$28:$A$36,0)))), "")</f>
        <v>89.574050000000014</v>
      </c>
      <c r="G96" s="283">
        <f t="shared" si="9"/>
        <v>8</v>
      </c>
      <c r="H96" s="284"/>
      <c r="I96" s="396" t="str">
        <f>IFERROR(INDEX(ADP!S:S,MATCH(D96,ADP!D:D,0))-RBproj!K96,"")</f>
        <v/>
      </c>
      <c r="J96" s="127"/>
      <c r="K96" s="89">
        <v>90</v>
      </c>
      <c r="L96" s="2" t="s">
        <v>527</v>
      </c>
      <c r="M96" s="3">
        <f t="shared" si="7"/>
        <v>0</v>
      </c>
      <c r="N96" s="4">
        <f>IFERROR(INDEX(ADP!AC:AC,MATCH(D96,ADP!Y:Y,0)),0)</f>
        <v>0</v>
      </c>
      <c r="O96" s="4" t="s">
        <v>6</v>
      </c>
      <c r="P96" s="4"/>
      <c r="Q96" s="4"/>
      <c r="R96" s="1" t="str">
        <f>IFERROR(VLOOKUP(S96,FFARawStatProjections!AX:AZ,2,FALSE),"")</f>
        <v>LAC</v>
      </c>
      <c r="S96" s="4" t="str">
        <f>INDEX(FFARawStatProjections!AX:AX,MATCH(WRproj!T96,FFARawStatProjections!AZ:AZ,0))</f>
        <v>Joshua Palmer</v>
      </c>
      <c r="T96">
        <f>LARGE(FFARawStatProjections!AZ:AZ,K96)</f>
        <v>89.574050000000014</v>
      </c>
      <c r="U96" s="249">
        <f t="shared" si="6"/>
        <v>-123.52600666666665</v>
      </c>
      <c r="V96" s="243">
        <f t="shared" si="5"/>
        <v>15258.674323013372</v>
      </c>
      <c r="W96" s="244"/>
      <c r="X96" s="243">
        <f t="shared" si="8"/>
        <v>-7.7203754166666654</v>
      </c>
      <c r="Y96" s="238">
        <f>IFERROR(
IF(ISBLANK(Beersheet!$A$1)=FALSE,
INDEX(Beersheet!$A:$U,MATCH(S96,INDEX(Beersheet!$A:$U,0,FFARawStatProjections!$BV$2),0),FFARawStatProjections!$BV$6),
IF(X96&gt;6,0,
IF(AND(X96&lt;=6,X96&gt;5),1,
IF(AND(X96&lt;=5,X96&gt;4),2,
IF(AND(X96&lt;=4,X96&gt;3),3,
IF(AND(X96&lt;=3,X96&gt;2),4,
IF(AND(X96&lt;=2,X96&gt;1),5,
IF(AND(X96&lt;=1,X96&gt;0),6,
IF(AND(X96&lt;=0,X96&gt;-1),7,
8))))))))),
10)</f>
        <v>8</v>
      </c>
    </row>
    <row r="97" spans="1:25" ht="15" customHeight="1" x14ac:dyDescent="0.25">
      <c r="A97" s="135"/>
      <c r="B97" s="142" t="s">
        <v>528</v>
      </c>
      <c r="C97" t="str">
        <f>IF(AND(IFERROR(INDEX(Instructions!$T$111:$T$222,MATCH(D97,Instructions!$T$111:$T$222,0)), "")=D97, D97&lt;&gt;""), "X", "")</f>
        <v/>
      </c>
      <c r="D97" s="138" t="s">
        <v>2329</v>
      </c>
      <c r="E97" s="100" t="s">
        <v>1388</v>
      </c>
      <c r="F97" s="431">
        <f>IFERROR(IF(AND($F$5="Projected Points",Beersheet!A92&lt;&gt;"QB"), T97, IF(H97="", INDEX(Tier!$B$28:$B$36,MATCH(G97,Tier!$A$28:$A$36,0)), INDEX(Tier!$B$28:$B$36,MATCH(G97,Tier!$A$28:$A$36,0)))), "")</f>
        <v>87.834040000000016</v>
      </c>
      <c r="G97" s="250">
        <f t="shared" si="9"/>
        <v>8</v>
      </c>
      <c r="H97" s="252"/>
      <c r="I97" s="396" t="str">
        <f>IFERROR(INDEX(ADP!S:S,MATCH(D97,ADP!D:D,0))-RBproj!K97,"")</f>
        <v/>
      </c>
      <c r="J97" s="127"/>
      <c r="K97" s="89">
        <v>91</v>
      </c>
      <c r="L97" s="2" t="s">
        <v>528</v>
      </c>
      <c r="M97" s="3">
        <f t="shared" si="7"/>
        <v>0</v>
      </c>
      <c r="N97" s="4">
        <f>IFERROR(INDEX(ADP!AC:AC,MATCH(D97,ADP!Y:Y,0)),0)</f>
        <v>0</v>
      </c>
      <c r="O97" s="4" t="s">
        <v>6</v>
      </c>
      <c r="P97" s="4"/>
      <c r="Q97" s="4"/>
      <c r="R97" s="1" t="str">
        <f>IFERROR(VLOOKUP(S97,FFARawStatProjections!AX:AZ,2,FALSE),"")</f>
        <v>NE</v>
      </c>
      <c r="S97" s="4" t="str">
        <f>INDEX(FFARawStatProjections!AX:AX,MATCH(WRproj!T97,FFARawStatProjections!AZ:AZ,0))</f>
        <v>Kendrick Bourne</v>
      </c>
      <c r="T97">
        <f>LARGE(FFARawStatProjections!AZ:AZ,K97)</f>
        <v>87.834040000000016</v>
      </c>
      <c r="U97" s="249">
        <f t="shared" si="6"/>
        <v>-125.26601666666664</v>
      </c>
      <c r="V97" s="243">
        <f t="shared" si="5"/>
        <v>15691.574931533605</v>
      </c>
      <c r="W97" s="244"/>
      <c r="X97" s="243">
        <f t="shared" si="8"/>
        <v>-7.8291260416666653</v>
      </c>
      <c r="Y97" s="238">
        <f>IFERROR(
IF(ISBLANK(Beersheet!$A$1)=FALSE,
INDEX(Beersheet!$A:$U,MATCH(S97,INDEX(Beersheet!$A:$U,0,FFARawStatProjections!$BV$2),0),FFARawStatProjections!$BV$6),
IF(X97&gt;6,0,
IF(AND(X97&lt;=6,X97&gt;5),1,
IF(AND(X97&lt;=5,X97&gt;4),2,
IF(AND(X97&lt;=4,X97&gt;3),3,
IF(AND(X97&lt;=3,X97&gt;2),4,
IF(AND(X97&lt;=2,X97&gt;1),5,
IF(AND(X97&lt;=1,X97&gt;0),6,
IF(AND(X97&lt;=0,X97&gt;-1),7,
8))))))))),
10)</f>
        <v>8</v>
      </c>
    </row>
    <row r="98" spans="1:25" ht="15" customHeight="1" x14ac:dyDescent="0.25">
      <c r="A98" s="135"/>
      <c r="B98" s="143" t="s">
        <v>529</v>
      </c>
      <c r="C98" t="str">
        <f>IF(AND(IFERROR(INDEX(Instructions!$T$111:$T$222,MATCH(D98,Instructions!$T$111:$T$222,0)), "")=D98, D98&lt;&gt;""), "X", "")</f>
        <v/>
      </c>
      <c r="D98" s="137" t="s">
        <v>2337</v>
      </c>
      <c r="E98" s="99" t="s">
        <v>157</v>
      </c>
      <c r="F98" s="232">
        <f>IFERROR(IF(AND($F$5="Projected Points",Beersheet!A93&lt;&gt;"QB"), T98, IF(H98="", INDEX(Tier!$B$28:$B$36,MATCH(G98,Tier!$A$28:$A$36,0)), INDEX(Tier!$B$28:$B$36,MATCH(G98,Tier!$A$28:$A$36,0)))), "")</f>
        <v>87.604110000000006</v>
      </c>
      <c r="G98" s="283">
        <f t="shared" si="9"/>
        <v>8</v>
      </c>
      <c r="H98" s="284"/>
      <c r="I98" s="396" t="str">
        <f>IFERROR(INDEX(ADP!S:S,MATCH(D98,ADP!D:D,0))-RBproj!K98,"")</f>
        <v/>
      </c>
      <c r="J98" s="127"/>
      <c r="K98" s="89">
        <v>92</v>
      </c>
      <c r="L98" s="2" t="s">
        <v>529</v>
      </c>
      <c r="M98" s="3">
        <f t="shared" si="7"/>
        <v>0</v>
      </c>
      <c r="N98" s="4">
        <f>IFERROR(INDEX(ADP!AC:AC,MATCH(D98,ADP!Y:Y,0)),0)</f>
        <v>0</v>
      </c>
      <c r="O98" s="4" t="s">
        <v>6</v>
      </c>
      <c r="P98" s="4"/>
      <c r="Q98" s="4"/>
      <c r="R98" s="1" t="str">
        <f>IFERROR(VLOOKUP(S98,FFARawStatProjections!AX:AZ,2,FALSE),"")</f>
        <v>LAR</v>
      </c>
      <c r="S98" s="4" t="str">
        <f>INDEX(FFARawStatProjections!AX:AX,MATCH(WRproj!T98,FFARawStatProjections!AZ:AZ,0))</f>
        <v>Ben Skowronek</v>
      </c>
      <c r="T98">
        <f>LARGE(FFARawStatProjections!AZ:AZ,K98)</f>
        <v>87.604110000000006</v>
      </c>
      <c r="U98" s="249">
        <f t="shared" si="6"/>
        <v>-125.49594666666665</v>
      </c>
      <c r="V98" s="243">
        <f t="shared" si="5"/>
        <v>15749.232629762841</v>
      </c>
      <c r="W98" s="244"/>
      <c r="X98" s="243">
        <f t="shared" si="8"/>
        <v>-7.8434966666666659</v>
      </c>
      <c r="Y98" s="238">
        <f>IFERROR(
IF(ISBLANK(Beersheet!$A$1)=FALSE,
INDEX(Beersheet!$A:$U,MATCH(S98,INDEX(Beersheet!$A:$U,0,FFARawStatProjections!$BV$2),0),FFARawStatProjections!$BV$6),
IF(X98&gt;6,0,
IF(AND(X98&lt;=6,X98&gt;5),1,
IF(AND(X98&lt;=5,X98&gt;4),2,
IF(AND(X98&lt;=4,X98&gt;3),3,
IF(AND(X98&lt;=3,X98&gt;2),4,
IF(AND(X98&lt;=2,X98&gt;1),5,
IF(AND(X98&lt;=1,X98&gt;0),6,
IF(AND(X98&lt;=0,X98&gt;-1),7,
8))))))))),
10)</f>
        <v>8</v>
      </c>
    </row>
    <row r="99" spans="1:25" ht="15" customHeight="1" x14ac:dyDescent="0.25">
      <c r="A99" s="135"/>
      <c r="B99" s="142" t="s">
        <v>530</v>
      </c>
      <c r="C99" t="str">
        <f>IF(AND(IFERROR(INDEX(Instructions!$T$111:$T$222,MATCH(D99,Instructions!$T$111:$T$222,0)), "")=D99, D99&lt;&gt;""), "X", "")</f>
        <v/>
      </c>
      <c r="D99" s="138" t="s">
        <v>2339</v>
      </c>
      <c r="E99" s="100" t="s">
        <v>1389</v>
      </c>
      <c r="F99" s="431">
        <f>IFERROR(IF(AND($F$5="Projected Points",Beersheet!A94&lt;&gt;"QB"), T99, IF(H99="", INDEX(Tier!$B$28:$B$36,MATCH(G99,Tier!$A$28:$A$36,0)), INDEX(Tier!$B$28:$B$36,MATCH(G99,Tier!$A$28:$A$36,0)))), "")</f>
        <v>87.484129999999993</v>
      </c>
      <c r="G99" s="250">
        <f t="shared" si="9"/>
        <v>8</v>
      </c>
      <c r="H99" s="252"/>
      <c r="I99" s="396" t="str">
        <f>IFERROR(INDEX(ADP!S:S,MATCH(D99,ADP!D:D,0))-RBproj!K99,"")</f>
        <v/>
      </c>
      <c r="J99" s="127"/>
      <c r="K99" s="89">
        <v>93</v>
      </c>
      <c r="L99" s="2" t="s">
        <v>530</v>
      </c>
      <c r="M99" s="3">
        <f t="shared" si="7"/>
        <v>0</v>
      </c>
      <c r="N99" s="4">
        <f>IFERROR(INDEX(ADP!AC:AC,MATCH(D99,ADP!Y:Y,0)),0)</f>
        <v>0</v>
      </c>
      <c r="O99" s="4" t="s">
        <v>6</v>
      </c>
      <c r="P99" s="4"/>
      <c r="Q99" s="4"/>
      <c r="R99" s="1" t="str">
        <f>IFERROR(VLOOKUP(S99,FFARawStatProjections!AX:AZ,2,FALSE),"")</f>
        <v>AZ</v>
      </c>
      <c r="S99" s="4" t="str">
        <f>INDEX(FFARawStatProjections!AX:AX,MATCH(WRproj!T99,FFARawStatProjections!AZ:AZ,0))</f>
        <v>Greg Dortch</v>
      </c>
      <c r="T99">
        <f>LARGE(FFARawStatProjections!AZ:AZ,K99)</f>
        <v>87.484129999999993</v>
      </c>
      <c r="U99" s="249">
        <f t="shared" si="6"/>
        <v>-125.61592666666667</v>
      </c>
      <c r="V99" s="243">
        <f t="shared" si="5"/>
        <v>15779.361032325378</v>
      </c>
      <c r="W99" s="244"/>
      <c r="X99" s="243">
        <f t="shared" si="8"/>
        <v>-7.8509954166666667</v>
      </c>
      <c r="Y99" s="238">
        <f>IFERROR(
IF(ISBLANK(Beersheet!$A$1)=FALSE,
INDEX(Beersheet!$A:$U,MATCH(S99,INDEX(Beersheet!$A:$U,0,FFARawStatProjections!$BV$2),0),FFARawStatProjections!$BV$6),
IF(X99&gt;6,0,
IF(AND(X99&lt;=6,X99&gt;5),1,
IF(AND(X99&lt;=5,X99&gt;4),2,
IF(AND(X99&lt;=4,X99&gt;3),3,
IF(AND(X99&lt;=3,X99&gt;2),4,
IF(AND(X99&lt;=2,X99&gt;1),5,
IF(AND(X99&lt;=1,X99&gt;0),6,
IF(AND(X99&lt;=0,X99&gt;-1),7,
8))))))))),
10)</f>
        <v>8</v>
      </c>
    </row>
    <row r="100" spans="1:25" ht="15" customHeight="1" x14ac:dyDescent="0.25">
      <c r="A100" s="135"/>
      <c r="B100" s="143" t="s">
        <v>531</v>
      </c>
      <c r="C100" t="str">
        <f>IF(AND(IFERROR(INDEX(Instructions!$T$111:$T$222,MATCH(D100,Instructions!$T$111:$T$222,0)), "")=D100, D100&lt;&gt;""), "X", "")</f>
        <v/>
      </c>
      <c r="D100" s="137" t="s">
        <v>2277</v>
      </c>
      <c r="E100" s="99" t="s">
        <v>2272</v>
      </c>
      <c r="F100" s="232">
        <f>IFERROR(IF(AND($F$5="Projected Points",Beersheet!A95&lt;&gt;"QB"), T100, IF(H100="", INDEX(Tier!$B$28:$B$36,MATCH(G100,Tier!$A$28:$A$36,0)), INDEX(Tier!$B$28:$B$36,MATCH(G100,Tier!$A$28:$A$36,0)))), "")</f>
        <v>85.984030000000004</v>
      </c>
      <c r="G100" s="283">
        <f t="shared" si="9"/>
        <v>8</v>
      </c>
      <c r="H100" s="284"/>
      <c r="I100" s="396" t="str">
        <f>IFERROR(INDEX(ADP!S:S,MATCH(D100,ADP!D:D,0))-RBproj!K100,"")</f>
        <v/>
      </c>
      <c r="J100" s="127"/>
      <c r="K100" s="89">
        <v>94</v>
      </c>
      <c r="L100" s="2" t="s">
        <v>531</v>
      </c>
      <c r="M100" s="3">
        <f t="shared" si="7"/>
        <v>0</v>
      </c>
      <c r="N100" s="4">
        <f>IFERROR(INDEX(ADP!AC:AC,MATCH(D100,ADP!Y:Y,0)),0)</f>
        <v>0</v>
      </c>
      <c r="O100" s="4" t="s">
        <v>6</v>
      </c>
      <c r="P100" s="4"/>
      <c r="Q100" s="4"/>
      <c r="R100" s="1" t="str">
        <f>IFERROR(VLOOKUP(S100,FFARawStatProjections!AX:AZ,2,FALSE),"")</f>
        <v>NE</v>
      </c>
      <c r="S100" s="4" t="str">
        <f>INDEX(FFARawStatProjections!AX:AX,MATCH(WRproj!T100,FFARawStatProjections!AZ:AZ,0))</f>
        <v>Tyquan Thornton</v>
      </c>
      <c r="T100">
        <f>LARGE(FFARawStatProjections!AZ:AZ,K100)</f>
        <v>85.984030000000004</v>
      </c>
      <c r="U100" s="249">
        <f t="shared" si="6"/>
        <v>-127.11602666666666</v>
      </c>
      <c r="V100" s="243">
        <f t="shared" si="5"/>
        <v>16158.484235520709</v>
      </c>
      <c r="W100" s="244"/>
      <c r="X100" s="243">
        <f t="shared" si="8"/>
        <v>-7.944751666666666</v>
      </c>
      <c r="Y100" s="238">
        <f>IFERROR(
IF(ISBLANK(Beersheet!$A$1)=FALSE,
INDEX(Beersheet!$A:$U,MATCH(S100,INDEX(Beersheet!$A:$U,0,FFARawStatProjections!$BV$2),0),FFARawStatProjections!$BV$6),
IF(X100&gt;6,0,
IF(AND(X100&lt;=6,X100&gt;5),1,
IF(AND(X100&lt;=5,X100&gt;4),2,
IF(AND(X100&lt;=4,X100&gt;3),3,
IF(AND(X100&lt;=3,X100&gt;2),4,
IF(AND(X100&lt;=2,X100&gt;1),5,
IF(AND(X100&lt;=1,X100&gt;0),6,
IF(AND(X100&lt;=0,X100&gt;-1),7,
8))))))))),
10)</f>
        <v>8</v>
      </c>
    </row>
    <row r="101" spans="1:25" ht="15" customHeight="1" x14ac:dyDescent="0.25">
      <c r="A101" s="135"/>
      <c r="B101" s="142" t="s">
        <v>532</v>
      </c>
      <c r="C101" t="str">
        <f>IF(AND(IFERROR(INDEX(Instructions!$T$111:$T$222,MATCH(D101,Instructions!$T$111:$T$222,0)), "")=D101, D101&lt;&gt;""), "X", "")</f>
        <v/>
      </c>
      <c r="D101" s="138" t="s">
        <v>2216</v>
      </c>
      <c r="E101" s="100" t="s">
        <v>163</v>
      </c>
      <c r="F101" s="431">
        <f>IFERROR(IF(AND($F$5="Projected Points",Beersheet!A96&lt;&gt;"QB"), T101, IF(H101="", INDEX(Tier!$B$28:$B$36,MATCH(G101,Tier!$A$28:$A$36,0)), INDEX(Tier!$B$28:$B$36,MATCH(G101,Tier!$A$28:$A$36,0)))), "")</f>
        <v>82.184070000000006</v>
      </c>
      <c r="G101" s="250">
        <f t="shared" si="9"/>
        <v>8</v>
      </c>
      <c r="H101" s="252"/>
      <c r="I101" s="396" t="str">
        <f>IFERROR(INDEX(ADP!S:S,MATCH(D101,ADP!D:D,0))-RBproj!K101,"")</f>
        <v/>
      </c>
      <c r="J101" s="127"/>
      <c r="K101" s="89">
        <v>95</v>
      </c>
      <c r="L101" s="2" t="s">
        <v>532</v>
      </c>
      <c r="M101" s="3">
        <f t="shared" si="7"/>
        <v>0</v>
      </c>
      <c r="N101" s="4">
        <f>IFERROR(INDEX(ADP!AC:AC,MATCH(D101,ADP!Y:Y,0)),0)</f>
        <v>0</v>
      </c>
      <c r="O101" s="4" t="s">
        <v>6</v>
      </c>
      <c r="P101" s="4"/>
      <c r="Q101" s="4"/>
      <c r="R101" s="1" t="str">
        <f>IFERROR(VLOOKUP(S101,FFARawStatProjections!AX:AZ,2,FALSE),"")</f>
        <v>TEN</v>
      </c>
      <c r="S101" s="4" t="str">
        <f>INDEX(FFARawStatProjections!AX:AX,MATCH(WRproj!T101,FFARawStatProjections!AZ:AZ,0))</f>
        <v>Nick Westbrook-Ikhine</v>
      </c>
      <c r="T101">
        <f>LARGE(FFARawStatProjections!AZ:AZ,K101)</f>
        <v>82.184070000000006</v>
      </c>
      <c r="U101" s="249">
        <f t="shared" si="6"/>
        <v>-130.91598666666664</v>
      </c>
      <c r="V101" s="243">
        <f t="shared" si="5"/>
        <v>17138.995564906836</v>
      </c>
      <c r="W101" s="244"/>
      <c r="X101" s="243">
        <f t="shared" si="8"/>
        <v>-8.182249166666665</v>
      </c>
      <c r="Y101" s="238">
        <f>IFERROR(
IF(ISBLANK(Beersheet!$A$1)=FALSE,
INDEX(Beersheet!$A:$U,MATCH(S101,INDEX(Beersheet!$A:$U,0,FFARawStatProjections!$BV$2),0),FFARawStatProjections!$BV$6),
IF(X101&gt;6,0,
IF(AND(X101&lt;=6,X101&gt;5),1,
IF(AND(X101&lt;=5,X101&gt;4),2,
IF(AND(X101&lt;=4,X101&gt;3),3,
IF(AND(X101&lt;=3,X101&gt;2),4,
IF(AND(X101&lt;=2,X101&gt;1),5,
IF(AND(X101&lt;=1,X101&gt;0),6,
IF(AND(X101&lt;=0,X101&gt;-1),7,
8))))))))),
10)</f>
        <v>8</v>
      </c>
    </row>
    <row r="102" spans="1:25" ht="15" customHeight="1" x14ac:dyDescent="0.25">
      <c r="A102" s="135"/>
      <c r="B102" s="143" t="s">
        <v>533</v>
      </c>
      <c r="C102" t="str">
        <f>IF(AND(IFERROR(INDEX(Instructions!$T$111:$T$222,MATCH(D102,Instructions!$T$111:$T$222,0)), "")=D102, D102&lt;&gt;""), "X", "")</f>
        <v/>
      </c>
      <c r="D102" s="137" t="s">
        <v>1444</v>
      </c>
      <c r="E102" s="99" t="s">
        <v>142</v>
      </c>
      <c r="F102" s="232">
        <f>IFERROR(IF(AND($F$5="Projected Points",Beersheet!A97&lt;&gt;"QB"), T102, IF(H102="", INDEX(Tier!$B$28:$B$36,MATCH(G102,Tier!$A$28:$A$36,0)), INDEX(Tier!$B$28:$B$36,MATCH(G102,Tier!$A$28:$A$36,0)))), "")</f>
        <v>82.034080000000017</v>
      </c>
      <c r="G102" s="283">
        <f t="shared" si="9"/>
        <v>8</v>
      </c>
      <c r="H102" s="284"/>
      <c r="I102" s="396" t="str">
        <f>IFERROR(INDEX(ADP!S:S,MATCH(D102,ADP!D:D,0))-RBproj!K102,"")</f>
        <v/>
      </c>
      <c r="J102" s="127"/>
      <c r="K102" s="89">
        <v>96</v>
      </c>
      <c r="L102" s="2" t="s">
        <v>533</v>
      </c>
      <c r="M102" s="3">
        <f t="shared" si="7"/>
        <v>0</v>
      </c>
      <c r="N102" s="4">
        <f>IFERROR(INDEX(ADP!AC:AC,MATCH(D102,ADP!Y:Y,0)),0)</f>
        <v>0</v>
      </c>
      <c r="O102" s="4" t="s">
        <v>6</v>
      </c>
      <c r="P102" s="4"/>
      <c r="Q102" s="4"/>
      <c r="R102" s="1" t="str">
        <f>IFERROR(VLOOKUP(S102,FFARawStatProjections!AX:AZ,2,FALSE),"")</f>
        <v>DET</v>
      </c>
      <c r="S102" s="4" t="str">
        <f>INDEX(FFARawStatProjections!AX:AX,MATCH(WRproj!T102,FFARawStatProjections!AZ:AZ,0))</f>
        <v>Josh Reynolds</v>
      </c>
      <c r="T102">
        <f>LARGE(FFARawStatProjections!AZ:AZ,K102)</f>
        <v>82.034080000000017</v>
      </c>
      <c r="U102" s="249">
        <f t="shared" si="6"/>
        <v>-131.06597666666664</v>
      </c>
      <c r="V102" s="243">
        <f t="shared" si="5"/>
        <v>17178.290239587204</v>
      </c>
      <c r="W102" s="244"/>
      <c r="X102" s="243">
        <f t="shared" si="8"/>
        <v>-8.1916235416666652</v>
      </c>
      <c r="Y102" s="238">
        <f>IFERROR(
IF(ISBLANK(Beersheet!$A$1)=FALSE,
INDEX(Beersheet!$A:$U,MATCH(S102,INDEX(Beersheet!$A:$U,0,FFARawStatProjections!$BV$2),0),FFARawStatProjections!$BV$6),
IF(X102&gt;6,0,
IF(AND(X102&lt;=6,X102&gt;5),1,
IF(AND(X102&lt;=5,X102&gt;4),2,
IF(AND(X102&lt;=4,X102&gt;3),3,
IF(AND(X102&lt;=3,X102&gt;2),4,
IF(AND(X102&lt;=2,X102&gt;1),5,
IF(AND(X102&lt;=1,X102&gt;0),6,
IF(AND(X102&lt;=0,X102&gt;-1),7,
8))))))))),
10)</f>
        <v>8</v>
      </c>
    </row>
    <row r="103" spans="1:25" ht="15" customHeight="1" x14ac:dyDescent="0.25">
      <c r="A103" s="135"/>
      <c r="B103" s="142" t="s">
        <v>534</v>
      </c>
      <c r="C103" t="str">
        <f>IF(AND(IFERROR(INDEX(Instructions!$T$111:$T$222,MATCH(D103,Instructions!$T$111:$T$222,0)), "")=D103, D103&lt;&gt;""), "X", "")</f>
        <v/>
      </c>
      <c r="D103" s="138" t="s">
        <v>2472</v>
      </c>
      <c r="E103" s="100" t="s">
        <v>154</v>
      </c>
      <c r="F103" s="431">
        <f>IFERROR(IF(AND($F$5="Projected Points",Beersheet!A98&lt;&gt;"QB"), T103, IF(H103="", INDEX(Tier!$B$28:$B$36,MATCH(G103,Tier!$A$28:$A$36,0)), INDEX(Tier!$B$28:$B$36,MATCH(G103,Tier!$A$28:$A$36,0)))), "")</f>
        <v>80.924140000000008</v>
      </c>
      <c r="G103" s="250">
        <f t="shared" si="9"/>
        <v>8</v>
      </c>
      <c r="H103" s="252"/>
      <c r="I103" s="396">
        <f>IFERROR(INDEX(ADP!S:S,MATCH(D103,ADP!D:D,0))-RBproj!K103,"")</f>
        <v>-32</v>
      </c>
      <c r="J103" s="127"/>
      <c r="K103" s="89">
        <v>97</v>
      </c>
      <c r="L103" s="2" t="s">
        <v>534</v>
      </c>
      <c r="M103" s="3">
        <f t="shared" si="7"/>
        <v>23.1</v>
      </c>
      <c r="N103" s="4">
        <f>IFERROR(INDEX(ADP!AC:AC,MATCH(D103,ADP!Y:Y,0)),0)</f>
        <v>23.1</v>
      </c>
      <c r="O103" s="4" t="s">
        <v>6</v>
      </c>
      <c r="P103" s="4"/>
      <c r="Q103" s="4"/>
      <c r="R103" s="1" t="str">
        <f>IFERROR(VLOOKUP(S103,FFARawStatProjections!AX:AZ,2,FALSE),"")</f>
        <v>AZ</v>
      </c>
      <c r="S103" s="4" t="str">
        <f>INDEX(FFARawStatProjections!AX:AX,MATCH(WRproj!T103,FFARawStatProjections!AZ:AZ,0))</f>
        <v>Michael Wilson</v>
      </c>
      <c r="T103">
        <f>LARGE(FFARawStatProjections!AZ:AZ,K103)</f>
        <v>80.924140000000008</v>
      </c>
      <c r="U103" s="249">
        <f t="shared" si="6"/>
        <v>-132.17591666666664</v>
      </c>
      <c r="V103" s="243">
        <f t="shared" si="5"/>
        <v>17470.472946673603</v>
      </c>
      <c r="W103" s="244"/>
      <c r="X103" s="243">
        <f t="shared" si="8"/>
        <v>-8.2609947916666648</v>
      </c>
      <c r="Y103" s="238">
        <f>IFERROR(
IF(ISBLANK(Beersheet!$A$1)=FALSE,
INDEX(Beersheet!$A:$U,MATCH(S103,INDEX(Beersheet!$A:$U,0,FFARawStatProjections!$BV$2),0),FFARawStatProjections!$BV$6),
IF(X103&gt;6,0,
IF(AND(X103&lt;=6,X103&gt;5),1,
IF(AND(X103&lt;=5,X103&gt;4),2,
IF(AND(X103&lt;=4,X103&gt;3),3,
IF(AND(X103&lt;=3,X103&gt;2),4,
IF(AND(X103&lt;=2,X103&gt;1),5,
IF(AND(X103&lt;=1,X103&gt;0),6,
IF(AND(X103&lt;=0,X103&gt;-1),7,
8))))))))),
10)</f>
        <v>8</v>
      </c>
    </row>
    <row r="104" spans="1:25" ht="15" customHeight="1" x14ac:dyDescent="0.25">
      <c r="A104" s="135"/>
      <c r="B104" s="143" t="s">
        <v>535</v>
      </c>
      <c r="C104" t="str">
        <f>IF(AND(IFERROR(INDEX(Instructions!$T$111:$T$222,MATCH(D104,Instructions!$T$111:$T$222,0)), "")=D104, D104&lt;&gt;""), "X", "")</f>
        <v/>
      </c>
      <c r="D104" s="137" t="s">
        <v>2442</v>
      </c>
      <c r="E104" s="99" t="s">
        <v>144</v>
      </c>
      <c r="F104" s="232">
        <f>IFERROR(IF(AND($F$5="Projected Points",Beersheet!A99&lt;&gt;"QB"), T104, IF(H104="", INDEX(Tier!$B$28:$B$36,MATCH(G104,Tier!$A$28:$A$36,0)), INDEX(Tier!$B$28:$B$36,MATCH(G104,Tier!$A$28:$A$36,0)))), "")</f>
        <v>80.454099999999983</v>
      </c>
      <c r="G104" s="283">
        <f t="shared" si="9"/>
        <v>8</v>
      </c>
      <c r="H104" s="284"/>
      <c r="I104" s="396" t="str">
        <f>IFERROR(INDEX(ADP!S:S,MATCH(D104,ADP!D:D,0))-RBproj!K104,"")</f>
        <v/>
      </c>
      <c r="J104" s="127"/>
      <c r="K104" s="89">
        <v>98</v>
      </c>
      <c r="L104" s="2" t="s">
        <v>535</v>
      </c>
      <c r="M104" s="3">
        <f t="shared" si="7"/>
        <v>0</v>
      </c>
      <c r="N104" s="4">
        <f>IFERROR(INDEX(ADP!AC:AC,MATCH(D104,ADP!Y:Y,0)),0)</f>
        <v>0</v>
      </c>
      <c r="O104" s="4" t="s">
        <v>6</v>
      </c>
      <c r="P104" s="4"/>
      <c r="Q104" s="4"/>
      <c r="R104" s="1" t="str">
        <f>IFERROR(VLOOKUP(S104,FFARawStatProjections!AX:AZ,2,FALSE),"")</f>
        <v>NYG</v>
      </c>
      <c r="S104" s="4" t="str">
        <f>INDEX(FFARawStatProjections!AX:AX,MATCH(WRproj!T104,FFARawStatProjections!AZ:AZ,0))</f>
        <v>Jalin Hyatt</v>
      </c>
      <c r="T104">
        <f>LARGE(FFARawStatProjections!AZ:AZ,K104)</f>
        <v>80.454099999999983</v>
      </c>
      <c r="U104" s="249">
        <f t="shared" si="6"/>
        <v>-132.64595666666668</v>
      </c>
      <c r="V104" s="243">
        <f t="shared" si="5"/>
        <v>17594.949820015216</v>
      </c>
      <c r="W104" s="244"/>
      <c r="X104" s="243">
        <f t="shared" si="8"/>
        <v>-8.2903722916666673</v>
      </c>
      <c r="Y104" s="238">
        <f>IFERROR(
IF(ISBLANK(Beersheet!$A$1)=FALSE,
INDEX(Beersheet!$A:$U,MATCH(S104,INDEX(Beersheet!$A:$U,0,FFARawStatProjections!$BV$2),0),FFARawStatProjections!$BV$6),
IF(X104&gt;6,0,
IF(AND(X104&lt;=6,X104&gt;5),1,
IF(AND(X104&lt;=5,X104&gt;4),2,
IF(AND(X104&lt;=4,X104&gt;3),3,
IF(AND(X104&lt;=3,X104&gt;2),4,
IF(AND(X104&lt;=2,X104&gt;1),5,
IF(AND(X104&lt;=1,X104&gt;0),6,
IF(AND(X104&lt;=0,X104&gt;-1),7,
8))))))))),
10)</f>
        <v>8</v>
      </c>
    </row>
    <row r="105" spans="1:25" ht="15" customHeight="1" x14ac:dyDescent="0.25">
      <c r="A105" s="135"/>
      <c r="B105" s="142" t="s">
        <v>536</v>
      </c>
      <c r="C105" t="str">
        <f>IF(AND(IFERROR(INDEX(Instructions!$T$111:$T$222,MATCH(D105,Instructions!$T$111:$T$222,0)), "")=D105, D105&lt;&gt;""), "X", "")</f>
        <v/>
      </c>
      <c r="D105" s="138" t="s">
        <v>2436</v>
      </c>
      <c r="E105" s="100" t="s">
        <v>2272</v>
      </c>
      <c r="F105" s="431">
        <f>IFERROR(IF(AND($F$5="Projected Points",Beersheet!A100&lt;&gt;"QB"), T105, IF(H105="", INDEX(Tier!$B$28:$B$36,MATCH(G105,Tier!$A$28:$A$36,0)), INDEX(Tier!$B$28:$B$36,MATCH(G105,Tier!$A$28:$A$36,0)))), "")</f>
        <v>79.024090000000001</v>
      </c>
      <c r="G105" s="250">
        <f t="shared" si="9"/>
        <v>8</v>
      </c>
      <c r="H105" s="252"/>
      <c r="I105" s="396" t="str">
        <f>IFERROR(INDEX(ADP!S:S,MATCH(D105,ADP!D:D,0))-RBproj!K105,"")</f>
        <v/>
      </c>
      <c r="J105" s="127"/>
      <c r="K105" s="89">
        <v>99</v>
      </c>
      <c r="L105" s="2" t="s">
        <v>536</v>
      </c>
      <c r="M105" s="3">
        <f t="shared" si="7"/>
        <v>0</v>
      </c>
      <c r="N105" s="4">
        <f>IFERROR(INDEX(ADP!AC:AC,MATCH(D105,ADP!Y:Y,0)),0)</f>
        <v>0</v>
      </c>
      <c r="O105" s="4" t="s">
        <v>6</v>
      </c>
      <c r="P105" s="4"/>
      <c r="Q105" s="4"/>
      <c r="R105" s="1" t="str">
        <f>IFERROR(VLOOKUP(S105,FFARawStatProjections!AX:AZ,2,FALSE),"")</f>
        <v>DEN</v>
      </c>
      <c r="S105" s="4" t="str">
        <f>INDEX(FFARawStatProjections!AX:AX,MATCH(WRproj!T105,FFARawStatProjections!AZ:AZ,0))</f>
        <v>Marvin Mims</v>
      </c>
      <c r="T105">
        <f>LARGE(FFARawStatProjections!AZ:AZ,K105)</f>
        <v>79.024090000000001</v>
      </c>
      <c r="U105" s="249">
        <f t="shared" si="6"/>
        <v>-134.07596666666666</v>
      </c>
      <c r="V105" s="243">
        <f t="shared" si="5"/>
        <v>17976.364837601108</v>
      </c>
      <c r="W105" s="244"/>
      <c r="X105" s="243">
        <f t="shared" si="8"/>
        <v>-8.3797479166666662</v>
      </c>
      <c r="Y105" s="238">
        <f>IFERROR(
IF(ISBLANK(Beersheet!$A$1)=FALSE,
INDEX(Beersheet!$A:$U,MATCH(S105,INDEX(Beersheet!$A:$U,0,FFARawStatProjections!$BV$2),0),FFARawStatProjections!$BV$6),
IF(X105&gt;6,0,
IF(AND(X105&lt;=6,X105&gt;5),1,
IF(AND(X105&lt;=5,X105&gt;4),2,
IF(AND(X105&lt;=4,X105&gt;3),3,
IF(AND(X105&lt;=3,X105&gt;2),4,
IF(AND(X105&lt;=2,X105&gt;1),5,
IF(AND(X105&lt;=1,X105&gt;0),6,
IF(AND(X105&lt;=0,X105&gt;-1),7,
8))))))))),
10)</f>
        <v>8</v>
      </c>
    </row>
    <row r="106" spans="1:25" ht="15" customHeight="1" x14ac:dyDescent="0.25">
      <c r="A106" s="135"/>
      <c r="B106" s="143" t="s">
        <v>537</v>
      </c>
      <c r="C106" t="str">
        <f>IF(AND(IFERROR(INDEX(Instructions!$T$111:$T$222,MATCH(D106,Instructions!$T$111:$T$222,0)), "")=D106, D106&lt;&gt;""), "X", "")</f>
        <v/>
      </c>
      <c r="D106" s="137" t="s">
        <v>2200</v>
      </c>
      <c r="E106" s="99" t="s">
        <v>159</v>
      </c>
      <c r="F106" s="232">
        <f>IFERROR(IF(AND($F$5="Projected Points",Beersheet!A101&lt;&gt;"QB"), T106, IF(H106="", INDEX(Tier!$B$28:$B$36,MATCH(G106,Tier!$A$28:$A$36,0)), INDEX(Tier!$B$28:$B$36,MATCH(G106,Tier!$A$28:$A$36,0)))), "")</f>
        <v>74.344189999999998</v>
      </c>
      <c r="G106" s="283">
        <f t="shared" si="9"/>
        <v>8</v>
      </c>
      <c r="H106" s="284"/>
      <c r="I106" s="396" t="str">
        <f>IFERROR(INDEX(ADP!S:S,MATCH(D106,ADP!D:D,0))-RBproj!K106,"")</f>
        <v/>
      </c>
      <c r="J106" s="127"/>
      <c r="K106" s="89">
        <v>100</v>
      </c>
      <c r="L106" s="2" t="s">
        <v>537</v>
      </c>
      <c r="M106" s="3">
        <f t="shared" si="7"/>
        <v>0</v>
      </c>
      <c r="N106" s="4">
        <f>IFERROR(INDEX(ADP!AC:AC,MATCH(D106,ADP!Y:Y,0)),0)</f>
        <v>0</v>
      </c>
      <c r="O106" s="4" t="s">
        <v>6</v>
      </c>
      <c r="P106" s="4"/>
      <c r="Q106" s="4"/>
      <c r="R106" s="1" t="str">
        <f>IFERROR(VLOOKUP(S106,FFARawStatProjections!AX:AZ,2,FALSE),"")</f>
        <v>MIA</v>
      </c>
      <c r="S106" s="4" t="str">
        <f>INDEX(FFARawStatProjections!AX:AX,MATCH(WRproj!T106,FFARawStatProjections!AZ:AZ,0))</f>
        <v>Robbie Chosen</v>
      </c>
      <c r="T106">
        <f>LARGE(FFARawStatProjections!AZ:AZ,K106)</f>
        <v>74.344189999999998</v>
      </c>
      <c r="U106" s="249">
        <f t="shared" si="6"/>
        <v>-138.75586666666666</v>
      </c>
      <c r="V106" s="243">
        <f t="shared" si="5"/>
        <v>19253.190534417776</v>
      </c>
      <c r="W106" s="244"/>
      <c r="X106" s="243">
        <f t="shared" si="8"/>
        <v>-8.6722416666666664</v>
      </c>
      <c r="Y106" s="238">
        <f>IFERROR(
IF(ISBLANK(Beersheet!$A$1)=FALSE,
INDEX(Beersheet!$A:$U,MATCH(S106,INDEX(Beersheet!$A:$U,0,FFARawStatProjections!$BV$2),0),FFARawStatProjections!$BV$6),
IF(X106&gt;6,0,
IF(AND(X106&lt;=6,X106&gt;5),1,
IF(AND(X106&lt;=5,X106&gt;4),2,
IF(AND(X106&lt;=4,X106&gt;3),3,
IF(AND(X106&lt;=3,X106&gt;2),4,
IF(AND(X106&lt;=2,X106&gt;1),5,
IF(AND(X106&lt;=1,X106&gt;0),6,
IF(AND(X106&lt;=0,X106&gt;-1),7,
8))))))))),
10)</f>
        <v>8</v>
      </c>
    </row>
    <row r="107" spans="1:25" ht="15" customHeight="1" x14ac:dyDescent="0.25">
      <c r="A107" s="135"/>
      <c r="B107" s="142" t="s">
        <v>538</v>
      </c>
      <c r="C107" t="str">
        <f>IF(AND(IFERROR(INDEX(Instructions!$T$111:$T$222,MATCH(D107,Instructions!$T$111:$T$222,0)), "")=D107, D107&lt;&gt;""), "X", "")</f>
        <v/>
      </c>
      <c r="D107" s="138" t="s">
        <v>2207</v>
      </c>
      <c r="E107" s="100" t="s">
        <v>1389</v>
      </c>
      <c r="F107" s="431">
        <f>IFERROR(IF(AND($F$5="Projected Points",Beersheet!A102&lt;&gt;"QB"), T107, IF(H107="", INDEX(Tier!$B$28:$B$36,MATCH(G107,Tier!$A$28:$A$36,0)), INDEX(Tier!$B$28:$B$36,MATCH(G107,Tier!$A$28:$A$36,0)))), "")</f>
        <v>73.984120000000004</v>
      </c>
      <c r="G107" s="250">
        <f t="shared" si="9"/>
        <v>8</v>
      </c>
      <c r="H107" s="252"/>
      <c r="I107" s="396" t="str">
        <f>IFERROR(INDEX(ADP!S:S,MATCH(D107,ADP!D:D,0))-RBproj!K107,"")</f>
        <v/>
      </c>
      <c r="J107" s="127"/>
      <c r="K107" s="89">
        <v>101</v>
      </c>
      <c r="L107" s="2" t="s">
        <v>538</v>
      </c>
      <c r="M107" s="3">
        <f t="shared" si="7"/>
        <v>0</v>
      </c>
      <c r="N107" s="4">
        <f>IFERROR(INDEX(ADP!AC:AC,MATCH(D107,ADP!Y:Y,0)),0)</f>
        <v>0</v>
      </c>
      <c r="O107" s="4" t="s">
        <v>6</v>
      </c>
      <c r="P107" s="4"/>
      <c r="Q107" s="4"/>
      <c r="R107" s="1" t="str">
        <f>IFERROR(VLOOKUP(S107,FFARawStatProjections!AX:AZ,2,FALSE),"")</f>
        <v>CAR</v>
      </c>
      <c r="S107" s="4" t="str">
        <f>INDEX(FFARawStatProjections!AX:AX,MATCH(WRproj!T107,FFARawStatProjections!AZ:AZ,0))</f>
        <v>Terrace Marshall</v>
      </c>
      <c r="T107">
        <f>LARGE(FFARawStatProjections!AZ:AZ,K107)</f>
        <v>73.984120000000004</v>
      </c>
      <c r="U107" s="249">
        <f t="shared" si="6"/>
        <v>-139.11593666666664</v>
      </c>
      <c r="V107" s="243">
        <f t="shared" si="5"/>
        <v>19353.243834644003</v>
      </c>
      <c r="W107" s="243"/>
      <c r="X107" s="243">
        <f t="shared" si="8"/>
        <v>-8.6947460416666651</v>
      </c>
      <c r="Y107" s="238">
        <f>IFERROR(
IF(ISBLANK(Beersheet!$A$1)=FALSE,
INDEX(Beersheet!$A:$U,MATCH(S107,INDEX(Beersheet!$A:$U,0,FFARawStatProjections!$BV$2),0),FFARawStatProjections!$BV$6),
IF(X107&gt;6,0,
IF(AND(X107&lt;=6,X107&gt;5),1,
IF(AND(X107&lt;=5,X107&gt;4),2,
IF(AND(X107&lt;=4,X107&gt;3),3,
IF(AND(X107&lt;=3,X107&gt;2),4,
IF(AND(X107&lt;=2,X107&gt;1),5,
IF(AND(X107&lt;=1,X107&gt;0),6,
IF(AND(X107&lt;=0,X107&gt;-1),7,
8))))))))),
10)</f>
        <v>8</v>
      </c>
    </row>
    <row r="108" spans="1:25" ht="15" customHeight="1" x14ac:dyDescent="0.25">
      <c r="A108" s="135"/>
      <c r="B108" s="143" t="s">
        <v>539</v>
      </c>
      <c r="C108" t="str">
        <f>IF(AND(IFERROR(INDEX(Instructions!$T$111:$T$222,MATCH(D108,Instructions!$T$111:$T$222,0)), "")=D108, D108&lt;&gt;""), "X", "")</f>
        <v/>
      </c>
      <c r="D108" s="137" t="s">
        <v>1183</v>
      </c>
      <c r="E108" s="99" t="s">
        <v>154</v>
      </c>
      <c r="F108" s="232">
        <f>IFERROR(IF(AND($F$5="Projected Points",Beersheet!A103&lt;&gt;"QB"), T108, IF(H108="", INDEX(Tier!$B$28:$B$36,MATCH(G108,Tier!$A$28:$A$36,0)), INDEX(Tier!$B$28:$B$36,MATCH(G108,Tier!$A$28:$A$36,0)))), "")</f>
        <v>73.734160000000003</v>
      </c>
      <c r="G108" s="283">
        <f t="shared" si="9"/>
        <v>8</v>
      </c>
      <c r="H108" s="284"/>
      <c r="I108" s="396" t="str">
        <f>IFERROR(INDEX(ADP!S:S,MATCH(D108,ADP!D:D,0))-RBproj!K108,"")</f>
        <v/>
      </c>
      <c r="J108" s="127"/>
      <c r="K108" s="89">
        <v>102</v>
      </c>
      <c r="L108" s="2" t="s">
        <v>539</v>
      </c>
      <c r="M108" s="3">
        <f t="shared" si="7"/>
        <v>0</v>
      </c>
      <c r="N108" s="4">
        <f>IFERROR(INDEX(ADP!AC:AC,MATCH(D108,ADP!Y:Y,0)),0)</f>
        <v>0</v>
      </c>
      <c r="O108" s="4" t="s">
        <v>6</v>
      </c>
      <c r="P108" s="4"/>
      <c r="Q108" s="4"/>
      <c r="R108" s="1" t="str">
        <f>IFERROR(VLOOKUP(S108,FFARawStatProjections!AX:AZ,2,FALSE),"")</f>
        <v>NYG</v>
      </c>
      <c r="S108" s="4" t="str">
        <f>INDEX(FFARawStatProjections!AX:AX,MATCH(WRproj!T108,FFARawStatProjections!AZ:AZ,0))</f>
        <v>Sterling Shepard</v>
      </c>
      <c r="T108">
        <f>LARGE(FFARawStatProjections!AZ:AZ,K108)</f>
        <v>73.734160000000003</v>
      </c>
      <c r="U108" s="249">
        <f t="shared" si="6"/>
        <v>-139.36589666666666</v>
      </c>
      <c r="V108" s="243">
        <f t="shared" si="5"/>
        <v>19422.853153704007</v>
      </c>
      <c r="W108" s="243"/>
      <c r="X108" s="243">
        <f t="shared" si="8"/>
        <v>-8.7103685416666661</v>
      </c>
      <c r="Y108" s="238">
        <f>IFERROR(
IF(ISBLANK(Beersheet!$A$1)=FALSE,
INDEX(Beersheet!$A:$U,MATCH(S108,INDEX(Beersheet!$A:$U,0,FFARawStatProjections!$BV$2),0),FFARawStatProjections!$BV$6),
IF(X108&gt;6,0,
IF(AND(X108&lt;=6,X108&gt;5),1,
IF(AND(X108&lt;=5,X108&gt;4),2,
IF(AND(X108&lt;=4,X108&gt;3),3,
IF(AND(X108&lt;=3,X108&gt;2),4,
IF(AND(X108&lt;=2,X108&gt;1),5,
IF(AND(X108&lt;=1,X108&gt;0),6,
IF(AND(X108&lt;=0,X108&gt;-1),7,
8))))))))),
10)</f>
        <v>8</v>
      </c>
    </row>
    <row r="109" spans="1:25" ht="15" customHeight="1" x14ac:dyDescent="0.25">
      <c r="A109" s="135"/>
      <c r="B109" s="142" t="s">
        <v>540</v>
      </c>
      <c r="C109" t="str">
        <f>IF(AND(IFERROR(INDEX(Instructions!$T$111:$T$222,MATCH(D109,Instructions!$T$111:$T$222,0)), "")=D109, D109&lt;&gt;""), "X", "")</f>
        <v/>
      </c>
      <c r="D109" s="138" t="s">
        <v>2420</v>
      </c>
      <c r="E109" s="100" t="s">
        <v>166</v>
      </c>
      <c r="F109" s="431">
        <f>IFERROR(IF(AND($F$5="Projected Points",Beersheet!A104&lt;&gt;"QB"), T109, IF(H109="", INDEX(Tier!$B$28:$B$36,MATCH(G109,Tier!$A$28:$A$36,0)), INDEX(Tier!$B$28:$B$36,MATCH(G109,Tier!$A$28:$A$36,0)))), "")</f>
        <v>72.724260000000001</v>
      </c>
      <c r="G109" s="250">
        <f t="shared" si="9"/>
        <v>8</v>
      </c>
      <c r="H109" s="252"/>
      <c r="I109" s="396" t="str">
        <f>IFERROR(INDEX(ADP!S:S,MATCH(D109,ADP!D:D,0))-RBproj!K109,"")</f>
        <v/>
      </c>
      <c r="J109" s="127"/>
      <c r="K109" s="89">
        <v>103</v>
      </c>
      <c r="L109" s="2" t="s">
        <v>540</v>
      </c>
      <c r="M109" s="3">
        <f t="shared" si="7"/>
        <v>0</v>
      </c>
      <c r="N109" s="4">
        <f>IFERROR(INDEX(ADP!AC:AC,MATCH(D109,ADP!Y:Y,0)),0)</f>
        <v>0</v>
      </c>
      <c r="O109" s="4" t="s">
        <v>6</v>
      </c>
      <c r="P109" s="4"/>
      <c r="Q109" s="4"/>
      <c r="R109" s="1" t="str">
        <f>IFERROR(VLOOKUP(S109,FFARawStatProjections!AX:AZ,2,FALSE),"")</f>
        <v>TB</v>
      </c>
      <c r="S109" s="4" t="str">
        <f>INDEX(FFARawStatProjections!AX:AX,MATCH(WRproj!T109,FFARawStatProjections!AZ:AZ,0))</f>
        <v>Trey Palmer</v>
      </c>
      <c r="T109">
        <f>LARGE(FFARawStatProjections!AZ:AZ,K109)</f>
        <v>72.724260000000001</v>
      </c>
      <c r="U109" s="249">
        <f t="shared" si="6"/>
        <v>-140.37579666666664</v>
      </c>
      <c r="V109" s="243">
        <f t="shared" si="5"/>
        <v>19705.364289801339</v>
      </c>
      <c r="W109" s="244"/>
      <c r="X109" s="243">
        <f t="shared" si="8"/>
        <v>-8.7734872916666653</v>
      </c>
      <c r="Y109" s="238">
        <f>IFERROR(
IF(ISBLANK(Beersheet!$A$1)=FALSE,
INDEX(Beersheet!$A:$U,MATCH(S109,INDEX(Beersheet!$A:$U,0,FFARawStatProjections!$BV$2),0),FFARawStatProjections!$BV$6),
IF(X109&gt;6,0,
IF(AND(X109&lt;=6,X109&gt;5),1,
IF(AND(X109&lt;=5,X109&gt;4),2,
IF(AND(X109&lt;=4,X109&gt;3),3,
IF(AND(X109&lt;=3,X109&gt;2),4,
IF(AND(X109&lt;=2,X109&gt;1),5,
IF(AND(X109&lt;=1,X109&gt;0),6,
IF(AND(X109&lt;=0,X109&gt;-1),7,
8))))))))),
10)</f>
        <v>8</v>
      </c>
    </row>
    <row r="110" spans="1:25" ht="15" customHeight="1" x14ac:dyDescent="0.25">
      <c r="A110" s="135"/>
      <c r="B110" s="143" t="s">
        <v>541</v>
      </c>
      <c r="C110" t="str">
        <f>IF(AND(IFERROR(INDEX(Instructions!$T$111:$T$222,MATCH(D110,Instructions!$T$111:$T$222,0)), "")=D110, D110&lt;&gt;""), "X", "")</f>
        <v/>
      </c>
      <c r="D110" s="137" t="s">
        <v>1803</v>
      </c>
      <c r="E110" s="99" t="s">
        <v>136</v>
      </c>
      <c r="F110" s="232">
        <f>IFERROR(IF(AND($F$5="Projected Points",Beersheet!A105&lt;&gt;"QB"), T110, IF(H110="", INDEX(Tier!$B$28:$B$36,MATCH(G110,Tier!$A$28:$A$36,0)), INDEX(Tier!$B$28:$B$36,MATCH(G110,Tier!$A$28:$A$36,0)))), "")</f>
        <v>71.664150000000006</v>
      </c>
      <c r="G110" s="283">
        <f t="shared" si="9"/>
        <v>8</v>
      </c>
      <c r="H110" s="284"/>
      <c r="I110" s="396" t="str">
        <f>IFERROR(INDEX(ADP!S:S,MATCH(D110,ADP!D:D,0))-RBproj!K110,"")</f>
        <v/>
      </c>
      <c r="J110" s="127"/>
      <c r="K110" s="89">
        <v>104</v>
      </c>
      <c r="L110" s="2" t="s">
        <v>541</v>
      </c>
      <c r="M110" s="3">
        <f t="shared" si="7"/>
        <v>0</v>
      </c>
      <c r="N110" s="4">
        <f>IFERROR(INDEX(ADP!AC:AC,MATCH(D110,ADP!Y:Y,0)),0)</f>
        <v>0</v>
      </c>
      <c r="O110" s="4" t="s">
        <v>6</v>
      </c>
      <c r="P110" s="4"/>
      <c r="Q110" s="4"/>
      <c r="R110" s="1" t="str">
        <f>IFERROR(VLOOKUP(S110,FFARawStatProjections!AX:AZ,2,FALSE),"")</f>
        <v>LAR</v>
      </c>
      <c r="S110" s="4" t="str">
        <f>INDEX(FFARawStatProjections!AX:AX,MATCH(WRproj!T110,FFARawStatProjections!AZ:AZ,0))</f>
        <v>Tutu Atwell</v>
      </c>
      <c r="T110">
        <f>LARGE(FFARawStatProjections!AZ:AZ,K110)</f>
        <v>71.664150000000006</v>
      </c>
      <c r="U110" s="249">
        <f t="shared" si="6"/>
        <v>-141.43590666666665</v>
      </c>
      <c r="V110" s="243">
        <f t="shared" si="5"/>
        <v>20004.11569462204</v>
      </c>
      <c r="W110" s="244"/>
      <c r="X110" s="243">
        <f t="shared" si="8"/>
        <v>-8.8397441666666658</v>
      </c>
      <c r="Y110" s="238">
        <f>IFERROR(
IF(ISBLANK(Beersheet!$A$1)=FALSE,
INDEX(Beersheet!$A:$U,MATCH(S110,INDEX(Beersheet!$A:$U,0,FFARawStatProjections!$BV$2),0),FFARawStatProjections!$BV$6),
IF(X110&gt;6,0,
IF(AND(X110&lt;=6,X110&gt;5),1,
IF(AND(X110&lt;=5,X110&gt;4),2,
IF(AND(X110&lt;=4,X110&gt;3),3,
IF(AND(X110&lt;=3,X110&gt;2),4,
IF(AND(X110&lt;=2,X110&gt;1),5,
IF(AND(X110&lt;=1,X110&gt;0),6,
IF(AND(X110&lt;=0,X110&gt;-1),7,
8))))))))),
10)</f>
        <v>8</v>
      </c>
    </row>
    <row r="111" spans="1:25" ht="15" customHeight="1" x14ac:dyDescent="0.25">
      <c r="A111" s="135"/>
      <c r="B111" s="142" t="s">
        <v>542</v>
      </c>
      <c r="C111" t="str">
        <f>IF(AND(IFERROR(INDEX(Instructions!$T$111:$T$222,MATCH(D111,Instructions!$T$111:$T$222,0)), "")=D111, D111&lt;&gt;""), "X", "")</f>
        <v/>
      </c>
      <c r="D111" s="138" t="s">
        <v>2399</v>
      </c>
      <c r="E111" s="100" t="s">
        <v>149</v>
      </c>
      <c r="F111" s="431">
        <f>IFERROR(IF(AND($F$5="Projected Points",Beersheet!A106&lt;&gt;"QB"), T111, IF(H111="", INDEX(Tier!$B$28:$B$36,MATCH(G111,Tier!$A$28:$A$36,0)), INDEX(Tier!$B$28:$B$36,MATCH(G111,Tier!$A$28:$A$36,0)))), "")</f>
        <v>69.984210000000004</v>
      </c>
      <c r="G111" s="250">
        <f t="shared" si="9"/>
        <v>8</v>
      </c>
      <c r="H111" s="252"/>
      <c r="I111" s="396" t="str">
        <f>IFERROR(INDEX(ADP!S:S,MATCH(D111,ADP!D:D,0))-RBproj!K111,"")</f>
        <v/>
      </c>
      <c r="J111" s="127"/>
      <c r="K111" s="89">
        <v>105</v>
      </c>
      <c r="L111" s="2" t="s">
        <v>542</v>
      </c>
      <c r="M111" s="3">
        <f t="shared" si="7"/>
        <v>0</v>
      </c>
      <c r="N111" s="4">
        <f>IFERROR(INDEX(ADP!AC:AC,MATCH(D111,ADP!Y:Y,0)),0)</f>
        <v>0</v>
      </c>
      <c r="O111" s="4" t="s">
        <v>6</v>
      </c>
      <c r="P111" s="4"/>
      <c r="Q111" s="4"/>
      <c r="R111" s="1" t="str">
        <f>IFERROR(VLOOKUP(S111,FFARawStatProjections!AX:AZ,2,FALSE),"")</f>
        <v>KC</v>
      </c>
      <c r="S111" s="4" t="str">
        <f>INDEX(FFARawStatProjections!AX:AX,MATCH(WRproj!T111,FFARawStatProjections!AZ:AZ,0))</f>
        <v>Richie James</v>
      </c>
      <c r="T111">
        <f>LARGE(FFARawStatProjections!AZ:AZ,K111)</f>
        <v>69.984210000000004</v>
      </c>
      <c r="U111" s="249">
        <f t="shared" si="6"/>
        <v>-143.11584666666664</v>
      </c>
      <c r="V111" s="243">
        <f t="shared" si="5"/>
        <v>20482.145567116837</v>
      </c>
      <c r="W111" s="243"/>
      <c r="X111" s="243">
        <f t="shared" si="8"/>
        <v>-8.9447404166666651</v>
      </c>
      <c r="Y111" s="238">
        <f>IFERROR(
IF(ISBLANK(Beersheet!$A$1)=FALSE,
INDEX(Beersheet!$A:$U,MATCH(S111,INDEX(Beersheet!$A:$U,0,FFARawStatProjections!$BV$2),0),FFARawStatProjections!$BV$6),
IF(X111&gt;6,0,
IF(AND(X111&lt;=6,X111&gt;5),1,
IF(AND(X111&lt;=5,X111&gt;4),2,
IF(AND(X111&lt;=4,X111&gt;3),3,
IF(AND(X111&lt;=3,X111&gt;2),4,
IF(AND(X111&lt;=2,X111&gt;1),5,
IF(AND(X111&lt;=1,X111&gt;0),6,
IF(AND(X111&lt;=0,X111&gt;-1),7,
8))))))))),
10)</f>
        <v>8</v>
      </c>
    </row>
    <row r="112" spans="1:25" ht="15" customHeight="1" x14ac:dyDescent="0.25">
      <c r="A112" s="135"/>
      <c r="B112" s="143" t="s">
        <v>543</v>
      </c>
      <c r="C112" t="str">
        <f>IF(AND(IFERROR(INDEX(Instructions!$T$111:$T$222,MATCH(D112,Instructions!$T$111:$T$222,0)), "")=D112, D112&lt;&gt;""), "X", "")</f>
        <v/>
      </c>
      <c r="D112" s="137" t="s">
        <v>2461</v>
      </c>
      <c r="E112" s="99" t="s">
        <v>158</v>
      </c>
      <c r="F112" s="232">
        <f>IFERROR(IF(AND($F$5="Projected Points",Beersheet!A107&lt;&gt;"QB"), T112, IF(H112="", INDEX(Tier!$B$28:$B$36,MATCH(G112,Tier!$A$28:$A$36,0)), INDEX(Tier!$B$28:$B$36,MATCH(G112,Tier!$A$28:$A$36,0)))), "")</f>
        <v>69.394179999999992</v>
      </c>
      <c r="G112" s="283">
        <f t="shared" si="9"/>
        <v>8</v>
      </c>
      <c r="H112" s="284"/>
      <c r="I112" s="396" t="str">
        <f>IFERROR(INDEX(ADP!S:S,MATCH(D112,ADP!D:D,0))-RBproj!K112,"")</f>
        <v/>
      </c>
      <c r="J112" s="127"/>
      <c r="K112" s="89">
        <v>106</v>
      </c>
      <c r="L112" s="2" t="s">
        <v>543</v>
      </c>
      <c r="M112" s="3">
        <f t="shared" si="7"/>
        <v>0</v>
      </c>
      <c r="N112" s="4">
        <f>IFERROR(INDEX(ADP!AC:AC,MATCH(D112,ADP!Y:Y,0)),0)</f>
        <v>0</v>
      </c>
      <c r="O112" s="4" t="s">
        <v>6</v>
      </c>
      <c r="P112" s="4"/>
      <c r="Q112" s="4"/>
      <c r="R112" s="1" t="str">
        <f>IFERROR(VLOOKUP(S112,FFARawStatProjections!AX:AZ,2,FALSE),"")</f>
        <v>HOU</v>
      </c>
      <c r="S112" s="4" t="str">
        <f>INDEX(FFARawStatProjections!AX:AX,MATCH(WRproj!T112,FFARawStatProjections!AZ:AZ,0))</f>
        <v>Tank Dell</v>
      </c>
      <c r="T112">
        <f>LARGE(FFARawStatProjections!AZ:AZ,K112)</f>
        <v>69.394179999999992</v>
      </c>
      <c r="U112" s="249">
        <f t="shared" si="6"/>
        <v>-143.70587666666665</v>
      </c>
      <c r="V112" s="243">
        <f t="shared" si="5"/>
        <v>20651.378988535209</v>
      </c>
      <c r="W112" s="243"/>
      <c r="X112" s="243">
        <f t="shared" si="8"/>
        <v>-8.9816172916666659</v>
      </c>
      <c r="Y112" s="238">
        <f>IFERROR(
IF(ISBLANK(Beersheet!$A$1)=FALSE,
INDEX(Beersheet!$A:$U,MATCH(S112,INDEX(Beersheet!$A:$U,0,FFARawStatProjections!$BV$2),0),FFARawStatProjections!$BV$6),
IF(X112&gt;6,0,
IF(AND(X112&lt;=6,X112&gt;5),1,
IF(AND(X112&lt;=5,X112&gt;4),2,
IF(AND(X112&lt;=4,X112&gt;3),3,
IF(AND(X112&lt;=3,X112&gt;2),4,
IF(AND(X112&lt;=2,X112&gt;1),5,
IF(AND(X112&lt;=1,X112&gt;0),6,
IF(AND(X112&lt;=0,X112&gt;-1),7,
8))))))))),
10)</f>
        <v>8</v>
      </c>
    </row>
    <row r="113" spans="1:25" ht="15" customHeight="1" x14ac:dyDescent="0.25">
      <c r="A113" s="135"/>
      <c r="B113" s="142" t="s">
        <v>544</v>
      </c>
      <c r="C113" t="str">
        <f>IF(AND(IFERROR(INDEX(Instructions!$T$111:$T$222,MATCH(D113,Instructions!$T$111:$T$222,0)), "")=D113, D113&lt;&gt;""), "X", "")</f>
        <v/>
      </c>
      <c r="D113" s="138" t="s">
        <v>2406</v>
      </c>
      <c r="E113" s="100" t="s">
        <v>151</v>
      </c>
      <c r="F113" s="431">
        <f>IFERROR(IF(AND($F$5="Projected Points",Beersheet!A108&lt;&gt;"QB"), T113, IF(H113="", INDEX(Tier!$B$28:$B$36,MATCH(G113,Tier!$A$28:$A$36,0)), INDEX(Tier!$B$28:$B$36,MATCH(G113,Tier!$A$28:$A$36,0)))), "")</f>
        <v>68.824170000000009</v>
      </c>
      <c r="G113" s="250">
        <f t="shared" si="9"/>
        <v>8</v>
      </c>
      <c r="H113" s="252"/>
      <c r="I113" s="396" t="str">
        <f>IFERROR(INDEX(ADP!S:S,MATCH(D113,ADP!D:D,0))-RBproj!K113,"")</f>
        <v/>
      </c>
      <c r="J113" s="127"/>
      <c r="K113" s="89">
        <v>107</v>
      </c>
      <c r="L113" s="2" t="s">
        <v>544</v>
      </c>
      <c r="M113" s="3">
        <f t="shared" si="7"/>
        <v>0</v>
      </c>
      <c r="N113" s="4">
        <f>IFERROR(INDEX(ADP!AC:AC,MATCH(D113,ADP!Y:Y,0)),0)</f>
        <v>0</v>
      </c>
      <c r="O113" s="4" t="s">
        <v>6</v>
      </c>
      <c r="P113" s="4"/>
      <c r="Q113" s="4"/>
      <c r="R113" s="1" t="str">
        <f>IFERROR(VLOOKUP(S113,FFARawStatProjections!AX:AZ,2,FALSE),"")</f>
        <v>IND</v>
      </c>
      <c r="S113" s="4" t="str">
        <f>INDEX(FFARawStatProjections!AX:AX,MATCH(WRproj!T113,FFARawStatProjections!AZ:AZ,0))</f>
        <v>Josh Downs</v>
      </c>
      <c r="T113">
        <f>LARGE(FFARawStatProjections!AZ:AZ,K113)</f>
        <v>68.824170000000009</v>
      </c>
      <c r="U113" s="249">
        <f t="shared" si="6"/>
        <v>-144.27588666666665</v>
      </c>
      <c r="V113" s="243">
        <f t="shared" si="5"/>
        <v>20815.53147345284</v>
      </c>
      <c r="W113" s="243"/>
      <c r="X113" s="243">
        <f t="shared" si="8"/>
        <v>-9.0172429166666657</v>
      </c>
      <c r="Y113" s="238">
        <f>IFERROR(
IF(ISBLANK(Beersheet!$A$1)=FALSE,
INDEX(Beersheet!$A:$U,MATCH(S113,INDEX(Beersheet!$A:$U,0,FFARawStatProjections!$BV$2),0),FFARawStatProjections!$BV$6),
IF(X113&gt;6,0,
IF(AND(X113&lt;=6,X113&gt;5),1,
IF(AND(X113&lt;=5,X113&gt;4),2,
IF(AND(X113&lt;=4,X113&gt;3),3,
IF(AND(X113&lt;=3,X113&gt;2),4,
IF(AND(X113&lt;=2,X113&gt;1),5,
IF(AND(X113&lt;=1,X113&gt;0),6,
IF(AND(X113&lt;=0,X113&gt;-1),7,
8))))))))),
10)</f>
        <v>8</v>
      </c>
    </row>
    <row r="114" spans="1:25" ht="15" customHeight="1" x14ac:dyDescent="0.25">
      <c r="A114" s="135"/>
      <c r="B114" s="143" t="s">
        <v>545</v>
      </c>
      <c r="C114" t="str">
        <f>IF(AND(IFERROR(INDEX(Instructions!$T$111:$T$222,MATCH(D114,Instructions!$T$111:$T$222,0)), "")=D114, D114&lt;&gt;""), "X", "")</f>
        <v/>
      </c>
      <c r="D114" s="137" t="s">
        <v>2514</v>
      </c>
      <c r="E114" s="99" t="s">
        <v>161</v>
      </c>
      <c r="F114" s="232">
        <f>IFERROR(IF(AND($F$5="Projected Points",Beersheet!A109&lt;&gt;"QB"), T114, IF(H114="", INDEX(Tier!$B$28:$B$36,MATCH(G114,Tier!$A$28:$A$36,0)), INDEX(Tier!$B$28:$B$36,MATCH(G114,Tier!$A$28:$A$36,0)))), "")</f>
        <v>66.774199999999979</v>
      </c>
      <c r="G114" s="283">
        <f t="shared" si="9"/>
        <v>8</v>
      </c>
      <c r="H114" s="284"/>
      <c r="I114" s="396" t="str">
        <f>IFERROR(INDEX(ADP!S:S,MATCH(D114,ADP!D:D,0))-RBproj!K114,"")</f>
        <v/>
      </c>
      <c r="J114" s="127"/>
      <c r="K114" s="89">
        <v>108</v>
      </c>
      <c r="L114" s="2" t="s">
        <v>545</v>
      </c>
      <c r="M114" s="3">
        <f t="shared" si="7"/>
        <v>0</v>
      </c>
      <c r="N114" s="4">
        <f>IFERROR(INDEX(ADP!AC:AC,MATCH(D114,ADP!Y:Y,0)),0)</f>
        <v>0</v>
      </c>
      <c r="O114" s="4" t="s">
        <v>6</v>
      </c>
      <c r="P114" s="4"/>
      <c r="Q114" s="4"/>
      <c r="R114" s="1" t="str">
        <f>IFERROR(VLOOKUP(S114,FFARawStatProjections!AX:AZ,2,FALSE),"")</f>
        <v>CLE</v>
      </c>
      <c r="S114" s="4" t="str">
        <f>INDEX(FFARawStatProjections!AX:AX,MATCH(WRproj!T114,FFARawStatProjections!AZ:AZ,0))</f>
        <v>Cedric Tillman</v>
      </c>
      <c r="T114">
        <f>LARGE(FFARawStatProjections!AZ:AZ,K114)</f>
        <v>66.774199999999979</v>
      </c>
      <c r="U114" s="249">
        <f t="shared" si="6"/>
        <v>-146.32585666666668</v>
      </c>
      <c r="V114" s="243">
        <f t="shared" si="5"/>
        <v>21411.256329233882</v>
      </c>
      <c r="W114" s="243"/>
      <c r="X114" s="243">
        <f t="shared" si="8"/>
        <v>-9.1453660416666676</v>
      </c>
      <c r="Y114" s="238">
        <f>IFERROR(
IF(ISBLANK(Beersheet!$A$1)=FALSE,
INDEX(Beersheet!$A:$U,MATCH(S114,INDEX(Beersheet!$A:$U,0,FFARawStatProjections!$BV$2),0),FFARawStatProjections!$BV$6),
IF(X114&gt;6,0,
IF(AND(X114&lt;=6,X114&gt;5),1,
IF(AND(X114&lt;=5,X114&gt;4),2,
IF(AND(X114&lt;=4,X114&gt;3),3,
IF(AND(X114&lt;=3,X114&gt;2),4,
IF(AND(X114&lt;=2,X114&gt;1),5,
IF(AND(X114&lt;=1,X114&gt;0),6,
IF(AND(X114&lt;=0,X114&gt;-1),7,
8))))))))),
10)</f>
        <v>8</v>
      </c>
    </row>
    <row r="115" spans="1:25" ht="15" customHeight="1" x14ac:dyDescent="0.25">
      <c r="A115" s="135"/>
      <c r="B115" s="142" t="s">
        <v>546</v>
      </c>
      <c r="C115" t="str">
        <f>IF(AND(IFERROR(INDEX(Instructions!$T$111:$T$222,MATCH(D115,Instructions!$T$111:$T$222,0)), "")=D115, D115&lt;&gt;""), "X", "")</f>
        <v/>
      </c>
      <c r="D115" s="138" t="s">
        <v>1439</v>
      </c>
      <c r="E115" s="100" t="s">
        <v>158</v>
      </c>
      <c r="F115" s="431">
        <f>IFERROR(IF(AND($F$5="Projected Points",Beersheet!A110&lt;&gt;"QB"), T115, IF(H115="", INDEX(Tier!$B$28:$B$36,MATCH(G115,Tier!$A$28:$A$36,0)), INDEX(Tier!$B$28:$B$36,MATCH(G115,Tier!$A$28:$A$36,0)))), "")</f>
        <v>66.134239999999991</v>
      </c>
      <c r="G115" s="250">
        <f t="shared" si="9"/>
        <v>8</v>
      </c>
      <c r="H115" s="252"/>
      <c r="I115" s="396" t="str">
        <f>IFERROR(INDEX(ADP!S:S,MATCH(D115,ADP!D:D,0))-RBproj!K115,"")</f>
        <v/>
      </c>
      <c r="J115" s="127"/>
      <c r="K115" s="89">
        <v>109</v>
      </c>
      <c r="L115" s="2" t="s">
        <v>546</v>
      </c>
      <c r="M115" s="3">
        <f t="shared" si="7"/>
        <v>0</v>
      </c>
      <c r="N115" s="4">
        <f>IFERROR(INDEX(ADP!AC:AC,MATCH(D115,ADP!Y:Y,0)),0)</f>
        <v>0</v>
      </c>
      <c r="O115" s="4" t="s">
        <v>6</v>
      </c>
      <c r="P115" s="4"/>
      <c r="Q115" s="4"/>
      <c r="R115" s="1" t="str">
        <f>IFERROR(VLOOKUP(S115,FFARawStatProjections!AX:AZ,2,FALSE),"")</f>
        <v>IND</v>
      </c>
      <c r="S115" s="4" t="str">
        <f>INDEX(FFARawStatProjections!AX:AX,MATCH(WRproj!T115,FFARawStatProjections!AZ:AZ,0))</f>
        <v>Isaiah McKenzie</v>
      </c>
      <c r="T115">
        <f>LARGE(FFARawStatProjections!AZ:AZ,K115)</f>
        <v>66.134239999999991</v>
      </c>
      <c r="U115" s="249">
        <f t="shared" si="6"/>
        <v>-146.96581666666668</v>
      </c>
      <c r="V115" s="243">
        <f t="shared" si="5"/>
        <v>21598.951268500281</v>
      </c>
      <c r="W115" s="243"/>
      <c r="X115" s="243">
        <f t="shared" si="8"/>
        <v>-9.1853635416666677</v>
      </c>
      <c r="Y115" s="238">
        <f>IFERROR(
IF(ISBLANK(Beersheet!$A$1)=FALSE,
INDEX(Beersheet!$A:$U,MATCH(S115,INDEX(Beersheet!$A:$U,0,FFARawStatProjections!$BV$2),0),FFARawStatProjections!$BV$6),
IF(X115&gt;6,0,
IF(AND(X115&lt;=6,X115&gt;5),1,
IF(AND(X115&lt;=5,X115&gt;4),2,
IF(AND(X115&lt;=4,X115&gt;3),3,
IF(AND(X115&lt;=3,X115&gt;2),4,
IF(AND(X115&lt;=2,X115&gt;1),5,
IF(AND(X115&lt;=1,X115&gt;0),6,
IF(AND(X115&lt;=0,X115&gt;-1),7,
8))))))))),
10)</f>
        <v>8</v>
      </c>
    </row>
    <row r="116" spans="1:25" ht="15" customHeight="1" x14ac:dyDescent="0.25">
      <c r="A116" s="135"/>
      <c r="B116" s="143" t="s">
        <v>547</v>
      </c>
      <c r="C116" t="str">
        <f>IF(AND(IFERROR(INDEX(Instructions!$T$111:$T$222,MATCH(D116,Instructions!$T$111:$T$222,0)), "")=D116, D116&lt;&gt;""), "X", "")</f>
        <v/>
      </c>
      <c r="D116" s="137" t="s">
        <v>2126</v>
      </c>
      <c r="E116" s="99" t="s">
        <v>166</v>
      </c>
      <c r="F116" s="232">
        <f>IFERROR(IF(AND($F$5="Projected Points",Beersheet!A111&lt;&gt;"QB"), T116, IF(H116="", INDEX(Tier!$B$28:$B$36,MATCH(G116,Tier!$A$28:$A$36,0)), INDEX(Tier!$B$28:$B$36,MATCH(G116,Tier!$A$28:$A$36,0)))), "")</f>
        <v>65.914270000000002</v>
      </c>
      <c r="G116" s="283">
        <f t="shared" si="9"/>
        <v>8</v>
      </c>
      <c r="H116" s="284"/>
      <c r="I116" s="396" t="str">
        <f>IFERROR(INDEX(ADP!S:S,MATCH(D116,ADP!D:D,0))-RBproj!K116,"")</f>
        <v/>
      </c>
      <c r="J116" s="127"/>
      <c r="K116" s="89">
        <v>110</v>
      </c>
      <c r="L116" s="2" t="s">
        <v>547</v>
      </c>
      <c r="M116" s="3">
        <f t="shared" si="7"/>
        <v>0</v>
      </c>
      <c r="N116" s="4">
        <f>IFERROR(INDEX(ADP!AC:AC,MATCH(D116,ADP!Y:Y,0)),0)</f>
        <v>0</v>
      </c>
      <c r="O116" s="4" t="s">
        <v>6</v>
      </c>
      <c r="P116" s="4"/>
      <c r="Q116" s="4"/>
      <c r="R116" s="1" t="str">
        <f>IFERROR(VLOOKUP(S116,FFARawStatProjections!AX:AZ,2,FALSE),"")</f>
        <v>MIA</v>
      </c>
      <c r="S116" s="4" t="str">
        <f>INDEX(FFARawStatProjections!AX:AX,MATCH(WRproj!T116,FFARawStatProjections!AZ:AZ,0))</f>
        <v>Braxton Berrios</v>
      </c>
      <c r="T116">
        <f>LARGE(FFARawStatProjections!AZ:AZ,K116)</f>
        <v>65.914270000000002</v>
      </c>
      <c r="U116" s="249">
        <f t="shared" si="6"/>
        <v>-147.18578666666667</v>
      </c>
      <c r="V116" s="243">
        <f t="shared" si="5"/>
        <v>21663.655796685514</v>
      </c>
      <c r="W116" s="243"/>
      <c r="X116" s="243">
        <f t="shared" si="8"/>
        <v>-9.199111666666667</v>
      </c>
      <c r="Y116" s="238">
        <f>IFERROR(
IF(ISBLANK(Beersheet!$A$1)=FALSE,
INDEX(Beersheet!$A:$U,MATCH(S116,INDEX(Beersheet!$A:$U,0,FFARawStatProjections!$BV$2),0),FFARawStatProjections!$BV$6),
IF(X116&gt;6,0,
IF(AND(X116&lt;=6,X116&gt;5),1,
IF(AND(X116&lt;=5,X116&gt;4),2,
IF(AND(X116&lt;=4,X116&gt;3),3,
IF(AND(X116&lt;=3,X116&gt;2),4,
IF(AND(X116&lt;=2,X116&gt;1),5,
IF(AND(X116&lt;=1,X116&gt;0),6,
IF(AND(X116&lt;=0,X116&gt;-1),7,
8))))))))),
10)</f>
        <v>8</v>
      </c>
    </row>
    <row r="117" spans="1:25" ht="15" customHeight="1" x14ac:dyDescent="0.25">
      <c r="A117" s="135"/>
      <c r="B117" s="142" t="s">
        <v>548</v>
      </c>
      <c r="C117" t="str">
        <f>IF(AND(IFERROR(INDEX(Instructions!$T$111:$T$222,MATCH(D117,Instructions!$T$111:$T$222,0)), "")=D117, D117&lt;&gt;""), "X", "")</f>
        <v/>
      </c>
      <c r="D117" s="138" t="s">
        <v>2094</v>
      </c>
      <c r="E117" s="100" t="s">
        <v>159</v>
      </c>
      <c r="F117" s="431">
        <f>IFERROR(IF(AND($F$5="Projected Points",Beersheet!A112&lt;&gt;"QB"), T117, IF(H117="", INDEX(Tier!$B$28:$B$36,MATCH(G117,Tier!$A$28:$A$36,0)), INDEX(Tier!$B$28:$B$36,MATCH(G117,Tier!$A$28:$A$36,0)))), "")</f>
        <v>62.684229999999999</v>
      </c>
      <c r="G117" s="250">
        <f t="shared" si="9"/>
        <v>8</v>
      </c>
      <c r="H117" s="252"/>
      <c r="I117" s="396" t="str">
        <f>IFERROR(INDEX(ADP!S:S,MATCH(D117,ADP!D:D,0))-RBproj!K117,"")</f>
        <v/>
      </c>
      <c r="J117" s="127"/>
      <c r="K117" s="89">
        <v>111</v>
      </c>
      <c r="L117" s="2" t="s">
        <v>548</v>
      </c>
      <c r="M117" s="3">
        <f t="shared" si="7"/>
        <v>0</v>
      </c>
      <c r="N117" s="4">
        <f>IFERROR(INDEX(ADP!AC:AC,MATCH(D117,ADP!Y:Y,0)),0)</f>
        <v>0</v>
      </c>
      <c r="O117" s="4" t="s">
        <v>6</v>
      </c>
      <c r="P117" s="4"/>
      <c r="Q117" s="4"/>
      <c r="R117" s="1" t="str">
        <f>IFERROR(VLOOKUP(S117,FFARawStatProjections!AX:AZ,2,FALSE),"")</f>
        <v>IND</v>
      </c>
      <c r="S117" s="4" t="str">
        <f>INDEX(FFARawStatProjections!AX:AX,MATCH(WRproj!T117,FFARawStatProjections!AZ:AZ,0))</f>
        <v>Amari Rodgers</v>
      </c>
      <c r="T117">
        <f>LARGE(FFARawStatProjections!AZ:AZ,K117)</f>
        <v>62.684229999999999</v>
      </c>
      <c r="U117" s="249">
        <f t="shared" si="6"/>
        <v>-150.41582666666665</v>
      </c>
      <c r="V117" s="243">
        <f t="shared" si="5"/>
        <v>22624.920911816705</v>
      </c>
      <c r="W117" s="243"/>
      <c r="X117" s="243">
        <f t="shared" si="8"/>
        <v>-9.4009891666666654</v>
      </c>
      <c r="Y117" s="238">
        <f>IFERROR(
IF(ISBLANK(Beersheet!$A$1)=FALSE,
INDEX(Beersheet!$A:$U,MATCH(S117,INDEX(Beersheet!$A:$U,0,FFARawStatProjections!$BV$2),0),FFARawStatProjections!$BV$6),
IF(X117&gt;6,0,
IF(AND(X117&lt;=6,X117&gt;5),1,
IF(AND(X117&lt;=5,X117&gt;4),2,
IF(AND(X117&lt;=4,X117&gt;3),3,
IF(AND(X117&lt;=3,X117&gt;2),4,
IF(AND(X117&lt;=2,X117&gt;1),5,
IF(AND(X117&lt;=1,X117&gt;0),6,
IF(AND(X117&lt;=0,X117&gt;-1),7,
8))))))))),
10)</f>
        <v>8</v>
      </c>
    </row>
    <row r="118" spans="1:25" ht="15" customHeight="1" x14ac:dyDescent="0.25">
      <c r="A118" s="135"/>
      <c r="B118" s="143" t="s">
        <v>549</v>
      </c>
      <c r="C118" t="str">
        <f>IF(AND(IFERROR(INDEX(Instructions!$T$111:$T$222,MATCH(D118,Instructions!$T$111:$T$222,0)), "")=D118, D118&lt;&gt;""), "X", "")</f>
        <v/>
      </c>
      <c r="D118" s="137" t="s">
        <v>2545</v>
      </c>
      <c r="E118" s="99" t="s">
        <v>158</v>
      </c>
      <c r="F118" s="232">
        <f>IFERROR(IF(AND($F$5="Projected Points",Beersheet!A113&lt;&gt;"QB"), T118, IF(H118="", INDEX(Tier!$B$28:$B$36,MATCH(G118,Tier!$A$28:$A$36,0)), INDEX(Tier!$B$28:$B$36,MATCH(G118,Tier!$A$28:$A$36,0)))), "")</f>
        <v>62.404220000000002</v>
      </c>
      <c r="G118" s="283">
        <f t="shared" si="9"/>
        <v>8</v>
      </c>
      <c r="H118" s="284"/>
      <c r="I118" s="396" t="str">
        <f>IFERROR(INDEX(ADP!S:S,MATCH(D118,ADP!D:D,0))-RBproj!K118,"")</f>
        <v/>
      </c>
      <c r="J118" s="127"/>
      <c r="K118" s="89">
        <v>112</v>
      </c>
      <c r="L118" s="2" t="s">
        <v>549</v>
      </c>
      <c r="M118" s="3">
        <f t="shared" si="7"/>
        <v>0</v>
      </c>
      <c r="N118" s="4">
        <f>IFERROR(INDEX(ADP!AC:AC,MATCH(D118,ADP!Y:Y,0)),0)</f>
        <v>0</v>
      </c>
      <c r="O118" s="4" t="s">
        <v>6</v>
      </c>
      <c r="P118" s="4"/>
      <c r="Q118" s="4"/>
      <c r="R118" s="1" t="str">
        <f>IFERROR(VLOOKUP(S118,FFARawStatProjections!AX:AZ,2,FALSE),"")</f>
        <v>CAR</v>
      </c>
      <c r="S118" s="4" t="str">
        <f>INDEX(FFARawStatProjections!AX:AX,MATCH(WRproj!T118,FFARawStatProjections!AZ:AZ,0))</f>
        <v>Laviska Shenault</v>
      </c>
      <c r="T118">
        <f>LARGE(FFARawStatProjections!AZ:AZ,K118)</f>
        <v>62.404220000000002</v>
      </c>
      <c r="U118" s="249">
        <f t="shared" si="6"/>
        <v>-150.69583666666665</v>
      </c>
      <c r="V118" s="243">
        <f t="shared" si="5"/>
        <v>22709.235188666673</v>
      </c>
      <c r="W118" s="244"/>
      <c r="X118" s="243">
        <f t="shared" si="8"/>
        <v>-9.4184897916666657</v>
      </c>
      <c r="Y118" s="238">
        <f>IFERROR(
IF(ISBLANK(Beersheet!$A$1)=FALSE,
INDEX(Beersheet!$A:$U,MATCH(S118,INDEX(Beersheet!$A:$U,0,FFARawStatProjections!$BV$2),0),FFARawStatProjections!$BV$6),
IF(X118&gt;6,0,
IF(AND(X118&lt;=6,X118&gt;5),1,
IF(AND(X118&lt;=5,X118&gt;4),2,
IF(AND(X118&lt;=4,X118&gt;3),3,
IF(AND(X118&lt;=3,X118&gt;2),4,
IF(AND(X118&lt;=2,X118&gt;1),5,
IF(AND(X118&lt;=1,X118&gt;0),6,
IF(AND(X118&lt;=0,X118&gt;-1),7,
8))))))))),
10)</f>
        <v>8</v>
      </c>
    </row>
    <row r="119" spans="1:25" ht="15" customHeight="1" x14ac:dyDescent="0.25">
      <c r="A119" s="135"/>
      <c r="B119" s="142" t="s">
        <v>550</v>
      </c>
      <c r="C119" t="str">
        <f>IF(AND(IFERROR(INDEX(Instructions!$T$111:$T$222,MATCH(D119,Instructions!$T$111:$T$222,0)), "")=D119, D119&lt;&gt;""), "X", "")</f>
        <v/>
      </c>
      <c r="D119" s="138" t="s">
        <v>2219</v>
      </c>
      <c r="E119" s="100" t="s">
        <v>137</v>
      </c>
      <c r="F119" s="431">
        <f>IFERROR(IF(AND($F$5="Projected Points",Beersheet!A114&lt;&gt;"QB"), T119, IF(H119="", INDEX(Tier!$B$28:$B$36,MATCH(G119,Tier!$A$28:$A$36,0)), INDEX(Tier!$B$28:$B$36,MATCH(G119,Tier!$A$28:$A$36,0)))), "")</f>
        <v>59.514280000000007</v>
      </c>
      <c r="G119" s="250">
        <f t="shared" si="9"/>
        <v>8</v>
      </c>
      <c r="H119" s="252"/>
      <c r="I119" s="396" t="str">
        <f>IFERROR(INDEX(ADP!S:S,MATCH(D119,ADP!D:D,0))-RBproj!K119,"")</f>
        <v/>
      </c>
      <c r="J119" s="127"/>
      <c r="K119" s="89">
        <v>113</v>
      </c>
      <c r="L119" s="2" t="s">
        <v>550</v>
      </c>
      <c r="M119" s="3">
        <f t="shared" si="7"/>
        <v>0</v>
      </c>
      <c r="N119" s="4">
        <f>IFERROR(INDEX(ADP!AC:AC,MATCH(D119,ADP!Y:Y,0)),0)</f>
        <v>0</v>
      </c>
      <c r="O119" s="4" t="s">
        <v>6</v>
      </c>
      <c r="P119" s="4"/>
      <c r="Q119" s="4"/>
      <c r="R119" s="1" t="str">
        <f>IFERROR(VLOOKUP(S119,FFARawStatProjections!AX:AZ,2,FALSE),"")</f>
        <v>PHI</v>
      </c>
      <c r="S119" s="4" t="str">
        <f>INDEX(FFARawStatProjections!AX:AX,MATCH(WRproj!T119,FFARawStatProjections!AZ:AZ,0))</f>
        <v>Quez Watkins</v>
      </c>
      <c r="T119">
        <f>LARGE(FFARawStatProjections!AZ:AZ,K119)</f>
        <v>59.514280000000007</v>
      </c>
      <c r="U119" s="249">
        <f t="shared" si="6"/>
        <v>-153.58577666666665</v>
      </c>
      <c r="V119" s="243">
        <f t="shared" si="5"/>
        <v>23588.590794303203</v>
      </c>
      <c r="W119" s="244"/>
      <c r="X119" s="243">
        <f t="shared" si="8"/>
        <v>-9.5991110416666654</v>
      </c>
      <c r="Y119" s="238">
        <f>IFERROR(
IF(ISBLANK(Beersheet!$A$1)=FALSE,
INDEX(Beersheet!$A:$U,MATCH(S119,INDEX(Beersheet!$A:$U,0,FFARawStatProjections!$BV$2),0),FFARawStatProjections!$BV$6),
IF(X119&gt;6,0,
IF(AND(X119&lt;=6,X119&gt;5),1,
IF(AND(X119&lt;=5,X119&gt;4),2,
IF(AND(X119&lt;=4,X119&gt;3),3,
IF(AND(X119&lt;=3,X119&gt;2),4,
IF(AND(X119&lt;=2,X119&gt;1),5,
IF(AND(X119&lt;=1,X119&gt;0),6,
IF(AND(X119&lt;=0,X119&gt;-1),7,
8))))))))),
10)</f>
        <v>8</v>
      </c>
    </row>
    <row r="120" spans="1:25" ht="15" customHeight="1" x14ac:dyDescent="0.25">
      <c r="A120" s="135"/>
      <c r="B120" s="143" t="s">
        <v>551</v>
      </c>
      <c r="C120" t="str">
        <f>IF(AND(IFERROR(INDEX(Instructions!$T$111:$T$222,MATCH(D120,Instructions!$T$111:$T$222,0)), "")=D120, D120&lt;&gt;""), "X", "")</f>
        <v/>
      </c>
      <c r="D120" s="137" t="s">
        <v>2333</v>
      </c>
      <c r="E120" s="99" t="s">
        <v>155</v>
      </c>
      <c r="F120" s="232">
        <f>IFERROR(IF(AND($F$5="Projected Points",Beersheet!A115&lt;&gt;"QB"), T120, IF(H120="", INDEX(Tier!$B$28:$B$36,MATCH(G120,Tier!$A$28:$A$36,0)), INDEX(Tier!$B$28:$B$36,MATCH(G120,Tier!$A$28:$A$36,0)))), "")</f>
        <v>57.554310000000001</v>
      </c>
      <c r="G120" s="283">
        <f t="shared" si="9"/>
        <v>8</v>
      </c>
      <c r="H120" s="284"/>
      <c r="I120" s="396" t="str">
        <f>IFERROR(INDEX(ADP!S:S,MATCH(D120,ADP!D:D,0))-RBproj!K120,"")</f>
        <v/>
      </c>
      <c r="J120" s="127"/>
      <c r="K120" s="89">
        <v>114</v>
      </c>
      <c r="L120" s="2" t="s">
        <v>551</v>
      </c>
      <c r="M120" s="3">
        <f t="shared" si="7"/>
        <v>0</v>
      </c>
      <c r="N120" s="4">
        <f>IFERROR(INDEX(ADP!AC:AC,MATCH(D120,ADP!Y:Y,0)),0)</f>
        <v>0</v>
      </c>
      <c r="O120" s="4" t="s">
        <v>6</v>
      </c>
      <c r="P120" s="4"/>
      <c r="Q120" s="4"/>
      <c r="R120" s="1" t="str">
        <f>IFERROR(VLOOKUP(S120,FFARawStatProjections!AX:AZ,2,FALSE),"")</f>
        <v>TEN</v>
      </c>
      <c r="S120" s="4" t="str">
        <f>INDEX(FFARawStatProjections!AX:AX,MATCH(WRproj!T120,FFARawStatProjections!AZ:AZ,0))</f>
        <v>Chris Moore</v>
      </c>
      <c r="T120">
        <f>LARGE(FFARawStatProjections!AZ:AZ,K120)</f>
        <v>57.554310000000001</v>
      </c>
      <c r="U120" s="249">
        <f t="shared" si="6"/>
        <v>-155.54574666666667</v>
      </c>
      <c r="V120" s="243">
        <f t="shared" si="5"/>
        <v>24194.479306090845</v>
      </c>
      <c r="W120" s="244"/>
      <c r="X120" s="243">
        <f t="shared" si="8"/>
        <v>-9.7216091666666671</v>
      </c>
      <c r="Y120" s="238">
        <f>IFERROR(
IF(ISBLANK(Beersheet!$A$1)=FALSE,
INDEX(Beersheet!$A:$U,MATCH(S120,INDEX(Beersheet!$A:$U,0,FFARawStatProjections!$BV$2),0),FFARawStatProjections!$BV$6),
IF(X120&gt;6,0,
IF(AND(X120&lt;=6,X120&gt;5),1,
IF(AND(X120&lt;=5,X120&gt;4),2,
IF(AND(X120&lt;=4,X120&gt;3),3,
IF(AND(X120&lt;=3,X120&gt;2),4,
IF(AND(X120&lt;=2,X120&gt;1),5,
IF(AND(X120&lt;=1,X120&gt;0),6,
IF(AND(X120&lt;=0,X120&gt;-1),7,
8))))))))),
10)</f>
        <v>8</v>
      </c>
    </row>
    <row r="121" spans="1:25" ht="15" customHeight="1" x14ac:dyDescent="0.25">
      <c r="A121" s="135"/>
      <c r="B121" s="142" t="s">
        <v>552</v>
      </c>
      <c r="C121" t="str">
        <f>IF(AND(IFERROR(INDEX(Instructions!$T$111:$T$222,MATCH(D121,Instructions!$T$111:$T$222,0)), "")=D121, D121&lt;&gt;""), "X", "")</f>
        <v/>
      </c>
      <c r="D121" s="138" t="s">
        <v>1274</v>
      </c>
      <c r="E121" s="100" t="s">
        <v>163</v>
      </c>
      <c r="F121" s="431">
        <f>IFERROR(IF(AND($F$5="Projected Points",Beersheet!A116&lt;&gt;"QB"), T121, IF(H121="", INDEX(Tier!$B$28:$B$36,MATCH(G121,Tier!$A$28:$A$36,0)), INDEX(Tier!$B$28:$B$36,MATCH(G121,Tier!$A$28:$A$36,0)))), "")</f>
        <v>56.964289999999998</v>
      </c>
      <c r="G121" s="250">
        <f t="shared" si="9"/>
        <v>8</v>
      </c>
      <c r="H121" s="252"/>
      <c r="I121" s="396" t="str">
        <f>IFERROR(INDEX(ADP!S:S,MATCH(D121,ADP!D:D,0))-RBproj!K121,"")</f>
        <v/>
      </c>
      <c r="J121" s="127"/>
      <c r="K121" s="89">
        <v>115</v>
      </c>
      <c r="L121" s="2" t="s">
        <v>552</v>
      </c>
      <c r="M121" s="3">
        <f t="shared" si="7"/>
        <v>0</v>
      </c>
      <c r="N121" s="4">
        <f>IFERROR(INDEX(ADP!AC:AC,MATCH(D121,ADP!Y:Y,0)),0)</f>
        <v>0</v>
      </c>
      <c r="O121" s="4" t="s">
        <v>6</v>
      </c>
      <c r="P121" s="4"/>
      <c r="Q121" s="4"/>
      <c r="R121" s="1" t="str">
        <f>IFERROR(VLOOKUP(S121,FFARawStatProjections!AX:AZ,2,FALSE),"")</f>
        <v>SF</v>
      </c>
      <c r="S121" s="4" t="str">
        <f>INDEX(FFARawStatProjections!AX:AX,MATCH(WRproj!T121,FFARawStatProjections!AZ:AZ,0))</f>
        <v>Jauan Jennings</v>
      </c>
      <c r="T121">
        <f>LARGE(FFARawStatProjections!AZ:AZ,K121)</f>
        <v>56.964289999999998</v>
      </c>
      <c r="U121" s="249">
        <f t="shared" si="6"/>
        <v>-156.13576666666665</v>
      </c>
      <c r="V121" s="243">
        <f t="shared" si="5"/>
        <v>24378.377632587773</v>
      </c>
      <c r="W121" s="244"/>
      <c r="X121" s="243">
        <f t="shared" si="8"/>
        <v>-9.7584854166666659</v>
      </c>
      <c r="Y121" s="238">
        <f>IFERROR(
IF(ISBLANK(Beersheet!$A$1)=FALSE,
INDEX(Beersheet!$A:$U,MATCH(S121,INDEX(Beersheet!$A:$U,0,FFARawStatProjections!$BV$2),0),FFARawStatProjections!$BV$6),
IF(X121&gt;6,0,
IF(AND(X121&lt;=6,X121&gt;5),1,
IF(AND(X121&lt;=5,X121&gt;4),2,
IF(AND(X121&lt;=4,X121&gt;3),3,
IF(AND(X121&lt;=3,X121&gt;2),4,
IF(AND(X121&lt;=2,X121&gt;1),5,
IF(AND(X121&lt;=1,X121&gt;0),6,
IF(AND(X121&lt;=0,X121&gt;-1),7,
8))))))))),
10)</f>
        <v>8</v>
      </c>
    </row>
    <row r="122" spans="1:25" ht="15" customHeight="1" x14ac:dyDescent="0.25">
      <c r="A122" s="135"/>
      <c r="B122" s="143" t="s">
        <v>553</v>
      </c>
      <c r="C122" t="str">
        <f>IF(AND(IFERROR(INDEX(Instructions!$T$111:$T$222,MATCH(D122,Instructions!$T$111:$T$222,0)), "")=D122, D122&lt;&gt;""), "X", "")</f>
        <v/>
      </c>
      <c r="D122" s="137" t="s">
        <v>2453</v>
      </c>
      <c r="E122" s="99" t="s">
        <v>157</v>
      </c>
      <c r="F122" s="232">
        <f>IFERROR(IF(AND($F$5="Projected Points",Beersheet!A117&lt;&gt;"QB"), T122, IF(H122="", INDEX(Tier!$B$28:$B$36,MATCH(G122,Tier!$A$28:$A$36,0)), INDEX(Tier!$B$28:$B$36,MATCH(G122,Tier!$A$28:$A$36,0)))), "")</f>
        <v>50.744340000000001</v>
      </c>
      <c r="G122" s="283">
        <f t="shared" si="9"/>
        <v>8</v>
      </c>
      <c r="H122" s="284"/>
      <c r="I122" s="396" t="str">
        <f>IFERROR(INDEX(ADP!S:S,MATCH(D122,ADP!D:D,0))-RBproj!K122,"")</f>
        <v/>
      </c>
      <c r="J122" s="127"/>
      <c r="K122" s="89">
        <v>116</v>
      </c>
      <c r="L122" s="2" t="s">
        <v>553</v>
      </c>
      <c r="M122" s="3">
        <f t="shared" si="7"/>
        <v>0</v>
      </c>
      <c r="N122" s="4">
        <f>IFERROR(INDEX(ADP!AC:AC,MATCH(D122,ADP!Y:Y,0)),0)</f>
        <v>0</v>
      </c>
      <c r="O122" s="4" t="s">
        <v>6</v>
      </c>
      <c r="P122" s="4"/>
      <c r="Q122" s="4"/>
      <c r="R122" s="1" t="str">
        <f>IFERROR(VLOOKUP(S122,FFARawStatProjections!AX:AZ,2,FALSE),"")</f>
        <v>LAR</v>
      </c>
      <c r="S122" s="4" t="str">
        <f>INDEX(FFARawStatProjections!AX:AX,MATCH(WRproj!T122,FFARawStatProjections!AZ:AZ,0))</f>
        <v>Demarcus Robinson</v>
      </c>
      <c r="T122">
        <f>LARGE(FFARawStatProjections!AZ:AZ,K122)</f>
        <v>50.744340000000001</v>
      </c>
      <c r="U122" s="249">
        <f t="shared" si="6"/>
        <v>-162.35571666666667</v>
      </c>
      <c r="V122" s="243">
        <f t="shared" ref="V122:V185" si="10">U122^2</f>
        <v>26359.378734346945</v>
      </c>
      <c r="W122" s="244"/>
      <c r="X122" s="243">
        <f t="shared" si="8"/>
        <v>-10.147232291666667</v>
      </c>
      <c r="Y122" s="238">
        <f>IFERROR(
IF(ISBLANK(Beersheet!$A$1)=FALSE,
INDEX(Beersheet!$A:$U,MATCH(S122,INDEX(Beersheet!$A:$U,0,FFARawStatProjections!$BV$2),0),FFARawStatProjections!$BV$6),
IF(X122&gt;6,0,
IF(AND(X122&lt;=6,X122&gt;5),1,
IF(AND(X122&lt;=5,X122&gt;4),2,
IF(AND(X122&lt;=4,X122&gt;3),3,
IF(AND(X122&lt;=3,X122&gt;2),4,
IF(AND(X122&lt;=2,X122&gt;1),5,
IF(AND(X122&lt;=1,X122&gt;0),6,
IF(AND(X122&lt;=0,X122&gt;-1),7,
8))))))))),
10)</f>
        <v>8</v>
      </c>
    </row>
    <row r="123" spans="1:25" ht="15" customHeight="1" x14ac:dyDescent="0.25">
      <c r="A123" s="135"/>
      <c r="B123" s="142" t="s">
        <v>554</v>
      </c>
      <c r="C123" t="str">
        <f>IF(AND(IFERROR(INDEX(Instructions!$T$111:$T$222,MATCH(D123,Instructions!$T$111:$T$222,0)), "")=D123, D123&lt;&gt;""), "X", "")</f>
        <v/>
      </c>
      <c r="D123" s="138" t="s">
        <v>2063</v>
      </c>
      <c r="E123" s="100" t="s">
        <v>142</v>
      </c>
      <c r="F123" s="431">
        <f>IFERROR(IF(AND($F$5="Projected Points",Beersheet!A118&lt;&gt;"QB"), T123, IF(H123="", INDEX(Tier!$B$28:$B$36,MATCH(G123,Tier!$A$28:$A$36,0)), INDEX(Tier!$B$28:$B$36,MATCH(G123,Tier!$A$28:$A$36,0)))), "")</f>
        <v>50.444320000000005</v>
      </c>
      <c r="G123" s="250">
        <f t="shared" si="9"/>
        <v>8</v>
      </c>
      <c r="H123" s="252"/>
      <c r="I123" s="396" t="str">
        <f>IFERROR(INDEX(ADP!S:S,MATCH(D123,ADP!D:D,0))-RBproj!K123,"")</f>
        <v/>
      </c>
      <c r="J123" s="127"/>
      <c r="K123" s="89">
        <v>117</v>
      </c>
      <c r="L123" s="2" t="s">
        <v>554</v>
      </c>
      <c r="M123" s="3">
        <f t="shared" si="7"/>
        <v>0</v>
      </c>
      <c r="N123" s="4">
        <f>IFERROR(INDEX(ADP!AC:AC,MATCH(D123,ADP!Y:Y,0)),0)</f>
        <v>0</v>
      </c>
      <c r="O123" s="4" t="s">
        <v>6</v>
      </c>
      <c r="P123" s="4"/>
      <c r="Q123" s="4"/>
      <c r="R123" s="1" t="str">
        <f>IFERROR(VLOOKUP(S123,FFARawStatProjections!AX:AZ,2,FALSE),"")</f>
        <v>DET</v>
      </c>
      <c r="S123" s="4" t="str">
        <f>INDEX(FFARawStatProjections!AX:AX,MATCH(WRproj!T123,FFARawStatProjections!AZ:AZ,0))</f>
        <v>Kalif Raymond</v>
      </c>
      <c r="T123">
        <f>LARGE(FFARawStatProjections!AZ:AZ,K123)</f>
        <v>50.444320000000005</v>
      </c>
      <c r="U123" s="249">
        <f t="shared" si="6"/>
        <v>-162.65573666666666</v>
      </c>
      <c r="V123" s="243">
        <f t="shared" si="10"/>
        <v>26456.888670576009</v>
      </c>
      <c r="W123" s="244"/>
      <c r="X123" s="243">
        <f t="shared" si="8"/>
        <v>-10.165983541666666</v>
      </c>
      <c r="Y123" s="238">
        <f>IFERROR(
IF(ISBLANK(Beersheet!$A$1)=FALSE,
INDEX(Beersheet!$A:$U,MATCH(S123,INDEX(Beersheet!$A:$U,0,FFARawStatProjections!$BV$2),0),FFARawStatProjections!$BV$6),
IF(X123&gt;6,0,
IF(AND(X123&lt;=6,X123&gt;5),1,
IF(AND(X123&lt;=5,X123&gt;4),2,
IF(AND(X123&lt;=4,X123&gt;3),3,
IF(AND(X123&lt;=3,X123&gt;2),4,
IF(AND(X123&lt;=2,X123&gt;1),5,
IF(AND(X123&lt;=1,X123&gt;0),6,
IF(AND(X123&lt;=0,X123&gt;-1),7,
8))))))))),
10)</f>
        <v>8</v>
      </c>
    </row>
    <row r="124" spans="1:25" ht="15" customHeight="1" x14ac:dyDescent="0.25">
      <c r="A124" s="135"/>
      <c r="B124" s="143" t="s">
        <v>555</v>
      </c>
      <c r="C124" t="str">
        <f>IF(AND(IFERROR(INDEX(Instructions!$T$111:$T$222,MATCH(D124,Instructions!$T$111:$T$222,0)), "")=D124, D124&lt;&gt;""), "X", "")</f>
        <v/>
      </c>
      <c r="D124" s="137" t="s">
        <v>2426</v>
      </c>
      <c r="E124" s="99" t="s">
        <v>1389</v>
      </c>
      <c r="F124" s="232">
        <f>IFERROR(IF(AND($F$5="Projected Points",Beersheet!A119&lt;&gt;"QB"), T124, IF(H124="", INDEX(Tier!$B$28:$B$36,MATCH(G124,Tier!$A$28:$A$36,0)), INDEX(Tier!$B$28:$B$36,MATCH(G124,Tier!$A$28:$A$36,0)))), "")</f>
        <v>48.914300000000004</v>
      </c>
      <c r="G124" s="283">
        <f t="shared" si="9"/>
        <v>8</v>
      </c>
      <c r="H124" s="284"/>
      <c r="I124" s="396" t="str">
        <f>IFERROR(INDEX(ADP!S:S,MATCH(D124,ADP!D:D,0))-RBproj!K124,"")</f>
        <v/>
      </c>
      <c r="J124" s="127"/>
      <c r="K124" s="89">
        <v>118</v>
      </c>
      <c r="L124" s="2" t="s">
        <v>555</v>
      </c>
      <c r="M124" s="3">
        <f t="shared" si="7"/>
        <v>0</v>
      </c>
      <c r="N124" s="4">
        <f>IFERROR(INDEX(ADP!AC:AC,MATCH(D124,ADP!Y:Y,0)),0)</f>
        <v>0</v>
      </c>
      <c r="O124" s="4" t="s">
        <v>6</v>
      </c>
      <c r="P124" s="4"/>
      <c r="Q124" s="4"/>
      <c r="R124" s="1" t="str">
        <f>IFERROR(VLOOKUP(S124,FFARawStatProjections!AX:AZ,2,FALSE),"")</f>
        <v>LAR</v>
      </c>
      <c r="S124" s="4" t="str">
        <f>INDEX(FFARawStatProjections!AX:AX,MATCH(WRproj!T124,FFARawStatProjections!AZ:AZ,0))</f>
        <v>Puka Nacua</v>
      </c>
      <c r="T124">
        <f>LARGE(FFARawStatProjections!AZ:AZ,K124)</f>
        <v>48.914300000000004</v>
      </c>
      <c r="U124" s="249">
        <f t="shared" si="6"/>
        <v>-164.18575666666666</v>
      </c>
      <c r="V124" s="243">
        <f t="shared" si="10"/>
        <v>26956.962692205878</v>
      </c>
      <c r="W124" s="244"/>
      <c r="X124" s="243">
        <f t="shared" si="8"/>
        <v>-10.261609791666666</v>
      </c>
      <c r="Y124" s="238">
        <f>IFERROR(
IF(ISBLANK(Beersheet!$A$1)=FALSE,
INDEX(Beersheet!$A:$U,MATCH(S124,INDEX(Beersheet!$A:$U,0,FFARawStatProjections!$BV$2),0),FFARawStatProjections!$BV$6),
IF(X124&gt;6,0,
IF(AND(X124&lt;=6,X124&gt;5),1,
IF(AND(X124&lt;=5,X124&gt;4),2,
IF(AND(X124&lt;=4,X124&gt;3),3,
IF(AND(X124&lt;=3,X124&gt;2),4,
IF(AND(X124&lt;=2,X124&gt;1),5,
IF(AND(X124&lt;=1,X124&gt;0),6,
IF(AND(X124&lt;=0,X124&gt;-1),7,
8))))))))),
10)</f>
        <v>8</v>
      </c>
    </row>
    <row r="125" spans="1:25" ht="15" customHeight="1" x14ac:dyDescent="0.25">
      <c r="A125" s="135"/>
      <c r="B125" s="142" t="s">
        <v>556</v>
      </c>
      <c r="C125" t="str">
        <f>IF(AND(IFERROR(INDEX(Instructions!$T$111:$T$222,MATCH(D125,Instructions!$T$111:$T$222,0)), "")=D125, D125&lt;&gt;""), "X", "")</f>
        <v/>
      </c>
      <c r="D125" s="138" t="s">
        <v>1266</v>
      </c>
      <c r="E125" s="100" t="s">
        <v>1389</v>
      </c>
      <c r="F125" s="431">
        <f>IFERROR(IF(AND($F$5="Projected Points",Beersheet!A120&lt;&gt;"QB"), T125, IF(H125="", INDEX(Tier!$B$28:$B$36,MATCH(G125,Tier!$A$28:$A$36,0)), INDEX(Tier!$B$28:$B$36,MATCH(G125,Tier!$A$28:$A$36,0)))), "")</f>
        <v>47.944330000000008</v>
      </c>
      <c r="G125" s="250">
        <f t="shared" si="9"/>
        <v>8</v>
      </c>
      <c r="H125" s="252"/>
      <c r="I125" s="396" t="str">
        <f>IFERROR(INDEX(ADP!S:S,MATCH(D125,ADP!D:D,0))-RBproj!K125,"")</f>
        <v/>
      </c>
      <c r="J125" s="127"/>
      <c r="K125" s="89">
        <v>119</v>
      </c>
      <c r="L125" s="2" t="s">
        <v>556</v>
      </c>
      <c r="M125" s="3">
        <f t="shared" si="7"/>
        <v>0</v>
      </c>
      <c r="N125" s="4">
        <f>IFERROR(INDEX(ADP!AC:AC,MATCH(D125,ADP!Y:Y,0)),0)</f>
        <v>0</v>
      </c>
      <c r="O125" s="4" t="s">
        <v>6</v>
      </c>
      <c r="P125" s="4"/>
      <c r="Q125" s="4"/>
      <c r="R125" s="1" t="str">
        <f>IFERROR(VLOOKUP(S125,FFARawStatProjections!AX:AZ,2,FALSE),"")</f>
        <v>DEN</v>
      </c>
      <c r="S125" s="4" t="str">
        <f>INDEX(FFARawStatProjections!AX:AX,MATCH(WRproj!T125,FFARawStatProjections!AZ:AZ,0))</f>
        <v>Marquez Callaway</v>
      </c>
      <c r="T125">
        <f>LARGE(FFARawStatProjections!AZ:AZ,K125)</f>
        <v>47.944330000000008</v>
      </c>
      <c r="U125" s="249">
        <f t="shared" si="6"/>
        <v>-165.15572666666665</v>
      </c>
      <c r="V125" s="243">
        <f t="shared" si="10"/>
        <v>27276.414050794705</v>
      </c>
      <c r="W125" s="244"/>
      <c r="X125" s="243">
        <f t="shared" si="8"/>
        <v>-10.322232916666666</v>
      </c>
      <c r="Y125" s="238">
        <f>IFERROR(
IF(ISBLANK(Beersheet!$A$1)=FALSE,
INDEX(Beersheet!$A:$U,MATCH(S125,INDEX(Beersheet!$A:$U,0,FFARawStatProjections!$BV$2),0),FFARawStatProjections!$BV$6),
IF(X125&gt;6,0,
IF(AND(X125&lt;=6,X125&gt;5),1,
IF(AND(X125&lt;=5,X125&gt;4),2,
IF(AND(X125&lt;=4,X125&gt;3),3,
IF(AND(X125&lt;=3,X125&gt;2),4,
IF(AND(X125&lt;=2,X125&gt;1),5,
IF(AND(X125&lt;=1,X125&gt;0),6,
IF(AND(X125&lt;=0,X125&gt;-1),7,
8))))))))),
10)</f>
        <v>8</v>
      </c>
    </row>
    <row r="126" spans="1:25" ht="15" customHeight="1" x14ac:dyDescent="0.25">
      <c r="A126" s="135"/>
      <c r="B126" s="143" t="s">
        <v>557</v>
      </c>
      <c r="C126" t="str">
        <f>IF(AND(IFERROR(INDEX(Instructions!$T$111:$T$222,MATCH(D126,Instructions!$T$111:$T$222,0)), "")=D126, D126&lt;&gt;""), "X", "")</f>
        <v/>
      </c>
      <c r="D126" s="137" t="s">
        <v>2204</v>
      </c>
      <c r="E126" s="99" t="s">
        <v>144</v>
      </c>
      <c r="F126" s="232">
        <f>IFERROR(IF(AND($F$5="Projected Points",Beersheet!A121&lt;&gt;"QB"), T126, IF(H126="", INDEX(Tier!$B$28:$B$36,MATCH(G126,Tier!$A$28:$A$36,0)), INDEX(Tier!$B$28:$B$36,MATCH(G126,Tier!$A$28:$A$36,0)))), "")</f>
        <v>47.074350000000003</v>
      </c>
      <c r="G126" s="283">
        <f t="shared" si="9"/>
        <v>8</v>
      </c>
      <c r="H126" s="284"/>
      <c r="I126" s="396" t="str">
        <f>IFERROR(INDEX(ADP!S:S,MATCH(D126,ADP!D:D,0))-RBproj!K126,"")</f>
        <v/>
      </c>
      <c r="J126" s="127"/>
      <c r="K126" s="89">
        <v>120</v>
      </c>
      <c r="L126" s="2" t="s">
        <v>557</v>
      </c>
      <c r="M126" s="3">
        <f t="shared" si="7"/>
        <v>0</v>
      </c>
      <c r="N126" s="4">
        <f>IFERROR(INDEX(ADP!AC:AC,MATCH(D126,ADP!Y:Y,0)),0)</f>
        <v>0</v>
      </c>
      <c r="O126" s="4" t="s">
        <v>6</v>
      </c>
      <c r="P126" s="4"/>
      <c r="Q126" s="4"/>
      <c r="R126" s="1" t="str">
        <f>IFERROR(VLOOKUP(S126,FFARawStatProjections!AX:AZ,2,FALSE),"")</f>
        <v>PHI</v>
      </c>
      <c r="S126" s="4" t="str">
        <f>INDEX(FFARawStatProjections!AX:AX,MATCH(WRproj!T126,FFARawStatProjections!AZ:AZ,0))</f>
        <v>Olamide Zaccheaus</v>
      </c>
      <c r="T126">
        <f>LARGE(FFARawStatProjections!AZ:AZ,K126)</f>
        <v>47.074350000000003</v>
      </c>
      <c r="U126" s="249">
        <f t="shared" si="6"/>
        <v>-166.02570666666665</v>
      </c>
      <c r="V126" s="243">
        <f t="shared" si="10"/>
        <v>27564.535274166039</v>
      </c>
      <c r="W126" s="244"/>
      <c r="X126" s="243">
        <f t="shared" si="8"/>
        <v>-10.376606666666666</v>
      </c>
      <c r="Y126" s="238">
        <f>IFERROR(
IF(ISBLANK(Beersheet!$A$1)=FALSE,
INDEX(Beersheet!$A:$U,MATCH(S126,INDEX(Beersheet!$A:$U,0,FFARawStatProjections!$BV$2),0),FFARawStatProjections!$BV$6),
IF(X126&gt;6,0,
IF(AND(X126&lt;=6,X126&gt;5),1,
IF(AND(X126&lt;=5,X126&gt;4),2,
IF(AND(X126&lt;=4,X126&gt;3),3,
IF(AND(X126&lt;=3,X126&gt;2),4,
IF(AND(X126&lt;=2,X126&gt;1),5,
IF(AND(X126&lt;=1,X126&gt;0),6,
IF(AND(X126&lt;=0,X126&gt;-1),7,
8))))))))),
10)</f>
        <v>8</v>
      </c>
    </row>
    <row r="127" spans="1:25" ht="15" customHeight="1" x14ac:dyDescent="0.25">
      <c r="A127" s="135"/>
      <c r="B127" s="142" t="s">
        <v>558</v>
      </c>
      <c r="C127" t="str">
        <f>IF(AND(IFERROR(INDEX(Instructions!$T$111:$T$222,MATCH(D127,Instructions!$T$111:$T$222,0)), "")=D127, D127&lt;&gt;""), "X", "")</f>
        <v/>
      </c>
      <c r="D127" s="138" t="s">
        <v>2151</v>
      </c>
      <c r="E127" s="100" t="s">
        <v>137</v>
      </c>
      <c r="F127" s="431">
        <f>IFERROR(IF(AND($F$5="Projected Points",Beersheet!A122&lt;&gt;"QB"), T127, IF(H127="", INDEX(Tier!$B$28:$B$36,MATCH(G127,Tier!$A$28:$A$36,0)), INDEX(Tier!$B$28:$B$36,MATCH(G127,Tier!$A$28:$A$36,0)))), "")</f>
        <v>45.564410000000009</v>
      </c>
      <c r="G127" s="250">
        <f t="shared" si="9"/>
        <v>8</v>
      </c>
      <c r="H127" s="252"/>
      <c r="I127" s="396" t="str">
        <f>IFERROR(INDEX(ADP!S:S,MATCH(D127,ADP!D:D,0))-RBproj!K127,"")</f>
        <v/>
      </c>
      <c r="J127" s="127"/>
      <c r="K127" s="89">
        <v>121</v>
      </c>
      <c r="L127" s="2" t="s">
        <v>558</v>
      </c>
      <c r="M127" s="3">
        <f t="shared" si="7"/>
        <v>0</v>
      </c>
      <c r="N127" s="4">
        <f>IFERROR(INDEX(ADP!AC:AC,MATCH(D127,ADP!Y:Y,0)),0)</f>
        <v>0</v>
      </c>
      <c r="O127" s="4" t="s">
        <v>6</v>
      </c>
      <c r="P127" s="4"/>
      <c r="Q127" s="4"/>
      <c r="R127" s="1" t="str">
        <f>IFERROR(VLOOKUP(S127,FFARawStatProjections!AX:AZ,2,FALSE),"")</f>
        <v>TB</v>
      </c>
      <c r="S127" s="4" t="str">
        <f>INDEX(FFARawStatProjections!AX:AX,MATCH(WRproj!T127,FFARawStatProjections!AZ:AZ,0))</f>
        <v>David Moore</v>
      </c>
      <c r="T127">
        <f>LARGE(FFARawStatProjections!AZ:AZ,K127)</f>
        <v>45.564410000000009</v>
      </c>
      <c r="U127" s="249">
        <f t="shared" si="6"/>
        <v>-167.53564666666665</v>
      </c>
      <c r="V127" s="243">
        <f t="shared" si="10"/>
        <v>28068.192904018171</v>
      </c>
      <c r="W127" s="244"/>
      <c r="X127" s="243">
        <f t="shared" si="8"/>
        <v>-10.470977916666666</v>
      </c>
      <c r="Y127" s="238">
        <f>IFERROR(
IF(ISBLANK(Beersheet!$A$1)=FALSE,
INDEX(Beersheet!$A:$U,MATCH(S127,INDEX(Beersheet!$A:$U,0,FFARawStatProjections!$BV$2),0),FFARawStatProjections!$BV$6),
IF(X127&gt;6,0,
IF(AND(X127&lt;=6,X127&gt;5),1,
IF(AND(X127&lt;=5,X127&gt;4),2,
IF(AND(X127&lt;=4,X127&gt;3),3,
IF(AND(X127&lt;=3,X127&gt;2),4,
IF(AND(X127&lt;=2,X127&gt;1),5,
IF(AND(X127&lt;=1,X127&gt;0),6,
IF(AND(X127&lt;=0,X127&gt;-1),7,
8))))))))),
10)</f>
        <v>8</v>
      </c>
    </row>
    <row r="128" spans="1:25" ht="15" customHeight="1" x14ac:dyDescent="0.25">
      <c r="A128" s="135"/>
      <c r="B128" s="143" t="s">
        <v>559</v>
      </c>
      <c r="C128" t="str">
        <f>IF(AND(IFERROR(INDEX(Instructions!$T$111:$T$222,MATCH(D128,Instructions!$T$111:$T$222,0)), "")=D128, D128&lt;&gt;""), "X", "")</f>
        <v/>
      </c>
      <c r="D128" s="137" t="s">
        <v>1452</v>
      </c>
      <c r="E128" s="99" t="s">
        <v>149</v>
      </c>
      <c r="F128" s="232">
        <f>IFERROR(IF(AND($F$5="Projected Points",Beersheet!A123&lt;&gt;"QB"), T128, IF(H128="", INDEX(Tier!$B$28:$B$36,MATCH(G128,Tier!$A$28:$A$36,0)), INDEX(Tier!$B$28:$B$36,MATCH(G128,Tier!$A$28:$A$36,0)))), "")</f>
        <v>44.814480000000003</v>
      </c>
      <c r="G128" s="283">
        <f t="shared" si="9"/>
        <v>8</v>
      </c>
      <c r="H128" s="284"/>
      <c r="I128" s="396" t="str">
        <f>IFERROR(INDEX(ADP!S:S,MATCH(D128,ADP!D:D,0))-RBproj!K128,"")</f>
        <v/>
      </c>
      <c r="J128" s="127"/>
      <c r="K128" s="89">
        <v>122</v>
      </c>
      <c r="L128" s="2" t="s">
        <v>559</v>
      </c>
      <c r="M128" s="3">
        <f t="shared" si="7"/>
        <v>0</v>
      </c>
      <c r="N128" s="4">
        <f>IFERROR(INDEX(ADP!AC:AC,MATCH(D128,ADP!Y:Y,0)),0)</f>
        <v>0</v>
      </c>
      <c r="O128" s="4" t="s">
        <v>6</v>
      </c>
      <c r="P128" s="4"/>
      <c r="Q128" s="4"/>
      <c r="R128" s="1" t="str">
        <f>IFERROR(VLOOKUP(S128,FFARawStatProjections!AX:AZ,2,FALSE),"")</f>
        <v>NE</v>
      </c>
      <c r="S128" s="4" t="str">
        <f>INDEX(FFARawStatProjections!AX:AX,MATCH(WRproj!T128,FFARawStatProjections!AZ:AZ,0))</f>
        <v>Demario Douglas</v>
      </c>
      <c r="T128">
        <f>LARGE(FFARawStatProjections!AZ:AZ,K128)</f>
        <v>44.814480000000003</v>
      </c>
      <c r="U128" s="249">
        <f t="shared" si="6"/>
        <v>-168.28557666666666</v>
      </c>
      <c r="V128" s="243">
        <f t="shared" si="10"/>
        <v>28320.035314032542</v>
      </c>
      <c r="W128" s="244"/>
      <c r="X128" s="243">
        <f t="shared" si="8"/>
        <v>-10.517848541666666</v>
      </c>
      <c r="Y128" s="238">
        <f>IFERROR(
IF(ISBLANK(Beersheet!$A$1)=FALSE,
INDEX(Beersheet!$A:$U,MATCH(S128,INDEX(Beersheet!$A:$U,0,FFARawStatProjections!$BV$2),0),FFARawStatProjections!$BV$6),
IF(X128&gt;6,0,
IF(AND(X128&lt;=6,X128&gt;5),1,
IF(AND(X128&lt;=5,X128&gt;4),2,
IF(AND(X128&lt;=4,X128&gt;3),3,
IF(AND(X128&lt;=3,X128&gt;2),4,
IF(AND(X128&lt;=2,X128&gt;1),5,
IF(AND(X128&lt;=1,X128&gt;0),6,
IF(AND(X128&lt;=0,X128&gt;-1),7,
8))))))))),
10)</f>
        <v>8</v>
      </c>
    </row>
    <row r="129" spans="1:25" ht="15" customHeight="1" x14ac:dyDescent="0.25">
      <c r="A129" s="135"/>
      <c r="B129" s="142" t="s">
        <v>560</v>
      </c>
      <c r="C129" t="str">
        <f>IF(AND(IFERROR(INDEX(Instructions!$T$111:$T$222,MATCH(D129,Instructions!$T$111:$T$222,0)), "")=D129, D129&lt;&gt;""), "X", "")</f>
        <v/>
      </c>
      <c r="D129" s="138" t="s">
        <v>1970</v>
      </c>
      <c r="E129" s="100" t="s">
        <v>156</v>
      </c>
      <c r="F129" s="431">
        <f>IFERROR(IF(AND($F$5="Projected Points",Beersheet!A124&lt;&gt;"QB"), T129, IF(H129="", INDEX(Tier!$B$28:$B$36,MATCH(G129,Tier!$A$28:$A$36,0)), INDEX(Tier!$B$28:$B$36,MATCH(G129,Tier!$A$28:$A$36,0)))), "")</f>
        <v>43.904370000000007</v>
      </c>
      <c r="G129" s="250">
        <f t="shared" si="9"/>
        <v>8</v>
      </c>
      <c r="H129" s="252"/>
      <c r="I129" s="396" t="str">
        <f>IFERROR(INDEX(ADP!S:S,MATCH(D129,ADP!D:D,0))-RBproj!K129,"")</f>
        <v/>
      </c>
      <c r="J129" s="127"/>
      <c r="K129" s="89">
        <v>123</v>
      </c>
      <c r="L129" s="2" t="s">
        <v>560</v>
      </c>
      <c r="M129" s="3">
        <f t="shared" si="7"/>
        <v>0</v>
      </c>
      <c r="N129" s="4">
        <f>IFERROR(INDEX(ADP!AC:AC,MATCH(D129,ADP!Y:Y,0)),0)</f>
        <v>0</v>
      </c>
      <c r="O129" s="4" t="s">
        <v>6</v>
      </c>
      <c r="P129" s="4"/>
      <c r="Q129" s="4"/>
      <c r="R129" s="1" t="str">
        <f>IFERROR(VLOOKUP(S129,FFARawStatProjections!AX:AZ,2,FALSE),"")</f>
        <v>TEN</v>
      </c>
      <c r="S129" s="4" t="str">
        <f>INDEX(FFARawStatProjections!AX:AX,MATCH(WRproj!T129,FFARawStatProjections!AZ:AZ,0))</f>
        <v>Kyle Philips</v>
      </c>
      <c r="T129">
        <f>LARGE(FFARawStatProjections!AZ:AZ,K129)</f>
        <v>43.904370000000007</v>
      </c>
      <c r="U129" s="249">
        <f t="shared" si="6"/>
        <v>-169.19568666666666</v>
      </c>
      <c r="V129" s="243">
        <f t="shared" si="10"/>
        <v>28627.180386604843</v>
      </c>
      <c r="W129" s="244"/>
      <c r="X129" s="243">
        <f t="shared" si="8"/>
        <v>-10.574730416666666</v>
      </c>
      <c r="Y129" s="238">
        <f>IFERROR(
IF(ISBLANK(Beersheet!$A$1)=FALSE,
INDEX(Beersheet!$A:$U,MATCH(S129,INDEX(Beersheet!$A:$U,0,FFARawStatProjections!$BV$2),0),FFARawStatProjections!$BV$6),
IF(X129&gt;6,0,
IF(AND(X129&lt;=6,X129&gt;5),1,
IF(AND(X129&lt;=5,X129&gt;4),2,
IF(AND(X129&lt;=4,X129&gt;3),3,
IF(AND(X129&lt;=3,X129&gt;2),4,
IF(AND(X129&lt;=2,X129&gt;1),5,
IF(AND(X129&lt;=1,X129&gt;0),6,
IF(AND(X129&lt;=0,X129&gt;-1),7,
8))))))))),
10)</f>
        <v>8</v>
      </c>
    </row>
    <row r="130" spans="1:25" ht="15" customHeight="1" x14ac:dyDescent="0.25">
      <c r="A130" s="135"/>
      <c r="B130" s="143" t="s">
        <v>561</v>
      </c>
      <c r="C130" t="str">
        <f>IF(AND(IFERROR(INDEX(Instructions!$T$111:$T$222,MATCH(D130,Instructions!$T$111:$T$222,0)), "")=D130, D130&lt;&gt;""), "X", "")</f>
        <v/>
      </c>
      <c r="D130" s="137" t="s">
        <v>2344</v>
      </c>
      <c r="E130" s="99" t="s">
        <v>163</v>
      </c>
      <c r="F130" s="232">
        <f>IFERROR(IF(AND($F$5="Projected Points",Beersheet!A125&lt;&gt;"QB"), T130, IF(H130="", INDEX(Tier!$B$28:$B$36,MATCH(G130,Tier!$A$28:$A$36,0)), INDEX(Tier!$B$28:$B$36,MATCH(G130,Tier!$A$28:$A$36,0)))), "")</f>
        <v>43.524379999999994</v>
      </c>
      <c r="G130" s="283">
        <f t="shared" si="9"/>
        <v>8</v>
      </c>
      <c r="H130" s="284"/>
      <c r="I130" s="396" t="str">
        <f>IFERROR(INDEX(ADP!S:S,MATCH(D130,ADP!D:D,0))-RBproj!K130,"")</f>
        <v/>
      </c>
      <c r="J130" s="127"/>
      <c r="K130" s="89">
        <v>124</v>
      </c>
      <c r="L130" s="2" t="s">
        <v>561</v>
      </c>
      <c r="M130" s="3">
        <f t="shared" si="7"/>
        <v>0</v>
      </c>
      <c r="N130" s="4">
        <f>IFERROR(INDEX(ADP!AC:AC,MATCH(D130,ADP!Y:Y,0)),0)</f>
        <v>0</v>
      </c>
      <c r="O130" s="4" t="s">
        <v>6</v>
      </c>
      <c r="P130" s="4"/>
      <c r="Q130" s="4"/>
      <c r="R130" s="1" t="str">
        <f>IFERROR(VLOOKUP(S130,FFARawStatProjections!AX:AZ,2,FALSE),"")</f>
        <v>NYJ</v>
      </c>
      <c r="S130" s="4" t="str">
        <f>INDEX(FFARawStatProjections!AX:AX,MATCH(WRproj!T130,FFARawStatProjections!AZ:AZ,0))</f>
        <v>Randall Cobb</v>
      </c>
      <c r="T130">
        <f>LARGE(FFARawStatProjections!AZ:AZ,K130)</f>
        <v>43.524379999999994</v>
      </c>
      <c r="U130" s="249">
        <f t="shared" si="6"/>
        <v>-169.57567666666665</v>
      </c>
      <c r="V130" s="243">
        <f t="shared" si="10"/>
        <v>28755.910116957872</v>
      </c>
      <c r="W130" s="244"/>
      <c r="X130" s="243">
        <f t="shared" si="8"/>
        <v>-10.598479791666666</v>
      </c>
      <c r="Y130" s="238">
        <f>IFERROR(
IF(ISBLANK(Beersheet!$A$1)=FALSE,
INDEX(Beersheet!$A:$U,MATCH(S130,INDEX(Beersheet!$A:$U,0,FFARawStatProjections!$BV$2),0),FFARawStatProjections!$BV$6),
IF(X130&gt;6,0,
IF(AND(X130&lt;=6,X130&gt;5),1,
IF(AND(X130&lt;=5,X130&gt;4),2,
IF(AND(X130&lt;=4,X130&gt;3),3,
IF(AND(X130&lt;=3,X130&gt;2),4,
IF(AND(X130&lt;=2,X130&gt;1),5,
IF(AND(X130&lt;=1,X130&gt;0),6,
IF(AND(X130&lt;=0,X130&gt;-1),7,
8))))))))),
10)</f>
        <v>8</v>
      </c>
    </row>
    <row r="131" spans="1:25" ht="15" customHeight="1" x14ac:dyDescent="0.25">
      <c r="A131" s="135"/>
      <c r="B131" s="142" t="s">
        <v>562</v>
      </c>
      <c r="C131" t="str">
        <f>IF(AND(IFERROR(INDEX(Instructions!$T$111:$T$222,MATCH(D131,Instructions!$T$111:$T$222,0)), "")=D131, D131&lt;&gt;""), "X", "")</f>
        <v/>
      </c>
      <c r="D131" s="138" t="s">
        <v>40</v>
      </c>
      <c r="E131" s="100" t="s">
        <v>164</v>
      </c>
      <c r="F131" s="431">
        <f>IFERROR(IF(AND($F$5="Projected Points",Beersheet!A126&lt;&gt;"QB"), T131, IF(H131="", INDEX(Tier!$B$28:$B$36,MATCH(G131,Tier!$A$28:$A$36,0)), INDEX(Tier!$B$28:$B$36,MATCH(G131,Tier!$A$28:$A$36,0)))), "")</f>
        <v>43.474359999999997</v>
      </c>
      <c r="G131" s="250">
        <f t="shared" si="9"/>
        <v>8</v>
      </c>
      <c r="H131" s="252"/>
      <c r="I131" s="396" t="str">
        <f>IFERROR(INDEX(ADP!S:S,MATCH(D131,ADP!D:D,0))-RBproj!K131,"")</f>
        <v/>
      </c>
      <c r="J131" s="127"/>
      <c r="K131" s="89">
        <v>125</v>
      </c>
      <c r="L131" s="2" t="s">
        <v>562</v>
      </c>
      <c r="M131" s="3">
        <f t="shared" si="7"/>
        <v>0</v>
      </c>
      <c r="N131" s="4">
        <f>IFERROR(INDEX(ADP!AC:AC,MATCH(D131,ADP!Y:Y,0)),0)</f>
        <v>0</v>
      </c>
      <c r="O131" s="4" t="s">
        <v>6</v>
      </c>
      <c r="P131" s="4"/>
      <c r="Q131" s="4"/>
      <c r="R131" s="1" t="str">
        <f>IFERROR(VLOOKUP(S131,FFARawStatProjections!AX:AZ,2,FALSE),"")</f>
        <v>BUF</v>
      </c>
      <c r="S131" s="4" t="str">
        <f>INDEX(FFARawStatProjections!AX:AX,MATCH(WRproj!T131,FFARawStatProjections!AZ:AZ,0))</f>
        <v>Trent Sherfield</v>
      </c>
      <c r="T131">
        <f>LARGE(FFARawStatProjections!AZ:AZ,K131)</f>
        <v>43.474359999999997</v>
      </c>
      <c r="U131" s="249">
        <f t="shared" si="6"/>
        <v>-169.62569666666667</v>
      </c>
      <c r="V131" s="243">
        <f t="shared" si="10"/>
        <v>28772.876969652014</v>
      </c>
      <c r="W131" s="244"/>
      <c r="X131" s="243">
        <f t="shared" si="8"/>
        <v>-10.601606041666667</v>
      </c>
      <c r="Y131" s="238">
        <f>IFERROR(
IF(ISBLANK(Beersheet!$A$1)=FALSE,
INDEX(Beersheet!$A:$U,MATCH(S131,INDEX(Beersheet!$A:$U,0,FFARawStatProjections!$BV$2),0),FFARawStatProjections!$BV$6),
IF(X131&gt;6,0,
IF(AND(X131&lt;=6,X131&gt;5),1,
IF(AND(X131&lt;=5,X131&gt;4),2,
IF(AND(X131&lt;=4,X131&gt;3),3,
IF(AND(X131&lt;=3,X131&gt;2),4,
IF(AND(X131&lt;=2,X131&gt;1),5,
IF(AND(X131&lt;=1,X131&gt;0),6,
IF(AND(X131&lt;=0,X131&gt;-1),7,
8))))))))),
10)</f>
        <v>8</v>
      </c>
    </row>
    <row r="132" spans="1:25" ht="15" customHeight="1" x14ac:dyDescent="0.25">
      <c r="A132" s="135"/>
      <c r="B132" s="143" t="s">
        <v>563</v>
      </c>
      <c r="C132" t="str">
        <f>IF(AND(IFERROR(INDEX(Instructions!$T$111:$T$222,MATCH(D132,Instructions!$T$111:$T$222,0)), "")=D132, D132&lt;&gt;""), "X", "")</f>
        <v/>
      </c>
      <c r="D132" s="137" t="s">
        <v>2212</v>
      </c>
      <c r="E132" s="99" t="s">
        <v>165</v>
      </c>
      <c r="F132" s="232">
        <f>IFERROR(IF(AND($F$5="Projected Points",Beersheet!A127&lt;&gt;"QB"), T132, IF(H132="", INDEX(Tier!$B$28:$B$36,MATCH(G132,Tier!$A$28:$A$36,0)), INDEX(Tier!$B$28:$B$36,MATCH(G132,Tier!$A$28:$A$36,0)))), "")</f>
        <v>42.314390000000003</v>
      </c>
      <c r="G132" s="283">
        <f t="shared" si="9"/>
        <v>8</v>
      </c>
      <c r="H132" s="284"/>
      <c r="I132" s="396" t="str">
        <f>IFERROR(INDEX(ADP!S:S,MATCH(D132,ADP!D:D,0))-RBproj!K132,"")</f>
        <v/>
      </c>
      <c r="J132" s="127"/>
      <c r="K132" s="89">
        <v>126</v>
      </c>
      <c r="L132" s="2" t="s">
        <v>563</v>
      </c>
      <c r="M132" s="3">
        <f t="shared" si="7"/>
        <v>0</v>
      </c>
      <c r="N132" s="4">
        <f>IFERROR(INDEX(ADP!AC:AC,MATCH(D132,ADP!Y:Y,0)),0)</f>
        <v>0</v>
      </c>
      <c r="O132" s="4" t="s">
        <v>6</v>
      </c>
      <c r="P132" s="4"/>
      <c r="Q132" s="4"/>
      <c r="R132" s="1" t="str">
        <f>IFERROR(VLOOKUP(S132,FFARawStatProjections!AX:AZ,2,FALSE),"")</f>
        <v>JAC</v>
      </c>
      <c r="S132" s="4" t="str">
        <f>INDEX(FFARawStatProjections!AX:AX,MATCH(WRproj!T132,FFARawStatProjections!AZ:AZ,0))</f>
        <v>Jamal Agnew</v>
      </c>
      <c r="T132">
        <f>LARGE(FFARawStatProjections!AZ:AZ,K132)</f>
        <v>42.314390000000003</v>
      </c>
      <c r="U132" s="249">
        <f t="shared" si="6"/>
        <v>-170.78566666666666</v>
      </c>
      <c r="V132" s="243">
        <f t="shared" si="10"/>
        <v>29167.743938777774</v>
      </c>
      <c r="W132" s="244"/>
      <c r="X132" s="243">
        <f t="shared" si="8"/>
        <v>-10.674104166666666</v>
      </c>
      <c r="Y132" s="238">
        <f>IFERROR(
IF(ISBLANK(Beersheet!$A$1)=FALSE,
INDEX(Beersheet!$A:$U,MATCH(S132,INDEX(Beersheet!$A:$U,0,FFARawStatProjections!$BV$2),0),FFARawStatProjections!$BV$6),
IF(X132&gt;6,0,
IF(AND(X132&lt;=6,X132&gt;5),1,
IF(AND(X132&lt;=5,X132&gt;4),2,
IF(AND(X132&lt;=4,X132&gt;3),3,
IF(AND(X132&lt;=3,X132&gt;2),4,
IF(AND(X132&lt;=2,X132&gt;1),5,
IF(AND(X132&lt;=1,X132&gt;0),6,
IF(AND(X132&lt;=0,X132&gt;-1),7,
8))))))))),
10)</f>
        <v>8</v>
      </c>
    </row>
    <row r="133" spans="1:25" ht="15" customHeight="1" x14ac:dyDescent="0.25">
      <c r="A133" s="135"/>
      <c r="B133" s="142" t="s">
        <v>564</v>
      </c>
      <c r="C133" t="str">
        <f>IF(AND(IFERROR(INDEX(Instructions!$T$111:$T$222,MATCH(D133,Instructions!$T$111:$T$222,0)), "")=D133, D133&lt;&gt;""), "X", "")</f>
        <v/>
      </c>
      <c r="D133" s="138" t="s">
        <v>2512</v>
      </c>
      <c r="E133" s="100" t="s">
        <v>145</v>
      </c>
      <c r="F133" s="431">
        <f>IFERROR(IF(AND($F$5="Projected Points",Beersheet!A128&lt;&gt;"QB"), T133, IF(H133="", INDEX(Tier!$B$28:$B$36,MATCH(G133,Tier!$A$28:$A$36,0)), INDEX(Tier!$B$28:$B$36,MATCH(G133,Tier!$A$28:$A$36,0)))), "")</f>
        <v>42.234249999999996</v>
      </c>
      <c r="G133" s="250">
        <f t="shared" si="9"/>
        <v>8</v>
      </c>
      <c r="H133" s="252"/>
      <c r="I133" s="396" t="str">
        <f>IFERROR(INDEX(ADP!S:S,MATCH(D133,ADP!D:D,0))-RBproj!K133,"")</f>
        <v/>
      </c>
      <c r="J133" s="127"/>
      <c r="K133" s="89">
        <v>127</v>
      </c>
      <c r="L133" s="2" t="s">
        <v>564</v>
      </c>
      <c r="M133" s="3">
        <f t="shared" si="7"/>
        <v>0</v>
      </c>
      <c r="N133" s="4">
        <f>IFERROR(INDEX(ADP!AC:AC,MATCH(D133,ADP!Y:Y,0)),0)</f>
        <v>0</v>
      </c>
      <c r="O133" s="4" t="s">
        <v>6</v>
      </c>
      <c r="P133" s="4"/>
      <c r="Q133" s="4"/>
      <c r="R133" s="1" t="str">
        <f>IFERROR(VLOOKUP(S133,FFARawStatProjections!AX:AZ,2,FALSE),"")</f>
        <v>NE</v>
      </c>
      <c r="S133" s="4" t="str">
        <f>INDEX(FFARawStatProjections!AX:AX,MATCH(WRproj!T133,FFARawStatProjections!AZ:AZ,0))</f>
        <v>Kayshon Boutte</v>
      </c>
      <c r="T133">
        <f>LARGE(FFARawStatProjections!AZ:AZ,K133)</f>
        <v>42.234249999999996</v>
      </c>
      <c r="U133" s="249">
        <f t="shared" si="6"/>
        <v>-170.86580666666666</v>
      </c>
      <c r="V133" s="243">
        <f t="shared" si="10"/>
        <v>29195.123887850707</v>
      </c>
      <c r="W133" s="244"/>
      <c r="X133" s="243">
        <f t="shared" si="8"/>
        <v>-10.679112916666666</v>
      </c>
      <c r="Y133" s="238">
        <f>IFERROR(
IF(ISBLANK(Beersheet!$A$1)=FALSE,
INDEX(Beersheet!$A:$U,MATCH(S133,INDEX(Beersheet!$A:$U,0,FFARawStatProjections!$BV$2),0),FFARawStatProjections!$BV$6),
IF(X133&gt;6,0,
IF(AND(X133&lt;=6,X133&gt;5),1,
IF(AND(X133&lt;=5,X133&gt;4),2,
IF(AND(X133&lt;=4,X133&gt;3),3,
IF(AND(X133&lt;=3,X133&gt;2),4,
IF(AND(X133&lt;=2,X133&gt;1),5,
IF(AND(X133&lt;=1,X133&gt;0),6,
IF(AND(X133&lt;=0,X133&gt;-1),7,
8))))))))),
10)</f>
        <v>8</v>
      </c>
    </row>
    <row r="134" spans="1:25" ht="15" customHeight="1" x14ac:dyDescent="0.25">
      <c r="A134" s="135"/>
      <c r="B134" s="143" t="s">
        <v>565</v>
      </c>
      <c r="C134" t="str">
        <f>IF(AND(IFERROR(INDEX(Instructions!$T$111:$T$222,MATCH(D134,Instructions!$T$111:$T$222,0)), "")=D134, D134&lt;&gt;""), "X", "")</f>
        <v/>
      </c>
      <c r="D134" s="137" t="s">
        <v>2546</v>
      </c>
      <c r="E134" s="99" t="s">
        <v>157</v>
      </c>
      <c r="F134" s="232">
        <f>IFERROR(IF(AND($F$5="Projected Points",Beersheet!A129&lt;&gt;"QB"), T134, IF(H134="", INDEX(Tier!$B$28:$B$36,MATCH(G134,Tier!$A$28:$A$36,0)), INDEX(Tier!$B$28:$B$36,MATCH(G134,Tier!$A$28:$A$36,0)))), "")</f>
        <v>41.604420000000012</v>
      </c>
      <c r="G134" s="283">
        <f t="shared" si="9"/>
        <v>8</v>
      </c>
      <c r="H134" s="284"/>
      <c r="I134" s="396" t="str">
        <f>IFERROR(INDEX(ADP!S:S,MATCH(D134,ADP!D:D,0))-RBproj!K134,"")</f>
        <v/>
      </c>
      <c r="J134" s="127"/>
      <c r="K134" s="89">
        <v>128</v>
      </c>
      <c r="L134" s="2" t="s">
        <v>565</v>
      </c>
      <c r="M134" s="3">
        <f t="shared" si="7"/>
        <v>0</v>
      </c>
      <c r="N134" s="4">
        <f>IFERROR(INDEX(ADP!AC:AC,MATCH(D134,ADP!Y:Y,0)),0)</f>
        <v>0</v>
      </c>
      <c r="O134" s="4" t="s">
        <v>6</v>
      </c>
      <c r="P134" s="4"/>
      <c r="Q134" s="4"/>
      <c r="R134" s="1" t="str">
        <f>IFERROR(VLOOKUP(S134,FFARawStatProjections!AX:AZ,2,FALSE),"")</f>
        <v>CIN</v>
      </c>
      <c r="S134" s="4" t="str">
        <f>INDEX(FFARawStatProjections!AX:AX,MATCH(WRproj!T134,FFARawStatProjections!AZ:AZ,0))</f>
        <v>Charlie Jones</v>
      </c>
      <c r="T134">
        <f>LARGE(FFARawStatProjections!AZ:AZ,K134)</f>
        <v>41.604420000000012</v>
      </c>
      <c r="U134" s="249">
        <f t="shared" si="6"/>
        <v>-171.49563666666666</v>
      </c>
      <c r="V134" s="243">
        <f t="shared" si="10"/>
        <v>29410.753395705342</v>
      </c>
      <c r="W134" s="244"/>
      <c r="X134" s="243">
        <f t="shared" si="8"/>
        <v>-10.718477291666666</v>
      </c>
      <c r="Y134" s="238">
        <f>IFERROR(
IF(ISBLANK(Beersheet!$A$1)=FALSE,
INDEX(Beersheet!$A:$U,MATCH(S134,INDEX(Beersheet!$A:$U,0,FFARawStatProjections!$BV$2),0),FFARawStatProjections!$BV$6),
IF(X134&gt;6,0,
IF(AND(X134&lt;=6,X134&gt;5),1,
IF(AND(X134&lt;=5,X134&gt;4),2,
IF(AND(X134&lt;=4,X134&gt;3),3,
IF(AND(X134&lt;=3,X134&gt;2),4,
IF(AND(X134&lt;=2,X134&gt;1),5,
IF(AND(X134&lt;=1,X134&gt;0),6,
IF(AND(X134&lt;=0,X134&gt;-1),7,
8))))))))),
10)</f>
        <v>8</v>
      </c>
    </row>
    <row r="135" spans="1:25" ht="15" customHeight="1" x14ac:dyDescent="0.25">
      <c r="A135" s="135"/>
      <c r="B135" s="142" t="s">
        <v>566</v>
      </c>
      <c r="C135" t="str">
        <f>IF(AND(IFERROR(INDEX(Instructions!$T$111:$T$222,MATCH(D135,Instructions!$T$111:$T$222,0)), "")=D135, D135&lt;&gt;""), "X", "")</f>
        <v/>
      </c>
      <c r="D135" s="138" t="s">
        <v>2152</v>
      </c>
      <c r="E135" s="100" t="s">
        <v>166</v>
      </c>
      <c r="F135" s="431">
        <f>IFERROR(IF(AND($F$5="Projected Points",Beersheet!A130&lt;&gt;"QB"), T135, IF(H135="", INDEX(Tier!$B$28:$B$36,MATCH(G135,Tier!$A$28:$A$36,0)), INDEX(Tier!$B$28:$B$36,MATCH(G135,Tier!$A$28:$A$36,0)))), "")</f>
        <v>40.624440000000007</v>
      </c>
      <c r="G135" s="250">
        <f t="shared" si="9"/>
        <v>8</v>
      </c>
      <c r="H135" s="252"/>
      <c r="I135" s="396" t="str">
        <f>IFERROR(INDEX(ADP!S:S,MATCH(D135,ADP!D:D,0))-RBproj!K135,"")</f>
        <v/>
      </c>
      <c r="J135" s="127"/>
      <c r="K135" s="89">
        <v>129</v>
      </c>
      <c r="L135" s="2" t="s">
        <v>566</v>
      </c>
      <c r="M135" s="3">
        <f t="shared" si="7"/>
        <v>0</v>
      </c>
      <c r="N135" s="4">
        <f>IFERROR(INDEX(ADP!AC:AC,MATCH(D135,ADP!Y:Y,0)),0)</f>
        <v>0</v>
      </c>
      <c r="O135" s="4" t="s">
        <v>6</v>
      </c>
      <c r="P135" s="4"/>
      <c r="Q135" s="4"/>
      <c r="R135" s="1" t="str">
        <f>IFERROR(VLOOKUP(S135,FFARawStatProjections!AX:AZ,2,FALSE),"")</f>
        <v>MIA</v>
      </c>
      <c r="S135" s="4" t="str">
        <f>INDEX(FFARawStatProjections!AX:AX,MATCH(WRproj!T135,FFARawStatProjections!AZ:AZ,0))</f>
        <v>Cedrick Wilson</v>
      </c>
      <c r="T135">
        <f>LARGE(FFARawStatProjections!AZ:AZ,K135)</f>
        <v>40.624440000000007</v>
      </c>
      <c r="U135" s="249">
        <f t="shared" ref="U135:U198" si="11">T135-$W$10</f>
        <v>-172.47561666666667</v>
      </c>
      <c r="V135" s="243">
        <f t="shared" si="10"/>
        <v>29747.838344546944</v>
      </c>
      <c r="W135" s="244"/>
      <c r="X135" s="243">
        <f t="shared" si="8"/>
        <v>-10.779726041666667</v>
      </c>
      <c r="Y135" s="238">
        <f>IFERROR(
IF(ISBLANK(Beersheet!$A$1)=FALSE,
INDEX(Beersheet!$A:$U,MATCH(S135,INDEX(Beersheet!$A:$U,0,FFARawStatProjections!$BV$2),0),FFARawStatProjections!$BV$6),
IF(X135&gt;6,0,
IF(AND(X135&lt;=6,X135&gt;5),1,
IF(AND(X135&lt;=5,X135&gt;4),2,
IF(AND(X135&lt;=4,X135&gt;3),3,
IF(AND(X135&lt;=3,X135&gt;2),4,
IF(AND(X135&lt;=2,X135&gt;1),5,
IF(AND(X135&lt;=1,X135&gt;0),6,
IF(AND(X135&lt;=0,X135&gt;-1),7,
8))))))))),
10)</f>
        <v>8</v>
      </c>
    </row>
    <row r="136" spans="1:25" ht="15" customHeight="1" x14ac:dyDescent="0.25">
      <c r="A136" s="135"/>
      <c r="B136" s="143" t="s">
        <v>567</v>
      </c>
      <c r="C136" t="str">
        <f>IF(AND(IFERROR(INDEX(Instructions!$T$111:$T$222,MATCH(D136,Instructions!$T$111:$T$222,0)), "")=D136, D136&lt;&gt;""), "X", "")</f>
        <v/>
      </c>
      <c r="D136" s="137" t="s">
        <v>1247</v>
      </c>
      <c r="E136" s="99" t="s">
        <v>161</v>
      </c>
      <c r="F136" s="232">
        <f>IFERROR(IF(AND($F$5="Projected Points",Beersheet!A131&lt;&gt;"QB"), T136, IF(H136="", INDEX(Tier!$B$28:$B$36,MATCH(G136,Tier!$A$28:$A$36,0)), INDEX(Tier!$B$28:$B$36,MATCH(G136,Tier!$A$28:$A$36,0)))), "")</f>
        <v>40.1145</v>
      </c>
      <c r="G136" s="283">
        <f t="shared" si="9"/>
        <v>8</v>
      </c>
      <c r="H136" s="284"/>
      <c r="I136" s="396" t="str">
        <f>IFERROR(INDEX(ADP!S:S,MATCH(D136,ADP!D:D,0))-RBproj!K136,"")</f>
        <v/>
      </c>
      <c r="J136" s="127"/>
      <c r="K136" s="89">
        <v>130</v>
      </c>
      <c r="L136" s="2" t="s">
        <v>567</v>
      </c>
      <c r="M136" s="3">
        <f t="shared" ref="M136:M199" si="12">IF(N136-MEDIAN(N133:N139)&lt;0,0,N136-MEDIAN(N133:N139))</f>
        <v>0</v>
      </c>
      <c r="N136" s="4">
        <f>IFERROR(INDEX(ADP!AC:AC,MATCH(D136,ADP!Y:Y,0)),0)</f>
        <v>0</v>
      </c>
      <c r="O136" s="4" t="s">
        <v>6</v>
      </c>
      <c r="P136" s="4"/>
      <c r="Q136" s="4"/>
      <c r="R136" s="1" t="str">
        <f>IFERROR(VLOOKUP(S136,FFARawStatProjections!AX:AZ,2,FALSE),"")</f>
        <v>GB</v>
      </c>
      <c r="S136" s="4" t="str">
        <f>INDEX(FFARawStatProjections!AX:AX,MATCH(WRproj!T136,FFARawStatProjections!AZ:AZ,0))</f>
        <v>Dontayvion Wicks</v>
      </c>
      <c r="T136">
        <f>LARGE(FFARawStatProjections!AZ:AZ,K136)</f>
        <v>40.1145</v>
      </c>
      <c r="U136" s="249">
        <f t="shared" si="11"/>
        <v>-172.98555666666667</v>
      </c>
      <c r="V136" s="243">
        <f t="shared" si="10"/>
        <v>29924.002815276544</v>
      </c>
      <c r="W136" s="244"/>
      <c r="X136" s="243">
        <f t="shared" ref="X136:X199" si="13">U136/$W$7</f>
        <v>-10.811597291666667</v>
      </c>
      <c r="Y136" s="238">
        <f>IFERROR(
IF(ISBLANK(Beersheet!$A$1)=FALSE,
INDEX(Beersheet!$A:$U,MATCH(S136,INDEX(Beersheet!$A:$U,0,FFARawStatProjections!$BV$2),0),FFARawStatProjections!$BV$6),
IF(X136&gt;6,0,
IF(AND(X136&lt;=6,X136&gt;5),1,
IF(AND(X136&lt;=5,X136&gt;4),2,
IF(AND(X136&lt;=4,X136&gt;3),3,
IF(AND(X136&lt;=3,X136&gt;2),4,
IF(AND(X136&lt;=2,X136&gt;1),5,
IF(AND(X136&lt;=1,X136&gt;0),6,
IF(AND(X136&lt;=0,X136&gt;-1),7,
8))))))))),
10)</f>
        <v>8</v>
      </c>
    </row>
    <row r="137" spans="1:25" ht="15" customHeight="1" x14ac:dyDescent="0.25">
      <c r="A137" s="135"/>
      <c r="B137" s="142" t="s">
        <v>568</v>
      </c>
      <c r="C137" t="str">
        <f>IF(AND(IFERROR(INDEX(Instructions!$T$111:$T$222,MATCH(D137,Instructions!$T$111:$T$222,0)), "")=D137, D137&lt;&gt;""), "X", "")</f>
        <v/>
      </c>
      <c r="D137" s="138" t="s">
        <v>2213</v>
      </c>
      <c r="E137" s="100" t="s">
        <v>151</v>
      </c>
      <c r="F137" s="431">
        <f>IFERROR(IF(AND($F$5="Projected Points",Beersheet!A132&lt;&gt;"QB"), T137, IF(H137="", INDEX(Tier!$B$28:$B$36,MATCH(G137,Tier!$A$28:$A$36,0)), INDEX(Tier!$B$28:$B$36,MATCH(G137,Tier!$A$28:$A$36,0)))), "")</f>
        <v>39.384450000000001</v>
      </c>
      <c r="G137" s="250">
        <f t="shared" si="9"/>
        <v>8</v>
      </c>
      <c r="H137" s="252"/>
      <c r="I137" s="396" t="str">
        <f>IFERROR(INDEX(ADP!S:S,MATCH(D137,ADP!D:D,0))-RBproj!K137,"")</f>
        <v/>
      </c>
      <c r="J137" s="127"/>
      <c r="K137" s="89">
        <v>131</v>
      </c>
      <c r="L137" s="2" t="s">
        <v>568</v>
      </c>
      <c r="M137" s="3">
        <f t="shared" si="12"/>
        <v>0</v>
      </c>
      <c r="N137" s="4">
        <f>IFERROR(INDEX(ADP!AC:AC,MATCH(D137,ADP!Y:Y,0)),0)</f>
        <v>0</v>
      </c>
      <c r="O137" s="4" t="s">
        <v>6</v>
      </c>
      <c r="P137" s="4"/>
      <c r="Q137" s="4"/>
      <c r="R137" s="1" t="str">
        <f>IFERROR(VLOOKUP(S137,FFARawStatProjections!AX:AZ,2,FALSE),"")</f>
        <v>HOU</v>
      </c>
      <c r="S137" s="4" t="str">
        <f>INDEX(FFARawStatProjections!AX:AX,MATCH(WRproj!T137,FFARawStatProjections!AZ:AZ,0))</f>
        <v>Noah Brown</v>
      </c>
      <c r="T137">
        <f>LARGE(FFARawStatProjections!AZ:AZ,K137)</f>
        <v>39.384450000000001</v>
      </c>
      <c r="U137" s="249">
        <f t="shared" si="11"/>
        <v>-173.71560666666664</v>
      </c>
      <c r="V137" s="243">
        <f t="shared" si="10"/>
        <v>30177.111999568038</v>
      </c>
      <c r="W137" s="244"/>
      <c r="X137" s="243">
        <f t="shared" si="13"/>
        <v>-10.857225416666665</v>
      </c>
      <c r="Y137" s="238">
        <f>IFERROR(
IF(ISBLANK(Beersheet!$A$1)=FALSE,
INDEX(Beersheet!$A:$U,MATCH(S137,INDEX(Beersheet!$A:$U,0,FFARawStatProjections!$BV$2),0),FFARawStatProjections!$BV$6),
IF(X137&gt;6,0,
IF(AND(X137&lt;=6,X137&gt;5),1,
IF(AND(X137&lt;=5,X137&gt;4),2,
IF(AND(X137&lt;=4,X137&gt;3),3,
IF(AND(X137&lt;=3,X137&gt;2),4,
IF(AND(X137&lt;=2,X137&gt;1),5,
IF(AND(X137&lt;=1,X137&gt;0),6,
IF(AND(X137&lt;=0,X137&gt;-1),7,
8))))))))),
10)</f>
        <v>8</v>
      </c>
    </row>
    <row r="138" spans="1:25" ht="15" customHeight="1" x14ac:dyDescent="0.25">
      <c r="A138" s="135"/>
      <c r="B138" s="143" t="s">
        <v>569</v>
      </c>
      <c r="C138" t="str">
        <f>IF(AND(IFERROR(INDEX(Instructions!$T$111:$T$222,MATCH(D138,Instructions!$T$111:$T$222,0)), "")=D138, D138&lt;&gt;""), "X", "")</f>
        <v/>
      </c>
      <c r="D138" s="137" t="s">
        <v>2492</v>
      </c>
      <c r="E138" s="99" t="s">
        <v>139</v>
      </c>
      <c r="F138" s="232">
        <f>IFERROR(IF(AND($F$5="Projected Points",Beersheet!A133&lt;&gt;"QB"), T138, IF(H138="", INDEX(Tier!$B$28:$B$36,MATCH(G138,Tier!$A$28:$A$36,0)), INDEX(Tier!$B$28:$B$36,MATCH(G138,Tier!$A$28:$A$36,0)))), "")</f>
        <v>38.534399999999998</v>
      </c>
      <c r="G138" s="283">
        <f t="shared" ref="G138:G201" si="14">IF(D138="","",Y138)</f>
        <v>8</v>
      </c>
      <c r="H138" s="284"/>
      <c r="I138" s="396" t="str">
        <f>IFERROR(INDEX(ADP!S:S,MATCH(D138,ADP!D:D,0))-RBproj!K138,"")</f>
        <v/>
      </c>
      <c r="J138" s="127"/>
      <c r="K138" s="89">
        <v>132</v>
      </c>
      <c r="L138" s="2" t="s">
        <v>569</v>
      </c>
      <c r="M138" s="3">
        <f t="shared" si="12"/>
        <v>0</v>
      </c>
      <c r="N138" s="4">
        <f>IFERROR(INDEX(ADP!AC:AC,MATCH(D138,ADP!Y:Y,0)),0)</f>
        <v>0</v>
      </c>
      <c r="O138" s="4" t="s">
        <v>6</v>
      </c>
      <c r="P138" s="4"/>
      <c r="Q138" s="4"/>
      <c r="R138" s="1" t="str">
        <f>IFERROR(VLOOKUP(S138,FFARawStatProjections!AX:AZ,2,FALSE),"")</f>
        <v>CLE</v>
      </c>
      <c r="S138" s="4" t="str">
        <f>INDEX(FFARawStatProjections!AX:AX,MATCH(WRproj!T138,FFARawStatProjections!AZ:AZ,0))</f>
        <v>Marquise Goodwin</v>
      </c>
      <c r="T138">
        <f>LARGE(FFARawStatProjections!AZ:AZ,K138)</f>
        <v>38.534399999999998</v>
      </c>
      <c r="U138" s="249">
        <f t="shared" si="11"/>
        <v>-174.56565666666665</v>
      </c>
      <c r="V138" s="243">
        <f t="shared" si="10"/>
        <v>30473.16848746454</v>
      </c>
      <c r="W138" s="244"/>
      <c r="X138" s="243">
        <f t="shared" si="13"/>
        <v>-10.910353541666666</v>
      </c>
      <c r="Y138" s="238">
        <f>IFERROR(
IF(ISBLANK(Beersheet!$A$1)=FALSE,
INDEX(Beersheet!$A:$U,MATCH(S138,INDEX(Beersheet!$A:$U,0,FFARawStatProjections!$BV$2),0),FFARawStatProjections!$BV$6),
IF(X138&gt;6,0,
IF(AND(X138&lt;=6,X138&gt;5),1,
IF(AND(X138&lt;=5,X138&gt;4),2,
IF(AND(X138&lt;=4,X138&gt;3),3,
IF(AND(X138&lt;=3,X138&gt;2),4,
IF(AND(X138&lt;=2,X138&gt;1),5,
IF(AND(X138&lt;=1,X138&gt;0),6,
IF(AND(X138&lt;=0,X138&gt;-1),7,
8))))))))),
10)</f>
        <v>8</v>
      </c>
    </row>
    <row r="139" spans="1:25" ht="15" customHeight="1" x14ac:dyDescent="0.25">
      <c r="A139" s="135"/>
      <c r="B139" s="142" t="s">
        <v>570</v>
      </c>
      <c r="C139" t="str">
        <f>IF(AND(IFERROR(INDEX(Instructions!$T$111:$T$222,MATCH(D139,Instructions!$T$111:$T$222,0)), "")=D139, D139&lt;&gt;""), "X", "")</f>
        <v/>
      </c>
      <c r="D139" s="138" t="s">
        <v>2343</v>
      </c>
      <c r="E139" s="100" t="s">
        <v>139</v>
      </c>
      <c r="F139" s="431">
        <f>IFERROR(IF(AND($F$5="Projected Points",Beersheet!A134&lt;&gt;"QB"), T139, IF(H139="", INDEX(Tier!$B$28:$B$36,MATCH(G139,Tier!$A$28:$A$36,0)), INDEX(Tier!$B$28:$B$36,MATCH(G139,Tier!$A$28:$A$36,0)))), "")</f>
        <v>38.404469999999996</v>
      </c>
      <c r="G139" s="250">
        <f t="shared" si="14"/>
        <v>8</v>
      </c>
      <c r="H139" s="252"/>
      <c r="I139" s="396" t="str">
        <f>IFERROR(INDEX(ADP!S:S,MATCH(D139,ADP!D:D,0))-RBproj!K139,"")</f>
        <v/>
      </c>
      <c r="J139" s="127"/>
      <c r="K139" s="89">
        <v>133</v>
      </c>
      <c r="L139" s="2" t="s">
        <v>570</v>
      </c>
      <c r="M139" s="3">
        <f t="shared" si="12"/>
        <v>0</v>
      </c>
      <c r="N139" s="4">
        <f>IFERROR(INDEX(ADP!AC:AC,MATCH(D139,ADP!Y:Y,0)),0)</f>
        <v>0</v>
      </c>
      <c r="O139" s="4" t="s">
        <v>6</v>
      </c>
      <c r="P139" s="4"/>
      <c r="Q139" s="4"/>
      <c r="R139" s="1" t="str">
        <f>IFERROR(VLOOKUP(S139,FFARawStatProjections!AX:AZ,2,FALSE),"")</f>
        <v>GB</v>
      </c>
      <c r="S139" s="4" t="str">
        <f>INDEX(FFARawStatProjections!AX:AX,MATCH(WRproj!T139,FFARawStatProjections!AZ:AZ,0))</f>
        <v>Samori Toure</v>
      </c>
      <c r="T139">
        <f>LARGE(FFARawStatProjections!AZ:AZ,K139)</f>
        <v>38.404469999999996</v>
      </c>
      <c r="U139" s="249">
        <f t="shared" si="11"/>
        <v>-174.69558666666666</v>
      </c>
      <c r="V139" s="243">
        <f t="shared" si="10"/>
        <v>30518.548000810842</v>
      </c>
      <c r="W139" s="244"/>
      <c r="X139" s="243">
        <f t="shared" si="13"/>
        <v>-10.918474166666666</v>
      </c>
      <c r="Y139" s="238">
        <f>IFERROR(
IF(ISBLANK(Beersheet!$A$1)=FALSE,
INDEX(Beersheet!$A:$U,MATCH(S139,INDEX(Beersheet!$A:$U,0,FFARawStatProjections!$BV$2),0),FFARawStatProjections!$BV$6),
IF(X139&gt;6,0,
IF(AND(X139&lt;=6,X139&gt;5),1,
IF(AND(X139&lt;=5,X139&gt;4),2,
IF(AND(X139&lt;=4,X139&gt;3),3,
IF(AND(X139&lt;=3,X139&gt;2),4,
IF(AND(X139&lt;=2,X139&gt;1),5,
IF(AND(X139&lt;=1,X139&gt;0),6,
IF(AND(X139&lt;=0,X139&gt;-1),7,
8))))))))),
10)</f>
        <v>8</v>
      </c>
    </row>
    <row r="140" spans="1:25" ht="15" customHeight="1" x14ac:dyDescent="0.25">
      <c r="A140" s="135"/>
      <c r="B140" s="143" t="s">
        <v>571</v>
      </c>
      <c r="C140" t="str">
        <f>IF(AND(IFERROR(INDEX(Instructions!$T$111:$T$222,MATCH(D140,Instructions!$T$111:$T$222,0)), "")=D140, D140&lt;&gt;""), "X", "")</f>
        <v/>
      </c>
      <c r="D140" s="137" t="s">
        <v>2518</v>
      </c>
      <c r="E140" s="99" t="s">
        <v>140</v>
      </c>
      <c r="F140" s="232">
        <f>IFERROR(IF(AND($F$5="Projected Points",Beersheet!A135&lt;&gt;"QB"), T140, IF(H140="", INDEX(Tier!$B$28:$B$36,MATCH(G140,Tier!$A$28:$A$36,0)), INDEX(Tier!$B$28:$B$36,MATCH(G140,Tier!$A$28:$A$36,0)))), "")</f>
        <v>38.174460000000003</v>
      </c>
      <c r="G140" s="283">
        <f t="shared" si="14"/>
        <v>8</v>
      </c>
      <c r="H140" s="284"/>
      <c r="I140" s="396" t="str">
        <f>IFERROR(INDEX(ADP!S:S,MATCH(D140,ADP!D:D,0))-RBproj!K140,"")</f>
        <v/>
      </c>
      <c r="J140" s="127"/>
      <c r="K140" s="89">
        <v>134</v>
      </c>
      <c r="L140" s="2" t="s">
        <v>571</v>
      </c>
      <c r="M140" s="3">
        <f t="shared" si="12"/>
        <v>0</v>
      </c>
      <c r="N140" s="4">
        <f>IFERROR(INDEX(ADP!AC:AC,MATCH(D140,ADP!Y:Y,0)),0)</f>
        <v>0</v>
      </c>
      <c r="O140" s="4" t="s">
        <v>6</v>
      </c>
      <c r="P140" s="4"/>
      <c r="Q140" s="4"/>
      <c r="R140" s="1" t="str">
        <f>IFERROR(VLOOKUP(S140,FFARawStatProjections!AX:AZ,2,FALSE),"")</f>
        <v>SEA</v>
      </c>
      <c r="S140" s="4" t="str">
        <f>INDEX(FFARawStatProjections!AX:AX,MATCH(WRproj!T140,FFARawStatProjections!AZ:AZ,0))</f>
        <v>Cade Johnson</v>
      </c>
      <c r="T140">
        <f>LARGE(FFARawStatProjections!AZ:AZ,K140)</f>
        <v>38.174460000000003</v>
      </c>
      <c r="U140" s="249">
        <f t="shared" si="11"/>
        <v>-174.92559666666665</v>
      </c>
      <c r="V140" s="243">
        <f t="shared" si="10"/>
        <v>30598.96436918934</v>
      </c>
      <c r="W140" s="244"/>
      <c r="X140" s="243">
        <f t="shared" si="13"/>
        <v>-10.932849791666666</v>
      </c>
      <c r="Y140" s="238">
        <f>IFERROR(
IF(ISBLANK(Beersheet!$A$1)=FALSE,
INDEX(Beersheet!$A:$U,MATCH(S140,INDEX(Beersheet!$A:$U,0,FFARawStatProjections!$BV$2),0),FFARawStatProjections!$BV$6),
IF(X140&gt;6,0,
IF(AND(X140&lt;=6,X140&gt;5),1,
IF(AND(X140&lt;=5,X140&gt;4),2,
IF(AND(X140&lt;=4,X140&gt;3),3,
IF(AND(X140&lt;=3,X140&gt;2),4,
IF(AND(X140&lt;=2,X140&gt;1),5,
IF(AND(X140&lt;=1,X140&gt;0),6,
IF(AND(X140&lt;=0,X140&gt;-1),7,
8))))))))),
10)</f>
        <v>8</v>
      </c>
    </row>
    <row r="141" spans="1:25" ht="15" customHeight="1" x14ac:dyDescent="0.25">
      <c r="A141" s="135"/>
      <c r="B141" s="142" t="s">
        <v>572</v>
      </c>
      <c r="C141" t="str">
        <f>IF(AND(IFERROR(INDEX(Instructions!$T$111:$T$222,MATCH(D141,Instructions!$T$111:$T$222,0)), "")=D141, D141&lt;&gt;""), "X", "")</f>
        <v/>
      </c>
      <c r="D141" s="138" t="s">
        <v>2228</v>
      </c>
      <c r="E141" s="100" t="s">
        <v>145</v>
      </c>
      <c r="F141" s="431">
        <f>IFERROR(IF(AND($F$5="Projected Points",Beersheet!A136&lt;&gt;"QB"), T141, IF(H141="", INDEX(Tier!$B$28:$B$36,MATCH(G141,Tier!$A$28:$A$36,0)), INDEX(Tier!$B$28:$B$36,MATCH(G141,Tier!$A$28:$A$36,0)))), "")</f>
        <v>37.555</v>
      </c>
      <c r="G141" s="250">
        <f t="shared" si="14"/>
        <v>8</v>
      </c>
      <c r="H141" s="252"/>
      <c r="I141" s="396" t="str">
        <f>IFERROR(INDEX(ADP!S:S,MATCH(D141,ADP!D:D,0))-RBproj!K141,"")</f>
        <v/>
      </c>
      <c r="J141" s="127"/>
      <c r="K141" s="89">
        <v>135</v>
      </c>
      <c r="L141" s="2" t="s">
        <v>572</v>
      </c>
      <c r="M141" s="3">
        <f t="shared" si="12"/>
        <v>0</v>
      </c>
      <c r="N141" s="4">
        <f>IFERROR(INDEX(ADP!AC:AC,MATCH(D141,ADP!Y:Y,0)),0)</f>
        <v>0</v>
      </c>
      <c r="O141" s="4" t="s">
        <v>6</v>
      </c>
      <c r="P141" s="4"/>
      <c r="Q141" s="4"/>
      <c r="R141" s="1" t="str">
        <f>IFERROR(VLOOKUP(S141,FFARawStatProjections!AX:AZ,2,FALSE),"")</f>
        <v>CLE</v>
      </c>
      <c r="S141" s="4" t="str">
        <f>INDEX(FFARawStatProjections!AX:AX,MATCH(WRproj!T141,FFARawStatProjections!AZ:AZ,0))</f>
        <v>Demetric Felton</v>
      </c>
      <c r="T141">
        <f>LARGE(FFARawStatProjections!AZ:AZ,K141)</f>
        <v>37.555</v>
      </c>
      <c r="U141" s="249">
        <f t="shared" si="11"/>
        <v>-175.54505666666665</v>
      </c>
      <c r="V141" s="243">
        <f t="shared" si="10"/>
        <v>30816.066920103207</v>
      </c>
      <c r="W141" s="244"/>
      <c r="X141" s="243">
        <f t="shared" si="13"/>
        <v>-10.971566041666666</v>
      </c>
      <c r="Y141" s="238">
        <f>IFERROR(
IF(ISBLANK(Beersheet!$A$1)=FALSE,
INDEX(Beersheet!$A:$U,MATCH(S141,INDEX(Beersheet!$A:$U,0,FFARawStatProjections!$BV$2),0),FFARawStatProjections!$BV$6),
IF(X141&gt;6,0,
IF(AND(X141&lt;=6,X141&gt;5),1,
IF(AND(X141&lt;=5,X141&gt;4),2,
IF(AND(X141&lt;=4,X141&gt;3),3,
IF(AND(X141&lt;=3,X141&gt;2),4,
IF(AND(X141&lt;=2,X141&gt;1),5,
IF(AND(X141&lt;=1,X141&gt;0),6,
IF(AND(X141&lt;=0,X141&gt;-1),7,
8))))))))),
10)</f>
        <v>8</v>
      </c>
    </row>
    <row r="142" spans="1:25" ht="15" customHeight="1" x14ac:dyDescent="0.25">
      <c r="A142" s="135"/>
      <c r="B142" s="143" t="s">
        <v>573</v>
      </c>
      <c r="C142" t="str">
        <f>IF(AND(IFERROR(INDEX(Instructions!$T$111:$T$222,MATCH(D142,Instructions!$T$111:$T$222,0)), "")=D142, D142&lt;&gt;""), "X", "")</f>
        <v/>
      </c>
      <c r="D142" s="137" t="s">
        <v>2495</v>
      </c>
      <c r="E142" s="99" t="s">
        <v>149</v>
      </c>
      <c r="F142" s="232">
        <f>IFERROR(IF(AND($F$5="Projected Points",Beersheet!A137&lt;&gt;"QB"), T142, IF(H142="", INDEX(Tier!$B$28:$B$36,MATCH(G142,Tier!$A$28:$A$36,0)), INDEX(Tier!$B$28:$B$36,MATCH(G142,Tier!$A$28:$A$36,0)))), "")</f>
        <v>37.33455</v>
      </c>
      <c r="G142" s="283">
        <f t="shared" si="14"/>
        <v>8</v>
      </c>
      <c r="H142" s="284"/>
      <c r="I142" s="396" t="str">
        <f>IFERROR(INDEX(ADP!S:S,MATCH(D142,ADP!D:D,0))-RBproj!K142,"")</f>
        <v/>
      </c>
      <c r="J142" s="127"/>
      <c r="K142" s="89">
        <v>136</v>
      </c>
      <c r="L142" s="2" t="s">
        <v>573</v>
      </c>
      <c r="M142" s="3">
        <f t="shared" si="12"/>
        <v>0</v>
      </c>
      <c r="N142" s="4">
        <f>IFERROR(INDEX(ADP!AC:AC,MATCH(D142,ADP!Y:Y,0)),0)</f>
        <v>0</v>
      </c>
      <c r="O142" s="4" t="s">
        <v>6</v>
      </c>
      <c r="P142" s="4"/>
      <c r="Q142" s="4"/>
      <c r="R142" s="1" t="str">
        <f>IFERROR(VLOOKUP(S142,FFARawStatProjections!AX:AZ,2,FALSE),"")</f>
        <v>CIN</v>
      </c>
      <c r="S142" s="4" t="str">
        <f>INDEX(FFARawStatProjections!AX:AX,MATCH(WRproj!T142,FFARawStatProjections!AZ:AZ,0))</f>
        <v>Trenton Irwin</v>
      </c>
      <c r="T142">
        <f>LARGE(FFARawStatProjections!AZ:AZ,K142)</f>
        <v>37.33455</v>
      </c>
      <c r="U142" s="249">
        <f t="shared" si="11"/>
        <v>-175.76550666666665</v>
      </c>
      <c r="V142" s="243">
        <f t="shared" si="10"/>
        <v>30893.513333790041</v>
      </c>
      <c r="W142" s="244"/>
      <c r="X142" s="243">
        <f t="shared" si="13"/>
        <v>-10.985344166666666</v>
      </c>
      <c r="Y142" s="238">
        <f>IFERROR(
IF(ISBLANK(Beersheet!$A$1)=FALSE,
INDEX(Beersheet!$A:$U,MATCH(S142,INDEX(Beersheet!$A:$U,0,FFARawStatProjections!$BV$2),0),FFARawStatProjections!$BV$6),
IF(X142&gt;6,0,
IF(AND(X142&lt;=6,X142&gt;5),1,
IF(AND(X142&lt;=5,X142&gt;4),2,
IF(AND(X142&lt;=4,X142&gt;3),3,
IF(AND(X142&lt;=3,X142&gt;2),4,
IF(AND(X142&lt;=2,X142&gt;1),5,
IF(AND(X142&lt;=1,X142&gt;0),6,
IF(AND(X142&lt;=0,X142&gt;-1),7,
8))))))))),
10)</f>
        <v>8</v>
      </c>
    </row>
    <row r="143" spans="1:25" ht="15" customHeight="1" x14ac:dyDescent="0.25">
      <c r="A143" s="135"/>
      <c r="B143" s="142" t="s">
        <v>574</v>
      </c>
      <c r="C143" t="str">
        <f>IF(AND(IFERROR(INDEX(Instructions!$T$111:$T$222,MATCH(D143,Instructions!$T$111:$T$222,0)), "")=D143, D143&lt;&gt;""), "X", "")</f>
        <v/>
      </c>
      <c r="D143" s="138" t="s">
        <v>1833</v>
      </c>
      <c r="E143" s="100" t="s">
        <v>2272</v>
      </c>
      <c r="F143" s="431">
        <f>IFERROR(IF(AND($F$5="Projected Points",Beersheet!A138&lt;&gt;"QB"), T143, IF(H143="", INDEX(Tier!$B$28:$B$36,MATCH(G143,Tier!$A$28:$A$36,0)), INDEX(Tier!$B$28:$B$36,MATCH(G143,Tier!$A$28:$A$36,0)))), "")</f>
        <v>36.314570000000003</v>
      </c>
      <c r="G143" s="250">
        <f t="shared" si="14"/>
        <v>8</v>
      </c>
      <c r="H143" s="252"/>
      <c r="I143" s="396" t="str">
        <f>IFERROR(INDEX(ADP!S:S,MATCH(D143,ADP!D:D,0))-RBproj!K143,"")</f>
        <v/>
      </c>
      <c r="J143" s="127"/>
      <c r="K143" s="89">
        <v>137</v>
      </c>
      <c r="L143" s="2" t="s">
        <v>574</v>
      </c>
      <c r="M143" s="3">
        <f t="shared" si="12"/>
        <v>0</v>
      </c>
      <c r="N143" s="4">
        <f>IFERROR(INDEX(ADP!AC:AC,MATCH(D143,ADP!Y:Y,0)),0)</f>
        <v>0</v>
      </c>
      <c r="O143" s="4" t="s">
        <v>6</v>
      </c>
      <c r="P143" s="4"/>
      <c r="Q143" s="4"/>
      <c r="R143" s="1" t="str">
        <f>IFERROR(VLOOKUP(S143,FFARawStatProjections!AX:AZ,2,FALSE),"")</f>
        <v>AZ</v>
      </c>
      <c r="S143" s="4" t="str">
        <f>INDEX(FFARawStatProjections!AX:AX,MATCH(WRproj!T143,FFARawStatProjections!AZ:AZ,0))</f>
        <v>Zach Pascal</v>
      </c>
      <c r="T143">
        <f>LARGE(FFARawStatProjections!AZ:AZ,K143)</f>
        <v>36.314570000000003</v>
      </c>
      <c r="U143" s="249">
        <f t="shared" si="11"/>
        <v>-176.78548666666666</v>
      </c>
      <c r="V143" s="243">
        <f t="shared" si="10"/>
        <v>31253.108295970174</v>
      </c>
      <c r="W143" s="244"/>
      <c r="X143" s="243">
        <f t="shared" si="13"/>
        <v>-11.049092916666666</v>
      </c>
      <c r="Y143" s="238">
        <f>IFERROR(
IF(ISBLANK(Beersheet!$A$1)=FALSE,
INDEX(Beersheet!$A:$U,MATCH(S143,INDEX(Beersheet!$A:$U,0,FFARawStatProjections!$BV$2),0),FFARawStatProjections!$BV$6),
IF(X143&gt;6,0,
IF(AND(X143&lt;=6,X143&gt;5),1,
IF(AND(X143&lt;=5,X143&gt;4),2,
IF(AND(X143&lt;=4,X143&gt;3),3,
IF(AND(X143&lt;=3,X143&gt;2),4,
IF(AND(X143&lt;=2,X143&gt;1),5,
IF(AND(X143&lt;=1,X143&gt;0),6,
IF(AND(X143&lt;=0,X143&gt;-1),7,
8))))))))),
10)</f>
        <v>8</v>
      </c>
    </row>
    <row r="144" spans="1:25" ht="15" customHeight="1" x14ac:dyDescent="0.25">
      <c r="A144" s="135"/>
      <c r="B144" s="143" t="s">
        <v>575</v>
      </c>
      <c r="C144" t="str">
        <f>IF(AND(IFERROR(INDEX(Instructions!$T$111:$T$222,MATCH(D144,Instructions!$T$111:$T$222,0)), "")=D144, D144&lt;&gt;""), "X", "")</f>
        <v/>
      </c>
      <c r="D144" s="137" t="s">
        <v>2189</v>
      </c>
      <c r="E144" s="99" t="s">
        <v>161</v>
      </c>
      <c r="F144" s="232">
        <f>IFERROR(IF(AND($F$5="Projected Points",Beersheet!A139&lt;&gt;"QB"), T144, IF(H144="", INDEX(Tier!$B$28:$B$36,MATCH(G144,Tier!$A$28:$A$36,0)), INDEX(Tier!$B$28:$B$36,MATCH(G144,Tier!$A$28:$A$36,0)))), "")</f>
        <v>34.754510000000003</v>
      </c>
      <c r="G144" s="283">
        <f t="shared" si="14"/>
        <v>8</v>
      </c>
      <c r="H144" s="284"/>
      <c r="I144" s="396" t="str">
        <f>IFERROR(INDEX(ADP!S:S,MATCH(D144,ADP!D:D,0))-RBproj!K144,"")</f>
        <v/>
      </c>
      <c r="J144" s="127"/>
      <c r="K144" s="89">
        <v>138</v>
      </c>
      <c r="L144" s="2" t="s">
        <v>575</v>
      </c>
      <c r="M144" s="3">
        <f t="shared" si="12"/>
        <v>0</v>
      </c>
      <c r="N144" s="4">
        <f>IFERROR(INDEX(ADP!AC:AC,MATCH(D144,ADP!Y:Y,0)),0)</f>
        <v>0</v>
      </c>
      <c r="O144" s="4" t="s">
        <v>6</v>
      </c>
      <c r="P144" s="4"/>
      <c r="Q144" s="4"/>
      <c r="R144" s="1" t="str">
        <f>IFERROR(VLOOKUP(S144,FFARawStatProjections!AX:AZ,2,FALSE),"")</f>
        <v>TB</v>
      </c>
      <c r="S144" s="4" t="str">
        <f>INDEX(FFARawStatProjections!AX:AX,MATCH(WRproj!T144,FFARawStatProjections!AZ:AZ,0))</f>
        <v>Deven Thompkins</v>
      </c>
      <c r="T144">
        <f>LARGE(FFARawStatProjections!AZ:AZ,K144)</f>
        <v>34.754510000000003</v>
      </c>
      <c r="U144" s="249">
        <f t="shared" si="11"/>
        <v>-178.34554666666665</v>
      </c>
      <c r="V144" s="243">
        <f t="shared" si="10"/>
        <v>31807.134015832173</v>
      </c>
      <c r="W144" s="244"/>
      <c r="X144" s="243">
        <f t="shared" si="13"/>
        <v>-11.146596666666666</v>
      </c>
      <c r="Y144" s="238">
        <f>IFERROR(
IF(ISBLANK(Beersheet!$A$1)=FALSE,
INDEX(Beersheet!$A:$U,MATCH(S144,INDEX(Beersheet!$A:$U,0,FFARawStatProjections!$BV$2),0),FFARawStatProjections!$BV$6),
IF(X144&gt;6,0,
IF(AND(X144&lt;=6,X144&gt;5),1,
IF(AND(X144&lt;=5,X144&gt;4),2,
IF(AND(X144&lt;=4,X144&gt;3),3,
IF(AND(X144&lt;=3,X144&gt;2),4,
IF(AND(X144&lt;=2,X144&gt;1),5,
IF(AND(X144&lt;=1,X144&gt;0),6,
IF(AND(X144&lt;=0,X144&gt;-1),7,
8))))))))),
10)</f>
        <v>8</v>
      </c>
    </row>
    <row r="145" spans="1:25" ht="15" customHeight="1" x14ac:dyDescent="0.25">
      <c r="A145" s="135"/>
      <c r="B145" s="142" t="s">
        <v>576</v>
      </c>
      <c r="C145" t="str">
        <f>IF(AND(IFERROR(INDEX(Instructions!$T$111:$T$222,MATCH(D145,Instructions!$T$111:$T$222,0)), "")=D145, D145&lt;&gt;""), "X", "")</f>
        <v/>
      </c>
      <c r="D145" s="138" t="s">
        <v>2231</v>
      </c>
      <c r="E145" s="100" t="s">
        <v>148</v>
      </c>
      <c r="F145" s="431">
        <f>IFERROR(IF(AND($F$5="Projected Points",Beersheet!A140&lt;&gt;"QB"), T145, IF(H145="", INDEX(Tier!$B$28:$B$36,MATCH(G145,Tier!$A$28:$A$36,0)), INDEX(Tier!$B$28:$B$36,MATCH(G145,Tier!$A$28:$A$36,0)))), "")</f>
        <v>34.044579999999996</v>
      </c>
      <c r="G145" s="250">
        <f t="shared" si="14"/>
        <v>8</v>
      </c>
      <c r="H145" s="252"/>
      <c r="I145" s="396" t="str">
        <f>IFERROR(INDEX(ADP!S:S,MATCH(D145,ADP!D:D,0))-RBproj!K145,"")</f>
        <v/>
      </c>
      <c r="J145" s="127"/>
      <c r="K145" s="89">
        <v>139</v>
      </c>
      <c r="L145" s="2" t="s">
        <v>576</v>
      </c>
      <c r="M145" s="3">
        <f t="shared" si="12"/>
        <v>0</v>
      </c>
      <c r="N145" s="4">
        <f>IFERROR(INDEX(ADP!AC:AC,MATCH(D145,ADP!Y:Y,0)),0)</f>
        <v>0</v>
      </c>
      <c r="O145" s="4" t="s">
        <v>6</v>
      </c>
      <c r="P145" s="4"/>
      <c r="Q145" s="4"/>
      <c r="R145" s="1" t="str">
        <f>IFERROR(VLOOKUP(S145,FFARawStatProjections!AX:AZ,2,FALSE),"")</f>
        <v>ATL</v>
      </c>
      <c r="S145" s="4" t="str">
        <f>INDEX(FFARawStatProjections!AX:AX,MATCH(WRproj!T145,FFARawStatProjections!AZ:AZ,0))</f>
        <v>KhaDarel Hodge</v>
      </c>
      <c r="T145">
        <f>LARGE(FFARawStatProjections!AZ:AZ,K145)</f>
        <v>34.044579999999996</v>
      </c>
      <c r="U145" s="249">
        <f t="shared" si="11"/>
        <v>-179.05547666666666</v>
      </c>
      <c r="V145" s="243">
        <f t="shared" si="10"/>
        <v>32060.86372432721</v>
      </c>
      <c r="W145" s="244"/>
      <c r="X145" s="243">
        <f t="shared" si="13"/>
        <v>-11.190967291666666</v>
      </c>
      <c r="Y145" s="238">
        <f>IFERROR(
IF(ISBLANK(Beersheet!$A$1)=FALSE,
INDEX(Beersheet!$A:$U,MATCH(S145,INDEX(Beersheet!$A:$U,0,FFARawStatProjections!$BV$2),0),FFARawStatProjections!$BV$6),
IF(X145&gt;6,0,
IF(AND(X145&lt;=6,X145&gt;5),1,
IF(AND(X145&lt;=5,X145&gt;4),2,
IF(AND(X145&lt;=4,X145&gt;3),3,
IF(AND(X145&lt;=3,X145&gt;2),4,
IF(AND(X145&lt;=2,X145&gt;1),5,
IF(AND(X145&lt;=1,X145&gt;0),6,
IF(AND(X145&lt;=0,X145&gt;-1),7,
8))))))))),
10)</f>
        <v>8</v>
      </c>
    </row>
    <row r="146" spans="1:25" ht="15" customHeight="1" x14ac:dyDescent="0.25">
      <c r="A146" s="135"/>
      <c r="B146" s="143" t="s">
        <v>577</v>
      </c>
      <c r="C146" t="str">
        <f>IF(AND(IFERROR(INDEX(Instructions!$T$111:$T$222,MATCH(D146,Instructions!$T$111:$T$222,0)), "")=D146, D146&lt;&gt;""), "X", "")</f>
        <v/>
      </c>
      <c r="D146" s="137" t="s">
        <v>1804</v>
      </c>
      <c r="E146" s="99" t="s">
        <v>136</v>
      </c>
      <c r="F146" s="232">
        <f>IFERROR(IF(AND($F$5="Projected Points",Beersheet!A141&lt;&gt;"QB"), T146, IF(H146="", INDEX(Tier!$B$28:$B$36,MATCH(G146,Tier!$A$28:$A$36,0)), INDEX(Tier!$B$28:$B$36,MATCH(G146,Tier!$A$28:$A$36,0)))), "")</f>
        <v>32.764560000000003</v>
      </c>
      <c r="G146" s="283">
        <f t="shared" si="14"/>
        <v>8</v>
      </c>
      <c r="H146" s="284"/>
      <c r="I146" s="396" t="str">
        <f>IFERROR(INDEX(ADP!S:S,MATCH(D146,ADP!D:D,0))-RBproj!K146,"")</f>
        <v/>
      </c>
      <c r="J146" s="127"/>
      <c r="K146" s="89">
        <v>140</v>
      </c>
      <c r="L146" s="2" t="s">
        <v>577</v>
      </c>
      <c r="M146" s="3">
        <f t="shared" si="12"/>
        <v>0</v>
      </c>
      <c r="N146" s="4">
        <f>IFERROR(INDEX(ADP!AC:AC,MATCH(D146,ADP!Y:Y,0)),0)</f>
        <v>0</v>
      </c>
      <c r="O146" s="4" t="s">
        <v>6</v>
      </c>
      <c r="P146" s="4"/>
      <c r="Q146" s="4"/>
      <c r="R146" s="1" t="str">
        <f>IFERROR(VLOOKUP(S146,FFARawStatProjections!AX:AZ,2,FALSE),"")</f>
        <v>KC</v>
      </c>
      <c r="S146" s="4" t="str">
        <f>INDEX(FFARawStatProjections!AX:AX,MATCH(WRproj!T146,FFARawStatProjections!AZ:AZ,0))</f>
        <v>Justin Watson</v>
      </c>
      <c r="T146">
        <f>LARGE(FFARawStatProjections!AZ:AZ,K146)</f>
        <v>32.764560000000003</v>
      </c>
      <c r="U146" s="249">
        <f t="shared" si="11"/>
        <v>-180.33549666666664</v>
      </c>
      <c r="V146" s="243">
        <f t="shared" si="10"/>
        <v>32520.891358013338</v>
      </c>
      <c r="W146" s="244"/>
      <c r="X146" s="243">
        <f t="shared" si="13"/>
        <v>-11.270968541666665</v>
      </c>
      <c r="Y146" s="238">
        <f>IFERROR(
IF(ISBLANK(Beersheet!$A$1)=FALSE,
INDEX(Beersheet!$A:$U,MATCH(S146,INDEX(Beersheet!$A:$U,0,FFARawStatProjections!$BV$2),0),FFARawStatProjections!$BV$6),
IF(X146&gt;6,0,
IF(AND(X146&lt;=6,X146&gt;5),1,
IF(AND(X146&lt;=5,X146&gt;4),2,
IF(AND(X146&lt;=4,X146&gt;3),3,
IF(AND(X146&lt;=3,X146&gt;2),4,
IF(AND(X146&lt;=2,X146&gt;1),5,
IF(AND(X146&lt;=1,X146&gt;0),6,
IF(AND(X146&lt;=0,X146&gt;-1),7,
8))))))))),
10)</f>
        <v>8</v>
      </c>
    </row>
    <row r="147" spans="1:25" ht="15" customHeight="1" x14ac:dyDescent="0.25">
      <c r="A147" s="135"/>
      <c r="B147" s="142" t="s">
        <v>578</v>
      </c>
      <c r="C147" t="str">
        <f>IF(AND(IFERROR(INDEX(Instructions!$T$111:$T$222,MATCH(D147,Instructions!$T$111:$T$222,0)), "")=D147, D147&lt;&gt;""), "X", "")</f>
        <v/>
      </c>
      <c r="D147" s="138" t="s">
        <v>2206</v>
      </c>
      <c r="E147" s="100" t="s">
        <v>152</v>
      </c>
      <c r="F147" s="431">
        <f>IFERROR(IF(AND($F$5="Projected Points",Beersheet!A142&lt;&gt;"QB"), T147, IF(H147="", INDEX(Tier!$B$28:$B$36,MATCH(G147,Tier!$A$28:$A$36,0)), INDEX(Tier!$B$28:$B$36,MATCH(G147,Tier!$A$28:$A$36,0)))), "")</f>
        <v>32.144590000000001</v>
      </c>
      <c r="G147" s="250">
        <f t="shared" si="14"/>
        <v>8</v>
      </c>
      <c r="H147" s="252"/>
      <c r="I147" s="396" t="str">
        <f>IFERROR(INDEX(ADP!S:S,MATCH(D147,ADP!D:D,0))-RBproj!K147,"")</f>
        <v/>
      </c>
      <c r="J147" s="127"/>
      <c r="K147" s="89">
        <v>141</v>
      </c>
      <c r="L147" s="2" t="s">
        <v>578</v>
      </c>
      <c r="M147" s="3">
        <f t="shared" si="12"/>
        <v>0</v>
      </c>
      <c r="N147" s="4">
        <f>IFERROR(INDEX(ADP!AC:AC,MATCH(D147,ADP!Y:Y,0)),0)</f>
        <v>0</v>
      </c>
      <c r="O147" s="4" t="s">
        <v>6</v>
      </c>
      <c r="P147" s="4"/>
      <c r="Q147" s="4"/>
      <c r="R147" s="1" t="str">
        <f>IFERROR(VLOOKUP(S147,FFARawStatProjections!AX:AZ,2,FALSE),"")</f>
        <v>WAS</v>
      </c>
      <c r="S147" s="4" t="str">
        <f>INDEX(FFARawStatProjections!AX:AX,MATCH(WRproj!T147,FFARawStatProjections!AZ:AZ,0))</f>
        <v>Dyami Brown</v>
      </c>
      <c r="T147">
        <f>LARGE(FFARawStatProjections!AZ:AZ,K147)</f>
        <v>32.144590000000001</v>
      </c>
      <c r="U147" s="249">
        <f t="shared" si="11"/>
        <v>-180.95546666666667</v>
      </c>
      <c r="V147" s="243">
        <f t="shared" si="10"/>
        <v>32744.880916551112</v>
      </c>
      <c r="W147" s="244"/>
      <c r="X147" s="243">
        <f t="shared" si="13"/>
        <v>-11.309716666666667</v>
      </c>
      <c r="Y147" s="238">
        <f>IFERROR(
IF(ISBLANK(Beersheet!$A$1)=FALSE,
INDEX(Beersheet!$A:$U,MATCH(S147,INDEX(Beersheet!$A:$U,0,FFARawStatProjections!$BV$2),0),FFARawStatProjections!$BV$6),
IF(X147&gt;6,0,
IF(AND(X147&lt;=6,X147&gt;5),1,
IF(AND(X147&lt;=5,X147&gt;4),2,
IF(AND(X147&lt;=4,X147&gt;3),3,
IF(AND(X147&lt;=3,X147&gt;2),4,
IF(AND(X147&lt;=2,X147&gt;1),5,
IF(AND(X147&lt;=1,X147&gt;0),6,
IF(AND(X147&lt;=0,X147&gt;-1),7,
8))))))))),
10)</f>
        <v>8</v>
      </c>
    </row>
    <row r="148" spans="1:25" ht="15" customHeight="1" x14ac:dyDescent="0.25">
      <c r="A148" s="135"/>
      <c r="B148" s="143" t="s">
        <v>579</v>
      </c>
      <c r="C148" t="str">
        <f>IF(AND(IFERROR(INDEX(Instructions!$T$111:$T$222,MATCH(D148,Instructions!$T$111:$T$222,0)), "")=D148, D148&lt;&gt;""), "X", "")</f>
        <v/>
      </c>
      <c r="D148" s="137" t="s">
        <v>2350</v>
      </c>
      <c r="E148" s="99" t="s">
        <v>136</v>
      </c>
      <c r="F148" s="232">
        <f>IFERROR(IF(AND($F$5="Projected Points",Beersheet!A143&lt;&gt;"QB"), T148, IF(H148="", INDEX(Tier!$B$28:$B$36,MATCH(G148,Tier!$A$28:$A$36,0)), INDEX(Tier!$B$28:$B$36,MATCH(G148,Tier!$A$28:$A$36,0)))), "")</f>
        <v>31.564609999999998</v>
      </c>
      <c r="G148" s="283">
        <f t="shared" si="14"/>
        <v>8</v>
      </c>
      <c r="H148" s="284"/>
      <c r="I148" s="396">
        <f>IFERROR(INDEX(ADP!S:S,MATCH(D148,ADP!D:D,0))-RBproj!K148,"")</f>
        <v>-71</v>
      </c>
      <c r="J148" s="127"/>
      <c r="K148" s="89">
        <v>142</v>
      </c>
      <c r="L148" s="2" t="s">
        <v>579</v>
      </c>
      <c r="M148" s="3">
        <f t="shared" si="12"/>
        <v>20.2</v>
      </c>
      <c r="N148" s="4">
        <f>IFERROR(INDEX(ADP!AC:AC,MATCH(D148,ADP!Y:Y,0)),0)</f>
        <v>20.2</v>
      </c>
      <c r="O148" s="4" t="s">
        <v>6</v>
      </c>
      <c r="P148" s="4"/>
      <c r="Q148" s="4"/>
      <c r="R148" s="1" t="str">
        <f>IFERROR(VLOOKUP(S148,FFARawStatProjections!AX:AZ,2,FALSE),"")</f>
        <v>PIT</v>
      </c>
      <c r="S148" s="4" t="str">
        <f>INDEX(FFARawStatProjections!AX:AX,MATCH(WRproj!T148,FFARawStatProjections!AZ:AZ,0))</f>
        <v>Calvin Austin</v>
      </c>
      <c r="T148">
        <f>LARGE(FFARawStatProjections!AZ:AZ,K148)</f>
        <v>31.564609999999998</v>
      </c>
      <c r="U148" s="249">
        <f t="shared" si="11"/>
        <v>-181.53544666666667</v>
      </c>
      <c r="V148" s="243">
        <f t="shared" si="10"/>
        <v>32955.118396466183</v>
      </c>
      <c r="W148" s="244"/>
      <c r="X148" s="243">
        <f t="shared" si="13"/>
        <v>-11.345965416666667</v>
      </c>
      <c r="Y148" s="238">
        <f>IFERROR(
IF(ISBLANK(Beersheet!$A$1)=FALSE,
INDEX(Beersheet!$A:$U,MATCH(S148,INDEX(Beersheet!$A:$U,0,FFARawStatProjections!$BV$2),0),FFARawStatProjections!$BV$6),
IF(X148&gt;6,0,
IF(AND(X148&lt;=6,X148&gt;5),1,
IF(AND(X148&lt;=5,X148&gt;4),2,
IF(AND(X148&lt;=4,X148&gt;3),3,
IF(AND(X148&lt;=3,X148&gt;2),4,
IF(AND(X148&lt;=2,X148&gt;1),5,
IF(AND(X148&lt;=1,X148&gt;0),6,
IF(AND(X148&lt;=0,X148&gt;-1),7,
8))))))))),
10)</f>
        <v>8</v>
      </c>
    </row>
    <row r="149" spans="1:25" ht="15" customHeight="1" x14ac:dyDescent="0.25">
      <c r="A149" s="135"/>
      <c r="B149" s="142" t="s">
        <v>580</v>
      </c>
      <c r="C149" t="str">
        <f>IF(AND(IFERROR(INDEX(Instructions!$T$111:$T$222,MATCH(D149,Instructions!$T$111:$T$222,0)), "")=D149, D149&lt;&gt;""), "X", "")</f>
        <v/>
      </c>
      <c r="D149" s="138" t="s">
        <v>2533</v>
      </c>
      <c r="E149" s="100" t="s">
        <v>143</v>
      </c>
      <c r="F149" s="431">
        <f>IFERROR(IF(AND($F$5="Projected Points",Beersheet!A144&lt;&gt;"QB"), T149, IF(H149="", INDEX(Tier!$B$28:$B$36,MATCH(G149,Tier!$A$28:$A$36,0)), INDEX(Tier!$B$28:$B$36,MATCH(G149,Tier!$A$28:$A$36,0)))), "")</f>
        <v>31.554660000000002</v>
      </c>
      <c r="G149" s="250">
        <f t="shared" si="14"/>
        <v>8</v>
      </c>
      <c r="H149" s="252"/>
      <c r="I149" s="396" t="str">
        <f>IFERROR(INDEX(ADP!S:S,MATCH(D149,ADP!D:D,0))-RBproj!K149,"")</f>
        <v/>
      </c>
      <c r="J149" s="127"/>
      <c r="K149" s="89">
        <v>143</v>
      </c>
      <c r="L149" s="2" t="s">
        <v>580</v>
      </c>
      <c r="M149" s="3">
        <f t="shared" si="12"/>
        <v>0</v>
      </c>
      <c r="N149" s="4">
        <f>IFERROR(INDEX(ADP!AC:AC,MATCH(D149,ADP!Y:Y,0)),0)</f>
        <v>0</v>
      </c>
      <c r="O149" s="4" t="s">
        <v>6</v>
      </c>
      <c r="P149" s="4"/>
      <c r="Q149" s="4"/>
      <c r="R149" s="1" t="str">
        <f>IFERROR(VLOOKUP(S149,FFARawStatProjections!AX:AZ,2,FALSE),"")</f>
        <v>JAC</v>
      </c>
      <c r="S149" s="4" t="str">
        <f>INDEX(FFARawStatProjections!AX:AX,MATCH(WRproj!T149,FFARawStatProjections!AZ:AZ,0))</f>
        <v>Parker Washington</v>
      </c>
      <c r="T149">
        <f>LARGE(FFARawStatProjections!AZ:AZ,K149)</f>
        <v>31.554660000000002</v>
      </c>
      <c r="U149" s="249">
        <f t="shared" si="11"/>
        <v>-181.54539666666665</v>
      </c>
      <c r="V149" s="243">
        <f t="shared" si="10"/>
        <v>32958.731050857336</v>
      </c>
      <c r="W149" s="244"/>
      <c r="X149" s="243">
        <f t="shared" si="13"/>
        <v>-11.346587291666665</v>
      </c>
      <c r="Y149" s="238">
        <f>IFERROR(
IF(ISBLANK(Beersheet!$A$1)=FALSE,
INDEX(Beersheet!$A:$U,MATCH(S149,INDEX(Beersheet!$A:$U,0,FFARawStatProjections!$BV$2),0),FFARawStatProjections!$BV$6),
IF(X149&gt;6,0,
IF(AND(X149&lt;=6,X149&gt;5),1,
IF(AND(X149&lt;=5,X149&gt;4),2,
IF(AND(X149&lt;=4,X149&gt;3),3,
IF(AND(X149&lt;=3,X149&gt;2),4,
IF(AND(X149&lt;=2,X149&gt;1),5,
IF(AND(X149&lt;=1,X149&gt;0),6,
IF(AND(X149&lt;=0,X149&gt;-1),7,
8))))))))),
10)</f>
        <v>8</v>
      </c>
    </row>
    <row r="150" spans="1:25" ht="15" customHeight="1" x14ac:dyDescent="0.25">
      <c r="A150" s="135"/>
      <c r="B150" s="143" t="s">
        <v>581</v>
      </c>
      <c r="C150" t="str">
        <f>IF(AND(IFERROR(INDEX(Instructions!$T$111:$T$222,MATCH(D150,Instructions!$T$111:$T$222,0)), "")=D150, D150&lt;&gt;""), "X", "")</f>
        <v/>
      </c>
      <c r="D150" s="137" t="s">
        <v>2336</v>
      </c>
      <c r="E150" s="99" t="s">
        <v>147</v>
      </c>
      <c r="F150" s="232">
        <f>IFERROR(IF(AND($F$5="Projected Points",Beersheet!A145&lt;&gt;"QB"), T150, IF(H150="", INDEX(Tier!$B$28:$B$36,MATCH(G150,Tier!$A$28:$A$36,0)), INDEX(Tier!$B$28:$B$36,MATCH(G150,Tier!$A$28:$A$36,0)))), "")</f>
        <v>30.05452</v>
      </c>
      <c r="G150" s="283">
        <f t="shared" si="14"/>
        <v>8</v>
      </c>
      <c r="H150" s="284"/>
      <c r="I150" s="396" t="str">
        <f>IFERROR(INDEX(ADP!S:S,MATCH(D150,ADP!D:D,0))-RBproj!K150,"")</f>
        <v/>
      </c>
      <c r="J150" s="127"/>
      <c r="K150" s="89">
        <v>144</v>
      </c>
      <c r="L150" s="2" t="s">
        <v>581</v>
      </c>
      <c r="M150" s="3">
        <f t="shared" si="12"/>
        <v>0</v>
      </c>
      <c r="N150" s="4">
        <f>IFERROR(INDEX(ADP!AC:AC,MATCH(D150,ADP!Y:Y,0)),0)</f>
        <v>0</v>
      </c>
      <c r="O150" s="4" t="s">
        <v>6</v>
      </c>
      <c r="P150" s="4"/>
      <c r="Q150" s="4"/>
      <c r="R150" s="1" t="str">
        <f>IFERROR(VLOOKUP(S150,FFARawStatProjections!AX:AZ,2,FALSE),"")</f>
        <v>KC</v>
      </c>
      <c r="S150" s="4" t="str">
        <f>INDEX(FFARawStatProjections!AX:AX,MATCH(WRproj!T150,FFARawStatProjections!AZ:AZ,0))</f>
        <v>Justyn Ross</v>
      </c>
      <c r="T150">
        <f>LARGE(FFARawStatProjections!AZ:AZ,K150)</f>
        <v>30.05452</v>
      </c>
      <c r="U150" s="249">
        <f t="shared" si="11"/>
        <v>-183.04553666666666</v>
      </c>
      <c r="V150" s="243">
        <f t="shared" si="10"/>
        <v>33505.668493588011</v>
      </c>
      <c r="W150" s="244"/>
      <c r="X150" s="243">
        <f t="shared" si="13"/>
        <v>-11.440346041666666</v>
      </c>
      <c r="Y150" s="238">
        <f>IFERROR(
IF(ISBLANK(Beersheet!$A$1)=FALSE,
INDEX(Beersheet!$A:$U,MATCH(S150,INDEX(Beersheet!$A:$U,0,FFARawStatProjections!$BV$2),0),FFARawStatProjections!$BV$6),
IF(X150&gt;6,0,
IF(AND(X150&lt;=6,X150&gt;5),1,
IF(AND(X150&lt;=5,X150&gt;4),2,
IF(AND(X150&lt;=4,X150&gt;3),3,
IF(AND(X150&lt;=3,X150&gt;2),4,
IF(AND(X150&lt;=2,X150&gt;1),5,
IF(AND(X150&lt;=1,X150&gt;0),6,
IF(AND(X150&lt;=0,X150&gt;-1),7,
8))))))))),
10)</f>
        <v>8</v>
      </c>
    </row>
    <row r="151" spans="1:25" ht="15" customHeight="1" x14ac:dyDescent="0.25">
      <c r="A151" s="135"/>
      <c r="B151" s="142" t="s">
        <v>582</v>
      </c>
      <c r="C151" t="str">
        <f>IF(AND(IFERROR(INDEX(Instructions!$T$111:$T$222,MATCH(D151,Instructions!$T$111:$T$222,0)), "")=D151, D151&lt;&gt;""), "X", "")</f>
        <v/>
      </c>
      <c r="D151" s="138" t="s">
        <v>2332</v>
      </c>
      <c r="E151" s="100" t="s">
        <v>161</v>
      </c>
      <c r="F151" s="431">
        <f>IFERROR(IF(AND($F$5="Projected Points",Beersheet!A146&lt;&gt;"QB"), T151, IF(H151="", INDEX(Tier!$B$28:$B$36,MATCH(G151,Tier!$A$28:$A$36,0)), INDEX(Tier!$B$28:$B$36,MATCH(G151,Tier!$A$28:$A$36,0)))), "")</f>
        <v>29.964600000000001</v>
      </c>
      <c r="G151" s="250">
        <f t="shared" si="14"/>
        <v>8</v>
      </c>
      <c r="H151" s="252"/>
      <c r="I151" s="396" t="str">
        <f>IFERROR(INDEX(ADP!S:S,MATCH(D151,ADP!D:D,0))-RBproj!K151,"")</f>
        <v/>
      </c>
      <c r="J151" s="127"/>
      <c r="K151" s="89">
        <v>145</v>
      </c>
      <c r="L151" s="2" t="s">
        <v>582</v>
      </c>
      <c r="M151" s="3">
        <f t="shared" si="12"/>
        <v>0</v>
      </c>
      <c r="N151" s="4">
        <f>IFERROR(INDEX(ADP!AC:AC,MATCH(D151,ADP!Y:Y,0)),0)</f>
        <v>0</v>
      </c>
      <c r="O151" s="4" t="s">
        <v>6</v>
      </c>
      <c r="P151" s="4"/>
      <c r="Q151" s="4"/>
      <c r="R151" s="1" t="str">
        <f>IFERROR(VLOOKUP(S151,FFARawStatProjections!AX:AZ,2,FALSE),"")</f>
        <v>CLE</v>
      </c>
      <c r="S151" s="4" t="str">
        <f>INDEX(FFARawStatProjections!AX:AX,MATCH(WRproj!T151,FFARawStatProjections!AZ:AZ,0))</f>
        <v>David Bell</v>
      </c>
      <c r="T151">
        <f>LARGE(FFARawStatProjections!AZ:AZ,K151)</f>
        <v>29.964600000000001</v>
      </c>
      <c r="U151" s="249">
        <f t="shared" si="11"/>
        <v>-183.13545666666667</v>
      </c>
      <c r="V151" s="243">
        <f t="shared" si="10"/>
        <v>33538.595488508545</v>
      </c>
      <c r="W151" s="244"/>
      <c r="X151" s="243">
        <f t="shared" si="13"/>
        <v>-11.445966041666667</v>
      </c>
      <c r="Y151" s="238">
        <f>IFERROR(
IF(ISBLANK(Beersheet!$A$1)=FALSE,
INDEX(Beersheet!$A:$U,MATCH(S151,INDEX(Beersheet!$A:$U,0,FFARawStatProjections!$BV$2),0),FFARawStatProjections!$BV$6),
IF(X151&gt;6,0,
IF(AND(X151&lt;=6,X151&gt;5),1,
IF(AND(X151&lt;=5,X151&gt;4),2,
IF(AND(X151&lt;=4,X151&gt;3),3,
IF(AND(X151&lt;=3,X151&gt;2),4,
IF(AND(X151&lt;=2,X151&gt;1),5,
IF(AND(X151&lt;=1,X151&gt;0),6,
IF(AND(X151&lt;=0,X151&gt;-1),7,
8))))))))),
10)</f>
        <v>8</v>
      </c>
    </row>
    <row r="152" spans="1:25" ht="15" customHeight="1" x14ac:dyDescent="0.25">
      <c r="A152" s="135"/>
      <c r="B152" s="143" t="s">
        <v>583</v>
      </c>
      <c r="C152" t="str">
        <f>IF(AND(IFERROR(INDEX(Instructions!$T$111:$T$222,MATCH(D152,Instructions!$T$111:$T$222,0)), "")=D152, D152&lt;&gt;""), "X", "")</f>
        <v/>
      </c>
      <c r="D152" s="137" t="s">
        <v>2430</v>
      </c>
      <c r="E152" s="99" t="s">
        <v>165</v>
      </c>
      <c r="F152" s="232">
        <f>IFERROR(IF(AND($F$5="Projected Points",Beersheet!A147&lt;&gt;"QB"), T152, IF(H152="", INDEX(Tier!$B$28:$B$36,MATCH(G152,Tier!$A$28:$A$36,0)), INDEX(Tier!$B$28:$B$36,MATCH(G152,Tier!$A$28:$A$36,0)))), "")</f>
        <v>29.324629999999999</v>
      </c>
      <c r="G152" s="283">
        <f t="shared" si="14"/>
        <v>8</v>
      </c>
      <c r="H152" s="284"/>
      <c r="I152" s="396" t="str">
        <f>IFERROR(INDEX(ADP!S:S,MATCH(D152,ADP!D:D,0))-RBproj!K152,"")</f>
        <v/>
      </c>
      <c r="J152" s="127"/>
      <c r="K152" s="89">
        <v>146</v>
      </c>
      <c r="L152" s="2" t="s">
        <v>583</v>
      </c>
      <c r="M152" s="3">
        <f t="shared" si="12"/>
        <v>0</v>
      </c>
      <c r="N152" s="4">
        <f>IFERROR(INDEX(ADP!AC:AC,MATCH(D152,ADP!Y:Y,0)),0)</f>
        <v>0</v>
      </c>
      <c r="O152" s="4" t="s">
        <v>6</v>
      </c>
      <c r="P152" s="4"/>
      <c r="Q152" s="4"/>
      <c r="R152" s="1" t="str">
        <f>IFERROR(VLOOKUP(S152,FFARawStatProjections!AX:AZ,2,FALSE),"")</f>
        <v>BUF</v>
      </c>
      <c r="S152" s="4" t="str">
        <f>INDEX(FFARawStatProjections!AX:AX,MATCH(WRproj!T152,FFARawStatProjections!AZ:AZ,0))</f>
        <v>Deonte Harty</v>
      </c>
      <c r="T152">
        <f>LARGE(FFARawStatProjections!AZ:AZ,K152)</f>
        <v>29.324629999999999</v>
      </c>
      <c r="U152" s="249">
        <f t="shared" si="11"/>
        <v>-183.77542666666665</v>
      </c>
      <c r="V152" s="243">
        <f t="shared" si="10"/>
        <v>33773.407446515368</v>
      </c>
      <c r="W152" s="244"/>
      <c r="X152" s="243">
        <f t="shared" si="13"/>
        <v>-11.485964166666665</v>
      </c>
      <c r="Y152" s="238">
        <f>IFERROR(
IF(ISBLANK(Beersheet!$A$1)=FALSE,
INDEX(Beersheet!$A:$U,MATCH(S152,INDEX(Beersheet!$A:$U,0,FFARawStatProjections!$BV$2),0),FFARawStatProjections!$BV$6),
IF(X152&gt;6,0,
IF(AND(X152&lt;=6,X152&gt;5),1,
IF(AND(X152&lt;=5,X152&gt;4),2,
IF(AND(X152&lt;=4,X152&gt;3),3,
IF(AND(X152&lt;=3,X152&gt;2),4,
IF(AND(X152&lt;=2,X152&gt;1),5,
IF(AND(X152&lt;=1,X152&gt;0),6,
IF(AND(X152&lt;=0,X152&gt;-1),7,
8))))))))),
10)</f>
        <v>8</v>
      </c>
    </row>
    <row r="153" spans="1:25" ht="15" customHeight="1" x14ac:dyDescent="0.25">
      <c r="A153" s="135"/>
      <c r="B153" s="142" t="s">
        <v>584</v>
      </c>
      <c r="C153" t="str">
        <f>IF(AND(IFERROR(INDEX(Instructions!$T$111:$T$222,MATCH(D153,Instructions!$T$111:$T$222,0)), "")=D153, D153&lt;&gt;""), "X", "")</f>
        <v/>
      </c>
      <c r="D153" s="138" t="s">
        <v>2100</v>
      </c>
      <c r="E153" s="100" t="s">
        <v>162</v>
      </c>
      <c r="F153" s="431">
        <f>IFERROR(IF(AND($F$5="Projected Points",Beersheet!A148&lt;&gt;"QB"), T153, IF(H153="", INDEX(Tier!$B$28:$B$36,MATCH(G153,Tier!$A$28:$A$36,0)), INDEX(Tier!$B$28:$B$36,MATCH(G153,Tier!$A$28:$A$36,0)))), "")</f>
        <v>28.67465</v>
      </c>
      <c r="G153" s="250">
        <f t="shared" si="14"/>
        <v>8</v>
      </c>
      <c r="H153" s="252"/>
      <c r="I153" s="396" t="str">
        <f>IFERROR(INDEX(ADP!S:S,MATCH(D153,ADP!D:D,0))-RBproj!K153,"")</f>
        <v/>
      </c>
      <c r="J153" s="127"/>
      <c r="K153" s="89">
        <v>147</v>
      </c>
      <c r="L153" s="2" t="s">
        <v>584</v>
      </c>
      <c r="M153" s="3">
        <f t="shared" si="12"/>
        <v>0</v>
      </c>
      <c r="N153" s="4">
        <f>IFERROR(INDEX(ADP!AC:AC,MATCH(D153,ADP!Y:Y,0)),0)</f>
        <v>0</v>
      </c>
      <c r="O153" s="4" t="s">
        <v>6</v>
      </c>
      <c r="P153" s="4"/>
      <c r="Q153" s="4"/>
      <c r="R153" s="1" t="str">
        <f>IFERROR(VLOOKUP(S153,FFARawStatProjections!AX:AZ,2,FALSE),"")</f>
        <v>LAC</v>
      </c>
      <c r="S153" s="4" t="str">
        <f>INDEX(FFARawStatProjections!AX:AX,MATCH(WRproj!T153,FFARawStatProjections!AZ:AZ,0))</f>
        <v>Jalen Guyton</v>
      </c>
      <c r="T153">
        <f>LARGE(FFARawStatProjections!AZ:AZ,K153)</f>
        <v>28.67465</v>
      </c>
      <c r="U153" s="249">
        <f t="shared" si="11"/>
        <v>-184.42540666666667</v>
      </c>
      <c r="V153" s="243">
        <f t="shared" si="10"/>
        <v>34012.730624165379</v>
      </c>
      <c r="W153" s="244"/>
      <c r="X153" s="243">
        <f t="shared" si="13"/>
        <v>-11.526587916666667</v>
      </c>
      <c r="Y153" s="238">
        <f>IFERROR(
IF(ISBLANK(Beersheet!$A$1)=FALSE,
INDEX(Beersheet!$A:$U,MATCH(S153,INDEX(Beersheet!$A:$U,0,FFARawStatProjections!$BV$2),0),FFARawStatProjections!$BV$6),
IF(X153&gt;6,0,
IF(AND(X153&lt;=6,X153&gt;5),1,
IF(AND(X153&lt;=5,X153&gt;4),2,
IF(AND(X153&lt;=4,X153&gt;3),3,
IF(AND(X153&lt;=3,X153&gt;2),4,
IF(AND(X153&lt;=2,X153&gt;1),5,
IF(AND(X153&lt;=1,X153&gt;0),6,
IF(AND(X153&lt;=0,X153&gt;-1),7,
8))))))))),
10)</f>
        <v>8</v>
      </c>
    </row>
    <row r="154" spans="1:25" ht="15" customHeight="1" x14ac:dyDescent="0.25">
      <c r="A154" s="135"/>
      <c r="B154" s="143" t="s">
        <v>585</v>
      </c>
      <c r="C154" t="str">
        <f>IF(AND(IFERROR(INDEX(Instructions!$T$111:$T$222,MATCH(D154,Instructions!$T$111:$T$222,0)), "")=D154, D154&lt;&gt;""), "X", "")</f>
        <v/>
      </c>
      <c r="D154" s="137" t="s">
        <v>2497</v>
      </c>
      <c r="E154" s="99" t="s">
        <v>156</v>
      </c>
      <c r="F154" s="232">
        <f>IFERROR(IF(AND($F$5="Projected Points",Beersheet!A149&lt;&gt;"QB"), T154, IF(H154="", INDEX(Tier!$B$28:$B$36,MATCH(G154,Tier!$A$28:$A$36,0)), INDEX(Tier!$B$28:$B$36,MATCH(G154,Tier!$A$28:$A$36,0)))), "")</f>
        <v>28.334620000000005</v>
      </c>
      <c r="G154" s="283">
        <f t="shared" si="14"/>
        <v>8</v>
      </c>
      <c r="H154" s="284"/>
      <c r="I154" s="396" t="str">
        <f>IFERROR(INDEX(ADP!S:S,MATCH(D154,ADP!D:D,0))-RBproj!K154,"")</f>
        <v/>
      </c>
      <c r="J154" s="127"/>
      <c r="K154" s="89">
        <v>148</v>
      </c>
      <c r="L154" s="2" t="s">
        <v>585</v>
      </c>
      <c r="M154" s="3">
        <f t="shared" si="12"/>
        <v>0</v>
      </c>
      <c r="N154" s="4">
        <f>IFERROR(INDEX(ADP!AC:AC,MATCH(D154,ADP!Y:Y,0)),0)</f>
        <v>0</v>
      </c>
      <c r="O154" s="4" t="s">
        <v>6</v>
      </c>
      <c r="P154" s="4"/>
      <c r="Q154" s="4"/>
      <c r="R154" s="1" t="str">
        <f>IFERROR(VLOOKUP(S154,FFARawStatProjections!AX:AZ,2,FALSE),"")</f>
        <v>NE</v>
      </c>
      <c r="S154" s="4" t="str">
        <f>INDEX(FFARawStatProjections!AX:AX,MATCH(WRproj!T154,FFARawStatProjections!AZ:AZ,0))</f>
        <v>Tre Nixon</v>
      </c>
      <c r="T154">
        <f>LARGE(FFARawStatProjections!AZ:AZ,K154)</f>
        <v>28.334620000000005</v>
      </c>
      <c r="U154" s="249">
        <f t="shared" si="11"/>
        <v>-184.76543666666666</v>
      </c>
      <c r="V154" s="243">
        <f t="shared" si="10"/>
        <v>34138.266586624006</v>
      </c>
      <c r="W154" s="244"/>
      <c r="X154" s="243">
        <f t="shared" si="13"/>
        <v>-11.547839791666666</v>
      </c>
      <c r="Y154" s="238">
        <f>IFERROR(
IF(ISBLANK(Beersheet!$A$1)=FALSE,
INDEX(Beersheet!$A:$U,MATCH(S154,INDEX(Beersheet!$A:$U,0,FFARawStatProjections!$BV$2),0),FFARawStatProjections!$BV$6),
IF(X154&gt;6,0,
IF(AND(X154&lt;=6,X154&gt;5),1,
IF(AND(X154&lt;=5,X154&gt;4),2,
IF(AND(X154&lt;=4,X154&gt;3),3,
IF(AND(X154&lt;=3,X154&gt;2),4,
IF(AND(X154&lt;=2,X154&gt;1),5,
IF(AND(X154&lt;=1,X154&gt;0),6,
IF(AND(X154&lt;=0,X154&gt;-1),7,
8))))))))),
10)</f>
        <v>8</v>
      </c>
    </row>
    <row r="155" spans="1:25" ht="15" customHeight="1" x14ac:dyDescent="0.25">
      <c r="A155" s="135"/>
      <c r="B155" s="142" t="s">
        <v>586</v>
      </c>
      <c r="C155" t="str">
        <f>IF(AND(IFERROR(INDEX(Instructions!$T$111:$T$222,MATCH(D155,Instructions!$T$111:$T$222,0)), "")=D155, D155&lt;&gt;""), "X", "")</f>
        <v/>
      </c>
      <c r="D155" s="138" t="s">
        <v>2351</v>
      </c>
      <c r="E155" s="100" t="s">
        <v>157</v>
      </c>
      <c r="F155" s="431">
        <f>IFERROR(IF(AND($F$5="Projected Points",Beersheet!A150&lt;&gt;"QB"), T155, IF(H155="", INDEX(Tier!$B$28:$B$36,MATCH(G155,Tier!$A$28:$A$36,0)), INDEX(Tier!$B$28:$B$36,MATCH(G155,Tier!$A$28:$A$36,0)))), "")</f>
        <v>28.024690000000003</v>
      </c>
      <c r="G155" s="250">
        <f t="shared" si="14"/>
        <v>8</v>
      </c>
      <c r="H155" s="252"/>
      <c r="I155" s="396" t="str">
        <f>IFERROR(INDEX(ADP!S:S,MATCH(D155,ADP!D:D,0))-RBproj!K155,"")</f>
        <v/>
      </c>
      <c r="J155" s="127"/>
      <c r="K155" s="89">
        <v>149</v>
      </c>
      <c r="L155" s="2" t="s">
        <v>586</v>
      </c>
      <c r="M155" s="3">
        <f t="shared" si="12"/>
        <v>0</v>
      </c>
      <c r="N155" s="4">
        <f>IFERROR(INDEX(ADP!AC:AC,MATCH(D155,ADP!Y:Y,0)),0)</f>
        <v>0</v>
      </c>
      <c r="O155" s="4" t="s">
        <v>6</v>
      </c>
      <c r="P155" s="4"/>
      <c r="Q155" s="4"/>
      <c r="R155" s="1" t="str">
        <f>IFERROR(VLOOKUP(S155,FFARawStatProjections!AX:AZ,2,FALSE),"")</f>
        <v>MIN</v>
      </c>
      <c r="S155" s="4" t="str">
        <f>INDEX(FFARawStatProjections!AX:AX,MATCH(WRproj!T155,FFARawStatProjections!AZ:AZ,0))</f>
        <v>Brandon Powell</v>
      </c>
      <c r="T155">
        <f>LARGE(FFARawStatProjections!AZ:AZ,K155)</f>
        <v>28.024690000000003</v>
      </c>
      <c r="U155" s="249">
        <f t="shared" si="11"/>
        <v>-185.07536666666667</v>
      </c>
      <c r="V155" s="243">
        <f t="shared" si="10"/>
        <v>34252.891346801109</v>
      </c>
      <c r="W155" s="244"/>
      <c r="X155" s="243">
        <f t="shared" si="13"/>
        <v>-11.567210416666667</v>
      </c>
      <c r="Y155" s="238">
        <f>IFERROR(
IF(ISBLANK(Beersheet!$A$1)=FALSE,
INDEX(Beersheet!$A:$U,MATCH(S155,INDEX(Beersheet!$A:$U,0,FFARawStatProjections!$BV$2),0),FFARawStatProjections!$BV$6),
IF(X155&gt;6,0,
IF(AND(X155&lt;=6,X155&gt;5),1,
IF(AND(X155&lt;=5,X155&gt;4),2,
IF(AND(X155&lt;=4,X155&gt;3),3,
IF(AND(X155&lt;=3,X155&gt;2),4,
IF(AND(X155&lt;=2,X155&gt;1),5,
IF(AND(X155&lt;=1,X155&gt;0),6,
IF(AND(X155&lt;=0,X155&gt;-1),7,
8))))))))),
10)</f>
        <v>8</v>
      </c>
    </row>
    <row r="156" spans="1:25" ht="15" customHeight="1" x14ac:dyDescent="0.25">
      <c r="A156" s="135"/>
      <c r="B156" s="143" t="s">
        <v>587</v>
      </c>
      <c r="C156" t="str">
        <f>IF(AND(IFERROR(INDEX(Instructions!$T$111:$T$222,MATCH(D156,Instructions!$T$111:$T$222,0)), "")=D156, D156&lt;&gt;""), "X", "")</f>
        <v/>
      </c>
      <c r="D156" s="137" t="s">
        <v>2143</v>
      </c>
      <c r="E156" s="99" t="s">
        <v>1388</v>
      </c>
      <c r="F156" s="232">
        <f>IFERROR(IF(AND($F$5="Projected Points",Beersheet!A151&lt;&gt;"QB"), T156, IF(H156="", INDEX(Tier!$B$28:$B$36,MATCH(G156,Tier!$A$28:$A$36,0)), INDEX(Tier!$B$28:$B$36,MATCH(G156,Tier!$A$28:$A$36,0)))), "")</f>
        <v>27.69454</v>
      </c>
      <c r="G156" s="283">
        <f t="shared" si="14"/>
        <v>8</v>
      </c>
      <c r="H156" s="284"/>
      <c r="I156" s="396" t="str">
        <f>IFERROR(INDEX(ADP!S:S,MATCH(D156,ADP!D:D,0))-RBproj!K156,"")</f>
        <v/>
      </c>
      <c r="J156" s="127"/>
      <c r="K156" s="89">
        <v>150</v>
      </c>
      <c r="L156" s="2" t="s">
        <v>587</v>
      </c>
      <c r="M156" s="3">
        <f t="shared" si="12"/>
        <v>0</v>
      </c>
      <c r="N156" s="4">
        <f>IFERROR(INDEX(ADP!AC:AC,MATCH(D156,ADP!Y:Y,0)),0)</f>
        <v>0</v>
      </c>
      <c r="O156" s="4" t="s">
        <v>6</v>
      </c>
      <c r="P156" s="4"/>
      <c r="Q156" s="4"/>
      <c r="R156" s="1" t="str">
        <f>IFERROR(VLOOKUP(S156,FFARawStatProjections!AX:AZ,2,FALSE),"")</f>
        <v>BAL</v>
      </c>
      <c r="S156" s="4" t="str">
        <f>INDEX(FFARawStatProjections!AX:AX,MATCH(WRproj!T156,FFARawStatProjections!AZ:AZ,0))</f>
        <v>Devin Duvernay</v>
      </c>
      <c r="T156">
        <f>LARGE(FFARawStatProjections!AZ:AZ,K156)</f>
        <v>27.69454</v>
      </c>
      <c r="U156" s="249">
        <f t="shared" si="11"/>
        <v>-185.40551666666667</v>
      </c>
      <c r="V156" s="243">
        <f t="shared" si="10"/>
        <v>34375.205610433615</v>
      </c>
      <c r="W156" s="244"/>
      <c r="X156" s="243">
        <f t="shared" si="13"/>
        <v>-11.587844791666667</v>
      </c>
      <c r="Y156" s="238">
        <f>IFERROR(
IF(ISBLANK(Beersheet!$A$1)=FALSE,
INDEX(Beersheet!$A:$U,MATCH(S156,INDEX(Beersheet!$A:$U,0,FFARawStatProjections!$BV$2),0),FFARawStatProjections!$BV$6),
IF(X156&gt;6,0,
IF(AND(X156&lt;=6,X156&gt;5),1,
IF(AND(X156&lt;=5,X156&gt;4),2,
IF(AND(X156&lt;=4,X156&gt;3),3,
IF(AND(X156&lt;=3,X156&gt;2),4,
IF(AND(X156&lt;=2,X156&gt;1),5,
IF(AND(X156&lt;=1,X156&gt;0),6,
IF(AND(X156&lt;=0,X156&gt;-1),7,
8))))))))),
10)</f>
        <v>8</v>
      </c>
    </row>
    <row r="157" spans="1:25" ht="15" customHeight="1" x14ac:dyDescent="0.25">
      <c r="A157" s="135"/>
      <c r="B157" s="142" t="s">
        <v>588</v>
      </c>
      <c r="C157" t="str">
        <f>IF(AND(IFERROR(INDEX(Instructions!$T$111:$T$222,MATCH(D157,Instructions!$T$111:$T$222,0)), "")=D157, D157&lt;&gt;""), "X", "")</f>
        <v/>
      </c>
      <c r="D157" s="138" t="s">
        <v>2523</v>
      </c>
      <c r="E157" s="100" t="s">
        <v>137</v>
      </c>
      <c r="F157" s="431">
        <f>IFERROR(IF(AND($F$5="Projected Points",Beersheet!A152&lt;&gt;"QB"), T157, IF(H157="", INDEX(Tier!$B$28:$B$36,MATCH(G157,Tier!$A$28:$A$36,0)), INDEX(Tier!$B$28:$B$36,MATCH(G157,Tier!$A$28:$A$36,0)))), "")</f>
        <v>27.514640000000004</v>
      </c>
      <c r="G157" s="250">
        <f t="shared" si="14"/>
        <v>8</v>
      </c>
      <c r="H157" s="252"/>
      <c r="I157" s="396" t="str">
        <f>IFERROR(INDEX(ADP!S:S,MATCH(D157,ADP!D:D,0))-RBproj!K157,"")</f>
        <v/>
      </c>
      <c r="J157" s="127"/>
      <c r="K157" s="89">
        <v>151</v>
      </c>
      <c r="L157" s="2" t="s">
        <v>588</v>
      </c>
      <c r="M157" s="3">
        <f t="shared" si="12"/>
        <v>0</v>
      </c>
      <c r="N157" s="4">
        <f>IFERROR(INDEX(ADP!AC:AC,MATCH(D157,ADP!Y:Y,0)),0)</f>
        <v>0</v>
      </c>
      <c r="O157" s="4" t="s">
        <v>6</v>
      </c>
      <c r="P157" s="4"/>
      <c r="Q157" s="4"/>
      <c r="R157" s="1" t="str">
        <f>IFERROR(VLOOKUP(S157,FFARawStatProjections!AX:AZ,2,FALSE),"")</f>
        <v>PHI</v>
      </c>
      <c r="S157" s="4" t="str">
        <f>INDEX(FFARawStatProjections!AX:AX,MATCH(WRproj!T157,FFARawStatProjections!AZ:AZ,0))</f>
        <v>Britain Covey</v>
      </c>
      <c r="T157">
        <f>LARGE(FFARawStatProjections!AZ:AZ,K157)</f>
        <v>27.514640000000004</v>
      </c>
      <c r="U157" s="249">
        <f t="shared" si="11"/>
        <v>-185.58541666666665</v>
      </c>
      <c r="V157" s="243">
        <f t="shared" si="10"/>
        <v>34441.94687934027</v>
      </c>
      <c r="W157" s="244"/>
      <c r="X157" s="243">
        <f t="shared" si="13"/>
        <v>-11.599088541666665</v>
      </c>
      <c r="Y157" s="238">
        <f>IFERROR(
IF(ISBLANK(Beersheet!$A$1)=FALSE,
INDEX(Beersheet!$A:$U,MATCH(S157,INDEX(Beersheet!$A:$U,0,FFARawStatProjections!$BV$2),0),FFARawStatProjections!$BV$6),
IF(X157&gt;6,0,
IF(AND(X157&lt;=6,X157&gt;5),1,
IF(AND(X157&lt;=5,X157&gt;4),2,
IF(AND(X157&lt;=4,X157&gt;3),3,
IF(AND(X157&lt;=3,X157&gt;2),4,
IF(AND(X157&lt;=2,X157&gt;1),5,
IF(AND(X157&lt;=1,X157&gt;0),6,
IF(AND(X157&lt;=0,X157&gt;-1),7,
8))))))))),
10)</f>
        <v>8</v>
      </c>
    </row>
    <row r="158" spans="1:25" ht="15" customHeight="1" x14ac:dyDescent="0.25">
      <c r="A158" s="135"/>
      <c r="B158" s="143" t="s">
        <v>589</v>
      </c>
      <c r="C158" t="str">
        <f>IF(AND(IFERROR(INDEX(Instructions!$T$111:$T$222,MATCH(D158,Instructions!$T$111:$T$222,0)), "")=D158, D158&lt;&gt;""), "X", "")</f>
        <v/>
      </c>
      <c r="D158" s="137" t="s">
        <v>2392</v>
      </c>
      <c r="E158" s="99" t="s">
        <v>151</v>
      </c>
      <c r="F158" s="232">
        <f>IFERROR(IF(AND($F$5="Projected Points",Beersheet!A153&lt;&gt;"QB"), T158, IF(H158="", INDEX(Tier!$B$28:$B$36,MATCH(G158,Tier!$A$28:$A$36,0)), INDEX(Tier!$B$28:$B$36,MATCH(G158,Tier!$A$28:$A$36,0)))), "")</f>
        <v>25.664430000000003</v>
      </c>
      <c r="G158" s="283">
        <f t="shared" si="14"/>
        <v>8</v>
      </c>
      <c r="H158" s="284"/>
      <c r="I158" s="396" t="str">
        <f>IFERROR(INDEX(ADP!S:S,MATCH(D158,ADP!D:D,0))-RBproj!K158,"")</f>
        <v/>
      </c>
      <c r="J158" s="127"/>
      <c r="K158" s="89">
        <v>152</v>
      </c>
      <c r="L158" s="2" t="s">
        <v>589</v>
      </c>
      <c r="M158" s="3">
        <f t="shared" si="12"/>
        <v>0</v>
      </c>
      <c r="N158" s="4">
        <f>IFERROR(INDEX(ADP!AC:AC,MATCH(D158,ADP!Y:Y,0)),0)</f>
        <v>0</v>
      </c>
      <c r="O158" s="4" t="s">
        <v>6</v>
      </c>
      <c r="P158" s="4"/>
      <c r="Q158" s="4"/>
      <c r="R158" s="1" t="str">
        <f>IFERROR(VLOOKUP(S158,FFARawStatProjections!AX:AZ,2,FALSE),"")</f>
        <v>NO</v>
      </c>
      <c r="S158" s="4" t="str">
        <f>INDEX(FFARawStatProjections!AX:AX,MATCH(WRproj!T158,FFARawStatProjections!AZ:AZ,0))</f>
        <v>AT Perry</v>
      </c>
      <c r="T158">
        <f>LARGE(FFARawStatProjections!AZ:AZ,K158)</f>
        <v>25.664430000000003</v>
      </c>
      <c r="U158" s="249">
        <f t="shared" si="11"/>
        <v>-187.43562666666665</v>
      </c>
      <c r="V158" s="243">
        <f t="shared" si="10"/>
        <v>35132.114143926039</v>
      </c>
      <c r="W158" s="244"/>
      <c r="X158" s="243">
        <f t="shared" si="13"/>
        <v>-11.714726666666666</v>
      </c>
      <c r="Y158" s="238">
        <f>IFERROR(
IF(ISBLANK(Beersheet!$A$1)=FALSE,
INDEX(Beersheet!$A:$U,MATCH(S158,INDEX(Beersheet!$A:$U,0,FFARawStatProjections!$BV$2),0),FFARawStatProjections!$BV$6),
IF(X158&gt;6,0,
IF(AND(X158&lt;=6,X158&gt;5),1,
IF(AND(X158&lt;=5,X158&gt;4),2,
IF(AND(X158&lt;=4,X158&gt;3),3,
IF(AND(X158&lt;=3,X158&gt;2),4,
IF(AND(X158&lt;=2,X158&gt;1),5,
IF(AND(X158&lt;=1,X158&gt;0),6,
IF(AND(X158&lt;=0,X158&gt;-1),7,
8))))))))),
10)</f>
        <v>8</v>
      </c>
    </row>
    <row r="159" spans="1:25" ht="15" customHeight="1" x14ac:dyDescent="0.25">
      <c r="A159" s="135"/>
      <c r="B159" s="142" t="s">
        <v>590</v>
      </c>
      <c r="C159" t="str">
        <f>IF(AND(IFERROR(INDEX(Instructions!$T$111:$T$222,MATCH(D159,Instructions!$T$111:$T$222,0)), "")=D159, D159&lt;&gt;""), "X", "")</f>
        <v/>
      </c>
      <c r="D159" s="138" t="s">
        <v>1893</v>
      </c>
      <c r="E159" s="100" t="s">
        <v>138</v>
      </c>
      <c r="F159" s="431">
        <f>IFERROR(IF(AND($F$5="Projected Points",Beersheet!A154&lt;&gt;"QB"), T159, IF(H159="", INDEX(Tier!$B$28:$B$36,MATCH(G159,Tier!$A$28:$A$36,0)), INDEX(Tier!$B$28:$B$36,MATCH(G159,Tier!$A$28:$A$36,0)))), "")</f>
        <v>25.64472</v>
      </c>
      <c r="G159" s="250">
        <f t="shared" si="14"/>
        <v>8</v>
      </c>
      <c r="H159" s="252"/>
      <c r="I159" s="396" t="str">
        <f>IFERROR(INDEX(ADP!S:S,MATCH(D159,ADP!D:D,0))-RBproj!K159,"")</f>
        <v/>
      </c>
      <c r="J159" s="127"/>
      <c r="K159" s="89">
        <v>153</v>
      </c>
      <c r="L159" s="2" t="s">
        <v>590</v>
      </c>
      <c r="M159" s="3">
        <f t="shared" si="12"/>
        <v>0</v>
      </c>
      <c r="N159" s="4">
        <f>IFERROR(INDEX(ADP!AC:AC,MATCH(D159,ADP!Y:Y,0)),0)</f>
        <v>0</v>
      </c>
      <c r="O159" s="4" t="s">
        <v>6</v>
      </c>
      <c r="P159" s="4"/>
      <c r="Q159" s="4"/>
      <c r="R159" s="1" t="str">
        <f>IFERROR(VLOOKUP(S159,FFARawStatProjections!AX:AZ,2,FALSE),"")</f>
        <v>NYG</v>
      </c>
      <c r="S159" s="4" t="str">
        <f>INDEX(FFARawStatProjections!AX:AX,MATCH(WRproj!T159,FFARawStatProjections!AZ:AZ,0))</f>
        <v>Cole Beasley</v>
      </c>
      <c r="T159">
        <f>LARGE(FFARawStatProjections!AZ:AZ,K159)</f>
        <v>25.64472</v>
      </c>
      <c r="U159" s="249">
        <f t="shared" si="11"/>
        <v>-187.45533666666665</v>
      </c>
      <c r="V159" s="243">
        <f t="shared" si="10"/>
        <v>35139.503244813342</v>
      </c>
      <c r="W159" s="244"/>
      <c r="X159" s="243">
        <f t="shared" si="13"/>
        <v>-11.715958541666666</v>
      </c>
      <c r="Y159" s="238">
        <f>IFERROR(
IF(ISBLANK(Beersheet!$A$1)=FALSE,
INDEX(Beersheet!$A:$U,MATCH(S159,INDEX(Beersheet!$A:$U,0,FFARawStatProjections!$BV$2),0),FFARawStatProjections!$BV$6),
IF(X159&gt;6,0,
IF(AND(X159&lt;=6,X159&gt;5),1,
IF(AND(X159&lt;=5,X159&gt;4),2,
IF(AND(X159&lt;=4,X159&gt;3),3,
IF(AND(X159&lt;=3,X159&gt;2),4,
IF(AND(X159&lt;=2,X159&gt;1),5,
IF(AND(X159&lt;=1,X159&gt;0),6,
IF(AND(X159&lt;=0,X159&gt;-1),7,
8))))))))),
10)</f>
        <v>8</v>
      </c>
    </row>
    <row r="160" spans="1:25" ht="15" customHeight="1" x14ac:dyDescent="0.25">
      <c r="A160" s="135"/>
      <c r="B160" s="143" t="s">
        <v>591</v>
      </c>
      <c r="C160" t="str">
        <f>IF(AND(IFERROR(INDEX(Instructions!$T$111:$T$222,MATCH(D160,Instructions!$T$111:$T$222,0)), "")=D160, D160&lt;&gt;""), "X", "")</f>
        <v/>
      </c>
      <c r="D160" s="137" t="s">
        <v>2395</v>
      </c>
      <c r="E160" s="99" t="s">
        <v>141</v>
      </c>
      <c r="F160" s="232">
        <f>IFERROR(IF(AND($F$5="Projected Points",Beersheet!A155&lt;&gt;"QB"), T160, IF(H160="", INDEX(Tier!$B$28:$B$36,MATCH(G160,Tier!$A$28:$A$36,0)), INDEX(Tier!$B$28:$B$36,MATCH(G160,Tier!$A$28:$A$36,0)))), "")</f>
        <v>24.954750000000004</v>
      </c>
      <c r="G160" s="283">
        <f t="shared" si="14"/>
        <v>8</v>
      </c>
      <c r="H160" s="284"/>
      <c r="I160" s="396" t="str">
        <f>IFERROR(INDEX(ADP!S:S,MATCH(D160,ADP!D:D,0))-RBproj!K160,"")</f>
        <v/>
      </c>
      <c r="J160" s="127"/>
      <c r="K160" s="89">
        <v>154</v>
      </c>
      <c r="L160" s="2" t="s">
        <v>591</v>
      </c>
      <c r="M160" s="3">
        <f t="shared" si="12"/>
        <v>0</v>
      </c>
      <c r="N160" s="4">
        <f>IFERROR(INDEX(ADP!AC:AC,MATCH(D160,ADP!Y:Y,0)),0)</f>
        <v>0</v>
      </c>
      <c r="O160" s="4" t="s">
        <v>6</v>
      </c>
      <c r="P160" s="4"/>
      <c r="Q160" s="4"/>
      <c r="R160" s="1" t="str">
        <f>IFERROR(VLOOKUP(S160,FFARawStatProjections!AX:AZ,2,FALSE),"")</f>
        <v>MIN</v>
      </c>
      <c r="S160" s="4" t="str">
        <f>INDEX(FFARawStatProjections!AX:AX,MATCH(WRproj!T160,FFARawStatProjections!AZ:AZ,0))</f>
        <v>Jalen Nailor</v>
      </c>
      <c r="T160">
        <f>LARGE(FFARawStatProjections!AZ:AZ,K160)</f>
        <v>24.954750000000004</v>
      </c>
      <c r="U160" s="249">
        <f t="shared" si="11"/>
        <v>-188.14530666666667</v>
      </c>
      <c r="V160" s="243">
        <f t="shared" si="10"/>
        <v>35398.656420694046</v>
      </c>
      <c r="W160" s="244"/>
      <c r="X160" s="243">
        <f t="shared" si="13"/>
        <v>-11.759081666666667</v>
      </c>
      <c r="Y160" s="238">
        <f>IFERROR(
IF(ISBLANK(Beersheet!$A$1)=FALSE,
INDEX(Beersheet!$A:$U,MATCH(S160,INDEX(Beersheet!$A:$U,0,FFARawStatProjections!$BV$2),0),FFARawStatProjections!$BV$6),
IF(X160&gt;6,0,
IF(AND(X160&lt;=6,X160&gt;5),1,
IF(AND(X160&lt;=5,X160&gt;4),2,
IF(AND(X160&lt;=4,X160&gt;3),3,
IF(AND(X160&lt;=3,X160&gt;2),4,
IF(AND(X160&lt;=2,X160&gt;1),5,
IF(AND(X160&lt;=1,X160&gt;0),6,
IF(AND(X160&lt;=0,X160&gt;-1),7,
8))))))))),
10)</f>
        <v>8</v>
      </c>
    </row>
    <row r="161" spans="1:25" ht="15" customHeight="1" x14ac:dyDescent="0.25">
      <c r="A161" s="135"/>
      <c r="B161" s="142" t="s">
        <v>592</v>
      </c>
      <c r="C161" t="str">
        <f>IF(AND(IFERROR(INDEX(Instructions!$T$111:$T$222,MATCH(D161,Instructions!$T$111:$T$222,0)), "")=D161, D161&lt;&gt;""), "X", "")</f>
        <v/>
      </c>
      <c r="D161" s="138" t="s">
        <v>2104</v>
      </c>
      <c r="E161" s="100" t="s">
        <v>143</v>
      </c>
      <c r="F161" s="431">
        <f>IFERROR(IF(AND($F$5="Projected Points",Beersheet!A156&lt;&gt;"QB"), T161, IF(H161="", INDEX(Tier!$B$28:$B$36,MATCH(G161,Tier!$A$28:$A$36,0)), INDEX(Tier!$B$28:$B$36,MATCH(G161,Tier!$A$28:$A$36,0)))), "")</f>
        <v>24.704670000000004</v>
      </c>
      <c r="G161" s="250">
        <f t="shared" si="14"/>
        <v>8</v>
      </c>
      <c r="H161" s="252"/>
      <c r="I161" s="396" t="str">
        <f>IFERROR(INDEX(ADP!S:S,MATCH(D161,ADP!D:D,0))-RBproj!K161,"")</f>
        <v/>
      </c>
      <c r="J161" s="127"/>
      <c r="K161" s="89">
        <v>155</v>
      </c>
      <c r="L161" s="2" t="s">
        <v>592</v>
      </c>
      <c r="M161" s="3">
        <f t="shared" si="12"/>
        <v>0</v>
      </c>
      <c r="N161" s="4">
        <f>IFERROR(INDEX(ADP!AC:AC,MATCH(D161,ADP!Y:Y,0)),0)</f>
        <v>0</v>
      </c>
      <c r="O161" s="4" t="s">
        <v>6</v>
      </c>
      <c r="P161" s="4"/>
      <c r="Q161" s="4"/>
      <c r="R161" s="1" t="str">
        <f>IFERROR(VLOOKUP(S161,FFARawStatProjections!AX:AZ,2,FALSE),"")</f>
        <v>NO</v>
      </c>
      <c r="S161" s="4" t="str">
        <f>INDEX(FFARawStatProjections!AX:AX,MATCH(WRproj!T161,FFARawStatProjections!AZ:AZ,0))</f>
        <v>Bryan Edwards</v>
      </c>
      <c r="T161">
        <f>LARGE(FFARawStatProjections!AZ:AZ,K161)</f>
        <v>24.704670000000004</v>
      </c>
      <c r="U161" s="249">
        <f t="shared" si="11"/>
        <v>-188.39538666666667</v>
      </c>
      <c r="V161" s="243">
        <f t="shared" si="10"/>
        <v>35492.821717282844</v>
      </c>
      <c r="W161" s="244"/>
      <c r="X161" s="243">
        <f t="shared" si="13"/>
        <v>-11.774711666666667</v>
      </c>
      <c r="Y161" s="238">
        <f>IFERROR(
IF(ISBLANK(Beersheet!$A$1)=FALSE,
INDEX(Beersheet!$A:$U,MATCH(S161,INDEX(Beersheet!$A:$U,0,FFARawStatProjections!$BV$2),0),FFARawStatProjections!$BV$6),
IF(X161&gt;6,0,
IF(AND(X161&lt;=6,X161&gt;5),1,
IF(AND(X161&lt;=5,X161&gt;4),2,
IF(AND(X161&lt;=4,X161&gt;3),3,
IF(AND(X161&lt;=3,X161&gt;2),4,
IF(AND(X161&lt;=2,X161&gt;1),5,
IF(AND(X161&lt;=1,X161&gt;0),6,
IF(AND(X161&lt;=0,X161&gt;-1),7,
8))))))))),
10)</f>
        <v>8</v>
      </c>
    </row>
    <row r="162" spans="1:25" ht="15" customHeight="1" x14ac:dyDescent="0.25">
      <c r="A162" s="135"/>
      <c r="B162" s="143" t="s">
        <v>593</v>
      </c>
      <c r="C162" t="str">
        <f>IF(AND(IFERROR(INDEX(Instructions!$T$111:$T$222,MATCH(D162,Instructions!$T$111:$T$222,0)), "")=D162, D162&lt;&gt;""), "X", "")</f>
        <v/>
      </c>
      <c r="D162" s="137" t="s">
        <v>197</v>
      </c>
      <c r="E162" s="99" t="s">
        <v>154</v>
      </c>
      <c r="F162" s="232">
        <f>IFERROR(IF(AND($F$5="Projected Points",Beersheet!A157&lt;&gt;"QB"), T162, IF(H162="", INDEX(Tier!$B$28:$B$36,MATCH(G162,Tier!$A$28:$A$36,0)), INDEX(Tier!$B$28:$B$36,MATCH(G162,Tier!$A$28:$A$36,0)))), "")</f>
        <v>24.034679999999998</v>
      </c>
      <c r="G162" s="283">
        <f t="shared" si="14"/>
        <v>8</v>
      </c>
      <c r="H162" s="284"/>
      <c r="I162" s="396" t="str">
        <f>IFERROR(INDEX(ADP!S:S,MATCH(D162,ADP!D:D,0))-RBproj!K162,"")</f>
        <v/>
      </c>
      <c r="J162" s="127"/>
      <c r="K162" s="89">
        <v>156</v>
      </c>
      <c r="L162" s="2" t="s">
        <v>593</v>
      </c>
      <c r="M162" s="3">
        <f t="shared" si="12"/>
        <v>0</v>
      </c>
      <c r="N162" s="4">
        <f>IFERROR(INDEX(ADP!AC:AC,MATCH(D162,ADP!Y:Y,0)),0)</f>
        <v>0</v>
      </c>
      <c r="O162" s="4" t="s">
        <v>6</v>
      </c>
      <c r="P162" s="4"/>
      <c r="Q162" s="4"/>
      <c r="R162" s="1" t="str">
        <f>IFERROR(VLOOKUP(S162,FFARawStatProjections!AX:AZ,2,FALSE),"")</f>
        <v>HOU</v>
      </c>
      <c r="S162" s="4" t="str">
        <f>INDEX(FFARawStatProjections!AX:AX,MATCH(WRproj!T162,FFARawStatProjections!AZ:AZ,0))</f>
        <v>Steven Sims</v>
      </c>
      <c r="T162">
        <f>LARGE(FFARawStatProjections!AZ:AZ,K162)</f>
        <v>24.034679999999998</v>
      </c>
      <c r="U162" s="249">
        <f t="shared" si="11"/>
        <v>-189.06537666666665</v>
      </c>
      <c r="V162" s="243">
        <f t="shared" si="10"/>
        <v>35745.716654108539</v>
      </c>
      <c r="W162" s="244"/>
      <c r="X162" s="243">
        <f t="shared" si="13"/>
        <v>-11.816586041666666</v>
      </c>
      <c r="Y162" s="238">
        <f>IFERROR(
IF(ISBLANK(Beersheet!$A$1)=FALSE,
INDEX(Beersheet!$A:$U,MATCH(S162,INDEX(Beersheet!$A:$U,0,FFARawStatProjections!$BV$2),0),FFARawStatProjections!$BV$6),
IF(X162&gt;6,0,
IF(AND(X162&lt;=6,X162&gt;5),1,
IF(AND(X162&lt;=5,X162&gt;4),2,
IF(AND(X162&lt;=4,X162&gt;3),3,
IF(AND(X162&lt;=3,X162&gt;2),4,
IF(AND(X162&lt;=2,X162&gt;1),5,
IF(AND(X162&lt;=1,X162&gt;0),6,
IF(AND(X162&lt;=0,X162&gt;-1),7,
8))))))))),
10)</f>
        <v>8</v>
      </c>
    </row>
    <row r="163" spans="1:25" ht="15" customHeight="1" x14ac:dyDescent="0.25">
      <c r="A163" s="135"/>
      <c r="B163" s="142" t="s">
        <v>594</v>
      </c>
      <c r="C163" t="str">
        <f>IF(AND(IFERROR(INDEX(Instructions!$T$111:$T$222,MATCH(D163,Instructions!$T$111:$T$222,0)), "")=D163, D163&lt;&gt;""), "X", "")</f>
        <v/>
      </c>
      <c r="D163" s="138" t="s">
        <v>2097</v>
      </c>
      <c r="E163" s="100" t="s">
        <v>151</v>
      </c>
      <c r="F163" s="431">
        <f>IFERROR(IF(AND($F$5="Projected Points",Beersheet!A158&lt;&gt;"QB"), T163, IF(H163="", INDEX(Tier!$B$28:$B$36,MATCH(G163,Tier!$A$28:$A$36,0)), INDEX(Tier!$B$28:$B$36,MATCH(G163,Tier!$A$28:$A$36,0)))), "")</f>
        <v>23.164490000000001</v>
      </c>
      <c r="G163" s="250">
        <f t="shared" si="14"/>
        <v>8</v>
      </c>
      <c r="H163" s="252"/>
      <c r="I163" s="396" t="str">
        <f>IFERROR(INDEX(ADP!S:S,MATCH(D163,ADP!D:D,0))-RBproj!K163,"")</f>
        <v/>
      </c>
      <c r="J163" s="127"/>
      <c r="K163" s="89">
        <v>157</v>
      </c>
      <c r="L163" s="2" t="s">
        <v>594</v>
      </c>
      <c r="M163" s="3">
        <f t="shared" si="12"/>
        <v>0</v>
      </c>
      <c r="N163" s="4">
        <f>IFERROR(INDEX(ADP!AC:AC,MATCH(D163,ADP!Y:Y,0)),0)</f>
        <v>0</v>
      </c>
      <c r="O163" s="4" t="s">
        <v>6</v>
      </c>
      <c r="P163" s="4"/>
      <c r="Q163" s="4"/>
      <c r="R163" s="1" t="str">
        <f>IFERROR(VLOOKUP(S163,FFARawStatProjections!AX:AZ,2,FALSE),"")</f>
        <v>HOU</v>
      </c>
      <c r="S163" s="4" t="str">
        <f>INDEX(FFARawStatProjections!AX:AX,MATCH(WRproj!T163,FFARawStatProjections!AZ:AZ,0))</f>
        <v>Xavier Hutchinson</v>
      </c>
      <c r="T163">
        <f>LARGE(FFARawStatProjections!AZ:AZ,K163)</f>
        <v>23.164490000000001</v>
      </c>
      <c r="U163" s="249">
        <f t="shared" si="11"/>
        <v>-189.93556666666666</v>
      </c>
      <c r="V163" s="243">
        <f t="shared" si="10"/>
        <v>36075.519484987773</v>
      </c>
      <c r="W163" s="244"/>
      <c r="X163" s="243">
        <f t="shared" si="13"/>
        <v>-11.870972916666666</v>
      </c>
      <c r="Y163" s="238">
        <f>IFERROR(
IF(ISBLANK(Beersheet!$A$1)=FALSE,
INDEX(Beersheet!$A:$U,MATCH(S163,INDEX(Beersheet!$A:$U,0,FFARawStatProjections!$BV$2),0),FFARawStatProjections!$BV$6),
IF(X163&gt;6,0,
IF(AND(X163&lt;=6,X163&gt;5),1,
IF(AND(X163&lt;=5,X163&gt;4),2,
IF(AND(X163&lt;=4,X163&gt;3),3,
IF(AND(X163&lt;=3,X163&gt;2),4,
IF(AND(X163&lt;=2,X163&gt;1),5,
IF(AND(X163&lt;=1,X163&gt;0),6,
IF(AND(X163&lt;=0,X163&gt;-1),7,
8))))))))),
10)</f>
        <v>8</v>
      </c>
    </row>
    <row r="164" spans="1:25" ht="15" customHeight="1" x14ac:dyDescent="0.25">
      <c r="A164" s="135"/>
      <c r="B164" s="143" t="s">
        <v>595</v>
      </c>
      <c r="C164" t="str">
        <f>IF(AND(IFERROR(INDEX(Instructions!$T$111:$T$222,MATCH(D164,Instructions!$T$111:$T$222,0)), "")=D164, D164&lt;&gt;""), "X", "")</f>
        <v/>
      </c>
      <c r="D164" s="137" t="s">
        <v>2345</v>
      </c>
      <c r="E164" s="99" t="s">
        <v>138</v>
      </c>
      <c r="F164" s="232">
        <f>IFERROR(IF(AND($F$5="Projected Points",Beersheet!A159&lt;&gt;"QB"), T164, IF(H164="", INDEX(Tier!$B$28:$B$36,MATCH(G164,Tier!$A$28:$A$36,0)), INDEX(Tier!$B$28:$B$36,MATCH(G164,Tier!$A$28:$A$36,0)))), "")</f>
        <v>23.064730000000001</v>
      </c>
      <c r="G164" s="283">
        <f t="shared" si="14"/>
        <v>8</v>
      </c>
      <c r="H164" s="284"/>
      <c r="I164" s="396" t="str">
        <f>IFERROR(INDEX(ADP!S:S,MATCH(D164,ADP!D:D,0))-RBproj!K164,"")</f>
        <v/>
      </c>
      <c r="J164" s="127"/>
      <c r="K164" s="89">
        <v>158</v>
      </c>
      <c r="L164" s="2" t="s">
        <v>595</v>
      </c>
      <c r="M164" s="3">
        <f t="shared" si="12"/>
        <v>0</v>
      </c>
      <c r="N164" s="4">
        <f>IFERROR(INDEX(ADP!AC:AC,MATCH(D164,ADP!Y:Y,0)),0)</f>
        <v>0</v>
      </c>
      <c r="O164" s="4" t="s">
        <v>6</v>
      </c>
      <c r="P164" s="4"/>
      <c r="Q164" s="4"/>
      <c r="R164" s="1" t="str">
        <f>IFERROR(VLOOKUP(S164,FFARawStatProjections!AX:AZ,2,FALSE),"")</f>
        <v>CHI</v>
      </c>
      <c r="S164" s="4" t="str">
        <f>INDEX(FFARawStatProjections!AX:AX,MATCH(WRproj!T164,FFARawStatProjections!AZ:AZ,0))</f>
        <v>Equanimeous St Brown</v>
      </c>
      <c r="T164">
        <f>LARGE(FFARawStatProjections!AZ:AZ,K164)</f>
        <v>23.064730000000001</v>
      </c>
      <c r="U164" s="249">
        <f t="shared" si="11"/>
        <v>-190.03532666666666</v>
      </c>
      <c r="V164" s="243">
        <f t="shared" si="10"/>
        <v>36113.425381306712</v>
      </c>
      <c r="W164" s="244"/>
      <c r="X164" s="243">
        <f t="shared" si="13"/>
        <v>-11.877207916666666</v>
      </c>
      <c r="Y164" s="238">
        <f>IFERROR(
IF(ISBLANK(Beersheet!$A$1)=FALSE,
INDEX(Beersheet!$A:$U,MATCH(S164,INDEX(Beersheet!$A:$U,0,FFARawStatProjections!$BV$2),0),FFARawStatProjections!$BV$6),
IF(X164&gt;6,0,
IF(AND(X164&lt;=6,X164&gt;5),1,
IF(AND(X164&lt;=5,X164&gt;4),2,
IF(AND(X164&lt;=4,X164&gt;3),3,
IF(AND(X164&lt;=3,X164&gt;2),4,
IF(AND(X164&lt;=2,X164&gt;1),5,
IF(AND(X164&lt;=1,X164&gt;0),6,
IF(AND(X164&lt;=0,X164&gt;-1),7,
8))))))))),
10)</f>
        <v>8</v>
      </c>
    </row>
    <row r="165" spans="1:25" ht="15" customHeight="1" x14ac:dyDescent="0.25">
      <c r="A165" s="135"/>
      <c r="B165" s="142" t="s">
        <v>596</v>
      </c>
      <c r="C165" t="str">
        <f>IF(AND(IFERROR(INDEX(Instructions!$T$111:$T$222,MATCH(D165,Instructions!$T$111:$T$222,0)), "")=D165, D165&lt;&gt;""), "X", "")</f>
        <v/>
      </c>
      <c r="D165" s="138" t="s">
        <v>2324</v>
      </c>
      <c r="E165" s="100" t="s">
        <v>146</v>
      </c>
      <c r="F165" s="431">
        <f>IFERROR(IF(AND($F$5="Projected Points",Beersheet!A160&lt;&gt;"QB"), T165, IF(H165="", INDEX(Tier!$B$28:$B$36,MATCH(G165,Tier!$A$28:$A$36,0)), INDEX(Tier!$B$28:$B$36,MATCH(G165,Tier!$A$28:$A$36,0)))), "")</f>
        <v>22.82471</v>
      </c>
      <c r="G165" s="250">
        <f t="shared" si="14"/>
        <v>8</v>
      </c>
      <c r="H165" s="252"/>
      <c r="I165" s="396" t="str">
        <f>IFERROR(INDEX(ADP!S:S,MATCH(D165,ADP!D:D,0))-RBproj!K165,"")</f>
        <v/>
      </c>
      <c r="J165" s="127"/>
      <c r="K165" s="89">
        <v>159</v>
      </c>
      <c r="L165" s="2" t="s">
        <v>596</v>
      </c>
      <c r="M165" s="3">
        <f t="shared" si="12"/>
        <v>0</v>
      </c>
      <c r="N165" s="4">
        <f>IFERROR(INDEX(ADP!AC:AC,MATCH(D165,ADP!Y:Y,0)),0)</f>
        <v>0</v>
      </c>
      <c r="O165" s="4" t="s">
        <v>6</v>
      </c>
      <c r="P165" s="4"/>
      <c r="Q165" s="4"/>
      <c r="R165" s="1" t="str">
        <f>IFERROR(VLOOKUP(S165,FFARawStatProjections!AX:AZ,2,FALSE),"")</f>
        <v>DAL</v>
      </c>
      <c r="S165" s="4" t="str">
        <f>INDEX(FFARawStatProjections!AX:AX,MATCH(WRproj!T165,FFARawStatProjections!AZ:AZ,0))</f>
        <v>Jalen Tolbert</v>
      </c>
      <c r="T165">
        <f>LARGE(FFARawStatProjections!AZ:AZ,K165)</f>
        <v>22.82471</v>
      </c>
      <c r="U165" s="249">
        <f t="shared" si="11"/>
        <v>-190.27534666666665</v>
      </c>
      <c r="V165" s="243">
        <f t="shared" si="10"/>
        <v>36204.707549120169</v>
      </c>
      <c r="W165" s="244"/>
      <c r="X165" s="243">
        <f t="shared" si="13"/>
        <v>-11.892209166666666</v>
      </c>
      <c r="Y165" s="238">
        <f>IFERROR(
IF(ISBLANK(Beersheet!$A$1)=FALSE,
INDEX(Beersheet!$A:$U,MATCH(S165,INDEX(Beersheet!$A:$U,0,FFARawStatProjections!$BV$2),0),FFARawStatProjections!$BV$6),
IF(X165&gt;6,0,
IF(AND(X165&lt;=6,X165&gt;5),1,
IF(AND(X165&lt;=5,X165&gt;4),2,
IF(AND(X165&lt;=4,X165&gt;3),3,
IF(AND(X165&lt;=3,X165&gt;2),4,
IF(AND(X165&lt;=2,X165&gt;1),5,
IF(AND(X165&lt;=1,X165&gt;0),6,
IF(AND(X165&lt;=0,X165&gt;-1),7,
8))))))))),
10)</f>
        <v>8</v>
      </c>
    </row>
    <row r="166" spans="1:25" ht="15" customHeight="1" x14ac:dyDescent="0.25">
      <c r="A166" s="135"/>
      <c r="B166" s="143" t="s">
        <v>597</v>
      </c>
      <c r="C166" t="str">
        <f>IF(AND(IFERROR(INDEX(Instructions!$T$111:$T$222,MATCH(D166,Instructions!$T$111:$T$222,0)), "")=D166, D166&lt;&gt;""), "X", "")</f>
        <v/>
      </c>
      <c r="D166" s="137" t="s">
        <v>2146</v>
      </c>
      <c r="E166" s="99" t="s">
        <v>141</v>
      </c>
      <c r="F166" s="232">
        <f>IFERROR(IF(AND($F$5="Projected Points",Beersheet!A161&lt;&gt;"QB"), T166, IF(H166="", INDEX(Tier!$B$28:$B$36,MATCH(G166,Tier!$A$28:$A$36,0)), INDEX(Tier!$B$28:$B$36,MATCH(G166,Tier!$A$28:$A$36,0)))), "")</f>
        <v>22.64479</v>
      </c>
      <c r="G166" s="283">
        <f t="shared" si="14"/>
        <v>8</v>
      </c>
      <c r="H166" s="284"/>
      <c r="I166" s="396" t="str">
        <f>IFERROR(INDEX(ADP!S:S,MATCH(D166,ADP!D:D,0))-RBproj!K166,"")</f>
        <v/>
      </c>
      <c r="J166" s="127"/>
      <c r="K166" s="89">
        <v>160</v>
      </c>
      <c r="L166" s="2" t="s">
        <v>597</v>
      </c>
      <c r="M166" s="3">
        <f t="shared" si="12"/>
        <v>0</v>
      </c>
      <c r="N166" s="4">
        <f>IFERROR(INDEX(ADP!AC:AC,MATCH(D166,ADP!Y:Y,0)),0)</f>
        <v>0</v>
      </c>
      <c r="O166" s="4" t="s">
        <v>6</v>
      </c>
      <c r="P166" s="4"/>
      <c r="Q166" s="4"/>
      <c r="R166" s="1" t="str">
        <f>IFERROR(VLOOKUP(S166,FFARawStatProjections!AX:AZ,2,FALSE),"")</f>
        <v>LV</v>
      </c>
      <c r="S166" s="4" t="str">
        <f>INDEX(FFARawStatProjections!AX:AX,MATCH(WRproj!T166,FFARawStatProjections!AZ:AZ,0))</f>
        <v>DeAndre Carter</v>
      </c>
      <c r="T166">
        <f>LARGE(FFARawStatProjections!AZ:AZ,K166)</f>
        <v>22.64479</v>
      </c>
      <c r="U166" s="249">
        <f t="shared" si="11"/>
        <v>-190.45526666666666</v>
      </c>
      <c r="V166" s="243">
        <f t="shared" si="10"/>
        <v>36273.208601071106</v>
      </c>
      <c r="W166" s="244"/>
      <c r="X166" s="243">
        <f t="shared" si="13"/>
        <v>-11.903454166666666</v>
      </c>
      <c r="Y166" s="238">
        <f>IFERROR(
IF(ISBLANK(Beersheet!$A$1)=FALSE,
INDEX(Beersheet!$A:$U,MATCH(S166,INDEX(Beersheet!$A:$U,0,FFARawStatProjections!$BV$2),0),FFARawStatProjections!$BV$6),
IF(X166&gt;6,0,
IF(AND(X166&lt;=6,X166&gt;5),1,
IF(AND(X166&lt;=5,X166&gt;4),2,
IF(AND(X166&lt;=4,X166&gt;3),3,
IF(AND(X166&lt;=3,X166&gt;2),4,
IF(AND(X166&lt;=2,X166&gt;1),5,
IF(AND(X166&lt;=1,X166&gt;0),6,
IF(AND(X166&lt;=0,X166&gt;-1),7,
8))))))))),
10)</f>
        <v>8</v>
      </c>
    </row>
    <row r="167" spans="1:25" ht="15" customHeight="1" x14ac:dyDescent="0.25">
      <c r="A167" s="135"/>
      <c r="B167" s="142" t="s">
        <v>598</v>
      </c>
      <c r="C167" t="str">
        <f>IF(AND(IFERROR(INDEX(Instructions!$T$111:$T$222,MATCH(D167,Instructions!$T$111:$T$222,0)), "")=D167, D167&lt;&gt;""), "X", "")</f>
        <v/>
      </c>
      <c r="D167" s="138" t="s">
        <v>1336</v>
      </c>
      <c r="E167" s="100" t="s">
        <v>2073</v>
      </c>
      <c r="F167" s="431">
        <f>IFERROR(IF(AND($F$5="Projected Points",Beersheet!A162&lt;&gt;"QB"), T167, IF(H167="", INDEX(Tier!$B$28:$B$36,MATCH(G167,Tier!$A$28:$A$36,0)), INDEX(Tier!$B$28:$B$36,MATCH(G167,Tier!$A$28:$A$36,0)))), "")</f>
        <v>22.385650000000002</v>
      </c>
      <c r="G167" s="250">
        <f t="shared" si="14"/>
        <v>8</v>
      </c>
      <c r="H167" s="252"/>
      <c r="I167" s="396" t="str">
        <f>IFERROR(INDEX(ADP!S:S,MATCH(D167,ADP!D:D,0))-RBproj!K167,"")</f>
        <v/>
      </c>
      <c r="J167" s="127"/>
      <c r="K167" s="89">
        <v>161</v>
      </c>
      <c r="L167" s="2" t="s">
        <v>598</v>
      </c>
      <c r="M167" s="3">
        <f t="shared" si="12"/>
        <v>0</v>
      </c>
      <c r="N167" s="4">
        <f>IFERROR(INDEX(ADP!AC:AC,MATCH(D167,ADP!Y:Y,0)),0)</f>
        <v>0</v>
      </c>
      <c r="O167" s="4" t="s">
        <v>6</v>
      </c>
      <c r="P167" s="4"/>
      <c r="Q167" s="4"/>
      <c r="R167" s="1" t="str">
        <f>IFERROR(VLOOKUP(S167,FFARawStatProjections!AX:AZ,2,FALSE),"")</f>
        <v>NO</v>
      </c>
      <c r="S167" s="4" t="str">
        <f>INDEX(FFARawStatProjections!AX:AX,MATCH(WRproj!T167,FFARawStatProjections!AZ:AZ,0))</f>
        <v>Kirk Merritt</v>
      </c>
      <c r="T167">
        <f>LARGE(FFARawStatProjections!AZ:AZ,K167)</f>
        <v>22.385650000000002</v>
      </c>
      <c r="U167" s="249">
        <f t="shared" si="11"/>
        <v>-190.71440666666666</v>
      </c>
      <c r="V167" s="243">
        <f t="shared" si="10"/>
        <v>36371.984910218707</v>
      </c>
      <c r="W167" s="244"/>
      <c r="X167" s="243">
        <f t="shared" si="13"/>
        <v>-11.919650416666666</v>
      </c>
      <c r="Y167" s="238">
        <f>IFERROR(
IF(ISBLANK(Beersheet!$A$1)=FALSE,
INDEX(Beersheet!$A:$U,MATCH(S167,INDEX(Beersheet!$A:$U,0,FFARawStatProjections!$BV$2),0),FFARawStatProjections!$BV$6),
IF(X167&gt;6,0,
IF(AND(X167&lt;=6,X167&gt;5),1,
IF(AND(X167&lt;=5,X167&gt;4),2,
IF(AND(X167&lt;=4,X167&gt;3),3,
IF(AND(X167&lt;=3,X167&gt;2),4,
IF(AND(X167&lt;=2,X167&gt;1),5,
IF(AND(X167&lt;=1,X167&gt;0),6,
IF(AND(X167&lt;=0,X167&gt;-1),7,
8))))))))),
10)</f>
        <v>8</v>
      </c>
    </row>
    <row r="168" spans="1:25" ht="15" customHeight="1" x14ac:dyDescent="0.25">
      <c r="A168" s="135"/>
      <c r="B168" s="143" t="s">
        <v>599</v>
      </c>
      <c r="C168" t="str">
        <f>IF(AND(IFERROR(INDEX(Instructions!$T$111:$T$222,MATCH(D168,Instructions!$T$111:$T$222,0)), "")=D168, D168&lt;&gt;""), "X", "")</f>
        <v/>
      </c>
      <c r="D168" s="137" t="s">
        <v>1859</v>
      </c>
      <c r="E168" s="99" t="s">
        <v>143</v>
      </c>
      <c r="F168" s="232">
        <f>IFERROR(IF(AND($F$5="Projected Points",Beersheet!A163&lt;&gt;"QB"), T168, IF(H168="", INDEX(Tier!$B$28:$B$36,MATCH(G168,Tier!$A$28:$A$36,0)), INDEX(Tier!$B$28:$B$36,MATCH(G168,Tier!$A$28:$A$36,0)))), "")</f>
        <v>22.354849999999999</v>
      </c>
      <c r="G168" s="283">
        <f t="shared" si="14"/>
        <v>8</v>
      </c>
      <c r="H168" s="284"/>
      <c r="I168" s="396" t="str">
        <f>IFERROR(INDEX(ADP!S:S,MATCH(D168,ADP!D:D,0))-RBproj!K168,"")</f>
        <v/>
      </c>
      <c r="J168" s="127"/>
      <c r="K168" s="89">
        <v>162</v>
      </c>
      <c r="L168" s="2" t="s">
        <v>599</v>
      </c>
      <c r="M168" s="3">
        <f t="shared" si="12"/>
        <v>0</v>
      </c>
      <c r="N168" s="4">
        <f>IFERROR(INDEX(ADP!AC:AC,MATCH(D168,ADP!Y:Y,0)),0)</f>
        <v>0</v>
      </c>
      <c r="O168" s="4" t="s">
        <v>6</v>
      </c>
      <c r="P168" s="4"/>
      <c r="Q168" s="4"/>
      <c r="R168" s="1" t="str">
        <f>IFERROR(VLOOKUP(S168,FFARawStatProjections!AX:AZ,2,FALSE),"")</f>
        <v>LAC</v>
      </c>
      <c r="S168" s="4" t="str">
        <f>INDEX(FFARawStatProjections!AX:AX,MATCH(WRproj!T168,FFARawStatProjections!AZ:AZ,0))</f>
        <v>Derius Davis</v>
      </c>
      <c r="T168">
        <f>LARGE(FFARawStatProjections!AZ:AZ,K168)</f>
        <v>22.354849999999999</v>
      </c>
      <c r="U168" s="249">
        <f t="shared" si="11"/>
        <v>-190.74520666666666</v>
      </c>
      <c r="V168" s="243">
        <f t="shared" si="10"/>
        <v>36383.733866309376</v>
      </c>
      <c r="W168" s="244"/>
      <c r="X168" s="243">
        <f t="shared" si="13"/>
        <v>-11.921575416666666</v>
      </c>
      <c r="Y168" s="238">
        <f>IFERROR(
IF(ISBLANK(Beersheet!$A$1)=FALSE,
INDEX(Beersheet!$A:$U,MATCH(S168,INDEX(Beersheet!$A:$U,0,FFARawStatProjections!$BV$2),0),FFARawStatProjections!$BV$6),
IF(X168&gt;6,0,
IF(AND(X168&lt;=6,X168&gt;5),1,
IF(AND(X168&lt;=5,X168&gt;4),2,
IF(AND(X168&lt;=4,X168&gt;3),3,
IF(AND(X168&lt;=3,X168&gt;2),4,
IF(AND(X168&lt;=2,X168&gt;1),5,
IF(AND(X168&lt;=1,X168&gt;0),6,
IF(AND(X168&lt;=0,X168&gt;-1),7,
8))))))))),
10)</f>
        <v>8</v>
      </c>
    </row>
    <row r="169" spans="1:25" ht="15" customHeight="1" x14ac:dyDescent="0.25">
      <c r="A169" s="135"/>
      <c r="B169" s="142" t="s">
        <v>600</v>
      </c>
      <c r="C169" t="str">
        <f>IF(AND(IFERROR(INDEX(Instructions!$T$111:$T$222,MATCH(D169,Instructions!$T$111:$T$222,0)), "")=D169, D169&lt;&gt;""), "X", "")</f>
        <v/>
      </c>
      <c r="D169" s="138" t="s">
        <v>2555</v>
      </c>
      <c r="E169" s="100" t="s">
        <v>143</v>
      </c>
      <c r="F169" s="431">
        <f>IFERROR(IF(AND($F$5="Projected Points",Beersheet!A164&lt;&gt;"QB"), T169, IF(H169="", INDEX(Tier!$B$28:$B$36,MATCH(G169,Tier!$A$28:$A$36,0)), INDEX(Tier!$B$28:$B$36,MATCH(G169,Tier!$A$28:$A$36,0)))), "")</f>
        <v>22.204800000000002</v>
      </c>
      <c r="G169" s="250">
        <f t="shared" si="14"/>
        <v>8</v>
      </c>
      <c r="H169" s="252"/>
      <c r="I169" s="396" t="str">
        <f>IFERROR(INDEX(ADP!S:S,MATCH(D169,ADP!D:D,0))-RBproj!K169,"")</f>
        <v/>
      </c>
      <c r="J169" s="127"/>
      <c r="K169" s="89">
        <v>163</v>
      </c>
      <c r="L169" s="2" t="s">
        <v>600</v>
      </c>
      <c r="M169" s="3">
        <f t="shared" si="12"/>
        <v>0</v>
      </c>
      <c r="N169" s="4">
        <f>IFERROR(INDEX(ADP!AC:AC,MATCH(D169,ADP!Y:Y,0)),0)</f>
        <v>0</v>
      </c>
      <c r="O169" s="4" t="s">
        <v>6</v>
      </c>
      <c r="P169" s="4"/>
      <c r="Q169" s="4"/>
      <c r="R169" s="1" t="str">
        <f>IFERROR(VLOOKUP(S169,FFARawStatProjections!AX:AZ,2,FALSE),"")</f>
        <v>ATL</v>
      </c>
      <c r="S169" s="4" t="str">
        <f>INDEX(FFARawStatProjections!AX:AX,MATCH(WRproj!T169,FFARawStatProjections!AZ:AZ,0))</f>
        <v>Penny Hart</v>
      </c>
      <c r="T169">
        <f>LARGE(FFARawStatProjections!AZ:AZ,K169)</f>
        <v>22.204800000000002</v>
      </c>
      <c r="U169" s="249">
        <f t="shared" si="11"/>
        <v>-190.89525666666665</v>
      </c>
      <c r="V169" s="243">
        <f t="shared" si="10"/>
        <v>36440.999017832539</v>
      </c>
      <c r="W169" s="244"/>
      <c r="X169" s="243">
        <f t="shared" si="13"/>
        <v>-11.930953541666666</v>
      </c>
      <c r="Y169" s="238">
        <f>IFERROR(
IF(ISBLANK(Beersheet!$A$1)=FALSE,
INDEX(Beersheet!$A:$U,MATCH(S169,INDEX(Beersheet!$A:$U,0,FFARawStatProjections!$BV$2),0),FFARawStatProjections!$BV$6),
IF(X169&gt;6,0,
IF(AND(X169&lt;=6,X169&gt;5),1,
IF(AND(X169&lt;=5,X169&gt;4),2,
IF(AND(X169&lt;=4,X169&gt;3),3,
IF(AND(X169&lt;=3,X169&gt;2),4,
IF(AND(X169&lt;=2,X169&gt;1),5,
IF(AND(X169&lt;=1,X169&gt;0),6,
IF(AND(X169&lt;=0,X169&gt;-1),7,
8))))))))),
10)</f>
        <v>8</v>
      </c>
    </row>
    <row r="170" spans="1:25" ht="15" customHeight="1" x14ac:dyDescent="0.25">
      <c r="A170" s="135"/>
      <c r="B170" s="143" t="s">
        <v>601</v>
      </c>
      <c r="C170" t="str">
        <f>IF(AND(IFERROR(INDEX(Instructions!$T$111:$T$222,MATCH(D170,Instructions!$T$111:$T$222,0)), "")=D170, D170&lt;&gt;""), "X", "")</f>
        <v/>
      </c>
      <c r="D170" s="137" t="s">
        <v>2568</v>
      </c>
      <c r="E170" s="99" t="s">
        <v>148</v>
      </c>
      <c r="F170" s="232">
        <f>IFERROR(IF(AND($F$5="Projected Points",Beersheet!A165&lt;&gt;"QB"), T170, IF(H170="", INDEX(Tier!$B$28:$B$36,MATCH(G170,Tier!$A$28:$A$36,0)), INDEX(Tier!$B$28:$B$36,MATCH(G170,Tier!$A$28:$A$36,0)))), "")</f>
        <v>22.184760000000001</v>
      </c>
      <c r="G170" s="283">
        <f t="shared" si="14"/>
        <v>8</v>
      </c>
      <c r="H170" s="284"/>
      <c r="I170" s="396" t="str">
        <f>IFERROR(INDEX(ADP!S:S,MATCH(D170,ADP!D:D,0))-RBproj!K170,"")</f>
        <v/>
      </c>
      <c r="J170" s="127"/>
      <c r="K170" s="89">
        <v>164</v>
      </c>
      <c r="L170" s="2" t="s">
        <v>601</v>
      </c>
      <c r="M170" s="3">
        <f t="shared" si="12"/>
        <v>0</v>
      </c>
      <c r="N170" s="4">
        <f>IFERROR(INDEX(ADP!AC:AC,MATCH(D170,ADP!Y:Y,0)),0)</f>
        <v>0</v>
      </c>
      <c r="O170" s="4" t="s">
        <v>6</v>
      </c>
      <c r="P170" s="4"/>
      <c r="Q170" s="4"/>
      <c r="R170" s="1" t="str">
        <f>IFERROR(VLOOKUP(S170,FFARawStatProjections!AX:AZ,2,FALSE),"")</f>
        <v>NO</v>
      </c>
      <c r="S170" s="4" t="str">
        <f>INDEX(FFARawStatProjections!AX:AX,MATCH(WRproj!T170,FFARawStatProjections!AZ:AZ,0))</f>
        <v>TreQuan Smith</v>
      </c>
      <c r="T170">
        <f>LARGE(FFARawStatProjections!AZ:AZ,K170)</f>
        <v>22.184760000000001</v>
      </c>
      <c r="U170" s="249">
        <f t="shared" si="11"/>
        <v>-190.91529666666665</v>
      </c>
      <c r="V170" s="243">
        <f t="shared" si="10"/>
        <v>36448.650501321339</v>
      </c>
      <c r="W170" s="244"/>
      <c r="X170" s="243">
        <f t="shared" si="13"/>
        <v>-11.932206041666666</v>
      </c>
      <c r="Y170" s="238">
        <f>IFERROR(
IF(ISBLANK(Beersheet!$A$1)=FALSE,
INDEX(Beersheet!$A:$U,MATCH(S170,INDEX(Beersheet!$A:$U,0,FFARawStatProjections!$BV$2),0),FFARawStatProjections!$BV$6),
IF(X170&gt;6,0,
IF(AND(X170&lt;=6,X170&gt;5),1,
IF(AND(X170&lt;=5,X170&gt;4),2,
IF(AND(X170&lt;=4,X170&gt;3),3,
IF(AND(X170&lt;=3,X170&gt;2),4,
IF(AND(X170&lt;=2,X170&gt;1),5,
IF(AND(X170&lt;=1,X170&gt;0),6,
IF(AND(X170&lt;=0,X170&gt;-1),7,
8))))))))),
10)</f>
        <v>8</v>
      </c>
    </row>
    <row r="171" spans="1:25" ht="15" customHeight="1" x14ac:dyDescent="0.25">
      <c r="A171" s="135"/>
      <c r="B171" s="142" t="s">
        <v>602</v>
      </c>
      <c r="C171" t="str">
        <f>IF(AND(IFERROR(INDEX(Instructions!$T$111:$T$222,MATCH(D171,Instructions!$T$111:$T$222,0)), "")=D171, D171&lt;&gt;""), "X", "")</f>
        <v/>
      </c>
      <c r="D171" s="138" t="s">
        <v>2226</v>
      </c>
      <c r="E171" s="100" t="s">
        <v>144</v>
      </c>
      <c r="F171" s="431">
        <f>IFERROR(IF(AND($F$5="Projected Points",Beersheet!A166&lt;&gt;"QB"), T171, IF(H171="", INDEX(Tier!$B$28:$B$36,MATCH(G171,Tier!$A$28:$A$36,0)), INDEX(Tier!$B$28:$B$36,MATCH(G171,Tier!$A$28:$A$36,0)))), "")</f>
        <v>21.95478</v>
      </c>
      <c r="G171" s="250">
        <f t="shared" si="14"/>
        <v>8</v>
      </c>
      <c r="H171" s="252"/>
      <c r="I171" s="396" t="str">
        <f>IFERROR(INDEX(ADP!S:S,MATCH(D171,ADP!D:D,0))-RBproj!K171,"")</f>
        <v/>
      </c>
      <c r="J171" s="127"/>
      <c r="K171" s="89">
        <v>165</v>
      </c>
      <c r="L171" s="2" t="s">
        <v>602</v>
      </c>
      <c r="M171" s="3">
        <f t="shared" si="12"/>
        <v>0</v>
      </c>
      <c r="N171" s="4">
        <f>IFERROR(INDEX(ADP!AC:AC,MATCH(D171,ADP!Y:Y,0)),0)</f>
        <v>0</v>
      </c>
      <c r="O171" s="4" t="s">
        <v>6</v>
      </c>
      <c r="P171" s="4"/>
      <c r="Q171" s="4"/>
      <c r="R171" s="1" t="str">
        <f>IFERROR(VLOOKUP(S171,FFARawStatProjections!AX:AZ,2,FALSE),"")</f>
        <v>DEN</v>
      </c>
      <c r="S171" s="4" t="str">
        <f>INDEX(FFARawStatProjections!AX:AX,MATCH(WRproj!T171,FFARawStatProjections!AZ:AZ,0))</f>
        <v>Kendall Hinton</v>
      </c>
      <c r="T171">
        <f>LARGE(FFARawStatProjections!AZ:AZ,K171)</f>
        <v>21.95478</v>
      </c>
      <c r="U171" s="249">
        <f t="shared" si="11"/>
        <v>-191.14527666666666</v>
      </c>
      <c r="V171" s="243">
        <f t="shared" si="10"/>
        <v>36536.516791976544</v>
      </c>
      <c r="W171" s="244"/>
      <c r="X171" s="243">
        <f t="shared" si="13"/>
        <v>-11.946579791666666</v>
      </c>
      <c r="Y171" s="238">
        <f>IFERROR(
IF(ISBLANK(Beersheet!$A$1)=FALSE,
INDEX(Beersheet!$A:$U,MATCH(S171,INDEX(Beersheet!$A:$U,0,FFARawStatProjections!$BV$2),0),FFARawStatProjections!$BV$6),
IF(X171&gt;6,0,
IF(AND(X171&lt;=6,X171&gt;5),1,
IF(AND(X171&lt;=5,X171&gt;4),2,
IF(AND(X171&lt;=4,X171&gt;3),3,
IF(AND(X171&lt;=3,X171&gt;2),4,
IF(AND(X171&lt;=2,X171&gt;1),5,
IF(AND(X171&lt;=1,X171&gt;0),6,
IF(AND(X171&lt;=0,X171&gt;-1),7,
8))))))))),
10)</f>
        <v>8</v>
      </c>
    </row>
    <row r="172" spans="1:25" ht="15" customHeight="1" x14ac:dyDescent="0.25">
      <c r="A172" s="135"/>
      <c r="B172" s="143" t="s">
        <v>603</v>
      </c>
      <c r="C172" t="str">
        <f>IF(AND(IFERROR(INDEX(Instructions!$T$111:$T$222,MATCH(D172,Instructions!$T$111:$T$222,0)), "")=D172, D172&lt;&gt;""), "X", "")</f>
        <v/>
      </c>
      <c r="D172" s="137" t="s">
        <v>1103</v>
      </c>
      <c r="E172" s="99" t="s">
        <v>162</v>
      </c>
      <c r="F172" s="232">
        <f>IFERROR(IF(AND($F$5="Projected Points",Beersheet!A167&lt;&gt;"QB"), T172, IF(H172="", INDEX(Tier!$B$28:$B$36,MATCH(G172,Tier!$A$28:$A$36,0)), INDEX(Tier!$B$28:$B$36,MATCH(G172,Tier!$A$28:$A$36,0)))), "")</f>
        <v>21.904530000000001</v>
      </c>
      <c r="G172" s="283">
        <f t="shared" si="14"/>
        <v>8</v>
      </c>
      <c r="H172" s="284"/>
      <c r="I172" s="396" t="str">
        <f>IFERROR(INDEX(ADP!S:S,MATCH(D172,ADP!D:D,0))-RBproj!K172,"")</f>
        <v/>
      </c>
      <c r="J172" s="127"/>
      <c r="K172" s="89">
        <v>166</v>
      </c>
      <c r="L172" s="2" t="s">
        <v>603</v>
      </c>
      <c r="M172" s="3">
        <f t="shared" si="12"/>
        <v>0</v>
      </c>
      <c r="N172" s="4">
        <f>IFERROR(INDEX(ADP!AC:AC,MATCH(D172,ADP!Y:Y,0)),0)</f>
        <v>0</v>
      </c>
      <c r="O172" s="4" t="s">
        <v>6</v>
      </c>
      <c r="P172" s="4"/>
      <c r="Q172" s="4"/>
      <c r="R172" s="1" t="str">
        <f>IFERROR(VLOOKUP(S172,FFARawStatProjections!AX:AZ,2,FALSE),"")</f>
        <v>CHI</v>
      </c>
      <c r="S172" s="4" t="str">
        <f>INDEX(FFARawStatProjections!AX:AX,MATCH(WRproj!T172,FFARawStatProjections!AZ:AZ,0))</f>
        <v>Tyler Scott</v>
      </c>
      <c r="T172">
        <f>LARGE(FFARawStatProjections!AZ:AZ,K172)</f>
        <v>21.904530000000001</v>
      </c>
      <c r="U172" s="249">
        <f t="shared" si="11"/>
        <v>-191.19552666666667</v>
      </c>
      <c r="V172" s="243">
        <f t="shared" si="10"/>
        <v>36555.729417344046</v>
      </c>
      <c r="W172" s="244"/>
      <c r="X172" s="243">
        <f t="shared" si="13"/>
        <v>-11.949720416666667</v>
      </c>
      <c r="Y172" s="238">
        <f>IFERROR(
IF(ISBLANK(Beersheet!$A$1)=FALSE,
INDEX(Beersheet!$A:$U,MATCH(S172,INDEX(Beersheet!$A:$U,0,FFARawStatProjections!$BV$2),0),FFARawStatProjections!$BV$6),
IF(X172&gt;6,0,
IF(AND(X172&lt;=6,X172&gt;5),1,
IF(AND(X172&lt;=5,X172&gt;4),2,
IF(AND(X172&lt;=4,X172&gt;3),3,
IF(AND(X172&lt;=3,X172&gt;2),4,
IF(AND(X172&lt;=2,X172&gt;1),5,
IF(AND(X172&lt;=1,X172&gt;0),6,
IF(AND(X172&lt;=0,X172&gt;-1),7,
8))))))))),
10)</f>
        <v>8</v>
      </c>
    </row>
    <row r="173" spans="1:25" ht="15" customHeight="1" x14ac:dyDescent="0.25">
      <c r="A173" s="135"/>
      <c r="B173" s="142" t="s">
        <v>604</v>
      </c>
      <c r="C173" t="str">
        <f>IF(AND(IFERROR(INDEX(Instructions!$T$111:$T$222,MATCH(D173,Instructions!$T$111:$T$222,0)), "")=D173, D173&lt;&gt;""), "X", "")</f>
        <v/>
      </c>
      <c r="D173" s="138" t="s">
        <v>1122</v>
      </c>
      <c r="E173" s="100" t="s">
        <v>154</v>
      </c>
      <c r="F173" s="431">
        <f>IFERROR(IF(AND($F$5="Projected Points",Beersheet!A168&lt;&gt;"QB"), T173, IF(H173="", INDEX(Tier!$B$28:$B$36,MATCH(G173,Tier!$A$28:$A$36,0)), INDEX(Tier!$B$28:$B$36,MATCH(G173,Tier!$A$28:$A$36,0)))), "")</f>
        <v>21.664810000000003</v>
      </c>
      <c r="G173" s="250">
        <f t="shared" si="14"/>
        <v>8</v>
      </c>
      <c r="H173" s="252"/>
      <c r="I173" s="396" t="str">
        <f>IFERROR(INDEX(ADP!S:S,MATCH(D173,ADP!D:D,0))-RBproj!K173,"")</f>
        <v/>
      </c>
      <c r="J173" s="127"/>
      <c r="K173" s="89">
        <v>167</v>
      </c>
      <c r="L173" s="2" t="s">
        <v>604</v>
      </c>
      <c r="M173" s="3">
        <f t="shared" si="12"/>
        <v>0</v>
      </c>
      <c r="N173" s="4">
        <f>IFERROR(INDEX(ADP!AC:AC,MATCH(D173,ADP!Y:Y,0)),0)</f>
        <v>0</v>
      </c>
      <c r="O173" s="4" t="s">
        <v>6</v>
      </c>
      <c r="P173" s="4"/>
      <c r="Q173" s="4"/>
      <c r="R173" s="1" t="str">
        <f>IFERROR(VLOOKUP(S173,FFARawStatProjections!AX:AZ,2,FALSE),"")</f>
        <v>SEA</v>
      </c>
      <c r="S173" s="4" t="str">
        <f>INDEX(FFARawStatProjections!AX:AX,MATCH(WRproj!T173,FFARawStatProjections!AZ:AZ,0))</f>
        <v>Dee Eskridge</v>
      </c>
      <c r="T173">
        <f>LARGE(FFARawStatProjections!AZ:AZ,K173)</f>
        <v>21.664810000000003</v>
      </c>
      <c r="U173" s="249">
        <f t="shared" si="11"/>
        <v>-191.43524666666667</v>
      </c>
      <c r="V173" s="243">
        <f t="shared" si="10"/>
        <v>36647.453666327514</v>
      </c>
      <c r="W173" s="244"/>
      <c r="X173" s="243">
        <f t="shared" si="13"/>
        <v>-11.964702916666667</v>
      </c>
      <c r="Y173" s="238">
        <f>IFERROR(
IF(ISBLANK(Beersheet!$A$1)=FALSE,
INDEX(Beersheet!$A:$U,MATCH(S173,INDEX(Beersheet!$A:$U,0,FFARawStatProjections!$BV$2),0),FFARawStatProjections!$BV$6),
IF(X173&gt;6,0,
IF(AND(X173&lt;=6,X173&gt;5),1,
IF(AND(X173&lt;=5,X173&gt;4),2,
IF(AND(X173&lt;=4,X173&gt;3),3,
IF(AND(X173&lt;=3,X173&gt;2),4,
IF(AND(X173&lt;=2,X173&gt;1),5,
IF(AND(X173&lt;=1,X173&gt;0),6,
IF(AND(X173&lt;=0,X173&gt;-1),7,
8))))))))),
10)</f>
        <v>8</v>
      </c>
    </row>
    <row r="174" spans="1:25" ht="15" customHeight="1" x14ac:dyDescent="0.25">
      <c r="A174" s="135"/>
      <c r="B174" s="143" t="s">
        <v>605</v>
      </c>
      <c r="C174" t="str">
        <f>IF(AND(IFERROR(INDEX(Instructions!$T$111:$T$222,MATCH(D174,Instructions!$T$111:$T$222,0)), "")=D174, D174&lt;&gt;""), "X", "")</f>
        <v/>
      </c>
      <c r="D174" s="137" t="s">
        <v>2331</v>
      </c>
      <c r="E174" s="99" t="s">
        <v>140</v>
      </c>
      <c r="F174" s="232">
        <f>IFERROR(IF(AND($F$5="Projected Points",Beersheet!A169&lt;&gt;"QB"), T174, IF(H174="", INDEX(Tier!$B$28:$B$36,MATCH(G174,Tier!$A$28:$A$36,0)), INDEX(Tier!$B$28:$B$36,MATCH(G174,Tier!$A$28:$A$36,0)))), "")</f>
        <v>20.974820000000001</v>
      </c>
      <c r="G174" s="283">
        <f t="shared" si="14"/>
        <v>8</v>
      </c>
      <c r="H174" s="284"/>
      <c r="I174" s="396" t="str">
        <f>IFERROR(INDEX(ADP!S:S,MATCH(D174,ADP!D:D,0))-RBproj!K174,"")</f>
        <v/>
      </c>
      <c r="J174" s="127"/>
      <c r="K174" s="89">
        <v>168</v>
      </c>
      <c r="L174" s="2" t="s">
        <v>605</v>
      </c>
      <c r="M174" s="3">
        <f t="shared" si="12"/>
        <v>0</v>
      </c>
      <c r="N174" s="4">
        <f>IFERROR(INDEX(ADP!AC:AC,MATCH(D174,ADP!Y:Y,0)),0)</f>
        <v>0</v>
      </c>
      <c r="O174" s="4" t="s">
        <v>6</v>
      </c>
      <c r="P174" s="4"/>
      <c r="Q174" s="4"/>
      <c r="R174" s="1" t="str">
        <f>IFERROR(VLOOKUP(S174,FFARawStatProjections!AX:AZ,2,FALSE),"")</f>
        <v>LV</v>
      </c>
      <c r="S174" s="4" t="str">
        <f>INDEX(FFARawStatProjections!AX:AX,MATCH(WRproj!T174,FFARawStatProjections!AZ:AZ,0))</f>
        <v>Phillip Dorsett</v>
      </c>
      <c r="T174">
        <f>LARGE(FFARawStatProjections!AZ:AZ,K174)</f>
        <v>20.974820000000001</v>
      </c>
      <c r="U174" s="249">
        <f t="shared" si="11"/>
        <v>-192.12523666666667</v>
      </c>
      <c r="V174" s="243">
        <f t="shared" si="10"/>
        <v>36912.106564222675</v>
      </c>
      <c r="W174" s="244"/>
      <c r="X174" s="243">
        <f t="shared" si="13"/>
        <v>-12.007827291666667</v>
      </c>
      <c r="Y174" s="238">
        <f>IFERROR(
IF(ISBLANK(Beersheet!$A$1)=FALSE,
INDEX(Beersheet!$A:$U,MATCH(S174,INDEX(Beersheet!$A:$U,0,FFARawStatProjections!$BV$2),0),FFARawStatProjections!$BV$6),
IF(X174&gt;6,0,
IF(AND(X174&lt;=6,X174&gt;5),1,
IF(AND(X174&lt;=5,X174&gt;4),2,
IF(AND(X174&lt;=4,X174&gt;3),3,
IF(AND(X174&lt;=3,X174&gt;2),4,
IF(AND(X174&lt;=2,X174&gt;1),5,
IF(AND(X174&lt;=1,X174&gt;0),6,
IF(AND(X174&lt;=0,X174&gt;-1),7,
8))))))))),
10)</f>
        <v>8</v>
      </c>
    </row>
    <row r="175" spans="1:25" ht="15" customHeight="1" x14ac:dyDescent="0.25">
      <c r="A175" s="135"/>
      <c r="B175" s="142" t="s">
        <v>606</v>
      </c>
      <c r="C175" t="str">
        <f>IF(AND(IFERROR(INDEX(Instructions!$T$111:$T$222,MATCH(D175,Instructions!$T$111:$T$222,0)), "")=D175, D175&lt;&gt;""), "X", "")</f>
        <v/>
      </c>
      <c r="D175" s="138" t="s">
        <v>2558</v>
      </c>
      <c r="E175" s="100" t="s">
        <v>1388</v>
      </c>
      <c r="F175" s="431">
        <f>IFERROR(IF(AND($F$5="Projected Points",Beersheet!A170&lt;&gt;"QB"), T175, IF(H175="", INDEX(Tier!$B$28:$B$36,MATCH(G175,Tier!$A$28:$A$36,0)), INDEX(Tier!$B$28:$B$36,MATCH(G175,Tier!$A$28:$A$36,0)))), "")</f>
        <v>20.034740000000003</v>
      </c>
      <c r="G175" s="250">
        <f t="shared" si="14"/>
        <v>8</v>
      </c>
      <c r="H175" s="252"/>
      <c r="I175" s="396" t="str">
        <f>IFERROR(INDEX(ADP!S:S,MATCH(D175,ADP!D:D,0))-RBproj!K175,"")</f>
        <v/>
      </c>
      <c r="J175" s="127"/>
      <c r="K175" s="89">
        <v>169</v>
      </c>
      <c r="L175" s="2" t="s">
        <v>606</v>
      </c>
      <c r="M175" s="3">
        <f t="shared" si="12"/>
        <v>0</v>
      </c>
      <c r="N175" s="4">
        <f>IFERROR(INDEX(ADP!AC:AC,MATCH(D175,ADP!Y:Y,0)),0)</f>
        <v>0</v>
      </c>
      <c r="O175" s="4" t="s">
        <v>6</v>
      </c>
      <c r="P175" s="4"/>
      <c r="Q175" s="4"/>
      <c r="R175" s="1" t="str">
        <f>IFERROR(VLOOKUP(S175,FFARawStatProjections!AX:AZ,2,FALSE),"")</f>
        <v>BAL</v>
      </c>
      <c r="S175" s="4" t="str">
        <f>INDEX(FFARawStatProjections!AX:AX,MATCH(WRproj!T175,FFARawStatProjections!AZ:AZ,0))</f>
        <v>Nelson Agholor</v>
      </c>
      <c r="T175">
        <f>LARGE(FFARawStatProjections!AZ:AZ,K175)</f>
        <v>20.034740000000003</v>
      </c>
      <c r="U175" s="249">
        <f t="shared" si="11"/>
        <v>-193.06531666666666</v>
      </c>
      <c r="V175" s="243">
        <f t="shared" si="10"/>
        <v>37274.216499600276</v>
      </c>
      <c r="W175" s="244"/>
      <c r="X175" s="243">
        <f t="shared" si="13"/>
        <v>-12.066582291666666</v>
      </c>
      <c r="Y175" s="238">
        <f>IFERROR(
IF(ISBLANK(Beersheet!$A$1)=FALSE,
INDEX(Beersheet!$A:$U,MATCH(S175,INDEX(Beersheet!$A:$U,0,FFARawStatProjections!$BV$2),0),FFARawStatProjections!$BV$6),
IF(X175&gt;6,0,
IF(AND(X175&lt;=6,X175&gt;5),1,
IF(AND(X175&lt;=5,X175&gt;4),2,
IF(AND(X175&lt;=4,X175&gt;3),3,
IF(AND(X175&lt;=3,X175&gt;2),4,
IF(AND(X175&lt;=2,X175&gt;1),5,
IF(AND(X175&lt;=1,X175&gt;0),6,
IF(AND(X175&lt;=0,X175&gt;-1),7,
8))))))))),
10)</f>
        <v>8</v>
      </c>
    </row>
    <row r="176" spans="1:25" ht="15" customHeight="1" x14ac:dyDescent="0.25">
      <c r="A176" s="135"/>
      <c r="B176" s="143" t="s">
        <v>607</v>
      </c>
      <c r="C176" t="str">
        <f>IF(AND(IFERROR(INDEX(Instructions!$T$111:$T$222,MATCH(D176,Instructions!$T$111:$T$222,0)), "")=D176, D176&lt;&gt;""), "X", "")</f>
        <v/>
      </c>
      <c r="D176" s="137" t="s">
        <v>1108</v>
      </c>
      <c r="E176" s="99" t="s">
        <v>2073</v>
      </c>
      <c r="F176" s="232">
        <f>IFERROR(IF(AND($F$5="Projected Points",Beersheet!A171&lt;&gt;"QB"), T176, IF(H176="", INDEX(Tier!$B$28:$B$36,MATCH(G176,Tier!$A$28:$A$36,0)), INDEX(Tier!$B$28:$B$36,MATCH(G176,Tier!$A$28:$A$36,0)))), "")</f>
        <v>19.274699999999999</v>
      </c>
      <c r="G176" s="283">
        <f t="shared" si="14"/>
        <v>8</v>
      </c>
      <c r="H176" s="284"/>
      <c r="I176" s="396" t="str">
        <f>IFERROR(INDEX(ADP!S:S,MATCH(D176,ADP!D:D,0))-RBproj!K176,"")</f>
        <v/>
      </c>
      <c r="J176" s="127"/>
      <c r="K176" s="89">
        <v>170</v>
      </c>
      <c r="L176" s="2" t="s">
        <v>607</v>
      </c>
      <c r="M176" s="3">
        <f t="shared" si="12"/>
        <v>0</v>
      </c>
      <c r="N176" s="4">
        <f>IFERROR(INDEX(ADP!AC:AC,MATCH(D176,ADP!Y:Y,0)),0)</f>
        <v>0</v>
      </c>
      <c r="O176" s="4" t="s">
        <v>6</v>
      </c>
      <c r="P176" s="4"/>
      <c r="Q176" s="4"/>
      <c r="R176" s="1" t="str">
        <f>IFERROR(VLOOKUP(S176,FFARawStatProjections!AX:AZ,2,FALSE),"")</f>
        <v>NYG</v>
      </c>
      <c r="S176" s="4" t="str">
        <f>INDEX(FFARawStatProjections!AX:AX,MATCH(WRproj!T176,FFARawStatProjections!AZ:AZ,0))</f>
        <v>Jamison Crowder</v>
      </c>
      <c r="T176">
        <f>LARGE(FFARawStatProjections!AZ:AZ,K176)</f>
        <v>19.274699999999999</v>
      </c>
      <c r="U176" s="249">
        <f t="shared" si="11"/>
        <v>-193.82535666666666</v>
      </c>
      <c r="V176" s="243">
        <f t="shared" si="10"/>
        <v>37568.268886960541</v>
      </c>
      <c r="W176" s="244"/>
      <c r="X176" s="243">
        <f t="shared" si="13"/>
        <v>-12.114084791666667</v>
      </c>
      <c r="Y176" s="238">
        <f>IFERROR(
IF(ISBLANK(Beersheet!$A$1)=FALSE,
INDEX(Beersheet!$A:$U,MATCH(S176,INDEX(Beersheet!$A:$U,0,FFARawStatProjections!$BV$2),0),FFARawStatProjections!$BV$6),
IF(X176&gt;6,0,
IF(AND(X176&lt;=6,X176&gt;5),1,
IF(AND(X176&lt;=5,X176&gt;4),2,
IF(AND(X176&lt;=4,X176&gt;3),3,
IF(AND(X176&lt;=3,X176&gt;2),4,
IF(AND(X176&lt;=2,X176&gt;1),5,
IF(AND(X176&lt;=1,X176&gt;0),6,
IF(AND(X176&lt;=0,X176&gt;-1),7,
8))))))))),
10)</f>
        <v>8</v>
      </c>
    </row>
    <row r="177" spans="1:25" ht="15" customHeight="1" x14ac:dyDescent="0.25">
      <c r="A177" s="135"/>
      <c r="B177" s="142" t="s">
        <v>608</v>
      </c>
      <c r="C177" t="str">
        <f>IF(AND(IFERROR(INDEX(Instructions!$T$111:$T$222,MATCH(D177,Instructions!$T$111:$T$222,0)), "")=D177, D177&lt;&gt;""), "X", "")</f>
        <v/>
      </c>
      <c r="D177" s="138" t="s">
        <v>2328</v>
      </c>
      <c r="E177" s="100" t="s">
        <v>141</v>
      </c>
      <c r="F177" s="431">
        <f>IFERROR(IF(AND($F$5="Projected Points",Beersheet!A172&lt;&gt;"QB"), T177, IF(H177="", INDEX(Tier!$B$28:$B$36,MATCH(G177,Tier!$A$28:$A$36,0)), INDEX(Tier!$B$28:$B$36,MATCH(G177,Tier!$A$28:$A$36,0)))), "")</f>
        <v>19.124829999999999</v>
      </c>
      <c r="G177" s="250">
        <f t="shared" si="14"/>
        <v>8</v>
      </c>
      <c r="H177" s="252"/>
      <c r="I177" s="396" t="str">
        <f>IFERROR(INDEX(ADP!S:S,MATCH(D177,ADP!D:D,0))-RBproj!K177,"")</f>
        <v/>
      </c>
      <c r="J177" s="127"/>
      <c r="K177" s="89">
        <v>171</v>
      </c>
      <c r="L177" s="2" t="s">
        <v>608</v>
      </c>
      <c r="M177" s="3">
        <f t="shared" si="12"/>
        <v>0</v>
      </c>
      <c r="N177" s="4">
        <f>IFERROR(INDEX(ADP!AC:AC,MATCH(D177,ADP!Y:Y,0)),0)</f>
        <v>0</v>
      </c>
      <c r="O177" s="4" t="s">
        <v>6</v>
      </c>
      <c r="P177" s="4"/>
      <c r="Q177" s="4"/>
      <c r="R177" s="1" t="str">
        <f>IFERROR(VLOOKUP(S177,FFARawStatProjections!AX:AZ,2,FALSE),"")</f>
        <v>ATL</v>
      </c>
      <c r="S177" s="4" t="str">
        <f>INDEX(FFARawStatProjections!AX:AX,MATCH(WRproj!T177,FFARawStatProjections!AZ:AZ,0))</f>
        <v>Scott Miller</v>
      </c>
      <c r="T177">
        <f>LARGE(FFARawStatProjections!AZ:AZ,K177)</f>
        <v>19.124829999999999</v>
      </c>
      <c r="U177" s="249">
        <f t="shared" si="11"/>
        <v>-193.97522666666666</v>
      </c>
      <c r="V177" s="243">
        <f t="shared" si="10"/>
        <v>37626.388560384708</v>
      </c>
      <c r="W177" s="244"/>
      <c r="X177" s="243">
        <f t="shared" si="13"/>
        <v>-12.123451666666666</v>
      </c>
      <c r="Y177" s="238">
        <f>IFERROR(
IF(ISBLANK(Beersheet!$A$1)=FALSE,
INDEX(Beersheet!$A:$U,MATCH(S177,INDEX(Beersheet!$A:$U,0,FFARawStatProjections!$BV$2),0),FFARawStatProjections!$BV$6),
IF(X177&gt;6,0,
IF(AND(X177&lt;=6,X177&gt;5),1,
IF(AND(X177&lt;=5,X177&gt;4),2,
IF(AND(X177&lt;=4,X177&gt;3),3,
IF(AND(X177&lt;=3,X177&gt;2),4,
IF(AND(X177&lt;=2,X177&gt;1),5,
IF(AND(X177&lt;=1,X177&gt;0),6,
IF(AND(X177&lt;=0,X177&gt;-1),7,
8))))))))),
10)</f>
        <v>8</v>
      </c>
    </row>
    <row r="178" spans="1:25" ht="15" customHeight="1" x14ac:dyDescent="0.25">
      <c r="A178" s="135"/>
      <c r="B178" s="143" t="s">
        <v>609</v>
      </c>
      <c r="C178" t="str">
        <f>IF(AND(IFERROR(INDEX(Instructions!$T$111:$T$222,MATCH(D178,Instructions!$T$111:$T$222,0)), "")=D178, D178&lt;&gt;""), "X", "")</f>
        <v/>
      </c>
      <c r="D178" s="137" t="s">
        <v>2416</v>
      </c>
      <c r="E178" s="99" t="s">
        <v>148</v>
      </c>
      <c r="F178" s="232">
        <f>IFERROR(IF(AND($F$5="Projected Points",Beersheet!A173&lt;&gt;"QB"), T178, IF(H178="", INDEX(Tier!$B$28:$B$36,MATCH(G178,Tier!$A$28:$A$36,0)), INDEX(Tier!$B$28:$B$36,MATCH(G178,Tier!$A$28:$A$36,0)))), "")</f>
        <v>18.754840000000005</v>
      </c>
      <c r="G178" s="283">
        <f t="shared" si="14"/>
        <v>8</v>
      </c>
      <c r="H178" s="284"/>
      <c r="I178" s="396" t="str">
        <f>IFERROR(INDEX(ADP!S:S,MATCH(D178,ADP!D:D,0))-RBproj!K178,"")</f>
        <v/>
      </c>
      <c r="J178" s="127"/>
      <c r="K178" s="89">
        <v>172</v>
      </c>
      <c r="L178" s="2" t="s">
        <v>609</v>
      </c>
      <c r="M178" s="3">
        <f t="shared" si="12"/>
        <v>0</v>
      </c>
      <c r="N178" s="4">
        <f>IFERROR(INDEX(ADP!AC:AC,MATCH(D178,ADP!Y:Y,0)),0)</f>
        <v>0</v>
      </c>
      <c r="O178" s="4" t="s">
        <v>6</v>
      </c>
      <c r="P178" s="4"/>
      <c r="Q178" s="4"/>
      <c r="R178" s="1" t="str">
        <f>IFERROR(VLOOKUP(S178,FFARawStatProjections!AX:AZ,2,FALSE),"")</f>
        <v>CAR</v>
      </c>
      <c r="S178" s="4" t="str">
        <f>INDEX(FFARawStatProjections!AX:AX,MATCH(WRproj!T178,FFARawStatProjections!AZ:AZ,0))</f>
        <v>Shi Smith</v>
      </c>
      <c r="T178">
        <f>LARGE(FFARawStatProjections!AZ:AZ,K178)</f>
        <v>18.754840000000005</v>
      </c>
      <c r="U178" s="249">
        <f t="shared" si="11"/>
        <v>-194.34521666666666</v>
      </c>
      <c r="V178" s="243">
        <f t="shared" si="10"/>
        <v>37770.063241213611</v>
      </c>
      <c r="W178" s="244"/>
      <c r="X178" s="243">
        <f t="shared" si="13"/>
        <v>-12.146576041666666</v>
      </c>
      <c r="Y178" s="238">
        <f>IFERROR(
IF(ISBLANK(Beersheet!$A$1)=FALSE,
INDEX(Beersheet!$A:$U,MATCH(S178,INDEX(Beersheet!$A:$U,0,FFARawStatProjections!$BV$2),0),FFARawStatProjections!$BV$6),
IF(X178&gt;6,0,
IF(AND(X178&lt;=6,X178&gt;5),1,
IF(AND(X178&lt;=5,X178&gt;4),2,
IF(AND(X178&lt;=4,X178&gt;3),3,
IF(AND(X178&lt;=3,X178&gt;2),4,
IF(AND(X178&lt;=2,X178&gt;1),5,
IF(AND(X178&lt;=1,X178&gt;0),6,
IF(AND(X178&lt;=0,X178&gt;-1),7,
8))))))))),
10)</f>
        <v>8</v>
      </c>
    </row>
    <row r="179" spans="1:25" ht="15" customHeight="1" x14ac:dyDescent="0.25">
      <c r="A179" s="135"/>
      <c r="B179" s="142" t="s">
        <v>610</v>
      </c>
      <c r="C179" t="str">
        <f>IF(AND(IFERROR(INDEX(Instructions!$T$111:$T$222,MATCH(D179,Instructions!$T$111:$T$222,0)), "")=D179, D179&lt;&gt;""), "X", "")</f>
        <v/>
      </c>
      <c r="D179" s="138" t="s">
        <v>2225</v>
      </c>
      <c r="E179" s="100" t="s">
        <v>159</v>
      </c>
      <c r="F179" s="431">
        <f>IFERROR(IF(AND($F$5="Projected Points",Beersheet!A174&lt;&gt;"QB"), T179, IF(H179="", INDEX(Tier!$B$28:$B$36,MATCH(G179,Tier!$A$28:$A$36,0)), INDEX(Tier!$B$28:$B$36,MATCH(G179,Tier!$A$28:$A$36,0)))), "")</f>
        <v>18.70477</v>
      </c>
      <c r="G179" s="250">
        <f t="shared" si="14"/>
        <v>8</v>
      </c>
      <c r="H179" s="252"/>
      <c r="I179" s="396" t="str">
        <f>IFERROR(INDEX(ADP!S:S,MATCH(D179,ADP!D:D,0))-RBproj!K179,"")</f>
        <v/>
      </c>
      <c r="J179" s="127"/>
      <c r="K179" s="89">
        <v>173</v>
      </c>
      <c r="L179" s="2" t="s">
        <v>610</v>
      </c>
      <c r="M179" s="3">
        <f t="shared" si="12"/>
        <v>0</v>
      </c>
      <c r="N179" s="4">
        <f>IFERROR(INDEX(ADP!AC:AC,MATCH(D179,ADP!Y:Y,0)),0)</f>
        <v>0</v>
      </c>
      <c r="O179" s="4" t="s">
        <v>6</v>
      </c>
      <c r="P179" s="4"/>
      <c r="Q179" s="4"/>
      <c r="R179" s="1" t="str">
        <f>IFERROR(VLOOKUP(S179,FFARawStatProjections!AX:AZ,2,FALSE),"")</f>
        <v>CHI</v>
      </c>
      <c r="S179" s="4" t="str">
        <f>INDEX(FFARawStatProjections!AX:AX,MATCH(WRproj!T179,FFARawStatProjections!AZ:AZ,0))</f>
        <v>Velus Jones</v>
      </c>
      <c r="T179">
        <f>LARGE(FFARawStatProjections!AZ:AZ,K179)</f>
        <v>18.70477</v>
      </c>
      <c r="U179" s="249">
        <f t="shared" si="11"/>
        <v>-194.39528666666666</v>
      </c>
      <c r="V179" s="243">
        <f t="shared" si="10"/>
        <v>37789.52747821551</v>
      </c>
      <c r="W179" s="244"/>
      <c r="X179" s="243">
        <f t="shared" si="13"/>
        <v>-12.149705416666666</v>
      </c>
      <c r="Y179" s="238">
        <f>IFERROR(
IF(ISBLANK(Beersheet!$A$1)=FALSE,
INDEX(Beersheet!$A:$U,MATCH(S179,INDEX(Beersheet!$A:$U,0,FFARawStatProjections!$BV$2),0),FFARawStatProjections!$BV$6),
IF(X179&gt;6,0,
IF(AND(X179&lt;=6,X179&gt;5),1,
IF(AND(X179&lt;=5,X179&gt;4),2,
IF(AND(X179&lt;=4,X179&gt;3),3,
IF(AND(X179&lt;=3,X179&gt;2),4,
IF(AND(X179&lt;=2,X179&gt;1),5,
IF(AND(X179&lt;=1,X179&gt;0),6,
IF(AND(X179&lt;=0,X179&gt;-1),7,
8))))))))),
10)</f>
        <v>8</v>
      </c>
    </row>
    <row r="180" spans="1:25" ht="15" customHeight="1" x14ac:dyDescent="0.25">
      <c r="A180" s="135"/>
      <c r="B180" s="143" t="s">
        <v>611</v>
      </c>
      <c r="C180" t="str">
        <f>IF(AND(IFERROR(INDEX(Instructions!$T$111:$T$222,MATCH(D180,Instructions!$T$111:$T$222,0)), "")=D180, D180&lt;&gt;""), "X", "")</f>
        <v/>
      </c>
      <c r="D180" s="137" t="s">
        <v>2088</v>
      </c>
      <c r="E180" s="99" t="s">
        <v>142</v>
      </c>
      <c r="F180" s="232">
        <f>IFERROR(IF(AND($F$5="Projected Points",Beersheet!A175&lt;&gt;"QB"), T180, IF(H180="", INDEX(Tier!$B$28:$B$36,MATCH(G180,Tier!$A$28:$A$36,0)), INDEX(Tier!$B$28:$B$36,MATCH(G180,Tier!$A$28:$A$36,0)))), "")</f>
        <v>16.914899999999999</v>
      </c>
      <c r="G180" s="283">
        <f t="shared" si="14"/>
        <v>8</v>
      </c>
      <c r="H180" s="284"/>
      <c r="I180" s="396" t="str">
        <f>IFERROR(INDEX(ADP!S:S,MATCH(D180,ADP!D:D,0))-RBproj!K180,"")</f>
        <v/>
      </c>
      <c r="J180" s="127"/>
      <c r="K180" s="89">
        <v>174</v>
      </c>
      <c r="L180" s="2" t="s">
        <v>611</v>
      </c>
      <c r="M180" s="3">
        <f t="shared" si="12"/>
        <v>0</v>
      </c>
      <c r="N180" s="4">
        <f>IFERROR(INDEX(ADP!AC:AC,MATCH(D180,ADP!Y:Y,0)),0)</f>
        <v>0</v>
      </c>
      <c r="O180" s="4" t="s">
        <v>6</v>
      </c>
      <c r="P180" s="4"/>
      <c r="Q180" s="4"/>
      <c r="R180" s="1" t="str">
        <f>IFERROR(VLOOKUP(S180,FFARawStatProjections!AX:AZ,2,FALSE),"")</f>
        <v>BUF</v>
      </c>
      <c r="S180" s="4" t="str">
        <f>INDEX(FFARawStatProjections!AX:AX,MATCH(WRproj!T180,FFARawStatProjections!AZ:AZ,0))</f>
        <v>Justin Shorter</v>
      </c>
      <c r="T180">
        <f>LARGE(FFARawStatProjections!AZ:AZ,K180)</f>
        <v>16.914899999999999</v>
      </c>
      <c r="U180" s="249">
        <f t="shared" si="11"/>
        <v>-196.18515666666667</v>
      </c>
      <c r="V180" s="243">
        <f t="shared" si="10"/>
        <v>38488.615696324545</v>
      </c>
      <c r="W180" s="244"/>
      <c r="X180" s="243">
        <f t="shared" si="13"/>
        <v>-12.261572291666667</v>
      </c>
      <c r="Y180" s="238">
        <f>IFERROR(
IF(ISBLANK(Beersheet!$A$1)=FALSE,
INDEX(Beersheet!$A:$U,MATCH(S180,INDEX(Beersheet!$A:$U,0,FFARawStatProjections!$BV$2),0),FFARawStatProjections!$BV$6),
IF(X180&gt;6,0,
IF(AND(X180&lt;=6,X180&gt;5),1,
IF(AND(X180&lt;=5,X180&gt;4),2,
IF(AND(X180&lt;=4,X180&gt;3),3,
IF(AND(X180&lt;=3,X180&gt;2),4,
IF(AND(X180&lt;=2,X180&gt;1),5,
IF(AND(X180&lt;=1,X180&gt;0),6,
IF(AND(X180&lt;=0,X180&gt;-1),7,
8))))))))),
10)</f>
        <v>8</v>
      </c>
    </row>
    <row r="181" spans="1:25" ht="15" customHeight="1" x14ac:dyDescent="0.25">
      <c r="A181" s="135"/>
      <c r="B181" s="142" t="s">
        <v>612</v>
      </c>
      <c r="C181" t="str">
        <f>IF(AND(IFERROR(INDEX(Instructions!$T$111:$T$222,MATCH(D181,Instructions!$T$111:$T$222,0)), "")=D181, D181&lt;&gt;""), "X", "")</f>
        <v/>
      </c>
      <c r="D181" s="138" t="s">
        <v>2458</v>
      </c>
      <c r="E181" s="100" t="s">
        <v>156</v>
      </c>
      <c r="F181" s="431">
        <f>IFERROR(IF(AND($F$5="Projected Points",Beersheet!A176&lt;&gt;"QB"), T181, IF(H181="", INDEX(Tier!$B$28:$B$36,MATCH(G181,Tier!$A$28:$A$36,0)), INDEX(Tier!$B$28:$B$36,MATCH(G181,Tier!$A$28:$A$36,0)))), "")</f>
        <v>16.894970000000001</v>
      </c>
      <c r="G181" s="250">
        <f t="shared" si="14"/>
        <v>8</v>
      </c>
      <c r="H181" s="252"/>
      <c r="I181" s="396" t="str">
        <f>IFERROR(INDEX(ADP!S:S,MATCH(D181,ADP!D:D,0))-RBproj!K181,"")</f>
        <v/>
      </c>
      <c r="J181" s="127"/>
      <c r="K181" s="89">
        <v>175</v>
      </c>
      <c r="L181" s="2" t="s">
        <v>612</v>
      </c>
      <c r="M181" s="3">
        <f t="shared" si="12"/>
        <v>0</v>
      </c>
      <c r="N181" s="4">
        <f>IFERROR(INDEX(ADP!AC:AC,MATCH(D181,ADP!Y:Y,0)),0)</f>
        <v>0</v>
      </c>
      <c r="O181" s="4" t="s">
        <v>6</v>
      </c>
      <c r="P181" s="4"/>
      <c r="Q181" s="4"/>
      <c r="R181" s="1" t="str">
        <f>IFERROR(VLOOKUP(S181,FFARawStatProjections!AX:AZ,2,FALSE),"")</f>
        <v>SEA</v>
      </c>
      <c r="S181" s="4" t="str">
        <f>INDEX(FFARawStatProjections!AX:AX,MATCH(WRproj!T181,FFARawStatProjections!AZ:AZ,0))</f>
        <v>Dareke Young</v>
      </c>
      <c r="T181">
        <f>LARGE(FFARawStatProjections!AZ:AZ,K181)</f>
        <v>16.894970000000001</v>
      </c>
      <c r="U181" s="249">
        <f t="shared" si="11"/>
        <v>-196.20508666666666</v>
      </c>
      <c r="V181" s="243">
        <f t="shared" si="10"/>
        <v>38496.436033874175</v>
      </c>
      <c r="W181" s="244"/>
      <c r="X181" s="243">
        <f t="shared" si="13"/>
        <v>-12.262817916666666</v>
      </c>
      <c r="Y181" s="238">
        <f>IFERROR(
IF(ISBLANK(Beersheet!$A$1)=FALSE,
INDEX(Beersheet!$A:$U,MATCH(S181,INDEX(Beersheet!$A:$U,0,FFARawStatProjections!$BV$2),0),FFARawStatProjections!$BV$6),
IF(X181&gt;6,0,
IF(AND(X181&lt;=6,X181&gt;5),1,
IF(AND(X181&lt;=5,X181&gt;4),2,
IF(AND(X181&lt;=4,X181&gt;3),3,
IF(AND(X181&lt;=3,X181&gt;2),4,
IF(AND(X181&lt;=2,X181&gt;1),5,
IF(AND(X181&lt;=1,X181&gt;0),6,
IF(AND(X181&lt;=0,X181&gt;-1),7,
8))))))))),
10)</f>
        <v>8</v>
      </c>
    </row>
    <row r="182" spans="1:25" ht="15" customHeight="1" x14ac:dyDescent="0.25">
      <c r="A182" s="135"/>
      <c r="B182" s="143" t="s">
        <v>1011</v>
      </c>
      <c r="C182" t="str">
        <f>IF(AND(IFERROR(INDEX(Instructions!$T$111:$T$222,MATCH(D182,Instructions!$T$111:$T$222,0)), "")=D182, D182&lt;&gt;""), "X", "")</f>
        <v/>
      </c>
      <c r="D182" s="137" t="s">
        <v>2570</v>
      </c>
      <c r="E182" s="99" t="s">
        <v>140</v>
      </c>
      <c r="F182" s="232">
        <f>IFERROR(IF(AND($F$5="Projected Points",Beersheet!A177&lt;&gt;"QB"), T182, IF(H182="", INDEX(Tier!$B$28:$B$36,MATCH(G182,Tier!$A$28:$A$36,0)), INDEX(Tier!$B$28:$B$36,MATCH(G182,Tier!$A$28:$A$36,0)))), "")</f>
        <v>16.074860000000001</v>
      </c>
      <c r="G182" s="283">
        <f t="shared" si="14"/>
        <v>8</v>
      </c>
      <c r="H182" s="284"/>
      <c r="I182" s="396" t="str">
        <f>IFERROR(INDEX(ADP!S:S,MATCH(D182,ADP!D:D,0))-RBproj!K182,"")</f>
        <v/>
      </c>
      <c r="J182" s="127"/>
      <c r="K182" s="89">
        <v>176</v>
      </c>
      <c r="L182" s="2" t="s">
        <v>1011</v>
      </c>
      <c r="M182" s="3">
        <f t="shared" si="12"/>
        <v>0</v>
      </c>
      <c r="N182" s="4">
        <f>IFERROR(INDEX(ADP!AC:AC,MATCH(D182,ADP!Y:Y,0)),0)</f>
        <v>0</v>
      </c>
      <c r="O182" s="4" t="s">
        <v>6</v>
      </c>
      <c r="P182" s="4"/>
      <c r="Q182" s="4"/>
      <c r="R182" s="1" t="str">
        <f>IFERROR(VLOOKUP(S182,FFARawStatProjections!AX:AZ,2,FALSE),"")</f>
        <v>DET</v>
      </c>
      <c r="S182" s="4" t="str">
        <f>INDEX(FFARawStatProjections!AX:AX,MATCH(WRproj!T182,FFARawStatProjections!AZ:AZ,0))</f>
        <v>Denzel Mims</v>
      </c>
      <c r="T182">
        <f>LARGE(FFARawStatProjections!AZ:AZ,K182)</f>
        <v>16.074860000000001</v>
      </c>
      <c r="U182" s="249">
        <f t="shared" si="11"/>
        <v>-197.02519666666666</v>
      </c>
      <c r="V182" s="243">
        <f t="shared" si="10"/>
        <v>38818.928121538673</v>
      </c>
      <c r="W182" s="244"/>
      <c r="X182" s="243">
        <f t="shared" si="13"/>
        <v>-12.314074791666666</v>
      </c>
      <c r="Y182" s="238">
        <f>IFERROR(
IF(ISBLANK(Beersheet!$A$1)=FALSE,
INDEX(Beersheet!$A:$U,MATCH(S182,INDEX(Beersheet!$A:$U,0,FFARawStatProjections!$BV$2),0),FFARawStatProjections!$BV$6),
IF(X182&gt;6,0,
IF(AND(X182&lt;=6,X182&gt;5),1,
IF(AND(X182&lt;=5,X182&gt;4),2,
IF(AND(X182&lt;=4,X182&gt;3),3,
IF(AND(X182&lt;=3,X182&gt;2),4,
IF(AND(X182&lt;=2,X182&gt;1),5,
IF(AND(X182&lt;=1,X182&gt;0),6,
IF(AND(X182&lt;=0,X182&gt;-1),7,
8))))))))),
10)</f>
        <v>8</v>
      </c>
    </row>
    <row r="183" spans="1:25" ht="15" customHeight="1" x14ac:dyDescent="0.25">
      <c r="A183" s="135"/>
      <c r="B183" s="142" t="s">
        <v>1012</v>
      </c>
      <c r="C183" t="str">
        <f>IF(AND(IFERROR(INDEX(Instructions!$T$111:$T$222,MATCH(D183,Instructions!$T$111:$T$222,0)), "")=D183, D183&lt;&gt;""), "X", "")</f>
        <v/>
      </c>
      <c r="D183" s="138" t="s">
        <v>2454</v>
      </c>
      <c r="E183" s="100" t="s">
        <v>149</v>
      </c>
      <c r="F183" s="431">
        <f>IFERROR(IF(AND($F$5="Projected Points",Beersheet!A178&lt;&gt;"QB"), T183, IF(H183="", INDEX(Tier!$B$28:$B$36,MATCH(G183,Tier!$A$28:$A$36,0)), INDEX(Tier!$B$28:$B$36,MATCH(G183,Tier!$A$28:$A$36,0)))), "")</f>
        <v>15.734910000000001</v>
      </c>
      <c r="G183" s="250">
        <f t="shared" si="14"/>
        <v>8</v>
      </c>
      <c r="H183" s="252"/>
      <c r="I183" s="396" t="str">
        <f>IFERROR(INDEX(ADP!S:S,MATCH(D183,ADP!D:D,0))-RBproj!K183,"")</f>
        <v/>
      </c>
      <c r="J183" s="127"/>
      <c r="K183" s="89">
        <v>177</v>
      </c>
      <c r="L183" s="2" t="s">
        <v>1012</v>
      </c>
      <c r="M183" s="3">
        <f t="shared" si="12"/>
        <v>0</v>
      </c>
      <c r="N183" s="4">
        <f>IFERROR(INDEX(ADP!AC:AC,MATCH(D183,ADP!Y:Y,0)),0)</f>
        <v>0</v>
      </c>
      <c r="O183" s="4" t="s">
        <v>6</v>
      </c>
      <c r="P183" s="4"/>
      <c r="Q183" s="4"/>
      <c r="R183" s="1" t="str">
        <f>IFERROR(VLOOKUP(S183,FFARawStatProjections!AX:AZ,2,FALSE),"")</f>
        <v>PHI</v>
      </c>
      <c r="S183" s="4" t="str">
        <f>INDEX(FFARawStatProjections!AX:AX,MATCH(WRproj!T183,FFARawStatProjections!AZ:AZ,0))</f>
        <v>Joseph Ngata</v>
      </c>
      <c r="T183">
        <f>LARGE(FFARawStatProjections!AZ:AZ,K183)</f>
        <v>15.734910000000001</v>
      </c>
      <c r="U183" s="249">
        <f t="shared" si="11"/>
        <v>-197.36514666666665</v>
      </c>
      <c r="V183" s="243">
        <f t="shared" si="10"/>
        <v>38953.001118754837</v>
      </c>
      <c r="W183" s="244"/>
      <c r="X183" s="243">
        <f t="shared" si="13"/>
        <v>-12.335321666666665</v>
      </c>
      <c r="Y183" s="238">
        <f>IFERROR(
IF(ISBLANK(Beersheet!$A$1)=FALSE,
INDEX(Beersheet!$A:$U,MATCH(S183,INDEX(Beersheet!$A:$U,0,FFARawStatProjections!$BV$2),0),FFARawStatProjections!$BV$6),
IF(X183&gt;6,0,
IF(AND(X183&lt;=6,X183&gt;5),1,
IF(AND(X183&lt;=5,X183&gt;4),2,
IF(AND(X183&lt;=4,X183&gt;3),3,
IF(AND(X183&lt;=3,X183&gt;2),4,
IF(AND(X183&lt;=2,X183&gt;1),5,
IF(AND(X183&lt;=1,X183&gt;0),6,
IF(AND(X183&lt;=0,X183&gt;-1),7,
8))))))))),
10)</f>
        <v>8</v>
      </c>
    </row>
    <row r="184" spans="1:25" ht="15" customHeight="1" x14ac:dyDescent="0.25">
      <c r="A184" s="135"/>
      <c r="B184" s="143" t="s">
        <v>1013</v>
      </c>
      <c r="C184" t="str">
        <f>IF(AND(IFERROR(INDEX(Instructions!$T$111:$T$222,MATCH(D184,Instructions!$T$111:$T$222,0)), "")=D184, D184&lt;&gt;""), "X", "")</f>
        <v/>
      </c>
      <c r="D184" s="137" t="s">
        <v>2569</v>
      </c>
      <c r="E184" s="99" t="s">
        <v>137</v>
      </c>
      <c r="F184" s="232">
        <f>IFERROR(IF(AND($F$5="Projected Points",Beersheet!A179&lt;&gt;"QB"), T184, IF(H184="", INDEX(Tier!$B$28:$B$36,MATCH(G184,Tier!$A$28:$A$36,0)), INDEX(Tier!$B$28:$B$36,MATCH(G184,Tier!$A$28:$A$36,0)))), "")</f>
        <v>15.474920000000003</v>
      </c>
      <c r="G184" s="283">
        <f t="shared" si="14"/>
        <v>8</v>
      </c>
      <c r="H184" s="284"/>
      <c r="I184" s="396" t="str">
        <f>IFERROR(INDEX(ADP!S:S,MATCH(D184,ADP!D:D,0))-RBproj!K184,"")</f>
        <v/>
      </c>
      <c r="J184" s="127"/>
      <c r="K184" s="89">
        <v>178</v>
      </c>
      <c r="L184" s="2" t="s">
        <v>1013</v>
      </c>
      <c r="M184" s="3">
        <f t="shared" si="12"/>
        <v>0</v>
      </c>
      <c r="N184" s="4">
        <f>IFERROR(INDEX(ADP!AC:AC,MATCH(D184,ADP!Y:Y,0)),0)</f>
        <v>0</v>
      </c>
      <c r="O184" s="4" t="s">
        <v>6</v>
      </c>
      <c r="P184" s="4"/>
      <c r="Q184" s="4"/>
      <c r="R184" s="1" t="str">
        <f>IFERROR(VLOOKUP(S184,FFARawStatProjections!AX:AZ,2,FALSE),"")</f>
        <v>LV</v>
      </c>
      <c r="S184" s="4" t="str">
        <f>INDEX(FFARawStatProjections!AX:AX,MATCH(WRproj!T184,FFARawStatProjections!AZ:AZ,0))</f>
        <v>Tre Tucker</v>
      </c>
      <c r="T184">
        <f>LARGE(FFARawStatProjections!AZ:AZ,K184)</f>
        <v>15.474920000000003</v>
      </c>
      <c r="U184" s="249">
        <f t="shared" si="11"/>
        <v>-197.62513666666666</v>
      </c>
      <c r="V184" s="243">
        <f t="shared" si="10"/>
        <v>39055.694642518676</v>
      </c>
      <c r="W184" s="244"/>
      <c r="X184" s="243">
        <f t="shared" si="13"/>
        <v>-12.351571041666666</v>
      </c>
      <c r="Y184" s="238">
        <f>IFERROR(
IF(ISBLANK(Beersheet!$A$1)=FALSE,
INDEX(Beersheet!$A:$U,MATCH(S184,INDEX(Beersheet!$A:$U,0,FFARawStatProjections!$BV$2),0),FFARawStatProjections!$BV$6),
IF(X184&gt;6,0,
IF(AND(X184&lt;=6,X184&gt;5),1,
IF(AND(X184&lt;=5,X184&gt;4),2,
IF(AND(X184&lt;=4,X184&gt;3),3,
IF(AND(X184&lt;=3,X184&gt;2),4,
IF(AND(X184&lt;=2,X184&gt;1),5,
IF(AND(X184&lt;=1,X184&gt;0),6,
IF(AND(X184&lt;=0,X184&gt;-1),7,
8))))))))),
10)</f>
        <v>8</v>
      </c>
    </row>
    <row r="185" spans="1:25" ht="15" customHeight="1" x14ac:dyDescent="0.25">
      <c r="A185" s="135"/>
      <c r="B185" s="142" t="s">
        <v>1014</v>
      </c>
      <c r="C185" t="str">
        <f>IF(AND(IFERROR(INDEX(Instructions!$T$111:$T$222,MATCH(D185,Instructions!$T$111:$T$222,0)), "")=D185, D185&lt;&gt;""), "X", "")</f>
        <v/>
      </c>
      <c r="D185" s="138" t="s">
        <v>2400</v>
      </c>
      <c r="E185" s="100" t="s">
        <v>2073</v>
      </c>
      <c r="F185" s="431">
        <f>IFERROR(IF(AND($F$5="Projected Points",Beersheet!A180&lt;&gt;"QB"), T185, IF(H185="", INDEX(Tier!$B$28:$B$36,MATCH(G185,Tier!$A$28:$A$36,0)), INDEX(Tier!$B$28:$B$36,MATCH(G185,Tier!$A$28:$A$36,0)))), "")</f>
        <v>15.42489</v>
      </c>
      <c r="G185" s="250">
        <f t="shared" si="14"/>
        <v>8</v>
      </c>
      <c r="H185" s="252"/>
      <c r="I185" s="396" t="str">
        <f>IFERROR(INDEX(ADP!S:S,MATCH(D185,ADP!D:D,0))-RBproj!K185,"")</f>
        <v/>
      </c>
      <c r="J185" s="127"/>
      <c r="K185" s="89">
        <v>179</v>
      </c>
      <c r="L185" s="2" t="s">
        <v>1014</v>
      </c>
      <c r="M185" s="3">
        <f t="shared" si="12"/>
        <v>0</v>
      </c>
      <c r="N185" s="4">
        <f>IFERROR(INDEX(ADP!AC:AC,MATCH(D185,ADP!Y:Y,0)),0)</f>
        <v>0</v>
      </c>
      <c r="O185" s="4" t="s">
        <v>6</v>
      </c>
      <c r="P185" s="4"/>
      <c r="Q185" s="4"/>
      <c r="R185" s="1" t="str">
        <f>IFERROR(VLOOKUP(S185,FFARawStatProjections!AX:AZ,2,FALSE),"")</f>
        <v>TB</v>
      </c>
      <c r="S185" s="4" t="str">
        <f>INDEX(FFARawStatProjections!AX:AX,MATCH(WRproj!T185,FFARawStatProjections!AZ:AZ,0))</f>
        <v>Kaylon Geiger</v>
      </c>
      <c r="T185">
        <f>LARGE(FFARawStatProjections!AZ:AZ,K185)</f>
        <v>15.42489</v>
      </c>
      <c r="U185" s="249">
        <f t="shared" si="11"/>
        <v>-197.67516666666666</v>
      </c>
      <c r="V185" s="243">
        <f t="shared" si="10"/>
        <v>39075.471516694437</v>
      </c>
      <c r="W185" s="244"/>
      <c r="X185" s="243">
        <f t="shared" si="13"/>
        <v>-12.354697916666666</v>
      </c>
      <c r="Y185" s="238">
        <f>IFERROR(
IF(ISBLANK(Beersheet!$A$1)=FALSE,
INDEX(Beersheet!$A:$U,MATCH(S185,INDEX(Beersheet!$A:$U,0,FFARawStatProjections!$BV$2),0),FFARawStatProjections!$BV$6),
IF(X185&gt;6,0,
IF(AND(X185&lt;=6,X185&gt;5),1,
IF(AND(X185&lt;=5,X185&gt;4),2,
IF(AND(X185&lt;=4,X185&gt;3),3,
IF(AND(X185&lt;=3,X185&gt;2),4,
IF(AND(X185&lt;=2,X185&gt;1),5,
IF(AND(X185&lt;=1,X185&gt;0),6,
IF(AND(X185&lt;=0,X185&gt;-1),7,
8))))))))),
10)</f>
        <v>8</v>
      </c>
    </row>
    <row r="186" spans="1:25" ht="15" customHeight="1" x14ac:dyDescent="0.25">
      <c r="A186" s="135"/>
      <c r="B186" s="143" t="s">
        <v>1015</v>
      </c>
      <c r="C186" t="str">
        <f>IF(AND(IFERROR(INDEX(Instructions!$T$111:$T$222,MATCH(D186,Instructions!$T$111:$T$222,0)), "")=D186, D186&lt;&gt;""), "X", "")</f>
        <v/>
      </c>
      <c r="D186" s="137" t="s">
        <v>2084</v>
      </c>
      <c r="E186" s="99" t="s">
        <v>138</v>
      </c>
      <c r="F186" s="232">
        <f>IFERROR(IF(AND($F$5="Projected Points",Beersheet!A181&lt;&gt;"QB"), T186, IF(H186="", INDEX(Tier!$B$28:$B$36,MATCH(G186,Tier!$A$28:$A$36,0)), INDEX(Tier!$B$28:$B$36,MATCH(G186,Tier!$A$28:$A$36,0)))), "")</f>
        <v>15.174930000000002</v>
      </c>
      <c r="G186" s="283">
        <f t="shared" si="14"/>
        <v>8</v>
      </c>
      <c r="H186" s="284"/>
      <c r="I186" s="396" t="str">
        <f>IFERROR(INDEX(ADP!S:S,MATCH(D186,ADP!D:D,0))-RBproj!K186,"")</f>
        <v/>
      </c>
      <c r="J186" s="127"/>
      <c r="K186" s="89">
        <v>180</v>
      </c>
      <c r="L186" s="2" t="s">
        <v>1015</v>
      </c>
      <c r="M186" s="3">
        <f t="shared" si="12"/>
        <v>0</v>
      </c>
      <c r="N186" s="4">
        <f>IFERROR(INDEX(ADP!AC:AC,MATCH(D186,ADP!Y:Y,0)),0)</f>
        <v>0</v>
      </c>
      <c r="O186" s="4" t="s">
        <v>6</v>
      </c>
      <c r="P186" s="4"/>
      <c r="Q186" s="4"/>
      <c r="R186" s="1" t="str">
        <f>IFERROR(VLOOKUP(S186,FFARawStatProjections!AX:AZ,2,FALSE),"")</f>
        <v>MIN</v>
      </c>
      <c r="S186" s="4" t="str">
        <f>INDEX(FFARawStatProjections!AX:AX,MATCH(WRproj!T186,FFARawStatProjections!AZ:AZ,0))</f>
        <v>Jalen Reagor</v>
      </c>
      <c r="T186">
        <f>LARGE(FFARawStatProjections!AZ:AZ,K186)</f>
        <v>15.174930000000002</v>
      </c>
      <c r="U186" s="249">
        <f t="shared" si="11"/>
        <v>-197.92512666666667</v>
      </c>
      <c r="V186" s="243">
        <f t="shared" ref="V186:V200" si="15">U186^2</f>
        <v>39174.355766016044</v>
      </c>
      <c r="W186" s="244"/>
      <c r="X186" s="243">
        <f t="shared" si="13"/>
        <v>-12.370320416666667</v>
      </c>
      <c r="Y186" s="238">
        <f>IFERROR(
IF(ISBLANK(Beersheet!$A$1)=FALSE,
INDEX(Beersheet!$A:$U,MATCH(S186,INDEX(Beersheet!$A:$U,0,FFARawStatProjections!$BV$2),0),FFARawStatProjections!$BV$6),
IF(X186&gt;6,0,
IF(AND(X186&lt;=6,X186&gt;5),1,
IF(AND(X186&lt;=5,X186&gt;4),2,
IF(AND(X186&lt;=4,X186&gt;3),3,
IF(AND(X186&lt;=3,X186&gt;2),4,
IF(AND(X186&lt;=2,X186&gt;1),5,
IF(AND(X186&lt;=1,X186&gt;0),6,
IF(AND(X186&lt;=0,X186&gt;-1),7,
8))))))))),
10)</f>
        <v>8</v>
      </c>
    </row>
    <row r="187" spans="1:25" ht="15" customHeight="1" x14ac:dyDescent="0.25">
      <c r="A187" s="135"/>
      <c r="B187" s="142" t="s">
        <v>1016</v>
      </c>
      <c r="C187" t="str">
        <f>IF(AND(IFERROR(INDEX(Instructions!$T$111:$T$222,MATCH(D187,Instructions!$T$111:$T$222,0)), "")=D187, D187&lt;&gt;""), "X", "")</f>
        <v/>
      </c>
      <c r="D187" s="138" t="s">
        <v>2147</v>
      </c>
      <c r="E187" s="100" t="s">
        <v>147</v>
      </c>
      <c r="F187" s="431">
        <f>IFERROR(IF(AND($F$5="Projected Points",Beersheet!A182&lt;&gt;"QB"), T187, IF(H187="", INDEX(Tier!$B$28:$B$36,MATCH(G187,Tier!$A$28:$A$36,0)), INDEX(Tier!$B$28:$B$36,MATCH(G187,Tier!$A$28:$A$36,0)))), "")</f>
        <v>14.765039999999997</v>
      </c>
      <c r="G187" s="250">
        <f t="shared" si="14"/>
        <v>8</v>
      </c>
      <c r="H187" s="252"/>
      <c r="I187" s="396" t="str">
        <f>IFERROR(INDEX(ADP!S:S,MATCH(D187,ADP!D:D,0))-RBproj!K187,"")</f>
        <v/>
      </c>
      <c r="J187" s="105"/>
      <c r="K187" s="89">
        <v>181</v>
      </c>
      <c r="L187" s="2" t="s">
        <v>1016</v>
      </c>
      <c r="M187" s="3">
        <f t="shared" si="12"/>
        <v>0</v>
      </c>
      <c r="N187" s="4">
        <f>IFERROR(INDEX(ADP!AC:AC,MATCH(D187,ADP!Y:Y,0)),0)</f>
        <v>0</v>
      </c>
      <c r="O187" s="4" t="s">
        <v>6</v>
      </c>
      <c r="P187" s="4"/>
      <c r="Q187" s="4"/>
      <c r="R187" s="1" t="str">
        <f>IFERROR(VLOOKUP(S187,FFARawStatProjections!AX:AZ,2,FALSE),"")</f>
        <v>WAS</v>
      </c>
      <c r="S187" s="4" t="str">
        <f>INDEX(FFARawStatProjections!AX:AX,MATCH(WRproj!T187,FFARawStatProjections!AZ:AZ,0))</f>
        <v>Byron Pringle</v>
      </c>
      <c r="T187">
        <f>LARGE(FFARawStatProjections!AZ:AZ,K187)</f>
        <v>14.765039999999997</v>
      </c>
      <c r="U187" s="249">
        <f t="shared" si="11"/>
        <v>-198.33501666666666</v>
      </c>
      <c r="V187" s="243">
        <f t="shared" si="15"/>
        <v>39336.778836166945</v>
      </c>
      <c r="W187" s="244"/>
      <c r="X187" s="243">
        <f t="shared" si="13"/>
        <v>-12.395938541666666</v>
      </c>
      <c r="Y187" s="238">
        <f>IFERROR(
IF(ISBLANK(Beersheet!$A$1)=FALSE,
INDEX(Beersheet!$A:$U,MATCH(S187,INDEX(Beersheet!$A:$U,0,FFARawStatProjections!$BV$2),0),FFARawStatProjections!$BV$6),
IF(X187&gt;6,0,
IF(AND(X187&lt;=6,X187&gt;5),1,
IF(AND(X187&lt;=5,X187&gt;4),2,
IF(AND(X187&lt;=4,X187&gt;3),3,
IF(AND(X187&lt;=3,X187&gt;2),4,
IF(AND(X187&lt;=2,X187&gt;1),5,
IF(AND(X187&lt;=1,X187&gt;0),6,
IF(AND(X187&lt;=0,X187&gt;-1),7,
8))))))))),
10)</f>
        <v>8</v>
      </c>
    </row>
    <row r="188" spans="1:25" ht="15" customHeight="1" x14ac:dyDescent="0.25">
      <c r="A188" s="135"/>
      <c r="B188" s="143" t="s">
        <v>1017</v>
      </c>
      <c r="C188" t="str">
        <f>IF(AND(IFERROR(INDEX(Instructions!$T$111:$T$222,MATCH(D188,Instructions!$T$111:$T$222,0)), "")=D188, D188&lt;&gt;""), "X", "")</f>
        <v/>
      </c>
      <c r="D188" s="137" t="s">
        <v>2456</v>
      </c>
      <c r="E188" s="99" t="s">
        <v>146</v>
      </c>
      <c r="F188" s="232">
        <f>IFERROR(IF(AND($F$5="Projected Points",Beersheet!A183&lt;&gt;"QB"), T188, IF(H188="", INDEX(Tier!$B$28:$B$36,MATCH(G188,Tier!$A$28:$A$36,0)), INDEX(Tier!$B$28:$B$36,MATCH(G188,Tier!$A$28:$A$36,0)))), "")</f>
        <v>14.564960000000001</v>
      </c>
      <c r="G188" s="283">
        <f t="shared" si="14"/>
        <v>8</v>
      </c>
      <c r="H188" s="284"/>
      <c r="I188" s="396" t="str">
        <f>IFERROR(INDEX(ADP!S:S,MATCH(D188,ADP!D:D,0))-RBproj!K188,"")</f>
        <v/>
      </c>
      <c r="J188" s="105"/>
      <c r="K188" s="89">
        <v>182</v>
      </c>
      <c r="L188" s="2" t="s">
        <v>1017</v>
      </c>
      <c r="M188" s="3">
        <f t="shared" si="12"/>
        <v>0</v>
      </c>
      <c r="N188" s="4">
        <f>IFERROR(INDEX(ADP!AC:AC,MATCH(D188,ADP!Y:Y,0)),0)</f>
        <v>0</v>
      </c>
      <c r="O188" s="4" t="s">
        <v>6</v>
      </c>
      <c r="P188" s="4"/>
      <c r="Q188" s="4"/>
      <c r="R188" s="1" t="str">
        <f>IFERROR(VLOOKUP(S188,FFARawStatProjections!AX:AZ,2,FALSE),"")</f>
        <v>DAL</v>
      </c>
      <c r="S188" s="4" t="str">
        <f>INDEX(FFARawStatProjections!AX:AX,MATCH(WRproj!T188,FFARawStatProjections!AZ:AZ,0))</f>
        <v>KaVontae Turpin</v>
      </c>
      <c r="T188">
        <f>LARGE(FFARawStatProjections!AZ:AZ,K188)</f>
        <v>14.564960000000001</v>
      </c>
      <c r="U188" s="249">
        <f t="shared" si="11"/>
        <v>-198.53509666666665</v>
      </c>
      <c r="V188" s="243">
        <f t="shared" si="15"/>
        <v>39416.184608442672</v>
      </c>
      <c r="W188" s="244"/>
      <c r="X188" s="243">
        <f t="shared" si="13"/>
        <v>-12.408443541666665</v>
      </c>
      <c r="Y188" s="238">
        <f>IFERROR(
IF(ISBLANK(Beersheet!$A$1)=FALSE,
INDEX(Beersheet!$A:$U,MATCH(S188,INDEX(Beersheet!$A:$U,0,FFARawStatProjections!$BV$2),0),FFARawStatProjections!$BV$6),
IF(X188&gt;6,0,
IF(AND(X188&lt;=6,X188&gt;5),1,
IF(AND(X188&lt;=5,X188&gt;4),2,
IF(AND(X188&lt;=4,X188&gt;3),3,
IF(AND(X188&lt;=3,X188&gt;2),4,
IF(AND(X188&lt;=2,X188&gt;1),5,
IF(AND(X188&lt;=1,X188&gt;0),6,
IF(AND(X188&lt;=0,X188&gt;-1),7,
8))))))))),
10)</f>
        <v>8</v>
      </c>
    </row>
    <row r="189" spans="1:25" ht="15" customHeight="1" x14ac:dyDescent="0.25">
      <c r="A189" s="135"/>
      <c r="B189" s="142" t="s">
        <v>1018</v>
      </c>
      <c r="C189" t="str">
        <f>IF(AND(IFERROR(INDEX(Instructions!$T$111:$T$222,MATCH(D189,Instructions!$T$111:$T$222,0)), "")=D189, D189&lt;&gt;""), "X", "")</f>
        <v/>
      </c>
      <c r="D189" s="138" t="s">
        <v>1346</v>
      </c>
      <c r="E189" s="100" t="s">
        <v>161</v>
      </c>
      <c r="F189" s="431">
        <f>IFERROR(IF(AND($F$5="Projected Points",Beersheet!A184&lt;&gt;"QB"), T189, IF(H189="", INDEX(Tier!$B$28:$B$36,MATCH(G189,Tier!$A$28:$A$36,0)), INDEX(Tier!$B$28:$B$36,MATCH(G189,Tier!$A$28:$A$36,0)))), "")</f>
        <v>14.17503</v>
      </c>
      <c r="G189" s="250">
        <f t="shared" si="14"/>
        <v>8</v>
      </c>
      <c r="H189" s="252"/>
      <c r="I189" s="396" t="str">
        <f>IFERROR(INDEX(ADP!S:S,MATCH(D189,ADP!D:D,0))-RBproj!K189,"")</f>
        <v/>
      </c>
      <c r="J189" s="105"/>
      <c r="K189" s="89">
        <v>183</v>
      </c>
      <c r="L189" s="2" t="s">
        <v>1018</v>
      </c>
      <c r="M189" s="3">
        <f t="shared" si="12"/>
        <v>0</v>
      </c>
      <c r="N189" s="4">
        <f>IFERROR(INDEX(ADP!AC:AC,MATCH(D189,ADP!Y:Y,0)),0)</f>
        <v>0</v>
      </c>
      <c r="O189" s="4" t="s">
        <v>6</v>
      </c>
      <c r="P189" s="4"/>
      <c r="Q189" s="4"/>
      <c r="R189" s="1" t="str">
        <f>IFERROR(VLOOKUP(S189,FFARawStatProjections!AX:AZ,2,FALSE),"")</f>
        <v>CHI</v>
      </c>
      <c r="S189" s="4" t="str">
        <f>INDEX(FFARawStatProjections!AX:AX,MATCH(WRproj!T189,FFARawStatProjections!AZ:AZ,0))</f>
        <v>Dante Pettis</v>
      </c>
      <c r="T189">
        <f>LARGE(FFARawStatProjections!AZ:AZ,K189)</f>
        <v>14.17503</v>
      </c>
      <c r="U189" s="249">
        <f t="shared" si="11"/>
        <v>-198.92502666666667</v>
      </c>
      <c r="V189" s="243">
        <f t="shared" si="15"/>
        <v>39571.166234334043</v>
      </c>
      <c r="W189" s="244"/>
      <c r="X189" s="243">
        <f t="shared" si="13"/>
        <v>-12.432814166666667</v>
      </c>
      <c r="Y189" s="238">
        <f>IFERROR(
IF(ISBLANK(Beersheet!$A$1)=FALSE,
INDEX(Beersheet!$A:$U,MATCH(S189,INDEX(Beersheet!$A:$U,0,FFARawStatProjections!$BV$2),0),FFARawStatProjections!$BV$6),
IF(X189&gt;6,0,
IF(AND(X189&lt;=6,X189&gt;5),1,
IF(AND(X189&lt;=5,X189&gt;4),2,
IF(AND(X189&lt;=4,X189&gt;3),3,
IF(AND(X189&lt;=3,X189&gt;2),4,
IF(AND(X189&lt;=2,X189&gt;1),5,
IF(AND(X189&lt;=1,X189&gt;0),6,
IF(AND(X189&lt;=0,X189&gt;-1),7,
8))))))))),
10)</f>
        <v>8</v>
      </c>
    </row>
    <row r="190" spans="1:25" ht="15" customHeight="1" x14ac:dyDescent="0.25">
      <c r="A190" s="135"/>
      <c r="B190" s="143" t="s">
        <v>1019</v>
      </c>
      <c r="C190" t="str">
        <f>IF(AND(IFERROR(INDEX(Instructions!$T$111:$T$222,MATCH(D190,Instructions!$T$111:$T$222,0)), "")=D190, D190&lt;&gt;""), "X", "")</f>
        <v/>
      </c>
      <c r="D190" s="137" t="s">
        <v>2223</v>
      </c>
      <c r="E190" s="99" t="s">
        <v>158</v>
      </c>
      <c r="F190" s="232">
        <f>IFERROR(IF(AND($F$5="Projected Points",Beersheet!A185&lt;&gt;"QB"), T190, IF(H190="", INDEX(Tier!$B$28:$B$36,MATCH(G190,Tier!$A$28:$A$36,0)), INDEX(Tier!$B$28:$B$36,MATCH(G190,Tier!$A$28:$A$36,0)))), "")</f>
        <v>14.024939999999999</v>
      </c>
      <c r="G190" s="283">
        <f t="shared" si="14"/>
        <v>8</v>
      </c>
      <c r="H190" s="284"/>
      <c r="I190" s="396" t="str">
        <f>IFERROR(INDEX(ADP!S:S,MATCH(D190,ADP!D:D,0))-RBproj!K190,"")</f>
        <v/>
      </c>
      <c r="J190" s="105"/>
      <c r="K190" s="89">
        <v>184</v>
      </c>
      <c r="L190" s="2" t="s">
        <v>1019</v>
      </c>
      <c r="M190" s="3">
        <f t="shared" si="12"/>
        <v>0</v>
      </c>
      <c r="N190" s="4">
        <f>IFERROR(INDEX(ADP!AC:AC,MATCH(D190,ADP!Y:Y,0)),0)</f>
        <v>0</v>
      </c>
      <c r="O190" s="4" t="s">
        <v>6</v>
      </c>
      <c r="P190" s="4"/>
      <c r="Q190" s="4"/>
      <c r="R190" s="1" t="str">
        <f>IFERROR(VLOOKUP(S190,FFARawStatProjections!AX:AZ,2,FALSE),"")</f>
        <v>CLE</v>
      </c>
      <c r="S190" s="4" t="str">
        <f>INDEX(FFARawStatProjections!AX:AX,MATCH(WRproj!T190,FFARawStatProjections!AZ:AZ,0))</f>
        <v>Jakeem Grant</v>
      </c>
      <c r="T190">
        <f>LARGE(FFARawStatProjections!AZ:AZ,K190)</f>
        <v>14.024939999999999</v>
      </c>
      <c r="U190" s="249">
        <f t="shared" si="11"/>
        <v>-199.07511666666667</v>
      </c>
      <c r="V190" s="243">
        <f t="shared" si="15"/>
        <v>39630.902075846949</v>
      </c>
      <c r="W190" s="244"/>
      <c r="X190" s="243">
        <f t="shared" si="13"/>
        <v>-12.442194791666667</v>
      </c>
      <c r="Y190" s="238">
        <f>IFERROR(
IF(ISBLANK(Beersheet!$A$1)=FALSE,
INDEX(Beersheet!$A:$U,MATCH(S190,INDEX(Beersheet!$A:$U,0,FFARawStatProjections!$BV$2),0),FFARawStatProjections!$BV$6),
IF(X190&gt;6,0,
IF(AND(X190&lt;=6,X190&gt;5),1,
IF(AND(X190&lt;=5,X190&gt;4),2,
IF(AND(X190&lt;=4,X190&gt;3),3,
IF(AND(X190&lt;=3,X190&gt;2),4,
IF(AND(X190&lt;=2,X190&gt;1),5,
IF(AND(X190&lt;=1,X190&gt;0),6,
IF(AND(X190&lt;=0,X190&gt;-1),7,
8))))))))),
10)</f>
        <v>8</v>
      </c>
    </row>
    <row r="191" spans="1:25" ht="15" customHeight="1" x14ac:dyDescent="0.25">
      <c r="A191" s="135"/>
      <c r="B191" s="142" t="s">
        <v>1020</v>
      </c>
      <c r="C191" t="str">
        <f>IF(AND(IFERROR(INDEX(Instructions!$T$111:$T$222,MATCH(D191,Instructions!$T$111:$T$222,0)), "")=D191, D191&lt;&gt;""), "X", "")</f>
        <v/>
      </c>
      <c r="D191" s="138" t="s">
        <v>2127</v>
      </c>
      <c r="E191" s="100" t="s">
        <v>152</v>
      </c>
      <c r="F191" s="431">
        <f>IFERROR(IF(AND($F$5="Projected Points",Beersheet!A186&lt;&gt;"QB"), T191, IF(H191="", INDEX(Tier!$B$28:$B$36,MATCH(G191,Tier!$A$28:$A$36,0)), INDEX(Tier!$B$28:$B$36,MATCH(G191,Tier!$A$28:$A$36,0)))), "")</f>
        <v>14.014880000000002</v>
      </c>
      <c r="G191" s="250">
        <f t="shared" si="14"/>
        <v>8</v>
      </c>
      <c r="H191" s="252"/>
      <c r="I191" s="396" t="str">
        <f>IFERROR(INDEX(ADP!S:S,MATCH(D191,ADP!D:D,0))-RBproj!K191,"")</f>
        <v/>
      </c>
      <c r="J191" s="105"/>
      <c r="K191" s="89">
        <v>185</v>
      </c>
      <c r="L191" s="2" t="s">
        <v>1020</v>
      </c>
      <c r="M191" s="3">
        <f t="shared" si="12"/>
        <v>0</v>
      </c>
      <c r="N191" s="4">
        <f>IFERROR(INDEX(ADP!AC:AC,MATCH(D191,ADP!Y:Y,0)),0)</f>
        <v>0</v>
      </c>
      <c r="O191" s="4" t="s">
        <v>6</v>
      </c>
      <c r="P191" s="4"/>
      <c r="Q191" s="4"/>
      <c r="R191" s="1" t="str">
        <f>IFERROR(VLOOKUP(S191,FFARawStatProjections!AX:AZ,2,FALSE),"")</f>
        <v>PIT</v>
      </c>
      <c r="S191" s="4" t="str">
        <f>INDEX(FFARawStatProjections!AX:AX,MATCH(WRproj!T191,FFARawStatProjections!AZ:AZ,0))</f>
        <v>Gunner Olszewski</v>
      </c>
      <c r="T191">
        <f>LARGE(FFARawStatProjections!AZ:AZ,K191)</f>
        <v>14.014880000000002</v>
      </c>
      <c r="U191" s="249">
        <f t="shared" si="11"/>
        <v>-199.08517666666665</v>
      </c>
      <c r="V191" s="243">
        <f t="shared" si="15"/>
        <v>39634.907568397874</v>
      </c>
      <c r="W191" s="244"/>
      <c r="X191" s="243">
        <f t="shared" si="13"/>
        <v>-12.442823541666666</v>
      </c>
      <c r="Y191" s="238">
        <f>IFERROR(
IF(ISBLANK(Beersheet!$A$1)=FALSE,
INDEX(Beersheet!$A:$U,MATCH(S191,INDEX(Beersheet!$A:$U,0,FFARawStatProjections!$BV$2),0),FFARawStatProjections!$BV$6),
IF(X191&gt;6,0,
IF(AND(X191&lt;=6,X191&gt;5),1,
IF(AND(X191&lt;=5,X191&gt;4),2,
IF(AND(X191&lt;=4,X191&gt;3),3,
IF(AND(X191&lt;=3,X191&gt;2),4,
IF(AND(X191&lt;=2,X191&gt;1),5,
IF(AND(X191&lt;=1,X191&gt;0),6,
IF(AND(X191&lt;=0,X191&gt;-1),7,
8))))))))),
10)</f>
        <v>8</v>
      </c>
    </row>
    <row r="192" spans="1:25" ht="15" customHeight="1" x14ac:dyDescent="0.25">
      <c r="A192" s="135"/>
      <c r="B192" s="143" t="s">
        <v>1021</v>
      </c>
      <c r="C192" t="str">
        <f>IF(AND(IFERROR(INDEX(Instructions!$T$111:$T$222,MATCH(D192,Instructions!$T$111:$T$222,0)), "")=D192, D192&lt;&gt;""), "X", "")</f>
        <v/>
      </c>
      <c r="D192" s="137" t="s">
        <v>2211</v>
      </c>
      <c r="E192" s="99" t="s">
        <v>155</v>
      </c>
      <c r="F192" s="232">
        <f>IFERROR(IF(AND($F$5="Projected Points",Beersheet!A187&lt;&gt;"QB"), T192, IF(H192="", INDEX(Tier!$B$28:$B$36,MATCH(G192,Tier!$A$28:$A$36,0)), INDEX(Tier!$B$28:$B$36,MATCH(G192,Tier!$A$28:$A$36,0)))), "")</f>
        <v>13.554979999999999</v>
      </c>
      <c r="G192" s="283">
        <f t="shared" si="14"/>
        <v>8</v>
      </c>
      <c r="H192" s="284"/>
      <c r="I192" s="396" t="str">
        <f>IFERROR(INDEX(ADP!S:S,MATCH(D192,ADP!D:D,0))-RBproj!K192,"")</f>
        <v/>
      </c>
      <c r="J192" s="105"/>
      <c r="K192" s="89">
        <v>186</v>
      </c>
      <c r="L192" s="2" t="s">
        <v>1021</v>
      </c>
      <c r="M192" s="3">
        <f t="shared" si="12"/>
        <v>0</v>
      </c>
      <c r="N192" s="4">
        <f>IFERROR(INDEX(ADP!AC:AC,MATCH(D192,ADP!Y:Y,0)),0)</f>
        <v>0</v>
      </c>
      <c r="O192" s="4" t="s">
        <v>6</v>
      </c>
      <c r="P192" s="4"/>
      <c r="Q192" s="4"/>
      <c r="R192" s="1" t="str">
        <f>IFERROR(VLOOKUP(S192,FFARawStatProjections!AX:AZ,2,FALSE),"")</f>
        <v>IND</v>
      </c>
      <c r="S192" s="4" t="str">
        <f>INDEX(FFARawStatProjections!AX:AX,MATCH(WRproj!T192,FFARawStatProjections!AZ:AZ,0))</f>
        <v>Ashton Dulin</v>
      </c>
      <c r="T192">
        <f>LARGE(FFARawStatProjections!AZ:AZ,K192)</f>
        <v>13.554979999999999</v>
      </c>
      <c r="U192" s="249">
        <f t="shared" si="11"/>
        <v>-199.54507666666666</v>
      </c>
      <c r="V192" s="243">
        <f t="shared" si="15"/>
        <v>39818.237621905871</v>
      </c>
      <c r="W192" s="244"/>
      <c r="X192" s="243">
        <f t="shared" si="13"/>
        <v>-12.471567291666666</v>
      </c>
      <c r="Y192" s="238">
        <f>IFERROR(
IF(ISBLANK(Beersheet!$A$1)=FALSE,
INDEX(Beersheet!$A:$U,MATCH(S192,INDEX(Beersheet!$A:$U,0,FFARawStatProjections!$BV$2),0),FFARawStatProjections!$BV$6),
IF(X192&gt;6,0,
IF(AND(X192&lt;=6,X192&gt;5),1,
IF(AND(X192&lt;=5,X192&gt;4),2,
IF(AND(X192&lt;=4,X192&gt;3),3,
IF(AND(X192&lt;=3,X192&gt;2),4,
IF(AND(X192&lt;=2,X192&gt;1),5,
IF(AND(X192&lt;=1,X192&gt;0),6,
IF(AND(X192&lt;=0,X192&gt;-1),7,
8))))))))),
10)</f>
        <v>8</v>
      </c>
    </row>
    <row r="193" spans="1:25" ht="15" customHeight="1" x14ac:dyDescent="0.25">
      <c r="A193" s="135"/>
      <c r="B193" s="142" t="s">
        <v>1022</v>
      </c>
      <c r="C193" t="str">
        <f>IF(AND(IFERROR(INDEX(Instructions!$T$111:$T$222,MATCH(D193,Instructions!$T$111:$T$222,0)), "")=D193, D193&lt;&gt;""), "X", "")</f>
        <v/>
      </c>
      <c r="D193" s="138" t="s">
        <v>1794</v>
      </c>
      <c r="E193" s="100" t="s">
        <v>141</v>
      </c>
      <c r="F193" s="431">
        <f>IFERROR(IF(AND($F$5="Projected Points",Beersheet!A188&lt;&gt;"QB"), T193, IF(H193="", INDEX(Tier!$B$28:$B$36,MATCH(G193,Tier!$A$28:$A$36,0)), INDEX(Tier!$B$28:$B$36,MATCH(G193,Tier!$A$28:$A$36,0)))), "")</f>
        <v>13.154949999999998</v>
      </c>
      <c r="G193" s="250">
        <f t="shared" si="14"/>
        <v>8</v>
      </c>
      <c r="H193" s="252"/>
      <c r="I193" s="396" t="str">
        <f>IFERROR(INDEX(ADP!S:S,MATCH(D193,ADP!D:D,0))-RBproj!K193,"")</f>
        <v/>
      </c>
      <c r="J193" s="105"/>
      <c r="K193" s="89">
        <v>187</v>
      </c>
      <c r="L193" s="2" t="s">
        <v>1022</v>
      </c>
      <c r="M193" s="3">
        <f t="shared" si="12"/>
        <v>0</v>
      </c>
      <c r="N193" s="4">
        <f>IFERROR(INDEX(ADP!AC:AC,MATCH(D193,ADP!Y:Y,0)),0)</f>
        <v>0</v>
      </c>
      <c r="O193" s="4" t="s">
        <v>6</v>
      </c>
      <c r="P193" s="4"/>
      <c r="Q193" s="4"/>
      <c r="R193" s="1" t="str">
        <f>IFERROR(VLOOKUP(S193,FFARawStatProjections!AX:AZ,2,FALSE),"")</f>
        <v>SF</v>
      </c>
      <c r="S193" s="4" t="str">
        <f>INDEX(FFARawStatProjections!AX:AX,MATCH(WRproj!T193,FFARawStatProjections!AZ:AZ,0))</f>
        <v>Ray-Ray McCloud</v>
      </c>
      <c r="T193">
        <f>LARGE(FFARawStatProjections!AZ:AZ,K193)</f>
        <v>13.154949999999998</v>
      </c>
      <c r="U193" s="249">
        <f t="shared" si="11"/>
        <v>-199.94510666666667</v>
      </c>
      <c r="V193" s="243">
        <f t="shared" si="15"/>
        <v>39978.045679944713</v>
      </c>
      <c r="W193" s="244"/>
      <c r="X193" s="243">
        <f t="shared" si="13"/>
        <v>-12.496569166666667</v>
      </c>
      <c r="Y193" s="238">
        <f>IFERROR(
IF(ISBLANK(Beersheet!$A$1)=FALSE,
INDEX(Beersheet!$A:$U,MATCH(S193,INDEX(Beersheet!$A:$U,0,FFARawStatProjections!$BV$2),0),FFARawStatProjections!$BV$6),
IF(X193&gt;6,0,
IF(AND(X193&lt;=6,X193&gt;5),1,
IF(AND(X193&lt;=5,X193&gt;4),2,
IF(AND(X193&lt;=4,X193&gt;3),3,
IF(AND(X193&lt;=3,X193&gt;2),4,
IF(AND(X193&lt;=2,X193&gt;1),5,
IF(AND(X193&lt;=1,X193&gt;0),6,
IF(AND(X193&lt;=0,X193&gt;-1),7,
8))))))))),
10)</f>
        <v>8</v>
      </c>
    </row>
    <row r="194" spans="1:25" ht="15" customHeight="1" x14ac:dyDescent="0.25">
      <c r="A194" s="135"/>
      <c r="B194" s="143" t="s">
        <v>1023</v>
      </c>
      <c r="C194" t="str">
        <f>IF(AND(IFERROR(INDEX(Instructions!$T$111:$T$222,MATCH(D194,Instructions!$T$111:$T$222,0)), "")=D194, D194&lt;&gt;""), "X", "")</f>
        <v/>
      </c>
      <c r="D194" s="137" t="s">
        <v>2536</v>
      </c>
      <c r="E194" s="99" t="s">
        <v>145</v>
      </c>
      <c r="F194" s="232">
        <f>IFERROR(IF(AND($F$5="Projected Points",Beersheet!A189&lt;&gt;"QB"), T194, IF(H194="", INDEX(Tier!$B$28:$B$36,MATCH(G194,Tier!$A$28:$A$36,0)), INDEX(Tier!$B$28:$B$36,MATCH(G194,Tier!$A$28:$A$36,0)))), "")</f>
        <v>13.115079999999999</v>
      </c>
      <c r="G194" s="283">
        <f t="shared" si="14"/>
        <v>8</v>
      </c>
      <c r="H194" s="284"/>
      <c r="I194" s="396" t="str">
        <f>IFERROR(INDEX(ADP!S:S,MATCH(D194,ADP!D:D,0))-RBproj!K194,"")</f>
        <v/>
      </c>
      <c r="J194" s="105"/>
      <c r="K194" s="89">
        <v>188</v>
      </c>
      <c r="L194" s="2" t="s">
        <v>1023</v>
      </c>
      <c r="M194" s="3">
        <f t="shared" si="12"/>
        <v>0</v>
      </c>
      <c r="N194" s="4">
        <f>IFERROR(INDEX(ADP!AC:AC,MATCH(D194,ADP!Y:Y,0)),0)</f>
        <v>0</v>
      </c>
      <c r="O194" s="4" t="s">
        <v>6</v>
      </c>
      <c r="P194" s="4"/>
      <c r="Q194" s="4"/>
      <c r="R194" s="1" t="str">
        <f>IFERROR(VLOOKUP(S194,FFARawStatProjections!AX:AZ,2,FALSE),"")</f>
        <v>MIA</v>
      </c>
      <c r="S194" s="4" t="str">
        <f>INDEX(FFARawStatProjections!AX:AX,MATCH(WRproj!T194,FFARawStatProjections!AZ:AZ,0))</f>
        <v>Erik Ezukanma</v>
      </c>
      <c r="T194">
        <f>LARGE(FFARawStatProjections!AZ:AZ,K194)</f>
        <v>13.115079999999999</v>
      </c>
      <c r="U194" s="249">
        <f t="shared" si="11"/>
        <v>-199.98497666666665</v>
      </c>
      <c r="V194" s="243">
        <f t="shared" si="15"/>
        <v>39993.990892367205</v>
      </c>
      <c r="W194" s="244"/>
      <c r="X194" s="243">
        <f t="shared" si="13"/>
        <v>-12.499061041666666</v>
      </c>
      <c r="Y194" s="238">
        <f>IFERROR(
IF(ISBLANK(Beersheet!$A$1)=FALSE,
INDEX(Beersheet!$A:$U,MATCH(S194,INDEX(Beersheet!$A:$U,0,FFARawStatProjections!$BV$2),0),FFARawStatProjections!$BV$6),
IF(X194&gt;6,0,
IF(AND(X194&lt;=6,X194&gt;5),1,
IF(AND(X194&lt;=5,X194&gt;4),2,
IF(AND(X194&lt;=4,X194&gt;3),3,
IF(AND(X194&lt;=3,X194&gt;2),4,
IF(AND(X194&lt;=2,X194&gt;1),5,
IF(AND(X194&lt;=1,X194&gt;0),6,
IF(AND(X194&lt;=0,X194&gt;-1),7,
8))))))))),
10)</f>
        <v>8</v>
      </c>
    </row>
    <row r="195" spans="1:25" ht="15" customHeight="1" x14ac:dyDescent="0.25">
      <c r="A195" s="135"/>
      <c r="B195" s="142" t="s">
        <v>1024</v>
      </c>
      <c r="C195" t="str">
        <f>IF(AND(IFERROR(INDEX(Instructions!$T$111:$T$222,MATCH(D195,Instructions!$T$111:$T$222,0)), "")=D195, D195&lt;&gt;""), "X", "")</f>
        <v/>
      </c>
      <c r="D195" s="138" t="s">
        <v>2341</v>
      </c>
      <c r="E195" s="100" t="s">
        <v>166</v>
      </c>
      <c r="F195" s="431">
        <f>IFERROR(IF(AND($F$5="Projected Points",Beersheet!A190&lt;&gt;"QB"), T195, IF(H195="", INDEX(Tier!$B$28:$B$36,MATCH(G195,Tier!$A$28:$A$36,0)), INDEX(Tier!$B$28:$B$36,MATCH(G195,Tier!$A$28:$A$36,0)))), "")</f>
        <v>12.51505</v>
      </c>
      <c r="G195" s="250">
        <f t="shared" si="14"/>
        <v>8</v>
      </c>
      <c r="H195" s="252"/>
      <c r="I195" s="396" t="str">
        <f>IFERROR(INDEX(ADP!S:S,MATCH(D195,ADP!D:D,0))-RBproj!K195,"")</f>
        <v/>
      </c>
      <c r="J195" s="105"/>
      <c r="K195" s="89">
        <v>189</v>
      </c>
      <c r="L195" s="2" t="s">
        <v>1024</v>
      </c>
      <c r="M195" s="3">
        <f t="shared" si="12"/>
        <v>0</v>
      </c>
      <c r="N195" s="4">
        <f>IFERROR(INDEX(ADP!AC:AC,MATCH(D195,ADP!Y:Y,0)),0)</f>
        <v>0</v>
      </c>
      <c r="O195" s="4" t="s">
        <v>6</v>
      </c>
      <c r="P195" s="4"/>
      <c r="Q195" s="4"/>
      <c r="R195" s="1" t="str">
        <f>IFERROR(VLOOKUP(S195,FFARawStatProjections!AX:AZ,2,FALSE),"")</f>
        <v>TB</v>
      </c>
      <c r="S195" s="4" t="str">
        <f>INDEX(FFARawStatProjections!AX:AX,MATCH(WRproj!T195,FFARawStatProjections!AZ:AZ,0))</f>
        <v>Rakim Jarrett</v>
      </c>
      <c r="T195">
        <f>LARGE(FFARawStatProjections!AZ:AZ,K195)</f>
        <v>12.51505</v>
      </c>
      <c r="U195" s="249">
        <f t="shared" si="11"/>
        <v>-200.58500666666666</v>
      </c>
      <c r="V195" s="243">
        <f t="shared" si="15"/>
        <v>40234.344899466705</v>
      </c>
      <c r="W195" s="244"/>
      <c r="X195" s="243">
        <f t="shared" si="13"/>
        <v>-12.536562916666666</v>
      </c>
      <c r="Y195" s="238">
        <f>IFERROR(
IF(ISBLANK(Beersheet!$A$1)=FALSE,
INDEX(Beersheet!$A:$U,MATCH(S195,INDEX(Beersheet!$A:$U,0,FFARawStatProjections!$BV$2),0),FFARawStatProjections!$BV$6),
IF(X195&gt;6,0,
IF(AND(X195&lt;=6,X195&gt;5),1,
IF(AND(X195&lt;=5,X195&gt;4),2,
IF(AND(X195&lt;=4,X195&gt;3),3,
IF(AND(X195&lt;=3,X195&gt;2),4,
IF(AND(X195&lt;=2,X195&gt;1),5,
IF(AND(X195&lt;=1,X195&gt;0),6,
IF(AND(X195&lt;=0,X195&gt;-1),7,
8))))))))),
10)</f>
        <v>8</v>
      </c>
    </row>
    <row r="196" spans="1:25" ht="15" customHeight="1" x14ac:dyDescent="0.25">
      <c r="A196" s="135"/>
      <c r="B196" s="143" t="s">
        <v>1025</v>
      </c>
      <c r="C196" t="str">
        <f>IF(AND(IFERROR(INDEX(Instructions!$T$111:$T$222,MATCH(D196,Instructions!$T$111:$T$222,0)), "")=D196, D196&lt;&gt;""), "X", "")</f>
        <v/>
      </c>
      <c r="D196" s="137" t="s">
        <v>2447</v>
      </c>
      <c r="E196" s="99" t="s">
        <v>1389</v>
      </c>
      <c r="F196" s="232">
        <f>IFERROR(IF(AND($F$5="Projected Points",Beersheet!A191&lt;&gt;"QB"), T196, IF(H196="", INDEX(Tier!$B$28:$B$36,MATCH(G196,Tier!$A$28:$A$36,0)), INDEX(Tier!$B$28:$B$36,MATCH(G196,Tier!$A$28:$A$36,0)))), "")</f>
        <v>12.38499</v>
      </c>
      <c r="G196" s="283">
        <f t="shared" si="14"/>
        <v>8</v>
      </c>
      <c r="H196" s="284"/>
      <c r="I196" s="396" t="str">
        <f>IFERROR(INDEX(ADP!S:S,MATCH(D196,ADP!D:D,0))-RBproj!K196,"")</f>
        <v/>
      </c>
      <c r="J196" s="105"/>
      <c r="K196" s="89">
        <v>190</v>
      </c>
      <c r="L196" s="2" t="s">
        <v>1025</v>
      </c>
      <c r="M196" s="3">
        <f t="shared" si="12"/>
        <v>0</v>
      </c>
      <c r="N196" s="4">
        <f>IFERROR(INDEX(ADP!AC:AC,MATCH(D196,ADP!Y:Y,0)),0)</f>
        <v>0</v>
      </c>
      <c r="O196" s="4" t="s">
        <v>6</v>
      </c>
      <c r="P196" s="4"/>
      <c r="Q196" s="4"/>
      <c r="R196" s="1" t="str">
        <f>IFERROR(VLOOKUP(S196,FFARawStatProjections!AX:AZ,2,FALSE),"")</f>
        <v>SF</v>
      </c>
      <c r="S196" s="4" t="str">
        <f>INDEX(FFARawStatProjections!AX:AX,MATCH(WRproj!T196,FFARawStatProjections!AZ:AZ,0))</f>
        <v>Ronnie Bell</v>
      </c>
      <c r="T196">
        <f>LARGE(FFARawStatProjections!AZ:AZ,K196)</f>
        <v>12.38499</v>
      </c>
      <c r="U196" s="249">
        <f t="shared" si="11"/>
        <v>-200.71506666666667</v>
      </c>
      <c r="V196" s="243">
        <f t="shared" si="15"/>
        <v>40286.537987004449</v>
      </c>
      <c r="W196" s="244"/>
      <c r="X196" s="243">
        <f t="shared" si="13"/>
        <v>-12.544691666666667</v>
      </c>
      <c r="Y196" s="238">
        <f>IFERROR(
IF(ISBLANK(Beersheet!$A$1)=FALSE,
INDEX(Beersheet!$A:$U,MATCH(S196,INDEX(Beersheet!$A:$U,0,FFARawStatProjections!$BV$2),0),FFARawStatProjections!$BV$6),
IF(X196&gt;6,0,
IF(AND(X196&lt;=6,X196&gt;5),1,
IF(AND(X196&lt;=5,X196&gt;4),2,
IF(AND(X196&lt;=4,X196&gt;3),3,
IF(AND(X196&lt;=3,X196&gt;2),4,
IF(AND(X196&lt;=2,X196&gt;1),5,
IF(AND(X196&lt;=1,X196&gt;0),6,
IF(AND(X196&lt;=0,X196&gt;-1),7,
8))))))))),
10)</f>
        <v>8</v>
      </c>
    </row>
    <row r="197" spans="1:25" ht="15" customHeight="1" x14ac:dyDescent="0.25">
      <c r="A197" s="135"/>
      <c r="B197" s="142" t="s">
        <v>1026</v>
      </c>
      <c r="C197" t="str">
        <f>IF(AND(IFERROR(INDEX(Instructions!$T$111:$T$222,MATCH(D197,Instructions!$T$111:$T$222,0)), "")=D197, D197&lt;&gt;""), "X", "")</f>
        <v/>
      </c>
      <c r="D197" s="138" t="s">
        <v>2557</v>
      </c>
      <c r="E197" s="100" t="s">
        <v>155</v>
      </c>
      <c r="F197" s="431">
        <f>IFERROR(IF(AND($F$5="Projected Points",Beersheet!A192&lt;&gt;"QB"), T197, IF(H197="", INDEX(Tier!$B$28:$B$36,MATCH(G197,Tier!$A$28:$A$36,0)), INDEX(Tier!$B$28:$B$36,MATCH(G197,Tier!$A$28:$A$36,0)))), "")</f>
        <v>12.225020000000001</v>
      </c>
      <c r="G197" s="250">
        <f t="shared" si="14"/>
        <v>8</v>
      </c>
      <c r="H197" s="252"/>
      <c r="I197" s="396" t="str">
        <f>IFERROR(INDEX(ADP!S:S,MATCH(D197,ADP!D:D,0))-RBproj!K197,"")</f>
        <v/>
      </c>
      <c r="J197" s="105"/>
      <c r="K197" s="89">
        <v>191</v>
      </c>
      <c r="L197" s="2" t="s">
        <v>1026</v>
      </c>
      <c r="M197" s="3">
        <f t="shared" si="12"/>
        <v>0</v>
      </c>
      <c r="N197" s="4">
        <f>IFERROR(INDEX(ADP!AC:AC,MATCH(D197,ADP!Y:Y,0)),0)</f>
        <v>0</v>
      </c>
      <c r="O197" s="4" t="s">
        <v>6</v>
      </c>
      <c r="P197" s="4"/>
      <c r="Q197" s="4"/>
      <c r="R197" s="1" t="str">
        <f>IFERROR(VLOOKUP(S197,FFARawStatProjections!AX:AZ,2,FALSE),"")</f>
        <v>LAC</v>
      </c>
      <c r="S197" s="4" t="str">
        <f>INDEX(FFARawStatProjections!AX:AX,MATCH(WRproj!T197,FFARawStatProjections!AZ:AZ,0))</f>
        <v>Darrius Shepherd</v>
      </c>
      <c r="T197">
        <f>LARGE(FFARawStatProjections!AZ:AZ,K197)</f>
        <v>12.225020000000001</v>
      </c>
      <c r="U197" s="249">
        <f t="shared" si="11"/>
        <v>-200.87503666666666</v>
      </c>
      <c r="V197" s="243">
        <f t="shared" si="15"/>
        <v>40350.780355834671</v>
      </c>
      <c r="W197" s="244"/>
      <c r="X197" s="243">
        <f t="shared" si="13"/>
        <v>-12.554689791666666</v>
      </c>
      <c r="Y197" s="238">
        <f>IFERROR(
IF(ISBLANK(Beersheet!$A$1)=FALSE,
INDEX(Beersheet!$A:$U,MATCH(S197,INDEX(Beersheet!$A:$U,0,FFARawStatProjections!$BV$2),0),FFARawStatProjections!$BV$6),
IF(X197&gt;6,0,
IF(AND(X197&lt;=6,X197&gt;5),1,
IF(AND(X197&lt;=5,X197&gt;4),2,
IF(AND(X197&lt;=4,X197&gt;3),3,
IF(AND(X197&lt;=3,X197&gt;2),4,
IF(AND(X197&lt;=2,X197&gt;1),5,
IF(AND(X197&lt;=1,X197&gt;0),6,
IF(AND(X197&lt;=0,X197&gt;-1),7,
8))))))))),
10)</f>
        <v>8</v>
      </c>
    </row>
    <row r="198" spans="1:25" ht="15" customHeight="1" x14ac:dyDescent="0.25">
      <c r="A198" s="135"/>
      <c r="B198" s="143" t="s">
        <v>1027</v>
      </c>
      <c r="C198" t="str">
        <f>IF(AND(IFERROR(INDEX(Instructions!$T$111:$T$222,MATCH(D198,Instructions!$T$111:$T$222,0)), "")=D198, D198&lt;&gt;""), "X", "")</f>
        <v/>
      </c>
      <c r="D198" s="137" t="s">
        <v>2547</v>
      </c>
      <c r="E198" s="99" t="s">
        <v>1388</v>
      </c>
      <c r="F198" s="232">
        <f>IFERROR(IF(AND($F$5="Projected Points",Beersheet!A193&lt;&gt;"QB"), T198, IF(H198="", INDEX(Tier!$B$28:$B$36,MATCH(G198,Tier!$A$28:$A$36,0)), INDEX(Tier!$B$28:$B$36,MATCH(G198,Tier!$A$28:$A$36,0)))), "")</f>
        <v>12.17501</v>
      </c>
      <c r="G198" s="283">
        <f t="shared" si="14"/>
        <v>8</v>
      </c>
      <c r="H198" s="284"/>
      <c r="I198" s="396" t="str">
        <f>IFERROR(INDEX(ADP!S:S,MATCH(D198,ADP!D:D,0))-RBproj!K198,"")</f>
        <v/>
      </c>
      <c r="J198" s="105"/>
      <c r="K198" s="89">
        <v>192</v>
      </c>
      <c r="L198" s="2" t="s">
        <v>1027</v>
      </c>
      <c r="M198" s="3">
        <f t="shared" si="12"/>
        <v>0</v>
      </c>
      <c r="N198" s="4">
        <f>IFERROR(INDEX(ADP!AC:AC,MATCH(D198,ADP!Y:Y,0)),0)</f>
        <v>0</v>
      </c>
      <c r="O198" s="4" t="s">
        <v>6</v>
      </c>
      <c r="P198" s="4"/>
      <c r="Q198" s="4"/>
      <c r="R198" s="1" t="str">
        <f>IFERROR(VLOOKUP(S198,FFARawStatProjections!AX:AZ,2,FALSE),"")</f>
        <v>LAR</v>
      </c>
      <c r="S198" s="4" t="str">
        <f>INDEX(FFARawStatProjections!AX:AX,MATCH(WRproj!T198,FFARawStatProjections!AZ:AZ,0))</f>
        <v>Lance McCutcheon</v>
      </c>
      <c r="T198">
        <f>LARGE(FFARawStatProjections!AZ:AZ,K198)</f>
        <v>12.17501</v>
      </c>
      <c r="U198" s="249">
        <f t="shared" si="11"/>
        <v>-200.92504666666667</v>
      </c>
      <c r="V198" s="243">
        <f t="shared" si="15"/>
        <v>40370.874378002183</v>
      </c>
      <c r="W198" s="244"/>
      <c r="X198" s="243">
        <f t="shared" si="13"/>
        <v>-12.557815416666667</v>
      </c>
      <c r="Y198" s="238">
        <f>IFERROR(
IF(ISBLANK(Beersheet!$A$1)=FALSE,
INDEX(Beersheet!$A:$U,MATCH(S198,INDEX(Beersheet!$A:$U,0,FFARawStatProjections!$BV$2),0),FFARawStatProjections!$BV$6),
IF(X198&gt;6,0,
IF(AND(X198&lt;=6,X198&gt;5),1,
IF(AND(X198&lt;=5,X198&gt;4),2,
IF(AND(X198&lt;=4,X198&gt;3),3,
IF(AND(X198&lt;=3,X198&gt;2),4,
IF(AND(X198&lt;=2,X198&gt;1),5,
IF(AND(X198&lt;=1,X198&gt;0),6,
IF(AND(X198&lt;=0,X198&gt;-1),7,
8))))))))),
10)</f>
        <v>8</v>
      </c>
    </row>
    <row r="199" spans="1:25" ht="15" customHeight="1" x14ac:dyDescent="0.25">
      <c r="A199" s="135"/>
      <c r="B199" s="142" t="s">
        <v>1028</v>
      </c>
      <c r="C199" t="str">
        <f>IF(AND(IFERROR(INDEX(Instructions!$T$111:$T$222,MATCH(D199,Instructions!$T$111:$T$222,0)), "")=D199, D199&lt;&gt;""), "X", "")</f>
        <v/>
      </c>
      <c r="D199" s="138" t="s">
        <v>2559</v>
      </c>
      <c r="E199" s="100" t="s">
        <v>149</v>
      </c>
      <c r="F199" s="431">
        <f>IFERROR(IF(AND($F$5="Projected Points",Beersheet!A194&lt;&gt;"QB"), T199, IF(H199="", INDEX(Tier!$B$28:$B$36,MATCH(G199,Tier!$A$28:$A$36,0)), INDEX(Tier!$B$28:$B$36,MATCH(G199,Tier!$A$28:$A$36,0)))), "")</f>
        <v>11.94506</v>
      </c>
      <c r="G199" s="250">
        <f t="shared" si="14"/>
        <v>8</v>
      </c>
      <c r="H199" s="252"/>
      <c r="I199" s="396" t="str">
        <f>IFERROR(INDEX(ADP!S:S,MATCH(D199,ADP!D:D,0))-RBproj!K199,"")</f>
        <v/>
      </c>
      <c r="J199" s="105"/>
      <c r="K199" s="89">
        <v>193</v>
      </c>
      <c r="L199" s="2" t="s">
        <v>1028</v>
      </c>
      <c r="M199" s="3">
        <f t="shared" si="12"/>
        <v>0</v>
      </c>
      <c r="N199" s="4">
        <f>IFERROR(INDEX(ADP!AC:AC,MATCH(D199,ADP!Y:Y,0)),0)</f>
        <v>0</v>
      </c>
      <c r="O199" s="4" t="s">
        <v>6</v>
      </c>
      <c r="P199" s="4"/>
      <c r="Q199" s="4"/>
      <c r="R199" s="1" t="str">
        <f>IFERROR(VLOOKUP(S199,FFARawStatProjections!AX:AZ,2,FALSE),"")</f>
        <v>SEA</v>
      </c>
      <c r="S199" s="4" t="str">
        <f>INDEX(FFARawStatProjections!AX:AX,MATCH(WRproj!T199,FFARawStatProjections!AZ:AZ,0))</f>
        <v>Cody Thompson</v>
      </c>
      <c r="T199">
        <f>LARGE(FFARawStatProjections!AZ:AZ,K199)</f>
        <v>11.94506</v>
      </c>
      <c r="U199" s="249">
        <f t="shared" ref="U199:U206" si="16">T199-$W$10</f>
        <v>-201.15499666666665</v>
      </c>
      <c r="V199" s="243">
        <f t="shared" si="15"/>
        <v>40463.33268396667</v>
      </c>
      <c r="W199" s="244"/>
      <c r="X199" s="243">
        <f t="shared" si="13"/>
        <v>-12.572187291666665</v>
      </c>
      <c r="Y199" s="238">
        <f>IFERROR(
IF(ISBLANK(Beersheet!$A$1)=FALSE,
INDEX(Beersheet!$A:$U,MATCH(S199,INDEX(Beersheet!$A:$U,0,FFARawStatProjections!$BV$2),0),FFARawStatProjections!$BV$6),
IF(X199&gt;6,0,
IF(AND(X199&lt;=6,X199&gt;5),1,
IF(AND(X199&lt;=5,X199&gt;4),2,
IF(AND(X199&lt;=4,X199&gt;3),3,
IF(AND(X199&lt;=3,X199&gt;2),4,
IF(AND(X199&lt;=2,X199&gt;1),5,
IF(AND(X199&lt;=1,X199&gt;0),6,
IF(AND(X199&lt;=0,X199&gt;-1),7,
8))))))))),
10)</f>
        <v>8</v>
      </c>
    </row>
    <row r="200" spans="1:25" ht="15" customHeight="1" x14ac:dyDescent="0.25">
      <c r="A200" s="135"/>
      <c r="B200" s="143" t="s">
        <v>1029</v>
      </c>
      <c r="C200" t="str">
        <f>IF(AND(IFERROR(INDEX(Instructions!$T$111:$T$222,MATCH(D200,Instructions!$T$111:$T$222,0)), "")=D200, D200&lt;&gt;""), "X", "")</f>
        <v/>
      </c>
      <c r="D200" s="137" t="s">
        <v>2349</v>
      </c>
      <c r="E200" s="99" t="s">
        <v>140</v>
      </c>
      <c r="F200" s="232">
        <f>IFERROR(IF(AND($F$5="Projected Points",Beersheet!A195&lt;&gt;"QB"), T200, IF(H200="", INDEX(Tier!$B$28:$B$36,MATCH(G200,Tier!$A$28:$A$36,0)), INDEX(Tier!$B$28:$B$36,MATCH(G200,Tier!$A$28:$A$36,0)))), "")</f>
        <v>11.68507</v>
      </c>
      <c r="G200" s="283">
        <f t="shared" si="14"/>
        <v>8</v>
      </c>
      <c r="H200" s="284"/>
      <c r="I200" s="396" t="str">
        <f>IFERROR(INDEX(ADP!S:S,MATCH(D200,ADP!D:D,0))-RBproj!K200,"")</f>
        <v/>
      </c>
      <c r="J200" s="105"/>
      <c r="K200" s="89">
        <v>194</v>
      </c>
      <c r="L200" s="2" t="s">
        <v>1029</v>
      </c>
      <c r="M200" s="3">
        <f t="shared" ref="M200:M206" si="17">IF(N200-MEDIAN(N197:N203)&lt;0,0,N200-MEDIAN(N197:N203))</f>
        <v>0</v>
      </c>
      <c r="N200" s="4">
        <f>IFERROR(INDEX(ADP!AC:AC,MATCH(D200,ADP!Y:Y,0)),0)</f>
        <v>0</v>
      </c>
      <c r="O200" s="4" t="s">
        <v>6</v>
      </c>
      <c r="P200" s="4"/>
      <c r="Q200" s="4"/>
      <c r="R200" s="1" t="str">
        <f>IFERROR(VLOOKUP(S200,FFARawStatProjections!AX:AZ,2,FALSE),"")</f>
        <v>JAC</v>
      </c>
      <c r="S200" s="4" t="str">
        <f>INDEX(FFARawStatProjections!AX:AX,MATCH(WRproj!T200,FFARawStatProjections!AZ:AZ,0))</f>
        <v>Kevin Austin</v>
      </c>
      <c r="T200">
        <f>LARGE(FFARawStatProjections!AZ:AZ,K200)</f>
        <v>11.68507</v>
      </c>
      <c r="U200" s="249">
        <f t="shared" si="16"/>
        <v>-201.41498666666666</v>
      </c>
      <c r="V200" s="243">
        <f t="shared" si="15"/>
        <v>40567.99685393351</v>
      </c>
      <c r="W200" s="244"/>
      <c r="X200" s="243">
        <f t="shared" ref="X200:X206" si="18">U200/$W$7</f>
        <v>-12.588436666666666</v>
      </c>
      <c r="Y200" s="238">
        <f>IFERROR(
IF(ISBLANK(Beersheet!$A$1)=FALSE,
INDEX(Beersheet!$A:$U,MATCH(S200,INDEX(Beersheet!$A:$U,0,FFARawStatProjections!$BV$2),0),FFARawStatProjections!$BV$6),
IF(X200&gt;6,0,
IF(AND(X200&lt;=6,X200&gt;5),1,
IF(AND(X200&lt;=5,X200&gt;4),2,
IF(AND(X200&lt;=4,X200&gt;3),3,
IF(AND(X200&lt;=3,X200&gt;2),4,
IF(AND(X200&lt;=2,X200&gt;1),5,
IF(AND(X200&lt;=1,X200&gt;0),6,
IF(AND(X200&lt;=0,X200&gt;-1),7,
8))))))))),
10)</f>
        <v>8</v>
      </c>
    </row>
    <row r="201" spans="1:25" ht="15" customHeight="1" x14ac:dyDescent="0.25">
      <c r="A201" s="135"/>
      <c r="B201" s="142" t="s">
        <v>1030</v>
      </c>
      <c r="C201" t="str">
        <f>IF(AND(IFERROR(INDEX(Instructions!$T$111:$T$222,MATCH(D201,Instructions!$T$111:$T$222,0)), "")=D201, D201&lt;&gt;""), "X", "")</f>
        <v/>
      </c>
      <c r="D201" s="138" t="s">
        <v>2448</v>
      </c>
      <c r="E201" s="100" t="s">
        <v>165</v>
      </c>
      <c r="F201" s="431">
        <f>IFERROR(IF(AND($F$5="Projected Points",Beersheet!A196&lt;&gt;"QB"), T201, IF(H201="", INDEX(Tier!$B$28:$B$36,MATCH(G201,Tier!$A$28:$A$36,0)), INDEX(Tier!$B$28:$B$36,MATCH(G201,Tier!$A$28:$A$36,0)))), "")</f>
        <v>10.975160000000001</v>
      </c>
      <c r="G201" s="250">
        <f t="shared" si="14"/>
        <v>8</v>
      </c>
      <c r="H201" s="252"/>
      <c r="I201" s="396" t="str">
        <f>IFERROR(INDEX(ADP!S:S,MATCH(D201,ADP!D:D,0))-RBproj!K201,"")</f>
        <v/>
      </c>
      <c r="J201" s="105"/>
      <c r="K201" s="89">
        <v>195</v>
      </c>
      <c r="L201" s="2" t="s">
        <v>1030</v>
      </c>
      <c r="M201" s="3">
        <f t="shared" si="17"/>
        <v>0</v>
      </c>
      <c r="N201" s="4">
        <f>IFERROR(INDEX(ADP!AC:AC,MATCH(D201,ADP!Y:Y,0)),0)</f>
        <v>0</v>
      </c>
      <c r="O201" s="4" t="s">
        <v>6</v>
      </c>
      <c r="P201" s="4"/>
      <c r="Q201" s="4"/>
      <c r="R201" s="1" t="str">
        <f>IFERROR(VLOOKUP(S201,FFARawStatProjections!AX:AZ,2,FALSE),"")</f>
        <v>MIA</v>
      </c>
      <c r="S201" s="4" t="str">
        <f>INDEX(FFARawStatProjections!AX:AX,MATCH(WRproj!T201,FFARawStatProjections!AZ:AZ,0))</f>
        <v>River Cracraft</v>
      </c>
      <c r="T201">
        <f>LARGE(FFARawStatProjections!AZ:AZ,K201)</f>
        <v>10.975160000000001</v>
      </c>
      <c r="U201" s="249">
        <f t="shared" si="16"/>
        <v>-202.12489666666667</v>
      </c>
      <c r="V201" s="251">
        <f t="shared" ref="V201:V206" si="19">U201^2</f>
        <v>40854.47385251068</v>
      </c>
      <c r="X201" s="243">
        <f t="shared" si="18"/>
        <v>-12.632806041666667</v>
      </c>
      <c r="Y201" s="238">
        <f>IFERROR(
IF(ISBLANK(Beersheet!$A$1)=FALSE,
INDEX(Beersheet!$A:$U,MATCH(S201,INDEX(Beersheet!$A:$U,0,FFARawStatProjections!$BV$2),0),FFARawStatProjections!$BV$6),
IF(X201&gt;6,0,
IF(AND(X201&lt;=6,X201&gt;5),1,
IF(AND(X201&lt;=5,X201&gt;4),2,
IF(AND(X201&lt;=4,X201&gt;3),3,
IF(AND(X201&lt;=3,X201&gt;2),4,
IF(AND(X201&lt;=2,X201&gt;1),5,
IF(AND(X201&lt;=1,X201&gt;0),6,
IF(AND(X201&lt;=0,X201&gt;-1),7,
8))))))))),
10)</f>
        <v>8</v>
      </c>
    </row>
    <row r="202" spans="1:25" ht="15" customHeight="1" x14ac:dyDescent="0.25">
      <c r="A202" s="135"/>
      <c r="B202" s="143" t="s">
        <v>1031</v>
      </c>
      <c r="C202" t="str">
        <f>IF(AND(IFERROR(INDEX(Instructions!$T$111:$T$222,MATCH(D202,Instructions!$T$111:$T$222,0)), "")=D202, D202&lt;&gt;""), "X", "")</f>
        <v/>
      </c>
      <c r="D202" s="137" t="s">
        <v>1977</v>
      </c>
      <c r="E202" s="99" t="s">
        <v>166</v>
      </c>
      <c r="F202" s="232">
        <f>IFERROR(IF(AND($F$5="Projected Points",Beersheet!A197&lt;&gt;"QB"), T202, IF(H202="", INDEX(Tier!$B$28:$B$36,MATCH(G202,Tier!$A$28:$A$36,0)), INDEX(Tier!$B$28:$B$36,MATCH(G202,Tier!$A$28:$A$36,0)))), "")</f>
        <v>10.824870000000001</v>
      </c>
      <c r="G202" s="283">
        <f>IF(D202="","",Y202)</f>
        <v>8</v>
      </c>
      <c r="H202" s="284"/>
      <c r="I202" s="396" t="str">
        <f>IFERROR(INDEX(ADP!S:S,MATCH(D202,ADP!D:D,0))-RBproj!K202,"")</f>
        <v/>
      </c>
      <c r="J202" s="105"/>
      <c r="K202" s="89">
        <v>196</v>
      </c>
      <c r="L202" s="2" t="s">
        <v>1031</v>
      </c>
      <c r="M202" s="3">
        <f t="shared" si="17"/>
        <v>0</v>
      </c>
      <c r="N202" s="4">
        <f>IFERROR(INDEX(ADP!AC:AC,MATCH(D202,ADP!Y:Y,0)),0)</f>
        <v>0</v>
      </c>
      <c r="O202" s="4" t="s">
        <v>6</v>
      </c>
      <c r="P202" s="4"/>
      <c r="Q202" s="4"/>
      <c r="R202" s="1" t="str">
        <f>IFERROR(VLOOKUP(S202,FFARawStatProjections!AX:AZ,2,FALSE),"")</f>
        <v>CIN</v>
      </c>
      <c r="S202" s="4" t="str">
        <f>INDEX(FFARawStatProjections!AX:AX,MATCH(WRproj!T202,FFARawStatProjections!AZ:AZ,0))</f>
        <v>Andrei Iosivas</v>
      </c>
      <c r="T202">
        <f>LARGE(FFARawStatProjections!AZ:AZ,K202)</f>
        <v>10.824870000000001</v>
      </c>
      <c r="U202" s="249">
        <f t="shared" si="16"/>
        <v>-202.27518666666666</v>
      </c>
      <c r="V202" s="251">
        <f t="shared" si="19"/>
        <v>40915.251141034838</v>
      </c>
      <c r="X202" s="243">
        <f t="shared" si="18"/>
        <v>-12.642199166666666</v>
      </c>
      <c r="Y202" s="238">
        <f>IFERROR(
IF(ISBLANK(Beersheet!$A$1)=FALSE,
INDEX(Beersheet!$A:$U,MATCH(S202,INDEX(Beersheet!$A:$U,0,FFARawStatProjections!$BV$2),0),FFARawStatProjections!$BV$6),
IF(X202&gt;6,0,
IF(AND(X202&lt;=6,X202&gt;5),1,
IF(AND(X202&lt;=5,X202&gt;4),2,
IF(AND(X202&lt;=4,X202&gt;3),3,
IF(AND(X202&lt;=3,X202&gt;2),4,
IF(AND(X202&lt;=2,X202&gt;1),5,
IF(AND(X202&lt;=1,X202&gt;0),6,
IF(AND(X202&lt;=0,X202&gt;-1),7,
8))))))))),
10)</f>
        <v>8</v>
      </c>
    </row>
    <row r="203" spans="1:25" ht="15" customHeight="1" x14ac:dyDescent="0.25">
      <c r="A203" s="135"/>
      <c r="B203" s="142" t="s">
        <v>1032</v>
      </c>
      <c r="C203" t="str">
        <f>IF(AND(IFERROR(INDEX(Instructions!$T$111:$T$222,MATCH(D203,Instructions!$T$111:$T$222,0)), "")=D203, D203&lt;&gt;""), "X", "")</f>
        <v/>
      </c>
      <c r="D203" s="138" t="s">
        <v>2340</v>
      </c>
      <c r="E203" s="100" t="s">
        <v>155</v>
      </c>
      <c r="F203" s="431">
        <f>IFERROR(IF(AND($F$5="Projected Points",Beersheet!A198&lt;&gt;"QB"), T203, IF(H203="", INDEX(Tier!$B$28:$B$36,MATCH(G203,Tier!$A$28:$A$36,0)), INDEX(Tier!$B$28:$B$36,MATCH(G203,Tier!$A$28:$A$36,0)))), "")</f>
        <v>10.225100000000001</v>
      </c>
      <c r="G203" s="250">
        <f>IF(D203="","",Y203)</f>
        <v>8</v>
      </c>
      <c r="H203" s="252"/>
      <c r="I203" s="396" t="str">
        <f>IFERROR(INDEX(ADP!S:S,MATCH(D203,ADP!D:D,0))-RBproj!K203,"")</f>
        <v/>
      </c>
      <c r="J203" s="105"/>
      <c r="K203" s="89">
        <v>197</v>
      </c>
      <c r="L203" s="2" t="s">
        <v>1032</v>
      </c>
      <c r="M203" s="3">
        <f t="shared" si="17"/>
        <v>0</v>
      </c>
      <c r="N203" s="4">
        <f>IFERROR(INDEX(ADP!AC:AC,MATCH(D203,ADP!Y:Y,0)),0)</f>
        <v>0</v>
      </c>
      <c r="O203" s="4" t="s">
        <v>6</v>
      </c>
      <c r="P203" s="4"/>
      <c r="Q203" s="4"/>
      <c r="R203" s="1" t="str">
        <f>IFERROR(VLOOKUP(S203,FFARawStatProjections!AX:AZ,2,FALSE),"")</f>
        <v>DET</v>
      </c>
      <c r="S203" s="4" t="str">
        <f>INDEX(FFARawStatProjections!AX:AX,MATCH(WRproj!T203,FFARawStatProjections!AZ:AZ,0))</f>
        <v>Maurice Alexander</v>
      </c>
      <c r="T203">
        <f>LARGE(FFARawStatProjections!AZ:AZ,K203)</f>
        <v>10.225100000000001</v>
      </c>
      <c r="U203" s="249">
        <f t="shared" si="16"/>
        <v>-202.87495666666666</v>
      </c>
      <c r="V203" s="251">
        <f t="shared" si="19"/>
        <v>41158.248042501873</v>
      </c>
      <c r="X203" s="243">
        <f t="shared" si="18"/>
        <v>-12.679684791666666</v>
      </c>
      <c r="Y203" s="238">
        <f>IFERROR(
IF(ISBLANK(Beersheet!$A$1)=FALSE,
INDEX(Beersheet!$A:$U,MATCH(S203,INDEX(Beersheet!$A:$U,0,FFARawStatProjections!$BV$2),0),FFARawStatProjections!$BV$6),
IF(X203&gt;6,0,
IF(AND(X203&lt;=6,X203&gt;5),1,
IF(AND(X203&lt;=5,X203&gt;4),2,
IF(AND(X203&lt;=4,X203&gt;3),3,
IF(AND(X203&lt;=3,X203&gt;2),4,
IF(AND(X203&lt;=2,X203&gt;1),5,
IF(AND(X203&lt;=1,X203&gt;0),6,
IF(AND(X203&lt;=0,X203&gt;-1),7,
8))))))))),
10)</f>
        <v>8</v>
      </c>
    </row>
    <row r="204" spans="1:25" ht="15" customHeight="1" x14ac:dyDescent="0.25">
      <c r="A204" s="135"/>
      <c r="B204" s="143" t="s">
        <v>1033</v>
      </c>
      <c r="C204" t="str">
        <f>IF(AND(IFERROR(INDEX(Instructions!$T$111:$T$222,MATCH(D204,Instructions!$T$111:$T$222,0)), "")=D204, D204&lt;&gt;""), "X", "")</f>
        <v/>
      </c>
      <c r="D204" s="137" t="s">
        <v>2440</v>
      </c>
      <c r="E204" s="99" t="s">
        <v>142</v>
      </c>
      <c r="F204" s="232">
        <f>IFERROR(IF(AND($F$5="Projected Points",Beersheet!A199&lt;&gt;"QB"), T204, IF(H204="", INDEX(Tier!$B$28:$B$36,MATCH(G204,Tier!$A$28:$A$36,0)), INDEX(Tier!$B$28:$B$36,MATCH(G204,Tier!$A$28:$A$36,0)))), "")</f>
        <v>10.21519</v>
      </c>
      <c r="G204" s="283">
        <f>IF(D204="","",Y204)</f>
        <v>8</v>
      </c>
      <c r="H204" s="284"/>
      <c r="I204" s="396" t="str">
        <f>IFERROR(INDEX(ADP!S:S,MATCH(D204,ADP!D:D,0))-RBproj!K204,"")</f>
        <v/>
      </c>
      <c r="J204" s="105"/>
      <c r="K204" s="89">
        <v>198</v>
      </c>
      <c r="L204" s="2" t="s">
        <v>1033</v>
      </c>
      <c r="M204" s="3">
        <f t="shared" si="17"/>
        <v>0</v>
      </c>
      <c r="N204" s="4">
        <f>IFERROR(INDEX(ADP!AC:AC,MATCH(D204,ADP!Y:Y,0)),0)</f>
        <v>0</v>
      </c>
      <c r="O204" s="4" t="s">
        <v>6</v>
      </c>
      <c r="P204" s="4"/>
      <c r="Q204" s="4"/>
      <c r="R204" s="1" t="str">
        <f>IFERROR(VLOOKUP(S204,FFARawStatProjections!AX:AZ,2,FALSE),"")</f>
        <v>GB</v>
      </c>
      <c r="S204" s="4" t="str">
        <f>INDEX(FFARawStatProjections!AX:AX,MATCH(WRproj!T204,FFARawStatProjections!AZ:AZ,0))</f>
        <v>Bo Melton</v>
      </c>
      <c r="T204">
        <f>LARGE(FFARawStatProjections!AZ:AZ,K204)</f>
        <v>10.21519</v>
      </c>
      <c r="U204" s="249">
        <f t="shared" si="16"/>
        <v>-202.88486666666665</v>
      </c>
      <c r="V204" s="251">
        <f t="shared" si="19"/>
        <v>41162.269122351106</v>
      </c>
      <c r="X204" s="243">
        <f t="shared" si="18"/>
        <v>-12.680304166666666</v>
      </c>
      <c r="Y204" s="238">
        <f>IFERROR(
IF(ISBLANK(Beersheet!$A$1)=FALSE,
INDEX(Beersheet!$A:$U,MATCH(S204,INDEX(Beersheet!$A:$U,0,FFARawStatProjections!$BV$2),0),FFARawStatProjections!$BV$6),
IF(X204&gt;6,0,
IF(AND(X204&lt;=6,X204&gt;5),1,
IF(AND(X204&lt;=5,X204&gt;4),2,
IF(AND(X204&lt;=4,X204&gt;3),3,
IF(AND(X204&lt;=3,X204&gt;2),4,
IF(AND(X204&lt;=2,X204&gt;1),5,
IF(AND(X204&lt;=1,X204&gt;0),6,
IF(AND(X204&lt;=0,X204&gt;-1),7,
8))))))))),
10)</f>
        <v>8</v>
      </c>
    </row>
    <row r="205" spans="1:25" ht="15" customHeight="1" x14ac:dyDescent="0.25">
      <c r="A205" s="135"/>
      <c r="B205" s="142" t="s">
        <v>1034</v>
      </c>
      <c r="C205" t="str">
        <f>IF(AND(IFERROR(INDEX(Instructions!$T$111:$T$222,MATCH(D205,Instructions!$T$111:$T$222,0)), "")=D205, D205&lt;&gt;""), "X", "")</f>
        <v/>
      </c>
      <c r="D205" s="138" t="s">
        <v>2352</v>
      </c>
      <c r="E205" s="100" t="s">
        <v>139</v>
      </c>
      <c r="F205" s="431">
        <f>IFERROR(IF(AND($F$5="Projected Points",Beersheet!A200&lt;&gt;"QB"), T205, IF(H205="", INDEX(Tier!$B$28:$B$36,MATCH(G205,Tier!$A$28:$A$36,0)), INDEX(Tier!$B$28:$B$36,MATCH(G205,Tier!$A$28:$A$36,0)))), "")</f>
        <v>10.21509</v>
      </c>
      <c r="G205" s="250">
        <f>IF(D205="","",Y205)</f>
        <v>8</v>
      </c>
      <c r="H205" s="252"/>
      <c r="I205" s="396" t="str">
        <f>IFERROR(INDEX(ADP!S:S,MATCH(D205,ADP!D:D,0))-RBproj!K205,"")</f>
        <v/>
      </c>
      <c r="J205" s="105"/>
      <c r="K205" s="89">
        <v>199</v>
      </c>
      <c r="L205" s="2" t="s">
        <v>1034</v>
      </c>
      <c r="M205" s="3">
        <f t="shared" si="17"/>
        <v>0</v>
      </c>
      <c r="N205" s="4">
        <f>IFERROR(INDEX(ADP!AC:AC,MATCH(D205,ADP!Y:Y,0)),0)</f>
        <v>0</v>
      </c>
      <c r="O205" s="4" t="s">
        <v>6</v>
      </c>
      <c r="P205" s="4"/>
      <c r="Q205" s="4"/>
      <c r="R205" s="1" t="str">
        <f>IFERROR(VLOOKUP(S205,FFARawStatProjections!AX:AZ,2,FALSE),"")</f>
        <v>SF</v>
      </c>
      <c r="S205" s="4" t="str">
        <f>INDEX(FFARawStatProjections!AX:AX,MATCH(WRproj!T205,FFARawStatProjections!AZ:AZ,0))</f>
        <v>Danny Gray</v>
      </c>
      <c r="T205">
        <f>LARGE(FFARawStatProjections!AZ:AZ,K205)</f>
        <v>10.21509</v>
      </c>
      <c r="U205" s="249">
        <f t="shared" si="16"/>
        <v>-202.88496666666666</v>
      </c>
      <c r="V205" s="251">
        <f t="shared" si="19"/>
        <v>41162.309699334437</v>
      </c>
      <c r="X205" s="243">
        <f t="shared" si="18"/>
        <v>-12.680310416666666</v>
      </c>
      <c r="Y205" s="238">
        <f>IFERROR(
IF(ISBLANK(Beersheet!$A$1)=FALSE,
INDEX(Beersheet!$A:$U,MATCH(S205,INDEX(Beersheet!$A:$U,0,FFARawStatProjections!$BV$2),0),FFARawStatProjections!$BV$6),
IF(X205&gt;6,0,
IF(AND(X205&lt;=6,X205&gt;5),1,
IF(AND(X205&lt;=5,X205&gt;4),2,
IF(AND(X205&lt;=4,X205&gt;3),3,
IF(AND(X205&lt;=3,X205&gt;2),4,
IF(AND(X205&lt;=2,X205&gt;1),5,
IF(AND(X205&lt;=1,X205&gt;0),6,
IF(AND(X205&lt;=0,X205&gt;-1),7,
8))))))))),
10)</f>
        <v>8</v>
      </c>
    </row>
    <row r="206" spans="1:25" ht="15" customHeight="1" thickBot="1" x14ac:dyDescent="0.3">
      <c r="A206" s="135"/>
      <c r="B206" s="397" t="s">
        <v>1035</v>
      </c>
      <c r="C206" s="444" t="str">
        <f>IF(AND(IFERROR(INDEX(Instructions!$T$111:$T$222,MATCH(D206,Instructions!$T$111:$T$222,0)), "")=D206, D206&lt;&gt;""), "X", "")</f>
        <v/>
      </c>
      <c r="D206" s="398" t="s">
        <v>2571</v>
      </c>
      <c r="E206" s="399" t="s">
        <v>142</v>
      </c>
      <c r="F206" s="432">
        <f>IFERROR(IF(AND($F$5="Projected Points",Beersheet!A201&lt;&gt;"QB"), T206, IF(H206="", INDEX(Tier!$B$28:$B$36,MATCH(G206,Tier!$A$28:$A$36,0)), INDEX(Tier!$B$28:$B$36,MATCH(G206,Tier!$A$28:$A$36,0)))), "")</f>
        <v>10.1952</v>
      </c>
      <c r="G206" s="253">
        <f>IF(D206="","",Y206)</f>
        <v>8</v>
      </c>
      <c r="H206" s="400"/>
      <c r="I206" s="401" t="str">
        <f>IFERROR(INDEX(ADP!S:S,MATCH(D206,ADP!D:D,0))-RBproj!K206,"")</f>
        <v/>
      </c>
      <c r="J206" s="105"/>
      <c r="K206" s="89">
        <v>200</v>
      </c>
      <c r="L206" s="2" t="s">
        <v>1035</v>
      </c>
      <c r="M206" s="3">
        <f t="shared" si="17"/>
        <v>0</v>
      </c>
      <c r="N206" s="4">
        <f>IFERROR(INDEX(ADP!AC:AC,MATCH(D206,ADP!Y:Y,0)),0)</f>
        <v>0</v>
      </c>
      <c r="O206" s="4" t="s">
        <v>6</v>
      </c>
      <c r="P206" s="4"/>
      <c r="Q206" s="4"/>
      <c r="R206" s="1" t="str">
        <f>IFERROR(VLOOKUP(S206,FFARawStatProjections!AX:AZ,2,FALSE),"")</f>
        <v>DET</v>
      </c>
      <c r="S206" s="4" t="str">
        <f>INDEX(FFARawStatProjections!AX:AX,MATCH(WRproj!T206,FFARawStatProjections!AZ:AZ,0))</f>
        <v>Jason Moore</v>
      </c>
      <c r="T206">
        <f>LARGE(FFARawStatProjections!AZ:AZ,K206)</f>
        <v>10.1952</v>
      </c>
      <c r="U206" s="249">
        <f t="shared" si="16"/>
        <v>-202.90485666666666</v>
      </c>
      <c r="V206" s="251">
        <f t="shared" si="19"/>
        <v>41170.380858920544</v>
      </c>
      <c r="X206" s="243">
        <f t="shared" si="18"/>
        <v>-12.681553541666666</v>
      </c>
      <c r="Y206" s="238">
        <f>IFERROR(
IF(ISBLANK(Beersheet!$A$1)=FALSE,
INDEX(Beersheet!$A:$U,MATCH(S206,INDEX(Beersheet!$A:$U,0,FFARawStatProjections!$BV$2),0),FFARawStatProjections!$BV$6),
IF(X206&gt;6,0,
IF(AND(X206&lt;=6,X206&gt;5),1,
IF(AND(X206&lt;=5,X206&gt;4),2,
IF(AND(X206&lt;=4,X206&gt;3),3,
IF(AND(X206&lt;=3,X206&gt;2),4,
IF(AND(X206&lt;=2,X206&gt;1),5,
IF(AND(X206&lt;=1,X206&gt;0),6,
IF(AND(X206&lt;=0,X206&gt;-1),7,
8))))))))),
10)</f>
        <v>8</v>
      </c>
    </row>
    <row r="207" spans="1:25" ht="15" customHeight="1" x14ac:dyDescent="0.25">
      <c r="A207" s="135"/>
      <c r="B207" s="135"/>
      <c r="C207" s="135"/>
      <c r="D207" s="135"/>
      <c r="E207" s="135"/>
      <c r="F207" s="135"/>
      <c r="G207" s="135"/>
      <c r="H207" s="135"/>
      <c r="I207" s="135"/>
      <c r="J207" s="105"/>
    </row>
    <row r="208" spans="1:25" ht="15" hidden="1" customHeight="1" x14ac:dyDescent="0.25">
      <c r="A208" s="3"/>
      <c r="B208" s="3"/>
      <c r="D208" s="102"/>
      <c r="E208" s="102"/>
      <c r="G208" s="3"/>
      <c r="H208" s="3"/>
      <c r="J208" s="3"/>
    </row>
    <row r="209" spans="1:10" ht="15" hidden="1" customHeight="1" x14ac:dyDescent="0.25">
      <c r="A209" s="3"/>
      <c r="B209" s="3"/>
      <c r="D209" s="102"/>
      <c r="E209" s="102"/>
      <c r="G209" s="3"/>
      <c r="H209" s="3"/>
      <c r="J209" s="3"/>
    </row>
    <row r="210" spans="1:10" ht="15" hidden="1" customHeight="1" x14ac:dyDescent="0.25">
      <c r="A210" s="3"/>
      <c r="B210" s="3"/>
      <c r="D210" s="102"/>
      <c r="E210" s="102"/>
      <c r="G210" s="3"/>
      <c r="H210" s="3"/>
      <c r="J210" s="3"/>
    </row>
    <row r="211" spans="1:10" ht="15" hidden="1" customHeight="1" x14ac:dyDescent="0.25">
      <c r="A211" s="3"/>
      <c r="B211" s="3"/>
      <c r="D211" s="102"/>
      <c r="E211" s="102"/>
      <c r="G211" s="3"/>
      <c r="H211" s="3"/>
      <c r="J211" s="3"/>
    </row>
    <row r="212" spans="1:10" ht="15" hidden="1" customHeight="1" x14ac:dyDescent="0.25">
      <c r="A212" s="3"/>
      <c r="B212" s="3"/>
      <c r="D212" s="102"/>
      <c r="E212" s="102"/>
      <c r="G212" s="3"/>
      <c r="H212" s="3"/>
      <c r="J212" s="3"/>
    </row>
    <row r="213" spans="1:10" ht="15" hidden="1" customHeight="1" x14ac:dyDescent="0.25">
      <c r="A213" s="3"/>
      <c r="B213" s="3"/>
      <c r="D213" s="102"/>
      <c r="E213" s="102"/>
      <c r="G213" s="3"/>
      <c r="H213" s="3"/>
      <c r="J213" s="3"/>
    </row>
    <row r="214" spans="1:10" ht="15" hidden="1" customHeight="1" x14ac:dyDescent="0.25">
      <c r="A214" s="3"/>
      <c r="B214" s="3"/>
      <c r="D214" s="102"/>
      <c r="E214" s="102"/>
      <c r="G214" s="3"/>
      <c r="H214" s="3"/>
      <c r="J214" s="3"/>
    </row>
    <row r="215" spans="1:10" ht="15" hidden="1" customHeight="1" x14ac:dyDescent="0.25">
      <c r="A215" s="3"/>
      <c r="B215" s="3"/>
      <c r="D215" s="102"/>
      <c r="E215" s="102"/>
      <c r="G215" s="3"/>
      <c r="H215" s="3"/>
      <c r="J215" s="3"/>
    </row>
    <row r="216" spans="1:10" ht="15" hidden="1" customHeight="1" x14ac:dyDescent="0.25">
      <c r="A216" s="3"/>
      <c r="B216" s="3"/>
      <c r="D216" s="102"/>
      <c r="E216" s="102"/>
      <c r="G216" s="3"/>
      <c r="H216" s="3"/>
      <c r="J216" s="3"/>
    </row>
    <row r="217" spans="1:10" ht="15" hidden="1" customHeight="1" x14ac:dyDescent="0.25">
      <c r="A217" s="3"/>
      <c r="B217" s="3"/>
      <c r="D217" s="102"/>
      <c r="E217" s="102"/>
      <c r="G217" s="3"/>
      <c r="H217" s="3"/>
      <c r="J217" s="3"/>
    </row>
    <row r="218" spans="1:10" ht="15" hidden="1" customHeight="1" x14ac:dyDescent="0.25">
      <c r="A218" s="3"/>
      <c r="B218" s="3"/>
      <c r="D218" s="102"/>
      <c r="E218" s="102"/>
      <c r="G218" s="3"/>
      <c r="H218" s="3"/>
      <c r="J218" s="3"/>
    </row>
    <row r="219" spans="1:10" ht="15" hidden="1" customHeight="1" x14ac:dyDescent="0.25">
      <c r="A219" s="3"/>
      <c r="B219" s="3"/>
      <c r="D219" s="102"/>
      <c r="E219" s="102"/>
      <c r="G219" s="3"/>
      <c r="H219" s="3"/>
      <c r="J219" s="3"/>
    </row>
    <row r="220" spans="1:10" ht="15" hidden="1" customHeight="1" x14ac:dyDescent="0.25">
      <c r="A220" s="3"/>
      <c r="B220" s="3"/>
      <c r="D220" s="102"/>
      <c r="E220" s="102"/>
      <c r="G220" s="3"/>
      <c r="H220" s="3"/>
      <c r="J220" s="3"/>
    </row>
    <row r="221" spans="1:10" ht="15" hidden="1" customHeight="1" x14ac:dyDescent="0.25">
      <c r="A221" s="3"/>
      <c r="B221" s="3"/>
      <c r="D221" s="102"/>
      <c r="E221" s="102"/>
      <c r="G221" s="3"/>
      <c r="H221" s="3"/>
      <c r="J221" s="3"/>
    </row>
    <row r="222" spans="1:10" ht="15" hidden="1" customHeight="1" x14ac:dyDescent="0.25">
      <c r="A222" s="3"/>
      <c r="B222" s="3"/>
      <c r="D222" s="102"/>
      <c r="E222" s="102"/>
      <c r="G222" s="3"/>
      <c r="H222" s="3"/>
      <c r="J222" s="3"/>
    </row>
    <row r="223" spans="1:10" ht="15" hidden="1" customHeight="1" x14ac:dyDescent="0.25">
      <c r="A223" s="3"/>
      <c r="B223" s="3"/>
      <c r="D223" s="102"/>
      <c r="E223" s="102"/>
      <c r="G223" s="3"/>
      <c r="H223" s="3"/>
      <c r="J223" s="3"/>
    </row>
    <row r="224" spans="1:10" ht="15" hidden="1" customHeight="1" x14ac:dyDescent="0.25">
      <c r="A224" s="3"/>
      <c r="B224" s="3"/>
      <c r="D224" s="102"/>
      <c r="E224" s="102"/>
      <c r="G224" s="3"/>
      <c r="H224" s="3"/>
      <c r="J224" s="3"/>
    </row>
    <row r="225" spans="1:10" ht="15" hidden="1" customHeight="1" x14ac:dyDescent="0.25">
      <c r="A225" s="3"/>
      <c r="B225" s="3"/>
      <c r="D225" s="102"/>
      <c r="E225" s="102"/>
      <c r="G225" s="3"/>
      <c r="H225" s="3"/>
      <c r="J225" s="3"/>
    </row>
    <row r="226" spans="1:10" ht="15" hidden="1" customHeight="1" x14ac:dyDescent="0.25">
      <c r="A226" s="3"/>
      <c r="B226" s="3"/>
      <c r="D226" s="102"/>
      <c r="E226" s="102"/>
      <c r="G226" s="3"/>
      <c r="H226" s="3"/>
      <c r="J226" s="3"/>
    </row>
    <row r="227" spans="1:10" ht="15" hidden="1" customHeight="1" x14ac:dyDescent="0.25">
      <c r="A227" s="3"/>
      <c r="B227" s="3"/>
      <c r="D227" s="102"/>
      <c r="E227" s="102"/>
      <c r="G227" s="3"/>
      <c r="H227" s="3"/>
      <c r="J227" s="3"/>
    </row>
    <row r="228" spans="1:10" ht="15" hidden="1" customHeight="1" x14ac:dyDescent="0.25">
      <c r="A228" s="3"/>
      <c r="B228" s="3"/>
      <c r="D228" s="102"/>
      <c r="E228" s="102"/>
      <c r="G228" s="3"/>
      <c r="H228" s="3"/>
      <c r="J228" s="3"/>
    </row>
    <row r="229" spans="1:10" hidden="1" x14ac:dyDescent="0.25">
      <c r="A229" s="3"/>
      <c r="B229" s="3"/>
      <c r="D229" s="102"/>
      <c r="E229" s="102"/>
      <c r="G229" s="3"/>
      <c r="H229" s="3"/>
      <c r="J229" s="3"/>
    </row>
    <row r="230" spans="1:10" hidden="1" x14ac:dyDescent="0.25">
      <c r="A230" s="3"/>
      <c r="B230" s="3"/>
      <c r="D230" s="102"/>
      <c r="E230" s="102"/>
      <c r="G230" s="3"/>
      <c r="H230" s="3"/>
      <c r="J230" s="3"/>
    </row>
    <row r="231" spans="1:10" hidden="1" x14ac:dyDescent="0.25">
      <c r="A231" s="3"/>
      <c r="B231" s="3"/>
      <c r="D231" s="102"/>
      <c r="E231" s="102"/>
      <c r="G231" s="3"/>
      <c r="H231" s="3"/>
      <c r="J231" s="3"/>
    </row>
    <row r="232" spans="1:10" hidden="1" x14ac:dyDescent="0.25">
      <c r="A232" s="3"/>
      <c r="B232" s="3"/>
      <c r="D232" s="102"/>
      <c r="E232" s="102"/>
      <c r="G232" s="3"/>
      <c r="H232" s="3"/>
      <c r="J232" s="3"/>
    </row>
    <row r="233" spans="1:10" hidden="1" x14ac:dyDescent="0.25">
      <c r="A233" s="3"/>
      <c r="B233" s="3"/>
      <c r="D233" s="102"/>
      <c r="E233" s="102"/>
      <c r="G233" s="3"/>
      <c r="H233" s="3"/>
      <c r="J233" s="3"/>
    </row>
    <row r="234" spans="1:10" hidden="1" x14ac:dyDescent="0.25">
      <c r="A234" s="3"/>
      <c r="B234" s="3"/>
      <c r="D234" s="102"/>
      <c r="E234" s="102"/>
      <c r="G234" s="3"/>
      <c r="H234" s="3"/>
      <c r="J234" s="3"/>
    </row>
    <row r="235" spans="1:10" hidden="1" x14ac:dyDescent="0.25">
      <c r="A235" s="3"/>
      <c r="B235" s="3"/>
      <c r="D235" s="102"/>
      <c r="E235" s="102"/>
      <c r="G235" s="3"/>
      <c r="H235" s="3"/>
      <c r="J235" s="3"/>
    </row>
    <row r="236" spans="1:10" hidden="1" x14ac:dyDescent="0.25">
      <c r="A236" s="3"/>
      <c r="B236" s="3"/>
      <c r="D236" s="102"/>
      <c r="E236" s="102"/>
      <c r="G236" s="3"/>
      <c r="H236" s="3"/>
      <c r="J236" s="3"/>
    </row>
    <row r="237" spans="1:10" hidden="1" x14ac:dyDescent="0.25">
      <c r="A237" s="3"/>
      <c r="B237" s="3"/>
      <c r="D237" s="102"/>
      <c r="E237" s="102"/>
      <c r="G237" s="3"/>
      <c r="H237" s="3"/>
      <c r="J237" s="3"/>
    </row>
    <row r="238" spans="1:10" hidden="1" x14ac:dyDescent="0.25">
      <c r="A238" s="3"/>
      <c r="B238" s="3"/>
      <c r="D238" s="102"/>
      <c r="E238" s="102"/>
      <c r="G238" s="3"/>
      <c r="H238" s="3"/>
      <c r="J238" s="3"/>
    </row>
    <row r="239" spans="1:10" hidden="1" x14ac:dyDescent="0.25">
      <c r="A239" s="3"/>
      <c r="B239" s="3"/>
      <c r="D239" s="102"/>
      <c r="E239" s="102"/>
      <c r="G239" s="3"/>
      <c r="H239" s="3"/>
      <c r="J239" s="3"/>
    </row>
    <row r="240" spans="1:10" hidden="1" x14ac:dyDescent="0.25">
      <c r="A240" s="3"/>
      <c r="B240" s="3"/>
      <c r="D240" s="102"/>
      <c r="E240" s="102"/>
      <c r="G240" s="3"/>
      <c r="H240" s="3"/>
      <c r="J240" s="3"/>
    </row>
    <row r="241" spans="1:10" hidden="1" x14ac:dyDescent="0.25">
      <c r="A241" s="3"/>
      <c r="B241" s="3"/>
      <c r="D241" s="102"/>
      <c r="E241" s="102"/>
      <c r="G241" s="3"/>
      <c r="H241" s="3"/>
      <c r="J241" s="3"/>
    </row>
    <row r="242" spans="1:10" hidden="1" x14ac:dyDescent="0.25">
      <c r="A242" s="3"/>
      <c r="B242" s="3"/>
      <c r="D242" s="102"/>
      <c r="E242" s="102"/>
      <c r="G242" s="3"/>
      <c r="H242" s="3"/>
      <c r="J242" s="3"/>
    </row>
    <row r="243" spans="1:10" hidden="1" x14ac:dyDescent="0.25">
      <c r="A243" s="3"/>
      <c r="B243" s="3"/>
      <c r="D243" s="102"/>
      <c r="E243" s="102"/>
      <c r="G243" s="3"/>
      <c r="H243" s="3"/>
      <c r="J243" s="3"/>
    </row>
    <row r="244" spans="1:10" hidden="1" x14ac:dyDescent="0.25">
      <c r="A244" s="3"/>
      <c r="B244" s="3"/>
      <c r="D244" s="102"/>
      <c r="E244" s="102"/>
      <c r="G244" s="3"/>
      <c r="H244" s="3"/>
      <c r="J244" s="3"/>
    </row>
    <row r="245" spans="1:10" hidden="1" x14ac:dyDescent="0.25">
      <c r="A245" s="3"/>
      <c r="B245" s="3"/>
      <c r="D245" s="102"/>
      <c r="E245" s="102"/>
      <c r="G245" s="3"/>
      <c r="H245" s="3"/>
      <c r="J245" s="3"/>
    </row>
    <row r="246" spans="1:10" hidden="1" x14ac:dyDescent="0.25">
      <c r="A246" s="3"/>
      <c r="B246" s="3"/>
      <c r="D246" s="102"/>
      <c r="E246" s="102"/>
      <c r="G246" s="3"/>
      <c r="H246" s="3"/>
      <c r="J246" s="3"/>
    </row>
    <row r="247" spans="1:10" hidden="1" x14ac:dyDescent="0.25">
      <c r="A247" s="3"/>
      <c r="B247" s="3"/>
      <c r="D247" s="102"/>
      <c r="E247" s="102"/>
      <c r="G247" s="3"/>
      <c r="H247" s="3"/>
      <c r="J247" s="3"/>
    </row>
    <row r="248" spans="1:10" hidden="1" x14ac:dyDescent="0.25">
      <c r="A248" s="3"/>
      <c r="B248" s="3"/>
      <c r="D248" s="102"/>
      <c r="E248" s="102"/>
      <c r="G248" s="3"/>
      <c r="H248" s="3"/>
      <c r="J248" s="3"/>
    </row>
    <row r="249" spans="1:10" hidden="1" x14ac:dyDescent="0.25">
      <c r="A249" s="3"/>
      <c r="B249" s="3"/>
      <c r="D249" s="102"/>
      <c r="E249" s="102"/>
      <c r="G249" s="3"/>
      <c r="H249" s="3"/>
      <c r="J249" s="3"/>
    </row>
    <row r="250" spans="1:10" hidden="1" x14ac:dyDescent="0.25">
      <c r="A250" s="3"/>
      <c r="B250" s="3"/>
      <c r="D250" s="102"/>
      <c r="E250" s="102"/>
      <c r="G250" s="3"/>
      <c r="H250" s="3"/>
      <c r="J250" s="3"/>
    </row>
    <row r="251" spans="1:10" hidden="1" x14ac:dyDescent="0.25">
      <c r="A251" s="3"/>
      <c r="B251" s="3"/>
      <c r="D251" s="102"/>
      <c r="E251" s="102"/>
      <c r="G251" s="3"/>
      <c r="H251" s="3"/>
      <c r="J251" s="3"/>
    </row>
    <row r="252" spans="1:10" hidden="1" x14ac:dyDescent="0.25">
      <c r="A252" s="3"/>
      <c r="B252" s="3"/>
      <c r="D252" s="102"/>
      <c r="E252" s="102"/>
      <c r="G252" s="3"/>
      <c r="H252" s="3"/>
      <c r="J252" s="3"/>
    </row>
    <row r="253" spans="1:10" hidden="1" x14ac:dyDescent="0.25">
      <c r="A253" s="3"/>
      <c r="B253" s="3"/>
      <c r="D253" s="102"/>
      <c r="E253" s="102"/>
      <c r="G253" s="3"/>
      <c r="H253" s="3"/>
      <c r="J253" s="3"/>
    </row>
    <row r="254" spans="1:10" hidden="1" x14ac:dyDescent="0.25">
      <c r="A254" s="3"/>
      <c r="B254" s="3"/>
      <c r="D254" s="102"/>
      <c r="E254" s="102"/>
      <c r="G254" s="3"/>
      <c r="H254" s="3"/>
      <c r="J254" s="3"/>
    </row>
    <row r="255" spans="1:10" hidden="1" x14ac:dyDescent="0.25">
      <c r="A255" s="3"/>
      <c r="B255" s="3"/>
      <c r="D255" s="102"/>
      <c r="E255" s="102"/>
      <c r="G255" s="3"/>
      <c r="H255" s="3"/>
      <c r="J255" s="3"/>
    </row>
    <row r="256" spans="1:10" hidden="1" x14ac:dyDescent="0.25">
      <c r="A256" s="3"/>
      <c r="B256" s="3"/>
      <c r="D256" s="102"/>
      <c r="E256" s="102"/>
      <c r="G256" s="3"/>
      <c r="H256" s="3"/>
      <c r="J256" s="3"/>
    </row>
    <row r="257" spans="1:10" hidden="1" x14ac:dyDescent="0.25">
      <c r="A257" s="3"/>
      <c r="B257" s="3"/>
      <c r="D257" s="102"/>
      <c r="E257" s="102"/>
      <c r="G257" s="3"/>
      <c r="H257" s="3"/>
      <c r="J257" s="3"/>
    </row>
    <row r="258" spans="1:10" hidden="1" x14ac:dyDescent="0.25">
      <c r="A258" s="3"/>
      <c r="B258" s="3"/>
      <c r="D258" s="102"/>
      <c r="E258" s="102"/>
      <c r="G258" s="3"/>
      <c r="H258" s="3"/>
      <c r="J258" s="3"/>
    </row>
    <row r="259" spans="1:10" hidden="1" x14ac:dyDescent="0.25">
      <c r="A259" s="3"/>
      <c r="B259" s="3"/>
      <c r="D259" s="102"/>
      <c r="E259" s="102"/>
      <c r="G259" s="3"/>
      <c r="H259" s="3"/>
      <c r="J259" s="3"/>
    </row>
    <row r="260" spans="1:10" hidden="1" x14ac:dyDescent="0.25">
      <c r="A260" s="3"/>
      <c r="B260" s="3"/>
      <c r="D260" s="102"/>
      <c r="E260" s="102"/>
      <c r="G260" s="3"/>
      <c r="H260" s="3"/>
      <c r="J260" s="3"/>
    </row>
    <row r="261" spans="1:10" hidden="1" x14ac:dyDescent="0.25">
      <c r="A261" s="3"/>
      <c r="B261" s="3"/>
      <c r="D261" s="102"/>
      <c r="E261" s="102"/>
      <c r="G261" s="3"/>
      <c r="H261" s="3"/>
      <c r="J261" s="3"/>
    </row>
    <row r="262" spans="1:10" hidden="1" x14ac:dyDescent="0.25">
      <c r="A262" s="3"/>
      <c r="B262" s="3"/>
      <c r="D262" s="102"/>
      <c r="E262" s="102"/>
      <c r="G262" s="3"/>
      <c r="H262" s="3"/>
      <c r="J262" s="3"/>
    </row>
    <row r="263" spans="1:10" hidden="1" x14ac:dyDescent="0.25">
      <c r="A263" s="3"/>
      <c r="B263" s="3"/>
      <c r="D263" s="102"/>
      <c r="E263" s="102"/>
      <c r="G263" s="3"/>
      <c r="H263" s="3"/>
      <c r="J263" s="3"/>
    </row>
    <row r="264" spans="1:10" hidden="1" x14ac:dyDescent="0.25">
      <c r="A264" s="3"/>
      <c r="B264" s="3"/>
      <c r="D264" s="102"/>
      <c r="E264" s="102"/>
      <c r="G264" s="3"/>
      <c r="H264" s="3"/>
      <c r="J264" s="3"/>
    </row>
    <row r="265" spans="1:10" hidden="1" x14ac:dyDescent="0.25">
      <c r="A265" s="3"/>
      <c r="B265" s="3"/>
      <c r="D265" s="102"/>
      <c r="E265" s="102"/>
      <c r="G265" s="3"/>
      <c r="H265" s="3"/>
      <c r="J265" s="3"/>
    </row>
    <row r="266" spans="1:10" hidden="1" x14ac:dyDescent="0.25">
      <c r="A266" s="3"/>
      <c r="B266" s="3"/>
      <c r="D266" s="102"/>
      <c r="E266" s="102"/>
      <c r="G266" s="3"/>
      <c r="H266" s="3"/>
      <c r="J266" s="3"/>
    </row>
    <row r="267" spans="1:10" hidden="1" x14ac:dyDescent="0.25">
      <c r="A267" s="3"/>
      <c r="B267" s="3"/>
      <c r="D267" s="102"/>
      <c r="E267" s="102"/>
      <c r="G267" s="3"/>
      <c r="H267" s="3"/>
      <c r="J267" s="3"/>
    </row>
    <row r="268" spans="1:10" hidden="1" x14ac:dyDescent="0.25">
      <c r="A268" s="3"/>
      <c r="B268" s="3"/>
      <c r="D268" s="102"/>
      <c r="E268" s="102"/>
      <c r="G268" s="3"/>
      <c r="H268" s="3"/>
      <c r="J268" s="3"/>
    </row>
    <row r="269" spans="1:10" hidden="1" x14ac:dyDescent="0.25">
      <c r="A269" s="3"/>
      <c r="B269" s="3"/>
      <c r="D269" s="102"/>
      <c r="E269" s="102"/>
      <c r="G269" s="3"/>
      <c r="H269" s="3"/>
      <c r="J269" s="3"/>
    </row>
    <row r="270" spans="1:10" hidden="1" x14ac:dyDescent="0.25">
      <c r="A270" s="3"/>
      <c r="B270" s="3"/>
      <c r="D270" s="102"/>
      <c r="E270" s="102"/>
      <c r="G270" s="3"/>
      <c r="H270" s="3"/>
      <c r="J270" s="3"/>
    </row>
    <row r="271" spans="1:10" hidden="1" x14ac:dyDescent="0.25">
      <c r="A271" s="3"/>
      <c r="B271" s="3"/>
      <c r="D271" s="102"/>
      <c r="E271" s="102"/>
      <c r="G271" s="3"/>
      <c r="H271" s="3"/>
      <c r="J271" s="3"/>
    </row>
    <row r="272" spans="1:10" hidden="1" x14ac:dyDescent="0.25">
      <c r="A272" s="3"/>
      <c r="B272" s="3"/>
      <c r="D272" s="102"/>
      <c r="E272" s="102"/>
      <c r="G272" s="3"/>
      <c r="H272" s="3"/>
      <c r="J272" s="3"/>
    </row>
    <row r="273" spans="1:10" hidden="1" x14ac:dyDescent="0.25">
      <c r="A273" s="3"/>
      <c r="B273" s="3"/>
      <c r="D273" s="102"/>
      <c r="E273" s="102"/>
      <c r="G273" s="3"/>
      <c r="H273" s="3"/>
      <c r="J273" s="3"/>
    </row>
    <row r="274" spans="1:10" hidden="1" x14ac:dyDescent="0.25">
      <c r="A274" s="3"/>
      <c r="B274" s="3"/>
      <c r="D274" s="102"/>
      <c r="E274" s="102"/>
      <c r="G274" s="3"/>
      <c r="H274" s="3"/>
      <c r="J274" s="3"/>
    </row>
    <row r="275" spans="1:10" hidden="1" x14ac:dyDescent="0.25">
      <c r="A275" s="3"/>
      <c r="B275" s="3"/>
      <c r="D275" s="102"/>
      <c r="E275" s="102"/>
      <c r="G275" s="3"/>
      <c r="H275" s="3"/>
      <c r="J275" s="3"/>
    </row>
    <row r="276" spans="1:10" hidden="1" x14ac:dyDescent="0.25">
      <c r="A276" s="3"/>
      <c r="B276" s="3"/>
      <c r="D276" s="102"/>
      <c r="E276" s="102"/>
      <c r="G276" s="3"/>
      <c r="H276" s="3"/>
      <c r="J276" s="3"/>
    </row>
    <row r="277" spans="1:10" hidden="1" x14ac:dyDescent="0.25">
      <c r="A277" s="3"/>
      <c r="B277" s="3"/>
      <c r="D277" s="102"/>
      <c r="E277" s="102"/>
      <c r="G277" s="3"/>
      <c r="H277" s="3"/>
      <c r="J277" s="3"/>
    </row>
    <row r="278" spans="1:10" hidden="1" x14ac:dyDescent="0.25">
      <c r="A278" s="3"/>
      <c r="B278" s="3"/>
      <c r="D278" s="102"/>
      <c r="E278" s="102"/>
      <c r="G278" s="3"/>
      <c r="H278" s="3"/>
      <c r="J278" s="3"/>
    </row>
    <row r="279" spans="1:10" hidden="1" x14ac:dyDescent="0.25">
      <c r="A279" s="3"/>
      <c r="B279" s="3"/>
      <c r="D279" s="102"/>
      <c r="E279" s="102"/>
      <c r="G279" s="3"/>
      <c r="H279" s="3"/>
      <c r="J279" s="3"/>
    </row>
    <row r="280" spans="1:10" hidden="1" x14ac:dyDescent="0.25">
      <c r="A280" s="3"/>
      <c r="B280" s="3"/>
      <c r="D280" s="102"/>
      <c r="E280" s="102"/>
      <c r="G280" s="3"/>
      <c r="H280" s="3"/>
      <c r="J280" s="3"/>
    </row>
    <row r="281" spans="1:10" hidden="1" x14ac:dyDescent="0.25">
      <c r="A281" s="3"/>
      <c r="B281" s="3"/>
      <c r="D281" s="102"/>
      <c r="E281" s="102"/>
      <c r="G281" s="3"/>
      <c r="H281" s="3"/>
      <c r="J281" s="3"/>
    </row>
    <row r="282" spans="1:10" hidden="1" x14ac:dyDescent="0.25">
      <c r="A282" s="3"/>
      <c r="B282" s="3"/>
      <c r="D282" s="102"/>
      <c r="E282" s="102"/>
      <c r="G282" s="3"/>
      <c r="H282" s="3"/>
      <c r="J282" s="3"/>
    </row>
    <row r="283" spans="1:10" hidden="1" x14ac:dyDescent="0.25">
      <c r="A283" s="3"/>
      <c r="B283" s="3"/>
      <c r="D283" s="102"/>
      <c r="E283" s="102"/>
      <c r="G283" s="3"/>
      <c r="H283" s="3"/>
      <c r="J283" s="3"/>
    </row>
    <row r="284" spans="1:10" hidden="1" x14ac:dyDescent="0.25">
      <c r="A284" s="3"/>
      <c r="B284" s="3"/>
      <c r="D284" s="102"/>
      <c r="E284" s="102"/>
      <c r="G284" s="3"/>
      <c r="H284" s="3"/>
      <c r="J284" s="3"/>
    </row>
    <row r="285" spans="1:10" hidden="1" x14ac:dyDescent="0.25">
      <c r="A285" s="3"/>
      <c r="B285" s="3"/>
      <c r="D285" s="102"/>
      <c r="E285" s="102"/>
      <c r="G285" s="3"/>
      <c r="H285" s="3"/>
      <c r="J285" s="3"/>
    </row>
    <row r="286" spans="1:10" hidden="1" x14ac:dyDescent="0.25">
      <c r="A286" s="3"/>
      <c r="B286" s="3"/>
      <c r="D286" s="102"/>
      <c r="E286" s="102"/>
      <c r="G286" s="3"/>
      <c r="H286" s="3"/>
      <c r="J286" s="3"/>
    </row>
    <row r="287" spans="1:10" hidden="1" x14ac:dyDescent="0.25">
      <c r="A287" s="3"/>
      <c r="B287" s="3"/>
      <c r="D287" s="102"/>
      <c r="E287" s="102"/>
      <c r="G287" s="3"/>
      <c r="H287" s="3"/>
      <c r="J287" s="3"/>
    </row>
    <row r="288" spans="1:10" hidden="1" x14ac:dyDescent="0.25">
      <c r="A288" s="3"/>
      <c r="B288" s="3"/>
      <c r="D288" s="102"/>
      <c r="E288" s="102"/>
      <c r="G288" s="3"/>
      <c r="H288" s="3"/>
      <c r="J288" s="3"/>
    </row>
    <row r="289" spans="1:10" hidden="1" x14ac:dyDescent="0.25">
      <c r="A289" s="3"/>
      <c r="B289" s="3"/>
      <c r="D289" s="102"/>
      <c r="E289" s="102"/>
      <c r="G289" s="3"/>
      <c r="H289" s="3"/>
      <c r="J289" s="3"/>
    </row>
    <row r="290" spans="1:10" hidden="1" x14ac:dyDescent="0.25">
      <c r="A290" s="3"/>
      <c r="B290" s="3"/>
      <c r="D290" s="102"/>
      <c r="E290" s="102"/>
      <c r="G290" s="3"/>
      <c r="H290" s="3"/>
      <c r="J290" s="3"/>
    </row>
    <row r="291" spans="1:10" hidden="1" x14ac:dyDescent="0.25">
      <c r="A291" s="3"/>
      <c r="B291" s="3"/>
      <c r="D291" s="102"/>
      <c r="E291" s="102"/>
      <c r="G291" s="3"/>
      <c r="H291" s="3"/>
      <c r="J291" s="3"/>
    </row>
    <row r="292" spans="1:10" hidden="1" x14ac:dyDescent="0.25">
      <c r="A292" s="3"/>
      <c r="B292" s="3"/>
      <c r="D292" s="102"/>
      <c r="E292" s="102"/>
      <c r="G292" s="3"/>
      <c r="H292" s="3"/>
      <c r="J292" s="3"/>
    </row>
    <row r="293" spans="1:10" hidden="1" x14ac:dyDescent="0.25">
      <c r="A293" s="3"/>
      <c r="B293" s="3"/>
      <c r="D293" s="102"/>
      <c r="E293" s="102"/>
      <c r="G293" s="3"/>
      <c r="H293" s="3"/>
      <c r="J293" s="3"/>
    </row>
    <row r="294" spans="1:10" hidden="1" x14ac:dyDescent="0.25">
      <c r="A294" s="3"/>
      <c r="B294" s="3"/>
      <c r="D294" s="102"/>
      <c r="E294" s="102"/>
      <c r="G294" s="3"/>
      <c r="H294" s="3"/>
      <c r="J294" s="3"/>
    </row>
    <row r="295" spans="1:10" hidden="1" x14ac:dyDescent="0.25">
      <c r="A295" s="3"/>
      <c r="B295" s="3"/>
      <c r="D295" s="102"/>
      <c r="E295" s="102"/>
      <c r="G295" s="3"/>
      <c r="H295" s="3"/>
      <c r="J295" s="3"/>
    </row>
    <row r="296" spans="1:10" hidden="1" x14ac:dyDescent="0.25">
      <c r="A296" s="3"/>
      <c r="B296" s="3"/>
      <c r="D296" s="102"/>
      <c r="E296" s="102"/>
      <c r="G296" s="3"/>
      <c r="H296" s="3"/>
      <c r="J296" s="3"/>
    </row>
    <row r="297" spans="1:10" hidden="1" x14ac:dyDescent="0.25">
      <c r="A297" s="3"/>
      <c r="B297" s="3"/>
      <c r="D297" s="102"/>
      <c r="E297" s="102"/>
      <c r="G297" s="3"/>
      <c r="H297" s="3"/>
      <c r="J297" s="3"/>
    </row>
    <row r="298" spans="1:10" hidden="1" x14ac:dyDescent="0.25">
      <c r="A298" s="3"/>
      <c r="B298" s="3"/>
      <c r="D298" s="102"/>
      <c r="E298" s="102"/>
      <c r="G298" s="3"/>
      <c r="H298" s="3"/>
      <c r="J298" s="3"/>
    </row>
    <row r="299" spans="1:10" hidden="1" x14ac:dyDescent="0.25">
      <c r="A299" s="3"/>
      <c r="B299" s="3"/>
      <c r="D299" s="102"/>
      <c r="E299" s="102"/>
      <c r="G299" s="3"/>
      <c r="H299" s="3"/>
      <c r="J299" s="3"/>
    </row>
    <row r="300" spans="1:10" hidden="1" x14ac:dyDescent="0.25">
      <c r="A300" s="3"/>
      <c r="B300" s="3"/>
      <c r="D300" s="102"/>
      <c r="E300" s="102"/>
      <c r="G300" s="3"/>
      <c r="H300" s="3"/>
      <c r="J300" s="3"/>
    </row>
    <row r="301" spans="1:10" hidden="1" x14ac:dyDescent="0.25">
      <c r="A301" s="3"/>
      <c r="B301" s="3"/>
      <c r="D301" s="102"/>
      <c r="E301" s="102"/>
      <c r="G301" s="3"/>
      <c r="H301" s="3"/>
      <c r="J301" s="3"/>
    </row>
    <row r="302" spans="1:10" hidden="1" x14ac:dyDescent="0.25">
      <c r="A302" s="3"/>
      <c r="B302" s="3"/>
      <c r="D302" s="102"/>
      <c r="E302" s="102"/>
      <c r="G302" s="3"/>
      <c r="H302" s="3"/>
      <c r="J302" s="3"/>
    </row>
    <row r="303" spans="1:10" hidden="1" x14ac:dyDescent="0.25">
      <c r="A303" s="3"/>
      <c r="B303" s="3"/>
      <c r="D303" s="102"/>
      <c r="E303" s="102"/>
      <c r="G303" s="3"/>
      <c r="H303" s="3"/>
      <c r="J303" s="3"/>
    </row>
    <row r="304" spans="1:10" hidden="1" x14ac:dyDescent="0.25">
      <c r="A304" s="3"/>
      <c r="B304" s="3"/>
      <c r="D304" s="102"/>
      <c r="E304" s="102"/>
      <c r="G304" s="3"/>
      <c r="H304" s="3"/>
      <c r="J304" s="3"/>
    </row>
    <row r="305" spans="1:10" hidden="1" x14ac:dyDescent="0.25">
      <c r="A305" s="3"/>
      <c r="B305" s="3"/>
      <c r="D305" s="102"/>
      <c r="E305" s="102"/>
      <c r="G305" s="3"/>
      <c r="H305" s="3"/>
      <c r="J305" s="3"/>
    </row>
  </sheetData>
  <sheetProtection sheet="1" objects="1" scenarios="1" selectLockedCells="1"/>
  <sortState xmlns:xlrd2="http://schemas.microsoft.com/office/spreadsheetml/2017/richdata2" ref="R7:T2000">
    <sortCondition descending="1" ref="T7:T2000"/>
    <sortCondition descending="1" ref="R7:R2000"/>
  </sortState>
  <customSheetViews>
    <customSheetView guid="{3F8A0846-2F87-40BF-8ED6-1DE413C2FC1A}" hiddenColumns="1">
      <pane xSplit="1" topLeftCell="X1" activePane="topRight" state="frozen"/>
      <selection pane="topRight" activeCell="A2" sqref="A2"/>
      <pageMargins left="0.7" right="0.7" top="0.75" bottom="0.75" header="0.3" footer="0.3"/>
    </customSheetView>
    <customSheetView guid="{11E3893E-1244-4BD8-8481-55AC844C97C9}" hiddenColumns="1">
      <pane xSplit="1" topLeftCell="X1" activePane="topRight" state="frozen"/>
      <selection pane="topRight" activeCell="A2" sqref="A2"/>
      <pageMargins left="0.7" right="0.7" top="0.75" bottom="0.75" header="0.3" footer="0.3"/>
    </customSheetView>
  </customSheetViews>
  <mergeCells count="7">
    <mergeCell ref="B5:B6"/>
    <mergeCell ref="D5:D6"/>
    <mergeCell ref="E5:E6"/>
    <mergeCell ref="G5:G6"/>
    <mergeCell ref="G1:H4"/>
    <mergeCell ref="F5:F6"/>
    <mergeCell ref="H5:H6"/>
  </mergeCells>
  <conditionalFormatting sqref="B7:B206 D7:I206">
    <cfRule type="expression" dxfId="3" priority="3">
      <formula>$C7="X"</formula>
    </cfRule>
  </conditionalFormatting>
  <conditionalFormatting sqref="I7:I206">
    <cfRule type="colorScale" priority="4861">
      <colorScale>
        <cfvo type="min"/>
        <cfvo type="num" val="0"/>
        <cfvo type="max"/>
        <color rgb="FFFF9999"/>
        <color theme="0"/>
        <color rgb="FFAFFFAF"/>
      </colorScale>
    </cfRule>
  </conditionalFormatting>
  <pageMargins left="0.7" right="0.7" top="0.75" bottom="0.75" header="0.3" footer="0.3"/>
  <pageSetup orientation="portrait" r:id="rId1"/>
  <ignoredErrors>
    <ignoredError sqref="D302:E305 D208:E30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4580" r:id="rId4" name="Button 4">
              <controlPr defaultSize="0" print="0" autoFill="0" autoPict="0" macro="[0]!Up">
                <anchor moveWithCells="1" sizeWithCells="1">
                  <from>
                    <xdr:col>3</xdr:col>
                    <xdr:colOff>9525</xdr:colOff>
                    <xdr:row>0</xdr:row>
                    <xdr:rowOff>19050</xdr:rowOff>
                  </from>
                  <to>
                    <xdr:col>4</xdr:col>
                    <xdr:colOff>0</xdr:colOff>
                    <xdr:row>1</xdr:row>
                    <xdr:rowOff>190500</xdr:rowOff>
                  </to>
                </anchor>
              </controlPr>
            </control>
          </mc:Choice>
        </mc:AlternateContent>
        <mc:AlternateContent xmlns:mc="http://schemas.openxmlformats.org/markup-compatibility/2006">
          <mc:Choice Requires="x14">
            <control shapeId="24581" r:id="rId5" name="Button 5">
              <controlPr defaultSize="0" print="0" autoFill="0" autoPict="0" macro="[0]!Down">
                <anchor moveWithCells="1" sizeWithCells="1">
                  <from>
                    <xdr:col>3</xdr:col>
                    <xdr:colOff>9525</xdr:colOff>
                    <xdr:row>2</xdr:row>
                    <xdr:rowOff>9525</xdr:rowOff>
                  </from>
                  <to>
                    <xdr:col>4</xdr:col>
                    <xdr:colOff>0</xdr:colOff>
                    <xdr:row>4</xdr:row>
                    <xdr:rowOff>0</xdr:rowOff>
                  </to>
                </anchor>
              </controlPr>
            </control>
          </mc:Choice>
        </mc:AlternateContent>
        <mc:AlternateContent xmlns:mc="http://schemas.openxmlformats.org/markup-compatibility/2006">
          <mc:Choice Requires="x14">
            <control shapeId="24582" r:id="rId6" name="Button 6">
              <controlPr defaultSize="0" print="0" autoFill="0" autoPict="0" macro="[0]!WR_Order">
                <anchor moveWithCells="1">
                  <from>
                    <xdr:col>4</xdr:col>
                    <xdr:colOff>247650</xdr:colOff>
                    <xdr:row>0</xdr:row>
                    <xdr:rowOff>114300</xdr:rowOff>
                  </from>
                  <to>
                    <xdr:col>5</xdr:col>
                    <xdr:colOff>676275</xdr:colOff>
                    <xdr:row>3</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Instructions!$T$2:$T$3</xm:f>
          </x14:formula1>
          <xm:sqref>F5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Y2000"/>
  <sheetViews>
    <sheetView zoomScale="110" zoomScaleNormal="110" workbookViewId="0">
      <pane ySplit="6" topLeftCell="A7" activePane="bottomLeft" state="frozen"/>
      <selection activeCell="M1" sqref="M1:U1048576"/>
      <selection pane="bottomLeft" activeCell="F5" sqref="F5:F6"/>
    </sheetView>
  </sheetViews>
  <sheetFormatPr defaultColWidth="0" defaultRowHeight="0" customHeight="1" zeroHeight="1" x14ac:dyDescent="0.25"/>
  <cols>
    <col min="1" max="1" width="4.7109375" style="144" customWidth="1"/>
    <col min="2" max="2" width="6.42578125" style="3" customWidth="1"/>
    <col min="3" max="3" width="6.7109375" hidden="1" customWidth="1"/>
    <col min="4" max="4" width="25.7109375" style="102" customWidth="1"/>
    <col min="5" max="5" width="10.7109375" style="102" customWidth="1"/>
    <col min="6" max="6" width="10.7109375" style="3" customWidth="1"/>
    <col min="7" max="8" width="10.7109375" style="101" customWidth="1"/>
    <col min="9" max="9" width="5.7109375" style="101" customWidth="1"/>
    <col min="10" max="10" width="4.7109375" style="89" customWidth="1"/>
    <col min="11" max="11" width="31.28515625" style="102" hidden="1" customWidth="1"/>
    <col min="12" max="13" width="9.140625" hidden="1" customWidth="1"/>
    <col min="14" max="14" width="23.7109375" hidden="1" customWidth="1"/>
    <col min="15" max="17" width="9.140625" hidden="1" customWidth="1"/>
    <col min="18" max="18" width="22.7109375" hidden="1" customWidth="1"/>
    <col min="19" max="19" width="20" hidden="1" customWidth="1"/>
    <col min="20" max="20" width="16.85546875" hidden="1" customWidth="1"/>
    <col min="21" max="24" width="16.7109375" hidden="1" customWidth="1"/>
    <col min="25" max="16384" width="9.140625" hidden="1"/>
  </cols>
  <sheetData>
    <row r="1" spans="1:25" ht="15" customHeight="1" x14ac:dyDescent="0.25">
      <c r="A1" s="135"/>
      <c r="B1" s="105"/>
      <c r="D1" s="106"/>
      <c r="E1" s="105"/>
      <c r="F1" s="107"/>
      <c r="G1" s="721" t="s">
        <v>1169</v>
      </c>
      <c r="H1" s="721"/>
      <c r="I1" s="389"/>
      <c r="J1" s="302"/>
      <c r="K1" s="3"/>
      <c r="U1" s="245"/>
      <c r="V1" s="245"/>
      <c r="W1" s="245"/>
      <c r="X1" s="245"/>
    </row>
    <row r="2" spans="1:25" ht="15.75" thickBot="1" x14ac:dyDescent="0.3">
      <c r="A2" s="135"/>
      <c r="B2" s="105"/>
      <c r="D2" s="108"/>
      <c r="E2" s="105"/>
      <c r="F2" s="107"/>
      <c r="G2" s="721"/>
      <c r="H2" s="721"/>
      <c r="I2" s="389"/>
      <c r="J2" s="302"/>
      <c r="K2" s="3"/>
      <c r="U2">
        <f>IF(Instructions!$E$11=10,5,IF(Instructions!$E$11=12, 9,13))</f>
        <v>9</v>
      </c>
    </row>
    <row r="3" spans="1:25" ht="15" x14ac:dyDescent="0.25">
      <c r="A3" s="135"/>
      <c r="B3" s="105"/>
      <c r="D3" s="106"/>
      <c r="E3" s="105"/>
      <c r="F3" s="107"/>
      <c r="G3" s="721"/>
      <c r="H3" s="721"/>
      <c r="I3" s="389"/>
      <c r="J3" s="302"/>
      <c r="K3" s="3"/>
    </row>
    <row r="4" spans="1:25" ht="15.75" thickBot="1" x14ac:dyDescent="0.3">
      <c r="A4" s="135"/>
      <c r="B4" s="105"/>
      <c r="D4" s="109"/>
      <c r="E4" s="105"/>
      <c r="F4" s="107"/>
      <c r="G4" s="721"/>
      <c r="H4" s="721"/>
      <c r="I4" s="389"/>
      <c r="J4" s="302"/>
      <c r="K4" s="3"/>
    </row>
    <row r="5" spans="1:25" ht="15" x14ac:dyDescent="0.25">
      <c r="A5" s="135"/>
      <c r="B5" s="629" t="s">
        <v>912</v>
      </c>
      <c r="C5" s="441"/>
      <c r="D5" s="596" t="s">
        <v>244</v>
      </c>
      <c r="E5" s="596" t="s">
        <v>913</v>
      </c>
      <c r="F5" s="717" t="s">
        <v>1241</v>
      </c>
      <c r="G5" s="637" t="s">
        <v>1167</v>
      </c>
      <c r="H5" s="719" t="s">
        <v>1759</v>
      </c>
      <c r="I5" s="390" t="s">
        <v>1744</v>
      </c>
      <c r="J5" s="127"/>
      <c r="K5" s="3"/>
    </row>
    <row r="6" spans="1:25" ht="15" customHeight="1" thickBot="1" x14ac:dyDescent="0.3">
      <c r="A6" s="135"/>
      <c r="B6" s="714"/>
      <c r="D6" s="715"/>
      <c r="E6" s="715"/>
      <c r="F6" s="718"/>
      <c r="G6" s="638"/>
      <c r="H6" s="720"/>
      <c r="I6" s="391" t="s">
        <v>246</v>
      </c>
      <c r="J6" s="127"/>
      <c r="K6" s="3" t="s">
        <v>1080</v>
      </c>
      <c r="L6" s="7"/>
      <c r="M6" s="7"/>
      <c r="N6" s="7"/>
      <c r="O6" s="7"/>
      <c r="P6" s="7"/>
      <c r="Q6" s="7"/>
      <c r="R6" s="7" t="s">
        <v>918</v>
      </c>
      <c r="S6" t="s">
        <v>967</v>
      </c>
      <c r="T6" t="s">
        <v>971</v>
      </c>
      <c r="U6" s="246" t="s">
        <v>1156</v>
      </c>
      <c r="V6" s="241" t="s">
        <v>1157</v>
      </c>
      <c r="W6" s="241" t="s">
        <v>1999</v>
      </c>
      <c r="X6" s="241" t="s">
        <v>1998</v>
      </c>
      <c r="Y6" s="242" t="s">
        <v>1167</v>
      </c>
    </row>
    <row r="7" spans="1:25" ht="15" customHeight="1" x14ac:dyDescent="0.25">
      <c r="A7" s="135"/>
      <c r="B7" s="142" t="s">
        <v>249</v>
      </c>
      <c r="C7" t="str">
        <f>IF(AND(IFERROR(INDEX(Instructions!$T$111:$T$222,MATCH(D7,Instructions!$T$111:$T$222,0)), "")=D7, D7&lt;&gt;""), "X", "")</f>
        <v/>
      </c>
      <c r="D7" s="141" t="s">
        <v>228</v>
      </c>
      <c r="E7" s="100" t="s">
        <v>136</v>
      </c>
      <c r="F7" s="431">
        <f>IFERROR(IF(AND($F$5="Projected Points",Beersheet!A2&lt;&gt;"QB"), T7, IF(H7="", INDEX(Tier!$B$40:$B$48,MATCH(G7,Tier!$A$40:$A$48,0)), INDEX(Tier!$B$40:$B$48,MATCH(G7,Tier!$A$40:$A$48,0)))), "")</f>
        <v>288.55608999999998</v>
      </c>
      <c r="G7" s="250">
        <f>IF(D7="","",Y7)</f>
        <v>0</v>
      </c>
      <c r="H7" s="394"/>
      <c r="I7" s="392">
        <f>IFERROR(INDEX(ADP!T:T,MATCH(D7,ADP!D:D,0))-RBproj!K7,"")</f>
        <v>0</v>
      </c>
      <c r="J7" s="127"/>
      <c r="K7" s="3">
        <v>1</v>
      </c>
      <c r="L7" s="2" t="s">
        <v>249</v>
      </c>
      <c r="M7" s="3">
        <f>IF(N7-MEDIAN(N4:N10)&lt;0,0,N7-MEDIAN(N4:N10))</f>
        <v>0</v>
      </c>
      <c r="N7" s="4">
        <f>IFERROR(INDEX(ADP!AC:AC,MATCH(D7,ADP!Y:Y,0)),0)</f>
        <v>1.9</v>
      </c>
      <c r="O7" t="s">
        <v>7</v>
      </c>
      <c r="R7" t="str">
        <f>IFERROR(VLOOKUP(S7,FFARawStatProjections!BB:BD,2,FALSE),"")</f>
        <v>KC</v>
      </c>
      <c r="S7" s="4" t="str">
        <f>INDEX(FFARawStatProjections!BB:BB,MATCH(T7,FFARawStatProjections!BD:BD,0))</f>
        <v>Travis Kelce</v>
      </c>
      <c r="T7">
        <f>LARGE(FFARawStatProjections!BD:BD,K7)</f>
        <v>288.55608999999998</v>
      </c>
      <c r="U7" s="248">
        <f>T7-$W$10</f>
        <v>152.16990999999999</v>
      </c>
      <c r="V7" s="243">
        <f>U7^2</f>
        <v>23155.681509408096</v>
      </c>
      <c r="W7" s="243">
        <v>16</v>
      </c>
      <c r="X7" s="243">
        <f>U7/$W$7</f>
        <v>9.5106193749999992</v>
      </c>
      <c r="Y7" s="238">
        <f>IFERROR(
IF(ISBLANK(Beersheet!$A$1)=FALSE,
INDEX(Beersheet!$A:$U,MATCH(S7,INDEX(Beersheet!$A:$U,0,FFARawStatProjections!$BV$2),0),FFARawStatProjections!$BV$6),
IF(X7&gt;6,0,
IF(AND(X7&lt;=6,X7&gt;5),1,
IF(AND(X7&lt;=5,X7&gt;4),2,
IF(AND(X7&lt;=4,X7&gt;3),3,
IF(AND(X7&lt;=3,X7&gt;2),4,
IF(AND(X7&lt;=2,X7&gt;1),5,
IF(AND(X7&lt;=1,X7&gt;0),6,
IF(AND(X7&lt;=0,X7&gt;-1),7,
8))))))))),
10)</f>
        <v>0</v>
      </c>
    </row>
    <row r="8" spans="1:25" ht="15" customHeight="1" x14ac:dyDescent="0.25">
      <c r="A8" s="135"/>
      <c r="B8" s="143" t="s">
        <v>613</v>
      </c>
      <c r="C8" t="str">
        <f>IF(AND(IFERROR(INDEX(Instructions!$T$111:$T$222,MATCH(D8,Instructions!$T$111:$T$222,0)), "")=D8, D8&lt;&gt;""), "X", "")</f>
        <v>X</v>
      </c>
      <c r="D8" s="137" t="s">
        <v>1811</v>
      </c>
      <c r="E8" s="99" t="s">
        <v>162</v>
      </c>
      <c r="F8" s="232">
        <f>IFERROR(IF(AND($F$5="Projected Points",Beersheet!A3&lt;&gt;"QB"), T8, IF(H8="", INDEX(Tier!$B$40:$B$48,MATCH(G8,Tier!$A$40:$A$48,0)), INDEX(Tier!$B$40:$B$48,MATCH(G8,Tier!$A$40:$A$48,0)))), "")</f>
        <v>201.79610000000002</v>
      </c>
      <c r="G8" s="283">
        <f>IF(D8="","",Y8)</f>
        <v>2</v>
      </c>
      <c r="H8" s="288"/>
      <c r="I8" s="392">
        <f>IFERROR(INDEX(ADP!T:T,MATCH(D8,ADP!D:D,0))-RBproj!K8,"")</f>
        <v>0</v>
      </c>
      <c r="J8" s="127"/>
      <c r="K8" s="3">
        <v>2</v>
      </c>
      <c r="L8" s="2" t="s">
        <v>613</v>
      </c>
      <c r="M8" s="3">
        <f t="shared" ref="M8:M71" si="0">IF(N8-MEDIAN(N5:N11)&lt;0,0,N8-MEDIAN(N5:N11))</f>
        <v>0</v>
      </c>
      <c r="N8" s="4">
        <f>IFERROR(INDEX(ADP!AC:AC,MATCH(D8,ADP!Y:Y,0)),0)</f>
        <v>4.5</v>
      </c>
      <c r="O8" t="s">
        <v>7</v>
      </c>
      <c r="R8" t="str">
        <f>IFERROR(VLOOKUP(S8,FFARawStatProjections!BB:BD,2,FALSE),"")</f>
        <v>BAL</v>
      </c>
      <c r="S8" s="4" t="str">
        <f>INDEX(FFARawStatProjections!BB:BB,MATCH(T8,FFARawStatProjections!BD:BD,0))</f>
        <v>Mark Andrews</v>
      </c>
      <c r="T8">
        <f>LARGE(FFARawStatProjections!BD:BD,K8)</f>
        <v>201.79610000000002</v>
      </c>
      <c r="U8" s="248">
        <f t="shared" ref="U8:U71" si="1">T8-$W$10</f>
        <v>65.409920000000028</v>
      </c>
      <c r="V8" s="243">
        <f t="shared" ref="V8:V71" si="2">U8^2</f>
        <v>4278.4576344064035</v>
      </c>
      <c r="W8" s="374">
        <f>AVERAGE(V7:INDEX(V7:V100,Instructions!$E$11,1))</f>
        <v>2990.5942278691523</v>
      </c>
      <c r="X8" s="243">
        <f t="shared" ref="X8:X71" si="3">U8/$W$7</f>
        <v>4.0881200000000018</v>
      </c>
      <c r="Y8" s="238">
        <f>IFERROR(
IF(ISBLANK(Beersheet!$A$1)=FALSE,
INDEX(Beersheet!$A:$U,MATCH(S8,INDEX(Beersheet!$A:$U,0,FFARawStatProjections!$BV$2),0),FFARawStatProjections!$BV$6),
IF(X8&gt;6,0,
IF(AND(X8&lt;=6,X8&gt;5),1,
IF(AND(X8&lt;=5,X8&gt;4),2,
IF(AND(X8&lt;=4,X8&gt;3),3,
IF(AND(X8&lt;=3,X8&gt;2),4,
IF(AND(X8&lt;=2,X8&gt;1),5,
IF(AND(X8&lt;=1,X8&gt;0),6,
IF(AND(X8&lt;=0,X8&gt;-1),7,
8))))))))),
10)</f>
        <v>2</v>
      </c>
    </row>
    <row r="9" spans="1:25" ht="15" customHeight="1" x14ac:dyDescent="0.25">
      <c r="A9" s="135"/>
      <c r="B9" s="142" t="s">
        <v>614</v>
      </c>
      <c r="C9" t="str">
        <f>IF(AND(IFERROR(INDEX(Instructions!$T$111:$T$222,MATCH(D9,Instructions!$T$111:$T$222,0)), "")=D9, D9&lt;&gt;""), "X", "")</f>
        <v/>
      </c>
      <c r="D9" s="138" t="s">
        <v>1862</v>
      </c>
      <c r="E9" s="100" t="s">
        <v>138</v>
      </c>
      <c r="F9" s="431">
        <f>IFERROR(IF(AND($F$5="Projected Points",Beersheet!A4&lt;&gt;"QB"), T9, IF(H9="", INDEX(Tier!$B$40:$B$48,MATCH(G9,Tier!$A$40:$A$48,0)), INDEX(Tier!$B$40:$B$48,MATCH(G9,Tier!$A$40:$A$48,0)))), "")</f>
        <v>198.45611000000002</v>
      </c>
      <c r="G9" s="250">
        <f>IF(D9="","",Y9)</f>
        <v>3</v>
      </c>
      <c r="H9" s="291"/>
      <c r="I9" s="392">
        <f>IFERROR(INDEX(ADP!T:T,MATCH(D9,ADP!D:D,0))-RBproj!K9,"")</f>
        <v>0</v>
      </c>
      <c r="J9" s="127"/>
      <c r="K9" s="3">
        <v>3</v>
      </c>
      <c r="L9" s="2" t="s">
        <v>614</v>
      </c>
      <c r="M9" s="3">
        <f t="shared" si="0"/>
        <v>0</v>
      </c>
      <c r="N9" s="4">
        <f>IFERROR(INDEX(ADP!AC:AC,MATCH(D9,ADP!Y:Y,0)),0)</f>
        <v>5.7</v>
      </c>
      <c r="O9" t="s">
        <v>7</v>
      </c>
      <c r="R9" t="str">
        <f>IFERROR(VLOOKUP(S9,FFARawStatProjections!BB:BD,2,FALSE),"")</f>
        <v>MIN</v>
      </c>
      <c r="S9" s="4" t="str">
        <f>INDEX(FFARawStatProjections!BB:BB,MATCH(T9,FFARawStatProjections!BD:BD,0))</f>
        <v>TJ Hockenson</v>
      </c>
      <c r="T9">
        <f>LARGE(FFARawStatProjections!BD:BD,K9)</f>
        <v>198.45611000000002</v>
      </c>
      <c r="U9" s="248">
        <f t="shared" si="1"/>
        <v>62.069930000000028</v>
      </c>
      <c r="V9" s="243">
        <f t="shared" si="2"/>
        <v>3852.6762102049033</v>
      </c>
      <c r="W9" s="243"/>
      <c r="X9" s="243">
        <f t="shared" si="3"/>
        <v>3.8793706250000017</v>
      </c>
      <c r="Y9" s="238">
        <f>IFERROR(
IF(ISBLANK(Beersheet!$A$1)=FALSE,
INDEX(Beersheet!$A:$U,MATCH(S9,INDEX(Beersheet!$A:$U,0,FFARawStatProjections!$BV$2),0),FFARawStatProjections!$BV$6),
IF(X9&gt;6,0,
IF(AND(X9&lt;=6,X9&gt;5),1,
IF(AND(X9&lt;=5,X9&gt;4),2,
IF(AND(X9&lt;=4,X9&gt;3),3,
IF(AND(X9&lt;=3,X9&gt;2),4,
IF(AND(X9&lt;=2,X9&gt;1),5,
IF(AND(X9&lt;=1,X9&gt;0),6,
IF(AND(X9&lt;=0,X9&gt;-1),7,
8))))))))),
10)</f>
        <v>3</v>
      </c>
    </row>
    <row r="10" spans="1:25" ht="15" customHeight="1" x14ac:dyDescent="0.25">
      <c r="A10" s="135"/>
      <c r="B10" s="143" t="s">
        <v>615</v>
      </c>
      <c r="C10" t="str">
        <f>IF(AND(IFERROR(INDEX(Instructions!$T$111:$T$222,MATCH(D10,Instructions!$T$111:$T$222,0)), "")=D10, D10&lt;&gt;""), "X", "")</f>
        <v/>
      </c>
      <c r="D10" s="137" t="s">
        <v>1451</v>
      </c>
      <c r="E10" s="99" t="s">
        <v>155</v>
      </c>
      <c r="F10" s="232">
        <f>IFERROR(IF(AND($F$5="Projected Points",Beersheet!A5&lt;&gt;"QB"), T10, IF(H10="", INDEX(Tier!$B$40:$B$48,MATCH(G10,Tier!$A$40:$A$48,0)), INDEX(Tier!$B$40:$B$48,MATCH(G10,Tier!$A$40:$A$48,0)))), "")</f>
        <v>175.26613000000003</v>
      </c>
      <c r="G10" s="283">
        <f t="shared" ref="G10:G73" si="4">IF(D10="","",Y10)</f>
        <v>4</v>
      </c>
      <c r="H10" s="288"/>
      <c r="I10" s="392">
        <f>IFERROR(INDEX(ADP!T:T,MATCH(D10,ADP!D:D,0))-RBproj!K10,"")</f>
        <v>0</v>
      </c>
      <c r="J10" s="127"/>
      <c r="K10" s="3">
        <v>4</v>
      </c>
      <c r="L10" s="2" t="s">
        <v>615</v>
      </c>
      <c r="M10" s="3">
        <f t="shared" si="0"/>
        <v>0</v>
      </c>
      <c r="N10" s="4">
        <f>IFERROR(INDEX(ADP!AC:AC,MATCH(D10,ADP!Y:Y,0)),0)</f>
        <v>7</v>
      </c>
      <c r="O10" t="s">
        <v>7</v>
      </c>
      <c r="R10" t="str">
        <f>IFERROR(VLOOKUP(S10,FFARawStatProjections!BB:BD,2,FALSE),"")</f>
        <v>NYG</v>
      </c>
      <c r="S10" s="4" t="str">
        <f>INDEX(FFARawStatProjections!BB:BB,MATCH(T10,FFARawStatProjections!BD:BD,0))</f>
        <v>Darren Waller</v>
      </c>
      <c r="T10">
        <f>LARGE(FFARawStatProjections!BD:BD,K10)</f>
        <v>175.26613000000003</v>
      </c>
      <c r="U10" s="248">
        <f t="shared" si="1"/>
        <v>38.879950000000036</v>
      </c>
      <c r="V10" s="243">
        <f t="shared" si="2"/>
        <v>1511.6505120025029</v>
      </c>
      <c r="W10" s="481">
        <f>INDEX(T7:T100,Instructions!$E$11,1)</f>
        <v>136.38618</v>
      </c>
      <c r="X10" s="243">
        <f t="shared" si="3"/>
        <v>2.4299968750000023</v>
      </c>
      <c r="Y10" s="238">
        <f>IFERROR(
IF(ISBLANK(Beersheet!$A$1)=FALSE,
INDEX(Beersheet!$A:$U,MATCH(S10,INDEX(Beersheet!$A:$U,0,FFARawStatProjections!$BV$2),0),FFARawStatProjections!$BV$6),
IF(X10&gt;6,0,
IF(AND(X10&lt;=6,X10&gt;5),1,
IF(AND(X10&lt;=5,X10&gt;4),2,
IF(AND(X10&lt;=4,X10&gt;3),3,
IF(AND(X10&lt;=3,X10&gt;2),4,
IF(AND(X10&lt;=2,X10&gt;1),5,
IF(AND(X10&lt;=1,X10&gt;0),6,
IF(AND(X10&lt;=0,X10&gt;-1),7,
8))))))))),
10)</f>
        <v>4</v>
      </c>
    </row>
    <row r="11" spans="1:25" ht="15" customHeight="1" x14ac:dyDescent="0.25">
      <c r="A11" s="135"/>
      <c r="B11" s="142" t="s">
        <v>616</v>
      </c>
      <c r="C11" t="str">
        <f>IF(AND(IFERROR(INDEX(Instructions!$T$111:$T$222,MATCH(D11,Instructions!$T$111:$T$222,0)), "")=D11, D11&lt;&gt;""), "X", "")</f>
        <v/>
      </c>
      <c r="D11" s="138" t="s">
        <v>1334</v>
      </c>
      <c r="E11" s="100" t="s">
        <v>154</v>
      </c>
      <c r="F11" s="431">
        <f>IFERROR(IF(AND($F$5="Projected Points",Beersheet!A6&lt;&gt;"QB"), T11, IF(H11="", INDEX(Tier!$B$40:$B$48,MATCH(G11,Tier!$A$40:$A$48,0)), INDEX(Tier!$B$40:$B$48,MATCH(G11,Tier!$A$40:$A$48,0)))), "")</f>
        <v>173.71612000000005</v>
      </c>
      <c r="G11" s="250">
        <f t="shared" si="4"/>
        <v>4</v>
      </c>
      <c r="H11" s="291"/>
      <c r="I11" s="392">
        <f>IFERROR(INDEX(ADP!T:T,MATCH(D11,ADP!D:D,0))-RBproj!K11,"")</f>
        <v>0</v>
      </c>
      <c r="J11" s="127"/>
      <c r="K11" s="3">
        <v>5</v>
      </c>
      <c r="L11" s="2" t="s">
        <v>616</v>
      </c>
      <c r="M11" s="3">
        <f t="shared" si="0"/>
        <v>1.6999999999999993</v>
      </c>
      <c r="N11" s="4">
        <f>IFERROR(INDEX(ADP!AC:AC,MATCH(D11,ADP!Y:Y,0)),0)</f>
        <v>9.1</v>
      </c>
      <c r="O11" t="s">
        <v>7</v>
      </c>
      <c r="R11" t="str">
        <f>IFERROR(VLOOKUP(S11,FFARawStatProjections!BB:BD,2,FALSE),"")</f>
        <v>SF</v>
      </c>
      <c r="S11" s="4" t="str">
        <f>INDEX(FFARawStatProjections!BB:BB,MATCH(T11,FFARawStatProjections!BD:BD,0))</f>
        <v>George Kittle</v>
      </c>
      <c r="T11">
        <f>LARGE(FFARawStatProjections!BD:BD,K11)</f>
        <v>173.71612000000005</v>
      </c>
      <c r="U11" s="248">
        <f t="shared" si="1"/>
        <v>37.32994000000005</v>
      </c>
      <c r="V11" s="243">
        <f t="shared" si="2"/>
        <v>1393.5244204036037</v>
      </c>
      <c r="W11" s="243"/>
      <c r="X11" s="243">
        <f t="shared" si="3"/>
        <v>2.3331212500000031</v>
      </c>
      <c r="Y11" s="238">
        <f>IFERROR(
IF(ISBLANK(Beersheet!$A$1)=FALSE,
INDEX(Beersheet!$A:$U,MATCH(S11,INDEX(Beersheet!$A:$U,0,FFARawStatProjections!$BV$2),0),FFARawStatProjections!$BV$6),
IF(X11&gt;6,0,
IF(AND(X11&lt;=6,X11&gt;5),1,
IF(AND(X11&lt;=5,X11&gt;4),2,
IF(AND(X11&lt;=4,X11&gt;3),3,
IF(AND(X11&lt;=3,X11&gt;2),4,
IF(AND(X11&lt;=2,X11&gt;1),5,
IF(AND(X11&lt;=1,X11&gt;0),6,
IF(AND(X11&lt;=0,X11&gt;-1),7,
8))))))))),
10)</f>
        <v>4</v>
      </c>
    </row>
    <row r="12" spans="1:25" ht="15" customHeight="1" x14ac:dyDescent="0.25">
      <c r="A12" s="135"/>
      <c r="B12" s="143" t="s">
        <v>617</v>
      </c>
      <c r="C12" t="str">
        <f>IF(AND(IFERROR(INDEX(Instructions!$T$111:$T$222,MATCH(D12,Instructions!$T$111:$T$222,0)), "")=D12, D12&lt;&gt;""), "X", "")</f>
        <v/>
      </c>
      <c r="D12" s="137" t="s">
        <v>2232</v>
      </c>
      <c r="E12" s="99" t="s">
        <v>148</v>
      </c>
      <c r="F12" s="232">
        <f>IFERROR(IF(AND($F$5="Projected Points",Beersheet!A7&lt;&gt;"QB"), T12, IF(H12="", INDEX(Tier!$B$40:$B$48,MATCH(G12,Tier!$A$40:$A$48,0)), INDEX(Tier!$B$40:$B$48,MATCH(G12,Tier!$A$40:$A$48,0)))), "")</f>
        <v>162.61615</v>
      </c>
      <c r="G12" s="283">
        <f t="shared" si="4"/>
        <v>5</v>
      </c>
      <c r="H12" s="288"/>
      <c r="I12" s="392">
        <f>IFERROR(INDEX(ADP!T:T,MATCH(D12,ADP!D:D,0))-RBproj!K12,"")</f>
        <v>0</v>
      </c>
      <c r="J12" s="127"/>
      <c r="K12" s="3">
        <v>6</v>
      </c>
      <c r="L12" s="2" t="s">
        <v>617</v>
      </c>
      <c r="M12" s="3">
        <f t="shared" si="0"/>
        <v>0</v>
      </c>
      <c r="N12" s="4">
        <f>IFERROR(INDEX(ADP!AC:AC,MATCH(D12,ADP!Y:Y,0)),0)</f>
        <v>7.4</v>
      </c>
      <c r="O12" t="s">
        <v>7</v>
      </c>
      <c r="R12" t="str">
        <f>IFERROR(VLOOKUP(S12,FFARawStatProjections!BB:BD,2,FALSE),"")</f>
        <v>PHI</v>
      </c>
      <c r="S12" s="4" t="str">
        <f>INDEX(FFARawStatProjections!BB:BB,MATCH(T12,FFARawStatProjections!BD:BD,0))</f>
        <v>Dallas Goedert</v>
      </c>
      <c r="T12">
        <f>LARGE(FFARawStatProjections!BD:BD,K12)</f>
        <v>162.61615</v>
      </c>
      <c r="U12" s="248">
        <f t="shared" si="1"/>
        <v>26.229970000000009</v>
      </c>
      <c r="V12" s="243">
        <f t="shared" si="2"/>
        <v>688.0113262009005</v>
      </c>
      <c r="W12" s="243"/>
      <c r="X12" s="243">
        <f t="shared" si="3"/>
        <v>1.6393731250000005</v>
      </c>
      <c r="Y12" s="238">
        <f>IFERROR(
IF(ISBLANK(Beersheet!$A$1)=FALSE,
INDEX(Beersheet!$A:$U,MATCH(S12,INDEX(Beersheet!$A:$U,0,FFARawStatProjections!$BV$2),0),FFARawStatProjections!$BV$6),
IF(X12&gt;6,0,
IF(AND(X12&lt;=6,X12&gt;5),1,
IF(AND(X12&lt;=5,X12&gt;4),2,
IF(AND(X12&lt;=4,X12&gt;3),3,
IF(AND(X12&lt;=3,X12&gt;2),4,
IF(AND(X12&lt;=2,X12&gt;1),5,
IF(AND(X12&lt;=1,X12&gt;0),6,
IF(AND(X12&lt;=0,X12&gt;-1),7,
8))))))))),
10)</f>
        <v>5</v>
      </c>
    </row>
    <row r="13" spans="1:25" ht="15" customHeight="1" x14ac:dyDescent="0.25">
      <c r="A13" s="135"/>
      <c r="B13" s="142" t="s">
        <v>618</v>
      </c>
      <c r="C13" t="str">
        <f>IF(AND(IFERROR(INDEX(Instructions!$T$111:$T$222,MATCH(D13,Instructions!$T$111:$T$222,0)), "")=D13, D13&lt;&gt;""), "X", "")</f>
        <v/>
      </c>
      <c r="D13" s="138" t="s">
        <v>1813</v>
      </c>
      <c r="E13" s="100" t="s">
        <v>137</v>
      </c>
      <c r="F13" s="431">
        <f>IFERROR(IF(AND($F$5="Projected Points",Beersheet!A8&lt;&gt;"QB"), T13, IF(H13="", INDEX(Tier!$B$40:$B$48,MATCH(G13,Tier!$A$40:$A$48,0)), INDEX(Tier!$B$40:$B$48,MATCH(G13,Tier!$A$40:$A$48,0)))), "")</f>
        <v>162.51613999999998</v>
      </c>
      <c r="G13" s="250">
        <f t="shared" si="4"/>
        <v>5</v>
      </c>
      <c r="H13" s="291"/>
      <c r="I13" s="392">
        <f>IFERROR(INDEX(ADP!T:T,MATCH(D13,ADP!D:D,0))-RBproj!K13,"")</f>
        <v>0</v>
      </c>
      <c r="J13" s="127"/>
      <c r="K13" s="3">
        <v>7</v>
      </c>
      <c r="L13" s="2" t="s">
        <v>618</v>
      </c>
      <c r="M13" s="3">
        <f t="shared" si="0"/>
        <v>0</v>
      </c>
      <c r="N13" s="4">
        <f>IFERROR(INDEX(ADP!AC:AC,MATCH(D13,ADP!Y:Y,0)),0)</f>
        <v>8.8000000000000007</v>
      </c>
      <c r="O13" t="s">
        <v>7</v>
      </c>
      <c r="R13" t="str">
        <f>IFERROR(VLOOKUP(S13,FFARawStatProjections!BB:BD,2,FALSE),"")</f>
        <v>ATL</v>
      </c>
      <c r="S13" s="4" t="str">
        <f>INDEX(FFARawStatProjections!BB:BB,MATCH(T13,FFARawStatProjections!BD:BD,0))</f>
        <v>Kyle Pitts</v>
      </c>
      <c r="T13">
        <f>LARGE(FFARawStatProjections!BD:BD,K13)</f>
        <v>162.51613999999998</v>
      </c>
      <c r="U13" s="248">
        <f t="shared" si="1"/>
        <v>26.129959999999983</v>
      </c>
      <c r="V13" s="243">
        <f t="shared" si="2"/>
        <v>682.77480960159915</v>
      </c>
      <c r="W13" s="243"/>
      <c r="X13" s="243">
        <f t="shared" si="3"/>
        <v>1.6331224999999989</v>
      </c>
      <c r="Y13" s="238">
        <f>IFERROR(
IF(ISBLANK(Beersheet!$A$1)=FALSE,
INDEX(Beersheet!$A:$U,MATCH(S13,INDEX(Beersheet!$A:$U,0,FFARawStatProjections!$BV$2),0),FFARawStatProjections!$BV$6),
IF(X13&gt;6,0,
IF(AND(X13&lt;=6,X13&gt;5),1,
IF(AND(X13&lt;=5,X13&gt;4),2,
IF(AND(X13&lt;=4,X13&gt;3),3,
IF(AND(X13&lt;=3,X13&gt;2),4,
IF(AND(X13&lt;=2,X13&gt;1),5,
IF(AND(X13&lt;=1,X13&gt;0),6,
IF(AND(X13&lt;=0,X13&gt;-1),7,
8))))))))),
10)</f>
        <v>5</v>
      </c>
    </row>
    <row r="14" spans="1:25" ht="15" customHeight="1" x14ac:dyDescent="0.25">
      <c r="A14" s="135"/>
      <c r="B14" s="143" t="s">
        <v>619</v>
      </c>
      <c r="C14" t="str">
        <f>IF(AND(IFERROR(INDEX(Instructions!$T$111:$T$222,MATCH(D14,Instructions!$T$111:$T$222,0)), "")=D14, D14&lt;&gt;""), "X", "")</f>
        <v/>
      </c>
      <c r="D14" s="137" t="s">
        <v>1412</v>
      </c>
      <c r="E14" s="99" t="s">
        <v>165</v>
      </c>
      <c r="F14" s="232">
        <f>IFERROR(IF(AND($F$5="Projected Points",Beersheet!A9&lt;&gt;"QB"), T14, IF(H14="", INDEX(Tier!$B$40:$B$48,MATCH(G14,Tier!$A$40:$A$48,0)), INDEX(Tier!$B$40:$B$48,MATCH(G14,Tier!$A$40:$A$48,0)))), "")</f>
        <v>149.53617</v>
      </c>
      <c r="G14" s="283">
        <f t="shared" si="4"/>
        <v>6</v>
      </c>
      <c r="H14" s="288"/>
      <c r="I14" s="392">
        <f>IFERROR(INDEX(ADP!T:T,MATCH(D14,ADP!D:D,0))-RBproj!K14,"")</f>
        <v>1</v>
      </c>
      <c r="J14" s="127"/>
      <c r="K14" s="3">
        <v>8</v>
      </c>
      <c r="L14" s="2" t="s">
        <v>619</v>
      </c>
      <c r="M14" s="3">
        <f t="shared" si="0"/>
        <v>0</v>
      </c>
      <c r="N14" s="4">
        <f>IFERROR(INDEX(ADP!AC:AC,MATCH(D14,ADP!Y:Y,0)),0)</f>
        <v>9.5</v>
      </c>
      <c r="O14" t="s">
        <v>7</v>
      </c>
      <c r="R14" t="str">
        <f>IFERROR(VLOOKUP(S14,FFARawStatProjections!BB:BD,2,FALSE),"")</f>
        <v>JAC</v>
      </c>
      <c r="S14" s="4" t="str">
        <f>INDEX(FFARawStatProjections!BB:BB,MATCH(T14,FFARawStatProjections!BD:BD,0))</f>
        <v>Evan Engram</v>
      </c>
      <c r="T14">
        <f>LARGE(FFARawStatProjections!BD:BD,K14)</f>
        <v>149.53617</v>
      </c>
      <c r="U14" s="248">
        <f t="shared" si="1"/>
        <v>13.149990000000003</v>
      </c>
      <c r="V14" s="243">
        <f t="shared" si="2"/>
        <v>172.92223700010007</v>
      </c>
      <c r="W14" s="243"/>
      <c r="X14" s="243">
        <f t="shared" si="3"/>
        <v>0.82187437500000016</v>
      </c>
      <c r="Y14" s="238">
        <f>IFERROR(
IF(ISBLANK(Beersheet!$A$1)=FALSE,
INDEX(Beersheet!$A:$U,MATCH(S14,INDEX(Beersheet!$A:$U,0,FFARawStatProjections!$BV$2),0),FFARawStatProjections!$BV$6),
IF(X14&gt;6,0,
IF(AND(X14&lt;=6,X14&gt;5),1,
IF(AND(X14&lt;=5,X14&gt;4),2,
IF(AND(X14&lt;=4,X14&gt;3),3,
IF(AND(X14&lt;=3,X14&gt;2),4,
IF(AND(X14&lt;=2,X14&gt;1),5,
IF(AND(X14&lt;=1,X14&gt;0),6,
IF(AND(X14&lt;=0,X14&gt;-1),7,
8))))))))),
10)</f>
        <v>6</v>
      </c>
    </row>
    <row r="15" spans="1:25" ht="15" customHeight="1" x14ac:dyDescent="0.25">
      <c r="A15" s="135"/>
      <c r="B15" s="142" t="s">
        <v>620</v>
      </c>
      <c r="C15" t="str">
        <f>IF(AND(IFERROR(INDEX(Instructions!$T$111:$T$222,MATCH(D15,Instructions!$T$111:$T$222,0)), "")=D15, D15&lt;&gt;""), "X", "")</f>
        <v/>
      </c>
      <c r="D15" s="138" t="s">
        <v>2236</v>
      </c>
      <c r="E15" s="100" t="s">
        <v>147</v>
      </c>
      <c r="F15" s="431">
        <f>IFERROR(IF(AND($F$5="Projected Points",Beersheet!A10&lt;&gt;"QB"), T15, IF(H15="", INDEX(Tier!$B$40:$B$48,MATCH(G15,Tier!$A$40:$A$48,0)), INDEX(Tier!$B$40:$B$48,MATCH(G15,Tier!$A$40:$A$48,0)))), "")</f>
        <v>147.79615999999999</v>
      </c>
      <c r="G15" s="250">
        <f t="shared" si="4"/>
        <v>6</v>
      </c>
      <c r="H15" s="291"/>
      <c r="I15" s="392">
        <f>IFERROR(INDEX(ADP!T:T,MATCH(D15,ADP!D:D,0))-RBproj!K15,"")</f>
        <v>-1</v>
      </c>
      <c r="J15" s="127"/>
      <c r="K15" s="3">
        <v>9</v>
      </c>
      <c r="L15" s="2" t="s">
        <v>620</v>
      </c>
      <c r="M15" s="3">
        <f t="shared" si="0"/>
        <v>0.5</v>
      </c>
      <c r="N15" s="4">
        <f>IFERROR(INDEX(ADP!AC:AC,MATCH(D15,ADP!Y:Y,0)),0)</f>
        <v>10.1</v>
      </c>
      <c r="O15" t="s">
        <v>7</v>
      </c>
      <c r="R15" t="str">
        <f>IFERROR(VLOOKUP(S15,FFARawStatProjections!BB:BD,2,FALSE),"")</f>
        <v>PIT</v>
      </c>
      <c r="S15" s="4" t="str">
        <f>INDEX(FFARawStatProjections!BB:BB,MATCH(T15,FFARawStatProjections!BD:BD,0))</f>
        <v>Patrick Freiermuth</v>
      </c>
      <c r="T15">
        <f>LARGE(FFARawStatProjections!BD:BD,K15)</f>
        <v>147.79615999999999</v>
      </c>
      <c r="U15" s="248">
        <f t="shared" si="1"/>
        <v>11.40997999999999</v>
      </c>
      <c r="V15" s="243">
        <f t="shared" si="2"/>
        <v>130.18764360039978</v>
      </c>
      <c r="W15" s="243"/>
      <c r="X15" s="243">
        <f t="shared" si="3"/>
        <v>0.71312374999999939</v>
      </c>
      <c r="Y15" s="238">
        <f>IFERROR(
IF(ISBLANK(Beersheet!$A$1)=FALSE,
INDEX(Beersheet!$A:$U,MATCH(S15,INDEX(Beersheet!$A:$U,0,FFARawStatProjections!$BV$2),0),FFARawStatProjections!$BV$6),
IF(X15&gt;6,0,
IF(AND(X15&lt;=6,X15&gt;5),1,
IF(AND(X15&lt;=5,X15&gt;4),2,
IF(AND(X15&lt;=4,X15&gt;3),3,
IF(AND(X15&lt;=3,X15&gt;2),4,
IF(AND(X15&lt;=2,X15&gt;1),5,
IF(AND(X15&lt;=1,X15&gt;0),6,
IF(AND(X15&lt;=0,X15&gt;-1),7,
8))))))))),
10)</f>
        <v>6</v>
      </c>
    </row>
    <row r="16" spans="1:25" ht="15" customHeight="1" x14ac:dyDescent="0.25">
      <c r="A16" s="135"/>
      <c r="B16" s="143" t="s">
        <v>621</v>
      </c>
      <c r="C16" t="str">
        <f>IF(AND(IFERROR(INDEX(Instructions!$T$111:$T$222,MATCH(D16,Instructions!$T$111:$T$222,0)), "")=D16, D16&lt;&gt;""), "X", "")</f>
        <v/>
      </c>
      <c r="D16" s="137" t="s">
        <v>1993</v>
      </c>
      <c r="E16" s="99" t="s">
        <v>151</v>
      </c>
      <c r="F16" s="232">
        <f>IFERROR(IF(AND($F$5="Projected Points",Beersheet!A11&lt;&gt;"QB"), T16, IF(H16="", INDEX(Tier!$B$40:$B$48,MATCH(G16,Tier!$A$40:$A$48,0)), INDEX(Tier!$B$40:$B$48,MATCH(G16,Tier!$A$40:$A$48,0)))), "")</f>
        <v>140.38621000000001</v>
      </c>
      <c r="G16" s="283">
        <f t="shared" si="4"/>
        <v>6</v>
      </c>
      <c r="H16" s="288"/>
      <c r="I16" s="392">
        <f>IFERROR(INDEX(ADP!T:T,MATCH(D16,ADP!D:D,0))-RBproj!K16,"")</f>
        <v>0</v>
      </c>
      <c r="J16" s="127"/>
      <c r="K16" s="3">
        <v>10</v>
      </c>
      <c r="L16" s="2" t="s">
        <v>621</v>
      </c>
      <c r="M16" s="3">
        <f t="shared" si="0"/>
        <v>1.4000000000000004</v>
      </c>
      <c r="N16" s="4">
        <f>IFERROR(INDEX(ADP!AC:AC,MATCH(D16,ADP!Y:Y,0)),0)</f>
        <v>11.5</v>
      </c>
      <c r="O16" t="s">
        <v>7</v>
      </c>
      <c r="R16" t="str">
        <f>IFERROR(VLOOKUP(S16,FFARawStatProjections!BB:BD,2,FALSE),"")</f>
        <v>LAR</v>
      </c>
      <c r="S16" s="4" t="str">
        <f>INDEX(FFARawStatProjections!BB:BB,MATCH(T16,FFARawStatProjections!BD:BD,0))</f>
        <v>Tyler Higbee</v>
      </c>
      <c r="T16">
        <f>LARGE(FFARawStatProjections!BD:BD,K16)</f>
        <v>140.38621000000001</v>
      </c>
      <c r="U16" s="248">
        <f t="shared" si="1"/>
        <v>4.0000300000000095</v>
      </c>
      <c r="V16" s="243">
        <f t="shared" si="2"/>
        <v>16.000240000900074</v>
      </c>
      <c r="W16" s="243"/>
      <c r="X16" s="243">
        <f t="shared" si="3"/>
        <v>0.2500018750000006</v>
      </c>
      <c r="Y16" s="238">
        <f>IFERROR(
IF(ISBLANK(Beersheet!$A$1)=FALSE,
INDEX(Beersheet!$A:$U,MATCH(S16,INDEX(Beersheet!$A:$U,0,FFARawStatProjections!$BV$2),0),FFARawStatProjections!$BV$6),
IF(X16&gt;6,0,
IF(AND(X16&lt;=6,X16&gt;5),1,
IF(AND(X16&lt;=5,X16&gt;4),2,
IF(AND(X16&lt;=4,X16&gt;3),3,
IF(AND(X16&lt;=3,X16&gt;2),4,
IF(AND(X16&lt;=2,X16&gt;1),5,
IF(AND(X16&lt;=1,X16&gt;0),6,
IF(AND(X16&lt;=0,X16&gt;-1),7,
8))))))))),
10)</f>
        <v>6</v>
      </c>
    </row>
    <row r="17" spans="1:25" ht="15" customHeight="1" x14ac:dyDescent="0.25">
      <c r="A17" s="135"/>
      <c r="B17" s="142" t="s">
        <v>622</v>
      </c>
      <c r="C17" t="str">
        <f>IF(AND(IFERROR(INDEX(Instructions!$T$111:$T$222,MATCH(D17,Instructions!$T$111:$T$222,0)), "")=D17, D17&lt;&gt;""), "X", "")</f>
        <v/>
      </c>
      <c r="D17" s="138" t="s">
        <v>1424</v>
      </c>
      <c r="E17" s="100" t="s">
        <v>161</v>
      </c>
      <c r="F17" s="431">
        <f>IFERROR(IF(AND($F$5="Projected Points",Beersheet!A12&lt;&gt;"QB"), T17, IF(H17="", INDEX(Tier!$B$40:$B$48,MATCH(G17,Tier!$A$40:$A$48,0)), INDEX(Tier!$B$40:$B$48,MATCH(G17,Tier!$A$40:$A$48,0)))), "")</f>
        <v>138.67620000000002</v>
      </c>
      <c r="G17" s="250">
        <f t="shared" si="4"/>
        <v>6</v>
      </c>
      <c r="H17" s="291"/>
      <c r="I17" s="392">
        <f>IFERROR(INDEX(ADP!T:T,MATCH(D17,ADP!D:D,0))-RBproj!K17,"")</f>
        <v>0</v>
      </c>
      <c r="J17" s="127"/>
      <c r="K17" s="3">
        <v>11</v>
      </c>
      <c r="L17" s="2" t="s">
        <v>622</v>
      </c>
      <c r="M17" s="3">
        <f t="shared" si="0"/>
        <v>0</v>
      </c>
      <c r="N17" s="4">
        <f>IFERROR(INDEX(ADP!AC:AC,MATCH(D17,ADP!Y:Y,0)),0)</f>
        <v>9.6</v>
      </c>
      <c r="O17" t="s">
        <v>7</v>
      </c>
      <c r="R17" t="str">
        <f>IFERROR(VLOOKUP(S17,FFARawStatProjections!BB:BD,2,FALSE),"")</f>
        <v>HOU</v>
      </c>
      <c r="S17" s="4" t="str">
        <f>INDEX(FFARawStatProjections!BB:BB,MATCH(T17,FFARawStatProjections!BD:BD,0))</f>
        <v>Dalton Schultz</v>
      </c>
      <c r="T17">
        <f>LARGE(FFARawStatProjections!BD:BD,K17)</f>
        <v>138.67620000000002</v>
      </c>
      <c r="U17" s="248">
        <f t="shared" si="1"/>
        <v>2.2900200000000268</v>
      </c>
      <c r="V17" s="243">
        <f t="shared" si="2"/>
        <v>5.2441916004001232</v>
      </c>
      <c r="W17" s="243"/>
      <c r="X17" s="243">
        <f t="shared" si="3"/>
        <v>0.14312625000000168</v>
      </c>
      <c r="Y17" s="238">
        <f>IFERROR(
IF(ISBLANK(Beersheet!$A$1)=FALSE,
INDEX(Beersheet!$A:$U,MATCH(S17,INDEX(Beersheet!$A:$U,0,FFARawStatProjections!$BV$2),0),FFARawStatProjections!$BV$6),
IF(X17&gt;6,0,
IF(AND(X17&lt;=6,X17&gt;5),1,
IF(AND(X17&lt;=5,X17&gt;4),2,
IF(AND(X17&lt;=4,X17&gt;3),3,
IF(AND(X17&lt;=3,X17&gt;2),4,
IF(AND(X17&lt;=2,X17&gt;1),5,
IF(AND(X17&lt;=1,X17&gt;0),6,
IF(AND(X17&lt;=0,X17&gt;-1),7,
8))))))))),
10)</f>
        <v>6</v>
      </c>
    </row>
    <row r="18" spans="1:25" ht="15" customHeight="1" x14ac:dyDescent="0.25">
      <c r="A18" s="135"/>
      <c r="B18" s="143" t="s">
        <v>623</v>
      </c>
      <c r="C18" t="str">
        <f>IF(AND(IFERROR(INDEX(Instructions!$T$111:$T$222,MATCH(D18,Instructions!$T$111:$T$222,0)), "")=D18, D18&lt;&gt;""), "X", "")</f>
        <v/>
      </c>
      <c r="D18" s="137" t="s">
        <v>1211</v>
      </c>
      <c r="E18" s="99" t="s">
        <v>1389</v>
      </c>
      <c r="F18" s="232">
        <f>IFERROR(IF(AND($F$5="Projected Points",Beersheet!A13&lt;&gt;"QB"), T18, IF(H18="", INDEX(Tier!$B$40:$B$48,MATCH(G18,Tier!$A$40:$A$48,0)), INDEX(Tier!$B$40:$B$48,MATCH(G18,Tier!$A$40:$A$48,0)))), "")</f>
        <v>136.38618</v>
      </c>
      <c r="G18" s="283">
        <f t="shared" si="4"/>
        <v>7</v>
      </c>
      <c r="H18" s="288"/>
      <c r="I18" s="392">
        <f>IFERROR(INDEX(ADP!T:T,MATCH(D18,ADP!D:D,0))-RBproj!K18,"")</f>
        <v>5</v>
      </c>
      <c r="J18" s="127"/>
      <c r="K18" s="3">
        <v>12</v>
      </c>
      <c r="L18" s="2" t="s">
        <v>623</v>
      </c>
      <c r="M18" s="3">
        <f t="shared" si="0"/>
        <v>0.29999999999999893</v>
      </c>
      <c r="N18" s="4">
        <f>IFERROR(INDEX(ADP!AC:AC,MATCH(D18,ADP!Y:Y,0)),0)</f>
        <v>15.6</v>
      </c>
      <c r="O18" t="s">
        <v>7</v>
      </c>
      <c r="R18" t="str">
        <f>IFERROR(VLOOKUP(S18,FFARawStatProjections!BB:BD,2,FALSE),"")</f>
        <v>CLE</v>
      </c>
      <c r="S18" s="4" t="str">
        <f>INDEX(FFARawStatProjections!BB:BB,MATCH(T18,FFARawStatProjections!BD:BD,0))</f>
        <v>David Njoku</v>
      </c>
      <c r="T18">
        <f>LARGE(FFARawStatProjections!BD:BD,K18)</f>
        <v>136.38618</v>
      </c>
      <c r="U18" s="248">
        <f t="shared" si="1"/>
        <v>0</v>
      </c>
      <c r="V18" s="243">
        <f t="shared" si="2"/>
        <v>0</v>
      </c>
      <c r="W18" s="243"/>
      <c r="X18" s="243">
        <f t="shared" si="3"/>
        <v>0</v>
      </c>
      <c r="Y18" s="238">
        <f>IFERROR(
IF(ISBLANK(Beersheet!$A$1)=FALSE,
INDEX(Beersheet!$A:$U,MATCH(S18,INDEX(Beersheet!$A:$U,0,FFARawStatProjections!$BV$2),0),FFARawStatProjections!$BV$6),
IF(X18&gt;6,0,
IF(AND(X18&lt;=6,X18&gt;5),1,
IF(AND(X18&lt;=5,X18&gt;4),2,
IF(AND(X18&lt;=4,X18&gt;3),3,
IF(AND(X18&lt;=3,X18&gt;2),4,
IF(AND(X18&lt;=2,X18&gt;1),5,
IF(AND(X18&lt;=1,X18&gt;0),6,
IF(AND(X18&lt;=0,X18&gt;-1),7,
8))))))))),
10)</f>
        <v>7</v>
      </c>
    </row>
    <row r="19" spans="1:25" ht="15" customHeight="1" x14ac:dyDescent="0.25">
      <c r="A19" s="135"/>
      <c r="B19" s="142" t="s">
        <v>624</v>
      </c>
      <c r="C19" t="str">
        <f>IF(AND(IFERROR(INDEX(Instructions!$T$111:$T$222,MATCH(D19,Instructions!$T$111:$T$222,0)), "")=D19, D19&lt;&gt;""), "X", "")</f>
        <v/>
      </c>
      <c r="D19" s="138" t="s">
        <v>2371</v>
      </c>
      <c r="E19" s="100" t="s">
        <v>163</v>
      </c>
      <c r="F19" s="431">
        <f>IFERROR(IF(AND($F$5="Projected Points",Beersheet!A14&lt;&gt;"QB"), T19, IF(H19="", INDEX(Tier!$B$40:$B$48,MATCH(G19,Tier!$A$40:$A$48,0)), INDEX(Tier!$B$40:$B$48,MATCH(G19,Tier!$A$40:$A$48,0)))), "")</f>
        <v>126.27619000000001</v>
      </c>
      <c r="G19" s="250">
        <f t="shared" si="4"/>
        <v>7</v>
      </c>
      <c r="H19" s="291"/>
      <c r="I19" s="392">
        <f>IFERROR(INDEX(ADP!T:T,MATCH(D19,ADP!D:D,0))-RBproj!K19,"")</f>
        <v>0</v>
      </c>
      <c r="J19" s="127"/>
      <c r="K19" s="3">
        <v>13</v>
      </c>
      <c r="L19" s="2" t="s">
        <v>624</v>
      </c>
      <c r="M19" s="3">
        <f t="shared" si="0"/>
        <v>2.0000000000000018</v>
      </c>
      <c r="N19" s="4">
        <f>IFERROR(INDEX(ADP!AC:AC,MATCH(D19,ADP!Y:Y,0)),0)</f>
        <v>17.600000000000001</v>
      </c>
      <c r="O19" t="s">
        <v>7</v>
      </c>
      <c r="R19" t="str">
        <f>IFERROR(VLOOKUP(S19,FFARawStatProjections!BB:BD,2,FALSE),"")</f>
        <v>TEN</v>
      </c>
      <c r="S19" s="4" t="str">
        <f>INDEX(FFARawStatProjections!BB:BB,MATCH(T19,FFARawStatProjections!BD:BD,0))</f>
        <v>Chigoziem Okonkwo</v>
      </c>
      <c r="T19">
        <f>LARGE(FFARawStatProjections!BD:BD,K19)</f>
        <v>126.27619000000001</v>
      </c>
      <c r="U19" s="248">
        <f t="shared" si="1"/>
        <v>-10.109989999999982</v>
      </c>
      <c r="V19" s="243">
        <f t="shared" si="2"/>
        <v>102.21189780009963</v>
      </c>
      <c r="W19" s="243"/>
      <c r="X19" s="243">
        <f t="shared" si="3"/>
        <v>-0.63187437499999888</v>
      </c>
      <c r="Y19" s="238">
        <f>IFERROR(
IF(ISBLANK(Beersheet!$A$1)=FALSE,
INDEX(Beersheet!$A:$U,MATCH(S19,INDEX(Beersheet!$A:$U,0,FFARawStatProjections!$BV$2),0),FFARawStatProjections!$BV$6),
IF(X19&gt;6,0,
IF(AND(X19&lt;=6,X19&gt;5),1,
IF(AND(X19&lt;=5,X19&gt;4),2,
IF(AND(X19&lt;=4,X19&gt;3),3,
IF(AND(X19&lt;=3,X19&gt;2),4,
IF(AND(X19&lt;=2,X19&gt;1),5,
IF(AND(X19&lt;=1,X19&gt;0),6,
IF(AND(X19&lt;=0,X19&gt;-1),7,
8))))))))),
10)</f>
        <v>7</v>
      </c>
    </row>
    <row r="20" spans="1:25" ht="15" customHeight="1" x14ac:dyDescent="0.25">
      <c r="A20" s="135"/>
      <c r="B20" s="143" t="s">
        <v>625</v>
      </c>
      <c r="C20" t="str">
        <f>IF(AND(IFERROR(INDEX(Instructions!$T$111:$T$222,MATCH(D20,Instructions!$T$111:$T$222,0)), "")=D20, D20&lt;&gt;""), "X", "")</f>
        <v/>
      </c>
      <c r="D20" s="137" t="s">
        <v>2360</v>
      </c>
      <c r="E20" s="99" t="s">
        <v>144</v>
      </c>
      <c r="F20" s="232">
        <f>IFERROR(IF(AND($F$5="Projected Points",Beersheet!A15&lt;&gt;"QB"), T20, IF(H20="", INDEX(Tier!$B$40:$B$48,MATCH(G20,Tier!$A$40:$A$48,0)), INDEX(Tier!$B$40:$B$48,MATCH(G20,Tier!$A$40:$A$48,0)))), "")</f>
        <v>126.08624000000002</v>
      </c>
      <c r="G20" s="283">
        <f t="shared" si="4"/>
        <v>7</v>
      </c>
      <c r="H20" s="288"/>
      <c r="I20" s="392">
        <f>IFERROR(INDEX(ADP!T:T,MATCH(D20,ADP!D:D,0))-RBproj!K20,"")</f>
        <v>4</v>
      </c>
      <c r="J20" s="127"/>
      <c r="K20" s="3">
        <v>14</v>
      </c>
      <c r="L20" s="2" t="s">
        <v>625</v>
      </c>
      <c r="M20" s="3">
        <f t="shared" si="0"/>
        <v>0</v>
      </c>
      <c r="N20" s="4">
        <f>IFERROR(INDEX(ADP!AC:AC,MATCH(D20,ADP!Y:Y,0)),0)</f>
        <v>15.3</v>
      </c>
      <c r="O20" t="s">
        <v>7</v>
      </c>
      <c r="R20" t="str">
        <f>IFERROR(VLOOKUP(S20,FFARawStatProjections!BB:BD,2,FALSE),"")</f>
        <v>LAC</v>
      </c>
      <c r="S20" s="4" t="str">
        <f>INDEX(FFARawStatProjections!BB:BB,MATCH(T20,FFARawStatProjections!BD:BD,0))</f>
        <v>Gerald Everett</v>
      </c>
      <c r="T20">
        <f>LARGE(FFARawStatProjections!BD:BD,K20)</f>
        <v>126.08624000000002</v>
      </c>
      <c r="U20" s="248">
        <f t="shared" si="1"/>
        <v>-10.299939999999978</v>
      </c>
      <c r="V20" s="243">
        <f t="shared" si="2"/>
        <v>106.08876400359955</v>
      </c>
      <c r="W20" s="243"/>
      <c r="X20" s="243">
        <f t="shared" si="3"/>
        <v>-0.64374624999999863</v>
      </c>
      <c r="Y20" s="238">
        <f>IFERROR(
IF(ISBLANK(Beersheet!$A$1)=FALSE,
INDEX(Beersheet!$A:$U,MATCH(S20,INDEX(Beersheet!$A:$U,0,FFARawStatProjections!$BV$2),0),FFARawStatProjections!$BV$6),
IF(X20&gt;6,0,
IF(AND(X20&lt;=6,X20&gt;5),1,
IF(AND(X20&lt;=5,X20&gt;4),2,
IF(AND(X20&lt;=4,X20&gt;3),3,
IF(AND(X20&lt;=3,X20&gt;2),4,
IF(AND(X20&lt;=2,X20&gt;1),5,
IF(AND(X20&lt;=1,X20&gt;0),6,
IF(AND(X20&lt;=0,X20&gt;-1),7,
8))))))))),
10)</f>
        <v>7</v>
      </c>
    </row>
    <row r="21" spans="1:25" ht="15" customHeight="1" x14ac:dyDescent="0.25">
      <c r="A21" s="135"/>
      <c r="B21" s="142" t="s">
        <v>626</v>
      </c>
      <c r="C21" t="str">
        <f>IF(AND(IFERROR(INDEX(Instructions!$T$111:$T$222,MATCH(D21,Instructions!$T$111:$T$222,0)), "")=D21, D21&lt;&gt;""), "X", "")</f>
        <v/>
      </c>
      <c r="D21" s="138" t="s">
        <v>1415</v>
      </c>
      <c r="E21" s="100" t="s">
        <v>1388</v>
      </c>
      <c r="F21" s="431">
        <f>IFERROR(IF(AND($F$5="Projected Points",Beersheet!A16&lt;&gt;"QB"), T21, IF(H21="", INDEX(Tier!$B$40:$B$48,MATCH(G21,Tier!$A$40:$A$48,0)), INDEX(Tier!$B$40:$B$48,MATCH(G21,Tier!$A$40:$A$48,0)))), "")</f>
        <v>124.79622000000002</v>
      </c>
      <c r="G21" s="250">
        <f t="shared" si="4"/>
        <v>7</v>
      </c>
      <c r="H21" s="291"/>
      <c r="I21" s="392">
        <f>IFERROR(INDEX(ADP!T:T,MATCH(D21,ADP!D:D,0))-RBproj!K21,"")</f>
        <v>1</v>
      </c>
      <c r="J21" s="127"/>
      <c r="K21" s="3">
        <v>15</v>
      </c>
      <c r="L21" s="2" t="s">
        <v>626</v>
      </c>
      <c r="M21" s="3">
        <f t="shared" si="0"/>
        <v>0</v>
      </c>
      <c r="N21" s="4">
        <f>IFERROR(INDEX(ADP!AC:AC,MATCH(D21,ADP!Y:Y,0)),0)</f>
        <v>17.600000000000001</v>
      </c>
      <c r="O21" t="s">
        <v>7</v>
      </c>
      <c r="R21" t="str">
        <f>IFERROR(VLOOKUP(S21,FFARawStatProjections!BB:BD,2,FALSE),"")</f>
        <v>DEN</v>
      </c>
      <c r="S21" s="4" t="str">
        <f>INDEX(FFARawStatProjections!BB:BB,MATCH(T21,FFARawStatProjections!BD:BD,0))</f>
        <v>Greg Dulcich</v>
      </c>
      <c r="T21">
        <f>LARGE(FFARawStatProjections!BD:BD,K21)</f>
        <v>124.79622000000002</v>
      </c>
      <c r="U21" s="248">
        <f t="shared" si="1"/>
        <v>-11.589959999999977</v>
      </c>
      <c r="V21" s="243">
        <f t="shared" si="2"/>
        <v>134.32717280159946</v>
      </c>
      <c r="W21" s="243"/>
      <c r="X21" s="243">
        <f t="shared" si="3"/>
        <v>-0.72437249999999853</v>
      </c>
      <c r="Y21" s="238">
        <f>IFERROR(
IF(ISBLANK(Beersheet!$A$1)=FALSE,
INDEX(Beersheet!$A:$U,MATCH(S21,INDEX(Beersheet!$A:$U,0,FFARawStatProjections!$BV$2),0),FFARawStatProjections!$BV$6),
IF(X21&gt;6,0,
IF(AND(X21&lt;=6,X21&gt;5),1,
IF(AND(X21&lt;=5,X21&gt;4),2,
IF(AND(X21&lt;=4,X21&gt;3),3,
IF(AND(X21&lt;=3,X21&gt;2),4,
IF(AND(X21&lt;=2,X21&gt;1),5,
IF(AND(X21&lt;=1,X21&gt;0),6,
IF(AND(X21&lt;=0,X21&gt;-1),7,
8))))))))),
10)</f>
        <v>7</v>
      </c>
    </row>
    <row r="22" spans="1:25" ht="15" customHeight="1" x14ac:dyDescent="0.25">
      <c r="A22" s="135"/>
      <c r="B22" s="143" t="s">
        <v>627</v>
      </c>
      <c r="C22" t="str">
        <f>IF(AND(IFERROR(INDEX(Instructions!$T$111:$T$222,MATCH(D22,Instructions!$T$111:$T$222,0)), "")=D22, D22&lt;&gt;""), "X", "")</f>
        <v/>
      </c>
      <c r="D22" s="137" t="s">
        <v>2105</v>
      </c>
      <c r="E22" s="99" t="s">
        <v>141</v>
      </c>
      <c r="F22" s="232">
        <f>IFERROR(IF(AND($F$5="Projected Points",Beersheet!A17&lt;&gt;"QB"), T22, IF(H22="", INDEX(Tier!$B$40:$B$48,MATCH(G22,Tier!$A$40:$A$48,0)), INDEX(Tier!$B$40:$B$48,MATCH(G22,Tier!$A$40:$A$48,0)))), "")</f>
        <v>123.78623</v>
      </c>
      <c r="G22" s="283">
        <f t="shared" si="4"/>
        <v>7</v>
      </c>
      <c r="H22" s="288"/>
      <c r="I22" s="392">
        <f>IFERROR(INDEX(ADP!T:T,MATCH(D22,ADP!D:D,0))-RBproj!K22,"")</f>
        <v>-2</v>
      </c>
      <c r="J22" s="127"/>
      <c r="K22" s="3">
        <v>16</v>
      </c>
      <c r="L22" s="2" t="s">
        <v>627</v>
      </c>
      <c r="M22" s="3">
        <f t="shared" si="0"/>
        <v>1.7999999999999972</v>
      </c>
      <c r="N22" s="4">
        <f>IFERROR(INDEX(ADP!AC:AC,MATCH(D22,ADP!Y:Y,0)),0)</f>
        <v>19.399999999999999</v>
      </c>
      <c r="O22" t="s">
        <v>7</v>
      </c>
      <c r="R22" t="str">
        <f>IFERROR(VLOOKUP(S22,FFARawStatProjections!BB:BD,2,FALSE),"")</f>
        <v>CHI</v>
      </c>
      <c r="S22" s="4" t="str">
        <f>INDEX(FFARawStatProjections!BB:BB,MATCH(T22,FFARawStatProjections!BD:BD,0))</f>
        <v>Cole Kmet</v>
      </c>
      <c r="T22">
        <f>LARGE(FFARawStatProjections!BD:BD,K22)</f>
        <v>123.78623</v>
      </c>
      <c r="U22" s="248">
        <f t="shared" si="1"/>
        <v>-12.599949999999993</v>
      </c>
      <c r="V22" s="243">
        <f t="shared" si="2"/>
        <v>158.75874000249982</v>
      </c>
      <c r="W22" s="243"/>
      <c r="X22" s="243">
        <f t="shared" si="3"/>
        <v>-0.78749687499999954</v>
      </c>
      <c r="Y22" s="238">
        <f>IFERROR(
IF(ISBLANK(Beersheet!$A$1)=FALSE,
INDEX(Beersheet!$A:$U,MATCH(S22,INDEX(Beersheet!$A:$U,0,FFARawStatProjections!$BV$2),0),FFARawStatProjections!$BV$6),
IF(X22&gt;6,0,
IF(AND(X22&lt;=6,X22&gt;5),1,
IF(AND(X22&lt;=5,X22&gt;4),2,
IF(AND(X22&lt;=4,X22&gt;3),3,
IF(AND(X22&lt;=3,X22&gt;2),4,
IF(AND(X22&lt;=2,X22&gt;1),5,
IF(AND(X22&lt;=1,X22&gt;0),6,
IF(AND(X22&lt;=0,X22&gt;-1),7,
8))))))))),
10)</f>
        <v>7</v>
      </c>
    </row>
    <row r="23" spans="1:25" ht="15" customHeight="1" x14ac:dyDescent="0.25">
      <c r="A23" s="135"/>
      <c r="B23" s="142" t="s">
        <v>628</v>
      </c>
      <c r="C23" t="str">
        <f>IF(AND(IFERROR(INDEX(Instructions!$T$111:$T$222,MATCH(D23,Instructions!$T$111:$T$222,0)), "")=D23, D23&lt;&gt;""), "X", "")</f>
        <v/>
      </c>
      <c r="D23" s="138" t="s">
        <v>2503</v>
      </c>
      <c r="E23" s="100" t="s">
        <v>156</v>
      </c>
      <c r="F23" s="431">
        <f>IFERROR(IF(AND($F$5="Projected Points",Beersheet!A18&lt;&gt;"QB"), T23, IF(H23="", INDEX(Tier!$B$40:$B$48,MATCH(G23,Tier!$A$40:$A$48,0)), INDEX(Tier!$B$40:$B$48,MATCH(G23,Tier!$A$40:$A$48,0)))), "")</f>
        <v>115.62626</v>
      </c>
      <c r="G23" s="250">
        <f t="shared" si="4"/>
        <v>8</v>
      </c>
      <c r="H23" s="291"/>
      <c r="I23" s="392">
        <f>IFERROR(INDEX(ADP!T:T,MATCH(D23,ADP!D:D,0))-RBproj!K23,"")</f>
        <v>-2</v>
      </c>
      <c r="J23" s="127"/>
      <c r="K23" s="3">
        <v>17</v>
      </c>
      <c r="L23" s="2" t="s">
        <v>628</v>
      </c>
      <c r="M23" s="3">
        <f t="shared" si="0"/>
        <v>2.0999999999999979</v>
      </c>
      <c r="N23" s="4">
        <f>IFERROR(INDEX(ADP!AC:AC,MATCH(D23,ADP!Y:Y,0)),0)</f>
        <v>19.7</v>
      </c>
      <c r="O23" t="s">
        <v>7</v>
      </c>
      <c r="R23" t="str">
        <f>IFERROR(VLOOKUP(S23,FFARawStatProjections!BB:BD,2,FALSE),"")</f>
        <v>BUF</v>
      </c>
      <c r="S23" s="4" t="str">
        <f>INDEX(FFARawStatProjections!BB:BB,MATCH(T23,FFARawStatProjections!BD:BD,0))</f>
        <v>Dalton Kincaid</v>
      </c>
      <c r="T23">
        <f>LARGE(FFARawStatProjections!BD:BD,K23)</f>
        <v>115.62626</v>
      </c>
      <c r="U23" s="248">
        <f t="shared" si="1"/>
        <v>-20.759919999999994</v>
      </c>
      <c r="V23" s="243">
        <f t="shared" si="2"/>
        <v>430.97427840639978</v>
      </c>
      <c r="W23" s="243"/>
      <c r="X23" s="243">
        <f t="shared" si="3"/>
        <v>-1.2974949999999996</v>
      </c>
      <c r="Y23" s="238">
        <f>IFERROR(
IF(ISBLANK(Beersheet!$A$1)=FALSE,
INDEX(Beersheet!$A:$U,MATCH(S23,INDEX(Beersheet!$A:$U,0,FFARawStatProjections!$BV$2),0),FFARawStatProjections!$BV$6),
IF(X23&gt;6,0,
IF(AND(X23&lt;=6,X23&gt;5),1,
IF(AND(X23&lt;=5,X23&gt;4),2,
IF(AND(X23&lt;=4,X23&gt;3),3,
IF(AND(X23&lt;=3,X23&gt;2),4,
IF(AND(X23&lt;=2,X23&gt;1),5,
IF(AND(X23&lt;=1,X23&gt;0),6,
IF(AND(X23&lt;=0,X23&gt;-1),7,
8))))))))),
10)</f>
        <v>8</v>
      </c>
    </row>
    <row r="24" spans="1:25" ht="15" customHeight="1" x14ac:dyDescent="0.25">
      <c r="A24" s="135"/>
      <c r="B24" s="143" t="s">
        <v>629</v>
      </c>
      <c r="C24" t="str">
        <f>IF(AND(IFERROR(INDEX(Instructions!$T$111:$T$222,MATCH(D24,Instructions!$T$111:$T$222,0)), "")=D24, D24&lt;&gt;""), "X", "")</f>
        <v/>
      </c>
      <c r="D24" s="137" t="s">
        <v>2215</v>
      </c>
      <c r="E24" s="99" t="s">
        <v>143</v>
      </c>
      <c r="F24" s="232">
        <f>IFERROR(IF(AND($F$5="Projected Points",Beersheet!A19&lt;&gt;"QB"), T24, IF(H24="", INDEX(Tier!$B$40:$B$48,MATCH(G24,Tier!$A$40:$A$48,0)), INDEX(Tier!$B$40:$B$48,MATCH(G24,Tier!$A$40:$A$48,0)))), "")</f>
        <v>113.19624999999999</v>
      </c>
      <c r="G24" s="283">
        <f t="shared" si="4"/>
        <v>8</v>
      </c>
      <c r="H24" s="288"/>
      <c r="I24" s="392" t="str">
        <f>IFERROR(INDEX(ADP!T:T,MATCH(D24,ADP!D:D,0))-RBproj!K24,"")</f>
        <v/>
      </c>
      <c r="J24" s="127"/>
      <c r="K24" s="3">
        <v>18</v>
      </c>
      <c r="L24" s="2" t="s">
        <v>629</v>
      </c>
      <c r="M24" s="3">
        <f t="shared" si="0"/>
        <v>0</v>
      </c>
      <c r="N24" s="4">
        <f>IFERROR(INDEX(ADP!AC:AC,MATCH(D24,ADP!Y:Y,0)),0)</f>
        <v>0</v>
      </c>
      <c r="O24" t="s">
        <v>7</v>
      </c>
      <c r="R24" t="str">
        <f>IFERROR(VLOOKUP(S24,FFARawStatProjections!BB:BD,2,FALSE),"")</f>
        <v>NO</v>
      </c>
      <c r="S24" s="4" t="str">
        <f>INDEX(FFARawStatProjections!BB:BB,MATCH(T24,FFARawStatProjections!BD:BD,0))</f>
        <v>Juwan Johnson</v>
      </c>
      <c r="T24">
        <f>LARGE(FFARawStatProjections!BD:BD,K24)</f>
        <v>113.19624999999999</v>
      </c>
      <c r="U24" s="248">
        <f t="shared" si="1"/>
        <v>-23.189930000000004</v>
      </c>
      <c r="V24" s="243">
        <f t="shared" si="2"/>
        <v>537.77285340490016</v>
      </c>
      <c r="W24" s="243"/>
      <c r="X24" s="243">
        <f t="shared" si="3"/>
        <v>-1.4493706250000002</v>
      </c>
      <c r="Y24" s="238">
        <f>IFERROR(
IF(ISBLANK(Beersheet!$A$1)=FALSE,
INDEX(Beersheet!$A:$U,MATCH(S24,INDEX(Beersheet!$A:$U,0,FFARawStatProjections!$BV$2),0),FFARawStatProjections!$BV$6),
IF(X24&gt;6,0,
IF(AND(X24&lt;=6,X24&gt;5),1,
IF(AND(X24&lt;=5,X24&gt;4),2,
IF(AND(X24&lt;=4,X24&gt;3),3,
IF(AND(X24&lt;=3,X24&gt;2),4,
IF(AND(X24&lt;=2,X24&gt;1),5,
IF(AND(X24&lt;=1,X24&gt;0),6,
IF(AND(X24&lt;=0,X24&gt;-1),7,
8))))))))),
10)</f>
        <v>8</v>
      </c>
    </row>
    <row r="25" spans="1:25" ht="15" customHeight="1" x14ac:dyDescent="0.25">
      <c r="A25" s="135"/>
      <c r="B25" s="142" t="s">
        <v>630</v>
      </c>
      <c r="C25" t="str">
        <f>IF(AND(IFERROR(INDEX(Instructions!$T$111:$T$222,MATCH(D25,Instructions!$T$111:$T$222,0)), "")=D25, D25&lt;&gt;""), "X", "")</f>
        <v/>
      </c>
      <c r="D25" s="138" t="s">
        <v>2417</v>
      </c>
      <c r="E25" s="100" t="s">
        <v>142</v>
      </c>
      <c r="F25" s="431">
        <f>IFERROR(IF(AND($F$5="Projected Points",Beersheet!A20&lt;&gt;"QB"), T25, IF(H25="", INDEX(Tier!$B$40:$B$48,MATCH(G25,Tier!$A$40:$A$48,0)), INDEX(Tier!$B$40:$B$48,MATCH(G25,Tier!$A$40:$A$48,0)))), "")</f>
        <v>110.22627</v>
      </c>
      <c r="G25" s="250">
        <f t="shared" si="4"/>
        <v>8</v>
      </c>
      <c r="H25" s="291"/>
      <c r="I25" s="392">
        <f>IFERROR(INDEX(ADP!T:T,MATCH(D25,ADP!D:D,0))-RBproj!K25,"")</f>
        <v>0</v>
      </c>
      <c r="J25" s="127"/>
      <c r="K25" s="3">
        <v>19</v>
      </c>
      <c r="L25" s="2" t="s">
        <v>630</v>
      </c>
      <c r="M25" s="3">
        <f t="shared" si="0"/>
        <v>19.3</v>
      </c>
      <c r="N25" s="4">
        <f>IFERROR(INDEX(ADP!AC:AC,MATCH(D25,ADP!Y:Y,0)),0)</f>
        <v>19.3</v>
      </c>
      <c r="O25" t="s">
        <v>7</v>
      </c>
      <c r="R25" t="str">
        <f>IFERROR(VLOOKUP(S25,FFARawStatProjections!BB:BD,2,FALSE),"")</f>
        <v>DET</v>
      </c>
      <c r="S25" s="4" t="str">
        <f>INDEX(FFARawStatProjections!BB:BB,MATCH(T25,FFARawStatProjections!BD:BD,0))</f>
        <v>Sam LaPorta</v>
      </c>
      <c r="T25">
        <f>LARGE(FFARawStatProjections!BD:BD,K25)</f>
        <v>110.22627</v>
      </c>
      <c r="U25" s="248">
        <f t="shared" si="1"/>
        <v>-26.159909999999996</v>
      </c>
      <c r="V25" s="243">
        <f t="shared" si="2"/>
        <v>684.34089120809983</v>
      </c>
      <c r="W25" s="243"/>
      <c r="X25" s="243">
        <f t="shared" si="3"/>
        <v>-1.6349943749999998</v>
      </c>
      <c r="Y25" s="238">
        <f>IFERROR(
IF(ISBLANK(Beersheet!$A$1)=FALSE,
INDEX(Beersheet!$A:$U,MATCH(S25,INDEX(Beersheet!$A:$U,0,FFARawStatProjections!$BV$2),0),FFARawStatProjections!$BV$6),
IF(X25&gt;6,0,
IF(AND(X25&lt;=6,X25&gt;5),1,
IF(AND(X25&lt;=5,X25&gt;4),2,
IF(AND(X25&lt;=4,X25&gt;3),3,
IF(AND(X25&lt;=3,X25&gt;2),4,
IF(AND(X25&lt;=2,X25&gt;1),5,
IF(AND(X25&lt;=1,X25&gt;0),6,
IF(AND(X25&lt;=0,X25&gt;-1),7,
8))))))))),
10)</f>
        <v>8</v>
      </c>
    </row>
    <row r="26" spans="1:25" ht="15" customHeight="1" x14ac:dyDescent="0.25">
      <c r="A26" s="135"/>
      <c r="B26" s="143" t="s">
        <v>631</v>
      </c>
      <c r="C26" t="str">
        <f>IF(AND(IFERROR(INDEX(Instructions!$T$111:$T$222,MATCH(D26,Instructions!$T$111:$T$222,0)), "")=D26, D26&lt;&gt;""), "X", "")</f>
        <v/>
      </c>
      <c r="D26" s="137" t="s">
        <v>1873</v>
      </c>
      <c r="E26" s="99" t="s">
        <v>145</v>
      </c>
      <c r="F26" s="232">
        <f>IFERROR(IF(AND($F$5="Projected Points",Beersheet!A21&lt;&gt;"QB"), T26, IF(H26="", INDEX(Tier!$B$40:$B$48,MATCH(G26,Tier!$A$40:$A$48,0)), INDEX(Tier!$B$40:$B$48,MATCH(G26,Tier!$A$40:$A$48,0)))), "")</f>
        <v>109.23629000000001</v>
      </c>
      <c r="G26" s="283">
        <f t="shared" si="4"/>
        <v>8</v>
      </c>
      <c r="H26" s="288"/>
      <c r="I26" s="392" t="str">
        <f>IFERROR(INDEX(ADP!T:T,MATCH(D26,ADP!D:D,0))-RBproj!K26,"")</f>
        <v/>
      </c>
      <c r="J26" s="127"/>
      <c r="K26" s="3">
        <v>20</v>
      </c>
      <c r="L26" s="2" t="s">
        <v>631</v>
      </c>
      <c r="M26" s="3">
        <f t="shared" si="0"/>
        <v>0</v>
      </c>
      <c r="N26" s="4">
        <f>IFERROR(INDEX(ADP!AC:AC,MATCH(D26,ADP!Y:Y,0)),0)</f>
        <v>0</v>
      </c>
      <c r="O26" t="s">
        <v>7</v>
      </c>
      <c r="R26" t="str">
        <f>IFERROR(VLOOKUP(S26,FFARawStatProjections!BB:BD,2,FALSE),"")</f>
        <v>CIN</v>
      </c>
      <c r="S26" s="4" t="str">
        <f>INDEX(FFARawStatProjections!BB:BB,MATCH(T26,FFARawStatProjections!BD:BD,0))</f>
        <v>Irv Smith</v>
      </c>
      <c r="T26">
        <f>LARGE(FFARawStatProjections!BD:BD,K26)</f>
        <v>109.23629000000001</v>
      </c>
      <c r="U26" s="248">
        <f t="shared" si="1"/>
        <v>-27.149889999999985</v>
      </c>
      <c r="V26" s="243">
        <f t="shared" si="2"/>
        <v>737.11652701209914</v>
      </c>
      <c r="W26" s="243"/>
      <c r="X26" s="243">
        <f t="shared" si="3"/>
        <v>-1.6968681249999991</v>
      </c>
      <c r="Y26" s="238">
        <f>IFERROR(
IF(ISBLANK(Beersheet!$A$1)=FALSE,
INDEX(Beersheet!$A:$U,MATCH(S26,INDEX(Beersheet!$A:$U,0,FFARawStatProjections!$BV$2),0),FFARawStatProjections!$BV$6),
IF(X26&gt;6,0,
IF(AND(X26&lt;=6,X26&gt;5),1,
IF(AND(X26&lt;=5,X26&gt;4),2,
IF(AND(X26&lt;=4,X26&gt;3),3,
IF(AND(X26&lt;=3,X26&gt;2),4,
IF(AND(X26&lt;=2,X26&gt;1),5,
IF(AND(X26&lt;=1,X26&gt;0),6,
IF(AND(X26&lt;=0,X26&gt;-1),7,
8))))))))),
10)</f>
        <v>8</v>
      </c>
    </row>
    <row r="27" spans="1:25" ht="15" customHeight="1" x14ac:dyDescent="0.25">
      <c r="A27" s="135"/>
      <c r="B27" s="142" t="s">
        <v>632</v>
      </c>
      <c r="C27" t="str">
        <f>IF(AND(IFERROR(INDEX(Instructions!$T$111:$T$222,MATCH(D27,Instructions!$T$111:$T$222,0)), "")=D27, D27&lt;&gt;""), "X", "")</f>
        <v/>
      </c>
      <c r="D27" s="138" t="s">
        <v>1202</v>
      </c>
      <c r="E27" s="100" t="s">
        <v>157</v>
      </c>
      <c r="F27" s="431">
        <f>IFERROR(IF(AND($F$5="Projected Points",Beersheet!A22&lt;&gt;"QB"), T27, IF(H27="", INDEX(Tier!$B$40:$B$48,MATCH(G27,Tier!$A$40:$A$48,0)), INDEX(Tier!$B$40:$B$48,MATCH(G27,Tier!$A$40:$A$48,0)))), "")</f>
        <v>107.70631999999999</v>
      </c>
      <c r="G27" s="250">
        <f t="shared" si="4"/>
        <v>8</v>
      </c>
      <c r="H27" s="291"/>
      <c r="I27" s="392" t="str">
        <f>IFERROR(INDEX(ADP!T:T,MATCH(D27,ADP!D:D,0))-RBproj!K27,"")</f>
        <v/>
      </c>
      <c r="J27" s="127"/>
      <c r="K27" s="3">
        <v>21</v>
      </c>
      <c r="L27" s="2" t="s">
        <v>632</v>
      </c>
      <c r="M27" s="3">
        <f t="shared" si="0"/>
        <v>0</v>
      </c>
      <c r="N27" s="4">
        <f>IFERROR(INDEX(ADP!AC:AC,MATCH(D27,ADP!Y:Y,0)),0)</f>
        <v>0</v>
      </c>
      <c r="O27" t="s">
        <v>7</v>
      </c>
      <c r="R27" t="str">
        <f>IFERROR(VLOOKUP(S27,FFARawStatProjections!BB:BD,2,FALSE),"")</f>
        <v>CAR</v>
      </c>
      <c r="S27" s="4" t="str">
        <f>INDEX(FFARawStatProjections!BB:BB,MATCH(T27,FFARawStatProjections!BD:BD,0))</f>
        <v>Hayden Hurst</v>
      </c>
      <c r="T27">
        <f>LARGE(FFARawStatProjections!BD:BD,K27)</f>
        <v>107.70631999999999</v>
      </c>
      <c r="U27" s="248">
        <f t="shared" si="1"/>
        <v>-28.679860000000005</v>
      </c>
      <c r="V27" s="243">
        <f t="shared" si="2"/>
        <v>822.53436961960028</v>
      </c>
      <c r="W27" s="243"/>
      <c r="X27" s="243">
        <f t="shared" si="3"/>
        <v>-1.7924912500000003</v>
      </c>
      <c r="Y27" s="238">
        <f>IFERROR(
IF(ISBLANK(Beersheet!$A$1)=FALSE,
INDEX(Beersheet!$A:$U,MATCH(S27,INDEX(Beersheet!$A:$U,0,FFARawStatProjections!$BV$2),0),FFARawStatProjections!$BV$6),
IF(X27&gt;6,0,
IF(AND(X27&lt;=6,X27&gt;5),1,
IF(AND(X27&lt;=5,X27&gt;4),2,
IF(AND(X27&lt;=4,X27&gt;3),3,
IF(AND(X27&lt;=3,X27&gt;2),4,
IF(AND(X27&lt;=2,X27&gt;1),5,
IF(AND(X27&lt;=1,X27&gt;0),6,
IF(AND(X27&lt;=0,X27&gt;-1),7,
8))))))))),
10)</f>
        <v>8</v>
      </c>
    </row>
    <row r="28" spans="1:25" ht="15" customHeight="1" x14ac:dyDescent="0.25">
      <c r="A28" s="135"/>
      <c r="B28" s="143" t="s">
        <v>633</v>
      </c>
      <c r="C28" t="str">
        <f>IF(AND(IFERROR(INDEX(Instructions!$T$111:$T$222,MATCH(D28,Instructions!$T$111:$T$222,0)), "")=D28, D28&lt;&gt;""), "X", "")</f>
        <v/>
      </c>
      <c r="D28" s="137" t="s">
        <v>1810</v>
      </c>
      <c r="E28" s="99" t="s">
        <v>159</v>
      </c>
      <c r="F28" s="232">
        <f>IFERROR(IF(AND($F$5="Projected Points",Beersheet!A23&lt;&gt;"QB"), T28, IF(H28="", INDEX(Tier!$B$40:$B$48,MATCH(G28,Tier!$A$40:$A$48,0)), INDEX(Tier!$B$40:$B$48,MATCH(G28,Tier!$A$40:$A$48,0)))), "")</f>
        <v>107.14628</v>
      </c>
      <c r="G28" s="283">
        <f t="shared" si="4"/>
        <v>8</v>
      </c>
      <c r="H28" s="288"/>
      <c r="I28" s="392" t="str">
        <f>IFERROR(INDEX(ADP!T:T,MATCH(D28,ADP!D:D,0))-RBproj!K28,"")</f>
        <v/>
      </c>
      <c r="J28" s="127"/>
      <c r="K28" s="3">
        <v>22</v>
      </c>
      <c r="L28" s="2" t="s">
        <v>633</v>
      </c>
      <c r="M28" s="3">
        <f t="shared" si="0"/>
        <v>0</v>
      </c>
      <c r="N28" s="4">
        <f>IFERROR(INDEX(ADP!AC:AC,MATCH(D28,ADP!Y:Y,0)),0)</f>
        <v>0</v>
      </c>
      <c r="O28" t="s">
        <v>7</v>
      </c>
      <c r="R28" t="str">
        <f>IFERROR(VLOOKUP(S28,FFARawStatProjections!BB:BD,2,FALSE),"")</f>
        <v>NE</v>
      </c>
      <c r="S28" s="4" t="str">
        <f>INDEX(FFARawStatProjections!BB:BB,MATCH(T28,FFARawStatProjections!BD:BD,0))</f>
        <v>Hunter Henry</v>
      </c>
      <c r="T28">
        <f>LARGE(FFARawStatProjections!BD:BD,K28)</f>
        <v>107.14628</v>
      </c>
      <c r="U28" s="248">
        <f t="shared" si="1"/>
        <v>-29.239899999999992</v>
      </c>
      <c r="V28" s="243">
        <f t="shared" si="2"/>
        <v>854.97175200999948</v>
      </c>
      <c r="W28" s="243"/>
      <c r="X28" s="243">
        <f t="shared" si="3"/>
        <v>-1.8274937499999995</v>
      </c>
      <c r="Y28" s="238">
        <f>IFERROR(
IF(ISBLANK(Beersheet!$A$1)=FALSE,
INDEX(Beersheet!$A:$U,MATCH(S28,INDEX(Beersheet!$A:$U,0,FFARawStatProjections!$BV$2),0),FFARawStatProjections!$BV$6),
IF(X28&gt;6,0,
IF(AND(X28&lt;=6,X28&gt;5),1,
IF(AND(X28&lt;=5,X28&gt;4),2,
IF(AND(X28&lt;=4,X28&gt;3),3,
IF(AND(X28&lt;=3,X28&gt;2),4,
IF(AND(X28&lt;=2,X28&gt;1),5,
IF(AND(X28&lt;=1,X28&gt;0),6,
IF(AND(X28&lt;=0,X28&gt;-1),7,
8))))))))),
10)</f>
        <v>8</v>
      </c>
    </row>
    <row r="29" spans="1:25" ht="15" customHeight="1" x14ac:dyDescent="0.25">
      <c r="A29" s="135"/>
      <c r="B29" s="142" t="s">
        <v>634</v>
      </c>
      <c r="C29" t="str">
        <f>IF(AND(IFERROR(INDEX(Instructions!$T$111:$T$222,MATCH(D29,Instructions!$T$111:$T$222,0)), "")=D29, D29&lt;&gt;""), "X", "")</f>
        <v/>
      </c>
      <c r="D29" s="138" t="s">
        <v>1863</v>
      </c>
      <c r="E29" s="100" t="s">
        <v>140</v>
      </c>
      <c r="F29" s="431">
        <f>IFERROR(IF(AND($F$5="Projected Points",Beersheet!A24&lt;&gt;"QB"), T29, IF(H29="", INDEX(Tier!$B$40:$B$48,MATCH(G29,Tier!$A$40:$A$48,0)), INDEX(Tier!$B$40:$B$48,MATCH(G29,Tier!$A$40:$A$48,0)))), "")</f>
        <v>106.27630000000001</v>
      </c>
      <c r="G29" s="250">
        <f t="shared" si="4"/>
        <v>8</v>
      </c>
      <c r="H29" s="291"/>
      <c r="I29" s="392" t="str">
        <f>IFERROR(INDEX(ADP!T:T,MATCH(D29,ADP!D:D,0))-RBproj!K29,"")</f>
        <v/>
      </c>
      <c r="J29" s="127"/>
      <c r="K29" s="3">
        <v>23</v>
      </c>
      <c r="L29" s="2" t="s">
        <v>634</v>
      </c>
      <c r="M29" s="3">
        <f t="shared" si="0"/>
        <v>0</v>
      </c>
      <c r="N29" s="4">
        <f>IFERROR(INDEX(ADP!AC:AC,MATCH(D29,ADP!Y:Y,0)),0)</f>
        <v>0</v>
      </c>
      <c r="O29" t="s">
        <v>7</v>
      </c>
      <c r="R29" t="str">
        <f>IFERROR(VLOOKUP(S29,FFARawStatProjections!BB:BD,2,FALSE),"")</f>
        <v>SEA</v>
      </c>
      <c r="S29" s="4" t="str">
        <f>INDEX(FFARawStatProjections!BB:BB,MATCH(T29,FFARawStatProjections!BD:BD,0))</f>
        <v>Noah Fant</v>
      </c>
      <c r="T29">
        <f>LARGE(FFARawStatProjections!BD:BD,K29)</f>
        <v>106.27630000000001</v>
      </c>
      <c r="U29" s="248">
        <f t="shared" si="1"/>
        <v>-30.10987999999999</v>
      </c>
      <c r="V29" s="243">
        <f t="shared" si="2"/>
        <v>906.60487361439937</v>
      </c>
      <c r="W29" s="243"/>
      <c r="X29" s="243">
        <f t="shared" si="3"/>
        <v>-1.8818674999999994</v>
      </c>
      <c r="Y29" s="238">
        <f>IFERROR(
IF(ISBLANK(Beersheet!$A$1)=FALSE,
INDEX(Beersheet!$A:$U,MATCH(S29,INDEX(Beersheet!$A:$U,0,FFARawStatProjections!$BV$2),0),FFARawStatProjections!$BV$6),
IF(X29&gt;6,0,
IF(AND(X29&lt;=6,X29&gt;5),1,
IF(AND(X29&lt;=5,X29&gt;4),2,
IF(AND(X29&lt;=4,X29&gt;3),3,
IF(AND(X29&lt;=3,X29&gt;2),4,
IF(AND(X29&lt;=2,X29&gt;1),5,
IF(AND(X29&lt;=1,X29&gt;0),6,
IF(AND(X29&lt;=0,X29&gt;-1),7,
8))))))))),
10)</f>
        <v>8</v>
      </c>
    </row>
    <row r="30" spans="1:25" ht="15" customHeight="1" x14ac:dyDescent="0.25">
      <c r="A30" s="135"/>
      <c r="B30" s="143" t="s">
        <v>635</v>
      </c>
      <c r="C30" t="str">
        <f>IF(AND(IFERROR(INDEX(Instructions!$T$111:$T$222,MATCH(D30,Instructions!$T$111:$T$222,0)), "")=D30, D30&lt;&gt;""), "X", "")</f>
        <v/>
      </c>
      <c r="D30" s="137" t="s">
        <v>48</v>
      </c>
      <c r="E30" s="99" t="s">
        <v>2272</v>
      </c>
      <c r="F30" s="232">
        <f>IFERROR(IF(AND($F$5="Projected Points",Beersheet!A25&lt;&gt;"QB"), T30, IF(H30="", INDEX(Tier!$B$40:$B$48,MATCH(G30,Tier!$A$40:$A$48,0)), INDEX(Tier!$B$40:$B$48,MATCH(G30,Tier!$A$40:$A$48,0)))), "")</f>
        <v>105.45633000000001</v>
      </c>
      <c r="G30" s="283">
        <f t="shared" si="4"/>
        <v>8</v>
      </c>
      <c r="H30" s="288"/>
      <c r="I30" s="392">
        <f>IFERROR(INDEX(ADP!T:T,MATCH(D30,ADP!D:D,0))-RBproj!K30,"")</f>
        <v>-4</v>
      </c>
      <c r="J30" s="127"/>
      <c r="K30" s="3">
        <v>24</v>
      </c>
      <c r="L30" s="2" t="s">
        <v>635</v>
      </c>
      <c r="M30" s="3">
        <f t="shared" si="0"/>
        <v>18</v>
      </c>
      <c r="N30" s="4">
        <f>IFERROR(INDEX(ADP!AC:AC,MATCH(D30,ADP!Y:Y,0)),0)</f>
        <v>18</v>
      </c>
      <c r="O30" t="s">
        <v>7</v>
      </c>
      <c r="R30" t="str">
        <f>IFERROR(VLOOKUP(S30,FFARawStatProjections!BB:BD,2,FALSE),"")</f>
        <v>AZ</v>
      </c>
      <c r="S30" s="4" t="str">
        <f>INDEX(FFARawStatProjections!BB:BB,MATCH(T30,FFARawStatProjections!BD:BD,0))</f>
        <v>Zach Ertz</v>
      </c>
      <c r="T30">
        <f>LARGE(FFARawStatProjections!BD:BD,K30)</f>
        <v>105.45633000000001</v>
      </c>
      <c r="U30" s="248">
        <f t="shared" si="1"/>
        <v>-30.929849999999988</v>
      </c>
      <c r="V30" s="243">
        <f t="shared" si="2"/>
        <v>956.65562102249919</v>
      </c>
      <c r="W30" s="243"/>
      <c r="X30" s="243">
        <f t="shared" si="3"/>
        <v>-1.9331156249999992</v>
      </c>
      <c r="Y30" s="238">
        <f>IFERROR(
IF(ISBLANK(Beersheet!$A$1)=FALSE,
INDEX(Beersheet!$A:$U,MATCH(S30,INDEX(Beersheet!$A:$U,0,FFARawStatProjections!$BV$2),0),FFARawStatProjections!$BV$6),
IF(X30&gt;6,0,
IF(AND(X30&lt;=6,X30&gt;5),1,
IF(AND(X30&lt;=5,X30&gt;4),2,
IF(AND(X30&lt;=4,X30&gt;3),3,
IF(AND(X30&lt;=3,X30&gt;2),4,
IF(AND(X30&lt;=2,X30&gt;1),5,
IF(AND(X30&lt;=1,X30&gt;0),6,
IF(AND(X30&lt;=0,X30&gt;-1),7,
8))))))))),
10)</f>
        <v>8</v>
      </c>
    </row>
    <row r="31" spans="1:25" ht="15" customHeight="1" x14ac:dyDescent="0.25">
      <c r="A31" s="135"/>
      <c r="B31" s="142" t="s">
        <v>636</v>
      </c>
      <c r="C31" t="str">
        <f>IF(AND(IFERROR(INDEX(Instructions!$T$111:$T$222,MATCH(D31,Instructions!$T$111:$T$222,0)), "")=D31, D31&lt;&gt;""), "X", "")</f>
        <v/>
      </c>
      <c r="D31" s="138" t="s">
        <v>2354</v>
      </c>
      <c r="E31" s="100" t="s">
        <v>149</v>
      </c>
      <c r="F31" s="431">
        <f>IFERROR(IF(AND($F$5="Projected Points",Beersheet!A26&lt;&gt;"QB"), T31, IF(H31="", INDEX(Tier!$B$40:$B$48,MATCH(G31,Tier!$A$40:$A$48,0)), INDEX(Tier!$B$40:$B$48,MATCH(G31,Tier!$A$40:$A$48,0)))), "")</f>
        <v>104.79635999999999</v>
      </c>
      <c r="G31" s="250">
        <f t="shared" si="4"/>
        <v>8</v>
      </c>
      <c r="H31" s="291"/>
      <c r="I31" s="392" t="str">
        <f>IFERROR(INDEX(ADP!T:T,MATCH(D31,ADP!D:D,0))-RBproj!K31,"")</f>
        <v/>
      </c>
      <c r="J31" s="127"/>
      <c r="K31" s="3">
        <v>25</v>
      </c>
      <c r="L31" s="2" t="s">
        <v>636</v>
      </c>
      <c r="M31" s="3">
        <f t="shared" si="0"/>
        <v>0</v>
      </c>
      <c r="N31" s="4">
        <f>IFERROR(INDEX(ADP!AC:AC,MATCH(D31,ADP!Y:Y,0)),0)</f>
        <v>0</v>
      </c>
      <c r="O31" t="s">
        <v>7</v>
      </c>
      <c r="R31" t="str">
        <f>IFERROR(VLOOKUP(S31,FFARawStatProjections!BB:BD,2,FALSE),"")</f>
        <v>TB</v>
      </c>
      <c r="S31" s="4" t="str">
        <f>INDEX(FFARawStatProjections!BB:BB,MATCH(T31,FFARawStatProjections!BD:BD,0))</f>
        <v>Cade Otton</v>
      </c>
      <c r="T31">
        <f>LARGE(FFARawStatProjections!BD:BD,K31)</f>
        <v>104.79635999999999</v>
      </c>
      <c r="U31" s="248">
        <f t="shared" si="1"/>
        <v>-31.589820000000003</v>
      </c>
      <c r="V31" s="243">
        <f t="shared" si="2"/>
        <v>997.91672763240024</v>
      </c>
      <c r="W31" s="243"/>
      <c r="X31" s="243">
        <f t="shared" si="3"/>
        <v>-1.9743637500000002</v>
      </c>
      <c r="Y31" s="238">
        <f>IFERROR(
IF(ISBLANK(Beersheet!$A$1)=FALSE,
INDEX(Beersheet!$A:$U,MATCH(S31,INDEX(Beersheet!$A:$U,0,FFARawStatProjections!$BV$2),0),FFARawStatProjections!$BV$6),
IF(X31&gt;6,0,
IF(AND(X31&lt;=6,X31&gt;5),1,
IF(AND(X31&lt;=5,X31&gt;4),2,
IF(AND(X31&lt;=4,X31&gt;3),3,
IF(AND(X31&lt;=3,X31&gt;2),4,
IF(AND(X31&lt;=2,X31&gt;1),5,
IF(AND(X31&lt;=1,X31&gt;0),6,
IF(AND(X31&lt;=0,X31&gt;-1),7,
8))))))))),
10)</f>
        <v>8</v>
      </c>
    </row>
    <row r="32" spans="1:25" ht="15" customHeight="1" x14ac:dyDescent="0.25">
      <c r="A32" s="135"/>
      <c r="B32" s="143" t="s">
        <v>637</v>
      </c>
      <c r="C32" t="str">
        <f>IF(AND(IFERROR(INDEX(Instructions!$T$111:$T$222,MATCH(D32,Instructions!$T$111:$T$222,0)), "")=D32, D32&lt;&gt;""), "X", "")</f>
        <v/>
      </c>
      <c r="D32" s="137" t="s">
        <v>2234</v>
      </c>
      <c r="E32" s="99" t="s">
        <v>164</v>
      </c>
      <c r="F32" s="232">
        <f>IFERROR(IF(AND($F$5="Projected Points",Beersheet!A27&lt;&gt;"QB"), T32, IF(H32="", INDEX(Tier!$B$40:$B$48,MATCH(G32,Tier!$A$40:$A$48,0)), INDEX(Tier!$B$40:$B$48,MATCH(G32,Tier!$A$40:$A$48,0)))), "")</f>
        <v>102.05637000000002</v>
      </c>
      <c r="G32" s="283">
        <f t="shared" si="4"/>
        <v>8</v>
      </c>
      <c r="H32" s="288"/>
      <c r="I32" s="392" t="str">
        <f>IFERROR(INDEX(ADP!T:T,MATCH(D32,ADP!D:D,0))-RBproj!K32,"")</f>
        <v/>
      </c>
      <c r="J32" s="127"/>
      <c r="K32" s="3">
        <v>26</v>
      </c>
      <c r="L32" s="2" t="s">
        <v>637</v>
      </c>
      <c r="M32" s="3">
        <f t="shared" si="0"/>
        <v>0</v>
      </c>
      <c r="N32" s="4">
        <f>IFERROR(INDEX(ADP!AC:AC,MATCH(D32,ADP!Y:Y,0)),0)</f>
        <v>0</v>
      </c>
      <c r="O32" t="s">
        <v>7</v>
      </c>
      <c r="R32" t="str">
        <f>IFERROR(VLOOKUP(S32,FFARawStatProjections!BB:BD,2,FALSE),"")</f>
        <v>NYJ</v>
      </c>
      <c r="S32" s="4" t="str">
        <f>INDEX(FFARawStatProjections!BB:BB,MATCH(T32,FFARawStatProjections!BD:BD,0))</f>
        <v>Tyler Conklin</v>
      </c>
      <c r="T32">
        <f>LARGE(FFARawStatProjections!BD:BD,K32)</f>
        <v>102.05637000000002</v>
      </c>
      <c r="U32" s="248">
        <f t="shared" si="1"/>
        <v>-34.329809999999981</v>
      </c>
      <c r="V32" s="243">
        <f t="shared" si="2"/>
        <v>1178.5358546360987</v>
      </c>
      <c r="W32" s="243"/>
      <c r="X32" s="243">
        <f t="shared" si="3"/>
        <v>-2.1456131249999988</v>
      </c>
      <c r="Y32" s="238">
        <f>IFERROR(
IF(ISBLANK(Beersheet!$A$1)=FALSE,
INDEX(Beersheet!$A:$U,MATCH(S32,INDEX(Beersheet!$A:$U,0,FFARawStatProjections!$BV$2),0),FFARawStatProjections!$BV$6),
IF(X32&gt;6,0,
IF(AND(X32&lt;=6,X32&gt;5),1,
IF(AND(X32&lt;=5,X32&gt;4),2,
IF(AND(X32&lt;=4,X32&gt;3),3,
IF(AND(X32&lt;=3,X32&gt;2),4,
IF(AND(X32&lt;=2,X32&gt;1),5,
IF(AND(X32&lt;=1,X32&gt;0),6,
IF(AND(X32&lt;=0,X32&gt;-1),7,
8))))))))),
10)</f>
        <v>8</v>
      </c>
    </row>
    <row r="33" spans="1:25" ht="15" customHeight="1" x14ac:dyDescent="0.25">
      <c r="A33" s="135"/>
      <c r="B33" s="142" t="s">
        <v>638</v>
      </c>
      <c r="C33" t="str">
        <f>IF(AND(IFERROR(INDEX(Instructions!$T$111:$T$222,MATCH(D33,Instructions!$T$111:$T$222,0)), "")=D33, D33&lt;&gt;""), "X", "")</f>
        <v/>
      </c>
      <c r="D33" s="138" t="s">
        <v>1887</v>
      </c>
      <c r="E33" s="100" t="s">
        <v>156</v>
      </c>
      <c r="F33" s="431">
        <f>IFERROR(IF(AND($F$5="Projected Points",Beersheet!A28&lt;&gt;"QB"), T33, IF(H33="", INDEX(Tier!$B$40:$B$48,MATCH(G33,Tier!$A$40:$A$48,0)), INDEX(Tier!$B$40:$B$48,MATCH(G33,Tier!$A$40:$A$48,0)))), "")</f>
        <v>97.156310000000005</v>
      </c>
      <c r="G33" s="250">
        <f t="shared" si="4"/>
        <v>8</v>
      </c>
      <c r="H33" s="291"/>
      <c r="I33" s="392">
        <f>IFERROR(INDEX(ADP!T:T,MATCH(D33,ADP!D:D,0))-RBproj!K33,"")</f>
        <v>-15</v>
      </c>
      <c r="J33" s="127"/>
      <c r="K33" s="3">
        <v>27</v>
      </c>
      <c r="L33" s="2" t="s">
        <v>638</v>
      </c>
      <c r="M33" s="3">
        <f t="shared" si="0"/>
        <v>20.100000000000001</v>
      </c>
      <c r="N33" s="4">
        <f>IFERROR(INDEX(ADP!AC:AC,MATCH(D33,ADP!Y:Y,0)),0)</f>
        <v>20.100000000000001</v>
      </c>
      <c r="O33" t="s">
        <v>7</v>
      </c>
      <c r="R33" t="str">
        <f>IFERROR(VLOOKUP(S33,FFARawStatProjections!BB:BD,2,FALSE),"")</f>
        <v>BUF</v>
      </c>
      <c r="S33" s="4" t="str">
        <f>INDEX(FFARawStatProjections!BB:BB,MATCH(T33,FFARawStatProjections!BD:BD,0))</f>
        <v>Dawson Knox</v>
      </c>
      <c r="T33">
        <f>LARGE(FFARawStatProjections!BD:BD,K33)</f>
        <v>97.156310000000005</v>
      </c>
      <c r="U33" s="248">
        <f t="shared" si="1"/>
        <v>-39.229869999999991</v>
      </c>
      <c r="V33" s="243">
        <f t="shared" si="2"/>
        <v>1538.9827002168993</v>
      </c>
      <c r="W33" s="243"/>
      <c r="X33" s="243">
        <f t="shared" si="3"/>
        <v>-2.4518668749999994</v>
      </c>
      <c r="Y33" s="238">
        <f>IFERROR(
IF(ISBLANK(Beersheet!$A$1)=FALSE,
INDEX(Beersheet!$A:$U,MATCH(S33,INDEX(Beersheet!$A:$U,0,FFARawStatProjections!$BV$2),0),FFARawStatProjections!$BV$6),
IF(X33&gt;6,0,
IF(AND(X33&lt;=6,X33&gt;5),1,
IF(AND(X33&lt;=5,X33&gt;4),2,
IF(AND(X33&lt;=4,X33&gt;3),3,
IF(AND(X33&lt;=3,X33&gt;2),4,
IF(AND(X33&lt;=2,X33&gt;1),5,
IF(AND(X33&lt;=1,X33&gt;0),6,
IF(AND(X33&lt;=0,X33&gt;-1),7,
8))))))))),
10)</f>
        <v>8</v>
      </c>
    </row>
    <row r="34" spans="1:25" ht="15" customHeight="1" x14ac:dyDescent="0.25">
      <c r="A34" s="135"/>
      <c r="B34" s="143" t="s">
        <v>639</v>
      </c>
      <c r="C34" t="str">
        <f>IF(AND(IFERROR(INDEX(Instructions!$T$111:$T$222,MATCH(D34,Instructions!$T$111:$T$222,0)), "")=D34, D34&lt;&gt;""), "X", "")</f>
        <v/>
      </c>
      <c r="D34" s="137" t="s">
        <v>2355</v>
      </c>
      <c r="E34" s="99" t="s">
        <v>158</v>
      </c>
      <c r="F34" s="232">
        <f>IFERROR(IF(AND($F$5="Projected Points",Beersheet!A29&lt;&gt;"QB"), T34, IF(H34="", INDEX(Tier!$B$40:$B$48,MATCH(G34,Tier!$A$40:$A$48,0)), INDEX(Tier!$B$40:$B$48,MATCH(G34,Tier!$A$40:$A$48,0)))), "")</f>
        <v>96.736410000000021</v>
      </c>
      <c r="G34" s="283">
        <f t="shared" si="4"/>
        <v>8</v>
      </c>
      <c r="H34" s="288"/>
      <c r="I34" s="392" t="str">
        <f>IFERROR(INDEX(ADP!T:T,MATCH(D34,ADP!D:D,0))-RBproj!K34,"")</f>
        <v/>
      </c>
      <c r="J34" s="127"/>
      <c r="K34" s="3">
        <v>28</v>
      </c>
      <c r="L34" s="2" t="s">
        <v>639</v>
      </c>
      <c r="M34" s="3">
        <f t="shared" si="0"/>
        <v>0</v>
      </c>
      <c r="N34" s="4">
        <f>IFERROR(INDEX(ADP!AC:AC,MATCH(D34,ADP!Y:Y,0)),0)</f>
        <v>0</v>
      </c>
      <c r="O34" t="s">
        <v>7</v>
      </c>
      <c r="R34" t="str">
        <f>IFERROR(VLOOKUP(S34,FFARawStatProjections!BB:BD,2,FALSE),"")</f>
        <v>WAS</v>
      </c>
      <c r="S34" s="4" t="str">
        <f>INDEX(FFARawStatProjections!BB:BB,MATCH(T34,FFARawStatProjections!BD:BD,0))</f>
        <v>Logan Thomas</v>
      </c>
      <c r="T34">
        <f>LARGE(FFARawStatProjections!BD:BD,K34)</f>
        <v>96.736410000000021</v>
      </c>
      <c r="U34" s="248">
        <f t="shared" si="1"/>
        <v>-39.649769999999975</v>
      </c>
      <c r="V34" s="243">
        <f t="shared" si="2"/>
        <v>1572.104261052898</v>
      </c>
      <c r="W34" s="243"/>
      <c r="X34" s="243">
        <f t="shared" si="3"/>
        <v>-2.4781106249999985</v>
      </c>
      <c r="Y34" s="238">
        <f>IFERROR(
IF(ISBLANK(Beersheet!$A$1)=FALSE,
INDEX(Beersheet!$A:$U,MATCH(S34,INDEX(Beersheet!$A:$U,0,FFARawStatProjections!$BV$2),0),FFARawStatProjections!$BV$6),
IF(X34&gt;6,0,
IF(AND(X34&lt;=6,X34&gt;5),1,
IF(AND(X34&lt;=5,X34&gt;4),2,
IF(AND(X34&lt;=4,X34&gt;3),3,
IF(AND(X34&lt;=3,X34&gt;2),4,
IF(AND(X34&lt;=2,X34&gt;1),5,
IF(AND(X34&lt;=1,X34&gt;0),6,
IF(AND(X34&lt;=0,X34&gt;-1),7,
8))))))))),
10)</f>
        <v>8</v>
      </c>
    </row>
    <row r="35" spans="1:25" ht="15" customHeight="1" x14ac:dyDescent="0.25">
      <c r="A35" s="135"/>
      <c r="B35" s="142" t="s">
        <v>640</v>
      </c>
      <c r="C35" t="str">
        <f>IF(AND(IFERROR(INDEX(Instructions!$T$111:$T$222,MATCH(D35,Instructions!$T$111:$T$222,0)), "")=D35, D35&lt;&gt;""), "X", "")</f>
        <v/>
      </c>
      <c r="D35" s="138" t="s">
        <v>2062</v>
      </c>
      <c r="E35" s="100" t="s">
        <v>152</v>
      </c>
      <c r="F35" s="431">
        <f>IFERROR(IF(AND($F$5="Projected Points",Beersheet!A30&lt;&gt;"QB"), T35, IF(H35="", INDEX(Tier!$B$40:$B$48,MATCH(G35,Tier!$A$40:$A$48,0)), INDEX(Tier!$B$40:$B$48,MATCH(G35,Tier!$A$40:$A$48,0)))), "")</f>
        <v>94.686340000000001</v>
      </c>
      <c r="G35" s="250">
        <f t="shared" si="4"/>
        <v>8</v>
      </c>
      <c r="H35" s="291"/>
      <c r="I35" s="392" t="str">
        <f>IFERROR(INDEX(ADP!T:T,MATCH(D35,ADP!D:D,0))-RBproj!K35,"")</f>
        <v/>
      </c>
      <c r="J35" s="127"/>
      <c r="K35" s="3">
        <v>29</v>
      </c>
      <c r="L35" s="2" t="s">
        <v>640</v>
      </c>
      <c r="M35" s="3">
        <f t="shared" si="0"/>
        <v>0</v>
      </c>
      <c r="N35" s="4">
        <f>IFERROR(INDEX(ADP!AC:AC,MATCH(D35,ADP!Y:Y,0)),0)</f>
        <v>0</v>
      </c>
      <c r="O35" t="s">
        <v>7</v>
      </c>
      <c r="R35" t="str">
        <f>IFERROR(VLOOKUP(S35,FFARawStatProjections!BB:BD,2,FALSE),"")</f>
        <v>IND</v>
      </c>
      <c r="S35" s="4" t="str">
        <f>INDEX(FFARawStatProjections!BB:BB,MATCH(T35,FFARawStatProjections!BD:BD,0))</f>
        <v>Jelani Woods</v>
      </c>
      <c r="T35">
        <f>LARGE(FFARawStatProjections!BD:BD,K35)</f>
        <v>94.686340000000001</v>
      </c>
      <c r="U35" s="248">
        <f t="shared" si="1"/>
        <v>-41.699839999999995</v>
      </c>
      <c r="V35" s="243">
        <f t="shared" si="2"/>
        <v>1738.8766560255995</v>
      </c>
      <c r="W35" s="243"/>
      <c r="X35" s="243">
        <f t="shared" si="3"/>
        <v>-2.6062399999999997</v>
      </c>
      <c r="Y35" s="238">
        <f>IFERROR(
IF(ISBLANK(Beersheet!$A$1)=FALSE,
INDEX(Beersheet!$A:$U,MATCH(S35,INDEX(Beersheet!$A:$U,0,FFARawStatProjections!$BV$2),0),FFARawStatProjections!$BV$6),
IF(X35&gt;6,0,
IF(AND(X35&lt;=6,X35&gt;5),1,
IF(AND(X35&lt;=5,X35&gt;4),2,
IF(AND(X35&lt;=4,X35&gt;3),3,
IF(AND(X35&lt;=3,X35&gt;2),4,
IF(AND(X35&lt;=2,X35&gt;1),5,
IF(AND(X35&lt;=1,X35&gt;0),6,
IF(AND(X35&lt;=0,X35&gt;-1),7,
8))))))))),
10)</f>
        <v>8</v>
      </c>
    </row>
    <row r="36" spans="1:25" ht="15" customHeight="1" x14ac:dyDescent="0.25">
      <c r="A36" s="135"/>
      <c r="B36" s="143" t="s">
        <v>641</v>
      </c>
      <c r="C36" t="str">
        <f>IF(AND(IFERROR(INDEX(Instructions!$T$111:$T$222,MATCH(D36,Instructions!$T$111:$T$222,0)), "")=D36, D36&lt;&gt;""), "X", "")</f>
        <v/>
      </c>
      <c r="D36" s="137" t="s">
        <v>2363</v>
      </c>
      <c r="E36" s="99" t="s">
        <v>146</v>
      </c>
      <c r="F36" s="232">
        <f>IFERROR(IF(AND($F$5="Projected Points",Beersheet!A31&lt;&gt;"QB"), T36, IF(H36="", INDEX(Tier!$B$40:$B$48,MATCH(G36,Tier!$A$40:$A$48,0)), INDEX(Tier!$B$40:$B$48,MATCH(G36,Tier!$A$40:$A$48,0)))), "")</f>
        <v>92.846400000000003</v>
      </c>
      <c r="G36" s="283">
        <f t="shared" si="4"/>
        <v>8</v>
      </c>
      <c r="H36" s="288"/>
      <c r="I36" s="392" t="str">
        <f>IFERROR(INDEX(ADP!T:T,MATCH(D36,ADP!D:D,0))-RBproj!K36,"")</f>
        <v/>
      </c>
      <c r="J36" s="127"/>
      <c r="K36" s="3">
        <v>30</v>
      </c>
      <c r="L36" s="2" t="s">
        <v>641</v>
      </c>
      <c r="M36" s="3">
        <f t="shared" si="0"/>
        <v>0</v>
      </c>
      <c r="N36" s="4">
        <f>IFERROR(INDEX(ADP!AC:AC,MATCH(D36,ADP!Y:Y,0)),0)</f>
        <v>0</v>
      </c>
      <c r="O36" t="s">
        <v>7</v>
      </c>
      <c r="R36" t="str">
        <f>IFERROR(VLOOKUP(S36,FFARawStatProjections!BB:BD,2,FALSE),"")</f>
        <v>LV</v>
      </c>
      <c r="S36" s="4" t="str">
        <f>INDEX(FFARawStatProjections!BB:BB,MATCH(T36,FFARawStatProjections!BD:BD,0))</f>
        <v>Michael Mayer</v>
      </c>
      <c r="T36">
        <f>LARGE(FFARawStatProjections!BD:BD,K36)</f>
        <v>92.846400000000003</v>
      </c>
      <c r="U36" s="248">
        <f t="shared" si="1"/>
        <v>-43.539779999999993</v>
      </c>
      <c r="V36" s="243">
        <f t="shared" si="2"/>
        <v>1895.7124424483993</v>
      </c>
      <c r="W36" s="243"/>
      <c r="X36" s="243">
        <f t="shared" si="3"/>
        <v>-2.7212362499999996</v>
      </c>
      <c r="Y36" s="238">
        <f>IFERROR(
IF(ISBLANK(Beersheet!$A$1)=FALSE,
INDEX(Beersheet!$A:$U,MATCH(S36,INDEX(Beersheet!$A:$U,0,FFARawStatProjections!$BV$2),0),FFARawStatProjections!$BV$6),
IF(X36&gt;6,0,
IF(AND(X36&lt;=6,X36&gt;5),1,
IF(AND(X36&lt;=5,X36&gt;4),2,
IF(AND(X36&lt;=4,X36&gt;3),3,
IF(AND(X36&lt;=3,X36&gt;2),4,
IF(AND(X36&lt;=2,X36&gt;1),5,
IF(AND(X36&lt;=1,X36&gt;0),6,
IF(AND(X36&lt;=0,X36&gt;-1),7,
8))))))))),
10)</f>
        <v>8</v>
      </c>
    </row>
    <row r="37" spans="1:25" ht="15" customHeight="1" x14ac:dyDescent="0.25">
      <c r="A37" s="135"/>
      <c r="B37" s="142" t="s">
        <v>642</v>
      </c>
      <c r="C37" t="str">
        <f>IF(AND(IFERROR(INDEX(Instructions!$T$111:$T$222,MATCH(D37,Instructions!$T$111:$T$222,0)), "")=D37, D37&lt;&gt;""), "X", "")</f>
        <v/>
      </c>
      <c r="D37" s="138" t="s">
        <v>2437</v>
      </c>
      <c r="E37" s="100" t="s">
        <v>2073</v>
      </c>
      <c r="F37" s="431">
        <f>IFERROR(IF(AND($F$5="Projected Points",Beersheet!A32&lt;&gt;"QB"), T37, IF(H37="", INDEX(Tier!$B$40:$B$48,MATCH(G37,Tier!$A$40:$A$48,0)), INDEX(Tier!$B$40:$B$48,MATCH(G37,Tier!$A$40:$A$48,0)))), "")</f>
        <v>92.73639</v>
      </c>
      <c r="G37" s="250">
        <f t="shared" si="4"/>
        <v>8</v>
      </c>
      <c r="H37" s="291"/>
      <c r="I37" s="392" t="str">
        <f>IFERROR(INDEX(ADP!T:T,MATCH(D37,ADP!D:D,0))-RBproj!K37,"")</f>
        <v/>
      </c>
      <c r="J37" s="127"/>
      <c r="K37" s="3">
        <v>31</v>
      </c>
      <c r="L37" s="2" t="s">
        <v>642</v>
      </c>
      <c r="M37" s="3">
        <f t="shared" si="0"/>
        <v>0</v>
      </c>
      <c r="N37" s="4">
        <f>IFERROR(INDEX(ADP!AC:AC,MATCH(D37,ADP!Y:Y,0)),0)</f>
        <v>0</v>
      </c>
      <c r="O37" t="s">
        <v>7</v>
      </c>
      <c r="R37" t="str">
        <f>IFERROR(VLOOKUP(S37,FFARawStatProjections!BB:BD,2,FALSE),"")</f>
        <v>DAL</v>
      </c>
      <c r="S37" s="4" t="str">
        <f>INDEX(FFARawStatProjections!BB:BB,MATCH(T37,FFARawStatProjections!BD:BD,0))</f>
        <v>Jake Ferguson</v>
      </c>
      <c r="T37">
        <f>LARGE(FFARawStatProjections!BD:BD,K37)</f>
        <v>92.73639</v>
      </c>
      <c r="U37" s="248">
        <f t="shared" si="1"/>
        <v>-43.649789999999996</v>
      </c>
      <c r="V37" s="243">
        <f t="shared" si="2"/>
        <v>1905.3041670440996</v>
      </c>
      <c r="W37" s="243"/>
      <c r="X37" s="243">
        <f t="shared" si="3"/>
        <v>-2.7281118749999997</v>
      </c>
      <c r="Y37" s="238">
        <f>IFERROR(
IF(ISBLANK(Beersheet!$A$1)=FALSE,
INDEX(Beersheet!$A:$U,MATCH(S37,INDEX(Beersheet!$A:$U,0,FFARawStatProjections!$BV$2),0),FFARawStatProjections!$BV$6),
IF(X37&gt;6,0,
IF(AND(X37&lt;=6,X37&gt;5),1,
IF(AND(X37&lt;=5,X37&gt;4),2,
IF(AND(X37&lt;=4,X37&gt;3),3,
IF(AND(X37&lt;=3,X37&gt;2),4,
IF(AND(X37&lt;=2,X37&gt;1),5,
IF(AND(X37&lt;=1,X37&gt;0),6,
IF(AND(X37&lt;=0,X37&gt;-1),7,
8))))))))),
10)</f>
        <v>8</v>
      </c>
    </row>
    <row r="38" spans="1:25" ht="15" customHeight="1" x14ac:dyDescent="0.25">
      <c r="A38" s="135"/>
      <c r="B38" s="143" t="s">
        <v>643</v>
      </c>
      <c r="C38" t="str">
        <f>IF(AND(IFERROR(INDEX(Instructions!$T$111:$T$222,MATCH(D38,Instructions!$T$111:$T$222,0)), "")=D38, D38&lt;&gt;""), "X", "")</f>
        <v/>
      </c>
      <c r="D38" s="137" t="s">
        <v>2276</v>
      </c>
      <c r="E38" s="99" t="s">
        <v>157</v>
      </c>
      <c r="F38" s="232">
        <f>IFERROR(IF(AND($F$5="Projected Points",Beersheet!A33&lt;&gt;"QB"), T38, IF(H38="", INDEX(Tier!$B$40:$B$48,MATCH(G38,Tier!$A$40:$A$48,0)), INDEX(Tier!$B$40:$B$48,MATCH(G38,Tier!$A$40:$A$48,0)))), "")</f>
        <v>91.466380000000001</v>
      </c>
      <c r="G38" s="283">
        <f t="shared" si="4"/>
        <v>8</v>
      </c>
      <c r="H38" s="288"/>
      <c r="I38" s="392" t="str">
        <f>IFERROR(INDEX(ADP!T:T,MATCH(D38,ADP!D:D,0))-RBproj!K38,"")</f>
        <v/>
      </c>
      <c r="J38" s="127"/>
      <c r="K38" s="3">
        <v>32</v>
      </c>
      <c r="L38" s="2" t="s">
        <v>643</v>
      </c>
      <c r="M38" s="3">
        <f t="shared" si="0"/>
        <v>0</v>
      </c>
      <c r="N38" s="4">
        <f>IFERROR(INDEX(ADP!AC:AC,MATCH(D38,ADP!Y:Y,0)),0)</f>
        <v>0</v>
      </c>
      <c r="O38" t="s">
        <v>7</v>
      </c>
      <c r="R38" t="str">
        <f>IFERROR(VLOOKUP(S38,FFARawStatProjections!BB:BD,2,FALSE),"")</f>
        <v>NE</v>
      </c>
      <c r="S38" s="4" t="str">
        <f>INDEX(FFARawStatProjections!BB:BB,MATCH(T38,FFARawStatProjections!BD:BD,0))</f>
        <v>Mike Gesicki</v>
      </c>
      <c r="T38">
        <f>LARGE(FFARawStatProjections!BD:BD,K38)</f>
        <v>91.466380000000001</v>
      </c>
      <c r="U38" s="248">
        <f t="shared" si="1"/>
        <v>-44.919799999999995</v>
      </c>
      <c r="V38" s="243">
        <f t="shared" si="2"/>
        <v>2017.7884320399996</v>
      </c>
      <c r="W38" s="243"/>
      <c r="X38" s="243">
        <f t="shared" si="3"/>
        <v>-2.8074874999999997</v>
      </c>
      <c r="Y38" s="238">
        <f>IFERROR(
IF(ISBLANK(Beersheet!$A$1)=FALSE,
INDEX(Beersheet!$A:$U,MATCH(S38,INDEX(Beersheet!$A:$U,0,FFARawStatProjections!$BV$2),0),FFARawStatProjections!$BV$6),
IF(X38&gt;6,0,
IF(AND(X38&lt;=6,X38&gt;5),1,
IF(AND(X38&lt;=5,X38&gt;4),2,
IF(AND(X38&lt;=4,X38&gt;3),3,
IF(AND(X38&lt;=3,X38&gt;2),4,
IF(AND(X38&lt;=2,X38&gt;1),5,
IF(AND(X38&lt;=1,X38&gt;0),6,
IF(AND(X38&lt;=0,X38&gt;-1),7,
8))))))))),
10)</f>
        <v>8</v>
      </c>
    </row>
    <row r="39" spans="1:25" ht="15" customHeight="1" x14ac:dyDescent="0.25">
      <c r="A39" s="135"/>
      <c r="B39" s="142" t="s">
        <v>644</v>
      </c>
      <c r="C39" t="str">
        <f>IF(AND(IFERROR(INDEX(Instructions!$T$111:$T$222,MATCH(D39,Instructions!$T$111:$T$222,0)), "")=D39, D39&lt;&gt;""), "X", "")</f>
        <v/>
      </c>
      <c r="D39" s="138" t="s">
        <v>2445</v>
      </c>
      <c r="E39" s="100" t="s">
        <v>139</v>
      </c>
      <c r="F39" s="431">
        <f>IFERROR(IF(AND($F$5="Projected Points",Beersheet!A34&lt;&gt;"QB"), T39, IF(H39="", INDEX(Tier!$B$40:$B$48,MATCH(G39,Tier!$A$40:$A$48,0)), INDEX(Tier!$B$40:$B$48,MATCH(G39,Tier!$A$40:$A$48,0)))), "")</f>
        <v>85.566420000000008</v>
      </c>
      <c r="G39" s="250">
        <f t="shared" si="4"/>
        <v>8</v>
      </c>
      <c r="H39" s="291"/>
      <c r="I39" s="392" t="str">
        <f>IFERROR(INDEX(ADP!T:T,MATCH(D39,ADP!D:D,0))-RBproj!K39,"")</f>
        <v/>
      </c>
      <c r="J39" s="127"/>
      <c r="K39" s="3">
        <v>33</v>
      </c>
      <c r="L39" s="2" t="s">
        <v>644</v>
      </c>
      <c r="M39" s="3">
        <f t="shared" si="0"/>
        <v>0</v>
      </c>
      <c r="N39" s="4">
        <f>IFERROR(INDEX(ADP!AC:AC,MATCH(D39,ADP!Y:Y,0)),0)</f>
        <v>0</v>
      </c>
      <c r="O39" t="s">
        <v>7</v>
      </c>
      <c r="R39" t="str">
        <f>IFERROR(VLOOKUP(S39,FFARawStatProjections!BB:BD,2,FALSE),"")</f>
        <v>GB</v>
      </c>
      <c r="S39" s="4" t="str">
        <f>INDEX(FFARawStatProjections!BB:BB,MATCH(T39,FFARawStatProjections!BD:BD,0))</f>
        <v>Luke Musgrave</v>
      </c>
      <c r="T39">
        <f>LARGE(FFARawStatProjections!BD:BD,K39)</f>
        <v>85.566420000000008</v>
      </c>
      <c r="U39" s="248">
        <f t="shared" si="1"/>
        <v>-50.819759999999988</v>
      </c>
      <c r="V39" s="243">
        <f t="shared" si="2"/>
        <v>2582.648006457599</v>
      </c>
      <c r="X39" s="243">
        <f t="shared" si="3"/>
        <v>-3.1762349999999993</v>
      </c>
      <c r="Y39" s="238">
        <f>IFERROR(
IF(ISBLANK(Beersheet!$A$1)=FALSE,
INDEX(Beersheet!$A:$U,MATCH(S39,INDEX(Beersheet!$A:$U,0,FFARawStatProjections!$BV$2),0),FFARawStatProjections!$BV$6),
IF(X39&gt;6,0,
IF(AND(X39&lt;=6,X39&gt;5),1,
IF(AND(X39&lt;=5,X39&gt;4),2,
IF(AND(X39&lt;=4,X39&gt;3),3,
IF(AND(X39&lt;=3,X39&gt;2),4,
IF(AND(X39&lt;=2,X39&gt;1),5,
IF(AND(X39&lt;=1,X39&gt;0),6,
IF(AND(X39&lt;=0,X39&gt;-1),7,
8))))))))),
10)</f>
        <v>8</v>
      </c>
    </row>
    <row r="40" spans="1:25" ht="15" customHeight="1" x14ac:dyDescent="0.25">
      <c r="A40" s="135"/>
      <c r="B40" s="143" t="s">
        <v>645</v>
      </c>
      <c r="C40" t="str">
        <f>IF(AND(IFERROR(INDEX(Instructions!$T$111:$T$222,MATCH(D40,Instructions!$T$111:$T$222,0)), "")=D40, D40&lt;&gt;""), "X", "")</f>
        <v/>
      </c>
      <c r="D40" s="137" t="s">
        <v>2356</v>
      </c>
      <c r="E40" s="99" t="s">
        <v>2272</v>
      </c>
      <c r="F40" s="232">
        <f>IFERROR(IF(AND($F$5="Projected Points",Beersheet!A35&lt;&gt;"QB"), T40, IF(H40="", INDEX(Tier!$B$40:$B$48,MATCH(G40,Tier!$A$40:$A$48,0)), INDEX(Tier!$B$40:$B$48,MATCH(G40,Tier!$A$40:$A$48,0)))), "")</f>
        <v>85.536429999999996</v>
      </c>
      <c r="G40" s="283">
        <f t="shared" si="4"/>
        <v>8</v>
      </c>
      <c r="H40" s="288"/>
      <c r="I40" s="392" t="str">
        <f>IFERROR(INDEX(ADP!T:T,MATCH(D40,ADP!D:D,0))-RBproj!K40,"")</f>
        <v/>
      </c>
      <c r="J40" s="127"/>
      <c r="K40" s="3">
        <v>34</v>
      </c>
      <c r="L40" s="2" t="s">
        <v>645</v>
      </c>
      <c r="M40" s="3">
        <f t="shared" si="0"/>
        <v>0</v>
      </c>
      <c r="N40" s="4">
        <f>IFERROR(INDEX(ADP!AC:AC,MATCH(D40,ADP!Y:Y,0)),0)</f>
        <v>0</v>
      </c>
      <c r="O40" t="s">
        <v>7</v>
      </c>
      <c r="R40" t="str">
        <f>IFERROR(VLOOKUP(S40,FFARawStatProjections!BB:BD,2,FALSE),"")</f>
        <v>AZ</v>
      </c>
      <c r="S40" s="4" t="str">
        <f>INDEX(FFARawStatProjections!BB:BB,MATCH(T40,FFARawStatProjections!BD:BD,0))</f>
        <v>Trey McBride</v>
      </c>
      <c r="T40">
        <f>LARGE(FFARawStatProjections!BD:BD,K40)</f>
        <v>85.536429999999996</v>
      </c>
      <c r="U40" s="248">
        <f t="shared" si="1"/>
        <v>-50.84975</v>
      </c>
      <c r="V40" s="243">
        <f t="shared" si="2"/>
        <v>2585.6970750625001</v>
      </c>
      <c r="X40" s="243">
        <f t="shared" si="3"/>
        <v>-3.178109375</v>
      </c>
      <c r="Y40" s="238">
        <f>IFERROR(
IF(ISBLANK(Beersheet!$A$1)=FALSE,
INDEX(Beersheet!$A:$U,MATCH(S40,INDEX(Beersheet!$A:$U,0,FFARawStatProjections!$BV$2),0),FFARawStatProjections!$BV$6),
IF(X40&gt;6,0,
IF(AND(X40&lt;=6,X40&gt;5),1,
IF(AND(X40&lt;=5,X40&gt;4),2,
IF(AND(X40&lt;=4,X40&gt;3),3,
IF(AND(X40&lt;=3,X40&gt;2),4,
IF(AND(X40&lt;=2,X40&gt;1),5,
IF(AND(X40&lt;=1,X40&gt;0),6,
IF(AND(X40&lt;=0,X40&gt;-1),7,
8))))))))),
10)</f>
        <v>8</v>
      </c>
    </row>
    <row r="41" spans="1:25" ht="15" customHeight="1" x14ac:dyDescent="0.25">
      <c r="A41" s="135"/>
      <c r="B41" s="142" t="s">
        <v>646</v>
      </c>
      <c r="C41" t="str">
        <f>IF(AND(IFERROR(INDEX(Instructions!$T$111:$T$222,MATCH(D41,Instructions!$T$111:$T$222,0)), "")=D41, D41&lt;&gt;""), "X", "")</f>
        <v/>
      </c>
      <c r="D41" s="138" t="s">
        <v>1205</v>
      </c>
      <c r="E41" s="100" t="s">
        <v>2073</v>
      </c>
      <c r="F41" s="431">
        <f>IFERROR(IF(AND($F$5="Projected Points",Beersheet!A36&lt;&gt;"QB"), T41, IF(H41="", INDEX(Tier!$B$40:$B$48,MATCH(G41,Tier!$A$40:$A$48,0)), INDEX(Tier!$B$40:$B$48,MATCH(G41,Tier!$A$40:$A$48,0)))), "")</f>
        <v>68.266450000000006</v>
      </c>
      <c r="G41" s="250">
        <f t="shared" si="4"/>
        <v>8</v>
      </c>
      <c r="H41" s="291"/>
      <c r="I41" s="392" t="str">
        <f>IFERROR(INDEX(ADP!T:T,MATCH(D41,ADP!D:D,0))-RBproj!K41,"")</f>
        <v/>
      </c>
      <c r="J41" s="127"/>
      <c r="K41" s="3">
        <v>35</v>
      </c>
      <c r="L41" s="2" t="s">
        <v>646</v>
      </c>
      <c r="M41" s="3">
        <f t="shared" si="0"/>
        <v>0</v>
      </c>
      <c r="N41" s="4">
        <f>IFERROR(INDEX(ADP!AC:AC,MATCH(D41,ADP!Y:Y,0)),0)</f>
        <v>0</v>
      </c>
      <c r="O41" t="s">
        <v>7</v>
      </c>
      <c r="R41" t="str">
        <f>IFERROR(VLOOKUP(S41,FFARawStatProjections!BB:BD,2,FALSE),"")</f>
        <v>LV</v>
      </c>
      <c r="S41" s="4" t="str">
        <f>INDEX(FFARawStatProjections!BB:BB,MATCH(T41,FFARawStatProjections!BD:BD,0))</f>
        <v>Austin Hooper</v>
      </c>
      <c r="T41">
        <f>LARGE(FFARawStatProjections!BD:BD,K41)</f>
        <v>68.266450000000006</v>
      </c>
      <c r="U41" s="248">
        <f t="shared" si="1"/>
        <v>-68.11972999999999</v>
      </c>
      <c r="V41" s="243">
        <f t="shared" si="2"/>
        <v>4640.2976152728988</v>
      </c>
      <c r="X41" s="243">
        <f t="shared" si="3"/>
        <v>-4.2574831249999994</v>
      </c>
      <c r="Y41" s="238">
        <f>IFERROR(
IF(ISBLANK(Beersheet!$A$1)=FALSE,
INDEX(Beersheet!$A:$U,MATCH(S41,INDEX(Beersheet!$A:$U,0,FFARawStatProjections!$BV$2),0),FFARawStatProjections!$BV$6),
IF(X41&gt;6,0,
IF(AND(X41&lt;=6,X41&gt;5),1,
IF(AND(X41&lt;=5,X41&gt;4),2,
IF(AND(X41&lt;=4,X41&gt;3),3,
IF(AND(X41&lt;=3,X41&gt;2),4,
IF(AND(X41&lt;=2,X41&gt;1),5,
IF(AND(X41&lt;=1,X41&gt;0),6,
IF(AND(X41&lt;=0,X41&gt;-1),7,
8))))))))),
10)</f>
        <v>8</v>
      </c>
    </row>
    <row r="42" spans="1:25" ht="15" customHeight="1" x14ac:dyDescent="0.25">
      <c r="A42" s="135"/>
      <c r="B42" s="143" t="s">
        <v>647</v>
      </c>
      <c r="C42" t="str">
        <f>IF(AND(IFERROR(INDEX(Instructions!$T$111:$T$222,MATCH(D42,Instructions!$T$111:$T$222,0)), "")=D42, D42&lt;&gt;""), "X", "")</f>
        <v/>
      </c>
      <c r="D42" s="137" t="s">
        <v>2364</v>
      </c>
      <c r="E42" s="99" t="s">
        <v>162</v>
      </c>
      <c r="F42" s="232">
        <f>IFERROR(IF(AND($F$5="Projected Points",Beersheet!A37&lt;&gt;"QB"), T42, IF(H42="", INDEX(Tier!$B$40:$B$48,MATCH(G42,Tier!$A$40:$A$48,0)), INDEX(Tier!$B$40:$B$48,MATCH(G42,Tier!$A$40:$A$48,0)))), "")</f>
        <v>66.076439999999991</v>
      </c>
      <c r="G42" s="283">
        <f t="shared" si="4"/>
        <v>8</v>
      </c>
      <c r="H42" s="288"/>
      <c r="I42" s="392" t="str">
        <f>IFERROR(INDEX(ADP!T:T,MATCH(D42,ADP!D:D,0))-RBproj!K42,"")</f>
        <v/>
      </c>
      <c r="J42" s="127"/>
      <c r="K42" s="3">
        <v>36</v>
      </c>
      <c r="L42" s="2" t="s">
        <v>647</v>
      </c>
      <c r="M42" s="3">
        <f t="shared" si="0"/>
        <v>0</v>
      </c>
      <c r="N42" s="4">
        <f>IFERROR(INDEX(ADP!AC:AC,MATCH(D42,ADP!Y:Y,0)),0)</f>
        <v>0</v>
      </c>
      <c r="O42" t="s">
        <v>7</v>
      </c>
      <c r="R42" t="str">
        <f>IFERROR(VLOOKUP(S42,FFARawStatProjections!BB:BD,2,FALSE),"")</f>
        <v>BAL</v>
      </c>
      <c r="S42" s="4" t="str">
        <f>INDEX(FFARawStatProjections!BB:BB,MATCH(T42,FFARawStatProjections!BD:BD,0))</f>
        <v>Isaiah Likely</v>
      </c>
      <c r="T42">
        <f>LARGE(FFARawStatProjections!BD:BD,K42)</f>
        <v>66.076439999999991</v>
      </c>
      <c r="U42" s="248">
        <f t="shared" si="1"/>
        <v>-70.309740000000005</v>
      </c>
      <c r="V42" s="243">
        <f t="shared" si="2"/>
        <v>4943.4595388676007</v>
      </c>
      <c r="X42" s="243">
        <f t="shared" si="3"/>
        <v>-4.3943587500000003</v>
      </c>
      <c r="Y42" s="238">
        <f>IFERROR(
IF(ISBLANK(Beersheet!$A$1)=FALSE,
INDEX(Beersheet!$A:$U,MATCH(S42,INDEX(Beersheet!$A:$U,0,FFARawStatProjections!$BV$2),0),FFARawStatProjections!$BV$6),
IF(X42&gt;6,0,
IF(AND(X42&lt;=6,X42&gt;5),1,
IF(AND(X42&lt;=5,X42&gt;4),2,
IF(AND(X42&lt;=4,X42&gt;3),3,
IF(AND(X42&lt;=3,X42&gt;2),4,
IF(AND(X42&lt;=2,X42&gt;1),5,
IF(AND(X42&lt;=1,X42&gt;0),6,
IF(AND(X42&lt;=0,X42&gt;-1),7,
8))))))))),
10)</f>
        <v>8</v>
      </c>
    </row>
    <row r="43" spans="1:25" ht="15" customHeight="1" x14ac:dyDescent="0.25">
      <c r="A43" s="135"/>
      <c r="B43" s="142" t="s">
        <v>648</v>
      </c>
      <c r="C43" t="str">
        <f>IF(AND(IFERROR(INDEX(Instructions!$T$111:$T$222,MATCH(D43,Instructions!$T$111:$T$222,0)), "")=D43, D43&lt;&gt;""), "X", "")</f>
        <v/>
      </c>
      <c r="D43" s="138" t="s">
        <v>2240</v>
      </c>
      <c r="E43" s="100" t="s">
        <v>136</v>
      </c>
      <c r="F43" s="431">
        <f>IFERROR(IF(AND($F$5="Projected Points",Beersheet!A38&lt;&gt;"QB"), T43, IF(H43="", INDEX(Tier!$B$40:$B$48,MATCH(G43,Tier!$A$40:$A$48,0)), INDEX(Tier!$B$40:$B$48,MATCH(G43,Tier!$A$40:$A$48,0)))), "")</f>
        <v>54.646459999999998</v>
      </c>
      <c r="G43" s="250">
        <f t="shared" si="4"/>
        <v>8</v>
      </c>
      <c r="H43" s="291"/>
      <c r="I43" s="392" t="str">
        <f>IFERROR(INDEX(ADP!T:T,MATCH(D43,ADP!D:D,0))-RBproj!K43,"")</f>
        <v/>
      </c>
      <c r="J43" s="127"/>
      <c r="K43" s="3">
        <v>37</v>
      </c>
      <c r="L43" s="2" t="s">
        <v>648</v>
      </c>
      <c r="M43" s="3">
        <f t="shared" si="0"/>
        <v>0</v>
      </c>
      <c r="N43" s="4">
        <f>IFERROR(INDEX(ADP!AC:AC,MATCH(D43,ADP!Y:Y,0)),0)</f>
        <v>0</v>
      </c>
      <c r="O43" t="s">
        <v>7</v>
      </c>
      <c r="R43" t="str">
        <f>IFERROR(VLOOKUP(S43,FFARawStatProjections!BB:BD,2,FALSE),"")</f>
        <v>KC</v>
      </c>
      <c r="S43" s="4" t="str">
        <f>INDEX(FFARawStatProjections!BB:BB,MATCH(T43,FFARawStatProjections!BD:BD,0))</f>
        <v>Noah Gray</v>
      </c>
      <c r="T43">
        <f>LARGE(FFARawStatProjections!BD:BD,K43)</f>
        <v>54.646459999999998</v>
      </c>
      <c r="U43" s="248">
        <f t="shared" si="1"/>
        <v>-81.739720000000005</v>
      </c>
      <c r="V43" s="243">
        <f t="shared" si="2"/>
        <v>6681.3818256784007</v>
      </c>
      <c r="X43" s="243">
        <f t="shared" si="3"/>
        <v>-5.1087325000000003</v>
      </c>
      <c r="Y43" s="238">
        <f>IFERROR(
IF(ISBLANK(Beersheet!$A$1)=FALSE,
INDEX(Beersheet!$A:$U,MATCH(S43,INDEX(Beersheet!$A:$U,0,FFARawStatProjections!$BV$2),0),FFARawStatProjections!$BV$6),
IF(X43&gt;6,0,
IF(AND(X43&lt;=6,X43&gt;5),1,
IF(AND(X43&lt;=5,X43&gt;4),2,
IF(AND(X43&lt;=4,X43&gt;3),3,
IF(AND(X43&lt;=3,X43&gt;2),4,
IF(AND(X43&lt;=2,X43&gt;1),5,
IF(AND(X43&lt;=1,X43&gt;0),6,
IF(AND(X43&lt;=0,X43&gt;-1),7,
8))))))))),
10)</f>
        <v>8</v>
      </c>
    </row>
    <row r="44" spans="1:25" ht="15" customHeight="1" x14ac:dyDescent="0.25">
      <c r="A44" s="135"/>
      <c r="B44" s="143" t="s">
        <v>649</v>
      </c>
      <c r="C44" t="str">
        <f>IF(AND(IFERROR(INDEX(Instructions!$T$111:$T$222,MATCH(D44,Instructions!$T$111:$T$222,0)), "")=D44, D44&lt;&gt;""), "X", "")</f>
        <v/>
      </c>
      <c r="D44" s="137" t="s">
        <v>2444</v>
      </c>
      <c r="E44" s="99" t="s">
        <v>146</v>
      </c>
      <c r="F44" s="232">
        <f>IFERROR(IF(AND($F$5="Projected Points",Beersheet!A39&lt;&gt;"QB"), T44, IF(H44="", INDEX(Tier!$B$40:$B$48,MATCH(G44,Tier!$A$40:$A$48,0)), INDEX(Tier!$B$40:$B$48,MATCH(G44,Tier!$A$40:$A$48,0)))), "")</f>
        <v>53.82647</v>
      </c>
      <c r="G44" s="283">
        <f t="shared" si="4"/>
        <v>8</v>
      </c>
      <c r="H44" s="288"/>
      <c r="I44" s="392" t="str">
        <f>IFERROR(INDEX(ADP!T:T,MATCH(D44,ADP!D:D,0))-RBproj!K44,"")</f>
        <v/>
      </c>
      <c r="J44" s="127"/>
      <c r="K44" s="3">
        <v>38</v>
      </c>
      <c r="L44" s="2" t="s">
        <v>649</v>
      </c>
      <c r="M44" s="3">
        <f t="shared" si="0"/>
        <v>0</v>
      </c>
      <c r="N44" s="4">
        <f>IFERROR(INDEX(ADP!AC:AC,MATCH(D44,ADP!Y:Y,0)),0)</f>
        <v>0</v>
      </c>
      <c r="O44" t="s">
        <v>7</v>
      </c>
      <c r="R44" t="str">
        <f>IFERROR(VLOOKUP(S44,FFARawStatProjections!BB:BD,2,FALSE),"")</f>
        <v>DAL</v>
      </c>
      <c r="S44" s="4" t="str">
        <f>INDEX(FFARawStatProjections!BB:BB,MATCH(T44,FFARawStatProjections!BD:BD,0))</f>
        <v>Luke Schoonmaker</v>
      </c>
      <c r="T44">
        <f>LARGE(FFARawStatProjections!BD:BD,K44)</f>
        <v>53.82647</v>
      </c>
      <c r="U44" s="248">
        <f t="shared" si="1"/>
        <v>-82.559709999999995</v>
      </c>
      <c r="V44" s="243">
        <f t="shared" si="2"/>
        <v>6816.1057152840995</v>
      </c>
      <c r="X44" s="243">
        <f t="shared" si="3"/>
        <v>-5.1599818749999997</v>
      </c>
      <c r="Y44" s="238">
        <f>IFERROR(
IF(ISBLANK(Beersheet!$A$1)=FALSE,
INDEX(Beersheet!$A:$U,MATCH(S44,INDEX(Beersheet!$A:$U,0,FFARawStatProjections!$BV$2),0),FFARawStatProjections!$BV$6),
IF(X44&gt;6,0,
IF(AND(X44&lt;=6,X44&gt;5),1,
IF(AND(X44&lt;=5,X44&gt;4),2,
IF(AND(X44&lt;=4,X44&gt;3),3,
IF(AND(X44&lt;=3,X44&gt;2),4,
IF(AND(X44&lt;=2,X44&gt;1),5,
IF(AND(X44&lt;=1,X44&gt;0),6,
IF(AND(X44&lt;=0,X44&gt;-1),7,
8))))))))),
10)</f>
        <v>8</v>
      </c>
    </row>
    <row r="45" spans="1:25" ht="15" customHeight="1" x14ac:dyDescent="0.25">
      <c r="A45" s="135"/>
      <c r="B45" s="142" t="s">
        <v>650</v>
      </c>
      <c r="C45" t="str">
        <f>IF(AND(IFERROR(INDEX(Instructions!$T$111:$T$222,MATCH(D45,Instructions!$T$111:$T$222,0)), "")=D45, D45&lt;&gt;""), "X", "")</f>
        <v/>
      </c>
      <c r="D45" s="138" t="s">
        <v>1816</v>
      </c>
      <c r="E45" s="100" t="s">
        <v>140</v>
      </c>
      <c r="F45" s="431">
        <f>IFERROR(IF(AND($F$5="Projected Points",Beersheet!A40&lt;&gt;"QB"), T45, IF(H45="", INDEX(Tier!$B$40:$B$48,MATCH(G45,Tier!$A$40:$A$48,0)), INDEX(Tier!$B$40:$B$48,MATCH(G45,Tier!$A$40:$A$48,0)))), "")</f>
        <v>50.306509999999996</v>
      </c>
      <c r="G45" s="250">
        <f t="shared" si="4"/>
        <v>8</v>
      </c>
      <c r="H45" s="291"/>
      <c r="I45" s="392" t="str">
        <f>IFERROR(INDEX(ADP!T:T,MATCH(D45,ADP!D:D,0))-RBproj!K45,"")</f>
        <v/>
      </c>
      <c r="J45" s="127"/>
      <c r="K45" s="3">
        <v>39</v>
      </c>
      <c r="L45" s="2" t="s">
        <v>650</v>
      </c>
      <c r="M45" s="3">
        <f t="shared" si="0"/>
        <v>0</v>
      </c>
      <c r="N45" s="4">
        <f>IFERROR(INDEX(ADP!AC:AC,MATCH(D45,ADP!Y:Y,0)),0)</f>
        <v>0</v>
      </c>
      <c r="O45" t="s">
        <v>7</v>
      </c>
      <c r="R45" t="str">
        <f>IFERROR(VLOOKUP(S45,FFARawStatProjections!BB:BD,2,FALSE),"")</f>
        <v>SEA</v>
      </c>
      <c r="S45" s="4" t="str">
        <f>INDEX(FFARawStatProjections!BB:BB,MATCH(T45,FFARawStatProjections!BD:BD,0))</f>
        <v>Will Dissly</v>
      </c>
      <c r="T45">
        <f>LARGE(FFARawStatProjections!BD:BD,K45)</f>
        <v>50.306509999999996</v>
      </c>
      <c r="U45" s="248">
        <f t="shared" si="1"/>
        <v>-86.079669999999993</v>
      </c>
      <c r="V45" s="243">
        <f t="shared" si="2"/>
        <v>7409.7095873088992</v>
      </c>
      <c r="X45" s="243">
        <f t="shared" si="3"/>
        <v>-5.3799793749999996</v>
      </c>
      <c r="Y45" s="238">
        <f>IFERROR(
IF(ISBLANK(Beersheet!$A$1)=FALSE,
INDEX(Beersheet!$A:$U,MATCH(S45,INDEX(Beersheet!$A:$U,0,FFARawStatProjections!$BV$2),0),FFARawStatProjections!$BV$6),
IF(X45&gt;6,0,
IF(AND(X45&lt;=6,X45&gt;5),1,
IF(AND(X45&lt;=5,X45&gt;4),2,
IF(AND(X45&lt;=4,X45&gt;3),3,
IF(AND(X45&lt;=3,X45&gt;2),4,
IF(AND(X45&lt;=2,X45&gt;1),5,
IF(AND(X45&lt;=1,X45&gt;0),6,
IF(AND(X45&lt;=0,X45&gt;-1),7,
8))))))))),
10)</f>
        <v>8</v>
      </c>
    </row>
    <row r="46" spans="1:25" ht="15" customHeight="1" x14ac:dyDescent="0.25">
      <c r="A46" s="135"/>
      <c r="B46" s="143" t="s">
        <v>651</v>
      </c>
      <c r="C46" t="str">
        <f>IF(AND(IFERROR(INDEX(Instructions!$T$111:$T$222,MATCH(D46,Instructions!$T$111:$T$222,0)), "")=D46, D46&lt;&gt;""), "X", "")</f>
        <v/>
      </c>
      <c r="D46" s="137" t="s">
        <v>2233</v>
      </c>
      <c r="E46" s="99" t="s">
        <v>1388</v>
      </c>
      <c r="F46" s="232">
        <f>IFERROR(IF(AND($F$5="Projected Points",Beersheet!A41&lt;&gt;"QB"), T46, IF(H46="", INDEX(Tier!$B$40:$B$48,MATCH(G46,Tier!$A$40:$A$48,0)), INDEX(Tier!$B$40:$B$48,MATCH(G46,Tier!$A$40:$A$48,0)))), "")</f>
        <v>48.876490000000004</v>
      </c>
      <c r="G46" s="283">
        <f t="shared" si="4"/>
        <v>8</v>
      </c>
      <c r="H46" s="288"/>
      <c r="I46" s="392" t="str">
        <f>IFERROR(INDEX(ADP!T:T,MATCH(D46,ADP!D:D,0))-RBproj!K46,"")</f>
        <v/>
      </c>
      <c r="J46" s="127"/>
      <c r="K46" s="3">
        <v>40</v>
      </c>
      <c r="L46" s="2" t="s">
        <v>651</v>
      </c>
      <c r="M46" s="3">
        <f t="shared" si="0"/>
        <v>0</v>
      </c>
      <c r="N46" s="4">
        <f>IFERROR(INDEX(ADP!AC:AC,MATCH(D46,ADP!Y:Y,0)),0)</f>
        <v>0</v>
      </c>
      <c r="O46" t="s">
        <v>7</v>
      </c>
      <c r="R46" t="str">
        <f>IFERROR(VLOOKUP(S46,FFARawStatProjections!BB:BD,2,FALSE),"")</f>
        <v>ATL</v>
      </c>
      <c r="S46" s="4" t="str">
        <f>INDEX(FFARawStatProjections!BB:BB,MATCH(T46,FFARawStatProjections!BD:BD,0))</f>
        <v>Jonnu Smith</v>
      </c>
      <c r="T46">
        <f>LARGE(FFARawStatProjections!BD:BD,K46)</f>
        <v>48.876490000000004</v>
      </c>
      <c r="U46" s="248">
        <f t="shared" si="1"/>
        <v>-87.509689999999992</v>
      </c>
      <c r="V46" s="243">
        <f t="shared" si="2"/>
        <v>7657.9458438960983</v>
      </c>
      <c r="X46" s="243">
        <f t="shared" si="3"/>
        <v>-5.4693556249999995</v>
      </c>
      <c r="Y46" s="238">
        <f>IFERROR(
IF(ISBLANK(Beersheet!$A$1)=FALSE,
INDEX(Beersheet!$A:$U,MATCH(S46,INDEX(Beersheet!$A:$U,0,FFARawStatProjections!$BV$2),0),FFARawStatProjections!$BV$6),
IF(X46&gt;6,0,
IF(AND(X46&lt;=6,X46&gt;5),1,
IF(AND(X46&lt;=5,X46&gt;4),2,
IF(AND(X46&lt;=4,X46&gt;3),3,
IF(AND(X46&lt;=3,X46&gt;2),4,
IF(AND(X46&lt;=2,X46&gt;1),5,
IF(AND(X46&lt;=1,X46&gt;0),6,
IF(AND(X46&lt;=0,X46&gt;-1),7,
8))))))))),
10)</f>
        <v>8</v>
      </c>
    </row>
    <row r="47" spans="1:25" ht="15" customHeight="1" x14ac:dyDescent="0.25">
      <c r="A47" s="135"/>
      <c r="B47" s="142" t="s">
        <v>652</v>
      </c>
      <c r="C47" t="str">
        <f>IF(AND(IFERROR(INDEX(Instructions!$T$111:$T$222,MATCH(D47,Instructions!$T$111:$T$222,0)), "")=D47, D47&lt;&gt;""), "X", "")</f>
        <v/>
      </c>
      <c r="D47" s="138" t="s">
        <v>1447</v>
      </c>
      <c r="E47" s="100" t="s">
        <v>148</v>
      </c>
      <c r="F47" s="431">
        <f>IFERROR(IF(AND($F$5="Projected Points",Beersheet!A42&lt;&gt;"QB"), T47, IF(H47="", INDEX(Tier!$B$40:$B$48,MATCH(G47,Tier!$A$40:$A$48,0)), INDEX(Tier!$B$40:$B$48,MATCH(G47,Tier!$A$40:$A$48,0)))), "")</f>
        <v>48.136480000000006</v>
      </c>
      <c r="G47" s="250">
        <f t="shared" si="4"/>
        <v>8</v>
      </c>
      <c r="H47" s="291"/>
      <c r="I47" s="392" t="str">
        <f>IFERROR(INDEX(ADP!T:T,MATCH(D47,ADP!D:D,0))-RBproj!K47,"")</f>
        <v/>
      </c>
      <c r="J47" s="127"/>
      <c r="K47" s="3">
        <v>41</v>
      </c>
      <c r="L47" s="2" t="s">
        <v>652</v>
      </c>
      <c r="M47" s="3">
        <f t="shared" si="0"/>
        <v>0</v>
      </c>
      <c r="N47" s="4">
        <f>IFERROR(INDEX(ADP!AC:AC,MATCH(D47,ADP!Y:Y,0)),0)</f>
        <v>0</v>
      </c>
      <c r="O47" t="s">
        <v>7</v>
      </c>
      <c r="R47" t="str">
        <f>IFERROR(VLOOKUP(S47,FFARawStatProjections!BB:BD,2,FALSE),"")</f>
        <v>LAC</v>
      </c>
      <c r="S47" s="4" t="str">
        <f>INDEX(FFARawStatProjections!BB:BB,MATCH(T47,FFARawStatProjections!BD:BD,0))</f>
        <v>Donald Parham</v>
      </c>
      <c r="T47">
        <f>LARGE(FFARawStatProjections!BD:BD,K47)</f>
        <v>48.136480000000006</v>
      </c>
      <c r="U47" s="248">
        <f t="shared" si="1"/>
        <v>-88.24969999999999</v>
      </c>
      <c r="V47" s="243">
        <f t="shared" si="2"/>
        <v>7788.0095500899979</v>
      </c>
      <c r="X47" s="243">
        <f t="shared" si="3"/>
        <v>-5.5156062499999994</v>
      </c>
      <c r="Y47" s="238">
        <f>IFERROR(
IF(ISBLANK(Beersheet!$A$1)=FALSE,
INDEX(Beersheet!$A:$U,MATCH(S47,INDEX(Beersheet!$A:$U,0,FFARawStatProjections!$BV$2),0),FFARawStatProjections!$BV$6),
IF(X47&gt;6,0,
IF(AND(X47&lt;=6,X47&gt;5),1,
IF(AND(X47&lt;=5,X47&gt;4),2,
IF(AND(X47&lt;=4,X47&gt;3),3,
IF(AND(X47&lt;=3,X47&gt;2),4,
IF(AND(X47&lt;=2,X47&gt;1),5,
IF(AND(X47&lt;=1,X47&gt;0),6,
IF(AND(X47&lt;=0,X47&gt;-1),7,
8))))))))),
10)</f>
        <v>8</v>
      </c>
    </row>
    <row r="48" spans="1:25" ht="15" customHeight="1" x14ac:dyDescent="0.25">
      <c r="A48" s="135"/>
      <c r="B48" s="143" t="s">
        <v>653</v>
      </c>
      <c r="C48" t="str">
        <f>IF(AND(IFERROR(INDEX(Instructions!$T$111:$T$222,MATCH(D48,Instructions!$T$111:$T$222,0)), "")=D48, D48&lt;&gt;""), "X", "")</f>
        <v/>
      </c>
      <c r="D48" s="137" t="s">
        <v>1891</v>
      </c>
      <c r="E48" s="99" t="s">
        <v>143</v>
      </c>
      <c r="F48" s="232">
        <f>IFERROR(IF(AND($F$5="Projected Points",Beersheet!A43&lt;&gt;"QB"), T48, IF(H48="", INDEX(Tier!$B$40:$B$48,MATCH(G48,Tier!$A$40:$A$48,0)), INDEX(Tier!$B$40:$B$48,MATCH(G48,Tier!$A$40:$A$48,0)))), "")</f>
        <v>47.436529999999998</v>
      </c>
      <c r="G48" s="283">
        <f t="shared" si="4"/>
        <v>8</v>
      </c>
      <c r="H48" s="288"/>
      <c r="I48" s="392" t="str">
        <f>IFERROR(INDEX(ADP!T:T,MATCH(D48,ADP!D:D,0))-RBproj!K48,"")</f>
        <v/>
      </c>
      <c r="J48" s="127"/>
      <c r="K48" s="3">
        <v>42</v>
      </c>
      <c r="L48" s="2" t="s">
        <v>653</v>
      </c>
      <c r="M48" s="3">
        <f t="shared" si="0"/>
        <v>0</v>
      </c>
      <c r="N48" s="4">
        <f>IFERROR(INDEX(ADP!AC:AC,MATCH(D48,ADP!Y:Y,0)),0)</f>
        <v>0</v>
      </c>
      <c r="O48" t="s">
        <v>7</v>
      </c>
      <c r="R48" t="str">
        <f>IFERROR(VLOOKUP(S48,FFARawStatProjections!BB:BD,2,FALSE),"")</f>
        <v>CHI</v>
      </c>
      <c r="S48" s="4" t="str">
        <f>INDEX(FFARawStatProjections!BB:BB,MATCH(T48,FFARawStatProjections!BD:BD,0))</f>
        <v>Robert Tonyan</v>
      </c>
      <c r="T48">
        <f>LARGE(FFARawStatProjections!BD:BD,K48)</f>
        <v>47.436529999999998</v>
      </c>
      <c r="U48" s="248">
        <f t="shared" si="1"/>
        <v>-88.949649999999991</v>
      </c>
      <c r="V48" s="243">
        <f t="shared" si="2"/>
        <v>7912.0402351224984</v>
      </c>
      <c r="X48" s="243">
        <f t="shared" si="3"/>
        <v>-5.5593531249999995</v>
      </c>
      <c r="Y48" s="238">
        <f>IFERROR(
IF(ISBLANK(Beersheet!$A$1)=FALSE,
INDEX(Beersheet!$A:$U,MATCH(S48,INDEX(Beersheet!$A:$U,0,FFARawStatProjections!$BV$2),0),FFARawStatProjections!$BV$6),
IF(X48&gt;6,0,
IF(AND(X48&lt;=6,X48&gt;5),1,
IF(AND(X48&lt;=5,X48&gt;4),2,
IF(AND(X48&lt;=4,X48&gt;3),3,
IF(AND(X48&lt;=3,X48&gt;2),4,
IF(AND(X48&lt;=2,X48&gt;1),5,
IF(AND(X48&lt;=1,X48&gt;0),6,
IF(AND(X48&lt;=0,X48&gt;-1),7,
8))))))))),
10)</f>
        <v>8</v>
      </c>
    </row>
    <row r="49" spans="1:25" ht="15" customHeight="1" x14ac:dyDescent="0.25">
      <c r="A49" s="135"/>
      <c r="B49" s="142" t="s">
        <v>654</v>
      </c>
      <c r="C49" t="str">
        <f>IF(AND(IFERROR(INDEX(Instructions!$T$111:$T$222,MATCH(D49,Instructions!$T$111:$T$222,0)), "")=D49, D49&lt;&gt;""), "X", "")</f>
        <v/>
      </c>
      <c r="D49" s="138" t="s">
        <v>2124</v>
      </c>
      <c r="E49" s="100" t="s">
        <v>141</v>
      </c>
      <c r="F49" s="431">
        <f>IFERROR(IF(AND($F$5="Projected Points",Beersheet!A44&lt;&gt;"QB"), T49, IF(H49="", INDEX(Tier!$B$40:$B$48,MATCH(G49,Tier!$A$40:$A$48,0)), INDEX(Tier!$B$40:$B$48,MATCH(G49,Tier!$A$40:$A$48,0)))), "")</f>
        <v>47.116500000000002</v>
      </c>
      <c r="G49" s="250">
        <f t="shared" si="4"/>
        <v>8</v>
      </c>
      <c r="H49" s="291"/>
      <c r="I49" s="392" t="str">
        <f>IFERROR(INDEX(ADP!T:T,MATCH(D49,ADP!D:D,0))-RBproj!K49,"")</f>
        <v/>
      </c>
      <c r="J49" s="127"/>
      <c r="K49" s="3">
        <v>43</v>
      </c>
      <c r="L49" s="2" t="s">
        <v>654</v>
      </c>
      <c r="M49" s="3">
        <f t="shared" si="0"/>
        <v>0</v>
      </c>
      <c r="N49" s="4">
        <f>IFERROR(INDEX(ADP!AC:AC,MATCH(D49,ADP!Y:Y,0)),0)</f>
        <v>0</v>
      </c>
      <c r="O49" t="s">
        <v>7</v>
      </c>
      <c r="R49" t="str">
        <f>IFERROR(VLOOKUP(S49,FFARawStatProjections!BB:BD,2,FALSE),"")</f>
        <v>NO</v>
      </c>
      <c r="S49" s="4" t="str">
        <f>INDEX(FFARawStatProjections!BB:BB,MATCH(T49,FFARawStatProjections!BD:BD,0))</f>
        <v>Foster Moreau</v>
      </c>
      <c r="T49">
        <f>LARGE(FFARawStatProjections!BD:BD,K49)</f>
        <v>47.116500000000002</v>
      </c>
      <c r="U49" s="248">
        <f t="shared" si="1"/>
        <v>-89.269679999999994</v>
      </c>
      <c r="V49" s="243">
        <f t="shared" si="2"/>
        <v>7969.0757673023991</v>
      </c>
      <c r="X49" s="243">
        <f t="shared" si="3"/>
        <v>-5.5793549999999996</v>
      </c>
      <c r="Y49" s="238">
        <f>IFERROR(
IF(ISBLANK(Beersheet!$A$1)=FALSE,
INDEX(Beersheet!$A:$U,MATCH(S49,INDEX(Beersheet!$A:$U,0,FFARawStatProjections!$BV$2),0),FFARawStatProjections!$BV$6),
IF(X49&gt;6,0,
IF(AND(X49&lt;=6,X49&gt;5),1,
IF(AND(X49&lt;=5,X49&gt;4),2,
IF(AND(X49&lt;=4,X49&gt;3),3,
IF(AND(X49&lt;=3,X49&gt;2),4,
IF(AND(X49&lt;=2,X49&gt;1),5,
IF(AND(X49&lt;=1,X49&gt;0),6,
IF(AND(X49&lt;=0,X49&gt;-1),7,
8))))))))),
10)</f>
        <v>8</v>
      </c>
    </row>
    <row r="50" spans="1:25" ht="15" customHeight="1" x14ac:dyDescent="0.25">
      <c r="A50" s="135"/>
      <c r="B50" s="143" t="s">
        <v>655</v>
      </c>
      <c r="C50" t="str">
        <f>IF(AND(IFERROR(INDEX(Instructions!$T$111:$T$222,MATCH(D50,Instructions!$T$111:$T$222,0)), "")=D50, D50&lt;&gt;""), "X", "")</f>
        <v/>
      </c>
      <c r="D50" s="137" t="s">
        <v>2359</v>
      </c>
      <c r="E50" s="99" t="s">
        <v>142</v>
      </c>
      <c r="F50" s="232">
        <f>IFERROR(IF(AND($F$5="Projected Points",Beersheet!A45&lt;&gt;"QB"), T50, IF(H50="", INDEX(Tier!$B$40:$B$48,MATCH(G50,Tier!$A$40:$A$48,0)), INDEX(Tier!$B$40:$B$48,MATCH(G50,Tier!$A$40:$A$48,0)))), "")</f>
        <v>46.80659</v>
      </c>
      <c r="G50" s="283">
        <f t="shared" si="4"/>
        <v>8</v>
      </c>
      <c r="H50" s="288"/>
      <c r="I50" s="392" t="str">
        <f>IFERROR(INDEX(ADP!T:T,MATCH(D50,ADP!D:D,0))-RBproj!K50,"")</f>
        <v/>
      </c>
      <c r="J50" s="127"/>
      <c r="K50" s="3">
        <v>44</v>
      </c>
      <c r="L50" s="2" t="s">
        <v>655</v>
      </c>
      <c r="M50" s="3">
        <f t="shared" si="0"/>
        <v>0</v>
      </c>
      <c r="N50" s="4">
        <f>IFERROR(INDEX(ADP!AC:AC,MATCH(D50,ADP!Y:Y,0)),0)</f>
        <v>0</v>
      </c>
      <c r="O50" t="s">
        <v>7</v>
      </c>
      <c r="R50" t="str">
        <f>IFERROR(VLOOKUP(S50,FFARawStatProjections!BB:BD,2,FALSE),"")</f>
        <v>JAC</v>
      </c>
      <c r="S50" s="4" t="str">
        <f>INDEX(FFARawStatProjections!BB:BB,MATCH(T50,FFARawStatProjections!BD:BD,0))</f>
        <v>Brenton Strange</v>
      </c>
      <c r="T50">
        <f>LARGE(FFARawStatProjections!BD:BD,K50)</f>
        <v>46.80659</v>
      </c>
      <c r="U50" s="248">
        <f t="shared" si="1"/>
        <v>-89.579589999999996</v>
      </c>
      <c r="V50" s="243">
        <f t="shared" si="2"/>
        <v>8024.5029445680993</v>
      </c>
      <c r="X50" s="243">
        <f t="shared" si="3"/>
        <v>-5.5987243749999998</v>
      </c>
      <c r="Y50" s="238">
        <f>IFERROR(
IF(ISBLANK(Beersheet!$A$1)=FALSE,
INDEX(Beersheet!$A:$U,MATCH(S50,INDEX(Beersheet!$A:$U,0,FFARawStatProjections!$BV$2),0),FFARawStatProjections!$BV$6),
IF(X50&gt;6,0,
IF(AND(X50&lt;=6,X50&gt;5),1,
IF(AND(X50&lt;=5,X50&gt;4),2,
IF(AND(X50&lt;=4,X50&gt;3),3,
IF(AND(X50&lt;=3,X50&gt;2),4,
IF(AND(X50&lt;=2,X50&gt;1),5,
IF(AND(X50&lt;=1,X50&gt;0),6,
IF(AND(X50&lt;=0,X50&gt;-1),7,
8))))))))),
10)</f>
        <v>8</v>
      </c>
    </row>
    <row r="51" spans="1:25" ht="15" customHeight="1" x14ac:dyDescent="0.25">
      <c r="A51" s="135"/>
      <c r="B51" s="142" t="s">
        <v>656</v>
      </c>
      <c r="C51" t="str">
        <f>IF(AND(IFERROR(INDEX(Instructions!$T$111:$T$222,MATCH(D51,Instructions!$T$111:$T$222,0)), "")=D51, D51&lt;&gt;""), "X", "")</f>
        <v/>
      </c>
      <c r="D51" s="138" t="s">
        <v>2107</v>
      </c>
      <c r="E51" s="100" t="s">
        <v>144</v>
      </c>
      <c r="F51" s="431">
        <f>IFERROR(IF(AND($F$5="Projected Points",Beersheet!A46&lt;&gt;"QB"), T51, IF(H51="", INDEX(Tier!$B$40:$B$48,MATCH(G51,Tier!$A$40:$A$48,0)), INDEX(Tier!$B$40:$B$48,MATCH(G51,Tier!$A$40:$A$48,0)))), "")</f>
        <v>46.676570000000005</v>
      </c>
      <c r="G51" s="250">
        <f t="shared" si="4"/>
        <v>8</v>
      </c>
      <c r="H51" s="291"/>
      <c r="I51" s="392" t="str">
        <f>IFERROR(INDEX(ADP!T:T,MATCH(D51,ADP!D:D,0))-RBproj!K51,"")</f>
        <v/>
      </c>
      <c r="J51" s="127"/>
      <c r="K51" s="3">
        <v>45</v>
      </c>
      <c r="L51" s="2" t="s">
        <v>656</v>
      </c>
      <c r="M51" s="3">
        <f t="shared" si="0"/>
        <v>0</v>
      </c>
      <c r="N51" s="4">
        <f>IFERROR(INDEX(ADP!AC:AC,MATCH(D51,ADP!Y:Y,0)),0)</f>
        <v>0</v>
      </c>
      <c r="O51" t="s">
        <v>7</v>
      </c>
      <c r="R51" t="str">
        <f>IFERROR(VLOOKUP(S51,FFARawStatProjections!BB:BD,2,FALSE),"")</f>
        <v>MIA</v>
      </c>
      <c r="S51" s="4" t="str">
        <f>INDEX(FFARawStatProjections!BB:BB,MATCH(T51,FFARawStatProjections!BD:BD,0))</f>
        <v>Durham Smythe</v>
      </c>
      <c r="T51">
        <f>LARGE(FFARawStatProjections!BD:BD,K51)</f>
        <v>46.676570000000005</v>
      </c>
      <c r="U51" s="248">
        <f t="shared" si="1"/>
        <v>-89.709609999999998</v>
      </c>
      <c r="V51" s="243">
        <f t="shared" si="2"/>
        <v>8047.8141263520993</v>
      </c>
      <c r="X51" s="243">
        <f t="shared" si="3"/>
        <v>-5.6068506249999999</v>
      </c>
      <c r="Y51" s="238">
        <f>IFERROR(
IF(ISBLANK(Beersheet!$A$1)=FALSE,
INDEX(Beersheet!$A:$U,MATCH(S51,INDEX(Beersheet!$A:$U,0,FFARawStatProjections!$BV$2),0),FFARawStatProjections!$BV$6),
IF(X51&gt;6,0,
IF(AND(X51&lt;=6,X51&gt;5),1,
IF(AND(X51&lt;=5,X51&gt;4),2,
IF(AND(X51&lt;=4,X51&gt;3),3,
IF(AND(X51&lt;=3,X51&gt;2),4,
IF(AND(X51&lt;=2,X51&gt;1),5,
IF(AND(X51&lt;=1,X51&gt;0),6,
IF(AND(X51&lt;=0,X51&gt;-1),7,
8))))))))),
10)</f>
        <v>8</v>
      </c>
    </row>
    <row r="52" spans="1:25" ht="15" customHeight="1" x14ac:dyDescent="0.25">
      <c r="A52" s="135"/>
      <c r="B52" s="143" t="s">
        <v>657</v>
      </c>
      <c r="C52" t="str">
        <f>IF(AND(IFERROR(INDEX(Instructions!$T$111:$T$222,MATCH(D52,Instructions!$T$111:$T$222,0)), "")=D52, D52&lt;&gt;""), "X", "")</f>
        <v/>
      </c>
      <c r="D52" s="137" t="s">
        <v>2525</v>
      </c>
      <c r="E52" s="99" t="s">
        <v>165</v>
      </c>
      <c r="F52" s="232">
        <f>IFERROR(IF(AND($F$5="Projected Points",Beersheet!A47&lt;&gt;"QB"), T52, IF(H52="", INDEX(Tier!$B$40:$B$48,MATCH(G52,Tier!$A$40:$A$48,0)), INDEX(Tier!$B$40:$B$48,MATCH(G52,Tier!$A$40:$A$48,0)))), "")</f>
        <v>46.006520000000002</v>
      </c>
      <c r="G52" s="283">
        <f t="shared" si="4"/>
        <v>8</v>
      </c>
      <c r="H52" s="288"/>
      <c r="I52" s="392" t="str">
        <f>IFERROR(INDEX(ADP!T:T,MATCH(D52,ADP!D:D,0))-RBproj!K52,"")</f>
        <v/>
      </c>
      <c r="J52" s="127"/>
      <c r="K52" s="3">
        <v>46</v>
      </c>
      <c r="L52" s="2" t="s">
        <v>657</v>
      </c>
      <c r="M52" s="3">
        <f t="shared" si="0"/>
        <v>0</v>
      </c>
      <c r="N52" s="4">
        <f>IFERROR(INDEX(ADP!AC:AC,MATCH(D52,ADP!Y:Y,0)),0)</f>
        <v>0</v>
      </c>
      <c r="O52" t="s">
        <v>7</v>
      </c>
      <c r="R52" t="str">
        <f>IFERROR(VLOOKUP(S52,FFARawStatProjections!BB:BD,2,FALSE),"")</f>
        <v>DET</v>
      </c>
      <c r="S52" s="4" t="str">
        <f>INDEX(FFARawStatProjections!BB:BB,MATCH(T52,FFARawStatProjections!BD:BD,0))</f>
        <v>Brock Wright</v>
      </c>
      <c r="T52">
        <f>LARGE(FFARawStatProjections!BD:BD,K52)</f>
        <v>46.006520000000002</v>
      </c>
      <c r="U52" s="248">
        <f t="shared" si="1"/>
        <v>-90.379660000000001</v>
      </c>
      <c r="V52" s="243">
        <f t="shared" si="2"/>
        <v>8168.4829417156006</v>
      </c>
      <c r="X52" s="243">
        <f t="shared" si="3"/>
        <v>-5.6487287500000001</v>
      </c>
      <c r="Y52" s="238">
        <f>IFERROR(
IF(ISBLANK(Beersheet!$A$1)=FALSE,
INDEX(Beersheet!$A:$U,MATCH(S52,INDEX(Beersheet!$A:$U,0,FFARawStatProjections!$BV$2),0),FFARawStatProjections!$BV$6),
IF(X52&gt;6,0,
IF(AND(X52&lt;=6,X52&gt;5),1,
IF(AND(X52&lt;=5,X52&gt;4),2,
IF(AND(X52&lt;=4,X52&gt;3),3,
IF(AND(X52&lt;=3,X52&gt;2),4,
IF(AND(X52&lt;=2,X52&gt;1),5,
IF(AND(X52&lt;=1,X52&gt;0),6,
IF(AND(X52&lt;=0,X52&gt;-1),7,
8))))))))),
10)</f>
        <v>8</v>
      </c>
    </row>
    <row r="53" spans="1:25" ht="15" customHeight="1" x14ac:dyDescent="0.25">
      <c r="A53" s="135"/>
      <c r="B53" s="142" t="s">
        <v>658</v>
      </c>
      <c r="C53" t="str">
        <f>IF(AND(IFERROR(INDEX(Instructions!$T$111:$T$222,MATCH(D53,Instructions!$T$111:$T$222,0)), "")=D53, D53&lt;&gt;""), "X", "")</f>
        <v/>
      </c>
      <c r="D53" s="138" t="s">
        <v>1765</v>
      </c>
      <c r="E53" s="100" t="s">
        <v>143</v>
      </c>
      <c r="F53" s="431">
        <f>IFERROR(IF(AND($F$5="Projected Points",Beersheet!A48&lt;&gt;"QB"), T53, IF(H53="", INDEX(Tier!$B$40:$B$48,MATCH(G53,Tier!$A$40:$A$48,0)), INDEX(Tier!$B$40:$B$48,MATCH(G53,Tier!$A$40:$A$48,0)))), "")</f>
        <v>45.986550000000001</v>
      </c>
      <c r="G53" s="250">
        <f t="shared" si="4"/>
        <v>8</v>
      </c>
      <c r="H53" s="291"/>
      <c r="I53" s="392" t="str">
        <f>IFERROR(INDEX(ADP!T:T,MATCH(D53,ADP!D:D,0))-RBproj!K53,"")</f>
        <v/>
      </c>
      <c r="J53" s="127"/>
      <c r="K53" s="3">
        <v>47</v>
      </c>
      <c r="L53" s="2" t="s">
        <v>658</v>
      </c>
      <c r="M53" s="3">
        <f t="shared" si="0"/>
        <v>24.1</v>
      </c>
      <c r="N53" s="4">
        <f>IFERROR(INDEX(ADP!AC:AC,MATCH(D53,ADP!Y:Y,0)),0)</f>
        <v>24.1</v>
      </c>
      <c r="O53" t="s">
        <v>7</v>
      </c>
      <c r="R53" t="str">
        <f>IFERROR(VLOOKUP(S53,FFARawStatProjections!BB:BD,2,FALSE),"")</f>
        <v>DEN</v>
      </c>
      <c r="S53" s="4" t="str">
        <f>INDEX(FFARawStatProjections!BB:BB,MATCH(T53,FFARawStatProjections!BD:BD,0))</f>
        <v>Adam Trautman</v>
      </c>
      <c r="T53">
        <f>LARGE(FFARawStatProjections!BD:BD,K53)</f>
        <v>45.986550000000001</v>
      </c>
      <c r="U53" s="248">
        <f t="shared" si="1"/>
        <v>-90.399630000000002</v>
      </c>
      <c r="V53" s="243">
        <f t="shared" si="2"/>
        <v>8172.0931041369004</v>
      </c>
      <c r="X53" s="243">
        <f t="shared" si="3"/>
        <v>-5.6499768750000001</v>
      </c>
      <c r="Y53" s="238">
        <f>IFERROR(
IF(ISBLANK(Beersheet!$A$1)=FALSE,
INDEX(Beersheet!$A:$U,MATCH(S53,INDEX(Beersheet!$A:$U,0,FFARawStatProjections!$BV$2),0),FFARawStatProjections!$BV$6),
IF(X53&gt;6,0,
IF(AND(X53&lt;=6,X53&gt;5),1,
IF(AND(X53&lt;=5,X53&gt;4),2,
IF(AND(X53&lt;=4,X53&gt;3),3,
IF(AND(X53&lt;=3,X53&gt;2),4,
IF(AND(X53&lt;=2,X53&gt;1),5,
IF(AND(X53&lt;=1,X53&gt;0),6,
IF(AND(X53&lt;=0,X53&gt;-1),7,
8))))))))),
10)</f>
        <v>8</v>
      </c>
    </row>
    <row r="54" spans="1:25" ht="15" customHeight="1" x14ac:dyDescent="0.25">
      <c r="A54" s="135"/>
      <c r="B54" s="143" t="s">
        <v>659</v>
      </c>
      <c r="C54" t="str">
        <f>IF(AND(IFERROR(INDEX(Instructions!$T$111:$T$222,MATCH(D54,Instructions!$T$111:$T$222,0)), "")=D54, D54&lt;&gt;""), "X", "")</f>
        <v/>
      </c>
      <c r="D54" s="137" t="s">
        <v>2243</v>
      </c>
      <c r="E54" s="99" t="s">
        <v>166</v>
      </c>
      <c r="F54" s="232">
        <f>IFERROR(IF(AND($F$5="Projected Points",Beersheet!A49&lt;&gt;"QB"), T54, IF(H54="", INDEX(Tier!$B$40:$B$48,MATCH(G54,Tier!$A$40:$A$48,0)), INDEX(Tier!$B$40:$B$48,MATCH(G54,Tier!$A$40:$A$48,0)))), "")</f>
        <v>45.6066</v>
      </c>
      <c r="G54" s="283">
        <f t="shared" si="4"/>
        <v>8</v>
      </c>
      <c r="H54" s="288"/>
      <c r="I54" s="392" t="str">
        <f>IFERROR(INDEX(ADP!T:T,MATCH(D54,ADP!D:D,0))-RBproj!K54,"")</f>
        <v/>
      </c>
      <c r="J54" s="127"/>
      <c r="K54" s="3">
        <v>48</v>
      </c>
      <c r="L54" s="2" t="s">
        <v>659</v>
      </c>
      <c r="M54" s="3">
        <f t="shared" si="0"/>
        <v>0</v>
      </c>
      <c r="N54" s="4">
        <f>IFERROR(INDEX(ADP!AC:AC,MATCH(D54,ADP!Y:Y,0)),0)</f>
        <v>0</v>
      </c>
      <c r="O54" t="s">
        <v>7</v>
      </c>
      <c r="R54" t="str">
        <f>IFERROR(VLOOKUP(S54,FFARawStatProjections!BB:BD,2,FALSE),"")</f>
        <v>GB</v>
      </c>
      <c r="S54" s="4" t="str">
        <f>INDEX(FFARawStatProjections!BB:BB,MATCH(T54,FFARawStatProjections!BD:BD,0))</f>
        <v>Josiah Deguara</v>
      </c>
      <c r="T54">
        <f>LARGE(FFARawStatProjections!BD:BD,K54)</f>
        <v>45.6066</v>
      </c>
      <c r="U54" s="248">
        <f t="shared" si="1"/>
        <v>-90.779579999999996</v>
      </c>
      <c r="V54" s="243">
        <f t="shared" si="2"/>
        <v>8240.9321449763993</v>
      </c>
      <c r="X54" s="243">
        <f t="shared" si="3"/>
        <v>-5.6737237499999997</v>
      </c>
      <c r="Y54" s="238">
        <f>IFERROR(
IF(ISBLANK(Beersheet!$A$1)=FALSE,
INDEX(Beersheet!$A:$U,MATCH(S54,INDEX(Beersheet!$A:$U,0,FFARawStatProjections!$BV$2),0),FFARawStatProjections!$BV$6),
IF(X54&gt;6,0,
IF(AND(X54&lt;=6,X54&gt;5),1,
IF(AND(X54&lt;=5,X54&gt;4),2,
IF(AND(X54&lt;=4,X54&gt;3),3,
IF(AND(X54&lt;=3,X54&gt;2),4,
IF(AND(X54&lt;=2,X54&gt;1),5,
IF(AND(X54&lt;=1,X54&gt;0),6,
IF(AND(X54&lt;=0,X54&gt;-1),7,
8))))))))),
10)</f>
        <v>8</v>
      </c>
    </row>
    <row r="55" spans="1:25" ht="15" customHeight="1" x14ac:dyDescent="0.25">
      <c r="A55" s="135"/>
      <c r="B55" s="142" t="s">
        <v>660</v>
      </c>
      <c r="C55" t="str">
        <f>IF(AND(IFERROR(INDEX(Instructions!$T$111:$T$222,MATCH(D55,Instructions!$T$111:$T$222,0)), "")=D55, D55&lt;&gt;""), "X", "")</f>
        <v/>
      </c>
      <c r="D55" s="138" t="s">
        <v>1880</v>
      </c>
      <c r="E55" s="100" t="s">
        <v>164</v>
      </c>
      <c r="F55" s="431">
        <f>IFERROR(IF(AND($F$5="Projected Points",Beersheet!A50&lt;&gt;"QB"), T55, IF(H55="", INDEX(Tier!$B$40:$B$48,MATCH(G55,Tier!$A$40:$A$48,0)), INDEX(Tier!$B$40:$B$48,MATCH(G55,Tier!$A$40:$A$48,0)))), "")</f>
        <v>45.416539999999998</v>
      </c>
      <c r="G55" s="250">
        <f t="shared" si="4"/>
        <v>8</v>
      </c>
      <c r="H55" s="291"/>
      <c r="I55" s="392" t="str">
        <f>IFERROR(INDEX(ADP!T:T,MATCH(D55,ADP!D:D,0))-RBproj!K55,"")</f>
        <v/>
      </c>
      <c r="J55" s="127"/>
      <c r="K55" s="3">
        <v>49</v>
      </c>
      <c r="L55" s="2" t="s">
        <v>660</v>
      </c>
      <c r="M55" s="3">
        <f t="shared" si="0"/>
        <v>0</v>
      </c>
      <c r="N55" s="4">
        <f>IFERROR(INDEX(ADP!AC:AC,MATCH(D55,ADP!Y:Y,0)),0)</f>
        <v>0</v>
      </c>
      <c r="O55" t="s">
        <v>7</v>
      </c>
      <c r="R55" t="str">
        <f>IFERROR(VLOOKUP(S55,FFARawStatProjections!BB:BD,2,FALSE),"")</f>
        <v>NYJ</v>
      </c>
      <c r="S55" s="4" t="str">
        <f>INDEX(FFARawStatProjections!BB:BB,MATCH(T55,FFARawStatProjections!BD:BD,0))</f>
        <v>CJ Uzomah</v>
      </c>
      <c r="T55">
        <f>LARGE(FFARawStatProjections!BD:BD,K55)</f>
        <v>45.416539999999998</v>
      </c>
      <c r="U55" s="248">
        <f t="shared" si="1"/>
        <v>-90.969639999999998</v>
      </c>
      <c r="V55" s="243">
        <f t="shared" si="2"/>
        <v>8275.4754017296</v>
      </c>
      <c r="X55" s="243">
        <f t="shared" si="3"/>
        <v>-5.6856024999999999</v>
      </c>
      <c r="Y55" s="238">
        <f>IFERROR(
IF(ISBLANK(Beersheet!$A$1)=FALSE,
INDEX(Beersheet!$A:$U,MATCH(S55,INDEX(Beersheet!$A:$U,0,FFARawStatProjections!$BV$2),0),FFARawStatProjections!$BV$6),
IF(X55&gt;6,0,
IF(AND(X55&lt;=6,X55&gt;5),1,
IF(AND(X55&lt;=5,X55&gt;4),2,
IF(AND(X55&lt;=4,X55&gt;3),3,
IF(AND(X55&lt;=3,X55&gt;2),4,
IF(AND(X55&lt;=2,X55&gt;1),5,
IF(AND(X55&lt;=1,X55&gt;0),6,
IF(AND(X55&lt;=0,X55&gt;-1),7,
8))))))))),
10)</f>
        <v>8</v>
      </c>
    </row>
    <row r="56" spans="1:25" ht="15" customHeight="1" x14ac:dyDescent="0.25">
      <c r="A56" s="135"/>
      <c r="B56" s="143" t="s">
        <v>661</v>
      </c>
      <c r="C56" t="str">
        <f>IF(AND(IFERROR(INDEX(Instructions!$T$111:$T$222,MATCH(D56,Instructions!$T$111:$T$222,0)), "")=D56, D56&lt;&gt;""), "X", "")</f>
        <v/>
      </c>
      <c r="D56" s="137" t="s">
        <v>2257</v>
      </c>
      <c r="E56" s="99" t="s">
        <v>158</v>
      </c>
      <c r="F56" s="232">
        <f>IFERROR(IF(AND($F$5="Projected Points",Beersheet!A51&lt;&gt;"QB"), T56, IF(H56="", INDEX(Tier!$B$40:$B$48,MATCH(G56,Tier!$A$40:$A$48,0)), INDEX(Tier!$B$40:$B$48,MATCH(G56,Tier!$A$40:$A$48,0)))), "")</f>
        <v>45.016560000000005</v>
      </c>
      <c r="G56" s="283">
        <f t="shared" si="4"/>
        <v>8</v>
      </c>
      <c r="H56" s="288"/>
      <c r="I56" s="392" t="str">
        <f>IFERROR(INDEX(ADP!T:T,MATCH(D56,ADP!D:D,0))-RBproj!K56,"")</f>
        <v/>
      </c>
      <c r="J56" s="127"/>
      <c r="K56" s="3">
        <v>50</v>
      </c>
      <c r="L56" s="2" t="s">
        <v>661</v>
      </c>
      <c r="M56" s="3">
        <f t="shared" si="0"/>
        <v>0</v>
      </c>
      <c r="N56" s="4">
        <f>IFERROR(INDEX(ADP!AC:AC,MATCH(D56,ADP!Y:Y,0)),0)</f>
        <v>0</v>
      </c>
      <c r="O56" t="s">
        <v>7</v>
      </c>
      <c r="R56" t="str">
        <f>IFERROR(VLOOKUP(S56,FFARawStatProjections!BB:BD,2,FALSE),"")</f>
        <v>IND</v>
      </c>
      <c r="S56" s="4" t="str">
        <f>INDEX(FFARawStatProjections!BB:BB,MATCH(T56,FFARawStatProjections!BD:BD,0))</f>
        <v>Kylen Granson</v>
      </c>
      <c r="T56">
        <f>LARGE(FFARawStatProjections!BD:BD,K56)</f>
        <v>45.016560000000005</v>
      </c>
      <c r="U56" s="248">
        <f t="shared" si="1"/>
        <v>-91.369619999999998</v>
      </c>
      <c r="V56" s="243">
        <f t="shared" si="2"/>
        <v>8348.407458944399</v>
      </c>
      <c r="X56" s="243">
        <f t="shared" si="3"/>
        <v>-5.7106012499999999</v>
      </c>
      <c r="Y56" s="238">
        <f>IFERROR(
IF(ISBLANK(Beersheet!$A$1)=FALSE,
INDEX(Beersheet!$A:$U,MATCH(S56,INDEX(Beersheet!$A:$U,0,FFARawStatProjections!$BV$2),0),FFARawStatProjections!$BV$6),
IF(X56&gt;6,0,
IF(AND(X56&lt;=6,X56&gt;5),1,
IF(AND(X56&lt;=5,X56&gt;4),2,
IF(AND(X56&lt;=4,X56&gt;3),3,
IF(AND(X56&lt;=3,X56&gt;2),4,
IF(AND(X56&lt;=2,X56&gt;1),5,
IF(AND(X56&lt;=1,X56&gt;0),6,
IF(AND(X56&lt;=0,X56&gt;-1),7,
8))))))))),
10)</f>
        <v>8</v>
      </c>
    </row>
    <row r="57" spans="1:25" ht="15" customHeight="1" x14ac:dyDescent="0.25">
      <c r="A57" s="135"/>
      <c r="B57" s="142" t="s">
        <v>662</v>
      </c>
      <c r="C57" t="str">
        <f>IF(AND(IFERROR(INDEX(Instructions!$T$111:$T$222,MATCH(D57,Instructions!$T$111:$T$222,0)), "")=D57, D57&lt;&gt;""), "X", "")</f>
        <v/>
      </c>
      <c r="D57" s="138" t="s">
        <v>2145</v>
      </c>
      <c r="E57" s="100" t="s">
        <v>139</v>
      </c>
      <c r="F57" s="431">
        <f>IFERROR(IF(AND($F$5="Projected Points",Beersheet!A52&lt;&gt;"QB"), T57, IF(H57="", INDEX(Tier!$B$40:$B$48,MATCH(G57,Tier!$A$40:$A$48,0)), INDEX(Tier!$B$40:$B$48,MATCH(G57,Tier!$A$40:$A$48,0)))), "")</f>
        <v>43.736350000000002</v>
      </c>
      <c r="G57" s="250">
        <f t="shared" si="4"/>
        <v>8</v>
      </c>
      <c r="H57" s="291"/>
      <c r="I57" s="392" t="str">
        <f>IFERROR(INDEX(ADP!T:T,MATCH(D57,ADP!D:D,0))-RBproj!K57,"")</f>
        <v/>
      </c>
      <c r="J57" s="127"/>
      <c r="K57" s="3">
        <v>51</v>
      </c>
      <c r="L57" s="2" t="s">
        <v>662</v>
      </c>
      <c r="M57" s="3">
        <f t="shared" si="0"/>
        <v>0</v>
      </c>
      <c r="N57" s="4">
        <f>IFERROR(INDEX(ADP!AC:AC,MATCH(D57,ADP!Y:Y,0)),0)</f>
        <v>0</v>
      </c>
      <c r="O57" t="s">
        <v>7</v>
      </c>
      <c r="R57" t="str">
        <f>IFERROR(VLOOKUP(S57,FFARawStatProjections!BB:BD,2,FALSE),"")</f>
        <v>NO</v>
      </c>
      <c r="S57" s="4" t="str">
        <f>INDEX(FFARawStatProjections!BB:BB,MATCH(T57,FFARawStatProjections!BD:BD,0))</f>
        <v>Taysom Hill</v>
      </c>
      <c r="T57">
        <f>LARGE(FFARawStatProjections!BD:BD,K57)</f>
        <v>43.736350000000002</v>
      </c>
      <c r="U57" s="248">
        <f t="shared" si="1"/>
        <v>-92.649829999999994</v>
      </c>
      <c r="V57" s="243">
        <f t="shared" si="2"/>
        <v>8583.9909990288998</v>
      </c>
      <c r="X57" s="243">
        <f t="shared" si="3"/>
        <v>-5.7906143749999996</v>
      </c>
      <c r="Y57" s="238">
        <f>IFERROR(
IF(ISBLANK(Beersheet!$A$1)=FALSE,
INDEX(Beersheet!$A:$U,MATCH(S57,INDEX(Beersheet!$A:$U,0,FFARawStatProjections!$BV$2),0),FFARawStatProjections!$BV$6),
IF(X57&gt;6,0,
IF(AND(X57&lt;=6,X57&gt;5),1,
IF(AND(X57&lt;=5,X57&gt;4),2,
IF(AND(X57&lt;=4,X57&gt;3),3,
IF(AND(X57&lt;=3,X57&gt;2),4,
IF(AND(X57&lt;=2,X57&gt;1),5,
IF(AND(X57&lt;=1,X57&gt;0),6,
IF(AND(X57&lt;=0,X57&gt;-1),7,
8))))))))),
10)</f>
        <v>8</v>
      </c>
    </row>
    <row r="58" spans="1:25" ht="15" customHeight="1" x14ac:dyDescent="0.25">
      <c r="A58" s="135"/>
      <c r="B58" s="143" t="s">
        <v>663</v>
      </c>
      <c r="C58" t="str">
        <f>IF(AND(IFERROR(INDEX(Instructions!$T$111:$T$222,MATCH(D58,Instructions!$T$111:$T$222,0)), "")=D58, D58&lt;&gt;""), "X", "")</f>
        <v/>
      </c>
      <c r="D58" s="137" t="s">
        <v>1815</v>
      </c>
      <c r="E58" s="99" t="s">
        <v>161</v>
      </c>
      <c r="F58" s="232">
        <f>IFERROR(IF(AND($F$5="Projected Points",Beersheet!A53&lt;&gt;"QB"), T58, IF(H58="", INDEX(Tier!$B$40:$B$48,MATCH(G58,Tier!$A$40:$A$48,0)), INDEX(Tier!$B$40:$B$48,MATCH(G58,Tier!$A$40:$A$48,0)))), "")</f>
        <v>42.636580000000009</v>
      </c>
      <c r="G58" s="283">
        <f t="shared" si="4"/>
        <v>8</v>
      </c>
      <c r="H58" s="288"/>
      <c r="I58" s="392" t="str">
        <f>IFERROR(INDEX(ADP!T:T,MATCH(D58,ADP!D:D,0))-RBproj!K58,"")</f>
        <v/>
      </c>
      <c r="J58" s="127"/>
      <c r="K58" s="3">
        <v>52</v>
      </c>
      <c r="L58" s="2" t="s">
        <v>663</v>
      </c>
      <c r="M58" s="3">
        <f t="shared" si="0"/>
        <v>0</v>
      </c>
      <c r="N58" s="4">
        <f>IFERROR(INDEX(ADP!AC:AC,MATCH(D58,ADP!Y:Y,0)),0)</f>
        <v>0</v>
      </c>
      <c r="O58" t="s">
        <v>7</v>
      </c>
      <c r="R58" t="str">
        <f>IFERROR(VLOOKUP(S58,FFARawStatProjections!BB:BD,2,FALSE),"")</f>
        <v>CLE</v>
      </c>
      <c r="S58" s="4" t="str">
        <f>INDEX(FFARawStatProjections!BB:BB,MATCH(T58,FFARawStatProjections!BD:BD,0))</f>
        <v>Jordan Akins</v>
      </c>
      <c r="T58">
        <f>LARGE(FFARawStatProjections!BD:BD,K58)</f>
        <v>42.636580000000009</v>
      </c>
      <c r="U58" s="248">
        <f t="shared" si="1"/>
        <v>-93.749599999999987</v>
      </c>
      <c r="V58" s="243">
        <f t="shared" si="2"/>
        <v>8788.9875001599976</v>
      </c>
      <c r="X58" s="243">
        <f t="shared" si="3"/>
        <v>-5.8593499999999992</v>
      </c>
      <c r="Y58" s="238">
        <f>IFERROR(
IF(ISBLANK(Beersheet!$A$1)=FALSE,
INDEX(Beersheet!$A:$U,MATCH(S58,INDEX(Beersheet!$A:$U,0,FFARawStatProjections!$BV$2),0),FFARawStatProjections!$BV$6),
IF(X58&gt;6,0,
IF(AND(X58&lt;=6,X58&gt;5),1,
IF(AND(X58&lt;=5,X58&gt;4),2,
IF(AND(X58&lt;=4,X58&gt;3),3,
IF(AND(X58&lt;=3,X58&gt;2),4,
IF(AND(X58&lt;=2,X58&gt;1),5,
IF(AND(X58&lt;=1,X58&gt;0),6,
IF(AND(X58&lt;=0,X58&gt;-1),7,
8))))))))),
10)</f>
        <v>8</v>
      </c>
    </row>
    <row r="59" spans="1:25" ht="15" customHeight="1" x14ac:dyDescent="0.25">
      <c r="A59" s="135"/>
      <c r="B59" s="142" t="s">
        <v>664</v>
      </c>
      <c r="C59" t="str">
        <f>IF(AND(IFERROR(INDEX(Instructions!$T$111:$T$222,MATCH(D59,Instructions!$T$111:$T$222,0)), "")=D59, D59&lt;&gt;""), "X", "")</f>
        <v/>
      </c>
      <c r="D59" s="138" t="s">
        <v>2125</v>
      </c>
      <c r="E59" s="100" t="s">
        <v>161</v>
      </c>
      <c r="F59" s="431">
        <f>IFERROR(IF(AND($F$5="Projected Points",Beersheet!A54&lt;&gt;"QB"), T59, IF(H59="", INDEX(Tier!$B$40:$B$48,MATCH(G59,Tier!$A$40:$A$48,0)), INDEX(Tier!$B$40:$B$48,MATCH(G59,Tier!$A$40:$A$48,0)))), "")</f>
        <v>42.226610000000001</v>
      </c>
      <c r="G59" s="250">
        <f t="shared" si="4"/>
        <v>8</v>
      </c>
      <c r="H59" s="291"/>
      <c r="I59" s="392" t="str">
        <f>IFERROR(INDEX(ADP!T:T,MATCH(D59,ADP!D:D,0))-RBproj!K59,"")</f>
        <v/>
      </c>
      <c r="J59" s="127"/>
      <c r="K59" s="3">
        <v>53</v>
      </c>
      <c r="L59" s="2" t="s">
        <v>664</v>
      </c>
      <c r="M59" s="3">
        <f t="shared" si="0"/>
        <v>0</v>
      </c>
      <c r="N59" s="4">
        <f>IFERROR(INDEX(ADP!AC:AC,MATCH(D59,ADP!Y:Y,0)),0)</f>
        <v>0</v>
      </c>
      <c r="O59" t="s">
        <v>7</v>
      </c>
      <c r="R59" t="str">
        <f>IFERROR(VLOOKUP(S59,FFARawStatProjections!BB:BD,2,FALSE),"")</f>
        <v>CLE</v>
      </c>
      <c r="S59" s="4" t="str">
        <f>INDEX(FFARawStatProjections!BB:BB,MATCH(T59,FFARawStatProjections!BD:BD,0))</f>
        <v>Harrison Bryant</v>
      </c>
      <c r="T59">
        <f>LARGE(FFARawStatProjections!BD:BD,K59)</f>
        <v>42.226610000000001</v>
      </c>
      <c r="U59" s="248">
        <f t="shared" si="1"/>
        <v>-94.159570000000002</v>
      </c>
      <c r="V59" s="243">
        <f t="shared" si="2"/>
        <v>8866.0246225849005</v>
      </c>
      <c r="X59" s="243">
        <f t="shared" si="3"/>
        <v>-5.8849731250000001</v>
      </c>
      <c r="Y59" s="238">
        <f>IFERROR(
IF(ISBLANK(Beersheet!$A$1)=FALSE,
INDEX(Beersheet!$A:$U,MATCH(S59,INDEX(Beersheet!$A:$U,0,FFARawStatProjections!$BV$2),0),FFARawStatProjections!$BV$6),
IF(X59&gt;6,0,
IF(AND(X59&lt;=6,X59&gt;5),1,
IF(AND(X59&lt;=5,X59&gt;4),2,
IF(AND(X59&lt;=4,X59&gt;3),3,
IF(AND(X59&lt;=3,X59&gt;2),4,
IF(AND(X59&lt;=2,X59&gt;1),5,
IF(AND(X59&lt;=1,X59&gt;0),6,
IF(AND(X59&lt;=0,X59&gt;-1),7,
8))))))))),
10)</f>
        <v>8</v>
      </c>
    </row>
    <row r="60" spans="1:25" ht="15" customHeight="1" x14ac:dyDescent="0.25">
      <c r="A60" s="135"/>
      <c r="B60" s="143" t="s">
        <v>665</v>
      </c>
      <c r="C60" t="str">
        <f>IF(AND(IFERROR(INDEX(Instructions!$T$111:$T$222,MATCH(D60,Instructions!$T$111:$T$222,0)), "")=D60, D60&lt;&gt;""), "X", "")</f>
        <v/>
      </c>
      <c r="D60" s="137" t="s">
        <v>8</v>
      </c>
      <c r="E60" s="99" t="s">
        <v>143</v>
      </c>
      <c r="F60" s="232">
        <f>IFERROR(IF(AND($F$5="Projected Points",Beersheet!A55&lt;&gt;"QB"), T60, IF(H60="", INDEX(Tier!$B$40:$B$48,MATCH(G60,Tier!$A$40:$A$48,0)), INDEX(Tier!$B$40:$B$48,MATCH(G60,Tier!$A$40:$A$48,0)))), "")</f>
        <v>38.966630000000002</v>
      </c>
      <c r="G60" s="283">
        <f t="shared" si="4"/>
        <v>8</v>
      </c>
      <c r="H60" s="288"/>
      <c r="I60" s="392" t="str">
        <f>IFERROR(INDEX(ADP!T:T,MATCH(D60,ADP!D:D,0))-RBproj!K60,"")</f>
        <v/>
      </c>
      <c r="J60" s="127"/>
      <c r="K60" s="3">
        <v>54</v>
      </c>
      <c r="L60" s="2" t="s">
        <v>665</v>
      </c>
      <c r="M60" s="3">
        <f t="shared" si="0"/>
        <v>0</v>
      </c>
      <c r="N60" s="4">
        <f>IFERROR(INDEX(ADP!AC:AC,MATCH(D60,ADP!Y:Y,0)),0)</f>
        <v>0</v>
      </c>
      <c r="O60" t="s">
        <v>7</v>
      </c>
      <c r="R60" t="str">
        <f>IFERROR(VLOOKUP(S60,FFARawStatProjections!BB:BD,2,FALSE),"")</f>
        <v>NO</v>
      </c>
      <c r="S60" s="4" t="str">
        <f>INDEX(FFARawStatProjections!BB:BB,MATCH(T60,FFARawStatProjections!BD:BD,0))</f>
        <v>Jimmy Graham</v>
      </c>
      <c r="T60">
        <f>LARGE(FFARawStatProjections!BD:BD,K60)</f>
        <v>38.966630000000002</v>
      </c>
      <c r="U60" s="248">
        <f t="shared" si="1"/>
        <v>-97.419549999999987</v>
      </c>
      <c r="V60" s="243">
        <f t="shared" si="2"/>
        <v>9490.5687222024972</v>
      </c>
      <c r="X60" s="243">
        <f t="shared" si="3"/>
        <v>-6.0887218749999992</v>
      </c>
      <c r="Y60" s="238">
        <f>IFERROR(
IF(ISBLANK(Beersheet!$A$1)=FALSE,
INDEX(Beersheet!$A:$U,MATCH(S60,INDEX(Beersheet!$A:$U,0,FFARawStatProjections!$BV$2),0),FFARawStatProjections!$BV$6),
IF(X60&gt;6,0,
IF(AND(X60&lt;=6,X60&gt;5),1,
IF(AND(X60&lt;=5,X60&gt;4),2,
IF(AND(X60&lt;=4,X60&gt;3),3,
IF(AND(X60&lt;=3,X60&gt;2),4,
IF(AND(X60&lt;=2,X60&gt;1),5,
IF(AND(X60&lt;=1,X60&gt;0),6,
IF(AND(X60&lt;=0,X60&gt;-1),7,
8))))))))),
10)</f>
        <v>8</v>
      </c>
    </row>
    <row r="61" spans="1:25" ht="15" customHeight="1" x14ac:dyDescent="0.25">
      <c r="A61" s="135"/>
      <c r="B61" s="142" t="s">
        <v>666</v>
      </c>
      <c r="C61" t="str">
        <f>IF(AND(IFERROR(INDEX(Instructions!$T$111:$T$222,MATCH(D61,Instructions!$T$111:$T$222,0)), "")=D61, D61&lt;&gt;""), "X", "")</f>
        <v/>
      </c>
      <c r="D61" s="138" t="s">
        <v>1611</v>
      </c>
      <c r="E61" s="100" t="s">
        <v>158</v>
      </c>
      <c r="F61" s="431">
        <f>IFERROR(IF(AND($F$5="Projected Points",Beersheet!A56&lt;&gt;"QB"), T61, IF(H61="", INDEX(Tier!$B$40:$B$48,MATCH(G61,Tier!$A$40:$A$48,0)), INDEX(Tier!$B$40:$B$48,MATCH(G61,Tier!$A$40:$A$48,0)))), "")</f>
        <v>38.416649999999997</v>
      </c>
      <c r="G61" s="250">
        <f t="shared" si="4"/>
        <v>8</v>
      </c>
      <c r="H61" s="291"/>
      <c r="I61" s="392" t="str">
        <f>IFERROR(INDEX(ADP!T:T,MATCH(D61,ADP!D:D,0))-RBproj!K61,"")</f>
        <v/>
      </c>
      <c r="J61" s="127"/>
      <c r="K61" s="3">
        <v>55</v>
      </c>
      <c r="L61" s="2" t="s">
        <v>666</v>
      </c>
      <c r="M61" s="3">
        <f t="shared" si="0"/>
        <v>0</v>
      </c>
      <c r="N61" s="4">
        <f>IFERROR(INDEX(ADP!AC:AC,MATCH(D61,ADP!Y:Y,0)),0)</f>
        <v>0</v>
      </c>
      <c r="O61" t="s">
        <v>7</v>
      </c>
      <c r="R61" t="str">
        <f>IFERROR(VLOOKUP(S61,FFARawStatProjections!BB:BD,2,FALSE),"")</f>
        <v>MIN</v>
      </c>
      <c r="S61" s="4" t="str">
        <f>INDEX(FFARawStatProjections!BB:BB,MATCH(T61,FFARawStatProjections!BD:BD,0))</f>
        <v>Josh Oliver</v>
      </c>
      <c r="T61">
        <f>LARGE(FFARawStatProjections!BD:BD,K61)</f>
        <v>38.416649999999997</v>
      </c>
      <c r="U61" s="248">
        <f t="shared" si="1"/>
        <v>-97.969529999999992</v>
      </c>
      <c r="V61" s="243">
        <f t="shared" si="2"/>
        <v>9598.0288084208987</v>
      </c>
      <c r="X61" s="243">
        <f t="shared" si="3"/>
        <v>-6.1230956249999995</v>
      </c>
      <c r="Y61" s="238">
        <f>IFERROR(
IF(ISBLANK(Beersheet!$A$1)=FALSE,
INDEX(Beersheet!$A:$U,MATCH(S61,INDEX(Beersheet!$A:$U,0,FFARawStatProjections!$BV$2),0),FFARawStatProjections!$BV$6),
IF(X61&gt;6,0,
IF(AND(X61&lt;=6,X61&gt;5),1,
IF(AND(X61&lt;=5,X61&gt;4),2,
IF(AND(X61&lt;=4,X61&gt;3),3,
IF(AND(X61&lt;=3,X61&gt;2),4,
IF(AND(X61&lt;=2,X61&gt;1),5,
IF(AND(X61&lt;=1,X61&gt;0),6,
IF(AND(X61&lt;=0,X61&gt;-1),7,
8))))))))),
10)</f>
        <v>8</v>
      </c>
    </row>
    <row r="62" spans="1:25" ht="15" customHeight="1" x14ac:dyDescent="0.25">
      <c r="A62" s="135"/>
      <c r="B62" s="143" t="s">
        <v>667</v>
      </c>
      <c r="C62" t="str">
        <f>IF(AND(IFERROR(INDEX(Instructions!$T$111:$T$222,MATCH(D62,Instructions!$T$111:$T$222,0)), "")=D62, D62&lt;&gt;""), "X", "")</f>
        <v/>
      </c>
      <c r="D62" s="137" t="s">
        <v>2252</v>
      </c>
      <c r="E62" s="99" t="s">
        <v>159</v>
      </c>
      <c r="F62" s="232">
        <f>IFERROR(IF(AND($F$5="Projected Points",Beersheet!A57&lt;&gt;"QB"), T62, IF(H62="", INDEX(Tier!$B$40:$B$48,MATCH(G62,Tier!$A$40:$A$48,0)), INDEX(Tier!$B$40:$B$48,MATCH(G62,Tier!$A$40:$A$48,0)))), "")</f>
        <v>38.356659999999991</v>
      </c>
      <c r="G62" s="283">
        <f t="shared" si="4"/>
        <v>8</v>
      </c>
      <c r="H62" s="288"/>
      <c r="I62" s="392" t="str">
        <f>IFERROR(INDEX(ADP!T:T,MATCH(D62,ADP!D:D,0))-RBproj!K62,"")</f>
        <v/>
      </c>
      <c r="J62" s="127"/>
      <c r="K62" s="3">
        <v>56</v>
      </c>
      <c r="L62" s="2" t="s">
        <v>667</v>
      </c>
      <c r="M62" s="3">
        <f t="shared" si="0"/>
        <v>0</v>
      </c>
      <c r="N62" s="4">
        <f>IFERROR(INDEX(ADP!AC:AC,MATCH(D62,ADP!Y:Y,0)),0)</f>
        <v>0</v>
      </c>
      <c r="O62" t="s">
        <v>7</v>
      </c>
      <c r="R62" t="str">
        <f>IFERROR(VLOOKUP(S62,FFARawStatProjections!BB:BD,2,FALSE),"")</f>
        <v>CAR</v>
      </c>
      <c r="S62" s="4" t="str">
        <f>INDEX(FFARawStatProjections!BB:BB,MATCH(T62,FFARawStatProjections!BD:BD,0))</f>
        <v>Tommy Tremble</v>
      </c>
      <c r="T62">
        <f>LARGE(FFARawStatProjections!BD:BD,K62)</f>
        <v>38.356659999999991</v>
      </c>
      <c r="U62" s="248">
        <f t="shared" si="1"/>
        <v>-98.029520000000005</v>
      </c>
      <c r="V62" s="243">
        <f t="shared" si="2"/>
        <v>9609.7867914304006</v>
      </c>
      <c r="X62" s="243">
        <f t="shared" si="3"/>
        <v>-6.1268450000000003</v>
      </c>
      <c r="Y62" s="238">
        <f>IFERROR(
IF(ISBLANK(Beersheet!$A$1)=FALSE,
INDEX(Beersheet!$A:$U,MATCH(S62,INDEX(Beersheet!$A:$U,0,FFARawStatProjections!$BV$2),0),FFARawStatProjections!$BV$6),
IF(X62&gt;6,0,
IF(AND(X62&lt;=6,X62&gt;5),1,
IF(AND(X62&lt;=5,X62&gt;4),2,
IF(AND(X62&lt;=4,X62&gt;3),3,
IF(AND(X62&lt;=3,X62&gt;2),4,
IF(AND(X62&lt;=2,X62&gt;1),5,
IF(AND(X62&lt;=1,X62&gt;0),6,
IF(AND(X62&lt;=0,X62&gt;-1),7,
8))))))))),
10)</f>
        <v>8</v>
      </c>
    </row>
    <row r="63" spans="1:25" ht="15" customHeight="1" x14ac:dyDescent="0.25">
      <c r="A63" s="135"/>
      <c r="B63" s="142" t="s">
        <v>668</v>
      </c>
      <c r="C63" t="str">
        <f>IF(AND(IFERROR(INDEX(Instructions!$T$111:$T$222,MATCH(D63,Instructions!$T$111:$T$222,0)), "")=D63, D63&lt;&gt;""), "X", "")</f>
        <v/>
      </c>
      <c r="D63" s="138" t="s">
        <v>2256</v>
      </c>
      <c r="E63" s="100" t="s">
        <v>138</v>
      </c>
      <c r="F63" s="431">
        <f>IFERROR(IF(AND($F$5="Projected Points",Beersheet!A58&lt;&gt;"QB"), T63, IF(H63="", INDEX(Tier!$B$40:$B$48,MATCH(G63,Tier!$A$40:$A$48,0)), INDEX(Tier!$B$40:$B$48,MATCH(G63,Tier!$A$40:$A$48,0)))), "")</f>
        <v>38.326689999999999</v>
      </c>
      <c r="G63" s="250">
        <f t="shared" si="4"/>
        <v>8</v>
      </c>
      <c r="H63" s="291"/>
      <c r="I63" s="392" t="str">
        <f>IFERROR(INDEX(ADP!T:T,MATCH(D63,ADP!D:D,0))-RBproj!K63,"")</f>
        <v/>
      </c>
      <c r="J63" s="127"/>
      <c r="K63" s="3">
        <v>57</v>
      </c>
      <c r="L63" s="2" t="s">
        <v>668</v>
      </c>
      <c r="M63" s="3">
        <f t="shared" si="0"/>
        <v>0</v>
      </c>
      <c r="N63" s="4">
        <f>IFERROR(INDEX(ADP!AC:AC,MATCH(D63,ADP!Y:Y,0)),0)</f>
        <v>0</v>
      </c>
      <c r="O63" t="s">
        <v>7</v>
      </c>
      <c r="R63" t="str">
        <f>IFERROR(VLOOKUP(S63,FFARawStatProjections!BB:BD,2,FALSE),"")</f>
        <v>CAR</v>
      </c>
      <c r="S63" s="4" t="str">
        <f>INDEX(FFARawStatProjections!BB:BB,MATCH(T63,FFARawStatProjections!BD:BD,0))</f>
        <v>Ian Thomas</v>
      </c>
      <c r="T63">
        <f>LARGE(FFARawStatProjections!BD:BD,K63)</f>
        <v>38.326689999999999</v>
      </c>
      <c r="U63" s="248">
        <f t="shared" si="1"/>
        <v>-98.059489999999997</v>
      </c>
      <c r="V63" s="243">
        <f t="shared" si="2"/>
        <v>9615.6635790600994</v>
      </c>
      <c r="X63" s="243">
        <f t="shared" si="3"/>
        <v>-6.1287181249999998</v>
      </c>
      <c r="Y63" s="238">
        <f>IFERROR(
IF(ISBLANK(Beersheet!$A$1)=FALSE,
INDEX(Beersheet!$A:$U,MATCH(S63,INDEX(Beersheet!$A:$U,0,FFARawStatProjections!$BV$2),0),FFARawStatProjections!$BV$6),
IF(X63&gt;6,0,
IF(AND(X63&lt;=6,X63&gt;5),1,
IF(AND(X63&lt;=5,X63&gt;4),2,
IF(AND(X63&lt;=4,X63&gt;3),3,
IF(AND(X63&lt;=3,X63&gt;2),4,
IF(AND(X63&lt;=2,X63&gt;1),5,
IF(AND(X63&lt;=1,X63&gt;0),6,
IF(AND(X63&lt;=0,X63&gt;-1),7,
8))))))))),
10)</f>
        <v>8</v>
      </c>
    </row>
    <row r="64" spans="1:25" ht="15" customHeight="1" x14ac:dyDescent="0.25">
      <c r="A64" s="135"/>
      <c r="B64" s="143" t="s">
        <v>669</v>
      </c>
      <c r="C64" t="str">
        <f>IF(AND(IFERROR(INDEX(Instructions!$T$111:$T$222,MATCH(D64,Instructions!$T$111:$T$222,0)), "")=D64, D64&lt;&gt;""), "X", "")</f>
        <v/>
      </c>
      <c r="D64" s="137" t="s">
        <v>2398</v>
      </c>
      <c r="E64" s="99" t="s">
        <v>139</v>
      </c>
      <c r="F64" s="232">
        <f>IFERROR(IF(AND($F$5="Projected Points",Beersheet!A59&lt;&gt;"QB"), T64, IF(H64="", INDEX(Tier!$B$40:$B$48,MATCH(G64,Tier!$A$40:$A$48,0)), INDEX(Tier!$B$40:$B$48,MATCH(G64,Tier!$A$40:$A$48,0)))), "")</f>
        <v>37.406640000000003</v>
      </c>
      <c r="G64" s="283">
        <f t="shared" si="4"/>
        <v>8</v>
      </c>
      <c r="H64" s="288"/>
      <c r="I64" s="392" t="str">
        <f>IFERROR(INDEX(ADP!T:T,MATCH(D64,ADP!D:D,0))-RBproj!K64,"")</f>
        <v/>
      </c>
      <c r="J64" s="127"/>
      <c r="K64" s="3">
        <v>58</v>
      </c>
      <c r="L64" s="2" t="s">
        <v>669</v>
      </c>
      <c r="M64" s="3">
        <f t="shared" si="0"/>
        <v>0</v>
      </c>
      <c r="N64" s="4">
        <f>IFERROR(INDEX(ADP!AC:AC,MATCH(D64,ADP!Y:Y,0)),0)</f>
        <v>0</v>
      </c>
      <c r="O64" t="s">
        <v>7</v>
      </c>
      <c r="R64" t="str">
        <f>IFERROR(VLOOKUP(S64,FFARawStatProjections!BB:BD,2,FALSE),"")</f>
        <v>GB</v>
      </c>
      <c r="S64" s="4" t="str">
        <f>INDEX(FFARawStatProjections!BB:BB,MATCH(T64,FFARawStatProjections!BD:BD,0))</f>
        <v>Tucker Kraft</v>
      </c>
      <c r="T64">
        <f>LARGE(FFARawStatProjections!BD:BD,K64)</f>
        <v>37.406640000000003</v>
      </c>
      <c r="U64" s="248">
        <f t="shared" si="1"/>
        <v>-98.979539999999986</v>
      </c>
      <c r="V64" s="243">
        <f t="shared" si="2"/>
        <v>9796.9493386115973</v>
      </c>
      <c r="X64" s="243">
        <f t="shared" si="3"/>
        <v>-6.1862212499999991</v>
      </c>
      <c r="Y64" s="238">
        <f>IFERROR(
IF(ISBLANK(Beersheet!$A$1)=FALSE,
INDEX(Beersheet!$A:$U,MATCH(S64,INDEX(Beersheet!$A:$U,0,FFARawStatProjections!$BV$2),0),FFARawStatProjections!$BV$6),
IF(X64&gt;6,0,
IF(AND(X64&lt;=6,X64&gt;5),1,
IF(AND(X64&lt;=5,X64&gt;4),2,
IF(AND(X64&lt;=4,X64&gt;3),3,
IF(AND(X64&lt;=3,X64&gt;2),4,
IF(AND(X64&lt;=2,X64&gt;1),5,
IF(AND(X64&lt;=1,X64&gt;0),6,
IF(AND(X64&lt;=0,X64&gt;-1),7,
8))))))))),
10)</f>
        <v>8</v>
      </c>
    </row>
    <row r="65" spans="1:25" ht="15" customHeight="1" x14ac:dyDescent="0.25">
      <c r="A65" s="135"/>
      <c r="B65" s="142" t="s">
        <v>670</v>
      </c>
      <c r="C65" t="str">
        <f>IF(AND(IFERROR(INDEX(Instructions!$T$111:$T$222,MATCH(D65,Instructions!$T$111:$T$222,0)), "")=D65, D65&lt;&gt;""), "X", "")</f>
        <v/>
      </c>
      <c r="D65" s="138" t="s">
        <v>1817</v>
      </c>
      <c r="E65" s="100" t="s">
        <v>159</v>
      </c>
      <c r="F65" s="431">
        <f>IFERROR(IF(AND($F$5="Projected Points",Beersheet!A60&lt;&gt;"QB"), T65, IF(H65="", INDEX(Tier!$B$40:$B$48,MATCH(G65,Tier!$A$40:$A$48,0)), INDEX(Tier!$B$40:$B$48,MATCH(G65,Tier!$A$40:$A$48,0)))), "")</f>
        <v>37.216619999999999</v>
      </c>
      <c r="G65" s="250">
        <f t="shared" si="4"/>
        <v>8</v>
      </c>
      <c r="H65" s="291"/>
      <c r="I65" s="392" t="str">
        <f>IFERROR(INDEX(ADP!T:T,MATCH(D65,ADP!D:D,0))-RBproj!K65,"")</f>
        <v/>
      </c>
      <c r="J65" s="127"/>
      <c r="K65" s="3">
        <v>59</v>
      </c>
      <c r="L65" s="2" t="s">
        <v>670</v>
      </c>
      <c r="M65" s="3">
        <f t="shared" si="0"/>
        <v>0</v>
      </c>
      <c r="N65" s="4">
        <f>IFERROR(INDEX(ADP!AC:AC,MATCH(D65,ADP!Y:Y,0)),0)</f>
        <v>0</v>
      </c>
      <c r="O65" t="s">
        <v>7</v>
      </c>
      <c r="R65" t="str">
        <f>IFERROR(VLOOKUP(S65,FFARawStatProjections!BB:BD,2,FALSE),"")</f>
        <v>IND</v>
      </c>
      <c r="S65" s="4" t="str">
        <f>INDEX(FFARawStatProjections!BB:BB,MATCH(T65,FFARawStatProjections!BD:BD,0))</f>
        <v>Mo Alie-Cox</v>
      </c>
      <c r="T65">
        <f>LARGE(FFARawStatProjections!BD:BD,K65)</f>
        <v>37.216619999999999</v>
      </c>
      <c r="U65" s="248">
        <f t="shared" si="1"/>
        <v>-99.16955999999999</v>
      </c>
      <c r="V65" s="243">
        <f t="shared" si="2"/>
        <v>9834.6016305935973</v>
      </c>
      <c r="X65" s="243">
        <f t="shared" si="3"/>
        <v>-6.1980974999999994</v>
      </c>
      <c r="Y65" s="238">
        <f>IFERROR(
IF(ISBLANK(Beersheet!$A$1)=FALSE,
INDEX(Beersheet!$A:$U,MATCH(S65,INDEX(Beersheet!$A:$U,0,FFARawStatProjections!$BV$2),0),FFARawStatProjections!$BV$6),
IF(X65&gt;6,0,
IF(AND(X65&lt;=6,X65&gt;5),1,
IF(AND(X65&lt;=5,X65&gt;4),2,
IF(AND(X65&lt;=4,X65&gt;3),3,
IF(AND(X65&lt;=3,X65&gt;2),4,
IF(AND(X65&lt;=2,X65&gt;1),5,
IF(AND(X65&lt;=1,X65&gt;0),6,
IF(AND(X65&lt;=0,X65&gt;-1),7,
8))))))))),
10)</f>
        <v>8</v>
      </c>
    </row>
    <row r="66" spans="1:25" ht="15" customHeight="1" x14ac:dyDescent="0.25">
      <c r="A66" s="135"/>
      <c r="B66" s="143" t="s">
        <v>671</v>
      </c>
      <c r="C66" t="str">
        <f>IF(AND(IFERROR(INDEX(Instructions!$T$111:$T$222,MATCH(D66,Instructions!$T$111:$T$222,0)), "")=D66, D66&lt;&gt;""), "X", "")</f>
        <v/>
      </c>
      <c r="D66" s="137" t="s">
        <v>2253</v>
      </c>
      <c r="E66" s="99" t="s">
        <v>140</v>
      </c>
      <c r="F66" s="232">
        <f>IFERROR(IF(AND($F$5="Projected Points",Beersheet!A61&lt;&gt;"QB"), T66, IF(H66="", INDEX(Tier!$B$40:$B$48,MATCH(G66,Tier!$A$40:$A$48,0)), INDEX(Tier!$B$40:$B$48,MATCH(G66,Tier!$A$40:$A$48,0)))), "")</f>
        <v>37.106859999999998</v>
      </c>
      <c r="G66" s="283">
        <f t="shared" si="4"/>
        <v>8</v>
      </c>
      <c r="H66" s="288"/>
      <c r="I66" s="392" t="str">
        <f>IFERROR(INDEX(ADP!T:T,MATCH(D66,ADP!D:D,0))-RBproj!K66,"")</f>
        <v/>
      </c>
      <c r="J66" s="127"/>
      <c r="K66" s="3">
        <v>60</v>
      </c>
      <c r="L66" s="2" t="s">
        <v>671</v>
      </c>
      <c r="M66" s="3">
        <f t="shared" si="0"/>
        <v>0</v>
      </c>
      <c r="N66" s="4">
        <f>IFERROR(INDEX(ADP!AC:AC,MATCH(D66,ADP!Y:Y,0)),0)</f>
        <v>0</v>
      </c>
      <c r="O66" t="s">
        <v>7</v>
      </c>
      <c r="R66" t="str">
        <f>IFERROR(VLOOKUP(S66,FFARawStatProjections!BB:BD,2,FALSE),"")</f>
        <v>AZ</v>
      </c>
      <c r="S66" s="4" t="str">
        <f>INDEX(FFARawStatProjections!BB:BB,MATCH(T66,FFARawStatProjections!BD:BD,0))</f>
        <v>Geoff Swaim</v>
      </c>
      <c r="T66">
        <f>LARGE(FFARawStatProjections!BD:BD,K66)</f>
        <v>37.106859999999998</v>
      </c>
      <c r="U66" s="248">
        <f t="shared" si="1"/>
        <v>-99.279319999999998</v>
      </c>
      <c r="V66" s="243">
        <f t="shared" si="2"/>
        <v>9856.3833796624003</v>
      </c>
      <c r="X66" s="243">
        <f t="shared" si="3"/>
        <v>-6.2049574999999999</v>
      </c>
      <c r="Y66" s="238">
        <f>IFERROR(
IF(ISBLANK(Beersheet!$A$1)=FALSE,
INDEX(Beersheet!$A:$U,MATCH(S66,INDEX(Beersheet!$A:$U,0,FFARawStatProjections!$BV$2),0),FFARawStatProjections!$BV$6),
IF(X66&gt;6,0,
IF(AND(X66&lt;=6,X66&gt;5),1,
IF(AND(X66&lt;=5,X66&gt;4),2,
IF(AND(X66&lt;=4,X66&gt;3),3,
IF(AND(X66&lt;=3,X66&gt;2),4,
IF(AND(X66&lt;=2,X66&gt;1),5,
IF(AND(X66&lt;=1,X66&gt;0),6,
IF(AND(X66&lt;=0,X66&gt;-1),7,
8))))))))),
10)</f>
        <v>8</v>
      </c>
    </row>
    <row r="67" spans="1:25" ht="15" customHeight="1" x14ac:dyDescent="0.25">
      <c r="A67" s="135"/>
      <c r="B67" s="142" t="s">
        <v>672</v>
      </c>
      <c r="C67" t="str">
        <f>IF(AND(IFERROR(INDEX(Instructions!$T$111:$T$222,MATCH(D67,Instructions!$T$111:$T$222,0)), "")=D67, D67&lt;&gt;""), "X", "")</f>
        <v/>
      </c>
      <c r="D67" s="138" t="s">
        <v>2358</v>
      </c>
      <c r="E67" s="100" t="s">
        <v>154</v>
      </c>
      <c r="F67" s="431">
        <f>IFERROR(IF(AND($F$5="Projected Points",Beersheet!A62&lt;&gt;"QB"), T67, IF(H67="", INDEX(Tier!$B$40:$B$48,MATCH(G67,Tier!$A$40:$A$48,0)), INDEX(Tier!$B$40:$B$48,MATCH(G67,Tier!$A$40:$A$48,0)))), "")</f>
        <v>35.156680000000009</v>
      </c>
      <c r="G67" s="250">
        <f t="shared" si="4"/>
        <v>8</v>
      </c>
      <c r="H67" s="291"/>
      <c r="I67" s="392" t="str">
        <f>IFERROR(INDEX(ADP!T:T,MATCH(D67,ADP!D:D,0))-RBproj!K67,"")</f>
        <v/>
      </c>
      <c r="J67" s="127"/>
      <c r="K67" s="3">
        <v>61</v>
      </c>
      <c r="L67" s="2" t="s">
        <v>672</v>
      </c>
      <c r="M67" s="3">
        <f t="shared" si="0"/>
        <v>0</v>
      </c>
      <c r="N67" s="4">
        <f>IFERROR(INDEX(ADP!AC:AC,MATCH(D67,ADP!Y:Y,0)),0)</f>
        <v>0</v>
      </c>
      <c r="O67" t="s">
        <v>7</v>
      </c>
      <c r="R67" t="str">
        <f>IFERROR(VLOOKUP(S67,FFARawStatProjections!BB:BD,2,FALSE),"")</f>
        <v>SEA</v>
      </c>
      <c r="S67" s="4" t="str">
        <f>INDEX(FFARawStatProjections!BB:BB,MATCH(T67,FFARawStatProjections!BD:BD,0))</f>
        <v>Colby Parkinson</v>
      </c>
      <c r="T67">
        <f>LARGE(FFARawStatProjections!BD:BD,K67)</f>
        <v>35.156680000000009</v>
      </c>
      <c r="U67" s="248">
        <f t="shared" si="1"/>
        <v>-101.22949999999999</v>
      </c>
      <c r="V67" s="243">
        <f t="shared" si="2"/>
        <v>10247.411670249998</v>
      </c>
      <c r="X67" s="243">
        <f t="shared" si="3"/>
        <v>-6.3268437499999992</v>
      </c>
      <c r="Y67" s="238">
        <f>IFERROR(
IF(ISBLANK(Beersheet!$A$1)=FALSE,
INDEX(Beersheet!$A:$U,MATCH(S67,INDEX(Beersheet!$A:$U,0,FFARawStatProjections!$BV$2),0),FFARawStatProjections!$BV$6),
IF(X67&gt;6,0,
IF(AND(X67&lt;=6,X67&gt;5),1,
IF(AND(X67&lt;=5,X67&gt;4),2,
IF(AND(X67&lt;=4,X67&gt;3),3,
IF(AND(X67&lt;=3,X67&gt;2),4,
IF(AND(X67&lt;=2,X67&gt;1),5,
IF(AND(X67&lt;=1,X67&gt;0),6,
IF(AND(X67&lt;=0,X67&gt;-1),7,
8))))))))),
10)</f>
        <v>8</v>
      </c>
    </row>
    <row r="68" spans="1:25" ht="15" customHeight="1" x14ac:dyDescent="0.25">
      <c r="A68" s="135"/>
      <c r="B68" s="143" t="s">
        <v>673</v>
      </c>
      <c r="C68" t="str">
        <f>IF(AND(IFERROR(INDEX(Instructions!$T$111:$T$222,MATCH(D68,Instructions!$T$111:$T$222,0)), "")=D68, D68&lt;&gt;""), "X", "")</f>
        <v/>
      </c>
      <c r="D68" s="137" t="s">
        <v>2502</v>
      </c>
      <c r="E68" s="99" t="s">
        <v>147</v>
      </c>
      <c r="F68" s="232">
        <f>IFERROR(IF(AND($F$5="Projected Points",Beersheet!A63&lt;&gt;"QB"), T68, IF(H68="", INDEX(Tier!$B$40:$B$48,MATCH(G68,Tier!$A$40:$A$48,0)), INDEX(Tier!$B$40:$B$48,MATCH(G68,Tier!$A$40:$A$48,0)))), "")</f>
        <v>34.576729999999998</v>
      </c>
      <c r="G68" s="283">
        <f t="shared" si="4"/>
        <v>8</v>
      </c>
      <c r="H68" s="288"/>
      <c r="I68" s="392" t="str">
        <f>IFERROR(INDEX(ADP!T:T,MATCH(D68,ADP!D:D,0))-RBproj!K68,"")</f>
        <v/>
      </c>
      <c r="J68" s="127"/>
      <c r="K68" s="3">
        <v>62</v>
      </c>
      <c r="L68" s="2" t="s">
        <v>673</v>
      </c>
      <c r="M68" s="3">
        <f t="shared" si="0"/>
        <v>0</v>
      </c>
      <c r="N68" s="4">
        <f>IFERROR(INDEX(ADP!AC:AC,MATCH(D68,ADP!Y:Y,0)),0)</f>
        <v>0</v>
      </c>
      <c r="O68" t="s">
        <v>7</v>
      </c>
      <c r="R68" t="str">
        <f>IFERROR(VLOOKUP(S68,FFARawStatProjections!BB:BD,2,FALSE),"")</f>
        <v>NYG</v>
      </c>
      <c r="S68" s="4" t="str">
        <f>INDEX(FFARawStatProjections!BB:BB,MATCH(T68,FFARawStatProjections!BD:BD,0))</f>
        <v>Daniel Bellinger</v>
      </c>
      <c r="T68">
        <f>LARGE(FFARawStatProjections!BD:BD,K68)</f>
        <v>34.576729999999998</v>
      </c>
      <c r="U68" s="248">
        <f t="shared" si="1"/>
        <v>-101.80945</v>
      </c>
      <c r="V68" s="243">
        <f t="shared" si="2"/>
        <v>10365.164109302499</v>
      </c>
      <c r="X68" s="243">
        <f t="shared" si="3"/>
        <v>-6.3630906249999999</v>
      </c>
      <c r="Y68" s="238">
        <f>IFERROR(
IF(ISBLANK(Beersheet!$A$1)=FALSE,
INDEX(Beersheet!$A:$U,MATCH(S68,INDEX(Beersheet!$A:$U,0,FFARawStatProjections!$BV$2),0),FFARawStatProjections!$BV$6),
IF(X68&gt;6,0,
IF(AND(X68&lt;=6,X68&gt;5),1,
IF(AND(X68&lt;=5,X68&gt;4),2,
IF(AND(X68&lt;=4,X68&gt;3),3,
IF(AND(X68&lt;=3,X68&gt;2),4,
IF(AND(X68&lt;=2,X68&gt;1),5,
IF(AND(X68&lt;=1,X68&gt;0),6,
IF(AND(X68&lt;=0,X68&gt;-1),7,
8))))))))),
10)</f>
        <v>8</v>
      </c>
    </row>
    <row r="69" spans="1:25" ht="15" customHeight="1" x14ac:dyDescent="0.25">
      <c r="A69" s="135"/>
      <c r="B69" s="142" t="s">
        <v>674</v>
      </c>
      <c r="C69" t="str">
        <f>IF(AND(IFERROR(INDEX(Instructions!$T$111:$T$222,MATCH(D69,Instructions!$T$111:$T$222,0)), "")=D69, D69&lt;&gt;""), "X", "")</f>
        <v/>
      </c>
      <c r="D69" s="138" t="s">
        <v>2245</v>
      </c>
      <c r="E69" s="100" t="s">
        <v>151</v>
      </c>
      <c r="F69" s="431">
        <f>IFERROR(IF(AND($F$5="Projected Points",Beersheet!A64&lt;&gt;"QB"), T69, IF(H69="", INDEX(Tier!$B$40:$B$48,MATCH(G69,Tier!$A$40:$A$48,0)), INDEX(Tier!$B$40:$B$48,MATCH(G69,Tier!$A$40:$A$48,0)))), "")</f>
        <v>34.446709999999996</v>
      </c>
      <c r="G69" s="250">
        <f t="shared" si="4"/>
        <v>8</v>
      </c>
      <c r="H69" s="291"/>
      <c r="I69" s="392" t="str">
        <f>IFERROR(INDEX(ADP!T:T,MATCH(D69,ADP!D:D,0))-RBproj!K69,"")</f>
        <v/>
      </c>
      <c r="J69" s="127"/>
      <c r="K69" s="3">
        <v>63</v>
      </c>
      <c r="L69" s="2" t="s">
        <v>674</v>
      </c>
      <c r="M69" s="3">
        <f t="shared" si="0"/>
        <v>0</v>
      </c>
      <c r="N69" s="4">
        <f>IFERROR(INDEX(ADP!AC:AC,MATCH(D69,ADP!Y:Y,0)),0)</f>
        <v>0</v>
      </c>
      <c r="O69" t="s">
        <v>7</v>
      </c>
      <c r="R69" t="str">
        <f>IFERROR(VLOOKUP(S69,FFARawStatProjections!BB:BD,2,FALSE),"")</f>
        <v>PIT</v>
      </c>
      <c r="S69" s="4" t="str">
        <f>INDEX(FFARawStatProjections!BB:BB,MATCH(T69,FFARawStatProjections!BD:BD,0))</f>
        <v>Darnell Washington</v>
      </c>
      <c r="T69">
        <f>LARGE(FFARawStatProjections!BD:BD,K69)</f>
        <v>34.446709999999996</v>
      </c>
      <c r="U69" s="248">
        <f t="shared" si="1"/>
        <v>-101.93947</v>
      </c>
      <c r="V69" s="243">
        <f t="shared" si="2"/>
        <v>10391.655543880899</v>
      </c>
      <c r="X69" s="243">
        <f t="shared" si="3"/>
        <v>-6.371216875</v>
      </c>
      <c r="Y69" s="238">
        <f>IFERROR(
IF(ISBLANK(Beersheet!$A$1)=FALSE,
INDEX(Beersheet!$A:$U,MATCH(S69,INDEX(Beersheet!$A:$U,0,FFARawStatProjections!$BV$2),0),FFARawStatProjections!$BV$6),
IF(X69&gt;6,0,
IF(AND(X69&lt;=6,X69&gt;5),1,
IF(AND(X69&lt;=5,X69&gt;4),2,
IF(AND(X69&lt;=4,X69&gt;3),3,
IF(AND(X69&lt;=3,X69&gt;2),4,
IF(AND(X69&lt;=2,X69&gt;1),5,
IF(AND(X69&lt;=1,X69&gt;0),6,
IF(AND(X69&lt;=0,X69&gt;-1),7,
8))))))))),
10)</f>
        <v>8</v>
      </c>
    </row>
    <row r="70" spans="1:25" ht="15" customHeight="1" x14ac:dyDescent="0.25">
      <c r="A70" s="135"/>
      <c r="B70" s="143" t="s">
        <v>675</v>
      </c>
      <c r="C70" t="str">
        <f>IF(AND(IFERROR(INDEX(Instructions!$T$111:$T$222,MATCH(D70,Instructions!$T$111:$T$222,0)), "")=D70, D70&lt;&gt;""), "X", "")</f>
        <v/>
      </c>
      <c r="D70" s="137" t="s">
        <v>2489</v>
      </c>
      <c r="E70" s="99" t="s">
        <v>166</v>
      </c>
      <c r="F70" s="232">
        <f>IFERROR(IF(AND($F$5="Projected Points",Beersheet!A65&lt;&gt;"QB"), T70, IF(H70="", INDEX(Tier!$B$40:$B$48,MATCH(G70,Tier!$A$40:$A$48,0)), INDEX(Tier!$B$40:$B$48,MATCH(G70,Tier!$A$40:$A$48,0)))), "")</f>
        <v>33.926700000000004</v>
      </c>
      <c r="G70" s="283">
        <f t="shared" si="4"/>
        <v>8</v>
      </c>
      <c r="H70" s="288"/>
      <c r="I70" s="392" t="str">
        <f>IFERROR(INDEX(ADP!T:T,MATCH(D70,ADP!D:D,0))-RBproj!K70,"")</f>
        <v/>
      </c>
      <c r="J70" s="127"/>
      <c r="K70" s="3">
        <v>64</v>
      </c>
      <c r="L70" s="2" t="s">
        <v>675</v>
      </c>
      <c r="M70" s="3">
        <f t="shared" si="0"/>
        <v>0</v>
      </c>
      <c r="N70" s="4">
        <f>IFERROR(INDEX(ADP!AC:AC,MATCH(D70,ADP!Y:Y,0)),0)</f>
        <v>0</v>
      </c>
      <c r="O70" t="s">
        <v>7</v>
      </c>
      <c r="R70" t="str">
        <f>IFERROR(VLOOKUP(S70,FFARawStatProjections!BB:BD,2,FALSE),"")</f>
        <v>HOU</v>
      </c>
      <c r="S70" s="4" t="str">
        <f>INDEX(FFARawStatProjections!BB:BB,MATCH(T70,FFARawStatProjections!BD:BD,0))</f>
        <v>Brevin Jordan</v>
      </c>
      <c r="T70">
        <f>LARGE(FFARawStatProjections!BD:BD,K70)</f>
        <v>33.926700000000004</v>
      </c>
      <c r="U70" s="248">
        <f t="shared" si="1"/>
        <v>-102.45947999999999</v>
      </c>
      <c r="V70" s="243">
        <f t="shared" si="2"/>
        <v>10497.945041870396</v>
      </c>
      <c r="X70" s="243">
        <f t="shared" si="3"/>
        <v>-6.4037174999999991</v>
      </c>
      <c r="Y70" s="238">
        <f>IFERROR(
IF(ISBLANK(Beersheet!$A$1)=FALSE,
INDEX(Beersheet!$A:$U,MATCH(S70,INDEX(Beersheet!$A:$U,0,FFARawStatProjections!$BV$2),0),FFARawStatProjections!$BV$6),
IF(X70&gt;6,0,
IF(AND(X70&lt;=6,X70&gt;5),1,
IF(AND(X70&lt;=5,X70&gt;4),2,
IF(AND(X70&lt;=4,X70&gt;3),3,
IF(AND(X70&lt;=3,X70&gt;2),4,
IF(AND(X70&lt;=2,X70&gt;1),5,
IF(AND(X70&lt;=1,X70&gt;0),6,
IF(AND(X70&lt;=0,X70&gt;-1),7,
8))))))))),
10)</f>
        <v>8</v>
      </c>
    </row>
    <row r="71" spans="1:25" ht="15" customHeight="1" x14ac:dyDescent="0.25">
      <c r="A71" s="135"/>
      <c r="B71" s="142" t="s">
        <v>676</v>
      </c>
      <c r="C71" t="str">
        <f>IF(AND(IFERROR(INDEX(Instructions!$T$111:$T$222,MATCH(D71,Instructions!$T$111:$T$222,0)), "")=D71, D71&lt;&gt;""), "X", "")</f>
        <v/>
      </c>
      <c r="D71" s="138" t="s">
        <v>2368</v>
      </c>
      <c r="E71" s="100" t="s">
        <v>151</v>
      </c>
      <c r="F71" s="431">
        <f>IFERROR(IF(AND($F$5="Projected Points",Beersheet!A66&lt;&gt;"QB"), T71, IF(H71="", INDEX(Tier!$B$40:$B$48,MATCH(G71,Tier!$A$40:$A$48,0)), INDEX(Tier!$B$40:$B$48,MATCH(G71,Tier!$A$40:$A$48,0)))), "")</f>
        <v>33.206720000000004</v>
      </c>
      <c r="G71" s="250">
        <f t="shared" si="4"/>
        <v>8</v>
      </c>
      <c r="H71" s="291"/>
      <c r="I71" s="392" t="str">
        <f>IFERROR(INDEX(ADP!T:T,MATCH(D71,ADP!D:D,0))-RBproj!K71,"")</f>
        <v/>
      </c>
      <c r="J71" s="127"/>
      <c r="K71" s="3">
        <v>65</v>
      </c>
      <c r="L71" s="2" t="s">
        <v>676</v>
      </c>
      <c r="M71" s="3">
        <f t="shared" si="0"/>
        <v>0</v>
      </c>
      <c r="N71" s="4">
        <f>IFERROR(INDEX(ADP!AC:AC,MATCH(D71,ADP!Y:Y,0)),0)</f>
        <v>0</v>
      </c>
      <c r="O71" t="s">
        <v>7</v>
      </c>
      <c r="R71" t="str">
        <f>IFERROR(VLOOKUP(S71,FFARawStatProjections!BB:BD,2,FALSE),"")</f>
        <v>HOU</v>
      </c>
      <c r="S71" s="4" t="str">
        <f>INDEX(FFARawStatProjections!BB:BB,MATCH(T71,FFARawStatProjections!BD:BD,0))</f>
        <v>Teagan Quitoriano</v>
      </c>
      <c r="T71">
        <f>LARGE(FFARawStatProjections!BD:BD,K71)</f>
        <v>33.206720000000004</v>
      </c>
      <c r="U71" s="248">
        <f t="shared" si="1"/>
        <v>-103.17945999999999</v>
      </c>
      <c r="V71" s="243">
        <f t="shared" si="2"/>
        <v>10646.000965891599</v>
      </c>
      <c r="X71" s="243">
        <f t="shared" si="3"/>
        <v>-6.4487162499999995</v>
      </c>
      <c r="Y71" s="238">
        <f>IFERROR(
IF(ISBLANK(Beersheet!$A$1)=FALSE,
INDEX(Beersheet!$A:$U,MATCH(S71,INDEX(Beersheet!$A:$U,0,FFARawStatProjections!$BV$2),0),FFARawStatProjections!$BV$6),
IF(X71&gt;6,0,
IF(AND(X71&lt;=6,X71&gt;5),1,
IF(AND(X71&lt;=5,X71&gt;4),2,
IF(AND(X71&lt;=4,X71&gt;3),3,
IF(AND(X71&lt;=3,X71&gt;2),4,
IF(AND(X71&lt;=2,X71&gt;1),5,
IF(AND(X71&lt;=1,X71&gt;0),6,
IF(AND(X71&lt;=0,X71&gt;-1),7,
8))))))))),
10)</f>
        <v>8</v>
      </c>
    </row>
    <row r="72" spans="1:25" ht="15" customHeight="1" x14ac:dyDescent="0.25">
      <c r="A72" s="135"/>
      <c r="B72" s="143" t="s">
        <v>677</v>
      </c>
      <c r="C72" t="str">
        <f>IF(AND(IFERROR(INDEX(Instructions!$T$111:$T$222,MATCH(D72,Instructions!$T$111:$T$222,0)), "")=D72, D72&lt;&gt;""), "X", "")</f>
        <v/>
      </c>
      <c r="D72" s="137" t="s">
        <v>2235</v>
      </c>
      <c r="E72" s="99" t="s">
        <v>2272</v>
      </c>
      <c r="F72" s="232">
        <f>IFERROR(IF(AND($F$5="Projected Points",Beersheet!A67&lt;&gt;"QB"), T72, IF(H72="", INDEX(Tier!$B$40:$B$48,MATCH(G72,Tier!$A$40:$A$48,0)), INDEX(Tier!$B$40:$B$48,MATCH(G72,Tier!$A$40:$A$48,0)))), "")</f>
        <v>32.546669999999999</v>
      </c>
      <c r="G72" s="283">
        <f t="shared" si="4"/>
        <v>8</v>
      </c>
      <c r="H72" s="288"/>
      <c r="I72" s="392" t="str">
        <f>IFERROR(INDEX(ADP!T:T,MATCH(D72,ADP!D:D,0))-RBproj!K72,"")</f>
        <v/>
      </c>
      <c r="J72" s="127"/>
      <c r="K72" s="3">
        <v>66</v>
      </c>
      <c r="L72" s="2" t="s">
        <v>677</v>
      </c>
      <c r="M72" s="3">
        <f t="shared" ref="M72:M100" si="5">IF(N72-MEDIAN(N69:N75)&lt;0,0,N72-MEDIAN(N69:N75))</f>
        <v>0</v>
      </c>
      <c r="N72" s="4">
        <f>IFERROR(INDEX(ADP!AC:AC,MATCH(D72,ADP!Y:Y,0)),0)</f>
        <v>0</v>
      </c>
      <c r="O72" t="s">
        <v>7</v>
      </c>
      <c r="R72" t="str">
        <f>IFERROR(VLOOKUP(S72,FFARawStatProjections!BB:BD,2,FALSE),"")</f>
        <v>MIA</v>
      </c>
      <c r="S72" s="4" t="str">
        <f>INDEX(FFARawStatProjections!BB:BB,MATCH(T72,FFARawStatProjections!BD:BD,0))</f>
        <v>Elijah Higgins</v>
      </c>
      <c r="T72">
        <f>LARGE(FFARawStatProjections!BD:BD,K72)</f>
        <v>32.546669999999999</v>
      </c>
      <c r="U72" s="248">
        <f t="shared" ref="U72:U100" si="6">T72-$W$10</f>
        <v>-103.83950999999999</v>
      </c>
      <c r="V72" s="243">
        <f t="shared" ref="V72:V100" si="7">U72^2</f>
        <v>10782.643837040097</v>
      </c>
      <c r="X72" s="243">
        <f t="shared" ref="X72:X101" si="8">U72/$W$7</f>
        <v>-6.4899693749999994</v>
      </c>
      <c r="Y72" s="238">
        <f>IFERROR(
IF(ISBLANK(Beersheet!$A$1)=FALSE,
INDEX(Beersheet!$A:$U,MATCH(S72,INDEX(Beersheet!$A:$U,0,FFARawStatProjections!$BV$2),0),FFARawStatProjections!$BV$6),
IF(X72&gt;6,0,
IF(AND(X72&lt;=6,X72&gt;5),1,
IF(AND(X72&lt;=5,X72&gt;4),2,
IF(AND(X72&lt;=4,X72&gt;3),3,
IF(AND(X72&lt;=3,X72&gt;2),4,
IF(AND(X72&lt;=2,X72&gt;1),5,
IF(AND(X72&lt;=1,X72&gt;0),6,
IF(AND(X72&lt;=0,X72&gt;-1),7,
8))))))))),
10)</f>
        <v>8</v>
      </c>
    </row>
    <row r="73" spans="1:25" ht="15" customHeight="1" x14ac:dyDescent="0.25">
      <c r="A73" s="135"/>
      <c r="B73" s="142" t="s">
        <v>678</v>
      </c>
      <c r="C73" t="str">
        <f>IF(AND(IFERROR(INDEX(Instructions!$T$111:$T$222,MATCH(D73,Instructions!$T$111:$T$222,0)), "")=D73, D73&lt;&gt;""), "X", "")</f>
        <v/>
      </c>
      <c r="D73" s="138" t="s">
        <v>2262</v>
      </c>
      <c r="E73" s="100" t="s">
        <v>166</v>
      </c>
      <c r="F73" s="431">
        <f>IFERROR(IF(AND($F$5="Projected Points",Beersheet!A68&lt;&gt;"QB"), T73, IF(H73="", INDEX(Tier!$B$40:$B$48,MATCH(G73,Tier!$A$40:$A$48,0)), INDEX(Tier!$B$40:$B$48,MATCH(G73,Tier!$A$40:$A$48,0)))), "")</f>
        <v>32.136790000000005</v>
      </c>
      <c r="G73" s="250">
        <f t="shared" si="4"/>
        <v>8</v>
      </c>
      <c r="H73" s="291"/>
      <c r="I73" s="392" t="str">
        <f>IFERROR(INDEX(ADP!T:T,MATCH(D73,ADP!D:D,0))-RBproj!K73,"")</f>
        <v/>
      </c>
      <c r="J73" s="127"/>
      <c r="K73" s="3">
        <v>67</v>
      </c>
      <c r="L73" s="2" t="s">
        <v>678</v>
      </c>
      <c r="M73" s="3">
        <f t="shared" si="5"/>
        <v>0</v>
      </c>
      <c r="N73" s="4">
        <f>IFERROR(INDEX(ADP!AC:AC,MATCH(D73,ADP!Y:Y,0)),0)</f>
        <v>0</v>
      </c>
      <c r="O73" t="s">
        <v>7</v>
      </c>
      <c r="R73" t="str">
        <f>IFERROR(VLOOKUP(S73,FFARawStatProjections!BB:BD,2,FALSE),"")</f>
        <v>MIA</v>
      </c>
      <c r="S73" s="4" t="str">
        <f>INDEX(FFARawStatProjections!BB:BB,MATCH(T73,FFARawStatProjections!BD:BD,0))</f>
        <v>Eric Saubert</v>
      </c>
      <c r="T73">
        <f>LARGE(FFARawStatProjections!BD:BD,K73)</f>
        <v>32.136790000000005</v>
      </c>
      <c r="U73" s="248">
        <f t="shared" si="6"/>
        <v>-104.24938999999999</v>
      </c>
      <c r="V73" s="243">
        <f t="shared" si="7"/>
        <v>10867.935315372099</v>
      </c>
      <c r="X73" s="243">
        <f t="shared" si="8"/>
        <v>-6.5155868749999994</v>
      </c>
      <c r="Y73" s="238">
        <f>IFERROR(
IF(ISBLANK(Beersheet!$A$1)=FALSE,
INDEX(Beersheet!$A:$U,MATCH(S73,INDEX(Beersheet!$A:$U,0,FFARawStatProjections!$BV$2),0),FFARawStatProjections!$BV$6),
IF(X73&gt;6,0,
IF(AND(X73&lt;=6,X73&gt;5),1,
IF(AND(X73&lt;=5,X73&gt;4),2,
IF(AND(X73&lt;=4,X73&gt;3),3,
IF(AND(X73&lt;=3,X73&gt;2),4,
IF(AND(X73&lt;=2,X73&gt;1),5,
IF(AND(X73&lt;=1,X73&gt;0),6,
IF(AND(X73&lt;=0,X73&gt;-1),7,
8))))))))),
10)</f>
        <v>8</v>
      </c>
    </row>
    <row r="74" spans="1:25" ht="15" customHeight="1" x14ac:dyDescent="0.25">
      <c r="A74" s="135"/>
      <c r="B74" s="143" t="s">
        <v>679</v>
      </c>
      <c r="C74" t="str">
        <f>IF(AND(IFERROR(INDEX(Instructions!$T$111:$T$222,MATCH(D74,Instructions!$T$111:$T$222,0)), "")=D74, D74&lt;&gt;""), "X", "")</f>
        <v/>
      </c>
      <c r="D74" s="137" t="s">
        <v>2230</v>
      </c>
      <c r="E74" s="99" t="s">
        <v>154</v>
      </c>
      <c r="F74" s="232">
        <f>IFERROR(IF(AND($F$5="Projected Points",Beersheet!A69&lt;&gt;"QB"), T74, IF(H74="", INDEX(Tier!$B$40:$B$48,MATCH(G74,Tier!$A$40:$A$48,0)), INDEX(Tier!$B$40:$B$48,MATCH(G74,Tier!$A$40:$A$48,0)))), "")</f>
        <v>31.18693</v>
      </c>
      <c r="G74" s="283">
        <f t="shared" ref="G74:G100" si="9">IF(D74="","",Y74)</f>
        <v>8</v>
      </c>
      <c r="H74" s="288"/>
      <c r="I74" s="392" t="str">
        <f>IFERROR(INDEX(ADP!T:T,MATCH(D74,ADP!D:D,0))-RBproj!K74,"")</f>
        <v/>
      </c>
      <c r="J74" s="127"/>
      <c r="K74" s="3">
        <v>68</v>
      </c>
      <c r="L74" s="2" t="s">
        <v>679</v>
      </c>
      <c r="M74" s="3">
        <f t="shared" si="5"/>
        <v>0</v>
      </c>
      <c r="N74" s="4">
        <f>IFERROR(INDEX(ADP!AC:AC,MATCH(D74,ADP!Y:Y,0)),0)</f>
        <v>0</v>
      </c>
      <c r="O74" t="s">
        <v>7</v>
      </c>
      <c r="R74" t="str">
        <f>IFERROR(VLOOKUP(S74,FFARawStatProjections!BB:BD,2,FALSE),"")</f>
        <v>LAR</v>
      </c>
      <c r="S74" s="4" t="str">
        <f>INDEX(FFARawStatProjections!BB:BB,MATCH(T74,FFARawStatProjections!BD:BD,0))</f>
        <v>Davis Allen</v>
      </c>
      <c r="T74">
        <f>LARGE(FFARawStatProjections!BD:BD,K74)</f>
        <v>31.18693</v>
      </c>
      <c r="U74" s="248">
        <f t="shared" si="6"/>
        <v>-105.19924999999999</v>
      </c>
      <c r="V74" s="243">
        <f t="shared" si="7"/>
        <v>11066.882200562499</v>
      </c>
      <c r="X74" s="243">
        <f t="shared" si="8"/>
        <v>-6.5749531249999995</v>
      </c>
      <c r="Y74" s="238">
        <f>IFERROR(
IF(ISBLANK(Beersheet!$A$1)=FALSE,
INDEX(Beersheet!$A:$U,MATCH(S74,INDEX(Beersheet!$A:$U,0,FFARawStatProjections!$BV$2),0),FFARawStatProjections!$BV$6),
IF(X74&gt;6,0,
IF(AND(X74&lt;=6,X74&gt;5),1,
IF(AND(X74&lt;=5,X74&gt;4),2,
IF(AND(X74&lt;=4,X74&gt;3),3,
IF(AND(X74&lt;=3,X74&gt;2),4,
IF(AND(X74&lt;=2,X74&gt;1),5,
IF(AND(X74&lt;=1,X74&gt;0),6,
IF(AND(X74&lt;=0,X74&gt;-1),7,
8))))))))),
10)</f>
        <v>8</v>
      </c>
    </row>
    <row r="75" spans="1:25" ht="15" customHeight="1" x14ac:dyDescent="0.25">
      <c r="A75" s="135"/>
      <c r="B75" s="142" t="s">
        <v>680</v>
      </c>
      <c r="C75" t="str">
        <f>IF(AND(IFERROR(INDEX(Instructions!$T$111:$T$222,MATCH(D75,Instructions!$T$111:$T$222,0)), "")=D75, D75&lt;&gt;""), "X", "")</f>
        <v/>
      </c>
      <c r="D75" s="138" t="s">
        <v>2367</v>
      </c>
      <c r="E75" s="100" t="s">
        <v>162</v>
      </c>
      <c r="F75" s="431">
        <f>IFERROR(IF(AND($F$5="Projected Points",Beersheet!A70&lt;&gt;"QB"), T75, IF(H75="", INDEX(Tier!$B$40:$B$48,MATCH(G75,Tier!$A$40:$A$48,0)), INDEX(Tier!$B$40:$B$48,MATCH(G75,Tier!$A$40:$A$48,0)))), "")</f>
        <v>30.906739999999999</v>
      </c>
      <c r="G75" s="250">
        <f t="shared" si="9"/>
        <v>8</v>
      </c>
      <c r="H75" s="291"/>
      <c r="I75" s="392" t="str">
        <f>IFERROR(INDEX(ADP!T:T,MATCH(D75,ADP!D:D,0))-RBproj!K75,"")</f>
        <v/>
      </c>
      <c r="J75" s="127"/>
      <c r="K75" s="3">
        <v>69</v>
      </c>
      <c r="L75" s="2" t="s">
        <v>680</v>
      </c>
      <c r="M75" s="3">
        <f t="shared" si="5"/>
        <v>0</v>
      </c>
      <c r="N75" s="4">
        <f>IFERROR(INDEX(ADP!AC:AC,MATCH(D75,ADP!Y:Y,0)),0)</f>
        <v>0</v>
      </c>
      <c r="O75" t="s">
        <v>7</v>
      </c>
      <c r="R75" t="str">
        <f>IFERROR(VLOOKUP(S75,FFARawStatProjections!BB:BD,2,FALSE),"")</f>
        <v>NYG</v>
      </c>
      <c r="S75" s="4" t="str">
        <f>INDEX(FFARawStatProjections!BB:BB,MATCH(T75,FFARawStatProjections!BD:BD,0))</f>
        <v>Lawrence Cager</v>
      </c>
      <c r="T75">
        <f>LARGE(FFARawStatProjections!BD:BD,K75)</f>
        <v>30.906739999999999</v>
      </c>
      <c r="U75" s="248">
        <f t="shared" si="6"/>
        <v>-105.47944</v>
      </c>
      <c r="V75" s="243">
        <f t="shared" si="7"/>
        <v>11125.912262713598</v>
      </c>
      <c r="X75" s="243">
        <f t="shared" si="8"/>
        <v>-6.5924649999999998</v>
      </c>
      <c r="Y75" s="238">
        <f>IFERROR(
IF(ISBLANK(Beersheet!$A$1)=FALSE,
INDEX(Beersheet!$A:$U,MATCH(S75,INDEX(Beersheet!$A:$U,0,FFARawStatProjections!$BV$2),0),FFARawStatProjections!$BV$6),
IF(X75&gt;6,0,
IF(AND(X75&lt;=6,X75&gt;5),1,
IF(AND(X75&lt;=5,X75&gt;4),2,
IF(AND(X75&lt;=4,X75&gt;3),3,
IF(AND(X75&lt;=3,X75&gt;2),4,
IF(AND(X75&lt;=2,X75&gt;1),5,
IF(AND(X75&lt;=1,X75&gt;0),6,
IF(AND(X75&lt;=0,X75&gt;-1),7,
8))))))))),
10)</f>
        <v>8</v>
      </c>
    </row>
    <row r="76" spans="1:25" ht="15" customHeight="1" x14ac:dyDescent="0.25">
      <c r="A76" s="135"/>
      <c r="B76" s="143" t="s">
        <v>681</v>
      </c>
      <c r="C76" t="str">
        <f>IF(AND(IFERROR(INDEX(Instructions!$T$111:$T$222,MATCH(D76,Instructions!$T$111:$T$222,0)), "")=D76, D76&lt;&gt;""), "X", "")</f>
        <v/>
      </c>
      <c r="D76" s="137" t="s">
        <v>2244</v>
      </c>
      <c r="E76" s="99" t="s">
        <v>1389</v>
      </c>
      <c r="F76" s="232">
        <f>IFERROR(IF(AND($F$5="Projected Points",Beersheet!A71&lt;&gt;"QB"), T76, IF(H76="", INDEX(Tier!$B$40:$B$48,MATCH(G76,Tier!$A$40:$A$48,0)), INDEX(Tier!$B$40:$B$48,MATCH(G76,Tier!$A$40:$A$48,0)))), "")</f>
        <v>30.726759999999999</v>
      </c>
      <c r="G76" s="283">
        <f t="shared" si="9"/>
        <v>8</v>
      </c>
      <c r="H76" s="288"/>
      <c r="I76" s="392" t="str">
        <f>IFERROR(INDEX(ADP!T:T,MATCH(D76,ADP!D:D,0))-RBproj!K76,"")</f>
        <v/>
      </c>
      <c r="J76" s="127"/>
      <c r="K76" s="3">
        <v>70</v>
      </c>
      <c r="L76" s="2" t="s">
        <v>681</v>
      </c>
      <c r="M76" s="3">
        <f t="shared" si="5"/>
        <v>0</v>
      </c>
      <c r="N76" s="4">
        <f>IFERROR(INDEX(ADP!AC:AC,MATCH(D76,ADP!Y:Y,0)),0)</f>
        <v>0</v>
      </c>
      <c r="O76" t="s">
        <v>7</v>
      </c>
      <c r="R76" t="str">
        <f>IFERROR(VLOOKUP(S76,FFARawStatProjections!BB:BD,2,FALSE),"")</f>
        <v>BAL</v>
      </c>
      <c r="S76" s="4" t="str">
        <f>INDEX(FFARawStatProjections!BB:BB,MATCH(T76,FFARawStatProjections!BD:BD,0))</f>
        <v>Charlie Kolar</v>
      </c>
      <c r="T76">
        <f>LARGE(FFARawStatProjections!BD:BD,K76)</f>
        <v>30.726759999999999</v>
      </c>
      <c r="U76" s="248">
        <f t="shared" si="6"/>
        <v>-105.65942</v>
      </c>
      <c r="V76" s="243">
        <f t="shared" si="7"/>
        <v>11163.913034736399</v>
      </c>
      <c r="X76" s="243">
        <f t="shared" si="8"/>
        <v>-6.6037137499999998</v>
      </c>
      <c r="Y76" s="238">
        <f>IFERROR(
IF(ISBLANK(Beersheet!$A$1)=FALSE,
INDEX(Beersheet!$A:$U,MATCH(S76,INDEX(Beersheet!$A:$U,0,FFARawStatProjections!$BV$2),0),FFARawStatProjections!$BV$6),
IF(X76&gt;6,0,
IF(AND(X76&lt;=6,X76&gt;5),1,
IF(AND(X76&lt;=5,X76&gt;4),2,
IF(AND(X76&lt;=4,X76&gt;3),3,
IF(AND(X76&lt;=3,X76&gt;2),4,
IF(AND(X76&lt;=2,X76&gt;1),5,
IF(AND(X76&lt;=1,X76&gt;0),6,
IF(AND(X76&lt;=0,X76&gt;-1),7,
8))))))))),
10)</f>
        <v>8</v>
      </c>
    </row>
    <row r="77" spans="1:25" ht="15" customHeight="1" x14ac:dyDescent="0.25">
      <c r="A77" s="135"/>
      <c r="B77" s="142" t="s">
        <v>682</v>
      </c>
      <c r="C77" t="str">
        <f>IF(AND(IFERROR(INDEX(Instructions!$T$111:$T$222,MATCH(D77,Instructions!$T$111:$T$222,0)), "")=D77, D77&lt;&gt;""), "X", "")</f>
        <v/>
      </c>
      <c r="D77" s="138" t="s">
        <v>2109</v>
      </c>
      <c r="E77" s="100" t="s">
        <v>144</v>
      </c>
      <c r="F77" s="431">
        <f>IFERROR(IF(AND($F$5="Projected Points",Beersheet!A72&lt;&gt;"QB"), T77, IF(H77="", INDEX(Tier!$B$40:$B$48,MATCH(G77,Tier!$A$40:$A$48,0)), INDEX(Tier!$B$40:$B$48,MATCH(G77,Tier!$A$40:$A$48,0)))), "")</f>
        <v>30.656850000000002</v>
      </c>
      <c r="G77" s="250">
        <f t="shared" si="9"/>
        <v>8</v>
      </c>
      <c r="H77" s="291"/>
      <c r="I77" s="392" t="str">
        <f>IFERROR(INDEX(ADP!T:T,MATCH(D77,ADP!D:D,0))-RBproj!K77,"")</f>
        <v/>
      </c>
      <c r="J77" s="127"/>
      <c r="K77" s="3">
        <v>71</v>
      </c>
      <c r="L77" s="2" t="s">
        <v>682</v>
      </c>
      <c r="M77" s="3">
        <f t="shared" si="5"/>
        <v>0</v>
      </c>
      <c r="N77" s="4">
        <f>IFERROR(INDEX(ADP!AC:AC,MATCH(D77,ADP!Y:Y,0)),0)</f>
        <v>0</v>
      </c>
      <c r="O77" t="s">
        <v>7</v>
      </c>
      <c r="R77" t="str">
        <f>IFERROR(VLOOKUP(S77,FFARawStatProjections!BB:BD,2,FALSE),"")</f>
        <v>TB</v>
      </c>
      <c r="S77" s="4" t="str">
        <f>INDEX(FFARawStatProjections!BB:BB,MATCH(T77,FFARawStatProjections!BD:BD,0))</f>
        <v>Payne Durham</v>
      </c>
      <c r="T77">
        <f>LARGE(FFARawStatProjections!BD:BD,K77)</f>
        <v>30.656850000000002</v>
      </c>
      <c r="U77" s="248">
        <f t="shared" si="6"/>
        <v>-105.72932999999999</v>
      </c>
      <c r="V77" s="243">
        <f t="shared" si="7"/>
        <v>11178.691222248897</v>
      </c>
      <c r="X77" s="243">
        <f t="shared" si="8"/>
        <v>-6.6080831249999994</v>
      </c>
      <c r="Y77" s="238">
        <f>IFERROR(
IF(ISBLANK(Beersheet!$A$1)=FALSE,
INDEX(Beersheet!$A:$U,MATCH(S77,INDEX(Beersheet!$A:$U,0,FFARawStatProjections!$BV$2),0),FFARawStatProjections!$BV$6),
IF(X77&gt;6,0,
IF(AND(X77&lt;=6,X77&gt;5),1,
IF(AND(X77&lt;=5,X77&gt;4),2,
IF(AND(X77&lt;=4,X77&gt;3),3,
IF(AND(X77&lt;=3,X77&gt;2),4,
IF(AND(X77&lt;=2,X77&gt;1),5,
IF(AND(X77&lt;=1,X77&gt;0),6,
IF(AND(X77&lt;=0,X77&gt;-1),7,
8))))))))),
10)</f>
        <v>8</v>
      </c>
    </row>
    <row r="78" spans="1:25" ht="15" customHeight="1" x14ac:dyDescent="0.25">
      <c r="A78" s="135"/>
      <c r="B78" s="143" t="s">
        <v>683</v>
      </c>
      <c r="C78" t="str">
        <f>IF(AND(IFERROR(INDEX(Instructions!$T$111:$T$222,MATCH(D78,Instructions!$T$111:$T$222,0)), "")=D78, D78&lt;&gt;""), "X", "")</f>
        <v/>
      </c>
      <c r="D78" s="137" t="s">
        <v>2428</v>
      </c>
      <c r="E78" s="99" t="s">
        <v>149</v>
      </c>
      <c r="F78" s="232">
        <f>IFERROR(IF(AND($F$5="Projected Points",Beersheet!A73&lt;&gt;"QB"), T78, IF(H78="", INDEX(Tier!$B$40:$B$48,MATCH(G78,Tier!$A$40:$A$48,0)), INDEX(Tier!$B$40:$B$48,MATCH(G78,Tier!$A$40:$A$48,0)))), "")</f>
        <v>30.366769999999999</v>
      </c>
      <c r="G78" s="283">
        <f t="shared" si="9"/>
        <v>8</v>
      </c>
      <c r="H78" s="288"/>
      <c r="I78" s="392" t="str">
        <f>IFERROR(INDEX(ADP!T:T,MATCH(D78,ADP!D:D,0))-RBproj!K78,"")</f>
        <v/>
      </c>
      <c r="J78" s="134"/>
      <c r="K78" s="3">
        <v>72</v>
      </c>
      <c r="L78" s="2" t="s">
        <v>683</v>
      </c>
      <c r="M78" s="3">
        <f t="shared" si="5"/>
        <v>0</v>
      </c>
      <c r="N78" s="4">
        <f>IFERROR(INDEX(ADP!AC:AC,MATCH(D78,ADP!Y:Y,0)),0)</f>
        <v>0</v>
      </c>
      <c r="O78" t="s">
        <v>7</v>
      </c>
      <c r="R78" t="str">
        <f>IFERROR(VLOOKUP(S78,FFARawStatProjections!BB:BD,2,FALSE),"")</f>
        <v>LAR</v>
      </c>
      <c r="S78" s="4" t="str">
        <f>INDEX(FFARawStatProjections!BB:BB,MATCH(T78,FFARawStatProjections!BD:BD,0))</f>
        <v>Brycen Hopkins</v>
      </c>
      <c r="T78">
        <f>LARGE(FFARawStatProjections!BD:BD,K78)</f>
        <v>30.366769999999999</v>
      </c>
      <c r="U78" s="248">
        <f t="shared" si="6"/>
        <v>-106.01940999999999</v>
      </c>
      <c r="V78" s="243">
        <f t="shared" si="7"/>
        <v>11240.115296748099</v>
      </c>
      <c r="X78" s="243">
        <f t="shared" si="8"/>
        <v>-6.6262131249999996</v>
      </c>
      <c r="Y78" s="238">
        <f>IFERROR(
IF(ISBLANK(Beersheet!$A$1)=FALSE,
INDEX(Beersheet!$A:$U,MATCH(S78,INDEX(Beersheet!$A:$U,0,FFARawStatProjections!$BV$2),0),FFARawStatProjections!$BV$6),
IF(X78&gt;6,0,
IF(AND(X78&lt;=6,X78&gt;5),1,
IF(AND(X78&lt;=5,X78&gt;4),2,
IF(AND(X78&lt;=4,X78&gt;3),3,
IF(AND(X78&lt;=3,X78&gt;2),4,
IF(AND(X78&lt;=2,X78&gt;1),5,
IF(AND(X78&lt;=1,X78&gt;0),6,
IF(AND(X78&lt;=0,X78&gt;-1),7,
8))))))))),
10)</f>
        <v>8</v>
      </c>
    </row>
    <row r="79" spans="1:25" ht="15" customHeight="1" x14ac:dyDescent="0.25">
      <c r="A79" s="135"/>
      <c r="B79" s="142" t="s">
        <v>684</v>
      </c>
      <c r="C79" t="str">
        <f>IF(AND(IFERROR(INDEX(Instructions!$T$111:$T$222,MATCH(D79,Instructions!$T$111:$T$222,0)), "")=D79, D79&lt;&gt;""), "X", "")</f>
        <v/>
      </c>
      <c r="D79" s="138" t="s">
        <v>2249</v>
      </c>
      <c r="E79" s="100" t="s">
        <v>152</v>
      </c>
      <c r="F79" s="431">
        <f>IFERROR(IF(AND($F$5="Projected Points",Beersheet!A74&lt;&gt;"QB"), T79, IF(H79="", INDEX(Tier!$B$40:$B$48,MATCH(G79,Tier!$A$40:$A$48,0)), INDEX(Tier!$B$40:$B$48,MATCH(G79,Tier!$A$40:$A$48,0)))), "")</f>
        <v>30.256810000000002</v>
      </c>
      <c r="G79" s="250">
        <f t="shared" si="9"/>
        <v>8</v>
      </c>
      <c r="H79" s="291"/>
      <c r="I79" s="392" t="str">
        <f>IFERROR(INDEX(ADP!T:T,MATCH(D79,ADP!D:D,0))-RBproj!K79,"")</f>
        <v/>
      </c>
      <c r="J79" s="134"/>
      <c r="K79" s="3">
        <v>73</v>
      </c>
      <c r="L79" s="2" t="s">
        <v>684</v>
      </c>
      <c r="M79" s="3">
        <f t="shared" si="5"/>
        <v>0</v>
      </c>
      <c r="N79" s="4">
        <f>IFERROR(INDEX(ADP!AC:AC,MATCH(D79,ADP!Y:Y,0)),0)</f>
        <v>0</v>
      </c>
      <c r="O79" t="s">
        <v>7</v>
      </c>
      <c r="R79" t="str">
        <f>IFERROR(VLOOKUP(S79,FFARawStatProjections!BB:BD,2,FALSE),"")</f>
        <v>WAS</v>
      </c>
      <c r="S79" s="4" t="str">
        <f>INDEX(FFARawStatProjections!BB:BB,MATCH(T79,FFARawStatProjections!BD:BD,0))</f>
        <v>John Bates</v>
      </c>
      <c r="T79">
        <f>LARGE(FFARawStatProjections!BD:BD,K79)</f>
        <v>30.256810000000002</v>
      </c>
      <c r="U79" s="248">
        <f t="shared" si="6"/>
        <v>-106.12936999999999</v>
      </c>
      <c r="V79" s="243">
        <f t="shared" si="7"/>
        <v>11263.443176596898</v>
      </c>
      <c r="X79" s="243">
        <f t="shared" si="8"/>
        <v>-6.6330856249999997</v>
      </c>
      <c r="Y79" s="238">
        <f>IFERROR(
IF(ISBLANK(Beersheet!$A$1)=FALSE,
INDEX(Beersheet!$A:$U,MATCH(S79,INDEX(Beersheet!$A:$U,0,FFARawStatProjections!$BV$2),0),FFARawStatProjections!$BV$6),
IF(X79&gt;6,0,
IF(AND(X79&lt;=6,X79&gt;5),1,
IF(AND(X79&lt;=5,X79&gt;4),2,
IF(AND(X79&lt;=4,X79&gt;3),3,
IF(AND(X79&lt;=3,X79&gt;2),4,
IF(AND(X79&lt;=2,X79&gt;1),5,
IF(AND(X79&lt;=1,X79&gt;0),6,
IF(AND(X79&lt;=0,X79&gt;-1),7,
8))))))))),
10)</f>
        <v>8</v>
      </c>
    </row>
    <row r="80" spans="1:25" ht="15" customHeight="1" x14ac:dyDescent="0.25">
      <c r="A80" s="135"/>
      <c r="B80" s="143" t="s">
        <v>685</v>
      </c>
      <c r="C80" t="str">
        <f>IF(AND(IFERROR(INDEX(Instructions!$T$111:$T$222,MATCH(D80,Instructions!$T$111:$T$222,0)), "")=D80, D80&lt;&gt;""), "X", "")</f>
        <v/>
      </c>
      <c r="D80" s="137" t="s">
        <v>2500</v>
      </c>
      <c r="E80" s="99" t="s">
        <v>1389</v>
      </c>
      <c r="F80" s="232">
        <f>IFERROR(IF(AND($F$5="Projected Points",Beersheet!A75&lt;&gt;"QB"), T80, IF(H80="", INDEX(Tier!$B$40:$B$48,MATCH(G80,Tier!$A$40:$A$48,0)), INDEX(Tier!$B$40:$B$48,MATCH(G80,Tier!$A$40:$A$48,0)))), "")</f>
        <v>28.61675</v>
      </c>
      <c r="G80" s="283">
        <f t="shared" si="9"/>
        <v>8</v>
      </c>
      <c r="H80" s="288"/>
      <c r="I80" s="392" t="str">
        <f>IFERROR(INDEX(ADP!T:T,MATCH(D80,ADP!D:D,0))-RBproj!K80,"")</f>
        <v/>
      </c>
      <c r="J80" s="134"/>
      <c r="K80" s="3">
        <v>74</v>
      </c>
      <c r="L80" s="2" t="s">
        <v>685</v>
      </c>
      <c r="M80" s="3">
        <f t="shared" si="5"/>
        <v>0</v>
      </c>
      <c r="N80" s="4">
        <f>IFERROR(INDEX(ADP!AC:AC,MATCH(D80,ADP!Y:Y,0)),0)</f>
        <v>0</v>
      </c>
      <c r="O80" t="s">
        <v>7</v>
      </c>
      <c r="R80" t="str">
        <f>IFERROR(VLOOKUP(S80,FFARawStatProjections!BB:BD,2,FALSE),"")</f>
        <v>DEN</v>
      </c>
      <c r="S80" s="4" t="str">
        <f>INDEX(FFARawStatProjections!BB:BB,MATCH(T80,FFARawStatProjections!BD:BD,0))</f>
        <v>Albert Okwuegbunam</v>
      </c>
      <c r="T80">
        <f>LARGE(FFARawStatProjections!BD:BD,K80)</f>
        <v>28.61675</v>
      </c>
      <c r="U80" s="248">
        <f t="shared" si="6"/>
        <v>-107.76943</v>
      </c>
      <c r="V80" s="243">
        <f t="shared" si="7"/>
        <v>11614.2500425249</v>
      </c>
      <c r="X80" s="243">
        <f t="shared" si="8"/>
        <v>-6.735589375</v>
      </c>
      <c r="Y80" s="238">
        <f>IFERROR(
IF(ISBLANK(Beersheet!$A$1)=FALSE,
INDEX(Beersheet!$A:$U,MATCH(S80,INDEX(Beersheet!$A:$U,0,FFARawStatProjections!$BV$2),0),FFARawStatProjections!$BV$6),
IF(X80&gt;6,0,
IF(AND(X80&lt;=6,X80&gt;5),1,
IF(AND(X80&lt;=5,X80&gt;4),2,
IF(AND(X80&lt;=4,X80&gt;3),3,
IF(AND(X80&lt;=3,X80&gt;2),4,
IF(AND(X80&lt;=2,X80&gt;1),5,
IF(AND(X80&lt;=1,X80&gt;0),6,
IF(AND(X80&lt;=0,X80&gt;-1),7,
8))))))))),
10)</f>
        <v>8</v>
      </c>
    </row>
    <row r="81" spans="1:25" ht="15" customHeight="1" x14ac:dyDescent="0.25">
      <c r="A81" s="135"/>
      <c r="B81" s="142" t="s">
        <v>686</v>
      </c>
      <c r="C81" t="str">
        <f>IF(AND(IFERROR(INDEX(Instructions!$T$111:$T$222,MATCH(D81,Instructions!$T$111:$T$222,0)), "")=D81, D81&lt;&gt;""), "X", "")</f>
        <v/>
      </c>
      <c r="D81" s="138" t="s">
        <v>2427</v>
      </c>
      <c r="E81" s="100" t="s">
        <v>146</v>
      </c>
      <c r="F81" s="431">
        <f>IFERROR(IF(AND($F$5="Projected Points",Beersheet!A76&lt;&gt;"QB"), T81, IF(H81="", INDEX(Tier!$B$40:$B$48,MATCH(G81,Tier!$A$40:$A$48,0)), INDEX(Tier!$B$40:$B$48,MATCH(G81,Tier!$A$40:$A$48,0)))), "")</f>
        <v>28.346830000000004</v>
      </c>
      <c r="G81" s="250">
        <f t="shared" si="9"/>
        <v>8</v>
      </c>
      <c r="H81" s="291"/>
      <c r="I81" s="392" t="str">
        <f>IFERROR(INDEX(ADP!T:T,MATCH(D81,ADP!D:D,0))-RBproj!K81,"")</f>
        <v/>
      </c>
      <c r="J81" s="134"/>
      <c r="K81" s="3">
        <v>75</v>
      </c>
      <c r="L81" s="2" t="s">
        <v>686</v>
      </c>
      <c r="M81" s="3">
        <f t="shared" si="5"/>
        <v>0</v>
      </c>
      <c r="N81" s="4">
        <f>IFERROR(INDEX(ADP!AC:AC,MATCH(D81,ADP!Y:Y,0)),0)</f>
        <v>0</v>
      </c>
      <c r="O81" t="s">
        <v>7</v>
      </c>
      <c r="R81" t="str">
        <f>IFERROR(VLOOKUP(S81,FFARawStatProjections!BB:BD,2,FALSE),"")</f>
        <v>SF</v>
      </c>
      <c r="S81" s="4" t="str">
        <f>INDEX(FFARawStatProjections!BB:BB,MATCH(T81,FFARawStatProjections!BD:BD,0))</f>
        <v>Cameron Latu</v>
      </c>
      <c r="T81">
        <f>LARGE(FFARawStatProjections!BD:BD,K81)</f>
        <v>28.346830000000004</v>
      </c>
      <c r="U81" s="248">
        <f t="shared" si="6"/>
        <v>-108.03934999999998</v>
      </c>
      <c r="V81" s="243">
        <f t="shared" si="7"/>
        <v>11672.501148422496</v>
      </c>
      <c r="X81" s="243">
        <f t="shared" si="8"/>
        <v>-6.752459374999999</v>
      </c>
      <c r="Y81" s="238">
        <f>IFERROR(
IF(ISBLANK(Beersheet!$A$1)=FALSE,
INDEX(Beersheet!$A:$U,MATCH(S81,INDEX(Beersheet!$A:$U,0,FFARawStatProjections!$BV$2),0),FFARawStatProjections!$BV$6),
IF(X81&gt;6,0,
IF(AND(X81&lt;=6,X81&gt;5),1,
IF(AND(X81&lt;=5,X81&gt;4),2,
IF(AND(X81&lt;=4,X81&gt;3),3,
IF(AND(X81&lt;=3,X81&gt;2),4,
IF(AND(X81&lt;=2,X81&gt;1),5,
IF(AND(X81&lt;=1,X81&gt;0),6,
IF(AND(X81&lt;=0,X81&gt;-1),7,
8))))))))),
10)</f>
        <v>8</v>
      </c>
    </row>
    <row r="82" spans="1:25" ht="15" customHeight="1" x14ac:dyDescent="0.25">
      <c r="A82" s="135"/>
      <c r="B82" s="143" t="s">
        <v>687</v>
      </c>
      <c r="C82" t="str">
        <f>IF(AND(IFERROR(INDEX(Instructions!$T$111:$T$222,MATCH(D82,Instructions!$T$111:$T$222,0)), "")=D82, D82&lt;&gt;""), "X", "")</f>
        <v/>
      </c>
      <c r="D82" s="137" t="s">
        <v>2515</v>
      </c>
      <c r="E82" s="99" t="s">
        <v>155</v>
      </c>
      <c r="F82" s="232">
        <f>IFERROR(IF(AND($F$5="Projected Points",Beersheet!A77&lt;&gt;"QB"), T82, IF(H82="", INDEX(Tier!$B$40:$B$48,MATCH(G82,Tier!$A$40:$A$48,0)), INDEX(Tier!$B$40:$B$48,MATCH(G82,Tier!$A$40:$A$48,0)))), "")</f>
        <v>27.30678</v>
      </c>
      <c r="G82" s="283">
        <f t="shared" si="9"/>
        <v>8</v>
      </c>
      <c r="H82" s="288"/>
      <c r="I82" s="392" t="str">
        <f>IFERROR(INDEX(ADP!T:T,MATCH(D82,ADP!D:D,0))-RBproj!K82,"")</f>
        <v/>
      </c>
      <c r="J82" s="134"/>
      <c r="K82" s="3">
        <v>76</v>
      </c>
      <c r="L82" s="2" t="s">
        <v>687</v>
      </c>
      <c r="M82" s="3">
        <f t="shared" si="5"/>
        <v>0</v>
      </c>
      <c r="N82" s="4">
        <f>IFERROR(INDEX(ADP!AC:AC,MATCH(D82,ADP!Y:Y,0)),0)</f>
        <v>0</v>
      </c>
      <c r="O82" t="s">
        <v>7</v>
      </c>
      <c r="R82" t="str">
        <f>IFERROR(VLOOKUP(S82,FFARawStatProjections!BB:BD,2,FALSE),"")</f>
        <v>DAL</v>
      </c>
      <c r="S82" s="4" t="str">
        <f>INDEX(FFARawStatProjections!BB:BB,MATCH(T82,FFARawStatProjections!BD:BD,0))</f>
        <v>Peyton Hendershot</v>
      </c>
      <c r="T82">
        <f>LARGE(FFARawStatProjections!BD:BD,K82)</f>
        <v>27.30678</v>
      </c>
      <c r="U82" s="248">
        <f t="shared" si="6"/>
        <v>-109.07939999999999</v>
      </c>
      <c r="V82" s="243">
        <f t="shared" si="7"/>
        <v>11898.315504359998</v>
      </c>
      <c r="X82" s="243">
        <f t="shared" si="8"/>
        <v>-6.8174624999999995</v>
      </c>
      <c r="Y82" s="238">
        <f>IFERROR(
IF(ISBLANK(Beersheet!$A$1)=FALSE,
INDEX(Beersheet!$A:$U,MATCH(S82,INDEX(Beersheet!$A:$U,0,FFARawStatProjections!$BV$2),0),FFARawStatProjections!$BV$6),
IF(X82&gt;6,0,
IF(AND(X82&lt;=6,X82&gt;5),1,
IF(AND(X82&lt;=5,X82&gt;4),2,
IF(AND(X82&lt;=4,X82&gt;3),3,
IF(AND(X82&lt;=3,X82&gt;2),4,
IF(AND(X82&lt;=2,X82&gt;1),5,
IF(AND(X82&lt;=1,X82&gt;0),6,
IF(AND(X82&lt;=0,X82&gt;-1),7,
8))))))))),
10)</f>
        <v>8</v>
      </c>
    </row>
    <row r="83" spans="1:25" ht="15" customHeight="1" x14ac:dyDescent="0.25">
      <c r="A83" s="135"/>
      <c r="B83" s="142" t="s">
        <v>688</v>
      </c>
      <c r="C83" t="str">
        <f>IF(AND(IFERROR(INDEX(Instructions!$T$111:$T$222,MATCH(D83,Instructions!$T$111:$T$222,0)), "")=D83, D83&lt;&gt;""), "X", "")</f>
        <v/>
      </c>
      <c r="D83" s="138" t="s">
        <v>2238</v>
      </c>
      <c r="E83" s="100" t="s">
        <v>1389</v>
      </c>
      <c r="F83" s="431">
        <f>IFERROR(IF(AND($F$5="Projected Points",Beersheet!A78&lt;&gt;"QB"), T83, IF(H83="", INDEX(Tier!$B$40:$B$48,MATCH(G83,Tier!$A$40:$A$48,0)), INDEX(Tier!$B$40:$B$48,MATCH(G83,Tier!$A$40:$A$48,0)))), "")</f>
        <v>27.066840000000003</v>
      </c>
      <c r="G83" s="250">
        <f t="shared" si="9"/>
        <v>8</v>
      </c>
      <c r="H83" s="291"/>
      <c r="I83" s="392" t="str">
        <f>IFERROR(INDEX(ADP!T:T,MATCH(D83,ADP!D:D,0))-RBproj!K83,"")</f>
        <v/>
      </c>
      <c r="J83" s="134"/>
      <c r="K83" s="3">
        <v>77</v>
      </c>
      <c r="L83" s="2" t="s">
        <v>688</v>
      </c>
      <c r="M83" s="3">
        <f t="shared" si="5"/>
        <v>0</v>
      </c>
      <c r="N83" s="4">
        <f>IFERROR(INDEX(ADP!AC:AC,MATCH(D83,ADP!Y:Y,0)),0)</f>
        <v>0</v>
      </c>
      <c r="O83" t="s">
        <v>7</v>
      </c>
      <c r="R83" t="str">
        <f>IFERROR(VLOOKUP(S83,FFARawStatProjections!BB:BD,2,FALSE),"")</f>
        <v>LAR</v>
      </c>
      <c r="S83" s="4" t="str">
        <f>INDEX(FFARawStatProjections!BB:BB,MATCH(T83,FFARawStatProjections!BD:BD,0))</f>
        <v>Hunter Long</v>
      </c>
      <c r="T83">
        <f>LARGE(FFARawStatProjections!BD:BD,K83)</f>
        <v>27.066840000000003</v>
      </c>
      <c r="U83" s="248">
        <f t="shared" si="6"/>
        <v>-109.31934</v>
      </c>
      <c r="V83" s="243">
        <f t="shared" si="7"/>
        <v>11950.718098035599</v>
      </c>
      <c r="X83" s="243">
        <f t="shared" si="8"/>
        <v>-6.8324587499999998</v>
      </c>
      <c r="Y83" s="238">
        <f>IFERROR(
IF(ISBLANK(Beersheet!$A$1)=FALSE,
INDEX(Beersheet!$A:$U,MATCH(S83,INDEX(Beersheet!$A:$U,0,FFARawStatProjections!$BV$2),0),FFARawStatProjections!$BV$6),
IF(X83&gt;6,0,
IF(AND(X83&lt;=6,X83&gt;5),1,
IF(AND(X83&lt;=5,X83&gt;4),2,
IF(AND(X83&lt;=4,X83&gt;3),3,
IF(AND(X83&lt;=3,X83&gt;2),4,
IF(AND(X83&lt;=2,X83&gt;1),5,
IF(AND(X83&lt;=1,X83&gt;0),6,
IF(AND(X83&lt;=0,X83&gt;-1),7,
8))))))))),
10)</f>
        <v>8</v>
      </c>
    </row>
    <row r="84" spans="1:25" ht="15" customHeight="1" x14ac:dyDescent="0.25">
      <c r="A84" s="135"/>
      <c r="B84" s="143" t="s">
        <v>689</v>
      </c>
      <c r="C84" t="str">
        <f>IF(AND(IFERROR(INDEX(Instructions!$T$111:$T$222,MATCH(D84,Instructions!$T$111:$T$222,0)), "")=D84, D84&lt;&gt;""), "X", "")</f>
        <v/>
      </c>
      <c r="D84" s="137" t="s">
        <v>2361</v>
      </c>
      <c r="E84" s="99" t="s">
        <v>149</v>
      </c>
      <c r="F84" s="232">
        <f>IFERROR(IF(AND($F$5="Projected Points",Beersheet!A79&lt;&gt;"QB"), T84, IF(H84="", INDEX(Tier!$B$40:$B$48,MATCH(G84,Tier!$A$40:$A$48,0)), INDEX(Tier!$B$40:$B$48,MATCH(G84,Tier!$A$40:$A$48,0)))), "")</f>
        <v>26.546879999999998</v>
      </c>
      <c r="G84" s="283">
        <f t="shared" si="9"/>
        <v>8</v>
      </c>
      <c r="H84" s="288"/>
      <c r="I84" s="392" t="str">
        <f>IFERROR(INDEX(ADP!T:T,MATCH(D84,ADP!D:D,0))-RBproj!K84,"")</f>
        <v/>
      </c>
      <c r="J84" s="134"/>
      <c r="K84" s="3">
        <v>78</v>
      </c>
      <c r="L84" s="2" t="s">
        <v>689</v>
      </c>
      <c r="M84" s="3">
        <f t="shared" si="5"/>
        <v>0</v>
      </c>
      <c r="N84" s="4">
        <f>IFERROR(INDEX(ADP!AC:AC,MATCH(D84,ADP!Y:Y,0)),0)</f>
        <v>0</v>
      </c>
      <c r="O84" t="s">
        <v>7</v>
      </c>
      <c r="R84" t="str">
        <f>IFERROR(VLOOKUP(S84,FFARawStatProjections!BB:BD,2,FALSE),"")</f>
        <v>TB</v>
      </c>
      <c r="S84" s="4" t="str">
        <f>INDEX(FFARawStatProjections!BB:BB,MATCH(T84,FFARawStatProjections!BD:BD,0))</f>
        <v>Ko Kieft</v>
      </c>
      <c r="T84">
        <f>LARGE(FFARawStatProjections!BD:BD,K84)</f>
        <v>26.546879999999998</v>
      </c>
      <c r="U84" s="248">
        <f t="shared" si="6"/>
        <v>-109.83929999999999</v>
      </c>
      <c r="V84" s="243">
        <f t="shared" si="7"/>
        <v>12064.671824489998</v>
      </c>
      <c r="X84" s="243">
        <f t="shared" si="8"/>
        <v>-6.8649562499999996</v>
      </c>
      <c r="Y84" s="238">
        <f>IFERROR(
IF(ISBLANK(Beersheet!$A$1)=FALSE,
INDEX(Beersheet!$A:$U,MATCH(S84,INDEX(Beersheet!$A:$U,0,FFARawStatProjections!$BV$2),0),FFARawStatProjections!$BV$6),
IF(X84&gt;6,0,
IF(AND(X84&lt;=6,X84&gt;5),1,
IF(AND(X84&lt;=5,X84&gt;4),2,
IF(AND(X84&lt;=4,X84&gt;3),3,
IF(AND(X84&lt;=3,X84&gt;2),4,
IF(AND(X84&lt;=2,X84&gt;1),5,
IF(AND(X84&lt;=1,X84&gt;0),6,
IF(AND(X84&lt;=0,X84&gt;-1),7,
8))))))))),
10)</f>
        <v>8</v>
      </c>
    </row>
    <row r="85" spans="1:25" ht="15" customHeight="1" x14ac:dyDescent="0.25">
      <c r="A85" s="135"/>
      <c r="B85" s="142" t="s">
        <v>690</v>
      </c>
      <c r="C85" t="str">
        <f>IF(AND(IFERROR(INDEX(Instructions!$T$111:$T$222,MATCH(D85,Instructions!$T$111:$T$222,0)), "")=D85, D85&lt;&gt;""), "X", "")</f>
        <v/>
      </c>
      <c r="D85" s="138" t="s">
        <v>1895</v>
      </c>
      <c r="E85" s="100" t="s">
        <v>137</v>
      </c>
      <c r="F85" s="431">
        <f>IFERROR(IF(AND($F$5="Projected Points",Beersheet!A80&lt;&gt;"QB"), T85, IF(H85="", INDEX(Tier!$B$40:$B$48,MATCH(G85,Tier!$A$40:$A$48,0)), INDEX(Tier!$B$40:$B$48,MATCH(G85,Tier!$A$40:$A$48,0)))), "")</f>
        <v>26.4968</v>
      </c>
      <c r="G85" s="250">
        <f t="shared" si="9"/>
        <v>8</v>
      </c>
      <c r="H85" s="291"/>
      <c r="I85" s="392" t="str">
        <f>IFERROR(INDEX(ADP!T:T,MATCH(D85,ADP!D:D,0))-RBproj!K85,"")</f>
        <v/>
      </c>
      <c r="J85" s="134"/>
      <c r="K85" s="3">
        <v>79</v>
      </c>
      <c r="L85" s="2" t="s">
        <v>690</v>
      </c>
      <c r="M85" s="3">
        <f t="shared" si="5"/>
        <v>0</v>
      </c>
      <c r="N85" s="4">
        <f>IFERROR(INDEX(ADP!AC:AC,MATCH(D85,ADP!Y:Y,0)),0)</f>
        <v>0</v>
      </c>
      <c r="O85" t="s">
        <v>7</v>
      </c>
      <c r="R85" t="str">
        <f>IFERROR(VLOOKUP(S85,FFARawStatProjections!BB:BD,2,FALSE),"")</f>
        <v>KC</v>
      </c>
      <c r="S85" s="4" t="str">
        <f>INDEX(FFARawStatProjections!BB:BB,MATCH(T85,FFARawStatProjections!BD:BD,0))</f>
        <v>Blake Bell</v>
      </c>
      <c r="T85">
        <f>LARGE(FFARawStatProjections!BD:BD,K85)</f>
        <v>26.4968</v>
      </c>
      <c r="U85" s="248">
        <f t="shared" si="6"/>
        <v>-109.88937999999999</v>
      </c>
      <c r="V85" s="243">
        <f t="shared" si="7"/>
        <v>12075.675836784398</v>
      </c>
      <c r="X85" s="243">
        <f t="shared" si="8"/>
        <v>-6.8680862499999993</v>
      </c>
      <c r="Y85" s="238">
        <f>IFERROR(
IF(ISBLANK(Beersheet!$A$1)=FALSE,
INDEX(Beersheet!$A:$U,MATCH(S85,INDEX(Beersheet!$A:$U,0,FFARawStatProjections!$BV$2),0),FFARawStatProjections!$BV$6),
IF(X85&gt;6,0,
IF(AND(X85&lt;=6,X85&gt;5),1,
IF(AND(X85&lt;=5,X85&gt;4),2,
IF(AND(X85&lt;=4,X85&gt;3),3,
IF(AND(X85&lt;=3,X85&gt;2),4,
IF(AND(X85&lt;=2,X85&gt;1),5,
IF(AND(X85&lt;=1,X85&gt;0),6,
IF(AND(X85&lt;=0,X85&gt;-1),7,
8))))))))),
10)</f>
        <v>8</v>
      </c>
    </row>
    <row r="86" spans="1:25" ht="15" customHeight="1" x14ac:dyDescent="0.25">
      <c r="A86" s="135"/>
      <c r="B86" s="143" t="s">
        <v>691</v>
      </c>
      <c r="C86" t="str">
        <f>IF(AND(IFERROR(INDEX(Instructions!$T$111:$T$222,MATCH(D86,Instructions!$T$111:$T$222,0)), "")=D86, D86&lt;&gt;""), "X", "")</f>
        <v/>
      </c>
      <c r="D86" s="137" t="s">
        <v>2246</v>
      </c>
      <c r="E86" s="99" t="s">
        <v>136</v>
      </c>
      <c r="F86" s="232">
        <f>IFERROR(IF(AND($F$5="Projected Points",Beersheet!A81&lt;&gt;"QB"), T86, IF(H86="", INDEX(Tier!$B$40:$B$48,MATCH(G86,Tier!$A$40:$A$48,0)), INDEX(Tier!$B$40:$B$48,MATCH(G86,Tier!$A$40:$A$48,0)))), "")</f>
        <v>25.8169</v>
      </c>
      <c r="G86" s="283">
        <f t="shared" si="9"/>
        <v>8</v>
      </c>
      <c r="H86" s="288"/>
      <c r="I86" s="392" t="str">
        <f>IFERROR(INDEX(ADP!T:T,MATCH(D86,ADP!D:D,0))-RBproj!K86,"")</f>
        <v/>
      </c>
      <c r="J86" s="134"/>
      <c r="K86" s="3">
        <v>80</v>
      </c>
      <c r="L86" s="2" t="s">
        <v>691</v>
      </c>
      <c r="M86" s="3">
        <f t="shared" si="5"/>
        <v>0</v>
      </c>
      <c r="N86" s="4">
        <f>IFERROR(INDEX(ADP!AC:AC,MATCH(D86,ADP!Y:Y,0)),0)</f>
        <v>0</v>
      </c>
      <c r="O86" t="s">
        <v>7</v>
      </c>
      <c r="R86" t="str">
        <f>IFERROR(VLOOKUP(S86,FFARawStatProjections!BB:BD,2,FALSE),"")</f>
        <v>LAC</v>
      </c>
      <c r="S86" s="4" t="str">
        <f>INDEX(FFARawStatProjections!BB:BB,MATCH(T86,FFARawStatProjections!BD:BD,0))</f>
        <v>Tre McKitty</v>
      </c>
      <c r="T86">
        <f>LARGE(FFARawStatProjections!BD:BD,K86)</f>
        <v>25.8169</v>
      </c>
      <c r="U86" s="248">
        <f t="shared" si="6"/>
        <v>-110.56927999999999</v>
      </c>
      <c r="V86" s="243">
        <f t="shared" si="7"/>
        <v>12225.565679718398</v>
      </c>
      <c r="X86" s="243">
        <f t="shared" si="8"/>
        <v>-6.9105799999999995</v>
      </c>
      <c r="Y86" s="238">
        <f>IFERROR(
IF(ISBLANK(Beersheet!$A$1)=FALSE,
INDEX(Beersheet!$A:$U,MATCH(S86,INDEX(Beersheet!$A:$U,0,FFARawStatProjections!$BV$2),0),FFARawStatProjections!$BV$6),
IF(X86&gt;6,0,
IF(AND(X86&lt;=6,X86&gt;5),1,
IF(AND(X86&lt;=5,X86&gt;4),2,
IF(AND(X86&lt;=4,X86&gt;3),3,
IF(AND(X86&lt;=3,X86&gt;2),4,
IF(AND(X86&lt;=2,X86&gt;1),5,
IF(AND(X86&lt;=1,X86&gt;0),6,
IF(AND(X86&lt;=0,X86&gt;-1),7,
8))))))))),
10)</f>
        <v>8</v>
      </c>
    </row>
    <row r="87" spans="1:25" ht="15" customHeight="1" x14ac:dyDescent="0.25">
      <c r="A87" s="135"/>
      <c r="B87" s="142" t="s">
        <v>692</v>
      </c>
      <c r="C87" t="str">
        <f>IF(AND(IFERROR(INDEX(Instructions!$T$111:$T$222,MATCH(D87,Instructions!$T$111:$T$222,0)), "")=D87, D87&lt;&gt;""), "X", "")</f>
        <v/>
      </c>
      <c r="D87" s="138" t="s">
        <v>2254</v>
      </c>
      <c r="E87" s="100" t="s">
        <v>1388</v>
      </c>
      <c r="F87" s="431">
        <f>IFERROR(IF(AND($F$5="Projected Points",Beersheet!A82&lt;&gt;"QB"), T87, IF(H87="", INDEX(Tier!$B$40:$B$48,MATCH(G87,Tier!$A$40:$A$48,0)), INDEX(Tier!$B$40:$B$48,MATCH(G87,Tier!$A$40:$A$48,0)))), "")</f>
        <v>25.22682</v>
      </c>
      <c r="G87" s="250">
        <f t="shared" si="9"/>
        <v>8</v>
      </c>
      <c r="H87" s="291"/>
      <c r="I87" s="392" t="str">
        <f>IFERROR(INDEX(ADP!T:T,MATCH(D87,ADP!D:D,0))-RBproj!K87,"")</f>
        <v/>
      </c>
      <c r="J87" s="134"/>
      <c r="K87" s="3">
        <v>81</v>
      </c>
      <c r="L87" s="2" t="s">
        <v>692</v>
      </c>
      <c r="M87" s="3">
        <f t="shared" si="5"/>
        <v>0</v>
      </c>
      <c r="N87" s="4">
        <f>IFERROR(INDEX(ADP!AC:AC,MATCH(D87,ADP!Y:Y,0)),0)</f>
        <v>0</v>
      </c>
      <c r="O87" t="s">
        <v>7</v>
      </c>
      <c r="R87" t="str">
        <f>IFERROR(VLOOKUP(S87,FFARawStatProjections!BB:BD,2,FALSE),"")</f>
        <v>PHI</v>
      </c>
      <c r="S87" s="4" t="str">
        <f>INDEX(FFARawStatProjections!BB:BB,MATCH(T87,FFARawStatProjections!BD:BD,0))</f>
        <v>Dan Arnold</v>
      </c>
      <c r="T87">
        <f>LARGE(FFARawStatProjections!BD:BD,K87)</f>
        <v>25.22682</v>
      </c>
      <c r="U87" s="248">
        <f t="shared" si="6"/>
        <v>-111.15935999999999</v>
      </c>
      <c r="V87" s="243">
        <f t="shared" si="7"/>
        <v>12356.403315609597</v>
      </c>
      <c r="X87" s="243">
        <f t="shared" si="8"/>
        <v>-6.9474599999999995</v>
      </c>
      <c r="Y87" s="238">
        <f>IFERROR(
IF(ISBLANK(Beersheet!$A$1)=FALSE,
INDEX(Beersheet!$A:$U,MATCH(S87,INDEX(Beersheet!$A:$U,0,FFARawStatProjections!$BV$2),0),FFARawStatProjections!$BV$6),
IF(X87&gt;6,0,
IF(AND(X87&lt;=6,X87&gt;5),1,
IF(AND(X87&lt;=5,X87&gt;4),2,
IF(AND(X87&lt;=4,X87&gt;3),3,
IF(AND(X87&lt;=3,X87&gt;2),4,
IF(AND(X87&lt;=2,X87&gt;1),5,
IF(AND(X87&lt;=1,X87&gt;0),6,
IF(AND(X87&lt;=0,X87&gt;-1),7,
8))))))))),
10)</f>
        <v>8</v>
      </c>
    </row>
    <row r="88" spans="1:25" ht="15" customHeight="1" x14ac:dyDescent="0.25">
      <c r="A88" s="135"/>
      <c r="B88" s="143" t="s">
        <v>693</v>
      </c>
      <c r="C88" t="str">
        <f>IF(AND(IFERROR(INDEX(Instructions!$T$111:$T$222,MATCH(D88,Instructions!$T$111:$T$222,0)), "")=D88, D88&lt;&gt;""), "X", "")</f>
        <v/>
      </c>
      <c r="D88" s="137" t="s">
        <v>2377</v>
      </c>
      <c r="E88" s="99" t="s">
        <v>158</v>
      </c>
      <c r="F88" s="232">
        <f>IFERROR(IF(AND($F$5="Projected Points",Beersheet!A83&lt;&gt;"QB"), T88, IF(H88="", INDEX(Tier!$B$40:$B$48,MATCH(G88,Tier!$A$40:$A$48,0)), INDEX(Tier!$B$40:$B$48,MATCH(G88,Tier!$A$40:$A$48,0)))), "")</f>
        <v>24.806910000000002</v>
      </c>
      <c r="G88" s="283">
        <f t="shared" si="9"/>
        <v>8</v>
      </c>
      <c r="H88" s="288"/>
      <c r="I88" s="392" t="str">
        <f>IFERROR(INDEX(ADP!T:T,MATCH(D88,ADP!D:D,0))-RBproj!K88,"")</f>
        <v/>
      </c>
      <c r="J88" s="134"/>
      <c r="K88" s="3">
        <v>82</v>
      </c>
      <c r="L88" s="2" t="s">
        <v>693</v>
      </c>
      <c r="M88" s="3">
        <f t="shared" si="5"/>
        <v>0</v>
      </c>
      <c r="N88" s="4">
        <f>IFERROR(INDEX(ADP!AC:AC,MATCH(D88,ADP!Y:Y,0)),0)</f>
        <v>0</v>
      </c>
      <c r="O88" t="s">
        <v>7</v>
      </c>
      <c r="R88" t="str">
        <f>IFERROR(VLOOKUP(S88,FFARawStatProjections!BB:BD,2,FALSE),"")</f>
        <v>IND</v>
      </c>
      <c r="S88" s="4" t="str">
        <f>INDEX(FFARawStatProjections!BB:BB,MATCH(T88,FFARawStatProjections!BD:BD,0))</f>
        <v>Andrew Ogletree</v>
      </c>
      <c r="T88">
        <f>LARGE(FFARawStatProjections!BD:BD,K88)</f>
        <v>24.806910000000002</v>
      </c>
      <c r="U88" s="248">
        <f t="shared" si="6"/>
        <v>-111.57926999999999</v>
      </c>
      <c r="V88" s="243">
        <f t="shared" si="7"/>
        <v>12449.933493732899</v>
      </c>
      <c r="X88" s="243">
        <f t="shared" si="8"/>
        <v>-6.9737043749999996</v>
      </c>
      <c r="Y88" s="238">
        <f>IFERROR(
IF(ISBLANK(Beersheet!$A$1)=FALSE,
INDEX(Beersheet!$A:$U,MATCH(S88,INDEX(Beersheet!$A:$U,0,FFARawStatProjections!$BV$2),0),FFARawStatProjections!$BV$6),
IF(X88&gt;6,0,
IF(AND(X88&lt;=6,X88&gt;5),1,
IF(AND(X88&lt;=5,X88&gt;4),2,
IF(AND(X88&lt;=4,X88&gt;3),3,
IF(AND(X88&lt;=3,X88&gt;2),4,
IF(AND(X88&lt;=2,X88&gt;1),5,
IF(AND(X88&lt;=1,X88&gt;0),6,
IF(AND(X88&lt;=0,X88&gt;-1),7,
8))))))))),
10)</f>
        <v>8</v>
      </c>
    </row>
    <row r="89" spans="1:25" ht="15" customHeight="1" x14ac:dyDescent="0.25">
      <c r="A89" s="135"/>
      <c r="B89" s="142" t="s">
        <v>694</v>
      </c>
      <c r="C89" t="str">
        <f>IF(AND(IFERROR(INDEX(Instructions!$T$111:$T$222,MATCH(D89,Instructions!$T$111:$T$222,0)), "")=D89, D89&lt;&gt;""), "X", "")</f>
        <v/>
      </c>
      <c r="D89" s="138" t="s">
        <v>2370</v>
      </c>
      <c r="E89" s="100" t="s">
        <v>142</v>
      </c>
      <c r="F89" s="431">
        <f>IFERROR(IF(AND($F$5="Projected Points",Beersheet!A84&lt;&gt;"QB"), T89, IF(H89="", INDEX(Tier!$B$40:$B$48,MATCH(G89,Tier!$A$40:$A$48,0)), INDEX(Tier!$B$40:$B$48,MATCH(G89,Tier!$A$40:$A$48,0)))), "")</f>
        <v>24.076889999999999</v>
      </c>
      <c r="G89" s="250">
        <f t="shared" si="9"/>
        <v>8</v>
      </c>
      <c r="H89" s="291"/>
      <c r="I89" s="392" t="str">
        <f>IFERROR(INDEX(ADP!T:T,MATCH(D89,ADP!D:D,0))-RBproj!K89,"")</f>
        <v/>
      </c>
      <c r="J89" s="134"/>
      <c r="K89" s="3">
        <v>83</v>
      </c>
      <c r="L89" s="2" t="s">
        <v>694</v>
      </c>
      <c r="M89" s="3">
        <f t="shared" si="5"/>
        <v>0</v>
      </c>
      <c r="N89" s="4">
        <f>IFERROR(INDEX(ADP!AC:AC,MATCH(D89,ADP!Y:Y,0)),0)</f>
        <v>0</v>
      </c>
      <c r="O89" t="s">
        <v>7</v>
      </c>
      <c r="R89" t="str">
        <f>IFERROR(VLOOKUP(S89,FFARawStatProjections!BB:BD,2,FALSE),"")</f>
        <v>DET</v>
      </c>
      <c r="S89" s="4" t="str">
        <f>INDEX(FFARawStatProjections!BB:BB,MATCH(T89,FFARawStatProjections!BD:BD,0))</f>
        <v>James Mitchell</v>
      </c>
      <c r="T89">
        <f>LARGE(FFARawStatProjections!BD:BD,K89)</f>
        <v>24.076889999999999</v>
      </c>
      <c r="U89" s="248">
        <f t="shared" si="6"/>
        <v>-112.30929</v>
      </c>
      <c r="V89" s="243">
        <f t="shared" si="7"/>
        <v>12613.376620304101</v>
      </c>
      <c r="X89" s="243">
        <f t="shared" si="8"/>
        <v>-7.0193306250000003</v>
      </c>
      <c r="Y89" s="238">
        <f>IFERROR(
IF(ISBLANK(Beersheet!$A$1)=FALSE,
INDEX(Beersheet!$A:$U,MATCH(S89,INDEX(Beersheet!$A:$U,0,FFARawStatProjections!$BV$2),0),FFARawStatProjections!$BV$6),
IF(X89&gt;6,0,
IF(AND(X89&lt;=6,X89&gt;5),1,
IF(AND(X89&lt;=5,X89&gt;4),2,
IF(AND(X89&lt;=4,X89&gt;3),3,
IF(AND(X89&lt;=3,X89&gt;2),4,
IF(AND(X89&lt;=2,X89&gt;1),5,
IF(AND(X89&lt;=1,X89&gt;0),6,
IF(AND(X89&lt;=0,X89&gt;-1),7,
8))))))))),
10)</f>
        <v>8</v>
      </c>
    </row>
    <row r="90" spans="1:25" ht="15" customHeight="1" x14ac:dyDescent="0.25">
      <c r="A90" s="135"/>
      <c r="B90" s="143" t="s">
        <v>1036</v>
      </c>
      <c r="C90" t="str">
        <f>IF(AND(IFERROR(INDEX(Instructions!$T$111:$T$222,MATCH(D90,Instructions!$T$111:$T$222,0)), "")=D90, D90&lt;&gt;""), "X", "")</f>
        <v/>
      </c>
      <c r="D90" s="137" t="s">
        <v>2460</v>
      </c>
      <c r="E90" s="99" t="s">
        <v>163</v>
      </c>
      <c r="F90" s="232">
        <f>IFERROR(IF(AND($F$5="Projected Points",Beersheet!A85&lt;&gt;"QB"), T90, IF(H90="", INDEX(Tier!$B$40:$B$48,MATCH(G90,Tier!$A$40:$A$48,0)), INDEX(Tier!$B$40:$B$48,MATCH(G90,Tier!$A$40:$A$48,0)))), "")</f>
        <v>23.836919999999999</v>
      </c>
      <c r="G90" s="283">
        <f t="shared" si="9"/>
        <v>8</v>
      </c>
      <c r="H90" s="288"/>
      <c r="I90" s="392" t="str">
        <f>IFERROR(INDEX(ADP!T:T,MATCH(D90,ADP!D:D,0))-RBproj!K90,"")</f>
        <v/>
      </c>
      <c r="J90" s="134"/>
      <c r="K90" s="3">
        <v>84</v>
      </c>
      <c r="L90" s="2" t="s">
        <v>1036</v>
      </c>
      <c r="M90" s="3">
        <f t="shared" si="5"/>
        <v>0</v>
      </c>
      <c r="N90" s="4">
        <f>IFERROR(INDEX(ADP!AC:AC,MATCH(D90,ADP!Y:Y,0)),0)</f>
        <v>0</v>
      </c>
      <c r="O90" t="s">
        <v>7</v>
      </c>
      <c r="R90" t="str">
        <f>IFERROR(VLOOKUP(S90,FFARawStatProjections!BB:BD,2,FALSE),"")</f>
        <v>TEN</v>
      </c>
      <c r="S90" s="4" t="str">
        <f>INDEX(FFARawStatProjections!BB:BB,MATCH(T90,FFARawStatProjections!BD:BD,0))</f>
        <v>Josh Whyle</v>
      </c>
      <c r="T90">
        <f>LARGE(FFARawStatProjections!BD:BD,K90)</f>
        <v>23.836919999999999</v>
      </c>
      <c r="U90" s="248">
        <f t="shared" si="6"/>
        <v>-112.54926</v>
      </c>
      <c r="V90" s="243">
        <f t="shared" si="7"/>
        <v>12667.335926547601</v>
      </c>
      <c r="X90" s="243">
        <f t="shared" si="8"/>
        <v>-7.0343287500000002</v>
      </c>
      <c r="Y90" s="238">
        <f>IFERROR(
IF(ISBLANK(Beersheet!$A$1)=FALSE,
INDEX(Beersheet!$A:$U,MATCH(S90,INDEX(Beersheet!$A:$U,0,FFARawStatProjections!$BV$2),0),FFARawStatProjections!$BV$6),
IF(X90&gt;6,0,
IF(AND(X90&lt;=6,X90&gt;5),1,
IF(AND(X90&lt;=5,X90&gt;4),2,
IF(AND(X90&lt;=4,X90&gt;3),3,
IF(AND(X90&lt;=3,X90&gt;2),4,
IF(AND(X90&lt;=2,X90&gt;1),5,
IF(AND(X90&lt;=1,X90&gt;0),6,
IF(AND(X90&lt;=0,X90&gt;-1),7,
8))))))))),
10)</f>
        <v>8</v>
      </c>
    </row>
    <row r="91" spans="1:25" ht="15" customHeight="1" x14ac:dyDescent="0.25">
      <c r="A91" s="135"/>
      <c r="B91" s="142" t="s">
        <v>1037</v>
      </c>
      <c r="C91" t="str">
        <f>IF(AND(IFERROR(INDEX(Instructions!$T$111:$T$222,MATCH(D91,Instructions!$T$111:$T$222,0)), "")=D91, D91&lt;&gt;""), "X", "")</f>
        <v/>
      </c>
      <c r="D91" s="138" t="s">
        <v>2362</v>
      </c>
      <c r="E91" s="100" t="s">
        <v>147</v>
      </c>
      <c r="F91" s="431">
        <f>IFERROR(IF(AND($F$5="Projected Points",Beersheet!A86&lt;&gt;"QB"), T91, IF(H91="", INDEX(Tier!$B$40:$B$48,MATCH(G91,Tier!$A$40:$A$48,0)), INDEX(Tier!$B$40:$B$48,MATCH(G91,Tier!$A$40:$A$48,0)))), "")</f>
        <v>23.636869999999998</v>
      </c>
      <c r="G91" s="250">
        <f t="shared" si="9"/>
        <v>8</v>
      </c>
      <c r="H91" s="291"/>
      <c r="I91" s="392" t="str">
        <f>IFERROR(INDEX(ADP!T:T,MATCH(D91,ADP!D:D,0))-RBproj!K91,"")</f>
        <v/>
      </c>
      <c r="J91" s="134"/>
      <c r="K91" s="3">
        <v>85</v>
      </c>
      <c r="L91" s="2" t="s">
        <v>1037</v>
      </c>
      <c r="M91" s="3">
        <f t="shared" si="5"/>
        <v>0</v>
      </c>
      <c r="N91" s="4">
        <f>IFERROR(INDEX(ADP!AC:AC,MATCH(D91,ADP!Y:Y,0)),0)</f>
        <v>0</v>
      </c>
      <c r="O91" t="s">
        <v>7</v>
      </c>
      <c r="R91" t="str">
        <f>IFERROR(VLOOKUP(S91,FFARawStatProjections!BB:BD,2,FALSE),"")</f>
        <v>PIT</v>
      </c>
      <c r="S91" s="4" t="str">
        <f>INDEX(FFARawStatProjections!BB:BB,MATCH(T91,FFARawStatProjections!BD:BD,0))</f>
        <v>Connor Heyward</v>
      </c>
      <c r="T91">
        <f>LARGE(FFARawStatProjections!BD:BD,K91)</f>
        <v>23.636869999999998</v>
      </c>
      <c r="U91" s="248">
        <f t="shared" si="6"/>
        <v>-112.74930999999999</v>
      </c>
      <c r="V91" s="243">
        <f t="shared" si="7"/>
        <v>12712.406905476098</v>
      </c>
      <c r="X91" s="243">
        <f t="shared" si="8"/>
        <v>-7.0468318749999996</v>
      </c>
      <c r="Y91" s="238">
        <f>IFERROR(
IF(ISBLANK(Beersheet!$A$1)=FALSE,
INDEX(Beersheet!$A:$U,MATCH(S91,INDEX(Beersheet!$A:$U,0,FFARawStatProjections!$BV$2),0),FFARawStatProjections!$BV$6),
IF(X91&gt;6,0,
IF(AND(X91&lt;=6,X91&gt;5),1,
IF(AND(X91&lt;=5,X91&gt;4),2,
IF(AND(X91&lt;=4,X91&gt;3),3,
IF(AND(X91&lt;=3,X91&gt;2),4,
IF(AND(X91&lt;=2,X91&gt;1),5,
IF(AND(X91&lt;=1,X91&gt;0),6,
IF(AND(X91&lt;=0,X91&gt;-1),7,
8))))))))),
10)</f>
        <v>8</v>
      </c>
    </row>
    <row r="92" spans="1:25" ht="15" customHeight="1" x14ac:dyDescent="0.25">
      <c r="A92" s="135"/>
      <c r="B92" s="143" t="s">
        <v>1038</v>
      </c>
      <c r="C92" t="str">
        <f>IF(AND(IFERROR(INDEX(Instructions!$T$111:$T$222,MATCH(D92,Instructions!$T$111:$T$222,0)), "")=D92, D92&lt;&gt;""), "X", "")</f>
        <v/>
      </c>
      <c r="D92" s="137" t="s">
        <v>2378</v>
      </c>
      <c r="E92" s="99" t="s">
        <v>137</v>
      </c>
      <c r="F92" s="232">
        <f>IFERROR(IF(AND($F$5="Projected Points",Beersheet!A87&lt;&gt;"QB"), T92, IF(H92="", INDEX(Tier!$B$40:$B$48,MATCH(G92,Tier!$A$40:$A$48,0)), INDEX(Tier!$B$40:$B$48,MATCH(G92,Tier!$A$40:$A$48,0)))), "")</f>
        <v>23.026989999999998</v>
      </c>
      <c r="G92" s="283">
        <f t="shared" si="9"/>
        <v>8</v>
      </c>
      <c r="H92" s="288"/>
      <c r="I92" s="392" t="str">
        <f>IFERROR(INDEX(ADP!T:T,MATCH(D92,ADP!D:D,0))-RBproj!K92,"")</f>
        <v/>
      </c>
      <c r="J92" s="134"/>
      <c r="K92" s="3">
        <v>86</v>
      </c>
      <c r="L92" s="2" t="s">
        <v>1038</v>
      </c>
      <c r="M92" s="3">
        <f t="shared" si="5"/>
        <v>0</v>
      </c>
      <c r="N92" s="4">
        <f>IFERROR(INDEX(ADP!AC:AC,MATCH(D92,ADP!Y:Y,0)),0)</f>
        <v>0</v>
      </c>
      <c r="O92" t="s">
        <v>7</v>
      </c>
      <c r="R92" t="str">
        <f>IFERROR(VLOOKUP(S92,FFARawStatProjections!BB:BD,2,FALSE),"")</f>
        <v>PIT</v>
      </c>
      <c r="S92" s="4" t="str">
        <f>INDEX(FFARawStatProjections!BB:BB,MATCH(T92,FFARawStatProjections!BD:BD,0))</f>
        <v>Zach Gentry</v>
      </c>
      <c r="T92">
        <f>LARGE(FFARawStatProjections!BD:BD,K92)</f>
        <v>23.026989999999998</v>
      </c>
      <c r="U92" s="248">
        <f t="shared" si="6"/>
        <v>-113.35919</v>
      </c>
      <c r="V92" s="243">
        <f t="shared" si="7"/>
        <v>12850.305957456099</v>
      </c>
      <c r="X92" s="243">
        <f t="shared" si="8"/>
        <v>-7.0849493749999999</v>
      </c>
      <c r="Y92" s="238">
        <f>IFERROR(
IF(ISBLANK(Beersheet!$A$1)=FALSE,
INDEX(Beersheet!$A:$U,MATCH(S92,INDEX(Beersheet!$A:$U,0,FFARawStatProjections!$BV$2),0),FFARawStatProjections!$BV$6),
IF(X92&gt;6,0,
IF(AND(X92&lt;=6,X92&gt;5),1,
IF(AND(X92&lt;=5,X92&gt;4),2,
IF(AND(X92&lt;=4,X92&gt;3),3,
IF(AND(X92&lt;=3,X92&gt;2),4,
IF(AND(X92&lt;=2,X92&gt;1),5,
IF(AND(X92&lt;=1,X92&gt;0),6,
IF(AND(X92&lt;=0,X92&gt;-1),7,
8))))))))),
10)</f>
        <v>8</v>
      </c>
    </row>
    <row r="93" spans="1:25" ht="15" customHeight="1" x14ac:dyDescent="0.25">
      <c r="A93" s="135"/>
      <c r="B93" s="142" t="s">
        <v>1039</v>
      </c>
      <c r="C93" t="str">
        <f>IF(AND(IFERROR(INDEX(Instructions!$T$111:$T$222,MATCH(D93,Instructions!$T$111:$T$222,0)), "")=D93, D93&lt;&gt;""), "X", "")</f>
        <v/>
      </c>
      <c r="D93" s="138" t="s">
        <v>2260</v>
      </c>
      <c r="E93" s="100" t="s">
        <v>147</v>
      </c>
      <c r="F93" s="431">
        <f>IFERROR(IF(AND($F$5="Projected Points",Beersheet!A88&lt;&gt;"QB"), T93, IF(H93="", INDEX(Tier!$B$40:$B$48,MATCH(G93,Tier!$A$40:$A$48,0)), INDEX(Tier!$B$40:$B$48,MATCH(G93,Tier!$A$40:$A$48,0)))), "")</f>
        <v>22.986979999999999</v>
      </c>
      <c r="G93" s="250">
        <f t="shared" si="9"/>
        <v>8</v>
      </c>
      <c r="H93" s="291"/>
      <c r="I93" s="392" t="str">
        <f>IFERROR(INDEX(ADP!T:T,MATCH(D93,ADP!D:D,0))-RBproj!K93,"")</f>
        <v/>
      </c>
      <c r="J93" s="134"/>
      <c r="K93" s="3">
        <v>87</v>
      </c>
      <c r="L93" s="2" t="s">
        <v>1039</v>
      </c>
      <c r="M93" s="3">
        <f t="shared" si="5"/>
        <v>0</v>
      </c>
      <c r="N93" s="4">
        <f>IFERROR(INDEX(ADP!AC:AC,MATCH(D93,ADP!Y:Y,0)),0)</f>
        <v>0</v>
      </c>
      <c r="O93" t="s">
        <v>7</v>
      </c>
      <c r="R93" t="str">
        <f>IFERROR(VLOOKUP(S93,FFARawStatProjections!BB:BD,2,FALSE),"")</f>
        <v>PHI</v>
      </c>
      <c r="S93" s="4" t="str">
        <f>INDEX(FFARawStatProjections!BB:BB,MATCH(T93,FFARawStatProjections!BD:BD,0))</f>
        <v>Jack Stoll</v>
      </c>
      <c r="T93">
        <f>LARGE(FFARawStatProjections!BD:BD,K93)</f>
        <v>22.986979999999999</v>
      </c>
      <c r="U93" s="248">
        <f t="shared" si="6"/>
        <v>-113.39919999999999</v>
      </c>
      <c r="V93" s="243">
        <f t="shared" si="7"/>
        <v>12859.378560639998</v>
      </c>
      <c r="X93" s="243">
        <f t="shared" si="8"/>
        <v>-7.0874499999999996</v>
      </c>
      <c r="Y93" s="238">
        <f>IFERROR(
IF(ISBLANK(Beersheet!$A$1)=FALSE,
INDEX(Beersheet!$A:$U,MATCH(S93,INDEX(Beersheet!$A:$U,0,FFARawStatProjections!$BV$2),0),FFARawStatProjections!$BV$6),
IF(X93&gt;6,0,
IF(AND(X93&lt;=6,X93&gt;5),1,
IF(AND(X93&lt;=5,X93&gt;4),2,
IF(AND(X93&lt;=4,X93&gt;3),3,
IF(AND(X93&lt;=3,X93&gt;2),4,
IF(AND(X93&lt;=2,X93&gt;1),5,
IF(AND(X93&lt;=1,X93&gt;0),6,
IF(AND(X93&lt;=0,X93&gt;-1),7,
8))))))))),
10)</f>
        <v>8</v>
      </c>
    </row>
    <row r="94" spans="1:25" ht="15" customHeight="1" x14ac:dyDescent="0.25">
      <c r="A94" s="135"/>
      <c r="B94" s="143" t="s">
        <v>1040</v>
      </c>
      <c r="C94" t="str">
        <f>IF(AND(IFERROR(INDEX(Instructions!$T$111:$T$222,MATCH(D94,Instructions!$T$111:$T$222,0)), "")=D94, D94&lt;&gt;""), "X", "")</f>
        <v/>
      </c>
      <c r="D94" s="137" t="s">
        <v>2190</v>
      </c>
      <c r="E94" s="99" t="s">
        <v>151</v>
      </c>
      <c r="F94" s="232">
        <f>IFERROR(IF(AND($F$5="Projected Points",Beersheet!A89&lt;&gt;"QB"), T94, IF(H94="", INDEX(Tier!$B$40:$B$48,MATCH(G94,Tier!$A$40:$A$48,0)), INDEX(Tier!$B$40:$B$48,MATCH(G94,Tier!$A$40:$A$48,0)))), "")</f>
        <v>21.396940000000001</v>
      </c>
      <c r="G94" s="283">
        <f t="shared" si="9"/>
        <v>8</v>
      </c>
      <c r="H94" s="288"/>
      <c r="I94" s="392" t="str">
        <f>IFERROR(INDEX(ADP!T:T,MATCH(D94,ADP!D:D,0))-RBproj!K94,"")</f>
        <v/>
      </c>
      <c r="J94" s="134"/>
      <c r="K94" s="3">
        <v>88</v>
      </c>
      <c r="L94" s="2" t="s">
        <v>1040</v>
      </c>
      <c r="M94" s="3">
        <f t="shared" si="5"/>
        <v>0</v>
      </c>
      <c r="N94" s="4">
        <f>IFERROR(INDEX(ADP!AC:AC,MATCH(D94,ADP!Y:Y,0)),0)</f>
        <v>0</v>
      </c>
      <c r="O94" t="s">
        <v>7</v>
      </c>
      <c r="R94" t="str">
        <f>IFERROR(VLOOKUP(S94,FFARawStatProjections!BB:BD,2,FALSE),"")</f>
        <v>HOU</v>
      </c>
      <c r="S94" s="4" t="str">
        <f>INDEX(FFARawStatProjections!BB:BB,MATCH(T94,FFARawStatProjections!BD:BD,0))</f>
        <v>Andrew Beck</v>
      </c>
      <c r="T94">
        <f>LARGE(FFARawStatProjections!BD:BD,K94)</f>
        <v>21.396940000000001</v>
      </c>
      <c r="U94" s="248">
        <f t="shared" si="6"/>
        <v>-114.98924</v>
      </c>
      <c r="V94" s="243">
        <f t="shared" si="7"/>
        <v>13222.525315777599</v>
      </c>
      <c r="X94" s="243">
        <f t="shared" si="8"/>
        <v>-7.1868274999999997</v>
      </c>
      <c r="Y94" s="238">
        <f>IFERROR(
IF(ISBLANK(Beersheet!$A$1)=FALSE,
INDEX(Beersheet!$A:$U,MATCH(S94,INDEX(Beersheet!$A:$U,0,FFARawStatProjections!$BV$2),0),FFARawStatProjections!$BV$6),
IF(X94&gt;6,0,
IF(AND(X94&lt;=6,X94&gt;5),1,
IF(AND(X94&lt;=5,X94&gt;4),2,
IF(AND(X94&lt;=4,X94&gt;3),3,
IF(AND(X94&lt;=3,X94&gt;2),4,
IF(AND(X94&lt;=2,X94&gt;1),5,
IF(AND(X94&lt;=1,X94&gt;0),6,
IF(AND(X94&lt;=0,X94&gt;-1),7,
8))))))))),
10)</f>
        <v>8</v>
      </c>
    </row>
    <row r="95" spans="1:25" ht="15" customHeight="1" x14ac:dyDescent="0.25">
      <c r="A95" s="135"/>
      <c r="B95" s="142" t="s">
        <v>1041</v>
      </c>
      <c r="C95" t="str">
        <f>IF(AND(IFERROR(INDEX(Instructions!$T$111:$T$222,MATCH(D95,Instructions!$T$111:$T$222,0)), "")=D95, D95&lt;&gt;""), "X", "")</f>
        <v/>
      </c>
      <c r="D95" s="138" t="s">
        <v>1148</v>
      </c>
      <c r="E95" s="100" t="s">
        <v>166</v>
      </c>
      <c r="F95" s="431">
        <f>IFERROR(IF(AND($F$5="Projected Points",Beersheet!A90&lt;&gt;"QB"), T95, IF(H95="", INDEX(Tier!$B$40:$B$48,MATCH(G95,Tier!$A$40:$A$48,0)), INDEX(Tier!$B$40:$B$48,MATCH(G95,Tier!$A$40:$A$48,0)))), "")</f>
        <v>20.90701</v>
      </c>
      <c r="G95" s="250">
        <f t="shared" si="9"/>
        <v>8</v>
      </c>
      <c r="H95" s="291"/>
      <c r="I95" s="392" t="str">
        <f>IFERROR(INDEX(ADP!T:T,MATCH(D95,ADP!D:D,0))-RBproj!K95,"")</f>
        <v/>
      </c>
      <c r="J95" s="134"/>
      <c r="K95" s="3">
        <v>89</v>
      </c>
      <c r="L95" s="2" t="s">
        <v>1041</v>
      </c>
      <c r="M95" s="3">
        <f t="shared" si="5"/>
        <v>0</v>
      </c>
      <c r="N95" s="4">
        <f>IFERROR(INDEX(ADP!AC:AC,MATCH(D95,ADP!Y:Y,0)),0)</f>
        <v>0</v>
      </c>
      <c r="O95" t="s">
        <v>7</v>
      </c>
      <c r="R95" t="str">
        <f>IFERROR(VLOOKUP(S95,FFARawStatProjections!BB:BD,2,FALSE),"")</f>
        <v>CAR</v>
      </c>
      <c r="S95" s="4" t="str">
        <f>INDEX(FFARawStatProjections!BB:BB,MATCH(T95,FFARawStatProjections!BD:BD,0))</f>
        <v>Stephen Sullivan</v>
      </c>
      <c r="T95">
        <f>LARGE(FFARawStatProjections!BD:BD,K95)</f>
        <v>20.90701</v>
      </c>
      <c r="U95" s="248">
        <f t="shared" si="6"/>
        <v>-115.47917</v>
      </c>
      <c r="V95" s="243">
        <f t="shared" si="7"/>
        <v>13335.4387038889</v>
      </c>
      <c r="X95" s="243">
        <f t="shared" si="8"/>
        <v>-7.2174481249999998</v>
      </c>
      <c r="Y95" s="238">
        <f>IFERROR(
IF(ISBLANK(Beersheet!$A$1)=FALSE,
INDEX(Beersheet!$A:$U,MATCH(S95,INDEX(Beersheet!$A:$U,0,FFARawStatProjections!$BV$2),0),FFARawStatProjections!$BV$6),
IF(X95&gt;6,0,
IF(AND(X95&lt;=6,X95&gt;5),1,
IF(AND(X95&lt;=5,X95&gt;4),2,
IF(AND(X95&lt;=4,X95&gt;3),3,
IF(AND(X95&lt;=3,X95&gt;2),4,
IF(AND(X95&lt;=2,X95&gt;1),5,
IF(AND(X95&lt;=1,X95&gt;0),6,
IF(AND(X95&lt;=0,X95&gt;-1),7,
8))))))))),
10)</f>
        <v>8</v>
      </c>
    </row>
    <row r="96" spans="1:25" ht="15" customHeight="1" x14ac:dyDescent="0.25">
      <c r="A96" s="135"/>
      <c r="B96" s="143" t="s">
        <v>1042</v>
      </c>
      <c r="C96" t="str">
        <f>IF(AND(IFERROR(INDEX(Instructions!$T$111:$T$222,MATCH(D96,Instructions!$T$111:$T$222,0)), "")=D96, D96&lt;&gt;""), "X", "")</f>
        <v/>
      </c>
      <c r="D96" s="137" t="s">
        <v>2389</v>
      </c>
      <c r="E96" s="99" t="s">
        <v>164</v>
      </c>
      <c r="F96" s="232">
        <f>IFERROR(IF(AND($F$5="Projected Points",Beersheet!A91&lt;&gt;"QB"), T96, IF(H96="", INDEX(Tier!$B$40:$B$48,MATCH(G96,Tier!$A$40:$A$48,0)), INDEX(Tier!$B$40:$B$48,MATCH(G96,Tier!$A$40:$A$48,0)))), "")</f>
        <v>20.606960000000001</v>
      </c>
      <c r="G96" s="283">
        <f t="shared" si="9"/>
        <v>8</v>
      </c>
      <c r="H96" s="288"/>
      <c r="I96" s="392" t="str">
        <f>IFERROR(INDEX(ADP!T:T,MATCH(D96,ADP!D:D,0))-RBproj!K96,"")</f>
        <v/>
      </c>
      <c r="J96" s="134"/>
      <c r="K96" s="3">
        <v>90</v>
      </c>
      <c r="L96" s="2" t="s">
        <v>1042</v>
      </c>
      <c r="M96" s="3">
        <f t="shared" si="5"/>
        <v>0</v>
      </c>
      <c r="N96" s="4">
        <f>IFERROR(INDEX(ADP!AC:AC,MATCH(D96,ADP!Y:Y,0)),0)</f>
        <v>0</v>
      </c>
      <c r="O96" t="s">
        <v>7</v>
      </c>
      <c r="R96" t="str">
        <f>IFERROR(VLOOKUP(S96,FFARawStatProjections!BB:BD,2,FALSE),"")</f>
        <v>MIA</v>
      </c>
      <c r="S96" s="4" t="str">
        <f>INDEX(FFARawStatProjections!BB:BB,MATCH(T96,FFARawStatProjections!BD:BD,0))</f>
        <v>Tyler Kroft</v>
      </c>
      <c r="T96">
        <f>LARGE(FFARawStatProjections!BD:BD,K96)</f>
        <v>20.606960000000001</v>
      </c>
      <c r="U96" s="248">
        <f t="shared" si="6"/>
        <v>-115.77922</v>
      </c>
      <c r="V96" s="243">
        <f t="shared" si="7"/>
        <v>13404.8277838084</v>
      </c>
      <c r="X96" s="243">
        <f t="shared" si="8"/>
        <v>-7.2362012499999997</v>
      </c>
      <c r="Y96" s="238">
        <f>IFERROR(
IF(ISBLANK(Beersheet!$A$1)=FALSE,
INDEX(Beersheet!$A:$U,MATCH(S96,INDEX(Beersheet!$A:$U,0,FFARawStatProjections!$BV$2),0),FFARawStatProjections!$BV$6),
IF(X96&gt;6,0,
IF(AND(X96&lt;=6,X96&gt;5),1,
IF(AND(X96&lt;=5,X96&gt;4),2,
IF(AND(X96&lt;=4,X96&gt;3),3,
IF(AND(X96&lt;=3,X96&gt;2),4,
IF(AND(X96&lt;=2,X96&gt;1),5,
IF(AND(X96&lt;=1,X96&gt;0),6,
IF(AND(X96&lt;=0,X96&gt;-1),7,
8))))))))),
10)</f>
        <v>8</v>
      </c>
    </row>
    <row r="97" spans="1:25" ht="15" customHeight="1" x14ac:dyDescent="0.25">
      <c r="A97" s="135"/>
      <c r="B97" s="142" t="s">
        <v>1043</v>
      </c>
      <c r="C97" t="str">
        <f>IF(AND(IFERROR(INDEX(Instructions!$T$111:$T$222,MATCH(D97,Instructions!$T$111:$T$222,0)), "")=D97, D97&lt;&gt;""), "X", "")</f>
        <v/>
      </c>
      <c r="D97" s="138" t="s">
        <v>224</v>
      </c>
      <c r="E97" s="100" t="s">
        <v>141</v>
      </c>
      <c r="F97" s="431">
        <f>IFERROR(IF(AND($F$5="Projected Points",Beersheet!A92&lt;&gt;"QB"), T97, IF(H97="", INDEX(Tier!$B$40:$B$48,MATCH(G97,Tier!$A$40:$A$48,0)), INDEX(Tier!$B$40:$B$48,MATCH(G97,Tier!$A$40:$A$48,0)))), "")</f>
        <v>20.546949999999999</v>
      </c>
      <c r="G97" s="250">
        <f t="shared" si="9"/>
        <v>8</v>
      </c>
      <c r="H97" s="291"/>
      <c r="I97" s="392" t="str">
        <f>IFERROR(INDEX(ADP!T:T,MATCH(D97,ADP!D:D,0))-RBproj!K97,"")</f>
        <v/>
      </c>
      <c r="J97" s="134"/>
      <c r="K97" s="3">
        <v>91</v>
      </c>
      <c r="L97" s="2" t="s">
        <v>1043</v>
      </c>
      <c r="M97" s="3">
        <f t="shared" si="5"/>
        <v>0</v>
      </c>
      <c r="N97" s="4">
        <f>IFERROR(INDEX(ADP!AC:AC,MATCH(D97,ADP!Y:Y,0)),0)</f>
        <v>0</v>
      </c>
      <c r="O97" t="s">
        <v>7</v>
      </c>
      <c r="R97" t="str">
        <f>IFERROR(VLOOKUP(S97,FFARawStatProjections!BB:BD,2,FALSE),"")</f>
        <v>NYJ</v>
      </c>
      <c r="S97" s="4" t="str">
        <f>INDEX(FFARawStatProjections!BB:BB,MATCH(T97,FFARawStatProjections!BD:BD,0))</f>
        <v>Zack Kuntz</v>
      </c>
      <c r="T97">
        <f>LARGE(FFARawStatProjections!BD:BD,K97)</f>
        <v>20.546949999999999</v>
      </c>
      <c r="U97" s="248">
        <f t="shared" si="6"/>
        <v>-115.83923</v>
      </c>
      <c r="V97" s="243">
        <f t="shared" si="7"/>
        <v>13418.7272069929</v>
      </c>
      <c r="X97" s="243">
        <f t="shared" si="8"/>
        <v>-7.239951875</v>
      </c>
      <c r="Y97" s="238">
        <f>IFERROR(
IF(ISBLANK(Beersheet!$A$1)=FALSE,
INDEX(Beersheet!$A:$U,MATCH(S97,INDEX(Beersheet!$A:$U,0,FFARawStatProjections!$BV$2),0),FFARawStatProjections!$BV$6),
IF(X97&gt;6,0,
IF(AND(X97&lt;=6,X97&gt;5),1,
IF(AND(X97&lt;=5,X97&gt;4),2,
IF(AND(X97&lt;=4,X97&gt;3),3,
IF(AND(X97&lt;=3,X97&gt;2),4,
IF(AND(X97&lt;=2,X97&gt;1),5,
IF(AND(X97&lt;=1,X97&gt;0),6,
IF(AND(X97&lt;=0,X97&gt;-1),7,
8))))))))),
10)</f>
        <v>8</v>
      </c>
    </row>
    <row r="98" spans="1:25" ht="15" customHeight="1" x14ac:dyDescent="0.25">
      <c r="A98" s="135"/>
      <c r="B98" s="143" t="s">
        <v>1044</v>
      </c>
      <c r="C98" t="str">
        <f>IF(AND(IFERROR(INDEX(Instructions!$T$111:$T$222,MATCH(D98,Instructions!$T$111:$T$222,0)), "")=D98, D98&lt;&gt;""), "X", "")</f>
        <v/>
      </c>
      <c r="D98" s="137" t="s">
        <v>2379</v>
      </c>
      <c r="E98" s="99" t="s">
        <v>159</v>
      </c>
      <c r="F98" s="232">
        <f>IFERROR(IF(AND($F$5="Projected Points",Beersheet!A93&lt;&gt;"QB"), T98, IF(H98="", INDEX(Tier!$B$40:$B$48,MATCH(G98,Tier!$A$40:$A$48,0)), INDEX(Tier!$B$40:$B$48,MATCH(G98,Tier!$A$40:$A$48,0)))), "")</f>
        <v>20.537000000000003</v>
      </c>
      <c r="G98" s="283">
        <f t="shared" si="9"/>
        <v>8</v>
      </c>
      <c r="H98" s="288"/>
      <c r="I98" s="392" t="str">
        <f>IFERROR(INDEX(ADP!T:T,MATCH(D98,ADP!D:D,0))-RBproj!K98,"")</f>
        <v/>
      </c>
      <c r="J98" s="134"/>
      <c r="K98" s="3">
        <v>92</v>
      </c>
      <c r="L98" s="2" t="s">
        <v>1044</v>
      </c>
      <c r="M98" s="3">
        <f t="shared" si="5"/>
        <v>0</v>
      </c>
      <c r="N98" s="4">
        <f>IFERROR(INDEX(ADP!AC:AC,MATCH(D98,ADP!Y:Y,0)),0)</f>
        <v>0</v>
      </c>
      <c r="O98" t="s">
        <v>7</v>
      </c>
      <c r="R98" t="str">
        <f>IFERROR(VLOOKUP(S98,FFARawStatProjections!BB:BD,2,FALSE),"")</f>
        <v>CHI</v>
      </c>
      <c r="S98" s="4" t="str">
        <f>INDEX(FFARawStatProjections!BB:BB,MATCH(T98,FFARawStatProjections!BD:BD,0))</f>
        <v>Marcedes Lewis</v>
      </c>
      <c r="T98">
        <f>LARGE(FFARawStatProjections!BD:BD,K98)</f>
        <v>20.537000000000003</v>
      </c>
      <c r="U98" s="248">
        <f t="shared" si="6"/>
        <v>-115.84917999999999</v>
      </c>
      <c r="V98" s="243">
        <f t="shared" si="7"/>
        <v>13421.032506672398</v>
      </c>
      <c r="X98" s="243">
        <f t="shared" si="8"/>
        <v>-7.2405737499999994</v>
      </c>
      <c r="Y98" s="238">
        <f>IFERROR(
IF(ISBLANK(Beersheet!$A$1)=FALSE,
INDEX(Beersheet!$A:$U,MATCH(S98,INDEX(Beersheet!$A:$U,0,FFARawStatProjections!$BV$2),0),FFARawStatProjections!$BV$6),
IF(X98&gt;6,0,
IF(AND(X98&lt;=6,X98&gt;5),1,
IF(AND(X98&lt;=5,X98&gt;4),2,
IF(AND(X98&lt;=4,X98&gt;3),3,
IF(AND(X98&lt;=3,X98&gt;2),4,
IF(AND(X98&lt;=2,X98&gt;1),5,
IF(AND(X98&lt;=1,X98&gt;0),6,
IF(AND(X98&lt;=0,X98&gt;-1),7,
8))))))))),
10)</f>
        <v>8</v>
      </c>
    </row>
    <row r="99" spans="1:25" ht="15" customHeight="1" x14ac:dyDescent="0.25">
      <c r="A99" s="135"/>
      <c r="B99" s="142" t="s">
        <v>1045</v>
      </c>
      <c r="C99" t="str">
        <f>IF(AND(IFERROR(INDEX(Instructions!$T$111:$T$222,MATCH(D99,Instructions!$T$111:$T$222,0)), "")=D99, D99&lt;&gt;""), "X", "")</f>
        <v/>
      </c>
      <c r="D99" s="138" t="s">
        <v>2374</v>
      </c>
      <c r="E99" s="100" t="s">
        <v>164</v>
      </c>
      <c r="F99" s="431">
        <f>IFERROR(IF(AND($F$5="Projected Points",Beersheet!A94&lt;&gt;"QB"), T99, IF(H99="", INDEX(Tier!$B$40:$B$48,MATCH(G99,Tier!$A$40:$A$48,0)), INDEX(Tier!$B$40:$B$48,MATCH(G99,Tier!$A$40:$A$48,0)))), "")</f>
        <v>19.497070000000001</v>
      </c>
      <c r="G99" s="250">
        <f t="shared" si="9"/>
        <v>8</v>
      </c>
      <c r="H99" s="291"/>
      <c r="I99" s="392" t="str">
        <f>IFERROR(INDEX(ADP!T:T,MATCH(D99,ADP!D:D,0))-RBproj!K99,"")</f>
        <v/>
      </c>
      <c r="J99" s="134"/>
      <c r="K99" s="3">
        <v>93</v>
      </c>
      <c r="L99" s="2" t="s">
        <v>1045</v>
      </c>
      <c r="M99" s="3">
        <f t="shared" si="5"/>
        <v>0</v>
      </c>
      <c r="N99" s="4">
        <f>IFERROR(INDEX(ADP!AC:AC,MATCH(D99,ADP!Y:Y,0)),0)</f>
        <v>0</v>
      </c>
      <c r="O99" t="s">
        <v>7</v>
      </c>
      <c r="R99" t="str">
        <f>IFERROR(VLOOKUP(S99,FFARawStatProjections!BB:BD,2,FALSE),"")</f>
        <v>CIN</v>
      </c>
      <c r="S99" s="4" t="str">
        <f>INDEX(FFARawStatProjections!BB:BB,MATCH(T99,FFARawStatProjections!BD:BD,0))</f>
        <v>Drew Sample</v>
      </c>
      <c r="T99">
        <f>LARGE(FFARawStatProjections!BD:BD,K99)</f>
        <v>19.497070000000001</v>
      </c>
      <c r="U99" s="248">
        <f t="shared" si="6"/>
        <v>-116.88910999999999</v>
      </c>
      <c r="V99" s="243">
        <f t="shared" si="7"/>
        <v>13663.064036592097</v>
      </c>
      <c r="X99" s="243">
        <f t="shared" si="8"/>
        <v>-7.3055693749999993</v>
      </c>
      <c r="Y99" s="238">
        <f>IFERROR(
IF(ISBLANK(Beersheet!$A$1)=FALSE,
INDEX(Beersheet!$A:$U,MATCH(S99,INDEX(Beersheet!$A:$U,0,FFARawStatProjections!$BV$2),0),FFARawStatProjections!$BV$6),
IF(X99&gt;6,0,
IF(AND(X99&lt;=6,X99&gt;5),1,
IF(AND(X99&lt;=5,X99&gt;4),2,
IF(AND(X99&lt;=4,X99&gt;3),3,
IF(AND(X99&lt;=3,X99&gt;2),4,
IF(AND(X99&lt;=2,X99&gt;1),5,
IF(AND(X99&lt;=1,X99&gt;0),6,
IF(AND(X99&lt;=0,X99&gt;-1),7,
8))))))))),
10)</f>
        <v>8</v>
      </c>
    </row>
    <row r="100" spans="1:25" ht="15" customHeight="1" thickBot="1" x14ac:dyDescent="0.3">
      <c r="A100" s="135"/>
      <c r="B100" s="397" t="s">
        <v>1046</v>
      </c>
      <c r="C100" s="444" t="str">
        <f>IF(AND(IFERROR(INDEX(Instructions!$T$111:$T$222,MATCH(D100,Instructions!$T$111:$T$222,0)), "")=D100, D100&lt;&gt;""), "X", "")</f>
        <v/>
      </c>
      <c r="D100" s="398" t="s">
        <v>2365</v>
      </c>
      <c r="E100" s="399" t="s">
        <v>136</v>
      </c>
      <c r="F100" s="432">
        <f>IFERROR(IF(AND($F$5="Projected Points",Beersheet!A95&lt;&gt;"QB"), T100, IF(H100="", INDEX(Tier!$B$40:$B$48,MATCH(G100,Tier!$A$40:$A$48,0)), INDEX(Tier!$B$40:$B$48,MATCH(G100,Tier!$A$40:$A$48,0)))), "")</f>
        <v>19.226969999999998</v>
      </c>
      <c r="G100" s="253">
        <f t="shared" si="9"/>
        <v>8</v>
      </c>
      <c r="H100" s="402"/>
      <c r="I100" s="393" t="str">
        <f>IFERROR(INDEX(ADP!T:T,MATCH(D100,ADP!D:D,0))-RBproj!K100,"")</f>
        <v/>
      </c>
      <c r="J100" s="134"/>
      <c r="K100" s="3">
        <v>94</v>
      </c>
      <c r="L100" s="2" t="s">
        <v>1046</v>
      </c>
      <c r="M100" s="3">
        <f t="shared" si="5"/>
        <v>0</v>
      </c>
      <c r="N100" s="4">
        <f>IFERROR(INDEX(ADP!AC:AC,MATCH(D100,ADP!Y:Y,0)),0)</f>
        <v>0</v>
      </c>
      <c r="O100" t="s">
        <v>7</v>
      </c>
      <c r="R100" t="str">
        <f>IFERROR(VLOOKUP(S100,FFARawStatProjections!BB:BD,2,FALSE),"")</f>
        <v>NYJ</v>
      </c>
      <c r="S100" s="4" t="str">
        <f>INDEX(FFARawStatProjections!BB:BB,MATCH(T100,FFARawStatProjections!BD:BD,0))</f>
        <v>Jeremy Ruckert</v>
      </c>
      <c r="T100">
        <f>LARGE(FFARawStatProjections!BD:BD,K100)</f>
        <v>19.226969999999998</v>
      </c>
      <c r="U100" s="248">
        <f t="shared" si="6"/>
        <v>-117.15921</v>
      </c>
      <c r="V100" s="243">
        <f t="shared" si="7"/>
        <v>13726.2804878241</v>
      </c>
      <c r="X100" s="243">
        <f t="shared" si="8"/>
        <v>-7.3224506250000001</v>
      </c>
      <c r="Y100" s="238">
        <f>IFERROR(
IF(ISBLANK(Beersheet!$A$1)=FALSE,
INDEX(Beersheet!$A:$U,MATCH(S100,INDEX(Beersheet!$A:$U,0,FFARawStatProjections!$BV$2),0),FFARawStatProjections!$BV$6),
IF(X100&gt;6,0,
IF(AND(X100&lt;=6,X100&gt;5),1,
IF(AND(X100&lt;=5,X100&gt;4),2,
IF(AND(X100&lt;=4,X100&gt;3),3,
IF(AND(X100&lt;=3,X100&gt;2),4,
IF(AND(X100&lt;=2,X100&gt;1),5,
IF(AND(X100&lt;=1,X100&gt;0),6,
IF(AND(X100&lt;=0,X100&gt;-1),7,
8))))))))),
10)</f>
        <v>8</v>
      </c>
    </row>
    <row r="101" spans="1:25" ht="15" customHeight="1" x14ac:dyDescent="0.25">
      <c r="A101" s="135"/>
      <c r="B101" s="127"/>
      <c r="D101" s="127"/>
      <c r="E101" s="127"/>
      <c r="F101" s="127"/>
      <c r="G101" s="127"/>
      <c r="H101" s="127"/>
      <c r="I101" s="127"/>
      <c r="J101" s="127"/>
      <c r="K101"/>
      <c r="R101">
        <f>IFERROR(VLOOKUP(S101,FFARawStatProjections!BB:BD,2,FALSE),"")</f>
        <v>0</v>
      </c>
      <c r="U101" s="243"/>
      <c r="V101" s="243"/>
      <c r="X101" s="243">
        <f t="shared" si="8"/>
        <v>0</v>
      </c>
      <c r="Y101" s="244"/>
    </row>
    <row r="102" spans="1:25" ht="15" hidden="1" customHeight="1" x14ac:dyDescent="0.25">
      <c r="B102"/>
      <c r="D102"/>
      <c r="E102"/>
      <c r="F102"/>
      <c r="G102"/>
      <c r="H102"/>
      <c r="I102"/>
      <c r="J102"/>
      <c r="K102"/>
    </row>
    <row r="103" spans="1:25" ht="15" hidden="1" customHeight="1" x14ac:dyDescent="0.25">
      <c r="B103"/>
      <c r="D103"/>
      <c r="E103"/>
      <c r="F103"/>
      <c r="G103"/>
      <c r="H103"/>
      <c r="I103"/>
      <c r="J103"/>
      <c r="K103"/>
    </row>
    <row r="104" spans="1:25" ht="15" hidden="1" customHeight="1" x14ac:dyDescent="0.25">
      <c r="B104"/>
      <c r="D104"/>
      <c r="E104"/>
      <c r="F104"/>
      <c r="G104"/>
      <c r="H104"/>
      <c r="I104"/>
      <c r="J104"/>
      <c r="K104"/>
    </row>
    <row r="105" spans="1:25" ht="15" hidden="1" customHeight="1" x14ac:dyDescent="0.25">
      <c r="B105"/>
      <c r="D105"/>
      <c r="E105"/>
      <c r="F105"/>
      <c r="G105"/>
      <c r="H105"/>
      <c r="I105"/>
      <c r="J105"/>
      <c r="K105"/>
    </row>
    <row r="106" spans="1:25" ht="15" hidden="1" customHeight="1" x14ac:dyDescent="0.25">
      <c r="B106"/>
      <c r="D106"/>
      <c r="E106"/>
      <c r="F106"/>
      <c r="G106"/>
      <c r="H106"/>
      <c r="I106"/>
      <c r="J106"/>
      <c r="K106"/>
    </row>
    <row r="107" spans="1:25" ht="15" hidden="1" customHeight="1" x14ac:dyDescent="0.25">
      <c r="B107"/>
      <c r="D107"/>
      <c r="E107"/>
      <c r="F107"/>
      <c r="G107"/>
      <c r="H107"/>
      <c r="I107"/>
      <c r="J107"/>
      <c r="K107"/>
    </row>
    <row r="108" spans="1:25" ht="15" hidden="1" customHeight="1" x14ac:dyDescent="0.25">
      <c r="B108"/>
      <c r="D108"/>
      <c r="E108"/>
      <c r="F108"/>
      <c r="G108"/>
      <c r="H108"/>
      <c r="I108"/>
      <c r="J108"/>
      <c r="K108"/>
    </row>
    <row r="109" spans="1:25" ht="15" hidden="1" customHeight="1" x14ac:dyDescent="0.25">
      <c r="B109"/>
      <c r="D109"/>
      <c r="E109"/>
      <c r="F109"/>
      <c r="G109"/>
      <c r="H109"/>
      <c r="I109"/>
      <c r="J109"/>
      <c r="K109"/>
    </row>
    <row r="110" spans="1:25" ht="15" hidden="1" customHeight="1" x14ac:dyDescent="0.25">
      <c r="B110"/>
      <c r="D110"/>
      <c r="E110"/>
      <c r="F110"/>
      <c r="G110"/>
      <c r="H110"/>
      <c r="I110"/>
      <c r="J110"/>
      <c r="K110"/>
    </row>
    <row r="111" spans="1:25" ht="15" hidden="1" customHeight="1" x14ac:dyDescent="0.25">
      <c r="B111"/>
      <c r="D111"/>
      <c r="E111"/>
      <c r="F111"/>
      <c r="G111"/>
      <c r="H111"/>
      <c r="I111"/>
      <c r="J111"/>
      <c r="K111"/>
    </row>
    <row r="112" spans="1:25" ht="15" hidden="1" customHeight="1" x14ac:dyDescent="0.25">
      <c r="B112"/>
      <c r="D112"/>
      <c r="E112"/>
      <c r="F112"/>
      <c r="G112"/>
      <c r="H112"/>
      <c r="I112"/>
      <c r="J112"/>
      <c r="K112"/>
    </row>
    <row r="113" spans="1:1" customFormat="1" ht="15" hidden="1" customHeight="1" x14ac:dyDescent="0.25">
      <c r="A113" s="144"/>
    </row>
    <row r="114" spans="1:1" customFormat="1" ht="15" hidden="1" customHeight="1" x14ac:dyDescent="0.25">
      <c r="A114" s="144"/>
    </row>
    <row r="115" spans="1:1" customFormat="1" ht="15" hidden="1" customHeight="1" x14ac:dyDescent="0.25">
      <c r="A115" s="144"/>
    </row>
    <row r="116" spans="1:1" customFormat="1" ht="15" hidden="1" customHeight="1" x14ac:dyDescent="0.25">
      <c r="A116" s="144"/>
    </row>
    <row r="117" spans="1:1" customFormat="1" ht="15" hidden="1" customHeight="1" x14ac:dyDescent="0.25">
      <c r="A117" s="144"/>
    </row>
    <row r="118" spans="1:1" customFormat="1" ht="15" hidden="1" customHeight="1" x14ac:dyDescent="0.25">
      <c r="A118" s="144"/>
    </row>
    <row r="119" spans="1:1" customFormat="1" ht="15" hidden="1" customHeight="1" x14ac:dyDescent="0.25">
      <c r="A119" s="144"/>
    </row>
    <row r="120" spans="1:1" customFormat="1" ht="15" hidden="1" customHeight="1" x14ac:dyDescent="0.25">
      <c r="A120" s="144"/>
    </row>
    <row r="121" spans="1:1" customFormat="1" ht="15" hidden="1" customHeight="1" x14ac:dyDescent="0.25">
      <c r="A121" s="144"/>
    </row>
    <row r="122" spans="1:1" customFormat="1" ht="15" hidden="1" customHeight="1" x14ac:dyDescent="0.25">
      <c r="A122" s="144"/>
    </row>
    <row r="123" spans="1:1" customFormat="1" ht="15" hidden="1" customHeight="1" x14ac:dyDescent="0.25">
      <c r="A123" s="144"/>
    </row>
    <row r="124" spans="1:1" customFormat="1" ht="15" hidden="1" customHeight="1" x14ac:dyDescent="0.25">
      <c r="A124" s="144"/>
    </row>
    <row r="125" spans="1:1" customFormat="1" ht="15" hidden="1" customHeight="1" x14ac:dyDescent="0.25">
      <c r="A125" s="144"/>
    </row>
    <row r="126" spans="1:1" customFormat="1" ht="15" hidden="1" customHeight="1" x14ac:dyDescent="0.25">
      <c r="A126" s="144"/>
    </row>
    <row r="127" spans="1:1" customFormat="1" ht="15" hidden="1" customHeight="1" x14ac:dyDescent="0.25">
      <c r="A127" s="144"/>
    </row>
    <row r="128" spans="1:1" customFormat="1" ht="15" hidden="1" customHeight="1" x14ac:dyDescent="0.25">
      <c r="A128" s="144"/>
    </row>
    <row r="129" spans="1:1" customFormat="1" ht="15" hidden="1" customHeight="1" x14ac:dyDescent="0.25">
      <c r="A129" s="144"/>
    </row>
    <row r="130" spans="1:1" customFormat="1" ht="15" hidden="1" customHeight="1" x14ac:dyDescent="0.25">
      <c r="A130" s="144"/>
    </row>
    <row r="131" spans="1:1" customFormat="1" ht="15" hidden="1" customHeight="1" x14ac:dyDescent="0.25">
      <c r="A131" s="144"/>
    </row>
    <row r="132" spans="1:1" customFormat="1" ht="15" hidden="1" customHeight="1" x14ac:dyDescent="0.25">
      <c r="A132" s="144"/>
    </row>
    <row r="133" spans="1:1" customFormat="1" ht="15" hidden="1" customHeight="1" x14ac:dyDescent="0.25">
      <c r="A133" s="144"/>
    </row>
    <row r="134" spans="1:1" customFormat="1" ht="15" hidden="1" customHeight="1" x14ac:dyDescent="0.25">
      <c r="A134" s="144"/>
    </row>
    <row r="135" spans="1:1" customFormat="1" ht="15" hidden="1" customHeight="1" x14ac:dyDescent="0.25">
      <c r="A135" s="144"/>
    </row>
    <row r="136" spans="1:1" customFormat="1" ht="15" hidden="1" customHeight="1" x14ac:dyDescent="0.25">
      <c r="A136" s="144"/>
    </row>
    <row r="137" spans="1:1" customFormat="1" ht="15" hidden="1" customHeight="1" x14ac:dyDescent="0.25">
      <c r="A137" s="144"/>
    </row>
    <row r="138" spans="1:1" customFormat="1" ht="15" hidden="1" customHeight="1" x14ac:dyDescent="0.25">
      <c r="A138" s="144"/>
    </row>
    <row r="139" spans="1:1" customFormat="1" ht="15" hidden="1" customHeight="1" x14ac:dyDescent="0.25">
      <c r="A139" s="144"/>
    </row>
    <row r="140" spans="1:1" customFormat="1" ht="15" hidden="1" customHeight="1" x14ac:dyDescent="0.25">
      <c r="A140" s="144"/>
    </row>
    <row r="141" spans="1:1" customFormat="1" ht="15" hidden="1" customHeight="1" x14ac:dyDescent="0.25">
      <c r="A141" s="144"/>
    </row>
    <row r="142" spans="1:1" customFormat="1" ht="15" hidden="1" customHeight="1" x14ac:dyDescent="0.25">
      <c r="A142" s="144"/>
    </row>
    <row r="143" spans="1:1" customFormat="1" ht="15" hidden="1" customHeight="1" x14ac:dyDescent="0.25">
      <c r="A143" s="144"/>
    </row>
    <row r="144" spans="1:1" customFormat="1" ht="15" hidden="1" customHeight="1" x14ac:dyDescent="0.25">
      <c r="A144" s="144"/>
    </row>
    <row r="145" spans="1:1" customFormat="1" ht="15" hidden="1" customHeight="1" x14ac:dyDescent="0.25">
      <c r="A145" s="144"/>
    </row>
    <row r="146" spans="1:1" customFormat="1" ht="15" hidden="1" customHeight="1" x14ac:dyDescent="0.25">
      <c r="A146" s="144"/>
    </row>
    <row r="147" spans="1:1" customFormat="1" ht="15" hidden="1" customHeight="1" x14ac:dyDescent="0.25">
      <c r="A147" s="144"/>
    </row>
    <row r="148" spans="1:1" customFormat="1" ht="15" hidden="1" customHeight="1" x14ac:dyDescent="0.25">
      <c r="A148" s="144"/>
    </row>
    <row r="149" spans="1:1" customFormat="1" ht="15" hidden="1" customHeight="1" x14ac:dyDescent="0.25">
      <c r="A149" s="144"/>
    </row>
    <row r="150" spans="1:1" customFormat="1" ht="15" hidden="1" customHeight="1" x14ac:dyDescent="0.25">
      <c r="A150" s="144"/>
    </row>
    <row r="151" spans="1:1" customFormat="1" ht="15" hidden="1" customHeight="1" x14ac:dyDescent="0.25">
      <c r="A151" s="144"/>
    </row>
    <row r="152" spans="1:1" customFormat="1" ht="15" hidden="1" customHeight="1" x14ac:dyDescent="0.25">
      <c r="A152" s="144"/>
    </row>
    <row r="153" spans="1:1" customFormat="1" ht="15" hidden="1" customHeight="1" x14ac:dyDescent="0.25">
      <c r="A153" s="144"/>
    </row>
    <row r="154" spans="1:1" customFormat="1" ht="15" hidden="1" customHeight="1" x14ac:dyDescent="0.25">
      <c r="A154" s="144"/>
    </row>
    <row r="155" spans="1:1" customFormat="1" ht="15" hidden="1" customHeight="1" x14ac:dyDescent="0.25">
      <c r="A155" s="144"/>
    </row>
    <row r="156" spans="1:1" customFormat="1" ht="15" hidden="1" customHeight="1" x14ac:dyDescent="0.25">
      <c r="A156" s="144"/>
    </row>
    <row r="157" spans="1:1" customFormat="1" ht="15" hidden="1" customHeight="1" x14ac:dyDescent="0.25">
      <c r="A157" s="144"/>
    </row>
    <row r="158" spans="1:1" customFormat="1" ht="15" hidden="1" customHeight="1" x14ac:dyDescent="0.25">
      <c r="A158" s="144"/>
    </row>
    <row r="159" spans="1:1" customFormat="1" ht="15" hidden="1" customHeight="1" x14ac:dyDescent="0.25">
      <c r="A159" s="144"/>
    </row>
    <row r="160" spans="1:1" customFormat="1" ht="15" hidden="1" customHeight="1" x14ac:dyDescent="0.25">
      <c r="A160" s="144"/>
    </row>
    <row r="161" spans="1:1" customFormat="1" ht="15" hidden="1" customHeight="1" x14ac:dyDescent="0.25">
      <c r="A161" s="144"/>
    </row>
    <row r="162" spans="1:1" customFormat="1" ht="15" hidden="1" customHeight="1" x14ac:dyDescent="0.25">
      <c r="A162" s="144"/>
    </row>
    <row r="163" spans="1:1" customFormat="1" ht="15" hidden="1" customHeight="1" x14ac:dyDescent="0.25">
      <c r="A163" s="144"/>
    </row>
    <row r="164" spans="1:1" customFormat="1" ht="15" hidden="1" customHeight="1" x14ac:dyDescent="0.25">
      <c r="A164" s="144"/>
    </row>
    <row r="165" spans="1:1" customFormat="1" ht="15" hidden="1" customHeight="1" x14ac:dyDescent="0.25">
      <c r="A165" s="144"/>
    </row>
    <row r="166" spans="1:1" customFormat="1" ht="15" hidden="1" customHeight="1" x14ac:dyDescent="0.25">
      <c r="A166" s="144"/>
    </row>
    <row r="167" spans="1:1" customFormat="1" ht="15" hidden="1" customHeight="1" x14ac:dyDescent="0.25">
      <c r="A167" s="144"/>
    </row>
    <row r="168" spans="1:1" customFormat="1" ht="15" hidden="1" customHeight="1" x14ac:dyDescent="0.25">
      <c r="A168" s="144"/>
    </row>
    <row r="169" spans="1:1" customFormat="1" ht="15" hidden="1" customHeight="1" x14ac:dyDescent="0.25">
      <c r="A169" s="144"/>
    </row>
    <row r="170" spans="1:1" customFormat="1" ht="15" hidden="1" customHeight="1" x14ac:dyDescent="0.25">
      <c r="A170" s="144"/>
    </row>
    <row r="171" spans="1:1" customFormat="1" ht="15" hidden="1" customHeight="1" x14ac:dyDescent="0.25">
      <c r="A171" s="144"/>
    </row>
    <row r="172" spans="1:1" customFormat="1" ht="15" hidden="1" customHeight="1" x14ac:dyDescent="0.25">
      <c r="A172" s="144"/>
    </row>
    <row r="173" spans="1:1" customFormat="1" ht="15" hidden="1" customHeight="1" x14ac:dyDescent="0.25">
      <c r="A173" s="144"/>
    </row>
    <row r="174" spans="1:1" customFormat="1" ht="15" hidden="1" customHeight="1" x14ac:dyDescent="0.25">
      <c r="A174" s="144"/>
    </row>
    <row r="175" spans="1:1" customFormat="1" ht="15" hidden="1" customHeight="1" x14ac:dyDescent="0.25">
      <c r="A175" s="144"/>
    </row>
    <row r="176" spans="1:1" customFormat="1" ht="15" hidden="1" customHeight="1" x14ac:dyDescent="0.25">
      <c r="A176" s="144"/>
    </row>
    <row r="177" spans="1:1" customFormat="1" ht="15" hidden="1" customHeight="1" x14ac:dyDescent="0.25">
      <c r="A177" s="144"/>
    </row>
    <row r="178" spans="1:1" customFormat="1" ht="15" hidden="1" customHeight="1" x14ac:dyDescent="0.25">
      <c r="A178" s="144"/>
    </row>
    <row r="179" spans="1:1" customFormat="1" ht="15" hidden="1" customHeight="1" x14ac:dyDescent="0.25">
      <c r="A179" s="144"/>
    </row>
    <row r="180" spans="1:1" customFormat="1" ht="15" hidden="1" customHeight="1" x14ac:dyDescent="0.25">
      <c r="A180" s="144"/>
    </row>
    <row r="181" spans="1:1" customFormat="1" ht="15" hidden="1" customHeight="1" x14ac:dyDescent="0.25">
      <c r="A181" s="144"/>
    </row>
    <row r="182" spans="1:1" customFormat="1" ht="15" hidden="1" customHeight="1" x14ac:dyDescent="0.25">
      <c r="A182" s="144"/>
    </row>
    <row r="183" spans="1:1" customFormat="1" ht="15" hidden="1" customHeight="1" x14ac:dyDescent="0.25">
      <c r="A183" s="144"/>
    </row>
    <row r="184" spans="1:1" customFormat="1" ht="15" hidden="1" customHeight="1" x14ac:dyDescent="0.25">
      <c r="A184" s="144"/>
    </row>
    <row r="185" spans="1:1" customFormat="1" ht="15" hidden="1" customHeight="1" x14ac:dyDescent="0.25">
      <c r="A185" s="144"/>
    </row>
    <row r="186" spans="1:1" customFormat="1" ht="15" hidden="1" customHeight="1" x14ac:dyDescent="0.25">
      <c r="A186" s="144"/>
    </row>
    <row r="187" spans="1:1" customFormat="1" ht="15" hidden="1" customHeight="1" x14ac:dyDescent="0.25">
      <c r="A187" s="144"/>
    </row>
    <row r="188" spans="1:1" customFormat="1" ht="15" hidden="1" customHeight="1" x14ac:dyDescent="0.25">
      <c r="A188" s="144"/>
    </row>
    <row r="189" spans="1:1" customFormat="1" ht="15" hidden="1" customHeight="1" x14ac:dyDescent="0.25">
      <c r="A189" s="144"/>
    </row>
    <row r="190" spans="1:1" customFormat="1" ht="15" hidden="1" customHeight="1" x14ac:dyDescent="0.25">
      <c r="A190" s="144"/>
    </row>
    <row r="191" spans="1:1" customFormat="1" ht="15" hidden="1" customHeight="1" x14ac:dyDescent="0.25">
      <c r="A191" s="144"/>
    </row>
    <row r="192" spans="1:1" customFormat="1" ht="15" hidden="1" customHeight="1" x14ac:dyDescent="0.25">
      <c r="A192" s="144"/>
    </row>
    <row r="193" spans="1:1" customFormat="1" ht="15" hidden="1" customHeight="1" x14ac:dyDescent="0.25">
      <c r="A193" s="144"/>
    </row>
    <row r="194" spans="1:1" customFormat="1" ht="15" hidden="1" customHeight="1" x14ac:dyDescent="0.25">
      <c r="A194" s="144"/>
    </row>
    <row r="195" spans="1:1" customFormat="1" ht="15" hidden="1" customHeight="1" x14ac:dyDescent="0.25">
      <c r="A195" s="144"/>
    </row>
    <row r="196" spans="1:1" customFormat="1" ht="15" hidden="1" customHeight="1" x14ac:dyDescent="0.25">
      <c r="A196" s="144"/>
    </row>
    <row r="197" spans="1:1" customFormat="1" ht="15" hidden="1" customHeight="1" x14ac:dyDescent="0.25">
      <c r="A197" s="144"/>
    </row>
    <row r="198" spans="1:1" customFormat="1" ht="15" hidden="1" customHeight="1" x14ac:dyDescent="0.25">
      <c r="A198" s="144"/>
    </row>
    <row r="199" spans="1:1" customFormat="1" ht="15" hidden="1" customHeight="1" x14ac:dyDescent="0.25">
      <c r="A199" s="144"/>
    </row>
    <row r="200" spans="1:1" customFormat="1" ht="15" hidden="1" customHeight="1" x14ac:dyDescent="0.25">
      <c r="A200" s="144"/>
    </row>
    <row r="201" spans="1:1" customFormat="1" ht="15" hidden="1" customHeight="1" x14ac:dyDescent="0.25">
      <c r="A201" s="144"/>
    </row>
    <row r="202" spans="1:1" customFormat="1" ht="15" hidden="1" customHeight="1" x14ac:dyDescent="0.25">
      <c r="A202" s="144"/>
    </row>
    <row r="203" spans="1:1" customFormat="1" ht="15" hidden="1" customHeight="1" x14ac:dyDescent="0.25">
      <c r="A203" s="144"/>
    </row>
    <row r="204" spans="1:1" customFormat="1" ht="15" hidden="1" customHeight="1" x14ac:dyDescent="0.25">
      <c r="A204" s="144"/>
    </row>
    <row r="205" spans="1:1" customFormat="1" ht="15" hidden="1" customHeight="1" x14ac:dyDescent="0.25">
      <c r="A205" s="144"/>
    </row>
    <row r="206" spans="1:1" customFormat="1" ht="15" hidden="1" customHeight="1" x14ac:dyDescent="0.25">
      <c r="A206" s="144"/>
    </row>
    <row r="207" spans="1:1" customFormat="1" ht="15" hidden="1" customHeight="1" x14ac:dyDescent="0.25">
      <c r="A207" s="144"/>
    </row>
    <row r="208" spans="1:1" customFormat="1" ht="15" hidden="1" customHeight="1" x14ac:dyDescent="0.25">
      <c r="A208" s="144"/>
    </row>
    <row r="209" spans="1:1" customFormat="1" ht="15" hidden="1" customHeight="1" x14ac:dyDescent="0.25">
      <c r="A209" s="144"/>
    </row>
    <row r="210" spans="1:1" customFormat="1" ht="15" hidden="1" customHeight="1" x14ac:dyDescent="0.25">
      <c r="A210" s="144"/>
    </row>
    <row r="211" spans="1:1" customFormat="1" ht="15" hidden="1" customHeight="1" x14ac:dyDescent="0.25">
      <c r="A211" s="144"/>
    </row>
    <row r="212" spans="1:1" customFormat="1" ht="15" hidden="1" customHeight="1" x14ac:dyDescent="0.25">
      <c r="A212" s="144"/>
    </row>
    <row r="213" spans="1:1" customFormat="1" ht="15" hidden="1" customHeight="1" x14ac:dyDescent="0.25">
      <c r="A213" s="144"/>
    </row>
    <row r="214" spans="1:1" customFormat="1" ht="15" hidden="1" customHeight="1" x14ac:dyDescent="0.25">
      <c r="A214" s="144"/>
    </row>
    <row r="215" spans="1:1" customFormat="1" ht="15" hidden="1" customHeight="1" x14ac:dyDescent="0.25">
      <c r="A215" s="144"/>
    </row>
    <row r="216" spans="1:1" customFormat="1" ht="15" hidden="1" customHeight="1" x14ac:dyDescent="0.25">
      <c r="A216" s="144"/>
    </row>
    <row r="217" spans="1:1" customFormat="1" ht="15" hidden="1" customHeight="1" x14ac:dyDescent="0.25">
      <c r="A217" s="144"/>
    </row>
    <row r="218" spans="1:1" customFormat="1" ht="15" hidden="1" customHeight="1" x14ac:dyDescent="0.25">
      <c r="A218" s="144"/>
    </row>
    <row r="219" spans="1:1" customFormat="1" ht="15" hidden="1" customHeight="1" x14ac:dyDescent="0.25">
      <c r="A219" s="144"/>
    </row>
    <row r="220" spans="1:1" customFormat="1" ht="15" hidden="1" customHeight="1" x14ac:dyDescent="0.25">
      <c r="A220" s="144"/>
    </row>
    <row r="221" spans="1:1" customFormat="1" ht="15" hidden="1" customHeight="1" x14ac:dyDescent="0.25">
      <c r="A221" s="144"/>
    </row>
    <row r="222" spans="1:1" customFormat="1" ht="15" hidden="1" customHeight="1" x14ac:dyDescent="0.25">
      <c r="A222" s="144"/>
    </row>
    <row r="223" spans="1:1" customFormat="1" ht="15" hidden="1" customHeight="1" x14ac:dyDescent="0.25">
      <c r="A223" s="144"/>
    </row>
    <row r="224" spans="1:1" customFormat="1" ht="15" hidden="1" customHeight="1" x14ac:dyDescent="0.25">
      <c r="A224" s="144"/>
    </row>
    <row r="225" spans="1:1" customFormat="1" ht="15" hidden="1" customHeight="1" x14ac:dyDescent="0.25">
      <c r="A225" s="144"/>
    </row>
    <row r="226" spans="1:1" customFormat="1" ht="15" hidden="1" customHeight="1" x14ac:dyDescent="0.25">
      <c r="A226" s="144"/>
    </row>
    <row r="227" spans="1:1" customFormat="1" ht="15" hidden="1" customHeight="1" x14ac:dyDescent="0.25">
      <c r="A227" s="144"/>
    </row>
    <row r="228" spans="1:1" customFormat="1" ht="15" hidden="1" customHeight="1" x14ac:dyDescent="0.25">
      <c r="A228" s="144"/>
    </row>
    <row r="229" spans="1:1" customFormat="1" ht="15" hidden="1" customHeight="1" x14ac:dyDescent="0.25">
      <c r="A229" s="144"/>
    </row>
    <row r="230" spans="1:1" customFormat="1" ht="15" hidden="1" customHeight="1" x14ac:dyDescent="0.25">
      <c r="A230" s="144"/>
    </row>
    <row r="231" spans="1:1" customFormat="1" ht="15" hidden="1" customHeight="1" x14ac:dyDescent="0.25">
      <c r="A231" s="144"/>
    </row>
    <row r="232" spans="1:1" customFormat="1" ht="15" hidden="1" customHeight="1" x14ac:dyDescent="0.25">
      <c r="A232" s="144"/>
    </row>
    <row r="233" spans="1:1" customFormat="1" ht="15" hidden="1" customHeight="1" x14ac:dyDescent="0.25">
      <c r="A233" s="144"/>
    </row>
    <row r="234" spans="1:1" customFormat="1" ht="15" hidden="1" customHeight="1" x14ac:dyDescent="0.25">
      <c r="A234" s="144"/>
    </row>
    <row r="235" spans="1:1" customFormat="1" ht="15" hidden="1" customHeight="1" x14ac:dyDescent="0.25">
      <c r="A235" s="144"/>
    </row>
    <row r="236" spans="1:1" customFormat="1" ht="15" hidden="1" customHeight="1" x14ac:dyDescent="0.25">
      <c r="A236" s="144"/>
    </row>
    <row r="237" spans="1:1" customFormat="1" ht="15" hidden="1" customHeight="1" x14ac:dyDescent="0.25">
      <c r="A237" s="144"/>
    </row>
    <row r="238" spans="1:1" customFormat="1" ht="15" hidden="1" customHeight="1" x14ac:dyDescent="0.25">
      <c r="A238" s="144"/>
    </row>
    <row r="239" spans="1:1" customFormat="1" ht="15" hidden="1" customHeight="1" x14ac:dyDescent="0.25">
      <c r="A239" s="144"/>
    </row>
    <row r="240" spans="1:1" customFormat="1" ht="15" hidden="1" customHeight="1" x14ac:dyDescent="0.25">
      <c r="A240" s="144"/>
    </row>
    <row r="241" spans="1:1" customFormat="1" ht="15" hidden="1" customHeight="1" x14ac:dyDescent="0.25">
      <c r="A241" s="144"/>
    </row>
    <row r="242" spans="1:1" customFormat="1" ht="15" hidden="1" customHeight="1" x14ac:dyDescent="0.25">
      <c r="A242" s="144"/>
    </row>
    <row r="243" spans="1:1" customFormat="1" ht="15" hidden="1" customHeight="1" x14ac:dyDescent="0.25">
      <c r="A243" s="144"/>
    </row>
    <row r="244" spans="1:1" customFormat="1" ht="15" hidden="1" customHeight="1" x14ac:dyDescent="0.25">
      <c r="A244" s="144"/>
    </row>
    <row r="245" spans="1:1" customFormat="1" ht="15" hidden="1" customHeight="1" x14ac:dyDescent="0.25">
      <c r="A245" s="144"/>
    </row>
    <row r="246" spans="1:1" customFormat="1" ht="15" hidden="1" customHeight="1" x14ac:dyDescent="0.25">
      <c r="A246" s="144"/>
    </row>
    <row r="247" spans="1:1" customFormat="1" ht="15" hidden="1" customHeight="1" x14ac:dyDescent="0.25">
      <c r="A247" s="144"/>
    </row>
    <row r="248" spans="1:1" customFormat="1" ht="15" hidden="1" customHeight="1" x14ac:dyDescent="0.25">
      <c r="A248" s="144"/>
    </row>
    <row r="249" spans="1:1" customFormat="1" ht="15" hidden="1" customHeight="1" x14ac:dyDescent="0.25">
      <c r="A249" s="144"/>
    </row>
    <row r="250" spans="1:1" customFormat="1" ht="15" hidden="1" customHeight="1" x14ac:dyDescent="0.25">
      <c r="A250" s="144"/>
    </row>
    <row r="251" spans="1:1" customFormat="1" ht="15" hidden="1" customHeight="1" x14ac:dyDescent="0.25">
      <c r="A251" s="144"/>
    </row>
    <row r="252" spans="1:1" customFormat="1" ht="15" hidden="1" customHeight="1" x14ac:dyDescent="0.25">
      <c r="A252" s="144"/>
    </row>
    <row r="253" spans="1:1" customFormat="1" ht="15" hidden="1" customHeight="1" x14ac:dyDescent="0.25">
      <c r="A253" s="144"/>
    </row>
    <row r="254" spans="1:1" customFormat="1" ht="15" hidden="1" customHeight="1" x14ac:dyDescent="0.25">
      <c r="A254" s="144"/>
    </row>
    <row r="255" spans="1:1" customFormat="1" ht="15" hidden="1" customHeight="1" x14ac:dyDescent="0.25">
      <c r="A255" s="144"/>
    </row>
    <row r="256" spans="1:1" customFormat="1" ht="15" hidden="1" customHeight="1" x14ac:dyDescent="0.25">
      <c r="A256" s="144"/>
    </row>
    <row r="257" spans="1:1" customFormat="1" ht="15" hidden="1" customHeight="1" x14ac:dyDescent="0.25">
      <c r="A257" s="144"/>
    </row>
    <row r="258" spans="1:1" customFormat="1" ht="15" hidden="1" customHeight="1" x14ac:dyDescent="0.25">
      <c r="A258" s="144"/>
    </row>
    <row r="259" spans="1:1" customFormat="1" ht="15" hidden="1" customHeight="1" x14ac:dyDescent="0.25">
      <c r="A259" s="144"/>
    </row>
    <row r="260" spans="1:1" customFormat="1" ht="15" hidden="1" customHeight="1" x14ac:dyDescent="0.25">
      <c r="A260" s="144"/>
    </row>
    <row r="261" spans="1:1" customFormat="1" ht="15" hidden="1" customHeight="1" x14ac:dyDescent="0.25">
      <c r="A261" s="144"/>
    </row>
    <row r="262" spans="1:1" customFormat="1" ht="15" hidden="1" customHeight="1" x14ac:dyDescent="0.25">
      <c r="A262" s="144"/>
    </row>
    <row r="263" spans="1:1" customFormat="1" ht="15" hidden="1" customHeight="1" x14ac:dyDescent="0.25">
      <c r="A263" s="144"/>
    </row>
    <row r="264" spans="1:1" customFormat="1" ht="15" hidden="1" customHeight="1" x14ac:dyDescent="0.25">
      <c r="A264" s="144"/>
    </row>
    <row r="265" spans="1:1" customFormat="1" ht="15" hidden="1" customHeight="1" x14ac:dyDescent="0.25">
      <c r="A265" s="144"/>
    </row>
    <row r="266" spans="1:1" customFormat="1" ht="15" hidden="1" customHeight="1" x14ac:dyDescent="0.25">
      <c r="A266" s="144"/>
    </row>
    <row r="267" spans="1:1" customFormat="1" ht="15" hidden="1" customHeight="1" x14ac:dyDescent="0.25">
      <c r="A267" s="144"/>
    </row>
    <row r="268" spans="1:1" customFormat="1" ht="15" hidden="1" customHeight="1" x14ac:dyDescent="0.25">
      <c r="A268" s="144"/>
    </row>
    <row r="269" spans="1:1" customFormat="1" ht="15" hidden="1" customHeight="1" x14ac:dyDescent="0.25">
      <c r="A269" s="144"/>
    </row>
    <row r="270" spans="1:1" customFormat="1" ht="15" hidden="1" customHeight="1" x14ac:dyDescent="0.25">
      <c r="A270" s="144"/>
    </row>
    <row r="271" spans="1:1" customFormat="1" ht="15" hidden="1" customHeight="1" x14ac:dyDescent="0.25">
      <c r="A271" s="144"/>
    </row>
    <row r="272" spans="1:1" customFormat="1" ht="15" hidden="1" customHeight="1" x14ac:dyDescent="0.25">
      <c r="A272" s="144"/>
    </row>
    <row r="273" spans="1:1" customFormat="1" ht="15" hidden="1" customHeight="1" x14ac:dyDescent="0.25">
      <c r="A273" s="144"/>
    </row>
    <row r="274" spans="1:1" customFormat="1" ht="15" hidden="1" customHeight="1" x14ac:dyDescent="0.25">
      <c r="A274" s="144"/>
    </row>
    <row r="275" spans="1:1" customFormat="1" ht="15" hidden="1" customHeight="1" x14ac:dyDescent="0.25">
      <c r="A275" s="144"/>
    </row>
    <row r="276" spans="1:1" customFormat="1" ht="15" hidden="1" customHeight="1" x14ac:dyDescent="0.25">
      <c r="A276" s="144"/>
    </row>
    <row r="277" spans="1:1" customFormat="1" ht="15" hidden="1" customHeight="1" x14ac:dyDescent="0.25">
      <c r="A277" s="144"/>
    </row>
    <row r="278" spans="1:1" customFormat="1" ht="15" hidden="1" customHeight="1" x14ac:dyDescent="0.25">
      <c r="A278" s="144"/>
    </row>
    <row r="279" spans="1:1" customFormat="1" ht="15" hidden="1" customHeight="1" x14ac:dyDescent="0.25">
      <c r="A279" s="144"/>
    </row>
    <row r="280" spans="1:1" customFormat="1" ht="15" hidden="1" customHeight="1" x14ac:dyDescent="0.25">
      <c r="A280" s="144"/>
    </row>
    <row r="281" spans="1:1" customFormat="1" ht="15" hidden="1" customHeight="1" x14ac:dyDescent="0.25">
      <c r="A281" s="144"/>
    </row>
    <row r="282" spans="1:1" customFormat="1" ht="15" hidden="1" customHeight="1" x14ac:dyDescent="0.25">
      <c r="A282" s="144"/>
    </row>
    <row r="283" spans="1:1" customFormat="1" ht="15" hidden="1" customHeight="1" x14ac:dyDescent="0.25">
      <c r="A283" s="144"/>
    </row>
    <row r="284" spans="1:1" customFormat="1" ht="15" hidden="1" customHeight="1" x14ac:dyDescent="0.25">
      <c r="A284" s="144"/>
    </row>
    <row r="285" spans="1:1" customFormat="1" ht="15" hidden="1" customHeight="1" x14ac:dyDescent="0.25">
      <c r="A285" s="144"/>
    </row>
    <row r="286" spans="1:1" customFormat="1" ht="15" hidden="1" customHeight="1" x14ac:dyDescent="0.25">
      <c r="A286" s="144"/>
    </row>
    <row r="287" spans="1:1" customFormat="1" ht="15" hidden="1" customHeight="1" x14ac:dyDescent="0.25">
      <c r="A287" s="144"/>
    </row>
    <row r="288" spans="1:1" customFormat="1" ht="15" hidden="1" customHeight="1" x14ac:dyDescent="0.25">
      <c r="A288" s="144"/>
    </row>
    <row r="289" spans="1:1" customFormat="1" ht="15" hidden="1" customHeight="1" x14ac:dyDescent="0.25">
      <c r="A289" s="144"/>
    </row>
    <row r="290" spans="1:1" customFormat="1" ht="15" hidden="1" customHeight="1" x14ac:dyDescent="0.25">
      <c r="A290" s="144"/>
    </row>
    <row r="291" spans="1:1" customFormat="1" ht="15" hidden="1" customHeight="1" x14ac:dyDescent="0.25">
      <c r="A291" s="144"/>
    </row>
    <row r="292" spans="1:1" customFormat="1" ht="15" hidden="1" customHeight="1" x14ac:dyDescent="0.25">
      <c r="A292" s="144"/>
    </row>
    <row r="293" spans="1:1" customFormat="1" ht="15" hidden="1" customHeight="1" x14ac:dyDescent="0.25">
      <c r="A293" s="144"/>
    </row>
    <row r="294" spans="1:1" customFormat="1" ht="15" hidden="1" customHeight="1" x14ac:dyDescent="0.25">
      <c r="A294" s="144"/>
    </row>
    <row r="295" spans="1:1" customFormat="1" ht="15" hidden="1" customHeight="1" x14ac:dyDescent="0.25">
      <c r="A295" s="144"/>
    </row>
    <row r="296" spans="1:1" customFormat="1" ht="15" hidden="1" customHeight="1" x14ac:dyDescent="0.25">
      <c r="A296" s="144"/>
    </row>
    <row r="297" spans="1:1" customFormat="1" ht="15" hidden="1" customHeight="1" x14ac:dyDescent="0.25">
      <c r="A297" s="144"/>
    </row>
    <row r="298" spans="1:1" customFormat="1" ht="15" hidden="1" customHeight="1" x14ac:dyDescent="0.25">
      <c r="A298" s="144"/>
    </row>
    <row r="299" spans="1:1" customFormat="1" ht="15" hidden="1" customHeight="1" x14ac:dyDescent="0.25">
      <c r="A299" s="144"/>
    </row>
    <row r="300" spans="1:1" customFormat="1" ht="15" hidden="1" customHeight="1" x14ac:dyDescent="0.25">
      <c r="A300" s="144"/>
    </row>
    <row r="301" spans="1:1" customFormat="1" ht="15" hidden="1" customHeight="1" x14ac:dyDescent="0.25">
      <c r="A301" s="144"/>
    </row>
    <row r="302" spans="1:1" customFormat="1" ht="15" hidden="1" customHeight="1" x14ac:dyDescent="0.25">
      <c r="A302" s="144"/>
    </row>
    <row r="303" spans="1:1" customFormat="1" ht="15" hidden="1" customHeight="1" x14ac:dyDescent="0.25">
      <c r="A303" s="144"/>
    </row>
    <row r="304" spans="1:1" customFormat="1" ht="15" hidden="1" customHeight="1" x14ac:dyDescent="0.25">
      <c r="A304" s="144"/>
    </row>
    <row r="305" spans="1:1" customFormat="1" ht="15" hidden="1" customHeight="1" x14ac:dyDescent="0.25">
      <c r="A305" s="144"/>
    </row>
    <row r="306" spans="1:1" customFormat="1" ht="15" hidden="1" customHeight="1" x14ac:dyDescent="0.25">
      <c r="A306" s="144"/>
    </row>
    <row r="307" spans="1:1" customFormat="1" ht="15" hidden="1" customHeight="1" x14ac:dyDescent="0.25">
      <c r="A307" s="144"/>
    </row>
    <row r="308" spans="1:1" customFormat="1" ht="15" hidden="1" customHeight="1" x14ac:dyDescent="0.25">
      <c r="A308" s="144"/>
    </row>
    <row r="309" spans="1:1" customFormat="1" ht="15" hidden="1" customHeight="1" x14ac:dyDescent="0.25">
      <c r="A309" s="144"/>
    </row>
    <row r="310" spans="1:1" customFormat="1" ht="15" hidden="1" customHeight="1" x14ac:dyDescent="0.25">
      <c r="A310" s="144"/>
    </row>
    <row r="311" spans="1:1" customFormat="1" ht="15" hidden="1" customHeight="1" x14ac:dyDescent="0.25">
      <c r="A311" s="144"/>
    </row>
    <row r="312" spans="1:1" customFormat="1" ht="15" hidden="1" customHeight="1" x14ac:dyDescent="0.25">
      <c r="A312" s="144"/>
    </row>
    <row r="313" spans="1:1" customFormat="1" ht="15" hidden="1" customHeight="1" x14ac:dyDescent="0.25">
      <c r="A313" s="144"/>
    </row>
    <row r="314" spans="1:1" customFormat="1" ht="15" hidden="1" customHeight="1" x14ac:dyDescent="0.25">
      <c r="A314" s="144"/>
    </row>
    <row r="315" spans="1:1" customFormat="1" ht="15" hidden="1" customHeight="1" x14ac:dyDescent="0.25">
      <c r="A315" s="144"/>
    </row>
    <row r="316" spans="1:1" customFormat="1" ht="15" hidden="1" customHeight="1" x14ac:dyDescent="0.25">
      <c r="A316" s="144"/>
    </row>
    <row r="317" spans="1:1" customFormat="1" ht="15" hidden="1" customHeight="1" x14ac:dyDescent="0.25">
      <c r="A317" s="144"/>
    </row>
    <row r="318" spans="1:1" customFormat="1" ht="15" hidden="1" customHeight="1" x14ac:dyDescent="0.25">
      <c r="A318" s="144"/>
    </row>
    <row r="319" spans="1:1" customFormat="1" ht="15" hidden="1" customHeight="1" x14ac:dyDescent="0.25">
      <c r="A319" s="144"/>
    </row>
    <row r="320" spans="1:1" customFormat="1" ht="15" hidden="1" customHeight="1" x14ac:dyDescent="0.25">
      <c r="A320" s="144"/>
    </row>
    <row r="321" spans="1:1" customFormat="1" ht="15" hidden="1" customHeight="1" x14ac:dyDescent="0.25">
      <c r="A321" s="144"/>
    </row>
    <row r="322" spans="1:1" customFormat="1" ht="15" hidden="1" customHeight="1" x14ac:dyDescent="0.25">
      <c r="A322" s="144"/>
    </row>
    <row r="323" spans="1:1" customFormat="1" ht="15" hidden="1" customHeight="1" x14ac:dyDescent="0.25">
      <c r="A323" s="144"/>
    </row>
    <row r="324" spans="1:1" customFormat="1" ht="15" hidden="1" customHeight="1" x14ac:dyDescent="0.25">
      <c r="A324" s="144"/>
    </row>
    <row r="325" spans="1:1" customFormat="1" ht="15" hidden="1" customHeight="1" x14ac:dyDescent="0.25">
      <c r="A325" s="144"/>
    </row>
    <row r="326" spans="1:1" customFormat="1" ht="15" hidden="1" customHeight="1" x14ac:dyDescent="0.25">
      <c r="A326" s="144"/>
    </row>
    <row r="327" spans="1:1" customFormat="1" ht="15" hidden="1" customHeight="1" x14ac:dyDescent="0.25">
      <c r="A327" s="144"/>
    </row>
    <row r="328" spans="1:1" customFormat="1" ht="15" hidden="1" customHeight="1" x14ac:dyDescent="0.25">
      <c r="A328" s="144"/>
    </row>
    <row r="329" spans="1:1" customFormat="1" ht="15" hidden="1" customHeight="1" x14ac:dyDescent="0.25">
      <c r="A329" s="144"/>
    </row>
    <row r="330" spans="1:1" customFormat="1" ht="15" hidden="1" customHeight="1" x14ac:dyDescent="0.25">
      <c r="A330" s="144"/>
    </row>
    <row r="331" spans="1:1" customFormat="1" ht="15" hidden="1" customHeight="1" x14ac:dyDescent="0.25">
      <c r="A331" s="144"/>
    </row>
    <row r="332" spans="1:1" customFormat="1" ht="15" hidden="1" customHeight="1" x14ac:dyDescent="0.25">
      <c r="A332" s="144"/>
    </row>
    <row r="333" spans="1:1" customFormat="1" ht="15" hidden="1" customHeight="1" x14ac:dyDescent="0.25">
      <c r="A333" s="144"/>
    </row>
    <row r="334" spans="1:1" customFormat="1" ht="15" hidden="1" customHeight="1" x14ac:dyDescent="0.25">
      <c r="A334" s="144"/>
    </row>
    <row r="335" spans="1:1" customFormat="1" ht="15" hidden="1" customHeight="1" x14ac:dyDescent="0.25">
      <c r="A335" s="144"/>
    </row>
    <row r="336" spans="1:1" customFormat="1" ht="15" hidden="1" customHeight="1" x14ac:dyDescent="0.25">
      <c r="A336" s="144"/>
    </row>
    <row r="337" spans="1:10" customFormat="1" ht="15" hidden="1" customHeight="1" x14ac:dyDescent="0.25">
      <c r="A337" s="144"/>
    </row>
    <row r="338" spans="1:10" customFormat="1" ht="15" hidden="1" customHeight="1" x14ac:dyDescent="0.25">
      <c r="A338" s="144"/>
    </row>
    <row r="339" spans="1:10" customFormat="1" ht="15" hidden="1" customHeight="1" x14ac:dyDescent="0.25">
      <c r="A339" s="144"/>
    </row>
    <row r="340" spans="1:10" customFormat="1" ht="15" hidden="1" customHeight="1" x14ac:dyDescent="0.25">
      <c r="A340" s="144"/>
    </row>
    <row r="341" spans="1:10" customFormat="1" ht="15" hidden="1" customHeight="1" x14ac:dyDescent="0.25">
      <c r="A341" s="144"/>
    </row>
    <row r="342" spans="1:10" customFormat="1" ht="15" hidden="1" customHeight="1" x14ac:dyDescent="0.25">
      <c r="A342" s="144"/>
    </row>
    <row r="343" spans="1:10" customFormat="1" ht="15" hidden="1" customHeight="1" x14ac:dyDescent="0.25">
      <c r="A343" s="144"/>
      <c r="B343" s="3"/>
      <c r="D343" s="102"/>
      <c r="E343" s="102"/>
      <c r="F343" s="3"/>
      <c r="G343" s="101"/>
      <c r="H343" s="101"/>
      <c r="I343" s="101"/>
      <c r="J343" s="89"/>
    </row>
    <row r="344" spans="1:10" customFormat="1" ht="15" hidden="1" customHeight="1" x14ac:dyDescent="0.25">
      <c r="A344" s="144"/>
      <c r="B344" s="3"/>
      <c r="D344" s="102"/>
      <c r="E344" s="102"/>
      <c r="F344" s="3"/>
      <c r="G344" s="101"/>
      <c r="H344" s="101"/>
      <c r="I344" s="101"/>
      <c r="J344" s="89"/>
    </row>
    <row r="345" spans="1:10" customFormat="1" ht="15" hidden="1" customHeight="1" x14ac:dyDescent="0.25">
      <c r="A345" s="144"/>
      <c r="B345" s="3"/>
      <c r="D345" s="102"/>
      <c r="E345" s="102"/>
      <c r="F345" s="3"/>
      <c r="G345" s="101"/>
      <c r="H345" s="101"/>
      <c r="I345" s="101"/>
      <c r="J345" s="89"/>
    </row>
    <row r="346" spans="1:10" customFormat="1" ht="15" hidden="1" customHeight="1" x14ac:dyDescent="0.25">
      <c r="A346" s="144"/>
      <c r="B346" s="3"/>
      <c r="D346" s="102"/>
      <c r="E346" s="102"/>
      <c r="F346" s="3"/>
      <c r="G346" s="101"/>
      <c r="H346" s="101"/>
      <c r="I346" s="101"/>
      <c r="J346" s="89"/>
    </row>
    <row r="347" spans="1:10" customFormat="1" ht="15" hidden="1" customHeight="1" x14ac:dyDescent="0.25">
      <c r="A347" s="144"/>
      <c r="B347" s="3"/>
      <c r="D347" s="102"/>
      <c r="E347" s="102"/>
      <c r="F347" s="3"/>
      <c r="G347" s="101"/>
      <c r="H347" s="101"/>
      <c r="I347" s="101"/>
      <c r="J347" s="89"/>
    </row>
    <row r="348" spans="1:10" customFormat="1" ht="15" hidden="1" customHeight="1" x14ac:dyDescent="0.25">
      <c r="A348" s="144"/>
      <c r="B348" s="3"/>
      <c r="D348" s="102"/>
      <c r="E348" s="102"/>
      <c r="F348" s="3"/>
      <c r="G348" s="101"/>
      <c r="H348" s="101"/>
      <c r="I348" s="101"/>
      <c r="J348" s="89"/>
    </row>
    <row r="349" spans="1:10" customFormat="1" ht="15" hidden="1" customHeight="1" x14ac:dyDescent="0.25">
      <c r="A349" s="144"/>
      <c r="B349" s="3"/>
      <c r="D349" s="102"/>
      <c r="E349" s="102"/>
      <c r="F349" s="3"/>
      <c r="G349" s="101"/>
      <c r="H349" s="101"/>
      <c r="I349" s="101"/>
      <c r="J349" s="89"/>
    </row>
    <row r="350" spans="1:10" customFormat="1" ht="15" hidden="1" customHeight="1" x14ac:dyDescent="0.25">
      <c r="A350" s="144"/>
      <c r="B350" s="3"/>
      <c r="D350" s="102"/>
      <c r="E350" s="102"/>
      <c r="F350" s="3"/>
      <c r="G350" s="101"/>
      <c r="H350" s="101"/>
      <c r="I350" s="101"/>
      <c r="J350" s="89"/>
    </row>
    <row r="351" spans="1:10" customFormat="1" ht="15" hidden="1" customHeight="1" x14ac:dyDescent="0.25">
      <c r="A351" s="144"/>
      <c r="B351" s="3"/>
      <c r="D351" s="102"/>
      <c r="E351" s="102"/>
      <c r="F351" s="3"/>
      <c r="G351" s="101"/>
      <c r="H351" s="101"/>
      <c r="I351" s="101"/>
      <c r="J351" s="89"/>
    </row>
    <row r="352" spans="1:10" customFormat="1" ht="15" hidden="1" customHeight="1" x14ac:dyDescent="0.25">
      <c r="A352" s="144"/>
      <c r="B352" s="3"/>
      <c r="D352" s="102"/>
      <c r="E352" s="102"/>
      <c r="F352" s="3"/>
      <c r="G352" s="101"/>
      <c r="H352" s="101"/>
      <c r="I352" s="101"/>
      <c r="J352" s="89"/>
    </row>
    <row r="353" spans="1:10" customFormat="1" ht="15" hidden="1" customHeight="1" x14ac:dyDescent="0.25">
      <c r="A353" s="144"/>
      <c r="B353" s="3"/>
      <c r="D353" s="102"/>
      <c r="E353" s="102"/>
      <c r="F353" s="3"/>
      <c r="G353" s="101"/>
      <c r="H353" s="101"/>
      <c r="I353" s="101"/>
      <c r="J353" s="89"/>
    </row>
    <row r="354" spans="1:10" customFormat="1" ht="15" hidden="1" customHeight="1" x14ac:dyDescent="0.25">
      <c r="A354" s="144"/>
      <c r="B354" s="3"/>
      <c r="D354" s="102"/>
      <c r="E354" s="102"/>
      <c r="F354" s="3"/>
      <c r="G354" s="101"/>
      <c r="H354" s="101"/>
      <c r="I354" s="101"/>
      <c r="J354" s="89"/>
    </row>
    <row r="355" spans="1:10" customFormat="1" ht="15" hidden="1" customHeight="1" x14ac:dyDescent="0.25">
      <c r="A355" s="144"/>
      <c r="B355" s="3"/>
      <c r="D355" s="102"/>
      <c r="E355" s="102"/>
      <c r="F355" s="3"/>
      <c r="G355" s="101"/>
      <c r="H355" s="101"/>
      <c r="I355" s="101"/>
      <c r="J355" s="89"/>
    </row>
    <row r="356" spans="1:10" customFormat="1" ht="15" hidden="1" customHeight="1" x14ac:dyDescent="0.25">
      <c r="A356" s="144"/>
      <c r="B356" s="3"/>
      <c r="D356" s="102"/>
      <c r="E356" s="102"/>
      <c r="F356" s="3"/>
      <c r="G356" s="101"/>
      <c r="H356" s="101"/>
      <c r="I356" s="101"/>
      <c r="J356" s="89"/>
    </row>
    <row r="357" spans="1:10" customFormat="1" ht="15" hidden="1" customHeight="1" x14ac:dyDescent="0.25">
      <c r="A357" s="144"/>
      <c r="B357" s="3"/>
      <c r="D357" s="102"/>
      <c r="E357" s="102"/>
      <c r="F357" s="3"/>
      <c r="G357" s="101"/>
      <c r="H357" s="101"/>
      <c r="I357" s="101"/>
      <c r="J357" s="89"/>
    </row>
    <row r="358" spans="1:10" customFormat="1" ht="15" hidden="1" customHeight="1" x14ac:dyDescent="0.25">
      <c r="A358" s="144"/>
      <c r="B358" s="3"/>
      <c r="D358" s="102"/>
      <c r="E358" s="102"/>
      <c r="F358" s="3"/>
      <c r="G358" s="101"/>
      <c r="H358" s="101"/>
      <c r="I358" s="101"/>
      <c r="J358" s="89"/>
    </row>
    <row r="359" spans="1:10" customFormat="1" ht="15" hidden="1" customHeight="1" x14ac:dyDescent="0.25">
      <c r="A359" s="144"/>
      <c r="B359" s="3"/>
      <c r="D359" s="102"/>
      <c r="E359" s="102"/>
      <c r="F359" s="3"/>
      <c r="G359" s="101"/>
      <c r="H359" s="101"/>
      <c r="I359" s="101"/>
      <c r="J359" s="89"/>
    </row>
    <row r="360" spans="1:10" customFormat="1" ht="15" hidden="1" customHeight="1" x14ac:dyDescent="0.25">
      <c r="A360" s="144"/>
      <c r="B360" s="3"/>
      <c r="D360" s="102"/>
      <c r="E360" s="102"/>
      <c r="F360" s="3"/>
      <c r="G360" s="101"/>
      <c r="H360" s="101"/>
      <c r="I360" s="101"/>
      <c r="J360" s="89"/>
    </row>
    <row r="361" spans="1:10" customFormat="1" ht="15" hidden="1" customHeight="1" x14ac:dyDescent="0.25">
      <c r="A361" s="144"/>
      <c r="B361" s="3"/>
      <c r="D361" s="102"/>
      <c r="E361" s="102"/>
      <c r="F361" s="3"/>
      <c r="G361" s="101"/>
      <c r="H361" s="101"/>
      <c r="I361" s="101"/>
      <c r="J361" s="89"/>
    </row>
    <row r="362" spans="1:10" customFormat="1" ht="15" hidden="1" customHeight="1" x14ac:dyDescent="0.25">
      <c r="A362" s="144"/>
      <c r="B362" s="3"/>
      <c r="D362" s="102"/>
      <c r="E362" s="102"/>
      <c r="F362" s="3"/>
      <c r="G362" s="101"/>
      <c r="H362" s="101"/>
      <c r="I362" s="101"/>
      <c r="J362" s="89"/>
    </row>
    <row r="363" spans="1:10" customFormat="1" ht="15" hidden="1" customHeight="1" x14ac:dyDescent="0.25">
      <c r="A363" s="144"/>
      <c r="B363" s="3"/>
      <c r="D363" s="102"/>
      <c r="E363" s="102"/>
      <c r="F363" s="3"/>
      <c r="G363" s="101"/>
      <c r="H363" s="101"/>
      <c r="I363" s="101"/>
      <c r="J363" s="89"/>
    </row>
    <row r="364" spans="1:10" customFormat="1" ht="15" hidden="1" customHeight="1" x14ac:dyDescent="0.25">
      <c r="A364" s="144"/>
      <c r="B364" s="3"/>
      <c r="D364" s="102"/>
      <c r="E364" s="102"/>
      <c r="F364" s="3"/>
      <c r="G364" s="101"/>
      <c r="H364" s="101"/>
      <c r="I364" s="101"/>
      <c r="J364" s="89"/>
    </row>
    <row r="365" spans="1:10" customFormat="1" ht="15" hidden="1" customHeight="1" x14ac:dyDescent="0.25">
      <c r="A365" s="144"/>
      <c r="B365" s="3"/>
      <c r="D365" s="102"/>
      <c r="E365" s="102"/>
      <c r="F365" s="3"/>
      <c r="G365" s="101"/>
      <c r="H365" s="101"/>
      <c r="I365" s="101"/>
      <c r="J365" s="89"/>
    </row>
    <row r="366" spans="1:10" customFormat="1" ht="15" hidden="1" customHeight="1" x14ac:dyDescent="0.25">
      <c r="A366" s="144"/>
      <c r="B366" s="3"/>
      <c r="D366" s="102"/>
      <c r="E366" s="102"/>
      <c r="F366" s="3"/>
      <c r="G366" s="101"/>
      <c r="H366" s="101"/>
      <c r="I366" s="101"/>
      <c r="J366" s="89"/>
    </row>
    <row r="367" spans="1:10" customFormat="1" ht="15" hidden="1" customHeight="1" x14ac:dyDescent="0.25">
      <c r="A367" s="144"/>
      <c r="B367" s="3"/>
      <c r="D367" s="102"/>
      <c r="E367" s="102"/>
      <c r="F367" s="3"/>
      <c r="G367" s="101"/>
      <c r="H367" s="101"/>
      <c r="I367" s="101"/>
      <c r="J367" s="89"/>
    </row>
    <row r="368" spans="1:10" customFormat="1" ht="15" hidden="1" customHeight="1" x14ac:dyDescent="0.25">
      <c r="A368" s="144"/>
      <c r="B368" s="3"/>
      <c r="D368" s="102"/>
      <c r="E368" s="102"/>
      <c r="F368" s="3"/>
      <c r="G368" s="101"/>
      <c r="H368" s="101"/>
      <c r="I368" s="101"/>
      <c r="J368" s="89"/>
    </row>
    <row r="369" spans="1:10" customFormat="1" ht="15" hidden="1" customHeight="1" x14ac:dyDescent="0.25">
      <c r="A369" s="144"/>
      <c r="B369" s="3"/>
      <c r="D369" s="102"/>
      <c r="E369" s="102"/>
      <c r="F369" s="3"/>
      <c r="G369" s="101"/>
      <c r="H369" s="101"/>
      <c r="I369" s="101"/>
      <c r="J369" s="89"/>
    </row>
    <row r="370" spans="1:10" customFormat="1" ht="15" hidden="1" customHeight="1" x14ac:dyDescent="0.25">
      <c r="A370" s="144"/>
      <c r="B370" s="3"/>
      <c r="D370" s="102"/>
      <c r="E370" s="102"/>
      <c r="F370" s="3"/>
      <c r="G370" s="101"/>
      <c r="H370" s="101"/>
      <c r="I370" s="101"/>
      <c r="J370" s="89"/>
    </row>
    <row r="371" spans="1:10" customFormat="1" ht="15" hidden="1" customHeight="1" x14ac:dyDescent="0.25">
      <c r="A371" s="144"/>
      <c r="B371" s="3"/>
      <c r="D371" s="102"/>
      <c r="E371" s="102"/>
      <c r="F371" s="3"/>
      <c r="G371" s="101"/>
      <c r="H371" s="101"/>
      <c r="I371" s="101"/>
      <c r="J371" s="89"/>
    </row>
    <row r="372" spans="1:10" customFormat="1" ht="15" hidden="1" customHeight="1" x14ac:dyDescent="0.25">
      <c r="A372" s="144"/>
      <c r="B372" s="3"/>
      <c r="D372" s="102"/>
      <c r="E372" s="102"/>
      <c r="F372" s="3"/>
      <c r="G372" s="101"/>
      <c r="H372" s="101"/>
      <c r="I372" s="101"/>
      <c r="J372" s="89"/>
    </row>
    <row r="373" spans="1:10" customFormat="1" ht="15" hidden="1" customHeight="1" x14ac:dyDescent="0.25">
      <c r="A373" s="144"/>
      <c r="B373" s="3"/>
      <c r="D373" s="102"/>
      <c r="E373" s="102"/>
      <c r="F373" s="3"/>
      <c r="G373" s="101"/>
      <c r="H373" s="101"/>
      <c r="I373" s="101"/>
      <c r="J373" s="89"/>
    </row>
    <row r="374" spans="1:10" customFormat="1" ht="15" hidden="1" customHeight="1" x14ac:dyDescent="0.25">
      <c r="A374" s="144"/>
      <c r="B374" s="3"/>
      <c r="D374" s="102"/>
      <c r="E374" s="102"/>
      <c r="F374" s="3"/>
      <c r="G374" s="101"/>
      <c r="H374" s="101"/>
      <c r="I374" s="101"/>
      <c r="J374" s="89"/>
    </row>
    <row r="375" spans="1:10" customFormat="1" ht="15" hidden="1" customHeight="1" x14ac:dyDescent="0.25">
      <c r="A375" s="144"/>
      <c r="B375" s="3"/>
      <c r="D375" s="102"/>
      <c r="E375" s="102"/>
      <c r="F375" s="3"/>
      <c r="G375" s="101"/>
      <c r="H375" s="101"/>
      <c r="I375" s="101"/>
      <c r="J375" s="89"/>
    </row>
    <row r="376" spans="1:10" customFormat="1" ht="15" hidden="1" customHeight="1" x14ac:dyDescent="0.25">
      <c r="A376" s="144"/>
      <c r="B376" s="3"/>
      <c r="D376" s="102"/>
      <c r="E376" s="102"/>
      <c r="F376" s="3"/>
      <c r="G376" s="101"/>
      <c r="H376" s="101"/>
      <c r="I376" s="101"/>
      <c r="J376" s="89"/>
    </row>
    <row r="377" spans="1:10" customFormat="1" ht="15" hidden="1" customHeight="1" x14ac:dyDescent="0.25">
      <c r="A377" s="144"/>
      <c r="B377" s="3"/>
      <c r="D377" s="102"/>
      <c r="E377" s="102"/>
      <c r="F377" s="3"/>
      <c r="G377" s="101"/>
      <c r="H377" s="101"/>
      <c r="I377" s="101"/>
      <c r="J377" s="89"/>
    </row>
    <row r="378" spans="1:10" customFormat="1" ht="15" hidden="1" customHeight="1" x14ac:dyDescent="0.25">
      <c r="A378" s="144"/>
      <c r="B378" s="3"/>
      <c r="D378" s="102"/>
      <c r="E378" s="102"/>
      <c r="F378" s="3"/>
      <c r="G378" s="101"/>
      <c r="H378" s="101"/>
      <c r="I378" s="101"/>
      <c r="J378" s="89"/>
    </row>
    <row r="379" spans="1:10" customFormat="1" ht="15" hidden="1" customHeight="1" x14ac:dyDescent="0.25">
      <c r="A379" s="144"/>
      <c r="B379" s="3"/>
      <c r="D379" s="102"/>
      <c r="E379" s="102"/>
      <c r="F379" s="3"/>
      <c r="G379" s="101"/>
      <c r="H379" s="101"/>
      <c r="I379" s="101"/>
      <c r="J379" s="89"/>
    </row>
    <row r="380" spans="1:10" customFormat="1" ht="15" hidden="1" customHeight="1" x14ac:dyDescent="0.25">
      <c r="A380" s="144"/>
      <c r="B380" s="3"/>
      <c r="D380" s="102"/>
      <c r="E380" s="102"/>
      <c r="F380" s="3"/>
      <c r="G380" s="101"/>
      <c r="H380" s="101"/>
      <c r="I380" s="101"/>
      <c r="J380" s="89"/>
    </row>
    <row r="381" spans="1:10" customFormat="1" ht="15" hidden="1" customHeight="1" x14ac:dyDescent="0.25">
      <c r="A381" s="144"/>
      <c r="B381" s="3"/>
      <c r="D381" s="102"/>
      <c r="E381" s="102"/>
      <c r="F381" s="3"/>
      <c r="G381" s="101"/>
      <c r="H381" s="101"/>
      <c r="I381" s="101"/>
      <c r="J381" s="89"/>
    </row>
    <row r="382" spans="1:10" customFormat="1" ht="15" hidden="1" customHeight="1" x14ac:dyDescent="0.25">
      <c r="A382" s="144"/>
      <c r="B382" s="3"/>
      <c r="D382" s="102"/>
      <c r="E382" s="102"/>
      <c r="F382" s="3"/>
      <c r="G382" s="101"/>
      <c r="H382" s="101"/>
      <c r="I382" s="101"/>
      <c r="J382" s="89"/>
    </row>
    <row r="383" spans="1:10" customFormat="1" ht="15" hidden="1" customHeight="1" x14ac:dyDescent="0.25">
      <c r="A383" s="144"/>
      <c r="B383" s="3"/>
      <c r="D383" s="102"/>
      <c r="E383" s="102"/>
      <c r="F383" s="3"/>
      <c r="G383" s="101"/>
      <c r="H383" s="101"/>
      <c r="I383" s="101"/>
      <c r="J383" s="89"/>
    </row>
    <row r="384" spans="1:10" customFormat="1" ht="15" hidden="1" customHeight="1" x14ac:dyDescent="0.25">
      <c r="A384" s="144"/>
      <c r="B384" s="3"/>
      <c r="D384" s="102"/>
      <c r="E384" s="102"/>
      <c r="F384" s="3"/>
      <c r="G384" s="101"/>
      <c r="H384" s="101"/>
      <c r="I384" s="101"/>
      <c r="J384" s="89"/>
    </row>
    <row r="385" spans="1:10" customFormat="1" ht="15" hidden="1" customHeight="1" x14ac:dyDescent="0.25">
      <c r="A385" s="144"/>
      <c r="B385" s="3"/>
      <c r="D385" s="102"/>
      <c r="E385" s="102"/>
      <c r="F385" s="3"/>
      <c r="G385" s="101"/>
      <c r="H385" s="101"/>
      <c r="I385" s="101"/>
      <c r="J385" s="89"/>
    </row>
    <row r="386" spans="1:10" customFormat="1" ht="15" hidden="1" customHeight="1" x14ac:dyDescent="0.25">
      <c r="A386" s="144"/>
      <c r="B386" s="3"/>
      <c r="D386" s="102"/>
      <c r="E386" s="102"/>
      <c r="F386" s="3"/>
      <c r="G386" s="101"/>
      <c r="H386" s="101"/>
      <c r="I386" s="101"/>
      <c r="J386" s="89"/>
    </row>
    <row r="387" spans="1:10" customFormat="1" ht="15" hidden="1" customHeight="1" x14ac:dyDescent="0.25">
      <c r="A387" s="144"/>
      <c r="B387" s="3"/>
      <c r="D387" s="102"/>
      <c r="E387" s="102"/>
      <c r="F387" s="3"/>
      <c r="G387" s="101"/>
      <c r="H387" s="101"/>
      <c r="I387" s="101"/>
      <c r="J387" s="89"/>
    </row>
    <row r="388" spans="1:10" customFormat="1" ht="15" hidden="1" customHeight="1" x14ac:dyDescent="0.25">
      <c r="A388" s="144"/>
      <c r="B388" s="3"/>
      <c r="D388" s="102"/>
      <c r="E388" s="102"/>
      <c r="F388" s="3"/>
      <c r="G388" s="101"/>
      <c r="H388" s="101"/>
      <c r="I388" s="101"/>
      <c r="J388" s="89"/>
    </row>
    <row r="389" spans="1:10" customFormat="1" ht="15" hidden="1" customHeight="1" x14ac:dyDescent="0.25">
      <c r="A389" s="144"/>
      <c r="B389" s="3"/>
      <c r="D389" s="102"/>
      <c r="E389" s="102"/>
      <c r="F389" s="3"/>
      <c r="G389" s="101"/>
      <c r="H389" s="101"/>
      <c r="I389" s="101"/>
      <c r="J389" s="89"/>
    </row>
    <row r="390" spans="1:10" customFormat="1" ht="15" hidden="1" customHeight="1" x14ac:dyDescent="0.25">
      <c r="A390" s="144"/>
      <c r="B390" s="3"/>
      <c r="D390" s="102"/>
      <c r="E390" s="102"/>
      <c r="F390" s="3"/>
      <c r="G390" s="101"/>
      <c r="H390" s="101"/>
      <c r="I390" s="101"/>
      <c r="J390" s="89"/>
    </row>
    <row r="391" spans="1:10" customFormat="1" ht="15" hidden="1" customHeight="1" x14ac:dyDescent="0.25">
      <c r="A391" s="144"/>
      <c r="B391" s="3"/>
      <c r="D391" s="102"/>
      <c r="E391" s="102"/>
      <c r="F391" s="3"/>
      <c r="G391" s="101"/>
      <c r="H391" s="101"/>
      <c r="I391" s="101"/>
      <c r="J391" s="89"/>
    </row>
    <row r="392" spans="1:10" customFormat="1" ht="15" hidden="1" customHeight="1" x14ac:dyDescent="0.25">
      <c r="A392" s="144"/>
      <c r="B392" s="3"/>
      <c r="D392" s="102"/>
      <c r="E392" s="102"/>
      <c r="F392" s="3"/>
      <c r="G392" s="101"/>
      <c r="H392" s="101"/>
      <c r="I392" s="101"/>
      <c r="J392" s="89"/>
    </row>
    <row r="393" spans="1:10" customFormat="1" ht="15" hidden="1" customHeight="1" x14ac:dyDescent="0.25">
      <c r="A393" s="144"/>
      <c r="B393" s="3"/>
      <c r="D393" s="102"/>
      <c r="E393" s="102"/>
      <c r="F393" s="3"/>
      <c r="G393" s="101"/>
      <c r="H393" s="101"/>
      <c r="I393" s="101"/>
      <c r="J393" s="89"/>
    </row>
    <row r="394" spans="1:10" customFormat="1" ht="15" hidden="1" customHeight="1" x14ac:dyDescent="0.25">
      <c r="A394" s="144"/>
      <c r="B394" s="3"/>
      <c r="D394" s="102"/>
      <c r="E394" s="102"/>
      <c r="F394" s="3"/>
      <c r="G394" s="101"/>
      <c r="H394" s="101"/>
      <c r="I394" s="101"/>
      <c r="J394" s="89"/>
    </row>
    <row r="395" spans="1:10" customFormat="1" ht="15" hidden="1" customHeight="1" x14ac:dyDescent="0.25">
      <c r="A395" s="144"/>
      <c r="B395" s="3"/>
      <c r="D395" s="102"/>
      <c r="E395" s="102"/>
      <c r="F395" s="3"/>
      <c r="G395" s="101"/>
      <c r="H395" s="101"/>
      <c r="I395" s="101"/>
      <c r="J395" s="89"/>
    </row>
    <row r="396" spans="1:10" customFormat="1" ht="15" hidden="1" customHeight="1" x14ac:dyDescent="0.25">
      <c r="A396" s="144"/>
      <c r="B396" s="3"/>
      <c r="D396" s="102"/>
      <c r="E396" s="102"/>
      <c r="F396" s="3"/>
      <c r="G396" s="101"/>
      <c r="H396" s="101"/>
      <c r="I396" s="101"/>
      <c r="J396" s="89"/>
    </row>
    <row r="397" spans="1:10" customFormat="1" ht="15" hidden="1" customHeight="1" x14ac:dyDescent="0.25">
      <c r="A397" s="144"/>
      <c r="B397" s="3"/>
      <c r="D397" s="102"/>
      <c r="E397" s="102"/>
      <c r="F397" s="3"/>
      <c r="G397" s="101"/>
      <c r="H397" s="101"/>
      <c r="I397" s="101"/>
      <c r="J397" s="89"/>
    </row>
    <row r="398" spans="1:10" customFormat="1" ht="15" hidden="1" customHeight="1" x14ac:dyDescent="0.25">
      <c r="A398" s="144"/>
      <c r="B398" s="3"/>
      <c r="D398" s="102"/>
      <c r="E398" s="102"/>
      <c r="F398" s="3"/>
      <c r="G398" s="101"/>
      <c r="H398" s="101"/>
      <c r="I398" s="101"/>
      <c r="J398" s="89"/>
    </row>
    <row r="399" spans="1:10" customFormat="1" ht="15" hidden="1" customHeight="1" x14ac:dyDescent="0.25">
      <c r="A399" s="144"/>
      <c r="B399" s="3"/>
      <c r="D399" s="102"/>
      <c r="E399" s="102"/>
      <c r="F399" s="3"/>
      <c r="G399" s="101"/>
      <c r="H399" s="101"/>
      <c r="I399" s="101"/>
      <c r="J399" s="89"/>
    </row>
    <row r="400" spans="1:10" customFormat="1" ht="15" hidden="1" customHeight="1" x14ac:dyDescent="0.25">
      <c r="A400" s="144"/>
      <c r="B400" s="3"/>
      <c r="D400" s="102"/>
      <c r="E400" s="102"/>
      <c r="F400" s="3"/>
      <c r="G400" s="101"/>
      <c r="H400" s="101"/>
      <c r="I400" s="101"/>
      <c r="J400" s="89"/>
    </row>
    <row r="401" spans="1:10" customFormat="1" ht="15" hidden="1" customHeight="1" x14ac:dyDescent="0.25">
      <c r="A401" s="144"/>
      <c r="B401" s="3"/>
      <c r="D401" s="102"/>
      <c r="E401" s="102"/>
      <c r="F401" s="3"/>
      <c r="G401" s="101"/>
      <c r="H401" s="101"/>
      <c r="I401" s="101"/>
      <c r="J401" s="89"/>
    </row>
    <row r="402" spans="1:10" customFormat="1" ht="15" hidden="1" customHeight="1" x14ac:dyDescent="0.25">
      <c r="A402" s="144"/>
      <c r="B402" s="3"/>
      <c r="D402" s="102"/>
      <c r="E402" s="102"/>
      <c r="F402" s="3"/>
      <c r="G402" s="101"/>
      <c r="H402" s="101"/>
      <c r="I402" s="101"/>
      <c r="J402" s="89"/>
    </row>
    <row r="403" spans="1:10" customFormat="1" ht="15" hidden="1" customHeight="1" x14ac:dyDescent="0.25">
      <c r="A403" s="144"/>
      <c r="B403" s="3"/>
      <c r="D403" s="102"/>
      <c r="E403" s="102"/>
      <c r="F403" s="3"/>
      <c r="G403" s="101"/>
      <c r="H403" s="101"/>
      <c r="I403" s="101"/>
      <c r="J403" s="89"/>
    </row>
    <row r="404" spans="1:10" customFormat="1" ht="15" hidden="1" customHeight="1" x14ac:dyDescent="0.25">
      <c r="A404" s="144"/>
      <c r="B404" s="3"/>
      <c r="D404" s="102"/>
      <c r="E404" s="102"/>
      <c r="F404" s="3"/>
      <c r="G404" s="101"/>
      <c r="H404" s="101"/>
      <c r="I404" s="101"/>
      <c r="J404" s="89"/>
    </row>
    <row r="405" spans="1:10" customFormat="1" ht="15" hidden="1" customHeight="1" x14ac:dyDescent="0.25">
      <c r="A405" s="144"/>
      <c r="B405" s="3"/>
      <c r="D405" s="102"/>
      <c r="E405" s="102"/>
      <c r="F405" s="3"/>
      <c r="G405" s="101"/>
      <c r="H405" s="101"/>
      <c r="I405" s="101"/>
      <c r="J405" s="89"/>
    </row>
    <row r="406" spans="1:10" customFormat="1" ht="15" hidden="1" customHeight="1" x14ac:dyDescent="0.25">
      <c r="A406" s="144"/>
      <c r="B406" s="3"/>
      <c r="D406" s="102"/>
      <c r="E406" s="102"/>
      <c r="F406" s="3"/>
      <c r="G406" s="101"/>
      <c r="H406" s="101"/>
      <c r="I406" s="101"/>
      <c r="J406" s="89"/>
    </row>
    <row r="407" spans="1:10" customFormat="1" ht="15" hidden="1" customHeight="1" x14ac:dyDescent="0.25">
      <c r="A407" s="144"/>
      <c r="B407" s="3"/>
      <c r="D407" s="102"/>
      <c r="E407" s="102"/>
      <c r="F407" s="3"/>
      <c r="G407" s="101"/>
      <c r="H407" s="101"/>
      <c r="I407" s="101"/>
      <c r="J407" s="89"/>
    </row>
    <row r="408" spans="1:10" customFormat="1" ht="15" hidden="1" customHeight="1" x14ac:dyDescent="0.25">
      <c r="A408" s="144"/>
      <c r="B408" s="3"/>
      <c r="D408" s="102"/>
      <c r="E408" s="102"/>
      <c r="F408" s="3"/>
      <c r="G408" s="101"/>
      <c r="H408" s="101"/>
      <c r="I408" s="101"/>
      <c r="J408" s="89"/>
    </row>
    <row r="409" spans="1:10" customFormat="1" ht="15" hidden="1" customHeight="1" x14ac:dyDescent="0.25">
      <c r="A409" s="144"/>
      <c r="B409" s="3"/>
      <c r="D409" s="102"/>
      <c r="E409" s="102"/>
      <c r="F409" s="3"/>
      <c r="G409" s="101"/>
      <c r="H409" s="101"/>
      <c r="I409" s="101"/>
      <c r="J409" s="89"/>
    </row>
    <row r="410" spans="1:10" customFormat="1" ht="15" hidden="1" customHeight="1" x14ac:dyDescent="0.25">
      <c r="A410" s="144"/>
      <c r="B410" s="3"/>
      <c r="D410" s="102"/>
      <c r="E410" s="102"/>
      <c r="F410" s="3"/>
      <c r="G410" s="101"/>
      <c r="H410" s="101"/>
      <c r="I410" s="101"/>
      <c r="J410" s="89"/>
    </row>
    <row r="411" spans="1:10" customFormat="1" ht="15" hidden="1" customHeight="1" x14ac:dyDescent="0.25">
      <c r="A411" s="144"/>
      <c r="B411" s="3"/>
      <c r="D411" s="102"/>
      <c r="E411" s="102"/>
      <c r="F411" s="3"/>
      <c r="G411" s="101"/>
      <c r="H411" s="101"/>
      <c r="I411" s="101"/>
      <c r="J411" s="89"/>
    </row>
    <row r="412" spans="1:10" customFormat="1" ht="15" hidden="1" customHeight="1" x14ac:dyDescent="0.25">
      <c r="A412" s="144"/>
      <c r="B412" s="3"/>
      <c r="D412" s="102"/>
      <c r="E412" s="102"/>
      <c r="F412" s="3"/>
      <c r="G412" s="101"/>
      <c r="H412" s="101"/>
      <c r="I412" s="101"/>
      <c r="J412" s="89"/>
    </row>
    <row r="413" spans="1:10" customFormat="1" ht="15" hidden="1" customHeight="1" x14ac:dyDescent="0.25">
      <c r="A413" s="144"/>
      <c r="B413" s="3"/>
      <c r="D413" s="102"/>
      <c r="E413" s="102"/>
      <c r="F413" s="3"/>
      <c r="G413" s="101"/>
      <c r="H413" s="101"/>
      <c r="I413" s="101"/>
      <c r="J413" s="89"/>
    </row>
    <row r="414" spans="1:10" customFormat="1" ht="15" hidden="1" customHeight="1" x14ac:dyDescent="0.25">
      <c r="A414" s="144"/>
      <c r="B414" s="3"/>
      <c r="D414" s="102"/>
      <c r="E414" s="102"/>
      <c r="F414" s="3"/>
      <c r="G414" s="101"/>
      <c r="H414" s="101"/>
      <c r="I414" s="101"/>
      <c r="J414" s="89"/>
    </row>
    <row r="415" spans="1:10" customFormat="1" ht="15" hidden="1" customHeight="1" x14ac:dyDescent="0.25">
      <c r="A415" s="144"/>
      <c r="B415" s="3"/>
      <c r="D415" s="102"/>
      <c r="E415" s="102"/>
      <c r="F415" s="3"/>
      <c r="G415" s="101"/>
      <c r="H415" s="101"/>
      <c r="I415" s="101"/>
      <c r="J415" s="89"/>
    </row>
    <row r="416" spans="1:10" customFormat="1" ht="15" hidden="1" customHeight="1" x14ac:dyDescent="0.25">
      <c r="A416" s="144"/>
      <c r="B416" s="3"/>
      <c r="D416" s="102"/>
      <c r="E416" s="102"/>
      <c r="F416" s="3"/>
      <c r="G416" s="101"/>
      <c r="H416" s="101"/>
      <c r="I416" s="101"/>
      <c r="J416" s="89"/>
    </row>
    <row r="417" spans="1:10" customFormat="1" ht="15" hidden="1" customHeight="1" x14ac:dyDescent="0.25">
      <c r="A417" s="144"/>
      <c r="B417" s="3"/>
      <c r="D417" s="102"/>
      <c r="E417" s="102"/>
      <c r="F417" s="3"/>
      <c r="G417" s="101"/>
      <c r="H417" s="101"/>
      <c r="I417" s="101"/>
      <c r="J417" s="89"/>
    </row>
    <row r="418" spans="1:10" customFormat="1" ht="15" hidden="1" customHeight="1" x14ac:dyDescent="0.25">
      <c r="A418" s="144"/>
      <c r="B418" s="3"/>
      <c r="D418" s="102"/>
      <c r="E418" s="102"/>
      <c r="F418" s="3"/>
      <c r="G418" s="101"/>
      <c r="H418" s="101"/>
      <c r="I418" s="101"/>
      <c r="J418" s="89"/>
    </row>
    <row r="419" spans="1:10" customFormat="1" ht="15" hidden="1" customHeight="1" x14ac:dyDescent="0.25">
      <c r="A419" s="144"/>
      <c r="B419" s="3"/>
      <c r="D419" s="102"/>
      <c r="E419" s="102"/>
      <c r="F419" s="3"/>
      <c r="G419" s="101"/>
      <c r="H419" s="101"/>
      <c r="I419" s="101"/>
      <c r="J419" s="89"/>
    </row>
    <row r="420" spans="1:10" customFormat="1" ht="15" hidden="1" customHeight="1" x14ac:dyDescent="0.25">
      <c r="A420" s="144"/>
      <c r="B420" s="3"/>
      <c r="D420" s="102"/>
      <c r="E420" s="102"/>
      <c r="F420" s="3"/>
      <c r="G420" s="101"/>
      <c r="H420" s="101"/>
      <c r="I420" s="101"/>
      <c r="J420" s="89"/>
    </row>
    <row r="421" spans="1:10" customFormat="1" ht="15" hidden="1" customHeight="1" x14ac:dyDescent="0.25">
      <c r="A421" s="144"/>
      <c r="B421" s="3"/>
      <c r="D421" s="102"/>
      <c r="E421" s="102"/>
      <c r="F421" s="3"/>
      <c r="G421" s="101"/>
      <c r="H421" s="101"/>
      <c r="I421" s="101"/>
      <c r="J421" s="89"/>
    </row>
    <row r="422" spans="1:10" customFormat="1" ht="15" hidden="1" customHeight="1" x14ac:dyDescent="0.25">
      <c r="A422" s="144"/>
      <c r="B422" s="3"/>
      <c r="D422" s="102"/>
      <c r="E422" s="102"/>
      <c r="F422" s="3"/>
      <c r="G422" s="101"/>
      <c r="H422" s="101"/>
      <c r="I422" s="101"/>
      <c r="J422" s="89"/>
    </row>
    <row r="423" spans="1:10" customFormat="1" ht="15" hidden="1" customHeight="1" x14ac:dyDescent="0.25">
      <c r="A423" s="144"/>
      <c r="B423" s="3"/>
      <c r="D423" s="102"/>
      <c r="E423" s="102"/>
      <c r="F423" s="3"/>
      <c r="G423" s="101"/>
      <c r="H423" s="101"/>
      <c r="I423" s="101"/>
      <c r="J423" s="89"/>
    </row>
    <row r="424" spans="1:10" customFormat="1" ht="15" hidden="1" customHeight="1" x14ac:dyDescent="0.25">
      <c r="A424" s="144"/>
      <c r="B424" s="3"/>
      <c r="D424" s="102"/>
      <c r="E424" s="102"/>
      <c r="F424" s="3"/>
      <c r="G424" s="101"/>
      <c r="H424" s="101"/>
      <c r="I424" s="101"/>
      <c r="J424" s="89"/>
    </row>
    <row r="425" spans="1:10" customFormat="1" ht="15" hidden="1" customHeight="1" x14ac:dyDescent="0.25">
      <c r="A425" s="144"/>
      <c r="B425" s="3"/>
      <c r="D425" s="102"/>
      <c r="E425" s="102"/>
      <c r="F425" s="3"/>
      <c r="G425" s="101"/>
      <c r="H425" s="101"/>
      <c r="I425" s="101"/>
      <c r="J425" s="89"/>
    </row>
    <row r="426" spans="1:10" customFormat="1" ht="15" hidden="1" customHeight="1" x14ac:dyDescent="0.25">
      <c r="A426" s="144"/>
      <c r="B426" s="3"/>
      <c r="D426" s="102"/>
      <c r="E426" s="102"/>
      <c r="F426" s="3"/>
      <c r="G426" s="101"/>
      <c r="H426" s="101"/>
      <c r="I426" s="101"/>
      <c r="J426" s="89"/>
    </row>
    <row r="427" spans="1:10" customFormat="1" ht="15" hidden="1" customHeight="1" x14ac:dyDescent="0.25">
      <c r="A427" s="144"/>
      <c r="B427" s="3"/>
      <c r="D427" s="102"/>
      <c r="E427" s="102"/>
      <c r="F427" s="3"/>
      <c r="G427" s="101"/>
      <c r="H427" s="101"/>
      <c r="I427" s="101"/>
      <c r="J427" s="89"/>
    </row>
    <row r="428" spans="1:10" customFormat="1" ht="15" hidden="1" customHeight="1" x14ac:dyDescent="0.25">
      <c r="A428" s="144"/>
      <c r="B428" s="3"/>
      <c r="D428" s="102"/>
      <c r="E428" s="102"/>
      <c r="F428" s="3"/>
      <c r="G428" s="101"/>
      <c r="H428" s="101"/>
      <c r="I428" s="101"/>
      <c r="J428" s="89"/>
    </row>
    <row r="429" spans="1:10" customFormat="1" ht="15" hidden="1" customHeight="1" x14ac:dyDescent="0.25">
      <c r="A429" s="144"/>
      <c r="B429" s="3"/>
      <c r="D429" s="102"/>
      <c r="E429" s="102"/>
      <c r="F429" s="3"/>
      <c r="G429" s="101"/>
      <c r="H429" s="101"/>
      <c r="I429" s="101"/>
      <c r="J429" s="89"/>
    </row>
    <row r="430" spans="1:10" customFormat="1" ht="15" hidden="1" customHeight="1" x14ac:dyDescent="0.25">
      <c r="A430" s="144"/>
      <c r="B430" s="3"/>
      <c r="D430" s="102"/>
      <c r="E430" s="102"/>
      <c r="F430" s="3"/>
      <c r="G430" s="101"/>
      <c r="H430" s="101"/>
      <c r="I430" s="101"/>
      <c r="J430" s="89"/>
    </row>
    <row r="431" spans="1:10" customFormat="1" ht="15" hidden="1" customHeight="1" x14ac:dyDescent="0.25">
      <c r="A431" s="144"/>
      <c r="B431" s="3"/>
      <c r="D431" s="102"/>
      <c r="E431" s="102"/>
      <c r="F431" s="3"/>
      <c r="G431" s="101"/>
      <c r="H431" s="101"/>
      <c r="I431" s="101"/>
      <c r="J431" s="89"/>
    </row>
    <row r="432" spans="1:10" customFormat="1" ht="15" hidden="1" customHeight="1" x14ac:dyDescent="0.25">
      <c r="A432" s="144"/>
      <c r="B432" s="3"/>
      <c r="D432" s="102"/>
      <c r="E432" s="102"/>
      <c r="F432" s="3"/>
      <c r="G432" s="101"/>
      <c r="H432" s="101"/>
      <c r="I432" s="101"/>
      <c r="J432" s="89"/>
    </row>
    <row r="433" spans="1:10" customFormat="1" ht="15" hidden="1" customHeight="1" x14ac:dyDescent="0.25">
      <c r="A433" s="144"/>
      <c r="B433" s="3"/>
      <c r="D433" s="102"/>
      <c r="E433" s="102"/>
      <c r="F433" s="3"/>
      <c r="G433" s="101"/>
      <c r="H433" s="101"/>
      <c r="I433" s="101"/>
      <c r="J433" s="89"/>
    </row>
    <row r="434" spans="1:10" customFormat="1" ht="15" hidden="1" customHeight="1" x14ac:dyDescent="0.25">
      <c r="A434" s="144"/>
      <c r="B434" s="3"/>
      <c r="D434" s="102"/>
      <c r="E434" s="102"/>
      <c r="F434" s="3"/>
      <c r="G434" s="101"/>
      <c r="H434" s="101"/>
      <c r="I434" s="101"/>
      <c r="J434" s="89"/>
    </row>
    <row r="435" spans="1:10" customFormat="1" ht="15" hidden="1" customHeight="1" x14ac:dyDescent="0.25">
      <c r="A435" s="144"/>
      <c r="B435" s="3"/>
      <c r="D435" s="102"/>
      <c r="E435" s="102"/>
      <c r="F435" s="3"/>
      <c r="G435" s="101"/>
      <c r="H435" s="101"/>
      <c r="I435" s="101"/>
      <c r="J435" s="89"/>
    </row>
    <row r="436" spans="1:10" customFormat="1" ht="15" hidden="1" customHeight="1" x14ac:dyDescent="0.25">
      <c r="A436" s="144"/>
      <c r="B436" s="3"/>
      <c r="D436" s="102"/>
      <c r="E436" s="102"/>
      <c r="F436" s="3"/>
      <c r="G436" s="101"/>
      <c r="H436" s="101"/>
      <c r="I436" s="101"/>
      <c r="J436" s="89"/>
    </row>
    <row r="437" spans="1:10" customFormat="1" ht="15" hidden="1" customHeight="1" x14ac:dyDescent="0.25">
      <c r="A437" s="144"/>
      <c r="B437" s="3"/>
      <c r="D437" s="102"/>
      <c r="E437" s="102"/>
      <c r="F437" s="3"/>
      <c r="G437" s="101"/>
      <c r="H437" s="101"/>
      <c r="I437" s="101"/>
      <c r="J437" s="89"/>
    </row>
    <row r="438" spans="1:10" customFormat="1" ht="15" hidden="1" customHeight="1" x14ac:dyDescent="0.25">
      <c r="A438" s="144"/>
      <c r="B438" s="3"/>
      <c r="D438" s="102"/>
      <c r="E438" s="102"/>
      <c r="F438" s="3"/>
      <c r="G438" s="101"/>
      <c r="H438" s="101"/>
      <c r="I438" s="101"/>
      <c r="J438" s="89"/>
    </row>
    <row r="439" spans="1:10" customFormat="1" ht="15" hidden="1" customHeight="1" x14ac:dyDescent="0.25">
      <c r="A439" s="144"/>
      <c r="B439" s="3"/>
      <c r="D439" s="102"/>
      <c r="E439" s="102"/>
      <c r="F439" s="3"/>
      <c r="G439" s="101"/>
      <c r="H439" s="101"/>
      <c r="I439" s="101"/>
      <c r="J439" s="89"/>
    </row>
    <row r="440" spans="1:10" customFormat="1" ht="15" hidden="1" customHeight="1" x14ac:dyDescent="0.25">
      <c r="A440" s="144"/>
      <c r="B440" s="3"/>
      <c r="D440" s="102"/>
      <c r="E440" s="102"/>
      <c r="F440" s="3"/>
      <c r="G440" s="101"/>
      <c r="H440" s="101"/>
      <c r="I440" s="101"/>
      <c r="J440" s="89"/>
    </row>
    <row r="441" spans="1:10" customFormat="1" ht="15" hidden="1" customHeight="1" x14ac:dyDescent="0.25">
      <c r="A441" s="144"/>
      <c r="B441" s="3"/>
      <c r="D441" s="102"/>
      <c r="E441" s="102"/>
      <c r="F441" s="3"/>
      <c r="G441" s="101"/>
      <c r="H441" s="101"/>
      <c r="I441" s="101"/>
      <c r="J441" s="89"/>
    </row>
    <row r="442" spans="1:10" customFormat="1" ht="15" hidden="1" customHeight="1" x14ac:dyDescent="0.25">
      <c r="A442" s="144"/>
      <c r="B442" s="3"/>
      <c r="D442" s="102"/>
      <c r="E442" s="102"/>
      <c r="F442" s="3"/>
      <c r="G442" s="101"/>
      <c r="H442" s="101"/>
      <c r="I442" s="101"/>
      <c r="J442" s="89"/>
    </row>
    <row r="443" spans="1:10" customFormat="1" ht="15" hidden="1" customHeight="1" x14ac:dyDescent="0.25">
      <c r="A443" s="144"/>
      <c r="B443" s="3"/>
      <c r="D443" s="102"/>
      <c r="E443" s="102"/>
      <c r="F443" s="3"/>
      <c r="G443" s="101"/>
      <c r="H443" s="101"/>
      <c r="I443" s="101"/>
      <c r="J443" s="89"/>
    </row>
    <row r="444" spans="1:10" customFormat="1" ht="15" hidden="1" customHeight="1" x14ac:dyDescent="0.25">
      <c r="A444" s="144"/>
      <c r="B444" s="3"/>
      <c r="D444" s="102"/>
      <c r="E444" s="102"/>
      <c r="F444" s="3"/>
      <c r="G444" s="101"/>
      <c r="H444" s="101"/>
      <c r="I444" s="101"/>
      <c r="J444" s="89"/>
    </row>
    <row r="445" spans="1:10" customFormat="1" ht="15" hidden="1" customHeight="1" x14ac:dyDescent="0.25">
      <c r="A445" s="144"/>
      <c r="B445" s="3"/>
      <c r="D445" s="102"/>
      <c r="E445" s="102"/>
      <c r="F445" s="3"/>
      <c r="G445" s="101"/>
      <c r="H445" s="101"/>
      <c r="I445" s="101"/>
      <c r="J445" s="89"/>
    </row>
    <row r="446" spans="1:10" customFormat="1" ht="15" hidden="1" customHeight="1" x14ac:dyDescent="0.25">
      <c r="A446" s="144"/>
      <c r="B446" s="3"/>
      <c r="D446" s="102"/>
      <c r="E446" s="102"/>
      <c r="F446" s="3"/>
      <c r="G446" s="101"/>
      <c r="H446" s="101"/>
      <c r="I446" s="101"/>
      <c r="J446" s="89"/>
    </row>
    <row r="447" spans="1:10" customFormat="1" ht="15" hidden="1" customHeight="1" x14ac:dyDescent="0.25">
      <c r="A447" s="144"/>
      <c r="B447" s="3"/>
      <c r="D447" s="102"/>
      <c r="E447" s="102"/>
      <c r="F447" s="3"/>
      <c r="G447" s="101"/>
      <c r="H447" s="101"/>
      <c r="I447" s="101"/>
      <c r="J447" s="89"/>
    </row>
    <row r="448" spans="1:10" customFormat="1" ht="15" hidden="1" customHeight="1" x14ac:dyDescent="0.25">
      <c r="A448" s="144"/>
      <c r="B448" s="3"/>
      <c r="D448" s="102"/>
      <c r="E448" s="102"/>
      <c r="F448" s="3"/>
      <c r="G448" s="101"/>
      <c r="H448" s="101"/>
      <c r="I448" s="101"/>
      <c r="J448" s="89"/>
    </row>
    <row r="449" spans="1:10" customFormat="1" ht="15" hidden="1" customHeight="1" x14ac:dyDescent="0.25">
      <c r="A449" s="144"/>
      <c r="B449" s="3"/>
      <c r="D449" s="102"/>
      <c r="E449" s="102"/>
      <c r="F449" s="3"/>
      <c r="G449" s="101"/>
      <c r="H449" s="101"/>
      <c r="I449" s="101"/>
      <c r="J449" s="89"/>
    </row>
    <row r="450" spans="1:10" customFormat="1" ht="15" hidden="1" customHeight="1" x14ac:dyDescent="0.25">
      <c r="A450" s="144"/>
      <c r="B450" s="3"/>
      <c r="D450" s="102"/>
      <c r="E450" s="102"/>
      <c r="F450" s="3"/>
      <c r="G450" s="101"/>
      <c r="H450" s="101"/>
      <c r="I450" s="101"/>
      <c r="J450" s="89"/>
    </row>
    <row r="451" spans="1:10" customFormat="1" ht="15" hidden="1" customHeight="1" x14ac:dyDescent="0.25">
      <c r="A451" s="144"/>
      <c r="B451" s="3"/>
      <c r="D451" s="102"/>
      <c r="E451" s="102"/>
      <c r="F451" s="3"/>
      <c r="G451" s="101"/>
      <c r="H451" s="101"/>
      <c r="I451" s="101"/>
      <c r="J451" s="89"/>
    </row>
    <row r="452" spans="1:10" customFormat="1" ht="15" hidden="1" customHeight="1" x14ac:dyDescent="0.25">
      <c r="A452" s="144"/>
      <c r="B452" s="3"/>
      <c r="D452" s="102"/>
      <c r="E452" s="102"/>
      <c r="F452" s="3"/>
      <c r="G452" s="101"/>
      <c r="H452" s="101"/>
      <c r="I452" s="101"/>
      <c r="J452" s="89"/>
    </row>
    <row r="453" spans="1:10" customFormat="1" ht="15" hidden="1" customHeight="1" x14ac:dyDescent="0.25">
      <c r="A453" s="144"/>
      <c r="B453" s="3"/>
      <c r="D453" s="102"/>
      <c r="E453" s="102"/>
      <c r="F453" s="3"/>
      <c r="G453" s="101"/>
      <c r="H453" s="101"/>
      <c r="I453" s="101"/>
      <c r="J453" s="89"/>
    </row>
    <row r="454" spans="1:10" customFormat="1" ht="15" hidden="1" customHeight="1" x14ac:dyDescent="0.25">
      <c r="A454" s="144"/>
      <c r="B454" s="3"/>
      <c r="D454" s="102"/>
      <c r="E454" s="102"/>
      <c r="F454" s="3"/>
      <c r="G454" s="101"/>
      <c r="H454" s="101"/>
      <c r="I454" s="101"/>
      <c r="J454" s="89"/>
    </row>
    <row r="455" spans="1:10" customFormat="1" ht="15" hidden="1" customHeight="1" x14ac:dyDescent="0.25">
      <c r="A455" s="144"/>
      <c r="B455" s="3"/>
      <c r="D455" s="102"/>
      <c r="E455" s="102"/>
      <c r="F455" s="3"/>
      <c r="G455" s="101"/>
      <c r="H455" s="101"/>
      <c r="I455" s="101"/>
      <c r="J455" s="89"/>
    </row>
    <row r="456" spans="1:10" customFormat="1" ht="15" hidden="1" customHeight="1" x14ac:dyDescent="0.25">
      <c r="A456" s="144"/>
      <c r="B456" s="3"/>
      <c r="D456" s="102"/>
      <c r="E456" s="102"/>
      <c r="F456" s="3"/>
      <c r="G456" s="101"/>
      <c r="H456" s="101"/>
      <c r="I456" s="101"/>
      <c r="J456" s="89"/>
    </row>
    <row r="457" spans="1:10" customFormat="1" ht="15" hidden="1" customHeight="1" x14ac:dyDescent="0.25">
      <c r="A457" s="144"/>
      <c r="B457" s="3"/>
      <c r="D457" s="102"/>
      <c r="E457" s="102"/>
      <c r="F457" s="3"/>
      <c r="G457" s="101"/>
      <c r="H457" s="101"/>
      <c r="I457" s="101"/>
      <c r="J457" s="89"/>
    </row>
    <row r="458" spans="1:10" customFormat="1" ht="15" hidden="1" customHeight="1" x14ac:dyDescent="0.25">
      <c r="A458" s="144"/>
      <c r="B458" s="3"/>
      <c r="D458" s="102"/>
      <c r="E458" s="102"/>
      <c r="F458" s="3"/>
      <c r="G458" s="101"/>
      <c r="H458" s="101"/>
      <c r="I458" s="101"/>
      <c r="J458" s="89"/>
    </row>
    <row r="459" spans="1:10" customFormat="1" ht="15" hidden="1" customHeight="1" x14ac:dyDescent="0.25">
      <c r="A459" s="144"/>
      <c r="B459" s="3"/>
      <c r="D459" s="102"/>
      <c r="E459" s="102"/>
      <c r="F459" s="3"/>
      <c r="G459" s="101"/>
      <c r="H459" s="101"/>
      <c r="I459" s="101"/>
      <c r="J459" s="89"/>
    </row>
    <row r="460" spans="1:10" customFormat="1" ht="15" hidden="1" customHeight="1" x14ac:dyDescent="0.25">
      <c r="A460" s="144"/>
      <c r="B460" s="3"/>
      <c r="D460" s="102"/>
      <c r="E460" s="102"/>
      <c r="F460" s="3"/>
      <c r="G460" s="101"/>
      <c r="H460" s="101"/>
      <c r="I460" s="101"/>
      <c r="J460" s="89"/>
    </row>
    <row r="461" spans="1:10" customFormat="1" ht="15" hidden="1" customHeight="1" x14ac:dyDescent="0.25">
      <c r="A461" s="144"/>
      <c r="B461" s="3"/>
      <c r="D461" s="102"/>
      <c r="E461" s="102"/>
      <c r="F461" s="3"/>
      <c r="G461" s="101"/>
      <c r="H461" s="101"/>
      <c r="I461" s="101"/>
      <c r="J461" s="89"/>
    </row>
    <row r="462" spans="1:10" customFormat="1" ht="15" hidden="1" customHeight="1" x14ac:dyDescent="0.25">
      <c r="A462" s="144"/>
      <c r="B462" s="3"/>
      <c r="D462" s="102"/>
      <c r="E462" s="102"/>
      <c r="F462" s="3"/>
      <c r="G462" s="101"/>
      <c r="H462" s="101"/>
      <c r="I462" s="101"/>
      <c r="J462" s="89"/>
    </row>
    <row r="463" spans="1:10" customFormat="1" ht="15" hidden="1" customHeight="1" x14ac:dyDescent="0.25">
      <c r="A463" s="144"/>
      <c r="B463" s="3"/>
      <c r="D463" s="102"/>
      <c r="E463" s="102"/>
      <c r="F463" s="3"/>
      <c r="G463" s="101"/>
      <c r="H463" s="101"/>
      <c r="I463" s="101"/>
      <c r="J463" s="89"/>
    </row>
    <row r="464" spans="1:10" customFormat="1" ht="15" hidden="1" customHeight="1" x14ac:dyDescent="0.25">
      <c r="A464" s="144"/>
      <c r="B464" s="3"/>
      <c r="D464" s="102"/>
      <c r="E464" s="102"/>
      <c r="F464" s="3"/>
      <c r="G464" s="101"/>
      <c r="H464" s="101"/>
      <c r="I464" s="101"/>
      <c r="J464" s="89"/>
    </row>
    <row r="465" spans="1:10" customFormat="1" ht="15" hidden="1" customHeight="1" x14ac:dyDescent="0.25">
      <c r="A465" s="144"/>
      <c r="B465" s="3"/>
      <c r="D465" s="102"/>
      <c r="E465" s="102"/>
      <c r="F465" s="3"/>
      <c r="G465" s="101"/>
      <c r="H465" s="101"/>
      <c r="I465" s="101"/>
      <c r="J465" s="89"/>
    </row>
    <row r="466" spans="1:10" customFormat="1" ht="15" hidden="1" customHeight="1" x14ac:dyDescent="0.25">
      <c r="A466" s="144"/>
      <c r="B466" s="3"/>
      <c r="D466" s="102"/>
      <c r="E466" s="102"/>
      <c r="F466" s="3"/>
      <c r="G466" s="101"/>
      <c r="H466" s="101"/>
      <c r="I466" s="101"/>
      <c r="J466" s="89"/>
    </row>
    <row r="467" spans="1:10" customFormat="1" ht="15" hidden="1" customHeight="1" x14ac:dyDescent="0.25">
      <c r="A467" s="144"/>
      <c r="B467" s="3"/>
      <c r="D467" s="102"/>
      <c r="E467" s="102"/>
      <c r="F467" s="3"/>
      <c r="G467" s="101"/>
      <c r="H467" s="101"/>
      <c r="I467" s="101"/>
      <c r="J467" s="89"/>
    </row>
    <row r="468" spans="1:10" customFormat="1" ht="15" hidden="1" customHeight="1" x14ac:dyDescent="0.25">
      <c r="A468" s="144"/>
      <c r="B468" s="3"/>
      <c r="D468" s="102"/>
      <c r="E468" s="102"/>
      <c r="F468" s="3"/>
      <c r="G468" s="101"/>
      <c r="H468" s="101"/>
      <c r="I468" s="101"/>
      <c r="J468" s="89"/>
    </row>
    <row r="469" spans="1:10" customFormat="1" ht="15" hidden="1" customHeight="1" x14ac:dyDescent="0.25">
      <c r="A469" s="144"/>
      <c r="B469" s="3"/>
      <c r="D469" s="102"/>
      <c r="E469" s="102"/>
      <c r="F469" s="3"/>
      <c r="G469" s="101"/>
      <c r="H469" s="101"/>
      <c r="I469" s="101"/>
      <c r="J469" s="89"/>
    </row>
    <row r="470" spans="1:10" customFormat="1" ht="15" hidden="1" customHeight="1" x14ac:dyDescent="0.25">
      <c r="A470" s="144"/>
      <c r="B470" s="3"/>
      <c r="D470" s="102"/>
      <c r="E470" s="102"/>
      <c r="F470" s="3"/>
      <c r="G470" s="101"/>
      <c r="H470" s="101"/>
      <c r="I470" s="101"/>
      <c r="J470" s="89"/>
    </row>
    <row r="471" spans="1:10" customFormat="1" ht="15" hidden="1" customHeight="1" x14ac:dyDescent="0.25">
      <c r="A471" s="144"/>
      <c r="B471" s="3"/>
      <c r="D471" s="102"/>
      <c r="E471" s="102"/>
      <c r="F471" s="3"/>
      <c r="G471" s="101"/>
      <c r="H471" s="101"/>
      <c r="I471" s="101"/>
      <c r="J471" s="89"/>
    </row>
    <row r="472" spans="1:10" customFormat="1" ht="15" hidden="1" customHeight="1" x14ac:dyDescent="0.25">
      <c r="A472" s="144"/>
      <c r="B472" s="3"/>
      <c r="D472" s="102"/>
      <c r="E472" s="102"/>
      <c r="F472" s="3"/>
      <c r="G472" s="101"/>
      <c r="H472" s="101"/>
      <c r="I472" s="101"/>
      <c r="J472" s="89"/>
    </row>
    <row r="473" spans="1:10" customFormat="1" ht="15" hidden="1" customHeight="1" x14ac:dyDescent="0.25">
      <c r="A473" s="144"/>
      <c r="B473" s="3"/>
      <c r="D473" s="102"/>
      <c r="E473" s="102"/>
      <c r="F473" s="3"/>
      <c r="G473" s="101"/>
      <c r="H473" s="101"/>
      <c r="I473" s="101"/>
      <c r="J473" s="89"/>
    </row>
    <row r="474" spans="1:10" customFormat="1" ht="15" hidden="1" customHeight="1" x14ac:dyDescent="0.25">
      <c r="A474" s="144"/>
      <c r="B474" s="3"/>
      <c r="D474" s="102"/>
      <c r="E474" s="102"/>
      <c r="F474" s="3"/>
      <c r="G474" s="101"/>
      <c r="H474" s="101"/>
      <c r="I474" s="101"/>
      <c r="J474" s="89"/>
    </row>
    <row r="475" spans="1:10" customFormat="1" ht="15" hidden="1" customHeight="1" x14ac:dyDescent="0.25">
      <c r="A475" s="144"/>
      <c r="B475" s="3"/>
      <c r="D475" s="102"/>
      <c r="E475" s="102"/>
      <c r="F475" s="3"/>
      <c r="G475" s="101"/>
      <c r="H475" s="101"/>
      <c r="I475" s="101"/>
      <c r="J475" s="89"/>
    </row>
    <row r="476" spans="1:10" customFormat="1" ht="15" hidden="1" customHeight="1" x14ac:dyDescent="0.25">
      <c r="A476" s="144"/>
      <c r="B476" s="3"/>
      <c r="D476" s="102"/>
      <c r="E476" s="102"/>
      <c r="F476" s="3"/>
      <c r="G476" s="101"/>
      <c r="H476" s="101"/>
      <c r="I476" s="101"/>
      <c r="J476" s="89"/>
    </row>
    <row r="477" spans="1:10" customFormat="1" ht="15" hidden="1" customHeight="1" x14ac:dyDescent="0.25">
      <c r="A477" s="144"/>
      <c r="B477" s="3"/>
      <c r="D477" s="102"/>
      <c r="E477" s="102"/>
      <c r="F477" s="3"/>
      <c r="G477" s="101"/>
      <c r="H477" s="101"/>
      <c r="I477" s="101"/>
      <c r="J477" s="89"/>
    </row>
    <row r="478" spans="1:10" customFormat="1" ht="15" hidden="1" customHeight="1" x14ac:dyDescent="0.25">
      <c r="A478" s="144"/>
      <c r="B478" s="3"/>
      <c r="D478" s="102"/>
      <c r="E478" s="102"/>
      <c r="F478" s="3"/>
      <c r="G478" s="101"/>
      <c r="H478" s="101"/>
      <c r="I478" s="101"/>
      <c r="J478" s="89"/>
    </row>
    <row r="479" spans="1:10" customFormat="1" ht="15" hidden="1" customHeight="1" x14ac:dyDescent="0.25">
      <c r="A479" s="144"/>
      <c r="B479" s="3"/>
      <c r="D479" s="102"/>
      <c r="E479" s="102"/>
      <c r="F479" s="3"/>
      <c r="G479" s="101"/>
      <c r="H479" s="101"/>
      <c r="I479" s="101"/>
      <c r="J479" s="89"/>
    </row>
    <row r="480" spans="1:10" customFormat="1" ht="15" hidden="1" customHeight="1" x14ac:dyDescent="0.25">
      <c r="A480" s="144"/>
      <c r="B480" s="3"/>
      <c r="D480" s="102"/>
      <c r="E480" s="102"/>
      <c r="F480" s="3"/>
      <c r="G480" s="101"/>
      <c r="H480" s="101"/>
      <c r="I480" s="101"/>
      <c r="J480" s="89"/>
    </row>
    <row r="481" spans="1:10" customFormat="1" ht="15" hidden="1" customHeight="1" x14ac:dyDescent="0.25">
      <c r="A481" s="144"/>
      <c r="B481" s="3"/>
      <c r="D481" s="102"/>
      <c r="E481" s="102"/>
      <c r="F481" s="3"/>
      <c r="G481" s="101"/>
      <c r="H481" s="101"/>
      <c r="I481" s="101"/>
      <c r="J481" s="89"/>
    </row>
    <row r="482" spans="1:10" customFormat="1" ht="15" hidden="1" customHeight="1" x14ac:dyDescent="0.25">
      <c r="A482" s="144"/>
      <c r="B482" s="3"/>
      <c r="D482" s="102"/>
      <c r="E482" s="102"/>
      <c r="F482" s="3"/>
      <c r="G482" s="101"/>
      <c r="H482" s="101"/>
      <c r="I482" s="101"/>
      <c r="J482" s="89"/>
    </row>
    <row r="483" spans="1:10" customFormat="1" ht="15" hidden="1" customHeight="1" x14ac:dyDescent="0.25">
      <c r="A483" s="144"/>
      <c r="B483" s="3"/>
      <c r="D483" s="102"/>
      <c r="E483" s="102"/>
      <c r="F483" s="3"/>
      <c r="G483" s="101"/>
      <c r="H483" s="101"/>
      <c r="I483" s="101"/>
      <c r="J483" s="89"/>
    </row>
    <row r="484" spans="1:10" customFormat="1" ht="15" hidden="1" customHeight="1" x14ac:dyDescent="0.25">
      <c r="A484" s="144"/>
      <c r="B484" s="3"/>
      <c r="D484" s="102"/>
      <c r="E484" s="102"/>
      <c r="F484" s="3"/>
      <c r="G484" s="101"/>
      <c r="H484" s="101"/>
      <c r="I484" s="101"/>
      <c r="J484" s="89"/>
    </row>
    <row r="485" spans="1:10" customFormat="1" ht="15" hidden="1" customHeight="1" x14ac:dyDescent="0.25">
      <c r="A485" s="144"/>
      <c r="B485" s="3"/>
      <c r="D485" s="102"/>
      <c r="E485" s="102"/>
      <c r="F485" s="3"/>
      <c r="G485" s="101"/>
      <c r="H485" s="101"/>
      <c r="I485" s="101"/>
      <c r="J485" s="89"/>
    </row>
    <row r="486" spans="1:10" customFormat="1" ht="15" hidden="1" customHeight="1" x14ac:dyDescent="0.25">
      <c r="A486" s="144"/>
      <c r="B486" s="3"/>
      <c r="D486" s="102"/>
      <c r="E486" s="102"/>
      <c r="F486" s="3"/>
      <c r="G486" s="101"/>
      <c r="H486" s="101"/>
      <c r="I486" s="101"/>
      <c r="J486" s="89"/>
    </row>
    <row r="487" spans="1:10" customFormat="1" ht="15" hidden="1" customHeight="1" x14ac:dyDescent="0.25">
      <c r="A487" s="144"/>
      <c r="B487" s="3"/>
      <c r="D487" s="102"/>
      <c r="E487" s="102"/>
      <c r="F487" s="3"/>
      <c r="G487" s="101"/>
      <c r="H487" s="101"/>
      <c r="I487" s="101"/>
      <c r="J487" s="89"/>
    </row>
    <row r="488" spans="1:10" customFormat="1" ht="15" hidden="1" customHeight="1" x14ac:dyDescent="0.25">
      <c r="A488" s="144"/>
      <c r="B488" s="3"/>
      <c r="D488" s="102"/>
      <c r="E488" s="102"/>
      <c r="F488" s="3"/>
      <c r="G488" s="101"/>
      <c r="H488" s="101"/>
      <c r="I488" s="101"/>
      <c r="J488" s="89"/>
    </row>
    <row r="489" spans="1:10" customFormat="1" ht="15" hidden="1" customHeight="1" x14ac:dyDescent="0.25">
      <c r="A489" s="144"/>
      <c r="B489" s="3"/>
      <c r="D489" s="102"/>
      <c r="E489" s="102"/>
      <c r="F489" s="3"/>
      <c r="G489" s="101"/>
      <c r="H489" s="101"/>
      <c r="I489" s="101"/>
      <c r="J489" s="89"/>
    </row>
    <row r="490" spans="1:10" customFormat="1" ht="15" hidden="1" customHeight="1" x14ac:dyDescent="0.25">
      <c r="A490" s="144"/>
      <c r="B490" s="3"/>
      <c r="D490" s="102"/>
      <c r="E490" s="102"/>
      <c r="F490" s="3"/>
      <c r="G490" s="101"/>
      <c r="H490" s="101"/>
      <c r="I490" s="101"/>
      <c r="J490" s="89"/>
    </row>
    <row r="491" spans="1:10" customFormat="1" ht="15" hidden="1" customHeight="1" x14ac:dyDescent="0.25">
      <c r="A491" s="144"/>
      <c r="B491" s="3"/>
      <c r="D491" s="102"/>
      <c r="E491" s="102"/>
      <c r="F491" s="3"/>
      <c r="G491" s="101"/>
      <c r="H491" s="101"/>
      <c r="I491" s="101"/>
      <c r="J491" s="89"/>
    </row>
    <row r="492" spans="1:10" customFormat="1" ht="15" hidden="1" customHeight="1" x14ac:dyDescent="0.25">
      <c r="A492" s="144"/>
      <c r="B492" s="3"/>
      <c r="D492" s="102"/>
      <c r="E492" s="102"/>
      <c r="F492" s="3"/>
      <c r="G492" s="101"/>
      <c r="H492" s="101"/>
      <c r="I492" s="101"/>
      <c r="J492" s="89"/>
    </row>
    <row r="493" spans="1:10" customFormat="1" ht="15" hidden="1" customHeight="1" x14ac:dyDescent="0.25">
      <c r="A493" s="144"/>
      <c r="B493" s="3"/>
      <c r="D493" s="102"/>
      <c r="E493" s="102"/>
      <c r="F493" s="3"/>
      <c r="G493" s="101"/>
      <c r="H493" s="101"/>
      <c r="I493" s="101"/>
      <c r="J493" s="89"/>
    </row>
    <row r="494" spans="1:10" customFormat="1" ht="15" hidden="1" customHeight="1" x14ac:dyDescent="0.25">
      <c r="A494" s="144"/>
      <c r="B494" s="3"/>
      <c r="D494" s="102"/>
      <c r="E494" s="102"/>
      <c r="F494" s="3"/>
      <c r="G494" s="101"/>
      <c r="H494" s="101"/>
      <c r="I494" s="101"/>
      <c r="J494" s="89"/>
    </row>
    <row r="495" spans="1:10" customFormat="1" ht="15" hidden="1" customHeight="1" x14ac:dyDescent="0.25">
      <c r="A495" s="144"/>
      <c r="B495" s="3"/>
      <c r="D495" s="102"/>
      <c r="E495" s="102"/>
      <c r="F495" s="3"/>
      <c r="G495" s="101"/>
      <c r="H495" s="101"/>
      <c r="I495" s="101"/>
      <c r="J495" s="89"/>
    </row>
    <row r="496" spans="1:10" customFormat="1" ht="15" hidden="1" customHeight="1" x14ac:dyDescent="0.25">
      <c r="A496" s="144"/>
      <c r="B496" s="3"/>
      <c r="D496" s="102"/>
      <c r="E496" s="102"/>
      <c r="F496" s="3"/>
      <c r="G496" s="101"/>
      <c r="H496" s="101"/>
      <c r="I496" s="101"/>
      <c r="J496" s="89"/>
    </row>
    <row r="497" spans="1:10" customFormat="1" ht="15" hidden="1" customHeight="1" x14ac:dyDescent="0.25">
      <c r="A497" s="144"/>
      <c r="B497" s="3"/>
      <c r="D497" s="102"/>
      <c r="E497" s="102"/>
      <c r="F497" s="3"/>
      <c r="G497" s="101"/>
      <c r="H497" s="101"/>
      <c r="I497" s="101"/>
      <c r="J497" s="89"/>
    </row>
    <row r="498" spans="1:10" customFormat="1" ht="15" hidden="1" customHeight="1" x14ac:dyDescent="0.25">
      <c r="A498" s="144"/>
      <c r="B498" s="3"/>
      <c r="D498" s="102"/>
      <c r="E498" s="102"/>
      <c r="F498" s="3"/>
      <c r="G498" s="101"/>
      <c r="H498" s="101"/>
      <c r="I498" s="101"/>
      <c r="J498" s="89"/>
    </row>
    <row r="499" spans="1:10" customFormat="1" ht="15" hidden="1" customHeight="1" x14ac:dyDescent="0.25">
      <c r="A499" s="144"/>
      <c r="B499" s="3"/>
      <c r="D499" s="102"/>
      <c r="E499" s="102"/>
      <c r="F499" s="3"/>
      <c r="G499" s="101"/>
      <c r="H499" s="101"/>
      <c r="I499" s="101"/>
      <c r="J499" s="89"/>
    </row>
    <row r="500" spans="1:10" customFormat="1" ht="15" hidden="1" customHeight="1" x14ac:dyDescent="0.25">
      <c r="A500" s="144"/>
      <c r="B500" s="3"/>
      <c r="D500" s="102"/>
      <c r="E500" s="102"/>
      <c r="F500" s="3"/>
      <c r="G500" s="101"/>
      <c r="H500" s="101"/>
      <c r="I500" s="101"/>
      <c r="J500" s="89"/>
    </row>
    <row r="501" spans="1:10" customFormat="1" ht="15" hidden="1" customHeight="1" x14ac:dyDescent="0.25">
      <c r="A501" s="144"/>
      <c r="B501" s="3"/>
      <c r="D501" s="102"/>
      <c r="E501" s="102"/>
      <c r="F501" s="3"/>
      <c r="G501" s="101"/>
      <c r="H501" s="101"/>
      <c r="I501" s="101"/>
      <c r="J501" s="89"/>
    </row>
    <row r="502" spans="1:10" customFormat="1" ht="15" hidden="1" customHeight="1" x14ac:dyDescent="0.25">
      <c r="A502" s="144"/>
      <c r="B502" s="3"/>
      <c r="D502" s="102"/>
      <c r="E502" s="102"/>
      <c r="F502" s="3"/>
      <c r="G502" s="101"/>
      <c r="H502" s="101"/>
      <c r="I502" s="101"/>
      <c r="J502" s="89"/>
    </row>
    <row r="503" spans="1:10" customFormat="1" ht="15" hidden="1" customHeight="1" x14ac:dyDescent="0.25">
      <c r="A503" s="144"/>
      <c r="B503" s="3"/>
      <c r="D503" s="102"/>
      <c r="E503" s="102"/>
      <c r="F503" s="3"/>
      <c r="G503" s="101"/>
      <c r="H503" s="101"/>
      <c r="I503" s="101"/>
      <c r="J503" s="89"/>
    </row>
    <row r="504" spans="1:10" customFormat="1" ht="15" hidden="1" customHeight="1" x14ac:dyDescent="0.25">
      <c r="A504" s="144"/>
      <c r="B504" s="3"/>
      <c r="D504" s="102"/>
      <c r="E504" s="102"/>
      <c r="F504" s="3"/>
      <c r="G504" s="101"/>
      <c r="H504" s="101"/>
      <c r="I504" s="101"/>
      <c r="J504" s="89"/>
    </row>
    <row r="505" spans="1:10" customFormat="1" ht="15" hidden="1" customHeight="1" x14ac:dyDescent="0.25">
      <c r="A505" s="144"/>
      <c r="B505" s="3"/>
      <c r="D505" s="102"/>
      <c r="E505" s="102"/>
      <c r="F505" s="3"/>
      <c r="G505" s="101"/>
      <c r="H505" s="101"/>
      <c r="I505" s="101"/>
      <c r="J505" s="89"/>
    </row>
    <row r="506" spans="1:10" customFormat="1" ht="15" hidden="1" customHeight="1" x14ac:dyDescent="0.25">
      <c r="A506" s="144"/>
      <c r="B506" s="3"/>
      <c r="D506" s="102"/>
      <c r="E506" s="102"/>
      <c r="F506" s="3"/>
      <c r="G506" s="101"/>
      <c r="H506" s="101"/>
      <c r="I506" s="101"/>
      <c r="J506" s="89"/>
    </row>
    <row r="507" spans="1:10" customFormat="1" ht="15" hidden="1" customHeight="1" x14ac:dyDescent="0.25">
      <c r="A507" s="144"/>
      <c r="B507" s="3"/>
      <c r="D507" s="102"/>
      <c r="E507" s="102"/>
      <c r="F507" s="3"/>
      <c r="G507" s="101"/>
      <c r="H507" s="101"/>
      <c r="I507" s="101"/>
      <c r="J507" s="89"/>
    </row>
    <row r="508" spans="1:10" customFormat="1" ht="15" hidden="1" customHeight="1" x14ac:dyDescent="0.25">
      <c r="A508" s="144"/>
      <c r="B508" s="3"/>
      <c r="D508" s="102"/>
      <c r="E508" s="102"/>
      <c r="F508" s="3"/>
      <c r="G508" s="101"/>
      <c r="H508" s="101"/>
      <c r="I508" s="101"/>
      <c r="J508" s="89"/>
    </row>
    <row r="509" spans="1:10" customFormat="1" ht="15" hidden="1" customHeight="1" x14ac:dyDescent="0.25">
      <c r="A509" s="144"/>
      <c r="B509" s="3"/>
      <c r="D509" s="102"/>
      <c r="E509" s="102"/>
      <c r="F509" s="3"/>
      <c r="G509" s="101"/>
      <c r="H509" s="101"/>
      <c r="I509" s="101"/>
      <c r="J509" s="89"/>
    </row>
    <row r="510" spans="1:10" customFormat="1" ht="15" hidden="1" customHeight="1" x14ac:dyDescent="0.25">
      <c r="A510" s="144"/>
      <c r="B510" s="3"/>
      <c r="D510" s="102"/>
      <c r="E510" s="102"/>
      <c r="F510" s="3"/>
      <c r="G510" s="101"/>
      <c r="H510" s="101"/>
      <c r="I510" s="101"/>
      <c r="J510" s="89"/>
    </row>
    <row r="511" spans="1:10" customFormat="1" ht="15" hidden="1" customHeight="1" x14ac:dyDescent="0.25">
      <c r="A511" s="144"/>
      <c r="B511" s="3"/>
      <c r="D511" s="102"/>
      <c r="E511" s="102"/>
      <c r="F511" s="3"/>
      <c r="G511" s="101"/>
      <c r="H511" s="101"/>
      <c r="I511" s="101"/>
      <c r="J511" s="89"/>
    </row>
    <row r="512" spans="1:10" customFormat="1" ht="15" hidden="1" customHeight="1" x14ac:dyDescent="0.25">
      <c r="A512" s="144"/>
      <c r="B512" s="3"/>
      <c r="D512" s="102"/>
      <c r="E512" s="102"/>
      <c r="F512" s="3"/>
      <c r="G512" s="101"/>
      <c r="H512" s="101"/>
      <c r="I512" s="101"/>
      <c r="J512" s="89"/>
    </row>
    <row r="513" spans="1:10" customFormat="1" ht="15" hidden="1" customHeight="1" x14ac:dyDescent="0.25">
      <c r="A513" s="144"/>
      <c r="B513" s="3"/>
      <c r="D513" s="102"/>
      <c r="E513" s="102"/>
      <c r="F513" s="3"/>
      <c r="G513" s="101"/>
      <c r="H513" s="101"/>
      <c r="I513" s="101"/>
      <c r="J513" s="89"/>
    </row>
    <row r="514" spans="1:10" customFormat="1" ht="15" hidden="1" customHeight="1" x14ac:dyDescent="0.25">
      <c r="A514" s="144"/>
      <c r="B514" s="3"/>
      <c r="D514" s="102"/>
      <c r="E514" s="102"/>
      <c r="F514" s="3"/>
      <c r="G514" s="101"/>
      <c r="H514" s="101"/>
      <c r="I514" s="101"/>
      <c r="J514" s="89"/>
    </row>
    <row r="515" spans="1:10" customFormat="1" ht="15" hidden="1" customHeight="1" x14ac:dyDescent="0.25">
      <c r="A515" s="144"/>
      <c r="B515" s="3"/>
      <c r="D515" s="102"/>
      <c r="E515" s="102"/>
      <c r="F515" s="3"/>
      <c r="G515" s="101"/>
      <c r="H515" s="101"/>
      <c r="I515" s="101"/>
      <c r="J515" s="89"/>
    </row>
    <row r="516" spans="1:10" customFormat="1" ht="15" hidden="1" customHeight="1" x14ac:dyDescent="0.25">
      <c r="A516" s="144"/>
      <c r="B516" s="3"/>
      <c r="D516" s="102"/>
      <c r="E516" s="102"/>
      <c r="F516" s="3"/>
      <c r="G516" s="101"/>
      <c r="H516" s="101"/>
      <c r="I516" s="101"/>
      <c r="J516" s="89"/>
    </row>
    <row r="517" spans="1:10" customFormat="1" ht="15" hidden="1" customHeight="1" x14ac:dyDescent="0.25">
      <c r="A517" s="144"/>
      <c r="B517" s="3"/>
      <c r="D517" s="102"/>
      <c r="E517" s="102"/>
      <c r="F517" s="3"/>
      <c r="G517" s="101"/>
      <c r="H517" s="101"/>
      <c r="I517" s="101"/>
      <c r="J517" s="89"/>
    </row>
    <row r="518" spans="1:10" customFormat="1" ht="15" hidden="1" customHeight="1" x14ac:dyDescent="0.25">
      <c r="A518" s="144"/>
      <c r="B518" s="3"/>
      <c r="D518" s="102"/>
      <c r="E518" s="102"/>
      <c r="F518" s="3"/>
      <c r="G518" s="101"/>
      <c r="H518" s="101"/>
      <c r="I518" s="101"/>
      <c r="J518" s="89"/>
    </row>
    <row r="519" spans="1:10" customFormat="1" ht="15" hidden="1" customHeight="1" x14ac:dyDescent="0.25">
      <c r="A519" s="144"/>
      <c r="B519" s="3"/>
      <c r="D519" s="102"/>
      <c r="E519" s="102"/>
      <c r="F519" s="3"/>
      <c r="G519" s="101"/>
      <c r="H519" s="101"/>
      <c r="I519" s="101"/>
      <c r="J519" s="89"/>
    </row>
    <row r="520" spans="1:10" customFormat="1" ht="15" hidden="1" customHeight="1" x14ac:dyDescent="0.25">
      <c r="A520" s="144"/>
      <c r="B520" s="3"/>
      <c r="D520" s="102"/>
      <c r="E520" s="102"/>
      <c r="F520" s="3"/>
      <c r="G520" s="101"/>
      <c r="H520" s="101"/>
      <c r="I520" s="101"/>
      <c r="J520" s="89"/>
    </row>
    <row r="521" spans="1:10" customFormat="1" ht="15" hidden="1" customHeight="1" x14ac:dyDescent="0.25">
      <c r="A521" s="144"/>
      <c r="B521" s="3"/>
      <c r="D521" s="102"/>
      <c r="E521" s="102"/>
      <c r="F521" s="3"/>
      <c r="G521" s="101"/>
      <c r="H521" s="101"/>
      <c r="I521" s="101"/>
      <c r="J521" s="89"/>
    </row>
    <row r="522" spans="1:10" customFormat="1" ht="15" hidden="1" customHeight="1" x14ac:dyDescent="0.25">
      <c r="A522" s="144"/>
      <c r="B522" s="3"/>
      <c r="D522" s="102"/>
      <c r="E522" s="102"/>
      <c r="F522" s="3"/>
      <c r="G522" s="101"/>
      <c r="H522" s="101"/>
      <c r="I522" s="101"/>
      <c r="J522" s="89"/>
    </row>
    <row r="523" spans="1:10" customFormat="1" ht="15" hidden="1" customHeight="1" x14ac:dyDescent="0.25">
      <c r="A523" s="144"/>
      <c r="B523" s="3"/>
      <c r="D523" s="102"/>
      <c r="E523" s="102"/>
      <c r="F523" s="3"/>
      <c r="G523" s="101"/>
      <c r="H523" s="101"/>
      <c r="I523" s="101"/>
      <c r="J523" s="89"/>
    </row>
    <row r="524" spans="1:10" customFormat="1" ht="15" hidden="1" customHeight="1" x14ac:dyDescent="0.25">
      <c r="A524" s="144"/>
      <c r="B524" s="3"/>
      <c r="D524" s="102"/>
      <c r="E524" s="102"/>
      <c r="F524" s="3"/>
      <c r="G524" s="101"/>
      <c r="H524" s="101"/>
      <c r="I524" s="101"/>
      <c r="J524" s="89"/>
    </row>
    <row r="525" spans="1:10" customFormat="1" ht="15" hidden="1" customHeight="1" x14ac:dyDescent="0.25">
      <c r="A525" s="144"/>
      <c r="B525" s="3"/>
      <c r="D525" s="102"/>
      <c r="E525" s="102"/>
      <c r="F525" s="3"/>
      <c r="G525" s="101"/>
      <c r="H525" s="101"/>
      <c r="I525" s="101"/>
      <c r="J525" s="89"/>
    </row>
    <row r="526" spans="1:10" customFormat="1" ht="15" hidden="1" customHeight="1" x14ac:dyDescent="0.25">
      <c r="A526" s="144"/>
      <c r="B526" s="3"/>
      <c r="D526" s="102"/>
      <c r="E526" s="102"/>
      <c r="F526" s="3"/>
      <c r="G526" s="101"/>
      <c r="H526" s="101"/>
      <c r="I526" s="101"/>
      <c r="J526" s="89"/>
    </row>
    <row r="527" spans="1:10" customFormat="1" ht="15" hidden="1" customHeight="1" x14ac:dyDescent="0.25">
      <c r="A527" s="144"/>
      <c r="B527" s="3"/>
      <c r="D527" s="102"/>
      <c r="E527" s="102"/>
      <c r="F527" s="3"/>
      <c r="G527" s="101"/>
      <c r="H527" s="101"/>
      <c r="I527" s="101"/>
      <c r="J527" s="89"/>
    </row>
    <row r="528" spans="1:10" customFormat="1" ht="15" hidden="1" customHeight="1" x14ac:dyDescent="0.25">
      <c r="A528" s="144"/>
      <c r="B528" s="3"/>
      <c r="D528" s="102"/>
      <c r="E528" s="102"/>
      <c r="F528" s="3"/>
      <c r="G528" s="101"/>
      <c r="H528" s="101"/>
      <c r="I528" s="101"/>
      <c r="J528" s="89"/>
    </row>
    <row r="529" spans="1:10" customFormat="1" ht="15" hidden="1" customHeight="1" x14ac:dyDescent="0.25">
      <c r="A529" s="144"/>
      <c r="B529" s="3"/>
      <c r="D529" s="102"/>
      <c r="E529" s="102"/>
      <c r="F529" s="3"/>
      <c r="G529" s="101"/>
      <c r="H529" s="101"/>
      <c r="I529" s="101"/>
      <c r="J529" s="89"/>
    </row>
    <row r="530" spans="1:10" customFormat="1" ht="15" hidden="1" customHeight="1" x14ac:dyDescent="0.25">
      <c r="A530" s="144"/>
      <c r="B530" s="3"/>
      <c r="D530" s="102"/>
      <c r="E530" s="102"/>
      <c r="F530" s="3"/>
      <c r="G530" s="101"/>
      <c r="H530" s="101"/>
      <c r="I530" s="101"/>
      <c r="J530" s="89"/>
    </row>
    <row r="531" spans="1:10" customFormat="1" ht="15" hidden="1" customHeight="1" x14ac:dyDescent="0.25">
      <c r="A531" s="144"/>
      <c r="B531" s="3"/>
      <c r="D531" s="102"/>
      <c r="E531" s="102"/>
      <c r="F531" s="3"/>
      <c r="G531" s="101"/>
      <c r="H531" s="101"/>
      <c r="I531" s="101"/>
      <c r="J531" s="89"/>
    </row>
    <row r="532" spans="1:10" customFormat="1" ht="15" hidden="1" customHeight="1" x14ac:dyDescent="0.25">
      <c r="A532" s="144"/>
      <c r="B532" s="3"/>
      <c r="D532" s="102"/>
      <c r="E532" s="102"/>
      <c r="F532" s="3"/>
      <c r="G532" s="101"/>
      <c r="H532" s="101"/>
      <c r="I532" s="101"/>
      <c r="J532" s="89"/>
    </row>
    <row r="533" spans="1:10" customFormat="1" ht="15" hidden="1" customHeight="1" x14ac:dyDescent="0.25">
      <c r="A533" s="144"/>
      <c r="B533" s="3"/>
      <c r="D533" s="102"/>
      <c r="E533" s="102"/>
      <c r="F533" s="3"/>
      <c r="G533" s="101"/>
      <c r="H533" s="101"/>
      <c r="I533" s="101"/>
      <c r="J533" s="89"/>
    </row>
    <row r="534" spans="1:10" customFormat="1" ht="15" hidden="1" customHeight="1" x14ac:dyDescent="0.25">
      <c r="A534" s="144"/>
      <c r="B534" s="3"/>
      <c r="D534" s="102"/>
      <c r="E534" s="102"/>
      <c r="F534" s="3"/>
      <c r="G534" s="101"/>
      <c r="H534" s="101"/>
      <c r="I534" s="101"/>
      <c r="J534" s="89"/>
    </row>
    <row r="535" spans="1:10" customFormat="1" ht="15" hidden="1" customHeight="1" x14ac:dyDescent="0.25">
      <c r="A535" s="144"/>
      <c r="B535" s="3"/>
      <c r="D535" s="102"/>
      <c r="E535" s="102"/>
      <c r="F535" s="3"/>
      <c r="G535" s="101"/>
      <c r="H535" s="101"/>
      <c r="I535" s="101"/>
      <c r="J535" s="89"/>
    </row>
    <row r="536" spans="1:10" customFormat="1" ht="15" hidden="1" customHeight="1" x14ac:dyDescent="0.25">
      <c r="A536" s="144"/>
      <c r="B536" s="3"/>
      <c r="D536" s="102"/>
      <c r="E536" s="102"/>
      <c r="F536" s="3"/>
      <c r="G536" s="101"/>
      <c r="H536" s="101"/>
      <c r="I536" s="101"/>
      <c r="J536" s="89"/>
    </row>
    <row r="537" spans="1:10" customFormat="1" ht="15" hidden="1" customHeight="1" x14ac:dyDescent="0.25">
      <c r="A537" s="144"/>
      <c r="B537" s="3"/>
      <c r="D537" s="102"/>
      <c r="E537" s="102"/>
      <c r="F537" s="3"/>
      <c r="G537" s="101"/>
      <c r="H537" s="101"/>
      <c r="I537" s="101"/>
      <c r="J537" s="89"/>
    </row>
    <row r="538" spans="1:10" customFormat="1" ht="15" hidden="1" customHeight="1" x14ac:dyDescent="0.25">
      <c r="A538" s="144"/>
      <c r="B538" s="3"/>
      <c r="D538" s="102"/>
      <c r="E538" s="102"/>
      <c r="F538" s="3"/>
      <c r="G538" s="101"/>
      <c r="H538" s="101"/>
      <c r="I538" s="101"/>
      <c r="J538" s="89"/>
    </row>
    <row r="539" spans="1:10" customFormat="1" ht="15" hidden="1" customHeight="1" x14ac:dyDescent="0.25">
      <c r="A539" s="144"/>
      <c r="B539" s="3"/>
      <c r="D539" s="102"/>
      <c r="E539" s="102"/>
      <c r="F539" s="3"/>
      <c r="G539" s="101"/>
      <c r="H539" s="101"/>
      <c r="I539" s="101"/>
      <c r="J539" s="89"/>
    </row>
    <row r="540" spans="1:10" customFormat="1" ht="15" hidden="1" customHeight="1" x14ac:dyDescent="0.25">
      <c r="A540" s="144"/>
      <c r="B540" s="3"/>
      <c r="D540" s="102"/>
      <c r="E540" s="102"/>
      <c r="F540" s="3"/>
      <c r="G540" s="101"/>
      <c r="H540" s="101"/>
      <c r="I540" s="101"/>
      <c r="J540" s="89"/>
    </row>
    <row r="541" spans="1:10" customFormat="1" ht="15" hidden="1" customHeight="1" x14ac:dyDescent="0.25">
      <c r="A541" s="144"/>
      <c r="B541" s="3"/>
      <c r="D541" s="102"/>
      <c r="E541" s="102"/>
      <c r="F541" s="3"/>
      <c r="G541" s="101"/>
      <c r="H541" s="101"/>
      <c r="I541" s="101"/>
      <c r="J541" s="89"/>
    </row>
    <row r="542" spans="1:10" customFormat="1" ht="15" hidden="1" customHeight="1" x14ac:dyDescent="0.25">
      <c r="A542" s="144"/>
      <c r="B542" s="3"/>
      <c r="D542" s="102"/>
      <c r="E542" s="102"/>
      <c r="F542" s="3"/>
      <c r="G542" s="101"/>
      <c r="H542" s="101"/>
      <c r="I542" s="101"/>
      <c r="J542" s="89"/>
    </row>
    <row r="543" spans="1:10" customFormat="1" ht="15" hidden="1" customHeight="1" x14ac:dyDescent="0.25">
      <c r="A543" s="144"/>
      <c r="B543" s="3"/>
      <c r="D543" s="102"/>
      <c r="E543" s="102"/>
      <c r="F543" s="3"/>
      <c r="G543" s="101"/>
      <c r="H543" s="101"/>
      <c r="I543" s="101"/>
      <c r="J543" s="89"/>
    </row>
    <row r="544" spans="1:10" customFormat="1" ht="15" hidden="1" customHeight="1" x14ac:dyDescent="0.25">
      <c r="A544" s="144"/>
      <c r="B544" s="3"/>
      <c r="D544" s="102"/>
      <c r="E544" s="102"/>
      <c r="F544" s="3"/>
      <c r="G544" s="101"/>
      <c r="H544" s="101"/>
      <c r="I544" s="101"/>
      <c r="J544" s="89"/>
    </row>
    <row r="545" spans="1:10" customFormat="1" ht="15" hidden="1" customHeight="1" x14ac:dyDescent="0.25">
      <c r="A545" s="144"/>
      <c r="B545" s="3"/>
      <c r="D545" s="102"/>
      <c r="E545" s="102"/>
      <c r="F545" s="3"/>
      <c r="G545" s="101"/>
      <c r="H545" s="101"/>
      <c r="I545" s="101"/>
      <c r="J545" s="89"/>
    </row>
    <row r="546" spans="1:10" customFormat="1" ht="15" hidden="1" customHeight="1" x14ac:dyDescent="0.25">
      <c r="A546" s="144"/>
      <c r="B546" s="3"/>
      <c r="D546" s="102"/>
      <c r="E546" s="102"/>
      <c r="F546" s="3"/>
      <c r="G546" s="101"/>
      <c r="H546" s="101"/>
      <c r="I546" s="101"/>
      <c r="J546" s="89"/>
    </row>
    <row r="547" spans="1:10" customFormat="1" ht="15" hidden="1" customHeight="1" x14ac:dyDescent="0.25">
      <c r="A547" s="144"/>
      <c r="B547" s="3"/>
      <c r="D547" s="102"/>
      <c r="E547" s="102"/>
      <c r="F547" s="3"/>
      <c r="G547" s="101"/>
      <c r="H547" s="101"/>
      <c r="I547" s="101"/>
      <c r="J547" s="89"/>
    </row>
    <row r="548" spans="1:10" customFormat="1" ht="15" hidden="1" customHeight="1" x14ac:dyDescent="0.25">
      <c r="A548" s="144"/>
      <c r="B548" s="3"/>
      <c r="D548" s="102"/>
      <c r="E548" s="102"/>
      <c r="F548" s="3"/>
      <c r="G548" s="101"/>
      <c r="H548" s="101"/>
      <c r="I548" s="101"/>
      <c r="J548" s="89"/>
    </row>
    <row r="549" spans="1:10" customFormat="1" ht="15" hidden="1" customHeight="1" x14ac:dyDescent="0.25">
      <c r="A549" s="144"/>
      <c r="B549" s="3"/>
      <c r="D549" s="102"/>
      <c r="E549" s="102"/>
      <c r="F549" s="3"/>
      <c r="G549" s="101"/>
      <c r="H549" s="101"/>
      <c r="I549" s="101"/>
      <c r="J549" s="89"/>
    </row>
    <row r="550" spans="1:10" customFormat="1" ht="15" hidden="1" customHeight="1" x14ac:dyDescent="0.25">
      <c r="A550" s="144"/>
      <c r="B550" s="3"/>
      <c r="D550" s="102"/>
      <c r="E550" s="102"/>
      <c r="F550" s="3"/>
      <c r="G550" s="101"/>
      <c r="H550" s="101"/>
      <c r="I550" s="101"/>
      <c r="J550" s="89"/>
    </row>
    <row r="551" spans="1:10" customFormat="1" ht="15" hidden="1" customHeight="1" x14ac:dyDescent="0.25">
      <c r="A551" s="144"/>
      <c r="B551" s="3"/>
      <c r="D551" s="102"/>
      <c r="E551" s="102"/>
      <c r="F551" s="3"/>
      <c r="G551" s="101"/>
      <c r="H551" s="101"/>
      <c r="I551" s="101"/>
      <c r="J551" s="89"/>
    </row>
    <row r="552" spans="1:10" customFormat="1" ht="15" hidden="1" customHeight="1" x14ac:dyDescent="0.25">
      <c r="A552" s="144"/>
      <c r="B552" s="3"/>
      <c r="D552" s="102"/>
      <c r="E552" s="102"/>
      <c r="F552" s="3"/>
      <c r="G552" s="101"/>
      <c r="H552" s="101"/>
      <c r="I552" s="101"/>
      <c r="J552" s="89"/>
    </row>
    <row r="553" spans="1:10" customFormat="1" ht="15" hidden="1" customHeight="1" x14ac:dyDescent="0.25">
      <c r="A553" s="144"/>
      <c r="B553" s="3"/>
      <c r="D553" s="102"/>
      <c r="E553" s="102"/>
      <c r="F553" s="3"/>
      <c r="G553" s="101"/>
      <c r="H553" s="101"/>
      <c r="I553" s="101"/>
      <c r="J553" s="89"/>
    </row>
    <row r="554" spans="1:10" customFormat="1" ht="15" hidden="1" customHeight="1" x14ac:dyDescent="0.25">
      <c r="A554" s="144"/>
      <c r="B554" s="3"/>
      <c r="D554" s="102"/>
      <c r="E554" s="102"/>
      <c r="F554" s="3"/>
      <c r="G554" s="101"/>
      <c r="H554" s="101"/>
      <c r="I554" s="101"/>
      <c r="J554" s="89"/>
    </row>
    <row r="555" spans="1:10" customFormat="1" ht="15" hidden="1" customHeight="1" x14ac:dyDescent="0.25">
      <c r="A555" s="144"/>
      <c r="B555" s="3"/>
      <c r="D555" s="102"/>
      <c r="E555" s="102"/>
      <c r="F555" s="3"/>
      <c r="G555" s="101"/>
      <c r="H555" s="101"/>
      <c r="I555" s="101"/>
      <c r="J555" s="89"/>
    </row>
    <row r="556" spans="1:10" customFormat="1" ht="15" hidden="1" customHeight="1" x14ac:dyDescent="0.25">
      <c r="A556" s="144"/>
      <c r="B556" s="3"/>
      <c r="D556" s="102"/>
      <c r="E556" s="102"/>
      <c r="F556" s="3"/>
      <c r="G556" s="101"/>
      <c r="H556" s="101"/>
      <c r="I556" s="101"/>
      <c r="J556" s="89"/>
    </row>
    <row r="557" spans="1:10" customFormat="1" ht="15" hidden="1" customHeight="1" x14ac:dyDescent="0.25">
      <c r="A557" s="144"/>
      <c r="B557" s="3"/>
      <c r="D557" s="102"/>
      <c r="E557" s="102"/>
      <c r="F557" s="3"/>
      <c r="G557" s="101"/>
      <c r="H557" s="101"/>
      <c r="I557" s="101"/>
      <c r="J557" s="89"/>
    </row>
    <row r="558" spans="1:10" customFormat="1" ht="15" hidden="1" customHeight="1" x14ac:dyDescent="0.25">
      <c r="A558" s="144"/>
      <c r="B558" s="3"/>
      <c r="D558" s="102"/>
      <c r="E558" s="102"/>
      <c r="F558" s="3"/>
      <c r="G558" s="101"/>
      <c r="H558" s="101"/>
      <c r="I558" s="101"/>
      <c r="J558" s="89"/>
    </row>
    <row r="559" spans="1:10" customFormat="1" ht="15" hidden="1" customHeight="1" x14ac:dyDescent="0.25">
      <c r="A559" s="144"/>
      <c r="B559" s="3"/>
      <c r="D559" s="102"/>
      <c r="E559" s="102"/>
      <c r="F559" s="3"/>
      <c r="G559" s="101"/>
      <c r="H559" s="101"/>
      <c r="I559" s="101"/>
      <c r="J559" s="89"/>
    </row>
    <row r="560" spans="1:10" customFormat="1" ht="15" hidden="1" customHeight="1" x14ac:dyDescent="0.25">
      <c r="A560" s="144"/>
      <c r="B560" s="3"/>
      <c r="D560" s="102"/>
      <c r="E560" s="102"/>
      <c r="F560" s="3"/>
      <c r="G560" s="101"/>
      <c r="H560" s="101"/>
      <c r="I560" s="101"/>
      <c r="J560" s="89"/>
    </row>
    <row r="561" spans="1:10" customFormat="1" ht="15" hidden="1" customHeight="1" x14ac:dyDescent="0.25">
      <c r="A561" s="144"/>
      <c r="B561" s="3"/>
      <c r="D561" s="102"/>
      <c r="E561" s="102"/>
      <c r="F561" s="3"/>
      <c r="G561" s="101"/>
      <c r="H561" s="101"/>
      <c r="I561" s="101"/>
      <c r="J561" s="89"/>
    </row>
    <row r="562" spans="1:10" customFormat="1" ht="15" hidden="1" customHeight="1" x14ac:dyDescent="0.25">
      <c r="A562" s="144"/>
      <c r="B562" s="3"/>
      <c r="D562" s="102"/>
      <c r="E562" s="102"/>
      <c r="F562" s="3"/>
      <c r="G562" s="101"/>
      <c r="H562" s="101"/>
      <c r="I562" s="101"/>
      <c r="J562" s="89"/>
    </row>
    <row r="563" spans="1:10" customFormat="1" ht="15" hidden="1" customHeight="1" x14ac:dyDescent="0.25">
      <c r="A563" s="144"/>
      <c r="B563" s="3"/>
      <c r="D563" s="102"/>
      <c r="E563" s="102"/>
      <c r="F563" s="3"/>
      <c r="G563" s="101"/>
      <c r="H563" s="101"/>
      <c r="I563" s="101"/>
      <c r="J563" s="89"/>
    </row>
    <row r="564" spans="1:10" customFormat="1" ht="15" hidden="1" customHeight="1" x14ac:dyDescent="0.25">
      <c r="A564" s="144"/>
      <c r="B564" s="3"/>
      <c r="D564" s="102"/>
      <c r="E564" s="102"/>
      <c r="F564" s="3"/>
      <c r="G564" s="101"/>
      <c r="H564" s="101"/>
      <c r="I564" s="101"/>
      <c r="J564" s="89"/>
    </row>
    <row r="565" spans="1:10" customFormat="1" ht="15" hidden="1" customHeight="1" x14ac:dyDescent="0.25">
      <c r="A565" s="144"/>
      <c r="B565" s="3"/>
      <c r="D565" s="102"/>
      <c r="E565" s="102"/>
      <c r="F565" s="3"/>
      <c r="G565" s="101"/>
      <c r="H565" s="101"/>
      <c r="I565" s="101"/>
      <c r="J565" s="89"/>
    </row>
    <row r="566" spans="1:10" customFormat="1" ht="15" hidden="1" customHeight="1" x14ac:dyDescent="0.25">
      <c r="A566" s="144"/>
      <c r="B566" s="3"/>
      <c r="D566" s="102"/>
      <c r="E566" s="102"/>
      <c r="F566" s="3"/>
      <c r="G566" s="101"/>
      <c r="H566" s="101"/>
      <c r="I566" s="101"/>
      <c r="J566" s="89"/>
    </row>
    <row r="567" spans="1:10" customFormat="1" ht="15" hidden="1" customHeight="1" x14ac:dyDescent="0.25">
      <c r="A567" s="144"/>
      <c r="B567" s="3"/>
      <c r="D567" s="102"/>
      <c r="E567" s="102"/>
      <c r="F567" s="3"/>
      <c r="G567" s="101"/>
      <c r="H567" s="101"/>
      <c r="I567" s="101"/>
      <c r="J567" s="89"/>
    </row>
    <row r="568" spans="1:10" customFormat="1" ht="15" hidden="1" customHeight="1" x14ac:dyDescent="0.25">
      <c r="A568" s="144"/>
      <c r="B568" s="3"/>
      <c r="D568" s="102"/>
      <c r="E568" s="102"/>
      <c r="F568" s="3"/>
      <c r="G568" s="101"/>
      <c r="H568" s="101"/>
      <c r="I568" s="101"/>
      <c r="J568" s="89"/>
    </row>
    <row r="569" spans="1:10" customFormat="1" ht="15" hidden="1" customHeight="1" x14ac:dyDescent="0.25">
      <c r="A569" s="144"/>
      <c r="B569" s="3"/>
      <c r="D569" s="102"/>
      <c r="E569" s="102"/>
      <c r="F569" s="3"/>
      <c r="G569" s="101"/>
      <c r="H569" s="101"/>
      <c r="I569" s="101"/>
      <c r="J569" s="89"/>
    </row>
    <row r="570" spans="1:10" customFormat="1" ht="15" hidden="1" customHeight="1" x14ac:dyDescent="0.25">
      <c r="A570" s="144"/>
      <c r="B570" s="3"/>
      <c r="D570" s="102"/>
      <c r="E570" s="102"/>
      <c r="F570" s="3"/>
      <c r="G570" s="101"/>
      <c r="H570" s="101"/>
      <c r="I570" s="101"/>
      <c r="J570" s="89"/>
    </row>
    <row r="571" spans="1:10" customFormat="1" ht="15" hidden="1" customHeight="1" x14ac:dyDescent="0.25">
      <c r="A571" s="144"/>
      <c r="B571" s="3"/>
      <c r="D571" s="102"/>
      <c r="E571" s="102"/>
      <c r="F571" s="3"/>
      <c r="G571" s="101"/>
      <c r="H571" s="101"/>
      <c r="I571" s="101"/>
      <c r="J571" s="89"/>
    </row>
    <row r="572" spans="1:10" customFormat="1" ht="15" hidden="1" customHeight="1" x14ac:dyDescent="0.25">
      <c r="A572" s="144"/>
      <c r="B572" s="3"/>
      <c r="D572" s="102"/>
      <c r="E572" s="102"/>
      <c r="F572" s="3"/>
      <c r="G572" s="101"/>
      <c r="H572" s="101"/>
      <c r="I572" s="101"/>
      <c r="J572" s="89"/>
    </row>
    <row r="573" spans="1:10" customFormat="1" ht="15" hidden="1" customHeight="1" x14ac:dyDescent="0.25">
      <c r="A573" s="144"/>
      <c r="B573" s="3"/>
      <c r="D573" s="102"/>
      <c r="E573" s="102"/>
      <c r="F573" s="3"/>
      <c r="G573" s="101"/>
      <c r="H573" s="101"/>
      <c r="I573" s="101"/>
      <c r="J573" s="89"/>
    </row>
    <row r="574" spans="1:10" customFormat="1" ht="15" hidden="1" customHeight="1" x14ac:dyDescent="0.25">
      <c r="A574" s="144"/>
      <c r="B574" s="3"/>
      <c r="D574" s="102"/>
      <c r="E574" s="102"/>
      <c r="F574" s="3"/>
      <c r="G574" s="101"/>
      <c r="H574" s="101"/>
      <c r="I574" s="101"/>
      <c r="J574" s="89"/>
    </row>
    <row r="575" spans="1:10" customFormat="1" ht="15" hidden="1" customHeight="1" x14ac:dyDescent="0.25">
      <c r="A575" s="144"/>
      <c r="B575" s="3"/>
      <c r="D575" s="102"/>
      <c r="E575" s="102"/>
      <c r="F575" s="3"/>
      <c r="G575" s="101"/>
      <c r="H575" s="101"/>
      <c r="I575" s="101"/>
      <c r="J575" s="89"/>
    </row>
    <row r="576" spans="1:10" customFormat="1" ht="15" hidden="1" customHeight="1" x14ac:dyDescent="0.25">
      <c r="A576" s="144"/>
      <c r="B576" s="3"/>
      <c r="D576" s="102"/>
      <c r="E576" s="102"/>
      <c r="F576" s="3"/>
      <c r="G576" s="101"/>
      <c r="H576" s="101"/>
      <c r="I576" s="101"/>
      <c r="J576" s="89"/>
    </row>
    <row r="577" spans="1:10" customFormat="1" ht="15" hidden="1" customHeight="1" x14ac:dyDescent="0.25">
      <c r="A577" s="144"/>
      <c r="B577" s="3"/>
      <c r="D577" s="102"/>
      <c r="E577" s="102"/>
      <c r="F577" s="3"/>
      <c r="G577" s="101"/>
      <c r="H577" s="101"/>
      <c r="I577" s="101"/>
      <c r="J577" s="89"/>
    </row>
    <row r="578" spans="1:10" customFormat="1" ht="15" hidden="1" customHeight="1" x14ac:dyDescent="0.25">
      <c r="A578" s="144"/>
      <c r="B578" s="3"/>
      <c r="D578" s="102"/>
      <c r="E578" s="102"/>
      <c r="F578" s="3"/>
      <c r="G578" s="101"/>
      <c r="H578" s="101"/>
      <c r="I578" s="101"/>
      <c r="J578" s="89"/>
    </row>
    <row r="579" spans="1:10" customFormat="1" ht="15" hidden="1" customHeight="1" x14ac:dyDescent="0.25">
      <c r="A579" s="144"/>
      <c r="B579" s="3"/>
      <c r="D579" s="102"/>
      <c r="E579" s="102"/>
      <c r="F579" s="3"/>
      <c r="G579" s="101"/>
      <c r="H579" s="101"/>
      <c r="I579" s="101"/>
      <c r="J579" s="89"/>
    </row>
    <row r="580" spans="1:10" customFormat="1" ht="15" hidden="1" customHeight="1" x14ac:dyDescent="0.25">
      <c r="A580" s="144"/>
      <c r="B580" s="3"/>
      <c r="D580" s="102"/>
      <c r="E580" s="102"/>
      <c r="F580" s="3"/>
      <c r="G580" s="101"/>
      <c r="H580" s="101"/>
      <c r="I580" s="101"/>
      <c r="J580" s="89"/>
    </row>
    <row r="581" spans="1:10" customFormat="1" ht="15" hidden="1" customHeight="1" x14ac:dyDescent="0.25">
      <c r="A581" s="144"/>
      <c r="B581" s="3"/>
      <c r="D581" s="102"/>
      <c r="E581" s="102"/>
      <c r="F581" s="3"/>
      <c r="G581" s="101"/>
      <c r="H581" s="101"/>
      <c r="I581" s="101"/>
      <c r="J581" s="89"/>
    </row>
    <row r="582" spans="1:10" customFormat="1" ht="15" hidden="1" customHeight="1" x14ac:dyDescent="0.25">
      <c r="A582" s="144"/>
      <c r="B582" s="3"/>
      <c r="D582" s="102"/>
      <c r="E582" s="102"/>
      <c r="F582" s="3"/>
      <c r="G582" s="101"/>
      <c r="H582" s="101"/>
      <c r="I582" s="101"/>
      <c r="J582" s="89"/>
    </row>
    <row r="583" spans="1:10" customFormat="1" ht="15" hidden="1" customHeight="1" x14ac:dyDescent="0.25">
      <c r="A583" s="144"/>
      <c r="B583" s="3"/>
      <c r="D583" s="102"/>
      <c r="E583" s="102"/>
      <c r="F583" s="3"/>
      <c r="G583" s="101"/>
      <c r="H583" s="101"/>
      <c r="I583" s="101"/>
      <c r="J583" s="89"/>
    </row>
    <row r="584" spans="1:10" customFormat="1" ht="15" hidden="1" customHeight="1" x14ac:dyDescent="0.25">
      <c r="A584" s="144"/>
      <c r="B584" s="3"/>
      <c r="D584" s="102"/>
      <c r="E584" s="102"/>
      <c r="F584" s="3"/>
      <c r="G584" s="101"/>
      <c r="H584" s="101"/>
      <c r="I584" s="101"/>
      <c r="J584" s="89"/>
    </row>
    <row r="585" spans="1:10" customFormat="1" ht="15" hidden="1" customHeight="1" x14ac:dyDescent="0.25">
      <c r="A585" s="144"/>
      <c r="B585" s="3"/>
      <c r="D585" s="102"/>
      <c r="E585" s="102"/>
      <c r="F585" s="3"/>
      <c r="G585" s="101"/>
      <c r="H585" s="101"/>
      <c r="I585" s="101"/>
      <c r="J585" s="89"/>
    </row>
    <row r="586" spans="1:10" customFormat="1" ht="15" hidden="1" customHeight="1" x14ac:dyDescent="0.25">
      <c r="A586" s="144"/>
      <c r="B586" s="3"/>
      <c r="D586" s="102"/>
      <c r="E586" s="102"/>
      <c r="F586" s="3"/>
      <c r="G586" s="101"/>
      <c r="H586" s="101"/>
      <c r="I586" s="101"/>
      <c r="J586" s="89"/>
    </row>
    <row r="587" spans="1:10" customFormat="1" ht="15" hidden="1" customHeight="1" x14ac:dyDescent="0.25">
      <c r="A587" s="144"/>
      <c r="B587" s="3"/>
      <c r="D587" s="102"/>
      <c r="E587" s="102"/>
      <c r="F587" s="3"/>
      <c r="G587" s="101"/>
      <c r="H587" s="101"/>
      <c r="I587" s="101"/>
      <c r="J587" s="89"/>
    </row>
    <row r="588" spans="1:10" customFormat="1" ht="15" hidden="1" customHeight="1" x14ac:dyDescent="0.25">
      <c r="A588" s="144"/>
      <c r="B588" s="3"/>
      <c r="D588" s="102"/>
      <c r="E588" s="102"/>
      <c r="F588" s="3"/>
      <c r="G588" s="101"/>
      <c r="H588" s="101"/>
      <c r="I588" s="101"/>
      <c r="J588" s="89"/>
    </row>
    <row r="589" spans="1:10" customFormat="1" ht="15" hidden="1" customHeight="1" x14ac:dyDescent="0.25">
      <c r="A589" s="144"/>
      <c r="B589" s="3"/>
      <c r="D589" s="102"/>
      <c r="E589" s="102"/>
      <c r="F589" s="3"/>
      <c r="G589" s="101"/>
      <c r="H589" s="101"/>
      <c r="I589" s="101"/>
      <c r="J589" s="89"/>
    </row>
    <row r="590" spans="1:10" customFormat="1" ht="15" hidden="1" customHeight="1" x14ac:dyDescent="0.25">
      <c r="A590" s="144"/>
      <c r="B590" s="3"/>
      <c r="D590" s="102"/>
      <c r="E590" s="102"/>
      <c r="F590" s="3"/>
      <c r="G590" s="101"/>
      <c r="H590" s="101"/>
      <c r="I590" s="101"/>
      <c r="J590" s="89"/>
    </row>
    <row r="591" spans="1:10" customFormat="1" ht="15" hidden="1" customHeight="1" x14ac:dyDescent="0.25">
      <c r="A591" s="144"/>
      <c r="B591" s="3"/>
      <c r="D591" s="102"/>
      <c r="E591" s="102"/>
      <c r="F591" s="3"/>
      <c r="G591" s="101"/>
      <c r="H591" s="101"/>
      <c r="I591" s="101"/>
      <c r="J591" s="89"/>
    </row>
    <row r="592" spans="1:10" customFormat="1" ht="15" hidden="1" customHeight="1" x14ac:dyDescent="0.25">
      <c r="A592" s="144"/>
      <c r="B592" s="3"/>
      <c r="D592" s="102"/>
      <c r="E592" s="102"/>
      <c r="F592" s="3"/>
      <c r="G592" s="101"/>
      <c r="H592" s="101"/>
      <c r="I592" s="101"/>
      <c r="J592" s="89"/>
    </row>
    <row r="593" spans="1:10" customFormat="1" ht="15" hidden="1" customHeight="1" x14ac:dyDescent="0.25">
      <c r="A593" s="144"/>
      <c r="B593" s="3"/>
      <c r="D593" s="102"/>
      <c r="E593" s="102"/>
      <c r="F593" s="3"/>
      <c r="G593" s="101"/>
      <c r="H593" s="101"/>
      <c r="I593" s="101"/>
      <c r="J593" s="89"/>
    </row>
    <row r="594" spans="1:10" customFormat="1" ht="15" hidden="1" customHeight="1" x14ac:dyDescent="0.25">
      <c r="A594" s="144"/>
      <c r="B594" s="3"/>
      <c r="D594" s="102"/>
      <c r="E594" s="102"/>
      <c r="F594" s="3"/>
      <c r="G594" s="101"/>
      <c r="H594" s="101"/>
      <c r="I594" s="101"/>
      <c r="J594" s="89"/>
    </row>
    <row r="595" spans="1:10" customFormat="1" ht="15" hidden="1" customHeight="1" x14ac:dyDescent="0.25">
      <c r="A595" s="144"/>
      <c r="B595" s="3"/>
      <c r="D595" s="102"/>
      <c r="E595" s="102"/>
      <c r="F595" s="3"/>
      <c r="G595" s="101"/>
      <c r="H595" s="101"/>
      <c r="I595" s="101"/>
      <c r="J595" s="89"/>
    </row>
    <row r="596" spans="1:10" customFormat="1" ht="15" hidden="1" customHeight="1" x14ac:dyDescent="0.25">
      <c r="A596" s="144"/>
      <c r="B596" s="3"/>
      <c r="D596" s="102"/>
      <c r="E596" s="102"/>
      <c r="F596" s="3"/>
      <c r="G596" s="101"/>
      <c r="H596" s="101"/>
      <c r="I596" s="101"/>
      <c r="J596" s="89"/>
    </row>
    <row r="597" spans="1:10" customFormat="1" ht="15" hidden="1" customHeight="1" x14ac:dyDescent="0.25">
      <c r="A597" s="144"/>
      <c r="B597" s="3"/>
      <c r="D597" s="102"/>
      <c r="E597" s="102"/>
      <c r="F597" s="3"/>
      <c r="G597" s="101"/>
      <c r="H597" s="101"/>
      <c r="I597" s="101"/>
      <c r="J597" s="89"/>
    </row>
    <row r="598" spans="1:10" customFormat="1" ht="15" hidden="1" customHeight="1" x14ac:dyDescent="0.25">
      <c r="A598" s="144"/>
      <c r="B598" s="3"/>
      <c r="D598" s="102"/>
      <c r="E598" s="102"/>
      <c r="F598" s="3"/>
      <c r="G598" s="101"/>
      <c r="H598" s="101"/>
      <c r="I598" s="101"/>
      <c r="J598" s="89"/>
    </row>
    <row r="599" spans="1:10" customFormat="1" ht="15" hidden="1" customHeight="1" x14ac:dyDescent="0.25">
      <c r="A599" s="144"/>
      <c r="B599" s="3"/>
      <c r="D599" s="102"/>
      <c r="E599" s="102"/>
      <c r="F599" s="3"/>
      <c r="G599" s="101"/>
      <c r="H599" s="101"/>
      <c r="I599" s="101"/>
      <c r="J599" s="89"/>
    </row>
    <row r="600" spans="1:10" customFormat="1" ht="15" hidden="1" customHeight="1" x14ac:dyDescent="0.25">
      <c r="A600" s="144"/>
      <c r="B600" s="3"/>
      <c r="D600" s="102"/>
      <c r="E600" s="102"/>
      <c r="F600" s="3"/>
      <c r="G600" s="101"/>
      <c r="H600" s="101"/>
      <c r="I600" s="101"/>
      <c r="J600" s="89"/>
    </row>
    <row r="601" spans="1:10" customFormat="1" ht="15" hidden="1" customHeight="1" x14ac:dyDescent="0.25">
      <c r="A601" s="144"/>
      <c r="B601" s="3"/>
      <c r="D601" s="102"/>
      <c r="E601" s="102"/>
      <c r="F601" s="3"/>
      <c r="G601" s="101"/>
      <c r="H601" s="101"/>
      <c r="I601" s="101"/>
      <c r="J601" s="89"/>
    </row>
    <row r="602" spans="1:10" customFormat="1" ht="15" hidden="1" customHeight="1" x14ac:dyDescent="0.25">
      <c r="A602" s="144"/>
      <c r="B602" s="3"/>
      <c r="D602" s="102"/>
      <c r="E602" s="102"/>
      <c r="F602" s="3"/>
      <c r="G602" s="101"/>
      <c r="H602" s="101"/>
      <c r="I602" s="101"/>
      <c r="J602" s="89"/>
    </row>
    <row r="603" spans="1:10" customFormat="1" ht="15" hidden="1" customHeight="1" x14ac:dyDescent="0.25">
      <c r="A603" s="144"/>
      <c r="B603" s="3"/>
      <c r="D603" s="102"/>
      <c r="E603" s="102"/>
      <c r="F603" s="3"/>
      <c r="G603" s="101"/>
      <c r="H603" s="101"/>
      <c r="I603" s="101"/>
      <c r="J603" s="89"/>
    </row>
    <row r="604" spans="1:10" customFormat="1" ht="15" hidden="1" customHeight="1" x14ac:dyDescent="0.25">
      <c r="A604" s="144"/>
      <c r="B604" s="3"/>
      <c r="D604" s="102"/>
      <c r="E604" s="102"/>
      <c r="F604" s="3"/>
      <c r="G604" s="101"/>
      <c r="H604" s="101"/>
      <c r="I604" s="101"/>
      <c r="J604" s="89"/>
    </row>
    <row r="605" spans="1:10" customFormat="1" ht="15" hidden="1" customHeight="1" x14ac:dyDescent="0.25">
      <c r="A605" s="144"/>
      <c r="B605" s="3"/>
      <c r="D605" s="102"/>
      <c r="E605" s="102"/>
      <c r="F605" s="3"/>
      <c r="G605" s="101"/>
      <c r="H605" s="101"/>
      <c r="I605" s="101"/>
      <c r="J605" s="89"/>
    </row>
    <row r="606" spans="1:10" customFormat="1" ht="15" hidden="1" customHeight="1" x14ac:dyDescent="0.25">
      <c r="A606" s="144"/>
      <c r="B606" s="3"/>
      <c r="D606" s="102"/>
      <c r="E606" s="102"/>
      <c r="F606" s="3"/>
      <c r="G606" s="101"/>
      <c r="H606" s="101"/>
      <c r="I606" s="101"/>
      <c r="J606" s="89"/>
    </row>
    <row r="607" spans="1:10" customFormat="1" ht="15" hidden="1" customHeight="1" x14ac:dyDescent="0.25">
      <c r="A607" s="144"/>
      <c r="B607" s="3"/>
      <c r="D607" s="102"/>
      <c r="E607" s="102"/>
      <c r="F607" s="3"/>
      <c r="G607" s="101"/>
      <c r="H607" s="101"/>
      <c r="I607" s="101"/>
      <c r="J607" s="89"/>
    </row>
    <row r="608" spans="1:10" customFormat="1" ht="15" hidden="1" customHeight="1" x14ac:dyDescent="0.25">
      <c r="A608" s="144"/>
      <c r="B608" s="3"/>
      <c r="D608" s="102"/>
      <c r="E608" s="102"/>
      <c r="F608" s="3"/>
      <c r="G608" s="101"/>
      <c r="H608" s="101"/>
      <c r="I608" s="101"/>
      <c r="J608" s="89"/>
    </row>
    <row r="609" spans="1:10" customFormat="1" ht="15" hidden="1" customHeight="1" x14ac:dyDescent="0.25">
      <c r="A609" s="144"/>
      <c r="B609" s="3"/>
      <c r="D609" s="102"/>
      <c r="E609" s="102"/>
      <c r="F609" s="3"/>
      <c r="G609" s="101"/>
      <c r="H609" s="101"/>
      <c r="I609" s="101"/>
      <c r="J609" s="89"/>
    </row>
    <row r="610" spans="1:10" customFormat="1" ht="15" hidden="1" customHeight="1" x14ac:dyDescent="0.25">
      <c r="A610" s="144"/>
      <c r="B610" s="3"/>
      <c r="D610" s="102"/>
      <c r="E610" s="102"/>
      <c r="F610" s="3"/>
      <c r="G610" s="101"/>
      <c r="H610" s="101"/>
      <c r="I610" s="101"/>
      <c r="J610" s="89"/>
    </row>
    <row r="611" spans="1:10" customFormat="1" ht="15" hidden="1" customHeight="1" x14ac:dyDescent="0.25">
      <c r="A611" s="144"/>
      <c r="B611" s="3"/>
      <c r="D611" s="102"/>
      <c r="E611" s="102"/>
      <c r="F611" s="3"/>
      <c r="G611" s="101"/>
      <c r="H611" s="101"/>
      <c r="I611" s="101"/>
      <c r="J611" s="89"/>
    </row>
    <row r="612" spans="1:10" customFormat="1" ht="15" hidden="1" customHeight="1" x14ac:dyDescent="0.25">
      <c r="A612" s="144"/>
      <c r="B612" s="3"/>
      <c r="D612" s="102"/>
      <c r="E612" s="102"/>
      <c r="F612" s="3"/>
      <c r="G612" s="101"/>
      <c r="H612" s="101"/>
      <c r="I612" s="101"/>
      <c r="J612" s="89"/>
    </row>
    <row r="613" spans="1:10" customFormat="1" ht="15" hidden="1" customHeight="1" x14ac:dyDescent="0.25">
      <c r="A613" s="144"/>
      <c r="B613" s="3"/>
      <c r="D613" s="102"/>
      <c r="E613" s="102"/>
      <c r="F613" s="3"/>
      <c r="G613" s="101"/>
      <c r="H613" s="101"/>
      <c r="I613" s="101"/>
      <c r="J613" s="89"/>
    </row>
    <row r="614" spans="1:10" customFormat="1" ht="15" hidden="1" customHeight="1" x14ac:dyDescent="0.25">
      <c r="A614" s="144"/>
      <c r="B614" s="3"/>
      <c r="D614" s="102"/>
      <c r="E614" s="102"/>
      <c r="F614" s="3"/>
      <c r="G614" s="101"/>
      <c r="H614" s="101"/>
      <c r="I614" s="101"/>
      <c r="J614" s="89"/>
    </row>
    <row r="615" spans="1:10" customFormat="1" ht="15" hidden="1" customHeight="1" x14ac:dyDescent="0.25">
      <c r="A615" s="144"/>
      <c r="B615" s="3"/>
      <c r="D615" s="102"/>
      <c r="E615" s="102"/>
      <c r="F615" s="3"/>
      <c r="G615" s="101"/>
      <c r="H615" s="101"/>
      <c r="I615" s="101"/>
      <c r="J615" s="89"/>
    </row>
    <row r="616" spans="1:10" customFormat="1" ht="15" hidden="1" customHeight="1" x14ac:dyDescent="0.25">
      <c r="A616" s="144"/>
      <c r="B616" s="3"/>
      <c r="D616" s="102"/>
      <c r="E616" s="102"/>
      <c r="F616" s="3"/>
      <c r="G616" s="101"/>
      <c r="H616" s="101"/>
      <c r="I616" s="101"/>
      <c r="J616" s="89"/>
    </row>
    <row r="617" spans="1:10" customFormat="1" ht="15" hidden="1" customHeight="1" x14ac:dyDescent="0.25">
      <c r="A617" s="144"/>
      <c r="B617" s="3"/>
      <c r="D617" s="102"/>
      <c r="E617" s="102"/>
      <c r="F617" s="3"/>
      <c r="G617" s="101"/>
      <c r="H617" s="101"/>
      <c r="I617" s="101"/>
      <c r="J617" s="89"/>
    </row>
    <row r="618" spans="1:10" customFormat="1" ht="15" hidden="1" customHeight="1" x14ac:dyDescent="0.25">
      <c r="A618" s="144"/>
      <c r="B618" s="3"/>
      <c r="D618" s="102"/>
      <c r="E618" s="102"/>
      <c r="F618" s="3"/>
      <c r="G618" s="101"/>
      <c r="H618" s="101"/>
      <c r="I618" s="101"/>
      <c r="J618" s="89"/>
    </row>
    <row r="619" spans="1:10" customFormat="1" ht="15" hidden="1" customHeight="1" x14ac:dyDescent="0.25">
      <c r="A619" s="144"/>
      <c r="B619" s="3"/>
      <c r="D619" s="102"/>
      <c r="E619" s="102"/>
      <c r="F619" s="3"/>
      <c r="G619" s="101"/>
      <c r="H619" s="101"/>
      <c r="I619" s="101"/>
      <c r="J619" s="89"/>
    </row>
    <row r="620" spans="1:10" customFormat="1" ht="15" hidden="1" customHeight="1" x14ac:dyDescent="0.25">
      <c r="A620" s="144"/>
      <c r="B620" s="3"/>
      <c r="D620" s="102"/>
      <c r="E620" s="102"/>
      <c r="F620" s="3"/>
      <c r="G620" s="101"/>
      <c r="H620" s="101"/>
      <c r="I620" s="101"/>
      <c r="J620" s="89"/>
    </row>
    <row r="621" spans="1:10" customFormat="1" ht="15" hidden="1" customHeight="1" x14ac:dyDescent="0.25">
      <c r="A621" s="144"/>
      <c r="B621" s="3"/>
      <c r="D621" s="102"/>
      <c r="E621" s="102"/>
      <c r="F621" s="3"/>
      <c r="G621" s="101"/>
      <c r="H621" s="101"/>
      <c r="I621" s="101"/>
      <c r="J621" s="89"/>
    </row>
    <row r="622" spans="1:10" customFormat="1" ht="15" hidden="1" customHeight="1" x14ac:dyDescent="0.25">
      <c r="A622" s="144"/>
      <c r="B622" s="3"/>
      <c r="D622" s="102"/>
      <c r="E622" s="102"/>
      <c r="F622" s="3"/>
      <c r="G622" s="101"/>
      <c r="H622" s="101"/>
      <c r="I622" s="101"/>
      <c r="J622" s="89"/>
    </row>
    <row r="623" spans="1:10" customFormat="1" ht="15" hidden="1" customHeight="1" x14ac:dyDescent="0.25">
      <c r="A623" s="144"/>
      <c r="B623" s="3"/>
      <c r="D623" s="102"/>
      <c r="E623" s="102"/>
      <c r="F623" s="3"/>
      <c r="G623" s="101"/>
      <c r="H623" s="101"/>
      <c r="I623" s="101"/>
      <c r="J623" s="89"/>
    </row>
    <row r="624" spans="1:10" customFormat="1" ht="15" hidden="1" customHeight="1" x14ac:dyDescent="0.25">
      <c r="A624" s="144"/>
      <c r="B624" s="3"/>
      <c r="D624" s="102"/>
      <c r="E624" s="102"/>
      <c r="F624" s="3"/>
      <c r="G624" s="101"/>
      <c r="H624" s="101"/>
      <c r="I624" s="101"/>
      <c r="J624" s="89"/>
    </row>
    <row r="625" spans="1:10" customFormat="1" ht="15" hidden="1" customHeight="1" x14ac:dyDescent="0.25">
      <c r="A625" s="144"/>
      <c r="B625" s="3"/>
      <c r="D625" s="102"/>
      <c r="E625" s="102"/>
      <c r="F625" s="3"/>
      <c r="G625" s="101"/>
      <c r="H625" s="101"/>
      <c r="I625" s="101"/>
      <c r="J625" s="89"/>
    </row>
    <row r="626" spans="1:10" customFormat="1" ht="15" hidden="1" customHeight="1" x14ac:dyDescent="0.25">
      <c r="A626" s="144"/>
      <c r="B626" s="3"/>
      <c r="D626" s="102"/>
      <c r="E626" s="102"/>
      <c r="F626" s="3"/>
      <c r="G626" s="101"/>
      <c r="H626" s="101"/>
      <c r="I626" s="101"/>
      <c r="J626" s="89"/>
    </row>
    <row r="627" spans="1:10" customFormat="1" ht="15" hidden="1" customHeight="1" x14ac:dyDescent="0.25">
      <c r="A627" s="144"/>
      <c r="B627" s="3"/>
      <c r="D627" s="102"/>
      <c r="E627" s="102"/>
      <c r="F627" s="3"/>
      <c r="G627" s="101"/>
      <c r="H627" s="101"/>
      <c r="I627" s="101"/>
      <c r="J627" s="89"/>
    </row>
    <row r="628" spans="1:10" customFormat="1" ht="15" hidden="1" customHeight="1" x14ac:dyDescent="0.25">
      <c r="A628" s="144"/>
      <c r="B628" s="3"/>
      <c r="D628" s="102"/>
      <c r="E628" s="102"/>
      <c r="F628" s="3"/>
      <c r="G628" s="101"/>
      <c r="H628" s="101"/>
      <c r="I628" s="101"/>
      <c r="J628" s="89"/>
    </row>
    <row r="629" spans="1:10" customFormat="1" ht="15" hidden="1" customHeight="1" x14ac:dyDescent="0.25">
      <c r="A629" s="144"/>
      <c r="B629" s="3"/>
      <c r="D629" s="102"/>
      <c r="E629" s="102"/>
      <c r="F629" s="3"/>
      <c r="G629" s="101"/>
      <c r="H629" s="101"/>
      <c r="I629" s="101"/>
      <c r="J629" s="89"/>
    </row>
    <row r="630" spans="1:10" customFormat="1" ht="15" hidden="1" customHeight="1" x14ac:dyDescent="0.25">
      <c r="A630" s="144"/>
      <c r="B630" s="3"/>
      <c r="D630" s="102"/>
      <c r="E630" s="102"/>
      <c r="F630" s="3"/>
      <c r="G630" s="101"/>
      <c r="H630" s="101"/>
      <c r="I630" s="101"/>
      <c r="J630" s="89"/>
    </row>
    <row r="631" spans="1:10" customFormat="1" ht="15" hidden="1" customHeight="1" x14ac:dyDescent="0.25">
      <c r="A631" s="144"/>
      <c r="B631" s="3"/>
      <c r="D631" s="102"/>
      <c r="E631" s="102"/>
      <c r="F631" s="3"/>
      <c r="G631" s="101"/>
      <c r="H631" s="101"/>
      <c r="I631" s="101"/>
      <c r="J631" s="89"/>
    </row>
    <row r="632" spans="1:10" customFormat="1" ht="15" hidden="1" customHeight="1" x14ac:dyDescent="0.25">
      <c r="A632" s="144"/>
      <c r="B632" s="3"/>
      <c r="D632" s="102"/>
      <c r="E632" s="102"/>
      <c r="F632" s="3"/>
      <c r="G632" s="101"/>
      <c r="H632" s="101"/>
      <c r="I632" s="101"/>
      <c r="J632" s="89"/>
    </row>
    <row r="633" spans="1:10" customFormat="1" ht="15" hidden="1" customHeight="1" x14ac:dyDescent="0.25">
      <c r="A633" s="144"/>
      <c r="B633" s="3"/>
      <c r="D633" s="102"/>
      <c r="E633" s="102"/>
      <c r="F633" s="3"/>
      <c r="G633" s="101"/>
      <c r="H633" s="101"/>
      <c r="I633" s="101"/>
      <c r="J633" s="89"/>
    </row>
    <row r="634" spans="1:10" customFormat="1" ht="15" hidden="1" customHeight="1" x14ac:dyDescent="0.25">
      <c r="A634" s="144"/>
      <c r="B634" s="3"/>
      <c r="D634" s="102"/>
      <c r="E634" s="102"/>
      <c r="F634" s="3"/>
      <c r="G634" s="101"/>
      <c r="H634" s="101"/>
      <c r="I634" s="101"/>
      <c r="J634" s="89"/>
    </row>
    <row r="635" spans="1:10" customFormat="1" ht="15" hidden="1" customHeight="1" x14ac:dyDescent="0.25">
      <c r="A635" s="144"/>
      <c r="B635" s="3"/>
      <c r="D635" s="102"/>
      <c r="E635" s="102"/>
      <c r="F635" s="3"/>
      <c r="G635" s="101"/>
      <c r="H635" s="101"/>
      <c r="I635" s="101"/>
      <c r="J635" s="89"/>
    </row>
    <row r="636" spans="1:10" customFormat="1" ht="15" hidden="1" customHeight="1" x14ac:dyDescent="0.25">
      <c r="A636" s="144"/>
      <c r="B636" s="3"/>
      <c r="D636" s="102"/>
      <c r="E636" s="102"/>
      <c r="F636" s="3"/>
      <c r="G636" s="101"/>
      <c r="H636" s="101"/>
      <c r="I636" s="101"/>
      <c r="J636" s="89"/>
    </row>
    <row r="637" spans="1:10" customFormat="1" ht="15" hidden="1" customHeight="1" x14ac:dyDescent="0.25">
      <c r="A637" s="144"/>
      <c r="B637" s="3"/>
      <c r="D637" s="102"/>
      <c r="E637" s="102"/>
      <c r="F637" s="3"/>
      <c r="G637" s="101"/>
      <c r="H637" s="101"/>
      <c r="I637" s="101"/>
      <c r="J637" s="89"/>
    </row>
    <row r="638" spans="1:10" customFormat="1" ht="15" hidden="1" customHeight="1" x14ac:dyDescent="0.25">
      <c r="A638" s="144"/>
      <c r="B638" s="3"/>
      <c r="D638" s="102"/>
      <c r="E638" s="102"/>
      <c r="F638" s="3"/>
      <c r="G638" s="101"/>
      <c r="H638" s="101"/>
      <c r="I638" s="101"/>
      <c r="J638" s="89"/>
    </row>
    <row r="639" spans="1:10" customFormat="1" ht="15" hidden="1" customHeight="1" x14ac:dyDescent="0.25">
      <c r="A639" s="144"/>
      <c r="B639" s="3"/>
      <c r="D639" s="102"/>
      <c r="E639" s="102"/>
      <c r="F639" s="3"/>
      <c r="G639" s="101"/>
      <c r="H639" s="101"/>
      <c r="I639" s="101"/>
      <c r="J639" s="89"/>
    </row>
    <row r="640" spans="1:10" customFormat="1" ht="15" hidden="1" customHeight="1" x14ac:dyDescent="0.25">
      <c r="A640" s="144"/>
      <c r="B640" s="3"/>
      <c r="D640" s="102"/>
      <c r="E640" s="102"/>
      <c r="F640" s="3"/>
      <c r="G640" s="101"/>
      <c r="H640" s="101"/>
      <c r="I640" s="101"/>
      <c r="J640" s="89"/>
    </row>
    <row r="641" spans="1:10" customFormat="1" ht="15" hidden="1" customHeight="1" x14ac:dyDescent="0.25">
      <c r="A641" s="144"/>
      <c r="B641" s="3"/>
      <c r="D641" s="102"/>
      <c r="E641" s="102"/>
      <c r="F641" s="3"/>
      <c r="G641" s="101"/>
      <c r="H641" s="101"/>
      <c r="I641" s="101"/>
      <c r="J641" s="89"/>
    </row>
    <row r="642" spans="1:10" customFormat="1" ht="15" hidden="1" customHeight="1" x14ac:dyDescent="0.25">
      <c r="A642" s="144"/>
      <c r="B642" s="3"/>
      <c r="D642" s="102"/>
      <c r="E642" s="102"/>
      <c r="F642" s="3"/>
      <c r="G642" s="101"/>
      <c r="H642" s="101"/>
      <c r="I642" s="101"/>
      <c r="J642" s="89"/>
    </row>
    <row r="643" spans="1:10" customFormat="1" ht="15" hidden="1" customHeight="1" x14ac:dyDescent="0.25">
      <c r="A643" s="144"/>
      <c r="B643" s="3"/>
      <c r="D643" s="102"/>
      <c r="E643" s="102"/>
      <c r="F643" s="3"/>
      <c r="G643" s="101"/>
      <c r="H643" s="101"/>
      <c r="I643" s="101"/>
      <c r="J643" s="89"/>
    </row>
    <row r="644" spans="1:10" customFormat="1" ht="15" hidden="1" customHeight="1" x14ac:dyDescent="0.25">
      <c r="A644" s="144"/>
      <c r="B644" s="3"/>
      <c r="D644" s="102"/>
      <c r="E644" s="102"/>
      <c r="F644" s="3"/>
      <c r="G644" s="101"/>
      <c r="H644" s="101"/>
      <c r="I644" s="101"/>
      <c r="J644" s="89"/>
    </row>
    <row r="645" spans="1:10" customFormat="1" ht="15" hidden="1" customHeight="1" x14ac:dyDescent="0.25">
      <c r="A645" s="144"/>
      <c r="B645" s="3"/>
      <c r="D645" s="102"/>
      <c r="E645" s="102"/>
      <c r="F645" s="3"/>
      <c r="G645" s="101"/>
      <c r="H645" s="101"/>
      <c r="I645" s="101"/>
      <c r="J645" s="89"/>
    </row>
    <row r="646" spans="1:10" customFormat="1" ht="15" hidden="1" customHeight="1" x14ac:dyDescent="0.25">
      <c r="A646" s="144"/>
      <c r="B646" s="3"/>
      <c r="D646" s="102"/>
      <c r="E646" s="102"/>
      <c r="F646" s="3"/>
      <c r="G646" s="101"/>
      <c r="H646" s="101"/>
      <c r="I646" s="101"/>
      <c r="J646" s="89"/>
    </row>
    <row r="647" spans="1:10" customFormat="1" ht="15" hidden="1" customHeight="1" x14ac:dyDescent="0.25">
      <c r="A647" s="144"/>
      <c r="B647" s="3"/>
      <c r="D647" s="102"/>
      <c r="E647" s="102"/>
      <c r="F647" s="3"/>
      <c r="G647" s="101"/>
      <c r="H647" s="101"/>
      <c r="I647" s="101"/>
      <c r="J647" s="89"/>
    </row>
    <row r="648" spans="1:10" customFormat="1" ht="15" hidden="1" customHeight="1" x14ac:dyDescent="0.25">
      <c r="A648" s="144"/>
      <c r="B648" s="3"/>
      <c r="D648" s="102"/>
      <c r="E648" s="102"/>
      <c r="F648" s="3"/>
      <c r="G648" s="101"/>
      <c r="H648" s="101"/>
      <c r="I648" s="101"/>
      <c r="J648" s="89"/>
    </row>
    <row r="649" spans="1:10" customFormat="1" ht="15" hidden="1" customHeight="1" x14ac:dyDescent="0.25">
      <c r="A649" s="144"/>
      <c r="B649" s="3"/>
      <c r="D649" s="102"/>
      <c r="E649" s="102"/>
      <c r="F649" s="3"/>
      <c r="G649" s="101"/>
      <c r="H649" s="101"/>
      <c r="I649" s="101"/>
      <c r="J649" s="89"/>
    </row>
    <row r="650" spans="1:10" customFormat="1" ht="15" hidden="1" customHeight="1" x14ac:dyDescent="0.25">
      <c r="A650" s="144"/>
      <c r="B650" s="3"/>
      <c r="D650" s="102"/>
      <c r="E650" s="102"/>
      <c r="F650" s="3"/>
      <c r="G650" s="101"/>
      <c r="H650" s="101"/>
      <c r="I650" s="101"/>
      <c r="J650" s="89"/>
    </row>
    <row r="651" spans="1:10" customFormat="1" ht="15" hidden="1" customHeight="1" x14ac:dyDescent="0.25">
      <c r="A651" s="144"/>
      <c r="B651" s="3"/>
      <c r="D651" s="102"/>
      <c r="E651" s="102"/>
      <c r="F651" s="3"/>
      <c r="G651" s="101"/>
      <c r="H651" s="101"/>
      <c r="I651" s="101"/>
      <c r="J651" s="89"/>
    </row>
    <row r="652" spans="1:10" customFormat="1" ht="15" hidden="1" customHeight="1" x14ac:dyDescent="0.25">
      <c r="A652" s="144"/>
      <c r="B652" s="3"/>
      <c r="D652" s="102"/>
      <c r="E652" s="102"/>
      <c r="F652" s="3"/>
      <c r="G652" s="101"/>
      <c r="H652" s="101"/>
      <c r="I652" s="101"/>
      <c r="J652" s="89"/>
    </row>
    <row r="653" spans="1:10" customFormat="1" ht="15" hidden="1" customHeight="1" x14ac:dyDescent="0.25">
      <c r="A653" s="144"/>
      <c r="B653" s="3"/>
      <c r="D653" s="102"/>
      <c r="E653" s="102"/>
      <c r="F653" s="3"/>
      <c r="G653" s="101"/>
      <c r="H653" s="101"/>
      <c r="I653" s="101"/>
      <c r="J653" s="89"/>
    </row>
    <row r="654" spans="1:10" customFormat="1" ht="15" hidden="1" customHeight="1" x14ac:dyDescent="0.25">
      <c r="A654" s="144"/>
      <c r="B654" s="3"/>
      <c r="D654" s="102"/>
      <c r="E654" s="102"/>
      <c r="F654" s="3"/>
      <c r="G654" s="101"/>
      <c r="H654" s="101"/>
      <c r="I654" s="101"/>
      <c r="J654" s="89"/>
    </row>
    <row r="655" spans="1:10" customFormat="1" ht="15" hidden="1" customHeight="1" x14ac:dyDescent="0.25">
      <c r="A655" s="144"/>
      <c r="B655" s="3"/>
      <c r="D655" s="102"/>
      <c r="E655" s="102"/>
      <c r="F655" s="3"/>
      <c r="G655" s="101"/>
      <c r="H655" s="101"/>
      <c r="I655" s="101"/>
      <c r="J655" s="89"/>
    </row>
    <row r="656" spans="1:10" customFormat="1" ht="15" hidden="1" customHeight="1" x14ac:dyDescent="0.25">
      <c r="A656" s="144"/>
      <c r="B656" s="3"/>
      <c r="D656" s="102"/>
      <c r="E656" s="102"/>
      <c r="F656" s="3"/>
      <c r="G656" s="101"/>
      <c r="H656" s="101"/>
      <c r="I656" s="101"/>
      <c r="J656" s="89"/>
    </row>
    <row r="657" spans="1:10" customFormat="1" ht="15" hidden="1" customHeight="1" x14ac:dyDescent="0.25">
      <c r="A657" s="144"/>
      <c r="B657" s="3"/>
      <c r="D657" s="102"/>
      <c r="E657" s="102"/>
      <c r="F657" s="3"/>
      <c r="G657" s="101"/>
      <c r="H657" s="101"/>
      <c r="I657" s="101"/>
      <c r="J657" s="89"/>
    </row>
    <row r="658" spans="1:10" customFormat="1" ht="15" hidden="1" customHeight="1" x14ac:dyDescent="0.25">
      <c r="A658" s="144"/>
      <c r="B658" s="3"/>
      <c r="D658" s="102"/>
      <c r="E658" s="102"/>
      <c r="F658" s="3"/>
      <c r="G658" s="101"/>
      <c r="H658" s="101"/>
      <c r="I658" s="101"/>
      <c r="J658" s="89"/>
    </row>
    <row r="659" spans="1:10" customFormat="1" ht="15" hidden="1" customHeight="1" x14ac:dyDescent="0.25">
      <c r="A659" s="144"/>
      <c r="B659" s="3"/>
      <c r="D659" s="102"/>
      <c r="E659" s="102"/>
      <c r="F659" s="3"/>
      <c r="G659" s="101"/>
      <c r="H659" s="101"/>
      <c r="I659" s="101"/>
      <c r="J659" s="89"/>
    </row>
    <row r="660" spans="1:10" customFormat="1" ht="15" hidden="1" customHeight="1" x14ac:dyDescent="0.25">
      <c r="A660" s="144"/>
      <c r="B660" s="3"/>
      <c r="D660" s="102"/>
      <c r="E660" s="102"/>
      <c r="F660" s="3"/>
      <c r="G660" s="101"/>
      <c r="H660" s="101"/>
      <c r="I660" s="101"/>
      <c r="J660" s="89"/>
    </row>
    <row r="661" spans="1:10" customFormat="1" ht="15" hidden="1" customHeight="1" x14ac:dyDescent="0.25">
      <c r="A661" s="144"/>
      <c r="B661" s="3"/>
      <c r="D661" s="102"/>
      <c r="E661" s="102"/>
      <c r="F661" s="3"/>
      <c r="G661" s="101"/>
      <c r="H661" s="101"/>
      <c r="I661" s="101"/>
      <c r="J661" s="89"/>
    </row>
    <row r="662" spans="1:10" customFormat="1" ht="15" hidden="1" customHeight="1" x14ac:dyDescent="0.25">
      <c r="A662" s="144"/>
      <c r="B662" s="3"/>
      <c r="D662" s="102"/>
      <c r="E662" s="102"/>
      <c r="F662" s="3"/>
      <c r="G662" s="101"/>
      <c r="H662" s="101"/>
      <c r="I662" s="101"/>
      <c r="J662" s="89"/>
    </row>
    <row r="663" spans="1:10" customFormat="1" ht="15" hidden="1" customHeight="1" x14ac:dyDescent="0.25">
      <c r="A663" s="144"/>
      <c r="B663" s="3"/>
      <c r="D663" s="102"/>
      <c r="E663" s="102"/>
      <c r="F663" s="3"/>
      <c r="G663" s="101"/>
      <c r="H663" s="101"/>
      <c r="I663" s="101"/>
      <c r="J663" s="89"/>
    </row>
    <row r="664" spans="1:10" customFormat="1" ht="15" hidden="1" customHeight="1" x14ac:dyDescent="0.25">
      <c r="A664" s="144"/>
      <c r="B664" s="3"/>
      <c r="D664" s="102"/>
      <c r="E664" s="102"/>
      <c r="F664" s="3"/>
      <c r="G664" s="101"/>
      <c r="H664" s="101"/>
      <c r="I664" s="101"/>
      <c r="J664" s="89"/>
    </row>
    <row r="665" spans="1:10" customFormat="1" ht="15" hidden="1" customHeight="1" x14ac:dyDescent="0.25">
      <c r="A665" s="144"/>
      <c r="B665" s="3"/>
      <c r="D665" s="102"/>
      <c r="E665" s="102"/>
      <c r="F665" s="3"/>
      <c r="G665" s="101"/>
      <c r="H665" s="101"/>
      <c r="I665" s="101"/>
      <c r="J665" s="89"/>
    </row>
    <row r="666" spans="1:10" customFormat="1" ht="15" hidden="1" customHeight="1" x14ac:dyDescent="0.25">
      <c r="A666" s="144"/>
      <c r="B666" s="3"/>
      <c r="D666" s="102"/>
      <c r="E666" s="102"/>
      <c r="F666" s="3"/>
      <c r="G666" s="101"/>
      <c r="H666" s="101"/>
      <c r="I666" s="101"/>
      <c r="J666" s="89"/>
    </row>
    <row r="667" spans="1:10" customFormat="1" ht="15" hidden="1" customHeight="1" x14ac:dyDescent="0.25">
      <c r="A667" s="144"/>
      <c r="B667" s="3"/>
      <c r="D667" s="102"/>
      <c r="E667" s="102"/>
      <c r="F667" s="3"/>
      <c r="G667" s="101"/>
      <c r="H667" s="101"/>
      <c r="I667" s="101"/>
      <c r="J667" s="89"/>
    </row>
    <row r="668" spans="1:10" customFormat="1" ht="15" hidden="1" customHeight="1" x14ac:dyDescent="0.25">
      <c r="A668" s="144"/>
      <c r="B668" s="3"/>
      <c r="D668" s="102"/>
      <c r="E668" s="102"/>
      <c r="F668" s="3"/>
      <c r="G668" s="101"/>
      <c r="H668" s="101"/>
      <c r="I668" s="101"/>
      <c r="J668" s="89"/>
    </row>
    <row r="669" spans="1:10" customFormat="1" ht="15" hidden="1" customHeight="1" x14ac:dyDescent="0.25">
      <c r="A669" s="144"/>
      <c r="B669" s="3"/>
      <c r="D669" s="102"/>
      <c r="E669" s="102"/>
      <c r="F669" s="3"/>
      <c r="G669" s="101"/>
      <c r="H669" s="101"/>
      <c r="I669" s="101"/>
      <c r="J669" s="89"/>
    </row>
    <row r="670" spans="1:10" customFormat="1" ht="15" hidden="1" customHeight="1" x14ac:dyDescent="0.25">
      <c r="A670" s="144"/>
      <c r="B670" s="3"/>
      <c r="D670" s="102"/>
      <c r="E670" s="102"/>
      <c r="F670" s="3"/>
      <c r="G670" s="101"/>
      <c r="H670" s="101"/>
      <c r="I670" s="101"/>
      <c r="J670" s="89"/>
    </row>
    <row r="671" spans="1:10" customFormat="1" ht="15" hidden="1" customHeight="1" x14ac:dyDescent="0.25">
      <c r="A671" s="144"/>
      <c r="B671" s="3"/>
      <c r="D671" s="102"/>
      <c r="E671" s="102"/>
      <c r="F671" s="3"/>
      <c r="G671" s="101"/>
      <c r="H671" s="101"/>
      <c r="I671" s="101"/>
      <c r="J671" s="89"/>
    </row>
    <row r="672" spans="1:10" customFormat="1" ht="15" hidden="1" customHeight="1" x14ac:dyDescent="0.25">
      <c r="A672" s="144"/>
      <c r="B672" s="3"/>
      <c r="D672" s="102"/>
      <c r="E672" s="102"/>
      <c r="F672" s="3"/>
      <c r="G672" s="101"/>
      <c r="H672" s="101"/>
      <c r="I672" s="101"/>
      <c r="J672" s="89"/>
    </row>
    <row r="673" spans="1:10" customFormat="1" ht="15" hidden="1" customHeight="1" x14ac:dyDescent="0.25">
      <c r="A673" s="144"/>
      <c r="B673" s="3"/>
      <c r="D673" s="102"/>
      <c r="E673" s="102"/>
      <c r="F673" s="3"/>
      <c r="G673" s="101"/>
      <c r="H673" s="101"/>
      <c r="I673" s="101"/>
      <c r="J673" s="89"/>
    </row>
    <row r="674" spans="1:10" customFormat="1" ht="15" hidden="1" customHeight="1" x14ac:dyDescent="0.25">
      <c r="A674" s="144"/>
      <c r="B674" s="3"/>
      <c r="D674" s="102"/>
      <c r="E674" s="102"/>
      <c r="F674" s="3"/>
      <c r="G674" s="101"/>
      <c r="H674" s="101"/>
      <c r="I674" s="101"/>
      <c r="J674" s="89"/>
    </row>
    <row r="675" spans="1:10" customFormat="1" ht="15" hidden="1" customHeight="1" x14ac:dyDescent="0.25">
      <c r="A675" s="144"/>
      <c r="B675" s="3"/>
      <c r="D675" s="102"/>
      <c r="E675" s="102"/>
      <c r="F675" s="3"/>
      <c r="G675" s="101"/>
      <c r="H675" s="101"/>
      <c r="I675" s="101"/>
      <c r="J675" s="89"/>
    </row>
    <row r="676" spans="1:10" customFormat="1" ht="15" hidden="1" customHeight="1" x14ac:dyDescent="0.25">
      <c r="A676" s="144"/>
      <c r="B676" s="3"/>
      <c r="D676" s="102"/>
      <c r="E676" s="102"/>
      <c r="F676" s="3"/>
      <c r="G676" s="101"/>
      <c r="H676" s="101"/>
      <c r="I676" s="101"/>
      <c r="J676" s="89"/>
    </row>
    <row r="677" spans="1:10" customFormat="1" ht="15" hidden="1" customHeight="1" x14ac:dyDescent="0.25">
      <c r="A677" s="144"/>
      <c r="B677" s="3"/>
      <c r="D677" s="102"/>
      <c r="E677" s="102"/>
      <c r="F677" s="3"/>
      <c r="G677" s="101"/>
      <c r="H677" s="101"/>
      <c r="I677" s="101"/>
      <c r="J677" s="89"/>
    </row>
    <row r="678" spans="1:10" customFormat="1" ht="15" hidden="1" customHeight="1" x14ac:dyDescent="0.25">
      <c r="A678" s="144"/>
      <c r="B678" s="3"/>
      <c r="D678" s="102"/>
      <c r="E678" s="102"/>
      <c r="F678" s="3"/>
      <c r="G678" s="101"/>
      <c r="H678" s="101"/>
      <c r="I678" s="101"/>
      <c r="J678" s="89"/>
    </row>
    <row r="679" spans="1:10" customFormat="1" ht="15" hidden="1" customHeight="1" x14ac:dyDescent="0.25">
      <c r="A679" s="144"/>
      <c r="B679" s="3"/>
      <c r="D679" s="102"/>
      <c r="E679" s="102"/>
      <c r="F679" s="3"/>
      <c r="G679" s="101"/>
      <c r="H679" s="101"/>
      <c r="I679" s="101"/>
      <c r="J679" s="89"/>
    </row>
    <row r="680" spans="1:10" customFormat="1" ht="15" hidden="1" customHeight="1" x14ac:dyDescent="0.25">
      <c r="A680" s="144"/>
      <c r="B680" s="3"/>
      <c r="D680" s="102"/>
      <c r="E680" s="102"/>
      <c r="F680" s="3"/>
      <c r="G680" s="101"/>
      <c r="H680" s="101"/>
      <c r="I680" s="101"/>
      <c r="J680" s="89"/>
    </row>
    <row r="681" spans="1:10" customFormat="1" ht="15" hidden="1" customHeight="1" x14ac:dyDescent="0.25">
      <c r="A681" s="144"/>
      <c r="B681" s="3"/>
      <c r="D681" s="102"/>
      <c r="E681" s="102"/>
      <c r="F681" s="3"/>
      <c r="G681" s="101"/>
      <c r="H681" s="101"/>
      <c r="I681" s="101"/>
      <c r="J681" s="89"/>
    </row>
    <row r="682" spans="1:10" customFormat="1" ht="15" hidden="1" customHeight="1" x14ac:dyDescent="0.25">
      <c r="A682" s="144"/>
      <c r="B682" s="3"/>
      <c r="D682" s="102"/>
      <c r="E682" s="102"/>
      <c r="F682" s="3"/>
      <c r="G682" s="101"/>
      <c r="H682" s="101"/>
      <c r="I682" s="101"/>
      <c r="J682" s="89"/>
    </row>
    <row r="683" spans="1:10" customFormat="1" ht="15" hidden="1" customHeight="1" x14ac:dyDescent="0.25">
      <c r="A683" s="144"/>
      <c r="B683" s="3"/>
      <c r="D683" s="102"/>
      <c r="E683" s="102"/>
      <c r="F683" s="3"/>
      <c r="G683" s="101"/>
      <c r="H683" s="101"/>
      <c r="I683" s="101"/>
      <c r="J683" s="89"/>
    </row>
    <row r="684" spans="1:10" customFormat="1" ht="15" hidden="1" customHeight="1" x14ac:dyDescent="0.25">
      <c r="A684" s="144"/>
      <c r="B684" s="3"/>
      <c r="D684" s="102"/>
      <c r="E684" s="102"/>
      <c r="F684" s="3"/>
      <c r="G684" s="101"/>
      <c r="H684" s="101"/>
      <c r="I684" s="101"/>
      <c r="J684" s="89"/>
    </row>
    <row r="685" spans="1:10" customFormat="1" ht="15" hidden="1" customHeight="1" x14ac:dyDescent="0.25">
      <c r="A685" s="144"/>
      <c r="B685" s="3"/>
      <c r="D685" s="102"/>
      <c r="E685" s="102"/>
      <c r="F685" s="3"/>
      <c r="G685" s="101"/>
      <c r="H685" s="101"/>
      <c r="I685" s="101"/>
      <c r="J685" s="89"/>
    </row>
    <row r="686" spans="1:10" customFormat="1" ht="15" hidden="1" customHeight="1" x14ac:dyDescent="0.25">
      <c r="A686" s="144"/>
      <c r="B686" s="3"/>
      <c r="D686" s="102"/>
      <c r="E686" s="102"/>
      <c r="F686" s="3"/>
      <c r="G686" s="101"/>
      <c r="H686" s="101"/>
      <c r="I686" s="101"/>
      <c r="J686" s="89"/>
    </row>
    <row r="687" spans="1:10" customFormat="1" ht="15" hidden="1" customHeight="1" x14ac:dyDescent="0.25">
      <c r="A687" s="144"/>
      <c r="B687" s="3"/>
      <c r="D687" s="102"/>
      <c r="E687" s="102"/>
      <c r="F687" s="3"/>
      <c r="G687" s="101"/>
      <c r="H687" s="101"/>
      <c r="I687" s="101"/>
      <c r="J687" s="89"/>
    </row>
    <row r="688" spans="1:10" customFormat="1" ht="15" hidden="1" customHeight="1" x14ac:dyDescent="0.25">
      <c r="A688" s="144"/>
      <c r="B688" s="3"/>
      <c r="D688" s="102"/>
      <c r="E688" s="102"/>
      <c r="F688" s="3"/>
      <c r="G688" s="101"/>
      <c r="H688" s="101"/>
      <c r="I688" s="101"/>
      <c r="J688" s="89"/>
    </row>
    <row r="689" spans="1:10" customFormat="1" ht="15" hidden="1" customHeight="1" x14ac:dyDescent="0.25">
      <c r="A689" s="144"/>
      <c r="B689" s="3"/>
      <c r="D689" s="102"/>
      <c r="E689" s="102"/>
      <c r="F689" s="3"/>
      <c r="G689" s="101"/>
      <c r="H689" s="101"/>
      <c r="I689" s="101"/>
      <c r="J689" s="89"/>
    </row>
    <row r="690" spans="1:10" customFormat="1" ht="15" hidden="1" customHeight="1" x14ac:dyDescent="0.25">
      <c r="A690" s="144"/>
      <c r="B690" s="3"/>
      <c r="D690" s="102"/>
      <c r="E690" s="102"/>
      <c r="F690" s="3"/>
      <c r="G690" s="101"/>
      <c r="H690" s="101"/>
      <c r="I690" s="101"/>
      <c r="J690" s="89"/>
    </row>
    <row r="691" spans="1:10" customFormat="1" ht="15" hidden="1" customHeight="1" x14ac:dyDescent="0.25">
      <c r="A691" s="144"/>
      <c r="B691" s="3"/>
      <c r="D691" s="102"/>
      <c r="E691" s="102"/>
      <c r="F691" s="3"/>
      <c r="G691" s="101"/>
      <c r="H691" s="101"/>
      <c r="I691" s="101"/>
      <c r="J691" s="89"/>
    </row>
    <row r="692" spans="1:10" customFormat="1" ht="15" hidden="1" customHeight="1" x14ac:dyDescent="0.25">
      <c r="A692" s="144"/>
      <c r="B692" s="3"/>
      <c r="D692" s="102"/>
      <c r="E692" s="102"/>
      <c r="F692" s="3"/>
      <c r="G692" s="101"/>
      <c r="H692" s="101"/>
      <c r="I692" s="101"/>
      <c r="J692" s="89"/>
    </row>
    <row r="693" spans="1:10" customFormat="1" ht="15" hidden="1" customHeight="1" x14ac:dyDescent="0.25">
      <c r="A693" s="144"/>
      <c r="B693" s="3"/>
      <c r="D693" s="102"/>
      <c r="E693" s="102"/>
      <c r="F693" s="3"/>
      <c r="G693" s="101"/>
      <c r="H693" s="101"/>
      <c r="I693" s="101"/>
      <c r="J693" s="89"/>
    </row>
    <row r="694" spans="1:10" customFormat="1" ht="15" hidden="1" customHeight="1" x14ac:dyDescent="0.25">
      <c r="A694" s="144"/>
      <c r="B694" s="3"/>
      <c r="D694" s="102"/>
      <c r="E694" s="102"/>
      <c r="F694" s="3"/>
      <c r="G694" s="101"/>
      <c r="H694" s="101"/>
      <c r="I694" s="101"/>
      <c r="J694" s="89"/>
    </row>
    <row r="695" spans="1:10" customFormat="1" ht="15" hidden="1" customHeight="1" x14ac:dyDescent="0.25">
      <c r="A695" s="144"/>
      <c r="B695" s="3"/>
      <c r="D695" s="102"/>
      <c r="E695" s="102"/>
      <c r="F695" s="3"/>
      <c r="G695" s="101"/>
      <c r="H695" s="101"/>
      <c r="I695" s="101"/>
      <c r="J695" s="89"/>
    </row>
    <row r="696" spans="1:10" customFormat="1" ht="15" hidden="1" customHeight="1" x14ac:dyDescent="0.25">
      <c r="A696" s="144"/>
      <c r="B696" s="3"/>
      <c r="D696" s="102"/>
      <c r="E696" s="102"/>
      <c r="F696" s="3"/>
      <c r="G696" s="101"/>
      <c r="H696" s="101"/>
      <c r="I696" s="101"/>
      <c r="J696" s="89"/>
    </row>
    <row r="697" spans="1:10" customFormat="1" ht="15" hidden="1" customHeight="1" x14ac:dyDescent="0.25">
      <c r="A697" s="144"/>
      <c r="B697" s="3"/>
      <c r="D697" s="102"/>
      <c r="E697" s="102"/>
      <c r="F697" s="3"/>
      <c r="G697" s="101"/>
      <c r="H697" s="101"/>
      <c r="I697" s="101"/>
      <c r="J697" s="89"/>
    </row>
    <row r="698" spans="1:10" customFormat="1" ht="15" hidden="1" customHeight="1" x14ac:dyDescent="0.25">
      <c r="A698" s="144"/>
      <c r="B698" s="3"/>
      <c r="D698" s="102"/>
      <c r="E698" s="102"/>
      <c r="F698" s="3"/>
      <c r="G698" s="101"/>
      <c r="H698" s="101"/>
      <c r="I698" s="101"/>
      <c r="J698" s="89"/>
    </row>
    <row r="699" spans="1:10" customFormat="1" ht="15" hidden="1" customHeight="1" x14ac:dyDescent="0.25">
      <c r="A699" s="144"/>
      <c r="B699" s="3"/>
      <c r="D699" s="102"/>
      <c r="E699" s="102"/>
      <c r="F699" s="3"/>
      <c r="G699" s="101"/>
      <c r="H699" s="101"/>
      <c r="I699" s="101"/>
      <c r="J699" s="89"/>
    </row>
    <row r="700" spans="1:10" customFormat="1" ht="15" hidden="1" customHeight="1" x14ac:dyDescent="0.25">
      <c r="A700" s="144"/>
      <c r="B700" s="3"/>
      <c r="D700" s="102"/>
      <c r="E700" s="102"/>
      <c r="F700" s="3"/>
      <c r="G700" s="101"/>
      <c r="H700" s="101"/>
      <c r="I700" s="101"/>
      <c r="J700" s="89"/>
    </row>
    <row r="701" spans="1:10" customFormat="1" ht="15" hidden="1" customHeight="1" x14ac:dyDescent="0.25">
      <c r="A701" s="144"/>
      <c r="B701" s="3"/>
      <c r="D701" s="102"/>
      <c r="E701" s="102"/>
      <c r="F701" s="3"/>
      <c r="G701" s="101"/>
      <c r="H701" s="101"/>
      <c r="I701" s="101"/>
      <c r="J701" s="89"/>
    </row>
    <row r="702" spans="1:10" customFormat="1" ht="15" hidden="1" customHeight="1" x14ac:dyDescent="0.25">
      <c r="A702" s="144"/>
      <c r="B702" s="3"/>
      <c r="D702" s="102"/>
      <c r="E702" s="102"/>
      <c r="F702" s="3"/>
      <c r="G702" s="101"/>
      <c r="H702" s="101"/>
      <c r="I702" s="101"/>
      <c r="J702" s="89"/>
    </row>
    <row r="703" spans="1:10" customFormat="1" ht="15" hidden="1" customHeight="1" x14ac:dyDescent="0.25">
      <c r="A703" s="144"/>
      <c r="B703" s="3"/>
      <c r="D703" s="102"/>
      <c r="E703" s="102"/>
      <c r="F703" s="3"/>
      <c r="G703" s="101"/>
      <c r="H703" s="101"/>
      <c r="I703" s="101"/>
      <c r="J703" s="89"/>
    </row>
    <row r="704" spans="1:10" customFormat="1" ht="15" hidden="1" customHeight="1" x14ac:dyDescent="0.25">
      <c r="A704" s="144"/>
      <c r="B704" s="3"/>
      <c r="D704" s="102"/>
      <c r="E704" s="102"/>
      <c r="F704" s="3"/>
      <c r="G704" s="101"/>
      <c r="H704" s="101"/>
      <c r="I704" s="101"/>
      <c r="J704" s="89"/>
    </row>
    <row r="705" spans="1:10" customFormat="1" ht="15" hidden="1" customHeight="1" x14ac:dyDescent="0.25">
      <c r="A705" s="144"/>
      <c r="B705" s="3"/>
      <c r="D705" s="102"/>
      <c r="E705" s="102"/>
      <c r="F705" s="3"/>
      <c r="G705" s="101"/>
      <c r="H705" s="101"/>
      <c r="I705" s="101"/>
      <c r="J705" s="89"/>
    </row>
    <row r="706" spans="1:10" customFormat="1" ht="15" hidden="1" customHeight="1" x14ac:dyDescent="0.25">
      <c r="A706" s="144"/>
      <c r="B706" s="3"/>
      <c r="D706" s="102"/>
      <c r="E706" s="102"/>
      <c r="F706" s="3"/>
      <c r="G706" s="101"/>
      <c r="H706" s="101"/>
      <c r="I706" s="101"/>
      <c r="J706" s="89"/>
    </row>
    <row r="707" spans="1:10" customFormat="1" ht="15" hidden="1" customHeight="1" x14ac:dyDescent="0.25">
      <c r="A707" s="144"/>
      <c r="B707" s="3"/>
      <c r="D707" s="102"/>
      <c r="E707" s="102"/>
      <c r="F707" s="3"/>
      <c r="G707" s="101"/>
      <c r="H707" s="101"/>
      <c r="I707" s="101"/>
      <c r="J707" s="89"/>
    </row>
    <row r="708" spans="1:10" customFormat="1" ht="15" hidden="1" customHeight="1" x14ac:dyDescent="0.25">
      <c r="A708" s="144"/>
      <c r="B708" s="3"/>
      <c r="D708" s="102"/>
      <c r="E708" s="102"/>
      <c r="F708" s="3"/>
      <c r="G708" s="101"/>
      <c r="H708" s="101"/>
      <c r="I708" s="101"/>
      <c r="J708" s="89"/>
    </row>
    <row r="709" spans="1:10" customFormat="1" ht="15" hidden="1" customHeight="1" x14ac:dyDescent="0.25">
      <c r="A709" s="144"/>
      <c r="B709" s="3"/>
      <c r="D709" s="102"/>
      <c r="E709" s="102"/>
      <c r="F709" s="3"/>
      <c r="G709" s="101"/>
      <c r="H709" s="101"/>
      <c r="I709" s="101"/>
      <c r="J709" s="89"/>
    </row>
    <row r="710" spans="1:10" customFormat="1" ht="15" hidden="1" customHeight="1" x14ac:dyDescent="0.25">
      <c r="A710" s="144"/>
      <c r="B710" s="3"/>
      <c r="D710" s="102"/>
      <c r="E710" s="102"/>
      <c r="F710" s="3"/>
      <c r="G710" s="101"/>
      <c r="H710" s="101"/>
      <c r="I710" s="101"/>
      <c r="J710" s="89"/>
    </row>
    <row r="711" spans="1:10" customFormat="1" ht="15" hidden="1" customHeight="1" x14ac:dyDescent="0.25">
      <c r="A711" s="144"/>
      <c r="B711" s="3"/>
      <c r="D711" s="102"/>
      <c r="E711" s="102"/>
      <c r="F711" s="3"/>
      <c r="G711" s="101"/>
      <c r="H711" s="101"/>
      <c r="I711" s="101"/>
      <c r="J711" s="89"/>
    </row>
    <row r="712" spans="1:10" customFormat="1" ht="15" hidden="1" customHeight="1" x14ac:dyDescent="0.25">
      <c r="A712" s="144"/>
      <c r="B712" s="3"/>
      <c r="D712" s="102"/>
      <c r="E712" s="102"/>
      <c r="F712" s="3"/>
      <c r="G712" s="101"/>
      <c r="H712" s="101"/>
      <c r="I712" s="101"/>
      <c r="J712" s="89"/>
    </row>
    <row r="713" spans="1:10" customFormat="1" ht="15" hidden="1" customHeight="1" x14ac:dyDescent="0.25">
      <c r="A713" s="144"/>
      <c r="B713" s="3"/>
      <c r="D713" s="102"/>
      <c r="E713" s="102"/>
      <c r="F713" s="3"/>
      <c r="G713" s="101"/>
      <c r="H713" s="101"/>
      <c r="I713" s="101"/>
      <c r="J713" s="89"/>
    </row>
    <row r="714" spans="1:10" customFormat="1" ht="15" hidden="1" customHeight="1" x14ac:dyDescent="0.25">
      <c r="A714" s="144"/>
      <c r="B714" s="3"/>
      <c r="D714" s="102"/>
      <c r="E714" s="102"/>
      <c r="F714" s="3"/>
      <c r="G714" s="101"/>
      <c r="H714" s="101"/>
      <c r="I714" s="101"/>
      <c r="J714" s="89"/>
    </row>
    <row r="715" spans="1:10" customFormat="1" ht="15" hidden="1" customHeight="1" x14ac:dyDescent="0.25">
      <c r="A715" s="144"/>
      <c r="B715" s="3"/>
      <c r="D715" s="102"/>
      <c r="E715" s="102"/>
      <c r="F715" s="3"/>
      <c r="G715" s="101"/>
      <c r="H715" s="101"/>
      <c r="I715" s="101"/>
      <c r="J715" s="89"/>
    </row>
    <row r="716" spans="1:10" customFormat="1" ht="15" hidden="1" customHeight="1" x14ac:dyDescent="0.25">
      <c r="A716" s="144"/>
      <c r="B716" s="3"/>
      <c r="D716" s="102"/>
      <c r="E716" s="102"/>
      <c r="F716" s="3"/>
      <c r="G716" s="101"/>
      <c r="H716" s="101"/>
      <c r="I716" s="101"/>
      <c r="J716" s="89"/>
    </row>
    <row r="717" spans="1:10" customFormat="1" ht="15" hidden="1" customHeight="1" x14ac:dyDescent="0.25">
      <c r="A717" s="144"/>
      <c r="B717" s="3"/>
      <c r="D717" s="102"/>
      <c r="E717" s="102"/>
      <c r="F717" s="3"/>
      <c r="G717" s="101"/>
      <c r="H717" s="101"/>
      <c r="I717" s="101"/>
      <c r="J717" s="89"/>
    </row>
    <row r="718" spans="1:10" customFormat="1" ht="15" hidden="1" customHeight="1" x14ac:dyDescent="0.25">
      <c r="A718" s="144"/>
      <c r="B718" s="3"/>
      <c r="D718" s="102"/>
      <c r="E718" s="102"/>
      <c r="F718" s="3"/>
      <c r="G718" s="101"/>
      <c r="H718" s="101"/>
      <c r="I718" s="101"/>
      <c r="J718" s="89"/>
    </row>
    <row r="719" spans="1:10" customFormat="1" ht="15" hidden="1" customHeight="1" x14ac:dyDescent="0.25">
      <c r="A719" s="144"/>
      <c r="B719" s="3"/>
      <c r="D719" s="102"/>
      <c r="E719" s="102"/>
      <c r="F719" s="3"/>
      <c r="G719" s="101"/>
      <c r="H719" s="101"/>
      <c r="I719" s="101"/>
      <c r="J719" s="89"/>
    </row>
    <row r="720" spans="1:10" customFormat="1" ht="15" hidden="1" customHeight="1" x14ac:dyDescent="0.25">
      <c r="A720" s="144"/>
      <c r="B720" s="3"/>
      <c r="D720" s="102"/>
      <c r="E720" s="102"/>
      <c r="F720" s="3"/>
      <c r="G720" s="101"/>
      <c r="H720" s="101"/>
      <c r="I720" s="101"/>
      <c r="J720" s="89"/>
    </row>
    <row r="721" spans="1:10" customFormat="1" ht="15" hidden="1" customHeight="1" x14ac:dyDescent="0.25">
      <c r="A721" s="144"/>
      <c r="B721" s="3"/>
      <c r="D721" s="102"/>
      <c r="E721" s="102"/>
      <c r="F721" s="3"/>
      <c r="G721" s="101"/>
      <c r="H721" s="101"/>
      <c r="I721" s="101"/>
      <c r="J721" s="89"/>
    </row>
    <row r="722" spans="1:10" customFormat="1" ht="15" hidden="1" customHeight="1" x14ac:dyDescent="0.25">
      <c r="A722" s="144"/>
      <c r="B722" s="3"/>
      <c r="D722" s="102"/>
      <c r="E722" s="102"/>
      <c r="F722" s="3"/>
      <c r="G722" s="101"/>
      <c r="H722" s="101"/>
      <c r="I722" s="101"/>
      <c r="J722" s="89"/>
    </row>
    <row r="723" spans="1:10" customFormat="1" ht="15" hidden="1" customHeight="1" x14ac:dyDescent="0.25">
      <c r="A723" s="144"/>
      <c r="B723" s="3"/>
      <c r="D723" s="102"/>
      <c r="E723" s="102"/>
      <c r="F723" s="3"/>
      <c r="G723" s="101"/>
      <c r="H723" s="101"/>
      <c r="I723" s="101"/>
      <c r="J723" s="89"/>
    </row>
    <row r="724" spans="1:10" customFormat="1" ht="15" hidden="1" customHeight="1" x14ac:dyDescent="0.25">
      <c r="A724" s="144"/>
      <c r="B724" s="3"/>
      <c r="D724" s="102"/>
      <c r="E724" s="102"/>
      <c r="F724" s="3"/>
      <c r="G724" s="101"/>
      <c r="H724" s="101"/>
      <c r="I724" s="101"/>
      <c r="J724" s="89"/>
    </row>
    <row r="725" spans="1:10" customFormat="1" ht="15" hidden="1" customHeight="1" x14ac:dyDescent="0.25">
      <c r="A725" s="144"/>
      <c r="B725" s="3"/>
      <c r="D725" s="102"/>
      <c r="E725" s="102"/>
      <c r="F725" s="3"/>
      <c r="G725" s="101"/>
      <c r="H725" s="101"/>
      <c r="I725" s="101"/>
      <c r="J725" s="89"/>
    </row>
    <row r="726" spans="1:10" customFormat="1" ht="15" hidden="1" customHeight="1" x14ac:dyDescent="0.25">
      <c r="A726" s="144"/>
      <c r="B726" s="3"/>
      <c r="D726" s="102"/>
      <c r="E726" s="102"/>
      <c r="F726" s="3"/>
      <c r="G726" s="101"/>
      <c r="H726" s="101"/>
      <c r="I726" s="101"/>
      <c r="J726" s="89"/>
    </row>
    <row r="727" spans="1:10" customFormat="1" ht="15" hidden="1" customHeight="1" x14ac:dyDescent="0.25">
      <c r="A727" s="144"/>
      <c r="B727" s="3"/>
      <c r="D727" s="102"/>
      <c r="E727" s="102"/>
      <c r="F727" s="3"/>
      <c r="G727" s="101"/>
      <c r="H727" s="101"/>
      <c r="I727" s="101"/>
      <c r="J727" s="89"/>
    </row>
    <row r="728" spans="1:10" customFormat="1" ht="15" hidden="1" customHeight="1" x14ac:dyDescent="0.25">
      <c r="A728" s="144"/>
      <c r="B728" s="3"/>
      <c r="D728" s="102"/>
      <c r="E728" s="102"/>
      <c r="F728" s="3"/>
      <c r="G728" s="101"/>
      <c r="H728" s="101"/>
      <c r="I728" s="101"/>
      <c r="J728" s="89"/>
    </row>
    <row r="729" spans="1:10" customFormat="1" ht="15" hidden="1" customHeight="1" x14ac:dyDescent="0.25">
      <c r="A729" s="144"/>
      <c r="B729" s="3"/>
      <c r="D729" s="102"/>
      <c r="E729" s="102"/>
      <c r="F729" s="3"/>
      <c r="G729" s="101"/>
      <c r="H729" s="101"/>
      <c r="I729" s="101"/>
      <c r="J729" s="89"/>
    </row>
    <row r="730" spans="1:10" customFormat="1" ht="15" hidden="1" customHeight="1" x14ac:dyDescent="0.25">
      <c r="A730" s="144"/>
      <c r="B730" s="3"/>
      <c r="D730" s="102"/>
      <c r="E730" s="102"/>
      <c r="F730" s="3"/>
      <c r="G730" s="101"/>
      <c r="H730" s="101"/>
      <c r="I730" s="101"/>
      <c r="J730" s="89"/>
    </row>
    <row r="731" spans="1:10" customFormat="1" ht="15" hidden="1" customHeight="1" x14ac:dyDescent="0.25">
      <c r="A731" s="144"/>
      <c r="B731" s="3"/>
      <c r="D731" s="102"/>
      <c r="E731" s="102"/>
      <c r="F731" s="3"/>
      <c r="G731" s="101"/>
      <c r="H731" s="101"/>
      <c r="I731" s="101"/>
      <c r="J731" s="89"/>
    </row>
    <row r="732" spans="1:10" customFormat="1" ht="15" hidden="1" customHeight="1" x14ac:dyDescent="0.25">
      <c r="A732" s="144"/>
      <c r="B732" s="3"/>
      <c r="D732" s="102"/>
      <c r="E732" s="102"/>
      <c r="F732" s="3"/>
      <c r="G732" s="101"/>
      <c r="H732" s="101"/>
      <c r="I732" s="101"/>
      <c r="J732" s="89"/>
    </row>
    <row r="733" spans="1:10" customFormat="1" ht="15" hidden="1" customHeight="1" x14ac:dyDescent="0.25">
      <c r="A733" s="144"/>
      <c r="B733" s="3"/>
      <c r="D733" s="102"/>
      <c r="E733" s="102"/>
      <c r="F733" s="3"/>
      <c r="G733" s="101"/>
      <c r="H733" s="101"/>
      <c r="I733" s="101"/>
      <c r="J733" s="89"/>
    </row>
    <row r="734" spans="1:10" customFormat="1" ht="15" hidden="1" customHeight="1" x14ac:dyDescent="0.25">
      <c r="A734" s="144"/>
      <c r="B734" s="3"/>
      <c r="D734" s="102"/>
      <c r="E734" s="102"/>
      <c r="F734" s="3"/>
      <c r="G734" s="101"/>
      <c r="H734" s="101"/>
      <c r="I734" s="101"/>
      <c r="J734" s="89"/>
    </row>
    <row r="735" spans="1:10" customFormat="1" ht="15" hidden="1" customHeight="1" x14ac:dyDescent="0.25">
      <c r="A735" s="144"/>
      <c r="B735" s="3"/>
      <c r="D735" s="102"/>
      <c r="E735" s="102"/>
      <c r="F735" s="3"/>
      <c r="G735" s="101"/>
      <c r="H735" s="101"/>
      <c r="I735" s="101"/>
      <c r="J735" s="89"/>
    </row>
    <row r="736" spans="1:10" customFormat="1" ht="15" hidden="1" customHeight="1" x14ac:dyDescent="0.25">
      <c r="A736" s="144"/>
      <c r="B736" s="3"/>
      <c r="D736" s="102"/>
      <c r="E736" s="102"/>
      <c r="F736" s="3"/>
      <c r="G736" s="101"/>
      <c r="H736" s="101"/>
      <c r="I736" s="101"/>
      <c r="J736" s="89"/>
    </row>
    <row r="737" spans="1:10" customFormat="1" ht="15" hidden="1" customHeight="1" x14ac:dyDescent="0.25">
      <c r="A737" s="144"/>
      <c r="B737" s="3"/>
      <c r="D737" s="102"/>
      <c r="E737" s="102"/>
      <c r="F737" s="3"/>
      <c r="G737" s="101"/>
      <c r="H737" s="101"/>
      <c r="I737" s="101"/>
      <c r="J737" s="89"/>
    </row>
    <row r="738" spans="1:10" customFormat="1" ht="15" hidden="1" customHeight="1" x14ac:dyDescent="0.25">
      <c r="A738" s="144"/>
      <c r="B738" s="3"/>
      <c r="D738" s="102"/>
      <c r="E738" s="102"/>
      <c r="F738" s="3"/>
      <c r="G738" s="101"/>
      <c r="H738" s="101"/>
      <c r="I738" s="101"/>
      <c r="J738" s="89"/>
    </row>
    <row r="739" spans="1:10" customFormat="1" ht="15" hidden="1" customHeight="1" x14ac:dyDescent="0.25">
      <c r="A739" s="144"/>
      <c r="B739" s="3"/>
      <c r="D739" s="102"/>
      <c r="E739" s="102"/>
      <c r="F739" s="3"/>
      <c r="G739" s="101"/>
      <c r="H739" s="101"/>
      <c r="I739" s="101"/>
      <c r="J739" s="89"/>
    </row>
    <row r="740" spans="1:10" customFormat="1" ht="15" hidden="1" customHeight="1" x14ac:dyDescent="0.25">
      <c r="A740" s="144"/>
      <c r="B740" s="3"/>
      <c r="D740" s="102"/>
      <c r="E740" s="102"/>
      <c r="F740" s="3"/>
      <c r="G740" s="101"/>
      <c r="H740" s="101"/>
      <c r="I740" s="101"/>
      <c r="J740" s="89"/>
    </row>
    <row r="741" spans="1:10" customFormat="1" ht="15" hidden="1" customHeight="1" x14ac:dyDescent="0.25">
      <c r="A741" s="144"/>
      <c r="B741" s="3"/>
      <c r="D741" s="102"/>
      <c r="E741" s="102"/>
      <c r="F741" s="3"/>
      <c r="G741" s="101"/>
      <c r="H741" s="101"/>
      <c r="I741" s="101"/>
      <c r="J741" s="89"/>
    </row>
    <row r="742" spans="1:10" customFormat="1" ht="15" hidden="1" customHeight="1" x14ac:dyDescent="0.25">
      <c r="A742" s="144"/>
      <c r="B742" s="3"/>
      <c r="D742" s="102"/>
      <c r="E742" s="102"/>
      <c r="F742" s="3"/>
      <c r="G742" s="101"/>
      <c r="H742" s="101"/>
      <c r="I742" s="101"/>
      <c r="J742" s="89"/>
    </row>
    <row r="743" spans="1:10" customFormat="1" ht="15" hidden="1" customHeight="1" x14ac:dyDescent="0.25">
      <c r="A743" s="144"/>
      <c r="B743" s="3"/>
      <c r="D743" s="102"/>
      <c r="E743" s="102"/>
      <c r="F743" s="3"/>
      <c r="G743" s="101"/>
      <c r="H743" s="101"/>
      <c r="I743" s="101"/>
      <c r="J743" s="89"/>
    </row>
    <row r="744" spans="1:10" customFormat="1" ht="15" hidden="1" customHeight="1" x14ac:dyDescent="0.25">
      <c r="A744" s="144"/>
      <c r="B744" s="3"/>
      <c r="D744" s="102"/>
      <c r="E744" s="102"/>
      <c r="F744" s="3"/>
      <c r="G744" s="101"/>
      <c r="H744" s="101"/>
      <c r="I744" s="101"/>
      <c r="J744" s="89"/>
    </row>
    <row r="745" spans="1:10" customFormat="1" ht="15" hidden="1" customHeight="1" x14ac:dyDescent="0.25">
      <c r="A745" s="144"/>
      <c r="B745" s="3"/>
      <c r="D745" s="102"/>
      <c r="E745" s="102"/>
      <c r="F745" s="3"/>
      <c r="G745" s="101"/>
      <c r="H745" s="101"/>
      <c r="I745" s="101"/>
      <c r="J745" s="89"/>
    </row>
    <row r="746" spans="1:10" customFormat="1" ht="15" hidden="1" customHeight="1" x14ac:dyDescent="0.25">
      <c r="A746" s="144"/>
      <c r="B746" s="3"/>
      <c r="D746" s="102"/>
      <c r="E746" s="102"/>
      <c r="F746" s="3"/>
      <c r="G746" s="101"/>
      <c r="H746" s="101"/>
      <c r="I746" s="101"/>
      <c r="J746" s="89"/>
    </row>
    <row r="747" spans="1:10" customFormat="1" ht="15" hidden="1" customHeight="1" x14ac:dyDescent="0.25">
      <c r="A747" s="144"/>
      <c r="B747" s="3"/>
      <c r="D747" s="102"/>
      <c r="E747" s="102"/>
      <c r="F747" s="3"/>
      <c r="G747" s="101"/>
      <c r="H747" s="101"/>
      <c r="I747" s="101"/>
      <c r="J747" s="89"/>
    </row>
    <row r="748" spans="1:10" customFormat="1" ht="15" hidden="1" customHeight="1" x14ac:dyDescent="0.25">
      <c r="A748" s="144"/>
      <c r="B748" s="3"/>
      <c r="D748" s="102"/>
      <c r="E748" s="102"/>
      <c r="F748" s="3"/>
      <c r="G748" s="101"/>
      <c r="H748" s="101"/>
      <c r="I748" s="101"/>
      <c r="J748" s="89"/>
    </row>
    <row r="749" spans="1:10" customFormat="1" ht="15" hidden="1" customHeight="1" x14ac:dyDescent="0.25">
      <c r="A749" s="144"/>
      <c r="B749" s="3"/>
      <c r="D749" s="102"/>
      <c r="E749" s="102"/>
      <c r="F749" s="3"/>
      <c r="G749" s="101"/>
      <c r="H749" s="101"/>
      <c r="I749" s="101"/>
      <c r="J749" s="89"/>
    </row>
    <row r="750" spans="1:10" customFormat="1" ht="15" hidden="1" customHeight="1" x14ac:dyDescent="0.25">
      <c r="A750" s="144"/>
      <c r="B750" s="3"/>
      <c r="D750" s="102"/>
      <c r="E750" s="102"/>
      <c r="F750" s="3"/>
      <c r="G750" s="101"/>
      <c r="H750" s="101"/>
      <c r="I750" s="101"/>
      <c r="J750" s="89"/>
    </row>
    <row r="751" spans="1:10" customFormat="1" ht="15" hidden="1" customHeight="1" x14ac:dyDescent="0.25">
      <c r="A751" s="144"/>
      <c r="B751" s="3"/>
      <c r="D751" s="102"/>
      <c r="E751" s="102"/>
      <c r="F751" s="3"/>
      <c r="G751" s="101"/>
      <c r="H751" s="101"/>
      <c r="I751" s="101"/>
      <c r="J751" s="89"/>
    </row>
    <row r="752" spans="1:10" customFormat="1" ht="15" hidden="1" customHeight="1" x14ac:dyDescent="0.25">
      <c r="A752" s="144"/>
      <c r="B752" s="3"/>
      <c r="D752" s="102"/>
      <c r="E752" s="102"/>
      <c r="F752" s="3"/>
      <c r="G752" s="101"/>
      <c r="H752" s="101"/>
      <c r="I752" s="101"/>
      <c r="J752" s="89"/>
    </row>
    <row r="753" spans="1:10" customFormat="1" ht="15" hidden="1" customHeight="1" x14ac:dyDescent="0.25">
      <c r="A753" s="144"/>
      <c r="B753" s="3"/>
      <c r="D753" s="102"/>
      <c r="E753" s="102"/>
      <c r="F753" s="3"/>
      <c r="G753" s="101"/>
      <c r="H753" s="101"/>
      <c r="I753" s="101"/>
      <c r="J753" s="89"/>
    </row>
    <row r="754" spans="1:10" customFormat="1" ht="15" hidden="1" customHeight="1" x14ac:dyDescent="0.25">
      <c r="A754" s="144"/>
      <c r="B754" s="3"/>
      <c r="D754" s="102"/>
      <c r="E754" s="102"/>
      <c r="F754" s="3"/>
      <c r="G754" s="101"/>
      <c r="H754" s="101"/>
      <c r="I754" s="101"/>
      <c r="J754" s="89"/>
    </row>
    <row r="755" spans="1:10" customFormat="1" ht="15" hidden="1" customHeight="1" x14ac:dyDescent="0.25">
      <c r="A755" s="144"/>
      <c r="B755" s="3"/>
      <c r="D755" s="102"/>
      <c r="E755" s="102"/>
      <c r="F755" s="3"/>
      <c r="G755" s="101"/>
      <c r="H755" s="101"/>
      <c r="I755" s="101"/>
      <c r="J755" s="89"/>
    </row>
    <row r="756" spans="1:10" customFormat="1" ht="15" hidden="1" customHeight="1" x14ac:dyDescent="0.25">
      <c r="A756" s="144"/>
      <c r="B756" s="3"/>
      <c r="D756" s="102"/>
      <c r="E756" s="102"/>
      <c r="F756" s="3"/>
      <c r="G756" s="101"/>
      <c r="H756" s="101"/>
      <c r="I756" s="101"/>
      <c r="J756" s="89"/>
    </row>
    <row r="757" spans="1:10" customFormat="1" ht="15" hidden="1" customHeight="1" x14ac:dyDescent="0.25">
      <c r="A757" s="144"/>
      <c r="B757" s="3"/>
      <c r="D757" s="102"/>
      <c r="E757" s="102"/>
      <c r="F757" s="3"/>
      <c r="G757" s="101"/>
      <c r="H757" s="101"/>
      <c r="I757" s="101"/>
      <c r="J757" s="89"/>
    </row>
    <row r="758" spans="1:10" customFormat="1" ht="15" hidden="1" customHeight="1" x14ac:dyDescent="0.25">
      <c r="A758" s="144"/>
      <c r="B758" s="3"/>
      <c r="D758" s="102"/>
      <c r="E758" s="102"/>
      <c r="F758" s="3"/>
      <c r="G758" s="101"/>
      <c r="H758" s="101"/>
      <c r="I758" s="101"/>
      <c r="J758" s="89"/>
    </row>
    <row r="759" spans="1:10" customFormat="1" ht="15" hidden="1" customHeight="1" x14ac:dyDescent="0.25">
      <c r="A759" s="144"/>
      <c r="B759" s="3"/>
      <c r="D759" s="102"/>
      <c r="E759" s="102"/>
      <c r="F759" s="3"/>
      <c r="G759" s="101"/>
      <c r="H759" s="101"/>
      <c r="I759" s="101"/>
      <c r="J759" s="89"/>
    </row>
    <row r="760" spans="1:10" customFormat="1" ht="15" hidden="1" customHeight="1" x14ac:dyDescent="0.25">
      <c r="A760" s="144"/>
      <c r="B760" s="3"/>
      <c r="D760" s="102"/>
      <c r="E760" s="102"/>
      <c r="F760" s="3"/>
      <c r="G760" s="101"/>
      <c r="H760" s="101"/>
      <c r="I760" s="101"/>
      <c r="J760" s="89"/>
    </row>
    <row r="761" spans="1:10" customFormat="1" ht="15" hidden="1" customHeight="1" x14ac:dyDescent="0.25">
      <c r="A761" s="144"/>
      <c r="B761" s="3"/>
      <c r="D761" s="102"/>
      <c r="E761" s="102"/>
      <c r="F761" s="3"/>
      <c r="G761" s="101"/>
      <c r="H761" s="101"/>
      <c r="I761" s="101"/>
      <c r="J761" s="89"/>
    </row>
    <row r="762" spans="1:10" customFormat="1" ht="15" hidden="1" customHeight="1" x14ac:dyDescent="0.25">
      <c r="A762" s="144"/>
      <c r="B762" s="3"/>
      <c r="D762" s="102"/>
      <c r="E762" s="102"/>
      <c r="F762" s="3"/>
      <c r="G762" s="101"/>
      <c r="H762" s="101"/>
      <c r="I762" s="101"/>
      <c r="J762" s="89"/>
    </row>
    <row r="763" spans="1:10" customFormat="1" ht="15" hidden="1" customHeight="1" x14ac:dyDescent="0.25">
      <c r="A763" s="144"/>
      <c r="B763" s="3"/>
      <c r="D763" s="102"/>
      <c r="E763" s="102"/>
      <c r="F763" s="3"/>
      <c r="G763" s="101"/>
      <c r="H763" s="101"/>
      <c r="I763" s="101"/>
      <c r="J763" s="89"/>
    </row>
    <row r="764" spans="1:10" customFormat="1" ht="15" hidden="1" customHeight="1" x14ac:dyDescent="0.25">
      <c r="A764" s="144"/>
      <c r="B764" s="3"/>
      <c r="D764" s="102"/>
      <c r="E764" s="102"/>
      <c r="F764" s="3"/>
      <c r="G764" s="101"/>
      <c r="H764" s="101"/>
      <c r="I764" s="101"/>
      <c r="J764" s="89"/>
    </row>
    <row r="765" spans="1:10" customFormat="1" ht="15" hidden="1" customHeight="1" x14ac:dyDescent="0.25">
      <c r="A765" s="144"/>
      <c r="B765" s="3"/>
      <c r="D765" s="102"/>
      <c r="E765" s="102"/>
      <c r="F765" s="3"/>
      <c r="G765" s="101"/>
      <c r="H765" s="101"/>
      <c r="I765" s="101"/>
      <c r="J765" s="89"/>
    </row>
    <row r="766" spans="1:10" customFormat="1" ht="15" hidden="1" customHeight="1" x14ac:dyDescent="0.25">
      <c r="A766" s="144"/>
      <c r="B766" s="3"/>
      <c r="D766" s="102"/>
      <c r="E766" s="102"/>
      <c r="F766" s="3"/>
      <c r="G766" s="101"/>
      <c r="H766" s="101"/>
      <c r="I766" s="101"/>
      <c r="J766" s="89"/>
    </row>
    <row r="767" spans="1:10" customFormat="1" ht="15" hidden="1" customHeight="1" x14ac:dyDescent="0.25">
      <c r="A767" s="144"/>
      <c r="B767" s="3"/>
      <c r="D767" s="102"/>
      <c r="E767" s="102"/>
      <c r="F767" s="3"/>
      <c r="G767" s="101"/>
      <c r="H767" s="101"/>
      <c r="I767" s="101"/>
      <c r="J767" s="89"/>
    </row>
    <row r="768" spans="1:10" customFormat="1" ht="15" hidden="1" customHeight="1" x14ac:dyDescent="0.25">
      <c r="A768" s="144"/>
      <c r="B768" s="3"/>
      <c r="D768" s="102"/>
      <c r="E768" s="102"/>
      <c r="F768" s="3"/>
      <c r="G768" s="101"/>
      <c r="H768" s="101"/>
      <c r="I768" s="101"/>
      <c r="J768" s="89"/>
    </row>
    <row r="769" spans="1:10" customFormat="1" ht="15" hidden="1" customHeight="1" x14ac:dyDescent="0.25">
      <c r="A769" s="144"/>
      <c r="B769" s="3"/>
      <c r="D769" s="102"/>
      <c r="E769" s="102"/>
      <c r="F769" s="3"/>
      <c r="G769" s="101"/>
      <c r="H769" s="101"/>
      <c r="I769" s="101"/>
      <c r="J769" s="89"/>
    </row>
    <row r="770" spans="1:10" customFormat="1" ht="15" hidden="1" customHeight="1" x14ac:dyDescent="0.25">
      <c r="A770" s="144"/>
      <c r="B770" s="3"/>
      <c r="D770" s="102"/>
      <c r="E770" s="102"/>
      <c r="F770" s="3"/>
      <c r="G770" s="101"/>
      <c r="H770" s="101"/>
      <c r="I770" s="101"/>
      <c r="J770" s="89"/>
    </row>
    <row r="771" spans="1:10" customFormat="1" ht="15" hidden="1" customHeight="1" x14ac:dyDescent="0.25">
      <c r="A771" s="144"/>
      <c r="B771" s="3"/>
      <c r="D771" s="102"/>
      <c r="E771" s="102"/>
      <c r="F771" s="3"/>
      <c r="G771" s="101"/>
      <c r="H771" s="101"/>
      <c r="I771" s="101"/>
      <c r="J771" s="89"/>
    </row>
    <row r="772" spans="1:10" customFormat="1" ht="15" hidden="1" customHeight="1" x14ac:dyDescent="0.25">
      <c r="A772" s="144"/>
      <c r="B772" s="3"/>
      <c r="D772" s="102"/>
      <c r="E772" s="102"/>
      <c r="F772" s="3"/>
      <c r="G772" s="101"/>
      <c r="H772" s="101"/>
      <c r="I772" s="101"/>
      <c r="J772" s="89"/>
    </row>
    <row r="773" spans="1:10" customFormat="1" ht="15" hidden="1" customHeight="1" x14ac:dyDescent="0.25">
      <c r="A773" s="144"/>
      <c r="B773" s="3"/>
      <c r="D773" s="102"/>
      <c r="E773" s="102"/>
      <c r="F773" s="3"/>
      <c r="G773" s="101"/>
      <c r="H773" s="101"/>
      <c r="I773" s="101"/>
      <c r="J773" s="89"/>
    </row>
    <row r="774" spans="1:10" customFormat="1" ht="15" hidden="1" customHeight="1" x14ac:dyDescent="0.25">
      <c r="A774" s="144"/>
      <c r="B774" s="3"/>
      <c r="D774" s="102"/>
      <c r="E774" s="102"/>
      <c r="F774" s="3"/>
      <c r="G774" s="101"/>
      <c r="H774" s="101"/>
      <c r="I774" s="101"/>
      <c r="J774" s="89"/>
    </row>
    <row r="775" spans="1:10" customFormat="1" ht="15" hidden="1" customHeight="1" x14ac:dyDescent="0.25">
      <c r="A775" s="144"/>
      <c r="B775" s="3"/>
      <c r="D775" s="102"/>
      <c r="E775" s="102"/>
      <c r="F775" s="3"/>
      <c r="G775" s="101"/>
      <c r="H775" s="101"/>
      <c r="I775" s="101"/>
      <c r="J775" s="89"/>
    </row>
    <row r="776" spans="1:10" customFormat="1" ht="15" hidden="1" customHeight="1" x14ac:dyDescent="0.25">
      <c r="A776" s="144"/>
      <c r="B776" s="3"/>
      <c r="D776" s="102"/>
      <c r="E776" s="102"/>
      <c r="F776" s="3"/>
      <c r="G776" s="101"/>
      <c r="H776" s="101"/>
      <c r="I776" s="101"/>
      <c r="J776" s="89"/>
    </row>
    <row r="777" spans="1:10" customFormat="1" ht="15" hidden="1" customHeight="1" x14ac:dyDescent="0.25">
      <c r="A777" s="144"/>
      <c r="B777" s="3"/>
      <c r="D777" s="102"/>
      <c r="E777" s="102"/>
      <c r="F777" s="3"/>
      <c r="G777" s="101"/>
      <c r="H777" s="101"/>
      <c r="I777" s="101"/>
      <c r="J777" s="89"/>
    </row>
    <row r="778" spans="1:10" customFormat="1" ht="15" hidden="1" customHeight="1" x14ac:dyDescent="0.25">
      <c r="A778" s="144"/>
      <c r="B778" s="3"/>
      <c r="D778" s="102"/>
      <c r="E778" s="102"/>
      <c r="F778" s="3"/>
      <c r="G778" s="101"/>
      <c r="H778" s="101"/>
      <c r="I778" s="101"/>
      <c r="J778" s="89"/>
    </row>
    <row r="779" spans="1:10" customFormat="1" ht="15" hidden="1" customHeight="1" x14ac:dyDescent="0.25">
      <c r="A779" s="144"/>
      <c r="B779" s="3"/>
      <c r="D779" s="102"/>
      <c r="E779" s="102"/>
      <c r="F779" s="3"/>
      <c r="G779" s="101"/>
      <c r="H779" s="101"/>
      <c r="I779" s="101"/>
      <c r="J779" s="89"/>
    </row>
    <row r="780" spans="1:10" customFormat="1" ht="15" hidden="1" customHeight="1" x14ac:dyDescent="0.25">
      <c r="A780" s="144"/>
      <c r="B780" s="3"/>
      <c r="D780" s="102"/>
      <c r="E780" s="102"/>
      <c r="F780" s="3"/>
      <c r="G780" s="101"/>
      <c r="H780" s="101"/>
      <c r="I780" s="101"/>
      <c r="J780" s="89"/>
    </row>
    <row r="781" spans="1:10" customFormat="1" ht="15" hidden="1" customHeight="1" x14ac:dyDescent="0.25">
      <c r="A781" s="144"/>
      <c r="B781" s="3"/>
      <c r="D781" s="102"/>
      <c r="E781" s="102"/>
      <c r="F781" s="3"/>
      <c r="G781" s="101"/>
      <c r="H781" s="101"/>
      <c r="I781" s="101"/>
      <c r="J781" s="89"/>
    </row>
    <row r="782" spans="1:10" customFormat="1" ht="15" hidden="1" customHeight="1" x14ac:dyDescent="0.25">
      <c r="A782" s="144"/>
      <c r="B782" s="3"/>
      <c r="D782" s="102"/>
      <c r="E782" s="102"/>
      <c r="F782" s="3"/>
      <c r="G782" s="101"/>
      <c r="H782" s="101"/>
      <c r="I782" s="101"/>
      <c r="J782" s="89"/>
    </row>
    <row r="783" spans="1:10" customFormat="1" ht="15" hidden="1" customHeight="1" x14ac:dyDescent="0.25">
      <c r="A783" s="144"/>
      <c r="B783" s="3"/>
      <c r="D783" s="102"/>
      <c r="E783" s="102"/>
      <c r="F783" s="3"/>
      <c r="G783" s="101"/>
      <c r="H783" s="101"/>
      <c r="I783" s="101"/>
      <c r="J783" s="89"/>
    </row>
    <row r="784" spans="1:10" customFormat="1" ht="15" hidden="1" customHeight="1" x14ac:dyDescent="0.25">
      <c r="A784" s="144"/>
      <c r="B784" s="3"/>
      <c r="D784" s="102"/>
      <c r="E784" s="102"/>
      <c r="F784" s="3"/>
      <c r="G784" s="101"/>
      <c r="H784" s="101"/>
      <c r="I784" s="101"/>
      <c r="J784" s="89"/>
    </row>
    <row r="785" spans="1:10" customFormat="1" ht="15" hidden="1" customHeight="1" x14ac:dyDescent="0.25">
      <c r="A785" s="144"/>
      <c r="B785" s="3"/>
      <c r="D785" s="102"/>
      <c r="E785" s="102"/>
      <c r="F785" s="3"/>
      <c r="G785" s="101"/>
      <c r="H785" s="101"/>
      <c r="I785" s="101"/>
      <c r="J785" s="89"/>
    </row>
    <row r="786" spans="1:10" customFormat="1" ht="15" hidden="1" customHeight="1" x14ac:dyDescent="0.25">
      <c r="A786" s="144"/>
      <c r="B786" s="3"/>
      <c r="D786" s="102"/>
      <c r="E786" s="102"/>
      <c r="F786" s="3"/>
      <c r="G786" s="101"/>
      <c r="H786" s="101"/>
      <c r="I786" s="101"/>
      <c r="J786" s="89"/>
    </row>
    <row r="787" spans="1:10" customFormat="1" ht="15" hidden="1" customHeight="1" x14ac:dyDescent="0.25">
      <c r="A787" s="144"/>
      <c r="B787" s="3"/>
      <c r="D787" s="102"/>
      <c r="E787" s="102"/>
      <c r="F787" s="3"/>
      <c r="G787" s="101"/>
      <c r="H787" s="101"/>
      <c r="I787" s="101"/>
      <c r="J787" s="89"/>
    </row>
    <row r="788" spans="1:10" customFormat="1" ht="15" hidden="1" customHeight="1" x14ac:dyDescent="0.25">
      <c r="A788" s="144"/>
      <c r="B788" s="3"/>
      <c r="D788" s="102"/>
      <c r="E788" s="102"/>
      <c r="F788" s="3"/>
      <c r="G788" s="101"/>
      <c r="H788" s="101"/>
      <c r="I788" s="101"/>
      <c r="J788" s="89"/>
    </row>
    <row r="789" spans="1:10" customFormat="1" ht="15" hidden="1" customHeight="1" x14ac:dyDescent="0.25">
      <c r="A789" s="144"/>
      <c r="B789" s="3"/>
      <c r="D789" s="102"/>
      <c r="E789" s="102"/>
      <c r="F789" s="3"/>
      <c r="G789" s="101"/>
      <c r="H789" s="101"/>
      <c r="I789" s="101"/>
      <c r="J789" s="89"/>
    </row>
    <row r="790" spans="1:10" customFormat="1" ht="15" hidden="1" customHeight="1" x14ac:dyDescent="0.25">
      <c r="A790" s="144"/>
      <c r="B790" s="3"/>
      <c r="D790" s="102"/>
      <c r="E790" s="102"/>
      <c r="F790" s="3"/>
      <c r="G790" s="101"/>
      <c r="H790" s="101"/>
      <c r="I790" s="101"/>
      <c r="J790" s="89"/>
    </row>
    <row r="791" spans="1:10" customFormat="1" ht="15" hidden="1" customHeight="1" x14ac:dyDescent="0.25">
      <c r="A791" s="144"/>
      <c r="B791" s="3"/>
      <c r="D791" s="102"/>
      <c r="E791" s="102"/>
      <c r="F791" s="3"/>
      <c r="G791" s="101"/>
      <c r="H791" s="101"/>
      <c r="I791" s="101"/>
      <c r="J791" s="89"/>
    </row>
    <row r="792" spans="1:10" customFormat="1" ht="15" hidden="1" customHeight="1" x14ac:dyDescent="0.25">
      <c r="A792" s="144"/>
      <c r="B792" s="3"/>
      <c r="D792" s="102"/>
      <c r="E792" s="102"/>
      <c r="F792" s="3"/>
      <c r="G792" s="101"/>
      <c r="H792" s="101"/>
      <c r="I792" s="101"/>
      <c r="J792" s="89"/>
    </row>
    <row r="793" spans="1:10" customFormat="1" ht="15" hidden="1" customHeight="1" x14ac:dyDescent="0.25">
      <c r="A793" s="144"/>
      <c r="B793" s="3"/>
      <c r="D793" s="102"/>
      <c r="E793" s="102"/>
      <c r="F793" s="3"/>
      <c r="G793" s="101"/>
      <c r="H793" s="101"/>
      <c r="I793" s="101"/>
      <c r="J793" s="89"/>
    </row>
    <row r="794" spans="1:10" customFormat="1" ht="15" hidden="1" customHeight="1" x14ac:dyDescent="0.25">
      <c r="A794" s="144"/>
      <c r="B794" s="3"/>
      <c r="D794" s="102"/>
      <c r="E794" s="102"/>
      <c r="F794" s="3"/>
      <c r="G794" s="101"/>
      <c r="H794" s="101"/>
      <c r="I794" s="101"/>
      <c r="J794" s="89"/>
    </row>
    <row r="795" spans="1:10" customFormat="1" ht="15" hidden="1" customHeight="1" x14ac:dyDescent="0.25">
      <c r="A795" s="144"/>
      <c r="B795" s="3"/>
      <c r="D795" s="102"/>
      <c r="E795" s="102"/>
      <c r="F795" s="3"/>
      <c r="G795" s="101"/>
      <c r="H795" s="101"/>
      <c r="I795" s="101"/>
      <c r="J795" s="89"/>
    </row>
    <row r="796" spans="1:10" customFormat="1" ht="15" hidden="1" customHeight="1" x14ac:dyDescent="0.25">
      <c r="A796" s="144"/>
      <c r="B796" s="3"/>
      <c r="D796" s="102"/>
      <c r="E796" s="102"/>
      <c r="F796" s="3"/>
      <c r="G796" s="101"/>
      <c r="H796" s="101"/>
      <c r="I796" s="101"/>
      <c r="J796" s="89"/>
    </row>
    <row r="797" spans="1:10" customFormat="1" ht="15" hidden="1" customHeight="1" x14ac:dyDescent="0.25">
      <c r="A797" s="144"/>
      <c r="B797" s="3"/>
      <c r="D797" s="102"/>
      <c r="E797" s="102"/>
      <c r="F797" s="3"/>
      <c r="G797" s="101"/>
      <c r="H797" s="101"/>
      <c r="I797" s="101"/>
      <c r="J797" s="89"/>
    </row>
    <row r="798" spans="1:10" customFormat="1" ht="15" hidden="1" customHeight="1" x14ac:dyDescent="0.25">
      <c r="A798" s="144"/>
      <c r="B798" s="3"/>
      <c r="D798" s="102"/>
      <c r="E798" s="102"/>
      <c r="F798" s="3"/>
      <c r="G798" s="101"/>
      <c r="H798" s="101"/>
      <c r="I798" s="101"/>
      <c r="J798" s="89"/>
    </row>
    <row r="799" spans="1:10" customFormat="1" ht="15" hidden="1" customHeight="1" x14ac:dyDescent="0.25">
      <c r="A799" s="144"/>
      <c r="B799" s="3"/>
      <c r="D799" s="102"/>
      <c r="E799" s="102"/>
      <c r="F799" s="3"/>
      <c r="G799" s="101"/>
      <c r="H799" s="101"/>
      <c r="I799" s="101"/>
      <c r="J799" s="89"/>
    </row>
    <row r="800" spans="1:10" customFormat="1" ht="15" hidden="1" customHeight="1" x14ac:dyDescent="0.25">
      <c r="A800" s="144"/>
      <c r="B800" s="3"/>
      <c r="D800" s="102"/>
      <c r="E800" s="102"/>
      <c r="F800" s="3"/>
      <c r="G800" s="101"/>
      <c r="H800" s="101"/>
      <c r="I800" s="101"/>
      <c r="J800" s="89"/>
    </row>
    <row r="801" spans="1:10" customFormat="1" ht="15" hidden="1" customHeight="1" x14ac:dyDescent="0.25">
      <c r="A801" s="144"/>
      <c r="B801" s="3"/>
      <c r="D801" s="102"/>
      <c r="E801" s="102"/>
      <c r="F801" s="3"/>
      <c r="G801" s="101"/>
      <c r="H801" s="101"/>
      <c r="I801" s="101"/>
      <c r="J801" s="89"/>
    </row>
    <row r="802" spans="1:10" customFormat="1" ht="15" hidden="1" customHeight="1" x14ac:dyDescent="0.25">
      <c r="A802" s="144"/>
      <c r="B802" s="3"/>
      <c r="D802" s="102"/>
      <c r="E802" s="102"/>
      <c r="F802" s="3"/>
      <c r="G802" s="101"/>
      <c r="H802" s="101"/>
      <c r="I802" s="101"/>
      <c r="J802" s="89"/>
    </row>
    <row r="803" spans="1:10" customFormat="1" ht="15" hidden="1" customHeight="1" x14ac:dyDescent="0.25">
      <c r="A803" s="144"/>
      <c r="B803" s="3"/>
      <c r="D803" s="102"/>
      <c r="E803" s="102"/>
      <c r="F803" s="3"/>
      <c r="G803" s="101"/>
      <c r="H803" s="101"/>
      <c r="I803" s="101"/>
      <c r="J803" s="89"/>
    </row>
    <row r="804" spans="1:10" customFormat="1" ht="15" hidden="1" customHeight="1" x14ac:dyDescent="0.25">
      <c r="A804" s="144"/>
      <c r="B804" s="3"/>
      <c r="D804" s="102"/>
      <c r="E804" s="102"/>
      <c r="F804" s="3"/>
      <c r="G804" s="101"/>
      <c r="H804" s="101"/>
      <c r="I804" s="101"/>
      <c r="J804" s="89"/>
    </row>
    <row r="805" spans="1:10" customFormat="1" ht="15" hidden="1" customHeight="1" x14ac:dyDescent="0.25">
      <c r="A805" s="144"/>
      <c r="B805" s="3"/>
      <c r="D805" s="102"/>
      <c r="E805" s="102"/>
      <c r="F805" s="3"/>
      <c r="G805" s="101"/>
      <c r="H805" s="101"/>
      <c r="I805" s="101"/>
      <c r="J805" s="89"/>
    </row>
    <row r="806" spans="1:10" customFormat="1" ht="15" hidden="1" customHeight="1" x14ac:dyDescent="0.25">
      <c r="A806" s="144"/>
      <c r="B806" s="3"/>
      <c r="D806" s="102"/>
      <c r="E806" s="102"/>
      <c r="F806" s="3"/>
      <c r="G806" s="101"/>
      <c r="H806" s="101"/>
      <c r="I806" s="101"/>
      <c r="J806" s="89"/>
    </row>
    <row r="807" spans="1:10" customFormat="1" ht="15" hidden="1" customHeight="1" x14ac:dyDescent="0.25">
      <c r="A807" s="144"/>
      <c r="B807" s="3"/>
      <c r="D807" s="102"/>
      <c r="E807" s="102"/>
      <c r="F807" s="3"/>
      <c r="G807" s="101"/>
      <c r="H807" s="101"/>
      <c r="I807" s="101"/>
      <c r="J807" s="89"/>
    </row>
    <row r="808" spans="1:10" customFormat="1" ht="15" hidden="1" customHeight="1" x14ac:dyDescent="0.25">
      <c r="A808" s="144"/>
      <c r="B808" s="3"/>
      <c r="D808" s="102"/>
      <c r="E808" s="102"/>
      <c r="F808" s="3"/>
      <c r="G808" s="101"/>
      <c r="H808" s="101"/>
      <c r="I808" s="101"/>
      <c r="J808" s="89"/>
    </row>
    <row r="809" spans="1:10" customFormat="1" ht="15" hidden="1" customHeight="1" x14ac:dyDescent="0.25">
      <c r="A809" s="144"/>
      <c r="B809" s="3"/>
      <c r="D809" s="102"/>
      <c r="E809" s="102"/>
      <c r="F809" s="3"/>
      <c r="G809" s="101"/>
      <c r="H809" s="101"/>
      <c r="I809" s="101"/>
      <c r="J809" s="89"/>
    </row>
    <row r="810" spans="1:10" customFormat="1" ht="15" hidden="1" customHeight="1" x14ac:dyDescent="0.25">
      <c r="A810" s="144"/>
      <c r="B810" s="3"/>
      <c r="D810" s="102"/>
      <c r="E810" s="102"/>
      <c r="F810" s="3"/>
      <c r="G810" s="101"/>
      <c r="H810" s="101"/>
      <c r="I810" s="101"/>
      <c r="J810" s="89"/>
    </row>
    <row r="811" spans="1:10" customFormat="1" ht="15" hidden="1" customHeight="1" x14ac:dyDescent="0.25">
      <c r="A811" s="144"/>
      <c r="B811" s="3"/>
      <c r="D811" s="102"/>
      <c r="E811" s="102"/>
      <c r="F811" s="3"/>
      <c r="G811" s="101"/>
      <c r="H811" s="101"/>
      <c r="I811" s="101"/>
      <c r="J811" s="89"/>
    </row>
    <row r="812" spans="1:10" customFormat="1" ht="15" hidden="1" customHeight="1" x14ac:dyDescent="0.25">
      <c r="A812" s="144"/>
      <c r="B812" s="3"/>
      <c r="D812" s="102"/>
      <c r="E812" s="102"/>
      <c r="F812" s="3"/>
      <c r="G812" s="101"/>
      <c r="H812" s="101"/>
      <c r="I812" s="101"/>
      <c r="J812" s="89"/>
    </row>
    <row r="813" spans="1:10" customFormat="1" ht="15" hidden="1" customHeight="1" x14ac:dyDescent="0.25">
      <c r="A813" s="144"/>
      <c r="B813" s="3"/>
      <c r="D813" s="102"/>
      <c r="E813" s="102"/>
      <c r="F813" s="3"/>
      <c r="G813" s="101"/>
      <c r="H813" s="101"/>
      <c r="I813" s="101"/>
      <c r="J813" s="89"/>
    </row>
    <row r="814" spans="1:10" customFormat="1" ht="15" hidden="1" customHeight="1" x14ac:dyDescent="0.25">
      <c r="A814" s="144"/>
      <c r="B814" s="3"/>
      <c r="D814" s="102"/>
      <c r="E814" s="102"/>
      <c r="F814" s="3"/>
      <c r="G814" s="101"/>
      <c r="H814" s="101"/>
      <c r="I814" s="101"/>
      <c r="J814" s="89"/>
    </row>
    <row r="815" spans="1:10" customFormat="1" ht="15" hidden="1" customHeight="1" x14ac:dyDescent="0.25">
      <c r="A815" s="144"/>
      <c r="B815" s="3"/>
      <c r="D815" s="102"/>
      <c r="E815" s="102"/>
      <c r="F815" s="3"/>
      <c r="G815" s="101"/>
      <c r="H815" s="101"/>
      <c r="I815" s="101"/>
      <c r="J815" s="89"/>
    </row>
    <row r="816" spans="1:10" customFormat="1" ht="15" hidden="1" customHeight="1" x14ac:dyDescent="0.25">
      <c r="A816" s="144"/>
      <c r="B816" s="3"/>
      <c r="D816" s="102"/>
      <c r="E816" s="102"/>
      <c r="F816" s="3"/>
      <c r="G816" s="101"/>
      <c r="H816" s="101"/>
      <c r="I816" s="101"/>
      <c r="J816" s="89"/>
    </row>
    <row r="817" spans="1:10" customFormat="1" ht="15" hidden="1" customHeight="1" x14ac:dyDescent="0.25">
      <c r="A817" s="144"/>
      <c r="B817" s="3"/>
      <c r="D817" s="102"/>
      <c r="E817" s="102"/>
      <c r="F817" s="3"/>
      <c r="G817" s="101"/>
      <c r="H817" s="101"/>
      <c r="I817" s="101"/>
      <c r="J817" s="89"/>
    </row>
    <row r="818" spans="1:10" customFormat="1" ht="15" hidden="1" customHeight="1" x14ac:dyDescent="0.25">
      <c r="A818" s="144"/>
      <c r="B818" s="3"/>
      <c r="D818" s="102"/>
      <c r="E818" s="102"/>
      <c r="F818" s="3"/>
      <c r="G818" s="101"/>
      <c r="H818" s="101"/>
      <c r="I818" s="101"/>
      <c r="J818" s="89"/>
    </row>
    <row r="819" spans="1:10" customFormat="1" ht="15" hidden="1" customHeight="1" x14ac:dyDescent="0.25">
      <c r="A819" s="144"/>
      <c r="B819" s="3"/>
      <c r="D819" s="102"/>
      <c r="E819" s="102"/>
      <c r="F819" s="3"/>
      <c r="G819" s="101"/>
      <c r="H819" s="101"/>
      <c r="I819" s="101"/>
      <c r="J819" s="89"/>
    </row>
    <row r="820" spans="1:10" customFormat="1" ht="15" hidden="1" customHeight="1" x14ac:dyDescent="0.25">
      <c r="A820" s="144"/>
      <c r="B820" s="3"/>
      <c r="D820" s="102"/>
      <c r="E820" s="102"/>
      <c r="F820" s="3"/>
      <c r="G820" s="101"/>
      <c r="H820" s="101"/>
      <c r="I820" s="101"/>
      <c r="J820" s="89"/>
    </row>
    <row r="821" spans="1:10" customFormat="1" ht="15" hidden="1" customHeight="1" x14ac:dyDescent="0.25">
      <c r="A821" s="144"/>
      <c r="B821" s="3"/>
      <c r="D821" s="102"/>
      <c r="E821" s="102"/>
      <c r="F821" s="3"/>
      <c r="G821" s="101"/>
      <c r="H821" s="101"/>
      <c r="I821" s="101"/>
      <c r="J821" s="89"/>
    </row>
    <row r="822" spans="1:10" customFormat="1" ht="15" hidden="1" customHeight="1" x14ac:dyDescent="0.25">
      <c r="A822" s="144"/>
      <c r="B822" s="3"/>
      <c r="D822" s="102"/>
      <c r="E822" s="102"/>
      <c r="F822" s="3"/>
      <c r="G822" s="101"/>
      <c r="H822" s="101"/>
      <c r="I822" s="101"/>
      <c r="J822" s="89"/>
    </row>
    <row r="823" spans="1:10" customFormat="1" ht="15" hidden="1" customHeight="1" x14ac:dyDescent="0.25">
      <c r="A823" s="144"/>
      <c r="B823" s="3"/>
      <c r="D823" s="102"/>
      <c r="E823" s="102"/>
      <c r="F823" s="3"/>
      <c r="G823" s="101"/>
      <c r="H823" s="101"/>
      <c r="I823" s="101"/>
      <c r="J823" s="89"/>
    </row>
    <row r="824" spans="1:10" customFormat="1" ht="15" hidden="1" customHeight="1" x14ac:dyDescent="0.25">
      <c r="A824" s="144"/>
      <c r="B824" s="3"/>
      <c r="D824" s="102"/>
      <c r="E824" s="102"/>
      <c r="F824" s="3"/>
      <c r="G824" s="101"/>
      <c r="H824" s="101"/>
      <c r="I824" s="101"/>
      <c r="J824" s="89"/>
    </row>
    <row r="825" spans="1:10" customFormat="1" ht="15" hidden="1" customHeight="1" x14ac:dyDescent="0.25">
      <c r="A825" s="144"/>
      <c r="B825" s="3"/>
      <c r="D825" s="102"/>
      <c r="E825" s="102"/>
      <c r="F825" s="3"/>
      <c r="G825" s="101"/>
      <c r="H825" s="101"/>
      <c r="I825" s="101"/>
      <c r="J825" s="89"/>
    </row>
    <row r="826" spans="1:10" customFormat="1" ht="15" hidden="1" customHeight="1" x14ac:dyDescent="0.25">
      <c r="A826" s="144"/>
      <c r="B826" s="3"/>
      <c r="D826" s="102"/>
      <c r="E826" s="102"/>
      <c r="F826" s="3"/>
      <c r="G826" s="101"/>
      <c r="H826" s="101"/>
      <c r="I826" s="101"/>
      <c r="J826" s="89"/>
    </row>
    <row r="827" spans="1:10" customFormat="1" ht="15" hidden="1" customHeight="1" x14ac:dyDescent="0.25">
      <c r="A827" s="144"/>
      <c r="B827" s="3"/>
      <c r="D827" s="102"/>
      <c r="E827" s="102"/>
      <c r="F827" s="3"/>
      <c r="G827" s="101"/>
      <c r="H827" s="101"/>
      <c r="I827" s="101"/>
      <c r="J827" s="89"/>
    </row>
    <row r="828" spans="1:10" customFormat="1" ht="15" hidden="1" customHeight="1" x14ac:dyDescent="0.25">
      <c r="A828" s="144"/>
      <c r="B828" s="3"/>
      <c r="D828" s="102"/>
      <c r="E828" s="102"/>
      <c r="F828" s="3"/>
      <c r="G828" s="101"/>
      <c r="H828" s="101"/>
      <c r="I828" s="101"/>
      <c r="J828" s="89"/>
    </row>
    <row r="829" spans="1:10" customFormat="1" ht="15" hidden="1" customHeight="1" x14ac:dyDescent="0.25">
      <c r="A829" s="144"/>
      <c r="B829" s="3"/>
      <c r="D829" s="102"/>
      <c r="E829" s="102"/>
      <c r="F829" s="3"/>
      <c r="G829" s="101"/>
      <c r="H829" s="101"/>
      <c r="I829" s="101"/>
      <c r="J829" s="89"/>
    </row>
    <row r="830" spans="1:10" customFormat="1" ht="15" hidden="1" customHeight="1" x14ac:dyDescent="0.25">
      <c r="A830" s="144"/>
      <c r="B830" s="3"/>
      <c r="D830" s="102"/>
      <c r="E830" s="102"/>
      <c r="F830" s="3"/>
      <c r="G830" s="101"/>
      <c r="H830" s="101"/>
      <c r="I830" s="101"/>
      <c r="J830" s="89"/>
    </row>
    <row r="831" spans="1:10" customFormat="1" ht="15" hidden="1" customHeight="1" x14ac:dyDescent="0.25">
      <c r="A831" s="144"/>
      <c r="B831" s="3"/>
      <c r="D831" s="102"/>
      <c r="E831" s="102"/>
      <c r="F831" s="3"/>
      <c r="G831" s="101"/>
      <c r="H831" s="101"/>
      <c r="I831" s="101"/>
      <c r="J831" s="89"/>
    </row>
    <row r="832" spans="1:10" customFormat="1" ht="15" hidden="1" customHeight="1" x14ac:dyDescent="0.25">
      <c r="A832" s="144"/>
      <c r="B832" s="3"/>
      <c r="D832" s="102"/>
      <c r="E832" s="102"/>
      <c r="F832" s="3"/>
      <c r="G832" s="101"/>
      <c r="H832" s="101"/>
      <c r="I832" s="101"/>
      <c r="J832" s="89"/>
    </row>
    <row r="833" spans="1:10" customFormat="1" ht="15" hidden="1" customHeight="1" x14ac:dyDescent="0.25">
      <c r="A833" s="144"/>
      <c r="B833" s="3"/>
      <c r="D833" s="102"/>
      <c r="E833" s="102"/>
      <c r="F833" s="3"/>
      <c r="G833" s="101"/>
      <c r="H833" s="101"/>
      <c r="I833" s="101"/>
      <c r="J833" s="89"/>
    </row>
    <row r="834" spans="1:10" customFormat="1" ht="15" hidden="1" customHeight="1" x14ac:dyDescent="0.25">
      <c r="A834" s="144"/>
      <c r="B834" s="3"/>
      <c r="D834" s="102"/>
      <c r="E834" s="102"/>
      <c r="F834" s="3"/>
      <c r="G834" s="101"/>
      <c r="H834" s="101"/>
      <c r="I834" s="101"/>
      <c r="J834" s="89"/>
    </row>
    <row r="835" spans="1:10" customFormat="1" ht="15" hidden="1" customHeight="1" x14ac:dyDescent="0.25">
      <c r="A835" s="144"/>
      <c r="B835" s="3"/>
      <c r="D835" s="102"/>
      <c r="E835" s="102"/>
      <c r="F835" s="3"/>
      <c r="G835" s="101"/>
      <c r="H835" s="101"/>
      <c r="I835" s="101"/>
      <c r="J835" s="89"/>
    </row>
    <row r="836" spans="1:10" customFormat="1" ht="15" hidden="1" customHeight="1" x14ac:dyDescent="0.25">
      <c r="A836" s="144"/>
      <c r="B836" s="3"/>
      <c r="D836" s="102"/>
      <c r="E836" s="102"/>
      <c r="F836" s="3"/>
      <c r="G836" s="101"/>
      <c r="H836" s="101"/>
      <c r="I836" s="101"/>
      <c r="J836" s="89"/>
    </row>
    <row r="837" spans="1:10" customFormat="1" ht="15" hidden="1" customHeight="1" x14ac:dyDescent="0.25">
      <c r="A837" s="144"/>
      <c r="B837" s="3"/>
      <c r="D837" s="102"/>
      <c r="E837" s="102"/>
      <c r="F837" s="3"/>
      <c r="G837" s="101"/>
      <c r="H837" s="101"/>
      <c r="I837" s="101"/>
      <c r="J837" s="89"/>
    </row>
    <row r="838" spans="1:10" customFormat="1" ht="15" hidden="1" customHeight="1" x14ac:dyDescent="0.25">
      <c r="A838" s="144"/>
      <c r="B838" s="3"/>
      <c r="D838" s="102"/>
      <c r="E838" s="102"/>
      <c r="F838" s="3"/>
      <c r="G838" s="101"/>
      <c r="H838" s="101"/>
      <c r="I838" s="101"/>
      <c r="J838" s="89"/>
    </row>
    <row r="839" spans="1:10" customFormat="1" ht="15" hidden="1" customHeight="1" x14ac:dyDescent="0.25">
      <c r="A839" s="144"/>
      <c r="B839" s="3"/>
      <c r="D839" s="102"/>
      <c r="E839" s="102"/>
      <c r="F839" s="3"/>
      <c r="G839" s="101"/>
      <c r="H839" s="101"/>
      <c r="I839" s="101"/>
      <c r="J839" s="89"/>
    </row>
    <row r="840" spans="1:10" customFormat="1" ht="15" hidden="1" customHeight="1" x14ac:dyDescent="0.25">
      <c r="A840" s="144"/>
      <c r="B840" s="3"/>
      <c r="D840" s="102"/>
      <c r="E840" s="102"/>
      <c r="F840" s="3"/>
      <c r="G840" s="101"/>
      <c r="H840" s="101"/>
      <c r="I840" s="101"/>
      <c r="J840" s="89"/>
    </row>
    <row r="841" spans="1:10" customFormat="1" ht="15" hidden="1" customHeight="1" x14ac:dyDescent="0.25">
      <c r="A841" s="144"/>
      <c r="B841" s="3"/>
      <c r="D841" s="102"/>
      <c r="E841" s="102"/>
      <c r="F841" s="3"/>
      <c r="G841" s="101"/>
      <c r="H841" s="101"/>
      <c r="I841" s="101"/>
      <c r="J841" s="89"/>
    </row>
    <row r="842" spans="1:10" customFormat="1" ht="15" hidden="1" customHeight="1" x14ac:dyDescent="0.25">
      <c r="A842" s="144"/>
      <c r="B842" s="3"/>
      <c r="D842" s="102"/>
      <c r="E842" s="102"/>
      <c r="F842" s="3"/>
      <c r="G842" s="101"/>
      <c r="H842" s="101"/>
      <c r="I842" s="101"/>
      <c r="J842" s="89"/>
    </row>
    <row r="843" spans="1:10" customFormat="1" ht="15" hidden="1" customHeight="1" x14ac:dyDescent="0.25">
      <c r="A843" s="144"/>
      <c r="B843" s="3"/>
      <c r="D843" s="102"/>
      <c r="E843" s="102"/>
      <c r="F843" s="3"/>
      <c r="G843" s="101"/>
      <c r="H843" s="101"/>
      <c r="I843" s="101"/>
      <c r="J843" s="89"/>
    </row>
    <row r="844" spans="1:10" customFormat="1" ht="15" hidden="1" customHeight="1" x14ac:dyDescent="0.25">
      <c r="A844" s="144"/>
      <c r="B844" s="3"/>
      <c r="D844" s="102"/>
      <c r="E844" s="102"/>
      <c r="F844" s="3"/>
      <c r="G844" s="101"/>
      <c r="H844" s="101"/>
      <c r="I844" s="101"/>
      <c r="J844" s="89"/>
    </row>
    <row r="845" spans="1:10" customFormat="1" ht="15" hidden="1" customHeight="1" x14ac:dyDescent="0.25">
      <c r="A845" s="144"/>
      <c r="B845" s="3"/>
      <c r="D845" s="102"/>
      <c r="E845" s="102"/>
      <c r="F845" s="3"/>
      <c r="G845" s="101"/>
      <c r="H845" s="101"/>
      <c r="I845" s="101"/>
      <c r="J845" s="89"/>
    </row>
    <row r="846" spans="1:10" customFormat="1" ht="15" hidden="1" customHeight="1" x14ac:dyDescent="0.25">
      <c r="A846" s="144"/>
      <c r="B846" s="3"/>
      <c r="D846" s="102"/>
      <c r="E846" s="102"/>
      <c r="F846" s="3"/>
      <c r="G846" s="101"/>
      <c r="H846" s="101"/>
      <c r="I846" s="101"/>
      <c r="J846" s="89"/>
    </row>
    <row r="847" spans="1:10" customFormat="1" ht="15" hidden="1" customHeight="1" x14ac:dyDescent="0.25">
      <c r="A847" s="144"/>
      <c r="B847" s="3"/>
      <c r="D847" s="102"/>
      <c r="E847" s="102"/>
      <c r="F847" s="3"/>
      <c r="G847" s="101"/>
      <c r="H847" s="101"/>
      <c r="I847" s="101"/>
      <c r="J847" s="89"/>
    </row>
    <row r="848" spans="1:10" customFormat="1" ht="15" hidden="1" customHeight="1" x14ac:dyDescent="0.25">
      <c r="A848" s="144"/>
      <c r="B848" s="3"/>
      <c r="D848" s="102"/>
      <c r="E848" s="102"/>
      <c r="F848" s="3"/>
      <c r="G848" s="101"/>
      <c r="H848" s="101"/>
      <c r="I848" s="101"/>
      <c r="J848" s="89"/>
    </row>
    <row r="849" spans="1:10" customFormat="1" ht="15" hidden="1" customHeight="1" x14ac:dyDescent="0.25">
      <c r="A849" s="144"/>
      <c r="B849" s="3"/>
      <c r="D849" s="102"/>
      <c r="E849" s="102"/>
      <c r="F849" s="3"/>
      <c r="G849" s="101"/>
      <c r="H849" s="101"/>
      <c r="I849" s="101"/>
      <c r="J849" s="89"/>
    </row>
    <row r="850" spans="1:10" customFormat="1" ht="15" hidden="1" customHeight="1" x14ac:dyDescent="0.25">
      <c r="A850" s="144"/>
      <c r="B850" s="3"/>
      <c r="D850" s="102"/>
      <c r="E850" s="102"/>
      <c r="F850" s="3"/>
      <c r="G850" s="101"/>
      <c r="H850" s="101"/>
      <c r="I850" s="101"/>
      <c r="J850" s="89"/>
    </row>
    <row r="851" spans="1:10" customFormat="1" ht="15" hidden="1" customHeight="1" x14ac:dyDescent="0.25">
      <c r="A851" s="144"/>
      <c r="B851" s="3"/>
      <c r="D851" s="102"/>
      <c r="E851" s="102"/>
      <c r="F851" s="3"/>
      <c r="G851" s="101"/>
      <c r="H851" s="101"/>
      <c r="I851" s="101"/>
      <c r="J851" s="89"/>
    </row>
    <row r="852" spans="1:10" customFormat="1" ht="15" hidden="1" customHeight="1" x14ac:dyDescent="0.25">
      <c r="A852" s="144"/>
      <c r="B852" s="3"/>
      <c r="D852" s="102"/>
      <c r="E852" s="102"/>
      <c r="F852" s="3"/>
      <c r="G852" s="101"/>
      <c r="H852" s="101"/>
      <c r="I852" s="101"/>
      <c r="J852" s="89"/>
    </row>
    <row r="853" spans="1:10" customFormat="1" ht="15" hidden="1" customHeight="1" x14ac:dyDescent="0.25">
      <c r="A853" s="144"/>
      <c r="B853" s="3"/>
      <c r="D853" s="102"/>
      <c r="E853" s="102"/>
      <c r="F853" s="3"/>
      <c r="G853" s="101"/>
      <c r="H853" s="101"/>
      <c r="I853" s="101"/>
      <c r="J853" s="89"/>
    </row>
    <row r="854" spans="1:10" customFormat="1" ht="15" hidden="1" customHeight="1" x14ac:dyDescent="0.25">
      <c r="A854" s="144"/>
      <c r="B854" s="3"/>
      <c r="D854" s="102"/>
      <c r="E854" s="102"/>
      <c r="F854" s="3"/>
      <c r="G854" s="101"/>
      <c r="H854" s="101"/>
      <c r="I854" s="101"/>
      <c r="J854" s="89"/>
    </row>
    <row r="855" spans="1:10" customFormat="1" ht="15" hidden="1" customHeight="1" x14ac:dyDescent="0.25">
      <c r="A855" s="144"/>
      <c r="B855" s="3"/>
      <c r="D855" s="102"/>
      <c r="E855" s="102"/>
      <c r="F855" s="3"/>
      <c r="G855" s="101"/>
      <c r="H855" s="101"/>
      <c r="I855" s="101"/>
      <c r="J855" s="89"/>
    </row>
    <row r="856" spans="1:10" customFormat="1" ht="15" hidden="1" customHeight="1" x14ac:dyDescent="0.25">
      <c r="A856" s="144"/>
      <c r="B856" s="3"/>
      <c r="D856" s="102"/>
      <c r="E856" s="102"/>
      <c r="F856" s="3"/>
      <c r="G856" s="101"/>
      <c r="H856" s="101"/>
      <c r="I856" s="101"/>
      <c r="J856" s="89"/>
    </row>
    <row r="857" spans="1:10" customFormat="1" ht="15" hidden="1" customHeight="1" x14ac:dyDescent="0.25">
      <c r="A857" s="144"/>
      <c r="B857" s="3"/>
      <c r="D857" s="102"/>
      <c r="E857" s="102"/>
      <c r="F857" s="3"/>
      <c r="G857" s="101"/>
      <c r="H857" s="101"/>
      <c r="I857" s="101"/>
      <c r="J857" s="89"/>
    </row>
    <row r="858" spans="1:10" customFormat="1" ht="15" hidden="1" customHeight="1" x14ac:dyDescent="0.25">
      <c r="A858" s="144"/>
      <c r="B858" s="3"/>
      <c r="D858" s="102"/>
      <c r="E858" s="102"/>
      <c r="F858" s="3"/>
      <c r="G858" s="101"/>
      <c r="H858" s="101"/>
      <c r="I858" s="101"/>
      <c r="J858" s="89"/>
    </row>
    <row r="859" spans="1:10" customFormat="1" ht="15" hidden="1" customHeight="1" x14ac:dyDescent="0.25">
      <c r="A859" s="144"/>
      <c r="B859" s="3"/>
      <c r="D859" s="102"/>
      <c r="E859" s="102"/>
      <c r="F859" s="3"/>
      <c r="G859" s="101"/>
      <c r="H859" s="101"/>
      <c r="I859" s="101"/>
      <c r="J859" s="89"/>
    </row>
    <row r="860" spans="1:10" customFormat="1" ht="15" hidden="1" customHeight="1" x14ac:dyDescent="0.25">
      <c r="A860" s="144"/>
      <c r="B860" s="3"/>
      <c r="D860" s="102"/>
      <c r="E860" s="102"/>
      <c r="F860" s="3"/>
      <c r="G860" s="101"/>
      <c r="H860" s="101"/>
      <c r="I860" s="101"/>
      <c r="J860" s="89"/>
    </row>
    <row r="861" spans="1:10" customFormat="1" ht="15" hidden="1" customHeight="1" x14ac:dyDescent="0.25">
      <c r="A861" s="144"/>
      <c r="B861" s="3"/>
      <c r="D861" s="102"/>
      <c r="E861" s="102"/>
      <c r="F861" s="3"/>
      <c r="G861" s="101"/>
      <c r="H861" s="101"/>
      <c r="I861" s="101"/>
      <c r="J861" s="89"/>
    </row>
    <row r="862" spans="1:10" customFormat="1" ht="15" hidden="1" customHeight="1" x14ac:dyDescent="0.25">
      <c r="A862" s="144"/>
      <c r="B862" s="3"/>
      <c r="D862" s="102"/>
      <c r="E862" s="102"/>
      <c r="F862" s="3"/>
      <c r="G862" s="101"/>
      <c r="H862" s="101"/>
      <c r="I862" s="101"/>
      <c r="J862" s="89"/>
    </row>
    <row r="863" spans="1:10" customFormat="1" ht="15" hidden="1" customHeight="1" x14ac:dyDescent="0.25">
      <c r="A863" s="144"/>
      <c r="B863" s="3"/>
      <c r="D863" s="102"/>
      <c r="E863" s="102"/>
      <c r="F863" s="3"/>
      <c r="G863" s="101"/>
      <c r="H863" s="101"/>
      <c r="I863" s="101"/>
      <c r="J863" s="89"/>
    </row>
    <row r="864" spans="1:10" customFormat="1" ht="15" hidden="1" customHeight="1" x14ac:dyDescent="0.25">
      <c r="A864" s="144"/>
      <c r="B864" s="3"/>
      <c r="D864" s="102"/>
      <c r="E864" s="102"/>
      <c r="F864" s="3"/>
      <c r="G864" s="101"/>
      <c r="H864" s="101"/>
      <c r="I864" s="101"/>
      <c r="J864" s="89"/>
    </row>
    <row r="865" spans="1:10" customFormat="1" ht="15" hidden="1" customHeight="1" x14ac:dyDescent="0.25">
      <c r="A865" s="144"/>
      <c r="B865" s="3"/>
      <c r="D865" s="102"/>
      <c r="E865" s="102"/>
      <c r="F865" s="3"/>
      <c r="G865" s="101"/>
      <c r="H865" s="101"/>
      <c r="I865" s="101"/>
      <c r="J865" s="89"/>
    </row>
    <row r="866" spans="1:10" customFormat="1" ht="15" hidden="1" customHeight="1" x14ac:dyDescent="0.25">
      <c r="A866" s="144"/>
      <c r="B866" s="3"/>
      <c r="D866" s="102"/>
      <c r="E866" s="102"/>
      <c r="F866" s="3"/>
      <c r="G866" s="101"/>
      <c r="H866" s="101"/>
      <c r="I866" s="101"/>
      <c r="J866" s="89"/>
    </row>
    <row r="867" spans="1:10" customFormat="1" ht="15" hidden="1" customHeight="1" x14ac:dyDescent="0.25">
      <c r="A867" s="144"/>
      <c r="B867" s="3"/>
      <c r="D867" s="102"/>
      <c r="E867" s="102"/>
      <c r="F867" s="3"/>
      <c r="G867" s="101"/>
      <c r="H867" s="101"/>
      <c r="I867" s="101"/>
      <c r="J867" s="89"/>
    </row>
    <row r="868" spans="1:10" customFormat="1" ht="15" hidden="1" customHeight="1" x14ac:dyDescent="0.25">
      <c r="A868" s="144"/>
      <c r="B868" s="3"/>
      <c r="D868" s="102"/>
      <c r="E868" s="102"/>
      <c r="F868" s="3"/>
      <c r="G868" s="101"/>
      <c r="H868" s="101"/>
      <c r="I868" s="101"/>
      <c r="J868" s="89"/>
    </row>
    <row r="869" spans="1:10" customFormat="1" ht="15" hidden="1" customHeight="1" x14ac:dyDescent="0.25">
      <c r="A869" s="144"/>
      <c r="B869" s="3"/>
      <c r="D869" s="102"/>
      <c r="E869" s="102"/>
      <c r="F869" s="3"/>
      <c r="G869" s="101"/>
      <c r="H869" s="101"/>
      <c r="I869" s="101"/>
      <c r="J869" s="89"/>
    </row>
    <row r="870" spans="1:10" customFormat="1" ht="15" hidden="1" customHeight="1" x14ac:dyDescent="0.25">
      <c r="A870" s="144"/>
      <c r="B870" s="3"/>
      <c r="D870" s="102"/>
      <c r="E870" s="102"/>
      <c r="F870" s="3"/>
      <c r="G870" s="101"/>
      <c r="H870" s="101"/>
      <c r="I870" s="101"/>
      <c r="J870" s="89"/>
    </row>
    <row r="871" spans="1:10" customFormat="1" ht="15" hidden="1" customHeight="1" x14ac:dyDescent="0.25">
      <c r="A871" s="144"/>
      <c r="B871" s="3"/>
      <c r="D871" s="102"/>
      <c r="E871" s="102"/>
      <c r="F871" s="3"/>
      <c r="G871" s="101"/>
      <c r="H871" s="101"/>
      <c r="I871" s="101"/>
      <c r="J871" s="89"/>
    </row>
    <row r="872" spans="1:10" customFormat="1" ht="15" hidden="1" customHeight="1" x14ac:dyDescent="0.25">
      <c r="A872" s="144"/>
      <c r="B872" s="3"/>
      <c r="D872" s="102"/>
      <c r="E872" s="102"/>
      <c r="F872" s="3"/>
      <c r="G872" s="101"/>
      <c r="H872" s="101"/>
      <c r="I872" s="101"/>
      <c r="J872" s="89"/>
    </row>
    <row r="873" spans="1:10" customFormat="1" ht="15" hidden="1" customHeight="1" x14ac:dyDescent="0.25">
      <c r="A873" s="144"/>
      <c r="B873" s="3"/>
      <c r="D873" s="102"/>
      <c r="E873" s="102"/>
      <c r="F873" s="3"/>
      <c r="G873" s="101"/>
      <c r="H873" s="101"/>
      <c r="I873" s="101"/>
      <c r="J873" s="89"/>
    </row>
    <row r="874" spans="1:10" customFormat="1" ht="15" hidden="1" customHeight="1" x14ac:dyDescent="0.25">
      <c r="A874" s="144"/>
      <c r="B874" s="3"/>
      <c r="D874" s="102"/>
      <c r="E874" s="102"/>
      <c r="F874" s="3"/>
      <c r="G874" s="101"/>
      <c r="H874" s="101"/>
      <c r="I874" s="101"/>
      <c r="J874" s="89"/>
    </row>
    <row r="875" spans="1:10" customFormat="1" ht="15" hidden="1" customHeight="1" x14ac:dyDescent="0.25">
      <c r="A875" s="144"/>
      <c r="B875" s="3"/>
      <c r="D875" s="102"/>
      <c r="E875" s="102"/>
      <c r="F875" s="3"/>
      <c r="G875" s="101"/>
      <c r="H875" s="101"/>
      <c r="I875" s="101"/>
      <c r="J875" s="89"/>
    </row>
    <row r="876" spans="1:10" customFormat="1" ht="15" hidden="1" customHeight="1" x14ac:dyDescent="0.25">
      <c r="A876" s="144"/>
      <c r="B876" s="3"/>
      <c r="D876" s="102"/>
      <c r="E876" s="102"/>
      <c r="F876" s="3"/>
      <c r="G876" s="101"/>
      <c r="H876" s="101"/>
      <c r="I876" s="101"/>
      <c r="J876" s="89"/>
    </row>
    <row r="877" spans="1:10" customFormat="1" ht="15" hidden="1" customHeight="1" x14ac:dyDescent="0.25">
      <c r="A877" s="144"/>
      <c r="B877" s="3"/>
      <c r="D877" s="102"/>
      <c r="E877" s="102"/>
      <c r="F877" s="3"/>
      <c r="G877" s="101"/>
      <c r="H877" s="101"/>
      <c r="I877" s="101"/>
      <c r="J877" s="89"/>
    </row>
    <row r="878" spans="1:10" customFormat="1" ht="15" hidden="1" customHeight="1" x14ac:dyDescent="0.25">
      <c r="A878" s="144"/>
      <c r="B878" s="3"/>
      <c r="D878" s="102"/>
      <c r="E878" s="102"/>
      <c r="F878" s="3"/>
      <c r="G878" s="101"/>
      <c r="H878" s="101"/>
      <c r="I878" s="101"/>
      <c r="J878" s="89"/>
    </row>
    <row r="879" spans="1:10" customFormat="1" ht="15" hidden="1" customHeight="1" x14ac:dyDescent="0.25">
      <c r="A879" s="144"/>
      <c r="B879" s="3"/>
      <c r="D879" s="102"/>
      <c r="E879" s="102"/>
      <c r="F879" s="3"/>
      <c r="G879" s="101"/>
      <c r="H879" s="101"/>
      <c r="I879" s="101"/>
      <c r="J879" s="89"/>
    </row>
    <row r="880" spans="1:10" customFormat="1" ht="15" hidden="1" customHeight="1" x14ac:dyDescent="0.25">
      <c r="A880" s="144"/>
      <c r="B880" s="3"/>
      <c r="D880" s="102"/>
      <c r="E880" s="102"/>
      <c r="F880" s="3"/>
      <c r="G880" s="101"/>
      <c r="H880" s="101"/>
      <c r="I880" s="101"/>
      <c r="J880" s="89"/>
    </row>
    <row r="881" spans="1:10" customFormat="1" ht="15" hidden="1" customHeight="1" x14ac:dyDescent="0.25">
      <c r="A881" s="144"/>
      <c r="B881" s="3"/>
      <c r="D881" s="102"/>
      <c r="E881" s="102"/>
      <c r="F881" s="3"/>
      <c r="G881" s="101"/>
      <c r="H881" s="101"/>
      <c r="I881" s="101"/>
      <c r="J881" s="89"/>
    </row>
    <row r="882" spans="1:10" customFormat="1" ht="15" hidden="1" customHeight="1" x14ac:dyDescent="0.25">
      <c r="A882" s="144"/>
      <c r="B882" s="3"/>
      <c r="D882" s="102"/>
      <c r="E882" s="102"/>
      <c r="F882" s="3"/>
      <c r="G882" s="101"/>
      <c r="H882" s="101"/>
      <c r="I882" s="101"/>
      <c r="J882" s="89"/>
    </row>
    <row r="883" spans="1:10" customFormat="1" ht="15" hidden="1" customHeight="1" x14ac:dyDescent="0.25">
      <c r="A883" s="144"/>
      <c r="B883" s="3"/>
      <c r="D883" s="102"/>
      <c r="E883" s="102"/>
      <c r="F883" s="3"/>
      <c r="G883" s="101"/>
      <c r="H883" s="101"/>
      <c r="I883" s="101"/>
      <c r="J883" s="89"/>
    </row>
    <row r="884" spans="1:10" customFormat="1" ht="15" hidden="1" customHeight="1" x14ac:dyDescent="0.25">
      <c r="A884" s="144"/>
      <c r="B884" s="3"/>
      <c r="D884" s="102"/>
      <c r="E884" s="102"/>
      <c r="F884" s="3"/>
      <c r="G884" s="101"/>
      <c r="H884" s="101"/>
      <c r="I884" s="101"/>
      <c r="J884" s="89"/>
    </row>
    <row r="885" spans="1:10" customFormat="1" ht="15" hidden="1" customHeight="1" x14ac:dyDescent="0.25">
      <c r="A885" s="144"/>
      <c r="B885" s="3"/>
      <c r="D885" s="102"/>
      <c r="E885" s="102"/>
      <c r="F885" s="3"/>
      <c r="G885" s="101"/>
      <c r="H885" s="101"/>
      <c r="I885" s="101"/>
      <c r="J885" s="89"/>
    </row>
    <row r="886" spans="1:10" customFormat="1" ht="15" hidden="1" customHeight="1" x14ac:dyDescent="0.25">
      <c r="A886" s="144"/>
      <c r="B886" s="3"/>
      <c r="D886" s="102"/>
      <c r="E886" s="102"/>
      <c r="F886" s="3"/>
      <c r="G886" s="101"/>
      <c r="H886" s="101"/>
      <c r="I886" s="101"/>
      <c r="J886" s="89"/>
    </row>
    <row r="887" spans="1:10" customFormat="1" ht="15" hidden="1" customHeight="1" x14ac:dyDescent="0.25">
      <c r="A887" s="144"/>
      <c r="B887" s="3"/>
      <c r="D887" s="102"/>
      <c r="E887" s="102"/>
      <c r="F887" s="3"/>
      <c r="G887" s="101"/>
      <c r="H887" s="101"/>
      <c r="I887" s="101"/>
      <c r="J887" s="89"/>
    </row>
    <row r="888" spans="1:10" customFormat="1" ht="15" hidden="1" customHeight="1" x14ac:dyDescent="0.25">
      <c r="A888" s="144"/>
      <c r="B888" s="3"/>
      <c r="D888" s="102"/>
      <c r="E888" s="102"/>
      <c r="F888" s="3"/>
      <c r="G888" s="101"/>
      <c r="H888" s="101"/>
      <c r="I888" s="101"/>
      <c r="J888" s="89"/>
    </row>
    <row r="889" spans="1:10" customFormat="1" ht="15" hidden="1" customHeight="1" x14ac:dyDescent="0.25">
      <c r="A889" s="144"/>
      <c r="B889" s="3"/>
      <c r="D889" s="102"/>
      <c r="E889" s="102"/>
      <c r="F889" s="3"/>
      <c r="G889" s="101"/>
      <c r="H889" s="101"/>
      <c r="I889" s="101"/>
      <c r="J889" s="89"/>
    </row>
    <row r="890" spans="1:10" customFormat="1" ht="15" hidden="1" customHeight="1" x14ac:dyDescent="0.25">
      <c r="A890" s="144"/>
      <c r="B890" s="3"/>
      <c r="D890" s="102"/>
      <c r="E890" s="102"/>
      <c r="F890" s="3"/>
      <c r="G890" s="101"/>
      <c r="H890" s="101"/>
      <c r="I890" s="101"/>
      <c r="J890" s="89"/>
    </row>
    <row r="891" spans="1:10" customFormat="1" ht="15" hidden="1" customHeight="1" x14ac:dyDescent="0.25">
      <c r="A891" s="144"/>
      <c r="B891" s="3"/>
      <c r="D891" s="102"/>
      <c r="E891" s="102"/>
      <c r="F891" s="3"/>
      <c r="G891" s="101"/>
      <c r="H891" s="101"/>
      <c r="I891" s="101"/>
      <c r="J891" s="89"/>
    </row>
    <row r="892" spans="1:10" customFormat="1" ht="15" hidden="1" customHeight="1" x14ac:dyDescent="0.25">
      <c r="A892" s="144"/>
      <c r="B892" s="3"/>
      <c r="D892" s="102"/>
      <c r="E892" s="102"/>
      <c r="F892" s="3"/>
      <c r="G892" s="101"/>
      <c r="H892" s="101"/>
      <c r="I892" s="101"/>
      <c r="J892" s="89"/>
    </row>
    <row r="893" spans="1:10" customFormat="1" ht="15" hidden="1" customHeight="1" x14ac:dyDescent="0.25">
      <c r="A893" s="144"/>
      <c r="B893" s="3"/>
      <c r="D893" s="102"/>
      <c r="E893" s="102"/>
      <c r="F893" s="3"/>
      <c r="G893" s="101"/>
      <c r="H893" s="101"/>
      <c r="I893" s="101"/>
      <c r="J893" s="89"/>
    </row>
    <row r="894" spans="1:10" customFormat="1" ht="15" hidden="1" customHeight="1" x14ac:dyDescent="0.25">
      <c r="A894" s="144"/>
      <c r="B894" s="3"/>
      <c r="D894" s="102"/>
      <c r="E894" s="102"/>
      <c r="F894" s="3"/>
      <c r="G894" s="101"/>
      <c r="H894" s="101"/>
      <c r="I894" s="101"/>
      <c r="J894" s="89"/>
    </row>
    <row r="895" spans="1:10" customFormat="1" ht="15" hidden="1" customHeight="1" x14ac:dyDescent="0.25">
      <c r="A895" s="144"/>
      <c r="B895" s="3"/>
      <c r="D895" s="102"/>
      <c r="E895" s="102"/>
      <c r="F895" s="3"/>
      <c r="G895" s="101"/>
      <c r="H895" s="101"/>
      <c r="I895" s="101"/>
      <c r="J895" s="89"/>
    </row>
    <row r="896" spans="1:10" customFormat="1" ht="15" hidden="1" customHeight="1" x14ac:dyDescent="0.25">
      <c r="A896" s="144"/>
      <c r="B896" s="3"/>
      <c r="D896" s="102"/>
      <c r="E896" s="102"/>
      <c r="F896" s="3"/>
      <c r="G896" s="101"/>
      <c r="H896" s="101"/>
      <c r="I896" s="101"/>
      <c r="J896" s="89"/>
    </row>
    <row r="897" spans="1:10" customFormat="1" ht="15" hidden="1" customHeight="1" x14ac:dyDescent="0.25">
      <c r="A897" s="144"/>
      <c r="B897" s="3"/>
      <c r="D897" s="102"/>
      <c r="E897" s="102"/>
      <c r="F897" s="3"/>
      <c r="G897" s="101"/>
      <c r="H897" s="101"/>
      <c r="I897" s="101"/>
      <c r="J897" s="89"/>
    </row>
    <row r="898" spans="1:10" customFormat="1" ht="15" hidden="1" customHeight="1" x14ac:dyDescent="0.25">
      <c r="A898" s="144"/>
      <c r="B898" s="3"/>
      <c r="D898" s="102"/>
      <c r="E898" s="102"/>
      <c r="F898" s="3"/>
      <c r="G898" s="101"/>
      <c r="H898" s="101"/>
      <c r="I898" s="101"/>
      <c r="J898" s="89"/>
    </row>
    <row r="899" spans="1:10" customFormat="1" ht="15" hidden="1" customHeight="1" x14ac:dyDescent="0.25">
      <c r="A899" s="144"/>
      <c r="B899" s="3"/>
      <c r="D899" s="102"/>
      <c r="E899" s="102"/>
      <c r="F899" s="3"/>
      <c r="G899" s="101"/>
      <c r="H899" s="101"/>
      <c r="I899" s="101"/>
      <c r="J899" s="89"/>
    </row>
    <row r="900" spans="1:10" customFormat="1" ht="15" hidden="1" customHeight="1" x14ac:dyDescent="0.25">
      <c r="A900" s="144"/>
      <c r="B900" s="3"/>
      <c r="D900" s="102"/>
      <c r="E900" s="102"/>
      <c r="F900" s="3"/>
      <c r="G900" s="101"/>
      <c r="H900" s="101"/>
      <c r="I900" s="101"/>
      <c r="J900" s="89"/>
    </row>
    <row r="901" spans="1:10" customFormat="1" ht="15" hidden="1" customHeight="1" x14ac:dyDescent="0.25">
      <c r="A901" s="144"/>
      <c r="B901" s="3"/>
      <c r="D901" s="102"/>
      <c r="E901" s="102"/>
      <c r="F901" s="3"/>
      <c r="G901" s="101"/>
      <c r="H901" s="101"/>
      <c r="I901" s="101"/>
      <c r="J901" s="89"/>
    </row>
    <row r="902" spans="1:10" customFormat="1" ht="15" hidden="1" customHeight="1" x14ac:dyDescent="0.25">
      <c r="A902" s="144"/>
      <c r="B902" s="3"/>
      <c r="D902" s="102"/>
      <c r="E902" s="102"/>
      <c r="F902" s="3"/>
      <c r="G902" s="101"/>
      <c r="H902" s="101"/>
      <c r="I902" s="101"/>
      <c r="J902" s="89"/>
    </row>
    <row r="903" spans="1:10" customFormat="1" ht="15" hidden="1" customHeight="1" x14ac:dyDescent="0.25">
      <c r="A903" s="144"/>
      <c r="B903" s="3"/>
      <c r="D903" s="102"/>
      <c r="E903" s="102"/>
      <c r="F903" s="3"/>
      <c r="G903" s="101"/>
      <c r="H903" s="101"/>
      <c r="I903" s="101"/>
      <c r="J903" s="89"/>
    </row>
    <row r="904" spans="1:10" customFormat="1" ht="15" hidden="1" customHeight="1" x14ac:dyDescent="0.25">
      <c r="A904" s="144"/>
      <c r="B904" s="3"/>
      <c r="D904" s="102"/>
      <c r="E904" s="102"/>
      <c r="F904" s="3"/>
      <c r="G904" s="101"/>
      <c r="H904" s="101"/>
      <c r="I904" s="101"/>
      <c r="J904" s="89"/>
    </row>
    <row r="905" spans="1:10" customFormat="1" ht="15" hidden="1" customHeight="1" x14ac:dyDescent="0.25">
      <c r="A905" s="144"/>
      <c r="B905" s="3"/>
      <c r="D905" s="102"/>
      <c r="E905" s="102"/>
      <c r="F905" s="3"/>
      <c r="G905" s="101"/>
      <c r="H905" s="101"/>
      <c r="I905" s="101"/>
      <c r="J905" s="89"/>
    </row>
    <row r="906" spans="1:10" customFormat="1" ht="15" hidden="1" customHeight="1" x14ac:dyDescent="0.25">
      <c r="A906" s="144"/>
      <c r="B906" s="3"/>
      <c r="D906" s="102"/>
      <c r="E906" s="102"/>
      <c r="F906" s="3"/>
      <c r="G906" s="101"/>
      <c r="H906" s="101"/>
      <c r="I906" s="101"/>
      <c r="J906" s="89"/>
    </row>
    <row r="907" spans="1:10" customFormat="1" ht="15" hidden="1" customHeight="1" x14ac:dyDescent="0.25">
      <c r="A907" s="144"/>
      <c r="B907" s="3"/>
      <c r="D907" s="102"/>
      <c r="E907" s="102"/>
      <c r="F907" s="3"/>
      <c r="G907" s="101"/>
      <c r="H907" s="101"/>
      <c r="I907" s="101"/>
      <c r="J907" s="89"/>
    </row>
    <row r="908" spans="1:10" customFormat="1" ht="15" hidden="1" customHeight="1" x14ac:dyDescent="0.25">
      <c r="A908" s="144"/>
      <c r="B908" s="3"/>
      <c r="D908" s="102"/>
      <c r="E908" s="102"/>
      <c r="F908" s="3"/>
      <c r="G908" s="101"/>
      <c r="H908" s="101"/>
      <c r="I908" s="101"/>
      <c r="J908" s="89"/>
    </row>
    <row r="909" spans="1:10" customFormat="1" ht="15" hidden="1" customHeight="1" x14ac:dyDescent="0.25">
      <c r="A909" s="144"/>
      <c r="B909" s="3"/>
      <c r="D909" s="102"/>
      <c r="E909" s="102"/>
      <c r="F909" s="3"/>
      <c r="G909" s="101"/>
      <c r="H909" s="101"/>
      <c r="I909" s="101"/>
      <c r="J909" s="89"/>
    </row>
    <row r="910" spans="1:10" customFormat="1" ht="15" hidden="1" customHeight="1" x14ac:dyDescent="0.25">
      <c r="A910" s="144"/>
      <c r="B910" s="3"/>
      <c r="D910" s="102"/>
      <c r="E910" s="102"/>
      <c r="F910" s="3"/>
      <c r="G910" s="101"/>
      <c r="H910" s="101"/>
      <c r="I910" s="101"/>
      <c r="J910" s="89"/>
    </row>
    <row r="911" spans="1:10" customFormat="1" ht="15" hidden="1" customHeight="1" x14ac:dyDescent="0.25">
      <c r="A911" s="144"/>
      <c r="B911" s="3"/>
      <c r="D911" s="102"/>
      <c r="E911" s="102"/>
      <c r="F911" s="3"/>
      <c r="G911" s="101"/>
      <c r="H911" s="101"/>
      <c r="I911" s="101"/>
      <c r="J911" s="89"/>
    </row>
    <row r="912" spans="1:10" customFormat="1" ht="15" hidden="1" customHeight="1" x14ac:dyDescent="0.25">
      <c r="A912" s="144"/>
      <c r="B912" s="3"/>
      <c r="D912" s="102"/>
      <c r="E912" s="102"/>
      <c r="F912" s="3"/>
      <c r="G912" s="101"/>
      <c r="H912" s="101"/>
      <c r="I912" s="101"/>
      <c r="J912" s="89"/>
    </row>
    <row r="913" spans="1:10" customFormat="1" ht="15" hidden="1" customHeight="1" x14ac:dyDescent="0.25">
      <c r="A913" s="144"/>
      <c r="B913" s="3"/>
      <c r="D913" s="102"/>
      <c r="E913" s="102"/>
      <c r="F913" s="3"/>
      <c r="G913" s="101"/>
      <c r="H913" s="101"/>
      <c r="I913" s="101"/>
      <c r="J913" s="89"/>
    </row>
    <row r="914" spans="1:10" customFormat="1" ht="15" hidden="1" customHeight="1" x14ac:dyDescent="0.25">
      <c r="A914" s="144"/>
      <c r="B914" s="3"/>
      <c r="D914" s="102"/>
      <c r="E914" s="102"/>
      <c r="F914" s="3"/>
      <c r="G914" s="101"/>
      <c r="H914" s="101"/>
      <c r="I914" s="101"/>
      <c r="J914" s="89"/>
    </row>
    <row r="915" spans="1:10" customFormat="1" ht="15" hidden="1" customHeight="1" x14ac:dyDescent="0.25">
      <c r="A915" s="144"/>
      <c r="B915" s="3"/>
      <c r="D915" s="102"/>
      <c r="E915" s="102"/>
      <c r="F915" s="3"/>
      <c r="G915" s="101"/>
      <c r="H915" s="101"/>
      <c r="I915" s="101"/>
      <c r="J915" s="89"/>
    </row>
    <row r="916" spans="1:10" customFormat="1" ht="15" hidden="1" customHeight="1" x14ac:dyDescent="0.25">
      <c r="A916" s="144"/>
      <c r="B916" s="3"/>
      <c r="D916" s="102"/>
      <c r="E916" s="102"/>
      <c r="F916" s="3"/>
      <c r="G916" s="101"/>
      <c r="H916" s="101"/>
      <c r="I916" s="101"/>
      <c r="J916" s="89"/>
    </row>
    <row r="917" spans="1:10" customFormat="1" ht="15" hidden="1" customHeight="1" x14ac:dyDescent="0.25">
      <c r="A917" s="144"/>
      <c r="B917" s="3"/>
      <c r="D917" s="102"/>
      <c r="E917" s="102"/>
      <c r="F917" s="3"/>
      <c r="G917" s="101"/>
      <c r="H917" s="101"/>
      <c r="I917" s="101"/>
      <c r="J917" s="89"/>
    </row>
    <row r="918" spans="1:10" customFormat="1" ht="15" hidden="1" customHeight="1" x14ac:dyDescent="0.25">
      <c r="A918" s="144"/>
      <c r="B918" s="3"/>
      <c r="D918" s="102"/>
      <c r="E918" s="102"/>
      <c r="F918" s="3"/>
      <c r="G918" s="101"/>
      <c r="H918" s="101"/>
      <c r="I918" s="101"/>
      <c r="J918" s="89"/>
    </row>
    <row r="919" spans="1:10" customFormat="1" ht="15" hidden="1" customHeight="1" x14ac:dyDescent="0.25">
      <c r="A919" s="144"/>
      <c r="B919" s="3"/>
      <c r="D919" s="102"/>
      <c r="E919" s="102"/>
      <c r="F919" s="3"/>
      <c r="G919" s="101"/>
      <c r="H919" s="101"/>
      <c r="I919" s="101"/>
      <c r="J919" s="89"/>
    </row>
    <row r="920" spans="1:10" customFormat="1" ht="15" hidden="1" customHeight="1" x14ac:dyDescent="0.25">
      <c r="A920" s="144"/>
      <c r="B920" s="3"/>
      <c r="D920" s="102"/>
      <c r="E920" s="102"/>
      <c r="F920" s="3"/>
      <c r="G920" s="101"/>
      <c r="H920" s="101"/>
      <c r="I920" s="101"/>
      <c r="J920" s="89"/>
    </row>
    <row r="921" spans="1:10" customFormat="1" ht="15" hidden="1" customHeight="1" x14ac:dyDescent="0.25">
      <c r="A921" s="144"/>
      <c r="B921" s="3"/>
      <c r="D921" s="102"/>
      <c r="E921" s="102"/>
      <c r="F921" s="3"/>
      <c r="G921" s="101"/>
      <c r="H921" s="101"/>
      <c r="I921" s="101"/>
      <c r="J921" s="89"/>
    </row>
    <row r="922" spans="1:10" customFormat="1" ht="15" hidden="1" customHeight="1" x14ac:dyDescent="0.25">
      <c r="A922" s="144"/>
      <c r="B922" s="3"/>
      <c r="D922" s="102"/>
      <c r="E922" s="102"/>
      <c r="F922" s="3"/>
      <c r="G922" s="101"/>
      <c r="H922" s="101"/>
      <c r="I922" s="101"/>
      <c r="J922" s="89"/>
    </row>
    <row r="923" spans="1:10" customFormat="1" ht="15" hidden="1" customHeight="1" x14ac:dyDescent="0.25">
      <c r="A923" s="144"/>
      <c r="B923" s="3"/>
      <c r="D923" s="102"/>
      <c r="E923" s="102"/>
      <c r="F923" s="3"/>
      <c r="G923" s="101"/>
      <c r="H923" s="101"/>
      <c r="I923" s="101"/>
      <c r="J923" s="89"/>
    </row>
    <row r="924" spans="1:10" customFormat="1" ht="15" hidden="1" customHeight="1" x14ac:dyDescent="0.25">
      <c r="A924" s="144"/>
      <c r="B924" s="3"/>
      <c r="D924" s="102"/>
      <c r="E924" s="102"/>
      <c r="F924" s="3"/>
      <c r="G924" s="101"/>
      <c r="H924" s="101"/>
      <c r="I924" s="101"/>
      <c r="J924" s="89"/>
    </row>
    <row r="925" spans="1:10" customFormat="1" ht="15" hidden="1" customHeight="1" x14ac:dyDescent="0.25">
      <c r="A925" s="144"/>
      <c r="B925" s="3"/>
      <c r="D925" s="102"/>
      <c r="E925" s="102"/>
      <c r="F925" s="3"/>
      <c r="G925" s="101"/>
      <c r="H925" s="101"/>
      <c r="I925" s="101"/>
      <c r="J925" s="89"/>
    </row>
    <row r="926" spans="1:10" customFormat="1" ht="15" hidden="1" customHeight="1" x14ac:dyDescent="0.25">
      <c r="A926" s="144"/>
      <c r="B926" s="3"/>
      <c r="D926" s="102"/>
      <c r="E926" s="102"/>
      <c r="F926" s="3"/>
      <c r="G926" s="101"/>
      <c r="H926" s="101"/>
      <c r="I926" s="101"/>
      <c r="J926" s="89"/>
    </row>
    <row r="927" spans="1:10" customFormat="1" ht="15" hidden="1" customHeight="1" x14ac:dyDescent="0.25">
      <c r="A927" s="144"/>
      <c r="B927" s="3"/>
      <c r="D927" s="102"/>
      <c r="E927" s="102"/>
      <c r="F927" s="3"/>
      <c r="G927" s="101"/>
      <c r="H927" s="101"/>
      <c r="I927" s="101"/>
      <c r="J927" s="89"/>
    </row>
    <row r="928" spans="1:10" customFormat="1" ht="15" hidden="1" customHeight="1" x14ac:dyDescent="0.25">
      <c r="A928" s="144"/>
      <c r="B928" s="3"/>
      <c r="D928" s="102"/>
      <c r="E928" s="102"/>
      <c r="F928" s="3"/>
      <c r="G928" s="101"/>
      <c r="H928" s="101"/>
      <c r="I928" s="101"/>
      <c r="J928" s="89"/>
    </row>
    <row r="929" spans="1:10" customFormat="1" ht="15" hidden="1" customHeight="1" x14ac:dyDescent="0.25">
      <c r="A929" s="144"/>
      <c r="B929" s="3"/>
      <c r="D929" s="102"/>
      <c r="E929" s="102"/>
      <c r="F929" s="3"/>
      <c r="G929" s="101"/>
      <c r="H929" s="101"/>
      <c r="I929" s="101"/>
      <c r="J929" s="89"/>
    </row>
    <row r="930" spans="1:10" customFormat="1" ht="15" hidden="1" customHeight="1" x14ac:dyDescent="0.25">
      <c r="A930" s="144"/>
      <c r="B930" s="3"/>
      <c r="D930" s="102"/>
      <c r="E930" s="102"/>
      <c r="F930" s="3"/>
      <c r="G930" s="101"/>
      <c r="H930" s="101"/>
      <c r="I930" s="101"/>
      <c r="J930" s="89"/>
    </row>
    <row r="931" spans="1:10" customFormat="1" ht="15" hidden="1" customHeight="1" x14ac:dyDescent="0.25">
      <c r="A931" s="144"/>
      <c r="B931" s="3"/>
      <c r="D931" s="102"/>
      <c r="E931" s="102"/>
      <c r="F931" s="3"/>
      <c r="G931" s="101"/>
      <c r="H931" s="101"/>
      <c r="I931" s="101"/>
      <c r="J931" s="89"/>
    </row>
    <row r="932" spans="1:10" customFormat="1" ht="15" hidden="1" customHeight="1" x14ac:dyDescent="0.25">
      <c r="A932" s="144"/>
      <c r="B932" s="3"/>
      <c r="D932" s="102"/>
      <c r="E932" s="102"/>
      <c r="F932" s="3"/>
      <c r="G932" s="101"/>
      <c r="H932" s="101"/>
      <c r="I932" s="101"/>
      <c r="J932" s="89"/>
    </row>
    <row r="933" spans="1:10" customFormat="1" ht="15" hidden="1" customHeight="1" x14ac:dyDescent="0.25">
      <c r="A933" s="144"/>
      <c r="B933" s="3"/>
      <c r="D933" s="102"/>
      <c r="E933" s="102"/>
      <c r="F933" s="3"/>
      <c r="G933" s="101"/>
      <c r="H933" s="101"/>
      <c r="I933" s="101"/>
      <c r="J933" s="89"/>
    </row>
    <row r="934" spans="1:10" customFormat="1" ht="15" hidden="1" customHeight="1" x14ac:dyDescent="0.25">
      <c r="A934" s="144"/>
      <c r="B934" s="3"/>
      <c r="D934" s="102"/>
      <c r="E934" s="102"/>
      <c r="F934" s="3"/>
      <c r="G934" s="101"/>
      <c r="H934" s="101"/>
      <c r="I934" s="101"/>
      <c r="J934" s="89"/>
    </row>
    <row r="935" spans="1:10" customFormat="1" ht="15" hidden="1" customHeight="1" x14ac:dyDescent="0.25">
      <c r="A935" s="144"/>
      <c r="B935" s="3"/>
      <c r="D935" s="102"/>
      <c r="E935" s="102"/>
      <c r="F935" s="3"/>
      <c r="G935" s="101"/>
      <c r="H935" s="101"/>
      <c r="I935" s="101"/>
      <c r="J935" s="89"/>
    </row>
    <row r="936" spans="1:10" customFormat="1" ht="15" hidden="1" customHeight="1" x14ac:dyDescent="0.25">
      <c r="A936" s="144"/>
      <c r="B936" s="3"/>
      <c r="D936" s="102"/>
      <c r="E936" s="102"/>
      <c r="F936" s="3"/>
      <c r="G936" s="101"/>
      <c r="H936" s="101"/>
      <c r="I936" s="101"/>
      <c r="J936" s="89"/>
    </row>
    <row r="937" spans="1:10" customFormat="1" ht="15" hidden="1" customHeight="1" x14ac:dyDescent="0.25">
      <c r="A937" s="144"/>
      <c r="B937" s="3"/>
      <c r="D937" s="102"/>
      <c r="E937" s="102"/>
      <c r="F937" s="3"/>
      <c r="G937" s="101"/>
      <c r="H937" s="101"/>
      <c r="I937" s="101"/>
      <c r="J937" s="89"/>
    </row>
    <row r="938" spans="1:10" customFormat="1" ht="15" hidden="1" customHeight="1" x14ac:dyDescent="0.25">
      <c r="A938" s="144"/>
      <c r="B938" s="3"/>
      <c r="D938" s="102"/>
      <c r="E938" s="102"/>
      <c r="F938" s="3"/>
      <c r="G938" s="101"/>
      <c r="H938" s="101"/>
      <c r="I938" s="101"/>
      <c r="J938" s="89"/>
    </row>
    <row r="939" spans="1:10" customFormat="1" ht="15" hidden="1" customHeight="1" x14ac:dyDescent="0.25">
      <c r="A939" s="144"/>
      <c r="B939" s="3"/>
      <c r="D939" s="102"/>
      <c r="E939" s="102"/>
      <c r="F939" s="3"/>
      <c r="G939" s="101"/>
      <c r="H939" s="101"/>
      <c r="I939" s="101"/>
      <c r="J939" s="89"/>
    </row>
    <row r="940" spans="1:10" customFormat="1" ht="15" hidden="1" customHeight="1" x14ac:dyDescent="0.25">
      <c r="A940" s="144"/>
      <c r="B940" s="3"/>
      <c r="D940" s="102"/>
      <c r="E940" s="102"/>
      <c r="F940" s="3"/>
      <c r="G940" s="101"/>
      <c r="H940" s="101"/>
      <c r="I940" s="101"/>
      <c r="J940" s="89"/>
    </row>
    <row r="941" spans="1:10" customFormat="1" ht="15" hidden="1" customHeight="1" x14ac:dyDescent="0.25">
      <c r="A941" s="144"/>
      <c r="B941" s="3"/>
      <c r="D941" s="102"/>
      <c r="E941" s="102"/>
      <c r="F941" s="3"/>
      <c r="G941" s="101"/>
      <c r="H941" s="101"/>
      <c r="I941" s="101"/>
      <c r="J941" s="89"/>
    </row>
    <row r="942" spans="1:10" customFormat="1" ht="15" hidden="1" customHeight="1" x14ac:dyDescent="0.25">
      <c r="A942" s="144"/>
      <c r="B942" s="3"/>
      <c r="D942" s="102"/>
      <c r="E942" s="102"/>
      <c r="F942" s="3"/>
      <c r="G942" s="101"/>
      <c r="H942" s="101"/>
      <c r="I942" s="101"/>
      <c r="J942" s="89"/>
    </row>
    <row r="943" spans="1:10" customFormat="1" ht="15" hidden="1" customHeight="1" x14ac:dyDescent="0.25">
      <c r="A943" s="144"/>
      <c r="B943" s="3"/>
      <c r="D943" s="102"/>
      <c r="E943" s="102"/>
      <c r="F943" s="3"/>
      <c r="G943" s="101"/>
      <c r="H943" s="101"/>
      <c r="I943" s="101"/>
      <c r="J943" s="89"/>
    </row>
    <row r="944" spans="1:10" customFormat="1" ht="15" hidden="1" customHeight="1" x14ac:dyDescent="0.25">
      <c r="A944" s="144"/>
      <c r="B944" s="3"/>
      <c r="D944" s="102"/>
      <c r="E944" s="102"/>
      <c r="F944" s="3"/>
      <c r="G944" s="101"/>
      <c r="H944" s="101"/>
      <c r="I944" s="101"/>
      <c r="J944" s="89"/>
    </row>
    <row r="945" spans="1:10" customFormat="1" ht="15" hidden="1" customHeight="1" x14ac:dyDescent="0.25">
      <c r="A945" s="144"/>
      <c r="B945" s="3"/>
      <c r="D945" s="102"/>
      <c r="E945" s="102"/>
      <c r="F945" s="3"/>
      <c r="G945" s="101"/>
      <c r="H945" s="101"/>
      <c r="I945" s="101"/>
      <c r="J945" s="89"/>
    </row>
    <row r="946" spans="1:10" customFormat="1" ht="15" hidden="1" customHeight="1" x14ac:dyDescent="0.25">
      <c r="A946" s="144"/>
      <c r="B946" s="3"/>
      <c r="D946" s="102"/>
      <c r="E946" s="102"/>
      <c r="F946" s="3"/>
      <c r="G946" s="101"/>
      <c r="H946" s="101"/>
      <c r="I946" s="101"/>
      <c r="J946" s="89"/>
    </row>
    <row r="947" spans="1:10" customFormat="1" ht="15" hidden="1" customHeight="1" x14ac:dyDescent="0.25">
      <c r="A947" s="144"/>
      <c r="B947" s="3"/>
      <c r="D947" s="102"/>
      <c r="E947" s="102"/>
      <c r="F947" s="3"/>
      <c r="G947" s="101"/>
      <c r="H947" s="101"/>
      <c r="I947" s="101"/>
      <c r="J947" s="89"/>
    </row>
    <row r="948" spans="1:10" customFormat="1" ht="15" hidden="1" customHeight="1" x14ac:dyDescent="0.25">
      <c r="A948" s="144"/>
      <c r="B948" s="3"/>
      <c r="D948" s="102"/>
      <c r="E948" s="102"/>
      <c r="F948" s="3"/>
      <c r="G948" s="101"/>
      <c r="H948" s="101"/>
      <c r="I948" s="101"/>
      <c r="J948" s="89"/>
    </row>
    <row r="949" spans="1:10" customFormat="1" ht="15" hidden="1" customHeight="1" x14ac:dyDescent="0.25">
      <c r="A949" s="144"/>
      <c r="B949" s="3"/>
      <c r="D949" s="102"/>
      <c r="E949" s="102"/>
      <c r="F949" s="3"/>
      <c r="G949" s="101"/>
      <c r="H949" s="101"/>
      <c r="I949" s="101"/>
      <c r="J949" s="89"/>
    </row>
    <row r="950" spans="1:10" customFormat="1" ht="15" hidden="1" customHeight="1" x14ac:dyDescent="0.25">
      <c r="A950" s="144"/>
      <c r="B950" s="3"/>
      <c r="D950" s="102"/>
      <c r="E950" s="102"/>
      <c r="F950" s="3"/>
      <c r="G950" s="101"/>
      <c r="H950" s="101"/>
      <c r="I950" s="101"/>
      <c r="J950" s="89"/>
    </row>
    <row r="951" spans="1:10" customFormat="1" ht="15" hidden="1" customHeight="1" x14ac:dyDescent="0.25">
      <c r="A951" s="144"/>
      <c r="B951" s="3"/>
      <c r="D951" s="102"/>
      <c r="E951" s="102"/>
      <c r="F951" s="3"/>
      <c r="G951" s="101"/>
      <c r="H951" s="101"/>
      <c r="I951" s="101"/>
      <c r="J951" s="89"/>
    </row>
    <row r="952" spans="1:10" customFormat="1" ht="15" hidden="1" customHeight="1" x14ac:dyDescent="0.25">
      <c r="A952" s="144"/>
      <c r="B952" s="3"/>
      <c r="D952" s="102"/>
      <c r="E952" s="102"/>
      <c r="F952" s="3"/>
      <c r="G952" s="101"/>
      <c r="H952" s="101"/>
      <c r="I952" s="101"/>
      <c r="J952" s="89"/>
    </row>
    <row r="953" spans="1:10" customFormat="1" ht="15" hidden="1" customHeight="1" x14ac:dyDescent="0.25">
      <c r="A953" s="144"/>
      <c r="B953" s="3"/>
      <c r="D953" s="102"/>
      <c r="E953" s="102"/>
      <c r="F953" s="3"/>
      <c r="G953" s="101"/>
      <c r="H953" s="101"/>
      <c r="I953" s="101"/>
      <c r="J953" s="89"/>
    </row>
    <row r="954" spans="1:10" customFormat="1" ht="15" hidden="1" customHeight="1" x14ac:dyDescent="0.25">
      <c r="A954" s="144"/>
      <c r="B954" s="3"/>
      <c r="D954" s="102"/>
      <c r="E954" s="102"/>
      <c r="F954" s="3"/>
      <c r="G954" s="101"/>
      <c r="H954" s="101"/>
      <c r="I954" s="101"/>
      <c r="J954" s="89"/>
    </row>
    <row r="955" spans="1:10" customFormat="1" ht="15" hidden="1" customHeight="1" x14ac:dyDescent="0.25">
      <c r="A955" s="144"/>
      <c r="B955" s="3"/>
      <c r="D955" s="102"/>
      <c r="E955" s="102"/>
      <c r="F955" s="3"/>
      <c r="G955" s="101"/>
      <c r="H955" s="101"/>
      <c r="I955" s="101"/>
      <c r="J955" s="89"/>
    </row>
    <row r="956" spans="1:10" customFormat="1" ht="15" hidden="1" customHeight="1" x14ac:dyDescent="0.25">
      <c r="A956" s="144"/>
      <c r="B956" s="3"/>
      <c r="D956" s="102"/>
      <c r="E956" s="102"/>
      <c r="F956" s="3"/>
      <c r="G956" s="101"/>
      <c r="H956" s="101"/>
      <c r="I956" s="101"/>
      <c r="J956" s="89"/>
    </row>
    <row r="957" spans="1:10" customFormat="1" ht="15" hidden="1" customHeight="1" x14ac:dyDescent="0.25">
      <c r="A957" s="144"/>
      <c r="B957" s="3"/>
      <c r="D957" s="102"/>
      <c r="E957" s="102"/>
      <c r="F957" s="3"/>
      <c r="G957" s="101"/>
      <c r="H957" s="101"/>
      <c r="I957" s="101"/>
      <c r="J957" s="89"/>
    </row>
    <row r="958" spans="1:10" customFormat="1" ht="15" hidden="1" customHeight="1" x14ac:dyDescent="0.25">
      <c r="A958" s="144"/>
      <c r="B958" s="3"/>
      <c r="D958" s="102"/>
      <c r="E958" s="102"/>
      <c r="F958" s="3"/>
      <c r="G958" s="101"/>
      <c r="H958" s="101"/>
      <c r="I958" s="101"/>
      <c r="J958" s="89"/>
    </row>
    <row r="959" spans="1:10" customFormat="1" ht="15" hidden="1" customHeight="1" x14ac:dyDescent="0.25">
      <c r="A959" s="144"/>
      <c r="B959" s="3"/>
      <c r="D959" s="102"/>
      <c r="E959" s="102"/>
      <c r="F959" s="3"/>
      <c r="G959" s="101"/>
      <c r="H959" s="101"/>
      <c r="I959" s="101"/>
      <c r="J959" s="89"/>
    </row>
    <row r="960" spans="1:10" customFormat="1" ht="15" hidden="1" customHeight="1" x14ac:dyDescent="0.25">
      <c r="A960" s="144"/>
      <c r="B960" s="3"/>
      <c r="D960" s="102"/>
      <c r="E960" s="102"/>
      <c r="F960" s="3"/>
      <c r="G960" s="101"/>
      <c r="H960" s="101"/>
      <c r="I960" s="101"/>
      <c r="J960" s="89"/>
    </row>
    <row r="961" spans="1:10" customFormat="1" ht="15" hidden="1" customHeight="1" x14ac:dyDescent="0.25">
      <c r="A961" s="144"/>
      <c r="B961" s="3"/>
      <c r="D961" s="102"/>
      <c r="E961" s="102"/>
      <c r="F961" s="3"/>
      <c r="G961" s="101"/>
      <c r="H961" s="101"/>
      <c r="I961" s="101"/>
      <c r="J961" s="89"/>
    </row>
    <row r="962" spans="1:10" customFormat="1" ht="15" hidden="1" customHeight="1" x14ac:dyDescent="0.25">
      <c r="A962" s="144"/>
      <c r="B962" s="3"/>
      <c r="D962" s="102"/>
      <c r="E962" s="102"/>
      <c r="F962" s="3"/>
      <c r="G962" s="101"/>
      <c r="H962" s="101"/>
      <c r="I962" s="101"/>
      <c r="J962" s="89"/>
    </row>
    <row r="963" spans="1:10" customFormat="1" ht="15" hidden="1" customHeight="1" x14ac:dyDescent="0.25">
      <c r="A963" s="144"/>
      <c r="B963" s="3"/>
      <c r="D963" s="102"/>
      <c r="E963" s="102"/>
      <c r="F963" s="3"/>
      <c r="G963" s="101"/>
      <c r="H963" s="101"/>
      <c r="I963" s="101"/>
      <c r="J963" s="89"/>
    </row>
    <row r="964" spans="1:10" customFormat="1" ht="15" hidden="1" customHeight="1" x14ac:dyDescent="0.25">
      <c r="A964" s="144"/>
      <c r="B964" s="3"/>
      <c r="D964" s="102"/>
      <c r="E964" s="102"/>
      <c r="F964" s="3"/>
      <c r="G964" s="101"/>
      <c r="H964" s="101"/>
      <c r="I964" s="101"/>
      <c r="J964" s="89"/>
    </row>
    <row r="965" spans="1:10" customFormat="1" ht="15" hidden="1" customHeight="1" x14ac:dyDescent="0.25">
      <c r="A965" s="144"/>
      <c r="B965" s="3"/>
      <c r="D965" s="102"/>
      <c r="E965" s="102"/>
      <c r="F965" s="3"/>
      <c r="G965" s="101"/>
      <c r="H965" s="101"/>
      <c r="I965" s="101"/>
      <c r="J965" s="89"/>
    </row>
    <row r="966" spans="1:10" customFormat="1" ht="15" hidden="1" customHeight="1" x14ac:dyDescent="0.25">
      <c r="A966" s="144"/>
      <c r="B966" s="3"/>
      <c r="D966" s="102"/>
      <c r="E966" s="102"/>
      <c r="F966" s="3"/>
      <c r="G966" s="101"/>
      <c r="H966" s="101"/>
      <c r="I966" s="101"/>
      <c r="J966" s="89"/>
    </row>
    <row r="967" spans="1:10" customFormat="1" ht="15" hidden="1" customHeight="1" x14ac:dyDescent="0.25">
      <c r="A967" s="144"/>
      <c r="B967" s="3"/>
      <c r="D967" s="102"/>
      <c r="E967" s="102"/>
      <c r="F967" s="3"/>
      <c r="G967" s="101"/>
      <c r="H967" s="101"/>
      <c r="I967" s="101"/>
      <c r="J967" s="89"/>
    </row>
    <row r="968" spans="1:10" customFormat="1" ht="15" hidden="1" customHeight="1" x14ac:dyDescent="0.25">
      <c r="A968" s="144"/>
      <c r="B968" s="3"/>
      <c r="D968" s="102"/>
      <c r="E968" s="102"/>
      <c r="F968" s="3"/>
      <c r="G968" s="101"/>
      <c r="H968" s="101"/>
      <c r="I968" s="101"/>
      <c r="J968" s="89"/>
    </row>
    <row r="969" spans="1:10" customFormat="1" ht="15" hidden="1" customHeight="1" x14ac:dyDescent="0.25">
      <c r="A969" s="144"/>
      <c r="B969" s="3"/>
      <c r="D969" s="102"/>
      <c r="E969" s="102"/>
      <c r="F969" s="3"/>
      <c r="G969" s="101"/>
      <c r="H969" s="101"/>
      <c r="I969" s="101"/>
      <c r="J969" s="89"/>
    </row>
    <row r="970" spans="1:10" customFormat="1" ht="15" hidden="1" customHeight="1" x14ac:dyDescent="0.25">
      <c r="A970" s="144"/>
      <c r="B970" s="3"/>
      <c r="D970" s="102"/>
      <c r="E970" s="102"/>
      <c r="F970" s="3"/>
      <c r="G970" s="101"/>
      <c r="H970" s="101"/>
      <c r="I970" s="101"/>
      <c r="J970" s="89"/>
    </row>
    <row r="971" spans="1:10" customFormat="1" ht="15" hidden="1" customHeight="1" x14ac:dyDescent="0.25">
      <c r="A971" s="144"/>
      <c r="B971" s="3"/>
      <c r="D971" s="102"/>
      <c r="E971" s="102"/>
      <c r="F971" s="3"/>
      <c r="G971" s="101"/>
      <c r="H971" s="101"/>
      <c r="I971" s="101"/>
      <c r="J971" s="89"/>
    </row>
    <row r="972" spans="1:10" customFormat="1" ht="15" hidden="1" customHeight="1" x14ac:dyDescent="0.25">
      <c r="A972" s="144"/>
      <c r="B972" s="3"/>
      <c r="D972" s="102"/>
      <c r="E972" s="102"/>
      <c r="F972" s="3"/>
      <c r="G972" s="101"/>
      <c r="H972" s="101"/>
      <c r="I972" s="101"/>
      <c r="J972" s="89"/>
    </row>
    <row r="973" spans="1:10" customFormat="1" ht="15" hidden="1" customHeight="1" x14ac:dyDescent="0.25">
      <c r="A973" s="144"/>
      <c r="B973" s="3"/>
      <c r="D973" s="102"/>
      <c r="E973" s="102"/>
      <c r="F973" s="3"/>
      <c r="G973" s="101"/>
      <c r="H973" s="101"/>
      <c r="I973" s="101"/>
      <c r="J973" s="89"/>
    </row>
    <row r="974" spans="1:10" customFormat="1" ht="15" hidden="1" customHeight="1" x14ac:dyDescent="0.25">
      <c r="A974" s="144"/>
      <c r="B974" s="3"/>
      <c r="D974" s="102"/>
      <c r="E974" s="102"/>
      <c r="F974" s="3"/>
      <c r="G974" s="101"/>
      <c r="H974" s="101"/>
      <c r="I974" s="101"/>
      <c r="J974" s="89"/>
    </row>
    <row r="975" spans="1:10" customFormat="1" ht="15" hidden="1" customHeight="1" x14ac:dyDescent="0.25">
      <c r="A975" s="144"/>
      <c r="B975" s="3"/>
      <c r="D975" s="102"/>
      <c r="E975" s="102"/>
      <c r="F975" s="3"/>
      <c r="G975" s="101"/>
      <c r="H975" s="101"/>
      <c r="I975" s="101"/>
      <c r="J975" s="89"/>
    </row>
    <row r="976" spans="1:10" customFormat="1" ht="15" hidden="1" customHeight="1" x14ac:dyDescent="0.25">
      <c r="A976" s="144"/>
      <c r="B976" s="3"/>
      <c r="D976" s="102"/>
      <c r="E976" s="102"/>
      <c r="F976" s="3"/>
      <c r="G976" s="101"/>
      <c r="H976" s="101"/>
      <c r="I976" s="101"/>
      <c r="J976" s="89"/>
    </row>
    <row r="977" spans="1:10" customFormat="1" ht="15" hidden="1" customHeight="1" x14ac:dyDescent="0.25">
      <c r="A977" s="144"/>
      <c r="B977" s="3"/>
      <c r="D977" s="102"/>
      <c r="E977" s="102"/>
      <c r="F977" s="3"/>
      <c r="G977" s="101"/>
      <c r="H977" s="101"/>
      <c r="I977" s="101"/>
      <c r="J977" s="89"/>
    </row>
    <row r="978" spans="1:10" customFormat="1" ht="15" hidden="1" customHeight="1" x14ac:dyDescent="0.25">
      <c r="A978" s="144"/>
      <c r="B978" s="3"/>
      <c r="D978" s="102"/>
      <c r="E978" s="102"/>
      <c r="F978" s="3"/>
      <c r="G978" s="101"/>
      <c r="H978" s="101"/>
      <c r="I978" s="101"/>
      <c r="J978" s="89"/>
    </row>
    <row r="979" spans="1:10" customFormat="1" ht="15" hidden="1" customHeight="1" x14ac:dyDescent="0.25">
      <c r="A979" s="144"/>
      <c r="B979" s="3"/>
      <c r="D979" s="102"/>
      <c r="E979" s="102"/>
      <c r="F979" s="3"/>
      <c r="G979" s="101"/>
      <c r="H979" s="101"/>
      <c r="I979" s="101"/>
      <c r="J979" s="89"/>
    </row>
    <row r="980" spans="1:10" customFormat="1" ht="15" hidden="1" customHeight="1" x14ac:dyDescent="0.25">
      <c r="A980" s="144"/>
      <c r="B980" s="3"/>
      <c r="D980" s="102"/>
      <c r="E980" s="102"/>
      <c r="F980" s="3"/>
      <c r="G980" s="101"/>
      <c r="H980" s="101"/>
      <c r="I980" s="101"/>
      <c r="J980" s="89"/>
    </row>
    <row r="981" spans="1:10" customFormat="1" ht="15" hidden="1" customHeight="1" x14ac:dyDescent="0.25">
      <c r="A981" s="144"/>
      <c r="B981" s="3"/>
      <c r="D981" s="102"/>
      <c r="E981" s="102"/>
      <c r="F981" s="3"/>
      <c r="G981" s="101"/>
      <c r="H981" s="101"/>
      <c r="I981" s="101"/>
      <c r="J981" s="89"/>
    </row>
    <row r="982" spans="1:10" customFormat="1" ht="15" hidden="1" customHeight="1" x14ac:dyDescent="0.25">
      <c r="A982" s="144"/>
      <c r="B982" s="3"/>
      <c r="D982" s="102"/>
      <c r="E982" s="102"/>
      <c r="F982" s="3"/>
      <c r="G982" s="101"/>
      <c r="H982" s="101"/>
      <c r="I982" s="101"/>
      <c r="J982" s="89"/>
    </row>
    <row r="983" spans="1:10" customFormat="1" ht="15" hidden="1" customHeight="1" x14ac:dyDescent="0.25">
      <c r="A983" s="144"/>
      <c r="B983" s="3"/>
      <c r="D983" s="102"/>
      <c r="E983" s="102"/>
      <c r="F983" s="3"/>
      <c r="G983" s="101"/>
      <c r="H983" s="101"/>
      <c r="I983" s="101"/>
      <c r="J983" s="89"/>
    </row>
    <row r="984" spans="1:10" customFormat="1" ht="15" hidden="1" customHeight="1" x14ac:dyDescent="0.25">
      <c r="A984" s="144"/>
      <c r="B984" s="3"/>
      <c r="D984" s="102"/>
      <c r="E984" s="102"/>
      <c r="F984" s="3"/>
      <c r="G984" s="101"/>
      <c r="H984" s="101"/>
      <c r="I984" s="101"/>
      <c r="J984" s="89"/>
    </row>
    <row r="985" spans="1:10" customFormat="1" ht="15" hidden="1" customHeight="1" x14ac:dyDescent="0.25">
      <c r="A985" s="144"/>
      <c r="B985" s="3"/>
      <c r="D985" s="102"/>
      <c r="E985" s="102"/>
      <c r="F985" s="3"/>
      <c r="G985" s="101"/>
      <c r="H985" s="101"/>
      <c r="I985" s="101"/>
      <c r="J985" s="89"/>
    </row>
    <row r="986" spans="1:10" customFormat="1" ht="15" hidden="1" customHeight="1" x14ac:dyDescent="0.25">
      <c r="A986" s="144"/>
      <c r="B986" s="3"/>
      <c r="D986" s="102"/>
      <c r="E986" s="102"/>
      <c r="F986" s="3"/>
      <c r="G986" s="101"/>
      <c r="H986" s="101"/>
      <c r="I986" s="101"/>
      <c r="J986" s="89"/>
    </row>
    <row r="987" spans="1:10" customFormat="1" ht="15" hidden="1" customHeight="1" x14ac:dyDescent="0.25">
      <c r="A987" s="144"/>
      <c r="B987" s="3"/>
      <c r="D987" s="102"/>
      <c r="E987" s="102"/>
      <c r="F987" s="3"/>
      <c r="G987" s="101"/>
      <c r="H987" s="101"/>
      <c r="I987" s="101"/>
      <c r="J987" s="89"/>
    </row>
    <row r="988" spans="1:10" customFormat="1" ht="15" hidden="1" customHeight="1" x14ac:dyDescent="0.25">
      <c r="A988" s="144"/>
      <c r="B988" s="3"/>
      <c r="D988" s="102"/>
      <c r="E988" s="102"/>
      <c r="F988" s="3"/>
      <c r="G988" s="101"/>
      <c r="H988" s="101"/>
      <c r="I988" s="101"/>
      <c r="J988" s="89"/>
    </row>
    <row r="989" spans="1:10" customFormat="1" ht="15" hidden="1" customHeight="1" x14ac:dyDescent="0.25">
      <c r="A989" s="144"/>
      <c r="B989" s="3"/>
      <c r="D989" s="102"/>
      <c r="E989" s="102"/>
      <c r="F989" s="3"/>
      <c r="G989" s="101"/>
      <c r="H989" s="101"/>
      <c r="I989" s="101"/>
      <c r="J989" s="89"/>
    </row>
    <row r="990" spans="1:10" customFormat="1" ht="15" hidden="1" customHeight="1" x14ac:dyDescent="0.25">
      <c r="A990" s="144"/>
      <c r="B990" s="3"/>
      <c r="D990" s="102"/>
      <c r="E990" s="102"/>
      <c r="F990" s="3"/>
      <c r="G990" s="101"/>
      <c r="H990" s="101"/>
      <c r="I990" s="101"/>
      <c r="J990" s="89"/>
    </row>
    <row r="991" spans="1:10" customFormat="1" ht="15" hidden="1" customHeight="1" x14ac:dyDescent="0.25">
      <c r="A991" s="144"/>
      <c r="B991" s="3"/>
      <c r="D991" s="102"/>
      <c r="E991" s="102"/>
      <c r="F991" s="3"/>
      <c r="G991" s="101"/>
      <c r="H991" s="101"/>
      <c r="I991" s="101"/>
      <c r="J991" s="89"/>
    </row>
    <row r="992" spans="1:10" customFormat="1" ht="15" hidden="1" customHeight="1" x14ac:dyDescent="0.25">
      <c r="A992" s="144"/>
      <c r="B992" s="3"/>
      <c r="D992" s="102"/>
      <c r="E992" s="102"/>
      <c r="F992" s="3"/>
      <c r="G992" s="101"/>
      <c r="H992" s="101"/>
      <c r="I992" s="101"/>
      <c r="J992" s="89"/>
    </row>
    <row r="993" spans="1:10" customFormat="1" ht="15" hidden="1" customHeight="1" x14ac:dyDescent="0.25">
      <c r="A993" s="144"/>
      <c r="B993" s="3"/>
      <c r="D993" s="102"/>
      <c r="E993" s="102"/>
      <c r="F993" s="3"/>
      <c r="G993" s="101"/>
      <c r="H993" s="101"/>
      <c r="I993" s="101"/>
      <c r="J993" s="89"/>
    </row>
    <row r="994" spans="1:10" customFormat="1" ht="15" hidden="1" customHeight="1" x14ac:dyDescent="0.25">
      <c r="A994" s="144"/>
      <c r="B994" s="3"/>
      <c r="D994" s="102"/>
      <c r="E994" s="102"/>
      <c r="F994" s="3"/>
      <c r="G994" s="101"/>
      <c r="H994" s="101"/>
      <c r="I994" s="101"/>
      <c r="J994" s="89"/>
    </row>
    <row r="995" spans="1:10" customFormat="1" ht="15" hidden="1" customHeight="1" x14ac:dyDescent="0.25">
      <c r="A995" s="144"/>
      <c r="B995" s="3"/>
      <c r="D995" s="102"/>
      <c r="E995" s="102"/>
      <c r="F995" s="3"/>
      <c r="G995" s="101"/>
      <c r="H995" s="101"/>
      <c r="I995" s="101"/>
      <c r="J995" s="89"/>
    </row>
    <row r="996" spans="1:10" customFormat="1" ht="15" hidden="1" customHeight="1" x14ac:dyDescent="0.25">
      <c r="A996" s="144"/>
      <c r="B996" s="3"/>
      <c r="D996" s="102"/>
      <c r="E996" s="102"/>
      <c r="F996" s="3"/>
      <c r="G996" s="101"/>
      <c r="H996" s="101"/>
      <c r="I996" s="101"/>
      <c r="J996" s="89"/>
    </row>
    <row r="997" spans="1:10" customFormat="1" ht="15" hidden="1" customHeight="1" x14ac:dyDescent="0.25">
      <c r="A997" s="144"/>
      <c r="B997" s="3"/>
      <c r="D997" s="102"/>
      <c r="E997" s="102"/>
      <c r="F997" s="3"/>
      <c r="G997" s="101"/>
      <c r="H997" s="101"/>
      <c r="I997" s="101"/>
      <c r="J997" s="89"/>
    </row>
    <row r="998" spans="1:10" customFormat="1" ht="15" hidden="1" customHeight="1" x14ac:dyDescent="0.25">
      <c r="A998" s="144"/>
      <c r="B998" s="3"/>
      <c r="D998" s="102"/>
      <c r="E998" s="102"/>
      <c r="F998" s="3"/>
      <c r="G998" s="101"/>
      <c r="H998" s="101"/>
      <c r="I998" s="101"/>
      <c r="J998" s="89"/>
    </row>
    <row r="999" spans="1:10" customFormat="1" ht="15" hidden="1" customHeight="1" x14ac:dyDescent="0.25">
      <c r="A999" s="144"/>
      <c r="B999" s="3"/>
      <c r="D999" s="102"/>
      <c r="E999" s="102"/>
      <c r="F999" s="3"/>
      <c r="G999" s="101"/>
      <c r="H999" s="101"/>
      <c r="I999" s="101"/>
      <c r="J999" s="89"/>
    </row>
    <row r="1000" spans="1:10" customFormat="1" ht="15" hidden="1" customHeight="1" x14ac:dyDescent="0.25">
      <c r="A1000" s="144"/>
      <c r="B1000" s="3"/>
      <c r="D1000" s="102"/>
      <c r="E1000" s="102"/>
      <c r="F1000" s="3"/>
      <c r="G1000" s="101"/>
      <c r="H1000" s="101"/>
      <c r="I1000" s="101"/>
      <c r="J1000" s="89"/>
    </row>
    <row r="1001" spans="1:10" customFormat="1" ht="15" hidden="1" customHeight="1" x14ac:dyDescent="0.25">
      <c r="A1001" s="144"/>
      <c r="B1001" s="3"/>
      <c r="D1001" s="102"/>
      <c r="E1001" s="102"/>
      <c r="F1001" s="3"/>
      <c r="G1001" s="101"/>
      <c r="H1001" s="101"/>
      <c r="I1001" s="101"/>
      <c r="J1001" s="89"/>
    </row>
    <row r="1002" spans="1:10" customFormat="1" ht="15" hidden="1" customHeight="1" x14ac:dyDescent="0.25">
      <c r="A1002" s="144"/>
      <c r="B1002" s="3"/>
      <c r="D1002" s="102"/>
      <c r="E1002" s="102"/>
      <c r="F1002" s="3"/>
      <c r="G1002" s="101"/>
      <c r="H1002" s="101"/>
      <c r="I1002" s="101"/>
      <c r="J1002" s="89"/>
    </row>
    <row r="1003" spans="1:10" customFormat="1" ht="15" hidden="1" customHeight="1" x14ac:dyDescent="0.25">
      <c r="A1003" s="144"/>
      <c r="B1003" s="3"/>
      <c r="D1003" s="102"/>
      <c r="E1003" s="102"/>
      <c r="F1003" s="3"/>
      <c r="G1003" s="101"/>
      <c r="H1003" s="101"/>
      <c r="I1003" s="101"/>
      <c r="J1003" s="89"/>
    </row>
    <row r="1004" spans="1:10" customFormat="1" ht="15" hidden="1" customHeight="1" x14ac:dyDescent="0.25">
      <c r="A1004" s="144"/>
      <c r="B1004" s="3"/>
      <c r="D1004" s="102"/>
      <c r="E1004" s="102"/>
      <c r="F1004" s="3"/>
      <c r="G1004" s="101"/>
      <c r="H1004" s="101"/>
      <c r="I1004" s="101"/>
      <c r="J1004" s="89"/>
    </row>
    <row r="1005" spans="1:10" customFormat="1" ht="15" hidden="1" customHeight="1" x14ac:dyDescent="0.25">
      <c r="A1005" s="144"/>
      <c r="B1005" s="3"/>
      <c r="D1005" s="102"/>
      <c r="E1005" s="102"/>
      <c r="F1005" s="3"/>
      <c r="G1005" s="101"/>
      <c r="H1005" s="101"/>
      <c r="I1005" s="101"/>
      <c r="J1005" s="89"/>
    </row>
    <row r="1006" spans="1:10" customFormat="1" ht="15" hidden="1" customHeight="1" x14ac:dyDescent="0.25">
      <c r="A1006" s="144"/>
      <c r="B1006" s="3"/>
      <c r="D1006" s="102"/>
      <c r="E1006" s="102"/>
      <c r="F1006" s="3"/>
      <c r="G1006" s="101"/>
      <c r="H1006" s="101"/>
      <c r="I1006" s="101"/>
      <c r="J1006" s="89"/>
    </row>
    <row r="1007" spans="1:10" customFormat="1" ht="15" hidden="1" customHeight="1" x14ac:dyDescent="0.25">
      <c r="A1007" s="144"/>
      <c r="B1007" s="3"/>
      <c r="D1007" s="102"/>
      <c r="E1007" s="102"/>
      <c r="F1007" s="3"/>
      <c r="G1007" s="101"/>
      <c r="H1007" s="101"/>
      <c r="I1007" s="101"/>
      <c r="J1007" s="89"/>
    </row>
    <row r="1008" spans="1:10" customFormat="1" ht="15" hidden="1" customHeight="1" x14ac:dyDescent="0.25">
      <c r="A1008" s="144"/>
      <c r="B1008" s="3"/>
      <c r="D1008" s="102"/>
      <c r="E1008" s="102"/>
      <c r="F1008" s="3"/>
      <c r="G1008" s="101"/>
      <c r="H1008" s="101"/>
      <c r="I1008" s="101"/>
      <c r="J1008" s="89"/>
    </row>
    <row r="1009" spans="1:10" customFormat="1" ht="15" hidden="1" customHeight="1" x14ac:dyDescent="0.25">
      <c r="A1009" s="144"/>
      <c r="B1009" s="3"/>
      <c r="D1009" s="102"/>
      <c r="E1009" s="102"/>
      <c r="F1009" s="3"/>
      <c r="G1009" s="101"/>
      <c r="H1009" s="101"/>
      <c r="I1009" s="101"/>
      <c r="J1009" s="89"/>
    </row>
    <row r="1010" spans="1:10" customFormat="1" ht="15" hidden="1" customHeight="1" x14ac:dyDescent="0.25">
      <c r="A1010" s="144"/>
      <c r="B1010" s="3"/>
      <c r="D1010" s="102"/>
      <c r="E1010" s="102"/>
      <c r="F1010" s="3"/>
      <c r="G1010" s="101"/>
      <c r="H1010" s="101"/>
      <c r="I1010" s="101"/>
      <c r="J1010" s="89"/>
    </row>
    <row r="1011" spans="1:10" customFormat="1" ht="15" hidden="1" customHeight="1" x14ac:dyDescent="0.25">
      <c r="A1011" s="144"/>
      <c r="B1011" s="3"/>
      <c r="D1011" s="102"/>
      <c r="E1011" s="102"/>
      <c r="F1011" s="3"/>
      <c r="G1011" s="101"/>
      <c r="H1011" s="101"/>
      <c r="I1011" s="101"/>
      <c r="J1011" s="89"/>
    </row>
    <row r="1012" spans="1:10" customFormat="1" ht="15" hidden="1" customHeight="1" x14ac:dyDescent="0.25">
      <c r="A1012" s="144"/>
      <c r="B1012" s="3"/>
      <c r="D1012" s="102"/>
      <c r="E1012" s="102"/>
      <c r="F1012" s="3"/>
      <c r="G1012" s="101"/>
      <c r="H1012" s="101"/>
      <c r="I1012" s="101"/>
      <c r="J1012" s="89"/>
    </row>
    <row r="1013" spans="1:10" customFormat="1" ht="15" hidden="1" customHeight="1" x14ac:dyDescent="0.25">
      <c r="A1013" s="144"/>
      <c r="B1013" s="3"/>
      <c r="D1013" s="102"/>
      <c r="E1013" s="102"/>
      <c r="F1013" s="3"/>
      <c r="G1013" s="101"/>
      <c r="H1013" s="101"/>
      <c r="I1013" s="101"/>
      <c r="J1013" s="89"/>
    </row>
    <row r="1014" spans="1:10" customFormat="1" ht="15" hidden="1" customHeight="1" x14ac:dyDescent="0.25">
      <c r="A1014" s="144"/>
      <c r="B1014" s="3"/>
      <c r="D1014" s="102"/>
      <c r="E1014" s="102"/>
      <c r="F1014" s="3"/>
      <c r="G1014" s="101"/>
      <c r="H1014" s="101"/>
      <c r="I1014" s="101"/>
      <c r="J1014" s="89"/>
    </row>
    <row r="1015" spans="1:10" customFormat="1" ht="15" hidden="1" customHeight="1" x14ac:dyDescent="0.25">
      <c r="A1015" s="144"/>
      <c r="B1015" s="3"/>
      <c r="D1015" s="102"/>
      <c r="E1015" s="102"/>
      <c r="F1015" s="3"/>
      <c r="G1015" s="101"/>
      <c r="H1015" s="101"/>
      <c r="I1015" s="101"/>
      <c r="J1015" s="89"/>
    </row>
    <row r="1016" spans="1:10" customFormat="1" ht="15" hidden="1" customHeight="1" x14ac:dyDescent="0.25">
      <c r="A1016" s="144"/>
      <c r="B1016" s="3"/>
      <c r="D1016" s="102"/>
      <c r="E1016" s="102"/>
      <c r="F1016" s="3"/>
      <c r="G1016" s="101"/>
      <c r="H1016" s="101"/>
      <c r="I1016" s="101"/>
      <c r="J1016" s="89"/>
    </row>
    <row r="1017" spans="1:10" customFormat="1" ht="15" hidden="1" customHeight="1" x14ac:dyDescent="0.25">
      <c r="A1017" s="144"/>
      <c r="B1017" s="3"/>
      <c r="D1017" s="102"/>
      <c r="E1017" s="102"/>
      <c r="F1017" s="3"/>
      <c r="G1017" s="101"/>
      <c r="H1017" s="101"/>
      <c r="I1017" s="101"/>
      <c r="J1017" s="89"/>
    </row>
    <row r="1018" spans="1:10" customFormat="1" ht="15" hidden="1" customHeight="1" x14ac:dyDescent="0.25">
      <c r="A1018" s="144"/>
      <c r="B1018" s="3"/>
      <c r="D1018" s="102"/>
      <c r="E1018" s="102"/>
      <c r="F1018" s="3"/>
      <c r="G1018" s="101"/>
      <c r="H1018" s="101"/>
      <c r="I1018" s="101"/>
      <c r="J1018" s="89"/>
    </row>
    <row r="1019" spans="1:10" customFormat="1" ht="15" hidden="1" customHeight="1" x14ac:dyDescent="0.25">
      <c r="A1019" s="144"/>
      <c r="B1019" s="3"/>
      <c r="D1019" s="102"/>
      <c r="E1019" s="102"/>
      <c r="F1019" s="3"/>
      <c r="G1019" s="101"/>
      <c r="H1019" s="101"/>
      <c r="I1019" s="101"/>
      <c r="J1019" s="89"/>
    </row>
    <row r="1020" spans="1:10" customFormat="1" ht="15" hidden="1" customHeight="1" x14ac:dyDescent="0.25">
      <c r="A1020" s="144"/>
      <c r="B1020" s="3"/>
      <c r="D1020" s="102"/>
      <c r="E1020" s="102"/>
      <c r="F1020" s="3"/>
      <c r="G1020" s="101"/>
      <c r="H1020" s="101"/>
      <c r="I1020" s="101"/>
      <c r="J1020" s="89"/>
    </row>
    <row r="1021" spans="1:10" customFormat="1" ht="15" hidden="1" customHeight="1" x14ac:dyDescent="0.25">
      <c r="A1021" s="144"/>
      <c r="B1021" s="3"/>
      <c r="D1021" s="102"/>
      <c r="E1021" s="102"/>
      <c r="F1021" s="3"/>
      <c r="G1021" s="101"/>
      <c r="H1021" s="101"/>
      <c r="I1021" s="101"/>
      <c r="J1021" s="89"/>
    </row>
    <row r="1022" spans="1:10" customFormat="1" ht="15" hidden="1" customHeight="1" x14ac:dyDescent="0.25">
      <c r="A1022" s="144"/>
      <c r="B1022" s="3"/>
      <c r="D1022" s="102"/>
      <c r="E1022" s="102"/>
      <c r="F1022" s="3"/>
      <c r="G1022" s="101"/>
      <c r="H1022" s="101"/>
      <c r="I1022" s="101"/>
      <c r="J1022" s="89"/>
    </row>
    <row r="1023" spans="1:10" customFormat="1" ht="15" hidden="1" customHeight="1" x14ac:dyDescent="0.25">
      <c r="A1023" s="144"/>
      <c r="B1023" s="3"/>
      <c r="D1023" s="102"/>
      <c r="E1023" s="102"/>
      <c r="F1023" s="3"/>
      <c r="G1023" s="101"/>
      <c r="H1023" s="101"/>
      <c r="I1023" s="101"/>
      <c r="J1023" s="89"/>
    </row>
    <row r="1024" spans="1:10" customFormat="1" ht="15" hidden="1" customHeight="1" x14ac:dyDescent="0.25">
      <c r="A1024" s="144"/>
      <c r="B1024" s="3"/>
      <c r="D1024" s="102"/>
      <c r="E1024" s="102"/>
      <c r="F1024" s="3"/>
      <c r="G1024" s="101"/>
      <c r="H1024" s="101"/>
      <c r="I1024" s="101"/>
      <c r="J1024" s="89"/>
    </row>
    <row r="1025" spans="1:10" customFormat="1" ht="15" hidden="1" customHeight="1" x14ac:dyDescent="0.25">
      <c r="A1025" s="144"/>
      <c r="B1025" s="3"/>
      <c r="D1025" s="102"/>
      <c r="E1025" s="102"/>
      <c r="F1025" s="3"/>
      <c r="G1025" s="101"/>
      <c r="H1025" s="101"/>
      <c r="I1025" s="101"/>
      <c r="J1025" s="89"/>
    </row>
    <row r="1026" spans="1:10" customFormat="1" ht="15" hidden="1" customHeight="1" x14ac:dyDescent="0.25">
      <c r="A1026" s="144"/>
      <c r="B1026" s="3"/>
      <c r="D1026" s="102"/>
      <c r="E1026" s="102"/>
      <c r="F1026" s="3"/>
      <c r="G1026" s="101"/>
      <c r="H1026" s="101"/>
      <c r="I1026" s="101"/>
      <c r="J1026" s="89"/>
    </row>
    <row r="1027" spans="1:10" customFormat="1" ht="15" hidden="1" customHeight="1" x14ac:dyDescent="0.25">
      <c r="A1027" s="144"/>
      <c r="B1027" s="3"/>
      <c r="D1027" s="102"/>
      <c r="E1027" s="102"/>
      <c r="F1027" s="3"/>
      <c r="G1027" s="101"/>
      <c r="H1027" s="101"/>
      <c r="I1027" s="101"/>
      <c r="J1027" s="89"/>
    </row>
    <row r="1028" spans="1:10" customFormat="1" ht="15" hidden="1" customHeight="1" x14ac:dyDescent="0.25">
      <c r="A1028" s="144"/>
      <c r="B1028" s="3"/>
      <c r="D1028" s="102"/>
      <c r="E1028" s="102"/>
      <c r="F1028" s="3"/>
      <c r="G1028" s="101"/>
      <c r="H1028" s="101"/>
      <c r="I1028" s="101"/>
      <c r="J1028" s="89"/>
    </row>
    <row r="1029" spans="1:10" customFormat="1" ht="15" hidden="1" customHeight="1" x14ac:dyDescent="0.25">
      <c r="A1029" s="144"/>
      <c r="B1029" s="3"/>
      <c r="D1029" s="102"/>
      <c r="E1029" s="102"/>
      <c r="F1029" s="3"/>
      <c r="G1029" s="101"/>
      <c r="H1029" s="101"/>
      <c r="I1029" s="101"/>
      <c r="J1029" s="89"/>
    </row>
    <row r="1030" spans="1:10" customFormat="1" ht="15" hidden="1" customHeight="1" x14ac:dyDescent="0.25">
      <c r="A1030" s="144"/>
      <c r="B1030" s="3"/>
      <c r="D1030" s="102"/>
      <c r="E1030" s="102"/>
      <c r="F1030" s="3"/>
      <c r="G1030" s="101"/>
      <c r="H1030" s="101"/>
      <c r="I1030" s="101"/>
      <c r="J1030" s="89"/>
    </row>
    <row r="1031" spans="1:10" customFormat="1" ht="15" hidden="1" customHeight="1" x14ac:dyDescent="0.25">
      <c r="A1031" s="144"/>
      <c r="B1031" s="3"/>
      <c r="D1031" s="102"/>
      <c r="E1031" s="102"/>
      <c r="F1031" s="3"/>
      <c r="G1031" s="101"/>
      <c r="H1031" s="101"/>
      <c r="I1031" s="101"/>
      <c r="J1031" s="89"/>
    </row>
    <row r="1032" spans="1:10" customFormat="1" ht="15" hidden="1" customHeight="1" x14ac:dyDescent="0.25">
      <c r="A1032" s="144"/>
      <c r="B1032" s="3"/>
      <c r="D1032" s="102"/>
      <c r="E1032" s="102"/>
      <c r="F1032" s="3"/>
      <c r="G1032" s="101"/>
      <c r="H1032" s="101"/>
      <c r="I1032" s="101"/>
      <c r="J1032" s="89"/>
    </row>
    <row r="1033" spans="1:10" customFormat="1" ht="15" hidden="1" customHeight="1" x14ac:dyDescent="0.25">
      <c r="A1033" s="144"/>
      <c r="B1033" s="3"/>
      <c r="D1033" s="102"/>
      <c r="E1033" s="102"/>
      <c r="F1033" s="3"/>
      <c r="G1033" s="101"/>
      <c r="H1033" s="101"/>
      <c r="I1033" s="101"/>
      <c r="J1033" s="89"/>
    </row>
    <row r="1034" spans="1:10" customFormat="1" ht="15" hidden="1" customHeight="1" x14ac:dyDescent="0.25">
      <c r="A1034" s="144"/>
      <c r="B1034" s="3"/>
      <c r="D1034" s="102"/>
      <c r="E1034" s="102"/>
      <c r="F1034" s="3"/>
      <c r="G1034" s="101"/>
      <c r="H1034" s="101"/>
      <c r="I1034" s="101"/>
      <c r="J1034" s="89"/>
    </row>
    <row r="1035" spans="1:10" customFormat="1" ht="15" hidden="1" customHeight="1" x14ac:dyDescent="0.25">
      <c r="A1035" s="144"/>
      <c r="B1035" s="3"/>
      <c r="D1035" s="102"/>
      <c r="E1035" s="102"/>
      <c r="F1035" s="3"/>
      <c r="G1035" s="101"/>
      <c r="H1035" s="101"/>
      <c r="I1035" s="101"/>
      <c r="J1035" s="89"/>
    </row>
    <row r="1036" spans="1:10" customFormat="1" ht="15" hidden="1" customHeight="1" x14ac:dyDescent="0.25">
      <c r="A1036" s="144"/>
      <c r="B1036" s="3"/>
      <c r="D1036" s="102"/>
      <c r="E1036" s="102"/>
      <c r="F1036" s="3"/>
      <c r="G1036" s="101"/>
      <c r="H1036" s="101"/>
      <c r="I1036" s="101"/>
      <c r="J1036" s="89"/>
    </row>
    <row r="1037" spans="1:10" customFormat="1" ht="15" hidden="1" customHeight="1" x14ac:dyDescent="0.25">
      <c r="A1037" s="144"/>
      <c r="B1037" s="3"/>
      <c r="D1037" s="102"/>
      <c r="E1037" s="102"/>
      <c r="F1037" s="3"/>
      <c r="G1037" s="101"/>
      <c r="H1037" s="101"/>
      <c r="I1037" s="101"/>
      <c r="J1037" s="89"/>
    </row>
    <row r="1038" spans="1:10" customFormat="1" ht="15" hidden="1" customHeight="1" x14ac:dyDescent="0.25">
      <c r="A1038" s="144"/>
      <c r="B1038" s="3"/>
      <c r="D1038" s="102"/>
      <c r="E1038" s="102"/>
      <c r="F1038" s="3"/>
      <c r="G1038" s="101"/>
      <c r="H1038" s="101"/>
      <c r="I1038" s="101"/>
      <c r="J1038" s="89"/>
    </row>
    <row r="1039" spans="1:10" customFormat="1" ht="15" hidden="1" customHeight="1" x14ac:dyDescent="0.25">
      <c r="A1039" s="144"/>
      <c r="B1039" s="3"/>
      <c r="D1039" s="102"/>
      <c r="E1039" s="102"/>
      <c r="F1039" s="3"/>
      <c r="G1039" s="101"/>
      <c r="H1039" s="101"/>
      <c r="I1039" s="101"/>
      <c r="J1039" s="89"/>
    </row>
    <row r="1040" spans="1:10" customFormat="1" ht="15" hidden="1" customHeight="1" x14ac:dyDescent="0.25">
      <c r="A1040" s="144"/>
      <c r="B1040" s="3"/>
      <c r="D1040" s="102"/>
      <c r="E1040" s="102"/>
      <c r="F1040" s="3"/>
      <c r="G1040" s="101"/>
      <c r="H1040" s="101"/>
      <c r="I1040" s="101"/>
      <c r="J1040" s="89"/>
    </row>
    <row r="1041" spans="1:10" customFormat="1" ht="15" hidden="1" customHeight="1" x14ac:dyDescent="0.25">
      <c r="A1041" s="144"/>
      <c r="B1041" s="3"/>
      <c r="D1041" s="102"/>
      <c r="E1041" s="102"/>
      <c r="F1041" s="3"/>
      <c r="G1041" s="101"/>
      <c r="H1041" s="101"/>
      <c r="I1041" s="101"/>
      <c r="J1041" s="89"/>
    </row>
    <row r="1042" spans="1:10" customFormat="1" ht="15" hidden="1" customHeight="1" x14ac:dyDescent="0.25">
      <c r="A1042" s="144"/>
      <c r="B1042" s="3"/>
      <c r="D1042" s="102"/>
      <c r="E1042" s="102"/>
      <c r="F1042" s="3"/>
      <c r="G1042" s="101"/>
      <c r="H1042" s="101"/>
      <c r="I1042" s="101"/>
      <c r="J1042" s="89"/>
    </row>
    <row r="1043" spans="1:10" customFormat="1" ht="15" hidden="1" customHeight="1" x14ac:dyDescent="0.25">
      <c r="A1043" s="144"/>
      <c r="B1043" s="3"/>
      <c r="D1043" s="102"/>
      <c r="E1043" s="102"/>
      <c r="F1043" s="3"/>
      <c r="G1043" s="101"/>
      <c r="H1043" s="101"/>
      <c r="I1043" s="101"/>
      <c r="J1043" s="89"/>
    </row>
    <row r="1044" spans="1:10" customFormat="1" ht="15" hidden="1" customHeight="1" x14ac:dyDescent="0.25">
      <c r="A1044" s="144"/>
      <c r="B1044" s="3"/>
      <c r="D1044" s="102"/>
      <c r="E1044" s="102"/>
      <c r="F1044" s="3"/>
      <c r="G1044" s="101"/>
      <c r="H1044" s="101"/>
      <c r="I1044" s="101"/>
      <c r="J1044" s="89"/>
    </row>
    <row r="1045" spans="1:10" customFormat="1" ht="15" hidden="1" customHeight="1" x14ac:dyDescent="0.25">
      <c r="A1045" s="144"/>
      <c r="B1045" s="3"/>
      <c r="D1045" s="102"/>
      <c r="E1045" s="102"/>
      <c r="F1045" s="3"/>
      <c r="G1045" s="101"/>
      <c r="H1045" s="101"/>
      <c r="I1045" s="101"/>
      <c r="J1045" s="89"/>
    </row>
    <row r="1046" spans="1:10" customFormat="1" ht="15" hidden="1" customHeight="1" x14ac:dyDescent="0.25">
      <c r="A1046" s="144"/>
      <c r="B1046" s="3"/>
      <c r="D1046" s="102"/>
      <c r="E1046" s="102"/>
      <c r="F1046" s="3"/>
      <c r="G1046" s="101"/>
      <c r="H1046" s="101"/>
      <c r="I1046" s="101"/>
      <c r="J1046" s="89"/>
    </row>
    <row r="1047" spans="1:10" customFormat="1" ht="15" hidden="1" customHeight="1" x14ac:dyDescent="0.25">
      <c r="A1047" s="144"/>
      <c r="B1047" s="3"/>
      <c r="D1047" s="102"/>
      <c r="E1047" s="102"/>
      <c r="F1047" s="3"/>
      <c r="G1047" s="101"/>
      <c r="H1047" s="101"/>
      <c r="I1047" s="101"/>
      <c r="J1047" s="89"/>
    </row>
    <row r="1048" spans="1:10" customFormat="1" ht="15" hidden="1" customHeight="1" x14ac:dyDescent="0.25">
      <c r="A1048" s="144"/>
      <c r="B1048" s="3"/>
      <c r="D1048" s="102"/>
      <c r="E1048" s="102"/>
      <c r="F1048" s="3"/>
      <c r="G1048" s="101"/>
      <c r="H1048" s="101"/>
      <c r="I1048" s="101"/>
      <c r="J1048" s="89"/>
    </row>
    <row r="1049" spans="1:10" customFormat="1" ht="15" hidden="1" customHeight="1" x14ac:dyDescent="0.25">
      <c r="A1049" s="144"/>
      <c r="B1049" s="3"/>
      <c r="D1049" s="102"/>
      <c r="E1049" s="102"/>
      <c r="F1049" s="3"/>
      <c r="G1049" s="101"/>
      <c r="H1049" s="101"/>
      <c r="I1049" s="101"/>
      <c r="J1049" s="89"/>
    </row>
    <row r="1050" spans="1:10" customFormat="1" ht="15" hidden="1" customHeight="1" x14ac:dyDescent="0.25">
      <c r="A1050" s="144"/>
      <c r="B1050" s="3"/>
      <c r="D1050" s="102"/>
      <c r="E1050" s="102"/>
      <c r="F1050" s="3"/>
      <c r="G1050" s="101"/>
      <c r="H1050" s="101"/>
      <c r="I1050" s="101"/>
      <c r="J1050" s="89"/>
    </row>
    <row r="1051" spans="1:10" customFormat="1" ht="15" hidden="1" customHeight="1" x14ac:dyDescent="0.25">
      <c r="A1051" s="144"/>
      <c r="B1051" s="3"/>
      <c r="D1051" s="102"/>
      <c r="E1051" s="102"/>
      <c r="F1051" s="3"/>
      <c r="G1051" s="101"/>
      <c r="H1051" s="101"/>
      <c r="I1051" s="101"/>
      <c r="J1051" s="89"/>
    </row>
    <row r="1052" spans="1:10" customFormat="1" ht="15" hidden="1" customHeight="1" x14ac:dyDescent="0.25">
      <c r="A1052" s="144"/>
      <c r="B1052" s="3"/>
      <c r="D1052" s="102"/>
      <c r="E1052" s="102"/>
      <c r="F1052" s="3"/>
      <c r="G1052" s="101"/>
      <c r="H1052" s="101"/>
      <c r="I1052" s="101"/>
      <c r="J1052" s="89"/>
    </row>
    <row r="1053" spans="1:10" customFormat="1" ht="15" hidden="1" customHeight="1" x14ac:dyDescent="0.25">
      <c r="A1053" s="144"/>
      <c r="B1053" s="3"/>
      <c r="D1053" s="102"/>
      <c r="E1053" s="102"/>
      <c r="F1053" s="3"/>
      <c r="G1053" s="101"/>
      <c r="H1053" s="101"/>
      <c r="I1053" s="101"/>
      <c r="J1053" s="89"/>
    </row>
    <row r="1054" spans="1:10" customFormat="1" ht="15" hidden="1" customHeight="1" x14ac:dyDescent="0.25">
      <c r="A1054" s="144"/>
      <c r="B1054" s="3"/>
      <c r="D1054" s="102"/>
      <c r="E1054" s="102"/>
      <c r="F1054" s="3"/>
      <c r="G1054" s="101"/>
      <c r="H1054" s="101"/>
      <c r="I1054" s="101"/>
      <c r="J1054" s="89"/>
    </row>
    <row r="1055" spans="1:10" customFormat="1" ht="15" hidden="1" customHeight="1" x14ac:dyDescent="0.25">
      <c r="A1055" s="144"/>
      <c r="B1055" s="3"/>
      <c r="D1055" s="102"/>
      <c r="E1055" s="102"/>
      <c r="F1055" s="3"/>
      <c r="G1055" s="101"/>
      <c r="H1055" s="101"/>
      <c r="I1055" s="101"/>
      <c r="J1055" s="89"/>
    </row>
    <row r="1056" spans="1:10" customFormat="1" ht="15" hidden="1" customHeight="1" x14ac:dyDescent="0.25">
      <c r="A1056" s="144"/>
      <c r="B1056" s="3"/>
      <c r="D1056" s="102"/>
      <c r="E1056" s="102"/>
      <c r="F1056" s="3"/>
      <c r="G1056" s="101"/>
      <c r="H1056" s="101"/>
      <c r="I1056" s="101"/>
      <c r="J1056" s="89"/>
    </row>
    <row r="1057" spans="1:10" customFormat="1" ht="15" hidden="1" customHeight="1" x14ac:dyDescent="0.25">
      <c r="A1057" s="144"/>
      <c r="B1057" s="3"/>
      <c r="D1057" s="102"/>
      <c r="E1057" s="102"/>
      <c r="F1057" s="3"/>
      <c r="G1057" s="101"/>
      <c r="H1057" s="101"/>
      <c r="I1057" s="101"/>
      <c r="J1057" s="89"/>
    </row>
    <row r="1058" spans="1:10" customFormat="1" ht="15" hidden="1" customHeight="1" x14ac:dyDescent="0.25">
      <c r="A1058" s="144"/>
      <c r="B1058" s="3"/>
      <c r="D1058" s="102"/>
      <c r="E1058" s="102"/>
      <c r="F1058" s="3"/>
      <c r="G1058" s="101"/>
      <c r="H1058" s="101"/>
      <c r="I1058" s="101"/>
      <c r="J1058" s="89"/>
    </row>
    <row r="1059" spans="1:10" customFormat="1" ht="15" hidden="1" customHeight="1" x14ac:dyDescent="0.25">
      <c r="A1059" s="144"/>
      <c r="B1059" s="3"/>
      <c r="D1059" s="102"/>
      <c r="E1059" s="102"/>
      <c r="F1059" s="3"/>
      <c r="G1059" s="101"/>
      <c r="H1059" s="101"/>
      <c r="I1059" s="101"/>
      <c r="J1059" s="89"/>
    </row>
    <row r="1060" spans="1:10" customFormat="1" ht="15" hidden="1" customHeight="1" x14ac:dyDescent="0.25">
      <c r="A1060" s="144"/>
      <c r="B1060" s="3"/>
      <c r="D1060" s="102"/>
      <c r="E1060" s="102"/>
      <c r="F1060" s="3"/>
      <c r="G1060" s="101"/>
      <c r="H1060" s="101"/>
      <c r="I1060" s="101"/>
      <c r="J1060" s="89"/>
    </row>
    <row r="1061" spans="1:10" customFormat="1" ht="15" hidden="1" customHeight="1" x14ac:dyDescent="0.25">
      <c r="A1061" s="144"/>
      <c r="B1061" s="3"/>
      <c r="D1061" s="102"/>
      <c r="E1061" s="102"/>
      <c r="F1061" s="3"/>
      <c r="G1061" s="101"/>
      <c r="H1061" s="101"/>
      <c r="I1061" s="101"/>
      <c r="J1061" s="89"/>
    </row>
    <row r="1062" spans="1:10" customFormat="1" ht="15" hidden="1" customHeight="1" x14ac:dyDescent="0.25">
      <c r="A1062" s="144"/>
      <c r="B1062" s="3"/>
      <c r="D1062" s="102"/>
      <c r="E1062" s="102"/>
      <c r="F1062" s="3"/>
      <c r="G1062" s="101"/>
      <c r="H1062" s="101"/>
      <c r="I1062" s="101"/>
      <c r="J1062" s="89"/>
    </row>
    <row r="1063" spans="1:10" customFormat="1" ht="15" hidden="1" customHeight="1" x14ac:dyDescent="0.25">
      <c r="A1063" s="144"/>
      <c r="B1063" s="3"/>
      <c r="D1063" s="102"/>
      <c r="E1063" s="102"/>
      <c r="F1063" s="3"/>
      <c r="G1063" s="101"/>
      <c r="H1063" s="101"/>
      <c r="I1063" s="101"/>
      <c r="J1063" s="89"/>
    </row>
    <row r="1064" spans="1:10" customFormat="1" ht="15" hidden="1" customHeight="1" x14ac:dyDescent="0.25">
      <c r="A1064" s="144"/>
      <c r="B1064" s="3"/>
      <c r="D1064" s="102"/>
      <c r="E1064" s="102"/>
      <c r="F1064" s="3"/>
      <c r="G1064" s="101"/>
      <c r="H1064" s="101"/>
      <c r="I1064" s="101"/>
      <c r="J1064" s="89"/>
    </row>
    <row r="1065" spans="1:10" customFormat="1" ht="15" hidden="1" customHeight="1" x14ac:dyDescent="0.25">
      <c r="A1065" s="144"/>
      <c r="B1065" s="3"/>
      <c r="D1065" s="102"/>
      <c r="E1065" s="102"/>
      <c r="F1065" s="3"/>
      <c r="G1065" s="101"/>
      <c r="H1065" s="101"/>
      <c r="I1065" s="101"/>
      <c r="J1065" s="89"/>
    </row>
    <row r="1066" spans="1:10" customFormat="1" ht="15" hidden="1" customHeight="1" x14ac:dyDescent="0.25">
      <c r="A1066" s="144"/>
      <c r="B1066" s="3"/>
      <c r="D1066" s="102"/>
      <c r="E1066" s="102"/>
      <c r="F1066" s="3"/>
      <c r="G1066" s="101"/>
      <c r="H1066" s="101"/>
      <c r="I1066" s="101"/>
      <c r="J1066" s="89"/>
    </row>
    <row r="1067" spans="1:10" customFormat="1" ht="15" hidden="1" customHeight="1" x14ac:dyDescent="0.25">
      <c r="A1067" s="144"/>
      <c r="B1067" s="3"/>
      <c r="D1067" s="102"/>
      <c r="E1067" s="102"/>
      <c r="F1067" s="3"/>
      <c r="G1067" s="101"/>
      <c r="H1067" s="101"/>
      <c r="I1067" s="101"/>
      <c r="J1067" s="89"/>
    </row>
    <row r="1068" spans="1:10" customFormat="1" ht="15" hidden="1" customHeight="1" x14ac:dyDescent="0.25">
      <c r="A1068" s="144"/>
      <c r="B1068" s="3"/>
      <c r="D1068" s="102"/>
      <c r="E1068" s="102"/>
      <c r="F1068" s="3"/>
      <c r="G1068" s="101"/>
      <c r="H1068" s="101"/>
      <c r="I1068" s="101"/>
      <c r="J1068" s="89"/>
    </row>
    <row r="1069" spans="1:10" customFormat="1" ht="15" hidden="1" customHeight="1" x14ac:dyDescent="0.25">
      <c r="A1069" s="144"/>
      <c r="B1069" s="3"/>
      <c r="D1069" s="102"/>
      <c r="E1069" s="102"/>
      <c r="F1069" s="3"/>
      <c r="G1069" s="101"/>
      <c r="H1069" s="101"/>
      <c r="I1069" s="101"/>
      <c r="J1069" s="89"/>
    </row>
    <row r="1070" spans="1:10" customFormat="1" ht="15" hidden="1" customHeight="1" x14ac:dyDescent="0.25">
      <c r="A1070" s="144"/>
      <c r="B1070" s="3"/>
      <c r="D1070" s="102"/>
      <c r="E1070" s="102"/>
      <c r="F1070" s="3"/>
      <c r="G1070" s="101"/>
      <c r="H1070" s="101"/>
      <c r="I1070" s="101"/>
      <c r="J1070" s="89"/>
    </row>
    <row r="1071" spans="1:10" customFormat="1" ht="15" hidden="1" customHeight="1" x14ac:dyDescent="0.25">
      <c r="A1071" s="144"/>
      <c r="B1071" s="3"/>
      <c r="D1071" s="102"/>
      <c r="E1071" s="102"/>
      <c r="F1071" s="3"/>
      <c r="G1071" s="101"/>
      <c r="H1071" s="101"/>
      <c r="I1071" s="101"/>
      <c r="J1071" s="89"/>
    </row>
    <row r="1072" spans="1:10" customFormat="1" ht="15" hidden="1" customHeight="1" x14ac:dyDescent="0.25">
      <c r="A1072" s="144"/>
      <c r="B1072" s="3"/>
      <c r="D1072" s="102"/>
      <c r="E1072" s="102"/>
      <c r="F1072" s="3"/>
      <c r="G1072" s="101"/>
      <c r="H1072" s="101"/>
      <c r="I1072" s="101"/>
      <c r="J1072" s="89"/>
    </row>
    <row r="1073" spans="1:10" customFormat="1" ht="15" hidden="1" customHeight="1" x14ac:dyDescent="0.25">
      <c r="A1073" s="144"/>
      <c r="B1073" s="3"/>
      <c r="D1073" s="102"/>
      <c r="E1073" s="102"/>
      <c r="F1073" s="3"/>
      <c r="G1073" s="101"/>
      <c r="H1073" s="101"/>
      <c r="I1073" s="101"/>
      <c r="J1073" s="89"/>
    </row>
    <row r="1074" spans="1:10" customFormat="1" ht="15" hidden="1" customHeight="1" x14ac:dyDescent="0.25">
      <c r="A1074" s="144"/>
      <c r="B1074" s="3"/>
      <c r="D1074" s="102"/>
      <c r="E1074" s="102"/>
      <c r="F1074" s="3"/>
      <c r="G1074" s="101"/>
      <c r="H1074" s="101"/>
      <c r="I1074" s="101"/>
      <c r="J1074" s="89"/>
    </row>
    <row r="1075" spans="1:10" customFormat="1" ht="15" hidden="1" customHeight="1" x14ac:dyDescent="0.25">
      <c r="A1075" s="144"/>
      <c r="B1075" s="3"/>
      <c r="D1075" s="102"/>
      <c r="E1075" s="102"/>
      <c r="F1075" s="3"/>
      <c r="G1075" s="101"/>
      <c r="H1075" s="101"/>
      <c r="I1075" s="101"/>
      <c r="J1075" s="89"/>
    </row>
    <row r="1076" spans="1:10" customFormat="1" ht="15" hidden="1" customHeight="1" x14ac:dyDescent="0.25">
      <c r="A1076" s="144"/>
      <c r="B1076" s="3"/>
      <c r="D1076" s="102"/>
      <c r="E1076" s="102"/>
      <c r="F1076" s="3"/>
      <c r="G1076" s="101"/>
      <c r="H1076" s="101"/>
      <c r="I1076" s="101"/>
      <c r="J1076" s="89"/>
    </row>
    <row r="1077" spans="1:10" customFormat="1" ht="15" hidden="1" customHeight="1" x14ac:dyDescent="0.25">
      <c r="A1077" s="144"/>
      <c r="B1077" s="3"/>
      <c r="D1077" s="102"/>
      <c r="E1077" s="102"/>
      <c r="F1077" s="3"/>
      <c r="G1077" s="101"/>
      <c r="H1077" s="101"/>
      <c r="I1077" s="101"/>
      <c r="J1077" s="89"/>
    </row>
    <row r="1078" spans="1:10" customFormat="1" ht="15" hidden="1" customHeight="1" x14ac:dyDescent="0.25">
      <c r="A1078" s="144"/>
      <c r="B1078" s="3"/>
      <c r="D1078" s="102"/>
      <c r="E1078" s="102"/>
      <c r="F1078" s="3"/>
      <c r="G1078" s="101"/>
      <c r="H1078" s="101"/>
      <c r="I1078" s="101"/>
      <c r="J1078" s="89"/>
    </row>
    <row r="1079" spans="1:10" customFormat="1" ht="15" hidden="1" customHeight="1" x14ac:dyDescent="0.25">
      <c r="A1079" s="144"/>
      <c r="B1079" s="3"/>
      <c r="D1079" s="102"/>
      <c r="E1079" s="102"/>
      <c r="F1079" s="3"/>
      <c r="G1079" s="101"/>
      <c r="H1079" s="101"/>
      <c r="I1079" s="101"/>
      <c r="J1079" s="89"/>
    </row>
    <row r="1080" spans="1:10" customFormat="1" ht="15" hidden="1" customHeight="1" x14ac:dyDescent="0.25">
      <c r="A1080" s="144"/>
      <c r="B1080" s="3"/>
      <c r="D1080" s="102"/>
      <c r="E1080" s="102"/>
      <c r="F1080" s="3"/>
      <c r="G1080" s="101"/>
      <c r="H1080" s="101"/>
      <c r="I1080" s="101"/>
      <c r="J1080" s="89"/>
    </row>
    <row r="1081" spans="1:10" customFormat="1" ht="15" hidden="1" customHeight="1" x14ac:dyDescent="0.25">
      <c r="A1081" s="144"/>
      <c r="B1081" s="3"/>
      <c r="D1081" s="102"/>
      <c r="E1081" s="102"/>
      <c r="F1081" s="3"/>
      <c r="G1081" s="101"/>
      <c r="H1081" s="101"/>
      <c r="I1081" s="101"/>
      <c r="J1081" s="89"/>
    </row>
    <row r="1082" spans="1:10" customFormat="1" ht="15" hidden="1" customHeight="1" x14ac:dyDescent="0.25">
      <c r="A1082" s="144"/>
      <c r="B1082" s="3"/>
      <c r="D1082" s="102"/>
      <c r="E1082" s="102"/>
      <c r="F1082" s="3"/>
      <c r="G1082" s="101"/>
      <c r="H1082" s="101"/>
      <c r="I1082" s="101"/>
      <c r="J1082" s="89"/>
    </row>
    <row r="1083" spans="1:10" customFormat="1" ht="15" hidden="1" customHeight="1" x14ac:dyDescent="0.25">
      <c r="A1083" s="144"/>
      <c r="B1083" s="3"/>
      <c r="D1083" s="102"/>
      <c r="E1083" s="102"/>
      <c r="F1083" s="3"/>
      <c r="G1083" s="101"/>
      <c r="H1083" s="101"/>
      <c r="I1083" s="101"/>
      <c r="J1083" s="89"/>
    </row>
    <row r="1084" spans="1:10" customFormat="1" ht="15" hidden="1" customHeight="1" x14ac:dyDescent="0.25">
      <c r="A1084" s="144"/>
      <c r="B1084" s="3"/>
      <c r="D1084" s="102"/>
      <c r="E1084" s="102"/>
      <c r="F1084" s="3"/>
      <c r="G1084" s="101"/>
      <c r="H1084" s="101"/>
      <c r="I1084" s="101"/>
      <c r="J1084" s="89"/>
    </row>
    <row r="1085" spans="1:10" customFormat="1" ht="15" hidden="1" customHeight="1" x14ac:dyDescent="0.25">
      <c r="A1085" s="144"/>
      <c r="B1085" s="3"/>
      <c r="D1085" s="102"/>
      <c r="E1085" s="102"/>
      <c r="F1085" s="3"/>
      <c r="G1085" s="101"/>
      <c r="H1085" s="101"/>
      <c r="I1085" s="101"/>
      <c r="J1085" s="89"/>
    </row>
    <row r="1086" spans="1:10" customFormat="1" ht="15" hidden="1" customHeight="1" x14ac:dyDescent="0.25">
      <c r="A1086" s="144"/>
      <c r="B1086" s="3"/>
      <c r="D1086" s="102"/>
      <c r="E1086" s="102"/>
      <c r="F1086" s="3"/>
      <c r="G1086" s="101"/>
      <c r="H1086" s="101"/>
      <c r="I1086" s="101"/>
      <c r="J1086" s="89"/>
    </row>
    <row r="1087" spans="1:10" customFormat="1" ht="15" hidden="1" customHeight="1" x14ac:dyDescent="0.25">
      <c r="A1087" s="144"/>
      <c r="B1087" s="3"/>
      <c r="D1087" s="102"/>
      <c r="E1087" s="102"/>
      <c r="F1087" s="3"/>
      <c r="G1087" s="101"/>
      <c r="H1087" s="101"/>
      <c r="I1087" s="101"/>
      <c r="J1087" s="89"/>
    </row>
    <row r="1088" spans="1:10" customFormat="1" ht="15" hidden="1" customHeight="1" x14ac:dyDescent="0.25">
      <c r="A1088" s="144"/>
      <c r="B1088" s="3"/>
      <c r="D1088" s="102"/>
      <c r="E1088" s="102"/>
      <c r="F1088" s="3"/>
      <c r="G1088" s="101"/>
      <c r="H1088" s="101"/>
      <c r="I1088" s="101"/>
      <c r="J1088" s="89"/>
    </row>
    <row r="1089" spans="1:10" customFormat="1" ht="15" hidden="1" customHeight="1" x14ac:dyDescent="0.25">
      <c r="A1089" s="144"/>
      <c r="B1089" s="3"/>
      <c r="D1089" s="102"/>
      <c r="E1089" s="102"/>
      <c r="F1089" s="3"/>
      <c r="G1089" s="101"/>
      <c r="H1089" s="101"/>
      <c r="I1089" s="101"/>
      <c r="J1089" s="89"/>
    </row>
    <row r="1090" spans="1:10" customFormat="1" ht="15" hidden="1" customHeight="1" x14ac:dyDescent="0.25">
      <c r="A1090" s="144"/>
      <c r="B1090" s="3"/>
      <c r="D1090" s="102"/>
      <c r="E1090" s="102"/>
      <c r="F1090" s="3"/>
      <c r="G1090" s="101"/>
      <c r="H1090" s="101"/>
      <c r="I1090" s="101"/>
      <c r="J1090" s="89"/>
    </row>
    <row r="1091" spans="1:10" customFormat="1" ht="15" hidden="1" customHeight="1" x14ac:dyDescent="0.25">
      <c r="A1091" s="144"/>
      <c r="B1091" s="3"/>
      <c r="D1091" s="102"/>
      <c r="E1091" s="102"/>
      <c r="F1091" s="3"/>
      <c r="G1091" s="101"/>
      <c r="H1091" s="101"/>
      <c r="I1091" s="101"/>
      <c r="J1091" s="89"/>
    </row>
    <row r="1092" spans="1:10" customFormat="1" ht="15" hidden="1" customHeight="1" x14ac:dyDescent="0.25">
      <c r="A1092" s="144"/>
      <c r="B1092" s="3"/>
      <c r="D1092" s="102"/>
      <c r="E1092" s="102"/>
      <c r="F1092" s="3"/>
      <c r="G1092" s="101"/>
      <c r="H1092" s="101"/>
      <c r="I1092" s="101"/>
      <c r="J1092" s="89"/>
    </row>
    <row r="1093" spans="1:10" customFormat="1" ht="15" hidden="1" customHeight="1" x14ac:dyDescent="0.25">
      <c r="A1093" s="144"/>
      <c r="B1093" s="3"/>
      <c r="D1093" s="102"/>
      <c r="E1093" s="102"/>
      <c r="F1093" s="3"/>
      <c r="G1093" s="101"/>
      <c r="H1093" s="101"/>
      <c r="I1093" s="101"/>
      <c r="J1093" s="89"/>
    </row>
    <row r="1094" spans="1:10" customFormat="1" ht="15" hidden="1" customHeight="1" x14ac:dyDescent="0.25">
      <c r="A1094" s="144"/>
      <c r="B1094" s="3"/>
      <c r="D1094" s="102"/>
      <c r="E1094" s="102"/>
      <c r="F1094" s="3"/>
      <c r="G1094" s="101"/>
      <c r="H1094" s="101"/>
      <c r="I1094" s="101"/>
      <c r="J1094" s="89"/>
    </row>
    <row r="1095" spans="1:10" customFormat="1" ht="15" hidden="1" customHeight="1" x14ac:dyDescent="0.25">
      <c r="A1095" s="144"/>
      <c r="B1095" s="3"/>
      <c r="D1095" s="102"/>
      <c r="E1095" s="102"/>
      <c r="F1095" s="3"/>
      <c r="G1095" s="101"/>
      <c r="H1095" s="101"/>
      <c r="I1095" s="101"/>
      <c r="J1095" s="89"/>
    </row>
    <row r="1096" spans="1:10" customFormat="1" ht="15" hidden="1" customHeight="1" x14ac:dyDescent="0.25">
      <c r="A1096" s="144"/>
      <c r="B1096" s="3"/>
      <c r="D1096" s="102"/>
      <c r="E1096" s="102"/>
      <c r="F1096" s="3"/>
      <c r="G1096" s="101"/>
      <c r="H1096" s="101"/>
      <c r="I1096" s="101"/>
      <c r="J1096" s="89"/>
    </row>
    <row r="1097" spans="1:10" customFormat="1" ht="15" hidden="1" customHeight="1" x14ac:dyDescent="0.25">
      <c r="A1097" s="144"/>
      <c r="B1097" s="3"/>
      <c r="D1097" s="102"/>
      <c r="E1097" s="102"/>
      <c r="F1097" s="3"/>
      <c r="G1097" s="101"/>
      <c r="H1097" s="101"/>
      <c r="I1097" s="101"/>
      <c r="J1097" s="89"/>
    </row>
    <row r="1098" spans="1:10" customFormat="1" ht="15" hidden="1" customHeight="1" x14ac:dyDescent="0.25">
      <c r="A1098" s="144"/>
      <c r="B1098" s="3"/>
      <c r="D1098" s="102"/>
      <c r="E1098" s="102"/>
      <c r="F1098" s="3"/>
      <c r="G1098" s="101"/>
      <c r="H1098" s="101"/>
      <c r="I1098" s="101"/>
      <c r="J1098" s="89"/>
    </row>
    <row r="1099" spans="1:10" customFormat="1" ht="15" hidden="1" customHeight="1" x14ac:dyDescent="0.25">
      <c r="A1099" s="144"/>
      <c r="B1099" s="3"/>
      <c r="D1099" s="102"/>
      <c r="E1099" s="102"/>
      <c r="F1099" s="3"/>
      <c r="G1099" s="101"/>
      <c r="H1099" s="101"/>
      <c r="I1099" s="101"/>
      <c r="J1099" s="89"/>
    </row>
    <row r="1100" spans="1:10" customFormat="1" ht="15" hidden="1" customHeight="1" x14ac:dyDescent="0.25">
      <c r="A1100" s="144"/>
      <c r="B1100" s="3"/>
      <c r="D1100" s="102"/>
      <c r="E1100" s="102"/>
      <c r="F1100" s="3"/>
      <c r="G1100" s="101"/>
      <c r="H1100" s="101"/>
      <c r="I1100" s="101"/>
      <c r="J1100" s="89"/>
    </row>
    <row r="1101" spans="1:10" customFormat="1" ht="15" hidden="1" customHeight="1" x14ac:dyDescent="0.25">
      <c r="A1101" s="144"/>
      <c r="B1101" s="3"/>
      <c r="D1101" s="102"/>
      <c r="E1101" s="102"/>
      <c r="F1101" s="3"/>
      <c r="G1101" s="101"/>
      <c r="H1101" s="101"/>
      <c r="I1101" s="101"/>
      <c r="J1101" s="89"/>
    </row>
    <row r="1102" spans="1:10" customFormat="1" ht="15" hidden="1" customHeight="1" x14ac:dyDescent="0.25">
      <c r="A1102" s="144"/>
      <c r="B1102" s="3"/>
      <c r="D1102" s="102"/>
      <c r="E1102" s="102"/>
      <c r="F1102" s="3"/>
      <c r="G1102" s="101"/>
      <c r="H1102" s="101"/>
      <c r="I1102" s="101"/>
      <c r="J1102" s="89"/>
    </row>
    <row r="1103" spans="1:10" customFormat="1" ht="15" hidden="1" customHeight="1" x14ac:dyDescent="0.25">
      <c r="A1103" s="144"/>
      <c r="B1103" s="3"/>
      <c r="D1103" s="102"/>
      <c r="E1103" s="102"/>
      <c r="F1103" s="3"/>
      <c r="G1103" s="101"/>
      <c r="H1103" s="101"/>
      <c r="I1103" s="101"/>
      <c r="J1103" s="89"/>
    </row>
    <row r="1104" spans="1:10" customFormat="1" ht="15" hidden="1" customHeight="1" x14ac:dyDescent="0.25">
      <c r="A1104" s="144"/>
      <c r="B1104" s="3"/>
      <c r="D1104" s="102"/>
      <c r="E1104" s="102"/>
      <c r="F1104" s="3"/>
      <c r="G1104" s="101"/>
      <c r="H1104" s="101"/>
      <c r="I1104" s="101"/>
      <c r="J1104" s="89"/>
    </row>
    <row r="1105" spans="1:10" customFormat="1" ht="15" hidden="1" customHeight="1" x14ac:dyDescent="0.25">
      <c r="A1105" s="144"/>
      <c r="B1105" s="3"/>
      <c r="D1105" s="102"/>
      <c r="E1105" s="102"/>
      <c r="F1105" s="3"/>
      <c r="G1105" s="101"/>
      <c r="H1105" s="101"/>
      <c r="I1105" s="101"/>
      <c r="J1105" s="89"/>
    </row>
    <row r="1106" spans="1:10" customFormat="1" ht="15" hidden="1" customHeight="1" x14ac:dyDescent="0.25">
      <c r="A1106" s="144"/>
      <c r="B1106" s="3"/>
      <c r="D1106" s="102"/>
      <c r="E1106" s="102"/>
      <c r="F1106" s="3"/>
      <c r="G1106" s="101"/>
      <c r="H1106" s="101"/>
      <c r="I1106" s="101"/>
      <c r="J1106" s="89"/>
    </row>
    <row r="1107" spans="1:10" customFormat="1" ht="15" hidden="1" customHeight="1" x14ac:dyDescent="0.25">
      <c r="A1107" s="144"/>
      <c r="B1107" s="3"/>
      <c r="D1107" s="102"/>
      <c r="E1107" s="102"/>
      <c r="F1107" s="3"/>
      <c r="G1107" s="101"/>
      <c r="H1107" s="101"/>
      <c r="I1107" s="101"/>
      <c r="J1107" s="89"/>
    </row>
    <row r="1108" spans="1:10" customFormat="1" ht="15" hidden="1" customHeight="1" x14ac:dyDescent="0.25">
      <c r="A1108" s="144"/>
      <c r="B1108" s="3"/>
      <c r="D1108" s="102"/>
      <c r="E1108" s="102"/>
      <c r="F1108" s="3"/>
      <c r="G1108" s="101"/>
      <c r="H1108" s="101"/>
      <c r="I1108" s="101"/>
      <c r="J1108" s="89"/>
    </row>
    <row r="1109" spans="1:10" customFormat="1" ht="15" hidden="1" customHeight="1" x14ac:dyDescent="0.25">
      <c r="A1109" s="144"/>
      <c r="B1109" s="3"/>
      <c r="D1109" s="102"/>
      <c r="E1109" s="102"/>
      <c r="F1109" s="3"/>
      <c r="G1109" s="101"/>
      <c r="H1109" s="101"/>
      <c r="I1109" s="101"/>
      <c r="J1109" s="89"/>
    </row>
    <row r="1110" spans="1:10" customFormat="1" ht="15" hidden="1" customHeight="1" x14ac:dyDescent="0.25">
      <c r="A1110" s="144"/>
      <c r="B1110" s="3"/>
      <c r="D1110" s="102"/>
      <c r="E1110" s="102"/>
      <c r="F1110" s="3"/>
      <c r="G1110" s="101"/>
      <c r="H1110" s="101"/>
      <c r="I1110" s="101"/>
      <c r="J1110" s="89"/>
    </row>
    <row r="1111" spans="1:10" customFormat="1" ht="15" hidden="1" customHeight="1" x14ac:dyDescent="0.25">
      <c r="A1111" s="144"/>
      <c r="B1111" s="3"/>
      <c r="D1111" s="102"/>
      <c r="E1111" s="102"/>
      <c r="F1111" s="3"/>
      <c r="G1111" s="101"/>
      <c r="H1111" s="101"/>
      <c r="I1111" s="101"/>
      <c r="J1111" s="89"/>
    </row>
    <row r="1112" spans="1:10" customFormat="1" ht="15" hidden="1" customHeight="1" x14ac:dyDescent="0.25">
      <c r="A1112" s="144"/>
      <c r="B1112" s="3"/>
      <c r="D1112" s="102"/>
      <c r="E1112" s="102"/>
      <c r="F1112" s="3"/>
      <c r="G1112" s="101"/>
      <c r="H1112" s="101"/>
      <c r="I1112" s="101"/>
      <c r="J1112" s="89"/>
    </row>
    <row r="1113" spans="1:10" customFormat="1" ht="15" hidden="1" customHeight="1" x14ac:dyDescent="0.25">
      <c r="A1113" s="144"/>
      <c r="B1113" s="3"/>
      <c r="D1113" s="102"/>
      <c r="E1113" s="102"/>
      <c r="F1113" s="3"/>
      <c r="G1113" s="101"/>
      <c r="H1113" s="101"/>
      <c r="I1113" s="101"/>
      <c r="J1113" s="89"/>
    </row>
    <row r="1114" spans="1:10" customFormat="1" ht="15" hidden="1" customHeight="1" x14ac:dyDescent="0.25">
      <c r="A1114" s="144"/>
      <c r="B1114" s="3"/>
      <c r="D1114" s="102"/>
      <c r="E1114" s="102"/>
      <c r="F1114" s="3"/>
      <c r="G1114" s="101"/>
      <c r="H1114" s="101"/>
      <c r="I1114" s="101"/>
      <c r="J1114" s="89"/>
    </row>
    <row r="1115" spans="1:10" customFormat="1" ht="15" hidden="1" customHeight="1" x14ac:dyDescent="0.25">
      <c r="A1115" s="144"/>
      <c r="B1115" s="3"/>
      <c r="D1115" s="102"/>
      <c r="E1115" s="102"/>
      <c r="F1115" s="3"/>
      <c r="G1115" s="101"/>
      <c r="H1115" s="101"/>
      <c r="I1115" s="101"/>
      <c r="J1115" s="89"/>
    </row>
    <row r="1116" spans="1:10" customFormat="1" ht="15" hidden="1" customHeight="1" x14ac:dyDescent="0.25">
      <c r="A1116" s="144"/>
      <c r="B1116" s="3"/>
      <c r="D1116" s="102"/>
      <c r="E1116" s="102"/>
      <c r="F1116" s="3"/>
      <c r="G1116" s="101"/>
      <c r="H1116" s="101"/>
      <c r="I1116" s="101"/>
      <c r="J1116" s="89"/>
    </row>
    <row r="1117" spans="1:10" customFormat="1" ht="15" hidden="1" customHeight="1" x14ac:dyDescent="0.25">
      <c r="A1117" s="144"/>
      <c r="B1117" s="3"/>
      <c r="D1117" s="102"/>
      <c r="E1117" s="102"/>
      <c r="F1117" s="3"/>
      <c r="G1117" s="101"/>
      <c r="H1117" s="101"/>
      <c r="I1117" s="101"/>
      <c r="J1117" s="89"/>
    </row>
    <row r="1118" spans="1:10" customFormat="1" ht="15" hidden="1" customHeight="1" x14ac:dyDescent="0.25">
      <c r="A1118" s="144"/>
      <c r="B1118" s="3"/>
      <c r="D1118" s="102"/>
      <c r="E1118" s="102"/>
      <c r="F1118" s="3"/>
      <c r="G1118" s="101"/>
      <c r="H1118" s="101"/>
      <c r="I1118" s="101"/>
      <c r="J1118" s="89"/>
    </row>
    <row r="1119" spans="1:10" customFormat="1" ht="15" hidden="1" customHeight="1" x14ac:dyDescent="0.25">
      <c r="A1119" s="144"/>
      <c r="B1119" s="3"/>
      <c r="D1119" s="102"/>
      <c r="E1119" s="102"/>
      <c r="F1119" s="3"/>
      <c r="G1119" s="101"/>
      <c r="H1119" s="101"/>
      <c r="I1119" s="101"/>
      <c r="J1119" s="89"/>
    </row>
    <row r="1120" spans="1:10" customFormat="1" ht="15" hidden="1" customHeight="1" x14ac:dyDescent="0.25">
      <c r="A1120" s="144"/>
      <c r="B1120" s="3"/>
      <c r="D1120" s="102"/>
      <c r="E1120" s="102"/>
      <c r="F1120" s="3"/>
      <c r="G1120" s="101"/>
      <c r="H1120" s="101"/>
      <c r="I1120" s="101"/>
      <c r="J1120" s="89"/>
    </row>
    <row r="1121" spans="1:10" customFormat="1" ht="15" hidden="1" customHeight="1" x14ac:dyDescent="0.25">
      <c r="A1121" s="144"/>
      <c r="B1121" s="3"/>
      <c r="D1121" s="102"/>
      <c r="E1121" s="102"/>
      <c r="F1121" s="3"/>
      <c r="G1121" s="101"/>
      <c r="H1121" s="101"/>
      <c r="I1121" s="101"/>
      <c r="J1121" s="89"/>
    </row>
    <row r="1122" spans="1:10" customFormat="1" ht="15" hidden="1" customHeight="1" x14ac:dyDescent="0.25">
      <c r="A1122" s="144"/>
      <c r="B1122" s="3"/>
      <c r="D1122" s="102"/>
      <c r="E1122" s="102"/>
      <c r="F1122" s="3"/>
      <c r="G1122" s="101"/>
      <c r="H1122" s="101"/>
      <c r="I1122" s="101"/>
      <c r="J1122" s="89"/>
    </row>
    <row r="1123" spans="1:10" customFormat="1" ht="15" hidden="1" customHeight="1" x14ac:dyDescent="0.25">
      <c r="A1123" s="144"/>
      <c r="B1123" s="3"/>
      <c r="D1123" s="102"/>
      <c r="E1123" s="102"/>
      <c r="F1123" s="3"/>
      <c r="G1123" s="101"/>
      <c r="H1123" s="101"/>
      <c r="I1123" s="101"/>
      <c r="J1123" s="89"/>
    </row>
    <row r="1124" spans="1:10" customFormat="1" ht="15" hidden="1" customHeight="1" x14ac:dyDescent="0.25">
      <c r="A1124" s="144"/>
      <c r="B1124" s="3"/>
      <c r="D1124" s="102"/>
      <c r="E1124" s="102"/>
      <c r="F1124" s="3"/>
      <c r="G1124" s="101"/>
      <c r="H1124" s="101"/>
      <c r="I1124" s="101"/>
      <c r="J1124" s="89"/>
    </row>
    <row r="1125" spans="1:10" customFormat="1" ht="15" hidden="1" customHeight="1" x14ac:dyDescent="0.25">
      <c r="A1125" s="144"/>
      <c r="B1125" s="3"/>
      <c r="D1125" s="102"/>
      <c r="E1125" s="102"/>
      <c r="F1125" s="3"/>
      <c r="G1125" s="101"/>
      <c r="H1125" s="101"/>
      <c r="I1125" s="101"/>
      <c r="J1125" s="89"/>
    </row>
    <row r="1126" spans="1:10" customFormat="1" ht="15" hidden="1" customHeight="1" x14ac:dyDescent="0.25">
      <c r="A1126" s="144"/>
      <c r="B1126" s="3"/>
      <c r="D1126" s="102"/>
      <c r="E1126" s="102"/>
      <c r="F1126" s="3"/>
      <c r="G1126" s="101"/>
      <c r="H1126" s="101"/>
      <c r="I1126" s="101"/>
      <c r="J1126" s="89"/>
    </row>
    <row r="1127" spans="1:10" customFormat="1" ht="15" hidden="1" customHeight="1" x14ac:dyDescent="0.25">
      <c r="A1127" s="144"/>
      <c r="B1127" s="3"/>
      <c r="D1127" s="102"/>
      <c r="E1127" s="102"/>
      <c r="F1127" s="3"/>
      <c r="G1127" s="101"/>
      <c r="H1127" s="101"/>
      <c r="I1127" s="101"/>
      <c r="J1127" s="89"/>
    </row>
    <row r="1128" spans="1:10" customFormat="1" ht="15" hidden="1" customHeight="1" x14ac:dyDescent="0.25">
      <c r="A1128" s="144"/>
      <c r="B1128" s="3"/>
      <c r="D1128" s="102"/>
      <c r="E1128" s="102"/>
      <c r="F1128" s="3"/>
      <c r="G1128" s="101"/>
      <c r="H1128" s="101"/>
      <c r="I1128" s="101"/>
      <c r="J1128" s="89"/>
    </row>
    <row r="1129" spans="1:10" customFormat="1" ht="15" hidden="1" customHeight="1" x14ac:dyDescent="0.25">
      <c r="A1129" s="144"/>
      <c r="B1129" s="3"/>
      <c r="D1129" s="102"/>
      <c r="E1129" s="102"/>
      <c r="F1129" s="3"/>
      <c r="G1129" s="101"/>
      <c r="H1129" s="101"/>
      <c r="I1129" s="101"/>
      <c r="J1129" s="89"/>
    </row>
    <row r="1130" spans="1:10" customFormat="1" ht="15" hidden="1" customHeight="1" x14ac:dyDescent="0.25">
      <c r="A1130" s="144"/>
      <c r="B1130" s="3"/>
      <c r="D1130" s="102"/>
      <c r="E1130" s="102"/>
      <c r="F1130" s="3"/>
      <c r="G1130" s="101"/>
      <c r="H1130" s="101"/>
      <c r="I1130" s="101"/>
      <c r="J1130" s="89"/>
    </row>
    <row r="1131" spans="1:10" customFormat="1" ht="15" hidden="1" customHeight="1" x14ac:dyDescent="0.25">
      <c r="A1131" s="144"/>
      <c r="B1131" s="3"/>
      <c r="D1131" s="102"/>
      <c r="E1131" s="102"/>
      <c r="F1131" s="3"/>
      <c r="G1131" s="101"/>
      <c r="H1131" s="101"/>
      <c r="I1131" s="101"/>
      <c r="J1131" s="89"/>
    </row>
    <row r="1132" spans="1:10" customFormat="1" ht="15" hidden="1" customHeight="1" x14ac:dyDescent="0.25">
      <c r="A1132" s="144"/>
      <c r="B1132" s="3"/>
      <c r="D1132" s="102"/>
      <c r="E1132" s="102"/>
      <c r="F1132" s="3"/>
      <c r="G1132" s="101"/>
      <c r="H1132" s="101"/>
      <c r="I1132" s="101"/>
      <c r="J1132" s="89"/>
    </row>
    <row r="1133" spans="1:10" customFormat="1" ht="15" hidden="1" customHeight="1" x14ac:dyDescent="0.25">
      <c r="A1133" s="144"/>
      <c r="B1133" s="3"/>
      <c r="D1133" s="102"/>
      <c r="E1133" s="102"/>
      <c r="F1133" s="3"/>
      <c r="G1133" s="101"/>
      <c r="H1133" s="101"/>
      <c r="I1133" s="101"/>
      <c r="J1133" s="89"/>
    </row>
    <row r="1134" spans="1:10" customFormat="1" ht="15" hidden="1" customHeight="1" x14ac:dyDescent="0.25">
      <c r="A1134" s="144"/>
      <c r="B1134" s="3"/>
      <c r="D1134" s="102"/>
      <c r="E1134" s="102"/>
      <c r="F1134" s="3"/>
      <c r="G1134" s="101"/>
      <c r="H1134" s="101"/>
      <c r="I1134" s="101"/>
      <c r="J1134" s="89"/>
    </row>
    <row r="1135" spans="1:10" customFormat="1" ht="15" hidden="1" customHeight="1" x14ac:dyDescent="0.25">
      <c r="A1135" s="144"/>
      <c r="B1135" s="3"/>
      <c r="D1135" s="102"/>
      <c r="E1135" s="102"/>
      <c r="F1135" s="3"/>
      <c r="G1135" s="101"/>
      <c r="H1135" s="101"/>
      <c r="I1135" s="101"/>
      <c r="J1135" s="89"/>
    </row>
    <row r="1136" spans="1:10" customFormat="1" ht="15" hidden="1" customHeight="1" x14ac:dyDescent="0.25">
      <c r="A1136" s="144"/>
      <c r="B1136" s="3"/>
      <c r="D1136" s="102"/>
      <c r="E1136" s="102"/>
      <c r="F1136" s="3"/>
      <c r="G1136" s="101"/>
      <c r="H1136" s="101"/>
      <c r="I1136" s="101"/>
      <c r="J1136" s="89"/>
    </row>
    <row r="1137" spans="1:10" customFormat="1" ht="15" hidden="1" customHeight="1" x14ac:dyDescent="0.25">
      <c r="A1137" s="144"/>
      <c r="B1137" s="3"/>
      <c r="D1137" s="102"/>
      <c r="E1137" s="102"/>
      <c r="F1137" s="3"/>
      <c r="G1137" s="101"/>
      <c r="H1137" s="101"/>
      <c r="I1137" s="101"/>
      <c r="J1137" s="89"/>
    </row>
    <row r="1138" spans="1:10" customFormat="1" ht="15" hidden="1" customHeight="1" x14ac:dyDescent="0.25">
      <c r="A1138" s="144"/>
      <c r="B1138" s="3"/>
      <c r="D1138" s="102"/>
      <c r="E1138" s="102"/>
      <c r="F1138" s="3"/>
      <c r="G1138" s="101"/>
      <c r="H1138" s="101"/>
      <c r="I1138" s="101"/>
      <c r="J1138" s="89"/>
    </row>
    <row r="1139" spans="1:10" customFormat="1" ht="15" hidden="1" customHeight="1" x14ac:dyDescent="0.25">
      <c r="A1139" s="144"/>
      <c r="B1139" s="3"/>
      <c r="D1139" s="102"/>
      <c r="E1139" s="102"/>
      <c r="F1139" s="3"/>
      <c r="G1139" s="101"/>
      <c r="H1139" s="101"/>
      <c r="I1139" s="101"/>
      <c r="J1139" s="89"/>
    </row>
    <row r="1140" spans="1:10" customFormat="1" ht="15" hidden="1" customHeight="1" x14ac:dyDescent="0.25">
      <c r="A1140" s="144"/>
      <c r="B1140" s="3"/>
      <c r="D1140" s="102"/>
      <c r="E1140" s="102"/>
      <c r="F1140" s="3"/>
      <c r="G1140" s="101"/>
      <c r="H1140" s="101"/>
      <c r="I1140" s="101"/>
      <c r="J1140" s="89"/>
    </row>
    <row r="1141" spans="1:10" customFormat="1" ht="15" hidden="1" customHeight="1" x14ac:dyDescent="0.25">
      <c r="A1141" s="144"/>
      <c r="B1141" s="3"/>
      <c r="D1141" s="102"/>
      <c r="E1141" s="102"/>
      <c r="F1141" s="3"/>
      <c r="G1141" s="101"/>
      <c r="H1141" s="101"/>
      <c r="I1141" s="101"/>
      <c r="J1141" s="89"/>
    </row>
    <row r="1142" spans="1:10" customFormat="1" ht="15" hidden="1" customHeight="1" x14ac:dyDescent="0.25">
      <c r="A1142" s="144"/>
      <c r="B1142" s="3"/>
      <c r="D1142" s="102"/>
      <c r="E1142" s="102"/>
      <c r="F1142" s="3"/>
      <c r="G1142" s="101"/>
      <c r="H1142" s="101"/>
      <c r="I1142" s="101"/>
      <c r="J1142" s="89"/>
    </row>
    <row r="1143" spans="1:10" customFormat="1" ht="15" hidden="1" customHeight="1" x14ac:dyDescent="0.25">
      <c r="A1143" s="144"/>
      <c r="B1143" s="3"/>
      <c r="D1143" s="102"/>
      <c r="E1143" s="102"/>
      <c r="F1143" s="3"/>
      <c r="G1143" s="101"/>
      <c r="H1143" s="101"/>
      <c r="I1143" s="101"/>
      <c r="J1143" s="89"/>
    </row>
    <row r="1144" spans="1:10" customFormat="1" ht="15" hidden="1" customHeight="1" x14ac:dyDescent="0.25">
      <c r="A1144" s="144"/>
      <c r="B1144" s="3"/>
      <c r="D1144" s="102"/>
      <c r="E1144" s="102"/>
      <c r="F1144" s="3"/>
      <c r="G1144" s="101"/>
      <c r="H1144" s="101"/>
      <c r="I1144" s="101"/>
      <c r="J1144" s="89"/>
    </row>
    <row r="1145" spans="1:10" customFormat="1" ht="15" hidden="1" customHeight="1" x14ac:dyDescent="0.25">
      <c r="A1145" s="144"/>
      <c r="B1145" s="3"/>
      <c r="D1145" s="102"/>
      <c r="E1145" s="102"/>
      <c r="F1145" s="3"/>
      <c r="G1145" s="101"/>
      <c r="H1145" s="101"/>
      <c r="I1145" s="101"/>
      <c r="J1145" s="89"/>
    </row>
    <row r="1146" spans="1:10" customFormat="1" ht="15" hidden="1" customHeight="1" x14ac:dyDescent="0.25">
      <c r="A1146" s="144"/>
      <c r="B1146" s="3"/>
      <c r="D1146" s="102"/>
      <c r="E1146" s="102"/>
      <c r="F1146" s="3"/>
      <c r="G1146" s="101"/>
      <c r="H1146" s="101"/>
      <c r="I1146" s="101"/>
      <c r="J1146" s="89"/>
    </row>
    <row r="1147" spans="1:10" customFormat="1" ht="15" hidden="1" customHeight="1" x14ac:dyDescent="0.25">
      <c r="A1147" s="144"/>
      <c r="B1147" s="3"/>
      <c r="D1147" s="102"/>
      <c r="E1147" s="102"/>
      <c r="F1147" s="3"/>
      <c r="G1147" s="101"/>
      <c r="H1147" s="101"/>
      <c r="I1147" s="101"/>
      <c r="J1147" s="89"/>
    </row>
    <row r="1148" spans="1:10" customFormat="1" ht="15" hidden="1" customHeight="1" x14ac:dyDescent="0.25">
      <c r="A1148" s="144"/>
      <c r="B1148" s="3"/>
      <c r="D1148" s="102"/>
      <c r="E1148" s="102"/>
      <c r="F1148" s="3"/>
      <c r="G1148" s="101"/>
      <c r="H1148" s="101"/>
      <c r="I1148" s="101"/>
      <c r="J1148" s="89"/>
    </row>
    <row r="1149" spans="1:10" customFormat="1" ht="15" hidden="1" customHeight="1" x14ac:dyDescent="0.25">
      <c r="A1149" s="144"/>
      <c r="B1149" s="3"/>
      <c r="D1149" s="102"/>
      <c r="E1149" s="102"/>
      <c r="F1149" s="3"/>
      <c r="G1149" s="101"/>
      <c r="H1149" s="101"/>
      <c r="I1149" s="101"/>
      <c r="J1149" s="89"/>
    </row>
    <row r="1150" spans="1:10" customFormat="1" ht="15" hidden="1" customHeight="1" x14ac:dyDescent="0.25">
      <c r="A1150" s="144"/>
      <c r="B1150" s="3"/>
      <c r="D1150" s="102"/>
      <c r="E1150" s="102"/>
      <c r="F1150" s="3"/>
      <c r="G1150" s="101"/>
      <c r="H1150" s="101"/>
      <c r="I1150" s="101"/>
      <c r="J1150" s="89"/>
    </row>
    <row r="1151" spans="1:10" customFormat="1" ht="15" hidden="1" customHeight="1" x14ac:dyDescent="0.25">
      <c r="A1151" s="144"/>
      <c r="B1151" s="3"/>
      <c r="D1151" s="102"/>
      <c r="E1151" s="102"/>
      <c r="F1151" s="3"/>
      <c r="G1151" s="101"/>
      <c r="H1151" s="101"/>
      <c r="I1151" s="101"/>
      <c r="J1151" s="89"/>
    </row>
    <row r="1152" spans="1:10" customFormat="1" ht="15" hidden="1" customHeight="1" x14ac:dyDescent="0.25">
      <c r="A1152" s="144"/>
      <c r="B1152" s="3"/>
      <c r="D1152" s="102"/>
      <c r="E1152" s="102"/>
      <c r="F1152" s="3"/>
      <c r="G1152" s="101"/>
      <c r="H1152" s="101"/>
      <c r="I1152" s="101"/>
      <c r="J1152" s="89"/>
    </row>
    <row r="1153" spans="1:10" customFormat="1" ht="15" hidden="1" customHeight="1" x14ac:dyDescent="0.25">
      <c r="A1153" s="144"/>
      <c r="B1153" s="3"/>
      <c r="D1153" s="102"/>
      <c r="E1153" s="102"/>
      <c r="F1153" s="3"/>
      <c r="G1153" s="101"/>
      <c r="H1153" s="101"/>
      <c r="I1153" s="101"/>
      <c r="J1153" s="89"/>
    </row>
    <row r="1154" spans="1:10" customFormat="1" ht="15" hidden="1" customHeight="1" x14ac:dyDescent="0.25">
      <c r="A1154" s="144"/>
      <c r="B1154" s="3"/>
      <c r="D1154" s="102"/>
      <c r="E1154" s="102"/>
      <c r="F1154" s="3"/>
      <c r="G1154" s="101"/>
      <c r="H1154" s="101"/>
      <c r="I1154" s="101"/>
      <c r="J1154" s="89"/>
    </row>
    <row r="1155" spans="1:10" customFormat="1" ht="15" hidden="1" customHeight="1" x14ac:dyDescent="0.25">
      <c r="A1155" s="144"/>
      <c r="B1155" s="3"/>
      <c r="D1155" s="102"/>
      <c r="E1155" s="102"/>
      <c r="F1155" s="3"/>
      <c r="G1155" s="101"/>
      <c r="H1155" s="101"/>
      <c r="I1155" s="101"/>
      <c r="J1155" s="89"/>
    </row>
    <row r="1156" spans="1:10" customFormat="1" ht="15" hidden="1" customHeight="1" x14ac:dyDescent="0.25">
      <c r="A1156" s="144"/>
      <c r="B1156" s="3"/>
      <c r="D1156" s="102"/>
      <c r="E1156" s="102"/>
      <c r="F1156" s="3"/>
      <c r="G1156" s="101"/>
      <c r="H1156" s="101"/>
      <c r="I1156" s="101"/>
      <c r="J1156" s="89"/>
    </row>
    <row r="1157" spans="1:10" customFormat="1" ht="15" hidden="1" customHeight="1" x14ac:dyDescent="0.25">
      <c r="A1157" s="144"/>
      <c r="B1157" s="3"/>
      <c r="D1157" s="102"/>
      <c r="E1157" s="102"/>
      <c r="F1157" s="3"/>
      <c r="G1157" s="101"/>
      <c r="H1157" s="101"/>
      <c r="I1157" s="101"/>
      <c r="J1157" s="89"/>
    </row>
    <row r="1158" spans="1:10" customFormat="1" ht="15" hidden="1" customHeight="1" x14ac:dyDescent="0.25">
      <c r="A1158" s="144"/>
      <c r="B1158" s="3"/>
      <c r="D1158" s="102"/>
      <c r="E1158" s="102"/>
      <c r="F1158" s="3"/>
      <c r="G1158" s="101"/>
      <c r="H1158" s="101"/>
      <c r="I1158" s="101"/>
      <c r="J1158" s="89"/>
    </row>
    <row r="1159" spans="1:10" customFormat="1" ht="15" hidden="1" customHeight="1" x14ac:dyDescent="0.25">
      <c r="A1159" s="144"/>
      <c r="B1159" s="3"/>
      <c r="D1159" s="102"/>
      <c r="E1159" s="102"/>
      <c r="F1159" s="3"/>
      <c r="G1159" s="101"/>
      <c r="H1159" s="101"/>
      <c r="I1159" s="101"/>
      <c r="J1159" s="89"/>
    </row>
    <row r="1160" spans="1:10" customFormat="1" ht="15" hidden="1" customHeight="1" x14ac:dyDescent="0.25">
      <c r="A1160" s="144"/>
      <c r="B1160" s="3"/>
      <c r="D1160" s="102"/>
      <c r="E1160" s="102"/>
      <c r="F1160" s="3"/>
      <c r="G1160" s="101"/>
      <c r="H1160" s="101"/>
      <c r="I1160" s="101"/>
      <c r="J1160" s="89"/>
    </row>
    <row r="1161" spans="1:10" customFormat="1" ht="15" hidden="1" customHeight="1" x14ac:dyDescent="0.25">
      <c r="A1161" s="144"/>
      <c r="B1161" s="3"/>
      <c r="D1161" s="102"/>
      <c r="E1161" s="102"/>
      <c r="F1161" s="3"/>
      <c r="G1161" s="101"/>
      <c r="H1161" s="101"/>
      <c r="I1161" s="101"/>
      <c r="J1161" s="89"/>
    </row>
    <row r="1162" spans="1:10" customFormat="1" ht="15" hidden="1" customHeight="1" x14ac:dyDescent="0.25">
      <c r="A1162" s="144"/>
      <c r="B1162" s="3"/>
      <c r="D1162" s="102"/>
      <c r="E1162" s="102"/>
      <c r="F1162" s="3"/>
      <c r="G1162" s="101"/>
      <c r="H1162" s="101"/>
      <c r="I1162" s="101"/>
      <c r="J1162" s="89"/>
    </row>
    <row r="1163" spans="1:10" customFormat="1" ht="15" hidden="1" customHeight="1" x14ac:dyDescent="0.25">
      <c r="A1163" s="144"/>
      <c r="B1163" s="3"/>
      <c r="D1163" s="102"/>
      <c r="E1163" s="102"/>
      <c r="F1163" s="3"/>
      <c r="G1163" s="101"/>
      <c r="H1163" s="101"/>
      <c r="I1163" s="101"/>
      <c r="J1163" s="89"/>
    </row>
    <row r="1164" spans="1:10" customFormat="1" ht="15" hidden="1" customHeight="1" x14ac:dyDescent="0.25">
      <c r="A1164" s="144"/>
      <c r="B1164" s="3"/>
      <c r="D1164" s="102"/>
      <c r="E1164" s="102"/>
      <c r="F1164" s="3"/>
      <c r="G1164" s="101"/>
      <c r="H1164" s="101"/>
      <c r="I1164" s="101"/>
      <c r="J1164" s="89"/>
    </row>
    <row r="1165" spans="1:10" customFormat="1" ht="15" hidden="1" customHeight="1" x14ac:dyDescent="0.25">
      <c r="A1165" s="144"/>
      <c r="B1165" s="3"/>
      <c r="D1165" s="102"/>
      <c r="E1165" s="102"/>
      <c r="F1165" s="3"/>
      <c r="G1165" s="101"/>
      <c r="H1165" s="101"/>
      <c r="I1165" s="101"/>
      <c r="J1165" s="89"/>
    </row>
    <row r="1166" spans="1:10" customFormat="1" ht="15" hidden="1" customHeight="1" x14ac:dyDescent="0.25">
      <c r="A1166" s="144"/>
      <c r="B1166" s="3"/>
      <c r="D1166" s="102"/>
      <c r="E1166" s="102"/>
      <c r="F1166" s="3"/>
      <c r="G1166" s="101"/>
      <c r="H1166" s="101"/>
      <c r="I1166" s="101"/>
      <c r="J1166" s="89"/>
    </row>
    <row r="1167" spans="1:10" customFormat="1" ht="15" hidden="1" customHeight="1" x14ac:dyDescent="0.25">
      <c r="A1167" s="144"/>
      <c r="B1167" s="3"/>
      <c r="D1167" s="102"/>
      <c r="E1167" s="102"/>
      <c r="F1167" s="3"/>
      <c r="G1167" s="101"/>
      <c r="H1167" s="101"/>
      <c r="I1167" s="101"/>
      <c r="J1167" s="89"/>
    </row>
    <row r="1168" spans="1:10" customFormat="1" ht="15" hidden="1" customHeight="1" x14ac:dyDescent="0.25">
      <c r="A1168" s="144"/>
      <c r="B1168" s="3"/>
      <c r="D1168" s="102"/>
      <c r="E1168" s="102"/>
      <c r="F1168" s="3"/>
      <c r="G1168" s="101"/>
      <c r="H1168" s="101"/>
      <c r="I1168" s="101"/>
      <c r="J1168" s="89"/>
    </row>
    <row r="1169" spans="1:10" customFormat="1" ht="15" hidden="1" customHeight="1" x14ac:dyDescent="0.25">
      <c r="A1169" s="144"/>
      <c r="B1169" s="3"/>
      <c r="D1169" s="102"/>
      <c r="E1169" s="102"/>
      <c r="F1169" s="3"/>
      <c r="G1169" s="101"/>
      <c r="H1169" s="101"/>
      <c r="I1169" s="101"/>
      <c r="J1169" s="89"/>
    </row>
    <row r="1170" spans="1:10" customFormat="1" ht="15" hidden="1" customHeight="1" x14ac:dyDescent="0.25">
      <c r="A1170" s="144"/>
      <c r="B1170" s="3"/>
      <c r="D1170" s="102"/>
      <c r="E1170" s="102"/>
      <c r="F1170" s="3"/>
      <c r="G1170" s="101"/>
      <c r="H1170" s="101"/>
      <c r="I1170" s="101"/>
      <c r="J1170" s="89"/>
    </row>
    <row r="1171" spans="1:10" customFormat="1" ht="15" hidden="1" customHeight="1" x14ac:dyDescent="0.25">
      <c r="A1171" s="144"/>
      <c r="B1171" s="3"/>
      <c r="D1171" s="102"/>
      <c r="E1171" s="102"/>
      <c r="F1171" s="3"/>
      <c r="G1171" s="101"/>
      <c r="H1171" s="101"/>
      <c r="I1171" s="101"/>
      <c r="J1171" s="89"/>
    </row>
    <row r="1172" spans="1:10" customFormat="1" ht="15" hidden="1" customHeight="1" x14ac:dyDescent="0.25">
      <c r="A1172" s="144"/>
      <c r="B1172" s="3"/>
      <c r="D1172" s="102"/>
      <c r="E1172" s="102"/>
      <c r="F1172" s="3"/>
      <c r="G1172" s="101"/>
      <c r="H1172" s="101"/>
      <c r="I1172" s="101"/>
      <c r="J1172" s="89"/>
    </row>
    <row r="1173" spans="1:10" customFormat="1" ht="15" hidden="1" customHeight="1" x14ac:dyDescent="0.25">
      <c r="A1173" s="144"/>
      <c r="B1173" s="3"/>
      <c r="D1173" s="102"/>
      <c r="E1173" s="102"/>
      <c r="F1173" s="3"/>
      <c r="G1173" s="101"/>
      <c r="H1173" s="101"/>
      <c r="I1173" s="101"/>
      <c r="J1173" s="89"/>
    </row>
    <row r="1174" spans="1:10" customFormat="1" ht="15" hidden="1" customHeight="1" x14ac:dyDescent="0.25">
      <c r="A1174" s="144"/>
      <c r="B1174" s="3"/>
      <c r="D1174" s="102"/>
      <c r="E1174" s="102"/>
      <c r="F1174" s="3"/>
      <c r="G1174" s="101"/>
      <c r="H1174" s="101"/>
      <c r="I1174" s="101"/>
      <c r="J1174" s="89"/>
    </row>
    <row r="1175" spans="1:10" customFormat="1" ht="15" hidden="1" customHeight="1" x14ac:dyDescent="0.25">
      <c r="A1175" s="144"/>
      <c r="B1175" s="3"/>
      <c r="D1175" s="102"/>
      <c r="E1175" s="102"/>
      <c r="F1175" s="3"/>
      <c r="G1175" s="101"/>
      <c r="H1175" s="101"/>
      <c r="I1175" s="101"/>
      <c r="J1175" s="89"/>
    </row>
    <row r="1176" spans="1:10" customFormat="1" ht="15" hidden="1" customHeight="1" x14ac:dyDescent="0.25">
      <c r="A1176" s="144"/>
      <c r="B1176" s="3"/>
      <c r="D1176" s="102"/>
      <c r="E1176" s="102"/>
      <c r="F1176" s="3"/>
      <c r="G1176" s="101"/>
      <c r="H1176" s="101"/>
      <c r="I1176" s="101"/>
      <c r="J1176" s="89"/>
    </row>
    <row r="1177" spans="1:10" customFormat="1" ht="15" hidden="1" customHeight="1" x14ac:dyDescent="0.25">
      <c r="A1177" s="144"/>
      <c r="B1177" s="3"/>
      <c r="D1177" s="102"/>
      <c r="E1177" s="102"/>
      <c r="F1177" s="3"/>
      <c r="G1177" s="101"/>
      <c r="H1177" s="101"/>
      <c r="I1177" s="101"/>
      <c r="J1177" s="89"/>
    </row>
    <row r="1178" spans="1:10" customFormat="1" ht="15" hidden="1" customHeight="1" x14ac:dyDescent="0.25">
      <c r="A1178" s="144"/>
      <c r="B1178" s="3"/>
      <c r="D1178" s="102"/>
      <c r="E1178" s="102"/>
      <c r="F1178" s="3"/>
      <c r="G1178" s="101"/>
      <c r="H1178" s="101"/>
      <c r="I1178" s="101"/>
      <c r="J1178" s="89"/>
    </row>
    <row r="1179" spans="1:10" customFormat="1" ht="15" hidden="1" customHeight="1" x14ac:dyDescent="0.25">
      <c r="A1179" s="144"/>
      <c r="B1179" s="3"/>
      <c r="D1179" s="102"/>
      <c r="E1179" s="102"/>
      <c r="F1179" s="3"/>
      <c r="G1179" s="101"/>
      <c r="H1179" s="101"/>
      <c r="I1179" s="101"/>
      <c r="J1179" s="89"/>
    </row>
    <row r="1180" spans="1:10" customFormat="1" ht="15" hidden="1" customHeight="1" x14ac:dyDescent="0.25">
      <c r="A1180" s="144"/>
      <c r="B1180" s="3"/>
      <c r="D1180" s="102"/>
      <c r="E1180" s="102"/>
      <c r="F1180" s="3"/>
      <c r="G1180" s="101"/>
      <c r="H1180" s="101"/>
      <c r="I1180" s="101"/>
      <c r="J1180" s="89"/>
    </row>
    <row r="1181" spans="1:10" customFormat="1" ht="15" hidden="1" customHeight="1" x14ac:dyDescent="0.25">
      <c r="A1181" s="144"/>
      <c r="B1181" s="3"/>
      <c r="D1181" s="102"/>
      <c r="E1181" s="102"/>
      <c r="F1181" s="3"/>
      <c r="G1181" s="101"/>
      <c r="H1181" s="101"/>
      <c r="I1181" s="101"/>
      <c r="J1181" s="89"/>
    </row>
    <row r="1182" spans="1:10" customFormat="1" ht="15" hidden="1" customHeight="1" x14ac:dyDescent="0.25">
      <c r="A1182" s="144"/>
      <c r="B1182" s="3"/>
      <c r="D1182" s="102"/>
      <c r="E1182" s="102"/>
      <c r="F1182" s="3"/>
      <c r="G1182" s="101"/>
      <c r="H1182" s="101"/>
      <c r="I1182" s="101"/>
      <c r="J1182" s="89"/>
    </row>
    <row r="1183" spans="1:10" customFormat="1" ht="15" hidden="1" customHeight="1" x14ac:dyDescent="0.25">
      <c r="A1183" s="144"/>
      <c r="B1183" s="3"/>
      <c r="D1183" s="102"/>
      <c r="E1183" s="102"/>
      <c r="F1183" s="3"/>
      <c r="G1183" s="101"/>
      <c r="H1183" s="101"/>
      <c r="I1183" s="101"/>
      <c r="J1183" s="89"/>
    </row>
    <row r="1184" spans="1:10" customFormat="1" ht="15" hidden="1" customHeight="1" x14ac:dyDescent="0.25">
      <c r="A1184" s="144"/>
      <c r="B1184" s="3"/>
      <c r="D1184" s="102"/>
      <c r="E1184" s="102"/>
      <c r="F1184" s="3"/>
      <c r="G1184" s="101"/>
      <c r="H1184" s="101"/>
      <c r="I1184" s="101"/>
      <c r="J1184" s="89"/>
    </row>
    <row r="1185" spans="1:10" customFormat="1" ht="15" hidden="1" customHeight="1" x14ac:dyDescent="0.25">
      <c r="A1185" s="144"/>
      <c r="B1185" s="3"/>
      <c r="D1185" s="102"/>
      <c r="E1185" s="102"/>
      <c r="F1185" s="3"/>
      <c r="G1185" s="101"/>
      <c r="H1185" s="101"/>
      <c r="I1185" s="101"/>
      <c r="J1185" s="89"/>
    </row>
    <row r="1186" spans="1:10" customFormat="1" ht="15" hidden="1" customHeight="1" x14ac:dyDescent="0.25">
      <c r="A1186" s="144"/>
      <c r="B1186" s="3"/>
      <c r="D1186" s="102"/>
      <c r="E1186" s="102"/>
      <c r="F1186" s="3"/>
      <c r="G1186" s="101"/>
      <c r="H1186" s="101"/>
      <c r="I1186" s="101"/>
      <c r="J1186" s="89"/>
    </row>
    <row r="1187" spans="1:10" customFormat="1" ht="15" hidden="1" customHeight="1" x14ac:dyDescent="0.25">
      <c r="A1187" s="144"/>
      <c r="B1187" s="3"/>
      <c r="D1187" s="102"/>
      <c r="E1187" s="102"/>
      <c r="F1187" s="3"/>
      <c r="G1187" s="101"/>
      <c r="H1187" s="101"/>
      <c r="I1187" s="101"/>
      <c r="J1187" s="89"/>
    </row>
    <row r="1188" spans="1:10" customFormat="1" ht="15" hidden="1" customHeight="1" x14ac:dyDescent="0.25">
      <c r="A1188" s="144"/>
      <c r="B1188" s="3"/>
      <c r="D1188" s="102"/>
      <c r="E1188" s="102"/>
      <c r="F1188" s="3"/>
      <c r="G1188" s="101"/>
      <c r="H1188" s="101"/>
      <c r="I1188" s="101"/>
      <c r="J1188" s="89"/>
    </row>
    <row r="1189" spans="1:10" customFormat="1" ht="15" hidden="1" customHeight="1" x14ac:dyDescent="0.25">
      <c r="A1189" s="144"/>
      <c r="B1189" s="3"/>
      <c r="D1189" s="102"/>
      <c r="E1189" s="102"/>
      <c r="F1189" s="3"/>
      <c r="G1189" s="101"/>
      <c r="H1189" s="101"/>
      <c r="I1189" s="101"/>
      <c r="J1189" s="89"/>
    </row>
    <row r="1190" spans="1:10" customFormat="1" ht="15" hidden="1" customHeight="1" x14ac:dyDescent="0.25">
      <c r="A1190" s="144"/>
      <c r="B1190" s="3"/>
      <c r="D1190" s="102"/>
      <c r="E1190" s="102"/>
      <c r="F1190" s="3"/>
      <c r="G1190" s="101"/>
      <c r="H1190" s="101"/>
      <c r="I1190" s="101"/>
      <c r="J1190" s="89"/>
    </row>
    <row r="1191" spans="1:10" customFormat="1" ht="15" hidden="1" customHeight="1" x14ac:dyDescent="0.25">
      <c r="A1191" s="144"/>
      <c r="B1191" s="3"/>
      <c r="D1191" s="102"/>
      <c r="E1191" s="102"/>
      <c r="F1191" s="3"/>
      <c r="G1191" s="101"/>
      <c r="H1191" s="101"/>
      <c r="I1191" s="101"/>
      <c r="J1191" s="89"/>
    </row>
    <row r="1192" spans="1:10" customFormat="1" ht="15" hidden="1" customHeight="1" x14ac:dyDescent="0.25">
      <c r="A1192" s="144"/>
      <c r="B1192" s="3"/>
      <c r="D1192" s="102"/>
      <c r="E1192" s="102"/>
      <c r="F1192" s="3"/>
      <c r="G1192" s="101"/>
      <c r="H1192" s="101"/>
      <c r="I1192" s="101"/>
      <c r="J1192" s="89"/>
    </row>
    <row r="1193" spans="1:10" customFormat="1" ht="15" hidden="1" customHeight="1" x14ac:dyDescent="0.25">
      <c r="A1193" s="144"/>
      <c r="B1193" s="3"/>
      <c r="D1193" s="102"/>
      <c r="E1193" s="102"/>
      <c r="F1193" s="3"/>
      <c r="G1193" s="101"/>
      <c r="H1193" s="101"/>
      <c r="I1193" s="101"/>
      <c r="J1193" s="89"/>
    </row>
    <row r="1194" spans="1:10" customFormat="1" ht="15" hidden="1" customHeight="1" x14ac:dyDescent="0.25">
      <c r="A1194" s="144"/>
      <c r="B1194" s="3"/>
      <c r="D1194" s="102"/>
      <c r="E1194" s="102"/>
      <c r="F1194" s="3"/>
      <c r="G1194" s="101"/>
      <c r="H1194" s="101"/>
      <c r="I1194" s="101"/>
      <c r="J1194" s="89"/>
    </row>
    <row r="1195" spans="1:10" customFormat="1" ht="15" hidden="1" customHeight="1" x14ac:dyDescent="0.25">
      <c r="A1195" s="144"/>
      <c r="B1195" s="3"/>
      <c r="D1195" s="102"/>
      <c r="E1195" s="102"/>
      <c r="F1195" s="3"/>
      <c r="G1195" s="101"/>
      <c r="H1195" s="101"/>
      <c r="I1195" s="101"/>
      <c r="J1195" s="89"/>
    </row>
    <row r="1196" spans="1:10" customFormat="1" ht="15" hidden="1" customHeight="1" x14ac:dyDescent="0.25">
      <c r="A1196" s="144"/>
      <c r="B1196" s="3"/>
      <c r="D1196" s="102"/>
      <c r="E1196" s="102"/>
      <c r="F1196" s="3"/>
      <c r="G1196" s="101"/>
      <c r="H1196" s="101"/>
      <c r="I1196" s="101"/>
      <c r="J1196" s="89"/>
    </row>
    <row r="1197" spans="1:10" customFormat="1" ht="15" hidden="1" customHeight="1" x14ac:dyDescent="0.25">
      <c r="A1197" s="144"/>
      <c r="B1197" s="3"/>
      <c r="D1197" s="102"/>
      <c r="E1197" s="102"/>
      <c r="F1197" s="3"/>
      <c r="G1197" s="101"/>
      <c r="H1197" s="101"/>
      <c r="I1197" s="101"/>
      <c r="J1197" s="89"/>
    </row>
    <row r="1198" spans="1:10" customFormat="1" ht="15" hidden="1" customHeight="1" x14ac:dyDescent="0.25">
      <c r="A1198" s="144"/>
      <c r="B1198" s="3"/>
      <c r="D1198" s="102"/>
      <c r="E1198" s="102"/>
      <c r="F1198" s="3"/>
      <c r="G1198" s="101"/>
      <c r="H1198" s="101"/>
      <c r="I1198" s="101"/>
      <c r="J1198" s="89"/>
    </row>
    <row r="1199" spans="1:10" customFormat="1" ht="15" hidden="1" customHeight="1" x14ac:dyDescent="0.25">
      <c r="A1199" s="144"/>
      <c r="B1199" s="3"/>
      <c r="D1199" s="102"/>
      <c r="E1199" s="102"/>
      <c r="F1199" s="3"/>
      <c r="G1199" s="101"/>
      <c r="H1199" s="101"/>
      <c r="I1199" s="101"/>
      <c r="J1199" s="89"/>
    </row>
    <row r="1200" spans="1:10" customFormat="1" ht="15" hidden="1" customHeight="1" x14ac:dyDescent="0.25">
      <c r="A1200" s="144"/>
      <c r="B1200" s="3"/>
      <c r="D1200" s="102"/>
      <c r="E1200" s="102"/>
      <c r="F1200" s="3"/>
      <c r="G1200" s="101"/>
      <c r="H1200" s="101"/>
      <c r="I1200" s="101"/>
      <c r="J1200" s="89"/>
    </row>
    <row r="1201" spans="1:10" customFormat="1" ht="15" hidden="1" customHeight="1" x14ac:dyDescent="0.25">
      <c r="A1201" s="144"/>
      <c r="B1201" s="3"/>
      <c r="D1201" s="102"/>
      <c r="E1201" s="102"/>
      <c r="F1201" s="3"/>
      <c r="G1201" s="101"/>
      <c r="H1201" s="101"/>
      <c r="I1201" s="101"/>
      <c r="J1201" s="89"/>
    </row>
    <row r="1202" spans="1:10" customFormat="1" ht="15" hidden="1" customHeight="1" x14ac:dyDescent="0.25">
      <c r="A1202" s="144"/>
      <c r="B1202" s="3"/>
      <c r="D1202" s="102"/>
      <c r="E1202" s="102"/>
      <c r="F1202" s="3"/>
      <c r="G1202" s="101"/>
      <c r="H1202" s="101"/>
      <c r="I1202" s="101"/>
      <c r="J1202" s="89"/>
    </row>
    <row r="1203" spans="1:10" customFormat="1" ht="15" hidden="1" customHeight="1" x14ac:dyDescent="0.25">
      <c r="A1203" s="144"/>
      <c r="B1203" s="3"/>
      <c r="D1203" s="102"/>
      <c r="E1203" s="102"/>
      <c r="F1203" s="3"/>
      <c r="G1203" s="101"/>
      <c r="H1203" s="101"/>
      <c r="I1203" s="101"/>
      <c r="J1203" s="89"/>
    </row>
    <row r="1204" spans="1:10" customFormat="1" ht="15" hidden="1" customHeight="1" x14ac:dyDescent="0.25">
      <c r="A1204" s="144"/>
      <c r="B1204" s="3"/>
      <c r="D1204" s="102"/>
      <c r="E1204" s="102"/>
      <c r="F1204" s="3"/>
      <c r="G1204" s="101"/>
      <c r="H1204" s="101"/>
      <c r="I1204" s="101"/>
      <c r="J1204" s="89"/>
    </row>
    <row r="1205" spans="1:10" customFormat="1" ht="15" hidden="1" customHeight="1" x14ac:dyDescent="0.25">
      <c r="A1205" s="144"/>
      <c r="B1205" s="3"/>
      <c r="D1205" s="102"/>
      <c r="E1205" s="102"/>
      <c r="F1205" s="3"/>
      <c r="G1205" s="101"/>
      <c r="H1205" s="101"/>
      <c r="I1205" s="101"/>
      <c r="J1205" s="89"/>
    </row>
    <row r="1206" spans="1:10" customFormat="1" ht="15" hidden="1" customHeight="1" x14ac:dyDescent="0.25">
      <c r="A1206" s="144"/>
      <c r="B1206" s="3"/>
      <c r="D1206" s="102"/>
      <c r="E1206" s="102"/>
      <c r="F1206" s="3"/>
      <c r="G1206" s="101"/>
      <c r="H1206" s="101"/>
      <c r="I1206" s="101"/>
      <c r="J1206" s="89"/>
    </row>
    <row r="1207" spans="1:10" customFormat="1" ht="15" hidden="1" customHeight="1" x14ac:dyDescent="0.25">
      <c r="A1207" s="144"/>
      <c r="B1207" s="3"/>
      <c r="D1207" s="102"/>
      <c r="E1207" s="102"/>
      <c r="F1207" s="3"/>
      <c r="G1207" s="101"/>
      <c r="H1207" s="101"/>
      <c r="I1207" s="101"/>
      <c r="J1207" s="89"/>
    </row>
    <row r="1208" spans="1:10" customFormat="1" ht="15" hidden="1" customHeight="1" x14ac:dyDescent="0.25">
      <c r="A1208" s="144"/>
      <c r="B1208" s="3"/>
      <c r="D1208" s="102"/>
      <c r="E1208" s="102"/>
      <c r="F1208" s="3"/>
      <c r="G1208" s="101"/>
      <c r="H1208" s="101"/>
      <c r="I1208" s="101"/>
      <c r="J1208" s="89"/>
    </row>
    <row r="1209" spans="1:10" customFormat="1" ht="15" hidden="1" customHeight="1" x14ac:dyDescent="0.25">
      <c r="A1209" s="144"/>
      <c r="B1209" s="3"/>
      <c r="D1209" s="102"/>
      <c r="E1209" s="102"/>
      <c r="F1209" s="3"/>
      <c r="G1209" s="101"/>
      <c r="H1209" s="101"/>
      <c r="I1209" s="101"/>
      <c r="J1209" s="89"/>
    </row>
    <row r="1210" spans="1:10" customFormat="1" ht="15" hidden="1" customHeight="1" x14ac:dyDescent="0.25">
      <c r="A1210" s="144"/>
      <c r="B1210" s="3"/>
      <c r="D1210" s="102"/>
      <c r="E1210" s="102"/>
      <c r="F1210" s="3"/>
      <c r="G1210" s="101"/>
      <c r="H1210" s="101"/>
      <c r="I1210" s="101"/>
      <c r="J1210" s="89"/>
    </row>
    <row r="1211" spans="1:10" customFormat="1" ht="15" hidden="1" customHeight="1" x14ac:dyDescent="0.25">
      <c r="A1211" s="144"/>
      <c r="B1211" s="3"/>
      <c r="D1211" s="102"/>
      <c r="E1211" s="102"/>
      <c r="F1211" s="3"/>
      <c r="G1211" s="101"/>
      <c r="H1211" s="101"/>
      <c r="I1211" s="101"/>
      <c r="J1211" s="89"/>
    </row>
    <row r="1212" spans="1:10" customFormat="1" ht="15" hidden="1" customHeight="1" x14ac:dyDescent="0.25">
      <c r="A1212" s="144"/>
      <c r="B1212" s="3"/>
      <c r="D1212" s="102"/>
      <c r="E1212" s="102"/>
      <c r="F1212" s="3"/>
      <c r="G1212" s="101"/>
      <c r="H1212" s="101"/>
      <c r="I1212" s="101"/>
      <c r="J1212" s="89"/>
    </row>
    <row r="1213" spans="1:10" customFormat="1" ht="15" hidden="1" customHeight="1" x14ac:dyDescent="0.25">
      <c r="A1213" s="144"/>
      <c r="B1213" s="3"/>
      <c r="D1213" s="102"/>
      <c r="E1213" s="102"/>
      <c r="F1213" s="3"/>
      <c r="G1213" s="101"/>
      <c r="H1213" s="101"/>
      <c r="I1213" s="101"/>
      <c r="J1213" s="89"/>
    </row>
    <row r="1214" spans="1:10" customFormat="1" ht="15" hidden="1" customHeight="1" x14ac:dyDescent="0.25">
      <c r="A1214" s="144"/>
      <c r="B1214" s="3"/>
      <c r="D1214" s="102"/>
      <c r="E1214" s="102"/>
      <c r="F1214" s="3"/>
      <c r="G1214" s="101"/>
      <c r="H1214" s="101"/>
      <c r="I1214" s="101"/>
      <c r="J1214" s="89"/>
    </row>
    <row r="1215" spans="1:10" customFormat="1" ht="15" hidden="1" customHeight="1" x14ac:dyDescent="0.25">
      <c r="A1215" s="144"/>
      <c r="B1215" s="3"/>
      <c r="D1215" s="102"/>
      <c r="E1215" s="102"/>
      <c r="F1215" s="3"/>
      <c r="G1215" s="101"/>
      <c r="H1215" s="101"/>
      <c r="I1215" s="101"/>
      <c r="J1215" s="89"/>
    </row>
    <row r="1216" spans="1:10" customFormat="1" ht="15" hidden="1" customHeight="1" x14ac:dyDescent="0.25">
      <c r="A1216" s="144"/>
      <c r="B1216" s="3"/>
      <c r="D1216" s="102"/>
      <c r="E1216" s="102"/>
      <c r="F1216" s="3"/>
      <c r="G1216" s="101"/>
      <c r="H1216" s="101"/>
      <c r="I1216" s="101"/>
      <c r="J1216" s="89"/>
    </row>
    <row r="1217" spans="1:10" customFormat="1" ht="15" hidden="1" customHeight="1" x14ac:dyDescent="0.25">
      <c r="A1217" s="144"/>
      <c r="B1217" s="3"/>
      <c r="D1217" s="102"/>
      <c r="E1217" s="102"/>
      <c r="F1217" s="3"/>
      <c r="G1217" s="101"/>
      <c r="H1217" s="101"/>
      <c r="I1217" s="101"/>
      <c r="J1217" s="89"/>
    </row>
    <row r="1218" spans="1:10" customFormat="1" ht="15" hidden="1" customHeight="1" x14ac:dyDescent="0.25">
      <c r="A1218" s="144"/>
      <c r="B1218" s="3"/>
      <c r="D1218" s="102"/>
      <c r="E1218" s="102"/>
      <c r="F1218" s="3"/>
      <c r="G1218" s="101"/>
      <c r="H1218" s="101"/>
      <c r="I1218" s="101"/>
      <c r="J1218" s="89"/>
    </row>
    <row r="1219" spans="1:10" customFormat="1" ht="15" hidden="1" customHeight="1" x14ac:dyDescent="0.25">
      <c r="A1219" s="144"/>
      <c r="B1219" s="3"/>
      <c r="D1219" s="102"/>
      <c r="E1219" s="102"/>
      <c r="F1219" s="3"/>
      <c r="G1219" s="101"/>
      <c r="H1219" s="101"/>
      <c r="I1219" s="101"/>
      <c r="J1219" s="89"/>
    </row>
    <row r="1220" spans="1:10" customFormat="1" ht="15" hidden="1" customHeight="1" x14ac:dyDescent="0.25">
      <c r="A1220" s="144"/>
      <c r="B1220" s="3"/>
      <c r="D1220" s="102"/>
      <c r="E1220" s="102"/>
      <c r="F1220" s="3"/>
      <c r="G1220" s="101"/>
      <c r="H1220" s="101"/>
      <c r="I1220" s="101"/>
      <c r="J1220" s="89"/>
    </row>
    <row r="1221" spans="1:10" customFormat="1" ht="15" hidden="1" customHeight="1" x14ac:dyDescent="0.25">
      <c r="A1221" s="144"/>
      <c r="B1221" s="3"/>
      <c r="D1221" s="102"/>
      <c r="E1221" s="102"/>
      <c r="F1221" s="3"/>
      <c r="G1221" s="101"/>
      <c r="H1221" s="101"/>
      <c r="I1221" s="101"/>
      <c r="J1221" s="89"/>
    </row>
    <row r="1222" spans="1:10" customFormat="1" ht="15" hidden="1" customHeight="1" x14ac:dyDescent="0.25">
      <c r="A1222" s="144"/>
      <c r="B1222" s="3"/>
      <c r="D1222" s="102"/>
      <c r="E1222" s="102"/>
      <c r="F1222" s="3"/>
      <c r="G1222" s="101"/>
      <c r="H1222" s="101"/>
      <c r="I1222" s="101"/>
      <c r="J1222" s="89"/>
    </row>
    <row r="1223" spans="1:10" customFormat="1" ht="15" hidden="1" customHeight="1" x14ac:dyDescent="0.25">
      <c r="A1223" s="144"/>
      <c r="B1223" s="3"/>
      <c r="D1223" s="102"/>
      <c r="E1223" s="102"/>
      <c r="F1223" s="3"/>
      <c r="G1223" s="101"/>
      <c r="H1223" s="101"/>
      <c r="I1223" s="101"/>
      <c r="J1223" s="89"/>
    </row>
    <row r="1224" spans="1:10" customFormat="1" ht="15" hidden="1" customHeight="1" x14ac:dyDescent="0.25">
      <c r="A1224" s="144"/>
      <c r="B1224" s="3"/>
      <c r="D1224" s="102"/>
      <c r="E1224" s="102"/>
      <c r="F1224" s="3"/>
      <c r="G1224" s="101"/>
      <c r="H1224" s="101"/>
      <c r="I1224" s="101"/>
      <c r="J1224" s="89"/>
    </row>
    <row r="1225" spans="1:10" customFormat="1" ht="15" hidden="1" customHeight="1" x14ac:dyDescent="0.25">
      <c r="A1225" s="144"/>
      <c r="B1225" s="3"/>
      <c r="D1225" s="102"/>
      <c r="E1225" s="102"/>
      <c r="F1225" s="3"/>
      <c r="G1225" s="101"/>
      <c r="H1225" s="101"/>
      <c r="I1225" s="101"/>
      <c r="J1225" s="89"/>
    </row>
    <row r="1226" spans="1:10" customFormat="1" ht="15" hidden="1" customHeight="1" x14ac:dyDescent="0.25">
      <c r="A1226" s="144"/>
      <c r="B1226" s="3"/>
      <c r="D1226" s="102"/>
      <c r="E1226" s="102"/>
      <c r="F1226" s="3"/>
      <c r="G1226" s="101"/>
      <c r="H1226" s="101"/>
      <c r="I1226" s="101"/>
      <c r="J1226" s="89"/>
    </row>
    <row r="1227" spans="1:10" customFormat="1" ht="15" hidden="1" customHeight="1" x14ac:dyDescent="0.25">
      <c r="A1227" s="144"/>
      <c r="B1227" s="3"/>
      <c r="D1227" s="102"/>
      <c r="E1227" s="102"/>
      <c r="F1227" s="3"/>
      <c r="G1227" s="101"/>
      <c r="H1227" s="101"/>
      <c r="I1227" s="101"/>
      <c r="J1227" s="89"/>
    </row>
    <row r="1228" spans="1:10" customFormat="1" ht="15" hidden="1" customHeight="1" x14ac:dyDescent="0.25">
      <c r="A1228" s="144"/>
      <c r="B1228" s="3"/>
      <c r="D1228" s="102"/>
      <c r="E1228" s="102"/>
      <c r="F1228" s="3"/>
      <c r="G1228" s="101"/>
      <c r="H1228" s="101"/>
      <c r="I1228" s="101"/>
      <c r="J1228" s="89"/>
    </row>
    <row r="1229" spans="1:10" customFormat="1" ht="15" hidden="1" customHeight="1" x14ac:dyDescent="0.25">
      <c r="A1229" s="144"/>
      <c r="B1229" s="3"/>
      <c r="D1229" s="102"/>
      <c r="E1229" s="102"/>
      <c r="F1229" s="3"/>
      <c r="G1229" s="101"/>
      <c r="H1229" s="101"/>
      <c r="I1229" s="101"/>
      <c r="J1229" s="89"/>
    </row>
    <row r="1230" spans="1:10" customFormat="1" ht="15" hidden="1" customHeight="1" x14ac:dyDescent="0.25">
      <c r="A1230" s="144"/>
      <c r="B1230" s="3"/>
      <c r="D1230" s="102"/>
      <c r="E1230" s="102"/>
      <c r="F1230" s="3"/>
      <c r="G1230" s="101"/>
      <c r="H1230" s="101"/>
      <c r="I1230" s="101"/>
      <c r="J1230" s="89"/>
    </row>
    <row r="1231" spans="1:10" customFormat="1" ht="15" hidden="1" customHeight="1" x14ac:dyDescent="0.25">
      <c r="A1231" s="144"/>
      <c r="B1231" s="3"/>
      <c r="D1231" s="102"/>
      <c r="E1231" s="102"/>
      <c r="F1231" s="3"/>
      <c r="G1231" s="101"/>
      <c r="H1231" s="101"/>
      <c r="I1231" s="101"/>
      <c r="J1231" s="89"/>
    </row>
    <row r="1232" spans="1:10" customFormat="1" ht="15" hidden="1" customHeight="1" x14ac:dyDescent="0.25">
      <c r="A1232" s="144"/>
      <c r="B1232" s="3"/>
      <c r="D1232" s="102"/>
      <c r="E1232" s="102"/>
      <c r="F1232" s="3"/>
      <c r="G1232" s="101"/>
      <c r="H1232" s="101"/>
      <c r="I1232" s="101"/>
      <c r="J1232" s="89"/>
    </row>
    <row r="1233" spans="1:10" customFormat="1" ht="15" hidden="1" customHeight="1" x14ac:dyDescent="0.25">
      <c r="A1233" s="144"/>
      <c r="B1233" s="3"/>
      <c r="D1233" s="102"/>
      <c r="E1233" s="102"/>
      <c r="F1233" s="3"/>
      <c r="G1233" s="101"/>
      <c r="H1233" s="101"/>
      <c r="I1233" s="101"/>
      <c r="J1233" s="89"/>
    </row>
    <row r="1234" spans="1:10" customFormat="1" ht="15" hidden="1" customHeight="1" x14ac:dyDescent="0.25">
      <c r="A1234" s="144"/>
      <c r="B1234" s="3"/>
      <c r="D1234" s="102"/>
      <c r="E1234" s="102"/>
      <c r="F1234" s="3"/>
      <c r="G1234" s="101"/>
      <c r="H1234" s="101"/>
      <c r="I1234" s="101"/>
      <c r="J1234" s="89"/>
    </row>
    <row r="1235" spans="1:10" customFormat="1" ht="15" hidden="1" customHeight="1" x14ac:dyDescent="0.25">
      <c r="A1235" s="144"/>
      <c r="B1235" s="3"/>
      <c r="D1235" s="102"/>
      <c r="E1235" s="102"/>
      <c r="F1235" s="3"/>
      <c r="G1235" s="101"/>
      <c r="H1235" s="101"/>
      <c r="I1235" s="101"/>
      <c r="J1235" s="89"/>
    </row>
    <row r="1236" spans="1:10" customFormat="1" ht="15" hidden="1" customHeight="1" x14ac:dyDescent="0.25">
      <c r="A1236" s="144"/>
      <c r="B1236" s="3"/>
      <c r="D1236" s="102"/>
      <c r="E1236" s="102"/>
      <c r="F1236" s="3"/>
      <c r="G1236" s="101"/>
      <c r="H1236" s="101"/>
      <c r="I1236" s="101"/>
      <c r="J1236" s="89"/>
    </row>
    <row r="1237" spans="1:10" customFormat="1" ht="15" hidden="1" customHeight="1" x14ac:dyDescent="0.25">
      <c r="A1237" s="144"/>
      <c r="B1237" s="3"/>
      <c r="D1237" s="102"/>
      <c r="E1237" s="102"/>
      <c r="F1237" s="3"/>
      <c r="G1237" s="101"/>
      <c r="H1237" s="101"/>
      <c r="I1237" s="101"/>
      <c r="J1237" s="89"/>
    </row>
    <row r="1238" spans="1:10" customFormat="1" ht="15" hidden="1" customHeight="1" x14ac:dyDescent="0.25">
      <c r="A1238" s="144"/>
      <c r="B1238" s="3"/>
      <c r="D1238" s="102"/>
      <c r="E1238" s="102"/>
      <c r="F1238" s="3"/>
      <c r="G1238" s="101"/>
      <c r="H1238" s="101"/>
      <c r="I1238" s="101"/>
      <c r="J1238" s="89"/>
    </row>
    <row r="1239" spans="1:10" customFormat="1" ht="15" hidden="1" customHeight="1" x14ac:dyDescent="0.25">
      <c r="A1239" s="144"/>
      <c r="B1239" s="3"/>
      <c r="D1239" s="102"/>
      <c r="E1239" s="102"/>
      <c r="F1239" s="3"/>
      <c r="G1239" s="101"/>
      <c r="H1239" s="101"/>
      <c r="I1239" s="101"/>
      <c r="J1239" s="89"/>
    </row>
    <row r="1240" spans="1:10" customFormat="1" ht="15" hidden="1" customHeight="1" x14ac:dyDescent="0.25">
      <c r="A1240" s="144"/>
      <c r="B1240" s="3"/>
      <c r="D1240" s="102"/>
      <c r="E1240" s="102"/>
      <c r="F1240" s="3"/>
      <c r="G1240" s="101"/>
      <c r="H1240" s="101"/>
      <c r="I1240" s="101"/>
      <c r="J1240" s="89"/>
    </row>
    <row r="1241" spans="1:10" customFormat="1" ht="15" hidden="1" customHeight="1" x14ac:dyDescent="0.25">
      <c r="A1241" s="144"/>
      <c r="B1241" s="3"/>
      <c r="D1241" s="102"/>
      <c r="E1241" s="102"/>
      <c r="F1241" s="3"/>
      <c r="G1241" s="101"/>
      <c r="H1241" s="101"/>
      <c r="I1241" s="101"/>
      <c r="J1241" s="89"/>
    </row>
    <row r="1242" spans="1:10" customFormat="1" ht="15" hidden="1" customHeight="1" x14ac:dyDescent="0.25">
      <c r="A1242" s="144"/>
      <c r="B1242" s="3"/>
      <c r="D1242" s="102"/>
      <c r="E1242" s="102"/>
      <c r="F1242" s="3"/>
      <c r="G1242" s="101"/>
      <c r="H1242" s="101"/>
      <c r="I1242" s="101"/>
      <c r="J1242" s="89"/>
    </row>
    <row r="1243" spans="1:10" customFormat="1" ht="15" hidden="1" customHeight="1" x14ac:dyDescent="0.25">
      <c r="A1243" s="144"/>
      <c r="B1243" s="3"/>
      <c r="D1243" s="102"/>
      <c r="E1243" s="102"/>
      <c r="F1243" s="3"/>
      <c r="G1243" s="101"/>
      <c r="H1243" s="101"/>
      <c r="I1243" s="101"/>
      <c r="J1243" s="89"/>
    </row>
    <row r="1244" spans="1:10" customFormat="1" ht="15" hidden="1" customHeight="1" x14ac:dyDescent="0.25">
      <c r="A1244" s="144"/>
      <c r="B1244" s="3"/>
      <c r="D1244" s="102"/>
      <c r="E1244" s="102"/>
      <c r="F1244" s="3"/>
      <c r="G1244" s="101"/>
      <c r="H1244" s="101"/>
      <c r="I1244" s="101"/>
      <c r="J1244" s="89"/>
    </row>
    <row r="1245" spans="1:10" customFormat="1" ht="15" hidden="1" customHeight="1" x14ac:dyDescent="0.25">
      <c r="A1245" s="144"/>
      <c r="B1245" s="3"/>
      <c r="D1245" s="102"/>
      <c r="E1245" s="102"/>
      <c r="F1245" s="3"/>
      <c r="G1245" s="101"/>
      <c r="H1245" s="101"/>
      <c r="I1245" s="101"/>
      <c r="J1245" s="89"/>
    </row>
    <row r="1246" spans="1:10" customFormat="1" ht="15" hidden="1" customHeight="1" x14ac:dyDescent="0.25">
      <c r="A1246" s="144"/>
      <c r="B1246" s="3"/>
      <c r="D1246" s="102"/>
      <c r="E1246" s="102"/>
      <c r="F1246" s="3"/>
      <c r="G1246" s="101"/>
      <c r="H1246" s="101"/>
      <c r="I1246" s="101"/>
      <c r="J1246" s="89"/>
    </row>
    <row r="1247" spans="1:10" customFormat="1" ht="15" hidden="1" customHeight="1" x14ac:dyDescent="0.25">
      <c r="A1247" s="144"/>
      <c r="B1247" s="3"/>
      <c r="D1247" s="102"/>
      <c r="E1247" s="102"/>
      <c r="F1247" s="3"/>
      <c r="G1247" s="101"/>
      <c r="H1247" s="101"/>
      <c r="I1247" s="101"/>
      <c r="J1247" s="89"/>
    </row>
    <row r="1248" spans="1:10" customFormat="1" ht="15" hidden="1" customHeight="1" x14ac:dyDescent="0.25">
      <c r="A1248" s="144"/>
      <c r="B1248" s="3"/>
      <c r="D1248" s="102"/>
      <c r="E1248" s="102"/>
      <c r="F1248" s="3"/>
      <c r="G1248" s="101"/>
      <c r="H1248" s="101"/>
      <c r="I1248" s="101"/>
      <c r="J1248" s="89"/>
    </row>
    <row r="1249" spans="1:10" customFormat="1" ht="15" hidden="1" customHeight="1" x14ac:dyDescent="0.25">
      <c r="A1249" s="144"/>
      <c r="B1249" s="3"/>
      <c r="D1249" s="102"/>
      <c r="E1249" s="102"/>
      <c r="F1249" s="3"/>
      <c r="G1249" s="101"/>
      <c r="H1249" s="101"/>
      <c r="I1249" s="101"/>
      <c r="J1249" s="89"/>
    </row>
    <row r="1250" spans="1:10" customFormat="1" ht="15" hidden="1" customHeight="1" x14ac:dyDescent="0.25">
      <c r="A1250" s="144"/>
      <c r="B1250" s="3"/>
      <c r="D1250" s="102"/>
      <c r="E1250" s="102"/>
      <c r="F1250" s="3"/>
      <c r="G1250" s="101"/>
      <c r="H1250" s="101"/>
      <c r="I1250" s="101"/>
      <c r="J1250" s="89"/>
    </row>
    <row r="1251" spans="1:10" customFormat="1" ht="15" hidden="1" customHeight="1" x14ac:dyDescent="0.25">
      <c r="A1251" s="144"/>
      <c r="B1251" s="3"/>
      <c r="D1251" s="102"/>
      <c r="E1251" s="102"/>
      <c r="F1251" s="3"/>
      <c r="G1251" s="101"/>
      <c r="H1251" s="101"/>
      <c r="I1251" s="101"/>
      <c r="J1251" s="89"/>
    </row>
    <row r="1252" spans="1:10" customFormat="1" ht="15" hidden="1" customHeight="1" x14ac:dyDescent="0.25">
      <c r="A1252" s="144"/>
      <c r="B1252" s="3"/>
      <c r="D1252" s="102"/>
      <c r="E1252" s="102"/>
      <c r="F1252" s="3"/>
      <c r="G1252" s="101"/>
      <c r="H1252" s="101"/>
      <c r="I1252" s="101"/>
      <c r="J1252" s="89"/>
    </row>
    <row r="1253" spans="1:10" customFormat="1" ht="15" hidden="1" customHeight="1" x14ac:dyDescent="0.25">
      <c r="A1253" s="144"/>
      <c r="B1253" s="3"/>
      <c r="D1253" s="102"/>
      <c r="E1253" s="102"/>
      <c r="F1253" s="3"/>
      <c r="G1253" s="101"/>
      <c r="H1253" s="101"/>
      <c r="I1253" s="101"/>
      <c r="J1253" s="89"/>
    </row>
    <row r="1254" spans="1:10" customFormat="1" ht="15" hidden="1" customHeight="1" x14ac:dyDescent="0.25">
      <c r="A1254" s="144"/>
      <c r="B1254" s="3"/>
      <c r="D1254" s="102"/>
      <c r="E1254" s="102"/>
      <c r="F1254" s="3"/>
      <c r="G1254" s="101"/>
      <c r="H1254" s="101"/>
      <c r="I1254" s="101"/>
      <c r="J1254" s="89"/>
    </row>
    <row r="1255" spans="1:10" customFormat="1" ht="15" hidden="1" customHeight="1" x14ac:dyDescent="0.25">
      <c r="A1255" s="144"/>
      <c r="B1255" s="3"/>
      <c r="D1255" s="102"/>
      <c r="E1255" s="102"/>
      <c r="F1255" s="3"/>
      <c r="G1255" s="101"/>
      <c r="H1255" s="101"/>
      <c r="I1255" s="101"/>
      <c r="J1255" s="89"/>
    </row>
    <row r="1256" spans="1:10" customFormat="1" ht="15" hidden="1" customHeight="1" x14ac:dyDescent="0.25">
      <c r="A1256" s="144"/>
      <c r="B1256" s="3"/>
      <c r="D1256" s="102"/>
      <c r="E1256" s="102"/>
      <c r="F1256" s="3"/>
      <c r="G1256" s="101"/>
      <c r="H1256" s="101"/>
      <c r="I1256" s="101"/>
      <c r="J1256" s="89"/>
    </row>
    <row r="1257" spans="1:10" customFormat="1" ht="15" hidden="1" customHeight="1" x14ac:dyDescent="0.25">
      <c r="A1257" s="144"/>
      <c r="B1257" s="3"/>
      <c r="D1257" s="102"/>
      <c r="E1257" s="102"/>
      <c r="F1257" s="3"/>
      <c r="G1257" s="101"/>
      <c r="H1257" s="101"/>
      <c r="I1257" s="101"/>
      <c r="J1257" s="89"/>
    </row>
    <row r="1258" spans="1:10" customFormat="1" ht="15" hidden="1" customHeight="1" x14ac:dyDescent="0.25">
      <c r="A1258" s="144"/>
      <c r="B1258" s="3"/>
      <c r="D1258" s="102"/>
      <c r="E1258" s="102"/>
      <c r="F1258" s="3"/>
      <c r="G1258" s="101"/>
      <c r="H1258" s="101"/>
      <c r="I1258" s="101"/>
      <c r="J1258" s="89"/>
    </row>
    <row r="1259" spans="1:10" customFormat="1" ht="15" hidden="1" customHeight="1" x14ac:dyDescent="0.25">
      <c r="A1259" s="144"/>
      <c r="B1259" s="3"/>
      <c r="D1259" s="102"/>
      <c r="E1259" s="102"/>
      <c r="F1259" s="3"/>
      <c r="G1259" s="101"/>
      <c r="H1259" s="101"/>
      <c r="I1259" s="101"/>
      <c r="J1259" s="89"/>
    </row>
    <row r="1260" spans="1:10" customFormat="1" ht="15" hidden="1" customHeight="1" x14ac:dyDescent="0.25">
      <c r="A1260" s="144"/>
      <c r="B1260" s="3"/>
      <c r="D1260" s="102"/>
      <c r="E1260" s="102"/>
      <c r="F1260" s="3"/>
      <c r="G1260" s="101"/>
      <c r="H1260" s="101"/>
      <c r="I1260" s="101"/>
      <c r="J1260" s="89"/>
    </row>
    <row r="1261" spans="1:10" customFormat="1" ht="15" hidden="1" customHeight="1" x14ac:dyDescent="0.25">
      <c r="A1261" s="144"/>
      <c r="B1261" s="3"/>
      <c r="D1261" s="102"/>
      <c r="E1261" s="102"/>
      <c r="F1261" s="3"/>
      <c r="G1261" s="101"/>
      <c r="H1261" s="101"/>
      <c r="I1261" s="101"/>
      <c r="J1261" s="89"/>
    </row>
    <row r="1262" spans="1:10" customFormat="1" ht="15" hidden="1" customHeight="1" x14ac:dyDescent="0.25">
      <c r="A1262" s="144"/>
      <c r="B1262" s="3"/>
      <c r="D1262" s="102"/>
      <c r="E1262" s="102"/>
      <c r="F1262" s="3"/>
      <c r="G1262" s="101"/>
      <c r="H1262" s="101"/>
      <c r="I1262" s="101"/>
      <c r="J1262" s="89"/>
    </row>
    <row r="1263" spans="1:10" customFormat="1" ht="15" hidden="1" customHeight="1" x14ac:dyDescent="0.25">
      <c r="A1263" s="144"/>
      <c r="B1263" s="3"/>
      <c r="D1263" s="102"/>
      <c r="E1263" s="102"/>
      <c r="F1263" s="3"/>
      <c r="G1263" s="101"/>
      <c r="H1263" s="101"/>
      <c r="I1263" s="101"/>
      <c r="J1263" s="89"/>
    </row>
    <row r="1264" spans="1:10" customFormat="1" ht="15" hidden="1" customHeight="1" x14ac:dyDescent="0.25">
      <c r="A1264" s="144"/>
      <c r="B1264" s="3"/>
      <c r="D1264" s="102"/>
      <c r="E1264" s="102"/>
      <c r="F1264" s="3"/>
      <c r="G1264" s="101"/>
      <c r="H1264" s="101"/>
      <c r="I1264" s="101"/>
      <c r="J1264" s="89"/>
    </row>
    <row r="1265" spans="1:10" customFormat="1" ht="15" hidden="1" customHeight="1" x14ac:dyDescent="0.25">
      <c r="A1265" s="144"/>
      <c r="B1265" s="3"/>
      <c r="D1265" s="102"/>
      <c r="E1265" s="102"/>
      <c r="F1265" s="3"/>
      <c r="G1265" s="101"/>
      <c r="H1265" s="101"/>
      <c r="I1265" s="101"/>
      <c r="J1265" s="89"/>
    </row>
    <row r="1266" spans="1:10" customFormat="1" ht="15" hidden="1" customHeight="1" x14ac:dyDescent="0.25">
      <c r="A1266" s="144"/>
      <c r="B1266" s="3"/>
      <c r="D1266" s="102"/>
      <c r="E1266" s="102"/>
      <c r="F1266" s="3"/>
      <c r="G1266" s="101"/>
      <c r="H1266" s="101"/>
      <c r="I1266" s="101"/>
      <c r="J1266" s="89"/>
    </row>
    <row r="1267" spans="1:10" customFormat="1" ht="15" hidden="1" customHeight="1" x14ac:dyDescent="0.25">
      <c r="A1267" s="144"/>
      <c r="B1267" s="3"/>
      <c r="D1267" s="102"/>
      <c r="E1267" s="102"/>
      <c r="F1267" s="3"/>
      <c r="G1267" s="101"/>
      <c r="H1267" s="101"/>
      <c r="I1267" s="101"/>
      <c r="J1267" s="89"/>
    </row>
    <row r="1268" spans="1:10" customFormat="1" ht="15" hidden="1" customHeight="1" x14ac:dyDescent="0.25">
      <c r="A1268" s="144"/>
      <c r="B1268" s="3"/>
      <c r="D1268" s="102"/>
      <c r="E1268" s="102"/>
      <c r="F1268" s="3"/>
      <c r="G1268" s="101"/>
      <c r="H1268" s="101"/>
      <c r="I1268" s="101"/>
      <c r="J1268" s="89"/>
    </row>
    <row r="1269" spans="1:10" customFormat="1" ht="15" hidden="1" customHeight="1" x14ac:dyDescent="0.25">
      <c r="A1269" s="144"/>
      <c r="B1269" s="3"/>
      <c r="D1269" s="102"/>
      <c r="E1269" s="102"/>
      <c r="F1269" s="3"/>
      <c r="G1269" s="101"/>
      <c r="H1269" s="101"/>
      <c r="I1269" s="101"/>
      <c r="J1269" s="89"/>
    </row>
    <row r="1270" spans="1:10" customFormat="1" ht="15" hidden="1" customHeight="1" x14ac:dyDescent="0.25">
      <c r="A1270" s="144"/>
      <c r="B1270" s="3"/>
      <c r="D1270" s="102"/>
      <c r="E1270" s="102"/>
      <c r="F1270" s="3"/>
      <c r="G1270" s="101"/>
      <c r="H1270" s="101"/>
      <c r="I1270" s="101"/>
      <c r="J1270" s="89"/>
    </row>
    <row r="1271" spans="1:10" customFormat="1" ht="15" hidden="1" customHeight="1" x14ac:dyDescent="0.25">
      <c r="A1271" s="144"/>
      <c r="B1271" s="3"/>
      <c r="D1271" s="102"/>
      <c r="E1271" s="102"/>
      <c r="F1271" s="3"/>
      <c r="G1271" s="101"/>
      <c r="H1271" s="101"/>
      <c r="I1271" s="101"/>
      <c r="J1271" s="89"/>
    </row>
    <row r="1272" spans="1:10" customFormat="1" ht="15" hidden="1" customHeight="1" x14ac:dyDescent="0.25">
      <c r="A1272" s="144"/>
      <c r="B1272" s="3"/>
      <c r="D1272" s="102"/>
      <c r="E1272" s="102"/>
      <c r="F1272" s="3"/>
      <c r="G1272" s="101"/>
      <c r="H1272" s="101"/>
      <c r="I1272" s="101"/>
      <c r="J1272" s="89"/>
    </row>
    <row r="1273" spans="1:10" customFormat="1" ht="15" hidden="1" customHeight="1" x14ac:dyDescent="0.25">
      <c r="A1273" s="144"/>
      <c r="B1273" s="3"/>
      <c r="D1273" s="102"/>
      <c r="E1273" s="102"/>
      <c r="F1273" s="3"/>
      <c r="G1273" s="101"/>
      <c r="H1273" s="101"/>
      <c r="I1273" s="101"/>
      <c r="J1273" s="89"/>
    </row>
    <row r="1274" spans="1:10" customFormat="1" ht="15" hidden="1" customHeight="1" x14ac:dyDescent="0.25">
      <c r="A1274" s="144"/>
      <c r="B1274" s="3"/>
      <c r="D1274" s="102"/>
      <c r="E1274" s="102"/>
      <c r="F1274" s="3"/>
      <c r="G1274" s="101"/>
      <c r="H1274" s="101"/>
      <c r="I1274" s="101"/>
      <c r="J1274" s="89"/>
    </row>
    <row r="1275" spans="1:10" customFormat="1" ht="15" hidden="1" customHeight="1" x14ac:dyDescent="0.25">
      <c r="A1275" s="144"/>
      <c r="B1275" s="3"/>
      <c r="D1275" s="102"/>
      <c r="E1275" s="102"/>
      <c r="F1275" s="3"/>
      <c r="G1275" s="101"/>
      <c r="H1275" s="101"/>
      <c r="I1275" s="101"/>
      <c r="J1275" s="89"/>
    </row>
    <row r="1276" spans="1:10" customFormat="1" ht="15" hidden="1" customHeight="1" x14ac:dyDescent="0.25">
      <c r="A1276" s="144"/>
      <c r="B1276" s="3"/>
      <c r="D1276" s="102"/>
      <c r="E1276" s="102"/>
      <c r="F1276" s="3"/>
      <c r="G1276" s="101"/>
      <c r="H1276" s="101"/>
      <c r="I1276" s="101"/>
      <c r="J1276" s="89"/>
    </row>
    <row r="1277" spans="1:10" customFormat="1" ht="15" hidden="1" customHeight="1" x14ac:dyDescent="0.25">
      <c r="A1277" s="144"/>
      <c r="B1277" s="3"/>
      <c r="D1277" s="102"/>
      <c r="E1277" s="102"/>
      <c r="F1277" s="3"/>
      <c r="G1277" s="101"/>
      <c r="H1277" s="101"/>
      <c r="I1277" s="101"/>
      <c r="J1277" s="89"/>
    </row>
    <row r="1278" spans="1:10" customFormat="1" ht="15" hidden="1" customHeight="1" x14ac:dyDescent="0.25">
      <c r="A1278" s="144"/>
      <c r="B1278" s="3"/>
      <c r="D1278" s="102"/>
      <c r="E1278" s="102"/>
      <c r="F1278" s="3"/>
      <c r="G1278" s="101"/>
      <c r="H1278" s="101"/>
      <c r="I1278" s="101"/>
      <c r="J1278" s="89"/>
    </row>
    <row r="1279" spans="1:10" customFormat="1" ht="15" hidden="1" customHeight="1" x14ac:dyDescent="0.25">
      <c r="A1279" s="144"/>
      <c r="B1279" s="3"/>
      <c r="D1279" s="102"/>
      <c r="E1279" s="102"/>
      <c r="F1279" s="3"/>
      <c r="G1279" s="101"/>
      <c r="H1279" s="101"/>
      <c r="I1279" s="101"/>
      <c r="J1279" s="89"/>
    </row>
    <row r="1280" spans="1:10" customFormat="1" ht="15" hidden="1" customHeight="1" x14ac:dyDescent="0.25">
      <c r="A1280" s="144"/>
      <c r="B1280" s="3"/>
      <c r="D1280" s="102"/>
      <c r="E1280" s="102"/>
      <c r="F1280" s="3"/>
      <c r="G1280" s="101"/>
      <c r="H1280" s="101"/>
      <c r="I1280" s="101"/>
      <c r="J1280" s="89"/>
    </row>
    <row r="1281" spans="1:10" customFormat="1" ht="15" hidden="1" customHeight="1" x14ac:dyDescent="0.25">
      <c r="A1281" s="144"/>
      <c r="B1281" s="3"/>
      <c r="D1281" s="102"/>
      <c r="E1281" s="102"/>
      <c r="F1281" s="3"/>
      <c r="G1281" s="101"/>
      <c r="H1281" s="101"/>
      <c r="I1281" s="101"/>
      <c r="J1281" s="89"/>
    </row>
    <row r="1282" spans="1:10" customFormat="1" ht="15" hidden="1" customHeight="1" x14ac:dyDescent="0.25">
      <c r="A1282" s="144"/>
      <c r="B1282" s="3"/>
      <c r="D1282" s="102"/>
      <c r="E1282" s="102"/>
      <c r="F1282" s="3"/>
      <c r="G1282" s="101"/>
      <c r="H1282" s="101"/>
      <c r="I1282" s="101"/>
      <c r="J1282" s="89"/>
    </row>
    <row r="1283" spans="1:10" customFormat="1" ht="15" hidden="1" customHeight="1" x14ac:dyDescent="0.25">
      <c r="A1283" s="144"/>
      <c r="B1283" s="3"/>
      <c r="D1283" s="102"/>
      <c r="E1283" s="102"/>
      <c r="F1283" s="3"/>
      <c r="G1283" s="101"/>
      <c r="H1283" s="101"/>
      <c r="I1283" s="101"/>
      <c r="J1283" s="89"/>
    </row>
    <row r="1284" spans="1:10" customFormat="1" ht="15" hidden="1" customHeight="1" x14ac:dyDescent="0.25">
      <c r="A1284" s="144"/>
      <c r="B1284" s="3"/>
      <c r="D1284" s="102"/>
      <c r="E1284" s="102"/>
      <c r="F1284" s="3"/>
      <c r="G1284" s="101"/>
      <c r="H1284" s="101"/>
      <c r="I1284" s="101"/>
      <c r="J1284" s="89"/>
    </row>
    <row r="1285" spans="1:10" customFormat="1" ht="15" hidden="1" customHeight="1" x14ac:dyDescent="0.25">
      <c r="A1285" s="144"/>
      <c r="B1285" s="3"/>
      <c r="D1285" s="102"/>
      <c r="E1285" s="102"/>
      <c r="F1285" s="3"/>
      <c r="G1285" s="101"/>
      <c r="H1285" s="101"/>
      <c r="I1285" s="101"/>
      <c r="J1285" s="89"/>
    </row>
    <row r="1286" spans="1:10" customFormat="1" ht="15" hidden="1" customHeight="1" x14ac:dyDescent="0.25">
      <c r="A1286" s="144"/>
      <c r="B1286" s="3"/>
      <c r="D1286" s="102"/>
      <c r="E1286" s="102"/>
      <c r="F1286" s="3"/>
      <c r="G1286" s="101"/>
      <c r="H1286" s="101"/>
      <c r="I1286" s="101"/>
      <c r="J1286" s="89"/>
    </row>
    <row r="1287" spans="1:10" customFormat="1" ht="15" hidden="1" customHeight="1" x14ac:dyDescent="0.25">
      <c r="A1287" s="144"/>
      <c r="B1287" s="3"/>
      <c r="D1287" s="102"/>
      <c r="E1287" s="102"/>
      <c r="F1287" s="3"/>
      <c r="G1287" s="101"/>
      <c r="H1287" s="101"/>
      <c r="I1287" s="101"/>
      <c r="J1287" s="89"/>
    </row>
    <row r="1288" spans="1:10" customFormat="1" ht="15" hidden="1" customHeight="1" x14ac:dyDescent="0.25">
      <c r="A1288" s="144"/>
      <c r="B1288" s="3"/>
      <c r="D1288" s="102"/>
      <c r="E1288" s="102"/>
      <c r="F1288" s="3"/>
      <c r="G1288" s="101"/>
      <c r="H1288" s="101"/>
      <c r="I1288" s="101"/>
      <c r="J1288" s="89"/>
    </row>
    <row r="1289" spans="1:10" customFormat="1" ht="15" hidden="1" customHeight="1" x14ac:dyDescent="0.25">
      <c r="A1289" s="144"/>
      <c r="B1289" s="3"/>
      <c r="D1289" s="102"/>
      <c r="E1289" s="102"/>
      <c r="F1289" s="3"/>
      <c r="G1289" s="101"/>
      <c r="H1289" s="101"/>
      <c r="I1289" s="101"/>
      <c r="J1289" s="89"/>
    </row>
    <row r="1290" spans="1:10" customFormat="1" ht="15" hidden="1" customHeight="1" x14ac:dyDescent="0.25">
      <c r="A1290" s="144"/>
      <c r="B1290" s="3"/>
      <c r="D1290" s="102"/>
      <c r="E1290" s="102"/>
      <c r="F1290" s="3"/>
      <c r="G1290" s="101"/>
      <c r="H1290" s="101"/>
      <c r="I1290" s="101"/>
      <c r="J1290" s="89"/>
    </row>
    <row r="1291" spans="1:10" customFormat="1" ht="15" hidden="1" customHeight="1" x14ac:dyDescent="0.25">
      <c r="A1291" s="144"/>
      <c r="B1291" s="3"/>
      <c r="D1291" s="102"/>
      <c r="E1291" s="102"/>
      <c r="F1291" s="3"/>
      <c r="G1291" s="101"/>
      <c r="H1291" s="101"/>
      <c r="I1291" s="101"/>
      <c r="J1291" s="89"/>
    </row>
    <row r="1292" spans="1:10" customFormat="1" ht="15" hidden="1" customHeight="1" x14ac:dyDescent="0.25">
      <c r="A1292" s="144"/>
      <c r="B1292" s="3"/>
      <c r="D1292" s="102"/>
      <c r="E1292" s="102"/>
      <c r="F1292" s="3"/>
      <c r="G1292" s="101"/>
      <c r="H1292" s="101"/>
      <c r="I1292" s="101"/>
      <c r="J1292" s="89"/>
    </row>
    <row r="1293" spans="1:10" customFormat="1" ht="15" hidden="1" customHeight="1" x14ac:dyDescent="0.25">
      <c r="A1293" s="144"/>
      <c r="B1293" s="3"/>
      <c r="D1293" s="102"/>
      <c r="E1293" s="102"/>
      <c r="F1293" s="3"/>
      <c r="G1293" s="101"/>
      <c r="H1293" s="101"/>
      <c r="I1293" s="101"/>
      <c r="J1293" s="89"/>
    </row>
    <row r="1294" spans="1:10" customFormat="1" ht="15" hidden="1" customHeight="1" x14ac:dyDescent="0.25">
      <c r="A1294" s="144"/>
      <c r="B1294" s="3"/>
      <c r="D1294" s="102"/>
      <c r="E1294" s="102"/>
      <c r="F1294" s="3"/>
      <c r="G1294" s="101"/>
      <c r="H1294" s="101"/>
      <c r="I1294" s="101"/>
      <c r="J1294" s="89"/>
    </row>
    <row r="1295" spans="1:10" customFormat="1" ht="15" hidden="1" customHeight="1" x14ac:dyDescent="0.25">
      <c r="A1295" s="144"/>
      <c r="B1295" s="3"/>
      <c r="D1295" s="102"/>
      <c r="E1295" s="102"/>
      <c r="F1295" s="3"/>
      <c r="G1295" s="101"/>
      <c r="H1295" s="101"/>
      <c r="I1295" s="101"/>
      <c r="J1295" s="89"/>
    </row>
    <row r="1296" spans="1:10" customFormat="1" ht="15" hidden="1" customHeight="1" x14ac:dyDescent="0.25">
      <c r="A1296" s="144"/>
      <c r="B1296" s="3"/>
      <c r="D1296" s="102"/>
      <c r="E1296" s="102"/>
      <c r="F1296" s="3"/>
      <c r="G1296" s="101"/>
      <c r="H1296" s="101"/>
      <c r="I1296" s="101"/>
      <c r="J1296" s="89"/>
    </row>
    <row r="1297" spans="1:10" customFormat="1" ht="15" hidden="1" customHeight="1" x14ac:dyDescent="0.25">
      <c r="A1297" s="144"/>
      <c r="B1297" s="3"/>
      <c r="D1297" s="102"/>
      <c r="E1297" s="102"/>
      <c r="F1297" s="3"/>
      <c r="G1297" s="101"/>
      <c r="H1297" s="101"/>
      <c r="I1297" s="101"/>
      <c r="J1297" s="89"/>
    </row>
    <row r="1298" spans="1:10" customFormat="1" ht="15" hidden="1" customHeight="1" x14ac:dyDescent="0.25">
      <c r="A1298" s="144"/>
      <c r="B1298" s="3"/>
      <c r="D1298" s="102"/>
      <c r="E1298" s="102"/>
      <c r="F1298" s="3"/>
      <c r="G1298" s="101"/>
      <c r="H1298" s="101"/>
      <c r="I1298" s="101"/>
      <c r="J1298" s="89"/>
    </row>
    <row r="1299" spans="1:10" customFormat="1" ht="15" hidden="1" customHeight="1" x14ac:dyDescent="0.25">
      <c r="A1299" s="144"/>
      <c r="B1299" s="3"/>
      <c r="D1299" s="102"/>
      <c r="E1299" s="102"/>
      <c r="F1299" s="3"/>
      <c r="G1299" s="101"/>
      <c r="H1299" s="101"/>
      <c r="I1299" s="101"/>
      <c r="J1299" s="89"/>
    </row>
    <row r="1300" spans="1:10" customFormat="1" ht="15" hidden="1" customHeight="1" x14ac:dyDescent="0.25">
      <c r="A1300" s="144"/>
      <c r="B1300" s="3"/>
      <c r="D1300" s="102"/>
      <c r="E1300" s="102"/>
      <c r="F1300" s="3"/>
      <c r="G1300" s="101"/>
      <c r="H1300" s="101"/>
      <c r="I1300" s="101"/>
      <c r="J1300" s="89"/>
    </row>
    <row r="1301" spans="1:10" customFormat="1" ht="15" hidden="1" customHeight="1" x14ac:dyDescent="0.25">
      <c r="A1301" s="144"/>
      <c r="B1301" s="3"/>
      <c r="D1301" s="102"/>
      <c r="E1301" s="102"/>
      <c r="F1301" s="3"/>
      <c r="G1301" s="101"/>
      <c r="H1301" s="101"/>
      <c r="I1301" s="101"/>
      <c r="J1301" s="89"/>
    </row>
    <row r="1302" spans="1:10" customFormat="1" ht="15" hidden="1" customHeight="1" x14ac:dyDescent="0.25">
      <c r="A1302" s="144"/>
      <c r="B1302" s="3"/>
      <c r="D1302" s="102"/>
      <c r="E1302" s="102"/>
      <c r="F1302" s="3"/>
      <c r="G1302" s="101"/>
      <c r="H1302" s="101"/>
      <c r="I1302" s="101"/>
      <c r="J1302" s="89"/>
    </row>
    <row r="1303" spans="1:10" customFormat="1" ht="15" hidden="1" customHeight="1" x14ac:dyDescent="0.25">
      <c r="A1303" s="144"/>
      <c r="B1303" s="3"/>
      <c r="D1303" s="102"/>
      <c r="E1303" s="102"/>
      <c r="F1303" s="3"/>
      <c r="G1303" s="101"/>
      <c r="H1303" s="101"/>
      <c r="I1303" s="101"/>
      <c r="J1303" s="89"/>
    </row>
    <row r="1304" spans="1:10" customFormat="1" ht="15" hidden="1" customHeight="1" x14ac:dyDescent="0.25">
      <c r="A1304" s="144"/>
      <c r="B1304" s="3"/>
      <c r="D1304" s="102"/>
      <c r="E1304" s="102"/>
      <c r="F1304" s="3"/>
      <c r="G1304" s="101"/>
      <c r="H1304" s="101"/>
      <c r="I1304" s="101"/>
      <c r="J1304" s="89"/>
    </row>
    <row r="1305" spans="1:10" customFormat="1" ht="15" hidden="1" customHeight="1" x14ac:dyDescent="0.25">
      <c r="A1305" s="144"/>
      <c r="B1305" s="3"/>
      <c r="D1305" s="102"/>
      <c r="E1305" s="102"/>
      <c r="F1305" s="3"/>
      <c r="G1305" s="101"/>
      <c r="H1305" s="101"/>
      <c r="I1305" s="101"/>
      <c r="J1305" s="89"/>
    </row>
    <row r="1306" spans="1:10" customFormat="1" ht="15" hidden="1" customHeight="1" x14ac:dyDescent="0.25">
      <c r="A1306" s="144"/>
      <c r="B1306" s="3"/>
      <c r="D1306" s="102"/>
      <c r="E1306" s="102"/>
      <c r="F1306" s="3"/>
      <c r="G1306" s="101"/>
      <c r="H1306" s="101"/>
      <c r="I1306" s="101"/>
      <c r="J1306" s="89"/>
    </row>
    <row r="1307" spans="1:10" customFormat="1" ht="15" hidden="1" customHeight="1" x14ac:dyDescent="0.25">
      <c r="A1307" s="144"/>
      <c r="B1307" s="3"/>
      <c r="D1307" s="102"/>
      <c r="E1307" s="102"/>
      <c r="F1307" s="3"/>
      <c r="G1307" s="101"/>
      <c r="H1307" s="101"/>
      <c r="I1307" s="101"/>
      <c r="J1307" s="89"/>
    </row>
    <row r="1308" spans="1:10" customFormat="1" ht="15" hidden="1" customHeight="1" x14ac:dyDescent="0.25">
      <c r="A1308" s="144"/>
      <c r="B1308" s="3"/>
      <c r="D1308" s="102"/>
      <c r="E1308" s="102"/>
      <c r="F1308" s="3"/>
      <c r="G1308" s="101"/>
      <c r="H1308" s="101"/>
      <c r="I1308" s="101"/>
      <c r="J1308" s="89"/>
    </row>
    <row r="1309" spans="1:10" customFormat="1" ht="15" hidden="1" customHeight="1" x14ac:dyDescent="0.25">
      <c r="A1309" s="144"/>
      <c r="B1309" s="3"/>
      <c r="D1309" s="102"/>
      <c r="E1309" s="102"/>
      <c r="F1309" s="3"/>
      <c r="G1309" s="101"/>
      <c r="H1309" s="101"/>
      <c r="I1309" s="101"/>
      <c r="J1309" s="89"/>
    </row>
    <row r="1310" spans="1:10" customFormat="1" ht="15" hidden="1" customHeight="1" x14ac:dyDescent="0.25">
      <c r="A1310" s="144"/>
      <c r="B1310" s="3"/>
      <c r="D1310" s="102"/>
      <c r="E1310" s="102"/>
      <c r="F1310" s="3"/>
      <c r="G1310" s="101"/>
      <c r="H1310" s="101"/>
      <c r="I1310" s="101"/>
      <c r="J1310" s="89"/>
    </row>
    <row r="1311" spans="1:10" customFormat="1" ht="15" hidden="1" customHeight="1" x14ac:dyDescent="0.25">
      <c r="A1311" s="144"/>
      <c r="B1311" s="3"/>
      <c r="D1311" s="102"/>
      <c r="E1311" s="102"/>
      <c r="F1311" s="3"/>
      <c r="G1311" s="101"/>
      <c r="H1311" s="101"/>
      <c r="I1311" s="101"/>
      <c r="J1311" s="89"/>
    </row>
    <row r="1312" spans="1:10" customFormat="1" ht="15" hidden="1" customHeight="1" x14ac:dyDescent="0.25">
      <c r="A1312" s="144"/>
      <c r="B1312" s="3"/>
      <c r="D1312" s="102"/>
      <c r="E1312" s="102"/>
      <c r="F1312" s="3"/>
      <c r="G1312" s="101"/>
      <c r="H1312" s="101"/>
      <c r="I1312" s="101"/>
      <c r="J1312" s="89"/>
    </row>
    <row r="1313" spans="1:10" customFormat="1" ht="15" hidden="1" customHeight="1" x14ac:dyDescent="0.25">
      <c r="A1313" s="144"/>
      <c r="B1313" s="3"/>
      <c r="D1313" s="102"/>
      <c r="E1313" s="102"/>
      <c r="F1313" s="3"/>
      <c r="G1313" s="101"/>
      <c r="H1313" s="101"/>
      <c r="I1313" s="101"/>
      <c r="J1313" s="89"/>
    </row>
    <row r="1314" spans="1:10" customFormat="1" ht="15" hidden="1" customHeight="1" x14ac:dyDescent="0.25">
      <c r="A1314" s="144"/>
      <c r="B1314" s="3"/>
      <c r="D1314" s="102"/>
      <c r="E1314" s="102"/>
      <c r="F1314" s="3"/>
      <c r="G1314" s="101"/>
      <c r="H1314" s="101"/>
      <c r="I1314" s="101"/>
      <c r="J1314" s="89"/>
    </row>
    <row r="1315" spans="1:10" customFormat="1" ht="15" hidden="1" customHeight="1" x14ac:dyDescent="0.25">
      <c r="A1315" s="144"/>
      <c r="B1315" s="3"/>
      <c r="D1315" s="102"/>
      <c r="E1315" s="102"/>
      <c r="F1315" s="3"/>
      <c r="G1315" s="101"/>
      <c r="H1315" s="101"/>
      <c r="I1315" s="101"/>
      <c r="J1315" s="89"/>
    </row>
    <row r="1316" spans="1:10" customFormat="1" ht="15" hidden="1" customHeight="1" x14ac:dyDescent="0.25">
      <c r="A1316" s="144"/>
      <c r="B1316" s="3"/>
      <c r="D1316" s="102"/>
      <c r="E1316" s="102"/>
      <c r="F1316" s="3"/>
      <c r="G1316" s="101"/>
      <c r="H1316" s="101"/>
      <c r="I1316" s="101"/>
      <c r="J1316" s="89"/>
    </row>
    <row r="1317" spans="1:10" customFormat="1" ht="15" hidden="1" customHeight="1" x14ac:dyDescent="0.25">
      <c r="A1317" s="144"/>
      <c r="B1317" s="3"/>
      <c r="D1317" s="102"/>
      <c r="E1317" s="102"/>
      <c r="F1317" s="3"/>
      <c r="G1317" s="101"/>
      <c r="H1317" s="101"/>
      <c r="I1317" s="101"/>
      <c r="J1317" s="89"/>
    </row>
    <row r="1318" spans="1:10" customFormat="1" ht="15" hidden="1" customHeight="1" x14ac:dyDescent="0.25">
      <c r="A1318" s="144"/>
      <c r="B1318" s="3"/>
      <c r="D1318" s="102"/>
      <c r="E1318" s="102"/>
      <c r="F1318" s="3"/>
      <c r="G1318" s="101"/>
      <c r="H1318" s="101"/>
      <c r="I1318" s="101"/>
      <c r="J1318" s="89"/>
    </row>
    <row r="1319" spans="1:10" customFormat="1" ht="15" hidden="1" customHeight="1" x14ac:dyDescent="0.25">
      <c r="A1319" s="144"/>
      <c r="B1319" s="3"/>
      <c r="D1319" s="102"/>
      <c r="E1319" s="102"/>
      <c r="F1319" s="3"/>
      <c r="G1319" s="101"/>
      <c r="H1319" s="101"/>
      <c r="I1319" s="101"/>
      <c r="J1319" s="89"/>
    </row>
    <row r="1320" spans="1:10" customFormat="1" ht="15" hidden="1" customHeight="1" x14ac:dyDescent="0.25">
      <c r="A1320" s="144"/>
      <c r="B1320" s="3"/>
      <c r="D1320" s="102"/>
      <c r="E1320" s="102"/>
      <c r="F1320" s="3"/>
      <c r="G1320" s="101"/>
      <c r="H1320" s="101"/>
      <c r="I1320" s="101"/>
      <c r="J1320" s="89"/>
    </row>
    <row r="1321" spans="1:10" customFormat="1" ht="15" hidden="1" customHeight="1" x14ac:dyDescent="0.25">
      <c r="A1321" s="144"/>
      <c r="B1321" s="3"/>
      <c r="D1321" s="102"/>
      <c r="E1321" s="102"/>
      <c r="F1321" s="3"/>
      <c r="G1321" s="101"/>
      <c r="H1321" s="101"/>
      <c r="I1321" s="101"/>
      <c r="J1321" s="89"/>
    </row>
    <row r="1322" spans="1:10" customFormat="1" ht="15" hidden="1" customHeight="1" x14ac:dyDescent="0.25">
      <c r="A1322" s="144"/>
      <c r="B1322" s="3"/>
      <c r="D1322" s="102"/>
      <c r="E1322" s="102"/>
      <c r="F1322" s="3"/>
      <c r="G1322" s="101"/>
      <c r="H1322" s="101"/>
      <c r="I1322" s="101"/>
      <c r="J1322" s="89"/>
    </row>
    <row r="1323" spans="1:10" customFormat="1" ht="15" hidden="1" customHeight="1" x14ac:dyDescent="0.25">
      <c r="A1323" s="144"/>
      <c r="B1323" s="3"/>
      <c r="D1323" s="102"/>
      <c r="E1323" s="102"/>
      <c r="F1323" s="3"/>
      <c r="G1323" s="101"/>
      <c r="H1323" s="101"/>
      <c r="I1323" s="101"/>
      <c r="J1323" s="89"/>
    </row>
    <row r="1324" spans="1:10" customFormat="1" ht="15" hidden="1" customHeight="1" x14ac:dyDescent="0.25">
      <c r="A1324" s="144"/>
      <c r="B1324" s="3"/>
      <c r="D1324" s="102"/>
      <c r="E1324" s="102"/>
      <c r="F1324" s="3"/>
      <c r="G1324" s="101"/>
      <c r="H1324" s="101"/>
      <c r="I1324" s="101"/>
      <c r="J1324" s="89"/>
    </row>
    <row r="1325" spans="1:10" customFormat="1" ht="15" hidden="1" customHeight="1" x14ac:dyDescent="0.25">
      <c r="A1325" s="144"/>
      <c r="B1325" s="3"/>
      <c r="D1325" s="102"/>
      <c r="E1325" s="102"/>
      <c r="F1325" s="3"/>
      <c r="G1325" s="101"/>
      <c r="H1325" s="101"/>
      <c r="I1325" s="101"/>
      <c r="J1325" s="89"/>
    </row>
    <row r="1326" spans="1:10" customFormat="1" ht="15" hidden="1" customHeight="1" x14ac:dyDescent="0.25">
      <c r="A1326" s="144"/>
      <c r="B1326" s="3"/>
      <c r="D1326" s="102"/>
      <c r="E1326" s="102"/>
      <c r="F1326" s="3"/>
      <c r="G1326" s="101"/>
      <c r="H1326" s="101"/>
      <c r="I1326" s="101"/>
      <c r="J1326" s="89"/>
    </row>
    <row r="1327" spans="1:10" customFormat="1" ht="15" hidden="1" customHeight="1" x14ac:dyDescent="0.25">
      <c r="A1327" s="144"/>
      <c r="B1327" s="3"/>
      <c r="D1327" s="102"/>
      <c r="E1327" s="102"/>
      <c r="F1327" s="3"/>
      <c r="G1327" s="101"/>
      <c r="H1327" s="101"/>
      <c r="I1327" s="101"/>
      <c r="J1327" s="89"/>
    </row>
    <row r="1328" spans="1:10" customFormat="1" ht="15" hidden="1" customHeight="1" x14ac:dyDescent="0.25">
      <c r="A1328" s="144"/>
      <c r="B1328" s="3"/>
      <c r="D1328" s="102"/>
      <c r="E1328" s="102"/>
      <c r="F1328" s="3"/>
      <c r="G1328" s="101"/>
      <c r="H1328" s="101"/>
      <c r="I1328" s="101"/>
      <c r="J1328" s="89"/>
    </row>
    <row r="1329" spans="1:10" customFormat="1" ht="15" hidden="1" customHeight="1" x14ac:dyDescent="0.25">
      <c r="A1329" s="144"/>
      <c r="B1329" s="3"/>
      <c r="D1329" s="102"/>
      <c r="E1329" s="102"/>
      <c r="F1329" s="3"/>
      <c r="G1329" s="101"/>
      <c r="H1329" s="101"/>
      <c r="I1329" s="101"/>
      <c r="J1329" s="89"/>
    </row>
    <row r="1330" spans="1:10" customFormat="1" ht="15" hidden="1" customHeight="1" x14ac:dyDescent="0.25">
      <c r="A1330" s="144"/>
      <c r="B1330" s="3"/>
      <c r="D1330" s="102"/>
      <c r="E1330" s="102"/>
      <c r="F1330" s="3"/>
      <c r="G1330" s="101"/>
      <c r="H1330" s="101"/>
      <c r="I1330" s="101"/>
      <c r="J1330" s="89"/>
    </row>
    <row r="1331" spans="1:10" customFormat="1" ht="15" hidden="1" customHeight="1" x14ac:dyDescent="0.25">
      <c r="A1331" s="144"/>
      <c r="B1331" s="3"/>
      <c r="D1331" s="102"/>
      <c r="E1331" s="102"/>
      <c r="F1331" s="3"/>
      <c r="G1331" s="101"/>
      <c r="H1331" s="101"/>
      <c r="I1331" s="101"/>
      <c r="J1331" s="89"/>
    </row>
    <row r="1332" spans="1:10" customFormat="1" ht="15" hidden="1" customHeight="1" x14ac:dyDescent="0.25">
      <c r="A1332" s="144"/>
      <c r="B1332" s="3"/>
      <c r="D1332" s="102"/>
      <c r="E1332" s="102"/>
      <c r="F1332" s="3"/>
      <c r="G1332" s="101"/>
      <c r="H1332" s="101"/>
      <c r="I1332" s="101"/>
      <c r="J1332" s="89"/>
    </row>
    <row r="1333" spans="1:10" customFormat="1" ht="15" hidden="1" customHeight="1" x14ac:dyDescent="0.25">
      <c r="A1333" s="144"/>
      <c r="B1333" s="3"/>
      <c r="D1333" s="102"/>
      <c r="E1333" s="102"/>
      <c r="F1333" s="3"/>
      <c r="G1333" s="101"/>
      <c r="H1333" s="101"/>
      <c r="I1333" s="101"/>
      <c r="J1333" s="89"/>
    </row>
    <row r="1334" spans="1:10" customFormat="1" ht="15" hidden="1" customHeight="1" x14ac:dyDescent="0.25">
      <c r="A1334" s="144"/>
      <c r="B1334" s="3"/>
      <c r="D1334" s="102"/>
      <c r="E1334" s="102"/>
      <c r="F1334" s="3"/>
      <c r="G1334" s="101"/>
      <c r="H1334" s="101"/>
      <c r="I1334" s="101"/>
      <c r="J1334" s="89"/>
    </row>
    <row r="1335" spans="1:10" customFormat="1" ht="15" hidden="1" customHeight="1" x14ac:dyDescent="0.25">
      <c r="A1335" s="144"/>
      <c r="B1335" s="3"/>
      <c r="D1335" s="102"/>
      <c r="E1335" s="102"/>
      <c r="F1335" s="3"/>
      <c r="G1335" s="101"/>
      <c r="H1335" s="101"/>
      <c r="I1335" s="101"/>
      <c r="J1335" s="89"/>
    </row>
    <row r="1336" spans="1:10" customFormat="1" ht="15" hidden="1" customHeight="1" x14ac:dyDescent="0.25">
      <c r="A1336" s="144"/>
      <c r="B1336" s="3"/>
      <c r="D1336" s="102"/>
      <c r="E1336" s="102"/>
      <c r="F1336" s="3"/>
      <c r="G1336" s="101"/>
      <c r="H1336" s="101"/>
      <c r="I1336" s="101"/>
      <c r="J1336" s="89"/>
    </row>
    <row r="1337" spans="1:10" customFormat="1" ht="15" hidden="1" customHeight="1" x14ac:dyDescent="0.25">
      <c r="A1337" s="144"/>
      <c r="B1337" s="3"/>
      <c r="D1337" s="102"/>
      <c r="E1337" s="102"/>
      <c r="F1337" s="3"/>
      <c r="G1337" s="101"/>
      <c r="H1337" s="101"/>
      <c r="I1337" s="101"/>
      <c r="J1337" s="89"/>
    </row>
    <row r="1338" spans="1:10" customFormat="1" ht="15" hidden="1" customHeight="1" x14ac:dyDescent="0.25">
      <c r="A1338" s="144"/>
      <c r="B1338" s="3"/>
      <c r="D1338" s="102"/>
      <c r="E1338" s="102"/>
      <c r="F1338" s="3"/>
      <c r="G1338" s="101"/>
      <c r="H1338" s="101"/>
      <c r="I1338" s="101"/>
      <c r="J1338" s="89"/>
    </row>
    <row r="1339" spans="1:10" customFormat="1" ht="15" hidden="1" customHeight="1" x14ac:dyDescent="0.25">
      <c r="A1339" s="144"/>
      <c r="B1339" s="3"/>
      <c r="D1339" s="102"/>
      <c r="E1339" s="102"/>
      <c r="F1339" s="3"/>
      <c r="G1339" s="101"/>
      <c r="H1339" s="101"/>
      <c r="I1339" s="101"/>
      <c r="J1339" s="89"/>
    </row>
    <row r="1340" spans="1:10" customFormat="1" ht="15" hidden="1" customHeight="1" x14ac:dyDescent="0.25">
      <c r="A1340" s="144"/>
      <c r="B1340" s="3"/>
      <c r="D1340" s="102"/>
      <c r="E1340" s="102"/>
      <c r="F1340" s="3"/>
      <c r="G1340" s="101"/>
      <c r="H1340" s="101"/>
      <c r="I1340" s="101"/>
      <c r="J1340" s="89"/>
    </row>
    <row r="1341" spans="1:10" customFormat="1" ht="15" hidden="1" customHeight="1" x14ac:dyDescent="0.25">
      <c r="A1341" s="144"/>
      <c r="B1341" s="3"/>
      <c r="D1341" s="102"/>
      <c r="E1341" s="102"/>
      <c r="F1341" s="3"/>
      <c r="G1341" s="101"/>
      <c r="H1341" s="101"/>
      <c r="I1341" s="101"/>
      <c r="J1341" s="89"/>
    </row>
    <row r="1342" spans="1:10" customFormat="1" ht="15" hidden="1" customHeight="1" x14ac:dyDescent="0.25">
      <c r="A1342" s="144"/>
      <c r="B1342" s="3"/>
      <c r="D1342" s="102"/>
      <c r="E1342" s="102"/>
      <c r="F1342" s="3"/>
      <c r="G1342" s="101"/>
      <c r="H1342" s="101"/>
      <c r="I1342" s="101"/>
      <c r="J1342" s="89"/>
    </row>
    <row r="1343" spans="1:10" customFormat="1" ht="15" hidden="1" customHeight="1" x14ac:dyDescent="0.25">
      <c r="A1343" s="144"/>
      <c r="B1343" s="3"/>
      <c r="D1343" s="102"/>
      <c r="E1343" s="102"/>
      <c r="F1343" s="3"/>
      <c r="G1343" s="101"/>
      <c r="H1343" s="101"/>
      <c r="I1343" s="101"/>
      <c r="J1343" s="89"/>
    </row>
    <row r="1344" spans="1:10" customFormat="1" ht="15" hidden="1" customHeight="1" x14ac:dyDescent="0.25">
      <c r="A1344" s="144"/>
      <c r="B1344" s="3"/>
      <c r="D1344" s="102"/>
      <c r="E1344" s="102"/>
      <c r="F1344" s="3"/>
      <c r="G1344" s="101"/>
      <c r="H1344" s="101"/>
      <c r="I1344" s="101"/>
      <c r="J1344" s="89"/>
    </row>
    <row r="1345" spans="1:10" customFormat="1" ht="15" hidden="1" customHeight="1" x14ac:dyDescent="0.25">
      <c r="A1345" s="144"/>
      <c r="B1345" s="3"/>
      <c r="D1345" s="102"/>
      <c r="E1345" s="102"/>
      <c r="F1345" s="3"/>
      <c r="G1345" s="101"/>
      <c r="H1345" s="101"/>
      <c r="I1345" s="101"/>
      <c r="J1345" s="89"/>
    </row>
    <row r="1346" spans="1:10" customFormat="1" ht="15" hidden="1" customHeight="1" x14ac:dyDescent="0.25">
      <c r="A1346" s="144"/>
      <c r="B1346" s="3"/>
      <c r="D1346" s="102"/>
      <c r="E1346" s="102"/>
      <c r="F1346" s="3"/>
      <c r="G1346" s="101"/>
      <c r="H1346" s="101"/>
      <c r="I1346" s="101"/>
      <c r="J1346" s="89"/>
    </row>
    <row r="1347" spans="1:10" customFormat="1" ht="15" hidden="1" customHeight="1" x14ac:dyDescent="0.25">
      <c r="A1347" s="144"/>
      <c r="B1347" s="3"/>
      <c r="D1347" s="102"/>
      <c r="E1347" s="102"/>
      <c r="F1347" s="3"/>
      <c r="G1347" s="101"/>
      <c r="H1347" s="101"/>
      <c r="I1347" s="101"/>
      <c r="J1347" s="89"/>
    </row>
    <row r="1348" spans="1:10" customFormat="1" ht="15" hidden="1" customHeight="1" x14ac:dyDescent="0.25">
      <c r="A1348" s="144"/>
      <c r="B1348" s="3"/>
      <c r="D1348" s="102"/>
      <c r="E1348" s="102"/>
      <c r="F1348" s="3"/>
      <c r="G1348" s="101"/>
      <c r="H1348" s="101"/>
      <c r="I1348" s="101"/>
      <c r="J1348" s="89"/>
    </row>
    <row r="1349" spans="1:10" customFormat="1" ht="15" hidden="1" customHeight="1" x14ac:dyDescent="0.25">
      <c r="A1349" s="144"/>
      <c r="B1349" s="3"/>
      <c r="D1349" s="102"/>
      <c r="E1349" s="102"/>
      <c r="F1349" s="3"/>
      <c r="G1349" s="101"/>
      <c r="H1349" s="101"/>
      <c r="I1349" s="101"/>
      <c r="J1349" s="89"/>
    </row>
    <row r="1350" spans="1:10" customFormat="1" ht="15" hidden="1" customHeight="1" x14ac:dyDescent="0.25">
      <c r="A1350" s="144"/>
      <c r="B1350" s="3"/>
      <c r="D1350" s="102"/>
      <c r="E1350" s="102"/>
      <c r="F1350" s="3"/>
      <c r="G1350" s="101"/>
      <c r="H1350" s="101"/>
      <c r="I1350" s="101"/>
      <c r="J1350" s="89"/>
    </row>
    <row r="1351" spans="1:10" customFormat="1" ht="15" hidden="1" customHeight="1" x14ac:dyDescent="0.25">
      <c r="A1351" s="144"/>
      <c r="B1351" s="3"/>
      <c r="D1351" s="102"/>
      <c r="E1351" s="102"/>
      <c r="F1351" s="3"/>
      <c r="G1351" s="101"/>
      <c r="H1351" s="101"/>
      <c r="I1351" s="101"/>
      <c r="J1351" s="89"/>
    </row>
    <row r="1352" spans="1:10" customFormat="1" ht="15" hidden="1" customHeight="1" x14ac:dyDescent="0.25">
      <c r="A1352" s="144"/>
      <c r="B1352" s="3"/>
      <c r="D1352" s="102"/>
      <c r="E1352" s="102"/>
      <c r="F1352" s="3"/>
      <c r="G1352" s="101"/>
      <c r="H1352" s="101"/>
      <c r="I1352" s="101"/>
      <c r="J1352" s="89"/>
    </row>
    <row r="1353" spans="1:10" customFormat="1" ht="15" hidden="1" customHeight="1" x14ac:dyDescent="0.25">
      <c r="A1353" s="144"/>
      <c r="B1353" s="3"/>
      <c r="D1353" s="102"/>
      <c r="E1353" s="102"/>
      <c r="F1353" s="3"/>
      <c r="G1353" s="101"/>
      <c r="H1353" s="101"/>
      <c r="I1353" s="101"/>
      <c r="J1353" s="89"/>
    </row>
    <row r="1354" spans="1:10" customFormat="1" ht="15" hidden="1" customHeight="1" x14ac:dyDescent="0.25">
      <c r="A1354" s="144"/>
      <c r="B1354" s="3"/>
      <c r="D1354" s="102"/>
      <c r="E1354" s="102"/>
      <c r="F1354" s="3"/>
      <c r="G1354" s="101"/>
      <c r="H1354" s="101"/>
      <c r="I1354" s="101"/>
      <c r="J1354" s="89"/>
    </row>
    <row r="1355" spans="1:10" customFormat="1" ht="15" hidden="1" customHeight="1" x14ac:dyDescent="0.25">
      <c r="A1355" s="144"/>
      <c r="B1355" s="3"/>
      <c r="D1355" s="102"/>
      <c r="E1355" s="102"/>
      <c r="F1355" s="3"/>
      <c r="G1355" s="101"/>
      <c r="H1355" s="101"/>
      <c r="I1355" s="101"/>
      <c r="J1355" s="89"/>
    </row>
    <row r="1356" spans="1:10" customFormat="1" ht="15" hidden="1" customHeight="1" x14ac:dyDescent="0.25">
      <c r="A1356" s="144"/>
      <c r="B1356" s="3"/>
      <c r="D1356" s="102"/>
      <c r="E1356" s="102"/>
      <c r="F1356" s="3"/>
      <c r="G1356" s="101"/>
      <c r="H1356" s="101"/>
      <c r="I1356" s="101"/>
      <c r="J1356" s="89"/>
    </row>
    <row r="1357" spans="1:10" customFormat="1" ht="15" hidden="1" customHeight="1" x14ac:dyDescent="0.25">
      <c r="A1357" s="144"/>
      <c r="B1357" s="3"/>
      <c r="D1357" s="102"/>
      <c r="E1357" s="102"/>
      <c r="F1357" s="3"/>
      <c r="G1357" s="101"/>
      <c r="H1357" s="101"/>
      <c r="I1357" s="101"/>
      <c r="J1357" s="89"/>
    </row>
    <row r="1358" spans="1:10" customFormat="1" ht="15" hidden="1" customHeight="1" x14ac:dyDescent="0.25">
      <c r="A1358" s="144"/>
      <c r="B1358" s="3"/>
      <c r="D1358" s="102"/>
      <c r="E1358" s="102"/>
      <c r="F1358" s="3"/>
      <c r="G1358" s="101"/>
      <c r="H1358" s="101"/>
      <c r="I1358" s="101"/>
      <c r="J1358" s="89"/>
    </row>
    <row r="1359" spans="1:10" customFormat="1" ht="15" hidden="1" customHeight="1" x14ac:dyDescent="0.25">
      <c r="A1359" s="144"/>
      <c r="B1359" s="3"/>
      <c r="D1359" s="102"/>
      <c r="E1359" s="102"/>
      <c r="F1359" s="3"/>
      <c r="G1359" s="101"/>
      <c r="H1359" s="101"/>
      <c r="I1359" s="101"/>
      <c r="J1359" s="89"/>
    </row>
    <row r="1360" spans="1:10" customFormat="1" ht="15" hidden="1" customHeight="1" x14ac:dyDescent="0.25">
      <c r="A1360" s="144"/>
      <c r="B1360" s="3"/>
      <c r="D1360" s="102"/>
      <c r="E1360" s="102"/>
      <c r="F1360" s="3"/>
      <c r="G1360" s="101"/>
      <c r="H1360" s="101"/>
      <c r="I1360" s="101"/>
      <c r="J1360" s="89"/>
    </row>
    <row r="1361" spans="1:10" customFormat="1" ht="15" hidden="1" customHeight="1" x14ac:dyDescent="0.25">
      <c r="A1361" s="144"/>
      <c r="B1361" s="3"/>
      <c r="D1361" s="102"/>
      <c r="E1361" s="102"/>
      <c r="F1361" s="3"/>
      <c r="G1361" s="101"/>
      <c r="H1361" s="101"/>
      <c r="I1361" s="101"/>
      <c r="J1361" s="89"/>
    </row>
    <row r="1362" spans="1:10" customFormat="1" ht="15" hidden="1" customHeight="1" x14ac:dyDescent="0.25">
      <c r="A1362" s="144"/>
      <c r="B1362" s="3"/>
      <c r="D1362" s="102"/>
      <c r="E1362" s="102"/>
      <c r="F1362" s="3"/>
      <c r="G1362" s="101"/>
      <c r="H1362" s="101"/>
      <c r="I1362" s="101"/>
      <c r="J1362" s="89"/>
    </row>
    <row r="1363" spans="1:10" customFormat="1" ht="15" hidden="1" customHeight="1" x14ac:dyDescent="0.25">
      <c r="A1363" s="144"/>
      <c r="B1363" s="3"/>
      <c r="D1363" s="102"/>
      <c r="E1363" s="102"/>
      <c r="F1363" s="3"/>
      <c r="G1363" s="101"/>
      <c r="H1363" s="101"/>
      <c r="I1363" s="101"/>
      <c r="J1363" s="89"/>
    </row>
    <row r="1364" spans="1:10" customFormat="1" ht="15" hidden="1" customHeight="1" x14ac:dyDescent="0.25">
      <c r="A1364" s="144"/>
      <c r="B1364" s="3"/>
      <c r="D1364" s="102"/>
      <c r="E1364" s="102"/>
      <c r="F1364" s="3"/>
      <c r="G1364" s="101"/>
      <c r="H1364" s="101"/>
      <c r="I1364" s="101"/>
      <c r="J1364" s="89"/>
    </row>
    <row r="1365" spans="1:10" customFormat="1" ht="15" hidden="1" customHeight="1" x14ac:dyDescent="0.25">
      <c r="A1365" s="144"/>
      <c r="B1365" s="3"/>
      <c r="D1365" s="102"/>
      <c r="E1365" s="102"/>
      <c r="F1365" s="3"/>
      <c r="G1365" s="101"/>
      <c r="H1365" s="101"/>
      <c r="I1365" s="101"/>
      <c r="J1365" s="89"/>
    </row>
    <row r="1366" spans="1:10" customFormat="1" ht="15" hidden="1" customHeight="1" x14ac:dyDescent="0.25">
      <c r="A1366" s="144"/>
      <c r="B1366" s="3"/>
      <c r="D1366" s="102"/>
      <c r="E1366" s="102"/>
      <c r="F1366" s="3"/>
      <c r="G1366" s="101"/>
      <c r="H1366" s="101"/>
      <c r="I1366" s="101"/>
      <c r="J1366" s="89"/>
    </row>
    <row r="1367" spans="1:10" customFormat="1" ht="15" hidden="1" customHeight="1" x14ac:dyDescent="0.25">
      <c r="A1367" s="144"/>
      <c r="B1367" s="3"/>
      <c r="D1367" s="102"/>
      <c r="E1367" s="102"/>
      <c r="F1367" s="3"/>
      <c r="G1367" s="101"/>
      <c r="H1367" s="101"/>
      <c r="I1367" s="101"/>
      <c r="J1367" s="89"/>
    </row>
    <row r="1368" spans="1:10" customFormat="1" ht="15" hidden="1" customHeight="1" x14ac:dyDescent="0.25">
      <c r="A1368" s="144"/>
      <c r="B1368" s="3"/>
      <c r="D1368" s="102"/>
      <c r="E1368" s="102"/>
      <c r="F1368" s="3"/>
      <c r="G1368" s="101"/>
      <c r="H1368" s="101"/>
      <c r="I1368" s="101"/>
      <c r="J1368" s="89"/>
    </row>
    <row r="1369" spans="1:10" customFormat="1" ht="15" hidden="1" customHeight="1" x14ac:dyDescent="0.25">
      <c r="A1369" s="144"/>
      <c r="B1369" s="3"/>
      <c r="D1369" s="102"/>
      <c r="E1369" s="102"/>
      <c r="F1369" s="3"/>
      <c r="G1369" s="101"/>
      <c r="H1369" s="101"/>
      <c r="I1369" s="101"/>
      <c r="J1369" s="89"/>
    </row>
    <row r="1370" spans="1:10" customFormat="1" ht="15" hidden="1" customHeight="1" x14ac:dyDescent="0.25">
      <c r="A1370" s="144"/>
      <c r="B1370" s="3"/>
      <c r="D1370" s="102"/>
      <c r="E1370" s="102"/>
      <c r="F1370" s="3"/>
      <c r="G1370" s="101"/>
      <c r="H1370" s="101"/>
      <c r="I1370" s="101"/>
      <c r="J1370" s="89"/>
    </row>
    <row r="1371" spans="1:10" customFormat="1" ht="15" hidden="1" customHeight="1" x14ac:dyDescent="0.25">
      <c r="A1371" s="144"/>
      <c r="B1371" s="3"/>
      <c r="D1371" s="102"/>
      <c r="E1371" s="102"/>
      <c r="F1371" s="3"/>
      <c r="G1371" s="101"/>
      <c r="H1371" s="101"/>
      <c r="I1371" s="101"/>
      <c r="J1371" s="89"/>
    </row>
    <row r="1372" spans="1:10" customFormat="1" ht="15" hidden="1" customHeight="1" x14ac:dyDescent="0.25">
      <c r="A1372" s="144"/>
      <c r="B1372" s="3"/>
      <c r="D1372" s="102"/>
      <c r="E1372" s="102"/>
      <c r="F1372" s="3"/>
      <c r="G1372" s="101"/>
      <c r="H1372" s="101"/>
      <c r="I1372" s="101"/>
      <c r="J1372" s="89"/>
    </row>
    <row r="1373" spans="1:10" customFormat="1" ht="15" hidden="1" customHeight="1" x14ac:dyDescent="0.25">
      <c r="A1373" s="144"/>
      <c r="B1373" s="3"/>
      <c r="D1373" s="102"/>
      <c r="E1373" s="102"/>
      <c r="F1373" s="3"/>
      <c r="G1373" s="101"/>
      <c r="H1373" s="101"/>
      <c r="I1373" s="101"/>
      <c r="J1373" s="89"/>
    </row>
    <row r="1374" spans="1:10" customFormat="1" ht="15" hidden="1" customHeight="1" x14ac:dyDescent="0.25">
      <c r="A1374" s="144"/>
      <c r="B1374" s="3"/>
      <c r="D1374" s="102"/>
      <c r="E1374" s="102"/>
      <c r="F1374" s="3"/>
      <c r="G1374" s="101"/>
      <c r="H1374" s="101"/>
      <c r="I1374" s="101"/>
      <c r="J1374" s="89"/>
    </row>
    <row r="1375" spans="1:10" customFormat="1" ht="15" hidden="1" customHeight="1" x14ac:dyDescent="0.25">
      <c r="A1375" s="144"/>
      <c r="B1375" s="3"/>
      <c r="D1375" s="102"/>
      <c r="E1375" s="102"/>
      <c r="F1375" s="3"/>
      <c r="G1375" s="101"/>
      <c r="H1375" s="101"/>
      <c r="I1375" s="101"/>
      <c r="J1375" s="89"/>
    </row>
    <row r="1376" spans="1:10" customFormat="1" ht="15" hidden="1" customHeight="1" x14ac:dyDescent="0.25">
      <c r="A1376" s="144"/>
      <c r="B1376" s="3"/>
      <c r="D1376" s="102"/>
      <c r="E1376" s="102"/>
      <c r="F1376" s="3"/>
      <c r="G1376" s="101"/>
      <c r="H1376" s="101"/>
      <c r="I1376" s="101"/>
      <c r="J1376" s="89"/>
    </row>
    <row r="1377" spans="1:10" customFormat="1" ht="15" hidden="1" customHeight="1" x14ac:dyDescent="0.25">
      <c r="A1377" s="144"/>
      <c r="B1377" s="3"/>
      <c r="D1377" s="102"/>
      <c r="E1377" s="102"/>
      <c r="F1377" s="3"/>
      <c r="G1377" s="101"/>
      <c r="H1377" s="101"/>
      <c r="I1377" s="101"/>
      <c r="J1377" s="89"/>
    </row>
    <row r="1378" spans="1:10" customFormat="1" ht="15" hidden="1" customHeight="1" x14ac:dyDescent="0.25">
      <c r="A1378" s="144"/>
      <c r="B1378" s="3"/>
      <c r="D1378" s="102"/>
      <c r="E1378" s="102"/>
      <c r="F1378" s="3"/>
      <c r="G1378" s="101"/>
      <c r="H1378" s="101"/>
      <c r="I1378" s="101"/>
      <c r="J1378" s="89"/>
    </row>
    <row r="1379" spans="1:10" customFormat="1" ht="15" hidden="1" customHeight="1" x14ac:dyDescent="0.25">
      <c r="A1379" s="144"/>
      <c r="B1379" s="3"/>
      <c r="D1379" s="102"/>
      <c r="E1379" s="102"/>
      <c r="F1379" s="3"/>
      <c r="G1379" s="101"/>
      <c r="H1379" s="101"/>
      <c r="I1379" s="101"/>
      <c r="J1379" s="89"/>
    </row>
    <row r="1380" spans="1:10" customFormat="1" ht="15" hidden="1" customHeight="1" x14ac:dyDescent="0.25">
      <c r="A1380" s="144"/>
      <c r="B1380" s="3"/>
      <c r="D1380" s="102"/>
      <c r="E1380" s="102"/>
      <c r="F1380" s="3"/>
      <c r="G1380" s="101"/>
      <c r="H1380" s="101"/>
      <c r="I1380" s="101"/>
      <c r="J1380" s="89"/>
    </row>
    <row r="1381" spans="1:10" customFormat="1" ht="15" hidden="1" customHeight="1" x14ac:dyDescent="0.25">
      <c r="A1381" s="144"/>
      <c r="B1381" s="3"/>
      <c r="D1381" s="102"/>
      <c r="E1381" s="102"/>
      <c r="F1381" s="3"/>
      <c r="G1381" s="101"/>
      <c r="H1381" s="101"/>
      <c r="I1381" s="101"/>
      <c r="J1381" s="89"/>
    </row>
    <row r="1382" spans="1:10" customFormat="1" ht="15" hidden="1" customHeight="1" x14ac:dyDescent="0.25">
      <c r="A1382" s="144"/>
      <c r="B1382" s="3"/>
      <c r="D1382" s="102"/>
      <c r="E1382" s="102"/>
      <c r="F1382" s="3"/>
      <c r="G1382" s="101"/>
      <c r="H1382" s="101"/>
      <c r="I1382" s="101"/>
      <c r="J1382" s="89"/>
    </row>
    <row r="1383" spans="1:10" customFormat="1" ht="15" hidden="1" customHeight="1" x14ac:dyDescent="0.25">
      <c r="A1383" s="144"/>
      <c r="B1383" s="3"/>
      <c r="D1383" s="102"/>
      <c r="E1383" s="102"/>
      <c r="F1383" s="3"/>
      <c r="G1383" s="101"/>
      <c r="H1383" s="101"/>
      <c r="I1383" s="101"/>
      <c r="J1383" s="89"/>
    </row>
    <row r="1384" spans="1:10" customFormat="1" ht="15" hidden="1" customHeight="1" x14ac:dyDescent="0.25">
      <c r="A1384" s="144"/>
      <c r="B1384" s="3"/>
      <c r="D1384" s="102"/>
      <c r="E1384" s="102"/>
      <c r="F1384" s="3"/>
      <c r="G1384" s="101"/>
      <c r="H1384" s="101"/>
      <c r="I1384" s="101"/>
      <c r="J1384" s="89"/>
    </row>
    <row r="1385" spans="1:10" customFormat="1" ht="15" hidden="1" customHeight="1" x14ac:dyDescent="0.25">
      <c r="A1385" s="144"/>
      <c r="B1385" s="3"/>
      <c r="D1385" s="102"/>
      <c r="E1385" s="102"/>
      <c r="F1385" s="3"/>
      <c r="G1385" s="101"/>
      <c r="H1385" s="101"/>
      <c r="I1385" s="101"/>
      <c r="J1385" s="89"/>
    </row>
    <row r="1386" spans="1:10" customFormat="1" ht="15" hidden="1" customHeight="1" x14ac:dyDescent="0.25">
      <c r="A1386" s="144"/>
      <c r="B1386" s="3"/>
      <c r="D1386" s="102"/>
      <c r="E1386" s="102"/>
      <c r="F1386" s="3"/>
      <c r="G1386" s="101"/>
      <c r="H1386" s="101"/>
      <c r="I1386" s="101"/>
      <c r="J1386" s="89"/>
    </row>
    <row r="1387" spans="1:10" customFormat="1" ht="15" hidden="1" customHeight="1" x14ac:dyDescent="0.25">
      <c r="A1387" s="144"/>
      <c r="B1387" s="3"/>
      <c r="D1387" s="102"/>
      <c r="E1387" s="102"/>
      <c r="F1387" s="3"/>
      <c r="G1387" s="101"/>
      <c r="H1387" s="101"/>
      <c r="I1387" s="101"/>
      <c r="J1387" s="89"/>
    </row>
    <row r="1388" spans="1:10" customFormat="1" ht="15" hidden="1" customHeight="1" x14ac:dyDescent="0.25">
      <c r="A1388" s="144"/>
      <c r="B1388" s="3"/>
      <c r="D1388" s="102"/>
      <c r="E1388" s="102"/>
      <c r="F1388" s="3"/>
      <c r="G1388" s="101"/>
      <c r="H1388" s="101"/>
      <c r="I1388" s="101"/>
      <c r="J1388" s="89"/>
    </row>
    <row r="1389" spans="1:10" customFormat="1" ht="15" hidden="1" customHeight="1" x14ac:dyDescent="0.25">
      <c r="A1389" s="144"/>
      <c r="B1389" s="3"/>
      <c r="D1389" s="102"/>
      <c r="E1389" s="102"/>
      <c r="F1389" s="3"/>
      <c r="G1389" s="101"/>
      <c r="H1389" s="101"/>
      <c r="I1389" s="101"/>
      <c r="J1389" s="89"/>
    </row>
    <row r="1390" spans="1:10" customFormat="1" ht="15" hidden="1" customHeight="1" x14ac:dyDescent="0.25">
      <c r="A1390" s="144"/>
      <c r="B1390" s="3"/>
      <c r="D1390" s="102"/>
      <c r="E1390" s="102"/>
      <c r="F1390" s="3"/>
      <c r="G1390" s="101"/>
      <c r="H1390" s="101"/>
      <c r="I1390" s="101"/>
      <c r="J1390" s="89"/>
    </row>
    <row r="1391" spans="1:10" customFormat="1" ht="15" hidden="1" customHeight="1" x14ac:dyDescent="0.25">
      <c r="A1391" s="144"/>
      <c r="B1391" s="3"/>
      <c r="D1391" s="102"/>
      <c r="E1391" s="102"/>
      <c r="F1391" s="3"/>
      <c r="G1391" s="101"/>
      <c r="H1391" s="101"/>
      <c r="I1391" s="101"/>
      <c r="J1391" s="89"/>
    </row>
    <row r="1392" spans="1:10" customFormat="1" ht="15" hidden="1" customHeight="1" x14ac:dyDescent="0.25">
      <c r="A1392" s="144"/>
      <c r="B1392" s="3"/>
      <c r="D1392" s="102"/>
      <c r="E1392" s="102"/>
      <c r="F1392" s="3"/>
      <c r="G1392" s="101"/>
      <c r="H1392" s="101"/>
      <c r="I1392" s="101"/>
      <c r="J1392" s="89"/>
    </row>
    <row r="1393" spans="1:10" customFormat="1" ht="15" hidden="1" customHeight="1" x14ac:dyDescent="0.25">
      <c r="A1393" s="144"/>
      <c r="B1393" s="3"/>
      <c r="D1393" s="102"/>
      <c r="E1393" s="102"/>
      <c r="F1393" s="3"/>
      <c r="G1393" s="101"/>
      <c r="H1393" s="101"/>
      <c r="I1393" s="101"/>
      <c r="J1393" s="89"/>
    </row>
    <row r="1394" spans="1:10" customFormat="1" ht="15" hidden="1" customHeight="1" x14ac:dyDescent="0.25">
      <c r="A1394" s="144"/>
      <c r="B1394" s="3"/>
      <c r="D1394" s="102"/>
      <c r="E1394" s="102"/>
      <c r="F1394" s="3"/>
      <c r="G1394" s="101"/>
      <c r="H1394" s="101"/>
      <c r="I1394" s="101"/>
      <c r="J1394" s="89"/>
    </row>
    <row r="1395" spans="1:10" customFormat="1" ht="15" hidden="1" customHeight="1" x14ac:dyDescent="0.25">
      <c r="A1395" s="144"/>
      <c r="B1395" s="3"/>
      <c r="D1395" s="102"/>
      <c r="E1395" s="102"/>
      <c r="F1395" s="3"/>
      <c r="G1395" s="101"/>
      <c r="H1395" s="101"/>
      <c r="I1395" s="101"/>
      <c r="J1395" s="89"/>
    </row>
    <row r="1396" spans="1:10" customFormat="1" ht="15" hidden="1" customHeight="1" x14ac:dyDescent="0.25">
      <c r="A1396" s="144"/>
      <c r="B1396" s="3"/>
      <c r="D1396" s="102"/>
      <c r="E1396" s="102"/>
      <c r="F1396" s="3"/>
      <c r="G1396" s="101"/>
      <c r="H1396" s="101"/>
      <c r="I1396" s="101"/>
      <c r="J1396" s="89"/>
    </row>
    <row r="1397" spans="1:10" customFormat="1" ht="15" hidden="1" customHeight="1" x14ac:dyDescent="0.25">
      <c r="A1397" s="144"/>
      <c r="B1397" s="3"/>
      <c r="D1397" s="102"/>
      <c r="E1397" s="102"/>
      <c r="F1397" s="3"/>
      <c r="G1397" s="101"/>
      <c r="H1397" s="101"/>
      <c r="I1397" s="101"/>
      <c r="J1397" s="89"/>
    </row>
    <row r="1398" spans="1:10" customFormat="1" ht="15" hidden="1" customHeight="1" x14ac:dyDescent="0.25">
      <c r="A1398" s="144"/>
      <c r="B1398" s="3"/>
      <c r="D1398" s="102"/>
      <c r="E1398" s="102"/>
      <c r="F1398" s="3"/>
      <c r="G1398" s="101"/>
      <c r="H1398" s="101"/>
      <c r="I1398" s="101"/>
      <c r="J1398" s="89"/>
    </row>
    <row r="1399" spans="1:10" customFormat="1" ht="15" hidden="1" customHeight="1" x14ac:dyDescent="0.25">
      <c r="A1399" s="144"/>
      <c r="B1399" s="3"/>
      <c r="D1399" s="102"/>
      <c r="E1399" s="102"/>
      <c r="F1399" s="3"/>
      <c r="G1399" s="101"/>
      <c r="H1399" s="101"/>
      <c r="I1399" s="101"/>
      <c r="J1399" s="89"/>
    </row>
    <row r="1400" spans="1:10" customFormat="1" ht="15" hidden="1" customHeight="1" x14ac:dyDescent="0.25">
      <c r="A1400" s="144"/>
      <c r="B1400" s="3"/>
      <c r="D1400" s="102"/>
      <c r="E1400" s="102"/>
      <c r="F1400" s="3"/>
      <c r="G1400" s="101"/>
      <c r="H1400" s="101"/>
      <c r="I1400" s="101"/>
      <c r="J1400" s="89"/>
    </row>
    <row r="1401" spans="1:10" customFormat="1" ht="15" hidden="1" customHeight="1" x14ac:dyDescent="0.25">
      <c r="A1401" s="144"/>
      <c r="B1401" s="3"/>
      <c r="D1401" s="102"/>
      <c r="E1401" s="102"/>
      <c r="F1401" s="3"/>
      <c r="G1401" s="101"/>
      <c r="H1401" s="101"/>
      <c r="I1401" s="101"/>
      <c r="J1401" s="89"/>
    </row>
    <row r="1402" spans="1:10" customFormat="1" ht="15" hidden="1" customHeight="1" x14ac:dyDescent="0.25">
      <c r="A1402" s="144"/>
      <c r="B1402" s="3"/>
      <c r="D1402" s="102"/>
      <c r="E1402" s="102"/>
      <c r="F1402" s="3"/>
      <c r="G1402" s="101"/>
      <c r="H1402" s="101"/>
      <c r="I1402" s="101"/>
      <c r="J1402" s="89"/>
    </row>
    <row r="1403" spans="1:10" customFormat="1" ht="15" hidden="1" customHeight="1" x14ac:dyDescent="0.25">
      <c r="A1403" s="144"/>
      <c r="B1403" s="3"/>
      <c r="D1403" s="102"/>
      <c r="E1403" s="102"/>
      <c r="F1403" s="3"/>
      <c r="G1403" s="101"/>
      <c r="H1403" s="101"/>
      <c r="I1403" s="101"/>
      <c r="J1403" s="89"/>
    </row>
    <row r="1404" spans="1:10" customFormat="1" ht="15" hidden="1" customHeight="1" x14ac:dyDescent="0.25">
      <c r="A1404" s="144"/>
      <c r="B1404" s="3"/>
      <c r="D1404" s="102"/>
      <c r="E1404" s="102"/>
      <c r="F1404" s="3"/>
      <c r="G1404" s="101"/>
      <c r="H1404" s="101"/>
      <c r="I1404" s="101"/>
      <c r="J1404" s="89"/>
    </row>
    <row r="1405" spans="1:10" customFormat="1" ht="15" hidden="1" customHeight="1" x14ac:dyDescent="0.25">
      <c r="A1405" s="144"/>
      <c r="B1405" s="3"/>
      <c r="D1405" s="102"/>
      <c r="E1405" s="102"/>
      <c r="F1405" s="3"/>
      <c r="G1405" s="101"/>
      <c r="H1405" s="101"/>
      <c r="I1405" s="101"/>
      <c r="J1405" s="89"/>
    </row>
    <row r="1406" spans="1:10" customFormat="1" ht="15" hidden="1" customHeight="1" x14ac:dyDescent="0.25">
      <c r="A1406" s="144"/>
      <c r="B1406" s="3"/>
      <c r="D1406" s="102"/>
      <c r="E1406" s="102"/>
      <c r="F1406" s="3"/>
      <c r="G1406" s="101"/>
      <c r="H1406" s="101"/>
      <c r="I1406" s="101"/>
      <c r="J1406" s="89"/>
    </row>
    <row r="1407" spans="1:10" customFormat="1" ht="15" hidden="1" customHeight="1" x14ac:dyDescent="0.25">
      <c r="A1407" s="144"/>
      <c r="B1407" s="3"/>
      <c r="D1407" s="102"/>
      <c r="E1407" s="102"/>
      <c r="F1407" s="3"/>
      <c r="G1407" s="101"/>
      <c r="H1407" s="101"/>
      <c r="I1407" s="101"/>
      <c r="J1407" s="89"/>
    </row>
    <row r="1408" spans="1:10" customFormat="1" ht="15" hidden="1" customHeight="1" x14ac:dyDescent="0.25">
      <c r="A1408" s="144"/>
      <c r="B1408" s="3"/>
      <c r="D1408" s="102"/>
      <c r="E1408" s="102"/>
      <c r="F1408" s="3"/>
      <c r="G1408" s="101"/>
      <c r="H1408" s="101"/>
      <c r="I1408" s="101"/>
      <c r="J1408" s="89"/>
    </row>
    <row r="1409" spans="1:10" customFormat="1" ht="15" hidden="1" customHeight="1" x14ac:dyDescent="0.25">
      <c r="A1409" s="144"/>
      <c r="B1409" s="3"/>
      <c r="D1409" s="102"/>
      <c r="E1409" s="102"/>
      <c r="F1409" s="3"/>
      <c r="G1409" s="101"/>
      <c r="H1409" s="101"/>
      <c r="I1409" s="101"/>
      <c r="J1409" s="89"/>
    </row>
    <row r="1410" spans="1:10" customFormat="1" ht="15" hidden="1" customHeight="1" x14ac:dyDescent="0.25">
      <c r="A1410" s="144"/>
      <c r="B1410" s="3"/>
      <c r="D1410" s="102"/>
      <c r="E1410" s="102"/>
      <c r="F1410" s="3"/>
      <c r="G1410" s="101"/>
      <c r="H1410" s="101"/>
      <c r="I1410" s="101"/>
      <c r="J1410" s="89"/>
    </row>
    <row r="1411" spans="1:10" customFormat="1" ht="15" hidden="1" customHeight="1" x14ac:dyDescent="0.25">
      <c r="A1411" s="144"/>
      <c r="B1411" s="3"/>
      <c r="D1411" s="102"/>
      <c r="E1411" s="102"/>
      <c r="F1411" s="3"/>
      <c r="G1411" s="101"/>
      <c r="H1411" s="101"/>
      <c r="I1411" s="101"/>
      <c r="J1411" s="89"/>
    </row>
    <row r="1412" spans="1:10" customFormat="1" ht="15" hidden="1" customHeight="1" x14ac:dyDescent="0.25">
      <c r="A1412" s="144"/>
      <c r="B1412" s="3"/>
      <c r="D1412" s="102"/>
      <c r="E1412" s="102"/>
      <c r="F1412" s="3"/>
      <c r="G1412" s="101"/>
      <c r="H1412" s="101"/>
      <c r="I1412" s="101"/>
      <c r="J1412" s="89"/>
    </row>
    <row r="1413" spans="1:10" customFormat="1" ht="15" hidden="1" customHeight="1" x14ac:dyDescent="0.25">
      <c r="A1413" s="144"/>
      <c r="B1413" s="3"/>
      <c r="D1413" s="102"/>
      <c r="E1413" s="102"/>
      <c r="F1413" s="3"/>
      <c r="G1413" s="101"/>
      <c r="H1413" s="101"/>
      <c r="I1413" s="101"/>
      <c r="J1413" s="89"/>
    </row>
    <row r="1414" spans="1:10" customFormat="1" ht="15" hidden="1" customHeight="1" x14ac:dyDescent="0.25">
      <c r="A1414" s="144"/>
      <c r="B1414" s="3"/>
      <c r="D1414" s="102"/>
      <c r="E1414" s="102"/>
      <c r="F1414" s="3"/>
      <c r="G1414" s="101"/>
      <c r="H1414" s="101"/>
      <c r="I1414" s="101"/>
      <c r="J1414" s="89"/>
    </row>
    <row r="1415" spans="1:10" customFormat="1" ht="15" hidden="1" customHeight="1" x14ac:dyDescent="0.25">
      <c r="A1415" s="144"/>
      <c r="B1415" s="3"/>
      <c r="D1415" s="102"/>
      <c r="E1415" s="102"/>
      <c r="F1415" s="3"/>
      <c r="G1415" s="101"/>
      <c r="H1415" s="101"/>
      <c r="I1415" s="101"/>
      <c r="J1415" s="89"/>
    </row>
    <row r="1416" spans="1:10" customFormat="1" ht="15" hidden="1" customHeight="1" x14ac:dyDescent="0.25">
      <c r="A1416" s="144"/>
      <c r="B1416" s="3"/>
      <c r="D1416" s="102"/>
      <c r="E1416" s="102"/>
      <c r="F1416" s="3"/>
      <c r="G1416" s="101"/>
      <c r="H1416" s="101"/>
      <c r="I1416" s="101"/>
      <c r="J1416" s="89"/>
    </row>
    <row r="1417" spans="1:10" customFormat="1" ht="15" hidden="1" customHeight="1" x14ac:dyDescent="0.25">
      <c r="A1417" s="144"/>
      <c r="B1417" s="3"/>
      <c r="D1417" s="102"/>
      <c r="E1417" s="102"/>
      <c r="F1417" s="3"/>
      <c r="G1417" s="101"/>
      <c r="H1417" s="101"/>
      <c r="I1417" s="101"/>
      <c r="J1417" s="89"/>
    </row>
    <row r="1418" spans="1:10" customFormat="1" ht="15" hidden="1" customHeight="1" x14ac:dyDescent="0.25">
      <c r="A1418" s="144"/>
      <c r="B1418" s="3"/>
      <c r="D1418" s="102"/>
      <c r="E1418" s="102"/>
      <c r="F1418" s="3"/>
      <c r="G1418" s="101"/>
      <c r="H1418" s="101"/>
      <c r="I1418" s="101"/>
      <c r="J1418" s="89"/>
    </row>
    <row r="1419" spans="1:10" customFormat="1" ht="15" hidden="1" customHeight="1" x14ac:dyDescent="0.25">
      <c r="A1419" s="144"/>
      <c r="B1419" s="3"/>
      <c r="D1419" s="102"/>
      <c r="E1419" s="102"/>
      <c r="F1419" s="3"/>
      <c r="G1419" s="101"/>
      <c r="H1419" s="101"/>
      <c r="I1419" s="101"/>
      <c r="J1419" s="89"/>
    </row>
    <row r="1420" spans="1:10" customFormat="1" ht="15" hidden="1" customHeight="1" x14ac:dyDescent="0.25">
      <c r="A1420" s="144"/>
      <c r="B1420" s="3"/>
      <c r="D1420" s="102"/>
      <c r="E1420" s="102"/>
      <c r="F1420" s="3"/>
      <c r="G1420" s="101"/>
      <c r="H1420" s="101"/>
      <c r="I1420" s="101"/>
      <c r="J1420" s="89"/>
    </row>
    <row r="1421" spans="1:10" customFormat="1" ht="15" hidden="1" customHeight="1" x14ac:dyDescent="0.25">
      <c r="A1421" s="144"/>
      <c r="B1421" s="3"/>
      <c r="D1421" s="102"/>
      <c r="E1421" s="102"/>
      <c r="F1421" s="3"/>
      <c r="G1421" s="101"/>
      <c r="H1421" s="101"/>
      <c r="I1421" s="101"/>
      <c r="J1421" s="89"/>
    </row>
    <row r="1422" spans="1:10" customFormat="1" ht="15" hidden="1" customHeight="1" x14ac:dyDescent="0.25">
      <c r="A1422" s="144"/>
      <c r="B1422" s="3"/>
      <c r="D1422" s="102"/>
      <c r="E1422" s="102"/>
      <c r="F1422" s="3"/>
      <c r="G1422" s="101"/>
      <c r="H1422" s="101"/>
      <c r="I1422" s="101"/>
      <c r="J1422" s="89"/>
    </row>
    <row r="1423" spans="1:10" customFormat="1" ht="15" hidden="1" customHeight="1" x14ac:dyDescent="0.25">
      <c r="A1423" s="144"/>
      <c r="B1423" s="3"/>
      <c r="D1423" s="102"/>
      <c r="E1423" s="102"/>
      <c r="F1423" s="3"/>
      <c r="G1423" s="101"/>
      <c r="H1423" s="101"/>
      <c r="I1423" s="101"/>
      <c r="J1423" s="89"/>
    </row>
    <row r="1424" spans="1:10" customFormat="1" ht="15" hidden="1" customHeight="1" x14ac:dyDescent="0.25">
      <c r="A1424" s="144"/>
      <c r="B1424" s="3"/>
      <c r="D1424" s="102"/>
      <c r="E1424" s="102"/>
      <c r="F1424" s="3"/>
      <c r="G1424" s="101"/>
      <c r="H1424" s="101"/>
      <c r="I1424" s="101"/>
      <c r="J1424" s="89"/>
    </row>
    <row r="1425" spans="1:10" customFormat="1" ht="15" hidden="1" customHeight="1" x14ac:dyDescent="0.25">
      <c r="A1425" s="144"/>
      <c r="B1425" s="3"/>
      <c r="D1425" s="102"/>
      <c r="E1425" s="102"/>
      <c r="F1425" s="3"/>
      <c r="G1425" s="101"/>
      <c r="H1425" s="101"/>
      <c r="I1425" s="101"/>
      <c r="J1425" s="89"/>
    </row>
    <row r="1426" spans="1:10" customFormat="1" ht="15" hidden="1" customHeight="1" x14ac:dyDescent="0.25">
      <c r="A1426" s="144"/>
      <c r="B1426" s="3"/>
      <c r="D1426" s="102"/>
      <c r="E1426" s="102"/>
      <c r="F1426" s="3"/>
      <c r="G1426" s="101"/>
      <c r="H1426" s="101"/>
      <c r="I1426" s="101"/>
      <c r="J1426" s="89"/>
    </row>
    <row r="1427" spans="1:10" customFormat="1" ht="15" hidden="1" customHeight="1" x14ac:dyDescent="0.25">
      <c r="A1427" s="144"/>
      <c r="B1427" s="3"/>
      <c r="D1427" s="102"/>
      <c r="E1427" s="102"/>
      <c r="F1427" s="3"/>
      <c r="G1427" s="101"/>
      <c r="H1427" s="101"/>
      <c r="I1427" s="101"/>
      <c r="J1427" s="89"/>
    </row>
    <row r="1428" spans="1:10" customFormat="1" ht="15" hidden="1" customHeight="1" x14ac:dyDescent="0.25">
      <c r="A1428" s="144"/>
      <c r="B1428" s="3"/>
      <c r="D1428" s="102"/>
      <c r="E1428" s="102"/>
      <c r="F1428" s="3"/>
      <c r="G1428" s="101"/>
      <c r="H1428" s="101"/>
      <c r="I1428" s="101"/>
      <c r="J1428" s="89"/>
    </row>
    <row r="1429" spans="1:10" customFormat="1" ht="15" hidden="1" customHeight="1" x14ac:dyDescent="0.25">
      <c r="A1429" s="144"/>
      <c r="B1429" s="3"/>
      <c r="D1429" s="102"/>
      <c r="E1429" s="102"/>
      <c r="F1429" s="3"/>
      <c r="G1429" s="101"/>
      <c r="H1429" s="101"/>
      <c r="I1429" s="101"/>
      <c r="J1429" s="89"/>
    </row>
    <row r="1430" spans="1:10" customFormat="1" ht="15" hidden="1" customHeight="1" x14ac:dyDescent="0.25">
      <c r="A1430" s="144"/>
      <c r="B1430" s="3"/>
      <c r="D1430" s="102"/>
      <c r="E1430" s="102"/>
      <c r="F1430" s="3"/>
      <c r="G1430" s="101"/>
      <c r="H1430" s="101"/>
      <c r="I1430" s="101"/>
      <c r="J1430" s="89"/>
    </row>
    <row r="1431" spans="1:10" customFormat="1" ht="15" hidden="1" customHeight="1" x14ac:dyDescent="0.25">
      <c r="A1431" s="144"/>
      <c r="B1431" s="3"/>
      <c r="D1431" s="102"/>
      <c r="E1431" s="102"/>
      <c r="F1431" s="3"/>
      <c r="G1431" s="101"/>
      <c r="H1431" s="101"/>
      <c r="I1431" s="101"/>
      <c r="J1431" s="89"/>
    </row>
    <row r="1432" spans="1:10" customFormat="1" ht="15" hidden="1" customHeight="1" x14ac:dyDescent="0.25">
      <c r="A1432" s="144"/>
      <c r="B1432" s="3"/>
      <c r="D1432" s="102"/>
      <c r="E1432" s="102"/>
      <c r="F1432" s="3"/>
      <c r="G1432" s="101"/>
      <c r="H1432" s="101"/>
      <c r="I1432" s="101"/>
      <c r="J1432" s="89"/>
    </row>
    <row r="1433" spans="1:10" customFormat="1" ht="15" hidden="1" customHeight="1" x14ac:dyDescent="0.25">
      <c r="A1433" s="144"/>
      <c r="B1433" s="3"/>
      <c r="D1433" s="102"/>
      <c r="E1433" s="102"/>
      <c r="F1433" s="3"/>
      <c r="G1433" s="101"/>
      <c r="H1433" s="101"/>
      <c r="I1433" s="101"/>
      <c r="J1433" s="89"/>
    </row>
    <row r="1434" spans="1:10" customFormat="1" ht="15" hidden="1" customHeight="1" x14ac:dyDescent="0.25">
      <c r="A1434" s="144"/>
      <c r="B1434" s="3"/>
      <c r="D1434" s="102"/>
      <c r="E1434" s="102"/>
      <c r="F1434" s="3"/>
      <c r="G1434" s="101"/>
      <c r="H1434" s="101"/>
      <c r="I1434" s="101"/>
      <c r="J1434" s="89"/>
    </row>
    <row r="1435" spans="1:10" customFormat="1" ht="15" hidden="1" customHeight="1" x14ac:dyDescent="0.25">
      <c r="A1435" s="144"/>
      <c r="B1435" s="3"/>
      <c r="D1435" s="102"/>
      <c r="E1435" s="102"/>
      <c r="F1435" s="3"/>
      <c r="G1435" s="101"/>
      <c r="H1435" s="101"/>
      <c r="I1435" s="101"/>
      <c r="J1435" s="89"/>
    </row>
    <row r="1436" spans="1:10" customFormat="1" ht="15" hidden="1" customHeight="1" x14ac:dyDescent="0.25">
      <c r="A1436" s="144"/>
      <c r="B1436" s="3"/>
      <c r="D1436" s="102"/>
      <c r="E1436" s="102"/>
      <c r="F1436" s="3"/>
      <c r="G1436" s="101"/>
      <c r="H1436" s="101"/>
      <c r="I1436" s="101"/>
      <c r="J1436" s="89"/>
    </row>
    <row r="1437" spans="1:10" customFormat="1" ht="15" hidden="1" customHeight="1" x14ac:dyDescent="0.25">
      <c r="A1437" s="144"/>
      <c r="B1437" s="3"/>
      <c r="D1437" s="102"/>
      <c r="E1437" s="102"/>
      <c r="F1437" s="3"/>
      <c r="G1437" s="101"/>
      <c r="H1437" s="101"/>
      <c r="I1437" s="101"/>
      <c r="J1437" s="89"/>
    </row>
    <row r="1438" spans="1:10" customFormat="1" ht="15" hidden="1" customHeight="1" x14ac:dyDescent="0.25">
      <c r="A1438" s="144"/>
      <c r="B1438" s="3"/>
      <c r="D1438" s="102"/>
      <c r="E1438" s="102"/>
      <c r="F1438" s="3"/>
      <c r="G1438" s="101"/>
      <c r="H1438" s="101"/>
      <c r="I1438" s="101"/>
      <c r="J1438" s="89"/>
    </row>
    <row r="1439" spans="1:10" customFormat="1" ht="15" hidden="1" customHeight="1" x14ac:dyDescent="0.25">
      <c r="A1439" s="144"/>
      <c r="B1439" s="3"/>
      <c r="D1439" s="102"/>
      <c r="E1439" s="102"/>
      <c r="F1439" s="3"/>
      <c r="G1439" s="101"/>
      <c r="H1439" s="101"/>
      <c r="I1439" s="101"/>
      <c r="J1439" s="89"/>
    </row>
    <row r="1440" spans="1:10" customFormat="1" ht="15" hidden="1" customHeight="1" x14ac:dyDescent="0.25">
      <c r="A1440" s="144"/>
      <c r="B1440" s="3"/>
      <c r="D1440" s="102"/>
      <c r="E1440" s="102"/>
      <c r="F1440" s="3"/>
      <c r="G1440" s="101"/>
      <c r="H1440" s="101"/>
      <c r="I1440" s="101"/>
      <c r="J1440" s="89"/>
    </row>
    <row r="1441" spans="1:10" customFormat="1" ht="15" hidden="1" customHeight="1" x14ac:dyDescent="0.25">
      <c r="A1441" s="144"/>
      <c r="B1441" s="3"/>
      <c r="D1441" s="102"/>
      <c r="E1441" s="102"/>
      <c r="F1441" s="3"/>
      <c r="G1441" s="101"/>
      <c r="H1441" s="101"/>
      <c r="I1441" s="101"/>
      <c r="J1441" s="89"/>
    </row>
    <row r="1442" spans="1:10" customFormat="1" ht="15" hidden="1" customHeight="1" x14ac:dyDescent="0.25">
      <c r="A1442" s="144"/>
      <c r="B1442" s="3"/>
      <c r="D1442" s="102"/>
      <c r="E1442" s="102"/>
      <c r="F1442" s="3"/>
      <c r="G1442" s="101"/>
      <c r="H1442" s="101"/>
      <c r="I1442" s="101"/>
      <c r="J1442" s="89"/>
    </row>
    <row r="1443" spans="1:10" customFormat="1" ht="15" hidden="1" customHeight="1" x14ac:dyDescent="0.25">
      <c r="A1443" s="144"/>
      <c r="B1443" s="3"/>
      <c r="D1443" s="102"/>
      <c r="E1443" s="102"/>
      <c r="F1443" s="3"/>
      <c r="G1443" s="101"/>
      <c r="H1443" s="101"/>
      <c r="I1443" s="101"/>
      <c r="J1443" s="89"/>
    </row>
    <row r="1444" spans="1:10" customFormat="1" ht="15" hidden="1" customHeight="1" x14ac:dyDescent="0.25">
      <c r="A1444" s="144"/>
      <c r="B1444" s="3"/>
      <c r="D1444" s="102"/>
      <c r="E1444" s="102"/>
      <c r="F1444" s="3"/>
      <c r="G1444" s="101"/>
      <c r="H1444" s="101"/>
      <c r="I1444" s="101"/>
      <c r="J1444" s="89"/>
    </row>
    <row r="1445" spans="1:10" customFormat="1" ht="15" hidden="1" customHeight="1" x14ac:dyDescent="0.25">
      <c r="A1445" s="144"/>
      <c r="B1445" s="3"/>
      <c r="D1445" s="102"/>
      <c r="E1445" s="102"/>
      <c r="F1445" s="3"/>
      <c r="G1445" s="101"/>
      <c r="H1445" s="101"/>
      <c r="I1445" s="101"/>
      <c r="J1445" s="89"/>
    </row>
    <row r="1446" spans="1:10" customFormat="1" ht="15" hidden="1" customHeight="1" x14ac:dyDescent="0.25">
      <c r="A1446" s="144"/>
      <c r="B1446" s="3"/>
      <c r="D1446" s="102"/>
      <c r="E1446" s="102"/>
      <c r="F1446" s="3"/>
      <c r="G1446" s="101"/>
      <c r="H1446" s="101"/>
      <c r="I1446" s="101"/>
      <c r="J1446" s="89"/>
    </row>
    <row r="1447" spans="1:10" customFormat="1" ht="15" hidden="1" customHeight="1" x14ac:dyDescent="0.25">
      <c r="A1447" s="144"/>
      <c r="B1447" s="3"/>
      <c r="D1447" s="102"/>
      <c r="E1447" s="102"/>
      <c r="F1447" s="3"/>
      <c r="G1447" s="101"/>
      <c r="H1447" s="101"/>
      <c r="I1447" s="101"/>
      <c r="J1447" s="89"/>
    </row>
    <row r="1448" spans="1:10" customFormat="1" ht="15" hidden="1" customHeight="1" x14ac:dyDescent="0.25">
      <c r="A1448" s="144"/>
      <c r="B1448" s="3"/>
      <c r="D1448" s="102"/>
      <c r="E1448" s="102"/>
      <c r="F1448" s="3"/>
      <c r="G1448" s="101"/>
      <c r="H1448" s="101"/>
      <c r="I1448" s="101"/>
      <c r="J1448" s="89"/>
    </row>
    <row r="1449" spans="1:10" customFormat="1" ht="15" hidden="1" customHeight="1" x14ac:dyDescent="0.25">
      <c r="A1449" s="144"/>
      <c r="B1449" s="3"/>
      <c r="D1449" s="102"/>
      <c r="E1449" s="102"/>
      <c r="F1449" s="3"/>
      <c r="G1449" s="101"/>
      <c r="H1449" s="101"/>
      <c r="I1449" s="101"/>
      <c r="J1449" s="89"/>
    </row>
    <row r="1450" spans="1:10" customFormat="1" ht="15" hidden="1" customHeight="1" x14ac:dyDescent="0.25">
      <c r="A1450" s="144"/>
      <c r="B1450" s="3"/>
      <c r="D1450" s="102"/>
      <c r="E1450" s="102"/>
      <c r="F1450" s="3"/>
      <c r="G1450" s="101"/>
      <c r="H1450" s="101"/>
      <c r="I1450" s="101"/>
      <c r="J1450" s="89"/>
    </row>
    <row r="1451" spans="1:10" customFormat="1" ht="15" hidden="1" customHeight="1" x14ac:dyDescent="0.25">
      <c r="A1451" s="144"/>
      <c r="B1451" s="3"/>
      <c r="D1451" s="102"/>
      <c r="E1451" s="102"/>
      <c r="F1451" s="3"/>
      <c r="G1451" s="101"/>
      <c r="H1451" s="101"/>
      <c r="I1451" s="101"/>
      <c r="J1451" s="89"/>
    </row>
    <row r="1452" spans="1:10" customFormat="1" ht="15" hidden="1" customHeight="1" x14ac:dyDescent="0.25">
      <c r="A1452" s="144"/>
      <c r="B1452" s="3"/>
      <c r="D1452" s="102"/>
      <c r="E1452" s="102"/>
      <c r="F1452" s="3"/>
      <c r="G1452" s="101"/>
      <c r="H1452" s="101"/>
      <c r="I1452" s="101"/>
      <c r="J1452" s="89"/>
    </row>
    <row r="1453" spans="1:10" customFormat="1" ht="15" hidden="1" customHeight="1" x14ac:dyDescent="0.25">
      <c r="A1453" s="144"/>
      <c r="B1453" s="3"/>
      <c r="D1453" s="102"/>
      <c r="E1453" s="102"/>
      <c r="F1453" s="3"/>
      <c r="G1453" s="101"/>
      <c r="H1453" s="101"/>
      <c r="I1453" s="101"/>
      <c r="J1453" s="89"/>
    </row>
    <row r="1454" spans="1:10" customFormat="1" ht="15" hidden="1" customHeight="1" x14ac:dyDescent="0.25">
      <c r="A1454" s="144"/>
      <c r="B1454" s="3"/>
      <c r="D1454" s="102"/>
      <c r="E1454" s="102"/>
      <c r="F1454" s="3"/>
      <c r="G1454" s="101"/>
      <c r="H1454" s="101"/>
      <c r="I1454" s="101"/>
      <c r="J1454" s="89"/>
    </row>
    <row r="1455" spans="1:10" customFormat="1" ht="15" hidden="1" customHeight="1" x14ac:dyDescent="0.25">
      <c r="A1455" s="144"/>
      <c r="B1455" s="3"/>
      <c r="D1455" s="102"/>
      <c r="E1455" s="102"/>
      <c r="F1455" s="3"/>
      <c r="G1455" s="101"/>
      <c r="H1455" s="101"/>
      <c r="I1455" s="101"/>
      <c r="J1455" s="89"/>
    </row>
    <row r="1456" spans="1:10" customFormat="1" ht="15" hidden="1" customHeight="1" x14ac:dyDescent="0.25">
      <c r="A1456" s="144"/>
      <c r="B1456" s="3"/>
      <c r="D1456" s="102"/>
      <c r="E1456" s="102"/>
      <c r="F1456" s="3"/>
      <c r="G1456" s="101"/>
      <c r="H1456" s="101"/>
      <c r="I1456" s="101"/>
      <c r="J1456" s="89"/>
    </row>
    <row r="1457" spans="1:10" customFormat="1" ht="15" hidden="1" customHeight="1" x14ac:dyDescent="0.25">
      <c r="A1457" s="144"/>
      <c r="B1457" s="3"/>
      <c r="D1457" s="102"/>
      <c r="E1457" s="102"/>
      <c r="F1457" s="3"/>
      <c r="G1457" s="101"/>
      <c r="H1457" s="101"/>
      <c r="I1457" s="101"/>
      <c r="J1457" s="89"/>
    </row>
    <row r="1458" spans="1:10" customFormat="1" ht="15" hidden="1" customHeight="1" x14ac:dyDescent="0.25">
      <c r="A1458" s="144"/>
      <c r="B1458" s="3"/>
      <c r="D1458" s="102"/>
      <c r="E1458" s="102"/>
      <c r="F1458" s="3"/>
      <c r="G1458" s="101"/>
      <c r="H1458" s="101"/>
      <c r="I1458" s="101"/>
      <c r="J1458" s="89"/>
    </row>
    <row r="1459" spans="1:10" customFormat="1" ht="15" hidden="1" customHeight="1" x14ac:dyDescent="0.25">
      <c r="A1459" s="144"/>
      <c r="B1459" s="3"/>
      <c r="D1459" s="102"/>
      <c r="E1459" s="102"/>
      <c r="F1459" s="3"/>
      <c r="G1459" s="101"/>
      <c r="H1459" s="101"/>
      <c r="I1459" s="101"/>
      <c r="J1459" s="89"/>
    </row>
    <row r="1460" spans="1:10" customFormat="1" ht="15" hidden="1" customHeight="1" x14ac:dyDescent="0.25">
      <c r="A1460" s="144"/>
      <c r="B1460" s="3"/>
      <c r="D1460" s="102"/>
      <c r="E1460" s="102"/>
      <c r="F1460" s="3"/>
      <c r="G1460" s="101"/>
      <c r="H1460" s="101"/>
      <c r="I1460" s="101"/>
      <c r="J1460" s="89"/>
    </row>
    <row r="1461" spans="1:10" customFormat="1" ht="15" hidden="1" customHeight="1" x14ac:dyDescent="0.25">
      <c r="A1461" s="144"/>
      <c r="B1461" s="3"/>
      <c r="D1461" s="102"/>
      <c r="E1461" s="102"/>
      <c r="F1461" s="3"/>
      <c r="G1461" s="101"/>
      <c r="H1461" s="101"/>
      <c r="I1461" s="101"/>
      <c r="J1461" s="89"/>
    </row>
    <row r="1462" spans="1:10" customFormat="1" ht="15" hidden="1" customHeight="1" x14ac:dyDescent="0.25">
      <c r="A1462" s="144"/>
      <c r="B1462" s="3"/>
      <c r="D1462" s="102"/>
      <c r="E1462" s="102"/>
      <c r="F1462" s="3"/>
      <c r="G1462" s="101"/>
      <c r="H1462" s="101"/>
      <c r="I1462" s="101"/>
      <c r="J1462" s="89"/>
    </row>
    <row r="1463" spans="1:10" customFormat="1" ht="15" hidden="1" customHeight="1" x14ac:dyDescent="0.25">
      <c r="A1463" s="144"/>
      <c r="B1463" s="3"/>
      <c r="D1463" s="102"/>
      <c r="E1463" s="102"/>
      <c r="F1463" s="3"/>
      <c r="G1463" s="101"/>
      <c r="H1463" s="101"/>
      <c r="I1463" s="101"/>
      <c r="J1463" s="89"/>
    </row>
    <row r="1464" spans="1:10" customFormat="1" ht="15" hidden="1" customHeight="1" x14ac:dyDescent="0.25">
      <c r="A1464" s="144"/>
      <c r="B1464" s="3"/>
      <c r="D1464" s="102"/>
      <c r="E1464" s="102"/>
      <c r="F1464" s="3"/>
      <c r="G1464" s="101"/>
      <c r="H1464" s="101"/>
      <c r="I1464" s="101"/>
      <c r="J1464" s="89"/>
    </row>
    <row r="1465" spans="1:10" customFormat="1" ht="15" hidden="1" customHeight="1" x14ac:dyDescent="0.25">
      <c r="A1465" s="144"/>
      <c r="B1465" s="3"/>
      <c r="D1465" s="102"/>
      <c r="E1465" s="102"/>
      <c r="F1465" s="3"/>
      <c r="G1465" s="101"/>
      <c r="H1465" s="101"/>
      <c r="I1465" s="101"/>
      <c r="J1465" s="89"/>
    </row>
    <row r="1466" spans="1:10" customFormat="1" ht="15" hidden="1" customHeight="1" x14ac:dyDescent="0.25">
      <c r="A1466" s="144"/>
      <c r="B1466" s="3"/>
      <c r="D1466" s="102"/>
      <c r="E1466" s="102"/>
      <c r="F1466" s="3"/>
      <c r="G1466" s="101"/>
      <c r="H1466" s="101"/>
      <c r="I1466" s="101"/>
      <c r="J1466" s="89"/>
    </row>
    <row r="1467" spans="1:10" customFormat="1" ht="15" hidden="1" customHeight="1" x14ac:dyDescent="0.25">
      <c r="A1467" s="144"/>
      <c r="B1467" s="3"/>
      <c r="D1467" s="102"/>
      <c r="E1467" s="102"/>
      <c r="F1467" s="3"/>
      <c r="G1467" s="101"/>
      <c r="H1467" s="101"/>
      <c r="I1467" s="101"/>
      <c r="J1467" s="89"/>
    </row>
    <row r="1468" spans="1:10" customFormat="1" ht="15" hidden="1" customHeight="1" x14ac:dyDescent="0.25">
      <c r="A1468" s="144"/>
      <c r="B1468" s="3"/>
      <c r="D1468" s="102"/>
      <c r="E1468" s="102"/>
      <c r="F1468" s="3"/>
      <c r="G1468" s="101"/>
      <c r="H1468" s="101"/>
      <c r="I1468" s="101"/>
      <c r="J1468" s="89"/>
    </row>
    <row r="1469" spans="1:10" customFormat="1" ht="15" hidden="1" customHeight="1" x14ac:dyDescent="0.25">
      <c r="A1469" s="144"/>
      <c r="B1469" s="3"/>
      <c r="D1469" s="102"/>
      <c r="E1469" s="102"/>
      <c r="F1469" s="3"/>
      <c r="G1469" s="101"/>
      <c r="H1469" s="101"/>
      <c r="I1469" s="101"/>
      <c r="J1469" s="89"/>
    </row>
    <row r="1470" spans="1:10" customFormat="1" ht="15" hidden="1" customHeight="1" x14ac:dyDescent="0.25">
      <c r="A1470" s="144"/>
      <c r="B1470" s="3"/>
      <c r="D1470" s="102"/>
      <c r="E1470" s="102"/>
      <c r="F1470" s="3"/>
      <c r="G1470" s="101"/>
      <c r="H1470" s="101"/>
      <c r="I1470" s="101"/>
      <c r="J1470" s="89"/>
    </row>
    <row r="1471" spans="1:10" customFormat="1" ht="15" hidden="1" customHeight="1" x14ac:dyDescent="0.25">
      <c r="A1471" s="144"/>
      <c r="B1471" s="3"/>
      <c r="D1471" s="102"/>
      <c r="E1471" s="102"/>
      <c r="F1471" s="3"/>
      <c r="G1471" s="101"/>
      <c r="H1471" s="101"/>
      <c r="I1471" s="101"/>
      <c r="J1471" s="89"/>
    </row>
    <row r="1472" spans="1:10" customFormat="1" ht="15" hidden="1" customHeight="1" x14ac:dyDescent="0.25">
      <c r="A1472" s="144"/>
      <c r="B1472" s="3"/>
      <c r="D1472" s="102"/>
      <c r="E1472" s="102"/>
      <c r="F1472" s="3"/>
      <c r="G1472" s="101"/>
      <c r="H1472" s="101"/>
      <c r="I1472" s="101"/>
      <c r="J1472" s="89"/>
    </row>
    <row r="1473" spans="1:10" customFormat="1" ht="15" hidden="1" customHeight="1" x14ac:dyDescent="0.25">
      <c r="A1473" s="144"/>
      <c r="B1473" s="3"/>
      <c r="D1473" s="102"/>
      <c r="E1473" s="102"/>
      <c r="F1473" s="3"/>
      <c r="G1473" s="101"/>
      <c r="H1473" s="101"/>
      <c r="I1473" s="101"/>
      <c r="J1473" s="89"/>
    </row>
    <row r="1474" spans="1:10" customFormat="1" ht="15" hidden="1" customHeight="1" x14ac:dyDescent="0.25">
      <c r="A1474" s="144"/>
      <c r="B1474" s="3"/>
      <c r="D1474" s="102"/>
      <c r="E1474" s="102"/>
      <c r="F1474" s="3"/>
      <c r="G1474" s="101"/>
      <c r="H1474" s="101"/>
      <c r="I1474" s="101"/>
      <c r="J1474" s="89"/>
    </row>
    <row r="1475" spans="1:10" customFormat="1" ht="15" hidden="1" customHeight="1" x14ac:dyDescent="0.25">
      <c r="A1475" s="144"/>
      <c r="B1475" s="3"/>
      <c r="D1475" s="102"/>
      <c r="E1475" s="102"/>
      <c r="F1475" s="3"/>
      <c r="G1475" s="101"/>
      <c r="H1475" s="101"/>
      <c r="I1475" s="101"/>
      <c r="J1475" s="89"/>
    </row>
    <row r="1476" spans="1:10" customFormat="1" ht="15" hidden="1" customHeight="1" x14ac:dyDescent="0.25">
      <c r="A1476" s="144"/>
      <c r="B1476" s="3"/>
      <c r="D1476" s="102"/>
      <c r="E1476" s="102"/>
      <c r="F1476" s="3"/>
      <c r="G1476" s="101"/>
      <c r="H1476" s="101"/>
      <c r="I1476" s="101"/>
      <c r="J1476" s="89"/>
    </row>
    <row r="1477" spans="1:10" customFormat="1" ht="15" hidden="1" customHeight="1" x14ac:dyDescent="0.25">
      <c r="A1477" s="144"/>
      <c r="B1477" s="3"/>
      <c r="D1477" s="102"/>
      <c r="E1477" s="102"/>
      <c r="F1477" s="3"/>
      <c r="G1477" s="101"/>
      <c r="H1477" s="101"/>
      <c r="I1477" s="101"/>
      <c r="J1477" s="89"/>
    </row>
    <row r="1478" spans="1:10" customFormat="1" ht="15" hidden="1" customHeight="1" x14ac:dyDescent="0.25">
      <c r="A1478" s="144"/>
      <c r="B1478" s="3"/>
      <c r="D1478" s="102"/>
      <c r="E1478" s="102"/>
      <c r="F1478" s="3"/>
      <c r="G1478" s="101"/>
      <c r="H1478" s="101"/>
      <c r="I1478" s="101"/>
      <c r="J1478" s="89"/>
    </row>
    <row r="1479" spans="1:10" customFormat="1" ht="15" hidden="1" customHeight="1" x14ac:dyDescent="0.25">
      <c r="A1479" s="144"/>
      <c r="B1479" s="3"/>
      <c r="D1479" s="102"/>
      <c r="E1479" s="102"/>
      <c r="F1479" s="3"/>
      <c r="G1479" s="101"/>
      <c r="H1479" s="101"/>
      <c r="I1479" s="101"/>
      <c r="J1479" s="89"/>
    </row>
    <row r="1480" spans="1:10" customFormat="1" ht="15" hidden="1" customHeight="1" x14ac:dyDescent="0.25">
      <c r="A1480" s="144"/>
      <c r="B1480" s="3"/>
      <c r="D1480" s="102"/>
      <c r="E1480" s="102"/>
      <c r="F1480" s="3"/>
      <c r="G1480" s="101"/>
      <c r="H1480" s="101"/>
      <c r="I1480" s="101"/>
      <c r="J1480" s="89"/>
    </row>
    <row r="1481" spans="1:10" customFormat="1" ht="15" hidden="1" customHeight="1" x14ac:dyDescent="0.25">
      <c r="A1481" s="144"/>
      <c r="B1481" s="3"/>
      <c r="D1481" s="102"/>
      <c r="E1481" s="102"/>
      <c r="F1481" s="3"/>
      <c r="G1481" s="101"/>
      <c r="H1481" s="101"/>
      <c r="I1481" s="101"/>
      <c r="J1481" s="89"/>
    </row>
    <row r="1482" spans="1:10" customFormat="1" ht="15" hidden="1" customHeight="1" x14ac:dyDescent="0.25">
      <c r="A1482" s="144"/>
      <c r="B1482" s="3"/>
      <c r="D1482" s="102"/>
      <c r="E1482" s="102"/>
      <c r="F1482" s="3"/>
      <c r="G1482" s="101"/>
      <c r="H1482" s="101"/>
      <c r="I1482" s="101"/>
      <c r="J1482" s="89"/>
    </row>
    <row r="1483" spans="1:10" customFormat="1" ht="15" hidden="1" customHeight="1" x14ac:dyDescent="0.25">
      <c r="A1483" s="144"/>
      <c r="B1483" s="3"/>
      <c r="D1483" s="102"/>
      <c r="E1483" s="102"/>
      <c r="F1483" s="3"/>
      <c r="G1483" s="101"/>
      <c r="H1483" s="101"/>
      <c r="I1483" s="101"/>
      <c r="J1483" s="89"/>
    </row>
    <row r="1484" spans="1:10" customFormat="1" ht="15" hidden="1" customHeight="1" x14ac:dyDescent="0.25">
      <c r="A1484" s="144"/>
      <c r="B1484" s="3"/>
      <c r="D1484" s="102"/>
      <c r="E1484" s="102"/>
      <c r="F1484" s="3"/>
      <c r="G1484" s="101"/>
      <c r="H1484" s="101"/>
      <c r="I1484" s="101"/>
      <c r="J1484" s="89"/>
    </row>
    <row r="1485" spans="1:10" customFormat="1" ht="15" hidden="1" customHeight="1" x14ac:dyDescent="0.25">
      <c r="A1485" s="144"/>
      <c r="B1485" s="3"/>
      <c r="D1485" s="102"/>
      <c r="E1485" s="102"/>
      <c r="F1485" s="3"/>
      <c r="G1485" s="101"/>
      <c r="H1485" s="101"/>
      <c r="I1485" s="101"/>
      <c r="J1485" s="89"/>
    </row>
    <row r="1486" spans="1:10" customFormat="1" ht="15" hidden="1" customHeight="1" x14ac:dyDescent="0.25">
      <c r="A1486" s="144"/>
      <c r="B1486" s="3"/>
      <c r="D1486" s="102"/>
      <c r="E1486" s="102"/>
      <c r="F1486" s="3"/>
      <c r="G1486" s="101"/>
      <c r="H1486" s="101"/>
      <c r="I1486" s="101"/>
      <c r="J1486" s="89"/>
    </row>
    <row r="1487" spans="1:10" customFormat="1" ht="15" hidden="1" customHeight="1" x14ac:dyDescent="0.25">
      <c r="A1487" s="144"/>
      <c r="B1487" s="3"/>
      <c r="D1487" s="102"/>
      <c r="E1487" s="102"/>
      <c r="F1487" s="3"/>
      <c r="G1487" s="101"/>
      <c r="H1487" s="101"/>
      <c r="I1487" s="101"/>
      <c r="J1487" s="89"/>
    </row>
    <row r="1488" spans="1:10" customFormat="1" ht="15" hidden="1" customHeight="1" x14ac:dyDescent="0.25">
      <c r="A1488" s="144"/>
      <c r="B1488" s="3"/>
      <c r="D1488" s="102"/>
      <c r="E1488" s="102"/>
      <c r="F1488" s="3"/>
      <c r="G1488" s="101"/>
      <c r="H1488" s="101"/>
      <c r="I1488" s="101"/>
      <c r="J1488" s="89"/>
    </row>
    <row r="1489" spans="1:10" customFormat="1" ht="15" hidden="1" customHeight="1" x14ac:dyDescent="0.25">
      <c r="A1489" s="144"/>
      <c r="B1489" s="3"/>
      <c r="D1489" s="102"/>
      <c r="E1489" s="102"/>
      <c r="F1489" s="3"/>
      <c r="G1489" s="101"/>
      <c r="H1489" s="101"/>
      <c r="I1489" s="101"/>
      <c r="J1489" s="89"/>
    </row>
    <row r="1490" spans="1:10" customFormat="1" ht="15" hidden="1" customHeight="1" x14ac:dyDescent="0.25">
      <c r="A1490" s="144"/>
      <c r="B1490" s="3"/>
      <c r="D1490" s="102"/>
      <c r="E1490" s="102"/>
      <c r="F1490" s="3"/>
      <c r="G1490" s="101"/>
      <c r="H1490" s="101"/>
      <c r="I1490" s="101"/>
      <c r="J1490" s="89"/>
    </row>
    <row r="1491" spans="1:10" customFormat="1" ht="15" hidden="1" customHeight="1" x14ac:dyDescent="0.25">
      <c r="A1491" s="144"/>
      <c r="B1491" s="3"/>
      <c r="D1491" s="102"/>
      <c r="E1491" s="102"/>
      <c r="F1491" s="3"/>
      <c r="G1491" s="101"/>
      <c r="H1491" s="101"/>
      <c r="I1491" s="101"/>
      <c r="J1491" s="89"/>
    </row>
    <row r="1492" spans="1:10" customFormat="1" ht="15" hidden="1" customHeight="1" x14ac:dyDescent="0.25">
      <c r="A1492" s="144"/>
      <c r="B1492" s="3"/>
      <c r="D1492" s="102"/>
      <c r="E1492" s="102"/>
      <c r="F1492" s="3"/>
      <c r="G1492" s="101"/>
      <c r="H1492" s="101"/>
      <c r="I1492" s="101"/>
      <c r="J1492" s="89"/>
    </row>
    <row r="1493" spans="1:10" customFormat="1" ht="15" hidden="1" customHeight="1" x14ac:dyDescent="0.25">
      <c r="A1493" s="144"/>
      <c r="B1493" s="3"/>
      <c r="D1493" s="102"/>
      <c r="E1493" s="102"/>
      <c r="F1493" s="3"/>
      <c r="G1493" s="101"/>
      <c r="H1493" s="101"/>
      <c r="I1493" s="101"/>
      <c r="J1493" s="89"/>
    </row>
    <row r="1494" spans="1:10" customFormat="1" ht="15" hidden="1" customHeight="1" x14ac:dyDescent="0.25">
      <c r="A1494" s="144"/>
      <c r="B1494" s="3"/>
      <c r="D1494" s="102"/>
      <c r="E1494" s="102"/>
      <c r="F1494" s="3"/>
      <c r="G1494" s="101"/>
      <c r="H1494" s="101"/>
      <c r="I1494" s="101"/>
      <c r="J1494" s="89"/>
    </row>
    <row r="1495" spans="1:10" customFormat="1" ht="15" hidden="1" customHeight="1" x14ac:dyDescent="0.25">
      <c r="A1495" s="144"/>
      <c r="B1495" s="3"/>
      <c r="D1495" s="102"/>
      <c r="E1495" s="102"/>
      <c r="F1495" s="3"/>
      <c r="G1495" s="101"/>
      <c r="H1495" s="101"/>
      <c r="I1495" s="101"/>
      <c r="J1495" s="89"/>
    </row>
    <row r="1496" spans="1:10" customFormat="1" ht="15" hidden="1" customHeight="1" x14ac:dyDescent="0.25">
      <c r="A1496" s="144"/>
      <c r="B1496" s="3"/>
      <c r="D1496" s="102"/>
      <c r="E1496" s="102"/>
      <c r="F1496" s="3"/>
      <c r="G1496" s="101"/>
      <c r="H1496" s="101"/>
      <c r="I1496" s="101"/>
      <c r="J1496" s="89"/>
    </row>
    <row r="1497" spans="1:10" customFormat="1" ht="15" hidden="1" customHeight="1" x14ac:dyDescent="0.25">
      <c r="A1497" s="144"/>
      <c r="B1497" s="3"/>
      <c r="D1497" s="102"/>
      <c r="E1497" s="102"/>
      <c r="F1497" s="3"/>
      <c r="G1497" s="101"/>
      <c r="H1497" s="101"/>
      <c r="I1497" s="101"/>
      <c r="J1497" s="89"/>
    </row>
    <row r="1498" spans="1:10" customFormat="1" ht="15" hidden="1" customHeight="1" x14ac:dyDescent="0.25">
      <c r="A1498" s="144"/>
      <c r="B1498" s="3"/>
      <c r="D1498" s="102"/>
      <c r="E1498" s="102"/>
      <c r="F1498" s="3"/>
      <c r="G1498" s="101"/>
      <c r="H1498" s="101"/>
      <c r="I1498" s="101"/>
      <c r="J1498" s="89"/>
    </row>
    <row r="1499" spans="1:10" customFormat="1" ht="15" hidden="1" customHeight="1" x14ac:dyDescent="0.25">
      <c r="A1499" s="144"/>
      <c r="B1499" s="3"/>
      <c r="D1499" s="102"/>
      <c r="E1499" s="102"/>
      <c r="F1499" s="3"/>
      <c r="G1499" s="101"/>
      <c r="H1499" s="101"/>
      <c r="I1499" s="101"/>
      <c r="J1499" s="89"/>
    </row>
    <row r="1500" spans="1:10" customFormat="1" ht="15" hidden="1" customHeight="1" x14ac:dyDescent="0.25">
      <c r="A1500" s="144"/>
      <c r="B1500" s="3"/>
      <c r="D1500" s="102"/>
      <c r="E1500" s="102"/>
      <c r="F1500" s="3"/>
      <c r="G1500" s="101"/>
      <c r="H1500" s="101"/>
      <c r="I1500" s="101"/>
      <c r="J1500" s="89"/>
    </row>
    <row r="1501" spans="1:10" customFormat="1" ht="15" hidden="1" customHeight="1" x14ac:dyDescent="0.25">
      <c r="A1501" s="144"/>
      <c r="B1501" s="3"/>
      <c r="D1501" s="102"/>
      <c r="E1501" s="102"/>
      <c r="F1501" s="3"/>
      <c r="G1501" s="101"/>
      <c r="H1501" s="101"/>
      <c r="I1501" s="101"/>
      <c r="J1501" s="89"/>
    </row>
    <row r="1502" spans="1:10" customFormat="1" ht="15" hidden="1" customHeight="1" x14ac:dyDescent="0.25">
      <c r="A1502" s="144"/>
      <c r="B1502" s="3"/>
      <c r="D1502" s="102"/>
      <c r="E1502" s="102"/>
      <c r="F1502" s="3"/>
      <c r="G1502" s="101"/>
      <c r="H1502" s="101"/>
      <c r="I1502" s="101"/>
      <c r="J1502" s="89"/>
    </row>
    <row r="1503" spans="1:10" customFormat="1" ht="15" hidden="1" customHeight="1" x14ac:dyDescent="0.25">
      <c r="A1503" s="144"/>
      <c r="B1503" s="3"/>
      <c r="D1503" s="102"/>
      <c r="E1503" s="102"/>
      <c r="F1503" s="3"/>
      <c r="G1503" s="101"/>
      <c r="H1503" s="101"/>
      <c r="I1503" s="101"/>
      <c r="J1503" s="89"/>
    </row>
    <row r="1504" spans="1:10" customFormat="1" ht="15" hidden="1" customHeight="1" x14ac:dyDescent="0.25">
      <c r="A1504" s="144"/>
      <c r="B1504" s="3"/>
      <c r="D1504" s="102"/>
      <c r="E1504" s="102"/>
      <c r="F1504" s="3"/>
      <c r="G1504" s="101"/>
      <c r="H1504" s="101"/>
      <c r="I1504" s="101"/>
      <c r="J1504" s="89"/>
    </row>
    <row r="1505" spans="1:10" customFormat="1" ht="15" hidden="1" customHeight="1" x14ac:dyDescent="0.25">
      <c r="A1505" s="144"/>
      <c r="B1505" s="3"/>
      <c r="D1505" s="102"/>
      <c r="E1505" s="102"/>
      <c r="F1505" s="3"/>
      <c r="G1505" s="101"/>
      <c r="H1505" s="101"/>
      <c r="I1505" s="101"/>
      <c r="J1505" s="89"/>
    </row>
    <row r="1506" spans="1:10" customFormat="1" ht="15" hidden="1" customHeight="1" x14ac:dyDescent="0.25">
      <c r="A1506" s="144"/>
      <c r="B1506" s="3"/>
      <c r="D1506" s="102"/>
      <c r="E1506" s="102"/>
      <c r="F1506" s="3"/>
      <c r="G1506" s="101"/>
      <c r="H1506" s="101"/>
      <c r="I1506" s="101"/>
      <c r="J1506" s="89"/>
    </row>
    <row r="1507" spans="1:10" customFormat="1" ht="15" hidden="1" customHeight="1" x14ac:dyDescent="0.25">
      <c r="A1507" s="144"/>
      <c r="B1507" s="3"/>
      <c r="D1507" s="102"/>
      <c r="E1507" s="102"/>
      <c r="F1507" s="3"/>
      <c r="G1507" s="101"/>
      <c r="H1507" s="101"/>
      <c r="I1507" s="101"/>
      <c r="J1507" s="89"/>
    </row>
    <row r="1508" spans="1:10" customFormat="1" ht="15" hidden="1" customHeight="1" x14ac:dyDescent="0.25">
      <c r="A1508" s="144"/>
      <c r="B1508" s="3"/>
      <c r="D1508" s="102"/>
      <c r="E1508" s="102"/>
      <c r="F1508" s="3"/>
      <c r="G1508" s="101"/>
      <c r="H1508" s="101"/>
      <c r="I1508" s="101"/>
      <c r="J1508" s="89"/>
    </row>
    <row r="1509" spans="1:10" customFormat="1" ht="15" hidden="1" customHeight="1" x14ac:dyDescent="0.25">
      <c r="A1509" s="144"/>
      <c r="B1509" s="3"/>
      <c r="D1509" s="102"/>
      <c r="E1509" s="102"/>
      <c r="F1509" s="3"/>
      <c r="G1509" s="101"/>
      <c r="H1509" s="101"/>
      <c r="I1509" s="101"/>
      <c r="J1509" s="89"/>
    </row>
    <row r="1510" spans="1:10" customFormat="1" ht="15" hidden="1" customHeight="1" x14ac:dyDescent="0.25">
      <c r="A1510" s="144"/>
      <c r="B1510" s="3"/>
      <c r="D1510" s="102"/>
      <c r="E1510" s="102"/>
      <c r="F1510" s="3"/>
      <c r="G1510" s="101"/>
      <c r="H1510" s="101"/>
      <c r="I1510" s="101"/>
      <c r="J1510" s="89"/>
    </row>
    <row r="1511" spans="1:10" customFormat="1" ht="15" hidden="1" customHeight="1" x14ac:dyDescent="0.25">
      <c r="A1511" s="144"/>
      <c r="B1511" s="3"/>
      <c r="D1511" s="102"/>
      <c r="E1511" s="102"/>
      <c r="F1511" s="3"/>
      <c r="G1511" s="101"/>
      <c r="H1511" s="101"/>
      <c r="I1511" s="101"/>
      <c r="J1511" s="89"/>
    </row>
    <row r="1512" spans="1:10" customFormat="1" ht="15" hidden="1" customHeight="1" x14ac:dyDescent="0.25">
      <c r="A1512" s="144"/>
      <c r="B1512" s="3"/>
      <c r="D1512" s="102"/>
      <c r="E1512" s="102"/>
      <c r="F1512" s="3"/>
      <c r="G1512" s="101"/>
      <c r="H1512" s="101"/>
      <c r="I1512" s="101"/>
      <c r="J1512" s="89"/>
    </row>
    <row r="1513" spans="1:10" customFormat="1" ht="15" hidden="1" customHeight="1" x14ac:dyDescent="0.25">
      <c r="A1513" s="144"/>
      <c r="B1513" s="3"/>
      <c r="D1513" s="102"/>
      <c r="E1513" s="102"/>
      <c r="F1513" s="3"/>
      <c r="G1513" s="101"/>
      <c r="H1513" s="101"/>
      <c r="I1513" s="101"/>
      <c r="J1513" s="89"/>
    </row>
    <row r="1514" spans="1:10" customFormat="1" ht="15" hidden="1" customHeight="1" x14ac:dyDescent="0.25">
      <c r="A1514" s="144"/>
      <c r="B1514" s="3"/>
      <c r="D1514" s="102"/>
      <c r="E1514" s="102"/>
      <c r="F1514" s="3"/>
      <c r="G1514" s="101"/>
      <c r="H1514" s="101"/>
      <c r="I1514" s="101"/>
      <c r="J1514" s="89"/>
    </row>
    <row r="1515" spans="1:10" customFormat="1" ht="15" hidden="1" customHeight="1" x14ac:dyDescent="0.25">
      <c r="A1515" s="144"/>
      <c r="B1515" s="3"/>
      <c r="D1515" s="102"/>
      <c r="E1515" s="102"/>
      <c r="F1515" s="3"/>
      <c r="G1515" s="101"/>
      <c r="H1515" s="101"/>
      <c r="I1515" s="101"/>
      <c r="J1515" s="89"/>
    </row>
    <row r="1516" spans="1:10" customFormat="1" ht="15" hidden="1" customHeight="1" x14ac:dyDescent="0.25">
      <c r="A1516" s="144"/>
      <c r="B1516" s="3"/>
      <c r="D1516" s="102"/>
      <c r="E1516" s="102"/>
      <c r="F1516" s="3"/>
      <c r="G1516" s="101"/>
      <c r="H1516" s="101"/>
      <c r="I1516" s="101"/>
      <c r="J1516" s="89"/>
    </row>
    <row r="1517" spans="1:10" customFormat="1" ht="15" hidden="1" customHeight="1" x14ac:dyDescent="0.25">
      <c r="A1517" s="144"/>
      <c r="B1517" s="3"/>
      <c r="D1517" s="102"/>
      <c r="E1517" s="102"/>
      <c r="F1517" s="3"/>
      <c r="G1517" s="101"/>
      <c r="H1517" s="101"/>
      <c r="I1517" s="101"/>
      <c r="J1517" s="89"/>
    </row>
    <row r="1518" spans="1:10" customFormat="1" ht="15" hidden="1" customHeight="1" x14ac:dyDescent="0.25">
      <c r="A1518" s="144"/>
      <c r="B1518" s="3"/>
      <c r="D1518" s="102"/>
      <c r="E1518" s="102"/>
      <c r="F1518" s="3"/>
      <c r="G1518" s="101"/>
      <c r="H1518" s="101"/>
      <c r="I1518" s="101"/>
      <c r="J1518" s="89"/>
    </row>
    <row r="1519" spans="1:10" customFormat="1" ht="15" hidden="1" customHeight="1" x14ac:dyDescent="0.25">
      <c r="A1519" s="144"/>
      <c r="B1519" s="3"/>
      <c r="D1519" s="102"/>
      <c r="E1519" s="102"/>
      <c r="F1519" s="3"/>
      <c r="G1519" s="101"/>
      <c r="H1519" s="101"/>
      <c r="I1519" s="101"/>
      <c r="J1519" s="89"/>
    </row>
    <row r="1520" spans="1:10" customFormat="1" ht="15" hidden="1" customHeight="1" x14ac:dyDescent="0.25">
      <c r="A1520" s="144"/>
      <c r="B1520" s="3"/>
      <c r="D1520" s="102"/>
      <c r="E1520" s="102"/>
      <c r="F1520" s="3"/>
      <c r="G1520" s="101"/>
      <c r="H1520" s="101"/>
      <c r="I1520" s="101"/>
      <c r="J1520" s="89"/>
    </row>
    <row r="1521" spans="1:10" customFormat="1" ht="15" hidden="1" customHeight="1" x14ac:dyDescent="0.25">
      <c r="A1521" s="144"/>
      <c r="B1521" s="3"/>
      <c r="D1521" s="102"/>
      <c r="E1521" s="102"/>
      <c r="F1521" s="3"/>
      <c r="G1521" s="101"/>
      <c r="H1521" s="101"/>
      <c r="I1521" s="101"/>
      <c r="J1521" s="89"/>
    </row>
    <row r="1522" spans="1:10" customFormat="1" ht="15" hidden="1" customHeight="1" x14ac:dyDescent="0.25">
      <c r="A1522" s="144"/>
      <c r="B1522" s="3"/>
      <c r="D1522" s="102"/>
      <c r="E1522" s="102"/>
      <c r="F1522" s="3"/>
      <c r="G1522" s="101"/>
      <c r="H1522" s="101"/>
      <c r="I1522" s="101"/>
      <c r="J1522" s="89"/>
    </row>
    <row r="1523" spans="1:10" customFormat="1" ht="15" hidden="1" customHeight="1" x14ac:dyDescent="0.25">
      <c r="A1523" s="144"/>
      <c r="B1523" s="3"/>
      <c r="D1523" s="102"/>
      <c r="E1523" s="102"/>
      <c r="F1523" s="3"/>
      <c r="G1523" s="101"/>
      <c r="H1523" s="101"/>
      <c r="I1523" s="101"/>
      <c r="J1523" s="89"/>
    </row>
    <row r="1524" spans="1:10" customFormat="1" ht="15" hidden="1" customHeight="1" x14ac:dyDescent="0.25">
      <c r="A1524" s="144"/>
      <c r="B1524" s="3"/>
      <c r="D1524" s="102"/>
      <c r="E1524" s="102"/>
      <c r="F1524" s="3"/>
      <c r="G1524" s="101"/>
      <c r="H1524" s="101"/>
      <c r="I1524" s="101"/>
      <c r="J1524" s="89"/>
    </row>
    <row r="1525" spans="1:10" customFormat="1" ht="15" hidden="1" customHeight="1" x14ac:dyDescent="0.25">
      <c r="A1525" s="144"/>
      <c r="B1525" s="3"/>
      <c r="D1525" s="102"/>
      <c r="E1525" s="102"/>
      <c r="F1525" s="3"/>
      <c r="G1525" s="101"/>
      <c r="H1525" s="101"/>
      <c r="I1525" s="101"/>
      <c r="J1525" s="89"/>
    </row>
    <row r="1526" spans="1:10" customFormat="1" ht="15" hidden="1" customHeight="1" x14ac:dyDescent="0.25">
      <c r="A1526" s="144"/>
      <c r="B1526" s="3"/>
      <c r="D1526" s="102"/>
      <c r="E1526" s="102"/>
      <c r="F1526" s="3"/>
      <c r="G1526" s="101"/>
      <c r="H1526" s="101"/>
      <c r="I1526" s="101"/>
      <c r="J1526" s="89"/>
    </row>
    <row r="1527" spans="1:10" customFormat="1" ht="15" hidden="1" customHeight="1" x14ac:dyDescent="0.25">
      <c r="A1527" s="144"/>
      <c r="B1527" s="3"/>
      <c r="D1527" s="102"/>
      <c r="E1527" s="102"/>
      <c r="F1527" s="3"/>
      <c r="G1527" s="101"/>
      <c r="H1527" s="101"/>
      <c r="I1527" s="101"/>
      <c r="J1527" s="89"/>
    </row>
    <row r="1528" spans="1:10" customFormat="1" ht="15" hidden="1" customHeight="1" x14ac:dyDescent="0.25">
      <c r="A1528" s="144"/>
      <c r="B1528" s="3"/>
      <c r="D1528" s="102"/>
      <c r="E1528" s="102"/>
      <c r="F1528" s="3"/>
      <c r="G1528" s="101"/>
      <c r="H1528" s="101"/>
      <c r="I1528" s="101"/>
      <c r="J1528" s="89"/>
    </row>
    <row r="1529" spans="1:10" customFormat="1" ht="15" hidden="1" customHeight="1" x14ac:dyDescent="0.25">
      <c r="A1529" s="144"/>
      <c r="B1529" s="3"/>
      <c r="D1529" s="102"/>
      <c r="E1529" s="102"/>
      <c r="F1529" s="3"/>
      <c r="G1529" s="101"/>
      <c r="H1529" s="101"/>
      <c r="I1529" s="101"/>
      <c r="J1529" s="89"/>
    </row>
    <row r="1530" spans="1:10" customFormat="1" ht="15" hidden="1" customHeight="1" x14ac:dyDescent="0.25">
      <c r="A1530" s="144"/>
      <c r="B1530" s="3"/>
      <c r="D1530" s="102"/>
      <c r="E1530" s="102"/>
      <c r="F1530" s="3"/>
      <c r="G1530" s="101"/>
      <c r="H1530" s="101"/>
      <c r="I1530" s="101"/>
      <c r="J1530" s="89"/>
    </row>
    <row r="1531" spans="1:10" customFormat="1" ht="15" hidden="1" customHeight="1" x14ac:dyDescent="0.25">
      <c r="A1531" s="144"/>
      <c r="B1531" s="3"/>
      <c r="D1531" s="102"/>
      <c r="E1531" s="102"/>
      <c r="F1531" s="3"/>
      <c r="G1531" s="101"/>
      <c r="H1531" s="101"/>
      <c r="I1531" s="101"/>
      <c r="J1531" s="89"/>
    </row>
    <row r="1532" spans="1:10" customFormat="1" ht="15" hidden="1" customHeight="1" x14ac:dyDescent="0.25">
      <c r="A1532" s="144"/>
      <c r="B1532" s="3"/>
      <c r="D1532" s="102"/>
      <c r="E1532" s="102"/>
      <c r="F1532" s="3"/>
      <c r="G1532" s="101"/>
      <c r="H1532" s="101"/>
      <c r="I1532" s="101"/>
      <c r="J1532" s="89"/>
    </row>
    <row r="1533" spans="1:10" customFormat="1" ht="15" hidden="1" customHeight="1" x14ac:dyDescent="0.25">
      <c r="A1533" s="144"/>
      <c r="B1533" s="3"/>
      <c r="D1533" s="102"/>
      <c r="E1533" s="102"/>
      <c r="F1533" s="3"/>
      <c r="G1533" s="101"/>
      <c r="H1533" s="101"/>
      <c r="I1533" s="101"/>
      <c r="J1533" s="89"/>
    </row>
    <row r="1534" spans="1:10" customFormat="1" ht="15" hidden="1" customHeight="1" x14ac:dyDescent="0.25">
      <c r="A1534" s="144"/>
      <c r="B1534" s="3"/>
      <c r="D1534" s="102"/>
      <c r="E1534" s="102"/>
      <c r="F1534" s="3"/>
      <c r="G1534" s="101"/>
      <c r="H1534" s="101"/>
      <c r="I1534" s="101"/>
      <c r="J1534" s="89"/>
    </row>
    <row r="1535" spans="1:10" customFormat="1" ht="15" hidden="1" customHeight="1" x14ac:dyDescent="0.25">
      <c r="A1535" s="144"/>
      <c r="B1535" s="3"/>
      <c r="D1535" s="102"/>
      <c r="E1535" s="102"/>
      <c r="F1535" s="3"/>
      <c r="G1535" s="101"/>
      <c r="H1535" s="101"/>
      <c r="I1535" s="101"/>
      <c r="J1535" s="89"/>
    </row>
    <row r="1536" spans="1:10" customFormat="1" ht="15" hidden="1" customHeight="1" x14ac:dyDescent="0.25">
      <c r="A1536" s="144"/>
      <c r="B1536" s="3"/>
      <c r="D1536" s="102"/>
      <c r="E1536" s="102"/>
      <c r="F1536" s="3"/>
      <c r="G1536" s="101"/>
      <c r="H1536" s="101"/>
      <c r="I1536" s="101"/>
      <c r="J1536" s="89"/>
    </row>
    <row r="1537" spans="1:10" customFormat="1" ht="15" hidden="1" customHeight="1" x14ac:dyDescent="0.25">
      <c r="A1537" s="144"/>
      <c r="B1537" s="3"/>
      <c r="D1537" s="102"/>
      <c r="E1537" s="102"/>
      <c r="F1537" s="3"/>
      <c r="G1537" s="101"/>
      <c r="H1537" s="101"/>
      <c r="I1537" s="101"/>
      <c r="J1537" s="89"/>
    </row>
    <row r="1538" spans="1:10" customFormat="1" ht="15" hidden="1" customHeight="1" x14ac:dyDescent="0.25">
      <c r="A1538" s="144"/>
      <c r="B1538" s="3"/>
      <c r="D1538" s="102"/>
      <c r="E1538" s="102"/>
      <c r="F1538" s="3"/>
      <c r="G1538" s="101"/>
      <c r="H1538" s="101"/>
      <c r="I1538" s="101"/>
      <c r="J1538" s="89"/>
    </row>
    <row r="1539" spans="1:10" customFormat="1" ht="15" hidden="1" customHeight="1" x14ac:dyDescent="0.25">
      <c r="A1539" s="144"/>
      <c r="B1539" s="3"/>
      <c r="D1539" s="102"/>
      <c r="E1539" s="102"/>
      <c r="F1539" s="3"/>
      <c r="G1539" s="101"/>
      <c r="H1539" s="101"/>
      <c r="I1539" s="101"/>
      <c r="J1539" s="89"/>
    </row>
    <row r="1540" spans="1:10" customFormat="1" ht="15" hidden="1" customHeight="1" x14ac:dyDescent="0.25">
      <c r="A1540" s="144"/>
      <c r="B1540" s="3"/>
      <c r="D1540" s="102"/>
      <c r="E1540" s="102"/>
      <c r="F1540" s="3"/>
      <c r="G1540" s="101"/>
      <c r="H1540" s="101"/>
      <c r="I1540" s="101"/>
      <c r="J1540" s="89"/>
    </row>
    <row r="1541" spans="1:10" customFormat="1" ht="15" hidden="1" customHeight="1" x14ac:dyDescent="0.25">
      <c r="A1541" s="144"/>
      <c r="B1541" s="3"/>
      <c r="D1541" s="102"/>
      <c r="E1541" s="102"/>
      <c r="F1541" s="3"/>
      <c r="G1541" s="101"/>
      <c r="H1541" s="101"/>
      <c r="I1541" s="101"/>
      <c r="J1541" s="89"/>
    </row>
    <row r="1542" spans="1:10" customFormat="1" ht="15" hidden="1" customHeight="1" x14ac:dyDescent="0.25">
      <c r="A1542" s="144"/>
      <c r="B1542" s="3"/>
      <c r="D1542" s="102"/>
      <c r="E1542" s="102"/>
      <c r="F1542" s="3"/>
      <c r="G1542" s="101"/>
      <c r="H1542" s="101"/>
      <c r="I1542" s="101"/>
      <c r="J1542" s="89"/>
    </row>
    <row r="1543" spans="1:10" customFormat="1" ht="15" hidden="1" customHeight="1" x14ac:dyDescent="0.25">
      <c r="A1543" s="144"/>
      <c r="B1543" s="3"/>
      <c r="D1543" s="102"/>
      <c r="E1543" s="102"/>
      <c r="F1543" s="3"/>
      <c r="G1543" s="101"/>
      <c r="H1543" s="101"/>
      <c r="I1543" s="101"/>
      <c r="J1543" s="89"/>
    </row>
    <row r="1544" spans="1:10" customFormat="1" ht="15" hidden="1" customHeight="1" x14ac:dyDescent="0.25">
      <c r="A1544" s="144"/>
      <c r="B1544" s="3"/>
      <c r="D1544" s="102"/>
      <c r="E1544" s="102"/>
      <c r="F1544" s="3"/>
      <c r="G1544" s="101"/>
      <c r="H1544" s="101"/>
      <c r="I1544" s="101"/>
      <c r="J1544" s="89"/>
    </row>
    <row r="1545" spans="1:10" customFormat="1" ht="15" hidden="1" customHeight="1" x14ac:dyDescent="0.25">
      <c r="A1545" s="144"/>
      <c r="B1545" s="3"/>
      <c r="D1545" s="102"/>
      <c r="E1545" s="102"/>
      <c r="F1545" s="3"/>
      <c r="G1545" s="101"/>
      <c r="H1545" s="101"/>
      <c r="I1545" s="101"/>
      <c r="J1545" s="89"/>
    </row>
    <row r="1546" spans="1:10" customFormat="1" ht="15" hidden="1" customHeight="1" x14ac:dyDescent="0.25">
      <c r="A1546" s="144"/>
      <c r="B1546" s="3"/>
      <c r="D1546" s="102"/>
      <c r="E1546" s="102"/>
      <c r="F1546" s="3"/>
      <c r="G1546" s="101"/>
      <c r="H1546" s="101"/>
      <c r="I1546" s="101"/>
      <c r="J1546" s="89"/>
    </row>
    <row r="1547" spans="1:10" customFormat="1" ht="15" hidden="1" customHeight="1" x14ac:dyDescent="0.25">
      <c r="A1547" s="144"/>
      <c r="B1547" s="3"/>
      <c r="D1547" s="102"/>
      <c r="E1547" s="102"/>
      <c r="F1547" s="3"/>
      <c r="G1547" s="101"/>
      <c r="H1547" s="101"/>
      <c r="I1547" s="101"/>
      <c r="J1547" s="89"/>
    </row>
    <row r="1548" spans="1:10" customFormat="1" ht="15" hidden="1" customHeight="1" x14ac:dyDescent="0.25">
      <c r="A1548" s="144"/>
      <c r="B1548" s="3"/>
      <c r="D1548" s="102"/>
      <c r="E1548" s="102"/>
      <c r="F1548" s="3"/>
      <c r="G1548" s="101"/>
      <c r="H1548" s="101"/>
      <c r="I1548" s="101"/>
      <c r="J1548" s="89"/>
    </row>
    <row r="1549" spans="1:10" customFormat="1" ht="15" hidden="1" customHeight="1" x14ac:dyDescent="0.25">
      <c r="A1549" s="144"/>
      <c r="B1549" s="3"/>
      <c r="D1549" s="102"/>
      <c r="E1549" s="102"/>
      <c r="F1549" s="3"/>
      <c r="G1549" s="101"/>
      <c r="H1549" s="101"/>
      <c r="I1549" s="101"/>
      <c r="J1549" s="89"/>
    </row>
    <row r="1550" spans="1:10" customFormat="1" ht="15" hidden="1" customHeight="1" x14ac:dyDescent="0.25">
      <c r="A1550" s="144"/>
      <c r="B1550" s="3"/>
      <c r="D1550" s="102"/>
      <c r="E1550" s="102"/>
      <c r="F1550" s="3"/>
      <c r="G1550" s="101"/>
      <c r="H1550" s="101"/>
      <c r="I1550" s="101"/>
      <c r="J1550" s="89"/>
    </row>
    <row r="1551" spans="1:10" customFormat="1" ht="15" hidden="1" customHeight="1" x14ac:dyDescent="0.25">
      <c r="A1551" s="144"/>
      <c r="B1551" s="3"/>
      <c r="D1551" s="102"/>
      <c r="E1551" s="102"/>
      <c r="F1551" s="3"/>
      <c r="G1551" s="101"/>
      <c r="H1551" s="101"/>
      <c r="I1551" s="101"/>
      <c r="J1551" s="89"/>
    </row>
    <row r="1552" spans="1:10" customFormat="1" ht="15" hidden="1" customHeight="1" x14ac:dyDescent="0.25">
      <c r="A1552" s="144"/>
      <c r="B1552" s="3"/>
      <c r="D1552" s="102"/>
      <c r="E1552" s="102"/>
      <c r="F1552" s="3"/>
      <c r="G1552" s="101"/>
      <c r="H1552" s="101"/>
      <c r="I1552" s="101"/>
      <c r="J1552" s="89"/>
    </row>
    <row r="1553" spans="1:10" customFormat="1" ht="15" hidden="1" customHeight="1" x14ac:dyDescent="0.25">
      <c r="A1553" s="144"/>
      <c r="B1553" s="3"/>
      <c r="D1553" s="102"/>
      <c r="E1553" s="102"/>
      <c r="F1553" s="3"/>
      <c r="G1553" s="101"/>
      <c r="H1553" s="101"/>
      <c r="I1553" s="101"/>
      <c r="J1553" s="89"/>
    </row>
    <row r="1554" spans="1:10" customFormat="1" ht="15" hidden="1" customHeight="1" x14ac:dyDescent="0.25">
      <c r="A1554" s="144"/>
      <c r="B1554" s="3"/>
      <c r="D1554" s="102"/>
      <c r="E1554" s="102"/>
      <c r="F1554" s="3"/>
      <c r="G1554" s="101"/>
      <c r="H1554" s="101"/>
      <c r="I1554" s="101"/>
      <c r="J1554" s="89"/>
    </row>
    <row r="1555" spans="1:10" customFormat="1" ht="15" hidden="1" customHeight="1" x14ac:dyDescent="0.25">
      <c r="A1555" s="144"/>
      <c r="B1555" s="3"/>
      <c r="D1555" s="102"/>
      <c r="E1555" s="102"/>
      <c r="F1555" s="3"/>
      <c r="G1555" s="101"/>
      <c r="H1555" s="101"/>
      <c r="I1555" s="101"/>
      <c r="J1555" s="89"/>
    </row>
    <row r="1556" spans="1:10" customFormat="1" ht="15" hidden="1" customHeight="1" x14ac:dyDescent="0.25">
      <c r="A1556" s="144"/>
      <c r="B1556" s="3"/>
      <c r="D1556" s="102"/>
      <c r="E1556" s="102"/>
      <c r="F1556" s="3"/>
      <c r="G1556" s="101"/>
      <c r="H1556" s="101"/>
      <c r="I1556" s="101"/>
      <c r="J1556" s="89"/>
    </row>
    <row r="1557" spans="1:10" customFormat="1" ht="15" hidden="1" customHeight="1" x14ac:dyDescent="0.25">
      <c r="A1557" s="144"/>
      <c r="B1557" s="3"/>
      <c r="D1557" s="102"/>
      <c r="E1557" s="102"/>
      <c r="F1557" s="3"/>
      <c r="G1557" s="101"/>
      <c r="H1557" s="101"/>
      <c r="I1557" s="101"/>
      <c r="J1557" s="89"/>
    </row>
    <row r="1558" spans="1:10" customFormat="1" ht="15" hidden="1" customHeight="1" x14ac:dyDescent="0.25">
      <c r="A1558" s="144"/>
      <c r="B1558" s="3"/>
      <c r="D1558" s="102"/>
      <c r="E1558" s="102"/>
      <c r="F1558" s="3"/>
      <c r="G1558" s="101"/>
      <c r="H1558" s="101"/>
      <c r="I1558" s="101"/>
      <c r="J1558" s="89"/>
    </row>
    <row r="1559" spans="1:10" customFormat="1" ht="15" hidden="1" customHeight="1" x14ac:dyDescent="0.25">
      <c r="A1559" s="144"/>
      <c r="B1559" s="3"/>
      <c r="D1559" s="102"/>
      <c r="E1559" s="102"/>
      <c r="F1559" s="3"/>
      <c r="G1559" s="101"/>
      <c r="H1559" s="101"/>
      <c r="I1559" s="101"/>
      <c r="J1559" s="89"/>
    </row>
    <row r="1560" spans="1:10" customFormat="1" ht="15" hidden="1" customHeight="1" x14ac:dyDescent="0.25">
      <c r="A1560" s="144"/>
      <c r="B1560" s="3"/>
      <c r="D1560" s="102"/>
      <c r="E1560" s="102"/>
      <c r="F1560" s="3"/>
      <c r="G1560" s="101"/>
      <c r="H1560" s="101"/>
      <c r="I1560" s="101"/>
      <c r="J1560" s="89"/>
    </row>
    <row r="1561" spans="1:10" customFormat="1" ht="15" hidden="1" customHeight="1" x14ac:dyDescent="0.25">
      <c r="A1561" s="144"/>
      <c r="B1561" s="3"/>
      <c r="D1561" s="102"/>
      <c r="E1561" s="102"/>
      <c r="F1561" s="3"/>
      <c r="G1561" s="101"/>
      <c r="H1561" s="101"/>
      <c r="I1561" s="101"/>
      <c r="J1561" s="89"/>
    </row>
    <row r="1562" spans="1:10" customFormat="1" ht="15" hidden="1" customHeight="1" x14ac:dyDescent="0.25">
      <c r="A1562" s="144"/>
      <c r="B1562" s="3"/>
      <c r="D1562" s="102"/>
      <c r="E1562" s="102"/>
      <c r="F1562" s="3"/>
      <c r="G1562" s="101"/>
      <c r="H1562" s="101"/>
      <c r="I1562" s="101"/>
      <c r="J1562" s="89"/>
    </row>
    <row r="1563" spans="1:10" customFormat="1" ht="15" hidden="1" customHeight="1" x14ac:dyDescent="0.25">
      <c r="A1563" s="144"/>
      <c r="B1563" s="3"/>
      <c r="D1563" s="102"/>
      <c r="E1563" s="102"/>
      <c r="F1563" s="3"/>
      <c r="G1563" s="101"/>
      <c r="H1563" s="101"/>
      <c r="I1563" s="101"/>
      <c r="J1563" s="89"/>
    </row>
    <row r="1564" spans="1:10" customFormat="1" ht="15" hidden="1" customHeight="1" x14ac:dyDescent="0.25">
      <c r="A1564" s="144"/>
      <c r="B1564" s="3"/>
      <c r="D1564" s="102"/>
      <c r="E1564" s="102"/>
      <c r="F1564" s="3"/>
      <c r="G1564" s="101"/>
      <c r="H1564" s="101"/>
      <c r="I1564" s="101"/>
      <c r="J1564" s="89"/>
    </row>
    <row r="1565" spans="1:10" customFormat="1" ht="15" hidden="1" customHeight="1" x14ac:dyDescent="0.25">
      <c r="A1565" s="144"/>
      <c r="B1565" s="3"/>
      <c r="D1565" s="102"/>
      <c r="E1565" s="102"/>
      <c r="F1565" s="3"/>
      <c r="G1565" s="101"/>
      <c r="H1565" s="101"/>
      <c r="I1565" s="101"/>
      <c r="J1565" s="89"/>
    </row>
    <row r="1566" spans="1:10" customFormat="1" ht="15" hidden="1" customHeight="1" x14ac:dyDescent="0.25">
      <c r="A1566" s="144"/>
      <c r="B1566" s="3"/>
      <c r="D1566" s="102"/>
      <c r="E1566" s="102"/>
      <c r="F1566" s="3"/>
      <c r="G1566" s="101"/>
      <c r="H1566" s="101"/>
      <c r="I1566" s="101"/>
      <c r="J1566" s="89"/>
    </row>
    <row r="1567" spans="1:10" customFormat="1" ht="15" hidden="1" customHeight="1" x14ac:dyDescent="0.25">
      <c r="A1567" s="144"/>
      <c r="B1567" s="3"/>
      <c r="D1567" s="102"/>
      <c r="E1567" s="102"/>
      <c r="F1567" s="3"/>
      <c r="G1567" s="101"/>
      <c r="H1567" s="101"/>
      <c r="I1567" s="101"/>
      <c r="J1567" s="89"/>
    </row>
    <row r="1568" spans="1:10" customFormat="1" ht="15" hidden="1" customHeight="1" x14ac:dyDescent="0.25">
      <c r="A1568" s="144"/>
      <c r="B1568" s="3"/>
      <c r="D1568" s="102"/>
      <c r="E1568" s="102"/>
      <c r="F1568" s="3"/>
      <c r="G1568" s="101"/>
      <c r="H1568" s="101"/>
      <c r="I1568" s="101"/>
      <c r="J1568" s="89"/>
    </row>
    <row r="1569" spans="1:10" customFormat="1" ht="15" hidden="1" customHeight="1" x14ac:dyDescent="0.25">
      <c r="A1569" s="144"/>
      <c r="B1569" s="3"/>
      <c r="D1569" s="102"/>
      <c r="E1569" s="102"/>
      <c r="F1569" s="3"/>
      <c r="G1569" s="101"/>
      <c r="H1569" s="101"/>
      <c r="I1569" s="101"/>
      <c r="J1569" s="89"/>
    </row>
    <row r="1570" spans="1:10" customFormat="1" ht="15" hidden="1" customHeight="1" x14ac:dyDescent="0.25">
      <c r="A1570" s="144"/>
      <c r="B1570" s="3"/>
      <c r="D1570" s="102"/>
      <c r="E1570" s="102"/>
      <c r="F1570" s="3"/>
      <c r="G1570" s="101"/>
      <c r="H1570" s="101"/>
      <c r="I1570" s="101"/>
      <c r="J1570" s="89"/>
    </row>
    <row r="1571" spans="1:10" customFormat="1" ht="15" hidden="1" customHeight="1" x14ac:dyDescent="0.25">
      <c r="A1571" s="144"/>
      <c r="B1571" s="3"/>
      <c r="D1571" s="102"/>
      <c r="E1571" s="102"/>
      <c r="F1571" s="3"/>
      <c r="G1571" s="101"/>
      <c r="H1571" s="101"/>
      <c r="I1571" s="101"/>
      <c r="J1571" s="89"/>
    </row>
    <row r="1572" spans="1:10" customFormat="1" ht="15" hidden="1" customHeight="1" x14ac:dyDescent="0.25">
      <c r="A1572" s="144"/>
      <c r="B1572" s="3"/>
      <c r="D1572" s="102"/>
      <c r="E1572" s="102"/>
      <c r="F1572" s="3"/>
      <c r="G1572" s="101"/>
      <c r="H1572" s="101"/>
      <c r="I1572" s="101"/>
      <c r="J1572" s="89"/>
    </row>
    <row r="1573" spans="1:10" customFormat="1" ht="15" hidden="1" customHeight="1" x14ac:dyDescent="0.25">
      <c r="A1573" s="144"/>
      <c r="B1573" s="3"/>
      <c r="D1573" s="102"/>
      <c r="E1573" s="102"/>
      <c r="F1573" s="3"/>
      <c r="G1573" s="101"/>
      <c r="H1573" s="101"/>
      <c r="I1573" s="101"/>
      <c r="J1573" s="89"/>
    </row>
    <row r="1574" spans="1:10" customFormat="1" ht="15" hidden="1" customHeight="1" x14ac:dyDescent="0.25">
      <c r="A1574" s="144"/>
      <c r="B1574" s="3"/>
      <c r="D1574" s="102"/>
      <c r="E1574" s="102"/>
      <c r="F1574" s="3"/>
      <c r="G1574" s="101"/>
      <c r="H1574" s="101"/>
      <c r="I1574" s="101"/>
      <c r="J1574" s="89"/>
    </row>
    <row r="1575" spans="1:10" customFormat="1" ht="15" hidden="1" customHeight="1" x14ac:dyDescent="0.25">
      <c r="A1575" s="144"/>
      <c r="B1575" s="3"/>
      <c r="D1575" s="102"/>
      <c r="E1575" s="102"/>
      <c r="F1575" s="3"/>
      <c r="G1575" s="101"/>
      <c r="H1575" s="101"/>
      <c r="I1575" s="101"/>
      <c r="J1575" s="89"/>
    </row>
    <row r="1576" spans="1:10" customFormat="1" ht="15" hidden="1" customHeight="1" x14ac:dyDescent="0.25">
      <c r="A1576" s="144"/>
      <c r="B1576" s="3"/>
      <c r="D1576" s="102"/>
      <c r="E1576" s="102"/>
      <c r="F1576" s="3"/>
      <c r="G1576" s="101"/>
      <c r="H1576" s="101"/>
      <c r="I1576" s="101"/>
      <c r="J1576" s="89"/>
    </row>
    <row r="1577" spans="1:10" customFormat="1" ht="15" hidden="1" customHeight="1" x14ac:dyDescent="0.25">
      <c r="A1577" s="144"/>
      <c r="B1577" s="3"/>
      <c r="D1577" s="102"/>
      <c r="E1577" s="102"/>
      <c r="F1577" s="3"/>
      <c r="G1577" s="101"/>
      <c r="H1577" s="101"/>
      <c r="I1577" s="101"/>
      <c r="J1577" s="89"/>
    </row>
    <row r="1578" spans="1:10" customFormat="1" ht="15" hidden="1" customHeight="1" x14ac:dyDescent="0.25">
      <c r="A1578" s="144"/>
      <c r="B1578" s="3"/>
      <c r="D1578" s="102"/>
      <c r="E1578" s="102"/>
      <c r="F1578" s="3"/>
      <c r="G1578" s="101"/>
      <c r="H1578" s="101"/>
      <c r="I1578" s="101"/>
      <c r="J1578" s="89"/>
    </row>
    <row r="1579" spans="1:10" customFormat="1" ht="15" hidden="1" customHeight="1" x14ac:dyDescent="0.25">
      <c r="A1579" s="144"/>
      <c r="B1579" s="3"/>
      <c r="D1579" s="102"/>
      <c r="E1579" s="102"/>
      <c r="F1579" s="3"/>
      <c r="G1579" s="101"/>
      <c r="H1579" s="101"/>
      <c r="I1579" s="101"/>
      <c r="J1579" s="89"/>
    </row>
    <row r="1580" spans="1:10" customFormat="1" ht="15" hidden="1" customHeight="1" x14ac:dyDescent="0.25">
      <c r="A1580" s="144"/>
      <c r="B1580" s="3"/>
      <c r="D1580" s="102"/>
      <c r="E1580" s="102"/>
      <c r="F1580" s="3"/>
      <c r="G1580" s="101"/>
      <c r="H1580" s="101"/>
      <c r="I1580" s="101"/>
      <c r="J1580" s="89"/>
    </row>
    <row r="1581" spans="1:10" customFormat="1" ht="15" hidden="1" customHeight="1" x14ac:dyDescent="0.25">
      <c r="A1581" s="144"/>
      <c r="B1581" s="3"/>
      <c r="D1581" s="102"/>
      <c r="E1581" s="102"/>
      <c r="F1581" s="3"/>
      <c r="G1581" s="101"/>
      <c r="H1581" s="101"/>
      <c r="I1581" s="101"/>
      <c r="J1581" s="89"/>
    </row>
    <row r="1582" spans="1:10" customFormat="1" ht="15" hidden="1" customHeight="1" x14ac:dyDescent="0.25">
      <c r="A1582" s="144"/>
      <c r="B1582" s="3"/>
      <c r="D1582" s="102"/>
      <c r="E1582" s="102"/>
      <c r="F1582" s="3"/>
      <c r="G1582" s="101"/>
      <c r="H1582" s="101"/>
      <c r="I1582" s="101"/>
      <c r="J1582" s="89"/>
    </row>
    <row r="1583" spans="1:10" customFormat="1" ht="15" hidden="1" customHeight="1" x14ac:dyDescent="0.25">
      <c r="A1583" s="144"/>
      <c r="B1583" s="3"/>
      <c r="D1583" s="102"/>
      <c r="E1583" s="102"/>
      <c r="F1583" s="3"/>
      <c r="G1583" s="101"/>
      <c r="H1583" s="101"/>
      <c r="I1583" s="101"/>
      <c r="J1583" s="89"/>
    </row>
    <row r="1584" spans="1:10" customFormat="1" ht="15" hidden="1" customHeight="1" x14ac:dyDescent="0.25">
      <c r="A1584" s="144"/>
      <c r="B1584" s="3"/>
      <c r="D1584" s="102"/>
      <c r="E1584" s="102"/>
      <c r="F1584" s="3"/>
      <c r="G1584" s="101"/>
      <c r="H1584" s="101"/>
      <c r="I1584" s="101"/>
      <c r="J1584" s="89"/>
    </row>
    <row r="1585" spans="1:10" customFormat="1" ht="15" hidden="1" customHeight="1" x14ac:dyDescent="0.25">
      <c r="A1585" s="144"/>
      <c r="B1585" s="3"/>
      <c r="D1585" s="102"/>
      <c r="E1585" s="102"/>
      <c r="F1585" s="3"/>
      <c r="G1585" s="101"/>
      <c r="H1585" s="101"/>
      <c r="I1585" s="101"/>
      <c r="J1585" s="89"/>
    </row>
    <row r="1586" spans="1:10" customFormat="1" ht="15" hidden="1" customHeight="1" x14ac:dyDescent="0.25">
      <c r="A1586" s="144"/>
      <c r="B1586" s="3"/>
      <c r="D1586" s="102"/>
      <c r="E1586" s="102"/>
      <c r="F1586" s="3"/>
      <c r="G1586" s="101"/>
      <c r="H1586" s="101"/>
      <c r="I1586" s="101"/>
      <c r="J1586" s="89"/>
    </row>
    <row r="1587" spans="1:10" customFormat="1" ht="15" hidden="1" customHeight="1" x14ac:dyDescent="0.25">
      <c r="A1587" s="144"/>
      <c r="B1587" s="3"/>
      <c r="D1587" s="102"/>
      <c r="E1587" s="102"/>
      <c r="F1587" s="3"/>
      <c r="G1587" s="101"/>
      <c r="H1587" s="101"/>
      <c r="I1587" s="101"/>
      <c r="J1587" s="89"/>
    </row>
    <row r="1588" spans="1:10" customFormat="1" ht="15" hidden="1" customHeight="1" x14ac:dyDescent="0.25">
      <c r="A1588" s="144"/>
      <c r="B1588" s="3"/>
      <c r="D1588" s="102"/>
      <c r="E1588" s="102"/>
      <c r="F1588" s="3"/>
      <c r="G1588" s="101"/>
      <c r="H1588" s="101"/>
      <c r="I1588" s="101"/>
      <c r="J1588" s="89"/>
    </row>
    <row r="1589" spans="1:10" customFormat="1" ht="15" hidden="1" customHeight="1" x14ac:dyDescent="0.25">
      <c r="A1589" s="144"/>
      <c r="B1589" s="3"/>
      <c r="D1589" s="102"/>
      <c r="E1589" s="102"/>
      <c r="F1589" s="3"/>
      <c r="G1589" s="101"/>
      <c r="H1589" s="101"/>
      <c r="I1589" s="101"/>
      <c r="J1589" s="89"/>
    </row>
    <row r="1590" spans="1:10" customFormat="1" ht="15" hidden="1" customHeight="1" x14ac:dyDescent="0.25">
      <c r="A1590" s="144"/>
      <c r="B1590" s="3"/>
      <c r="D1590" s="102"/>
      <c r="E1590" s="102"/>
      <c r="F1590" s="3"/>
      <c r="G1590" s="101"/>
      <c r="H1590" s="101"/>
      <c r="I1590" s="101"/>
      <c r="J1590" s="89"/>
    </row>
    <row r="1591" spans="1:10" customFormat="1" ht="15" hidden="1" customHeight="1" x14ac:dyDescent="0.25">
      <c r="A1591" s="144"/>
      <c r="B1591" s="3"/>
      <c r="D1591" s="102"/>
      <c r="E1591" s="102"/>
      <c r="F1591" s="3"/>
      <c r="G1591" s="101"/>
      <c r="H1591" s="101"/>
      <c r="I1591" s="101"/>
      <c r="J1591" s="89"/>
    </row>
    <row r="1592" spans="1:10" customFormat="1" ht="15" hidden="1" customHeight="1" x14ac:dyDescent="0.25">
      <c r="A1592" s="144"/>
      <c r="B1592" s="3"/>
      <c r="D1592" s="102"/>
      <c r="E1592" s="102"/>
      <c r="F1592" s="3"/>
      <c r="G1592" s="101"/>
      <c r="H1592" s="101"/>
      <c r="I1592" s="101"/>
      <c r="J1592" s="89"/>
    </row>
    <row r="1593" spans="1:10" customFormat="1" ht="15" hidden="1" customHeight="1" x14ac:dyDescent="0.25">
      <c r="A1593" s="144"/>
      <c r="B1593" s="3"/>
      <c r="D1593" s="102"/>
      <c r="E1593" s="102"/>
      <c r="F1593" s="3"/>
      <c r="G1593" s="101"/>
      <c r="H1593" s="101"/>
      <c r="I1593" s="101"/>
      <c r="J1593" s="89"/>
    </row>
    <row r="1594" spans="1:10" customFormat="1" ht="15" hidden="1" customHeight="1" x14ac:dyDescent="0.25">
      <c r="A1594" s="144"/>
      <c r="B1594" s="3"/>
      <c r="D1594" s="102"/>
      <c r="E1594" s="102"/>
      <c r="F1594" s="3"/>
      <c r="G1594" s="101"/>
      <c r="H1594" s="101"/>
      <c r="I1594" s="101"/>
      <c r="J1594" s="89"/>
    </row>
    <row r="1595" spans="1:10" customFormat="1" ht="15" hidden="1" customHeight="1" x14ac:dyDescent="0.25">
      <c r="A1595" s="144"/>
      <c r="B1595" s="3"/>
      <c r="D1595" s="102"/>
      <c r="E1595" s="102"/>
      <c r="F1595" s="3"/>
      <c r="G1595" s="101"/>
      <c r="H1595" s="101"/>
      <c r="I1595" s="101"/>
      <c r="J1595" s="89"/>
    </row>
    <row r="1596" spans="1:10" customFormat="1" ht="15" hidden="1" customHeight="1" x14ac:dyDescent="0.25">
      <c r="A1596" s="144"/>
      <c r="B1596" s="3"/>
      <c r="D1596" s="102"/>
      <c r="E1596" s="102"/>
      <c r="F1596" s="3"/>
      <c r="G1596" s="101"/>
      <c r="H1596" s="101"/>
      <c r="I1596" s="101"/>
      <c r="J1596" s="89"/>
    </row>
    <row r="1597" spans="1:10" customFormat="1" ht="15" hidden="1" customHeight="1" x14ac:dyDescent="0.25">
      <c r="A1597" s="144"/>
      <c r="B1597" s="3"/>
      <c r="D1597" s="102"/>
      <c r="E1597" s="102"/>
      <c r="F1597" s="3"/>
      <c r="G1597" s="101"/>
      <c r="H1597" s="101"/>
      <c r="I1597" s="101"/>
      <c r="J1597" s="89"/>
    </row>
    <row r="1598" spans="1:10" customFormat="1" ht="15" hidden="1" customHeight="1" x14ac:dyDescent="0.25">
      <c r="A1598" s="144"/>
      <c r="B1598" s="3"/>
      <c r="D1598" s="102"/>
      <c r="E1598" s="102"/>
      <c r="F1598" s="3"/>
      <c r="G1598" s="101"/>
      <c r="H1598" s="101"/>
      <c r="I1598" s="101"/>
      <c r="J1598" s="89"/>
    </row>
    <row r="1599" spans="1:10" customFormat="1" ht="15" hidden="1" customHeight="1" x14ac:dyDescent="0.25">
      <c r="A1599" s="144"/>
      <c r="B1599" s="3"/>
      <c r="D1599" s="102"/>
      <c r="E1599" s="102"/>
      <c r="F1599" s="3"/>
      <c r="G1599" s="101"/>
      <c r="H1599" s="101"/>
      <c r="I1599" s="101"/>
      <c r="J1599" s="89"/>
    </row>
    <row r="1600" spans="1:10" customFormat="1" ht="15" hidden="1" customHeight="1" x14ac:dyDescent="0.25">
      <c r="A1600" s="144"/>
      <c r="B1600" s="3"/>
      <c r="D1600" s="102"/>
      <c r="E1600" s="102"/>
      <c r="F1600" s="3"/>
      <c r="G1600" s="101"/>
      <c r="H1600" s="101"/>
      <c r="I1600" s="101"/>
      <c r="J1600" s="89"/>
    </row>
    <row r="1601" spans="1:10" customFormat="1" ht="15" hidden="1" customHeight="1" x14ac:dyDescent="0.25">
      <c r="A1601" s="144"/>
      <c r="B1601" s="3"/>
      <c r="D1601" s="102"/>
      <c r="E1601" s="102"/>
      <c r="F1601" s="3"/>
      <c r="G1601" s="101"/>
      <c r="H1601" s="101"/>
      <c r="I1601" s="101"/>
      <c r="J1601" s="89"/>
    </row>
    <row r="1602" spans="1:10" customFormat="1" ht="15" hidden="1" customHeight="1" x14ac:dyDescent="0.25">
      <c r="A1602" s="144"/>
      <c r="B1602" s="3"/>
      <c r="D1602" s="102"/>
      <c r="E1602" s="102"/>
      <c r="F1602" s="3"/>
      <c r="G1602" s="101"/>
      <c r="H1602" s="101"/>
      <c r="I1602" s="101"/>
      <c r="J1602" s="89"/>
    </row>
    <row r="1603" spans="1:10" customFormat="1" ht="15" hidden="1" customHeight="1" x14ac:dyDescent="0.25">
      <c r="A1603" s="144"/>
      <c r="B1603" s="3"/>
      <c r="D1603" s="102"/>
      <c r="E1603" s="102"/>
      <c r="F1603" s="3"/>
      <c r="G1603" s="101"/>
      <c r="H1603" s="101"/>
      <c r="I1603" s="101"/>
      <c r="J1603" s="89"/>
    </row>
    <row r="1604" spans="1:10" customFormat="1" ht="15" hidden="1" customHeight="1" x14ac:dyDescent="0.25">
      <c r="A1604" s="144"/>
      <c r="B1604" s="3"/>
      <c r="D1604" s="102"/>
      <c r="E1604" s="102"/>
      <c r="F1604" s="3"/>
      <c r="G1604" s="101"/>
      <c r="H1604" s="101"/>
      <c r="I1604" s="101"/>
      <c r="J1604" s="89"/>
    </row>
    <row r="1605" spans="1:10" customFormat="1" ht="15" hidden="1" customHeight="1" x14ac:dyDescent="0.25">
      <c r="A1605" s="144"/>
      <c r="B1605" s="3"/>
      <c r="D1605" s="102"/>
      <c r="E1605" s="102"/>
      <c r="F1605" s="3"/>
      <c r="G1605" s="101"/>
      <c r="H1605" s="101"/>
      <c r="I1605" s="101"/>
      <c r="J1605" s="89"/>
    </row>
    <row r="1606" spans="1:10" customFormat="1" ht="15" hidden="1" customHeight="1" x14ac:dyDescent="0.25">
      <c r="A1606" s="144"/>
      <c r="B1606" s="3"/>
      <c r="D1606" s="102"/>
      <c r="E1606" s="102"/>
      <c r="F1606" s="3"/>
      <c r="G1606" s="101"/>
      <c r="H1606" s="101"/>
      <c r="I1606" s="101"/>
      <c r="J1606" s="89"/>
    </row>
    <row r="1607" spans="1:10" customFormat="1" ht="15" hidden="1" customHeight="1" x14ac:dyDescent="0.25">
      <c r="A1607" s="144"/>
      <c r="B1607" s="3"/>
      <c r="D1607" s="102"/>
      <c r="E1607" s="102"/>
      <c r="F1607" s="3"/>
      <c r="G1607" s="101"/>
      <c r="H1607" s="101"/>
      <c r="I1607" s="101"/>
      <c r="J1607" s="89"/>
    </row>
    <row r="1608" spans="1:10" customFormat="1" ht="15" hidden="1" customHeight="1" x14ac:dyDescent="0.25">
      <c r="A1608" s="144"/>
      <c r="B1608" s="3"/>
      <c r="D1608" s="102"/>
      <c r="E1608" s="102"/>
      <c r="F1608" s="3"/>
      <c r="G1608" s="101"/>
      <c r="H1608" s="101"/>
      <c r="I1608" s="101"/>
      <c r="J1608" s="89"/>
    </row>
    <row r="1609" spans="1:10" customFormat="1" ht="15" hidden="1" customHeight="1" x14ac:dyDescent="0.25">
      <c r="A1609" s="144"/>
      <c r="B1609" s="3"/>
      <c r="D1609" s="102"/>
      <c r="E1609" s="102"/>
      <c r="F1609" s="3"/>
      <c r="G1609" s="101"/>
      <c r="H1609" s="101"/>
      <c r="I1609" s="101"/>
      <c r="J1609" s="89"/>
    </row>
    <row r="1610" spans="1:10" customFormat="1" ht="15" hidden="1" customHeight="1" x14ac:dyDescent="0.25">
      <c r="A1610" s="144"/>
      <c r="B1610" s="3"/>
      <c r="D1610" s="102"/>
      <c r="E1610" s="102"/>
      <c r="F1610" s="3"/>
      <c r="G1610" s="101"/>
      <c r="H1610" s="101"/>
      <c r="I1610" s="101"/>
      <c r="J1610" s="89"/>
    </row>
    <row r="1611" spans="1:10" customFormat="1" ht="15" hidden="1" customHeight="1" x14ac:dyDescent="0.25">
      <c r="A1611" s="144"/>
      <c r="B1611" s="3"/>
      <c r="D1611" s="102"/>
      <c r="E1611" s="102"/>
      <c r="F1611" s="3"/>
      <c r="G1611" s="101"/>
      <c r="H1611" s="101"/>
      <c r="I1611" s="101"/>
      <c r="J1611" s="89"/>
    </row>
    <row r="1612" spans="1:10" customFormat="1" ht="15" hidden="1" customHeight="1" x14ac:dyDescent="0.25">
      <c r="A1612" s="144"/>
      <c r="B1612" s="3"/>
      <c r="D1612" s="102"/>
      <c r="E1612" s="102"/>
      <c r="F1612" s="3"/>
      <c r="G1612" s="101"/>
      <c r="H1612" s="101"/>
      <c r="I1612" s="101"/>
      <c r="J1612" s="89"/>
    </row>
    <row r="1613" spans="1:10" customFormat="1" ht="15" hidden="1" customHeight="1" x14ac:dyDescent="0.25">
      <c r="A1613" s="144"/>
      <c r="B1613" s="3"/>
      <c r="D1613" s="102"/>
      <c r="E1613" s="102"/>
      <c r="F1613" s="3"/>
      <c r="G1613" s="101"/>
      <c r="H1613" s="101"/>
      <c r="I1613" s="101"/>
      <c r="J1613" s="89"/>
    </row>
    <row r="1614" spans="1:10" customFormat="1" ht="15" hidden="1" customHeight="1" x14ac:dyDescent="0.25">
      <c r="A1614" s="144"/>
      <c r="B1614" s="3"/>
      <c r="D1614" s="102"/>
      <c r="E1614" s="102"/>
      <c r="F1614" s="3"/>
      <c r="G1614" s="101"/>
      <c r="H1614" s="101"/>
      <c r="I1614" s="101"/>
      <c r="J1614" s="89"/>
    </row>
    <row r="1615" spans="1:10" customFormat="1" ht="15" hidden="1" customHeight="1" x14ac:dyDescent="0.25">
      <c r="A1615" s="144"/>
      <c r="B1615" s="3"/>
      <c r="D1615" s="102"/>
      <c r="E1615" s="102"/>
      <c r="F1615" s="3"/>
      <c r="G1615" s="101"/>
      <c r="H1615" s="101"/>
      <c r="I1615" s="101"/>
      <c r="J1615" s="89"/>
    </row>
    <row r="1616" spans="1:10" customFormat="1" ht="15" hidden="1" customHeight="1" x14ac:dyDescent="0.25">
      <c r="A1616" s="144"/>
      <c r="B1616" s="3"/>
      <c r="D1616" s="102"/>
      <c r="E1616" s="102"/>
      <c r="F1616" s="3"/>
      <c r="G1616" s="101"/>
      <c r="H1616" s="101"/>
      <c r="I1616" s="101"/>
      <c r="J1616" s="89"/>
    </row>
    <row r="1617" spans="1:10" customFormat="1" ht="15" hidden="1" customHeight="1" x14ac:dyDescent="0.25">
      <c r="A1617" s="144"/>
      <c r="B1617" s="3"/>
      <c r="D1617" s="102"/>
      <c r="E1617" s="102"/>
      <c r="F1617" s="3"/>
      <c r="G1617" s="101"/>
      <c r="H1617" s="101"/>
      <c r="I1617" s="101"/>
      <c r="J1617" s="89"/>
    </row>
    <row r="1618" spans="1:10" customFormat="1" ht="15" hidden="1" customHeight="1" x14ac:dyDescent="0.25">
      <c r="A1618" s="144"/>
      <c r="B1618" s="3"/>
      <c r="D1618" s="102"/>
      <c r="E1618" s="102"/>
      <c r="F1618" s="3"/>
      <c r="G1618" s="101"/>
      <c r="H1618" s="101"/>
      <c r="I1618" s="101"/>
      <c r="J1618" s="89"/>
    </row>
    <row r="1619" spans="1:10" customFormat="1" ht="15" hidden="1" customHeight="1" x14ac:dyDescent="0.25">
      <c r="A1619" s="144"/>
      <c r="B1619" s="3"/>
      <c r="D1619" s="102"/>
      <c r="E1619" s="102"/>
      <c r="F1619" s="3"/>
      <c r="G1619" s="101"/>
      <c r="H1619" s="101"/>
      <c r="I1619" s="101"/>
      <c r="J1619" s="89"/>
    </row>
    <row r="1620" spans="1:10" customFormat="1" ht="15" hidden="1" customHeight="1" x14ac:dyDescent="0.25">
      <c r="A1620" s="144"/>
      <c r="B1620" s="3"/>
      <c r="D1620" s="102"/>
      <c r="E1620" s="102"/>
      <c r="F1620" s="3"/>
      <c r="G1620" s="101"/>
      <c r="H1620" s="101"/>
      <c r="I1620" s="101"/>
      <c r="J1620" s="89"/>
    </row>
    <row r="1621" spans="1:10" customFormat="1" ht="15" hidden="1" customHeight="1" x14ac:dyDescent="0.25">
      <c r="A1621" s="144"/>
      <c r="B1621" s="3"/>
      <c r="D1621" s="102"/>
      <c r="E1621" s="102"/>
      <c r="F1621" s="3"/>
      <c r="G1621" s="101"/>
      <c r="H1621" s="101"/>
      <c r="I1621" s="101"/>
      <c r="J1621" s="89"/>
    </row>
    <row r="1622" spans="1:10" customFormat="1" ht="15" hidden="1" customHeight="1" x14ac:dyDescent="0.25">
      <c r="A1622" s="144"/>
      <c r="B1622" s="3"/>
      <c r="D1622" s="102"/>
      <c r="E1622" s="102"/>
      <c r="F1622" s="3"/>
      <c r="G1622" s="101"/>
      <c r="H1622" s="101"/>
      <c r="I1622" s="101"/>
      <c r="J1622" s="89"/>
    </row>
    <row r="1623" spans="1:10" customFormat="1" ht="15" hidden="1" customHeight="1" x14ac:dyDescent="0.25">
      <c r="A1623" s="144"/>
      <c r="B1623" s="3"/>
      <c r="D1623" s="102"/>
      <c r="E1623" s="102"/>
      <c r="F1623" s="3"/>
      <c r="G1623" s="101"/>
      <c r="H1623" s="101"/>
      <c r="I1623" s="101"/>
      <c r="J1623" s="89"/>
    </row>
    <row r="1624" spans="1:10" customFormat="1" ht="15" hidden="1" customHeight="1" x14ac:dyDescent="0.25">
      <c r="A1624" s="144"/>
      <c r="B1624" s="3"/>
      <c r="D1624" s="102"/>
      <c r="E1624" s="102"/>
      <c r="F1624" s="3"/>
      <c r="G1624" s="101"/>
      <c r="H1624" s="101"/>
      <c r="I1624" s="101"/>
      <c r="J1624" s="89"/>
    </row>
    <row r="1625" spans="1:10" customFormat="1" ht="15" hidden="1" customHeight="1" x14ac:dyDescent="0.25">
      <c r="A1625" s="144"/>
      <c r="B1625" s="3"/>
      <c r="D1625" s="102"/>
      <c r="E1625" s="102"/>
      <c r="F1625" s="3"/>
      <c r="G1625" s="101"/>
      <c r="H1625" s="101"/>
      <c r="I1625" s="101"/>
      <c r="J1625" s="89"/>
    </row>
    <row r="1626" spans="1:10" customFormat="1" ht="15" hidden="1" customHeight="1" x14ac:dyDescent="0.25">
      <c r="A1626" s="144"/>
      <c r="B1626" s="3"/>
      <c r="D1626" s="102"/>
      <c r="E1626" s="102"/>
      <c r="F1626" s="3"/>
      <c r="G1626" s="101"/>
      <c r="H1626" s="101"/>
      <c r="I1626" s="101"/>
      <c r="J1626" s="89"/>
    </row>
    <row r="1627" spans="1:10" customFormat="1" ht="15" hidden="1" customHeight="1" x14ac:dyDescent="0.25">
      <c r="A1627" s="144"/>
      <c r="B1627" s="3"/>
      <c r="D1627" s="102"/>
      <c r="E1627" s="102"/>
      <c r="F1627" s="3"/>
      <c r="G1627" s="101"/>
      <c r="H1627" s="101"/>
      <c r="I1627" s="101"/>
      <c r="J1627" s="89"/>
    </row>
    <row r="1628" spans="1:10" customFormat="1" ht="15" hidden="1" customHeight="1" x14ac:dyDescent="0.25">
      <c r="A1628" s="144"/>
      <c r="B1628" s="3"/>
      <c r="D1628" s="102"/>
      <c r="E1628" s="102"/>
      <c r="F1628" s="3"/>
      <c r="G1628" s="101"/>
      <c r="H1628" s="101"/>
      <c r="I1628" s="101"/>
      <c r="J1628" s="89"/>
    </row>
    <row r="1629" spans="1:10" customFormat="1" ht="15" hidden="1" customHeight="1" x14ac:dyDescent="0.25">
      <c r="A1629" s="144"/>
      <c r="B1629" s="3"/>
      <c r="D1629" s="102"/>
      <c r="E1629" s="102"/>
      <c r="F1629" s="3"/>
      <c r="G1629" s="101"/>
      <c r="H1629" s="101"/>
      <c r="I1629" s="101"/>
      <c r="J1629" s="89"/>
    </row>
    <row r="1630" spans="1:10" customFormat="1" ht="15" hidden="1" customHeight="1" x14ac:dyDescent="0.25">
      <c r="A1630" s="144"/>
      <c r="B1630" s="3"/>
      <c r="D1630" s="102"/>
      <c r="E1630" s="102"/>
      <c r="F1630" s="3"/>
      <c r="G1630" s="101"/>
      <c r="H1630" s="101"/>
      <c r="I1630" s="101"/>
      <c r="J1630" s="89"/>
    </row>
    <row r="1631" spans="1:10" customFormat="1" ht="15" hidden="1" customHeight="1" x14ac:dyDescent="0.25">
      <c r="A1631" s="144"/>
      <c r="B1631" s="3"/>
      <c r="D1631" s="102"/>
      <c r="E1631" s="102"/>
      <c r="F1631" s="3"/>
      <c r="G1631" s="101"/>
      <c r="H1631" s="101"/>
      <c r="I1631" s="101"/>
      <c r="J1631" s="89"/>
    </row>
    <row r="1632" spans="1:10" customFormat="1" ht="15" hidden="1" customHeight="1" x14ac:dyDescent="0.25">
      <c r="A1632" s="144"/>
      <c r="B1632" s="3"/>
      <c r="D1632" s="102"/>
      <c r="E1632" s="102"/>
      <c r="F1632" s="3"/>
      <c r="G1632" s="101"/>
      <c r="H1632" s="101"/>
      <c r="I1632" s="101"/>
      <c r="J1632" s="89"/>
    </row>
    <row r="1633" spans="1:10" customFormat="1" ht="15" hidden="1" customHeight="1" x14ac:dyDescent="0.25">
      <c r="A1633" s="144"/>
      <c r="B1633" s="3"/>
      <c r="D1633" s="102"/>
      <c r="E1633" s="102"/>
      <c r="F1633" s="3"/>
      <c r="G1633" s="101"/>
      <c r="H1633" s="101"/>
      <c r="I1633" s="101"/>
      <c r="J1633" s="89"/>
    </row>
    <row r="1634" spans="1:10" customFormat="1" ht="15" hidden="1" customHeight="1" x14ac:dyDescent="0.25">
      <c r="A1634" s="144"/>
      <c r="B1634" s="3"/>
      <c r="D1634" s="102"/>
      <c r="E1634" s="102"/>
      <c r="F1634" s="3"/>
      <c r="G1634" s="101"/>
      <c r="H1634" s="101"/>
      <c r="I1634" s="101"/>
      <c r="J1634" s="89"/>
    </row>
    <row r="1635" spans="1:10" customFormat="1" ht="15" hidden="1" customHeight="1" x14ac:dyDescent="0.25">
      <c r="A1635" s="144"/>
      <c r="B1635" s="3"/>
      <c r="D1635" s="102"/>
      <c r="E1635" s="102"/>
      <c r="F1635" s="3"/>
      <c r="G1635" s="101"/>
      <c r="H1635" s="101"/>
      <c r="I1635" s="101"/>
      <c r="J1635" s="89"/>
    </row>
    <row r="1636" spans="1:10" customFormat="1" ht="15" hidden="1" customHeight="1" x14ac:dyDescent="0.25">
      <c r="A1636" s="144"/>
      <c r="B1636" s="3"/>
      <c r="D1636" s="102"/>
      <c r="E1636" s="102"/>
      <c r="F1636" s="3"/>
      <c r="G1636" s="101"/>
      <c r="H1636" s="101"/>
      <c r="I1636" s="101"/>
      <c r="J1636" s="89"/>
    </row>
    <row r="1637" spans="1:10" customFormat="1" ht="15" hidden="1" customHeight="1" x14ac:dyDescent="0.25">
      <c r="A1637" s="144"/>
      <c r="B1637" s="3"/>
      <c r="D1637" s="102"/>
      <c r="E1637" s="102"/>
      <c r="F1637" s="3"/>
      <c r="G1637" s="101"/>
      <c r="H1637" s="101"/>
      <c r="I1637" s="101"/>
      <c r="J1637" s="89"/>
    </row>
    <row r="1638" spans="1:10" customFormat="1" ht="15" hidden="1" customHeight="1" x14ac:dyDescent="0.25">
      <c r="A1638" s="144"/>
      <c r="B1638" s="3"/>
      <c r="D1638" s="102"/>
      <c r="E1638" s="102"/>
      <c r="F1638" s="3"/>
      <c r="G1638" s="101"/>
      <c r="H1638" s="101"/>
      <c r="I1638" s="101"/>
      <c r="J1638" s="89"/>
    </row>
    <row r="1639" spans="1:10" customFormat="1" ht="15" hidden="1" customHeight="1" x14ac:dyDescent="0.25">
      <c r="A1639" s="144"/>
      <c r="B1639" s="3"/>
      <c r="D1639" s="102"/>
      <c r="E1639" s="102"/>
      <c r="F1639" s="3"/>
      <c r="G1639" s="101"/>
      <c r="H1639" s="101"/>
      <c r="I1639" s="101"/>
      <c r="J1639" s="89"/>
    </row>
    <row r="1640" spans="1:10" customFormat="1" ht="15" hidden="1" customHeight="1" x14ac:dyDescent="0.25">
      <c r="A1640" s="144"/>
      <c r="B1640" s="3"/>
      <c r="D1640" s="102"/>
      <c r="E1640" s="102"/>
      <c r="F1640" s="3"/>
      <c r="G1640" s="101"/>
      <c r="H1640" s="101"/>
      <c r="I1640" s="101"/>
      <c r="J1640" s="89"/>
    </row>
    <row r="1641" spans="1:10" customFormat="1" ht="15" hidden="1" customHeight="1" x14ac:dyDescent="0.25">
      <c r="A1641" s="144"/>
      <c r="B1641" s="3"/>
      <c r="D1641" s="102"/>
      <c r="E1641" s="102"/>
      <c r="F1641" s="3"/>
      <c r="G1641" s="101"/>
      <c r="H1641" s="101"/>
      <c r="I1641" s="101"/>
      <c r="J1641" s="89"/>
    </row>
    <row r="1642" spans="1:10" customFormat="1" ht="15" hidden="1" customHeight="1" x14ac:dyDescent="0.25">
      <c r="A1642" s="144"/>
      <c r="B1642" s="3"/>
      <c r="D1642" s="102"/>
      <c r="E1642" s="102"/>
      <c r="F1642" s="3"/>
      <c r="G1642" s="101"/>
      <c r="H1642" s="101"/>
      <c r="I1642" s="101"/>
      <c r="J1642" s="89"/>
    </row>
    <row r="1643" spans="1:10" customFormat="1" ht="15" hidden="1" customHeight="1" x14ac:dyDescent="0.25">
      <c r="A1643" s="144"/>
      <c r="B1643" s="3"/>
      <c r="D1643" s="102"/>
      <c r="E1643" s="102"/>
      <c r="F1643" s="3"/>
      <c r="G1643" s="101"/>
      <c r="H1643" s="101"/>
      <c r="I1643" s="101"/>
      <c r="J1643" s="89"/>
    </row>
    <row r="1644" spans="1:10" customFormat="1" ht="15" hidden="1" customHeight="1" x14ac:dyDescent="0.25">
      <c r="A1644" s="144"/>
      <c r="B1644" s="3"/>
      <c r="D1644" s="102"/>
      <c r="E1644" s="102"/>
      <c r="F1644" s="3"/>
      <c r="G1644" s="101"/>
      <c r="H1644" s="101"/>
      <c r="I1644" s="101"/>
      <c r="J1644" s="89"/>
    </row>
    <row r="1645" spans="1:10" customFormat="1" ht="15" hidden="1" customHeight="1" x14ac:dyDescent="0.25">
      <c r="A1645" s="144"/>
      <c r="B1645" s="3"/>
      <c r="D1645" s="102"/>
      <c r="E1645" s="102"/>
      <c r="F1645" s="3"/>
      <c r="G1645" s="101"/>
      <c r="H1645" s="101"/>
      <c r="I1645" s="101"/>
      <c r="J1645" s="89"/>
    </row>
    <row r="1646" spans="1:10" customFormat="1" ht="15" hidden="1" customHeight="1" x14ac:dyDescent="0.25">
      <c r="A1646" s="144"/>
      <c r="B1646" s="3"/>
      <c r="D1646" s="102"/>
      <c r="E1646" s="102"/>
      <c r="F1646" s="3"/>
      <c r="G1646" s="101"/>
      <c r="H1646" s="101"/>
      <c r="I1646" s="101"/>
      <c r="J1646" s="89"/>
    </row>
    <row r="1647" spans="1:10" customFormat="1" ht="15" hidden="1" customHeight="1" x14ac:dyDescent="0.25">
      <c r="A1647" s="144"/>
      <c r="B1647" s="3"/>
      <c r="D1647" s="102"/>
      <c r="E1647" s="102"/>
      <c r="F1647" s="3"/>
      <c r="G1647" s="101"/>
      <c r="H1647" s="101"/>
      <c r="I1647" s="101"/>
      <c r="J1647" s="89"/>
    </row>
    <row r="1648" spans="1:10" customFormat="1" ht="15" hidden="1" customHeight="1" x14ac:dyDescent="0.25">
      <c r="A1648" s="144"/>
      <c r="B1648" s="3"/>
      <c r="D1648" s="102"/>
      <c r="E1648" s="102"/>
      <c r="F1648" s="3"/>
      <c r="G1648" s="101"/>
      <c r="H1648" s="101"/>
      <c r="I1648" s="101"/>
      <c r="J1648" s="89"/>
    </row>
    <row r="1649" spans="1:10" customFormat="1" ht="15" hidden="1" customHeight="1" x14ac:dyDescent="0.25">
      <c r="A1649" s="144"/>
      <c r="B1649" s="3"/>
      <c r="D1649" s="102"/>
      <c r="E1649" s="102"/>
      <c r="F1649" s="3"/>
      <c r="G1649" s="101"/>
      <c r="H1649" s="101"/>
      <c r="I1649" s="101"/>
      <c r="J1649" s="89"/>
    </row>
    <row r="1650" spans="1:10" customFormat="1" ht="15" hidden="1" customHeight="1" x14ac:dyDescent="0.25">
      <c r="A1650" s="144"/>
      <c r="B1650" s="3"/>
      <c r="D1650" s="102"/>
      <c r="E1650" s="102"/>
      <c r="F1650" s="3"/>
      <c r="G1650" s="101"/>
      <c r="H1650" s="101"/>
      <c r="I1650" s="101"/>
      <c r="J1650" s="89"/>
    </row>
    <row r="1651" spans="1:10" customFormat="1" ht="15" hidden="1" customHeight="1" x14ac:dyDescent="0.25">
      <c r="A1651" s="144"/>
      <c r="B1651" s="3"/>
      <c r="D1651" s="102"/>
      <c r="E1651" s="102"/>
      <c r="F1651" s="3"/>
      <c r="G1651" s="101"/>
      <c r="H1651" s="101"/>
      <c r="I1651" s="101"/>
      <c r="J1651" s="89"/>
    </row>
    <row r="1652" spans="1:10" customFormat="1" ht="15" hidden="1" customHeight="1" x14ac:dyDescent="0.25">
      <c r="A1652" s="144"/>
      <c r="B1652" s="3"/>
      <c r="D1652" s="102"/>
      <c r="E1652" s="102"/>
      <c r="F1652" s="3"/>
      <c r="G1652" s="101"/>
      <c r="H1652" s="101"/>
      <c r="I1652" s="101"/>
      <c r="J1652" s="89"/>
    </row>
    <row r="1653" spans="1:10" customFormat="1" ht="15" hidden="1" customHeight="1" x14ac:dyDescent="0.25">
      <c r="A1653" s="144"/>
      <c r="B1653" s="3"/>
      <c r="D1653" s="102"/>
      <c r="E1653" s="102"/>
      <c r="F1653" s="3"/>
      <c r="G1653" s="101"/>
      <c r="H1653" s="101"/>
      <c r="I1653" s="101"/>
      <c r="J1653" s="89"/>
    </row>
    <row r="1654" spans="1:10" customFormat="1" ht="15" hidden="1" customHeight="1" x14ac:dyDescent="0.25">
      <c r="A1654" s="144"/>
      <c r="B1654" s="3"/>
      <c r="D1654" s="102"/>
      <c r="E1654" s="102"/>
      <c r="F1654" s="3"/>
      <c r="G1654" s="101"/>
      <c r="H1654" s="101"/>
      <c r="I1654" s="101"/>
      <c r="J1654" s="89"/>
    </row>
    <row r="1655" spans="1:10" customFormat="1" ht="15" hidden="1" customHeight="1" x14ac:dyDescent="0.25">
      <c r="A1655" s="144"/>
      <c r="B1655" s="3"/>
      <c r="D1655" s="102"/>
      <c r="E1655" s="102"/>
      <c r="F1655" s="3"/>
      <c r="G1655" s="101"/>
      <c r="H1655" s="101"/>
      <c r="I1655" s="101"/>
      <c r="J1655" s="89"/>
    </row>
    <row r="1656" spans="1:10" customFormat="1" ht="15" hidden="1" customHeight="1" x14ac:dyDescent="0.25">
      <c r="A1656" s="144"/>
      <c r="B1656" s="3"/>
      <c r="D1656" s="102"/>
      <c r="E1656" s="102"/>
      <c r="F1656" s="3"/>
      <c r="G1656" s="101"/>
      <c r="H1656" s="101"/>
      <c r="I1656" s="101"/>
      <c r="J1656" s="89"/>
    </row>
    <row r="1657" spans="1:10" customFormat="1" ht="15" hidden="1" customHeight="1" x14ac:dyDescent="0.25">
      <c r="A1657" s="144"/>
      <c r="B1657" s="3"/>
      <c r="D1657" s="102"/>
      <c r="E1657" s="102"/>
      <c r="F1657" s="3"/>
      <c r="G1657" s="101"/>
      <c r="H1657" s="101"/>
      <c r="I1657" s="101"/>
      <c r="J1657" s="89"/>
    </row>
    <row r="1658" spans="1:10" customFormat="1" ht="15" hidden="1" customHeight="1" x14ac:dyDescent="0.25">
      <c r="A1658" s="144"/>
      <c r="B1658" s="3"/>
      <c r="D1658" s="102"/>
      <c r="E1658" s="102"/>
      <c r="F1658" s="3"/>
      <c r="G1658" s="101"/>
      <c r="H1658" s="101"/>
      <c r="I1658" s="101"/>
      <c r="J1658" s="89"/>
    </row>
    <row r="1659" spans="1:10" customFormat="1" ht="15" hidden="1" customHeight="1" x14ac:dyDescent="0.25">
      <c r="A1659" s="144"/>
      <c r="B1659" s="3"/>
      <c r="D1659" s="102"/>
      <c r="E1659" s="102"/>
      <c r="F1659" s="3"/>
      <c r="G1659" s="101"/>
      <c r="H1659" s="101"/>
      <c r="I1659" s="101"/>
      <c r="J1659" s="89"/>
    </row>
    <row r="1660" spans="1:10" customFormat="1" ht="15" hidden="1" customHeight="1" x14ac:dyDescent="0.25">
      <c r="A1660" s="144"/>
      <c r="B1660" s="3"/>
      <c r="D1660" s="102"/>
      <c r="E1660" s="102"/>
      <c r="F1660" s="3"/>
      <c r="G1660" s="101"/>
      <c r="H1660" s="101"/>
      <c r="I1660" s="101"/>
      <c r="J1660" s="89"/>
    </row>
    <row r="1661" spans="1:10" customFormat="1" ht="15" hidden="1" customHeight="1" x14ac:dyDescent="0.25">
      <c r="A1661" s="144"/>
      <c r="B1661" s="3"/>
      <c r="D1661" s="102"/>
      <c r="E1661" s="102"/>
      <c r="F1661" s="3"/>
      <c r="G1661" s="101"/>
      <c r="H1661" s="101"/>
      <c r="I1661" s="101"/>
      <c r="J1661" s="89"/>
    </row>
    <row r="1662" spans="1:10" customFormat="1" ht="15" hidden="1" customHeight="1" x14ac:dyDescent="0.25">
      <c r="A1662" s="144"/>
      <c r="B1662" s="3"/>
      <c r="D1662" s="102"/>
      <c r="E1662" s="102"/>
      <c r="F1662" s="3"/>
      <c r="G1662" s="101"/>
      <c r="H1662" s="101"/>
      <c r="I1662" s="101"/>
      <c r="J1662" s="89"/>
    </row>
    <row r="1663" spans="1:10" customFormat="1" ht="15" hidden="1" customHeight="1" x14ac:dyDescent="0.25">
      <c r="A1663" s="144"/>
      <c r="B1663" s="3"/>
      <c r="D1663" s="102"/>
      <c r="E1663" s="102"/>
      <c r="F1663" s="3"/>
      <c r="G1663" s="101"/>
      <c r="H1663" s="101"/>
      <c r="I1663" s="101"/>
      <c r="J1663" s="89"/>
    </row>
    <row r="1664" spans="1:10" customFormat="1" ht="15" hidden="1" customHeight="1" x14ac:dyDescent="0.25">
      <c r="A1664" s="144"/>
      <c r="B1664" s="3"/>
      <c r="D1664" s="102"/>
      <c r="E1664" s="102"/>
      <c r="F1664" s="3"/>
      <c r="G1664" s="101"/>
      <c r="H1664" s="101"/>
      <c r="I1664" s="101"/>
      <c r="J1664" s="89"/>
    </row>
    <row r="1665" spans="1:10" customFormat="1" ht="15" hidden="1" customHeight="1" x14ac:dyDescent="0.25">
      <c r="A1665" s="144"/>
      <c r="B1665" s="3"/>
      <c r="D1665" s="102"/>
      <c r="E1665" s="102"/>
      <c r="F1665" s="3"/>
      <c r="G1665" s="101"/>
      <c r="H1665" s="101"/>
      <c r="I1665" s="101"/>
      <c r="J1665" s="89"/>
    </row>
    <row r="1666" spans="1:10" customFormat="1" ht="15" hidden="1" customHeight="1" x14ac:dyDescent="0.25">
      <c r="A1666" s="144"/>
      <c r="B1666" s="3"/>
      <c r="D1666" s="102"/>
      <c r="E1666" s="102"/>
      <c r="F1666" s="3"/>
      <c r="G1666" s="101"/>
      <c r="H1666" s="101"/>
      <c r="I1666" s="101"/>
      <c r="J1666" s="89"/>
    </row>
    <row r="1667" spans="1:10" customFormat="1" ht="15" hidden="1" customHeight="1" x14ac:dyDescent="0.25">
      <c r="A1667" s="144"/>
      <c r="B1667" s="3"/>
      <c r="D1667" s="102"/>
      <c r="E1667" s="102"/>
      <c r="F1667" s="3"/>
      <c r="G1667" s="101"/>
      <c r="H1667" s="101"/>
      <c r="I1667" s="101"/>
      <c r="J1667" s="89"/>
    </row>
    <row r="1668" spans="1:10" customFormat="1" ht="15" hidden="1" customHeight="1" x14ac:dyDescent="0.25">
      <c r="A1668" s="144"/>
      <c r="B1668" s="3"/>
      <c r="D1668" s="102"/>
      <c r="E1668" s="102"/>
      <c r="F1668" s="3"/>
      <c r="G1668" s="101"/>
      <c r="H1668" s="101"/>
      <c r="I1668" s="101"/>
      <c r="J1668" s="89"/>
    </row>
    <row r="1669" spans="1:10" customFormat="1" ht="15" hidden="1" customHeight="1" x14ac:dyDescent="0.25">
      <c r="A1669" s="144"/>
      <c r="B1669" s="3"/>
      <c r="D1669" s="102"/>
      <c r="E1669" s="102"/>
      <c r="F1669" s="3"/>
      <c r="G1669" s="101"/>
      <c r="H1669" s="101"/>
      <c r="I1669" s="101"/>
      <c r="J1669" s="89"/>
    </row>
    <row r="1670" spans="1:10" customFormat="1" ht="15" hidden="1" customHeight="1" x14ac:dyDescent="0.25">
      <c r="A1670" s="144"/>
      <c r="B1670" s="3"/>
      <c r="D1670" s="102"/>
      <c r="E1670" s="102"/>
      <c r="F1670" s="3"/>
      <c r="G1670" s="101"/>
      <c r="H1670" s="101"/>
      <c r="I1670" s="101"/>
      <c r="J1670" s="89"/>
    </row>
    <row r="1671" spans="1:10" customFormat="1" ht="15" hidden="1" customHeight="1" x14ac:dyDescent="0.25">
      <c r="A1671" s="144"/>
      <c r="B1671" s="3"/>
      <c r="D1671" s="102"/>
      <c r="E1671" s="102"/>
      <c r="F1671" s="3"/>
      <c r="G1671" s="101"/>
      <c r="H1671" s="101"/>
      <c r="I1671" s="101"/>
      <c r="J1671" s="89"/>
    </row>
    <row r="1672" spans="1:10" customFormat="1" ht="15" hidden="1" customHeight="1" x14ac:dyDescent="0.25">
      <c r="A1672" s="144"/>
      <c r="B1672" s="3"/>
      <c r="D1672" s="102"/>
      <c r="E1672" s="102"/>
      <c r="F1672" s="3"/>
      <c r="G1672" s="101"/>
      <c r="H1672" s="101"/>
      <c r="I1672" s="101"/>
      <c r="J1672" s="89"/>
    </row>
    <row r="1673" spans="1:10" customFormat="1" ht="15" hidden="1" customHeight="1" x14ac:dyDescent="0.25">
      <c r="A1673" s="144"/>
      <c r="B1673" s="3"/>
      <c r="D1673" s="102"/>
      <c r="E1673" s="102"/>
      <c r="F1673" s="3"/>
      <c r="G1673" s="101"/>
      <c r="H1673" s="101"/>
      <c r="I1673" s="101"/>
      <c r="J1673" s="89"/>
    </row>
    <row r="1674" spans="1:10" customFormat="1" ht="15" hidden="1" customHeight="1" x14ac:dyDescent="0.25">
      <c r="A1674" s="144"/>
      <c r="B1674" s="3"/>
      <c r="D1674" s="102"/>
      <c r="E1674" s="102"/>
      <c r="F1674" s="3"/>
      <c r="G1674" s="101"/>
      <c r="H1674" s="101"/>
      <c r="I1674" s="101"/>
      <c r="J1674" s="89"/>
    </row>
    <row r="1675" spans="1:10" customFormat="1" ht="15" hidden="1" customHeight="1" x14ac:dyDescent="0.25">
      <c r="A1675" s="144"/>
      <c r="B1675" s="3"/>
      <c r="D1675" s="102"/>
      <c r="E1675" s="102"/>
      <c r="F1675" s="3"/>
      <c r="G1675" s="101"/>
      <c r="H1675" s="101"/>
      <c r="I1675" s="101"/>
      <c r="J1675" s="89"/>
    </row>
    <row r="1676" spans="1:10" customFormat="1" ht="15" hidden="1" customHeight="1" x14ac:dyDescent="0.25">
      <c r="A1676" s="144"/>
      <c r="B1676" s="3"/>
      <c r="D1676" s="102"/>
      <c r="E1676" s="102"/>
      <c r="F1676" s="3"/>
      <c r="G1676" s="101"/>
      <c r="H1676" s="101"/>
      <c r="I1676" s="101"/>
      <c r="J1676" s="89"/>
    </row>
    <row r="1677" spans="1:10" customFormat="1" ht="15" hidden="1" customHeight="1" x14ac:dyDescent="0.25">
      <c r="A1677" s="144"/>
      <c r="B1677" s="3"/>
      <c r="D1677" s="102"/>
      <c r="E1677" s="102"/>
      <c r="F1677" s="3"/>
      <c r="G1677" s="101"/>
      <c r="H1677" s="101"/>
      <c r="I1677" s="101"/>
      <c r="J1677" s="89"/>
    </row>
    <row r="1678" spans="1:10" customFormat="1" ht="15" hidden="1" customHeight="1" x14ac:dyDescent="0.25">
      <c r="A1678" s="144"/>
      <c r="B1678" s="3"/>
      <c r="D1678" s="102"/>
      <c r="E1678" s="102"/>
      <c r="F1678" s="3"/>
      <c r="G1678" s="101"/>
      <c r="H1678" s="101"/>
      <c r="I1678" s="101"/>
      <c r="J1678" s="89"/>
    </row>
    <row r="1679" spans="1:10" customFormat="1" ht="15" hidden="1" customHeight="1" x14ac:dyDescent="0.25">
      <c r="A1679" s="144"/>
      <c r="B1679" s="3"/>
      <c r="D1679" s="102"/>
      <c r="E1679" s="102"/>
      <c r="F1679" s="3"/>
      <c r="G1679" s="101"/>
      <c r="H1679" s="101"/>
      <c r="I1679" s="101"/>
      <c r="J1679" s="89"/>
    </row>
    <row r="1680" spans="1:10" customFormat="1" ht="15" hidden="1" customHeight="1" x14ac:dyDescent="0.25">
      <c r="A1680" s="144"/>
      <c r="B1680" s="3"/>
      <c r="D1680" s="102"/>
      <c r="E1680" s="102"/>
      <c r="F1680" s="3"/>
      <c r="G1680" s="101"/>
      <c r="H1680" s="101"/>
      <c r="I1680" s="101"/>
      <c r="J1680" s="89"/>
    </row>
    <row r="1681" spans="1:10" customFormat="1" ht="15" hidden="1" customHeight="1" x14ac:dyDescent="0.25">
      <c r="A1681" s="144"/>
      <c r="B1681" s="3"/>
      <c r="D1681" s="102"/>
      <c r="E1681" s="102"/>
      <c r="F1681" s="3"/>
      <c r="G1681" s="101"/>
      <c r="H1681" s="101"/>
      <c r="I1681" s="101"/>
      <c r="J1681" s="89"/>
    </row>
    <row r="1682" spans="1:10" customFormat="1" ht="15" hidden="1" customHeight="1" x14ac:dyDescent="0.25">
      <c r="A1682" s="144"/>
      <c r="B1682" s="3"/>
      <c r="D1682" s="102"/>
      <c r="E1682" s="102"/>
      <c r="F1682" s="3"/>
      <c r="G1682" s="101"/>
      <c r="H1682" s="101"/>
      <c r="I1682" s="101"/>
      <c r="J1682" s="89"/>
    </row>
    <row r="1683" spans="1:10" customFormat="1" ht="15" hidden="1" customHeight="1" x14ac:dyDescent="0.25">
      <c r="A1683" s="144"/>
      <c r="B1683" s="3"/>
      <c r="D1683" s="102"/>
      <c r="E1683" s="102"/>
      <c r="F1683" s="3"/>
      <c r="G1683" s="101"/>
      <c r="H1683" s="101"/>
      <c r="I1683" s="101"/>
      <c r="J1683" s="89"/>
    </row>
    <row r="1684" spans="1:10" customFormat="1" ht="15" hidden="1" customHeight="1" x14ac:dyDescent="0.25">
      <c r="A1684" s="144"/>
      <c r="B1684" s="3"/>
      <c r="D1684" s="102"/>
      <c r="E1684" s="102"/>
      <c r="F1684" s="3"/>
      <c r="G1684" s="101"/>
      <c r="H1684" s="101"/>
      <c r="I1684" s="101"/>
      <c r="J1684" s="89"/>
    </row>
    <row r="1685" spans="1:10" customFormat="1" ht="15" hidden="1" customHeight="1" x14ac:dyDescent="0.25">
      <c r="A1685" s="144"/>
      <c r="B1685" s="3"/>
      <c r="D1685" s="102"/>
      <c r="E1685" s="102"/>
      <c r="F1685" s="3"/>
      <c r="G1685" s="101"/>
      <c r="H1685" s="101"/>
      <c r="I1685" s="101"/>
      <c r="J1685" s="89"/>
    </row>
    <row r="1686" spans="1:10" customFormat="1" ht="15" hidden="1" customHeight="1" x14ac:dyDescent="0.25">
      <c r="A1686" s="144"/>
      <c r="B1686" s="3"/>
      <c r="D1686" s="102"/>
      <c r="E1686" s="102"/>
      <c r="F1686" s="3"/>
      <c r="G1686" s="101"/>
      <c r="H1686" s="101"/>
      <c r="I1686" s="101"/>
      <c r="J1686" s="89"/>
    </row>
    <row r="1687" spans="1:10" customFormat="1" ht="15" hidden="1" customHeight="1" x14ac:dyDescent="0.25">
      <c r="A1687" s="144"/>
      <c r="B1687" s="3"/>
      <c r="D1687" s="102"/>
      <c r="E1687" s="102"/>
      <c r="F1687" s="3"/>
      <c r="G1687" s="101"/>
      <c r="H1687" s="101"/>
      <c r="I1687" s="101"/>
      <c r="J1687" s="89"/>
    </row>
    <row r="1688" spans="1:10" customFormat="1" ht="15" hidden="1" customHeight="1" x14ac:dyDescent="0.25">
      <c r="A1688" s="144"/>
      <c r="B1688" s="3"/>
      <c r="D1688" s="102"/>
      <c r="E1688" s="102"/>
      <c r="F1688" s="3"/>
      <c r="G1688" s="101"/>
      <c r="H1688" s="101"/>
      <c r="I1688" s="101"/>
      <c r="J1688" s="89"/>
    </row>
    <row r="1689" spans="1:10" customFormat="1" ht="15" hidden="1" customHeight="1" x14ac:dyDescent="0.25">
      <c r="A1689" s="144"/>
      <c r="B1689" s="3"/>
      <c r="D1689" s="102"/>
      <c r="E1689" s="102"/>
      <c r="F1689" s="3"/>
      <c r="G1689" s="101"/>
      <c r="H1689" s="101"/>
      <c r="I1689" s="101"/>
      <c r="J1689" s="89"/>
    </row>
    <row r="1690" spans="1:10" customFormat="1" ht="15" hidden="1" customHeight="1" x14ac:dyDescent="0.25">
      <c r="A1690" s="144"/>
      <c r="B1690" s="3"/>
      <c r="D1690" s="102"/>
      <c r="E1690" s="102"/>
      <c r="F1690" s="3"/>
      <c r="G1690" s="101"/>
      <c r="H1690" s="101"/>
      <c r="I1690" s="101"/>
      <c r="J1690" s="89"/>
    </row>
    <row r="1691" spans="1:10" customFormat="1" ht="15" hidden="1" customHeight="1" x14ac:dyDescent="0.25">
      <c r="A1691" s="144"/>
      <c r="B1691" s="3"/>
      <c r="D1691" s="102"/>
      <c r="E1691" s="102"/>
      <c r="F1691" s="3"/>
      <c r="G1691" s="101"/>
      <c r="H1691" s="101"/>
      <c r="I1691" s="101"/>
      <c r="J1691" s="89"/>
    </row>
    <row r="1692" spans="1:10" customFormat="1" ht="15" hidden="1" customHeight="1" x14ac:dyDescent="0.25">
      <c r="A1692" s="144"/>
      <c r="B1692" s="3"/>
      <c r="D1692" s="102"/>
      <c r="E1692" s="102"/>
      <c r="F1692" s="3"/>
      <c r="G1692" s="101"/>
      <c r="H1692" s="101"/>
      <c r="I1692" s="101"/>
      <c r="J1692" s="89"/>
    </row>
    <row r="1693" spans="1:10" customFormat="1" ht="15" hidden="1" customHeight="1" x14ac:dyDescent="0.25">
      <c r="A1693" s="144"/>
      <c r="B1693" s="3"/>
      <c r="D1693" s="102"/>
      <c r="E1693" s="102"/>
      <c r="F1693" s="3"/>
      <c r="G1693" s="101"/>
      <c r="H1693" s="101"/>
      <c r="I1693" s="101"/>
      <c r="J1693" s="89"/>
    </row>
    <row r="1694" spans="1:10" customFormat="1" ht="15" hidden="1" customHeight="1" x14ac:dyDescent="0.25">
      <c r="A1694" s="144"/>
      <c r="B1694" s="3"/>
      <c r="D1694" s="102"/>
      <c r="E1694" s="102"/>
      <c r="F1694" s="3"/>
      <c r="G1694" s="101"/>
      <c r="H1694" s="101"/>
      <c r="I1694" s="101"/>
      <c r="J1694" s="89"/>
    </row>
    <row r="1695" spans="1:10" customFormat="1" ht="15" hidden="1" customHeight="1" x14ac:dyDescent="0.25">
      <c r="A1695" s="144"/>
      <c r="B1695" s="3"/>
      <c r="D1695" s="102"/>
      <c r="E1695" s="102"/>
      <c r="F1695" s="3"/>
      <c r="G1695" s="101"/>
      <c r="H1695" s="101"/>
      <c r="I1695" s="101"/>
      <c r="J1695" s="89"/>
    </row>
    <row r="1696" spans="1:10" customFormat="1" ht="15" hidden="1" customHeight="1" x14ac:dyDescent="0.25">
      <c r="A1696" s="144"/>
      <c r="B1696" s="3"/>
      <c r="D1696" s="102"/>
      <c r="E1696" s="102"/>
      <c r="F1696" s="3"/>
      <c r="G1696" s="101"/>
      <c r="H1696" s="101"/>
      <c r="I1696" s="101"/>
      <c r="J1696" s="89"/>
    </row>
    <row r="1697" spans="1:10" customFormat="1" ht="15" hidden="1" customHeight="1" x14ac:dyDescent="0.25">
      <c r="A1697" s="144"/>
      <c r="B1697" s="3"/>
      <c r="D1697" s="102"/>
      <c r="E1697" s="102"/>
      <c r="F1697" s="3"/>
      <c r="G1697" s="101"/>
      <c r="H1697" s="101"/>
      <c r="I1697" s="101"/>
      <c r="J1697" s="89"/>
    </row>
    <row r="1698" spans="1:10" customFormat="1" ht="15" hidden="1" customHeight="1" x14ac:dyDescent="0.25">
      <c r="A1698" s="144"/>
      <c r="B1698" s="3"/>
      <c r="D1698" s="102"/>
      <c r="E1698" s="102"/>
      <c r="F1698" s="3"/>
      <c r="G1698" s="101"/>
      <c r="H1698" s="101"/>
      <c r="I1698" s="101"/>
      <c r="J1698" s="89"/>
    </row>
    <row r="1699" spans="1:10" customFormat="1" ht="15" hidden="1" customHeight="1" x14ac:dyDescent="0.25">
      <c r="A1699" s="144"/>
      <c r="B1699" s="3"/>
      <c r="D1699" s="102"/>
      <c r="E1699" s="102"/>
      <c r="F1699" s="3"/>
      <c r="G1699" s="101"/>
      <c r="H1699" s="101"/>
      <c r="I1699" s="101"/>
      <c r="J1699" s="89"/>
    </row>
    <row r="1700" spans="1:10" customFormat="1" ht="15" hidden="1" customHeight="1" x14ac:dyDescent="0.25">
      <c r="A1700" s="144"/>
      <c r="B1700" s="3"/>
      <c r="D1700" s="102"/>
      <c r="E1700" s="102"/>
      <c r="F1700" s="3"/>
      <c r="G1700" s="101"/>
      <c r="H1700" s="101"/>
      <c r="I1700" s="101"/>
      <c r="J1700" s="89"/>
    </row>
    <row r="1701" spans="1:10" customFormat="1" ht="15" hidden="1" customHeight="1" x14ac:dyDescent="0.25">
      <c r="A1701" s="144"/>
      <c r="B1701" s="3"/>
      <c r="D1701" s="102"/>
      <c r="E1701" s="102"/>
      <c r="F1701" s="3"/>
      <c r="G1701" s="101"/>
      <c r="H1701" s="101"/>
      <c r="I1701" s="101"/>
      <c r="J1701" s="89"/>
    </row>
    <row r="1702" spans="1:10" customFormat="1" ht="15" hidden="1" customHeight="1" x14ac:dyDescent="0.25">
      <c r="A1702" s="144"/>
      <c r="B1702" s="3"/>
      <c r="D1702" s="102"/>
      <c r="E1702" s="102"/>
      <c r="F1702" s="3"/>
      <c r="G1702" s="101"/>
      <c r="H1702" s="101"/>
      <c r="I1702" s="101"/>
      <c r="J1702" s="89"/>
    </row>
    <row r="1703" spans="1:10" customFormat="1" ht="15" hidden="1" customHeight="1" x14ac:dyDescent="0.25">
      <c r="A1703" s="144"/>
      <c r="B1703" s="3"/>
      <c r="D1703" s="102"/>
      <c r="E1703" s="102"/>
      <c r="F1703" s="3"/>
      <c r="G1703" s="101"/>
      <c r="H1703" s="101"/>
      <c r="I1703" s="101"/>
      <c r="J1703" s="89"/>
    </row>
    <row r="1704" spans="1:10" customFormat="1" ht="15" hidden="1" customHeight="1" x14ac:dyDescent="0.25">
      <c r="A1704" s="144"/>
      <c r="B1704" s="3"/>
      <c r="D1704" s="102"/>
      <c r="E1704" s="102"/>
      <c r="F1704" s="3"/>
      <c r="G1704" s="101"/>
      <c r="H1704" s="101"/>
      <c r="I1704" s="101"/>
      <c r="J1704" s="89"/>
    </row>
    <row r="1705" spans="1:10" customFormat="1" ht="15" hidden="1" customHeight="1" x14ac:dyDescent="0.25">
      <c r="A1705" s="144"/>
      <c r="B1705" s="3"/>
      <c r="D1705" s="102"/>
      <c r="E1705" s="102"/>
      <c r="F1705" s="3"/>
      <c r="G1705" s="101"/>
      <c r="H1705" s="101"/>
      <c r="I1705" s="101"/>
      <c r="J1705" s="89"/>
    </row>
    <row r="1706" spans="1:10" customFormat="1" ht="15" hidden="1" customHeight="1" x14ac:dyDescent="0.25">
      <c r="A1706" s="144"/>
      <c r="B1706" s="3"/>
      <c r="D1706" s="102"/>
      <c r="E1706" s="102"/>
      <c r="F1706" s="3"/>
      <c r="G1706" s="101"/>
      <c r="H1706" s="101"/>
      <c r="I1706" s="101"/>
      <c r="J1706" s="89"/>
    </row>
    <row r="1707" spans="1:10" customFormat="1" ht="15" hidden="1" customHeight="1" x14ac:dyDescent="0.25">
      <c r="A1707" s="144"/>
      <c r="B1707" s="3"/>
      <c r="D1707" s="102"/>
      <c r="E1707" s="102"/>
      <c r="F1707" s="3"/>
      <c r="G1707" s="101"/>
      <c r="H1707" s="101"/>
      <c r="I1707" s="101"/>
      <c r="J1707" s="89"/>
    </row>
    <row r="1708" spans="1:10" customFormat="1" ht="15" hidden="1" customHeight="1" x14ac:dyDescent="0.25">
      <c r="A1708" s="144"/>
      <c r="B1708" s="3"/>
      <c r="D1708" s="102"/>
      <c r="E1708" s="102"/>
      <c r="F1708" s="3"/>
      <c r="G1708" s="101"/>
      <c r="H1708" s="101"/>
      <c r="I1708" s="101"/>
      <c r="J1708" s="89"/>
    </row>
    <row r="1709" spans="1:10" customFormat="1" ht="15" hidden="1" customHeight="1" x14ac:dyDescent="0.25">
      <c r="A1709" s="144"/>
      <c r="B1709" s="3"/>
      <c r="D1709" s="102"/>
      <c r="E1709" s="102"/>
      <c r="F1709" s="3"/>
      <c r="G1709" s="101"/>
      <c r="H1709" s="101"/>
      <c r="I1709" s="101"/>
      <c r="J1709" s="89"/>
    </row>
    <row r="1710" spans="1:10" customFormat="1" ht="15" hidden="1" customHeight="1" x14ac:dyDescent="0.25">
      <c r="A1710" s="144"/>
      <c r="B1710" s="3"/>
      <c r="D1710" s="102"/>
      <c r="E1710" s="102"/>
      <c r="F1710" s="3"/>
      <c r="G1710" s="101"/>
      <c r="H1710" s="101"/>
      <c r="I1710" s="101"/>
      <c r="J1710" s="89"/>
    </row>
    <row r="1711" spans="1:10" customFormat="1" ht="15" hidden="1" customHeight="1" x14ac:dyDescent="0.25">
      <c r="A1711" s="144"/>
      <c r="B1711" s="3"/>
      <c r="D1711" s="102"/>
      <c r="E1711" s="102"/>
      <c r="F1711" s="3"/>
      <c r="G1711" s="101"/>
      <c r="H1711" s="101"/>
      <c r="I1711" s="101"/>
      <c r="J1711" s="89"/>
    </row>
    <row r="1712" spans="1:10" customFormat="1" ht="15" hidden="1" customHeight="1" x14ac:dyDescent="0.25">
      <c r="A1712" s="144"/>
      <c r="B1712" s="3"/>
      <c r="D1712" s="102"/>
      <c r="E1712" s="102"/>
      <c r="F1712" s="3"/>
      <c r="G1712" s="101"/>
      <c r="H1712" s="101"/>
      <c r="I1712" s="101"/>
      <c r="J1712" s="89"/>
    </row>
    <row r="1713" spans="1:10" customFormat="1" ht="15" hidden="1" customHeight="1" x14ac:dyDescent="0.25">
      <c r="A1713" s="144"/>
      <c r="B1713" s="3"/>
      <c r="D1713" s="102"/>
      <c r="E1713" s="102"/>
      <c r="F1713" s="3"/>
      <c r="G1713" s="101"/>
      <c r="H1713" s="101"/>
      <c r="I1713" s="101"/>
      <c r="J1713" s="89"/>
    </row>
    <row r="1714" spans="1:10" customFormat="1" ht="15" hidden="1" customHeight="1" x14ac:dyDescent="0.25">
      <c r="A1714" s="144"/>
      <c r="B1714" s="3"/>
      <c r="D1714" s="102"/>
      <c r="E1714" s="102"/>
      <c r="F1714" s="3"/>
      <c r="G1714" s="101"/>
      <c r="H1714" s="101"/>
      <c r="I1714" s="101"/>
      <c r="J1714" s="89"/>
    </row>
    <row r="1715" spans="1:10" customFormat="1" ht="15" hidden="1" customHeight="1" x14ac:dyDescent="0.25">
      <c r="A1715" s="144"/>
      <c r="B1715" s="3"/>
      <c r="D1715" s="102"/>
      <c r="E1715" s="102"/>
      <c r="F1715" s="3"/>
      <c r="G1715" s="101"/>
      <c r="H1715" s="101"/>
      <c r="I1715" s="101"/>
      <c r="J1715" s="89"/>
    </row>
    <row r="1716" spans="1:10" customFormat="1" ht="15" hidden="1" customHeight="1" x14ac:dyDescent="0.25">
      <c r="A1716" s="144"/>
      <c r="B1716" s="3"/>
      <c r="D1716" s="102"/>
      <c r="E1716" s="102"/>
      <c r="F1716" s="3"/>
      <c r="G1716" s="101"/>
      <c r="H1716" s="101"/>
      <c r="I1716" s="101"/>
      <c r="J1716" s="89"/>
    </row>
    <row r="1717" spans="1:10" customFormat="1" ht="15" hidden="1" customHeight="1" x14ac:dyDescent="0.25">
      <c r="A1717" s="144"/>
      <c r="B1717" s="3"/>
      <c r="D1717" s="102"/>
      <c r="E1717" s="102"/>
      <c r="F1717" s="3"/>
      <c r="G1717" s="101"/>
      <c r="H1717" s="101"/>
      <c r="I1717" s="101"/>
      <c r="J1717" s="89"/>
    </row>
    <row r="1718" spans="1:10" customFormat="1" ht="15" hidden="1" customHeight="1" x14ac:dyDescent="0.25">
      <c r="A1718" s="144"/>
      <c r="B1718" s="3"/>
      <c r="D1718" s="102"/>
      <c r="E1718" s="102"/>
      <c r="F1718" s="3"/>
      <c r="G1718" s="101"/>
      <c r="H1718" s="101"/>
      <c r="I1718" s="101"/>
      <c r="J1718" s="89"/>
    </row>
    <row r="1719" spans="1:10" customFormat="1" ht="15" hidden="1" customHeight="1" x14ac:dyDescent="0.25">
      <c r="A1719" s="144"/>
      <c r="B1719" s="3"/>
      <c r="D1719" s="102"/>
      <c r="E1719" s="102"/>
      <c r="F1719" s="3"/>
      <c r="G1719" s="101"/>
      <c r="H1719" s="101"/>
      <c r="I1719" s="101"/>
      <c r="J1719" s="89"/>
    </row>
    <row r="1720" spans="1:10" customFormat="1" ht="15" hidden="1" customHeight="1" x14ac:dyDescent="0.25">
      <c r="A1720" s="144"/>
      <c r="B1720" s="3"/>
      <c r="D1720" s="102"/>
      <c r="E1720" s="102"/>
      <c r="F1720" s="3"/>
      <c r="G1720" s="101"/>
      <c r="H1720" s="101"/>
      <c r="I1720" s="101"/>
      <c r="J1720" s="89"/>
    </row>
    <row r="1721" spans="1:10" customFormat="1" ht="15" hidden="1" customHeight="1" x14ac:dyDescent="0.25">
      <c r="A1721" s="144"/>
      <c r="B1721" s="3"/>
      <c r="D1721" s="102"/>
      <c r="E1721" s="102"/>
      <c r="F1721" s="3"/>
      <c r="G1721" s="101"/>
      <c r="H1721" s="101"/>
      <c r="I1721" s="101"/>
      <c r="J1721" s="89"/>
    </row>
    <row r="1722" spans="1:10" customFormat="1" ht="15" hidden="1" customHeight="1" x14ac:dyDescent="0.25">
      <c r="A1722" s="144"/>
      <c r="B1722" s="3"/>
      <c r="D1722" s="102"/>
      <c r="E1722" s="102"/>
      <c r="F1722" s="3"/>
      <c r="G1722" s="101"/>
      <c r="H1722" s="101"/>
      <c r="I1722" s="101"/>
      <c r="J1722" s="89"/>
    </row>
    <row r="1723" spans="1:10" customFormat="1" ht="15" hidden="1" customHeight="1" x14ac:dyDescent="0.25">
      <c r="A1723" s="144"/>
      <c r="B1723" s="3"/>
      <c r="D1723" s="102"/>
      <c r="E1723" s="102"/>
      <c r="F1723" s="3"/>
      <c r="G1723" s="101"/>
      <c r="H1723" s="101"/>
      <c r="I1723" s="101"/>
      <c r="J1723" s="89"/>
    </row>
    <row r="1724" spans="1:10" customFormat="1" ht="15" hidden="1" customHeight="1" x14ac:dyDescent="0.25">
      <c r="A1724" s="144"/>
      <c r="B1724" s="3"/>
      <c r="D1724" s="102"/>
      <c r="E1724" s="102"/>
      <c r="F1724" s="3"/>
      <c r="G1724" s="101"/>
      <c r="H1724" s="101"/>
      <c r="I1724" s="101"/>
      <c r="J1724" s="89"/>
    </row>
    <row r="1725" spans="1:10" customFormat="1" ht="15" hidden="1" customHeight="1" x14ac:dyDescent="0.25">
      <c r="A1725" s="144"/>
      <c r="B1725" s="3"/>
      <c r="D1725" s="102"/>
      <c r="E1725" s="102"/>
      <c r="F1725" s="3"/>
      <c r="G1725" s="101"/>
      <c r="H1725" s="101"/>
      <c r="I1725" s="101"/>
      <c r="J1725" s="89"/>
    </row>
    <row r="1726" spans="1:10" customFormat="1" ht="15" hidden="1" customHeight="1" x14ac:dyDescent="0.25">
      <c r="A1726" s="144"/>
      <c r="B1726" s="3"/>
      <c r="D1726" s="102"/>
      <c r="E1726" s="102"/>
      <c r="F1726" s="3"/>
      <c r="G1726" s="101"/>
      <c r="H1726" s="101"/>
      <c r="I1726" s="101"/>
      <c r="J1726" s="89"/>
    </row>
    <row r="1727" spans="1:10" customFormat="1" ht="15" hidden="1" customHeight="1" x14ac:dyDescent="0.25">
      <c r="A1727" s="144"/>
      <c r="B1727" s="3"/>
      <c r="D1727" s="102"/>
      <c r="E1727" s="102"/>
      <c r="F1727" s="3"/>
      <c r="G1727" s="101"/>
      <c r="H1727" s="101"/>
      <c r="I1727" s="101"/>
      <c r="J1727" s="89"/>
    </row>
    <row r="1728" spans="1:10" customFormat="1" ht="15" hidden="1" customHeight="1" x14ac:dyDescent="0.25">
      <c r="A1728" s="144"/>
      <c r="B1728" s="3"/>
      <c r="D1728" s="102"/>
      <c r="E1728" s="102"/>
      <c r="F1728" s="3"/>
      <c r="G1728" s="101"/>
      <c r="H1728" s="101"/>
      <c r="I1728" s="101"/>
      <c r="J1728" s="89"/>
    </row>
    <row r="1729" spans="1:10" customFormat="1" ht="15" hidden="1" customHeight="1" x14ac:dyDescent="0.25">
      <c r="A1729" s="144"/>
      <c r="B1729" s="3"/>
      <c r="D1729" s="102"/>
      <c r="E1729" s="102"/>
      <c r="F1729" s="3"/>
      <c r="G1729" s="101"/>
      <c r="H1729" s="101"/>
      <c r="I1729" s="101"/>
      <c r="J1729" s="89"/>
    </row>
    <row r="1730" spans="1:10" customFormat="1" ht="15" hidden="1" customHeight="1" x14ac:dyDescent="0.25">
      <c r="A1730" s="144"/>
      <c r="B1730" s="3"/>
      <c r="D1730" s="102"/>
      <c r="E1730" s="102"/>
      <c r="F1730" s="3"/>
      <c r="G1730" s="101"/>
      <c r="H1730" s="101"/>
      <c r="I1730" s="101"/>
      <c r="J1730" s="89"/>
    </row>
    <row r="1731" spans="1:10" customFormat="1" ht="15" hidden="1" customHeight="1" x14ac:dyDescent="0.25">
      <c r="A1731" s="144"/>
      <c r="B1731" s="3"/>
      <c r="D1731" s="102"/>
      <c r="E1731" s="102"/>
      <c r="F1731" s="3"/>
      <c r="G1731" s="101"/>
      <c r="H1731" s="101"/>
      <c r="I1731" s="101"/>
      <c r="J1731" s="89"/>
    </row>
    <row r="1732" spans="1:10" customFormat="1" ht="15" hidden="1" customHeight="1" x14ac:dyDescent="0.25">
      <c r="A1732" s="144"/>
      <c r="B1732" s="3"/>
      <c r="D1732" s="102"/>
      <c r="E1732" s="102"/>
      <c r="F1732" s="3"/>
      <c r="G1732" s="101"/>
      <c r="H1732" s="101"/>
      <c r="I1732" s="101"/>
      <c r="J1732" s="89"/>
    </row>
    <row r="1733" spans="1:10" customFormat="1" ht="15" hidden="1" customHeight="1" x14ac:dyDescent="0.25">
      <c r="A1733" s="144"/>
      <c r="B1733" s="3"/>
      <c r="D1733" s="102"/>
      <c r="E1733" s="102"/>
      <c r="F1733" s="3"/>
      <c r="G1733" s="101"/>
      <c r="H1733" s="101"/>
      <c r="I1733" s="101"/>
      <c r="J1733" s="89"/>
    </row>
    <row r="1734" spans="1:10" customFormat="1" ht="15" hidden="1" customHeight="1" x14ac:dyDescent="0.25">
      <c r="A1734" s="144"/>
      <c r="B1734" s="3"/>
      <c r="D1734" s="102"/>
      <c r="E1734" s="102"/>
      <c r="F1734" s="3"/>
      <c r="G1734" s="101"/>
      <c r="H1734" s="101"/>
      <c r="I1734" s="101"/>
      <c r="J1734" s="89"/>
    </row>
    <row r="1735" spans="1:10" customFormat="1" ht="15" hidden="1" customHeight="1" x14ac:dyDescent="0.25">
      <c r="A1735" s="144"/>
      <c r="B1735" s="3"/>
      <c r="D1735" s="102"/>
      <c r="E1735" s="102"/>
      <c r="F1735" s="3"/>
      <c r="G1735" s="101"/>
      <c r="H1735" s="101"/>
      <c r="I1735" s="101"/>
      <c r="J1735" s="89"/>
    </row>
    <row r="1736" spans="1:10" customFormat="1" ht="15" hidden="1" customHeight="1" x14ac:dyDescent="0.25">
      <c r="A1736" s="144"/>
      <c r="B1736" s="3"/>
      <c r="D1736" s="102"/>
      <c r="E1736" s="102"/>
      <c r="F1736" s="3"/>
      <c r="G1736" s="101"/>
      <c r="H1736" s="101"/>
      <c r="I1736" s="101"/>
      <c r="J1736" s="89"/>
    </row>
    <row r="1737" spans="1:10" customFormat="1" ht="15" hidden="1" customHeight="1" x14ac:dyDescent="0.25">
      <c r="A1737" s="144"/>
      <c r="B1737" s="3"/>
      <c r="D1737" s="102"/>
      <c r="E1737" s="102"/>
      <c r="F1737" s="3"/>
      <c r="G1737" s="101"/>
      <c r="H1737" s="101"/>
      <c r="I1737" s="101"/>
      <c r="J1737" s="89"/>
    </row>
    <row r="1738" spans="1:10" customFormat="1" ht="15" hidden="1" customHeight="1" x14ac:dyDescent="0.25">
      <c r="A1738" s="144"/>
      <c r="B1738" s="3"/>
      <c r="D1738" s="102"/>
      <c r="E1738" s="102"/>
      <c r="F1738" s="3"/>
      <c r="G1738" s="101"/>
      <c r="H1738" s="101"/>
      <c r="I1738" s="101"/>
      <c r="J1738" s="89"/>
    </row>
    <row r="1739" spans="1:10" customFormat="1" ht="15" hidden="1" customHeight="1" x14ac:dyDescent="0.25">
      <c r="A1739" s="144"/>
      <c r="B1739" s="3"/>
      <c r="D1739" s="102"/>
      <c r="E1739" s="102"/>
      <c r="F1739" s="3"/>
      <c r="G1739" s="101"/>
      <c r="H1739" s="101"/>
      <c r="I1739" s="101"/>
      <c r="J1739" s="89"/>
    </row>
    <row r="1740" spans="1:10" customFormat="1" ht="15" hidden="1" customHeight="1" x14ac:dyDescent="0.25">
      <c r="A1740" s="144"/>
      <c r="B1740" s="3"/>
      <c r="D1740" s="102"/>
      <c r="E1740" s="102"/>
      <c r="F1740" s="3"/>
      <c r="G1740" s="101"/>
      <c r="H1740" s="101"/>
      <c r="I1740" s="101"/>
      <c r="J1740" s="89"/>
    </row>
    <row r="1741" spans="1:10" customFormat="1" ht="15" hidden="1" customHeight="1" x14ac:dyDescent="0.25">
      <c r="A1741" s="144"/>
      <c r="B1741" s="3"/>
      <c r="D1741" s="102"/>
      <c r="E1741" s="102"/>
      <c r="F1741" s="3"/>
      <c r="G1741" s="101"/>
      <c r="H1741" s="101"/>
      <c r="I1741" s="101"/>
      <c r="J1741" s="89"/>
    </row>
    <row r="1742" spans="1:10" customFormat="1" ht="15" hidden="1" customHeight="1" x14ac:dyDescent="0.25">
      <c r="A1742" s="144"/>
      <c r="B1742" s="3"/>
      <c r="D1742" s="102"/>
      <c r="E1742" s="102"/>
      <c r="F1742" s="3"/>
      <c r="G1742" s="101"/>
      <c r="H1742" s="101"/>
      <c r="I1742" s="101"/>
      <c r="J1742" s="89"/>
    </row>
    <row r="1743" spans="1:10" customFormat="1" ht="15" hidden="1" customHeight="1" x14ac:dyDescent="0.25">
      <c r="A1743" s="144"/>
      <c r="B1743" s="3"/>
      <c r="D1743" s="102"/>
      <c r="E1743" s="102"/>
      <c r="F1743" s="3"/>
      <c r="G1743" s="101"/>
      <c r="H1743" s="101"/>
      <c r="I1743" s="101"/>
      <c r="J1743" s="89"/>
    </row>
    <row r="1744" spans="1:10" customFormat="1" ht="15" hidden="1" customHeight="1" x14ac:dyDescent="0.25">
      <c r="A1744" s="144"/>
      <c r="B1744" s="3"/>
      <c r="D1744" s="102"/>
      <c r="E1744" s="102"/>
      <c r="F1744" s="3"/>
      <c r="G1744" s="101"/>
      <c r="H1744" s="101"/>
      <c r="I1744" s="101"/>
      <c r="J1744" s="89"/>
    </row>
    <row r="1745" spans="1:10" customFormat="1" ht="15" hidden="1" customHeight="1" x14ac:dyDescent="0.25">
      <c r="A1745" s="144"/>
      <c r="B1745" s="3"/>
      <c r="D1745" s="102"/>
      <c r="E1745" s="102"/>
      <c r="F1745" s="3"/>
      <c r="G1745" s="101"/>
      <c r="H1745" s="101"/>
      <c r="I1745" s="101"/>
      <c r="J1745" s="89"/>
    </row>
    <row r="1746" spans="1:10" customFormat="1" ht="15" hidden="1" customHeight="1" x14ac:dyDescent="0.25">
      <c r="A1746" s="144"/>
      <c r="B1746" s="3"/>
      <c r="D1746" s="102"/>
      <c r="E1746" s="102"/>
      <c r="F1746" s="3"/>
      <c r="G1746" s="101"/>
      <c r="H1746" s="101"/>
      <c r="I1746" s="101"/>
      <c r="J1746" s="89"/>
    </row>
    <row r="1747" spans="1:10" customFormat="1" ht="15" hidden="1" customHeight="1" x14ac:dyDescent="0.25">
      <c r="A1747" s="144"/>
      <c r="B1747" s="3"/>
      <c r="D1747" s="102"/>
      <c r="E1747" s="102"/>
      <c r="F1747" s="3"/>
      <c r="G1747" s="101"/>
      <c r="H1747" s="101"/>
      <c r="I1747" s="101"/>
      <c r="J1747" s="89"/>
    </row>
    <row r="1748" spans="1:10" customFormat="1" ht="15" hidden="1" customHeight="1" x14ac:dyDescent="0.25">
      <c r="A1748" s="144"/>
      <c r="B1748" s="3"/>
      <c r="D1748" s="102"/>
      <c r="E1748" s="102"/>
      <c r="F1748" s="3"/>
      <c r="G1748" s="101"/>
      <c r="H1748" s="101"/>
      <c r="I1748" s="101"/>
      <c r="J1748" s="89"/>
    </row>
    <row r="1749" spans="1:10" customFormat="1" ht="15" hidden="1" customHeight="1" x14ac:dyDescent="0.25">
      <c r="A1749" s="144"/>
      <c r="B1749" s="3"/>
      <c r="D1749" s="102"/>
      <c r="E1749" s="102"/>
      <c r="F1749" s="3"/>
      <c r="G1749" s="101"/>
      <c r="H1749" s="101"/>
      <c r="I1749" s="101"/>
      <c r="J1749" s="89"/>
    </row>
    <row r="1750" spans="1:10" customFormat="1" ht="15" hidden="1" customHeight="1" x14ac:dyDescent="0.25">
      <c r="A1750" s="144"/>
      <c r="B1750" s="3"/>
      <c r="D1750" s="102"/>
      <c r="E1750" s="102"/>
      <c r="F1750" s="3"/>
      <c r="G1750" s="101"/>
      <c r="H1750" s="101"/>
      <c r="I1750" s="101"/>
      <c r="J1750" s="89"/>
    </row>
    <row r="1751" spans="1:10" customFormat="1" ht="15" hidden="1" customHeight="1" x14ac:dyDescent="0.25">
      <c r="A1751" s="144"/>
      <c r="B1751" s="3"/>
      <c r="D1751" s="102"/>
      <c r="E1751" s="102"/>
      <c r="F1751" s="3"/>
      <c r="G1751" s="101"/>
      <c r="H1751" s="101"/>
      <c r="I1751" s="101"/>
      <c r="J1751" s="89"/>
    </row>
    <row r="1752" spans="1:10" customFormat="1" ht="15" hidden="1" customHeight="1" x14ac:dyDescent="0.25">
      <c r="A1752" s="144"/>
      <c r="B1752" s="3"/>
      <c r="D1752" s="102"/>
      <c r="E1752" s="102"/>
      <c r="F1752" s="3"/>
      <c r="G1752" s="101"/>
      <c r="H1752" s="101"/>
      <c r="I1752" s="101"/>
      <c r="J1752" s="89"/>
    </row>
    <row r="1753" spans="1:10" customFormat="1" ht="15" hidden="1" customHeight="1" x14ac:dyDescent="0.25">
      <c r="A1753" s="144"/>
      <c r="B1753" s="3"/>
      <c r="D1753" s="102"/>
      <c r="E1753" s="102"/>
      <c r="F1753" s="3"/>
      <c r="G1753" s="101"/>
      <c r="H1753" s="101"/>
      <c r="I1753" s="101"/>
      <c r="J1753" s="89"/>
    </row>
    <row r="1754" spans="1:10" customFormat="1" ht="15" hidden="1" customHeight="1" x14ac:dyDescent="0.25">
      <c r="A1754" s="144"/>
      <c r="B1754" s="3"/>
      <c r="D1754" s="102"/>
      <c r="E1754" s="102"/>
      <c r="F1754" s="3"/>
      <c r="G1754" s="101"/>
      <c r="H1754" s="101"/>
      <c r="I1754" s="101"/>
      <c r="J1754" s="89"/>
    </row>
    <row r="1755" spans="1:10" customFormat="1" ht="15" hidden="1" customHeight="1" x14ac:dyDescent="0.25">
      <c r="A1755" s="144"/>
      <c r="B1755" s="3"/>
      <c r="D1755" s="102"/>
      <c r="E1755" s="102"/>
      <c r="F1755" s="3"/>
      <c r="G1755" s="101"/>
      <c r="H1755" s="101"/>
      <c r="I1755" s="101"/>
      <c r="J1755" s="89"/>
    </row>
    <row r="1756" spans="1:10" customFormat="1" ht="15" hidden="1" customHeight="1" x14ac:dyDescent="0.25">
      <c r="A1756" s="144"/>
      <c r="B1756" s="3"/>
      <c r="D1756" s="102"/>
      <c r="E1756" s="102"/>
      <c r="F1756" s="3"/>
      <c r="G1756" s="101"/>
      <c r="H1756" s="101"/>
      <c r="I1756" s="101"/>
      <c r="J1756" s="89"/>
    </row>
    <row r="1757" spans="1:10" customFormat="1" ht="15" hidden="1" customHeight="1" x14ac:dyDescent="0.25">
      <c r="A1757" s="144"/>
      <c r="B1757" s="3"/>
      <c r="D1757" s="102"/>
      <c r="E1757" s="102"/>
      <c r="F1757" s="3"/>
      <c r="G1757" s="101"/>
      <c r="H1757" s="101"/>
      <c r="I1757" s="101"/>
      <c r="J1757" s="89"/>
    </row>
    <row r="1758" spans="1:10" customFormat="1" ht="15" hidden="1" customHeight="1" x14ac:dyDescent="0.25">
      <c r="A1758" s="144"/>
      <c r="B1758" s="3"/>
      <c r="D1758" s="102"/>
      <c r="E1758" s="102"/>
      <c r="F1758" s="3"/>
      <c r="G1758" s="101"/>
      <c r="H1758" s="101"/>
      <c r="I1758" s="101"/>
      <c r="J1758" s="89"/>
    </row>
    <row r="1759" spans="1:10" customFormat="1" ht="15" hidden="1" customHeight="1" x14ac:dyDescent="0.25">
      <c r="A1759" s="144"/>
      <c r="B1759" s="3"/>
      <c r="D1759" s="102"/>
      <c r="E1759" s="102"/>
      <c r="F1759" s="3"/>
      <c r="G1759" s="101"/>
      <c r="H1759" s="101"/>
      <c r="I1759" s="101"/>
      <c r="J1759" s="89"/>
    </row>
    <row r="1760" spans="1:10" customFormat="1" ht="15" hidden="1" customHeight="1" x14ac:dyDescent="0.25">
      <c r="A1760" s="144"/>
      <c r="B1760" s="3"/>
      <c r="D1760" s="102"/>
      <c r="E1760" s="102"/>
      <c r="F1760" s="3"/>
      <c r="G1760" s="101"/>
      <c r="H1760" s="101"/>
      <c r="I1760" s="101"/>
      <c r="J1760" s="89"/>
    </row>
    <row r="1761" spans="1:10" customFormat="1" ht="15" hidden="1" customHeight="1" x14ac:dyDescent="0.25">
      <c r="A1761" s="144"/>
      <c r="B1761" s="3"/>
      <c r="D1761" s="102"/>
      <c r="E1761" s="102"/>
      <c r="F1761" s="3"/>
      <c r="G1761" s="101"/>
      <c r="H1761" s="101"/>
      <c r="I1761" s="101"/>
      <c r="J1761" s="89"/>
    </row>
    <row r="1762" spans="1:10" customFormat="1" ht="15" hidden="1" customHeight="1" x14ac:dyDescent="0.25">
      <c r="A1762" s="144"/>
      <c r="B1762" s="3"/>
      <c r="D1762" s="102"/>
      <c r="E1762" s="102"/>
      <c r="F1762" s="3"/>
      <c r="G1762" s="101"/>
      <c r="H1762" s="101"/>
      <c r="I1762" s="101"/>
      <c r="J1762" s="89"/>
    </row>
    <row r="1763" spans="1:10" customFormat="1" ht="15" hidden="1" customHeight="1" x14ac:dyDescent="0.25">
      <c r="A1763" s="144"/>
      <c r="B1763" s="3"/>
      <c r="D1763" s="102"/>
      <c r="E1763" s="102"/>
      <c r="F1763" s="3"/>
      <c r="G1763" s="101"/>
      <c r="H1763" s="101"/>
      <c r="I1763" s="101"/>
      <c r="J1763" s="89"/>
    </row>
    <row r="1764" spans="1:10" customFormat="1" ht="15" hidden="1" customHeight="1" x14ac:dyDescent="0.25">
      <c r="A1764" s="144"/>
      <c r="B1764" s="3"/>
      <c r="D1764" s="102"/>
      <c r="E1764" s="102"/>
      <c r="F1764" s="3"/>
      <c r="G1764" s="101"/>
      <c r="H1764" s="101"/>
      <c r="I1764" s="101"/>
      <c r="J1764" s="89"/>
    </row>
    <row r="1765" spans="1:10" customFormat="1" ht="15" hidden="1" customHeight="1" x14ac:dyDescent="0.25">
      <c r="A1765" s="144"/>
      <c r="B1765" s="3"/>
      <c r="D1765" s="102"/>
      <c r="E1765" s="102"/>
      <c r="F1765" s="3"/>
      <c r="G1765" s="101"/>
      <c r="H1765" s="101"/>
      <c r="I1765" s="101"/>
      <c r="J1765" s="89"/>
    </row>
    <row r="1766" spans="1:10" customFormat="1" ht="15" hidden="1" customHeight="1" x14ac:dyDescent="0.25">
      <c r="A1766" s="144"/>
      <c r="B1766" s="3"/>
      <c r="D1766" s="102"/>
      <c r="E1766" s="102"/>
      <c r="F1766" s="3"/>
      <c r="G1766" s="101"/>
      <c r="H1766" s="101"/>
      <c r="I1766" s="101"/>
      <c r="J1766" s="89"/>
    </row>
    <row r="1767" spans="1:10" customFormat="1" ht="15" hidden="1" customHeight="1" x14ac:dyDescent="0.25">
      <c r="A1767" s="144"/>
      <c r="B1767" s="3"/>
      <c r="D1767" s="102"/>
      <c r="E1767" s="102"/>
      <c r="F1767" s="3"/>
      <c r="G1767" s="101"/>
      <c r="H1767" s="101"/>
      <c r="I1767" s="101"/>
      <c r="J1767" s="89"/>
    </row>
    <row r="1768" spans="1:10" customFormat="1" ht="15" hidden="1" customHeight="1" x14ac:dyDescent="0.25">
      <c r="A1768" s="144"/>
      <c r="B1768" s="3"/>
      <c r="D1768" s="102"/>
      <c r="E1768" s="102"/>
      <c r="F1768" s="3"/>
      <c r="G1768" s="101"/>
      <c r="H1768" s="101"/>
      <c r="I1768" s="101"/>
      <c r="J1768" s="89"/>
    </row>
    <row r="1769" spans="1:10" customFormat="1" ht="15" hidden="1" customHeight="1" x14ac:dyDescent="0.25">
      <c r="A1769" s="144"/>
      <c r="B1769" s="3"/>
      <c r="D1769" s="102"/>
      <c r="E1769" s="102"/>
      <c r="F1769" s="3"/>
      <c r="G1769" s="101"/>
      <c r="H1769" s="101"/>
      <c r="I1769" s="101"/>
      <c r="J1769" s="89"/>
    </row>
    <row r="1770" spans="1:10" customFormat="1" ht="15" hidden="1" customHeight="1" x14ac:dyDescent="0.25">
      <c r="A1770" s="144"/>
      <c r="B1770" s="3"/>
      <c r="D1770" s="102"/>
      <c r="E1770" s="102"/>
      <c r="F1770" s="3"/>
      <c r="G1770" s="101"/>
      <c r="H1770" s="101"/>
      <c r="I1770" s="101"/>
      <c r="J1770" s="89"/>
    </row>
    <row r="1771" spans="1:10" customFormat="1" ht="15" hidden="1" customHeight="1" x14ac:dyDescent="0.25">
      <c r="A1771" s="144"/>
      <c r="B1771" s="3"/>
      <c r="D1771" s="102"/>
      <c r="E1771" s="102"/>
      <c r="F1771" s="3"/>
      <c r="G1771" s="101"/>
      <c r="H1771" s="101"/>
      <c r="I1771" s="101"/>
      <c r="J1771" s="89"/>
    </row>
    <row r="1772" spans="1:10" customFormat="1" ht="15" hidden="1" customHeight="1" x14ac:dyDescent="0.25">
      <c r="A1772" s="144"/>
      <c r="B1772" s="3"/>
      <c r="D1772" s="102"/>
      <c r="E1772" s="102"/>
      <c r="F1772" s="3"/>
      <c r="G1772" s="101"/>
      <c r="H1772" s="101"/>
      <c r="I1772" s="101"/>
      <c r="J1772" s="89"/>
    </row>
    <row r="1773" spans="1:10" customFormat="1" ht="15" hidden="1" customHeight="1" x14ac:dyDescent="0.25">
      <c r="A1773" s="144"/>
      <c r="B1773" s="3"/>
      <c r="D1773" s="102"/>
      <c r="E1773" s="102"/>
      <c r="F1773" s="3"/>
      <c r="G1773" s="101"/>
      <c r="H1773" s="101"/>
      <c r="I1773" s="101"/>
      <c r="J1773" s="89"/>
    </row>
    <row r="1774" spans="1:10" customFormat="1" ht="15" hidden="1" customHeight="1" x14ac:dyDescent="0.25">
      <c r="A1774" s="144"/>
      <c r="B1774" s="3"/>
      <c r="D1774" s="102"/>
      <c r="E1774" s="102"/>
      <c r="F1774" s="3"/>
      <c r="G1774" s="101"/>
      <c r="H1774" s="101"/>
      <c r="I1774" s="101"/>
      <c r="J1774" s="89"/>
    </row>
    <row r="1775" spans="1:10" customFormat="1" ht="15" hidden="1" customHeight="1" x14ac:dyDescent="0.25">
      <c r="A1775" s="144"/>
      <c r="B1775" s="3"/>
      <c r="D1775" s="102"/>
      <c r="E1775" s="102"/>
      <c r="F1775" s="3"/>
      <c r="G1775" s="101"/>
      <c r="H1775" s="101"/>
      <c r="I1775" s="101"/>
      <c r="J1775" s="89"/>
    </row>
    <row r="1776" spans="1:10" customFormat="1" ht="15" hidden="1" customHeight="1" x14ac:dyDescent="0.25">
      <c r="A1776" s="144"/>
      <c r="B1776" s="3"/>
      <c r="D1776" s="102"/>
      <c r="E1776" s="102"/>
      <c r="F1776" s="3"/>
      <c r="G1776" s="101"/>
      <c r="H1776" s="101"/>
      <c r="I1776" s="101"/>
      <c r="J1776" s="89"/>
    </row>
    <row r="1777" spans="1:10" customFormat="1" ht="15" hidden="1" customHeight="1" x14ac:dyDescent="0.25">
      <c r="A1777" s="144"/>
      <c r="B1777" s="3"/>
      <c r="D1777" s="102"/>
      <c r="E1777" s="102"/>
      <c r="F1777" s="3"/>
      <c r="G1777" s="101"/>
      <c r="H1777" s="101"/>
      <c r="I1777" s="101"/>
      <c r="J1777" s="89"/>
    </row>
    <row r="1778" spans="1:10" customFormat="1" ht="15" hidden="1" customHeight="1" x14ac:dyDescent="0.25">
      <c r="A1778" s="144"/>
      <c r="B1778" s="3"/>
      <c r="D1778" s="102"/>
      <c r="E1778" s="102"/>
      <c r="F1778" s="3"/>
      <c r="G1778" s="101"/>
      <c r="H1778" s="101"/>
      <c r="I1778" s="101"/>
      <c r="J1778" s="89"/>
    </row>
    <row r="1779" spans="1:10" customFormat="1" ht="15" hidden="1" customHeight="1" x14ac:dyDescent="0.25">
      <c r="A1779" s="144"/>
      <c r="B1779" s="3"/>
      <c r="D1779" s="102"/>
      <c r="E1779" s="102"/>
      <c r="F1779" s="3"/>
      <c r="G1779" s="101"/>
      <c r="H1779" s="101"/>
      <c r="I1779" s="101"/>
      <c r="J1779" s="89"/>
    </row>
    <row r="1780" spans="1:10" customFormat="1" ht="15" hidden="1" customHeight="1" x14ac:dyDescent="0.25">
      <c r="A1780" s="144"/>
      <c r="B1780" s="3"/>
      <c r="D1780" s="102"/>
      <c r="E1780" s="102"/>
      <c r="F1780" s="3"/>
      <c r="G1780" s="101"/>
      <c r="H1780" s="101"/>
      <c r="I1780" s="101"/>
      <c r="J1780" s="89"/>
    </row>
    <row r="1781" spans="1:10" customFormat="1" ht="15" hidden="1" customHeight="1" x14ac:dyDescent="0.25">
      <c r="A1781" s="144"/>
      <c r="B1781" s="3"/>
      <c r="D1781" s="102"/>
      <c r="E1781" s="102"/>
      <c r="F1781" s="3"/>
      <c r="G1781" s="101"/>
      <c r="H1781" s="101"/>
      <c r="I1781" s="101"/>
      <c r="J1781" s="89"/>
    </row>
    <row r="1782" spans="1:10" customFormat="1" ht="15" hidden="1" customHeight="1" x14ac:dyDescent="0.25">
      <c r="A1782" s="144"/>
      <c r="B1782" s="3"/>
      <c r="D1782" s="102"/>
      <c r="E1782" s="102"/>
      <c r="F1782" s="3"/>
      <c r="G1782" s="101"/>
      <c r="H1782" s="101"/>
      <c r="I1782" s="101"/>
      <c r="J1782" s="89"/>
    </row>
    <row r="1783" spans="1:10" customFormat="1" ht="15" hidden="1" customHeight="1" x14ac:dyDescent="0.25">
      <c r="A1783" s="144"/>
      <c r="B1783" s="3"/>
      <c r="D1783" s="102"/>
      <c r="E1783" s="102"/>
      <c r="F1783" s="3"/>
      <c r="G1783" s="101"/>
      <c r="H1783" s="101"/>
      <c r="I1783" s="101"/>
      <c r="J1783" s="89"/>
    </row>
    <row r="1784" spans="1:10" customFormat="1" ht="15" hidden="1" customHeight="1" x14ac:dyDescent="0.25">
      <c r="A1784" s="144"/>
      <c r="B1784" s="3"/>
      <c r="D1784" s="102"/>
      <c r="E1784" s="102"/>
      <c r="F1784" s="3"/>
      <c r="G1784" s="101"/>
      <c r="H1784" s="101"/>
      <c r="I1784" s="101"/>
      <c r="J1784" s="89"/>
    </row>
    <row r="1785" spans="1:10" customFormat="1" ht="15" hidden="1" customHeight="1" x14ac:dyDescent="0.25">
      <c r="A1785" s="144"/>
      <c r="B1785" s="3"/>
      <c r="D1785" s="102"/>
      <c r="E1785" s="102"/>
      <c r="F1785" s="3"/>
      <c r="G1785" s="101"/>
      <c r="H1785" s="101"/>
      <c r="I1785" s="101"/>
      <c r="J1785" s="89"/>
    </row>
    <row r="1786" spans="1:10" customFormat="1" ht="15" hidden="1" customHeight="1" x14ac:dyDescent="0.25">
      <c r="A1786" s="144"/>
      <c r="B1786" s="3"/>
      <c r="D1786" s="102"/>
      <c r="E1786" s="102"/>
      <c r="F1786" s="3"/>
      <c r="G1786" s="101"/>
      <c r="H1786" s="101"/>
      <c r="I1786" s="101"/>
      <c r="J1786" s="89"/>
    </row>
    <row r="1787" spans="1:10" customFormat="1" ht="15" hidden="1" customHeight="1" x14ac:dyDescent="0.25">
      <c r="A1787" s="144"/>
      <c r="B1787" s="3"/>
      <c r="D1787" s="102"/>
      <c r="E1787" s="102"/>
      <c r="F1787" s="3"/>
      <c r="G1787" s="101"/>
      <c r="H1787" s="101"/>
      <c r="I1787" s="101"/>
      <c r="J1787" s="89"/>
    </row>
    <row r="1788" spans="1:10" customFormat="1" ht="15" hidden="1" customHeight="1" x14ac:dyDescent="0.25">
      <c r="A1788" s="144"/>
      <c r="B1788" s="3"/>
      <c r="D1788" s="102"/>
      <c r="E1788" s="102"/>
      <c r="F1788" s="3"/>
      <c r="G1788" s="101"/>
      <c r="H1788" s="101"/>
      <c r="I1788" s="101"/>
      <c r="J1788" s="89"/>
    </row>
    <row r="1789" spans="1:10" customFormat="1" ht="15" hidden="1" customHeight="1" x14ac:dyDescent="0.25">
      <c r="A1789" s="144"/>
      <c r="B1789" s="3"/>
      <c r="D1789" s="102"/>
      <c r="E1789" s="102"/>
      <c r="F1789" s="3"/>
      <c r="G1789" s="101"/>
      <c r="H1789" s="101"/>
      <c r="I1789" s="101"/>
      <c r="J1789" s="89"/>
    </row>
    <row r="1790" spans="1:10" customFormat="1" ht="15" hidden="1" customHeight="1" x14ac:dyDescent="0.25">
      <c r="A1790" s="144"/>
      <c r="B1790" s="3"/>
      <c r="D1790" s="102"/>
      <c r="E1790" s="102"/>
      <c r="F1790" s="3"/>
      <c r="G1790" s="101"/>
      <c r="H1790" s="101"/>
      <c r="I1790" s="101"/>
      <c r="J1790" s="89"/>
    </row>
    <row r="1791" spans="1:10" customFormat="1" ht="15" hidden="1" customHeight="1" x14ac:dyDescent="0.25">
      <c r="A1791" s="144"/>
      <c r="B1791" s="3"/>
      <c r="D1791" s="102"/>
      <c r="E1791" s="102"/>
      <c r="F1791" s="3"/>
      <c r="G1791" s="101"/>
      <c r="H1791" s="101"/>
      <c r="I1791" s="101"/>
      <c r="J1791" s="89"/>
    </row>
    <row r="1792" spans="1:10" customFormat="1" ht="15" hidden="1" customHeight="1" x14ac:dyDescent="0.25">
      <c r="A1792" s="144"/>
      <c r="B1792" s="3"/>
      <c r="D1792" s="102"/>
      <c r="E1792" s="102"/>
      <c r="F1792" s="3"/>
      <c r="G1792" s="101"/>
      <c r="H1792" s="101"/>
      <c r="I1792" s="101"/>
      <c r="J1792" s="89"/>
    </row>
    <row r="1793" spans="1:10" customFormat="1" ht="15" hidden="1" customHeight="1" x14ac:dyDescent="0.25">
      <c r="A1793" s="144"/>
      <c r="B1793" s="3"/>
      <c r="D1793" s="102"/>
      <c r="E1793" s="102"/>
      <c r="F1793" s="3"/>
      <c r="G1793" s="101"/>
      <c r="H1793" s="101"/>
      <c r="I1793" s="101"/>
      <c r="J1793" s="89"/>
    </row>
    <row r="1794" spans="1:10" customFormat="1" ht="15" hidden="1" customHeight="1" x14ac:dyDescent="0.25">
      <c r="A1794" s="144"/>
      <c r="B1794" s="3"/>
      <c r="D1794" s="102"/>
      <c r="E1794" s="102"/>
      <c r="F1794" s="3"/>
      <c r="G1794" s="101"/>
      <c r="H1794" s="101"/>
      <c r="I1794" s="101"/>
      <c r="J1794" s="89"/>
    </row>
    <row r="1795" spans="1:10" customFormat="1" ht="15" hidden="1" customHeight="1" x14ac:dyDescent="0.25">
      <c r="A1795" s="144"/>
      <c r="B1795" s="3"/>
      <c r="D1795" s="102"/>
      <c r="E1795" s="102"/>
      <c r="F1795" s="3"/>
      <c r="G1795" s="101"/>
      <c r="H1795" s="101"/>
      <c r="I1795" s="101"/>
      <c r="J1795" s="89"/>
    </row>
    <row r="1796" spans="1:10" customFormat="1" ht="15" hidden="1" customHeight="1" x14ac:dyDescent="0.25">
      <c r="A1796" s="144"/>
      <c r="B1796" s="3"/>
      <c r="D1796" s="102"/>
      <c r="E1796" s="102"/>
      <c r="F1796" s="3"/>
      <c r="G1796" s="101"/>
      <c r="H1796" s="101"/>
      <c r="I1796" s="101"/>
      <c r="J1796" s="89"/>
    </row>
    <row r="1797" spans="1:10" customFormat="1" ht="15" hidden="1" customHeight="1" x14ac:dyDescent="0.25">
      <c r="A1797" s="144"/>
      <c r="B1797" s="3"/>
      <c r="D1797" s="102"/>
      <c r="E1797" s="102"/>
      <c r="F1797" s="3"/>
      <c r="G1797" s="101"/>
      <c r="H1797" s="101"/>
      <c r="I1797" s="101"/>
      <c r="J1797" s="89"/>
    </row>
    <row r="1798" spans="1:10" customFormat="1" ht="15" hidden="1" customHeight="1" x14ac:dyDescent="0.25">
      <c r="A1798" s="144"/>
      <c r="B1798" s="3"/>
      <c r="D1798" s="102"/>
      <c r="E1798" s="102"/>
      <c r="F1798" s="3"/>
      <c r="G1798" s="101"/>
      <c r="H1798" s="101"/>
      <c r="I1798" s="101"/>
      <c r="J1798" s="89"/>
    </row>
    <row r="1799" spans="1:10" customFormat="1" ht="15" hidden="1" customHeight="1" x14ac:dyDescent="0.25">
      <c r="A1799" s="144"/>
      <c r="B1799" s="3"/>
      <c r="D1799" s="102"/>
      <c r="E1799" s="102"/>
      <c r="F1799" s="3"/>
      <c r="G1799" s="101"/>
      <c r="H1799" s="101"/>
      <c r="I1799" s="101"/>
      <c r="J1799" s="89"/>
    </row>
    <row r="1800" spans="1:10" customFormat="1" ht="15" hidden="1" customHeight="1" x14ac:dyDescent="0.25">
      <c r="A1800" s="144"/>
      <c r="B1800" s="3"/>
      <c r="D1800" s="102"/>
      <c r="E1800" s="102"/>
      <c r="F1800" s="3"/>
      <c r="G1800" s="101"/>
      <c r="H1800" s="101"/>
      <c r="I1800" s="101"/>
      <c r="J1800" s="89"/>
    </row>
    <row r="1801" spans="1:10" customFormat="1" ht="15" hidden="1" customHeight="1" x14ac:dyDescent="0.25">
      <c r="A1801" s="144"/>
      <c r="B1801" s="3"/>
      <c r="D1801" s="102"/>
      <c r="E1801" s="102"/>
      <c r="F1801" s="3"/>
      <c r="G1801" s="101"/>
      <c r="H1801" s="101"/>
      <c r="I1801" s="101"/>
      <c r="J1801" s="89"/>
    </row>
    <row r="1802" spans="1:10" customFormat="1" ht="15" hidden="1" customHeight="1" x14ac:dyDescent="0.25">
      <c r="A1802" s="144"/>
      <c r="B1802" s="3"/>
      <c r="D1802" s="102"/>
      <c r="E1802" s="102"/>
      <c r="F1802" s="3"/>
      <c r="G1802" s="101"/>
      <c r="H1802" s="101"/>
      <c r="I1802" s="101"/>
      <c r="J1802" s="89"/>
    </row>
    <row r="1803" spans="1:10" customFormat="1" ht="15" hidden="1" customHeight="1" x14ac:dyDescent="0.25">
      <c r="A1803" s="144"/>
      <c r="B1803" s="3"/>
      <c r="D1803" s="102"/>
      <c r="E1803" s="102"/>
      <c r="F1803" s="3"/>
      <c r="G1803" s="101"/>
      <c r="H1803" s="101"/>
      <c r="I1803" s="101"/>
      <c r="J1803" s="89"/>
    </row>
    <row r="1804" spans="1:10" customFormat="1" ht="15" hidden="1" customHeight="1" x14ac:dyDescent="0.25">
      <c r="A1804" s="144"/>
      <c r="B1804" s="3"/>
      <c r="D1804" s="102"/>
      <c r="E1804" s="102"/>
      <c r="F1804" s="3"/>
      <c r="G1804" s="101"/>
      <c r="H1804" s="101"/>
      <c r="I1804" s="101"/>
      <c r="J1804" s="89"/>
    </row>
    <row r="1805" spans="1:10" customFormat="1" ht="15" hidden="1" customHeight="1" x14ac:dyDescent="0.25">
      <c r="A1805" s="144"/>
      <c r="B1805" s="3"/>
      <c r="D1805" s="102"/>
      <c r="E1805" s="102"/>
      <c r="F1805" s="3"/>
      <c r="G1805" s="101"/>
      <c r="H1805" s="101"/>
      <c r="I1805" s="101"/>
      <c r="J1805" s="89"/>
    </row>
    <row r="1806" spans="1:10" customFormat="1" ht="15" hidden="1" customHeight="1" x14ac:dyDescent="0.25">
      <c r="A1806" s="144"/>
      <c r="B1806" s="3"/>
      <c r="D1806" s="102"/>
      <c r="E1806" s="102"/>
      <c r="F1806" s="3"/>
      <c r="G1806" s="101"/>
      <c r="H1806" s="101"/>
      <c r="I1806" s="101"/>
      <c r="J1806" s="89"/>
    </row>
    <row r="1807" spans="1:10" customFormat="1" ht="15" hidden="1" customHeight="1" x14ac:dyDescent="0.25">
      <c r="A1807" s="144"/>
      <c r="B1807" s="3"/>
      <c r="D1807" s="102"/>
      <c r="E1807" s="102"/>
      <c r="F1807" s="3"/>
      <c r="G1807" s="101"/>
      <c r="H1807" s="101"/>
      <c r="I1807" s="101"/>
      <c r="J1807" s="89"/>
    </row>
    <row r="1808" spans="1:10" customFormat="1" ht="15" hidden="1" customHeight="1" x14ac:dyDescent="0.25">
      <c r="A1808" s="144"/>
      <c r="B1808" s="3"/>
      <c r="D1808" s="102"/>
      <c r="E1808" s="102"/>
      <c r="F1808" s="3"/>
      <c r="G1808" s="101"/>
      <c r="H1808" s="101"/>
      <c r="I1808" s="101"/>
      <c r="J1808" s="89"/>
    </row>
    <row r="1809" spans="1:10" customFormat="1" ht="15" hidden="1" customHeight="1" x14ac:dyDescent="0.25">
      <c r="A1809" s="144"/>
      <c r="B1809" s="3"/>
      <c r="D1809" s="102"/>
      <c r="E1809" s="102"/>
      <c r="F1809" s="3"/>
      <c r="G1809" s="101"/>
      <c r="H1809" s="101"/>
      <c r="I1809" s="101"/>
      <c r="J1809" s="89"/>
    </row>
    <row r="1810" spans="1:10" customFormat="1" ht="15" hidden="1" customHeight="1" x14ac:dyDescent="0.25">
      <c r="A1810" s="144"/>
      <c r="B1810" s="3"/>
      <c r="D1810" s="102"/>
      <c r="E1810" s="102"/>
      <c r="F1810" s="3"/>
      <c r="G1810" s="101"/>
      <c r="H1810" s="101"/>
      <c r="I1810" s="101"/>
      <c r="J1810" s="89"/>
    </row>
    <row r="1811" spans="1:10" customFormat="1" ht="15" hidden="1" customHeight="1" x14ac:dyDescent="0.25">
      <c r="A1811" s="144"/>
      <c r="B1811" s="3"/>
      <c r="D1811" s="102"/>
      <c r="E1811" s="102"/>
      <c r="F1811" s="3"/>
      <c r="G1811" s="101"/>
      <c r="H1811" s="101"/>
      <c r="I1811" s="101"/>
      <c r="J1811" s="89"/>
    </row>
    <row r="1812" spans="1:10" customFormat="1" ht="15" hidden="1" customHeight="1" x14ac:dyDescent="0.25">
      <c r="A1812" s="144"/>
      <c r="B1812" s="3"/>
      <c r="D1812" s="102"/>
      <c r="E1812" s="102"/>
      <c r="F1812" s="3"/>
      <c r="G1812" s="101"/>
      <c r="H1812" s="101"/>
      <c r="I1812" s="101"/>
      <c r="J1812" s="89"/>
    </row>
    <row r="1813" spans="1:10" customFormat="1" ht="15" hidden="1" customHeight="1" x14ac:dyDescent="0.25">
      <c r="A1813" s="144"/>
      <c r="B1813" s="3"/>
      <c r="D1813" s="102"/>
      <c r="E1813" s="102"/>
      <c r="F1813" s="3"/>
      <c r="G1813" s="101"/>
      <c r="H1813" s="101"/>
      <c r="I1813" s="101"/>
      <c r="J1813" s="89"/>
    </row>
    <row r="1814" spans="1:10" customFormat="1" ht="15" hidden="1" customHeight="1" x14ac:dyDescent="0.25">
      <c r="A1814" s="144"/>
      <c r="B1814" s="3"/>
      <c r="D1814" s="102"/>
      <c r="E1814" s="102"/>
      <c r="F1814" s="3"/>
      <c r="G1814" s="101"/>
      <c r="H1814" s="101"/>
      <c r="I1814" s="101"/>
      <c r="J1814" s="89"/>
    </row>
    <row r="1815" spans="1:10" customFormat="1" ht="15" hidden="1" customHeight="1" x14ac:dyDescent="0.25">
      <c r="A1815" s="144"/>
      <c r="B1815" s="3"/>
      <c r="D1815" s="102"/>
      <c r="E1815" s="102"/>
      <c r="F1815" s="3"/>
      <c r="G1815" s="101"/>
      <c r="H1815" s="101"/>
      <c r="I1815" s="101"/>
      <c r="J1815" s="89"/>
    </row>
    <row r="1816" spans="1:10" customFormat="1" ht="15" hidden="1" customHeight="1" x14ac:dyDescent="0.25">
      <c r="A1816" s="144"/>
      <c r="B1816" s="3"/>
      <c r="D1816" s="102"/>
      <c r="E1816" s="102"/>
      <c r="F1816" s="3"/>
      <c r="G1816" s="101"/>
      <c r="H1816" s="101"/>
      <c r="I1816" s="101"/>
      <c r="J1816" s="89"/>
    </row>
    <row r="1817" spans="1:10" customFormat="1" ht="15" hidden="1" customHeight="1" x14ac:dyDescent="0.25">
      <c r="A1817" s="144"/>
      <c r="B1817" s="3"/>
      <c r="D1817" s="102"/>
      <c r="E1817" s="102"/>
      <c r="F1817" s="3"/>
      <c r="G1817" s="101"/>
      <c r="H1817" s="101"/>
      <c r="I1817" s="101"/>
      <c r="J1817" s="89"/>
    </row>
    <row r="1818" spans="1:10" customFormat="1" ht="15" hidden="1" customHeight="1" x14ac:dyDescent="0.25">
      <c r="A1818" s="144"/>
      <c r="B1818" s="3"/>
      <c r="D1818" s="102"/>
      <c r="E1818" s="102"/>
      <c r="F1818" s="3"/>
      <c r="G1818" s="101"/>
      <c r="H1818" s="101"/>
      <c r="I1818" s="101"/>
      <c r="J1818" s="89"/>
    </row>
    <row r="1819" spans="1:10" customFormat="1" ht="15" hidden="1" customHeight="1" x14ac:dyDescent="0.25">
      <c r="A1819" s="144"/>
      <c r="B1819" s="3"/>
      <c r="D1819" s="102"/>
      <c r="E1819" s="102"/>
      <c r="F1819" s="3"/>
      <c r="G1819" s="101"/>
      <c r="H1819" s="101"/>
      <c r="I1819" s="101"/>
      <c r="J1819" s="89"/>
    </row>
    <row r="1820" spans="1:10" customFormat="1" ht="15" hidden="1" customHeight="1" x14ac:dyDescent="0.25">
      <c r="A1820" s="144"/>
      <c r="B1820" s="3"/>
      <c r="D1820" s="102"/>
      <c r="E1820" s="102"/>
      <c r="F1820" s="3"/>
      <c r="G1820" s="101"/>
      <c r="H1820" s="101"/>
      <c r="I1820" s="101"/>
      <c r="J1820" s="89"/>
    </row>
    <row r="1821" spans="1:10" customFormat="1" ht="15" hidden="1" customHeight="1" x14ac:dyDescent="0.25">
      <c r="A1821" s="144"/>
      <c r="B1821" s="3"/>
      <c r="D1821" s="102"/>
      <c r="E1821" s="102"/>
      <c r="F1821" s="3"/>
      <c r="G1821" s="101"/>
      <c r="H1821" s="101"/>
      <c r="I1821" s="101"/>
      <c r="J1821" s="89"/>
    </row>
    <row r="1822" spans="1:10" customFormat="1" ht="15" hidden="1" customHeight="1" x14ac:dyDescent="0.25">
      <c r="A1822" s="144"/>
      <c r="B1822" s="3"/>
      <c r="D1822" s="102"/>
      <c r="E1822" s="102"/>
      <c r="F1822" s="3"/>
      <c r="G1822" s="101"/>
      <c r="H1822" s="101"/>
      <c r="I1822" s="101"/>
      <c r="J1822" s="89"/>
    </row>
    <row r="1823" spans="1:10" customFormat="1" ht="15" hidden="1" customHeight="1" x14ac:dyDescent="0.25">
      <c r="A1823" s="144"/>
      <c r="B1823" s="3"/>
      <c r="D1823" s="102"/>
      <c r="E1823" s="102"/>
      <c r="F1823" s="3"/>
      <c r="G1823" s="101"/>
      <c r="H1823" s="101"/>
      <c r="I1823" s="101"/>
      <c r="J1823" s="89"/>
    </row>
    <row r="1824" spans="1:10" customFormat="1" ht="15" hidden="1" customHeight="1" x14ac:dyDescent="0.25">
      <c r="A1824" s="144"/>
      <c r="B1824" s="3"/>
      <c r="D1824" s="102"/>
      <c r="E1824" s="102"/>
      <c r="F1824" s="3"/>
      <c r="G1824" s="101"/>
      <c r="H1824" s="101"/>
      <c r="I1824" s="101"/>
      <c r="J1824" s="89"/>
    </row>
    <row r="1825" spans="1:10" customFormat="1" ht="15" hidden="1" customHeight="1" x14ac:dyDescent="0.25">
      <c r="A1825" s="144"/>
      <c r="B1825" s="3"/>
      <c r="D1825" s="102"/>
      <c r="E1825" s="102"/>
      <c r="F1825" s="3"/>
      <c r="G1825" s="101"/>
      <c r="H1825" s="101"/>
      <c r="I1825" s="101"/>
      <c r="J1825" s="89"/>
    </row>
    <row r="1826" spans="1:10" customFormat="1" ht="15" hidden="1" customHeight="1" x14ac:dyDescent="0.25">
      <c r="A1826" s="144"/>
      <c r="B1826" s="3"/>
      <c r="D1826" s="102"/>
      <c r="E1826" s="102"/>
      <c r="F1826" s="3"/>
      <c r="G1826" s="101"/>
      <c r="H1826" s="101"/>
      <c r="I1826" s="101"/>
      <c r="J1826" s="89"/>
    </row>
    <row r="1827" spans="1:10" customFormat="1" ht="15" hidden="1" customHeight="1" x14ac:dyDescent="0.25">
      <c r="A1827" s="144"/>
      <c r="B1827" s="3"/>
      <c r="D1827" s="102"/>
      <c r="E1827" s="102"/>
      <c r="F1827" s="3"/>
      <c r="G1827" s="101"/>
      <c r="H1827" s="101"/>
      <c r="I1827" s="101"/>
      <c r="J1827" s="89"/>
    </row>
    <row r="1828" spans="1:10" customFormat="1" ht="15" hidden="1" customHeight="1" x14ac:dyDescent="0.25">
      <c r="A1828" s="144"/>
      <c r="B1828" s="3"/>
      <c r="D1828" s="102"/>
      <c r="E1828" s="102"/>
      <c r="F1828" s="3"/>
      <c r="G1828" s="101"/>
      <c r="H1828" s="101"/>
      <c r="I1828" s="101"/>
      <c r="J1828" s="89"/>
    </row>
    <row r="1829" spans="1:10" customFormat="1" ht="15" hidden="1" customHeight="1" x14ac:dyDescent="0.25">
      <c r="A1829" s="144"/>
      <c r="B1829" s="3"/>
      <c r="D1829" s="102"/>
      <c r="E1829" s="102"/>
      <c r="F1829" s="3"/>
      <c r="G1829" s="101"/>
      <c r="H1829" s="101"/>
      <c r="I1829" s="101"/>
      <c r="J1829" s="89"/>
    </row>
    <row r="1830" spans="1:10" customFormat="1" ht="15" hidden="1" customHeight="1" x14ac:dyDescent="0.25">
      <c r="A1830" s="144"/>
      <c r="B1830" s="3"/>
      <c r="D1830" s="102"/>
      <c r="E1830" s="102"/>
      <c r="F1830" s="3"/>
      <c r="G1830" s="101"/>
      <c r="H1830" s="101"/>
      <c r="I1830" s="101"/>
      <c r="J1830" s="89"/>
    </row>
    <row r="1831" spans="1:10" customFormat="1" ht="15" hidden="1" customHeight="1" x14ac:dyDescent="0.25">
      <c r="A1831" s="144"/>
      <c r="B1831" s="3"/>
      <c r="D1831" s="102"/>
      <c r="E1831" s="102"/>
      <c r="F1831" s="3"/>
      <c r="G1831" s="101"/>
      <c r="H1831" s="101"/>
      <c r="I1831" s="101"/>
      <c r="J1831" s="89"/>
    </row>
    <row r="1832" spans="1:10" customFormat="1" ht="15" hidden="1" customHeight="1" x14ac:dyDescent="0.25">
      <c r="A1832" s="144"/>
      <c r="B1832" s="3"/>
      <c r="D1832" s="102"/>
      <c r="E1832" s="102"/>
      <c r="F1832" s="3"/>
      <c r="G1832" s="101"/>
      <c r="H1832" s="101"/>
      <c r="I1832" s="101"/>
      <c r="J1832" s="89"/>
    </row>
    <row r="1833" spans="1:10" customFormat="1" ht="15" hidden="1" customHeight="1" x14ac:dyDescent="0.25">
      <c r="A1833" s="144"/>
      <c r="B1833" s="3"/>
      <c r="D1833" s="102"/>
      <c r="E1833" s="102"/>
      <c r="F1833" s="3"/>
      <c r="G1833" s="101"/>
      <c r="H1833" s="101"/>
      <c r="I1833" s="101"/>
      <c r="J1833" s="89"/>
    </row>
    <row r="1834" spans="1:10" customFormat="1" ht="15" hidden="1" customHeight="1" x14ac:dyDescent="0.25">
      <c r="A1834" s="144"/>
      <c r="B1834" s="3"/>
      <c r="D1834" s="102"/>
      <c r="E1834" s="102"/>
      <c r="F1834" s="3"/>
      <c r="G1834" s="101"/>
      <c r="H1834" s="101"/>
      <c r="I1834" s="101"/>
      <c r="J1834" s="89"/>
    </row>
    <row r="1835" spans="1:10" customFormat="1" ht="15" hidden="1" customHeight="1" x14ac:dyDescent="0.25">
      <c r="A1835" s="144"/>
      <c r="B1835" s="3"/>
      <c r="D1835" s="102"/>
      <c r="E1835" s="102"/>
      <c r="F1835" s="3"/>
      <c r="G1835" s="101"/>
      <c r="H1835" s="101"/>
      <c r="I1835" s="101"/>
      <c r="J1835" s="89"/>
    </row>
    <row r="1836" spans="1:10" customFormat="1" ht="15" hidden="1" customHeight="1" x14ac:dyDescent="0.25">
      <c r="A1836" s="144"/>
      <c r="B1836" s="3"/>
      <c r="D1836" s="102"/>
      <c r="E1836" s="102"/>
      <c r="F1836" s="3"/>
      <c r="G1836" s="101"/>
      <c r="H1836" s="101"/>
      <c r="I1836" s="101"/>
      <c r="J1836" s="89"/>
    </row>
    <row r="1837" spans="1:10" customFormat="1" ht="15" hidden="1" customHeight="1" x14ac:dyDescent="0.25">
      <c r="A1837" s="144"/>
      <c r="B1837" s="3"/>
      <c r="D1837" s="102"/>
      <c r="E1837" s="102"/>
      <c r="F1837" s="3"/>
      <c r="G1837" s="101"/>
      <c r="H1837" s="101"/>
      <c r="I1837" s="101"/>
      <c r="J1837" s="89"/>
    </row>
    <row r="1838" spans="1:10" customFormat="1" ht="15" hidden="1" customHeight="1" x14ac:dyDescent="0.25">
      <c r="A1838" s="144"/>
      <c r="B1838" s="3"/>
      <c r="D1838" s="102"/>
      <c r="E1838" s="102"/>
      <c r="F1838" s="3"/>
      <c r="G1838" s="101"/>
      <c r="H1838" s="101"/>
      <c r="I1838" s="101"/>
      <c r="J1838" s="89"/>
    </row>
    <row r="1839" spans="1:10" customFormat="1" ht="15" hidden="1" customHeight="1" x14ac:dyDescent="0.25">
      <c r="A1839" s="144"/>
      <c r="B1839" s="3"/>
      <c r="D1839" s="102"/>
      <c r="E1839" s="102"/>
      <c r="F1839" s="3"/>
      <c r="G1839" s="101"/>
      <c r="H1839" s="101"/>
      <c r="I1839" s="101"/>
      <c r="J1839" s="89"/>
    </row>
    <row r="1840" spans="1:10" customFormat="1" ht="15" hidden="1" customHeight="1" x14ac:dyDescent="0.25">
      <c r="A1840" s="144"/>
      <c r="B1840" s="3"/>
      <c r="D1840" s="102"/>
      <c r="E1840" s="102"/>
      <c r="F1840" s="3"/>
      <c r="G1840" s="101"/>
      <c r="H1840" s="101"/>
      <c r="I1840" s="101"/>
      <c r="J1840" s="89"/>
    </row>
    <row r="1841" spans="1:10" customFormat="1" ht="15" hidden="1" customHeight="1" x14ac:dyDescent="0.25">
      <c r="A1841" s="144"/>
      <c r="B1841" s="3"/>
      <c r="D1841" s="102"/>
      <c r="E1841" s="102"/>
      <c r="F1841" s="3"/>
      <c r="G1841" s="101"/>
      <c r="H1841" s="101"/>
      <c r="I1841" s="101"/>
      <c r="J1841" s="89"/>
    </row>
    <row r="1842" spans="1:10" customFormat="1" ht="15" hidden="1" customHeight="1" x14ac:dyDescent="0.25">
      <c r="A1842" s="144"/>
      <c r="B1842" s="3"/>
      <c r="D1842" s="102"/>
      <c r="E1842" s="102"/>
      <c r="F1842" s="3"/>
      <c r="G1842" s="101"/>
      <c r="H1842" s="101"/>
      <c r="I1842" s="101"/>
      <c r="J1842" s="89"/>
    </row>
    <row r="1843" spans="1:10" customFormat="1" ht="15" hidden="1" customHeight="1" x14ac:dyDescent="0.25">
      <c r="A1843" s="144"/>
      <c r="B1843" s="3"/>
      <c r="D1843" s="102"/>
      <c r="E1843" s="102"/>
      <c r="F1843" s="3"/>
      <c r="G1843" s="101"/>
      <c r="H1843" s="101"/>
      <c r="I1843" s="101"/>
      <c r="J1843" s="89"/>
    </row>
    <row r="1844" spans="1:10" customFormat="1" ht="15" hidden="1" customHeight="1" x14ac:dyDescent="0.25">
      <c r="A1844" s="144"/>
      <c r="B1844" s="3"/>
      <c r="D1844" s="102"/>
      <c r="E1844" s="102"/>
      <c r="F1844" s="3"/>
      <c r="G1844" s="101"/>
      <c r="H1844" s="101"/>
      <c r="I1844" s="101"/>
      <c r="J1844" s="89"/>
    </row>
    <row r="1845" spans="1:10" customFormat="1" ht="15" hidden="1" customHeight="1" x14ac:dyDescent="0.25">
      <c r="A1845" s="144"/>
      <c r="B1845" s="3"/>
      <c r="D1845" s="102"/>
      <c r="E1845" s="102"/>
      <c r="F1845" s="3"/>
      <c r="G1845" s="101"/>
      <c r="H1845" s="101"/>
      <c r="I1845" s="101"/>
      <c r="J1845" s="89"/>
    </row>
    <row r="1846" spans="1:10" customFormat="1" ht="15" hidden="1" customHeight="1" x14ac:dyDescent="0.25">
      <c r="A1846" s="144"/>
      <c r="B1846" s="3"/>
      <c r="D1846" s="102"/>
      <c r="E1846" s="102"/>
      <c r="F1846" s="3"/>
      <c r="G1846" s="101"/>
      <c r="H1846" s="101"/>
      <c r="I1846" s="101"/>
      <c r="J1846" s="89"/>
    </row>
    <row r="1847" spans="1:10" customFormat="1" ht="15" hidden="1" customHeight="1" x14ac:dyDescent="0.25">
      <c r="A1847" s="144"/>
      <c r="B1847" s="3"/>
      <c r="D1847" s="102"/>
      <c r="E1847" s="102"/>
      <c r="F1847" s="3"/>
      <c r="G1847" s="101"/>
      <c r="H1847" s="101"/>
      <c r="I1847" s="101"/>
      <c r="J1847" s="89"/>
    </row>
    <row r="1848" spans="1:10" customFormat="1" ht="15" hidden="1" customHeight="1" x14ac:dyDescent="0.25">
      <c r="A1848" s="144"/>
      <c r="B1848" s="3"/>
      <c r="D1848" s="102"/>
      <c r="E1848" s="102"/>
      <c r="F1848" s="3"/>
      <c r="G1848" s="101"/>
      <c r="H1848" s="101"/>
      <c r="I1848" s="101"/>
      <c r="J1848" s="89"/>
    </row>
    <row r="1849" spans="1:10" customFormat="1" ht="15" hidden="1" customHeight="1" x14ac:dyDescent="0.25">
      <c r="A1849" s="144"/>
      <c r="B1849" s="3"/>
      <c r="D1849" s="102"/>
      <c r="E1849" s="102"/>
      <c r="F1849" s="3"/>
      <c r="G1849" s="101"/>
      <c r="H1849" s="101"/>
      <c r="I1849" s="101"/>
      <c r="J1849" s="89"/>
    </row>
    <row r="1850" spans="1:10" customFormat="1" ht="15" hidden="1" customHeight="1" x14ac:dyDescent="0.25">
      <c r="A1850" s="144"/>
      <c r="B1850" s="3"/>
      <c r="D1850" s="102"/>
      <c r="E1850" s="102"/>
      <c r="F1850" s="3"/>
      <c r="G1850" s="101"/>
      <c r="H1850" s="101"/>
      <c r="I1850" s="101"/>
      <c r="J1850" s="89"/>
    </row>
    <row r="1851" spans="1:10" customFormat="1" ht="15" hidden="1" customHeight="1" x14ac:dyDescent="0.25">
      <c r="A1851" s="144"/>
      <c r="B1851" s="3"/>
      <c r="D1851" s="102"/>
      <c r="E1851" s="102"/>
      <c r="F1851" s="3"/>
      <c r="G1851" s="101"/>
      <c r="H1851" s="101"/>
      <c r="I1851" s="101"/>
      <c r="J1851" s="89"/>
    </row>
    <row r="1852" spans="1:10" customFormat="1" ht="15" hidden="1" customHeight="1" x14ac:dyDescent="0.25">
      <c r="A1852" s="144"/>
      <c r="B1852" s="3"/>
      <c r="D1852" s="102"/>
      <c r="E1852" s="102"/>
      <c r="F1852" s="3"/>
      <c r="G1852" s="101"/>
      <c r="H1852" s="101"/>
      <c r="I1852" s="101"/>
      <c r="J1852" s="89"/>
    </row>
    <row r="1853" spans="1:10" customFormat="1" ht="15" hidden="1" customHeight="1" x14ac:dyDescent="0.25">
      <c r="A1853" s="144"/>
      <c r="B1853" s="3"/>
      <c r="D1853" s="102"/>
      <c r="E1853" s="102"/>
      <c r="F1853" s="3"/>
      <c r="G1853" s="101"/>
      <c r="H1853" s="101"/>
      <c r="I1853" s="101"/>
      <c r="J1853" s="89"/>
    </row>
    <row r="1854" spans="1:10" customFormat="1" ht="15" hidden="1" customHeight="1" x14ac:dyDescent="0.25">
      <c r="A1854" s="144"/>
      <c r="B1854" s="3"/>
      <c r="D1854" s="102"/>
      <c r="E1854" s="102"/>
      <c r="F1854" s="3"/>
      <c r="G1854" s="101"/>
      <c r="H1854" s="101"/>
      <c r="I1854" s="101"/>
      <c r="J1854" s="89"/>
    </row>
    <row r="1855" spans="1:10" customFormat="1" ht="15" hidden="1" customHeight="1" x14ac:dyDescent="0.25">
      <c r="A1855" s="144"/>
      <c r="B1855" s="3"/>
      <c r="D1855" s="102"/>
      <c r="E1855" s="102"/>
      <c r="F1855" s="3"/>
      <c r="G1855" s="101"/>
      <c r="H1855" s="101"/>
      <c r="I1855" s="101"/>
      <c r="J1855" s="89"/>
    </row>
    <row r="1856" spans="1:10" customFormat="1" ht="15" hidden="1" customHeight="1" x14ac:dyDescent="0.25">
      <c r="A1856" s="144"/>
      <c r="B1856" s="3"/>
      <c r="D1856" s="102"/>
      <c r="E1856" s="102"/>
      <c r="F1856" s="3"/>
      <c r="G1856" s="101"/>
      <c r="H1856" s="101"/>
      <c r="I1856" s="101"/>
      <c r="J1856" s="89"/>
    </row>
    <row r="1857" spans="1:10" customFormat="1" ht="15" hidden="1" customHeight="1" x14ac:dyDescent="0.25">
      <c r="A1857" s="144"/>
      <c r="B1857" s="3"/>
      <c r="D1857" s="102"/>
      <c r="E1857" s="102"/>
      <c r="F1857" s="3"/>
      <c r="G1857" s="101"/>
      <c r="H1857" s="101"/>
      <c r="I1857" s="101"/>
      <c r="J1857" s="89"/>
    </row>
    <row r="1858" spans="1:10" customFormat="1" ht="15" hidden="1" customHeight="1" x14ac:dyDescent="0.25">
      <c r="A1858" s="144"/>
      <c r="B1858" s="3"/>
      <c r="D1858" s="102"/>
      <c r="E1858" s="102"/>
      <c r="F1858" s="3"/>
      <c r="G1858" s="101"/>
      <c r="H1858" s="101"/>
      <c r="I1858" s="101"/>
      <c r="J1858" s="89"/>
    </row>
    <row r="1859" spans="1:10" customFormat="1" ht="15" hidden="1" customHeight="1" x14ac:dyDescent="0.25">
      <c r="A1859" s="144"/>
      <c r="B1859" s="3"/>
      <c r="D1859" s="102"/>
      <c r="E1859" s="102"/>
      <c r="F1859" s="3"/>
      <c r="G1859" s="101"/>
      <c r="H1859" s="101"/>
      <c r="I1859" s="101"/>
      <c r="J1859" s="89"/>
    </row>
    <row r="1860" spans="1:10" customFormat="1" ht="15" hidden="1" customHeight="1" x14ac:dyDescent="0.25">
      <c r="A1860" s="144"/>
      <c r="B1860" s="3"/>
      <c r="D1860" s="102"/>
      <c r="E1860" s="102"/>
      <c r="F1860" s="3"/>
      <c r="G1860" s="101"/>
      <c r="H1860" s="101"/>
      <c r="I1860" s="101"/>
      <c r="J1860" s="89"/>
    </row>
    <row r="1861" spans="1:10" customFormat="1" ht="15" hidden="1" customHeight="1" x14ac:dyDescent="0.25">
      <c r="A1861" s="144"/>
      <c r="B1861" s="3"/>
      <c r="D1861" s="102"/>
      <c r="E1861" s="102"/>
      <c r="F1861" s="3"/>
      <c r="G1861" s="101"/>
      <c r="H1861" s="101"/>
      <c r="I1861" s="101"/>
      <c r="J1861" s="89"/>
    </row>
    <row r="1862" spans="1:10" customFormat="1" ht="15" hidden="1" customHeight="1" x14ac:dyDescent="0.25">
      <c r="A1862" s="144"/>
      <c r="B1862" s="3"/>
      <c r="D1862" s="102"/>
      <c r="E1862" s="102"/>
      <c r="F1862" s="3"/>
      <c r="G1862" s="101"/>
      <c r="H1862" s="101"/>
      <c r="I1862" s="101"/>
      <c r="J1862" s="89"/>
    </row>
    <row r="1863" spans="1:10" customFormat="1" ht="15" hidden="1" customHeight="1" x14ac:dyDescent="0.25">
      <c r="A1863" s="144"/>
      <c r="B1863" s="3"/>
      <c r="D1863" s="102"/>
      <c r="E1863" s="102"/>
      <c r="F1863" s="3"/>
      <c r="G1863" s="101"/>
      <c r="H1863" s="101"/>
      <c r="I1863" s="101"/>
      <c r="J1863" s="89"/>
    </row>
    <row r="1864" spans="1:10" customFormat="1" ht="15" hidden="1" customHeight="1" x14ac:dyDescent="0.25">
      <c r="A1864" s="144"/>
      <c r="B1864" s="3"/>
      <c r="D1864" s="102"/>
      <c r="E1864" s="102"/>
      <c r="F1864" s="3"/>
      <c r="G1864" s="101"/>
      <c r="H1864" s="101"/>
      <c r="I1864" s="101"/>
      <c r="J1864" s="89"/>
    </row>
    <row r="1865" spans="1:10" customFormat="1" ht="15" hidden="1" customHeight="1" x14ac:dyDescent="0.25">
      <c r="A1865" s="144"/>
      <c r="B1865" s="3"/>
      <c r="D1865" s="102"/>
      <c r="E1865" s="102"/>
      <c r="F1865" s="3"/>
      <c r="G1865" s="101"/>
      <c r="H1865" s="101"/>
      <c r="I1865" s="101"/>
      <c r="J1865" s="89"/>
    </row>
    <row r="1866" spans="1:10" customFormat="1" ht="15" hidden="1" customHeight="1" x14ac:dyDescent="0.25">
      <c r="A1866" s="144"/>
      <c r="B1866" s="3"/>
      <c r="D1866" s="102"/>
      <c r="E1866" s="102"/>
      <c r="F1866" s="3"/>
      <c r="G1866" s="101"/>
      <c r="H1866" s="101"/>
      <c r="I1866" s="101"/>
      <c r="J1866" s="89"/>
    </row>
    <row r="1867" spans="1:10" customFormat="1" ht="15" hidden="1" customHeight="1" x14ac:dyDescent="0.25">
      <c r="A1867" s="144"/>
      <c r="B1867" s="3"/>
      <c r="D1867" s="102"/>
      <c r="E1867" s="102"/>
      <c r="F1867" s="3"/>
      <c r="G1867" s="101"/>
      <c r="H1867" s="101"/>
      <c r="I1867" s="101"/>
      <c r="J1867" s="89"/>
    </row>
    <row r="1868" spans="1:10" customFormat="1" ht="15" hidden="1" customHeight="1" x14ac:dyDescent="0.25">
      <c r="A1868" s="144"/>
      <c r="B1868" s="3"/>
      <c r="D1868" s="102"/>
      <c r="E1868" s="102"/>
      <c r="F1868" s="3"/>
      <c r="G1868" s="101"/>
      <c r="H1868" s="101"/>
      <c r="I1868" s="101"/>
      <c r="J1868" s="89"/>
    </row>
    <row r="1869" spans="1:10" customFormat="1" ht="15" hidden="1" customHeight="1" x14ac:dyDescent="0.25">
      <c r="A1869" s="144"/>
      <c r="B1869" s="3"/>
      <c r="D1869" s="102"/>
      <c r="E1869" s="102"/>
      <c r="F1869" s="3"/>
      <c r="G1869" s="101"/>
      <c r="H1869" s="101"/>
      <c r="I1869" s="101"/>
      <c r="J1869" s="89"/>
    </row>
    <row r="1870" spans="1:10" customFormat="1" ht="15" hidden="1" customHeight="1" x14ac:dyDescent="0.25">
      <c r="A1870" s="144"/>
      <c r="B1870" s="3"/>
      <c r="D1870" s="102"/>
      <c r="E1870" s="102"/>
      <c r="F1870" s="3"/>
      <c r="G1870" s="101"/>
      <c r="H1870" s="101"/>
      <c r="I1870" s="101"/>
      <c r="J1870" s="89"/>
    </row>
    <row r="1871" spans="1:10" customFormat="1" ht="15" hidden="1" customHeight="1" x14ac:dyDescent="0.25">
      <c r="A1871" s="144"/>
      <c r="B1871" s="3"/>
      <c r="D1871" s="102"/>
      <c r="E1871" s="102"/>
      <c r="F1871" s="3"/>
      <c r="G1871" s="101"/>
      <c r="H1871" s="101"/>
      <c r="I1871" s="101"/>
      <c r="J1871" s="89"/>
    </row>
    <row r="1872" spans="1:10" customFormat="1" ht="15" hidden="1" customHeight="1" x14ac:dyDescent="0.25">
      <c r="A1872" s="144"/>
      <c r="B1872" s="3"/>
      <c r="D1872" s="102"/>
      <c r="E1872" s="102"/>
      <c r="F1872" s="3"/>
      <c r="G1872" s="101"/>
      <c r="H1872" s="101"/>
      <c r="I1872" s="101"/>
      <c r="J1872" s="89"/>
    </row>
    <row r="1873" spans="1:10" customFormat="1" ht="15" hidden="1" customHeight="1" x14ac:dyDescent="0.25">
      <c r="A1873" s="144"/>
      <c r="B1873" s="3"/>
      <c r="D1873" s="102"/>
      <c r="E1873" s="102"/>
      <c r="F1873" s="3"/>
      <c r="G1873" s="101"/>
      <c r="H1873" s="101"/>
      <c r="I1873" s="101"/>
      <c r="J1873" s="89"/>
    </row>
    <row r="1874" spans="1:10" customFormat="1" ht="15" hidden="1" customHeight="1" x14ac:dyDescent="0.25">
      <c r="A1874" s="144"/>
      <c r="B1874" s="3"/>
      <c r="D1874" s="102"/>
      <c r="E1874" s="102"/>
      <c r="F1874" s="3"/>
      <c r="G1874" s="101"/>
      <c r="H1874" s="101"/>
      <c r="I1874" s="101"/>
      <c r="J1874" s="89"/>
    </row>
    <row r="1875" spans="1:10" customFormat="1" ht="15" hidden="1" customHeight="1" x14ac:dyDescent="0.25">
      <c r="A1875" s="144"/>
      <c r="B1875" s="3"/>
      <c r="D1875" s="102"/>
      <c r="E1875" s="102"/>
      <c r="F1875" s="3"/>
      <c r="G1875" s="101"/>
      <c r="H1875" s="101"/>
      <c r="I1875" s="101"/>
      <c r="J1875" s="89"/>
    </row>
    <row r="1876" spans="1:10" customFormat="1" ht="15" hidden="1" customHeight="1" x14ac:dyDescent="0.25">
      <c r="A1876" s="144"/>
      <c r="B1876" s="3"/>
      <c r="D1876" s="102"/>
      <c r="E1876" s="102"/>
      <c r="F1876" s="3"/>
      <c r="G1876" s="101"/>
      <c r="H1876" s="101"/>
      <c r="I1876" s="101"/>
      <c r="J1876" s="89"/>
    </row>
    <row r="1877" spans="1:10" customFormat="1" ht="15" hidden="1" customHeight="1" x14ac:dyDescent="0.25">
      <c r="A1877" s="144"/>
      <c r="B1877" s="3"/>
      <c r="D1877" s="102"/>
      <c r="E1877" s="102"/>
      <c r="F1877" s="3"/>
      <c r="G1877" s="101"/>
      <c r="H1877" s="101"/>
      <c r="I1877" s="101"/>
      <c r="J1877" s="89"/>
    </row>
    <row r="1878" spans="1:10" customFormat="1" ht="15" hidden="1" customHeight="1" x14ac:dyDescent="0.25">
      <c r="A1878" s="144"/>
      <c r="B1878" s="3"/>
      <c r="D1878" s="102"/>
      <c r="E1878" s="102"/>
      <c r="F1878" s="3"/>
      <c r="G1878" s="101"/>
      <c r="H1878" s="101"/>
      <c r="I1878" s="101"/>
      <c r="J1878" s="89"/>
    </row>
    <row r="1879" spans="1:10" customFormat="1" ht="15" hidden="1" customHeight="1" x14ac:dyDescent="0.25">
      <c r="A1879" s="144"/>
      <c r="B1879" s="3"/>
      <c r="D1879" s="102"/>
      <c r="E1879" s="102"/>
      <c r="F1879" s="3"/>
      <c r="G1879" s="101"/>
      <c r="H1879" s="101"/>
      <c r="I1879" s="101"/>
      <c r="J1879" s="89"/>
    </row>
    <row r="1880" spans="1:10" customFormat="1" ht="15" hidden="1" customHeight="1" x14ac:dyDescent="0.25">
      <c r="A1880" s="144"/>
      <c r="B1880" s="3"/>
      <c r="D1880" s="102"/>
      <c r="E1880" s="102"/>
      <c r="F1880" s="3"/>
      <c r="G1880" s="101"/>
      <c r="H1880" s="101"/>
      <c r="I1880" s="101"/>
      <c r="J1880" s="89"/>
    </row>
    <row r="1881" spans="1:10" customFormat="1" ht="15" hidden="1" customHeight="1" x14ac:dyDescent="0.25">
      <c r="A1881" s="144"/>
      <c r="B1881" s="3"/>
      <c r="D1881" s="102"/>
      <c r="E1881" s="102"/>
      <c r="F1881" s="3"/>
      <c r="G1881" s="101"/>
      <c r="H1881" s="101"/>
      <c r="I1881" s="101"/>
      <c r="J1881" s="89"/>
    </row>
    <row r="1882" spans="1:10" customFormat="1" ht="15" hidden="1" customHeight="1" x14ac:dyDescent="0.25">
      <c r="A1882" s="144"/>
      <c r="B1882" s="3"/>
      <c r="D1882" s="102"/>
      <c r="E1882" s="102"/>
      <c r="F1882" s="3"/>
      <c r="G1882" s="101"/>
      <c r="H1882" s="101"/>
      <c r="I1882" s="101"/>
      <c r="J1882" s="89"/>
    </row>
    <row r="1883" spans="1:10" customFormat="1" ht="15" hidden="1" customHeight="1" x14ac:dyDescent="0.25">
      <c r="A1883" s="144"/>
      <c r="B1883" s="3"/>
      <c r="D1883" s="102"/>
      <c r="E1883" s="102"/>
      <c r="F1883" s="3"/>
      <c r="G1883" s="101"/>
      <c r="H1883" s="101"/>
      <c r="I1883" s="101"/>
      <c r="J1883" s="89"/>
    </row>
    <row r="1884" spans="1:10" customFormat="1" ht="15" hidden="1" customHeight="1" x14ac:dyDescent="0.25">
      <c r="A1884" s="144"/>
      <c r="B1884" s="3"/>
      <c r="D1884" s="102"/>
      <c r="E1884" s="102"/>
      <c r="F1884" s="3"/>
      <c r="G1884" s="101"/>
      <c r="H1884" s="101"/>
      <c r="I1884" s="101"/>
      <c r="J1884" s="89"/>
    </row>
    <row r="1885" spans="1:10" customFormat="1" ht="15" hidden="1" customHeight="1" x14ac:dyDescent="0.25">
      <c r="A1885" s="144"/>
      <c r="B1885" s="3"/>
      <c r="D1885" s="102"/>
      <c r="E1885" s="102"/>
      <c r="F1885" s="3"/>
      <c r="G1885" s="101"/>
      <c r="H1885" s="101"/>
      <c r="I1885" s="101"/>
      <c r="J1885" s="89"/>
    </row>
    <row r="1886" spans="1:10" customFormat="1" ht="15" hidden="1" customHeight="1" x14ac:dyDescent="0.25">
      <c r="A1886" s="144"/>
      <c r="B1886" s="3"/>
      <c r="D1886" s="102"/>
      <c r="E1886" s="102"/>
      <c r="F1886" s="3"/>
      <c r="G1886" s="101"/>
      <c r="H1886" s="101"/>
      <c r="I1886" s="101"/>
      <c r="J1886" s="89"/>
    </row>
    <row r="1887" spans="1:10" customFormat="1" ht="15" hidden="1" customHeight="1" x14ac:dyDescent="0.25">
      <c r="A1887" s="144"/>
      <c r="B1887" s="3"/>
      <c r="D1887" s="102"/>
      <c r="E1887" s="102"/>
      <c r="F1887" s="3"/>
      <c r="G1887" s="101"/>
      <c r="H1887" s="101"/>
      <c r="I1887" s="101"/>
      <c r="J1887" s="89"/>
    </row>
    <row r="1888" spans="1:10" customFormat="1" ht="15" hidden="1" customHeight="1" x14ac:dyDescent="0.25">
      <c r="A1888" s="144"/>
      <c r="B1888" s="3"/>
      <c r="D1888" s="102"/>
      <c r="E1888" s="102"/>
      <c r="F1888" s="3"/>
      <c r="G1888" s="101"/>
      <c r="H1888" s="101"/>
      <c r="I1888" s="101"/>
      <c r="J1888" s="89"/>
    </row>
    <row r="1889" spans="1:10" customFormat="1" ht="15" hidden="1" customHeight="1" x14ac:dyDescent="0.25">
      <c r="A1889" s="144"/>
      <c r="B1889" s="3"/>
      <c r="D1889" s="102"/>
      <c r="E1889" s="102"/>
      <c r="F1889" s="3"/>
      <c r="G1889" s="101"/>
      <c r="H1889" s="101"/>
      <c r="I1889" s="101"/>
      <c r="J1889" s="89"/>
    </row>
    <row r="1890" spans="1:10" customFormat="1" ht="15" hidden="1" customHeight="1" x14ac:dyDescent="0.25">
      <c r="A1890" s="144"/>
      <c r="B1890" s="3"/>
      <c r="D1890" s="102"/>
      <c r="E1890" s="102"/>
      <c r="F1890" s="3"/>
      <c r="G1890" s="101"/>
      <c r="H1890" s="101"/>
      <c r="I1890" s="101"/>
      <c r="J1890" s="89"/>
    </row>
    <row r="1891" spans="1:10" customFormat="1" ht="15" hidden="1" customHeight="1" x14ac:dyDescent="0.25">
      <c r="A1891" s="144"/>
      <c r="B1891" s="3"/>
      <c r="D1891" s="102"/>
      <c r="E1891" s="102"/>
      <c r="F1891" s="3"/>
      <c r="G1891" s="101"/>
      <c r="H1891" s="101"/>
      <c r="I1891" s="101"/>
      <c r="J1891" s="89"/>
    </row>
    <row r="1892" spans="1:10" customFormat="1" ht="15" hidden="1" customHeight="1" x14ac:dyDescent="0.25">
      <c r="A1892" s="144"/>
      <c r="B1892" s="3"/>
      <c r="D1892" s="102"/>
      <c r="E1892" s="102"/>
      <c r="F1892" s="3"/>
      <c r="G1892" s="101"/>
      <c r="H1892" s="101"/>
      <c r="I1892" s="101"/>
      <c r="J1892" s="89"/>
    </row>
    <row r="1893" spans="1:10" customFormat="1" ht="15" hidden="1" customHeight="1" x14ac:dyDescent="0.25">
      <c r="A1893" s="144"/>
      <c r="B1893" s="3"/>
      <c r="D1893" s="102"/>
      <c r="E1893" s="102"/>
      <c r="F1893" s="3"/>
      <c r="G1893" s="101"/>
      <c r="H1893" s="101"/>
      <c r="I1893" s="101"/>
      <c r="J1893" s="89"/>
    </row>
    <row r="1894" spans="1:10" customFormat="1" ht="15" hidden="1" customHeight="1" x14ac:dyDescent="0.25">
      <c r="A1894" s="144"/>
      <c r="B1894" s="3"/>
      <c r="D1894" s="102"/>
      <c r="E1894" s="102"/>
      <c r="F1894" s="3"/>
      <c r="G1894" s="101"/>
      <c r="H1894" s="101"/>
      <c r="I1894" s="101"/>
      <c r="J1894" s="89"/>
    </row>
    <row r="1895" spans="1:10" customFormat="1" ht="15" hidden="1" customHeight="1" x14ac:dyDescent="0.25">
      <c r="A1895" s="144"/>
      <c r="B1895" s="3"/>
      <c r="D1895" s="102"/>
      <c r="E1895" s="102"/>
      <c r="F1895" s="3"/>
      <c r="G1895" s="101"/>
      <c r="H1895" s="101"/>
      <c r="I1895" s="101"/>
      <c r="J1895" s="89"/>
    </row>
    <row r="1896" spans="1:10" customFormat="1" ht="15" hidden="1" customHeight="1" x14ac:dyDescent="0.25">
      <c r="A1896" s="144"/>
      <c r="B1896" s="3"/>
      <c r="D1896" s="102"/>
      <c r="E1896" s="102"/>
      <c r="F1896" s="3"/>
      <c r="G1896" s="101"/>
      <c r="H1896" s="101"/>
      <c r="I1896" s="101"/>
      <c r="J1896" s="89"/>
    </row>
    <row r="1897" spans="1:10" customFormat="1" ht="15" hidden="1" customHeight="1" x14ac:dyDescent="0.25">
      <c r="A1897" s="144"/>
      <c r="B1897" s="3"/>
      <c r="D1897" s="102"/>
      <c r="E1897" s="102"/>
      <c r="F1897" s="3"/>
      <c r="G1897" s="101"/>
      <c r="H1897" s="101"/>
      <c r="I1897" s="101"/>
      <c r="J1897" s="89"/>
    </row>
    <row r="1898" spans="1:10" customFormat="1" ht="15" hidden="1" customHeight="1" x14ac:dyDescent="0.25">
      <c r="A1898" s="144"/>
      <c r="B1898" s="3"/>
      <c r="D1898" s="102"/>
      <c r="E1898" s="102"/>
      <c r="F1898" s="3"/>
      <c r="G1898" s="101"/>
      <c r="H1898" s="101"/>
      <c r="I1898" s="101"/>
      <c r="J1898" s="89"/>
    </row>
    <row r="1899" spans="1:10" customFormat="1" ht="15" hidden="1" customHeight="1" x14ac:dyDescent="0.25">
      <c r="A1899" s="144"/>
      <c r="B1899" s="3"/>
      <c r="D1899" s="102"/>
      <c r="E1899" s="102"/>
      <c r="F1899" s="3"/>
      <c r="G1899" s="101"/>
      <c r="H1899" s="101"/>
      <c r="I1899" s="101"/>
      <c r="J1899" s="89"/>
    </row>
    <row r="1900" spans="1:10" customFormat="1" ht="15" hidden="1" customHeight="1" x14ac:dyDescent="0.25">
      <c r="A1900" s="144"/>
      <c r="B1900" s="3"/>
      <c r="D1900" s="102"/>
      <c r="E1900" s="102"/>
      <c r="F1900" s="3"/>
      <c r="G1900" s="101"/>
      <c r="H1900" s="101"/>
      <c r="I1900" s="101"/>
      <c r="J1900" s="89"/>
    </row>
    <row r="1901" spans="1:10" customFormat="1" ht="15" hidden="1" customHeight="1" x14ac:dyDescent="0.25">
      <c r="A1901" s="144"/>
      <c r="B1901" s="3"/>
      <c r="D1901" s="102"/>
      <c r="E1901" s="102"/>
      <c r="F1901" s="3"/>
      <c r="G1901" s="101"/>
      <c r="H1901" s="101"/>
      <c r="I1901" s="101"/>
      <c r="J1901" s="89"/>
    </row>
    <row r="1902" spans="1:10" customFormat="1" ht="15" hidden="1" customHeight="1" x14ac:dyDescent="0.25">
      <c r="A1902" s="144"/>
      <c r="B1902" s="3"/>
      <c r="D1902" s="102"/>
      <c r="E1902" s="102"/>
      <c r="F1902" s="3"/>
      <c r="G1902" s="101"/>
      <c r="H1902" s="101"/>
      <c r="I1902" s="101"/>
      <c r="J1902" s="89"/>
    </row>
    <row r="1903" spans="1:10" customFormat="1" ht="15" hidden="1" customHeight="1" x14ac:dyDescent="0.25">
      <c r="A1903" s="144"/>
      <c r="B1903" s="3"/>
      <c r="D1903" s="102"/>
      <c r="E1903" s="102"/>
      <c r="F1903" s="3"/>
      <c r="G1903" s="101"/>
      <c r="H1903" s="101"/>
      <c r="I1903" s="101"/>
      <c r="J1903" s="89"/>
    </row>
    <row r="1904" spans="1:10" customFormat="1" ht="15" hidden="1" customHeight="1" x14ac:dyDescent="0.25">
      <c r="A1904" s="144"/>
      <c r="B1904" s="3"/>
      <c r="D1904" s="102"/>
      <c r="E1904" s="102"/>
      <c r="F1904" s="3"/>
      <c r="G1904" s="101"/>
      <c r="H1904" s="101"/>
      <c r="I1904" s="101"/>
      <c r="J1904" s="89"/>
    </row>
    <row r="1905" spans="1:10" customFormat="1" ht="15" hidden="1" customHeight="1" x14ac:dyDescent="0.25">
      <c r="A1905" s="144"/>
      <c r="B1905" s="3"/>
      <c r="D1905" s="102"/>
      <c r="E1905" s="102"/>
      <c r="F1905" s="3"/>
      <c r="G1905" s="101"/>
      <c r="H1905" s="101"/>
      <c r="I1905" s="101"/>
      <c r="J1905" s="89"/>
    </row>
    <row r="1906" spans="1:10" customFormat="1" ht="15" hidden="1" customHeight="1" x14ac:dyDescent="0.25">
      <c r="A1906" s="144"/>
      <c r="B1906" s="3"/>
      <c r="D1906" s="102"/>
      <c r="E1906" s="102"/>
      <c r="F1906" s="3"/>
      <c r="G1906" s="101"/>
      <c r="H1906" s="101"/>
      <c r="I1906" s="101"/>
      <c r="J1906" s="89"/>
    </row>
    <row r="1907" spans="1:10" customFormat="1" ht="15" hidden="1" customHeight="1" x14ac:dyDescent="0.25">
      <c r="A1907" s="144"/>
      <c r="B1907" s="3"/>
      <c r="D1907" s="102"/>
      <c r="E1907" s="102"/>
      <c r="F1907" s="3"/>
      <c r="G1907" s="101"/>
      <c r="H1907" s="101"/>
      <c r="I1907" s="101"/>
      <c r="J1907" s="89"/>
    </row>
    <row r="1908" spans="1:10" customFormat="1" ht="15" hidden="1" customHeight="1" x14ac:dyDescent="0.25">
      <c r="A1908" s="144"/>
      <c r="B1908" s="3"/>
      <c r="D1908" s="102"/>
      <c r="E1908" s="102"/>
      <c r="F1908" s="3"/>
      <c r="G1908" s="101"/>
      <c r="H1908" s="101"/>
      <c r="I1908" s="101"/>
      <c r="J1908" s="89"/>
    </row>
    <row r="1909" spans="1:10" customFormat="1" ht="15" hidden="1" customHeight="1" x14ac:dyDescent="0.25">
      <c r="A1909" s="144"/>
      <c r="B1909" s="3"/>
      <c r="D1909" s="102"/>
      <c r="E1909" s="102"/>
      <c r="F1909" s="3"/>
      <c r="G1909" s="101"/>
      <c r="H1909" s="101"/>
      <c r="I1909" s="101"/>
      <c r="J1909" s="89"/>
    </row>
    <row r="1910" spans="1:10" customFormat="1" ht="15" hidden="1" customHeight="1" x14ac:dyDescent="0.25">
      <c r="A1910" s="144"/>
      <c r="B1910" s="3"/>
      <c r="D1910" s="102"/>
      <c r="E1910" s="102"/>
      <c r="F1910" s="3"/>
      <c r="G1910" s="101"/>
      <c r="H1910" s="101"/>
      <c r="I1910" s="101"/>
      <c r="J1910" s="89"/>
    </row>
    <row r="1911" spans="1:10" customFormat="1" ht="15" hidden="1" customHeight="1" x14ac:dyDescent="0.25">
      <c r="A1911" s="144"/>
      <c r="B1911" s="3"/>
      <c r="D1911" s="102"/>
      <c r="E1911" s="102"/>
      <c r="F1911" s="3"/>
      <c r="G1911" s="101"/>
      <c r="H1911" s="101"/>
      <c r="I1911" s="101"/>
      <c r="J1911" s="89"/>
    </row>
    <row r="1912" spans="1:10" customFormat="1" ht="15" hidden="1" customHeight="1" x14ac:dyDescent="0.25">
      <c r="A1912" s="144"/>
      <c r="B1912" s="3"/>
      <c r="D1912" s="102"/>
      <c r="E1912" s="102"/>
      <c r="F1912" s="3"/>
      <c r="G1912" s="101"/>
      <c r="H1912" s="101"/>
      <c r="I1912" s="101"/>
      <c r="J1912" s="89"/>
    </row>
    <row r="1913" spans="1:10" customFormat="1" ht="15" hidden="1" customHeight="1" x14ac:dyDescent="0.25">
      <c r="A1913" s="144"/>
      <c r="B1913" s="3"/>
      <c r="D1913" s="102"/>
      <c r="E1913" s="102"/>
      <c r="F1913" s="3"/>
      <c r="G1913" s="101"/>
      <c r="H1913" s="101"/>
      <c r="I1913" s="101"/>
      <c r="J1913" s="89"/>
    </row>
    <row r="1914" spans="1:10" customFormat="1" ht="15" hidden="1" customHeight="1" x14ac:dyDescent="0.25">
      <c r="A1914" s="144"/>
      <c r="B1914" s="3"/>
      <c r="D1914" s="102"/>
      <c r="E1914" s="102"/>
      <c r="F1914" s="3"/>
      <c r="G1914" s="101"/>
      <c r="H1914" s="101"/>
      <c r="I1914" s="101"/>
      <c r="J1914" s="89"/>
    </row>
    <row r="1915" spans="1:10" customFormat="1" ht="15" hidden="1" customHeight="1" x14ac:dyDescent="0.25">
      <c r="A1915" s="144"/>
      <c r="B1915" s="3"/>
      <c r="D1915" s="102"/>
      <c r="E1915" s="102"/>
      <c r="F1915" s="3"/>
      <c r="G1915" s="101"/>
      <c r="H1915" s="101"/>
      <c r="I1915" s="101"/>
      <c r="J1915" s="89"/>
    </row>
    <row r="1916" spans="1:10" customFormat="1" ht="15" hidden="1" customHeight="1" x14ac:dyDescent="0.25">
      <c r="A1916" s="144"/>
      <c r="B1916" s="3"/>
      <c r="D1916" s="102"/>
      <c r="E1916" s="102"/>
      <c r="F1916" s="3"/>
      <c r="G1916" s="101"/>
      <c r="H1916" s="101"/>
      <c r="I1916" s="101"/>
      <c r="J1916" s="89"/>
    </row>
    <row r="1917" spans="1:10" customFormat="1" ht="15" hidden="1" customHeight="1" x14ac:dyDescent="0.25">
      <c r="A1917" s="144"/>
      <c r="B1917" s="3"/>
      <c r="D1917" s="102"/>
      <c r="E1917" s="102"/>
      <c r="F1917" s="3"/>
      <c r="G1917" s="101"/>
      <c r="H1917" s="101"/>
      <c r="I1917" s="101"/>
      <c r="J1917" s="89"/>
    </row>
    <row r="1918" spans="1:10" customFormat="1" ht="15" hidden="1" customHeight="1" x14ac:dyDescent="0.25">
      <c r="A1918" s="144"/>
      <c r="B1918" s="3"/>
      <c r="D1918" s="102"/>
      <c r="E1918" s="102"/>
      <c r="F1918" s="3"/>
      <c r="G1918" s="101"/>
      <c r="H1918" s="101"/>
      <c r="I1918" s="101"/>
      <c r="J1918" s="89"/>
    </row>
    <row r="1919" spans="1:10" customFormat="1" ht="15" hidden="1" customHeight="1" x14ac:dyDescent="0.25">
      <c r="A1919" s="144"/>
      <c r="B1919" s="3"/>
      <c r="D1919" s="102"/>
      <c r="E1919" s="102"/>
      <c r="F1919" s="3"/>
      <c r="G1919" s="101"/>
      <c r="H1919" s="101"/>
      <c r="I1919" s="101"/>
      <c r="J1919" s="89"/>
    </row>
    <row r="1920" spans="1:10" customFormat="1" ht="15" hidden="1" customHeight="1" x14ac:dyDescent="0.25">
      <c r="A1920" s="144"/>
      <c r="B1920" s="3"/>
      <c r="D1920" s="102"/>
      <c r="E1920" s="102"/>
      <c r="F1920" s="3"/>
      <c r="G1920" s="101"/>
      <c r="H1920" s="101"/>
      <c r="I1920" s="101"/>
      <c r="J1920" s="89"/>
    </row>
    <row r="1921" spans="1:10" customFormat="1" ht="15" hidden="1" customHeight="1" x14ac:dyDescent="0.25">
      <c r="A1921" s="144"/>
      <c r="B1921" s="3"/>
      <c r="D1921" s="102"/>
      <c r="E1921" s="102"/>
      <c r="F1921" s="3"/>
      <c r="G1921" s="101"/>
      <c r="H1921" s="101"/>
      <c r="I1921" s="101"/>
      <c r="J1921" s="89"/>
    </row>
    <row r="1922" spans="1:10" customFormat="1" ht="15" hidden="1" customHeight="1" x14ac:dyDescent="0.25">
      <c r="A1922" s="144"/>
      <c r="B1922" s="3"/>
      <c r="D1922" s="102"/>
      <c r="E1922" s="102"/>
      <c r="F1922" s="3"/>
      <c r="G1922" s="101"/>
      <c r="H1922" s="101"/>
      <c r="I1922" s="101"/>
      <c r="J1922" s="89"/>
    </row>
    <row r="1923" spans="1:10" customFormat="1" ht="15" hidden="1" customHeight="1" x14ac:dyDescent="0.25">
      <c r="A1923" s="144"/>
      <c r="B1923" s="3"/>
      <c r="D1923" s="102"/>
      <c r="E1923" s="102"/>
      <c r="F1923" s="3"/>
      <c r="G1923" s="101"/>
      <c r="H1923" s="101"/>
      <c r="I1923" s="101"/>
      <c r="J1923" s="89"/>
    </row>
    <row r="1924" spans="1:10" customFormat="1" ht="15" hidden="1" customHeight="1" x14ac:dyDescent="0.25">
      <c r="A1924" s="144"/>
      <c r="B1924" s="3"/>
      <c r="D1924" s="102"/>
      <c r="E1924" s="102"/>
      <c r="F1924" s="3"/>
      <c r="G1924" s="101"/>
      <c r="H1924" s="101"/>
      <c r="I1924" s="101"/>
      <c r="J1924" s="89"/>
    </row>
    <row r="1925" spans="1:10" customFormat="1" ht="15" hidden="1" customHeight="1" x14ac:dyDescent="0.25">
      <c r="A1925" s="144"/>
      <c r="B1925" s="3"/>
      <c r="D1925" s="102"/>
      <c r="E1925" s="102"/>
      <c r="F1925" s="3"/>
      <c r="G1925" s="101"/>
      <c r="H1925" s="101"/>
      <c r="I1925" s="101"/>
      <c r="J1925" s="89"/>
    </row>
    <row r="1926" spans="1:10" customFormat="1" ht="15" hidden="1" customHeight="1" x14ac:dyDescent="0.25">
      <c r="A1926" s="144"/>
      <c r="B1926" s="3"/>
      <c r="D1926" s="102"/>
      <c r="E1926" s="102"/>
      <c r="F1926" s="3"/>
      <c r="G1926" s="101"/>
      <c r="H1926" s="101"/>
      <c r="I1926" s="101"/>
      <c r="J1926" s="89"/>
    </row>
    <row r="1927" spans="1:10" customFormat="1" ht="15" hidden="1" customHeight="1" x14ac:dyDescent="0.25">
      <c r="A1927" s="144"/>
      <c r="B1927" s="3"/>
      <c r="D1927" s="102"/>
      <c r="E1927" s="102"/>
      <c r="F1927" s="3"/>
      <c r="G1927" s="101"/>
      <c r="H1927" s="101"/>
      <c r="I1927" s="101"/>
      <c r="J1927" s="89"/>
    </row>
    <row r="1928" spans="1:10" customFormat="1" ht="15" hidden="1" customHeight="1" x14ac:dyDescent="0.25">
      <c r="A1928" s="144"/>
      <c r="B1928" s="3"/>
      <c r="D1928" s="102"/>
      <c r="E1928" s="102"/>
      <c r="F1928" s="3"/>
      <c r="G1928" s="101"/>
      <c r="H1928" s="101"/>
      <c r="I1928" s="101"/>
      <c r="J1928" s="89"/>
    </row>
    <row r="1929" spans="1:10" customFormat="1" ht="15" hidden="1" customHeight="1" x14ac:dyDescent="0.25">
      <c r="A1929" s="144"/>
      <c r="B1929" s="3"/>
      <c r="D1929" s="102"/>
      <c r="E1929" s="102"/>
      <c r="F1929" s="3"/>
      <c r="G1929" s="101"/>
      <c r="H1929" s="101"/>
      <c r="I1929" s="101"/>
      <c r="J1929" s="89"/>
    </row>
    <row r="1930" spans="1:10" customFormat="1" ht="15" hidden="1" customHeight="1" x14ac:dyDescent="0.25">
      <c r="A1930" s="144"/>
      <c r="B1930" s="3"/>
      <c r="D1930" s="102"/>
      <c r="E1930" s="102"/>
      <c r="F1930" s="3"/>
      <c r="G1930" s="101"/>
      <c r="H1930" s="101"/>
      <c r="I1930" s="101"/>
      <c r="J1930" s="89"/>
    </row>
    <row r="1931" spans="1:10" customFormat="1" ht="15" hidden="1" customHeight="1" x14ac:dyDescent="0.25">
      <c r="A1931" s="144"/>
      <c r="B1931" s="3"/>
      <c r="D1931" s="102"/>
      <c r="E1931" s="102"/>
      <c r="F1931" s="3"/>
      <c r="G1931" s="101"/>
      <c r="H1931" s="101"/>
      <c r="I1931" s="101"/>
      <c r="J1931" s="89"/>
    </row>
    <row r="1932" spans="1:10" customFormat="1" ht="15" hidden="1" customHeight="1" x14ac:dyDescent="0.25">
      <c r="A1932" s="144"/>
      <c r="B1932" s="3"/>
      <c r="D1932" s="102"/>
      <c r="E1932" s="102"/>
      <c r="F1932" s="3"/>
      <c r="G1932" s="101"/>
      <c r="H1932" s="101"/>
      <c r="I1932" s="101"/>
      <c r="J1932" s="89"/>
    </row>
    <row r="1933" spans="1:10" customFormat="1" ht="15" hidden="1" customHeight="1" x14ac:dyDescent="0.25">
      <c r="A1933" s="144"/>
      <c r="B1933" s="3"/>
      <c r="D1933" s="102"/>
      <c r="E1933" s="102"/>
      <c r="F1933" s="3"/>
      <c r="G1933" s="101"/>
      <c r="H1933" s="101"/>
      <c r="I1933" s="101"/>
      <c r="J1933" s="89"/>
    </row>
    <row r="1934" spans="1:10" customFormat="1" ht="15" hidden="1" customHeight="1" x14ac:dyDescent="0.25">
      <c r="A1934" s="144"/>
      <c r="B1934" s="3"/>
      <c r="D1934" s="102"/>
      <c r="E1934" s="102"/>
      <c r="F1934" s="3"/>
      <c r="G1934" s="101"/>
      <c r="H1934" s="101"/>
      <c r="I1934" s="101"/>
      <c r="J1934" s="89"/>
    </row>
    <row r="1935" spans="1:10" customFormat="1" ht="15" hidden="1" customHeight="1" x14ac:dyDescent="0.25">
      <c r="A1935" s="144"/>
      <c r="B1935" s="3"/>
      <c r="D1935" s="102"/>
      <c r="E1935" s="102"/>
      <c r="F1935" s="3"/>
      <c r="G1935" s="101"/>
      <c r="H1935" s="101"/>
      <c r="I1935" s="101"/>
      <c r="J1935" s="89"/>
    </row>
    <row r="1936" spans="1:10" customFormat="1" ht="15" hidden="1" customHeight="1" x14ac:dyDescent="0.25">
      <c r="A1936" s="144"/>
      <c r="B1936" s="3"/>
      <c r="D1936" s="102"/>
      <c r="E1936" s="102"/>
      <c r="F1936" s="3"/>
      <c r="G1936" s="101"/>
      <c r="H1936" s="101"/>
      <c r="I1936" s="101"/>
      <c r="J1936" s="89"/>
    </row>
    <row r="1937" spans="1:10" customFormat="1" ht="15" hidden="1" customHeight="1" x14ac:dyDescent="0.25">
      <c r="A1937" s="144"/>
      <c r="B1937" s="3"/>
      <c r="D1937" s="102"/>
      <c r="E1937" s="102"/>
      <c r="F1937" s="3"/>
      <c r="G1937" s="101"/>
      <c r="H1937" s="101"/>
      <c r="I1937" s="101"/>
      <c r="J1937" s="89"/>
    </row>
    <row r="1938" spans="1:10" customFormat="1" ht="15" hidden="1" customHeight="1" x14ac:dyDescent="0.25">
      <c r="A1938" s="144"/>
      <c r="B1938" s="3"/>
      <c r="D1938" s="102"/>
      <c r="E1938" s="102"/>
      <c r="F1938" s="3"/>
      <c r="G1938" s="101"/>
      <c r="H1938" s="101"/>
      <c r="I1938" s="101"/>
      <c r="J1938" s="89"/>
    </row>
    <row r="1939" spans="1:10" customFormat="1" ht="15" hidden="1" customHeight="1" x14ac:dyDescent="0.25">
      <c r="A1939" s="144"/>
      <c r="B1939" s="3"/>
      <c r="D1939" s="102"/>
      <c r="E1939" s="102"/>
      <c r="F1939" s="3"/>
      <c r="G1939" s="101"/>
      <c r="H1939" s="101"/>
      <c r="I1939" s="101"/>
      <c r="J1939" s="89"/>
    </row>
    <row r="1940" spans="1:10" customFormat="1" ht="15" hidden="1" customHeight="1" x14ac:dyDescent="0.25">
      <c r="A1940" s="144"/>
      <c r="B1940" s="3"/>
      <c r="D1940" s="102"/>
      <c r="E1940" s="102"/>
      <c r="F1940" s="3"/>
      <c r="G1940" s="101"/>
      <c r="H1940" s="101"/>
      <c r="I1940" s="101"/>
      <c r="J1940" s="89"/>
    </row>
    <row r="1941" spans="1:10" customFormat="1" ht="15" hidden="1" customHeight="1" x14ac:dyDescent="0.25">
      <c r="A1941" s="144"/>
      <c r="B1941" s="3"/>
      <c r="D1941" s="102"/>
      <c r="E1941" s="102"/>
      <c r="F1941" s="3"/>
      <c r="G1941" s="101"/>
      <c r="H1941" s="101"/>
      <c r="I1941" s="101"/>
      <c r="J1941" s="89"/>
    </row>
    <row r="1942" spans="1:10" customFormat="1" ht="15" hidden="1" customHeight="1" x14ac:dyDescent="0.25">
      <c r="A1942" s="144"/>
      <c r="B1942" s="3"/>
      <c r="D1942" s="102"/>
      <c r="E1942" s="102"/>
      <c r="F1942" s="3"/>
      <c r="G1942" s="101"/>
      <c r="H1942" s="101"/>
      <c r="I1942" s="101"/>
      <c r="J1942" s="89"/>
    </row>
    <row r="1943" spans="1:10" customFormat="1" ht="15" hidden="1" customHeight="1" x14ac:dyDescent="0.25">
      <c r="A1943" s="144"/>
      <c r="B1943" s="3"/>
      <c r="D1943" s="102"/>
      <c r="E1943" s="102"/>
      <c r="F1943" s="3"/>
      <c r="G1943" s="101"/>
      <c r="H1943" s="101"/>
      <c r="I1943" s="101"/>
      <c r="J1943" s="89"/>
    </row>
    <row r="1944" spans="1:10" customFormat="1" ht="15" hidden="1" customHeight="1" x14ac:dyDescent="0.25">
      <c r="A1944" s="144"/>
      <c r="B1944" s="3"/>
      <c r="D1944" s="102"/>
      <c r="E1944" s="102"/>
      <c r="F1944" s="3"/>
      <c r="G1944" s="101"/>
      <c r="H1944" s="101"/>
      <c r="I1944" s="101"/>
      <c r="J1944" s="89"/>
    </row>
    <row r="1945" spans="1:10" customFormat="1" ht="15" hidden="1" customHeight="1" x14ac:dyDescent="0.25">
      <c r="A1945" s="144"/>
      <c r="B1945" s="3"/>
      <c r="D1945" s="102"/>
      <c r="E1945" s="102"/>
      <c r="F1945" s="3"/>
      <c r="G1945" s="101"/>
      <c r="H1945" s="101"/>
      <c r="I1945" s="101"/>
      <c r="J1945" s="89"/>
    </row>
    <row r="1946" spans="1:10" customFormat="1" ht="15" hidden="1" customHeight="1" x14ac:dyDescent="0.25">
      <c r="A1946" s="144"/>
      <c r="B1946" s="3"/>
      <c r="D1946" s="102"/>
      <c r="E1946" s="102"/>
      <c r="F1946" s="3"/>
      <c r="G1946" s="101"/>
      <c r="H1946" s="101"/>
      <c r="I1946" s="101"/>
      <c r="J1946" s="89"/>
    </row>
    <row r="1947" spans="1:10" customFormat="1" ht="15" hidden="1" customHeight="1" x14ac:dyDescent="0.25">
      <c r="A1947" s="144"/>
      <c r="B1947" s="3"/>
      <c r="D1947" s="102"/>
      <c r="E1947" s="102"/>
      <c r="F1947" s="3"/>
      <c r="G1947" s="101"/>
      <c r="H1947" s="101"/>
      <c r="I1947" s="101"/>
      <c r="J1947" s="89"/>
    </row>
    <row r="1948" spans="1:10" customFormat="1" ht="15" hidden="1" customHeight="1" x14ac:dyDescent="0.25">
      <c r="A1948" s="144"/>
      <c r="B1948" s="3"/>
      <c r="D1948" s="102"/>
      <c r="E1948" s="102"/>
      <c r="F1948" s="3"/>
      <c r="G1948" s="101"/>
      <c r="H1948" s="101"/>
      <c r="I1948" s="101"/>
      <c r="J1948" s="89"/>
    </row>
    <row r="1949" spans="1:10" customFormat="1" ht="15" hidden="1" customHeight="1" x14ac:dyDescent="0.25">
      <c r="A1949" s="144"/>
      <c r="B1949" s="3"/>
      <c r="D1949" s="102"/>
      <c r="E1949" s="102"/>
      <c r="F1949" s="3"/>
      <c r="G1949" s="101"/>
      <c r="H1949" s="101"/>
      <c r="I1949" s="101"/>
      <c r="J1949" s="89"/>
    </row>
    <row r="1950" spans="1:10" customFormat="1" ht="15" hidden="1" customHeight="1" x14ac:dyDescent="0.25">
      <c r="A1950" s="144"/>
      <c r="B1950" s="3"/>
      <c r="D1950" s="102"/>
      <c r="E1950" s="102"/>
      <c r="F1950" s="3"/>
      <c r="G1950" s="101"/>
      <c r="H1950" s="101"/>
      <c r="I1950" s="101"/>
      <c r="J1950" s="89"/>
    </row>
    <row r="1951" spans="1:10" customFormat="1" ht="15" hidden="1" customHeight="1" x14ac:dyDescent="0.25">
      <c r="A1951" s="144"/>
      <c r="B1951" s="3"/>
      <c r="D1951" s="102"/>
      <c r="E1951" s="102"/>
      <c r="F1951" s="3"/>
      <c r="G1951" s="101"/>
      <c r="H1951" s="101"/>
      <c r="I1951" s="101"/>
      <c r="J1951" s="89"/>
    </row>
    <row r="1952" spans="1:10" customFormat="1" ht="15" hidden="1" customHeight="1" x14ac:dyDescent="0.25">
      <c r="A1952" s="144"/>
      <c r="B1952" s="3"/>
      <c r="D1952" s="102"/>
      <c r="E1952" s="102"/>
      <c r="F1952" s="3"/>
      <c r="G1952" s="101"/>
      <c r="H1952" s="101"/>
      <c r="I1952" s="101"/>
      <c r="J1952" s="89"/>
    </row>
    <row r="1953" spans="1:10" customFormat="1" ht="15" hidden="1" customHeight="1" x14ac:dyDescent="0.25">
      <c r="A1953" s="144"/>
      <c r="B1953" s="3"/>
      <c r="D1953" s="102"/>
      <c r="E1953" s="102"/>
      <c r="F1953" s="3"/>
      <c r="G1953" s="101"/>
      <c r="H1953" s="101"/>
      <c r="I1953" s="101"/>
      <c r="J1953" s="89"/>
    </row>
    <row r="1954" spans="1:10" customFormat="1" ht="15" hidden="1" customHeight="1" x14ac:dyDescent="0.25">
      <c r="A1954" s="144"/>
      <c r="B1954" s="3"/>
      <c r="D1954" s="102"/>
      <c r="E1954" s="102"/>
      <c r="F1954" s="3"/>
      <c r="G1954" s="101"/>
      <c r="H1954" s="101"/>
      <c r="I1954" s="101"/>
      <c r="J1954" s="89"/>
    </row>
    <row r="1955" spans="1:10" customFormat="1" ht="15" hidden="1" customHeight="1" x14ac:dyDescent="0.25">
      <c r="A1955" s="144"/>
      <c r="B1955" s="3"/>
      <c r="D1955" s="102"/>
      <c r="E1955" s="102"/>
      <c r="F1955" s="3"/>
      <c r="G1955" s="101"/>
      <c r="H1955" s="101"/>
      <c r="I1955" s="101"/>
      <c r="J1955" s="89"/>
    </row>
    <row r="1956" spans="1:10" customFormat="1" ht="15" hidden="1" customHeight="1" x14ac:dyDescent="0.25">
      <c r="A1956" s="144"/>
      <c r="B1956" s="3"/>
      <c r="D1956" s="102"/>
      <c r="E1956" s="102"/>
      <c r="F1956" s="3"/>
      <c r="G1956" s="101"/>
      <c r="H1956" s="101"/>
      <c r="I1956" s="101"/>
      <c r="J1956" s="89"/>
    </row>
    <row r="1957" spans="1:10" customFormat="1" ht="15" hidden="1" customHeight="1" x14ac:dyDescent="0.25">
      <c r="A1957" s="144"/>
      <c r="B1957" s="3"/>
      <c r="D1957" s="102"/>
      <c r="E1957" s="102"/>
      <c r="F1957" s="3"/>
      <c r="G1957" s="101"/>
      <c r="H1957" s="101"/>
      <c r="I1957" s="101"/>
      <c r="J1957" s="89"/>
    </row>
    <row r="1958" spans="1:10" customFormat="1" ht="15" hidden="1" customHeight="1" x14ac:dyDescent="0.25">
      <c r="A1958" s="144"/>
      <c r="B1958" s="3"/>
      <c r="D1958" s="102"/>
      <c r="E1958" s="102"/>
      <c r="F1958" s="3"/>
      <c r="G1958" s="101"/>
      <c r="H1958" s="101"/>
      <c r="I1958" s="101"/>
      <c r="J1958" s="89"/>
    </row>
    <row r="1959" spans="1:10" customFormat="1" ht="15" hidden="1" customHeight="1" x14ac:dyDescent="0.25">
      <c r="A1959" s="144"/>
      <c r="B1959" s="3"/>
      <c r="D1959" s="102"/>
      <c r="E1959" s="102"/>
      <c r="F1959" s="3"/>
      <c r="G1959" s="101"/>
      <c r="H1959" s="101"/>
      <c r="I1959" s="101"/>
      <c r="J1959" s="89"/>
    </row>
    <row r="1960" spans="1:10" customFormat="1" ht="15" hidden="1" customHeight="1" x14ac:dyDescent="0.25">
      <c r="A1960" s="144"/>
      <c r="B1960" s="3"/>
      <c r="D1960" s="102"/>
      <c r="E1960" s="102"/>
      <c r="F1960" s="3"/>
      <c r="G1960" s="101"/>
      <c r="H1960" s="101"/>
      <c r="I1960" s="101"/>
      <c r="J1960" s="89"/>
    </row>
    <row r="1961" spans="1:10" customFormat="1" ht="15" hidden="1" customHeight="1" x14ac:dyDescent="0.25">
      <c r="A1961" s="144"/>
      <c r="B1961" s="3"/>
      <c r="D1961" s="102"/>
      <c r="E1961" s="102"/>
      <c r="F1961" s="3"/>
      <c r="G1961" s="101"/>
      <c r="H1961" s="101"/>
      <c r="I1961" s="101"/>
      <c r="J1961" s="89"/>
    </row>
    <row r="1962" spans="1:10" customFormat="1" ht="15" hidden="1" customHeight="1" x14ac:dyDescent="0.25">
      <c r="A1962" s="144"/>
      <c r="B1962" s="3"/>
      <c r="D1962" s="102"/>
      <c r="E1962" s="102"/>
      <c r="F1962" s="3"/>
      <c r="G1962" s="101"/>
      <c r="H1962" s="101"/>
      <c r="I1962" s="101"/>
      <c r="J1962" s="89"/>
    </row>
    <row r="1963" spans="1:10" customFormat="1" ht="15" hidden="1" customHeight="1" x14ac:dyDescent="0.25">
      <c r="A1963" s="144"/>
      <c r="B1963" s="3"/>
      <c r="D1963" s="102"/>
      <c r="E1963" s="102"/>
      <c r="F1963" s="3"/>
      <c r="G1963" s="101"/>
      <c r="H1963" s="101"/>
      <c r="I1963" s="101"/>
      <c r="J1963" s="89"/>
    </row>
    <row r="1964" spans="1:10" customFormat="1" ht="15" hidden="1" customHeight="1" x14ac:dyDescent="0.25">
      <c r="A1964" s="144"/>
      <c r="B1964" s="3"/>
      <c r="D1964" s="102"/>
      <c r="E1964" s="102"/>
      <c r="F1964" s="3"/>
      <c r="G1964" s="101"/>
      <c r="H1964" s="101"/>
      <c r="I1964" s="101"/>
      <c r="J1964" s="89"/>
    </row>
    <row r="1965" spans="1:10" customFormat="1" ht="15" hidden="1" customHeight="1" x14ac:dyDescent="0.25">
      <c r="A1965" s="144"/>
      <c r="B1965" s="3"/>
      <c r="D1965" s="102"/>
      <c r="E1965" s="102"/>
      <c r="F1965" s="3"/>
      <c r="G1965" s="101"/>
      <c r="H1965" s="101"/>
      <c r="I1965" s="101"/>
      <c r="J1965" s="89"/>
    </row>
    <row r="1966" spans="1:10" customFormat="1" ht="15" hidden="1" customHeight="1" x14ac:dyDescent="0.25">
      <c r="A1966" s="144"/>
      <c r="B1966" s="3"/>
      <c r="D1966" s="102"/>
      <c r="E1966" s="102"/>
      <c r="F1966" s="3"/>
      <c r="G1966" s="101"/>
      <c r="H1966" s="101"/>
      <c r="I1966" s="101"/>
      <c r="J1966" s="89"/>
    </row>
    <row r="1967" spans="1:10" customFormat="1" ht="15" hidden="1" customHeight="1" x14ac:dyDescent="0.25">
      <c r="A1967" s="144"/>
      <c r="B1967" s="3"/>
      <c r="D1967" s="102"/>
      <c r="E1967" s="102"/>
      <c r="F1967" s="3"/>
      <c r="G1967" s="101"/>
      <c r="H1967" s="101"/>
      <c r="I1967" s="101"/>
      <c r="J1967" s="89"/>
    </row>
    <row r="1968" spans="1:10" customFormat="1" ht="15" hidden="1" customHeight="1" x14ac:dyDescent="0.25">
      <c r="A1968" s="144"/>
      <c r="B1968" s="3"/>
      <c r="D1968" s="102"/>
      <c r="E1968" s="102"/>
      <c r="F1968" s="3"/>
      <c r="G1968" s="101"/>
      <c r="H1968" s="101"/>
      <c r="I1968" s="101"/>
      <c r="J1968" s="89"/>
    </row>
    <row r="1969" spans="1:10" customFormat="1" ht="15" hidden="1" customHeight="1" x14ac:dyDescent="0.25">
      <c r="A1969" s="144"/>
      <c r="B1969" s="3"/>
      <c r="D1969" s="102"/>
      <c r="E1969" s="102"/>
      <c r="F1969" s="3"/>
      <c r="G1969" s="101"/>
      <c r="H1969" s="101"/>
      <c r="I1969" s="101"/>
      <c r="J1969" s="89"/>
    </row>
    <row r="1970" spans="1:10" customFormat="1" ht="15" hidden="1" customHeight="1" x14ac:dyDescent="0.25">
      <c r="A1970" s="144"/>
      <c r="B1970" s="3"/>
      <c r="D1970" s="102"/>
      <c r="E1970" s="102"/>
      <c r="F1970" s="3"/>
      <c r="G1970" s="101"/>
      <c r="H1970" s="101"/>
      <c r="I1970" s="101"/>
      <c r="J1970" s="89"/>
    </row>
    <row r="1971" spans="1:10" customFormat="1" ht="15" hidden="1" customHeight="1" x14ac:dyDescent="0.25">
      <c r="A1971" s="144"/>
      <c r="B1971" s="3"/>
      <c r="D1971" s="102"/>
      <c r="E1971" s="102"/>
      <c r="F1971" s="3"/>
      <c r="G1971" s="101"/>
      <c r="H1971" s="101"/>
      <c r="I1971" s="101"/>
      <c r="J1971" s="89"/>
    </row>
    <row r="1972" spans="1:10" customFormat="1" ht="15" hidden="1" customHeight="1" x14ac:dyDescent="0.25">
      <c r="A1972" s="144"/>
      <c r="B1972" s="3"/>
      <c r="D1972" s="102"/>
      <c r="E1972" s="102"/>
      <c r="F1972" s="3"/>
      <c r="G1972" s="101"/>
      <c r="H1972" s="101"/>
      <c r="I1972" s="101"/>
      <c r="J1972" s="89"/>
    </row>
    <row r="1973" spans="1:10" customFormat="1" ht="15" hidden="1" customHeight="1" x14ac:dyDescent="0.25">
      <c r="A1973" s="144"/>
      <c r="B1973" s="3"/>
      <c r="D1973" s="102"/>
      <c r="E1973" s="102"/>
      <c r="F1973" s="3"/>
      <c r="G1973" s="101"/>
      <c r="H1973" s="101"/>
      <c r="I1973" s="101"/>
      <c r="J1973" s="89"/>
    </row>
    <row r="1974" spans="1:10" customFormat="1" ht="15" hidden="1" customHeight="1" x14ac:dyDescent="0.25">
      <c r="A1974" s="144"/>
      <c r="B1974" s="3"/>
      <c r="D1974" s="102"/>
      <c r="E1974" s="102"/>
      <c r="F1974" s="3"/>
      <c r="G1974" s="101"/>
      <c r="H1974" s="101"/>
      <c r="I1974" s="101"/>
      <c r="J1974" s="89"/>
    </row>
    <row r="1975" spans="1:10" customFormat="1" ht="15" hidden="1" customHeight="1" x14ac:dyDescent="0.25">
      <c r="A1975" s="144"/>
      <c r="B1975" s="3"/>
      <c r="D1975" s="102"/>
      <c r="E1975" s="102"/>
      <c r="F1975" s="3"/>
      <c r="G1975" s="101"/>
      <c r="H1975" s="101"/>
      <c r="I1975" s="101"/>
      <c r="J1975" s="89"/>
    </row>
    <row r="1976" spans="1:10" customFormat="1" ht="15" hidden="1" customHeight="1" x14ac:dyDescent="0.25">
      <c r="A1976" s="144"/>
      <c r="B1976" s="3"/>
      <c r="D1976" s="102"/>
      <c r="E1976" s="102"/>
      <c r="F1976" s="3"/>
      <c r="G1976" s="101"/>
      <c r="H1976" s="101"/>
      <c r="I1976" s="101"/>
      <c r="J1976" s="89"/>
    </row>
    <row r="1977" spans="1:10" customFormat="1" ht="15" hidden="1" customHeight="1" x14ac:dyDescent="0.25">
      <c r="A1977" s="144"/>
      <c r="B1977" s="3"/>
      <c r="D1977" s="102"/>
      <c r="E1977" s="102"/>
      <c r="F1977" s="3"/>
      <c r="G1977" s="101"/>
      <c r="H1977" s="101"/>
      <c r="I1977" s="101"/>
      <c r="J1977" s="89"/>
    </row>
    <row r="1978" spans="1:10" customFormat="1" ht="15" hidden="1" customHeight="1" x14ac:dyDescent="0.25">
      <c r="A1978" s="144"/>
      <c r="B1978" s="3"/>
      <c r="D1978" s="102"/>
      <c r="E1978" s="102"/>
      <c r="F1978" s="3"/>
      <c r="G1978" s="101"/>
      <c r="H1978" s="101"/>
      <c r="I1978" s="101"/>
      <c r="J1978" s="89"/>
    </row>
    <row r="1979" spans="1:10" customFormat="1" ht="15" hidden="1" customHeight="1" x14ac:dyDescent="0.25">
      <c r="A1979" s="144"/>
      <c r="B1979" s="3"/>
      <c r="D1979" s="102"/>
      <c r="E1979" s="102"/>
      <c r="F1979" s="3"/>
      <c r="G1979" s="101"/>
      <c r="H1979" s="101"/>
      <c r="I1979" s="101"/>
      <c r="J1979" s="89"/>
    </row>
    <row r="1980" spans="1:10" customFormat="1" ht="15" hidden="1" customHeight="1" x14ac:dyDescent="0.25">
      <c r="A1980" s="144"/>
      <c r="B1980" s="3"/>
      <c r="D1980" s="102"/>
      <c r="E1980" s="102"/>
      <c r="F1980" s="3"/>
      <c r="G1980" s="101"/>
      <c r="H1980" s="101"/>
      <c r="I1980" s="101"/>
      <c r="J1980" s="89"/>
    </row>
    <row r="1981" spans="1:10" customFormat="1" ht="15" hidden="1" customHeight="1" x14ac:dyDescent="0.25">
      <c r="A1981" s="144"/>
      <c r="B1981" s="3"/>
      <c r="D1981" s="102"/>
      <c r="E1981" s="102"/>
      <c r="F1981" s="3"/>
      <c r="G1981" s="101"/>
      <c r="H1981" s="101"/>
      <c r="I1981" s="101"/>
      <c r="J1981" s="89"/>
    </row>
    <row r="1982" spans="1:10" customFormat="1" ht="15" hidden="1" customHeight="1" x14ac:dyDescent="0.25">
      <c r="A1982" s="144"/>
      <c r="B1982" s="3"/>
      <c r="D1982" s="102"/>
      <c r="E1982" s="102"/>
      <c r="F1982" s="3"/>
      <c r="G1982" s="101"/>
      <c r="H1982" s="101"/>
      <c r="I1982" s="101"/>
      <c r="J1982" s="89"/>
    </row>
    <row r="1983" spans="1:10" customFormat="1" ht="15" hidden="1" customHeight="1" x14ac:dyDescent="0.25">
      <c r="A1983" s="144"/>
      <c r="B1983" s="3"/>
      <c r="D1983" s="102"/>
      <c r="E1983" s="102"/>
      <c r="F1983" s="3"/>
      <c r="G1983" s="101"/>
      <c r="H1983" s="101"/>
      <c r="I1983" s="101"/>
      <c r="J1983" s="89"/>
    </row>
    <row r="1984" spans="1:10" customFormat="1" ht="15" hidden="1" customHeight="1" x14ac:dyDescent="0.25">
      <c r="A1984" s="144"/>
      <c r="B1984" s="3"/>
      <c r="D1984" s="102"/>
      <c r="E1984" s="102"/>
      <c r="F1984" s="3"/>
      <c r="G1984" s="101"/>
      <c r="H1984" s="101"/>
      <c r="I1984" s="101"/>
      <c r="J1984" s="89"/>
    </row>
    <row r="1985" spans="1:10" customFormat="1" ht="15" hidden="1" customHeight="1" x14ac:dyDescent="0.25">
      <c r="A1985" s="144"/>
      <c r="B1985" s="3"/>
      <c r="D1985" s="102"/>
      <c r="E1985" s="102"/>
      <c r="F1985" s="3"/>
      <c r="G1985" s="101"/>
      <c r="H1985" s="101"/>
      <c r="I1985" s="101"/>
      <c r="J1985" s="89"/>
    </row>
    <row r="1986" spans="1:10" customFormat="1" ht="15" hidden="1" customHeight="1" x14ac:dyDescent="0.25">
      <c r="A1986" s="144"/>
      <c r="B1986" s="3"/>
      <c r="D1986" s="102"/>
      <c r="E1986" s="102"/>
      <c r="F1986" s="3"/>
      <c r="G1986" s="101"/>
      <c r="H1986" s="101"/>
      <c r="I1986" s="101"/>
      <c r="J1986" s="89"/>
    </row>
    <row r="1987" spans="1:10" customFormat="1" ht="15" hidden="1" customHeight="1" x14ac:dyDescent="0.25">
      <c r="A1987" s="144"/>
      <c r="B1987" s="3"/>
      <c r="D1987" s="102"/>
      <c r="E1987" s="102"/>
      <c r="F1987" s="3"/>
      <c r="G1987" s="101"/>
      <c r="H1987" s="101"/>
      <c r="I1987" s="101"/>
      <c r="J1987" s="89"/>
    </row>
    <row r="1988" spans="1:10" customFormat="1" ht="15" hidden="1" customHeight="1" x14ac:dyDescent="0.25">
      <c r="A1988" s="144"/>
      <c r="B1988" s="3"/>
      <c r="D1988" s="102"/>
      <c r="E1988" s="102"/>
      <c r="F1988" s="3"/>
      <c r="G1988" s="101"/>
      <c r="H1988" s="101"/>
      <c r="I1988" s="101"/>
      <c r="J1988" s="89"/>
    </row>
    <row r="1989" spans="1:10" customFormat="1" ht="15" hidden="1" customHeight="1" x14ac:dyDescent="0.25">
      <c r="A1989" s="144"/>
      <c r="B1989" s="3"/>
      <c r="D1989" s="102"/>
      <c r="E1989" s="102"/>
      <c r="F1989" s="3"/>
      <c r="G1989" s="101"/>
      <c r="H1989" s="101"/>
      <c r="I1989" s="101"/>
      <c r="J1989" s="89"/>
    </row>
    <row r="1990" spans="1:10" customFormat="1" ht="15" hidden="1" customHeight="1" x14ac:dyDescent="0.25">
      <c r="A1990" s="144"/>
      <c r="B1990" s="3"/>
      <c r="D1990" s="102"/>
      <c r="E1990" s="102"/>
      <c r="F1990" s="3"/>
      <c r="G1990" s="101"/>
      <c r="H1990" s="101"/>
      <c r="I1990" s="101"/>
      <c r="J1990" s="89"/>
    </row>
    <row r="1991" spans="1:10" customFormat="1" ht="15" hidden="1" customHeight="1" x14ac:dyDescent="0.25">
      <c r="A1991" s="144"/>
      <c r="B1991" s="3"/>
      <c r="D1991" s="102"/>
      <c r="E1991" s="102"/>
      <c r="F1991" s="3"/>
      <c r="G1991" s="101"/>
      <c r="H1991" s="101"/>
      <c r="I1991" s="101"/>
      <c r="J1991" s="89"/>
    </row>
    <row r="1992" spans="1:10" customFormat="1" ht="15" hidden="1" customHeight="1" x14ac:dyDescent="0.25">
      <c r="A1992" s="144"/>
      <c r="B1992" s="3"/>
      <c r="D1992" s="102"/>
      <c r="E1992" s="102"/>
      <c r="F1992" s="3"/>
      <c r="G1992" s="101"/>
      <c r="H1992" s="101"/>
      <c r="I1992" s="101"/>
      <c r="J1992" s="89"/>
    </row>
    <row r="1993" spans="1:10" customFormat="1" ht="15" hidden="1" customHeight="1" x14ac:dyDescent="0.25">
      <c r="A1993" s="144"/>
      <c r="B1993" s="3"/>
      <c r="D1993" s="102"/>
      <c r="E1993" s="102"/>
      <c r="F1993" s="3"/>
      <c r="G1993" s="101"/>
      <c r="H1993" s="101"/>
      <c r="I1993" s="101"/>
      <c r="J1993" s="89"/>
    </row>
    <row r="1994" spans="1:10" customFormat="1" ht="15" hidden="1" customHeight="1" x14ac:dyDescent="0.25">
      <c r="A1994" s="144"/>
      <c r="B1994" s="3"/>
      <c r="D1994" s="102"/>
      <c r="E1994" s="102"/>
      <c r="F1994" s="3"/>
      <c r="G1994" s="101"/>
      <c r="H1994" s="101"/>
      <c r="I1994" s="101"/>
      <c r="J1994" s="89"/>
    </row>
    <row r="1995" spans="1:10" customFormat="1" ht="15" hidden="1" customHeight="1" x14ac:dyDescent="0.25">
      <c r="A1995" s="144"/>
      <c r="B1995" s="3"/>
      <c r="D1995" s="102"/>
      <c r="E1995" s="102"/>
      <c r="F1995" s="3"/>
      <c r="G1995" s="101"/>
      <c r="H1995" s="101"/>
      <c r="I1995" s="101"/>
      <c r="J1995" s="89"/>
    </row>
    <row r="1996" spans="1:10" customFormat="1" ht="15" hidden="1" customHeight="1" x14ac:dyDescent="0.25">
      <c r="A1996" s="144"/>
      <c r="B1996" s="3"/>
      <c r="D1996" s="102"/>
      <c r="E1996" s="102"/>
      <c r="F1996" s="3"/>
      <c r="G1996" s="101"/>
      <c r="H1996" s="101"/>
      <c r="I1996" s="101"/>
      <c r="J1996" s="89"/>
    </row>
    <row r="1997" spans="1:10" customFormat="1" ht="15" hidden="1" customHeight="1" x14ac:dyDescent="0.25">
      <c r="A1997" s="144"/>
      <c r="B1997" s="3"/>
      <c r="D1997" s="102"/>
      <c r="E1997" s="102"/>
      <c r="F1997" s="3"/>
      <c r="G1997" s="101"/>
      <c r="H1997" s="101"/>
      <c r="I1997" s="101"/>
      <c r="J1997" s="89"/>
    </row>
    <row r="1998" spans="1:10" customFormat="1" ht="15" hidden="1" customHeight="1" x14ac:dyDescent="0.25">
      <c r="A1998" s="144"/>
      <c r="B1998" s="3"/>
      <c r="D1998" s="102"/>
      <c r="E1998" s="102"/>
      <c r="F1998" s="3"/>
      <c r="G1998" s="101"/>
      <c r="H1998" s="101"/>
      <c r="I1998" s="101"/>
      <c r="J1998" s="89"/>
    </row>
    <row r="1999" spans="1:10" customFormat="1" ht="15" hidden="1" customHeight="1" x14ac:dyDescent="0.25">
      <c r="A1999" s="144"/>
      <c r="B1999" s="3"/>
      <c r="D1999" s="102"/>
      <c r="E1999" s="102"/>
      <c r="F1999" s="3"/>
      <c r="G1999" s="101"/>
      <c r="H1999" s="101"/>
      <c r="I1999" s="101"/>
      <c r="J1999" s="89"/>
    </row>
    <row r="2000" spans="1:10" customFormat="1" ht="15" hidden="1" customHeight="1" x14ac:dyDescent="0.25">
      <c r="A2000" s="144"/>
      <c r="B2000" s="3"/>
      <c r="D2000" s="102"/>
      <c r="E2000" s="102"/>
      <c r="F2000" s="3"/>
      <c r="G2000" s="101"/>
      <c r="H2000" s="101"/>
      <c r="I2000" s="101"/>
      <c r="J2000" s="89"/>
    </row>
  </sheetData>
  <sheetProtection sheet="1" objects="1" scenarios="1" selectLockedCells="1"/>
  <sortState xmlns:xlrd2="http://schemas.microsoft.com/office/spreadsheetml/2017/richdata2" ref="R7:T2000">
    <sortCondition descending="1" ref="T7:T2000"/>
    <sortCondition descending="1" ref="R7:R2000"/>
  </sortState>
  <customSheetViews>
    <customSheetView guid="{3F8A0846-2F87-40BF-8ED6-1DE413C2FC1A}" hiddenColumns="1">
      <pane xSplit="1" topLeftCell="O1" activePane="topRight" state="frozen"/>
      <selection pane="topRight" activeCell="A2" sqref="A2"/>
      <pageMargins left="0.7" right="0.7" top="0.75" bottom="0.75" header="0.3" footer="0.3"/>
    </customSheetView>
    <customSheetView guid="{11E3893E-1244-4BD8-8481-55AC844C97C9}" hiddenColumns="1">
      <pane xSplit="1" topLeftCell="O1" activePane="topRight" state="frozen"/>
      <selection pane="topRight" activeCell="A2" sqref="A2"/>
      <pageMargins left="0.7" right="0.7" top="0.75" bottom="0.75" header="0.3" footer="0.3"/>
    </customSheetView>
  </customSheetViews>
  <mergeCells count="7">
    <mergeCell ref="B5:B6"/>
    <mergeCell ref="D5:D6"/>
    <mergeCell ref="E5:E6"/>
    <mergeCell ref="G5:G6"/>
    <mergeCell ref="G1:H4"/>
    <mergeCell ref="F5:F6"/>
    <mergeCell ref="H5:H6"/>
  </mergeCells>
  <conditionalFormatting sqref="B7:B100 D7:I100">
    <cfRule type="expression" dxfId="2" priority="3">
      <formula>$C7="X"</formula>
    </cfRule>
  </conditionalFormatting>
  <conditionalFormatting sqref="I7:I100">
    <cfRule type="colorScale" priority="7">
      <colorScale>
        <cfvo type="min"/>
        <cfvo type="num" val="0"/>
        <cfvo type="max"/>
        <color rgb="FFFF9999"/>
        <color theme="0"/>
        <color rgb="FFAFFFAF"/>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4" r:id="rId4" name="Button 4">
              <controlPr defaultSize="0" print="0" autoFill="0" autoPict="0" macro="[0]!Up">
                <anchor moveWithCells="1" sizeWithCells="1">
                  <from>
                    <xdr:col>3</xdr:col>
                    <xdr:colOff>9525</xdr:colOff>
                    <xdr:row>0</xdr:row>
                    <xdr:rowOff>19050</xdr:rowOff>
                  </from>
                  <to>
                    <xdr:col>4</xdr:col>
                    <xdr:colOff>0</xdr:colOff>
                    <xdr:row>1</xdr:row>
                    <xdr:rowOff>190500</xdr:rowOff>
                  </to>
                </anchor>
              </controlPr>
            </control>
          </mc:Choice>
        </mc:AlternateContent>
        <mc:AlternateContent xmlns:mc="http://schemas.openxmlformats.org/markup-compatibility/2006">
          <mc:Choice Requires="x14">
            <control shapeId="25605" r:id="rId5" name="Button 5">
              <controlPr defaultSize="0" print="0" autoFill="0" autoPict="0" macro="[0]!Down">
                <anchor moveWithCells="1" sizeWithCells="1">
                  <from>
                    <xdr:col>3</xdr:col>
                    <xdr:colOff>9525</xdr:colOff>
                    <xdr:row>2</xdr:row>
                    <xdr:rowOff>9525</xdr:rowOff>
                  </from>
                  <to>
                    <xdr:col>4</xdr:col>
                    <xdr:colOff>0</xdr:colOff>
                    <xdr:row>4</xdr:row>
                    <xdr:rowOff>0</xdr:rowOff>
                  </to>
                </anchor>
              </controlPr>
            </control>
          </mc:Choice>
        </mc:AlternateContent>
        <mc:AlternateContent xmlns:mc="http://schemas.openxmlformats.org/markup-compatibility/2006">
          <mc:Choice Requires="x14">
            <control shapeId="25606" r:id="rId6" name="Button 6">
              <controlPr defaultSize="0" print="0" autoFill="0" autoPict="0" macro="[0]!TE_Order">
                <anchor moveWithCells="1">
                  <from>
                    <xdr:col>4</xdr:col>
                    <xdr:colOff>238125</xdr:colOff>
                    <xdr:row>0</xdr:row>
                    <xdr:rowOff>104775</xdr:rowOff>
                  </from>
                  <to>
                    <xdr:col>5</xdr:col>
                    <xdr:colOff>666750</xdr:colOff>
                    <xdr:row>3</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Instructions!$T$2:$T$3</xm:f>
          </x14:formula1>
          <xm:sqref>F5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P41"/>
  <sheetViews>
    <sheetView zoomScale="110" zoomScaleNormal="110" workbookViewId="0">
      <selection activeCell="D7" sqref="D7"/>
    </sheetView>
  </sheetViews>
  <sheetFormatPr defaultColWidth="0" defaultRowHeight="15" zeroHeight="1" x14ac:dyDescent="0.25"/>
  <cols>
    <col min="1" max="1" width="4.7109375" customWidth="1"/>
    <col min="2" max="2" width="9.140625" hidden="1" customWidth="1"/>
    <col min="3" max="3" width="6.7109375" customWidth="1"/>
    <col min="4" max="4" width="25.7109375" customWidth="1"/>
    <col min="5" max="5" width="20.7109375" customWidth="1"/>
    <col min="6" max="6" width="4.7109375" customWidth="1"/>
    <col min="7" max="7" width="13.7109375" hidden="1" customWidth="1"/>
    <col min="8" max="8" width="9.140625" hidden="1" customWidth="1"/>
    <col min="9" max="9" width="21.140625" hidden="1" customWidth="1"/>
    <col min="10" max="15" width="13.7109375" hidden="1" customWidth="1"/>
    <col min="16" max="16384" width="9.140625" hidden="1"/>
  </cols>
  <sheetData>
    <row r="1" spans="1:16" x14ac:dyDescent="0.25">
      <c r="A1" s="136"/>
      <c r="B1" s="3"/>
      <c r="C1" s="105"/>
      <c r="D1" s="106"/>
      <c r="E1" s="105"/>
      <c r="F1" s="127"/>
      <c r="P1" s="140"/>
    </row>
    <row r="2" spans="1:16" ht="15.75" thickBot="1" x14ac:dyDescent="0.3">
      <c r="A2" s="136"/>
      <c r="B2" s="3"/>
      <c r="C2" s="105"/>
      <c r="D2" s="108"/>
      <c r="E2" s="105"/>
      <c r="F2" s="127"/>
      <c r="P2" s="140"/>
    </row>
    <row r="3" spans="1:16" x14ac:dyDescent="0.25">
      <c r="A3" s="136"/>
      <c r="B3" s="3"/>
      <c r="C3" s="105"/>
      <c r="D3" s="106"/>
      <c r="E3" s="105"/>
      <c r="F3" s="127"/>
      <c r="P3" s="140"/>
    </row>
    <row r="4" spans="1:16" ht="15.75" customHeight="1" x14ac:dyDescent="0.25">
      <c r="A4" s="136"/>
      <c r="B4" s="3"/>
      <c r="C4" s="105"/>
      <c r="D4" s="109"/>
      <c r="E4" s="105"/>
      <c r="F4" s="127"/>
      <c r="P4" s="140"/>
    </row>
    <row r="5" spans="1:16" x14ac:dyDescent="0.25">
      <c r="A5" s="136"/>
      <c r="C5" s="724" t="s">
        <v>912</v>
      </c>
      <c r="D5" s="726" t="s">
        <v>244</v>
      </c>
      <c r="E5" s="726" t="s">
        <v>1251</v>
      </c>
      <c r="F5" s="127"/>
      <c r="P5" s="140"/>
    </row>
    <row r="6" spans="1:16" x14ac:dyDescent="0.25">
      <c r="A6" s="136"/>
      <c r="C6" s="725"/>
      <c r="D6" s="727"/>
      <c r="E6" s="728"/>
      <c r="F6" s="127"/>
      <c r="P6" s="140"/>
    </row>
    <row r="7" spans="1:16" ht="15" customHeight="1" x14ac:dyDescent="0.25">
      <c r="A7" s="135"/>
      <c r="B7" s="3" t="str">
        <f>IF(AND(IFERROR(INDEX(Instructions!$T$111:$T$222,MATCH(D7,Instructions!$T$111:$T$222,0)), "")=D7, D7&lt;&gt;""), "X", "")</f>
        <v/>
      </c>
      <c r="C7" s="104" t="s">
        <v>1048</v>
      </c>
      <c r="D7" s="141" t="s">
        <v>146</v>
      </c>
      <c r="E7" s="252">
        <v>115.80803999999999</v>
      </c>
      <c r="F7" s="127"/>
      <c r="G7">
        <v>1</v>
      </c>
      <c r="I7" t="str">
        <f>INDEX(FFARawStatProjections!$BJ:$BJ,MATCH(LARGE(FFARawStatProjections!$BL:$BL,G7),FFARawStatProjections!$BL:$BL,0))</f>
        <v>DAL</v>
      </c>
      <c r="J7" s="428">
        <f>LARGE(FFARawStatProjections!BL:BL,G7)</f>
        <v>115.80803999999999</v>
      </c>
      <c r="P7" s="140"/>
    </row>
    <row r="8" spans="1:16" ht="15" customHeight="1" x14ac:dyDescent="0.25">
      <c r="A8" s="135"/>
      <c r="B8" s="3" t="str">
        <f>IF(AND(IFERROR(INDEX(Instructions!$T$111:$T$222,MATCH(D8,Instructions!$T$111:$T$222,0)), "")=D8, D8&lt;&gt;""), "X", "")</f>
        <v/>
      </c>
      <c r="C8" s="103" t="s">
        <v>1049</v>
      </c>
      <c r="D8" s="137" t="s">
        <v>137</v>
      </c>
      <c r="E8" s="284">
        <v>114.50805</v>
      </c>
      <c r="F8" s="127"/>
      <c r="G8">
        <v>2</v>
      </c>
      <c r="I8" t="str">
        <f>INDEX(FFARawStatProjections!$BJ:$BJ,MATCH(LARGE(FFARawStatProjections!$BL:$BL,G8),FFARawStatProjections!$BL:$BL,0))</f>
        <v>PHI</v>
      </c>
      <c r="J8" s="428">
        <f>LARGE(FFARawStatProjections!BL:BL,G8)</f>
        <v>114.50805</v>
      </c>
      <c r="P8" s="140"/>
    </row>
    <row r="9" spans="1:16" ht="15" customHeight="1" x14ac:dyDescent="0.25">
      <c r="A9" s="135"/>
      <c r="B9" s="3" t="str">
        <f>IF(AND(IFERROR(INDEX(Instructions!$T$111:$T$222,MATCH(D9,Instructions!$T$111:$T$222,0)), "")=D9, D9&lt;&gt;""), "X", "")</f>
        <v/>
      </c>
      <c r="C9" s="104" t="s">
        <v>1050</v>
      </c>
      <c r="D9" s="138" t="s">
        <v>157</v>
      </c>
      <c r="E9" s="252">
        <v>111.30806</v>
      </c>
      <c r="F9" s="127"/>
      <c r="G9">
        <v>3</v>
      </c>
      <c r="I9" t="str">
        <f>INDEX(FFARawStatProjections!$BJ:$BJ,MATCH(LARGE(FFARawStatProjections!$BL:$BL,G9),FFARawStatProjections!$BL:$BL,0))</f>
        <v>NE</v>
      </c>
      <c r="J9" s="428">
        <f>LARGE(FFARawStatProjections!BL:BL,G9)</f>
        <v>111.30806</v>
      </c>
      <c r="P9" s="140"/>
    </row>
    <row r="10" spans="1:16" ht="15" customHeight="1" x14ac:dyDescent="0.25">
      <c r="A10" s="135"/>
      <c r="B10" s="3" t="str">
        <f>IF(AND(IFERROR(INDEX(Instructions!$T$111:$T$222,MATCH(D10,Instructions!$T$111:$T$222,0)), "")=D10, D10&lt;&gt;""), "X", "")</f>
        <v/>
      </c>
      <c r="C10" s="103" t="s">
        <v>1051</v>
      </c>
      <c r="D10" s="137" t="s">
        <v>147</v>
      </c>
      <c r="E10" s="284">
        <v>109.40807000000001</v>
      </c>
      <c r="F10" s="127"/>
      <c r="G10">
        <v>4</v>
      </c>
      <c r="I10" t="str">
        <f>INDEX(FFARawStatProjections!$BJ:$BJ,MATCH(LARGE(FFARawStatProjections!$BL:$BL,G10),FFARawStatProjections!$BL:$BL,0))</f>
        <v>PIT</v>
      </c>
      <c r="J10" s="428">
        <f>LARGE(FFARawStatProjections!BL:BL,G10)</f>
        <v>109.40807000000001</v>
      </c>
      <c r="P10" s="140"/>
    </row>
    <row r="11" spans="1:16" ht="15" customHeight="1" x14ac:dyDescent="0.25">
      <c r="A11" s="135"/>
      <c r="B11" s="3" t="str">
        <f>IF(AND(IFERROR(INDEX(Instructions!$T$111:$T$222,MATCH(D11,Instructions!$T$111:$T$222,0)), "")=D11, D11&lt;&gt;""), "X", "")</f>
        <v/>
      </c>
      <c r="C11" s="104" t="s">
        <v>1052</v>
      </c>
      <c r="D11" s="138" t="s">
        <v>158</v>
      </c>
      <c r="E11" s="252">
        <v>109.20808000000001</v>
      </c>
      <c r="F11" s="127"/>
      <c r="G11">
        <v>5</v>
      </c>
      <c r="I11" t="str">
        <f>INDEX(FFARawStatProjections!$BJ:$BJ,MATCH(LARGE(FFARawStatProjections!$BL:$BL,G11),FFARawStatProjections!$BL:$BL,0))</f>
        <v>IND</v>
      </c>
      <c r="J11" s="428">
        <f>LARGE(FFARawStatProjections!BL:BL,G11)</f>
        <v>109.20808000000001</v>
      </c>
      <c r="P11" s="140"/>
    </row>
    <row r="12" spans="1:16" ht="15" customHeight="1" x14ac:dyDescent="0.25">
      <c r="A12" s="135"/>
      <c r="B12" s="3" t="str">
        <f>IF(AND(IFERROR(INDEX(Instructions!$T$111:$T$222,MATCH(D12,Instructions!$T$111:$T$222,0)), "")=D12, D12&lt;&gt;""), "X", "")</f>
        <v/>
      </c>
      <c r="C12" s="103" t="s">
        <v>1053</v>
      </c>
      <c r="D12" s="137" t="s">
        <v>161</v>
      </c>
      <c r="E12" s="284">
        <v>108.80808999999999</v>
      </c>
      <c r="F12" s="127"/>
      <c r="G12">
        <v>6</v>
      </c>
      <c r="I12" t="str">
        <f>INDEX(FFARawStatProjections!$BJ:$BJ,MATCH(LARGE(FFARawStatProjections!$BL:$BL,G12),FFARawStatProjections!$BL:$BL,0))</f>
        <v>CLE</v>
      </c>
      <c r="J12" s="428">
        <f>LARGE(FFARawStatProjections!BL:BL,G12)</f>
        <v>108.80808999999999</v>
      </c>
      <c r="P12" s="140"/>
    </row>
    <row r="13" spans="1:16" ht="15" customHeight="1" x14ac:dyDescent="0.25">
      <c r="A13" s="135"/>
      <c r="B13" s="3" t="str">
        <f>IF(AND(IFERROR(INDEX(Instructions!$T$111:$T$222,MATCH(D13,Instructions!$T$111:$T$222,0)), "")=D13, D13&lt;&gt;""), "X", "")</f>
        <v/>
      </c>
      <c r="C13" s="104" t="s">
        <v>1054</v>
      </c>
      <c r="D13" s="138" t="s">
        <v>136</v>
      </c>
      <c r="E13" s="252">
        <v>108.4081</v>
      </c>
      <c r="F13" s="127"/>
      <c r="G13">
        <v>7</v>
      </c>
      <c r="I13" t="str">
        <f>INDEX(FFARawStatProjections!$BJ:$BJ,MATCH(LARGE(FFARawStatProjections!$BL:$BL,G13),FFARawStatProjections!$BL:$BL,0))</f>
        <v>KC</v>
      </c>
      <c r="J13" s="428">
        <f>LARGE(FFARawStatProjections!BL:BL,G13)</f>
        <v>108.4081</v>
      </c>
      <c r="P13" s="140"/>
    </row>
    <row r="14" spans="1:16" ht="15" customHeight="1" x14ac:dyDescent="0.25">
      <c r="A14" s="135"/>
      <c r="B14" s="3" t="str">
        <f>IF(AND(IFERROR(INDEX(Instructions!$T$111:$T$222,MATCH(D14,Instructions!$T$111:$T$222,0)), "")=D14, D14&lt;&gt;""), "X", "")</f>
        <v/>
      </c>
      <c r="C14" s="103" t="s">
        <v>1055</v>
      </c>
      <c r="D14" s="137" t="s">
        <v>155</v>
      </c>
      <c r="E14" s="284">
        <v>108.20811</v>
      </c>
      <c r="F14" s="127"/>
      <c r="G14">
        <v>8</v>
      </c>
      <c r="I14" t="str">
        <f>INDEX(FFARawStatProjections!$BJ:$BJ,MATCH(LARGE(FFARawStatProjections!$BL:$BL,G14),FFARawStatProjections!$BL:$BL,0))</f>
        <v>SF</v>
      </c>
      <c r="J14" s="428">
        <f>LARGE(FFARawStatProjections!BL:BL,G14)</f>
        <v>108.20811</v>
      </c>
      <c r="P14" s="140"/>
    </row>
    <row r="15" spans="1:16" ht="15" customHeight="1" x14ac:dyDescent="0.25">
      <c r="A15" s="135"/>
      <c r="B15" s="3" t="str">
        <f>IF(AND(IFERROR(INDEX(Instructions!$T$111:$T$222,MATCH(D15,Instructions!$T$111:$T$222,0)), "")=D15, D15&lt;&gt;""), "X", "")</f>
        <v/>
      </c>
      <c r="C15" s="104" t="s">
        <v>1056</v>
      </c>
      <c r="D15" s="138" t="s">
        <v>152</v>
      </c>
      <c r="E15" s="252">
        <v>107.40812000000001</v>
      </c>
      <c r="F15" s="127"/>
      <c r="G15">
        <v>9</v>
      </c>
      <c r="I15" t="str">
        <f>INDEX(FFARawStatProjections!$BJ:$BJ,MATCH(LARGE(FFARawStatProjections!$BL:$BL,G15),FFARawStatProjections!$BL:$BL,0))</f>
        <v>WAS</v>
      </c>
      <c r="J15" s="428">
        <f>LARGE(FFARawStatProjections!BL:BL,G15)</f>
        <v>107.40812000000001</v>
      </c>
      <c r="P15" s="140"/>
    </row>
    <row r="16" spans="1:16" ht="15" customHeight="1" x14ac:dyDescent="0.25">
      <c r="A16" s="135"/>
      <c r="B16" s="3" t="str">
        <f>IF(AND(IFERROR(INDEX(Instructions!$T$111:$T$222,MATCH(D16,Instructions!$T$111:$T$222,0)), "")=D16, D16&lt;&gt;""), "X", "")</f>
        <v/>
      </c>
      <c r="C16" s="103" t="s">
        <v>1057</v>
      </c>
      <c r="D16" s="137" t="s">
        <v>166</v>
      </c>
      <c r="E16" s="284">
        <v>107.20813</v>
      </c>
      <c r="F16" s="127"/>
      <c r="G16">
        <v>10</v>
      </c>
      <c r="I16" t="str">
        <f>INDEX(FFARawStatProjections!$BJ:$BJ,MATCH(LARGE(FFARawStatProjections!$BL:$BL,G16),FFARawStatProjections!$BL:$BL,0))</f>
        <v>MIA</v>
      </c>
      <c r="J16" s="428">
        <f>LARGE(FFARawStatProjections!BL:BL,G16)</f>
        <v>107.20813</v>
      </c>
      <c r="P16" s="140"/>
    </row>
    <row r="17" spans="1:16" ht="15" customHeight="1" x14ac:dyDescent="0.25">
      <c r="A17" s="135"/>
      <c r="B17" s="3" t="str">
        <f>IF(AND(IFERROR(INDEX(Instructions!$T$111:$T$222,MATCH(D17,Instructions!$T$111:$T$222,0)), "")=D17, D17&lt;&gt;""), "X", "")</f>
        <v/>
      </c>
      <c r="C17" s="104" t="s">
        <v>1058</v>
      </c>
      <c r="D17" s="138" t="s">
        <v>143</v>
      </c>
      <c r="E17" s="252">
        <v>106.70814</v>
      </c>
      <c r="F17" s="127"/>
      <c r="G17">
        <v>11</v>
      </c>
      <c r="I17" t="str">
        <f>INDEX(FFARawStatProjections!$BJ:$BJ,MATCH(LARGE(FFARawStatProjections!$BL:$BL,G17),FFARawStatProjections!$BL:$BL,0))</f>
        <v>NO</v>
      </c>
      <c r="J17" s="428">
        <f>LARGE(FFARawStatProjections!BL:BL,G17)</f>
        <v>106.70814</v>
      </c>
      <c r="P17" s="140"/>
    </row>
    <row r="18" spans="1:16" ht="15" customHeight="1" x14ac:dyDescent="0.25">
      <c r="A18" s="135"/>
      <c r="B18" s="3" t="str">
        <f>IF(AND(IFERROR(INDEX(Instructions!$T$111:$T$222,MATCH(D18,Instructions!$T$111:$T$222,0)), "")=D18, D18&lt;&gt;""), "X", "")</f>
        <v/>
      </c>
      <c r="C18" s="103" t="s">
        <v>1059</v>
      </c>
      <c r="D18" s="137" t="s">
        <v>156</v>
      </c>
      <c r="E18" s="284">
        <v>106.20815</v>
      </c>
      <c r="F18" s="127"/>
      <c r="G18">
        <v>12</v>
      </c>
      <c r="I18" t="str">
        <f>INDEX(FFARawStatProjections!$BJ:$BJ,MATCH(LARGE(FFARawStatProjections!$BL:$BL,G18),FFARawStatProjections!$BL:$BL,0))</f>
        <v>BUF</v>
      </c>
      <c r="J18" s="428">
        <f>LARGE(FFARawStatProjections!BL:BL,G18)</f>
        <v>106.20815</v>
      </c>
      <c r="P18" s="140"/>
    </row>
    <row r="19" spans="1:16" ht="15" customHeight="1" x14ac:dyDescent="0.25">
      <c r="A19" s="135"/>
      <c r="B19" s="3" t="str">
        <f>IF(AND(IFERROR(INDEX(Instructions!$T$111:$T$222,MATCH(D19,Instructions!$T$111:$T$222,0)), "")=D19, D19&lt;&gt;""), "X", "")</f>
        <v/>
      </c>
      <c r="C19" s="104" t="s">
        <v>1060</v>
      </c>
      <c r="D19" s="138" t="s">
        <v>139</v>
      </c>
      <c r="E19" s="252">
        <v>105.60816</v>
      </c>
      <c r="F19" s="127"/>
      <c r="G19">
        <v>13</v>
      </c>
      <c r="I19" t="str">
        <f>INDEX(FFARawStatProjections!$BJ:$BJ,MATCH(LARGE(FFARawStatProjections!$BL:$BL,G19),FFARawStatProjections!$BL:$BL,0))</f>
        <v>GB</v>
      </c>
      <c r="J19" s="428">
        <f>LARGE(FFARawStatProjections!BL:BL,G19)</f>
        <v>105.60816</v>
      </c>
      <c r="P19" s="140"/>
    </row>
    <row r="20" spans="1:16" ht="15" customHeight="1" x14ac:dyDescent="0.25">
      <c r="A20" s="135"/>
      <c r="B20" s="3" t="str">
        <f>IF(AND(IFERROR(INDEX(Instructions!$T$111:$T$222,MATCH(D20,Instructions!$T$111:$T$222,0)), "")=D20, D20&lt;&gt;""), "X", "")</f>
        <v/>
      </c>
      <c r="C20" s="103" t="s">
        <v>1061</v>
      </c>
      <c r="D20" s="137" t="s">
        <v>164</v>
      </c>
      <c r="E20" s="284">
        <v>105.40817000000001</v>
      </c>
      <c r="F20" s="127"/>
      <c r="G20">
        <v>14</v>
      </c>
      <c r="I20" t="str">
        <f>INDEX(FFARawStatProjections!$BJ:$BJ,MATCH(LARGE(FFARawStatProjections!$BL:$BL,G20),FFARawStatProjections!$BL:$BL,0))</f>
        <v>NYJ</v>
      </c>
      <c r="J20" s="428">
        <f>LARGE(FFARawStatProjections!BL:BL,G20)</f>
        <v>105.40817000000001</v>
      </c>
      <c r="P20" s="140"/>
    </row>
    <row r="21" spans="1:16" ht="15" customHeight="1" x14ac:dyDescent="0.25">
      <c r="A21" s="135"/>
      <c r="B21" s="3" t="str">
        <f>IF(AND(IFERROR(INDEX(Instructions!$T$111:$T$222,MATCH(D21,Instructions!$T$111:$T$222,0)), "")=D21, D21&lt;&gt;""), "X", "")</f>
        <v/>
      </c>
      <c r="C21" s="104" t="s">
        <v>1062</v>
      </c>
      <c r="D21" s="138" t="s">
        <v>140</v>
      </c>
      <c r="E21" s="252">
        <v>104.70818</v>
      </c>
      <c r="F21" s="127"/>
      <c r="G21">
        <v>15</v>
      </c>
      <c r="I21" t="str">
        <f>INDEX(FFARawStatProjections!$BJ:$BJ,MATCH(LARGE(FFARawStatProjections!$BL:$BL,G21),FFARawStatProjections!$BL:$BL,0))</f>
        <v>SEA</v>
      </c>
      <c r="J21" s="428">
        <f>LARGE(FFARawStatProjections!BL:BL,G21)</f>
        <v>104.70818</v>
      </c>
      <c r="P21" s="140"/>
    </row>
    <row r="22" spans="1:16" ht="15" customHeight="1" x14ac:dyDescent="0.25">
      <c r="A22" s="135"/>
      <c r="B22" s="3" t="str">
        <f>IF(AND(IFERROR(INDEX(Instructions!$T$111:$T$222,MATCH(D22,Instructions!$T$111:$T$222,0)), "")=D22, D22&lt;&gt;""), "X", "")</f>
        <v/>
      </c>
      <c r="C22" s="103" t="s">
        <v>1063</v>
      </c>
      <c r="D22" s="137" t="s">
        <v>1388</v>
      </c>
      <c r="E22" s="284">
        <v>104.10818999999999</v>
      </c>
      <c r="F22" s="127"/>
      <c r="G22">
        <v>16</v>
      </c>
      <c r="I22" t="str">
        <f>INDEX(FFARawStatProjections!$BJ:$BJ,MATCH(LARGE(FFARawStatProjections!$BL:$BL,G22),FFARawStatProjections!$BL:$BL,0))</f>
        <v>LAC</v>
      </c>
      <c r="J22" s="428">
        <f>LARGE(FFARawStatProjections!BL:BL,G22)</f>
        <v>104.10818999999999</v>
      </c>
      <c r="P22" s="140"/>
    </row>
    <row r="23" spans="1:16" ht="15" customHeight="1" x14ac:dyDescent="0.25">
      <c r="A23" s="135"/>
      <c r="B23" s="3" t="str">
        <f>IF(AND(IFERROR(INDEX(Instructions!$T$111:$T$222,MATCH(D23,Instructions!$T$111:$T$222,0)), "")=D23, D23&lt;&gt;""), "X", "")</f>
        <v/>
      </c>
      <c r="C23" s="104" t="s">
        <v>1064</v>
      </c>
      <c r="D23" s="138" t="s">
        <v>142</v>
      </c>
      <c r="E23" s="252">
        <v>104.0082</v>
      </c>
      <c r="F23" s="127"/>
      <c r="G23">
        <v>17</v>
      </c>
      <c r="I23" t="str">
        <f>INDEX(FFARawStatProjections!$BJ:$BJ,MATCH(LARGE(FFARawStatProjections!$BL:$BL,G23),FFARawStatProjections!$BL:$BL,0))</f>
        <v>DET</v>
      </c>
      <c r="J23" s="428">
        <f>LARGE(FFARawStatProjections!BL:BL,G23)</f>
        <v>104.0082</v>
      </c>
      <c r="P23" s="140"/>
    </row>
    <row r="24" spans="1:16" ht="15" customHeight="1" x14ac:dyDescent="0.25">
      <c r="A24" s="135"/>
      <c r="B24" s="3" t="str">
        <f>IF(AND(IFERROR(INDEX(Instructions!$T$111:$T$222,MATCH(D24,Instructions!$T$111:$T$222,0)), "")=D24, D24&lt;&gt;""), "X", "")</f>
        <v/>
      </c>
      <c r="C24" s="103" t="s">
        <v>1065</v>
      </c>
      <c r="D24" s="137" t="s">
        <v>151</v>
      </c>
      <c r="E24" s="284">
        <v>103.50821000000001</v>
      </c>
      <c r="F24" s="127"/>
      <c r="G24">
        <v>18</v>
      </c>
      <c r="I24" t="str">
        <f>INDEX(FFARawStatProjections!$BJ:$BJ,MATCH(LARGE(FFARawStatProjections!$BL:$BL,G24),FFARawStatProjections!$BL:$BL,0))</f>
        <v>HOU</v>
      </c>
      <c r="J24" s="428">
        <f>LARGE(FFARawStatProjections!BL:BL,G24)</f>
        <v>103.50821000000001</v>
      </c>
      <c r="P24" s="140"/>
    </row>
    <row r="25" spans="1:16" ht="15" customHeight="1" x14ac:dyDescent="0.25">
      <c r="A25" s="135"/>
      <c r="B25" s="3" t="str">
        <f>IF(AND(IFERROR(INDEX(Instructions!$T$111:$T$222,MATCH(D25,Instructions!$T$111:$T$222,0)), "")=D25, D25&lt;&gt;""), "X", "")</f>
        <v/>
      </c>
      <c r="C25" s="104" t="s">
        <v>1066</v>
      </c>
      <c r="D25" s="138" t="s">
        <v>138</v>
      </c>
      <c r="E25" s="252">
        <v>103.30821999999999</v>
      </c>
      <c r="F25" s="127"/>
      <c r="G25">
        <v>19</v>
      </c>
      <c r="I25" t="str">
        <f>INDEX(FFARawStatProjections!$BJ:$BJ,MATCH(LARGE(FFARawStatProjections!$BL:$BL,G25),FFARawStatProjections!$BL:$BL,0))</f>
        <v>MIN</v>
      </c>
      <c r="J25" s="428">
        <f>LARGE(FFARawStatProjections!BL:BL,G25)</f>
        <v>103.30821999999999</v>
      </c>
      <c r="P25" s="140"/>
    </row>
    <row r="26" spans="1:16" ht="15" customHeight="1" x14ac:dyDescent="0.25">
      <c r="A26" s="135"/>
      <c r="B26" s="3" t="str">
        <f>IF(AND(IFERROR(INDEX(Instructions!$T$111:$T$222,MATCH(D26,Instructions!$T$111:$T$222,0)), "")=D26, D26&lt;&gt;""), "X", "")</f>
        <v/>
      </c>
      <c r="C26" s="103" t="s">
        <v>1067</v>
      </c>
      <c r="D26" s="137" t="s">
        <v>162</v>
      </c>
      <c r="E26" s="284">
        <v>102.90823</v>
      </c>
      <c r="F26" s="127"/>
      <c r="G26">
        <v>20</v>
      </c>
      <c r="I26" t="str">
        <f>INDEX(FFARawStatProjections!$BJ:$BJ,MATCH(LARGE(FFARawStatProjections!$BL:$BL,G26),FFARawStatProjections!$BL:$BL,0))</f>
        <v>BAL</v>
      </c>
      <c r="J26" s="428">
        <f>LARGE(FFARawStatProjections!BL:BL,G26)</f>
        <v>102.90823</v>
      </c>
      <c r="P26" s="140"/>
    </row>
    <row r="27" spans="1:16" ht="15" customHeight="1" x14ac:dyDescent="0.25">
      <c r="A27" s="135"/>
      <c r="B27" s="3" t="str">
        <f>IF(AND(IFERROR(INDEX(Instructions!$T$111:$T$222,MATCH(D27,Instructions!$T$111:$T$222,0)), "")=D27, D27&lt;&gt;""), "X", "")</f>
        <v/>
      </c>
      <c r="C27" s="104" t="s">
        <v>1068</v>
      </c>
      <c r="D27" s="138" t="s">
        <v>149</v>
      </c>
      <c r="E27" s="252">
        <v>101.90824000000001</v>
      </c>
      <c r="F27" s="127"/>
      <c r="G27">
        <v>21</v>
      </c>
      <c r="I27" t="str">
        <f>INDEX(FFARawStatProjections!$BJ:$BJ,MATCH(LARGE(FFARawStatProjections!$BL:$BL,G27),FFARawStatProjections!$BL:$BL,0))</f>
        <v>TB</v>
      </c>
      <c r="J27" s="428">
        <f>LARGE(FFARawStatProjections!BL:BL,G27)</f>
        <v>101.90824000000001</v>
      </c>
      <c r="P27" s="140"/>
    </row>
    <row r="28" spans="1:16" ht="15" customHeight="1" x14ac:dyDescent="0.25">
      <c r="A28" s="135"/>
      <c r="B28" s="3" t="str">
        <f>IF(AND(IFERROR(INDEX(Instructions!$T$111:$T$222,MATCH(D28,Instructions!$T$111:$T$222,0)), "")=D28, D28&lt;&gt;""), "X", "")</f>
        <v/>
      </c>
      <c r="C28" s="103" t="s">
        <v>1069</v>
      </c>
      <c r="D28" s="137" t="s">
        <v>165</v>
      </c>
      <c r="E28" s="284">
        <v>100.40825000000001</v>
      </c>
      <c r="F28" s="127"/>
      <c r="G28">
        <v>22</v>
      </c>
      <c r="I28" t="str">
        <f>INDEX(FFARawStatProjections!$BJ:$BJ,MATCH(LARGE(FFARawStatProjections!$BL:$BL,G28),FFARawStatProjections!$BL:$BL,0))</f>
        <v>JAC</v>
      </c>
      <c r="J28" s="428">
        <f>LARGE(FFARawStatProjections!BL:BL,G28)</f>
        <v>100.40825000000001</v>
      </c>
      <c r="P28" s="140"/>
    </row>
    <row r="29" spans="1:16" ht="15" customHeight="1" x14ac:dyDescent="0.25">
      <c r="A29" s="135"/>
      <c r="B29" s="3" t="str">
        <f>IF(AND(IFERROR(INDEX(Instructions!$T$111:$T$222,MATCH(D29,Instructions!$T$111:$T$222,0)), "")=D29, D29&lt;&gt;""), "X", "")</f>
        <v/>
      </c>
      <c r="C29" s="104" t="s">
        <v>1070</v>
      </c>
      <c r="D29" s="138" t="s">
        <v>154</v>
      </c>
      <c r="E29" s="252">
        <v>100.00826000000001</v>
      </c>
      <c r="F29" s="127"/>
      <c r="G29">
        <v>23</v>
      </c>
      <c r="I29" t="str">
        <f>INDEX(FFARawStatProjections!$BJ:$BJ,MATCH(LARGE(FFARawStatProjections!$BL:$BL,G29),FFARawStatProjections!$BL:$BL,0))</f>
        <v>NYG</v>
      </c>
      <c r="J29" s="428">
        <f>LARGE(FFARawStatProjections!BL:BL,G29)</f>
        <v>100.00826000000001</v>
      </c>
      <c r="P29" s="140"/>
    </row>
    <row r="30" spans="1:16" ht="15" customHeight="1" x14ac:dyDescent="0.25">
      <c r="A30" s="135"/>
      <c r="B30" s="3" t="str">
        <f>IF(AND(IFERROR(INDEX(Instructions!$T$111:$T$222,MATCH(D30,Instructions!$T$111:$T$222,0)), "")=D30, D30&lt;&gt;""), "X", "")</f>
        <v/>
      </c>
      <c r="C30" s="103" t="s">
        <v>1071</v>
      </c>
      <c r="D30" s="137" t="s">
        <v>1389</v>
      </c>
      <c r="E30" s="284">
        <v>99.908270000000002</v>
      </c>
      <c r="F30" s="127"/>
      <c r="G30">
        <v>24</v>
      </c>
      <c r="I30" t="str">
        <f>INDEX(FFARawStatProjections!$BJ:$BJ,MATCH(LARGE(FFARawStatProjections!$BL:$BL,G30),FFARawStatProjections!$BL:$BL,0))</f>
        <v>LAR</v>
      </c>
      <c r="J30" s="428">
        <f>LARGE(FFARawStatProjections!BL:BL,G30)</f>
        <v>99.908270000000002</v>
      </c>
      <c r="P30" s="140"/>
    </row>
    <row r="31" spans="1:16" ht="15" customHeight="1" x14ac:dyDescent="0.25">
      <c r="A31" s="135"/>
      <c r="B31" s="3" t="str">
        <f>IF(AND(IFERROR(INDEX(Instructions!$T$111:$T$222,MATCH(D31,Instructions!$T$111:$T$222,0)), "")=D31, D31&lt;&gt;""), "X", "")</f>
        <v/>
      </c>
      <c r="C31" s="104" t="s">
        <v>1072</v>
      </c>
      <c r="D31" s="138" t="s">
        <v>145</v>
      </c>
      <c r="E31" s="252">
        <v>99.80829</v>
      </c>
      <c r="F31" s="127"/>
      <c r="G31">
        <v>25</v>
      </c>
      <c r="I31" t="str">
        <f>INDEX(FFARawStatProjections!$BJ:$BJ,MATCH(LARGE(FFARawStatProjections!$BL:$BL,G31),FFARawStatProjections!$BL:$BL,0))</f>
        <v>CIN</v>
      </c>
      <c r="J31" s="428">
        <f>LARGE(FFARawStatProjections!BL:BL,G31)</f>
        <v>99.80829</v>
      </c>
      <c r="P31" s="140"/>
    </row>
    <row r="32" spans="1:16" ht="15" customHeight="1" x14ac:dyDescent="0.25">
      <c r="A32" s="135"/>
      <c r="B32" s="3" t="str">
        <f>IF(AND(IFERROR(INDEX(Instructions!$T$111:$T$222,MATCH(D32,Instructions!$T$111:$T$222,0)), "")=D32, D32&lt;&gt;""), "X", "")</f>
        <v/>
      </c>
      <c r="C32" s="103" t="s">
        <v>1073</v>
      </c>
      <c r="D32" s="137" t="s">
        <v>163</v>
      </c>
      <c r="E32" s="284">
        <v>99.808279999999996</v>
      </c>
      <c r="F32" s="127"/>
      <c r="G32">
        <v>26</v>
      </c>
      <c r="I32" t="str">
        <f>INDEX(FFARawStatProjections!$BJ:$BJ,MATCH(LARGE(FFARawStatProjections!$BL:$BL,G32),FFARawStatProjections!$BL:$BL,0))</f>
        <v>TEN</v>
      </c>
      <c r="J32" s="428">
        <f>LARGE(FFARawStatProjections!BL:BL,G32)</f>
        <v>99.808279999999996</v>
      </c>
      <c r="P32" s="140"/>
    </row>
    <row r="33" spans="1:16" ht="15" customHeight="1" x14ac:dyDescent="0.25">
      <c r="A33" s="135"/>
      <c r="B33" s="3" t="str">
        <f>IF(AND(IFERROR(INDEX(Instructions!$T$111:$T$222,MATCH(D33,Instructions!$T$111:$T$222,0)), "")=D33, D33&lt;&gt;""), "X", "")</f>
        <v/>
      </c>
      <c r="C33" s="104" t="s">
        <v>1074</v>
      </c>
      <c r="D33" s="138" t="s">
        <v>159</v>
      </c>
      <c r="E33" s="252">
        <v>99.308300000000003</v>
      </c>
      <c r="F33" s="127"/>
      <c r="G33">
        <v>27</v>
      </c>
      <c r="I33" t="str">
        <f>INDEX(FFARawStatProjections!$BJ:$BJ,MATCH(LARGE(FFARawStatProjections!$BL:$BL,G33),FFARawStatProjections!$BL:$BL,0))</f>
        <v>CAR</v>
      </c>
      <c r="J33" s="428">
        <f>LARGE(FFARawStatProjections!BL:BL,G33)</f>
        <v>99.308300000000003</v>
      </c>
      <c r="P33" s="140"/>
    </row>
    <row r="34" spans="1:16" ht="15" customHeight="1" x14ac:dyDescent="0.25">
      <c r="A34" s="135"/>
      <c r="B34" s="3" t="str">
        <f>IF(AND(IFERROR(INDEX(Instructions!$T$111:$T$222,MATCH(D34,Instructions!$T$111:$T$222,0)), "")=D34, D34&lt;&gt;""), "X", "")</f>
        <v/>
      </c>
      <c r="C34" s="103" t="s">
        <v>1075</v>
      </c>
      <c r="D34" s="137" t="s">
        <v>144</v>
      </c>
      <c r="E34" s="284">
        <v>98.90831</v>
      </c>
      <c r="F34" s="127"/>
      <c r="G34">
        <v>28</v>
      </c>
      <c r="I34" t="str">
        <f>INDEX(FFARawStatProjections!$BJ:$BJ,MATCH(LARGE(FFARawStatProjections!$BL:$BL,G34),FFARawStatProjections!$BL:$BL,0))</f>
        <v>DEN</v>
      </c>
      <c r="J34" s="428">
        <f>LARGE(FFARawStatProjections!BL:BL,G34)</f>
        <v>98.90831</v>
      </c>
      <c r="P34" s="140"/>
    </row>
    <row r="35" spans="1:16" ht="15" customHeight="1" x14ac:dyDescent="0.25">
      <c r="A35" s="135"/>
      <c r="B35" s="3" t="str">
        <f>IF(AND(IFERROR(INDEX(Instructions!$T$111:$T$222,MATCH(D35,Instructions!$T$111:$T$222,0)), "")=D35, D35&lt;&gt;""), "X", "")</f>
        <v/>
      </c>
      <c r="C35" s="104" t="s">
        <v>1076</v>
      </c>
      <c r="D35" s="138" t="s">
        <v>148</v>
      </c>
      <c r="E35" s="252">
        <v>98.008319999999998</v>
      </c>
      <c r="F35" s="127"/>
      <c r="G35">
        <v>29</v>
      </c>
      <c r="I35" t="str">
        <f>INDEX(FFARawStatProjections!$BJ:$BJ,MATCH(LARGE(FFARawStatProjections!$BL:$BL,G35),FFARawStatProjections!$BL:$BL,0))</f>
        <v>ATL</v>
      </c>
      <c r="J35" s="428">
        <f>LARGE(FFARawStatProjections!BL:BL,G35)</f>
        <v>98.008319999999998</v>
      </c>
      <c r="P35" s="140"/>
    </row>
    <row r="36" spans="1:16" ht="15" customHeight="1" x14ac:dyDescent="0.25">
      <c r="A36" s="135"/>
      <c r="B36" s="3" t="str">
        <f>IF(AND(IFERROR(INDEX(Instructions!$T$111:$T$222,MATCH(D36,Instructions!$T$111:$T$222,0)), "")=D36, D36&lt;&gt;""), "X", "")</f>
        <v/>
      </c>
      <c r="C36" s="103" t="s">
        <v>1077</v>
      </c>
      <c r="D36" s="137" t="s">
        <v>2272</v>
      </c>
      <c r="E36" s="284">
        <v>97.808329999999998</v>
      </c>
      <c r="F36" s="127"/>
      <c r="G36">
        <v>30</v>
      </c>
      <c r="I36" t="str">
        <f>INDEX(FFARawStatProjections!$BJ:$BJ,MATCH(LARGE(FFARawStatProjections!$BL:$BL,G36),FFARawStatProjections!$BL:$BL,0))</f>
        <v>AZ</v>
      </c>
      <c r="J36" s="428">
        <f>LARGE(FFARawStatProjections!BL:BL,G36)</f>
        <v>97.808329999999998</v>
      </c>
      <c r="P36" s="140"/>
    </row>
    <row r="37" spans="1:16" ht="15" customHeight="1" x14ac:dyDescent="0.25">
      <c r="A37" s="135"/>
      <c r="B37" s="3" t="str">
        <f>IF(AND(IFERROR(INDEX(Instructions!$T$111:$T$222,MATCH(D37,Instructions!$T$111:$T$222,0)), "")=D37, D37&lt;&gt;""), "X", "")</f>
        <v/>
      </c>
      <c r="C37" s="104" t="s">
        <v>1078</v>
      </c>
      <c r="D37" s="138" t="s">
        <v>141</v>
      </c>
      <c r="E37" s="252">
        <v>93.308340000000001</v>
      </c>
      <c r="F37" s="127"/>
      <c r="G37">
        <v>31</v>
      </c>
      <c r="I37" t="str">
        <f>INDEX(FFARawStatProjections!$BJ:$BJ,MATCH(LARGE(FFARawStatProjections!$BL:$BL,G37),FFARawStatProjections!$BL:$BL,0))</f>
        <v>CHI</v>
      </c>
      <c r="J37" s="428">
        <f>LARGE(FFARawStatProjections!BL:BL,G37)</f>
        <v>93.308340000000001</v>
      </c>
      <c r="P37" s="140"/>
    </row>
    <row r="38" spans="1:16" ht="15" customHeight="1" x14ac:dyDescent="0.25">
      <c r="A38" s="135"/>
      <c r="B38" s="3" t="str">
        <f>IF(AND(IFERROR(INDEX(Instructions!$T$111:$T$222,MATCH(D38,Instructions!$T$111:$T$222,0)), "")=D38, D38&lt;&gt;""), "X", "")</f>
        <v/>
      </c>
      <c r="C38" s="103" t="s">
        <v>1079</v>
      </c>
      <c r="D38" s="137" t="s">
        <v>2073</v>
      </c>
      <c r="E38" s="284">
        <v>89.708349999999996</v>
      </c>
      <c r="F38" s="127"/>
      <c r="G38">
        <v>32</v>
      </c>
      <c r="I38" t="str">
        <f>INDEX(FFARawStatProjections!$BJ:$BJ,MATCH(LARGE(FFARawStatProjections!$BL:$BL,G38),FFARawStatProjections!$BL:$BL,0))</f>
        <v>LV</v>
      </c>
      <c r="J38" s="428">
        <f>LARGE(FFARawStatProjections!BL:BL,G38)</f>
        <v>89.708349999999996</v>
      </c>
      <c r="P38" s="140"/>
    </row>
    <row r="39" spans="1:16" ht="15" customHeight="1" x14ac:dyDescent="0.25">
      <c r="A39" s="135"/>
      <c r="C39" s="127"/>
      <c r="D39" s="127"/>
      <c r="E39" s="127"/>
      <c r="F39" s="127"/>
      <c r="P39" s="140"/>
    </row>
    <row r="40" spans="1:16" hidden="1" x14ac:dyDescent="0.25">
      <c r="A40" s="144"/>
    </row>
    <row r="41" spans="1:16" hidden="1" x14ac:dyDescent="0.25">
      <c r="A41" s="144"/>
    </row>
  </sheetData>
  <sheetProtection sheet="1" objects="1" scenarios="1" selectLockedCells="1"/>
  <sortState xmlns:xlrd2="http://schemas.microsoft.com/office/spreadsheetml/2017/richdata2" ref="H7:J40">
    <sortCondition descending="1" ref="J7:J2000"/>
    <sortCondition ref="H7:H2000"/>
  </sortState>
  <customSheetViews>
    <customSheetView guid="{3F8A0846-2F87-40BF-8ED6-1DE413C2FC1A}" hiddenRows="1" hiddenColumns="1">
      <selection activeCell="A2" sqref="A2"/>
      <pageMargins left="0.7" right="0.7" top="0.75" bottom="0.75" header="0.3" footer="0.3"/>
    </customSheetView>
    <customSheetView guid="{11E3893E-1244-4BD8-8481-55AC844C97C9}" hiddenRows="1" hiddenColumns="1">
      <selection activeCell="A2" sqref="A2"/>
      <pageMargins left="0.7" right="0.7" top="0.75" bottom="0.75" header="0.3" footer="0.3"/>
    </customSheetView>
  </customSheetViews>
  <mergeCells count="3">
    <mergeCell ref="C5:C6"/>
    <mergeCell ref="D5:D6"/>
    <mergeCell ref="E5:E6"/>
  </mergeCells>
  <conditionalFormatting sqref="C7:E38">
    <cfRule type="expression" dxfId="1" priority="22">
      <formula>$B7="X"</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6" r:id="rId3" name="Button 4">
              <controlPr defaultSize="0" print="0" autoFill="0" autoPict="0" macro="[0]!Up">
                <anchor moveWithCells="1" sizeWithCells="1">
                  <from>
                    <xdr:col>3</xdr:col>
                    <xdr:colOff>9525</xdr:colOff>
                    <xdr:row>0</xdr:row>
                    <xdr:rowOff>19050</xdr:rowOff>
                  </from>
                  <to>
                    <xdr:col>4</xdr:col>
                    <xdr:colOff>0</xdr:colOff>
                    <xdr:row>2</xdr:row>
                    <xdr:rowOff>0</xdr:rowOff>
                  </to>
                </anchor>
              </controlPr>
            </control>
          </mc:Choice>
        </mc:AlternateContent>
        <mc:AlternateContent xmlns:mc="http://schemas.openxmlformats.org/markup-compatibility/2006">
          <mc:Choice Requires="x14">
            <control shapeId="59397" r:id="rId4" name="Button 5">
              <controlPr defaultSize="0" print="0" autoFill="0" autoPict="0" macro="[0]!Down">
                <anchor moveWithCells="1" sizeWithCells="1">
                  <from>
                    <xdr:col>3</xdr:col>
                    <xdr:colOff>9525</xdr:colOff>
                    <xdr:row>2</xdr:row>
                    <xdr:rowOff>9525</xdr:rowOff>
                  </from>
                  <to>
                    <xdr:col>4</xdr:col>
                    <xdr:colOff>0</xdr:colOff>
                    <xdr:row>4</xdr:row>
                    <xdr:rowOff>0</xdr:rowOff>
                  </to>
                </anchor>
              </controlPr>
            </control>
          </mc:Choice>
        </mc:AlternateContent>
        <mc:AlternateContent xmlns:mc="http://schemas.openxmlformats.org/markup-compatibility/2006">
          <mc:Choice Requires="x14">
            <control shapeId="59398" r:id="rId5" name="Button 6">
              <controlPr defaultSize="0" print="0" autoFill="0" autoPict="0" macro="[0]!DST_Order">
                <anchor moveWithCells="1">
                  <from>
                    <xdr:col>4</xdr:col>
                    <xdr:colOff>200025</xdr:colOff>
                    <xdr:row>0</xdr:row>
                    <xdr:rowOff>123825</xdr:rowOff>
                  </from>
                  <to>
                    <xdr:col>4</xdr:col>
                    <xdr:colOff>1200150</xdr:colOff>
                    <xdr:row>3</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R46"/>
  <sheetViews>
    <sheetView zoomScale="110" zoomScaleNormal="110" workbookViewId="0">
      <selection activeCell="A42" sqref="A42:XFD42"/>
    </sheetView>
  </sheetViews>
  <sheetFormatPr defaultColWidth="0" defaultRowHeight="15" zeroHeight="1" x14ac:dyDescent="0.25"/>
  <cols>
    <col min="1" max="1" width="4.7109375" style="231" customWidth="1"/>
    <col min="2" max="2" width="6.7109375" style="231" hidden="1" customWidth="1"/>
    <col min="3" max="3" width="6.7109375" style="231" customWidth="1"/>
    <col min="4" max="4" width="25.7109375" style="231" customWidth="1"/>
    <col min="5" max="6" width="10.7109375" style="231" customWidth="1"/>
    <col min="7" max="7" width="4.7109375" style="231" customWidth="1"/>
    <col min="8" max="8" width="9.28515625" style="231" hidden="1" customWidth="1"/>
    <col min="9" max="11" width="9.140625" style="231" hidden="1" customWidth="1"/>
    <col min="12" max="12" width="8.85546875" style="231" hidden="1" customWidth="1"/>
    <col min="13" max="14" width="9.140625" style="231" hidden="1" customWidth="1"/>
    <col min="15" max="18" width="9.140625" hidden="1" customWidth="1"/>
    <col min="19" max="16384" width="9.140625" style="231" hidden="1"/>
  </cols>
  <sheetData>
    <row r="1" spans="1:14" customFormat="1" x14ac:dyDescent="0.25">
      <c r="A1" s="136"/>
      <c r="B1" s="3"/>
      <c r="C1" s="105"/>
      <c r="D1" s="106"/>
      <c r="E1" s="105"/>
      <c r="F1" s="107"/>
      <c r="G1" s="127"/>
    </row>
    <row r="2" spans="1:14" customFormat="1" ht="15.75" thickBot="1" x14ac:dyDescent="0.3">
      <c r="A2" s="136"/>
      <c r="B2" s="3"/>
      <c r="C2" s="105"/>
      <c r="D2" s="108"/>
      <c r="E2" s="105"/>
      <c r="F2" s="107"/>
      <c r="G2" s="127"/>
    </row>
    <row r="3" spans="1:14" customFormat="1" x14ac:dyDescent="0.25">
      <c r="A3" s="136"/>
      <c r="B3" s="3"/>
      <c r="C3" s="105"/>
      <c r="D3" s="106"/>
      <c r="E3" s="105"/>
      <c r="F3" s="107"/>
      <c r="G3" s="127"/>
    </row>
    <row r="4" spans="1:14" customFormat="1" ht="15.75" customHeight="1" x14ac:dyDescent="0.25">
      <c r="A4" s="136"/>
      <c r="B4" s="3"/>
      <c r="C4" s="105"/>
      <c r="D4" s="109"/>
      <c r="E4" s="105"/>
      <c r="F4" s="107"/>
      <c r="G4" s="127"/>
    </row>
    <row r="5" spans="1:14" customFormat="1" x14ac:dyDescent="0.25">
      <c r="A5" s="136"/>
      <c r="C5" s="724" t="s">
        <v>912</v>
      </c>
      <c r="D5" s="726" t="s">
        <v>244</v>
      </c>
      <c r="E5" s="726" t="s">
        <v>913</v>
      </c>
      <c r="F5" s="139" t="s">
        <v>695</v>
      </c>
      <c r="G5" s="127"/>
    </row>
    <row r="6" spans="1:14" customFormat="1" x14ac:dyDescent="0.25">
      <c r="A6" s="136"/>
      <c r="C6" s="729"/>
      <c r="D6" s="597"/>
      <c r="E6" s="730"/>
      <c r="F6" s="285" t="s">
        <v>971</v>
      </c>
      <c r="G6" s="127"/>
    </row>
    <row r="7" spans="1:14" customFormat="1" ht="15" customHeight="1" x14ac:dyDescent="0.25">
      <c r="A7" s="135"/>
      <c r="B7" s="3" t="str">
        <f>IF(AND(IFERROR(INDEX(Instructions!$T$111:$T$222,MATCH(D7,Instructions!$T$111:$T$222,0)), "")=D7, D7&lt;&gt;""), "X", "")</f>
        <v/>
      </c>
      <c r="C7" s="316" t="s">
        <v>1351</v>
      </c>
      <c r="D7" s="313" t="s">
        <v>2383</v>
      </c>
      <c r="E7" s="317" t="s">
        <v>155</v>
      </c>
      <c r="F7" s="429">
        <v>130.50765999999999</v>
      </c>
      <c r="G7" s="127"/>
      <c r="J7">
        <v>1</v>
      </c>
      <c r="L7" s="231" t="str">
        <f>INDEX(FFARawStatProjections!$BF:$BF,MATCH(N7,FFARawStatProjections!$BH:$BH,0))</f>
        <v>Zane Gonzalez</v>
      </c>
      <c r="M7" s="231" t="str">
        <f>INDEX(FFARawStatProjections!$BG:$BG,MATCH(Kproj!N7,FFARawStatProjections!$BH:$BH,0))</f>
        <v>SF</v>
      </c>
      <c r="N7" s="490">
        <f>LARGE(FFARawStatProjections!BH:BH,J7)</f>
        <v>130.50765999999999</v>
      </c>
    </row>
    <row r="8" spans="1:14" customFormat="1" ht="15" customHeight="1" x14ac:dyDescent="0.25">
      <c r="A8" s="135"/>
      <c r="B8" s="3" t="str">
        <f>IF(AND(IFERROR(INDEX(Instructions!$T$111:$T$222,MATCH(D8,Instructions!$T$111:$T$222,0)), "")=D8, D8&lt;&gt;""), "X", "")</f>
        <v/>
      </c>
      <c r="C8" s="318" t="s">
        <v>1353</v>
      </c>
      <c r="D8" s="314" t="s">
        <v>1872</v>
      </c>
      <c r="E8" s="99" t="s">
        <v>138</v>
      </c>
      <c r="F8" s="284">
        <v>124.90767000000001</v>
      </c>
      <c r="G8" s="127"/>
      <c r="J8">
        <v>2</v>
      </c>
      <c r="L8" s="231" t="str">
        <f>INDEX(FFARawStatProjections!$BF:$BF,MATCH(N8,FFARawStatProjections!$BH:$BH,0))</f>
        <v>Greg Joseph</v>
      </c>
      <c r="M8" s="231" t="str">
        <f>INDEX(FFARawStatProjections!$BG:$BG,MATCH(Kproj!N8,FFARawStatProjections!$BH:$BH,0))</f>
        <v>MIN</v>
      </c>
      <c r="N8" s="490">
        <f>LARGE(FFARawStatProjections!BH:BH,J8)</f>
        <v>124.90767000000001</v>
      </c>
    </row>
    <row r="9" spans="1:14" customFormat="1" ht="15" customHeight="1" x14ac:dyDescent="0.25">
      <c r="A9" s="135"/>
      <c r="B9" s="3" t="str">
        <f>IF(AND(IFERROR(INDEX(Instructions!$T$111:$T$222,MATCH(D9,Instructions!$T$111:$T$222,0)), "")=D9, D9&lt;&gt;""), "X", "")</f>
        <v/>
      </c>
      <c r="C9" s="319" t="s">
        <v>1354</v>
      </c>
      <c r="D9" s="315" t="s">
        <v>1215</v>
      </c>
      <c r="E9" s="100" t="s">
        <v>140</v>
      </c>
      <c r="F9" s="252">
        <v>124.30768999999999</v>
      </c>
      <c r="G9" s="127"/>
      <c r="J9">
        <v>3</v>
      </c>
      <c r="L9" s="231" t="str">
        <f>INDEX(FFARawStatProjections!$BF:$BF,MATCH(N9,FFARawStatProjections!$BH:$BH,0))</f>
        <v>Jason Myers</v>
      </c>
      <c r="M9" s="231" t="str">
        <f>INDEX(FFARawStatProjections!$BG:$BG,MATCH(Kproj!N9,FFARawStatProjections!$BH:$BH,0))</f>
        <v>SEA</v>
      </c>
      <c r="N9" s="490">
        <f>LARGE(FFARawStatProjections!BH:BH,J9)</f>
        <v>124.30768999999999</v>
      </c>
    </row>
    <row r="10" spans="1:14" customFormat="1" ht="15" customHeight="1" x14ac:dyDescent="0.25">
      <c r="A10" s="135"/>
      <c r="B10" s="3" t="str">
        <f>IF(AND(IFERROR(INDEX(Instructions!$T$111:$T$222,MATCH(D10,Instructions!$T$111:$T$222,0)), "")=D10, D10&lt;&gt;""), "X", "")</f>
        <v/>
      </c>
      <c r="C10" s="318" t="s">
        <v>1355</v>
      </c>
      <c r="D10" s="314" t="s">
        <v>19</v>
      </c>
      <c r="E10" s="99" t="s">
        <v>162</v>
      </c>
      <c r="F10" s="284">
        <v>124.30767999999999</v>
      </c>
      <c r="G10" s="127"/>
      <c r="J10">
        <v>4</v>
      </c>
      <c r="L10" s="231" t="str">
        <f>INDEX(FFARawStatProjections!$BF:$BF,MATCH(N10,FFARawStatProjections!$BH:$BH,0))</f>
        <v>Justin Tucker</v>
      </c>
      <c r="M10" s="231" t="str">
        <f>INDEX(FFARawStatProjections!$BG:$BG,MATCH(Kproj!N10,FFARawStatProjections!$BH:$BH,0))</f>
        <v>BAL</v>
      </c>
      <c r="N10" s="490">
        <f>LARGE(FFARawStatProjections!BH:BH,J10)</f>
        <v>124.30767999999999</v>
      </c>
    </row>
    <row r="11" spans="1:14" customFormat="1" ht="15" customHeight="1" x14ac:dyDescent="0.25">
      <c r="A11" s="135"/>
      <c r="B11" s="3" t="str">
        <f>IF(AND(IFERROR(INDEX(Instructions!$T$111:$T$222,MATCH(D11,Instructions!$T$111:$T$222,0)), "")=D11, D11&lt;&gt;""), "X", "")</f>
        <v/>
      </c>
      <c r="C11" s="319" t="s">
        <v>1356</v>
      </c>
      <c r="D11" s="315" t="s">
        <v>1754</v>
      </c>
      <c r="E11" s="100" t="s">
        <v>136</v>
      </c>
      <c r="F11" s="252">
        <v>124.10769999999999</v>
      </c>
      <c r="G11" s="127"/>
      <c r="J11">
        <v>5</v>
      </c>
      <c r="L11" s="231" t="str">
        <f>INDEX(FFARawStatProjections!$BF:$BF,MATCH(N11,FFARawStatProjections!$BH:$BH,0))</f>
        <v>Harrison Butker</v>
      </c>
      <c r="M11" s="231" t="str">
        <f>INDEX(FFARawStatProjections!$BG:$BG,MATCH(Kproj!N11,FFARawStatProjections!$BH:$BH,0))</f>
        <v>KC</v>
      </c>
      <c r="N11" s="490">
        <f>LARGE(FFARawStatProjections!BH:BH,J11)</f>
        <v>124.10769999999999</v>
      </c>
    </row>
    <row r="12" spans="1:14" customFormat="1" ht="15" customHeight="1" x14ac:dyDescent="0.25">
      <c r="A12" s="135"/>
      <c r="B12" s="3" t="str">
        <f>IF(AND(IFERROR(INDEX(Instructions!$T$111:$T$222,MATCH(D12,Instructions!$T$111:$T$222,0)), "")=D12, D12&lt;&gt;""), "X", "")</f>
        <v/>
      </c>
      <c r="C12" s="318" t="s">
        <v>1357</v>
      </c>
      <c r="D12" s="314" t="s">
        <v>2269</v>
      </c>
      <c r="E12" s="99" t="s">
        <v>145</v>
      </c>
      <c r="F12" s="284">
        <v>123.10771</v>
      </c>
      <c r="G12" s="127"/>
      <c r="J12">
        <v>6</v>
      </c>
      <c r="L12" s="231" t="str">
        <f>INDEX(FFARawStatProjections!$BF:$BF,MATCH(N12,FFARawStatProjections!$BH:$BH,0))</f>
        <v>Evan McPherson</v>
      </c>
      <c r="M12" s="231" t="str">
        <f>INDEX(FFARawStatProjections!$BG:$BG,MATCH(Kproj!N12,FFARawStatProjections!$BH:$BH,0))</f>
        <v>CIN</v>
      </c>
      <c r="N12" s="490">
        <f>LARGE(FFARawStatProjections!BH:BH,J12)</f>
        <v>123.10771</v>
      </c>
    </row>
    <row r="13" spans="1:14" customFormat="1" ht="15" customHeight="1" x14ac:dyDescent="0.25">
      <c r="A13" s="135"/>
      <c r="B13" s="3" t="str">
        <f>IF(AND(IFERROR(INDEX(Instructions!$T$111:$T$222,MATCH(D13,Instructions!$T$111:$T$222,0)), "")=D13, D13&lt;&gt;""), "X", "")</f>
        <v/>
      </c>
      <c r="C13" s="319" t="s">
        <v>1358</v>
      </c>
      <c r="D13" s="315" t="s">
        <v>2121</v>
      </c>
      <c r="E13" s="100" t="s">
        <v>156</v>
      </c>
      <c r="F13" s="252">
        <v>123.00772000000001</v>
      </c>
      <c r="G13" s="127"/>
      <c r="J13">
        <v>7</v>
      </c>
      <c r="L13" s="231" t="str">
        <f>INDEX(FFARawStatProjections!$BF:$BF,MATCH(N13,FFARawStatProjections!$BH:$BH,0))</f>
        <v>Tyler Bass</v>
      </c>
      <c r="M13" s="231" t="str">
        <f>INDEX(FFARawStatProjections!$BG:$BG,MATCH(Kproj!N13,FFARawStatProjections!$BH:$BH,0))</f>
        <v>BUF</v>
      </c>
      <c r="N13" s="490">
        <f>LARGE(FFARawStatProjections!BH:BH,J13)</f>
        <v>123.00772000000001</v>
      </c>
    </row>
    <row r="14" spans="1:14" customFormat="1" ht="15" customHeight="1" x14ac:dyDescent="0.25">
      <c r="A14" s="135"/>
      <c r="B14" s="3" t="str">
        <f>IF(AND(IFERROR(INDEX(Instructions!$T$111:$T$222,MATCH(D14,Instructions!$T$111:$T$222,0)), "")=D14, D14&lt;&gt;""), "X", "")</f>
        <v/>
      </c>
      <c r="C14" s="318" t="s">
        <v>1352</v>
      </c>
      <c r="D14" s="314" t="s">
        <v>1819</v>
      </c>
      <c r="E14" s="99" t="s">
        <v>2073</v>
      </c>
      <c r="F14" s="284">
        <v>122.50773</v>
      </c>
      <c r="G14" s="127"/>
      <c r="J14">
        <v>8</v>
      </c>
      <c r="L14" s="231" t="str">
        <f>INDEX(FFARawStatProjections!$BF:$BF,MATCH(N14,FFARawStatProjections!$BH:$BH,0))</f>
        <v>Daniel Carlson</v>
      </c>
      <c r="M14" s="231" t="str">
        <f>INDEX(FFARawStatProjections!$BG:$BG,MATCH(Kproj!N14,FFARawStatProjections!$BH:$BH,0))</f>
        <v>LV</v>
      </c>
      <c r="N14" s="490">
        <f>LARGE(FFARawStatProjections!BH:BH,J14)</f>
        <v>122.50773</v>
      </c>
    </row>
    <row r="15" spans="1:14" customFormat="1" ht="15" customHeight="1" x14ac:dyDescent="0.25">
      <c r="A15" s="135"/>
      <c r="B15" s="3" t="str">
        <f>IF(AND(IFERROR(INDEX(Instructions!$T$111:$T$222,MATCH(D15,Instructions!$T$111:$T$222,0)), "")=D15, D15&lt;&gt;""), "X", "")</f>
        <v/>
      </c>
      <c r="C15" s="319" t="s">
        <v>1359</v>
      </c>
      <c r="D15" s="315" t="s">
        <v>1443</v>
      </c>
      <c r="E15" s="100" t="s">
        <v>137</v>
      </c>
      <c r="F15" s="252">
        <v>121.30774</v>
      </c>
      <c r="G15" s="127"/>
      <c r="J15">
        <v>9</v>
      </c>
      <c r="L15" s="231" t="str">
        <f>INDEX(FFARawStatProjections!$BF:$BF,MATCH(N15,FFARawStatProjections!$BH:$BH,0))</f>
        <v>Jake Elliott</v>
      </c>
      <c r="M15" s="231" t="str">
        <f>INDEX(FFARawStatProjections!$BG:$BG,MATCH(Kproj!N15,FFARawStatProjections!$BH:$BH,0))</f>
        <v>PHI</v>
      </c>
      <c r="N15" s="490">
        <f>LARGE(FFARawStatProjections!BH:BH,J15)</f>
        <v>121.30774</v>
      </c>
    </row>
    <row r="16" spans="1:14" customFormat="1" ht="15" customHeight="1" x14ac:dyDescent="0.25">
      <c r="A16" s="135"/>
      <c r="B16" s="3" t="str">
        <f>IF(AND(IFERROR(INDEX(Instructions!$T$111:$T$222,MATCH(D16,Instructions!$T$111:$T$222,0)), "")=D16, D16&lt;&gt;""), "X", "")</f>
        <v/>
      </c>
      <c r="C16" s="318" t="s">
        <v>1360</v>
      </c>
      <c r="D16" s="314" t="s">
        <v>2098</v>
      </c>
      <c r="E16" s="99" t="s">
        <v>148</v>
      </c>
      <c r="F16" s="284">
        <v>120.90775000000001</v>
      </c>
      <c r="G16" s="127"/>
      <c r="J16">
        <v>10</v>
      </c>
      <c r="L16" s="231" t="str">
        <f>INDEX(FFARawStatProjections!$BF:$BF,MATCH(N16,FFARawStatProjections!$BH:$BH,0))</f>
        <v>Younghoe Koo</v>
      </c>
      <c r="M16" s="231" t="str">
        <f>INDEX(FFARawStatProjections!$BG:$BG,MATCH(Kproj!N16,FFARawStatProjections!$BH:$BH,0))</f>
        <v>ATL</v>
      </c>
      <c r="N16" s="490">
        <f>LARGE(FFARawStatProjections!BH:BH,J16)</f>
        <v>120.90775000000001</v>
      </c>
    </row>
    <row r="17" spans="1:14" customFormat="1" ht="15" customHeight="1" x14ac:dyDescent="0.25">
      <c r="A17" s="135"/>
      <c r="B17" s="3" t="str">
        <f>IF(AND(IFERROR(INDEX(Instructions!$T$111:$T$222,MATCH(D17,Instructions!$T$111:$T$222,0)), "")=D17, D17&lt;&gt;""), "X", "")</f>
        <v/>
      </c>
      <c r="C17" s="319" t="s">
        <v>1361</v>
      </c>
      <c r="D17" s="315" t="s">
        <v>2123</v>
      </c>
      <c r="E17" s="100" t="s">
        <v>154</v>
      </c>
      <c r="F17" s="252">
        <v>119.00776</v>
      </c>
      <c r="G17" s="127"/>
      <c r="J17">
        <v>11</v>
      </c>
      <c r="L17" s="231" t="str">
        <f>INDEX(FFARawStatProjections!$BF:$BF,MATCH(N17,FFARawStatProjections!$BH:$BH,0))</f>
        <v>Graham Gano</v>
      </c>
      <c r="M17" s="231" t="str">
        <f>INDEX(FFARawStatProjections!$BG:$BG,MATCH(Kproj!N17,FFARawStatProjections!$BH:$BH,0))</f>
        <v>NYG</v>
      </c>
      <c r="N17" s="490">
        <f>LARGE(FFARawStatProjections!BH:BH,J17)</f>
        <v>119.00776</v>
      </c>
    </row>
    <row r="18" spans="1:14" customFormat="1" ht="15" customHeight="1" x14ac:dyDescent="0.25">
      <c r="A18" s="135"/>
      <c r="B18" s="3" t="str">
        <f>IF(AND(IFERROR(INDEX(Instructions!$T$111:$T$222,MATCH(D18,Instructions!$T$111:$T$222,0)), "")=D18, D18&lt;&gt;""), "X", "")</f>
        <v/>
      </c>
      <c r="C18" s="318" t="s">
        <v>1362</v>
      </c>
      <c r="D18" s="314" t="s">
        <v>2381</v>
      </c>
      <c r="E18" s="99" t="s">
        <v>142</v>
      </c>
      <c r="F18" s="284">
        <v>118.90777</v>
      </c>
      <c r="G18" s="127"/>
      <c r="J18">
        <v>12</v>
      </c>
      <c r="L18" s="231" t="str">
        <f>INDEX(FFARawStatProjections!$BF:$BF,MATCH(N18,FFARawStatProjections!$BH:$BH,0))</f>
        <v>Riley Patterson</v>
      </c>
      <c r="M18" s="231" t="str">
        <f>INDEX(FFARawStatProjections!$BG:$BG,MATCH(Kproj!N18,FFARawStatProjections!$BH:$BH,0))</f>
        <v>DET</v>
      </c>
      <c r="N18" s="490">
        <f>LARGE(FFARawStatProjections!BH:BH,J18)</f>
        <v>118.90777</v>
      </c>
    </row>
    <row r="19" spans="1:14" customFormat="1" ht="15" customHeight="1" x14ac:dyDescent="0.25">
      <c r="A19" s="135"/>
      <c r="B19" s="3" t="str">
        <f>IF(AND(IFERROR(INDEX(Instructions!$T$111:$T$222,MATCH(D19,Instructions!$T$111:$T$222,0)), "")=D19, D19&lt;&gt;""), "X", "")</f>
        <v/>
      </c>
      <c r="C19" s="319" t="s">
        <v>1363</v>
      </c>
      <c r="D19" s="315" t="s">
        <v>1176</v>
      </c>
      <c r="E19" s="100" t="s">
        <v>165</v>
      </c>
      <c r="F19" s="252">
        <v>118.50778</v>
      </c>
      <c r="G19" s="127"/>
      <c r="J19">
        <v>13</v>
      </c>
      <c r="L19" s="231" t="str">
        <f>INDEX(FFARawStatProjections!$BF:$BF,MATCH(N19,FFARawStatProjections!$BH:$BH,0))</f>
        <v>Brandon McManus</v>
      </c>
      <c r="M19" s="231" t="str">
        <f>INDEX(FFARawStatProjections!$BG:$BG,MATCH(Kproj!N19,FFARawStatProjections!$BH:$BH,0))</f>
        <v>JAC</v>
      </c>
      <c r="N19" s="490">
        <f>LARGE(FFARawStatProjections!BH:BH,J19)</f>
        <v>118.50778</v>
      </c>
    </row>
    <row r="20" spans="1:14" customFormat="1" ht="15" customHeight="1" x14ac:dyDescent="0.25">
      <c r="A20" s="135"/>
      <c r="B20" s="3" t="str">
        <f>IF(AND(IFERROR(INDEX(Instructions!$T$111:$T$222,MATCH(D20,Instructions!$T$111:$T$222,0)), "")=D20, D20&lt;&gt;""), "X", "")</f>
        <v/>
      </c>
      <c r="C20" s="318" t="s">
        <v>1364</v>
      </c>
      <c r="D20" s="314" t="s">
        <v>2516</v>
      </c>
      <c r="E20" s="99" t="s">
        <v>1388</v>
      </c>
      <c r="F20" s="284">
        <v>118.20779</v>
      </c>
      <c r="G20" s="127"/>
      <c r="J20">
        <v>14</v>
      </c>
      <c r="L20" s="231" t="str">
        <f>INDEX(FFARawStatProjections!$BF:$BF,MATCH(N20,FFARawStatProjections!$BH:$BH,0))</f>
        <v>Cameron Dicker</v>
      </c>
      <c r="M20" s="231" t="str">
        <f>INDEX(FFARawStatProjections!$BG:$BG,MATCH(Kproj!N20,FFARawStatProjections!$BH:$BH,0))</f>
        <v>LAC</v>
      </c>
      <c r="N20" s="490">
        <f>LARGE(FFARawStatProjections!BH:BH,J20)</f>
        <v>118.20779</v>
      </c>
    </row>
    <row r="21" spans="1:14" customFormat="1" ht="15" customHeight="1" x14ac:dyDescent="0.25">
      <c r="A21" s="135"/>
      <c r="B21" s="3" t="str">
        <f>IF(AND(IFERROR(INDEX(Instructions!$T$111:$T$222,MATCH(D21,Instructions!$T$111:$T$222,0)), "")=D21, D21&lt;&gt;""), "X", "")</f>
        <v/>
      </c>
      <c r="C21" s="319" t="s">
        <v>1365</v>
      </c>
      <c r="D21" s="315" t="s">
        <v>1820</v>
      </c>
      <c r="E21" s="100" t="s">
        <v>166</v>
      </c>
      <c r="F21" s="252">
        <v>117.40780000000001</v>
      </c>
      <c r="G21" s="127"/>
      <c r="J21">
        <v>15</v>
      </c>
      <c r="L21" s="231" t="str">
        <f>INDEX(FFARawStatProjections!$BF:$BF,MATCH(N21,FFARawStatProjections!$BH:$BH,0))</f>
        <v>Jason Sanders</v>
      </c>
      <c r="M21" s="231" t="str">
        <f>INDEX(FFARawStatProjections!$BG:$BG,MATCH(Kproj!N21,FFARawStatProjections!$BH:$BH,0))</f>
        <v>MIA</v>
      </c>
      <c r="N21" s="490">
        <f>LARGE(FFARawStatProjections!BH:BH,J21)</f>
        <v>117.40780000000001</v>
      </c>
    </row>
    <row r="22" spans="1:14" customFormat="1" ht="15" customHeight="1" x14ac:dyDescent="0.25">
      <c r="A22" s="135"/>
      <c r="B22" s="3" t="str">
        <f>IF(AND(IFERROR(INDEX(Instructions!$T$111:$T$222,MATCH(D22,Instructions!$T$111:$T$222,0)), "")=D22, D22&lt;&gt;""), "X", "")</f>
        <v/>
      </c>
      <c r="C22" s="318" t="s">
        <v>1366</v>
      </c>
      <c r="D22" s="314" t="s">
        <v>2476</v>
      </c>
      <c r="E22" s="99" t="s">
        <v>155</v>
      </c>
      <c r="F22" s="284">
        <v>116.10781999999999</v>
      </c>
      <c r="G22" s="127"/>
      <c r="J22">
        <v>16</v>
      </c>
      <c r="L22" s="231" t="str">
        <f>INDEX(FFARawStatProjections!$BF:$BF,MATCH(N22,FFARawStatProjections!$BH:$BH,0))</f>
        <v>Jake Moody</v>
      </c>
      <c r="M22" s="231" t="str">
        <f>INDEX(FFARawStatProjections!$BG:$BG,MATCH(Kproj!N22,FFARawStatProjections!$BH:$BH,0))</f>
        <v>SF</v>
      </c>
      <c r="N22" s="490">
        <f>LARGE(FFARawStatProjections!BH:BH,J22)</f>
        <v>116.10781999999999</v>
      </c>
    </row>
    <row r="23" spans="1:14" customFormat="1" ht="15" customHeight="1" x14ac:dyDescent="0.25">
      <c r="A23" s="135"/>
      <c r="B23" s="3" t="str">
        <f>IF(AND(IFERROR(INDEX(Instructions!$T$111:$T$222,MATCH(D23,Instructions!$T$111:$T$222,0)), "")=D23, D23&lt;&gt;""), "X", "")</f>
        <v/>
      </c>
      <c r="C23" s="319" t="s">
        <v>1367</v>
      </c>
      <c r="D23" s="315" t="s">
        <v>2268</v>
      </c>
      <c r="E23" s="100" t="s">
        <v>141</v>
      </c>
      <c r="F23" s="252">
        <v>116.10781</v>
      </c>
      <c r="G23" s="127"/>
      <c r="J23">
        <v>17</v>
      </c>
      <c r="L23" s="231" t="str">
        <f>INDEX(FFARawStatProjections!$BF:$BF,MATCH(N23,FFARawStatProjections!$BH:$BH,0))</f>
        <v>Cairo Santos</v>
      </c>
      <c r="M23" s="231" t="str">
        <f>INDEX(FFARawStatProjections!$BG:$BG,MATCH(Kproj!N23,FFARawStatProjections!$BH:$BH,0))</f>
        <v>CHI</v>
      </c>
      <c r="N23" s="490">
        <f>LARGE(FFARawStatProjections!BH:BH,J23)</f>
        <v>116.10781</v>
      </c>
    </row>
    <row r="24" spans="1:14" customFormat="1" ht="15" customHeight="1" x14ac:dyDescent="0.25">
      <c r="A24" s="135"/>
      <c r="B24" s="3" t="str">
        <f>IF(AND(IFERROR(INDEX(Instructions!$T$111:$T$222,MATCH(D24,Instructions!$T$111:$T$222,0)), "")=D24, D24&lt;&gt;""), "X", "")</f>
        <v/>
      </c>
      <c r="C24" s="318" t="s">
        <v>1368</v>
      </c>
      <c r="D24" s="314" t="s">
        <v>2510</v>
      </c>
      <c r="E24" s="99" t="s">
        <v>149</v>
      </c>
      <c r="F24" s="284">
        <v>115.10782999999999</v>
      </c>
      <c r="G24" s="127"/>
      <c r="J24">
        <v>18</v>
      </c>
      <c r="L24" s="231" t="str">
        <f>INDEX(FFARawStatProjections!$BF:$BF,MATCH(N24,FFARawStatProjections!$BH:$BH,0))</f>
        <v>Chase McLaughlin</v>
      </c>
      <c r="M24" s="231" t="str">
        <f>INDEX(FFARawStatProjections!$BG:$BG,MATCH(Kproj!N24,FFARawStatProjections!$BH:$BH,0))</f>
        <v>TB</v>
      </c>
      <c r="N24" s="490">
        <f>LARGE(FFARawStatProjections!BH:BH,J24)</f>
        <v>115.10782999999999</v>
      </c>
    </row>
    <row r="25" spans="1:14" customFormat="1" ht="15" customHeight="1" x14ac:dyDescent="0.25">
      <c r="A25" s="135"/>
      <c r="B25" s="3" t="str">
        <f>IF(AND(IFERROR(INDEX(Instructions!$T$111:$T$222,MATCH(D25,Instructions!$T$111:$T$222,0)), "")=D25, D25&lt;&gt;""), "X", "")</f>
        <v/>
      </c>
      <c r="C25" s="319" t="s">
        <v>1369</v>
      </c>
      <c r="D25" s="315" t="s">
        <v>2139</v>
      </c>
      <c r="E25" s="100" t="s">
        <v>157</v>
      </c>
      <c r="F25" s="252">
        <v>115.00784</v>
      </c>
      <c r="G25" s="127"/>
      <c r="J25">
        <v>19</v>
      </c>
      <c r="L25" s="231" t="str">
        <f>INDEX(FFARawStatProjections!$BF:$BF,MATCH(N25,FFARawStatProjections!$BH:$BH,0))</f>
        <v>Nick Folk</v>
      </c>
      <c r="M25" s="231" t="str">
        <f>INDEX(FFARawStatProjections!$BG:$BG,MATCH(Kproj!N25,FFARawStatProjections!$BH:$BH,0))</f>
        <v>NE</v>
      </c>
      <c r="N25" s="490">
        <f>LARGE(FFARawStatProjections!BH:BH,J25)</f>
        <v>115.00784</v>
      </c>
    </row>
    <row r="26" spans="1:14" customFormat="1" ht="15" customHeight="1" x14ac:dyDescent="0.25">
      <c r="A26" s="135"/>
      <c r="B26" s="3" t="str">
        <f>IF(AND(IFERROR(INDEX(Instructions!$T$111:$T$222,MATCH(D26,Instructions!$T$111:$T$222,0)), "")=D26, D26&lt;&gt;""), "X", "")</f>
        <v/>
      </c>
      <c r="C26" s="318" t="s">
        <v>1370</v>
      </c>
      <c r="D26" s="314" t="s">
        <v>1403</v>
      </c>
      <c r="E26" s="99" t="s">
        <v>143</v>
      </c>
      <c r="F26" s="284">
        <v>114.80785</v>
      </c>
      <c r="G26" s="127"/>
      <c r="J26">
        <v>20</v>
      </c>
      <c r="L26" s="231" t="str">
        <f>INDEX(FFARawStatProjections!$BF:$BF,MATCH(N26,FFARawStatProjections!$BH:$BH,0))</f>
        <v>Wil Lutz</v>
      </c>
      <c r="M26" s="231" t="str">
        <f>INDEX(FFARawStatProjections!$BG:$BG,MATCH(Kproj!N26,FFARawStatProjections!$BH:$BH,0))</f>
        <v>NO</v>
      </c>
      <c r="N26" s="490">
        <f>LARGE(FFARawStatProjections!BH:BH,J26)</f>
        <v>114.80785</v>
      </c>
    </row>
    <row r="27" spans="1:14" customFormat="1" ht="15" customHeight="1" x14ac:dyDescent="0.25">
      <c r="A27" s="135"/>
      <c r="B27" s="3" t="str">
        <f>IF(AND(IFERROR(INDEX(Instructions!$T$111:$T$222,MATCH(D27,Instructions!$T$111:$T$222,0)), "")=D27, D27&lt;&gt;""), "X", "")</f>
        <v/>
      </c>
      <c r="C27" s="319" t="s">
        <v>1371</v>
      </c>
      <c r="D27" s="315" t="s">
        <v>2384</v>
      </c>
      <c r="E27" s="100" t="s">
        <v>159</v>
      </c>
      <c r="F27" s="252">
        <v>114.40786</v>
      </c>
      <c r="G27" s="127"/>
      <c r="J27">
        <v>21</v>
      </c>
      <c r="L27" s="231" t="str">
        <f>INDEX(FFARawStatProjections!$BF:$BF,MATCH(N27,FFARawStatProjections!$BH:$BH,0))</f>
        <v>Eddy Pineiro</v>
      </c>
      <c r="M27" s="231" t="str">
        <f>INDEX(FFARawStatProjections!$BG:$BG,MATCH(Kproj!N27,FFARawStatProjections!$BH:$BH,0))</f>
        <v>CAR</v>
      </c>
      <c r="N27" s="490">
        <f>LARGE(FFARawStatProjections!BH:BH,J27)</f>
        <v>114.40786</v>
      </c>
    </row>
    <row r="28" spans="1:14" customFormat="1" ht="15" customHeight="1" x14ac:dyDescent="0.25">
      <c r="A28" s="135"/>
      <c r="B28" s="3" t="str">
        <f>IF(AND(IFERROR(INDEX(Instructions!$T$111:$T$222,MATCH(D28,Instructions!$T$111:$T$222,0)), "")=D28, D28&lt;&gt;""), "X", "")</f>
        <v/>
      </c>
      <c r="C28" s="318" t="s">
        <v>1372</v>
      </c>
      <c r="D28" s="314" t="s">
        <v>1188</v>
      </c>
      <c r="E28" s="99" t="s">
        <v>147</v>
      </c>
      <c r="F28" s="284">
        <v>113.90787</v>
      </c>
      <c r="G28" s="127"/>
      <c r="J28">
        <v>22</v>
      </c>
      <c r="L28" s="231" t="str">
        <f>INDEX(FFARawStatProjections!$BF:$BF,MATCH(N28,FFARawStatProjections!$BH:$BH,0))</f>
        <v>Chris Boswell</v>
      </c>
      <c r="M28" s="231" t="str">
        <f>INDEX(FFARawStatProjections!$BG:$BG,MATCH(Kproj!N28,FFARawStatProjections!$BH:$BH,0))</f>
        <v>PIT</v>
      </c>
      <c r="N28" s="490">
        <f>LARGE(FFARawStatProjections!BH:BH,J28)</f>
        <v>113.90787</v>
      </c>
    </row>
    <row r="29" spans="1:14" customFormat="1" ht="15" customHeight="1" x14ac:dyDescent="0.25">
      <c r="A29" s="135"/>
      <c r="B29" s="3" t="str">
        <f>IF(AND(IFERROR(INDEX(Instructions!$T$111:$T$222,MATCH(D29,Instructions!$T$111:$T$222,0)), "")=D29, D29&lt;&gt;""), "X", "")</f>
        <v/>
      </c>
      <c r="C29" s="319" t="s">
        <v>1373</v>
      </c>
      <c r="D29" s="315" t="s">
        <v>245</v>
      </c>
      <c r="E29" s="100" t="s">
        <v>164</v>
      </c>
      <c r="F29" s="252">
        <v>113.70788</v>
      </c>
      <c r="G29" s="127"/>
      <c r="J29">
        <v>23</v>
      </c>
      <c r="L29" s="231" t="str">
        <f>INDEX(FFARawStatProjections!$BF:$BF,MATCH(N29,FFARawStatProjections!$BH:$BH,0))</f>
        <v>Greg Zuerlein</v>
      </c>
      <c r="M29" s="231" t="str">
        <f>INDEX(FFARawStatProjections!$BG:$BG,MATCH(Kproj!N29,FFARawStatProjections!$BH:$BH,0))</f>
        <v>NYJ</v>
      </c>
      <c r="N29" s="490">
        <f>LARGE(FFARawStatProjections!BH:BH,J29)</f>
        <v>113.70788</v>
      </c>
    </row>
    <row r="30" spans="1:14" customFormat="1" ht="15" customHeight="1" x14ac:dyDescent="0.25">
      <c r="A30" s="135"/>
      <c r="B30" s="3" t="str">
        <f>IF(AND(IFERROR(INDEX(Instructions!$T$111:$T$222,MATCH(D30,Instructions!$T$111:$T$222,0)), "")=D30, D30&lt;&gt;""), "X", "")</f>
        <v/>
      </c>
      <c r="C30" s="318" t="s">
        <v>1374</v>
      </c>
      <c r="D30" s="314" t="s">
        <v>2382</v>
      </c>
      <c r="E30" s="99" t="s">
        <v>161</v>
      </c>
      <c r="F30" s="284">
        <v>113.3079</v>
      </c>
      <c r="G30" s="127"/>
      <c r="J30">
        <v>24</v>
      </c>
      <c r="L30" s="231" t="str">
        <f>INDEX(FFARawStatProjections!$BF:$BF,MATCH(N30,FFARawStatProjections!$BH:$BH,0))</f>
        <v>Cade York</v>
      </c>
      <c r="M30" s="231" t="str">
        <f>INDEX(FFARawStatProjections!$BG:$BG,MATCH(Kproj!N30,FFARawStatProjections!$BH:$BH,0))</f>
        <v>CLE</v>
      </c>
      <c r="N30" s="490">
        <f>LARGE(FFARawStatProjections!BH:BH,J30)</f>
        <v>113.3079</v>
      </c>
    </row>
    <row r="31" spans="1:14" customFormat="1" ht="15" customHeight="1" x14ac:dyDescent="0.25">
      <c r="A31" s="135"/>
      <c r="B31" s="3" t="str">
        <f>IF(AND(IFERROR(INDEX(Instructions!$T$111:$T$222,MATCH(D31,Instructions!$T$111:$T$222,0)), "")=D31, D31&lt;&gt;""), "X", "")</f>
        <v/>
      </c>
      <c r="C31" s="319" t="s">
        <v>1375</v>
      </c>
      <c r="D31" s="315" t="s">
        <v>2524</v>
      </c>
      <c r="E31" s="100" t="s">
        <v>144</v>
      </c>
      <c r="F31" s="252">
        <v>113.30789</v>
      </c>
      <c r="G31" s="127"/>
      <c r="J31">
        <v>25</v>
      </c>
      <c r="L31" s="231" t="str">
        <f>INDEX(FFARawStatProjections!$BF:$BF,MATCH(N31,FFARawStatProjections!$BH:$BH,0))</f>
        <v>Brett Maher</v>
      </c>
      <c r="M31" s="231" t="str">
        <f>INDEX(FFARawStatProjections!$BG:$BG,MATCH(Kproj!N31,FFARawStatProjections!$BH:$BH,0))</f>
        <v>DEN</v>
      </c>
      <c r="N31" s="490">
        <f>LARGE(FFARawStatProjections!BH:BH,J31)</f>
        <v>113.30789</v>
      </c>
    </row>
    <row r="32" spans="1:14" customFormat="1" ht="15" customHeight="1" x14ac:dyDescent="0.25">
      <c r="A32" s="135"/>
      <c r="B32" s="3" t="str">
        <f>IF(AND(IFERROR(INDEX(Instructions!$T$111:$T$222,MATCH(D32,Instructions!$T$111:$T$222,0)), "")=D32, D32&lt;&gt;""), "X", "")</f>
        <v/>
      </c>
      <c r="C32" s="318" t="s">
        <v>1376</v>
      </c>
      <c r="D32" s="314" t="s">
        <v>701</v>
      </c>
      <c r="E32" s="99" t="s">
        <v>1388</v>
      </c>
      <c r="F32" s="284">
        <v>113.10790999999999</v>
      </c>
      <c r="G32" s="127"/>
      <c r="J32">
        <v>26</v>
      </c>
      <c r="L32" s="231" t="str">
        <f>INDEX(FFARawStatProjections!$BF:$BF,MATCH(N32,FFARawStatProjections!$BH:$BH,0))</f>
        <v>Dustin Hopkins</v>
      </c>
      <c r="M32" s="231" t="str">
        <f>INDEX(FFARawStatProjections!$BG:$BG,MATCH(Kproj!N32,FFARawStatProjections!$BH:$BH,0))</f>
        <v>LAC</v>
      </c>
      <c r="N32" s="490">
        <f>LARGE(FFARawStatProjections!BH:BH,J32)</f>
        <v>113.10790999999999</v>
      </c>
    </row>
    <row r="33" spans="1:14" customFormat="1" ht="15" customHeight="1" x14ac:dyDescent="0.25">
      <c r="A33" s="135"/>
      <c r="B33" s="3" t="str">
        <f>IF(AND(IFERROR(INDEX(Instructions!$T$111:$T$222,MATCH(D33,Instructions!$T$111:$T$222,0)), "")=D33, D33&lt;&gt;""), "X", "")</f>
        <v/>
      </c>
      <c r="C33" s="319" t="s">
        <v>1377</v>
      </c>
      <c r="D33" s="315" t="s">
        <v>1889</v>
      </c>
      <c r="E33" s="100" t="s">
        <v>158</v>
      </c>
      <c r="F33" s="252">
        <v>112.90792</v>
      </c>
      <c r="G33" s="127"/>
      <c r="J33">
        <v>27</v>
      </c>
      <c r="L33" s="231" t="str">
        <f>INDEX(FFARawStatProjections!$BF:$BF,MATCH(N33,FFARawStatProjections!$BH:$BH,0))</f>
        <v>Matt Gay</v>
      </c>
      <c r="M33" s="231" t="str">
        <f>INDEX(FFARawStatProjections!$BG:$BG,MATCH(Kproj!N33,FFARawStatProjections!$BH:$BH,0))</f>
        <v>IND</v>
      </c>
      <c r="N33" s="490">
        <f>LARGE(FFARawStatProjections!BH:BH,J33)</f>
        <v>112.90792</v>
      </c>
    </row>
    <row r="34" spans="1:14" customFormat="1" ht="15" customHeight="1" x14ac:dyDescent="0.25">
      <c r="A34" s="135"/>
      <c r="B34" s="3" t="str">
        <f>IF(AND(IFERROR(INDEX(Instructions!$T$111:$T$222,MATCH(D34,Instructions!$T$111:$T$222,0)), "")=D34, D34&lt;&gt;""), "X", "")</f>
        <v/>
      </c>
      <c r="C34" s="318" t="s">
        <v>1378</v>
      </c>
      <c r="D34" s="314" t="s">
        <v>2562</v>
      </c>
      <c r="E34" s="99" t="s">
        <v>146</v>
      </c>
      <c r="F34" s="284">
        <v>111.80793</v>
      </c>
      <c r="G34" s="127"/>
      <c r="J34">
        <v>28</v>
      </c>
      <c r="L34" s="231" t="str">
        <f>INDEX(FFARawStatProjections!$BF:$BF,MATCH(N34,FFARawStatProjections!$BH:$BH,0))</f>
        <v>Brandon Aubrey</v>
      </c>
      <c r="M34" s="231" t="str">
        <f>INDEX(FFARawStatProjections!$BG:$BG,MATCH(Kproj!N34,FFARawStatProjections!$BH:$BH,0))</f>
        <v>DAL</v>
      </c>
      <c r="N34" s="490">
        <f>LARGE(FFARawStatProjections!BH:BH,J34)</f>
        <v>111.80793</v>
      </c>
    </row>
    <row r="35" spans="1:14" customFormat="1" ht="15" customHeight="1" x14ac:dyDescent="0.25">
      <c r="A35" s="135"/>
      <c r="B35" s="3" t="str">
        <f>IF(AND(IFERROR(INDEX(Instructions!$T$111:$T$222,MATCH(D35,Instructions!$T$111:$T$222,0)), "")=D35, D35&lt;&gt;""), "X", "")</f>
        <v/>
      </c>
      <c r="C35" s="319" t="s">
        <v>1379</v>
      </c>
      <c r="D35" s="315" t="s">
        <v>23</v>
      </c>
      <c r="E35" s="100" t="s">
        <v>2272</v>
      </c>
      <c r="F35" s="252">
        <v>111.10794</v>
      </c>
      <c r="G35" s="127"/>
      <c r="J35">
        <v>29</v>
      </c>
      <c r="L35" s="231" t="str">
        <f>INDEX(FFARawStatProjections!$BF:$BF,MATCH(N35,FFARawStatProjections!$BH:$BH,0))</f>
        <v>Matt Prater</v>
      </c>
      <c r="M35" s="231" t="str">
        <f>INDEX(FFARawStatProjections!$BG:$BG,MATCH(Kproj!N35,FFARawStatProjections!$BH:$BH,0))</f>
        <v>AZ</v>
      </c>
      <c r="N35" s="490">
        <f>LARGE(FFARawStatProjections!BH:BH,J35)</f>
        <v>111.10794</v>
      </c>
    </row>
    <row r="36" spans="1:14" customFormat="1" ht="15" customHeight="1" x14ac:dyDescent="0.25">
      <c r="A36" s="135"/>
      <c r="B36" s="3" t="str">
        <f>IF(AND(IFERROR(INDEX(Instructions!$T$111:$T$222,MATCH(D36,Instructions!$T$111:$T$222,0)), "")=D36, D36&lt;&gt;""), "X", "")</f>
        <v/>
      </c>
      <c r="C36" s="318" t="s">
        <v>1380</v>
      </c>
      <c r="D36" s="314" t="s">
        <v>2538</v>
      </c>
      <c r="E36" s="99" t="s">
        <v>139</v>
      </c>
      <c r="F36" s="284">
        <v>110.90795</v>
      </c>
      <c r="G36" s="127"/>
      <c r="J36">
        <v>30</v>
      </c>
      <c r="L36" s="231" t="str">
        <f>INDEX(FFARawStatProjections!$BF:$BF,MATCH(N36,FFARawStatProjections!$BH:$BH,0))</f>
        <v>Anders Carlson</v>
      </c>
      <c r="M36" s="231" t="str">
        <f>INDEX(FFARawStatProjections!$BG:$BG,MATCH(Kproj!N36,FFARawStatProjections!$BH:$BH,0))</f>
        <v>GB</v>
      </c>
      <c r="N36" s="490">
        <f>LARGE(FFARawStatProjections!BH:BH,J36)</f>
        <v>110.90795</v>
      </c>
    </row>
    <row r="37" spans="1:14" customFormat="1" ht="15" customHeight="1" x14ac:dyDescent="0.25">
      <c r="A37" s="135"/>
      <c r="B37" s="3" t="str">
        <f>IF(AND(IFERROR(INDEX(Instructions!$T$111:$T$222,MATCH(D37,Instructions!$T$111:$T$222,0)), "")=D37, D37&lt;&gt;""), "X", "")</f>
        <v/>
      </c>
      <c r="C37" s="319" t="s">
        <v>1381</v>
      </c>
      <c r="D37" s="315" t="s">
        <v>1828</v>
      </c>
      <c r="E37" s="100" t="s">
        <v>151</v>
      </c>
      <c r="F37" s="252">
        <v>110.00796</v>
      </c>
      <c r="G37" s="127"/>
      <c r="J37">
        <v>31</v>
      </c>
      <c r="L37" s="231" t="str">
        <f>INDEX(FFARawStatProjections!$BF:$BF,MATCH(N37,FFARawStatProjections!$BH:$BH,0))</f>
        <v>Kaimi Fairbairn</v>
      </c>
      <c r="M37" s="231" t="str">
        <f>INDEX(FFARawStatProjections!$BG:$BG,MATCH(Kproj!N37,FFARawStatProjections!$BH:$BH,0))</f>
        <v>HOU</v>
      </c>
      <c r="N37" s="490">
        <f>LARGE(FFARawStatProjections!BH:BH,J37)</f>
        <v>110.00796</v>
      </c>
    </row>
    <row r="38" spans="1:14" customFormat="1" ht="15" customHeight="1" x14ac:dyDescent="0.25">
      <c r="A38" s="135"/>
      <c r="B38" s="3" t="str">
        <f>IF(AND(IFERROR(INDEX(Instructions!$T$111:$T$222,MATCH(D38,Instructions!$T$111:$T$222,0)), "")=D38, D38&lt;&gt;""), "X", "")</f>
        <v/>
      </c>
      <c r="C38" s="318" t="s">
        <v>1382</v>
      </c>
      <c r="D38" s="314" t="s">
        <v>2513</v>
      </c>
      <c r="E38" s="99" t="s">
        <v>157</v>
      </c>
      <c r="F38" s="284">
        <v>107.20797</v>
      </c>
      <c r="G38" s="127"/>
      <c r="J38">
        <v>32</v>
      </c>
      <c r="L38" s="231" t="str">
        <f>INDEX(FFARawStatProjections!$BF:$BF,MATCH(N38,FFARawStatProjections!$BH:$BH,0))</f>
        <v>Chad Ryland</v>
      </c>
      <c r="M38" s="231" t="str">
        <f>INDEX(FFARawStatProjections!$BG:$BG,MATCH(Kproj!N38,FFARawStatProjections!$BH:$BH,0))</f>
        <v>NE</v>
      </c>
      <c r="N38" s="490">
        <f>LARGE(FFARawStatProjections!BH:BH,J38)</f>
        <v>107.20797</v>
      </c>
    </row>
    <row r="39" spans="1:14" customFormat="1" ht="15" customHeight="1" x14ac:dyDescent="0.25">
      <c r="A39" s="135"/>
      <c r="B39" s="3" t="str">
        <f>IF(AND(IFERROR(INDEX(Instructions!$T$111:$T$222,MATCH(D39,Instructions!$T$111:$T$222,0)), "")=D39, D39&lt;&gt;""), "X", "")</f>
        <v/>
      </c>
      <c r="C39" s="319" t="s">
        <v>1383</v>
      </c>
      <c r="D39" s="315" t="s">
        <v>2405</v>
      </c>
      <c r="E39" s="100" t="s">
        <v>1389</v>
      </c>
      <c r="F39" s="252">
        <v>105.40798000000001</v>
      </c>
      <c r="G39" s="127"/>
      <c r="J39">
        <v>33</v>
      </c>
      <c r="L39" s="231" t="str">
        <f>INDEX(FFARawStatProjections!$BF:$BF,MATCH(N39,FFARawStatProjections!$BH:$BH,0))</f>
        <v>Tanner Brown</v>
      </c>
      <c r="M39" s="231" t="str">
        <f>INDEX(FFARawStatProjections!$BG:$BG,MATCH(Kproj!N39,FFARawStatProjections!$BH:$BH,0))</f>
        <v>LAR</v>
      </c>
      <c r="N39" s="490">
        <f>LARGE(FFARawStatProjections!BH:BH,J39)</f>
        <v>105.40798000000001</v>
      </c>
    </row>
    <row r="40" spans="1:14" customFormat="1" ht="15" customHeight="1" x14ac:dyDescent="0.25">
      <c r="A40" s="135"/>
      <c r="B40" s="3" t="str">
        <f>IF(AND(IFERROR(INDEX(Instructions!$T$111:$T$222,MATCH(D40,Instructions!$T$111:$T$222,0)), "")=D40, D40&lt;&gt;""), "X", "")</f>
        <v/>
      </c>
      <c r="C40" s="318" t="s">
        <v>1384</v>
      </c>
      <c r="D40" s="314" t="s">
        <v>2072</v>
      </c>
      <c r="E40" s="99" t="s">
        <v>152</v>
      </c>
      <c r="F40" s="284">
        <v>105.00799000000001</v>
      </c>
      <c r="G40" s="127"/>
      <c r="J40">
        <v>34</v>
      </c>
      <c r="L40" s="231" t="str">
        <f>INDEX(FFARawStatProjections!$BF:$BF,MATCH(N40,FFARawStatProjections!$BH:$BH,0))</f>
        <v>Joey Slye</v>
      </c>
      <c r="M40" s="231" t="str">
        <f>INDEX(FFARawStatProjections!$BG:$BG,MATCH(Kproj!N40,FFARawStatProjections!$BH:$BH,0))</f>
        <v>WAS</v>
      </c>
      <c r="N40" s="490">
        <f>LARGE(FFARawStatProjections!BH:BH,J40)</f>
        <v>105.00799000000001</v>
      </c>
    </row>
    <row r="41" spans="1:14" customFormat="1" ht="15" customHeight="1" x14ac:dyDescent="0.25">
      <c r="A41" s="134"/>
      <c r="B41" s="89"/>
      <c r="C41" s="134"/>
      <c r="D41" s="127"/>
      <c r="E41" s="127"/>
      <c r="F41" s="134"/>
      <c r="G41" s="127"/>
      <c r="L41" s="231"/>
      <c r="M41" s="231"/>
      <c r="N41" s="231"/>
    </row>
    <row r="42" spans="1:14" customFormat="1" ht="15" hidden="1" customHeight="1" x14ac:dyDescent="0.25">
      <c r="A42" s="231"/>
      <c r="B42" s="231"/>
      <c r="C42" s="231"/>
      <c r="D42" s="231"/>
      <c r="E42" s="231"/>
      <c r="F42" s="231"/>
      <c r="G42" s="231"/>
      <c r="L42" s="231"/>
      <c r="M42" s="231"/>
      <c r="N42" s="231"/>
    </row>
    <row r="43" spans="1:14" customFormat="1" ht="15" hidden="1" customHeight="1" x14ac:dyDescent="0.25">
      <c r="A43" s="231"/>
      <c r="B43" s="231"/>
      <c r="C43" s="231"/>
      <c r="D43" s="231"/>
      <c r="E43" s="231"/>
      <c r="F43" s="231"/>
      <c r="G43" s="231"/>
      <c r="L43" s="231"/>
      <c r="M43" s="231"/>
      <c r="N43" s="231"/>
    </row>
    <row r="44" spans="1:14" customFormat="1" ht="15" hidden="1" customHeight="1" x14ac:dyDescent="0.25">
      <c r="A44" s="231"/>
      <c r="B44" s="231"/>
      <c r="C44" s="231"/>
      <c r="D44" s="231"/>
      <c r="E44" s="231"/>
      <c r="F44" s="231"/>
      <c r="G44" s="231"/>
      <c r="L44" s="231"/>
      <c r="M44" s="231"/>
      <c r="N44" s="231"/>
    </row>
    <row r="45" spans="1:14" customFormat="1" ht="15" hidden="1" customHeight="1" x14ac:dyDescent="0.25">
      <c r="A45" s="231"/>
      <c r="B45" s="231"/>
      <c r="C45" s="231"/>
      <c r="D45" s="231"/>
      <c r="E45" s="231"/>
      <c r="F45" s="231"/>
      <c r="G45" s="231"/>
      <c r="L45" s="231"/>
      <c r="M45" s="231"/>
      <c r="N45" s="231"/>
    </row>
    <row r="46" spans="1:14" customFormat="1" ht="15" hidden="1" customHeight="1" x14ac:dyDescent="0.25">
      <c r="A46" s="231"/>
      <c r="B46" s="231"/>
      <c r="C46" s="231"/>
      <c r="D46" s="231"/>
      <c r="E46" s="231"/>
      <c r="F46" s="231"/>
      <c r="G46" s="231"/>
      <c r="H46" s="89"/>
      <c r="L46" s="231"/>
      <c r="M46" s="231"/>
      <c r="N46" s="231"/>
    </row>
  </sheetData>
  <sheetProtection sheet="1" objects="1" scenarios="1" selectLockedCells="1"/>
  <sortState xmlns:xlrd2="http://schemas.microsoft.com/office/spreadsheetml/2017/richdata2" ref="L7:N42">
    <sortCondition descending="1" ref="N7:N707"/>
    <sortCondition ref="L7:L707"/>
  </sortState>
  <customSheetViews>
    <customSheetView guid="{3F8A0846-2F87-40BF-8ED6-1DE413C2FC1A}" hiddenColumns="1">
      <selection activeCell="A2" sqref="A2"/>
      <pageMargins left="0.7" right="0.7" top="0.75" bottom="0.75" header="0.3" footer="0.3"/>
    </customSheetView>
    <customSheetView guid="{11E3893E-1244-4BD8-8481-55AC844C97C9}" hiddenColumns="1">
      <selection activeCell="A2" sqref="A2"/>
      <pageMargins left="0.7" right="0.7" top="0.75" bottom="0.75" header="0.3" footer="0.3"/>
    </customSheetView>
  </customSheetViews>
  <mergeCells count="3">
    <mergeCell ref="C5:C6"/>
    <mergeCell ref="D5:D6"/>
    <mergeCell ref="E5:E6"/>
  </mergeCells>
  <conditionalFormatting sqref="C7:F40">
    <cfRule type="expression" dxfId="0" priority="5">
      <formula>$B7="X"</formula>
    </cfRule>
  </conditionalFormatting>
  <pageMargins left="0.7" right="0.7" top="0.75" bottom="0.75" header="0.3" footer="0.3"/>
  <pageSetup orientation="portrait" horizontalDpi="30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0420" r:id="rId4" name="Button 4">
              <controlPr defaultSize="0" print="0" autoFill="0" autoPict="0" macro="[0]!Up">
                <anchor moveWithCells="1" sizeWithCells="1">
                  <from>
                    <xdr:col>3</xdr:col>
                    <xdr:colOff>9525</xdr:colOff>
                    <xdr:row>0</xdr:row>
                    <xdr:rowOff>19050</xdr:rowOff>
                  </from>
                  <to>
                    <xdr:col>4</xdr:col>
                    <xdr:colOff>0</xdr:colOff>
                    <xdr:row>2</xdr:row>
                    <xdr:rowOff>0</xdr:rowOff>
                  </to>
                </anchor>
              </controlPr>
            </control>
          </mc:Choice>
        </mc:AlternateContent>
        <mc:AlternateContent xmlns:mc="http://schemas.openxmlformats.org/markup-compatibility/2006">
          <mc:Choice Requires="x14">
            <control shapeId="60421" r:id="rId5" name="Button 5">
              <controlPr defaultSize="0" print="0" autoFill="0" autoPict="0" macro="[0]!Down">
                <anchor moveWithCells="1" sizeWithCells="1">
                  <from>
                    <xdr:col>3</xdr:col>
                    <xdr:colOff>9525</xdr:colOff>
                    <xdr:row>2</xdr:row>
                    <xdr:rowOff>9525</xdr:rowOff>
                  </from>
                  <to>
                    <xdr:col>4</xdr:col>
                    <xdr:colOff>0</xdr:colOff>
                    <xdr:row>4</xdr:row>
                    <xdr:rowOff>0</xdr:rowOff>
                  </to>
                </anchor>
              </controlPr>
            </control>
          </mc:Choice>
        </mc:AlternateContent>
        <mc:AlternateContent xmlns:mc="http://schemas.openxmlformats.org/markup-compatibility/2006">
          <mc:Choice Requires="x14">
            <control shapeId="60422" r:id="rId6" name="Button 6">
              <controlPr defaultSize="0" print="0" autoFill="0" autoPict="0" macro="[0]!K_Order">
                <anchor moveWithCells="1">
                  <from>
                    <xdr:col>4</xdr:col>
                    <xdr:colOff>285750</xdr:colOff>
                    <xdr:row>0</xdr:row>
                    <xdr:rowOff>123825</xdr:rowOff>
                  </from>
                  <to>
                    <xdr:col>6</xdr:col>
                    <xdr:colOff>0</xdr:colOff>
                    <xdr:row>3</xdr:row>
                    <xdr:rowOff>57150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
  <sheetViews>
    <sheetView workbookViewId="0">
      <selection sqref="A1:XFD1048576"/>
    </sheetView>
  </sheetViews>
  <sheetFormatPr defaultColWidth="9.140625" defaultRowHeight="15" x14ac:dyDescent="0.25"/>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7"/>
  <dimension ref="A1:BW970"/>
  <sheetViews>
    <sheetView workbookViewId="0">
      <pane ySplit="1" topLeftCell="A823" activePane="bottomLeft" state="frozen"/>
      <selection pane="bottomLeft" activeCell="F847" sqref="F847"/>
    </sheetView>
  </sheetViews>
  <sheetFormatPr defaultColWidth="9.28515625" defaultRowHeight="15" x14ac:dyDescent="0.25"/>
  <cols>
    <col min="1" max="1" width="36.28515625" customWidth="1"/>
    <col min="2" max="2" width="6.140625" bestFit="1" customWidth="1"/>
    <col min="3" max="3" width="8.28515625" customWidth="1"/>
    <col min="4" max="4" width="4.28515625" bestFit="1" customWidth="1"/>
    <col min="5" max="5" width="6.42578125" bestFit="1" customWidth="1"/>
    <col min="6" max="6" width="12" bestFit="1" customWidth="1"/>
    <col min="7" max="9" width="12" customWidth="1"/>
    <col min="10" max="10" width="15.7109375" customWidth="1"/>
    <col min="11" max="40" width="12" customWidth="1"/>
    <col min="41" max="41" width="5" customWidth="1"/>
    <col min="42" max="42" width="20" customWidth="1"/>
    <col min="43" max="43" width="5.140625" bestFit="1" customWidth="1"/>
    <col min="44" max="44" width="10.140625" bestFit="1" customWidth="1"/>
    <col min="45" max="45" width="8.42578125" customWidth="1"/>
    <col min="46" max="46" width="20.140625" bestFit="1" customWidth="1"/>
    <col min="47" max="47" width="5.140625" bestFit="1" customWidth="1"/>
    <col min="48" max="48" width="10.140625" bestFit="1" customWidth="1"/>
    <col min="49" max="49" width="12" customWidth="1"/>
    <col min="50" max="50" width="21.140625" bestFit="1" customWidth="1"/>
    <col min="51" max="51" width="5.140625" bestFit="1" customWidth="1"/>
    <col min="52" max="52" width="12" bestFit="1" customWidth="1"/>
    <col min="53" max="53" width="9.5703125" customWidth="1"/>
    <col min="54" max="54" width="22.7109375" bestFit="1" customWidth="1"/>
    <col min="55" max="55" width="5.140625" bestFit="1" customWidth="1"/>
    <col min="56" max="56" width="12" bestFit="1" customWidth="1"/>
    <col min="57" max="57" width="12" customWidth="1"/>
    <col min="58" max="58" width="19.85546875" bestFit="1" customWidth="1"/>
    <col min="59" max="59" width="5.140625" bestFit="1" customWidth="1"/>
    <col min="60" max="60" width="8.42578125" bestFit="1" customWidth="1"/>
    <col min="61" max="61" width="8.42578125" customWidth="1"/>
    <col min="62" max="62" width="11" bestFit="1" customWidth="1"/>
    <col min="63" max="63" width="5.140625" bestFit="1" customWidth="1"/>
    <col min="64" max="64" width="8.42578125" bestFit="1" customWidth="1"/>
    <col min="68" max="68" width="22.28515625" bestFit="1" customWidth="1"/>
    <col min="71" max="71" width="26.140625" bestFit="1" customWidth="1"/>
    <col min="73" max="73" width="18.140625" bestFit="1" customWidth="1"/>
  </cols>
  <sheetData>
    <row r="1" spans="1:75" ht="15.75" thickBot="1" x14ac:dyDescent="0.3">
      <c r="A1" s="568" t="s">
        <v>2022</v>
      </c>
      <c r="B1" s="568" t="s">
        <v>2024</v>
      </c>
      <c r="C1" s="568" t="s">
        <v>2023</v>
      </c>
      <c r="D1" s="568" t="s">
        <v>2025</v>
      </c>
      <c r="E1" s="568" t="s">
        <v>2026</v>
      </c>
      <c r="F1" s="568" t="s">
        <v>2027</v>
      </c>
      <c r="G1" s="568" t="s">
        <v>2028</v>
      </c>
      <c r="H1" s="568" t="s">
        <v>2029</v>
      </c>
      <c r="I1" s="568" t="s">
        <v>2030</v>
      </c>
      <c r="J1" s="568" t="s">
        <v>2031</v>
      </c>
      <c r="K1" s="568" t="s">
        <v>2032</v>
      </c>
      <c r="L1" s="568" t="s">
        <v>1314</v>
      </c>
      <c r="M1" s="568" t="s">
        <v>2033</v>
      </c>
      <c r="N1" s="568" t="s">
        <v>2034</v>
      </c>
      <c r="O1" s="568" t="s">
        <v>2035</v>
      </c>
      <c r="P1" s="568" t="s">
        <v>2036</v>
      </c>
      <c r="Q1" s="568" t="s">
        <v>2037</v>
      </c>
      <c r="R1" s="568" t="s">
        <v>2038</v>
      </c>
      <c r="S1" s="568" t="s">
        <v>2039</v>
      </c>
      <c r="T1" s="568" t="s">
        <v>2040</v>
      </c>
      <c r="U1" s="568" t="s">
        <v>2041</v>
      </c>
      <c r="V1" s="568" t="s">
        <v>2042</v>
      </c>
      <c r="W1" s="568" t="s">
        <v>2043</v>
      </c>
      <c r="X1" s="568" t="s">
        <v>2044</v>
      </c>
      <c r="Y1" s="568" t="s">
        <v>2045</v>
      </c>
      <c r="Z1" s="568" t="s">
        <v>2046</v>
      </c>
      <c r="AA1" s="568" t="s">
        <v>2047</v>
      </c>
      <c r="AB1" s="568" t="s">
        <v>2048</v>
      </c>
      <c r="AC1" s="568" t="s">
        <v>2049</v>
      </c>
      <c r="AD1" s="568" t="s">
        <v>2050</v>
      </c>
      <c r="AE1" s="568" t="s">
        <v>2051</v>
      </c>
      <c r="AF1" s="568" t="s">
        <v>2052</v>
      </c>
      <c r="AG1" s="568" t="s">
        <v>2053</v>
      </c>
      <c r="AH1" s="568" t="s">
        <v>2054</v>
      </c>
      <c r="AI1" s="568" t="s">
        <v>2055</v>
      </c>
      <c r="AJ1" s="568" t="s">
        <v>2056</v>
      </c>
      <c r="AK1" s="568" t="s">
        <v>2057</v>
      </c>
      <c r="AL1" s="568" t="s">
        <v>2058</v>
      </c>
      <c r="AM1" s="568" t="s">
        <v>1851</v>
      </c>
      <c r="AN1" s="569" t="s">
        <v>2115</v>
      </c>
      <c r="AP1" t="s">
        <v>1</v>
      </c>
      <c r="AQ1" t="s">
        <v>918</v>
      </c>
      <c r="AR1" t="s">
        <v>1242</v>
      </c>
      <c r="AT1" t="s">
        <v>3</v>
      </c>
      <c r="AU1" t="s">
        <v>918</v>
      </c>
      <c r="AV1" t="s">
        <v>1242</v>
      </c>
      <c r="AX1" t="s">
        <v>6</v>
      </c>
      <c r="AY1" t="s">
        <v>918</v>
      </c>
      <c r="AZ1" t="s">
        <v>1242</v>
      </c>
      <c r="BB1" t="s">
        <v>7</v>
      </c>
      <c r="BC1" t="s">
        <v>918</v>
      </c>
      <c r="BD1" t="s">
        <v>1242</v>
      </c>
      <c r="BF1" t="s">
        <v>11</v>
      </c>
      <c r="BG1" t="s">
        <v>918</v>
      </c>
      <c r="BH1" t="s">
        <v>1242</v>
      </c>
      <c r="BJ1" t="s">
        <v>160</v>
      </c>
      <c r="BK1" t="s">
        <v>918</v>
      </c>
      <c r="BL1" t="s">
        <v>1242</v>
      </c>
    </row>
    <row r="2" spans="1:75" ht="15" customHeight="1" thickBot="1" x14ac:dyDescent="0.3">
      <c r="A2" s="569" t="s">
        <v>1928</v>
      </c>
      <c r="B2" s="569" t="s">
        <v>136</v>
      </c>
      <c r="C2" s="569" t="s">
        <v>1</v>
      </c>
      <c r="D2" s="574">
        <v>10</v>
      </c>
      <c r="E2" s="569"/>
      <c r="F2" s="569"/>
      <c r="G2" s="569">
        <v>609.79999999999995</v>
      </c>
      <c r="H2" s="569">
        <v>405.6</v>
      </c>
      <c r="I2" s="574">
        <v>11.2</v>
      </c>
      <c r="J2" s="574">
        <v>37.700000000000003</v>
      </c>
      <c r="K2" s="574">
        <v>4830.1000000000004</v>
      </c>
      <c r="L2" s="574">
        <v>0</v>
      </c>
      <c r="M2" s="574">
        <v>0</v>
      </c>
      <c r="N2" s="574">
        <v>0</v>
      </c>
      <c r="O2" s="574">
        <v>64.900000000000006</v>
      </c>
      <c r="P2" s="574">
        <v>3.2</v>
      </c>
      <c r="Q2" s="574">
        <v>356.8</v>
      </c>
      <c r="R2" s="569"/>
      <c r="S2" s="569"/>
      <c r="T2" s="569"/>
      <c r="U2" s="569"/>
      <c r="V2" s="569"/>
      <c r="W2" s="569"/>
      <c r="X2" s="569"/>
      <c r="Y2" s="569"/>
      <c r="Z2" s="569"/>
      <c r="AA2" s="569"/>
      <c r="AB2" s="569"/>
      <c r="AC2" s="569"/>
      <c r="AD2" s="569"/>
      <c r="AE2" s="569"/>
      <c r="AF2" s="569"/>
      <c r="AG2" s="569"/>
      <c r="AH2" s="569"/>
      <c r="AI2" s="569"/>
      <c r="AJ2" s="569"/>
      <c r="AK2" s="569"/>
      <c r="AL2" s="569"/>
      <c r="AM2" s="569"/>
      <c r="AN2" s="574">
        <v>383.7</v>
      </c>
      <c r="AO2">
        <v>1</v>
      </c>
      <c r="AP2" t="str">
        <f t="shared" ref="AP2:AP19" si="0">IF($C2="QB",A2,"")</f>
        <v>Patrick Mahomes</v>
      </c>
      <c r="AQ2" t="str">
        <f>IFERROR(IF(AP2="","",$B2),"")</f>
        <v>KC</v>
      </c>
      <c r="AR2" s="430">
        <f>IFERROR(
IF(AP2="",-100,
IF($BV$2&gt;0, INDEX(Beersheet!$A:$U,MATCH(AP2,INDEX(Beersheet!$A:$U,0,FFARawStatProjections!$BV$2),0),$BV$3)+$BN2,
INDEX($A2:$BM2,,$BV$12)*$BW$12+
INDEX($A2:$BM2,,$BV$15)*$BW$15+
INDEX($A2:$BM2,,$BV$16)*$BW$16+
INDEX($A2:$BM2,,$BV$17)*$BW$17+
INDEX($A2:$BM2,,$BV$18)*$BW$18+
INDEX($A2:$BM2,,$BV$19)*$BW$19+
INDEX($A2:$BM2,,$BV$20)*$BW$20+
INDEX($A2:$BM2,,$BV$21)*$BW$21+
INDEX($A2:$BM2,,$BV$22)*$BW$22+
INDEX($A2:$BM2,,$BV$23)*$BW$23+
INDEX($A2:$BM2,,$BV$25)*$BW$25+
INDEX($A2:$BM2,,$BV$26)*$BW$26+
INDEX($A2:$BM2,,$BV$27)*$BW$27+
$BN2)),
$BN2-100)</f>
        <v>387.68401</v>
      </c>
      <c r="AT2" t="str">
        <f>IF($C2 = "RB", $A2, "")</f>
        <v/>
      </c>
      <c r="AU2" t="str">
        <f>IFERROR(IF(AT2="","",$B2),"")</f>
        <v/>
      </c>
      <c r="AV2" s="430">
        <f>IFERROR(
IF(AT2="",-100,
IF($BV$2&gt;0, INDEX(Beersheet!$A:$U,MATCH(AT2,INDEX(Beersheet!$A:$U,0,FFARawStatProjections!$BV$2),0),$BV$3)+$BN2,
INDEX($A2:$BM2,,$BV$12)*$BW$12+
INDEX($A2:$BM2,,$BV$15)*$BW$15+
INDEX($A2:$BM2,,$BV$16)*$BW$16+
INDEX($A2:$BM2,,$BV$17)*$BW$17+
INDEX($A2:$BM2,,$BV$18)*$BW$18+
INDEX($A2:$BM2,,$BV$19)*$BW$19+
INDEX($A2:$BM2,,$BV$20)*$BW$20+
INDEX($A2:$BM2,,$BV$21)*$BW$21+
INDEX($A2:$BM2,,$BV$22)*$BW$22+
INDEX($A2:$BM2,,$BV$23)*$BW$23+
INDEX($A2:$BM2,,$BV$25)*$BW$25+
INDEX($A2:$BM2,,$BV$26)*$BW$26+
INDEX($A2:$BM2,,$BV$27)*$BW$27+
$BN2)),
$BN2-100)</f>
        <v>-100</v>
      </c>
      <c r="AX2" t="str">
        <f>IF($C2 = "WR", $A2, "")</f>
        <v/>
      </c>
      <c r="AY2" t="str">
        <f>IFERROR(IF(AX2="","",$B2),"")</f>
        <v/>
      </c>
      <c r="AZ2" s="430">
        <f>IFERROR(
IF(AX2="",-100,
IF($BV$2&gt;0, INDEX(Beersheet!$A:$U,MATCH(AX2,INDEX(Beersheet!$A:$U,0,FFARawStatProjections!$BV$2),0),$BV$3)+$BN2,
INDEX($A2:$BM2,,$BV$12)*$BW$12+
INDEX($A2:$BM2,,$BV$15)*$BW$15+
INDEX($A2:$BM2,,$BV$16)*$BW$16+
INDEX($A2:$BM2,,$BV$17)*$BW$17+
INDEX($A2:$BM2,,$BV$18)*$BW$18+
INDEX($A2:$BM2,,$BV$19)*$BW$19+
INDEX($A2:$BM2,,$BV$20)*$BW$20+
INDEX($A2:$BM2,,$BV$21)*$BW$21+
INDEX($A2:$BM2,,$BV$22)*$BW$22+
INDEX($A2:$BM2,,$BV$23)*$BW$23+
INDEX($A2:$BM2,,$BV$25)*$BW$25+
INDEX($A2:$BM2,,$BV$26)*$BW$26+
INDEX($A2:$BM2,,$BV$27)*$BW$27+
$BN2)),
$BN2-100)</f>
        <v>-100</v>
      </c>
      <c r="BB2" t="str">
        <f>IF($C2 = "TE", $A2, "")</f>
        <v/>
      </c>
      <c r="BC2" t="str">
        <f>IFERROR(IF(BB2="","",$B2),"")</f>
        <v/>
      </c>
      <c r="BD2" s="430">
        <f>IFERROR(
IF(BB2="",-100,
IF($BV$2&gt;0, INDEX(Beersheet!$A:$U,MATCH(BB2,INDEX(Beersheet!$A:$U,0,FFARawStatProjections!$BV$2),0),$BV$3)+$BN2,
INDEX($A2:$BM2,,$BV$12)*$BW$12+
INDEX($A2:$BM2,,$BV$15)*$BW$15+
INDEX($A2:$BM2,,$BV$16)*$BW$16+
INDEX($A2:$BM2,,$BV$17)*$BW$17+
INDEX($A2:$BM2,,$BV$18)*$BW$18+
INDEX($A2:$BM2,,$BV$19)*$BW$19+
INDEX($A2:$BM2,,$BV$20)*$BW$20+
INDEX($A2:$BM2,,$BV$21)*$BW$21+
INDEX($A2:$BM2,,$BV$22)*$BW$22+
INDEX($A2:$BM2,,$BV$23)*$BW$23+
INDEX($A2:$BM2,,$BV$25)*$BW$25+
INDEX($A2:$BM2,,$BV$26)*$BW$26+
INDEX($A2:$BM2,,$BV$27)*$BW$27+
$BN2)),
$BN2-100)</f>
        <v>-100</v>
      </c>
      <c r="BF2" t="str">
        <f>IF($C2 = "K", $A2, "")</f>
        <v/>
      </c>
      <c r="BG2" t="str">
        <f>IFERROR(IF(BF2="","",$B2),"")</f>
        <v/>
      </c>
      <c r="BH2">
        <f>IFERROR(IF(BF2="",0,
AF2*3
+AG2*3
+AH2*3
+AI2*4
+AJ2*5
+BN2+AN2),"")</f>
        <v>0</v>
      </c>
      <c r="BJ2" t="str">
        <f>IF($C2 = "DST", $A2, "")</f>
        <v/>
      </c>
      <c r="BL2">
        <f t="shared" ref="BL2:BL65" si="1">IFERROR(IF(BJ2="",0,
V2*2+W2*2+X2*2+Z2*6+AA2*1+AB2*2+AC2*6
+AN2+BN2),"")</f>
        <v>0</v>
      </c>
      <c r="BN2">
        <v>1.0000000000000001E-5</v>
      </c>
      <c r="BS2" s="564" t="s">
        <v>2070</v>
      </c>
      <c r="BU2" t="s">
        <v>2131</v>
      </c>
      <c r="BV2">
        <f>IFERROR(MATCH("Name",Beersheet!1:1,0),0)</f>
        <v>0</v>
      </c>
    </row>
    <row r="3" spans="1:75" ht="15.75" thickBot="1" x14ac:dyDescent="0.3">
      <c r="A3" s="569" t="s">
        <v>1761</v>
      </c>
      <c r="B3" s="569" t="s">
        <v>156</v>
      </c>
      <c r="C3" s="569" t="s">
        <v>1</v>
      </c>
      <c r="D3" s="574">
        <v>13</v>
      </c>
      <c r="E3" s="569"/>
      <c r="F3" s="569"/>
      <c r="G3" s="569">
        <v>577</v>
      </c>
      <c r="H3" s="569">
        <v>364.1</v>
      </c>
      <c r="I3" s="574">
        <v>14.2</v>
      </c>
      <c r="J3" s="574">
        <v>32.1</v>
      </c>
      <c r="K3" s="574">
        <v>4285.3999999999996</v>
      </c>
      <c r="L3" s="574">
        <v>0</v>
      </c>
      <c r="M3" s="574">
        <v>0</v>
      </c>
      <c r="N3" s="574">
        <v>0</v>
      </c>
      <c r="O3" s="574">
        <v>116.6</v>
      </c>
      <c r="P3" s="574">
        <v>6.2</v>
      </c>
      <c r="Q3" s="574">
        <v>660</v>
      </c>
      <c r="R3" s="569"/>
      <c r="S3" s="569"/>
      <c r="T3" s="569"/>
      <c r="U3" s="569"/>
      <c r="V3" s="569"/>
      <c r="W3" s="569"/>
      <c r="X3" s="569"/>
      <c r="Y3" s="569"/>
      <c r="Z3" s="569"/>
      <c r="AA3" s="569"/>
      <c r="AB3" s="569"/>
      <c r="AC3" s="569"/>
      <c r="AD3" s="569"/>
      <c r="AE3" s="569"/>
      <c r="AF3" s="569"/>
      <c r="AG3" s="569"/>
      <c r="AH3" s="569"/>
      <c r="AI3" s="569"/>
      <c r="AJ3" s="569"/>
      <c r="AK3" s="569"/>
      <c r="AL3" s="569"/>
      <c r="AM3" s="569"/>
      <c r="AN3" s="574">
        <v>380.8</v>
      </c>
      <c r="AO3">
        <v>2</v>
      </c>
      <c r="AP3" t="str">
        <f t="shared" si="0"/>
        <v>Josh Allen</v>
      </c>
      <c r="AQ3" t="str">
        <f t="shared" ref="AQ3:AQ66" si="2">IFERROR(IF(AP3="","",$B3),"")</f>
        <v>BUF</v>
      </c>
      <c r="AR3" s="430">
        <f>IFERROR(
IF(AP3="",-100,
IF($BV$2&gt;0, INDEX(Beersheet!$A:$U,MATCH(AP3,INDEX(Beersheet!$A:$U,0,FFARawStatProjections!$BV$2),0),$BV$3)+$BN3,
INDEX($A3:$BM3,,$BV$12)*$BW$12+
INDEX($A3:$BM3,,$BV$15)*$BW$15+
INDEX($A3:$BM3,,$BV$16)*$BW$16+
INDEX($A3:$BM3,,$BV$17)*$BW$17+
INDEX($A3:$BM3,,$BV$18)*$BW$18+
INDEX($A3:$BM3,,$BV$19)*$BW$19+
INDEX($A3:$BM3,,$BV$20)*$BW$20+
INDEX($A3:$BM3,,$BV$21)*$BW$21+
INDEX($A3:$BM3,,$BV$22)*$BW$22+
INDEX($A3:$BM3,,$BV$23)*$BW$23+
INDEX($A3:$BM3,,$BV$25)*$BW$25+
INDEX($A3:$BM3,,$BV$26)*$BW$26+
INDEX($A3:$BM3,,$BV$27)*$BW$27+
$BN3)),
$BN3-100)</f>
        <v>388.81601999999998</v>
      </c>
      <c r="AT3" t="str">
        <f t="shared" ref="AT3:AT66" si="3">IF($C3 = "RB", $A3, "")</f>
        <v/>
      </c>
      <c r="AU3" t="str">
        <f t="shared" ref="AU3:AU66" si="4">IFERROR(IF(AT3="","",$B3),"")</f>
        <v/>
      </c>
      <c r="AV3" s="430">
        <f>IFERROR(
IF(AT3="",-100,
IF($BV$2&gt;0, INDEX(Beersheet!$A:$U,MATCH(AT3,INDEX(Beersheet!$A:$U,0,FFARawStatProjections!$BV$2),0),$BV$3)+$BN3,
INDEX($A3:$BM3,,$BV$12)*$BW$12+
INDEX($A3:$BM3,,$BV$15)*$BW$15+
INDEX($A3:$BM3,,$BV$16)*$BW$16+
INDEX($A3:$BM3,,$BV$17)*$BW$17+
INDEX($A3:$BM3,,$BV$18)*$BW$18+
INDEX($A3:$BM3,,$BV$19)*$BW$19+
INDEX($A3:$BM3,,$BV$20)*$BW$20+
INDEX($A3:$BM3,,$BV$21)*$BW$21+
INDEX($A3:$BM3,,$BV$22)*$BW$22+
INDEX($A3:$BM3,,$BV$23)*$BW$23+
INDEX($A3:$BM3,,$BV$25)*$BW$25+
INDEX($A3:$BM3,,$BV$26)*$BW$26+
INDEX($A3:$BM3,,$BV$27)*$BW$27+
$BN3)),
$BN3-100)</f>
        <v>-100</v>
      </c>
      <c r="AX3" t="str">
        <f t="shared" ref="AX3:AX66" si="5">IF($C3 = "WR", $A3, "")</f>
        <v/>
      </c>
      <c r="AY3" t="str">
        <f t="shared" ref="AY3:AY66" si="6">IFERROR(IF(AX3="","",$B3),"")</f>
        <v/>
      </c>
      <c r="AZ3" s="430">
        <f>IFERROR(
IF(AX3="",-100,
IF($BV$2&gt;0, INDEX(Beersheet!$A:$U,MATCH(AX3,INDEX(Beersheet!$A:$U,0,FFARawStatProjections!$BV$2),0),$BV$3)+$BN3,
INDEX($A3:$BM3,,$BV$12)*$BW$12+
INDEX($A3:$BM3,,$BV$15)*$BW$15+
INDEX($A3:$BM3,,$BV$16)*$BW$16+
INDEX($A3:$BM3,,$BV$17)*$BW$17+
INDEX($A3:$BM3,,$BV$18)*$BW$18+
INDEX($A3:$BM3,,$BV$19)*$BW$19+
INDEX($A3:$BM3,,$BV$20)*$BW$20+
INDEX($A3:$BM3,,$BV$21)*$BW$21+
INDEX($A3:$BM3,,$BV$22)*$BW$22+
INDEX($A3:$BM3,,$BV$23)*$BW$23+
INDEX($A3:$BM3,,$BV$25)*$BW$25+
INDEX($A3:$BM3,,$BV$26)*$BW$26+
INDEX($A3:$BM3,,$BV$27)*$BW$27+
$BN3)),
$BN3-100)</f>
        <v>-100</v>
      </c>
      <c r="BB3" t="str">
        <f t="shared" ref="BB3:BB66" si="7">IF($C3 = "TE", $A3, "")</f>
        <v/>
      </c>
      <c r="BC3" t="str">
        <f t="shared" ref="BC3:BC65" si="8">IFERROR(IF(BB3="","",$B3),"")</f>
        <v/>
      </c>
      <c r="BD3" s="430">
        <f>IFERROR(
IF(BB3="",-100,
IF($BV$2&gt;0, INDEX(Beersheet!$A:$U,MATCH(BB3,INDEX(Beersheet!$A:$U,0,FFARawStatProjections!$BV$2),0),$BV$3)+$BN3,
INDEX($A3:$BM3,,$BV$12)*$BW$12+
INDEX($A3:$BM3,,$BV$15)*$BW$15+
INDEX($A3:$BM3,,$BV$16)*$BW$16+
INDEX($A3:$BM3,,$BV$17)*$BW$17+
INDEX($A3:$BM3,,$BV$18)*$BW$18+
INDEX($A3:$BM3,,$BV$19)*$BW$19+
INDEX($A3:$BM3,,$BV$20)*$BW$20+
INDEX($A3:$BM3,,$BV$21)*$BW$21+
INDEX($A3:$BM3,,$BV$22)*$BW$22+
INDEX($A3:$BM3,,$BV$23)*$BW$23+
INDEX($A3:$BM3,,$BV$25)*$BW$25+
INDEX($A3:$BM3,,$BV$26)*$BW$26+
INDEX($A3:$BM3,,$BV$27)*$BW$27+
$BN3)),
$BN3-100)</f>
        <v>-100</v>
      </c>
      <c r="BF3" t="str">
        <f t="shared" ref="BF3:BF66" si="9">IF($C3 = "K", $A3, "")</f>
        <v/>
      </c>
      <c r="BG3" t="str">
        <f t="shared" ref="BG3:BG66" si="10">IFERROR(IF(BF3="","",$B3),"")</f>
        <v/>
      </c>
      <c r="BH3">
        <f t="shared" ref="BH3:BH66" si="11">IFERROR(IF(BF3="",0,
AF3*3
+AG3*3
+AH3*3
+AI3*4
+AJ3*5
+BN3+AN3),"")</f>
        <v>0</v>
      </c>
      <c r="BJ3" t="str">
        <f t="shared" ref="BJ3:BJ66" si="12">IF($C3 = "DST", $A3, "")</f>
        <v/>
      </c>
      <c r="BL3">
        <f t="shared" si="1"/>
        <v>0</v>
      </c>
      <c r="BN3">
        <v>2.0000000000000002E-5</v>
      </c>
      <c r="BS3" s="4" t="s">
        <v>1436</v>
      </c>
      <c r="BU3" t="s">
        <v>2132</v>
      </c>
      <c r="BV3">
        <f>IFERROR(MATCH("Average",Beersheet!1:1,0),0)</f>
        <v>0</v>
      </c>
    </row>
    <row r="4" spans="1:75" ht="15" customHeight="1" thickBot="1" x14ac:dyDescent="0.3">
      <c r="A4" s="569" t="s">
        <v>2108</v>
      </c>
      <c r="B4" s="569" t="s">
        <v>137</v>
      </c>
      <c r="C4" s="569" t="s">
        <v>1</v>
      </c>
      <c r="D4" s="574">
        <v>10</v>
      </c>
      <c r="E4" s="569"/>
      <c r="F4" s="569"/>
      <c r="G4" s="569">
        <v>493.6</v>
      </c>
      <c r="H4" s="569">
        <v>317.8</v>
      </c>
      <c r="I4" s="574">
        <v>10.1</v>
      </c>
      <c r="J4" s="574">
        <v>23.5</v>
      </c>
      <c r="K4" s="574">
        <v>3803.6</v>
      </c>
      <c r="L4" s="574">
        <v>0</v>
      </c>
      <c r="M4" s="574">
        <v>0</v>
      </c>
      <c r="N4" s="574">
        <v>0</v>
      </c>
      <c r="O4" s="574">
        <v>157.69999999999999</v>
      </c>
      <c r="P4" s="574">
        <v>11</v>
      </c>
      <c r="Q4" s="574">
        <v>800.4</v>
      </c>
      <c r="R4" s="569"/>
      <c r="S4" s="569"/>
      <c r="T4" s="569"/>
      <c r="U4" s="569"/>
      <c r="V4" s="569"/>
      <c r="W4" s="569"/>
      <c r="X4" s="569"/>
      <c r="Y4" s="569"/>
      <c r="Z4" s="569"/>
      <c r="AA4" s="569"/>
      <c r="AB4" s="569"/>
      <c r="AC4" s="569"/>
      <c r="AD4" s="569"/>
      <c r="AE4" s="569"/>
      <c r="AF4" s="569"/>
      <c r="AG4" s="569"/>
      <c r="AH4" s="569"/>
      <c r="AI4" s="569"/>
      <c r="AJ4" s="569"/>
      <c r="AK4" s="569"/>
      <c r="AL4" s="569"/>
      <c r="AM4" s="569"/>
      <c r="AN4" s="574">
        <v>376.3</v>
      </c>
      <c r="AO4">
        <v>3</v>
      </c>
      <c r="AP4" t="str">
        <f t="shared" si="0"/>
        <v>Jalen Hurts</v>
      </c>
      <c r="AQ4" t="str">
        <f t="shared" si="2"/>
        <v>PHI</v>
      </c>
      <c r="AR4" s="430">
        <f>IFERROR(
IF(AP4="",-100,
IF($BV$2&gt;0, INDEX(Beersheet!$A:$U,MATCH(AP4,INDEX(Beersheet!$A:$U,0,FFARawStatProjections!$BV$2),0),$BV$3)+$BN4,
INDEX($A4:$BM4,,$BV$12)*$BW$12+
INDEX($A4:$BM4,,$BV$15)*$BW$15+
INDEX($A4:$BM4,,$BV$16)*$BW$16+
INDEX($A4:$BM4,,$BV$17)*$BW$17+
INDEX($A4:$BM4,,$BV$18)*$BW$18+
INDEX($A4:$BM4,,$BV$19)*$BW$19+
INDEX($A4:$BM4,,$BV$20)*$BW$20+
INDEX($A4:$BM4,,$BV$21)*$BW$21+
INDEX($A4:$BM4,,$BV$22)*$BW$22+
INDEX($A4:$BM4,,$BV$23)*$BW$23+
INDEX($A4:$BM4,,$BV$25)*$BW$25+
INDEX($A4:$BM4,,$BV$26)*$BW$26+
INDEX($A4:$BM4,,$BV$27)*$BW$27+
$BN4)),
$BN4-100)</f>
        <v>382.08402999999998</v>
      </c>
      <c r="AT4" t="str">
        <f t="shared" si="3"/>
        <v/>
      </c>
      <c r="AU4" t="str">
        <f t="shared" si="4"/>
        <v/>
      </c>
      <c r="AV4" s="430">
        <f>IFERROR(
IF(AT4="",-100,
IF($BV$2&gt;0, INDEX(Beersheet!$A:$U,MATCH(AT4,INDEX(Beersheet!$A:$U,0,FFARawStatProjections!$BV$2),0),$BV$3)+$BN4,
INDEX($A4:$BM4,,$BV$12)*$BW$12+
INDEX($A4:$BM4,,$BV$15)*$BW$15+
INDEX($A4:$BM4,,$BV$16)*$BW$16+
INDEX($A4:$BM4,,$BV$17)*$BW$17+
INDEX($A4:$BM4,,$BV$18)*$BW$18+
INDEX($A4:$BM4,,$BV$19)*$BW$19+
INDEX($A4:$BM4,,$BV$20)*$BW$20+
INDEX($A4:$BM4,,$BV$21)*$BW$21+
INDEX($A4:$BM4,,$BV$22)*$BW$22+
INDEX($A4:$BM4,,$BV$23)*$BW$23+
INDEX($A4:$BM4,,$BV$25)*$BW$25+
INDEX($A4:$BM4,,$BV$26)*$BW$26+
INDEX($A4:$BM4,,$BV$27)*$BW$27+
$BN4)),
$BN4-100)</f>
        <v>-100</v>
      </c>
      <c r="AX4" t="str">
        <f t="shared" si="5"/>
        <v/>
      </c>
      <c r="AY4" t="str">
        <f t="shared" si="6"/>
        <v/>
      </c>
      <c r="AZ4" s="430">
        <f>IFERROR(
IF(AX4="",-100,
IF($BV$2&gt;0, INDEX(Beersheet!$A:$U,MATCH(AX4,INDEX(Beersheet!$A:$U,0,FFARawStatProjections!$BV$2),0),$BV$3)+$BN4,
INDEX($A4:$BM4,,$BV$12)*$BW$12+
INDEX($A4:$BM4,,$BV$15)*$BW$15+
INDEX($A4:$BM4,,$BV$16)*$BW$16+
INDEX($A4:$BM4,,$BV$17)*$BW$17+
INDEX($A4:$BM4,,$BV$18)*$BW$18+
INDEX($A4:$BM4,,$BV$19)*$BW$19+
INDEX($A4:$BM4,,$BV$20)*$BW$20+
INDEX($A4:$BM4,,$BV$21)*$BW$21+
INDEX($A4:$BM4,,$BV$22)*$BW$22+
INDEX($A4:$BM4,,$BV$23)*$BW$23+
INDEX($A4:$BM4,,$BV$25)*$BW$25+
INDEX($A4:$BM4,,$BV$26)*$BW$26+
INDEX($A4:$BM4,,$BV$27)*$BW$27+
$BN4)),
$BN4-100)</f>
        <v>-100</v>
      </c>
      <c r="BB4" t="str">
        <f t="shared" si="7"/>
        <v/>
      </c>
      <c r="BC4" t="str">
        <f t="shared" si="8"/>
        <v/>
      </c>
      <c r="BD4" s="430">
        <f>IFERROR(
IF(BB4="",-100,
IF($BV$2&gt;0, INDEX(Beersheet!$A:$U,MATCH(BB4,INDEX(Beersheet!$A:$U,0,FFARawStatProjections!$BV$2),0),$BV$3)+$BN4,
INDEX($A4:$BM4,,$BV$12)*$BW$12+
INDEX($A4:$BM4,,$BV$15)*$BW$15+
INDEX($A4:$BM4,,$BV$16)*$BW$16+
INDEX($A4:$BM4,,$BV$17)*$BW$17+
INDEX($A4:$BM4,,$BV$18)*$BW$18+
INDEX($A4:$BM4,,$BV$19)*$BW$19+
INDEX($A4:$BM4,,$BV$20)*$BW$20+
INDEX($A4:$BM4,,$BV$21)*$BW$21+
INDEX($A4:$BM4,,$BV$22)*$BW$22+
INDEX($A4:$BM4,,$BV$23)*$BW$23+
INDEX($A4:$BM4,,$BV$25)*$BW$25+
INDEX($A4:$BM4,,$BV$26)*$BW$26+
INDEX($A4:$BM4,,$BV$27)*$BW$27+
$BN4)),
$BN4-100)</f>
        <v>-100</v>
      </c>
      <c r="BF4" t="str">
        <f t="shared" si="9"/>
        <v/>
      </c>
      <c r="BG4" t="str">
        <f t="shared" si="10"/>
        <v/>
      </c>
      <c r="BH4">
        <f t="shared" si="11"/>
        <v>0</v>
      </c>
      <c r="BJ4" t="str">
        <f t="shared" si="12"/>
        <v/>
      </c>
      <c r="BL4">
        <f t="shared" si="1"/>
        <v>0</v>
      </c>
      <c r="BN4">
        <v>3.0000000000000001E-5</v>
      </c>
      <c r="BS4" s="4" t="s">
        <v>13</v>
      </c>
      <c r="BU4" t="s">
        <v>2133</v>
      </c>
      <c r="BV4">
        <f>IFERROR(MATCH("Pos",Beersheet!1:1,0),0)</f>
        <v>0</v>
      </c>
    </row>
    <row r="5" spans="1:75" ht="15" customHeight="1" thickBot="1" x14ac:dyDescent="0.3">
      <c r="A5" s="569" t="s">
        <v>1764</v>
      </c>
      <c r="B5" s="569" t="s">
        <v>162</v>
      </c>
      <c r="C5" s="569" t="s">
        <v>1</v>
      </c>
      <c r="D5" s="574">
        <v>13</v>
      </c>
      <c r="E5" s="569"/>
      <c r="F5" s="569"/>
      <c r="G5" s="569">
        <v>481.8</v>
      </c>
      <c r="H5" s="569">
        <v>305.89999999999998</v>
      </c>
      <c r="I5" s="574">
        <v>11.6</v>
      </c>
      <c r="J5" s="574">
        <v>25.6</v>
      </c>
      <c r="K5" s="574">
        <v>3488.8</v>
      </c>
      <c r="L5" s="574">
        <v>0</v>
      </c>
      <c r="M5" s="574">
        <v>0</v>
      </c>
      <c r="N5" s="574">
        <v>0</v>
      </c>
      <c r="O5" s="574">
        <v>148</v>
      </c>
      <c r="P5" s="574">
        <v>5.5</v>
      </c>
      <c r="Q5" s="574">
        <v>938.4</v>
      </c>
      <c r="R5" s="569"/>
      <c r="S5" s="569"/>
      <c r="T5" s="569"/>
      <c r="U5" s="569"/>
      <c r="V5" s="569"/>
      <c r="W5" s="569"/>
      <c r="X5" s="569"/>
      <c r="Y5" s="569"/>
      <c r="Z5" s="569"/>
      <c r="AA5" s="569"/>
      <c r="AB5" s="569"/>
      <c r="AC5" s="569"/>
      <c r="AD5" s="569"/>
      <c r="AE5" s="569"/>
      <c r="AF5" s="569"/>
      <c r="AG5" s="569"/>
      <c r="AH5" s="569"/>
      <c r="AI5" s="569"/>
      <c r="AJ5" s="569"/>
      <c r="AK5" s="569"/>
      <c r="AL5" s="569"/>
      <c r="AM5" s="569"/>
      <c r="AN5" s="574">
        <v>350.9</v>
      </c>
      <c r="AO5">
        <v>4</v>
      </c>
      <c r="AP5" t="str">
        <f t="shared" si="0"/>
        <v>Lamar Jackson</v>
      </c>
      <c r="AQ5" t="str">
        <f t="shared" si="2"/>
        <v>BAL</v>
      </c>
      <c r="AR5" s="430">
        <f>IFERROR(
IF(AP5="",-100,
IF($BV$2&gt;0, INDEX(Beersheet!$A:$U,MATCH(AP5,INDEX(Beersheet!$A:$U,0,FFARawStatProjections!$BV$2),0),$BV$3)+$BN5,
INDEX($A5:$BM5,,$BV$12)*$BW$12+
INDEX($A5:$BM5,,$BV$15)*$BW$15+
INDEX($A5:$BM5,,$BV$16)*$BW$16+
INDEX($A5:$BM5,,$BV$17)*$BW$17+
INDEX($A5:$BM5,,$BV$18)*$BW$18+
INDEX($A5:$BM5,,$BV$19)*$BW$19+
INDEX($A5:$BM5,,$BV$20)*$BW$20+
INDEX($A5:$BM5,,$BV$21)*$BW$21+
INDEX($A5:$BM5,,$BV$22)*$BW$22+
INDEX($A5:$BM5,,$BV$23)*$BW$23+
INDEX($A5:$BM5,,$BV$25)*$BW$25+
INDEX($A5:$BM5,,$BV$26)*$BW$26+
INDEX($A5:$BM5,,$BV$27)*$BW$27+
$BN5)),
$BN5-100)</f>
        <v>357.19204000000002</v>
      </c>
      <c r="AT5" t="str">
        <f t="shared" si="3"/>
        <v/>
      </c>
      <c r="AU5" t="str">
        <f t="shared" si="4"/>
        <v/>
      </c>
      <c r="AV5" s="430">
        <f>IFERROR(
IF(AT5="",-100,
IF($BV$2&gt;0, INDEX(Beersheet!$A:$U,MATCH(AT5,INDEX(Beersheet!$A:$U,0,FFARawStatProjections!$BV$2),0),$BV$3)+$BN5,
INDEX($A5:$BM5,,$BV$12)*$BW$12+
INDEX($A5:$BM5,,$BV$15)*$BW$15+
INDEX($A5:$BM5,,$BV$16)*$BW$16+
INDEX($A5:$BM5,,$BV$17)*$BW$17+
INDEX($A5:$BM5,,$BV$18)*$BW$18+
INDEX($A5:$BM5,,$BV$19)*$BW$19+
INDEX($A5:$BM5,,$BV$20)*$BW$20+
INDEX($A5:$BM5,,$BV$21)*$BW$21+
INDEX($A5:$BM5,,$BV$22)*$BW$22+
INDEX($A5:$BM5,,$BV$23)*$BW$23+
INDEX($A5:$BM5,,$BV$25)*$BW$25+
INDEX($A5:$BM5,,$BV$26)*$BW$26+
INDEX($A5:$BM5,,$BV$27)*$BW$27+
$BN5)),
$BN5-100)</f>
        <v>-100</v>
      </c>
      <c r="AX5" t="str">
        <f t="shared" si="5"/>
        <v/>
      </c>
      <c r="AY5" t="str">
        <f t="shared" si="6"/>
        <v/>
      </c>
      <c r="AZ5" s="430">
        <f>IFERROR(
IF(AX5="",-100,
IF($BV$2&gt;0, INDEX(Beersheet!$A:$U,MATCH(AX5,INDEX(Beersheet!$A:$U,0,FFARawStatProjections!$BV$2),0),$BV$3)+$BN5,
INDEX($A5:$BM5,,$BV$12)*$BW$12+
INDEX($A5:$BM5,,$BV$15)*$BW$15+
INDEX($A5:$BM5,,$BV$16)*$BW$16+
INDEX($A5:$BM5,,$BV$17)*$BW$17+
INDEX($A5:$BM5,,$BV$18)*$BW$18+
INDEX($A5:$BM5,,$BV$19)*$BW$19+
INDEX($A5:$BM5,,$BV$20)*$BW$20+
INDEX($A5:$BM5,,$BV$21)*$BW$21+
INDEX($A5:$BM5,,$BV$22)*$BW$22+
INDEX($A5:$BM5,,$BV$23)*$BW$23+
INDEX($A5:$BM5,,$BV$25)*$BW$25+
INDEX($A5:$BM5,,$BV$26)*$BW$26+
INDEX($A5:$BM5,,$BV$27)*$BW$27+
$BN5)),
$BN5-100)</f>
        <v>-100</v>
      </c>
      <c r="BB5" t="str">
        <f t="shared" si="7"/>
        <v/>
      </c>
      <c r="BC5" t="str">
        <f t="shared" si="8"/>
        <v/>
      </c>
      <c r="BD5" s="430">
        <f>IFERROR(
IF(BB5="",-100,
IF($BV$2&gt;0, INDEX(Beersheet!$A:$U,MATCH(BB5,INDEX(Beersheet!$A:$U,0,FFARawStatProjections!$BV$2),0),$BV$3)+$BN5,
INDEX($A5:$BM5,,$BV$12)*$BW$12+
INDEX($A5:$BM5,,$BV$15)*$BW$15+
INDEX($A5:$BM5,,$BV$16)*$BW$16+
INDEX($A5:$BM5,,$BV$17)*$BW$17+
INDEX($A5:$BM5,,$BV$18)*$BW$18+
INDEX($A5:$BM5,,$BV$19)*$BW$19+
INDEX($A5:$BM5,,$BV$20)*$BW$20+
INDEX($A5:$BM5,,$BV$21)*$BW$21+
INDEX($A5:$BM5,,$BV$22)*$BW$22+
INDEX($A5:$BM5,,$BV$23)*$BW$23+
INDEX($A5:$BM5,,$BV$25)*$BW$25+
INDEX($A5:$BM5,,$BV$26)*$BW$26+
INDEX($A5:$BM5,,$BV$27)*$BW$27+
$BN5)),
$BN5-100)</f>
        <v>-100</v>
      </c>
      <c r="BF5" t="str">
        <f t="shared" si="9"/>
        <v/>
      </c>
      <c r="BG5" t="str">
        <f t="shared" si="10"/>
        <v/>
      </c>
      <c r="BH5">
        <f t="shared" si="11"/>
        <v>0</v>
      </c>
      <c r="BJ5" t="str">
        <f t="shared" si="12"/>
        <v/>
      </c>
      <c r="BL5">
        <f t="shared" si="1"/>
        <v>0</v>
      </c>
      <c r="BN5">
        <v>4.0000000000000003E-5</v>
      </c>
      <c r="BS5" s="4" t="s">
        <v>2314</v>
      </c>
      <c r="BU5" t="s">
        <v>2134</v>
      </c>
      <c r="BV5">
        <f>IFERROR(MATCH("Stdev",Beersheet!1:1,0),0)</f>
        <v>0</v>
      </c>
    </row>
    <row r="6" spans="1:75" ht="15.75" thickBot="1" x14ac:dyDescent="0.3">
      <c r="A6" s="569" t="s">
        <v>2083</v>
      </c>
      <c r="B6" s="569" t="s">
        <v>145</v>
      </c>
      <c r="C6" s="569" t="s">
        <v>1</v>
      </c>
      <c r="D6" s="574">
        <v>7</v>
      </c>
      <c r="E6" s="569"/>
      <c r="F6" s="569"/>
      <c r="G6" s="569">
        <v>591.29999999999995</v>
      </c>
      <c r="H6" s="569">
        <v>402</v>
      </c>
      <c r="I6" s="574">
        <v>12.9</v>
      </c>
      <c r="J6" s="574">
        <v>32.700000000000003</v>
      </c>
      <c r="K6" s="574">
        <v>4589.8999999999996</v>
      </c>
      <c r="L6" s="574">
        <v>0</v>
      </c>
      <c r="M6" s="574">
        <v>0</v>
      </c>
      <c r="N6" s="574">
        <v>0</v>
      </c>
      <c r="O6" s="574">
        <v>63.8</v>
      </c>
      <c r="P6" s="574">
        <v>3.7</v>
      </c>
      <c r="Q6" s="574">
        <v>269.3</v>
      </c>
      <c r="R6" s="569"/>
      <c r="S6" s="569"/>
      <c r="T6" s="569"/>
      <c r="U6" s="569"/>
      <c r="V6" s="569"/>
      <c r="W6" s="569"/>
      <c r="X6" s="569"/>
      <c r="Y6" s="569"/>
      <c r="Z6" s="569"/>
      <c r="AA6" s="569"/>
      <c r="AB6" s="569"/>
      <c r="AC6" s="569"/>
      <c r="AD6" s="569"/>
      <c r="AE6" s="569"/>
      <c r="AF6" s="569"/>
      <c r="AG6" s="569"/>
      <c r="AH6" s="569"/>
      <c r="AI6" s="569"/>
      <c r="AJ6" s="569"/>
      <c r="AK6" s="569"/>
      <c r="AL6" s="569"/>
      <c r="AM6" s="569"/>
      <c r="AN6" s="574">
        <v>346.1</v>
      </c>
      <c r="AO6">
        <v>5</v>
      </c>
      <c r="AP6" t="str">
        <f t="shared" si="0"/>
        <v>Joe Burrow</v>
      </c>
      <c r="AQ6" t="str">
        <f t="shared" si="2"/>
        <v>CIN</v>
      </c>
      <c r="AR6" s="430">
        <f>IFERROR(
IF(AP6="",-100,
IF($BV$2&gt;0, INDEX(Beersheet!$A:$U,MATCH(AP6,INDEX(Beersheet!$A:$U,0,FFARawStatProjections!$BV$2),0),$BV$3)+$BN6,
INDEX($A6:$BM6,,$BV$12)*$BW$12+
INDEX($A6:$BM6,,$BV$15)*$BW$15+
INDEX($A6:$BM6,,$BV$16)*$BW$16+
INDEX($A6:$BM6,,$BV$17)*$BW$17+
INDEX($A6:$BM6,,$BV$18)*$BW$18+
INDEX($A6:$BM6,,$BV$19)*$BW$19+
INDEX($A6:$BM6,,$BV$20)*$BW$20+
INDEX($A6:$BM6,,$BV$21)*$BW$21+
INDEX($A6:$BM6,,$BV$22)*$BW$22+
INDEX($A6:$BM6,,$BV$23)*$BW$23+
INDEX($A6:$BM6,,$BV$25)*$BW$25+
INDEX($A6:$BM6,,$BV$26)*$BW$26+
INDEX($A6:$BM6,,$BV$27)*$BW$27+
$BN6)),
$BN6-100)</f>
        <v>350.62604999999996</v>
      </c>
      <c r="AT6" t="str">
        <f t="shared" si="3"/>
        <v/>
      </c>
      <c r="AU6" t="str">
        <f t="shared" si="4"/>
        <v/>
      </c>
      <c r="AV6" s="430">
        <f>IFERROR(
IF(AT6="",-100,
IF($BV$2&gt;0, INDEX(Beersheet!$A:$U,MATCH(AT6,INDEX(Beersheet!$A:$U,0,FFARawStatProjections!$BV$2),0),$BV$3)+$BN6,
INDEX($A6:$BM6,,$BV$12)*$BW$12+
INDEX($A6:$BM6,,$BV$15)*$BW$15+
INDEX($A6:$BM6,,$BV$16)*$BW$16+
INDEX($A6:$BM6,,$BV$17)*$BW$17+
INDEX($A6:$BM6,,$BV$18)*$BW$18+
INDEX($A6:$BM6,,$BV$19)*$BW$19+
INDEX($A6:$BM6,,$BV$20)*$BW$20+
INDEX($A6:$BM6,,$BV$21)*$BW$21+
INDEX($A6:$BM6,,$BV$22)*$BW$22+
INDEX($A6:$BM6,,$BV$23)*$BW$23+
INDEX($A6:$BM6,,$BV$25)*$BW$25+
INDEX($A6:$BM6,,$BV$26)*$BW$26+
INDEX($A6:$BM6,,$BV$27)*$BW$27+
$BN6)),
$BN6-100)</f>
        <v>-100</v>
      </c>
      <c r="AX6" t="str">
        <f t="shared" si="5"/>
        <v/>
      </c>
      <c r="AY6" t="str">
        <f t="shared" si="6"/>
        <v/>
      </c>
      <c r="AZ6" s="430">
        <f>IFERROR(
IF(AX6="",-100,
IF($BV$2&gt;0, INDEX(Beersheet!$A:$U,MATCH(AX6,INDEX(Beersheet!$A:$U,0,FFARawStatProjections!$BV$2),0),$BV$3)+$BN6,
INDEX($A6:$BM6,,$BV$12)*$BW$12+
INDEX($A6:$BM6,,$BV$15)*$BW$15+
INDEX($A6:$BM6,,$BV$16)*$BW$16+
INDEX($A6:$BM6,,$BV$17)*$BW$17+
INDEX($A6:$BM6,,$BV$18)*$BW$18+
INDEX($A6:$BM6,,$BV$19)*$BW$19+
INDEX($A6:$BM6,,$BV$20)*$BW$20+
INDEX($A6:$BM6,,$BV$21)*$BW$21+
INDEX($A6:$BM6,,$BV$22)*$BW$22+
INDEX($A6:$BM6,,$BV$23)*$BW$23+
INDEX($A6:$BM6,,$BV$25)*$BW$25+
INDEX($A6:$BM6,,$BV$26)*$BW$26+
INDEX($A6:$BM6,,$BV$27)*$BW$27+
$BN6)),
$BN6-100)</f>
        <v>-100</v>
      </c>
      <c r="BB6" t="str">
        <f t="shared" si="7"/>
        <v/>
      </c>
      <c r="BC6" t="str">
        <f t="shared" si="8"/>
        <v/>
      </c>
      <c r="BD6" s="430">
        <f>IFERROR(
IF(BB6="",-100,
IF($BV$2&gt;0, INDEX(Beersheet!$A:$U,MATCH(BB6,INDEX(Beersheet!$A:$U,0,FFARawStatProjections!$BV$2),0),$BV$3)+$BN6,
INDEX($A6:$BM6,,$BV$12)*$BW$12+
INDEX($A6:$BM6,,$BV$15)*$BW$15+
INDEX($A6:$BM6,,$BV$16)*$BW$16+
INDEX($A6:$BM6,,$BV$17)*$BW$17+
INDEX($A6:$BM6,,$BV$18)*$BW$18+
INDEX($A6:$BM6,,$BV$19)*$BW$19+
INDEX($A6:$BM6,,$BV$20)*$BW$20+
INDEX($A6:$BM6,,$BV$21)*$BW$21+
INDEX($A6:$BM6,,$BV$22)*$BW$22+
INDEX($A6:$BM6,,$BV$23)*$BW$23+
INDEX($A6:$BM6,,$BV$25)*$BW$25+
INDEX($A6:$BM6,,$BV$26)*$BW$26+
INDEX($A6:$BM6,,$BV$27)*$BW$27+
$BN6)),
$BN6-100)</f>
        <v>-100</v>
      </c>
      <c r="BF6" t="str">
        <f t="shared" si="9"/>
        <v/>
      </c>
      <c r="BG6" t="str">
        <f t="shared" si="10"/>
        <v/>
      </c>
      <c r="BH6">
        <f t="shared" si="11"/>
        <v>0</v>
      </c>
      <c r="BJ6" t="str">
        <f t="shared" si="12"/>
        <v/>
      </c>
      <c r="BL6">
        <f t="shared" si="1"/>
        <v>0</v>
      </c>
      <c r="BN6">
        <v>5.0000000000000002E-5</v>
      </c>
      <c r="BS6" s="4" t="s">
        <v>1249</v>
      </c>
      <c r="BU6" t="s">
        <v>2135</v>
      </c>
      <c r="BV6">
        <f>IFERROR(MATCH("Tier",Beersheet!1:1,0),0)</f>
        <v>0</v>
      </c>
    </row>
    <row r="7" spans="1:75" ht="15.75" thickBot="1" x14ac:dyDescent="0.3">
      <c r="A7" s="569" t="s">
        <v>2156</v>
      </c>
      <c r="B7" s="569" t="s">
        <v>141</v>
      </c>
      <c r="C7" s="569" t="s">
        <v>1</v>
      </c>
      <c r="D7" s="574">
        <v>13</v>
      </c>
      <c r="E7" s="569"/>
      <c r="F7" s="569"/>
      <c r="G7" s="569">
        <v>410.9</v>
      </c>
      <c r="H7" s="569">
        <v>253.5</v>
      </c>
      <c r="I7" s="574">
        <v>12.9</v>
      </c>
      <c r="J7" s="574">
        <v>20.6</v>
      </c>
      <c r="K7" s="574">
        <v>2936.7</v>
      </c>
      <c r="L7" s="574">
        <v>0</v>
      </c>
      <c r="M7" s="574">
        <v>0</v>
      </c>
      <c r="N7" s="574">
        <v>0</v>
      </c>
      <c r="O7" s="574">
        <v>160.19999999999999</v>
      </c>
      <c r="P7" s="574">
        <v>6.8</v>
      </c>
      <c r="Q7" s="574">
        <v>1065.7</v>
      </c>
      <c r="R7" s="569"/>
      <c r="S7" s="569"/>
      <c r="T7" s="569"/>
      <c r="U7" s="569"/>
      <c r="V7" s="569"/>
      <c r="W7" s="569"/>
      <c r="X7" s="569"/>
      <c r="Y7" s="569"/>
      <c r="Z7" s="569"/>
      <c r="AA7" s="569"/>
      <c r="AB7" s="569"/>
      <c r="AC7" s="569"/>
      <c r="AD7" s="569"/>
      <c r="AE7" s="569"/>
      <c r="AF7" s="569"/>
      <c r="AG7" s="569"/>
      <c r="AH7" s="569"/>
      <c r="AI7" s="569"/>
      <c r="AJ7" s="569"/>
      <c r="AK7" s="569"/>
      <c r="AL7" s="569"/>
      <c r="AM7" s="569"/>
      <c r="AN7" s="574">
        <v>327.5</v>
      </c>
      <c r="AO7">
        <v>6</v>
      </c>
      <c r="AP7" t="str">
        <f t="shared" si="0"/>
        <v>Justin Fields</v>
      </c>
      <c r="AQ7" t="str">
        <f t="shared" si="2"/>
        <v>CHI</v>
      </c>
      <c r="AR7" s="430">
        <f>IFERROR(
IF(AP7="",-100,
IF($BV$2&gt;0, INDEX(Beersheet!$A:$U,MATCH(AP7,INDEX(Beersheet!$A:$U,0,FFARawStatProjections!$BV$2),0),$BV$3)+$BN7,
INDEX($A7:$BM7,,$BV$12)*$BW$12+
INDEX($A7:$BM7,,$BV$15)*$BW$15+
INDEX($A7:$BM7,,$BV$16)*$BW$16+
INDEX($A7:$BM7,,$BV$17)*$BW$17+
INDEX($A7:$BM7,,$BV$18)*$BW$18+
INDEX($A7:$BM7,,$BV$19)*$BW$19+
INDEX($A7:$BM7,,$BV$20)*$BW$20+
INDEX($A7:$BM7,,$BV$21)*$BW$21+
INDEX($A7:$BM7,,$BV$22)*$BW$22+
INDEX($A7:$BM7,,$BV$23)*$BW$23+
INDEX($A7:$BM7,,$BV$25)*$BW$25+
INDEX($A7:$BM7,,$BV$26)*$BW$26+
INDEX($A7:$BM7,,$BV$27)*$BW$27+
$BN7)),
$BN7-100)</f>
        <v>334.33805999999998</v>
      </c>
      <c r="AT7" t="str">
        <f t="shared" si="3"/>
        <v/>
      </c>
      <c r="AU7" t="str">
        <f t="shared" si="4"/>
        <v/>
      </c>
      <c r="AV7" s="430">
        <f>IFERROR(
IF(AT7="",-100,
IF($BV$2&gt;0, INDEX(Beersheet!$A:$U,MATCH(AT7,INDEX(Beersheet!$A:$U,0,FFARawStatProjections!$BV$2),0),$BV$3)+$BN7,
INDEX($A7:$BM7,,$BV$12)*$BW$12+
INDEX($A7:$BM7,,$BV$15)*$BW$15+
INDEX($A7:$BM7,,$BV$16)*$BW$16+
INDEX($A7:$BM7,,$BV$17)*$BW$17+
INDEX($A7:$BM7,,$BV$18)*$BW$18+
INDEX($A7:$BM7,,$BV$19)*$BW$19+
INDEX($A7:$BM7,,$BV$20)*$BW$20+
INDEX($A7:$BM7,,$BV$21)*$BW$21+
INDEX($A7:$BM7,,$BV$22)*$BW$22+
INDEX($A7:$BM7,,$BV$23)*$BW$23+
INDEX($A7:$BM7,,$BV$25)*$BW$25+
INDEX($A7:$BM7,,$BV$26)*$BW$26+
INDEX($A7:$BM7,,$BV$27)*$BW$27+
$BN7)),
$BN7-100)</f>
        <v>-100</v>
      </c>
      <c r="AX7" t="str">
        <f t="shared" si="5"/>
        <v/>
      </c>
      <c r="AY7" t="str">
        <f t="shared" si="6"/>
        <v/>
      </c>
      <c r="AZ7" s="430">
        <f>IFERROR(
IF(AX7="",-100,
IF($BV$2&gt;0, INDEX(Beersheet!$A:$U,MATCH(AX7,INDEX(Beersheet!$A:$U,0,FFARawStatProjections!$BV$2),0),$BV$3)+$BN7,
INDEX($A7:$BM7,,$BV$12)*$BW$12+
INDEX($A7:$BM7,,$BV$15)*$BW$15+
INDEX($A7:$BM7,,$BV$16)*$BW$16+
INDEX($A7:$BM7,,$BV$17)*$BW$17+
INDEX($A7:$BM7,,$BV$18)*$BW$18+
INDEX($A7:$BM7,,$BV$19)*$BW$19+
INDEX($A7:$BM7,,$BV$20)*$BW$20+
INDEX($A7:$BM7,,$BV$21)*$BW$21+
INDEX($A7:$BM7,,$BV$22)*$BW$22+
INDEX($A7:$BM7,,$BV$23)*$BW$23+
INDEX($A7:$BM7,,$BV$25)*$BW$25+
INDEX($A7:$BM7,,$BV$26)*$BW$26+
INDEX($A7:$BM7,,$BV$27)*$BW$27+
$BN7)),
$BN7-100)</f>
        <v>-100</v>
      </c>
      <c r="BB7" t="str">
        <f t="shared" si="7"/>
        <v/>
      </c>
      <c r="BC7" t="str">
        <f t="shared" si="8"/>
        <v/>
      </c>
      <c r="BD7" s="430">
        <f>IFERROR(
IF(BB7="",-100,
IF($BV$2&gt;0, INDEX(Beersheet!$A:$U,MATCH(BB7,INDEX(Beersheet!$A:$U,0,FFARawStatProjections!$BV$2),0),$BV$3)+$BN7,
INDEX($A7:$BM7,,$BV$12)*$BW$12+
INDEX($A7:$BM7,,$BV$15)*$BW$15+
INDEX($A7:$BM7,,$BV$16)*$BW$16+
INDEX($A7:$BM7,,$BV$17)*$BW$17+
INDEX($A7:$BM7,,$BV$18)*$BW$18+
INDEX($A7:$BM7,,$BV$19)*$BW$19+
INDEX($A7:$BM7,,$BV$20)*$BW$20+
INDEX($A7:$BM7,,$BV$21)*$BW$21+
INDEX($A7:$BM7,,$BV$22)*$BW$22+
INDEX($A7:$BM7,,$BV$23)*$BW$23+
INDEX($A7:$BM7,,$BV$25)*$BW$25+
INDEX($A7:$BM7,,$BV$26)*$BW$26+
INDEX($A7:$BM7,,$BV$27)*$BW$27+
$BN7)),
$BN7-100)</f>
        <v>-100</v>
      </c>
      <c r="BF7" t="str">
        <f t="shared" si="9"/>
        <v/>
      </c>
      <c r="BG7" t="str">
        <f t="shared" si="10"/>
        <v/>
      </c>
      <c r="BH7">
        <f t="shared" si="11"/>
        <v>0</v>
      </c>
      <c r="BJ7" t="str">
        <f t="shared" si="12"/>
        <v/>
      </c>
      <c r="BL7">
        <f t="shared" si="1"/>
        <v>0</v>
      </c>
      <c r="BN7">
        <v>6.0000000000000002E-5</v>
      </c>
      <c r="BS7" s="4" t="s">
        <v>2107</v>
      </c>
      <c r="BU7" t="s">
        <v>2022</v>
      </c>
      <c r="BV7">
        <f>MATCH(BU7,$1:$1,0)</f>
        <v>1</v>
      </c>
    </row>
    <row r="8" spans="1:75" ht="15.75" thickBot="1" x14ac:dyDescent="0.3">
      <c r="A8" s="569" t="s">
        <v>2102</v>
      </c>
      <c r="B8" s="569" t="s">
        <v>1388</v>
      </c>
      <c r="C8" s="569" t="s">
        <v>1</v>
      </c>
      <c r="D8" s="574">
        <v>5</v>
      </c>
      <c r="E8" s="569"/>
      <c r="F8" s="569"/>
      <c r="G8" s="569">
        <v>627.20000000000005</v>
      </c>
      <c r="H8" s="569">
        <v>421.6</v>
      </c>
      <c r="I8" s="574">
        <v>12.7</v>
      </c>
      <c r="J8" s="574">
        <v>30.1</v>
      </c>
      <c r="K8" s="574">
        <v>4592.8999999999996</v>
      </c>
      <c r="L8" s="574">
        <v>0</v>
      </c>
      <c r="M8" s="574">
        <v>0</v>
      </c>
      <c r="N8" s="574">
        <v>0</v>
      </c>
      <c r="O8" s="574">
        <v>57.2</v>
      </c>
      <c r="P8" s="574">
        <v>2</v>
      </c>
      <c r="Q8" s="574">
        <v>220.9</v>
      </c>
      <c r="R8" s="569"/>
      <c r="S8" s="569"/>
      <c r="T8" s="569"/>
      <c r="U8" s="569"/>
      <c r="V8" s="569"/>
      <c r="W8" s="569"/>
      <c r="X8" s="569"/>
      <c r="Y8" s="569"/>
      <c r="Z8" s="569"/>
      <c r="AA8" s="569"/>
      <c r="AB8" s="569"/>
      <c r="AC8" s="569"/>
      <c r="AD8" s="569"/>
      <c r="AE8" s="569"/>
      <c r="AF8" s="569"/>
      <c r="AG8" s="569"/>
      <c r="AH8" s="569"/>
      <c r="AI8" s="569"/>
      <c r="AJ8" s="569"/>
      <c r="AK8" s="569"/>
      <c r="AL8" s="569"/>
      <c r="AM8" s="569"/>
      <c r="AN8" s="574">
        <v>321.60000000000002</v>
      </c>
      <c r="AO8">
        <v>7</v>
      </c>
      <c r="AP8" t="str">
        <f t="shared" si="0"/>
        <v>Justin Herbert</v>
      </c>
      <c r="AQ8" t="str">
        <f t="shared" si="2"/>
        <v>LAC</v>
      </c>
      <c r="AR8" s="430">
        <f>IFERROR(
IF(AP8="",-100,
IF($BV$2&gt;0, INDEX(Beersheet!$A:$U,MATCH(AP8,INDEX(Beersheet!$A:$U,0,FFARawStatProjections!$BV$2),0),$BV$3)+$BN8,
INDEX($A8:$BM8,,$BV$12)*$BW$12+
INDEX($A8:$BM8,,$BV$15)*$BW$15+
INDEX($A8:$BM8,,$BV$16)*$BW$16+
INDEX($A8:$BM8,,$BV$17)*$BW$17+
INDEX($A8:$BM8,,$BV$18)*$BW$18+
INDEX($A8:$BM8,,$BV$19)*$BW$19+
INDEX($A8:$BM8,,$BV$20)*$BW$20+
INDEX($A8:$BM8,,$BV$21)*$BW$21+
INDEX($A8:$BM8,,$BV$22)*$BW$22+
INDEX($A8:$BM8,,$BV$23)*$BW$23+
INDEX($A8:$BM8,,$BV$25)*$BW$25+
INDEX($A8:$BM8,,$BV$26)*$BW$26+
INDEX($A8:$BM8,,$BV$27)*$BW$27+
$BN8)),
$BN8-100)</f>
        <v>325.50606999999997</v>
      </c>
      <c r="AT8" t="str">
        <f t="shared" si="3"/>
        <v/>
      </c>
      <c r="AU8" t="str">
        <f t="shared" si="4"/>
        <v/>
      </c>
      <c r="AV8" s="430">
        <f>IFERROR(
IF(AT8="",-100,
IF($BV$2&gt;0, INDEX(Beersheet!$A:$U,MATCH(AT8,INDEX(Beersheet!$A:$U,0,FFARawStatProjections!$BV$2),0),$BV$3)+$BN8,
INDEX($A8:$BM8,,$BV$12)*$BW$12+
INDEX($A8:$BM8,,$BV$15)*$BW$15+
INDEX($A8:$BM8,,$BV$16)*$BW$16+
INDEX($A8:$BM8,,$BV$17)*$BW$17+
INDEX($A8:$BM8,,$BV$18)*$BW$18+
INDEX($A8:$BM8,,$BV$19)*$BW$19+
INDEX($A8:$BM8,,$BV$20)*$BW$20+
INDEX($A8:$BM8,,$BV$21)*$BW$21+
INDEX($A8:$BM8,,$BV$22)*$BW$22+
INDEX($A8:$BM8,,$BV$23)*$BW$23+
INDEX($A8:$BM8,,$BV$25)*$BW$25+
INDEX($A8:$BM8,,$BV$26)*$BW$26+
INDEX($A8:$BM8,,$BV$27)*$BW$27+
$BN8)),
$BN8-100)</f>
        <v>-100</v>
      </c>
      <c r="AX8" t="str">
        <f t="shared" si="5"/>
        <v/>
      </c>
      <c r="AY8" t="str">
        <f t="shared" si="6"/>
        <v/>
      </c>
      <c r="AZ8" s="430">
        <f>IFERROR(
IF(AX8="",-100,
IF($BV$2&gt;0, INDEX(Beersheet!$A:$U,MATCH(AX8,INDEX(Beersheet!$A:$U,0,FFARawStatProjections!$BV$2),0),$BV$3)+$BN8,
INDEX($A8:$BM8,,$BV$12)*$BW$12+
INDEX($A8:$BM8,,$BV$15)*$BW$15+
INDEX($A8:$BM8,,$BV$16)*$BW$16+
INDEX($A8:$BM8,,$BV$17)*$BW$17+
INDEX($A8:$BM8,,$BV$18)*$BW$18+
INDEX($A8:$BM8,,$BV$19)*$BW$19+
INDEX($A8:$BM8,,$BV$20)*$BW$20+
INDEX($A8:$BM8,,$BV$21)*$BW$21+
INDEX($A8:$BM8,,$BV$22)*$BW$22+
INDEX($A8:$BM8,,$BV$23)*$BW$23+
INDEX($A8:$BM8,,$BV$25)*$BW$25+
INDEX($A8:$BM8,,$BV$26)*$BW$26+
INDEX($A8:$BM8,,$BV$27)*$BW$27+
$BN8)),
$BN8-100)</f>
        <v>-100</v>
      </c>
      <c r="BB8" t="str">
        <f t="shared" si="7"/>
        <v/>
      </c>
      <c r="BC8" t="str">
        <f t="shared" si="8"/>
        <v/>
      </c>
      <c r="BD8" s="430">
        <f>IFERROR(
IF(BB8="",-100,
IF($BV$2&gt;0, INDEX(Beersheet!$A:$U,MATCH(BB8,INDEX(Beersheet!$A:$U,0,FFARawStatProjections!$BV$2),0),$BV$3)+$BN8,
INDEX($A8:$BM8,,$BV$12)*$BW$12+
INDEX($A8:$BM8,,$BV$15)*$BW$15+
INDEX($A8:$BM8,,$BV$16)*$BW$16+
INDEX($A8:$BM8,,$BV$17)*$BW$17+
INDEX($A8:$BM8,,$BV$18)*$BW$18+
INDEX($A8:$BM8,,$BV$19)*$BW$19+
INDEX($A8:$BM8,,$BV$20)*$BW$20+
INDEX($A8:$BM8,,$BV$21)*$BW$21+
INDEX($A8:$BM8,,$BV$22)*$BW$22+
INDEX($A8:$BM8,,$BV$23)*$BW$23+
INDEX($A8:$BM8,,$BV$25)*$BW$25+
INDEX($A8:$BM8,,$BV$26)*$BW$26+
INDEX($A8:$BM8,,$BV$27)*$BW$27+
$BN8)),
$BN8-100)</f>
        <v>-100</v>
      </c>
      <c r="BF8" t="str">
        <f t="shared" si="9"/>
        <v/>
      </c>
      <c r="BG8" t="str">
        <f t="shared" si="10"/>
        <v/>
      </c>
      <c r="BH8">
        <f t="shared" si="11"/>
        <v>0</v>
      </c>
      <c r="BJ8" t="str">
        <f t="shared" si="12"/>
        <v/>
      </c>
      <c r="BL8">
        <f t="shared" si="1"/>
        <v>0</v>
      </c>
      <c r="BN8">
        <v>6.9999999999999994E-5</v>
      </c>
      <c r="BS8" s="4" t="s">
        <v>2539</v>
      </c>
      <c r="BU8" t="s">
        <v>2024</v>
      </c>
      <c r="BV8">
        <f t="shared" ref="BV8:BV62" si="13">MATCH(BU8,$1:$1,0)</f>
        <v>2</v>
      </c>
    </row>
    <row r="9" spans="1:75" ht="15.75" thickBot="1" x14ac:dyDescent="0.3">
      <c r="A9" s="569" t="s">
        <v>1431</v>
      </c>
      <c r="B9" s="569" t="s">
        <v>161</v>
      </c>
      <c r="C9" s="569" t="s">
        <v>1</v>
      </c>
      <c r="D9" s="574">
        <v>5</v>
      </c>
      <c r="E9" s="569"/>
      <c r="F9" s="569"/>
      <c r="G9" s="569">
        <v>503.8</v>
      </c>
      <c r="H9" s="569">
        <v>324.10000000000002</v>
      </c>
      <c r="I9" s="574">
        <v>11</v>
      </c>
      <c r="J9" s="574">
        <v>24.7</v>
      </c>
      <c r="K9" s="574">
        <v>3850.5</v>
      </c>
      <c r="L9" s="574">
        <v>0</v>
      </c>
      <c r="M9" s="574">
        <v>0</v>
      </c>
      <c r="N9" s="574">
        <v>0</v>
      </c>
      <c r="O9" s="574">
        <v>97.1</v>
      </c>
      <c r="P9" s="574">
        <v>4.0999999999999996</v>
      </c>
      <c r="Q9" s="574">
        <v>485.8</v>
      </c>
      <c r="R9" s="569"/>
      <c r="S9" s="569"/>
      <c r="T9" s="569"/>
      <c r="U9" s="569"/>
      <c r="V9" s="569"/>
      <c r="W9" s="569"/>
      <c r="X9" s="569"/>
      <c r="Y9" s="569"/>
      <c r="Z9" s="569"/>
      <c r="AA9" s="569"/>
      <c r="AB9" s="569"/>
      <c r="AC9" s="569"/>
      <c r="AD9" s="569"/>
      <c r="AE9" s="569"/>
      <c r="AF9" s="569"/>
      <c r="AG9" s="569"/>
      <c r="AH9" s="569"/>
      <c r="AI9" s="569"/>
      <c r="AJ9" s="569"/>
      <c r="AK9" s="569"/>
      <c r="AL9" s="569"/>
      <c r="AM9" s="569"/>
      <c r="AN9" s="574">
        <v>311.2</v>
      </c>
      <c r="AO9">
        <v>8</v>
      </c>
      <c r="AP9" t="str">
        <f t="shared" si="0"/>
        <v>Deshaun Watson</v>
      </c>
      <c r="AQ9" t="str">
        <f t="shared" si="2"/>
        <v>CLE</v>
      </c>
      <c r="AR9" s="430">
        <f>IFERROR(
IF(AP9="",-100,
IF($BV$2&gt;0, INDEX(Beersheet!$A:$U,MATCH(AP9,INDEX(Beersheet!$A:$U,0,FFARawStatProjections!$BV$2),0),$BV$3)+$BN9,
INDEX($A9:$BM9,,$BV$12)*$BW$12+
INDEX($A9:$BM9,,$BV$15)*$BW$15+
INDEX($A9:$BM9,,$BV$16)*$BW$16+
INDEX($A9:$BM9,,$BV$17)*$BW$17+
INDEX($A9:$BM9,,$BV$18)*$BW$18+
INDEX($A9:$BM9,,$BV$19)*$BW$19+
INDEX($A9:$BM9,,$BV$20)*$BW$20+
INDEX($A9:$BM9,,$BV$21)*$BW$21+
INDEX($A9:$BM9,,$BV$22)*$BW$22+
INDEX($A9:$BM9,,$BV$23)*$BW$23+
INDEX($A9:$BM9,,$BV$25)*$BW$25+
INDEX($A9:$BM9,,$BV$26)*$BW$26+
INDEX($A9:$BM9,,$BV$27)*$BW$27+
$BN9)),
$BN9-100)</f>
        <v>315.00008000000003</v>
      </c>
      <c r="AT9" t="str">
        <f t="shared" si="3"/>
        <v/>
      </c>
      <c r="AU9" t="str">
        <f t="shared" si="4"/>
        <v/>
      </c>
      <c r="AV9" s="430">
        <f>IFERROR(
IF(AT9="",-100,
IF($BV$2&gt;0, INDEX(Beersheet!$A:$U,MATCH(AT9,INDEX(Beersheet!$A:$U,0,FFARawStatProjections!$BV$2),0),$BV$3)+$BN9,
INDEX($A9:$BM9,,$BV$12)*$BW$12+
INDEX($A9:$BM9,,$BV$15)*$BW$15+
INDEX($A9:$BM9,,$BV$16)*$BW$16+
INDEX($A9:$BM9,,$BV$17)*$BW$17+
INDEX($A9:$BM9,,$BV$18)*$BW$18+
INDEX($A9:$BM9,,$BV$19)*$BW$19+
INDEX($A9:$BM9,,$BV$20)*$BW$20+
INDEX($A9:$BM9,,$BV$21)*$BW$21+
INDEX($A9:$BM9,,$BV$22)*$BW$22+
INDEX($A9:$BM9,,$BV$23)*$BW$23+
INDEX($A9:$BM9,,$BV$25)*$BW$25+
INDEX($A9:$BM9,,$BV$26)*$BW$26+
INDEX($A9:$BM9,,$BV$27)*$BW$27+
$BN9)),
$BN9-100)</f>
        <v>-100</v>
      </c>
      <c r="AX9" t="str">
        <f t="shared" si="5"/>
        <v/>
      </c>
      <c r="AY9" t="str">
        <f t="shared" si="6"/>
        <v/>
      </c>
      <c r="AZ9" s="430">
        <f>IFERROR(
IF(AX9="",-100,
IF($BV$2&gt;0, INDEX(Beersheet!$A:$U,MATCH(AX9,INDEX(Beersheet!$A:$U,0,FFARawStatProjections!$BV$2),0),$BV$3)+$BN9,
INDEX($A9:$BM9,,$BV$12)*$BW$12+
INDEX($A9:$BM9,,$BV$15)*$BW$15+
INDEX($A9:$BM9,,$BV$16)*$BW$16+
INDEX($A9:$BM9,,$BV$17)*$BW$17+
INDEX($A9:$BM9,,$BV$18)*$BW$18+
INDEX($A9:$BM9,,$BV$19)*$BW$19+
INDEX($A9:$BM9,,$BV$20)*$BW$20+
INDEX($A9:$BM9,,$BV$21)*$BW$21+
INDEX($A9:$BM9,,$BV$22)*$BW$22+
INDEX($A9:$BM9,,$BV$23)*$BW$23+
INDEX($A9:$BM9,,$BV$25)*$BW$25+
INDEX($A9:$BM9,,$BV$26)*$BW$26+
INDEX($A9:$BM9,,$BV$27)*$BW$27+
$BN9)),
$BN9-100)</f>
        <v>-100</v>
      </c>
      <c r="BB9" t="str">
        <f t="shared" si="7"/>
        <v/>
      </c>
      <c r="BC9" t="str">
        <f t="shared" si="8"/>
        <v/>
      </c>
      <c r="BD9" s="430">
        <f>IFERROR(
IF(BB9="",-100,
IF($BV$2&gt;0, INDEX(Beersheet!$A:$U,MATCH(BB9,INDEX(Beersheet!$A:$U,0,FFARawStatProjections!$BV$2),0),$BV$3)+$BN9,
INDEX($A9:$BM9,,$BV$12)*$BW$12+
INDEX($A9:$BM9,,$BV$15)*$BW$15+
INDEX($A9:$BM9,,$BV$16)*$BW$16+
INDEX($A9:$BM9,,$BV$17)*$BW$17+
INDEX($A9:$BM9,,$BV$18)*$BW$18+
INDEX($A9:$BM9,,$BV$19)*$BW$19+
INDEX($A9:$BM9,,$BV$20)*$BW$20+
INDEX($A9:$BM9,,$BV$21)*$BW$21+
INDEX($A9:$BM9,,$BV$22)*$BW$22+
INDEX($A9:$BM9,,$BV$23)*$BW$23+
INDEX($A9:$BM9,,$BV$25)*$BW$25+
INDEX($A9:$BM9,,$BV$26)*$BW$26+
INDEX($A9:$BM9,,$BV$27)*$BW$27+
$BN9)),
$BN9-100)</f>
        <v>-100</v>
      </c>
      <c r="BF9" t="str">
        <f t="shared" si="9"/>
        <v/>
      </c>
      <c r="BG9" t="str">
        <f t="shared" si="10"/>
        <v/>
      </c>
      <c r="BH9">
        <f t="shared" si="11"/>
        <v>0</v>
      </c>
      <c r="BJ9" t="str">
        <f t="shared" si="12"/>
        <v/>
      </c>
      <c r="BL9">
        <f t="shared" si="1"/>
        <v>0</v>
      </c>
      <c r="BN9">
        <v>8.0000000000000007E-5</v>
      </c>
      <c r="BS9" s="4" t="s">
        <v>1861</v>
      </c>
      <c r="BU9" t="s">
        <v>2023</v>
      </c>
      <c r="BV9">
        <f t="shared" si="13"/>
        <v>3</v>
      </c>
    </row>
    <row r="10" spans="1:75" ht="15.75" thickBot="1" x14ac:dyDescent="0.3">
      <c r="A10" s="569" t="s">
        <v>1295</v>
      </c>
      <c r="B10" s="569" t="s">
        <v>146</v>
      </c>
      <c r="C10" s="569" t="s">
        <v>1</v>
      </c>
      <c r="D10" s="574">
        <v>7</v>
      </c>
      <c r="E10" s="569"/>
      <c r="F10" s="569"/>
      <c r="G10" s="569">
        <v>552.1</v>
      </c>
      <c r="H10" s="569">
        <v>364.3</v>
      </c>
      <c r="I10" s="574">
        <v>13.8</v>
      </c>
      <c r="J10" s="574">
        <v>29.2</v>
      </c>
      <c r="K10" s="574">
        <v>4120.6000000000004</v>
      </c>
      <c r="L10" s="574">
        <v>0</v>
      </c>
      <c r="M10" s="574">
        <v>0</v>
      </c>
      <c r="N10" s="574">
        <v>0</v>
      </c>
      <c r="O10" s="574">
        <v>58.8</v>
      </c>
      <c r="P10" s="574">
        <v>2.4</v>
      </c>
      <c r="Q10" s="574">
        <v>251.4</v>
      </c>
      <c r="R10" s="569"/>
      <c r="S10" s="569"/>
      <c r="T10" s="569"/>
      <c r="U10" s="569"/>
      <c r="V10" s="569"/>
      <c r="W10" s="569"/>
      <c r="X10" s="569"/>
      <c r="Y10" s="569"/>
      <c r="Z10" s="569"/>
      <c r="AA10" s="569"/>
      <c r="AB10" s="569"/>
      <c r="AC10" s="569"/>
      <c r="AD10" s="569"/>
      <c r="AE10" s="569"/>
      <c r="AF10" s="569"/>
      <c r="AG10" s="569"/>
      <c r="AH10" s="569"/>
      <c r="AI10" s="569"/>
      <c r="AJ10" s="569"/>
      <c r="AK10" s="569"/>
      <c r="AL10" s="569"/>
      <c r="AM10" s="569"/>
      <c r="AN10" s="574">
        <v>301.2</v>
      </c>
      <c r="AO10">
        <v>9</v>
      </c>
      <c r="AP10" t="str">
        <f t="shared" si="0"/>
        <v>Dak Prescott</v>
      </c>
      <c r="AQ10" t="str">
        <f t="shared" si="2"/>
        <v>DAL</v>
      </c>
      <c r="AR10" s="430">
        <f>IFERROR(
IF(AP10="",-100,
IF($BV$2&gt;0, INDEX(Beersheet!$A:$U,MATCH(AP10,INDEX(Beersheet!$A:$U,0,FFARawStatProjections!$BV$2),0),$BV$3)+$BN10,
INDEX($A10:$BM10,,$BV$12)*$BW$12+
INDEX($A10:$BM10,,$BV$15)*$BW$15+
INDEX($A10:$BM10,,$BV$16)*$BW$16+
INDEX($A10:$BM10,,$BV$17)*$BW$17+
INDEX($A10:$BM10,,$BV$18)*$BW$18+
INDEX($A10:$BM10,,$BV$19)*$BW$19+
INDEX($A10:$BM10,,$BV$20)*$BW$20+
INDEX($A10:$BM10,,$BV$21)*$BW$21+
INDEX($A10:$BM10,,$BV$22)*$BW$22+
INDEX($A10:$BM10,,$BV$23)*$BW$23+
INDEX($A10:$BM10,,$BV$25)*$BW$25+
INDEX($A10:$BM10,,$BV$26)*$BW$26+
INDEX($A10:$BM10,,$BV$27)*$BW$27+
$BN10)),
$BN10-100)</f>
        <v>307.36408999999998</v>
      </c>
      <c r="AT10" t="str">
        <f t="shared" si="3"/>
        <v/>
      </c>
      <c r="AU10" t="str">
        <f t="shared" si="4"/>
        <v/>
      </c>
      <c r="AV10" s="430">
        <f>IFERROR(
IF(AT10="",-100,
IF($BV$2&gt;0, INDEX(Beersheet!$A:$U,MATCH(AT10,INDEX(Beersheet!$A:$U,0,FFARawStatProjections!$BV$2),0),$BV$3)+$BN10,
INDEX($A10:$BM10,,$BV$12)*$BW$12+
INDEX($A10:$BM10,,$BV$15)*$BW$15+
INDEX($A10:$BM10,,$BV$16)*$BW$16+
INDEX($A10:$BM10,,$BV$17)*$BW$17+
INDEX($A10:$BM10,,$BV$18)*$BW$18+
INDEX($A10:$BM10,,$BV$19)*$BW$19+
INDEX($A10:$BM10,,$BV$20)*$BW$20+
INDEX($A10:$BM10,,$BV$21)*$BW$21+
INDEX($A10:$BM10,,$BV$22)*$BW$22+
INDEX($A10:$BM10,,$BV$23)*$BW$23+
INDEX($A10:$BM10,,$BV$25)*$BW$25+
INDEX($A10:$BM10,,$BV$26)*$BW$26+
INDEX($A10:$BM10,,$BV$27)*$BW$27+
$BN10)),
$BN10-100)</f>
        <v>-100</v>
      </c>
      <c r="AX10" t="str">
        <f t="shared" si="5"/>
        <v/>
      </c>
      <c r="AY10" t="str">
        <f t="shared" si="6"/>
        <v/>
      </c>
      <c r="AZ10" s="430">
        <f>IFERROR(
IF(AX10="",-100,
IF($BV$2&gt;0, INDEX(Beersheet!$A:$U,MATCH(AX10,INDEX(Beersheet!$A:$U,0,FFARawStatProjections!$BV$2),0),$BV$3)+$BN10,
INDEX($A10:$BM10,,$BV$12)*$BW$12+
INDEX($A10:$BM10,,$BV$15)*$BW$15+
INDEX($A10:$BM10,,$BV$16)*$BW$16+
INDEX($A10:$BM10,,$BV$17)*$BW$17+
INDEX($A10:$BM10,,$BV$18)*$BW$18+
INDEX($A10:$BM10,,$BV$19)*$BW$19+
INDEX($A10:$BM10,,$BV$20)*$BW$20+
INDEX($A10:$BM10,,$BV$21)*$BW$21+
INDEX($A10:$BM10,,$BV$22)*$BW$22+
INDEX($A10:$BM10,,$BV$23)*$BW$23+
INDEX($A10:$BM10,,$BV$25)*$BW$25+
INDEX($A10:$BM10,,$BV$26)*$BW$26+
INDEX($A10:$BM10,,$BV$27)*$BW$27+
$BN10)),
$BN10-100)</f>
        <v>-100</v>
      </c>
      <c r="BB10" t="str">
        <f t="shared" si="7"/>
        <v/>
      </c>
      <c r="BC10" t="str">
        <f t="shared" si="8"/>
        <v/>
      </c>
      <c r="BD10" s="430">
        <f>IFERROR(
IF(BB10="",-100,
IF($BV$2&gt;0, INDEX(Beersheet!$A:$U,MATCH(BB10,INDEX(Beersheet!$A:$U,0,FFARawStatProjections!$BV$2),0),$BV$3)+$BN10,
INDEX($A10:$BM10,,$BV$12)*$BW$12+
INDEX($A10:$BM10,,$BV$15)*$BW$15+
INDEX($A10:$BM10,,$BV$16)*$BW$16+
INDEX($A10:$BM10,,$BV$17)*$BW$17+
INDEX($A10:$BM10,,$BV$18)*$BW$18+
INDEX($A10:$BM10,,$BV$19)*$BW$19+
INDEX($A10:$BM10,,$BV$20)*$BW$20+
INDEX($A10:$BM10,,$BV$21)*$BW$21+
INDEX($A10:$BM10,,$BV$22)*$BW$22+
INDEX($A10:$BM10,,$BV$23)*$BW$23+
INDEX($A10:$BM10,,$BV$25)*$BW$25+
INDEX($A10:$BM10,,$BV$26)*$BW$26+
INDEX($A10:$BM10,,$BV$27)*$BW$27+
$BN10)),
$BN10-100)</f>
        <v>-100</v>
      </c>
      <c r="BF10" t="str">
        <f t="shared" si="9"/>
        <v/>
      </c>
      <c r="BG10" t="str">
        <f t="shared" si="10"/>
        <v/>
      </c>
      <c r="BH10">
        <f t="shared" si="11"/>
        <v>0</v>
      </c>
      <c r="BJ10" t="str">
        <f t="shared" si="12"/>
        <v/>
      </c>
      <c r="BL10">
        <f t="shared" si="1"/>
        <v>0</v>
      </c>
      <c r="BN10">
        <v>9.0000000000000006E-5</v>
      </c>
      <c r="BS10" s="4" t="s">
        <v>2086</v>
      </c>
      <c r="BU10" t="s">
        <v>2025</v>
      </c>
      <c r="BV10">
        <f t="shared" si="13"/>
        <v>4</v>
      </c>
    </row>
    <row r="11" spans="1:75" ht="15.75" thickBot="1" x14ac:dyDescent="0.3">
      <c r="A11" s="569" t="s">
        <v>2154</v>
      </c>
      <c r="B11" s="569" t="s">
        <v>165</v>
      </c>
      <c r="C11" s="569" t="s">
        <v>1</v>
      </c>
      <c r="D11" s="574">
        <v>9</v>
      </c>
      <c r="E11" s="569"/>
      <c r="F11" s="569"/>
      <c r="G11" s="569">
        <v>578.4</v>
      </c>
      <c r="H11" s="569">
        <v>378.4</v>
      </c>
      <c r="I11" s="574">
        <v>12.2</v>
      </c>
      <c r="J11" s="574">
        <v>26.9</v>
      </c>
      <c r="K11" s="574">
        <v>4088.5</v>
      </c>
      <c r="L11" s="574">
        <v>0</v>
      </c>
      <c r="M11" s="574">
        <v>0</v>
      </c>
      <c r="N11" s="574">
        <v>0</v>
      </c>
      <c r="O11" s="574">
        <v>62.3</v>
      </c>
      <c r="P11" s="574">
        <v>3.9</v>
      </c>
      <c r="Q11" s="574">
        <v>285.3</v>
      </c>
      <c r="R11" s="569"/>
      <c r="S11" s="569"/>
      <c r="T11" s="569"/>
      <c r="U11" s="569"/>
      <c r="V11" s="569"/>
      <c r="W11" s="569"/>
      <c r="X11" s="569"/>
      <c r="Y11" s="569"/>
      <c r="Z11" s="569"/>
      <c r="AA11" s="569"/>
      <c r="AB11" s="569"/>
      <c r="AC11" s="569"/>
      <c r="AD11" s="569"/>
      <c r="AE11" s="569"/>
      <c r="AF11" s="569"/>
      <c r="AG11" s="569"/>
      <c r="AH11" s="569"/>
      <c r="AI11" s="569"/>
      <c r="AJ11" s="569"/>
      <c r="AK11" s="569"/>
      <c r="AL11" s="569"/>
      <c r="AM11" s="569"/>
      <c r="AN11" s="574">
        <v>300.60000000000002</v>
      </c>
      <c r="AO11">
        <v>10</v>
      </c>
      <c r="AP11" t="str">
        <f t="shared" si="0"/>
        <v>Trevor Lawrence</v>
      </c>
      <c r="AQ11" t="str">
        <f t="shared" si="2"/>
        <v>JAC</v>
      </c>
      <c r="AR11" s="430">
        <f>IFERROR(
IF(AP11="",-100,
IF($BV$2&gt;0, INDEX(Beersheet!$A:$U,MATCH(AP11,INDEX(Beersheet!$A:$U,0,FFARawStatProjections!$BV$2),0),$BV$3)+$BN11,
INDEX($A11:$BM11,,$BV$12)*$BW$12+
INDEX($A11:$BM11,,$BV$15)*$BW$15+
INDEX($A11:$BM11,,$BV$16)*$BW$16+
INDEX($A11:$BM11,,$BV$17)*$BW$17+
INDEX($A11:$BM11,,$BV$18)*$BW$18+
INDEX($A11:$BM11,,$BV$19)*$BW$19+
INDEX($A11:$BM11,,$BV$20)*$BW$20+
INDEX($A11:$BM11,,$BV$21)*$BW$21+
INDEX($A11:$BM11,,$BV$22)*$BW$22+
INDEX($A11:$BM11,,$BV$23)*$BW$23+
INDEX($A11:$BM11,,$BV$25)*$BW$25+
INDEX($A11:$BM11,,$BV$26)*$BW$26+
INDEX($A11:$BM11,,$BV$27)*$BW$27+
$BN11)),
$BN11-100)</f>
        <v>310.87009999999998</v>
      </c>
      <c r="AT11" t="str">
        <f t="shared" si="3"/>
        <v/>
      </c>
      <c r="AU11" t="str">
        <f t="shared" si="4"/>
        <v/>
      </c>
      <c r="AV11" s="430">
        <f>IFERROR(
IF(AT11="",-100,
IF($BV$2&gt;0, INDEX(Beersheet!$A:$U,MATCH(AT11,INDEX(Beersheet!$A:$U,0,FFARawStatProjections!$BV$2),0),$BV$3)+$BN11,
INDEX($A11:$BM11,,$BV$12)*$BW$12+
INDEX($A11:$BM11,,$BV$15)*$BW$15+
INDEX($A11:$BM11,,$BV$16)*$BW$16+
INDEX($A11:$BM11,,$BV$17)*$BW$17+
INDEX($A11:$BM11,,$BV$18)*$BW$18+
INDEX($A11:$BM11,,$BV$19)*$BW$19+
INDEX($A11:$BM11,,$BV$20)*$BW$20+
INDEX($A11:$BM11,,$BV$21)*$BW$21+
INDEX($A11:$BM11,,$BV$22)*$BW$22+
INDEX($A11:$BM11,,$BV$23)*$BW$23+
INDEX($A11:$BM11,,$BV$25)*$BW$25+
INDEX($A11:$BM11,,$BV$26)*$BW$26+
INDEX($A11:$BM11,,$BV$27)*$BW$27+
$BN11)),
$BN11-100)</f>
        <v>-100</v>
      </c>
      <c r="AX11" t="str">
        <f t="shared" si="5"/>
        <v/>
      </c>
      <c r="AY11" t="str">
        <f t="shared" si="6"/>
        <v/>
      </c>
      <c r="AZ11" s="430">
        <f>IFERROR(
IF(AX11="",-100,
IF($BV$2&gt;0, INDEX(Beersheet!$A:$U,MATCH(AX11,INDEX(Beersheet!$A:$U,0,FFARawStatProjections!$BV$2),0),$BV$3)+$BN11,
INDEX($A11:$BM11,,$BV$12)*$BW$12+
INDEX($A11:$BM11,,$BV$15)*$BW$15+
INDEX($A11:$BM11,,$BV$16)*$BW$16+
INDEX($A11:$BM11,,$BV$17)*$BW$17+
INDEX($A11:$BM11,,$BV$18)*$BW$18+
INDEX($A11:$BM11,,$BV$19)*$BW$19+
INDEX($A11:$BM11,,$BV$20)*$BW$20+
INDEX($A11:$BM11,,$BV$21)*$BW$21+
INDEX($A11:$BM11,,$BV$22)*$BW$22+
INDEX($A11:$BM11,,$BV$23)*$BW$23+
INDEX($A11:$BM11,,$BV$25)*$BW$25+
INDEX($A11:$BM11,,$BV$26)*$BW$26+
INDEX($A11:$BM11,,$BV$27)*$BW$27+
$BN11)),
$BN11-100)</f>
        <v>-100</v>
      </c>
      <c r="BB11" t="str">
        <f t="shared" si="7"/>
        <v/>
      </c>
      <c r="BC11" t="str">
        <f t="shared" si="8"/>
        <v/>
      </c>
      <c r="BD11" s="430">
        <f>IFERROR(
IF(BB11="",-100,
IF($BV$2&gt;0, INDEX(Beersheet!$A:$U,MATCH(BB11,INDEX(Beersheet!$A:$U,0,FFARawStatProjections!$BV$2),0),$BV$3)+$BN11,
INDEX($A11:$BM11,,$BV$12)*$BW$12+
INDEX($A11:$BM11,,$BV$15)*$BW$15+
INDEX($A11:$BM11,,$BV$16)*$BW$16+
INDEX($A11:$BM11,,$BV$17)*$BW$17+
INDEX($A11:$BM11,,$BV$18)*$BW$18+
INDEX($A11:$BM11,,$BV$19)*$BW$19+
INDEX($A11:$BM11,,$BV$20)*$BW$20+
INDEX($A11:$BM11,,$BV$21)*$BW$21+
INDEX($A11:$BM11,,$BV$22)*$BW$22+
INDEX($A11:$BM11,,$BV$23)*$BW$23+
INDEX($A11:$BM11,,$BV$25)*$BW$25+
INDEX($A11:$BM11,,$BV$26)*$BW$26+
INDEX($A11:$BM11,,$BV$27)*$BW$27+
$BN11)),
$BN11-100)</f>
        <v>-100</v>
      </c>
      <c r="BF11" t="str">
        <f t="shared" si="9"/>
        <v/>
      </c>
      <c r="BG11" t="str">
        <f t="shared" si="10"/>
        <v/>
      </c>
      <c r="BH11">
        <f t="shared" si="11"/>
        <v>0</v>
      </c>
      <c r="BJ11" t="str">
        <f t="shared" si="12"/>
        <v/>
      </c>
      <c r="BL11">
        <f t="shared" si="1"/>
        <v>0</v>
      </c>
      <c r="BN11">
        <v>1E-4</v>
      </c>
      <c r="BS11" s="4" t="s">
        <v>2109</v>
      </c>
      <c r="BU11" t="s">
        <v>2026</v>
      </c>
      <c r="BV11">
        <f t="shared" si="13"/>
        <v>5</v>
      </c>
    </row>
    <row r="12" spans="1:75" ht="15.75" thickBot="1" x14ac:dyDescent="0.3">
      <c r="A12" s="569" t="s">
        <v>177</v>
      </c>
      <c r="B12" s="569" t="s">
        <v>138</v>
      </c>
      <c r="C12" s="569" t="s">
        <v>1</v>
      </c>
      <c r="D12" s="574">
        <v>13</v>
      </c>
      <c r="E12" s="569"/>
      <c r="F12" s="569"/>
      <c r="G12" s="569">
        <v>593</v>
      </c>
      <c r="H12" s="569">
        <v>395.1</v>
      </c>
      <c r="I12" s="574">
        <v>12.3</v>
      </c>
      <c r="J12" s="574">
        <v>30.5</v>
      </c>
      <c r="K12" s="574">
        <v>4442.8</v>
      </c>
      <c r="L12" s="574">
        <v>0</v>
      </c>
      <c r="M12" s="574">
        <v>0</v>
      </c>
      <c r="N12" s="574">
        <v>0</v>
      </c>
      <c r="O12" s="574">
        <v>31.6</v>
      </c>
      <c r="P12" s="574">
        <v>1.5</v>
      </c>
      <c r="Q12" s="574">
        <v>92.1</v>
      </c>
      <c r="R12" s="569"/>
      <c r="S12" s="569"/>
      <c r="T12" s="569"/>
      <c r="U12" s="569"/>
      <c r="V12" s="569"/>
      <c r="W12" s="569"/>
      <c r="X12" s="569"/>
      <c r="Y12" s="569"/>
      <c r="Z12" s="569"/>
      <c r="AA12" s="569"/>
      <c r="AB12" s="569"/>
      <c r="AC12" s="569"/>
      <c r="AD12" s="569"/>
      <c r="AE12" s="569"/>
      <c r="AF12" s="569"/>
      <c r="AG12" s="569"/>
      <c r="AH12" s="569"/>
      <c r="AI12" s="569"/>
      <c r="AJ12" s="569"/>
      <c r="AK12" s="569"/>
      <c r="AL12" s="569"/>
      <c r="AM12" s="569"/>
      <c r="AN12" s="574">
        <v>300.10000000000002</v>
      </c>
      <c r="AO12">
        <v>11</v>
      </c>
      <c r="AP12" t="str">
        <f t="shared" si="0"/>
        <v>Kirk Cousins</v>
      </c>
      <c r="AQ12" t="str">
        <f t="shared" si="2"/>
        <v>MIN</v>
      </c>
      <c r="AR12" s="430">
        <f>IFERROR(
IF(AP12="",-100,
IF($BV$2&gt;0, INDEX(Beersheet!$A:$U,MATCH(AP12,INDEX(Beersheet!$A:$U,0,FFARawStatProjections!$BV$2),0),$BV$3)+$BN12,
INDEX($A12:$BM12,,$BV$12)*$BW$12+
INDEX($A12:$BM12,,$BV$15)*$BW$15+
INDEX($A12:$BM12,,$BV$16)*$BW$16+
INDEX($A12:$BM12,,$BV$17)*$BW$17+
INDEX($A12:$BM12,,$BV$18)*$BW$18+
INDEX($A12:$BM12,,$BV$19)*$BW$19+
INDEX($A12:$BM12,,$BV$20)*$BW$20+
INDEX($A12:$BM12,,$BV$21)*$BW$21+
INDEX($A12:$BM12,,$BV$22)*$BW$22+
INDEX($A12:$BM12,,$BV$23)*$BW$23+
INDEX($A12:$BM12,,$BV$25)*$BW$25+
INDEX($A12:$BM12,,$BV$26)*$BW$26+
INDEX($A12:$BM12,,$BV$27)*$BW$27+
$BN12)),
$BN12-100)</f>
        <v>305.62211000000002</v>
      </c>
      <c r="AT12" t="str">
        <f t="shared" si="3"/>
        <v/>
      </c>
      <c r="AU12" t="str">
        <f t="shared" si="4"/>
        <v/>
      </c>
      <c r="AV12" s="430">
        <f>IFERROR(
IF(AT12="",-100,
IF($BV$2&gt;0, INDEX(Beersheet!$A:$U,MATCH(AT12,INDEX(Beersheet!$A:$U,0,FFARawStatProjections!$BV$2),0),$BV$3)+$BN12,
INDEX($A12:$BM12,,$BV$12)*$BW$12+
INDEX($A12:$BM12,,$BV$15)*$BW$15+
INDEX($A12:$BM12,,$BV$16)*$BW$16+
INDEX($A12:$BM12,,$BV$17)*$BW$17+
INDEX($A12:$BM12,,$BV$18)*$BW$18+
INDEX($A12:$BM12,,$BV$19)*$BW$19+
INDEX($A12:$BM12,,$BV$20)*$BW$20+
INDEX($A12:$BM12,,$BV$21)*$BW$21+
INDEX($A12:$BM12,,$BV$22)*$BW$22+
INDEX($A12:$BM12,,$BV$23)*$BW$23+
INDEX($A12:$BM12,,$BV$25)*$BW$25+
INDEX($A12:$BM12,,$BV$26)*$BW$26+
INDEX($A12:$BM12,,$BV$27)*$BW$27+
$BN12)),
$BN12-100)</f>
        <v>-100</v>
      </c>
      <c r="AX12" t="str">
        <f t="shared" si="5"/>
        <v/>
      </c>
      <c r="AY12" t="str">
        <f t="shared" si="6"/>
        <v/>
      </c>
      <c r="AZ12" s="430">
        <f>IFERROR(
IF(AX12="",-100,
IF($BV$2&gt;0, INDEX(Beersheet!$A:$U,MATCH(AX12,INDEX(Beersheet!$A:$U,0,FFARawStatProjections!$BV$2),0),$BV$3)+$BN12,
INDEX($A12:$BM12,,$BV$12)*$BW$12+
INDEX($A12:$BM12,,$BV$15)*$BW$15+
INDEX($A12:$BM12,,$BV$16)*$BW$16+
INDEX($A12:$BM12,,$BV$17)*$BW$17+
INDEX($A12:$BM12,,$BV$18)*$BW$18+
INDEX($A12:$BM12,,$BV$19)*$BW$19+
INDEX($A12:$BM12,,$BV$20)*$BW$20+
INDEX($A12:$BM12,,$BV$21)*$BW$21+
INDEX($A12:$BM12,,$BV$22)*$BW$22+
INDEX($A12:$BM12,,$BV$23)*$BW$23+
INDEX($A12:$BM12,,$BV$25)*$BW$25+
INDEX($A12:$BM12,,$BV$26)*$BW$26+
INDEX($A12:$BM12,,$BV$27)*$BW$27+
$BN12)),
$BN12-100)</f>
        <v>-100</v>
      </c>
      <c r="BB12" t="str">
        <f t="shared" si="7"/>
        <v/>
      </c>
      <c r="BC12" t="str">
        <f t="shared" si="8"/>
        <v/>
      </c>
      <c r="BD12" s="430">
        <f>IFERROR(
IF(BB12="",-100,
IF($BV$2&gt;0, INDEX(Beersheet!$A:$U,MATCH(BB12,INDEX(Beersheet!$A:$U,0,FFARawStatProjections!$BV$2),0),$BV$3)+$BN12,
INDEX($A12:$BM12,,$BV$12)*$BW$12+
INDEX($A12:$BM12,,$BV$15)*$BW$15+
INDEX($A12:$BM12,,$BV$16)*$BW$16+
INDEX($A12:$BM12,,$BV$17)*$BW$17+
INDEX($A12:$BM12,,$BV$18)*$BW$18+
INDEX($A12:$BM12,,$BV$19)*$BW$19+
INDEX($A12:$BM12,,$BV$20)*$BW$20+
INDEX($A12:$BM12,,$BV$21)*$BW$21+
INDEX($A12:$BM12,,$BV$22)*$BW$22+
INDEX($A12:$BM12,,$BV$23)*$BW$23+
INDEX($A12:$BM12,,$BV$25)*$BW$25+
INDEX($A12:$BM12,,$BV$26)*$BW$26+
INDEX($A12:$BM12,,$BV$27)*$BW$27+
$BN12)),
$BN12-100)</f>
        <v>-100</v>
      </c>
      <c r="BF12" t="str">
        <f t="shared" si="9"/>
        <v/>
      </c>
      <c r="BG12" t="str">
        <f t="shared" si="10"/>
        <v/>
      </c>
      <c r="BH12">
        <f t="shared" si="11"/>
        <v>0</v>
      </c>
      <c r="BJ12" t="str">
        <f t="shared" si="12"/>
        <v/>
      </c>
      <c r="BL12">
        <f t="shared" si="1"/>
        <v>0</v>
      </c>
      <c r="BN12">
        <v>1.1E-4</v>
      </c>
      <c r="BS12" s="4" t="s">
        <v>2120</v>
      </c>
      <c r="BU12" t="s">
        <v>2027</v>
      </c>
      <c r="BV12">
        <f t="shared" si="13"/>
        <v>6</v>
      </c>
      <c r="BW12">
        <f>-2</f>
        <v>-2</v>
      </c>
    </row>
    <row r="13" spans="1:75" ht="15.75" thickBot="1" x14ac:dyDescent="0.3">
      <c r="A13" s="569" t="s">
        <v>1882</v>
      </c>
      <c r="B13" s="569" t="s">
        <v>154</v>
      </c>
      <c r="C13" s="569" t="s">
        <v>1</v>
      </c>
      <c r="D13" s="574">
        <v>13</v>
      </c>
      <c r="E13" s="569"/>
      <c r="F13" s="569"/>
      <c r="G13" s="569">
        <v>515.6</v>
      </c>
      <c r="H13" s="569">
        <v>335.4</v>
      </c>
      <c r="I13" s="574">
        <v>10</v>
      </c>
      <c r="J13" s="574">
        <v>20.8</v>
      </c>
      <c r="K13" s="574">
        <v>3471.4</v>
      </c>
      <c r="L13" s="574">
        <v>0</v>
      </c>
      <c r="M13" s="574">
        <v>0</v>
      </c>
      <c r="N13" s="574">
        <v>0</v>
      </c>
      <c r="O13" s="574">
        <v>109.3</v>
      </c>
      <c r="P13" s="574">
        <v>4.9000000000000004</v>
      </c>
      <c r="Q13" s="574">
        <v>636.5</v>
      </c>
      <c r="R13" s="569"/>
      <c r="S13" s="569"/>
      <c r="T13" s="569"/>
      <c r="U13" s="569"/>
      <c r="V13" s="569"/>
      <c r="W13" s="569"/>
      <c r="X13" s="569"/>
      <c r="Y13" s="569"/>
      <c r="Z13" s="569"/>
      <c r="AA13" s="569"/>
      <c r="AB13" s="569"/>
      <c r="AC13" s="569"/>
      <c r="AD13" s="569"/>
      <c r="AE13" s="569"/>
      <c r="AF13" s="569"/>
      <c r="AG13" s="569"/>
      <c r="AH13" s="569"/>
      <c r="AI13" s="569"/>
      <c r="AJ13" s="569"/>
      <c r="AK13" s="569"/>
      <c r="AL13" s="569"/>
      <c r="AM13" s="569"/>
      <c r="AN13" s="574">
        <v>296.8</v>
      </c>
      <c r="AO13">
        <v>12</v>
      </c>
      <c r="AP13" t="str">
        <f t="shared" si="0"/>
        <v>Daniel Jones</v>
      </c>
      <c r="AQ13" t="str">
        <f t="shared" si="2"/>
        <v>NYG</v>
      </c>
      <c r="AR13" s="430">
        <f>IFERROR(
IF(AP13="",-100,
IF($BV$2&gt;0, INDEX(Beersheet!$A:$U,MATCH(AP13,INDEX(Beersheet!$A:$U,0,FFARawStatProjections!$BV$2),0),$BV$3)+$BN13,
INDEX($A13:$BM13,,$BV$12)*$BW$12+
INDEX($A13:$BM13,,$BV$15)*$BW$15+
INDEX($A13:$BM13,,$BV$16)*$BW$16+
INDEX($A13:$BM13,,$BV$17)*$BW$17+
INDEX($A13:$BM13,,$BV$18)*$BW$18+
INDEX($A13:$BM13,,$BV$19)*$BW$19+
INDEX($A13:$BM13,,$BV$20)*$BW$20+
INDEX($A13:$BM13,,$BV$21)*$BW$21+
INDEX($A13:$BM13,,$BV$22)*$BW$22+
INDEX($A13:$BM13,,$BV$23)*$BW$23+
INDEX($A13:$BM13,,$BV$25)*$BW$25+
INDEX($A13:$BM13,,$BV$26)*$BW$26+
INDEX($A13:$BM13,,$BV$27)*$BW$27+
$BN13)),
$BN13-100)</f>
        <v>305.10611999999998</v>
      </c>
      <c r="AT13" t="str">
        <f t="shared" si="3"/>
        <v/>
      </c>
      <c r="AU13" t="str">
        <f t="shared" si="4"/>
        <v/>
      </c>
      <c r="AV13" s="430">
        <f>IFERROR(
IF(AT13="",-100,
IF($BV$2&gt;0, INDEX(Beersheet!$A:$U,MATCH(AT13,INDEX(Beersheet!$A:$U,0,FFARawStatProjections!$BV$2),0),$BV$3)+$BN13,
INDEX($A13:$BM13,,$BV$12)*$BW$12+
INDEX($A13:$BM13,,$BV$15)*$BW$15+
INDEX($A13:$BM13,,$BV$16)*$BW$16+
INDEX($A13:$BM13,,$BV$17)*$BW$17+
INDEX($A13:$BM13,,$BV$18)*$BW$18+
INDEX($A13:$BM13,,$BV$19)*$BW$19+
INDEX($A13:$BM13,,$BV$20)*$BW$20+
INDEX($A13:$BM13,,$BV$21)*$BW$21+
INDEX($A13:$BM13,,$BV$22)*$BW$22+
INDEX($A13:$BM13,,$BV$23)*$BW$23+
INDEX($A13:$BM13,,$BV$25)*$BW$25+
INDEX($A13:$BM13,,$BV$26)*$BW$26+
INDEX($A13:$BM13,,$BV$27)*$BW$27+
$BN13)),
$BN13-100)</f>
        <v>-100</v>
      </c>
      <c r="AX13" t="str">
        <f t="shared" si="5"/>
        <v/>
      </c>
      <c r="AY13" t="str">
        <f t="shared" si="6"/>
        <v/>
      </c>
      <c r="AZ13" s="430">
        <f>IFERROR(
IF(AX13="",-100,
IF($BV$2&gt;0, INDEX(Beersheet!$A:$U,MATCH(AX13,INDEX(Beersheet!$A:$U,0,FFARawStatProjections!$BV$2),0),$BV$3)+$BN13,
INDEX($A13:$BM13,,$BV$12)*$BW$12+
INDEX($A13:$BM13,,$BV$15)*$BW$15+
INDEX($A13:$BM13,,$BV$16)*$BW$16+
INDEX($A13:$BM13,,$BV$17)*$BW$17+
INDEX($A13:$BM13,,$BV$18)*$BW$18+
INDEX($A13:$BM13,,$BV$19)*$BW$19+
INDEX($A13:$BM13,,$BV$20)*$BW$20+
INDEX($A13:$BM13,,$BV$21)*$BW$21+
INDEX($A13:$BM13,,$BV$22)*$BW$22+
INDEX($A13:$BM13,,$BV$23)*$BW$23+
INDEX($A13:$BM13,,$BV$25)*$BW$25+
INDEX($A13:$BM13,,$BV$26)*$BW$26+
INDEX($A13:$BM13,,$BV$27)*$BW$27+
$BN13)),
$BN13-100)</f>
        <v>-100</v>
      </c>
      <c r="BB13" t="str">
        <f t="shared" si="7"/>
        <v/>
      </c>
      <c r="BC13" t="str">
        <f t="shared" si="8"/>
        <v/>
      </c>
      <c r="BD13" s="430">
        <f>IFERROR(
IF(BB13="",-100,
IF($BV$2&gt;0, INDEX(Beersheet!$A:$U,MATCH(BB13,INDEX(Beersheet!$A:$U,0,FFARawStatProjections!$BV$2),0),$BV$3)+$BN13,
INDEX($A13:$BM13,,$BV$12)*$BW$12+
INDEX($A13:$BM13,,$BV$15)*$BW$15+
INDEX($A13:$BM13,,$BV$16)*$BW$16+
INDEX($A13:$BM13,,$BV$17)*$BW$17+
INDEX($A13:$BM13,,$BV$18)*$BW$18+
INDEX($A13:$BM13,,$BV$19)*$BW$19+
INDEX($A13:$BM13,,$BV$20)*$BW$20+
INDEX($A13:$BM13,,$BV$21)*$BW$21+
INDEX($A13:$BM13,,$BV$22)*$BW$22+
INDEX($A13:$BM13,,$BV$23)*$BW$23+
INDEX($A13:$BM13,,$BV$25)*$BW$25+
INDEX($A13:$BM13,,$BV$26)*$BW$26+
INDEX($A13:$BM13,,$BV$27)*$BW$27+
$BN13)),
$BN13-100)</f>
        <v>-100</v>
      </c>
      <c r="BF13" t="str">
        <f t="shared" si="9"/>
        <v/>
      </c>
      <c r="BG13" t="str">
        <f t="shared" si="10"/>
        <v/>
      </c>
      <c r="BH13">
        <f t="shared" si="11"/>
        <v>0</v>
      </c>
      <c r="BJ13" t="str">
        <f t="shared" si="12"/>
        <v/>
      </c>
      <c r="BL13">
        <f t="shared" si="1"/>
        <v>0</v>
      </c>
      <c r="BN13">
        <v>1.2E-4</v>
      </c>
      <c r="BS13" s="4" t="s">
        <v>2327</v>
      </c>
      <c r="BU13" t="s">
        <v>2028</v>
      </c>
      <c r="BV13">
        <f t="shared" si="13"/>
        <v>7</v>
      </c>
    </row>
    <row r="14" spans="1:75" ht="15.75" thickBot="1" x14ac:dyDescent="0.3">
      <c r="A14" s="569" t="s">
        <v>173</v>
      </c>
      <c r="B14" s="569" t="s">
        <v>140</v>
      </c>
      <c r="C14" s="569" t="s">
        <v>1</v>
      </c>
      <c r="D14" s="574">
        <v>5</v>
      </c>
      <c r="E14" s="569"/>
      <c r="F14" s="569"/>
      <c r="G14" s="569">
        <v>544.4</v>
      </c>
      <c r="H14" s="569">
        <v>370.7</v>
      </c>
      <c r="I14" s="574">
        <v>11.3</v>
      </c>
      <c r="J14" s="574">
        <v>27.1</v>
      </c>
      <c r="K14" s="574">
        <v>4049.8</v>
      </c>
      <c r="L14" s="574">
        <v>0</v>
      </c>
      <c r="M14" s="574">
        <v>0</v>
      </c>
      <c r="N14" s="574">
        <v>0</v>
      </c>
      <c r="O14" s="574">
        <v>62.2</v>
      </c>
      <c r="P14" s="574">
        <v>2</v>
      </c>
      <c r="Q14" s="574">
        <v>323.2</v>
      </c>
      <c r="R14" s="569"/>
      <c r="S14" s="569"/>
      <c r="T14" s="569"/>
      <c r="U14" s="569"/>
      <c r="V14" s="569"/>
      <c r="W14" s="569"/>
      <c r="X14" s="569"/>
      <c r="Y14" s="569"/>
      <c r="Z14" s="569"/>
      <c r="AA14" s="569"/>
      <c r="AB14" s="569"/>
      <c r="AC14" s="569"/>
      <c r="AD14" s="569"/>
      <c r="AE14" s="569"/>
      <c r="AF14" s="569"/>
      <c r="AG14" s="569"/>
      <c r="AH14" s="569"/>
      <c r="AI14" s="569"/>
      <c r="AJ14" s="569"/>
      <c r="AK14" s="569"/>
      <c r="AL14" s="569"/>
      <c r="AM14" s="569"/>
      <c r="AN14" s="574">
        <v>296.2</v>
      </c>
      <c r="AO14">
        <v>13</v>
      </c>
      <c r="AP14" t="str">
        <f t="shared" si="0"/>
        <v>Geno Smith</v>
      </c>
      <c r="AQ14" t="str">
        <f t="shared" si="2"/>
        <v>SEA</v>
      </c>
      <c r="AR14" s="430">
        <f>IFERROR(
IF(AP14="",-100,
IF($BV$2&gt;0, INDEX(Beersheet!$A:$U,MATCH(AP14,INDEX(Beersheet!$A:$U,0,FFARawStatProjections!$BV$2),0),$BV$3)+$BN14,
INDEX($A14:$BM14,,$BV$12)*$BW$12+
INDEX($A14:$BM14,,$BV$15)*$BW$15+
INDEX($A14:$BM14,,$BV$16)*$BW$16+
INDEX($A14:$BM14,,$BV$17)*$BW$17+
INDEX($A14:$BM14,,$BV$18)*$BW$18+
INDEX($A14:$BM14,,$BV$19)*$BW$19+
INDEX($A14:$BM14,,$BV$20)*$BW$20+
INDEX($A14:$BM14,,$BV$21)*$BW$21+
INDEX($A14:$BM14,,$BV$22)*$BW$22+
INDEX($A14:$BM14,,$BV$23)*$BW$23+
INDEX($A14:$BM14,,$BV$25)*$BW$25+
INDEX($A14:$BM14,,$BV$26)*$BW$26+
INDEX($A14:$BM14,,$BV$27)*$BW$27+
$BN14)),
$BN14-100)</f>
        <v>303.41213000000005</v>
      </c>
      <c r="AT14" t="str">
        <f t="shared" si="3"/>
        <v/>
      </c>
      <c r="AU14" t="str">
        <f t="shared" si="4"/>
        <v/>
      </c>
      <c r="AV14" s="430">
        <f>IFERROR(
IF(AT14="",-100,
IF($BV$2&gt;0, INDEX(Beersheet!$A:$U,MATCH(AT14,INDEX(Beersheet!$A:$U,0,FFARawStatProjections!$BV$2),0),$BV$3)+$BN14,
INDEX($A14:$BM14,,$BV$12)*$BW$12+
INDEX($A14:$BM14,,$BV$15)*$BW$15+
INDEX($A14:$BM14,,$BV$16)*$BW$16+
INDEX($A14:$BM14,,$BV$17)*$BW$17+
INDEX($A14:$BM14,,$BV$18)*$BW$18+
INDEX($A14:$BM14,,$BV$19)*$BW$19+
INDEX($A14:$BM14,,$BV$20)*$BW$20+
INDEX($A14:$BM14,,$BV$21)*$BW$21+
INDEX($A14:$BM14,,$BV$22)*$BW$22+
INDEX($A14:$BM14,,$BV$23)*$BW$23+
INDEX($A14:$BM14,,$BV$25)*$BW$25+
INDEX($A14:$BM14,,$BV$26)*$BW$26+
INDEX($A14:$BM14,,$BV$27)*$BW$27+
$BN14)),
$BN14-100)</f>
        <v>-100</v>
      </c>
      <c r="AX14" t="str">
        <f t="shared" si="5"/>
        <v/>
      </c>
      <c r="AY14" t="str">
        <f t="shared" si="6"/>
        <v/>
      </c>
      <c r="AZ14" s="430">
        <f>IFERROR(
IF(AX14="",-100,
IF($BV$2&gt;0, INDEX(Beersheet!$A:$U,MATCH(AX14,INDEX(Beersheet!$A:$U,0,FFARawStatProjections!$BV$2),0),$BV$3)+$BN14,
INDEX($A14:$BM14,,$BV$12)*$BW$12+
INDEX($A14:$BM14,,$BV$15)*$BW$15+
INDEX($A14:$BM14,,$BV$16)*$BW$16+
INDEX($A14:$BM14,,$BV$17)*$BW$17+
INDEX($A14:$BM14,,$BV$18)*$BW$18+
INDEX($A14:$BM14,,$BV$19)*$BW$19+
INDEX($A14:$BM14,,$BV$20)*$BW$20+
INDEX($A14:$BM14,,$BV$21)*$BW$21+
INDEX($A14:$BM14,,$BV$22)*$BW$22+
INDEX($A14:$BM14,,$BV$23)*$BW$23+
INDEX($A14:$BM14,,$BV$25)*$BW$25+
INDEX($A14:$BM14,,$BV$26)*$BW$26+
INDEX($A14:$BM14,,$BV$27)*$BW$27+
$BN14)),
$BN14-100)</f>
        <v>-100</v>
      </c>
      <c r="BB14" t="str">
        <f t="shared" si="7"/>
        <v/>
      </c>
      <c r="BC14" t="str">
        <f t="shared" si="8"/>
        <v/>
      </c>
      <c r="BD14" s="430">
        <f>IFERROR(
IF(BB14="",-100,
IF($BV$2&gt;0, INDEX(Beersheet!$A:$U,MATCH(BB14,INDEX(Beersheet!$A:$U,0,FFARawStatProjections!$BV$2),0),$BV$3)+$BN14,
INDEX($A14:$BM14,,$BV$12)*$BW$12+
INDEX($A14:$BM14,,$BV$15)*$BW$15+
INDEX($A14:$BM14,,$BV$16)*$BW$16+
INDEX($A14:$BM14,,$BV$17)*$BW$17+
INDEX($A14:$BM14,,$BV$18)*$BW$18+
INDEX($A14:$BM14,,$BV$19)*$BW$19+
INDEX($A14:$BM14,,$BV$20)*$BW$20+
INDEX($A14:$BM14,,$BV$21)*$BW$21+
INDEX($A14:$BM14,,$BV$22)*$BW$22+
INDEX($A14:$BM14,,$BV$23)*$BW$23+
INDEX($A14:$BM14,,$BV$25)*$BW$25+
INDEX($A14:$BM14,,$BV$26)*$BW$26+
INDEX($A14:$BM14,,$BV$27)*$BW$27+
$BN14)),
$BN14-100)</f>
        <v>-100</v>
      </c>
      <c r="BF14" t="str">
        <f t="shared" si="9"/>
        <v/>
      </c>
      <c r="BG14" t="str">
        <f t="shared" si="10"/>
        <v/>
      </c>
      <c r="BH14">
        <f t="shared" si="11"/>
        <v>0</v>
      </c>
      <c r="BJ14" t="str">
        <f t="shared" si="12"/>
        <v/>
      </c>
      <c r="BL14">
        <f t="shared" si="1"/>
        <v>0</v>
      </c>
      <c r="BN14">
        <v>1.2999999999999999E-4</v>
      </c>
      <c r="BS14" s="4" t="s">
        <v>1401</v>
      </c>
      <c r="BU14" t="s">
        <v>2029</v>
      </c>
      <c r="BV14">
        <f t="shared" si="13"/>
        <v>8</v>
      </c>
    </row>
    <row r="15" spans="1:75" ht="15.75" thickBot="1" x14ac:dyDescent="0.3">
      <c r="A15" s="569" t="s">
        <v>13</v>
      </c>
      <c r="B15" s="569" t="s">
        <v>164</v>
      </c>
      <c r="C15" s="569" t="s">
        <v>1</v>
      </c>
      <c r="D15" s="574">
        <v>7</v>
      </c>
      <c r="E15" s="569"/>
      <c r="F15" s="569"/>
      <c r="G15" s="569">
        <v>559.29999999999995</v>
      </c>
      <c r="H15" s="569">
        <v>361.9</v>
      </c>
      <c r="I15" s="574">
        <v>8.6999999999999993</v>
      </c>
      <c r="J15" s="574">
        <v>28.1</v>
      </c>
      <c r="K15" s="574">
        <v>4060.9</v>
      </c>
      <c r="L15" s="574">
        <v>0</v>
      </c>
      <c r="M15" s="574">
        <v>0</v>
      </c>
      <c r="N15" s="574">
        <v>0</v>
      </c>
      <c r="O15" s="574">
        <v>35.5</v>
      </c>
      <c r="P15" s="574">
        <v>1.5</v>
      </c>
      <c r="Q15" s="574">
        <v>121.5</v>
      </c>
      <c r="R15" s="569"/>
      <c r="S15" s="569"/>
      <c r="T15" s="569"/>
      <c r="U15" s="569"/>
      <c r="V15" s="569"/>
      <c r="W15" s="569"/>
      <c r="X15" s="569"/>
      <c r="Y15" s="569"/>
      <c r="Z15" s="569"/>
      <c r="AA15" s="569"/>
      <c r="AB15" s="569"/>
      <c r="AC15" s="569"/>
      <c r="AD15" s="569"/>
      <c r="AE15" s="569"/>
      <c r="AF15" s="569"/>
      <c r="AG15" s="569"/>
      <c r="AH15" s="569"/>
      <c r="AI15" s="569"/>
      <c r="AJ15" s="569"/>
      <c r="AK15" s="569"/>
      <c r="AL15" s="569"/>
      <c r="AM15" s="569"/>
      <c r="AN15" s="574">
        <v>282.2</v>
      </c>
      <c r="AO15">
        <v>14</v>
      </c>
      <c r="AP15" t="str">
        <f t="shared" si="0"/>
        <v>Aaron Rodgers</v>
      </c>
      <c r="AQ15" t="str">
        <f t="shared" si="2"/>
        <v>NYJ</v>
      </c>
      <c r="AR15" s="430">
        <f>IFERROR(
IF(AP15="",-100,
IF($BV$2&gt;0, INDEX(Beersheet!$A:$U,MATCH(AP15,INDEX(Beersheet!$A:$U,0,FFARawStatProjections!$BV$2),0),$BV$3)+$BN15,
INDEX($A15:$BM15,,$BV$12)*$BW$12+
INDEX($A15:$BM15,,$BV$15)*$BW$15+
INDEX($A15:$BM15,,$BV$16)*$BW$16+
INDEX($A15:$BM15,,$BV$17)*$BW$17+
INDEX($A15:$BM15,,$BV$18)*$BW$18+
INDEX($A15:$BM15,,$BV$19)*$BW$19+
INDEX($A15:$BM15,,$BV$20)*$BW$20+
INDEX($A15:$BM15,,$BV$21)*$BW$21+
INDEX($A15:$BM15,,$BV$22)*$BW$22+
INDEX($A15:$BM15,,$BV$23)*$BW$23+
INDEX($A15:$BM15,,$BV$25)*$BW$25+
INDEX($A15:$BM15,,$BV$26)*$BW$26+
INDEX($A15:$BM15,,$BV$27)*$BW$27+
$BN15)),
$BN15-100)</f>
        <v>287.28613999999999</v>
      </c>
      <c r="AT15" t="str">
        <f t="shared" si="3"/>
        <v/>
      </c>
      <c r="AU15" t="str">
        <f t="shared" si="4"/>
        <v/>
      </c>
      <c r="AV15" s="430">
        <f>IFERROR(
IF(AT15="",-100,
IF($BV$2&gt;0, INDEX(Beersheet!$A:$U,MATCH(AT15,INDEX(Beersheet!$A:$U,0,FFARawStatProjections!$BV$2),0),$BV$3)+$BN15,
INDEX($A15:$BM15,,$BV$12)*$BW$12+
INDEX($A15:$BM15,,$BV$15)*$BW$15+
INDEX($A15:$BM15,,$BV$16)*$BW$16+
INDEX($A15:$BM15,,$BV$17)*$BW$17+
INDEX($A15:$BM15,,$BV$18)*$BW$18+
INDEX($A15:$BM15,,$BV$19)*$BW$19+
INDEX($A15:$BM15,,$BV$20)*$BW$20+
INDEX($A15:$BM15,,$BV$21)*$BW$21+
INDEX($A15:$BM15,,$BV$22)*$BW$22+
INDEX($A15:$BM15,,$BV$23)*$BW$23+
INDEX($A15:$BM15,,$BV$25)*$BW$25+
INDEX($A15:$BM15,,$BV$26)*$BW$26+
INDEX($A15:$BM15,,$BV$27)*$BW$27+
$BN15)),
$BN15-100)</f>
        <v>-100</v>
      </c>
      <c r="AX15" t="str">
        <f t="shared" si="5"/>
        <v/>
      </c>
      <c r="AY15" t="str">
        <f t="shared" si="6"/>
        <v/>
      </c>
      <c r="AZ15" s="430">
        <f>IFERROR(
IF(AX15="",-100,
IF($BV$2&gt;0, INDEX(Beersheet!$A:$U,MATCH(AX15,INDEX(Beersheet!$A:$U,0,FFARawStatProjections!$BV$2),0),$BV$3)+$BN15,
INDEX($A15:$BM15,,$BV$12)*$BW$12+
INDEX($A15:$BM15,,$BV$15)*$BW$15+
INDEX($A15:$BM15,,$BV$16)*$BW$16+
INDEX($A15:$BM15,,$BV$17)*$BW$17+
INDEX($A15:$BM15,,$BV$18)*$BW$18+
INDEX($A15:$BM15,,$BV$19)*$BW$19+
INDEX($A15:$BM15,,$BV$20)*$BW$20+
INDEX($A15:$BM15,,$BV$21)*$BW$21+
INDEX($A15:$BM15,,$BV$22)*$BW$22+
INDEX($A15:$BM15,,$BV$23)*$BW$23+
INDEX($A15:$BM15,,$BV$25)*$BW$25+
INDEX($A15:$BM15,,$BV$26)*$BW$26+
INDEX($A15:$BM15,,$BV$27)*$BW$27+
$BN15)),
$BN15-100)</f>
        <v>-100</v>
      </c>
      <c r="BB15" t="str">
        <f t="shared" si="7"/>
        <v/>
      </c>
      <c r="BC15" t="str">
        <f t="shared" si="8"/>
        <v/>
      </c>
      <c r="BD15" s="430">
        <f>IFERROR(
IF(BB15="",-100,
IF($BV$2&gt;0, INDEX(Beersheet!$A:$U,MATCH(BB15,INDEX(Beersheet!$A:$U,0,FFARawStatProjections!$BV$2),0),$BV$3)+$BN15,
INDEX($A15:$BM15,,$BV$12)*$BW$12+
INDEX($A15:$BM15,,$BV$15)*$BW$15+
INDEX($A15:$BM15,,$BV$16)*$BW$16+
INDEX($A15:$BM15,,$BV$17)*$BW$17+
INDEX($A15:$BM15,,$BV$18)*$BW$18+
INDEX($A15:$BM15,,$BV$19)*$BW$19+
INDEX($A15:$BM15,,$BV$20)*$BW$20+
INDEX($A15:$BM15,,$BV$21)*$BW$21+
INDEX($A15:$BM15,,$BV$22)*$BW$22+
INDEX($A15:$BM15,,$BV$23)*$BW$23+
INDEX($A15:$BM15,,$BV$25)*$BW$25+
INDEX($A15:$BM15,,$BV$26)*$BW$26+
INDEX($A15:$BM15,,$BV$27)*$BW$27+
$BN15)),
$BN15-100)</f>
        <v>-100</v>
      </c>
      <c r="BF15" t="str">
        <f t="shared" si="9"/>
        <v/>
      </c>
      <c r="BG15" t="str">
        <f t="shared" si="10"/>
        <v/>
      </c>
      <c r="BH15">
        <f t="shared" si="11"/>
        <v>0</v>
      </c>
      <c r="BJ15" t="str">
        <f t="shared" si="12"/>
        <v/>
      </c>
      <c r="BL15">
        <f t="shared" si="1"/>
        <v>0</v>
      </c>
      <c r="BN15">
        <v>1.3999999999999999E-4</v>
      </c>
      <c r="BS15" s="4" t="s">
        <v>1871</v>
      </c>
      <c r="BU15" t="s">
        <v>2030</v>
      </c>
      <c r="BV15">
        <f t="shared" si="13"/>
        <v>9</v>
      </c>
      <c r="BW15">
        <f>-1</f>
        <v>-1</v>
      </c>
    </row>
    <row r="16" spans="1:75" ht="15.75" thickBot="1" x14ac:dyDescent="0.3">
      <c r="A16" s="569" t="s">
        <v>2099</v>
      </c>
      <c r="B16" s="569" t="s">
        <v>166</v>
      </c>
      <c r="C16" s="569" t="s">
        <v>1</v>
      </c>
      <c r="D16" s="574">
        <v>10</v>
      </c>
      <c r="E16" s="569"/>
      <c r="F16" s="569"/>
      <c r="G16" s="569">
        <v>535.79999999999995</v>
      </c>
      <c r="H16" s="569">
        <v>350.8</v>
      </c>
      <c r="I16" s="574">
        <v>12.3</v>
      </c>
      <c r="J16" s="574">
        <v>27.2</v>
      </c>
      <c r="K16" s="574">
        <v>4120.8999999999996</v>
      </c>
      <c r="L16" s="574">
        <v>0</v>
      </c>
      <c r="M16" s="574">
        <v>0</v>
      </c>
      <c r="N16" s="574">
        <v>0</v>
      </c>
      <c r="O16" s="574">
        <v>43.1</v>
      </c>
      <c r="P16" s="574">
        <v>1.7</v>
      </c>
      <c r="Q16" s="574">
        <v>133.4</v>
      </c>
      <c r="R16" s="569"/>
      <c r="S16" s="569"/>
      <c r="T16" s="569"/>
      <c r="U16" s="569"/>
      <c r="V16" s="569"/>
      <c r="W16" s="569"/>
      <c r="X16" s="569"/>
      <c r="Y16" s="569"/>
      <c r="Z16" s="569"/>
      <c r="AA16" s="569"/>
      <c r="AB16" s="569"/>
      <c r="AC16" s="569"/>
      <c r="AD16" s="569"/>
      <c r="AE16" s="569"/>
      <c r="AF16" s="569"/>
      <c r="AG16" s="569"/>
      <c r="AH16" s="569"/>
      <c r="AI16" s="569"/>
      <c r="AJ16" s="569"/>
      <c r="AK16" s="569"/>
      <c r="AL16" s="569"/>
      <c r="AM16" s="569"/>
      <c r="AN16" s="574">
        <v>280.89999999999998</v>
      </c>
      <c r="AO16">
        <v>15</v>
      </c>
      <c r="AP16" t="str">
        <f t="shared" si="0"/>
        <v>Tua Tagovailoa</v>
      </c>
      <c r="AQ16" t="str">
        <f t="shared" si="2"/>
        <v>MIA</v>
      </c>
      <c r="AR16" s="430">
        <f>IFERROR(
IF(AP16="",-100,
IF($BV$2&gt;0, INDEX(Beersheet!$A:$U,MATCH(AP16,INDEX(Beersheet!$A:$U,0,FFARawStatProjections!$BV$2),0),$BV$3)+$BN16,
INDEX($A16:$BM16,,$BV$12)*$BW$12+
INDEX($A16:$BM16,,$BV$15)*$BW$15+
INDEX($A16:$BM16,,$BV$16)*$BW$16+
INDEX($A16:$BM16,,$BV$17)*$BW$17+
INDEX($A16:$BM16,,$BV$18)*$BW$18+
INDEX($A16:$BM16,,$BV$19)*$BW$19+
INDEX($A16:$BM16,,$BV$20)*$BW$20+
INDEX($A16:$BM16,,$BV$21)*$BW$21+
INDEX($A16:$BM16,,$BV$22)*$BW$22+
INDEX($A16:$BM16,,$BV$23)*$BW$23+
INDEX($A16:$BM16,,$BV$25)*$BW$25+
INDEX($A16:$BM16,,$BV$26)*$BW$26+
INDEX($A16:$BM16,,$BV$27)*$BW$27+
$BN16)),
$BN16-100)</f>
        <v>284.87615</v>
      </c>
      <c r="AT16" t="str">
        <f t="shared" si="3"/>
        <v/>
      </c>
      <c r="AU16" t="str">
        <f t="shared" si="4"/>
        <v/>
      </c>
      <c r="AV16" s="430">
        <f>IFERROR(
IF(AT16="",-100,
IF($BV$2&gt;0, INDEX(Beersheet!$A:$U,MATCH(AT16,INDEX(Beersheet!$A:$U,0,FFARawStatProjections!$BV$2),0),$BV$3)+$BN16,
INDEX($A16:$BM16,,$BV$12)*$BW$12+
INDEX($A16:$BM16,,$BV$15)*$BW$15+
INDEX($A16:$BM16,,$BV$16)*$BW$16+
INDEX($A16:$BM16,,$BV$17)*$BW$17+
INDEX($A16:$BM16,,$BV$18)*$BW$18+
INDEX($A16:$BM16,,$BV$19)*$BW$19+
INDEX($A16:$BM16,,$BV$20)*$BW$20+
INDEX($A16:$BM16,,$BV$21)*$BW$21+
INDEX($A16:$BM16,,$BV$22)*$BW$22+
INDEX($A16:$BM16,,$BV$23)*$BW$23+
INDEX($A16:$BM16,,$BV$25)*$BW$25+
INDEX($A16:$BM16,,$BV$26)*$BW$26+
INDEX($A16:$BM16,,$BV$27)*$BW$27+
$BN16)),
$BN16-100)</f>
        <v>-100</v>
      </c>
      <c r="AX16" t="str">
        <f t="shared" si="5"/>
        <v/>
      </c>
      <c r="AY16" t="str">
        <f t="shared" si="6"/>
        <v/>
      </c>
      <c r="AZ16" s="430">
        <f>IFERROR(
IF(AX16="",-100,
IF($BV$2&gt;0, INDEX(Beersheet!$A:$U,MATCH(AX16,INDEX(Beersheet!$A:$U,0,FFARawStatProjections!$BV$2),0),$BV$3)+$BN16,
INDEX($A16:$BM16,,$BV$12)*$BW$12+
INDEX($A16:$BM16,,$BV$15)*$BW$15+
INDEX($A16:$BM16,,$BV$16)*$BW$16+
INDEX($A16:$BM16,,$BV$17)*$BW$17+
INDEX($A16:$BM16,,$BV$18)*$BW$18+
INDEX($A16:$BM16,,$BV$19)*$BW$19+
INDEX($A16:$BM16,,$BV$20)*$BW$20+
INDEX($A16:$BM16,,$BV$21)*$BW$21+
INDEX($A16:$BM16,,$BV$22)*$BW$22+
INDEX($A16:$BM16,,$BV$23)*$BW$23+
INDEX($A16:$BM16,,$BV$25)*$BW$25+
INDEX($A16:$BM16,,$BV$26)*$BW$26+
INDEX($A16:$BM16,,$BV$27)*$BW$27+
$BN16)),
$BN16-100)</f>
        <v>-100</v>
      </c>
      <c r="BB16" t="str">
        <f t="shared" si="7"/>
        <v/>
      </c>
      <c r="BC16" t="str">
        <f t="shared" si="8"/>
        <v/>
      </c>
      <c r="BD16" s="430">
        <f>IFERROR(
IF(BB16="",-100,
IF($BV$2&gt;0, INDEX(Beersheet!$A:$U,MATCH(BB16,INDEX(Beersheet!$A:$U,0,FFARawStatProjections!$BV$2),0),$BV$3)+$BN16,
INDEX($A16:$BM16,,$BV$12)*$BW$12+
INDEX($A16:$BM16,,$BV$15)*$BW$15+
INDEX($A16:$BM16,,$BV$16)*$BW$16+
INDEX($A16:$BM16,,$BV$17)*$BW$17+
INDEX($A16:$BM16,,$BV$18)*$BW$18+
INDEX($A16:$BM16,,$BV$19)*$BW$19+
INDEX($A16:$BM16,,$BV$20)*$BW$20+
INDEX($A16:$BM16,,$BV$21)*$BW$21+
INDEX($A16:$BM16,,$BV$22)*$BW$22+
INDEX($A16:$BM16,,$BV$23)*$BW$23+
INDEX($A16:$BM16,,$BV$25)*$BW$25+
INDEX($A16:$BM16,,$BV$26)*$BW$26+
INDEX($A16:$BM16,,$BV$27)*$BW$27+
$BN16)),
$BN16-100)</f>
        <v>-100</v>
      </c>
      <c r="BF16" t="str">
        <f t="shared" si="9"/>
        <v/>
      </c>
      <c r="BG16" t="str">
        <f t="shared" si="10"/>
        <v/>
      </c>
      <c r="BH16">
        <f t="shared" si="11"/>
        <v>0</v>
      </c>
      <c r="BJ16" t="str">
        <f t="shared" si="12"/>
        <v/>
      </c>
      <c r="BL16">
        <f t="shared" si="1"/>
        <v>0</v>
      </c>
      <c r="BN16">
        <v>1.4999999999999999E-4</v>
      </c>
      <c r="BS16" s="4" t="s">
        <v>2064</v>
      </c>
      <c r="BU16" t="s">
        <v>2031</v>
      </c>
      <c r="BV16">
        <f t="shared" si="13"/>
        <v>10</v>
      </c>
      <c r="BW16">
        <f>Instructions!J27</f>
        <v>4</v>
      </c>
    </row>
    <row r="17" spans="1:75" ht="15.75" thickBot="1" x14ac:dyDescent="0.3">
      <c r="A17" s="569" t="s">
        <v>45</v>
      </c>
      <c r="B17" s="569" t="s">
        <v>144</v>
      </c>
      <c r="C17" s="569" t="s">
        <v>1</v>
      </c>
      <c r="D17" s="574">
        <v>9</v>
      </c>
      <c r="E17" s="569"/>
      <c r="F17" s="569"/>
      <c r="G17" s="569">
        <v>510.6</v>
      </c>
      <c r="H17" s="569">
        <v>321.7</v>
      </c>
      <c r="I17" s="574">
        <v>10.9</v>
      </c>
      <c r="J17" s="574">
        <v>23.9</v>
      </c>
      <c r="K17" s="574">
        <v>3791.8</v>
      </c>
      <c r="L17" s="574">
        <v>0</v>
      </c>
      <c r="M17" s="574">
        <v>0</v>
      </c>
      <c r="N17" s="574">
        <v>0</v>
      </c>
      <c r="O17" s="574">
        <v>63.4</v>
      </c>
      <c r="P17" s="574">
        <v>2.6</v>
      </c>
      <c r="Q17" s="574">
        <v>317.3</v>
      </c>
      <c r="R17" s="569"/>
      <c r="S17" s="569"/>
      <c r="T17" s="569"/>
      <c r="U17" s="569"/>
      <c r="V17" s="569"/>
      <c r="W17" s="569"/>
      <c r="X17" s="569"/>
      <c r="Y17" s="569"/>
      <c r="Z17" s="569"/>
      <c r="AA17" s="569"/>
      <c r="AB17" s="569"/>
      <c r="AC17" s="569"/>
      <c r="AD17" s="569"/>
      <c r="AE17" s="569"/>
      <c r="AF17" s="569"/>
      <c r="AG17" s="569"/>
      <c r="AH17" s="569"/>
      <c r="AI17" s="569"/>
      <c r="AJ17" s="569"/>
      <c r="AK17" s="569"/>
      <c r="AL17" s="569"/>
      <c r="AM17" s="569"/>
      <c r="AN17" s="574">
        <v>279.60000000000002</v>
      </c>
      <c r="AO17">
        <v>16</v>
      </c>
      <c r="AP17" t="str">
        <f t="shared" si="0"/>
        <v>Russell Wilson</v>
      </c>
      <c r="AQ17" t="str">
        <f t="shared" si="2"/>
        <v>DEN</v>
      </c>
      <c r="AR17" s="430">
        <f>IFERROR(
IF(AP17="",-100,
IF($BV$2&gt;0, INDEX(Beersheet!$A:$U,MATCH(AP17,INDEX(Beersheet!$A:$U,0,FFARawStatProjections!$BV$2),0),$BV$3)+$BN17,
INDEX($A17:$BM17,,$BV$12)*$BW$12+
INDEX($A17:$BM17,,$BV$15)*$BW$15+
INDEX($A17:$BM17,,$BV$16)*$BW$16+
INDEX($A17:$BM17,,$BV$17)*$BW$17+
INDEX($A17:$BM17,,$BV$18)*$BW$18+
INDEX($A17:$BM17,,$BV$19)*$BW$19+
INDEX($A17:$BM17,,$BV$20)*$BW$20+
INDEX($A17:$BM17,,$BV$21)*$BW$21+
INDEX($A17:$BM17,,$BV$22)*$BW$22+
INDEX($A17:$BM17,,$BV$23)*$BW$23+
INDEX($A17:$BM17,,$BV$25)*$BW$25+
INDEX($A17:$BM17,,$BV$26)*$BW$26+
INDEX($A17:$BM17,,$BV$27)*$BW$27+
$BN17)),
$BN17-100)</f>
        <v>283.70215999999999</v>
      </c>
      <c r="AT17" t="str">
        <f t="shared" si="3"/>
        <v/>
      </c>
      <c r="AU17" t="str">
        <f t="shared" si="4"/>
        <v/>
      </c>
      <c r="AV17" s="430">
        <f>IFERROR(
IF(AT17="",-100,
IF($BV$2&gt;0, INDEX(Beersheet!$A:$U,MATCH(AT17,INDEX(Beersheet!$A:$U,0,FFARawStatProjections!$BV$2),0),$BV$3)+$BN17,
INDEX($A17:$BM17,,$BV$12)*$BW$12+
INDEX($A17:$BM17,,$BV$15)*$BW$15+
INDEX($A17:$BM17,,$BV$16)*$BW$16+
INDEX($A17:$BM17,,$BV$17)*$BW$17+
INDEX($A17:$BM17,,$BV$18)*$BW$18+
INDEX($A17:$BM17,,$BV$19)*$BW$19+
INDEX($A17:$BM17,,$BV$20)*$BW$20+
INDEX($A17:$BM17,,$BV$21)*$BW$21+
INDEX($A17:$BM17,,$BV$22)*$BW$22+
INDEX($A17:$BM17,,$BV$23)*$BW$23+
INDEX($A17:$BM17,,$BV$25)*$BW$25+
INDEX($A17:$BM17,,$BV$26)*$BW$26+
INDEX($A17:$BM17,,$BV$27)*$BW$27+
$BN17)),
$BN17-100)</f>
        <v>-100</v>
      </c>
      <c r="AX17" t="str">
        <f t="shared" si="5"/>
        <v/>
      </c>
      <c r="AY17" t="str">
        <f t="shared" si="6"/>
        <v/>
      </c>
      <c r="AZ17" s="430">
        <f>IFERROR(
IF(AX17="",-100,
IF($BV$2&gt;0, INDEX(Beersheet!$A:$U,MATCH(AX17,INDEX(Beersheet!$A:$U,0,FFARawStatProjections!$BV$2),0),$BV$3)+$BN17,
INDEX($A17:$BM17,,$BV$12)*$BW$12+
INDEX($A17:$BM17,,$BV$15)*$BW$15+
INDEX($A17:$BM17,,$BV$16)*$BW$16+
INDEX($A17:$BM17,,$BV$17)*$BW$17+
INDEX($A17:$BM17,,$BV$18)*$BW$18+
INDEX($A17:$BM17,,$BV$19)*$BW$19+
INDEX($A17:$BM17,,$BV$20)*$BW$20+
INDEX($A17:$BM17,,$BV$21)*$BW$21+
INDEX($A17:$BM17,,$BV$22)*$BW$22+
INDEX($A17:$BM17,,$BV$23)*$BW$23+
INDEX($A17:$BM17,,$BV$25)*$BW$25+
INDEX($A17:$BM17,,$BV$26)*$BW$26+
INDEX($A17:$BM17,,$BV$27)*$BW$27+
$BN17)),
$BN17-100)</f>
        <v>-100</v>
      </c>
      <c r="BB17" t="str">
        <f t="shared" si="7"/>
        <v/>
      </c>
      <c r="BC17" t="str">
        <f t="shared" si="8"/>
        <v/>
      </c>
      <c r="BD17" s="430">
        <f>IFERROR(
IF(BB17="",-100,
IF($BV$2&gt;0, INDEX(Beersheet!$A:$U,MATCH(BB17,INDEX(Beersheet!$A:$U,0,FFARawStatProjections!$BV$2),0),$BV$3)+$BN17,
INDEX($A17:$BM17,,$BV$12)*$BW$12+
INDEX($A17:$BM17,,$BV$15)*$BW$15+
INDEX($A17:$BM17,,$BV$16)*$BW$16+
INDEX($A17:$BM17,,$BV$17)*$BW$17+
INDEX($A17:$BM17,,$BV$18)*$BW$18+
INDEX($A17:$BM17,,$BV$19)*$BW$19+
INDEX($A17:$BM17,,$BV$20)*$BW$20+
INDEX($A17:$BM17,,$BV$21)*$BW$21+
INDEX($A17:$BM17,,$BV$22)*$BW$22+
INDEX($A17:$BM17,,$BV$23)*$BW$23+
INDEX($A17:$BM17,,$BV$25)*$BW$25+
INDEX($A17:$BM17,,$BV$26)*$BW$26+
INDEX($A17:$BM17,,$BV$27)*$BW$27+
$BN17)),
$BN17-100)</f>
        <v>-100</v>
      </c>
      <c r="BF17" t="str">
        <f t="shared" si="9"/>
        <v/>
      </c>
      <c r="BG17" t="str">
        <f t="shared" si="10"/>
        <v/>
      </c>
      <c r="BH17">
        <f t="shared" si="11"/>
        <v>0</v>
      </c>
      <c r="BJ17" t="str">
        <f t="shared" si="12"/>
        <v/>
      </c>
      <c r="BL17">
        <f t="shared" si="1"/>
        <v>0</v>
      </c>
      <c r="BN17">
        <v>1.6000000000000001E-4</v>
      </c>
      <c r="BS17" s="4" t="s">
        <v>190</v>
      </c>
      <c r="BU17" t="s">
        <v>2032</v>
      </c>
      <c r="BV17">
        <f t="shared" si="13"/>
        <v>11</v>
      </c>
      <c r="BW17">
        <f>IFERROR(1/Instructions!J25,0)</f>
        <v>0.04</v>
      </c>
    </row>
    <row r="18" spans="1:75" ht="15.75" thickBot="1" x14ac:dyDescent="0.3">
      <c r="A18" s="569" t="s">
        <v>1196</v>
      </c>
      <c r="B18" s="569" t="s">
        <v>142</v>
      </c>
      <c r="C18" s="569" t="s">
        <v>1</v>
      </c>
      <c r="D18" s="574">
        <v>9</v>
      </c>
      <c r="E18" s="569"/>
      <c r="F18" s="569"/>
      <c r="G18" s="569">
        <v>568.6</v>
      </c>
      <c r="H18" s="569">
        <v>373.6</v>
      </c>
      <c r="I18" s="574">
        <v>11</v>
      </c>
      <c r="J18" s="574">
        <v>27.6</v>
      </c>
      <c r="K18" s="574">
        <v>4221.3999999999996</v>
      </c>
      <c r="L18" s="574">
        <v>0</v>
      </c>
      <c r="M18" s="574">
        <v>0</v>
      </c>
      <c r="N18" s="574">
        <v>0</v>
      </c>
      <c r="O18" s="574">
        <v>31.2</v>
      </c>
      <c r="P18" s="574">
        <v>1.2</v>
      </c>
      <c r="Q18" s="574">
        <v>80.7</v>
      </c>
      <c r="R18" s="569"/>
      <c r="S18" s="569"/>
      <c r="T18" s="569"/>
      <c r="U18" s="569"/>
      <c r="V18" s="569"/>
      <c r="W18" s="569"/>
      <c r="X18" s="569"/>
      <c r="Y18" s="569"/>
      <c r="Z18" s="569"/>
      <c r="AA18" s="569"/>
      <c r="AB18" s="569"/>
      <c r="AC18" s="569"/>
      <c r="AD18" s="569"/>
      <c r="AE18" s="569"/>
      <c r="AF18" s="569"/>
      <c r="AG18" s="569"/>
      <c r="AH18" s="569"/>
      <c r="AI18" s="569"/>
      <c r="AJ18" s="569"/>
      <c r="AK18" s="569"/>
      <c r="AL18" s="569"/>
      <c r="AM18" s="569"/>
      <c r="AN18" s="574">
        <v>276.3</v>
      </c>
      <c r="AO18">
        <v>17</v>
      </c>
      <c r="AP18" t="str">
        <f t="shared" si="0"/>
        <v>Jared Goff</v>
      </c>
      <c r="AQ18" t="str">
        <f t="shared" si="2"/>
        <v>DET</v>
      </c>
      <c r="AR18" s="430">
        <f>IFERROR(
IF(AP18="",-100,
IF($BV$2&gt;0, INDEX(Beersheet!$A:$U,MATCH(AP18,INDEX(Beersheet!$A:$U,0,FFARawStatProjections!$BV$2),0),$BV$3)+$BN18,
INDEX($A18:$BM18,,$BV$12)*$BW$12+
INDEX($A18:$BM18,,$BV$15)*$BW$15+
INDEX($A18:$BM18,,$BV$16)*$BW$16+
INDEX($A18:$BM18,,$BV$17)*$BW$17+
INDEX($A18:$BM18,,$BV$18)*$BW$18+
INDEX($A18:$BM18,,$BV$19)*$BW$19+
INDEX($A18:$BM18,,$BV$20)*$BW$20+
INDEX($A18:$BM18,,$BV$21)*$BW$21+
INDEX($A18:$BM18,,$BV$22)*$BW$22+
INDEX($A18:$BM18,,$BV$23)*$BW$23+
INDEX($A18:$BM18,,$BV$25)*$BW$25+
INDEX($A18:$BM18,,$BV$26)*$BW$26+
INDEX($A18:$BM18,,$BV$27)*$BW$27+
$BN18)),
$BN18-100)</f>
        <v>283.52616999999998</v>
      </c>
      <c r="AT18" t="str">
        <f t="shared" si="3"/>
        <v/>
      </c>
      <c r="AU18" t="str">
        <f t="shared" si="4"/>
        <v/>
      </c>
      <c r="AV18" s="430">
        <f>IFERROR(
IF(AT18="",-100,
IF($BV$2&gt;0, INDEX(Beersheet!$A:$U,MATCH(AT18,INDEX(Beersheet!$A:$U,0,FFARawStatProjections!$BV$2),0),$BV$3)+$BN18,
INDEX($A18:$BM18,,$BV$12)*$BW$12+
INDEX($A18:$BM18,,$BV$15)*$BW$15+
INDEX($A18:$BM18,,$BV$16)*$BW$16+
INDEX($A18:$BM18,,$BV$17)*$BW$17+
INDEX($A18:$BM18,,$BV$18)*$BW$18+
INDEX($A18:$BM18,,$BV$19)*$BW$19+
INDEX($A18:$BM18,,$BV$20)*$BW$20+
INDEX($A18:$BM18,,$BV$21)*$BW$21+
INDEX($A18:$BM18,,$BV$22)*$BW$22+
INDEX($A18:$BM18,,$BV$23)*$BW$23+
INDEX($A18:$BM18,,$BV$25)*$BW$25+
INDEX($A18:$BM18,,$BV$26)*$BW$26+
INDEX($A18:$BM18,,$BV$27)*$BW$27+
$BN18)),
$BN18-100)</f>
        <v>-100</v>
      </c>
      <c r="AX18" t="str">
        <f t="shared" si="5"/>
        <v/>
      </c>
      <c r="AY18" t="str">
        <f t="shared" si="6"/>
        <v/>
      </c>
      <c r="AZ18" s="430">
        <f>IFERROR(
IF(AX18="",-100,
IF($BV$2&gt;0, INDEX(Beersheet!$A:$U,MATCH(AX18,INDEX(Beersheet!$A:$U,0,FFARawStatProjections!$BV$2),0),$BV$3)+$BN18,
INDEX($A18:$BM18,,$BV$12)*$BW$12+
INDEX($A18:$BM18,,$BV$15)*$BW$15+
INDEX($A18:$BM18,,$BV$16)*$BW$16+
INDEX($A18:$BM18,,$BV$17)*$BW$17+
INDEX($A18:$BM18,,$BV$18)*$BW$18+
INDEX($A18:$BM18,,$BV$19)*$BW$19+
INDEX($A18:$BM18,,$BV$20)*$BW$20+
INDEX($A18:$BM18,,$BV$21)*$BW$21+
INDEX($A18:$BM18,,$BV$22)*$BW$22+
INDEX($A18:$BM18,,$BV$23)*$BW$23+
INDEX($A18:$BM18,,$BV$25)*$BW$25+
INDEX($A18:$BM18,,$BV$26)*$BW$26+
INDEX($A18:$BM18,,$BV$27)*$BW$27+
$BN18)),
$BN18-100)</f>
        <v>-100</v>
      </c>
      <c r="BB18" t="str">
        <f t="shared" si="7"/>
        <v/>
      </c>
      <c r="BC18" t="str">
        <f t="shared" si="8"/>
        <v/>
      </c>
      <c r="BD18" s="430">
        <f>IFERROR(
IF(BB18="",-100,
IF($BV$2&gt;0, INDEX(Beersheet!$A:$U,MATCH(BB18,INDEX(Beersheet!$A:$U,0,FFARawStatProjections!$BV$2),0),$BV$3)+$BN18,
INDEX($A18:$BM18,,$BV$12)*$BW$12+
INDEX($A18:$BM18,,$BV$15)*$BW$15+
INDEX($A18:$BM18,,$BV$16)*$BW$16+
INDEX($A18:$BM18,,$BV$17)*$BW$17+
INDEX($A18:$BM18,,$BV$18)*$BW$18+
INDEX($A18:$BM18,,$BV$19)*$BW$19+
INDEX($A18:$BM18,,$BV$20)*$BW$20+
INDEX($A18:$BM18,,$BV$21)*$BW$21+
INDEX($A18:$BM18,,$BV$22)*$BW$22+
INDEX($A18:$BM18,,$BV$23)*$BW$23+
INDEX($A18:$BM18,,$BV$25)*$BW$25+
INDEX($A18:$BM18,,$BV$26)*$BW$26+
INDEX($A18:$BM18,,$BV$27)*$BW$27+
$BN18)),
$BN18-100)</f>
        <v>-100</v>
      </c>
      <c r="BF18" t="str">
        <f t="shared" si="9"/>
        <v/>
      </c>
      <c r="BG18" t="str">
        <f t="shared" si="10"/>
        <v/>
      </c>
      <c r="BH18">
        <f t="shared" si="11"/>
        <v>0</v>
      </c>
      <c r="BJ18" t="str">
        <f t="shared" si="12"/>
        <v/>
      </c>
      <c r="BL18">
        <f t="shared" si="1"/>
        <v>0</v>
      </c>
      <c r="BN18">
        <v>1.7000000000000001E-4</v>
      </c>
      <c r="BS18" s="4" t="s">
        <v>1429</v>
      </c>
      <c r="BU18" t="s">
        <v>1314</v>
      </c>
      <c r="BV18">
        <f t="shared" si="13"/>
        <v>12</v>
      </c>
      <c r="BW18">
        <f>Instructions!E25</f>
        <v>1</v>
      </c>
    </row>
    <row r="19" spans="1:75" ht="15.75" thickBot="1" x14ac:dyDescent="0.3">
      <c r="A19" s="569" t="s">
        <v>2535</v>
      </c>
      <c r="B19" s="569" t="s">
        <v>158</v>
      </c>
      <c r="C19" s="569" t="s">
        <v>1</v>
      </c>
      <c r="D19" s="574">
        <v>11</v>
      </c>
      <c r="E19" s="569"/>
      <c r="F19" s="569"/>
      <c r="G19" s="569">
        <v>488.1</v>
      </c>
      <c r="H19" s="569">
        <v>301.5</v>
      </c>
      <c r="I19" s="574">
        <v>13.2</v>
      </c>
      <c r="J19" s="574">
        <v>18.100000000000001</v>
      </c>
      <c r="K19" s="574">
        <v>3209.7</v>
      </c>
      <c r="L19" s="574">
        <v>0</v>
      </c>
      <c r="M19" s="574">
        <v>0</v>
      </c>
      <c r="N19" s="574">
        <v>0</v>
      </c>
      <c r="O19" s="574">
        <v>135.6</v>
      </c>
      <c r="P19" s="574">
        <v>4.2</v>
      </c>
      <c r="Q19" s="574">
        <v>610.6</v>
      </c>
      <c r="R19" s="569"/>
      <c r="S19" s="569"/>
      <c r="T19" s="569"/>
      <c r="U19" s="569"/>
      <c r="V19" s="569"/>
      <c r="W19" s="569"/>
      <c r="X19" s="569"/>
      <c r="Y19" s="569"/>
      <c r="Z19" s="569"/>
      <c r="AA19" s="569"/>
      <c r="AB19" s="569"/>
      <c r="AC19" s="569"/>
      <c r="AD19" s="569"/>
      <c r="AE19" s="569"/>
      <c r="AF19" s="569"/>
      <c r="AG19" s="569"/>
      <c r="AH19" s="569"/>
      <c r="AI19" s="569"/>
      <c r="AJ19" s="569"/>
      <c r="AK19" s="569"/>
      <c r="AL19" s="569"/>
      <c r="AM19" s="569"/>
      <c r="AN19" s="574">
        <v>269.60000000000002</v>
      </c>
      <c r="AO19">
        <v>18</v>
      </c>
      <c r="AP19" t="str">
        <f t="shared" si="0"/>
        <v>Anthony Richardson</v>
      </c>
      <c r="AQ19" t="str">
        <f t="shared" si="2"/>
        <v>IND</v>
      </c>
      <c r="AR19" s="430">
        <f>IFERROR(
IF(AP19="",-100,
IF($BV$2&gt;0, INDEX(Beersheet!$A:$U,MATCH(AP19,INDEX(Beersheet!$A:$U,0,FFARawStatProjections!$BV$2),0),$BV$3)+$BN19,
INDEX($A19:$BM19,,$BV$12)*$BW$12+
INDEX($A19:$BM19,,$BV$15)*$BW$15+
INDEX($A19:$BM19,,$BV$16)*$BW$16+
INDEX($A19:$BM19,,$BV$17)*$BW$17+
INDEX($A19:$BM19,,$BV$18)*$BW$18+
INDEX($A19:$BM19,,$BV$19)*$BW$19+
INDEX($A19:$BM19,,$BV$20)*$BW$20+
INDEX($A19:$BM19,,$BV$21)*$BW$21+
INDEX($A19:$BM19,,$BV$22)*$BW$22+
INDEX($A19:$BM19,,$BV$23)*$BW$23+
INDEX($A19:$BM19,,$BV$25)*$BW$25+
INDEX($A19:$BM19,,$BV$26)*$BW$26+
INDEX($A19:$BM19,,$BV$27)*$BW$27+
$BN19)),
$BN19-100)</f>
        <v>273.84818000000001</v>
      </c>
      <c r="AT19" t="str">
        <f t="shared" si="3"/>
        <v/>
      </c>
      <c r="AU19" t="str">
        <f t="shared" si="4"/>
        <v/>
      </c>
      <c r="AV19" s="430">
        <f>IFERROR(
IF(AT19="",-100,
IF($BV$2&gt;0, INDEX(Beersheet!$A:$U,MATCH(AT19,INDEX(Beersheet!$A:$U,0,FFARawStatProjections!$BV$2),0),$BV$3)+$BN19,
INDEX($A19:$BM19,,$BV$12)*$BW$12+
INDEX($A19:$BM19,,$BV$15)*$BW$15+
INDEX($A19:$BM19,,$BV$16)*$BW$16+
INDEX($A19:$BM19,,$BV$17)*$BW$17+
INDEX($A19:$BM19,,$BV$18)*$BW$18+
INDEX($A19:$BM19,,$BV$19)*$BW$19+
INDEX($A19:$BM19,,$BV$20)*$BW$20+
INDEX($A19:$BM19,,$BV$21)*$BW$21+
INDEX($A19:$BM19,,$BV$22)*$BW$22+
INDEX($A19:$BM19,,$BV$23)*$BW$23+
INDEX($A19:$BM19,,$BV$25)*$BW$25+
INDEX($A19:$BM19,,$BV$26)*$BW$26+
INDEX($A19:$BM19,,$BV$27)*$BW$27+
$BN19)),
$BN19-100)</f>
        <v>-100</v>
      </c>
      <c r="AX19" t="str">
        <f t="shared" si="5"/>
        <v/>
      </c>
      <c r="AY19" t="str">
        <f t="shared" si="6"/>
        <v/>
      </c>
      <c r="AZ19" s="430">
        <f>IFERROR(
IF(AX19="",-100,
IF($BV$2&gt;0, INDEX(Beersheet!$A:$U,MATCH(AX19,INDEX(Beersheet!$A:$U,0,FFARawStatProjections!$BV$2),0),$BV$3)+$BN19,
INDEX($A19:$BM19,,$BV$12)*$BW$12+
INDEX($A19:$BM19,,$BV$15)*$BW$15+
INDEX($A19:$BM19,,$BV$16)*$BW$16+
INDEX($A19:$BM19,,$BV$17)*$BW$17+
INDEX($A19:$BM19,,$BV$18)*$BW$18+
INDEX($A19:$BM19,,$BV$19)*$BW$19+
INDEX($A19:$BM19,,$BV$20)*$BW$20+
INDEX($A19:$BM19,,$BV$21)*$BW$21+
INDEX($A19:$BM19,,$BV$22)*$BW$22+
INDEX($A19:$BM19,,$BV$23)*$BW$23+
INDEX($A19:$BM19,,$BV$25)*$BW$25+
INDEX($A19:$BM19,,$BV$26)*$BW$26+
INDEX($A19:$BM19,,$BV$27)*$BW$27+
$BN19)),
$BN19-100)</f>
        <v>-100</v>
      </c>
      <c r="BB19" t="str">
        <f t="shared" si="7"/>
        <v/>
      </c>
      <c r="BC19" t="str">
        <f t="shared" si="8"/>
        <v/>
      </c>
      <c r="BD19" s="430">
        <f>IFERROR(
IF(BB19="",-100,
IF($BV$2&gt;0, INDEX(Beersheet!$A:$U,MATCH(BB19,INDEX(Beersheet!$A:$U,0,FFARawStatProjections!$BV$2),0),$BV$3)+$BN19,
INDEX($A19:$BM19,,$BV$12)*$BW$12+
INDEX($A19:$BM19,,$BV$15)*$BW$15+
INDEX($A19:$BM19,,$BV$16)*$BW$16+
INDEX($A19:$BM19,,$BV$17)*$BW$17+
INDEX($A19:$BM19,,$BV$18)*$BW$18+
INDEX($A19:$BM19,,$BV$19)*$BW$19+
INDEX($A19:$BM19,,$BV$20)*$BW$20+
INDEX($A19:$BM19,,$BV$21)*$BW$21+
INDEX($A19:$BM19,,$BV$22)*$BW$22+
INDEX($A19:$BM19,,$BV$23)*$BW$23+
INDEX($A19:$BM19,,$BV$25)*$BW$25+
INDEX($A19:$BM19,,$BV$26)*$BW$26+
INDEX($A19:$BM19,,$BV$27)*$BW$27+
$BN19)),
$BN19-100)</f>
        <v>-100</v>
      </c>
      <c r="BF19" t="str">
        <f t="shared" si="9"/>
        <v/>
      </c>
      <c r="BG19" t="str">
        <f t="shared" si="10"/>
        <v/>
      </c>
      <c r="BH19">
        <f t="shared" si="11"/>
        <v>0</v>
      </c>
      <c r="BJ19" t="str">
        <f t="shared" si="12"/>
        <v/>
      </c>
      <c r="BL19">
        <f t="shared" si="1"/>
        <v>0</v>
      </c>
      <c r="BN19">
        <v>1.8000000000000001E-4</v>
      </c>
      <c r="BS19" s="4" t="s">
        <v>1101</v>
      </c>
      <c r="BU19" t="s">
        <v>2033</v>
      </c>
      <c r="BV19">
        <f t="shared" si="13"/>
        <v>13</v>
      </c>
      <c r="BW19">
        <f>Instructions!E29</f>
        <v>6</v>
      </c>
    </row>
    <row r="20" spans="1:75" ht="15.75" thickBot="1" x14ac:dyDescent="0.3">
      <c r="A20" s="569" t="s">
        <v>176</v>
      </c>
      <c r="B20" s="569" t="s">
        <v>143</v>
      </c>
      <c r="C20" s="569" t="s">
        <v>1</v>
      </c>
      <c r="D20" s="574">
        <v>11</v>
      </c>
      <c r="E20" s="569"/>
      <c r="F20" s="569"/>
      <c r="G20" s="569">
        <v>510.4</v>
      </c>
      <c r="H20" s="569">
        <v>335.2</v>
      </c>
      <c r="I20" s="574">
        <v>11.8</v>
      </c>
      <c r="J20" s="574">
        <v>23.7</v>
      </c>
      <c r="K20" s="574">
        <v>3937.7</v>
      </c>
      <c r="L20" s="574">
        <v>0</v>
      </c>
      <c r="M20" s="574">
        <v>0</v>
      </c>
      <c r="N20" s="574">
        <v>0</v>
      </c>
      <c r="O20" s="574">
        <v>34.5</v>
      </c>
      <c r="P20" s="574">
        <v>0.9</v>
      </c>
      <c r="Q20" s="574">
        <v>116.7</v>
      </c>
      <c r="R20" s="569"/>
      <c r="S20" s="569"/>
      <c r="T20" s="569"/>
      <c r="U20" s="569"/>
      <c r="V20" s="569"/>
      <c r="W20" s="569"/>
      <c r="X20" s="569"/>
      <c r="Y20" s="569"/>
      <c r="Z20" s="569"/>
      <c r="AA20" s="569"/>
      <c r="AB20" s="569"/>
      <c r="AC20" s="569"/>
      <c r="AD20" s="569"/>
      <c r="AE20" s="569"/>
      <c r="AF20" s="569"/>
      <c r="AG20" s="569"/>
      <c r="AH20" s="569"/>
      <c r="AI20" s="569"/>
      <c r="AJ20" s="569"/>
      <c r="AK20" s="569"/>
      <c r="AL20" s="569"/>
      <c r="AM20" s="569"/>
      <c r="AN20" s="574">
        <v>252.4</v>
      </c>
      <c r="AO20">
        <v>19</v>
      </c>
      <c r="AP20" t="str">
        <f t="shared" ref="AP20:AP83" si="14">IF($C20="QB",A20,"")</f>
        <v>Derek Carr</v>
      </c>
      <c r="AQ20" t="str">
        <f t="shared" si="2"/>
        <v>NO</v>
      </c>
      <c r="AR20" s="430">
        <f>IFERROR(
IF(AP20="",-100,
IF($BV$2&gt;0, INDEX(Beersheet!$A:$U,MATCH(AP20,INDEX(Beersheet!$A:$U,0,FFARawStatProjections!$BV$2),0),$BV$3)+$BN20,
INDEX($A20:$BM20,,$BV$12)*$BW$12+
INDEX($A20:$BM20,,$BV$15)*$BW$15+
INDEX($A20:$BM20,,$BV$16)*$BW$16+
INDEX($A20:$BM20,,$BV$17)*$BW$17+
INDEX($A20:$BM20,,$BV$18)*$BW$18+
INDEX($A20:$BM20,,$BV$19)*$BW$19+
INDEX($A20:$BM20,,$BV$20)*$BW$20+
INDEX($A20:$BM20,,$BV$21)*$BW$21+
INDEX($A20:$BM20,,$BV$22)*$BW$22+
INDEX($A20:$BM20,,$BV$23)*$BW$23+
INDEX($A20:$BM20,,$BV$25)*$BW$25+
INDEX($A20:$BM20,,$BV$26)*$BW$26+
INDEX($A20:$BM20,,$BV$27)*$BW$27+
$BN20)),
$BN20-100)</f>
        <v>257.57819000000001</v>
      </c>
      <c r="AT20" t="str">
        <f t="shared" si="3"/>
        <v/>
      </c>
      <c r="AU20" t="str">
        <f t="shared" si="4"/>
        <v/>
      </c>
      <c r="AV20" s="430">
        <f>IFERROR(
IF(AT20="",-100,
IF($BV$2&gt;0, INDEX(Beersheet!$A:$U,MATCH(AT20,INDEX(Beersheet!$A:$U,0,FFARawStatProjections!$BV$2),0),$BV$3)+$BN20,
INDEX($A20:$BM20,,$BV$12)*$BW$12+
INDEX($A20:$BM20,,$BV$15)*$BW$15+
INDEX($A20:$BM20,,$BV$16)*$BW$16+
INDEX($A20:$BM20,,$BV$17)*$BW$17+
INDEX($A20:$BM20,,$BV$18)*$BW$18+
INDEX($A20:$BM20,,$BV$19)*$BW$19+
INDEX($A20:$BM20,,$BV$20)*$BW$20+
INDEX($A20:$BM20,,$BV$21)*$BW$21+
INDEX($A20:$BM20,,$BV$22)*$BW$22+
INDEX($A20:$BM20,,$BV$23)*$BW$23+
INDEX($A20:$BM20,,$BV$25)*$BW$25+
INDEX($A20:$BM20,,$BV$26)*$BW$26+
INDEX($A20:$BM20,,$BV$27)*$BW$27+
$BN20)),
$BN20-100)</f>
        <v>-100</v>
      </c>
      <c r="AX20" t="str">
        <f t="shared" si="5"/>
        <v/>
      </c>
      <c r="AY20" t="str">
        <f t="shared" si="6"/>
        <v/>
      </c>
      <c r="AZ20" s="430">
        <f>IFERROR(
IF(AX20="",-100,
IF($BV$2&gt;0, INDEX(Beersheet!$A:$U,MATCH(AX20,INDEX(Beersheet!$A:$U,0,FFARawStatProjections!$BV$2),0),$BV$3)+$BN20,
INDEX($A20:$BM20,,$BV$12)*$BW$12+
INDEX($A20:$BM20,,$BV$15)*$BW$15+
INDEX($A20:$BM20,,$BV$16)*$BW$16+
INDEX($A20:$BM20,,$BV$17)*$BW$17+
INDEX($A20:$BM20,,$BV$18)*$BW$18+
INDEX($A20:$BM20,,$BV$19)*$BW$19+
INDEX($A20:$BM20,,$BV$20)*$BW$20+
INDEX($A20:$BM20,,$BV$21)*$BW$21+
INDEX($A20:$BM20,,$BV$22)*$BW$22+
INDEX($A20:$BM20,,$BV$23)*$BW$23+
INDEX($A20:$BM20,,$BV$25)*$BW$25+
INDEX($A20:$BM20,,$BV$26)*$BW$26+
INDEX($A20:$BM20,,$BV$27)*$BW$27+
$BN20)),
$BN20-100)</f>
        <v>-100</v>
      </c>
      <c r="BB20" t="str">
        <f t="shared" si="7"/>
        <v/>
      </c>
      <c r="BC20" t="str">
        <f t="shared" si="8"/>
        <v/>
      </c>
      <c r="BD20" s="430">
        <f>IFERROR(
IF(BB20="",-100,
IF($BV$2&gt;0, INDEX(Beersheet!$A:$U,MATCH(BB20,INDEX(Beersheet!$A:$U,0,FFARawStatProjections!$BV$2),0),$BV$3)+$BN20,
INDEX($A20:$BM20,,$BV$12)*$BW$12+
INDEX($A20:$BM20,,$BV$15)*$BW$15+
INDEX($A20:$BM20,,$BV$16)*$BW$16+
INDEX($A20:$BM20,,$BV$17)*$BW$17+
INDEX($A20:$BM20,,$BV$18)*$BW$18+
INDEX($A20:$BM20,,$BV$19)*$BW$19+
INDEX($A20:$BM20,,$BV$20)*$BW$20+
INDEX($A20:$BM20,,$BV$21)*$BW$21+
INDEX($A20:$BM20,,$BV$22)*$BW$22+
INDEX($A20:$BM20,,$BV$23)*$BW$23+
INDEX($A20:$BM20,,$BV$25)*$BW$25+
INDEX($A20:$BM20,,$BV$26)*$BW$26+
INDEX($A20:$BM20,,$BV$27)*$BW$27+
$BN20)),
$BN20-100)</f>
        <v>-100</v>
      </c>
      <c r="BF20" t="str">
        <f t="shared" si="9"/>
        <v/>
      </c>
      <c r="BG20" t="str">
        <f t="shared" si="10"/>
        <v/>
      </c>
      <c r="BH20">
        <f t="shared" si="11"/>
        <v>0</v>
      </c>
      <c r="BJ20" t="str">
        <f t="shared" si="12"/>
        <v/>
      </c>
      <c r="BL20">
        <f t="shared" si="1"/>
        <v>0</v>
      </c>
      <c r="BN20">
        <v>1.9000000000000001E-4</v>
      </c>
      <c r="BS20" s="4" t="s">
        <v>2545</v>
      </c>
      <c r="BU20" t="s">
        <v>2034</v>
      </c>
      <c r="BV20">
        <f t="shared" si="13"/>
        <v>14</v>
      </c>
      <c r="BW20">
        <f>IFERROR(1/Instructions!E27,0)</f>
        <v>0.1</v>
      </c>
    </row>
    <row r="21" spans="1:75" ht="15.75" thickBot="1" x14ac:dyDescent="0.3">
      <c r="A21" s="569" t="s">
        <v>24</v>
      </c>
      <c r="B21" s="569" t="s">
        <v>1389</v>
      </c>
      <c r="C21" s="569" t="s">
        <v>1</v>
      </c>
      <c r="D21" s="574">
        <v>10</v>
      </c>
      <c r="E21" s="569"/>
      <c r="F21" s="569"/>
      <c r="G21" s="569">
        <v>529.9</v>
      </c>
      <c r="H21" s="569">
        <v>351.9</v>
      </c>
      <c r="I21" s="574">
        <v>13.2</v>
      </c>
      <c r="J21" s="574">
        <v>24.5</v>
      </c>
      <c r="K21" s="574">
        <v>3997.7</v>
      </c>
      <c r="L21" s="574">
        <v>0</v>
      </c>
      <c r="M21" s="574">
        <v>0</v>
      </c>
      <c r="N21" s="574">
        <v>0</v>
      </c>
      <c r="O21" s="574">
        <v>29.9</v>
      </c>
      <c r="P21" s="574">
        <v>0.9</v>
      </c>
      <c r="Q21" s="574">
        <v>71</v>
      </c>
      <c r="R21" s="569"/>
      <c r="S21" s="569"/>
      <c r="T21" s="569"/>
      <c r="U21" s="569"/>
      <c r="V21" s="569"/>
      <c r="W21" s="569"/>
      <c r="X21" s="569"/>
      <c r="Y21" s="569"/>
      <c r="Z21" s="569"/>
      <c r="AA21" s="569"/>
      <c r="AB21" s="569"/>
      <c r="AC21" s="569"/>
      <c r="AD21" s="569"/>
      <c r="AE21" s="569"/>
      <c r="AF21" s="569"/>
      <c r="AG21" s="569"/>
      <c r="AH21" s="569"/>
      <c r="AI21" s="569"/>
      <c r="AJ21" s="569"/>
      <c r="AK21" s="569"/>
      <c r="AL21" s="569"/>
      <c r="AM21" s="569"/>
      <c r="AN21" s="574">
        <v>251.1</v>
      </c>
      <c r="AO21">
        <v>20</v>
      </c>
      <c r="AP21" t="str">
        <f t="shared" si="14"/>
        <v>Matthew Stafford</v>
      </c>
      <c r="AQ21" t="str">
        <f t="shared" si="2"/>
        <v>LAR</v>
      </c>
      <c r="AR21" s="430">
        <f>IFERROR(
IF(AP21="",-100,
IF($BV$2&gt;0, INDEX(Beersheet!$A:$U,MATCH(AP21,INDEX(Beersheet!$A:$U,0,FFARawStatProjections!$BV$2),0),$BV$3)+$BN21,
INDEX($A21:$BM21,,$BV$12)*$BW$12+
INDEX($A21:$BM21,,$BV$15)*$BW$15+
INDEX($A21:$BM21,,$BV$16)*$BW$16+
INDEX($A21:$BM21,,$BV$17)*$BW$17+
INDEX($A21:$BM21,,$BV$18)*$BW$18+
INDEX($A21:$BM21,,$BV$19)*$BW$19+
INDEX($A21:$BM21,,$BV$20)*$BW$20+
INDEX($A21:$BM21,,$BV$21)*$BW$21+
INDEX($A21:$BM21,,$BV$22)*$BW$22+
INDEX($A21:$BM21,,$BV$23)*$BW$23+
INDEX($A21:$BM21,,$BV$25)*$BW$25+
INDEX($A21:$BM21,,$BV$26)*$BW$26+
INDEX($A21:$BM21,,$BV$27)*$BW$27+
$BN21)),
$BN21-100)</f>
        <v>257.20819999999998</v>
      </c>
      <c r="AT21" t="str">
        <f t="shared" si="3"/>
        <v/>
      </c>
      <c r="AU21" t="str">
        <f t="shared" si="4"/>
        <v/>
      </c>
      <c r="AV21" s="430">
        <f>IFERROR(
IF(AT21="",-100,
IF($BV$2&gt;0, INDEX(Beersheet!$A:$U,MATCH(AT21,INDEX(Beersheet!$A:$U,0,FFARawStatProjections!$BV$2),0),$BV$3)+$BN21,
INDEX($A21:$BM21,,$BV$12)*$BW$12+
INDEX($A21:$BM21,,$BV$15)*$BW$15+
INDEX($A21:$BM21,,$BV$16)*$BW$16+
INDEX($A21:$BM21,,$BV$17)*$BW$17+
INDEX($A21:$BM21,,$BV$18)*$BW$18+
INDEX($A21:$BM21,,$BV$19)*$BW$19+
INDEX($A21:$BM21,,$BV$20)*$BW$20+
INDEX($A21:$BM21,,$BV$21)*$BW$21+
INDEX($A21:$BM21,,$BV$22)*$BW$22+
INDEX($A21:$BM21,,$BV$23)*$BW$23+
INDEX($A21:$BM21,,$BV$25)*$BW$25+
INDEX($A21:$BM21,,$BV$26)*$BW$26+
INDEX($A21:$BM21,,$BV$27)*$BW$27+
$BN21)),
$BN21-100)</f>
        <v>-100</v>
      </c>
      <c r="AX21" t="str">
        <f t="shared" si="5"/>
        <v/>
      </c>
      <c r="AY21" t="str">
        <f t="shared" si="6"/>
        <v/>
      </c>
      <c r="AZ21" s="430">
        <f>IFERROR(
IF(AX21="",-100,
IF($BV$2&gt;0, INDEX(Beersheet!$A:$U,MATCH(AX21,INDEX(Beersheet!$A:$U,0,FFARawStatProjections!$BV$2),0),$BV$3)+$BN21,
INDEX($A21:$BM21,,$BV$12)*$BW$12+
INDEX($A21:$BM21,,$BV$15)*$BW$15+
INDEX($A21:$BM21,,$BV$16)*$BW$16+
INDEX($A21:$BM21,,$BV$17)*$BW$17+
INDEX($A21:$BM21,,$BV$18)*$BW$18+
INDEX($A21:$BM21,,$BV$19)*$BW$19+
INDEX($A21:$BM21,,$BV$20)*$BW$20+
INDEX($A21:$BM21,,$BV$21)*$BW$21+
INDEX($A21:$BM21,,$BV$22)*$BW$22+
INDEX($A21:$BM21,,$BV$23)*$BW$23+
INDEX($A21:$BM21,,$BV$25)*$BW$25+
INDEX($A21:$BM21,,$BV$26)*$BW$26+
INDEX($A21:$BM21,,$BV$27)*$BW$27+
$BN21)),
$BN21-100)</f>
        <v>-100</v>
      </c>
      <c r="BB21" t="str">
        <f t="shared" si="7"/>
        <v/>
      </c>
      <c r="BC21" t="str">
        <f t="shared" si="8"/>
        <v/>
      </c>
      <c r="BD21" s="430">
        <f>IFERROR(
IF(BB21="",-100,
IF($BV$2&gt;0, INDEX(Beersheet!$A:$U,MATCH(BB21,INDEX(Beersheet!$A:$U,0,FFARawStatProjections!$BV$2),0),$BV$3)+$BN21,
INDEX($A21:$BM21,,$BV$12)*$BW$12+
INDEX($A21:$BM21,,$BV$15)*$BW$15+
INDEX($A21:$BM21,,$BV$16)*$BW$16+
INDEX($A21:$BM21,,$BV$17)*$BW$17+
INDEX($A21:$BM21,,$BV$18)*$BW$18+
INDEX($A21:$BM21,,$BV$19)*$BW$19+
INDEX($A21:$BM21,,$BV$20)*$BW$20+
INDEX($A21:$BM21,,$BV$21)*$BW$21+
INDEX($A21:$BM21,,$BV$22)*$BW$22+
INDEX($A21:$BM21,,$BV$23)*$BW$23+
INDEX($A21:$BM21,,$BV$25)*$BW$25+
INDEX($A21:$BM21,,$BV$26)*$BW$26+
INDEX($A21:$BM21,,$BV$27)*$BW$27+
$BN21)),
$BN21-100)</f>
        <v>-100</v>
      </c>
      <c r="BF21" t="str">
        <f t="shared" si="9"/>
        <v/>
      </c>
      <c r="BG21" t="str">
        <f t="shared" si="10"/>
        <v/>
      </c>
      <c r="BH21">
        <f t="shared" si="11"/>
        <v>0</v>
      </c>
      <c r="BJ21" t="str">
        <f t="shared" si="12"/>
        <v/>
      </c>
      <c r="BL21">
        <f t="shared" si="1"/>
        <v>0</v>
      </c>
      <c r="BN21">
        <v>2.0000000000000001E-4</v>
      </c>
      <c r="BS21" s="4" t="s">
        <v>1130</v>
      </c>
      <c r="BU21" t="s">
        <v>2035</v>
      </c>
      <c r="BV21">
        <f t="shared" si="13"/>
        <v>15</v>
      </c>
      <c r="BW21">
        <f>Instructions!E32</f>
        <v>0</v>
      </c>
    </row>
    <row r="22" spans="1:75" ht="15.75" thickBot="1" x14ac:dyDescent="0.3">
      <c r="A22" s="569" t="s">
        <v>2148</v>
      </c>
      <c r="B22" s="569" t="s">
        <v>139</v>
      </c>
      <c r="C22" s="569" t="s">
        <v>1</v>
      </c>
      <c r="D22" s="574">
        <v>6</v>
      </c>
      <c r="E22" s="569"/>
      <c r="F22" s="569"/>
      <c r="G22" s="569">
        <v>544.29999999999995</v>
      </c>
      <c r="H22" s="569">
        <v>344.2</v>
      </c>
      <c r="I22" s="574">
        <v>14.8</v>
      </c>
      <c r="J22" s="574">
        <v>23.2</v>
      </c>
      <c r="K22" s="574">
        <v>3812.7</v>
      </c>
      <c r="L22" s="574">
        <v>0</v>
      </c>
      <c r="M22" s="574">
        <v>0</v>
      </c>
      <c r="N22" s="574">
        <v>0</v>
      </c>
      <c r="O22" s="574">
        <v>43.5</v>
      </c>
      <c r="P22" s="574">
        <v>1.5</v>
      </c>
      <c r="Q22" s="574">
        <v>168.5</v>
      </c>
      <c r="R22" s="569"/>
      <c r="S22" s="569"/>
      <c r="T22" s="569"/>
      <c r="U22" s="569"/>
      <c r="V22" s="569"/>
      <c r="W22" s="569"/>
      <c r="X22" s="569"/>
      <c r="Y22" s="569"/>
      <c r="Z22" s="569"/>
      <c r="AA22" s="569"/>
      <c r="AB22" s="569"/>
      <c r="AC22" s="569"/>
      <c r="AD22" s="569"/>
      <c r="AE22" s="569"/>
      <c r="AF22" s="569"/>
      <c r="AG22" s="569"/>
      <c r="AH22" s="569"/>
      <c r="AI22" s="569"/>
      <c r="AJ22" s="569"/>
      <c r="AK22" s="569"/>
      <c r="AL22" s="569"/>
      <c r="AM22" s="569"/>
      <c r="AN22" s="574">
        <v>250.8</v>
      </c>
      <c r="AO22">
        <v>21</v>
      </c>
      <c r="AP22" t="str">
        <f t="shared" si="14"/>
        <v>Jordan Love</v>
      </c>
      <c r="AQ22" t="str">
        <f t="shared" si="2"/>
        <v>GB</v>
      </c>
      <c r="AR22" s="430">
        <f>IFERROR(
IF(AP22="",-100,
IF($BV$2&gt;0, INDEX(Beersheet!$A:$U,MATCH(AP22,INDEX(Beersheet!$A:$U,0,FFARawStatProjections!$BV$2),0),$BV$3)+$BN22,
INDEX($A22:$BM22,,$BV$12)*$BW$12+
INDEX($A22:$BM22,,$BV$15)*$BW$15+
INDEX($A22:$BM22,,$BV$16)*$BW$16+
INDEX($A22:$BM22,,$BV$17)*$BW$17+
INDEX($A22:$BM22,,$BV$18)*$BW$18+
INDEX($A22:$BM22,,$BV$19)*$BW$19+
INDEX($A22:$BM22,,$BV$20)*$BW$20+
INDEX($A22:$BM22,,$BV$21)*$BW$21+
INDEX($A22:$BM22,,$BV$22)*$BW$22+
INDEX($A22:$BM22,,$BV$23)*$BW$23+
INDEX($A22:$BM22,,$BV$25)*$BW$25+
INDEX($A22:$BM22,,$BV$26)*$BW$26+
INDEX($A22:$BM22,,$BV$27)*$BW$27+
$BN22)),
$BN22-100)</f>
        <v>256.35820999999999</v>
      </c>
      <c r="AT22" t="str">
        <f t="shared" si="3"/>
        <v/>
      </c>
      <c r="AU22" t="str">
        <f t="shared" si="4"/>
        <v/>
      </c>
      <c r="AV22" s="430">
        <f>IFERROR(
IF(AT22="",-100,
IF($BV$2&gt;0, INDEX(Beersheet!$A:$U,MATCH(AT22,INDEX(Beersheet!$A:$U,0,FFARawStatProjections!$BV$2),0),$BV$3)+$BN22,
INDEX($A22:$BM22,,$BV$12)*$BW$12+
INDEX($A22:$BM22,,$BV$15)*$BW$15+
INDEX($A22:$BM22,,$BV$16)*$BW$16+
INDEX($A22:$BM22,,$BV$17)*$BW$17+
INDEX($A22:$BM22,,$BV$18)*$BW$18+
INDEX($A22:$BM22,,$BV$19)*$BW$19+
INDEX($A22:$BM22,,$BV$20)*$BW$20+
INDEX($A22:$BM22,,$BV$21)*$BW$21+
INDEX($A22:$BM22,,$BV$22)*$BW$22+
INDEX($A22:$BM22,,$BV$23)*$BW$23+
INDEX($A22:$BM22,,$BV$25)*$BW$25+
INDEX($A22:$BM22,,$BV$26)*$BW$26+
INDEX($A22:$BM22,,$BV$27)*$BW$27+
$BN22)),
$BN22-100)</f>
        <v>-100</v>
      </c>
      <c r="AX22" t="str">
        <f t="shared" si="5"/>
        <v/>
      </c>
      <c r="AY22" t="str">
        <f t="shared" si="6"/>
        <v/>
      </c>
      <c r="AZ22" s="430">
        <f>IFERROR(
IF(AX22="",-100,
IF($BV$2&gt;0, INDEX(Beersheet!$A:$U,MATCH(AX22,INDEX(Beersheet!$A:$U,0,FFARawStatProjections!$BV$2),0),$BV$3)+$BN22,
INDEX($A22:$BM22,,$BV$12)*$BW$12+
INDEX($A22:$BM22,,$BV$15)*$BW$15+
INDEX($A22:$BM22,,$BV$16)*$BW$16+
INDEX($A22:$BM22,,$BV$17)*$BW$17+
INDEX($A22:$BM22,,$BV$18)*$BW$18+
INDEX($A22:$BM22,,$BV$19)*$BW$19+
INDEX($A22:$BM22,,$BV$20)*$BW$20+
INDEX($A22:$BM22,,$BV$21)*$BW$21+
INDEX($A22:$BM22,,$BV$22)*$BW$22+
INDEX($A22:$BM22,,$BV$23)*$BW$23+
INDEX($A22:$BM22,,$BV$25)*$BW$25+
INDEX($A22:$BM22,,$BV$26)*$BW$26+
INDEX($A22:$BM22,,$BV$27)*$BW$27+
$BN22)),
$BN22-100)</f>
        <v>-100</v>
      </c>
      <c r="BB22" t="str">
        <f t="shared" si="7"/>
        <v/>
      </c>
      <c r="BC22" t="str">
        <f t="shared" si="8"/>
        <v/>
      </c>
      <c r="BD22" s="430">
        <f>IFERROR(
IF(BB22="",-100,
IF($BV$2&gt;0, INDEX(Beersheet!$A:$U,MATCH(BB22,INDEX(Beersheet!$A:$U,0,FFARawStatProjections!$BV$2),0),$BV$3)+$BN22,
INDEX($A22:$BM22,,$BV$12)*$BW$12+
INDEX($A22:$BM22,,$BV$15)*$BW$15+
INDEX($A22:$BM22,,$BV$16)*$BW$16+
INDEX($A22:$BM22,,$BV$17)*$BW$17+
INDEX($A22:$BM22,,$BV$18)*$BW$18+
INDEX($A22:$BM22,,$BV$19)*$BW$19+
INDEX($A22:$BM22,,$BV$20)*$BW$20+
INDEX($A22:$BM22,,$BV$21)*$BW$21+
INDEX($A22:$BM22,,$BV$22)*$BW$22+
INDEX($A22:$BM22,,$BV$23)*$BW$23+
INDEX($A22:$BM22,,$BV$25)*$BW$25+
INDEX($A22:$BM22,,$BV$26)*$BW$26+
INDEX($A22:$BM22,,$BV$27)*$BW$27+
$BN22)),
$BN22-100)</f>
        <v>-100</v>
      </c>
      <c r="BF22" t="str">
        <f t="shared" si="9"/>
        <v/>
      </c>
      <c r="BG22" t="str">
        <f t="shared" si="10"/>
        <v/>
      </c>
      <c r="BH22">
        <f t="shared" si="11"/>
        <v>0</v>
      </c>
      <c r="BJ22" t="str">
        <f t="shared" si="12"/>
        <v/>
      </c>
      <c r="BL22">
        <f t="shared" si="1"/>
        <v>0</v>
      </c>
      <c r="BN22">
        <v>2.1000000000000001E-4</v>
      </c>
      <c r="BS22" s="4" t="s">
        <v>2202</v>
      </c>
      <c r="BU22" t="s">
        <v>2136</v>
      </c>
      <c r="BV22">
        <f t="shared" si="13"/>
        <v>16</v>
      </c>
      <c r="BW22">
        <f>Instructions!E36</f>
        <v>6</v>
      </c>
    </row>
    <row r="23" spans="1:75" ht="15.75" thickBot="1" x14ac:dyDescent="0.3">
      <c r="A23" s="569" t="s">
        <v>2281</v>
      </c>
      <c r="B23" s="569" t="s">
        <v>147</v>
      </c>
      <c r="C23" s="569" t="s">
        <v>1</v>
      </c>
      <c r="D23" s="574">
        <v>6</v>
      </c>
      <c r="E23" s="569"/>
      <c r="F23" s="569"/>
      <c r="G23" s="569">
        <v>502.2</v>
      </c>
      <c r="H23" s="569">
        <v>316.89999999999998</v>
      </c>
      <c r="I23" s="574">
        <v>12.4</v>
      </c>
      <c r="J23" s="574">
        <v>17.5</v>
      </c>
      <c r="K23" s="574">
        <v>3309.4</v>
      </c>
      <c r="L23" s="574">
        <v>0</v>
      </c>
      <c r="M23" s="574">
        <v>0</v>
      </c>
      <c r="N23" s="574">
        <v>0</v>
      </c>
      <c r="O23" s="574">
        <v>67</v>
      </c>
      <c r="P23" s="574">
        <v>3.6</v>
      </c>
      <c r="Q23" s="574">
        <v>421.2</v>
      </c>
      <c r="R23" s="569"/>
      <c r="S23" s="569"/>
      <c r="T23" s="569"/>
      <c r="U23" s="569"/>
      <c r="V23" s="569"/>
      <c r="W23" s="569"/>
      <c r="X23" s="569"/>
      <c r="Y23" s="569"/>
      <c r="Z23" s="569"/>
      <c r="AA23" s="569"/>
      <c r="AB23" s="569"/>
      <c r="AC23" s="569"/>
      <c r="AD23" s="569"/>
      <c r="AE23" s="569"/>
      <c r="AF23" s="569"/>
      <c r="AG23" s="569"/>
      <c r="AH23" s="569"/>
      <c r="AI23" s="569"/>
      <c r="AJ23" s="569"/>
      <c r="AK23" s="569"/>
      <c r="AL23" s="569"/>
      <c r="AM23" s="569"/>
      <c r="AN23" s="574">
        <v>250.6</v>
      </c>
      <c r="AO23">
        <v>22</v>
      </c>
      <c r="AP23" t="str">
        <f t="shared" si="14"/>
        <v>Kenny Pickett</v>
      </c>
      <c r="AQ23" t="str">
        <f t="shared" si="2"/>
        <v>PIT</v>
      </c>
      <c r="AR23" s="430">
        <f>IFERROR(
IF(AP23="",-100,
IF($BV$2&gt;0, INDEX(Beersheet!$A:$U,MATCH(AP23,INDEX(Beersheet!$A:$U,0,FFARawStatProjections!$BV$2),0),$BV$3)+$BN23,
INDEX($A23:$BM23,,$BV$12)*$BW$12+
INDEX($A23:$BM23,,$BV$15)*$BW$15+
INDEX($A23:$BM23,,$BV$16)*$BW$16+
INDEX($A23:$BM23,,$BV$17)*$BW$17+
INDEX($A23:$BM23,,$BV$18)*$BW$18+
INDEX($A23:$BM23,,$BV$19)*$BW$19+
INDEX($A23:$BM23,,$BV$20)*$BW$20+
INDEX($A23:$BM23,,$BV$21)*$BW$21+
INDEX($A23:$BM23,,$BV$22)*$BW$22+
INDEX($A23:$BM23,,$BV$23)*$BW$23+
INDEX($A23:$BM23,,$BV$25)*$BW$25+
INDEX($A23:$BM23,,$BV$26)*$BW$26+
INDEX($A23:$BM23,,$BV$27)*$BW$27+
$BN23)),
$BN23-100)</f>
        <v>253.69622000000001</v>
      </c>
      <c r="AT23" t="str">
        <f t="shared" si="3"/>
        <v/>
      </c>
      <c r="AU23" t="str">
        <f t="shared" si="4"/>
        <v/>
      </c>
      <c r="AV23" s="430">
        <f>IFERROR(
IF(AT23="",-100,
IF($BV$2&gt;0, INDEX(Beersheet!$A:$U,MATCH(AT23,INDEX(Beersheet!$A:$U,0,FFARawStatProjections!$BV$2),0),$BV$3)+$BN23,
INDEX($A23:$BM23,,$BV$12)*$BW$12+
INDEX($A23:$BM23,,$BV$15)*$BW$15+
INDEX($A23:$BM23,,$BV$16)*$BW$16+
INDEX($A23:$BM23,,$BV$17)*$BW$17+
INDEX($A23:$BM23,,$BV$18)*$BW$18+
INDEX($A23:$BM23,,$BV$19)*$BW$19+
INDEX($A23:$BM23,,$BV$20)*$BW$20+
INDEX($A23:$BM23,,$BV$21)*$BW$21+
INDEX($A23:$BM23,,$BV$22)*$BW$22+
INDEX($A23:$BM23,,$BV$23)*$BW$23+
INDEX($A23:$BM23,,$BV$25)*$BW$25+
INDEX($A23:$BM23,,$BV$26)*$BW$26+
INDEX($A23:$BM23,,$BV$27)*$BW$27+
$BN23)),
$BN23-100)</f>
        <v>-100</v>
      </c>
      <c r="AX23" t="str">
        <f t="shared" si="5"/>
        <v/>
      </c>
      <c r="AY23" t="str">
        <f t="shared" si="6"/>
        <v/>
      </c>
      <c r="AZ23" s="430">
        <f>IFERROR(
IF(AX23="",-100,
IF($BV$2&gt;0, INDEX(Beersheet!$A:$U,MATCH(AX23,INDEX(Beersheet!$A:$U,0,FFARawStatProjections!$BV$2),0),$BV$3)+$BN23,
INDEX($A23:$BM23,,$BV$12)*$BW$12+
INDEX($A23:$BM23,,$BV$15)*$BW$15+
INDEX($A23:$BM23,,$BV$16)*$BW$16+
INDEX($A23:$BM23,,$BV$17)*$BW$17+
INDEX($A23:$BM23,,$BV$18)*$BW$18+
INDEX($A23:$BM23,,$BV$19)*$BW$19+
INDEX($A23:$BM23,,$BV$20)*$BW$20+
INDEX($A23:$BM23,,$BV$21)*$BW$21+
INDEX($A23:$BM23,,$BV$22)*$BW$22+
INDEX($A23:$BM23,,$BV$23)*$BW$23+
INDEX($A23:$BM23,,$BV$25)*$BW$25+
INDEX($A23:$BM23,,$BV$26)*$BW$26+
INDEX($A23:$BM23,,$BV$27)*$BW$27+
$BN23)),
$BN23-100)</f>
        <v>-100</v>
      </c>
      <c r="BB23" t="str">
        <f t="shared" si="7"/>
        <v/>
      </c>
      <c r="BC23" t="str">
        <f t="shared" si="8"/>
        <v/>
      </c>
      <c r="BD23" s="430">
        <f>IFERROR(
IF(BB23="",-100,
IF($BV$2&gt;0, INDEX(Beersheet!$A:$U,MATCH(BB23,INDEX(Beersheet!$A:$U,0,FFARawStatProjections!$BV$2),0),$BV$3)+$BN23,
INDEX($A23:$BM23,,$BV$12)*$BW$12+
INDEX($A23:$BM23,,$BV$15)*$BW$15+
INDEX($A23:$BM23,,$BV$16)*$BW$16+
INDEX($A23:$BM23,,$BV$17)*$BW$17+
INDEX($A23:$BM23,,$BV$18)*$BW$18+
INDEX($A23:$BM23,,$BV$19)*$BW$19+
INDEX($A23:$BM23,,$BV$20)*$BW$20+
INDEX($A23:$BM23,,$BV$21)*$BW$21+
INDEX($A23:$BM23,,$BV$22)*$BW$22+
INDEX($A23:$BM23,,$BV$23)*$BW$23+
INDEX($A23:$BM23,,$BV$25)*$BW$25+
INDEX($A23:$BM23,,$BV$26)*$BW$26+
INDEX($A23:$BM23,,$BV$27)*$BW$27+
$BN23)),
$BN23-100)</f>
        <v>-100</v>
      </c>
      <c r="BF23" t="str">
        <f t="shared" si="9"/>
        <v/>
      </c>
      <c r="BG23" t="str">
        <f t="shared" si="10"/>
        <v/>
      </c>
      <c r="BH23">
        <f t="shared" si="11"/>
        <v>0</v>
      </c>
      <c r="BJ23" t="str">
        <f t="shared" si="12"/>
        <v/>
      </c>
      <c r="BL23">
        <f t="shared" si="1"/>
        <v>0</v>
      </c>
      <c r="BN23">
        <v>2.2000000000000001E-4</v>
      </c>
      <c r="BS23" s="4" t="s">
        <v>2538</v>
      </c>
      <c r="BU23" t="s">
        <v>2037</v>
      </c>
      <c r="BV23">
        <f t="shared" si="13"/>
        <v>17</v>
      </c>
      <c r="BW23">
        <f>IFERROR(1/Instructions!E34,0)</f>
        <v>0.1</v>
      </c>
    </row>
    <row r="24" spans="1:75" ht="15.75" thickBot="1" x14ac:dyDescent="0.3">
      <c r="A24" s="569" t="s">
        <v>2521</v>
      </c>
      <c r="B24" s="569" t="s">
        <v>155</v>
      </c>
      <c r="C24" s="569" t="s">
        <v>1</v>
      </c>
      <c r="D24" s="574">
        <v>9</v>
      </c>
      <c r="E24" s="569"/>
      <c r="F24" s="569"/>
      <c r="G24" s="569">
        <v>431.2</v>
      </c>
      <c r="H24" s="569">
        <v>281.8</v>
      </c>
      <c r="I24" s="574">
        <v>9.8000000000000007</v>
      </c>
      <c r="J24" s="574">
        <v>23.7</v>
      </c>
      <c r="K24" s="574">
        <v>3346.7</v>
      </c>
      <c r="L24" s="574">
        <v>0</v>
      </c>
      <c r="M24" s="574">
        <v>0</v>
      </c>
      <c r="N24" s="574">
        <v>0</v>
      </c>
      <c r="O24" s="574">
        <v>36.200000000000003</v>
      </c>
      <c r="P24" s="574">
        <v>2.1</v>
      </c>
      <c r="Q24" s="574">
        <v>107</v>
      </c>
      <c r="R24" s="569"/>
      <c r="S24" s="569"/>
      <c r="T24" s="569"/>
      <c r="U24" s="569"/>
      <c r="V24" s="569"/>
      <c r="W24" s="569"/>
      <c r="X24" s="569"/>
      <c r="Y24" s="569"/>
      <c r="Z24" s="569"/>
      <c r="AA24" s="569"/>
      <c r="AB24" s="569"/>
      <c r="AC24" s="569"/>
      <c r="AD24" s="569"/>
      <c r="AE24" s="569"/>
      <c r="AF24" s="569"/>
      <c r="AG24" s="569"/>
      <c r="AH24" s="569"/>
      <c r="AI24" s="569"/>
      <c r="AJ24" s="569"/>
      <c r="AK24" s="569"/>
      <c r="AL24" s="569"/>
      <c r="AM24" s="569"/>
      <c r="AN24" s="574">
        <v>239.3</v>
      </c>
      <c r="AO24">
        <v>23</v>
      </c>
      <c r="AP24" t="str">
        <f t="shared" si="14"/>
        <v>Brock Purdy</v>
      </c>
      <c r="AQ24" t="str">
        <f t="shared" si="2"/>
        <v>SF</v>
      </c>
      <c r="AR24" s="430">
        <f>IFERROR(
IF(AP24="",-100,
IF($BV$2&gt;0, INDEX(Beersheet!$A:$U,MATCH(AP24,INDEX(Beersheet!$A:$U,0,FFARawStatProjections!$BV$2),0),$BV$3)+$BN24,
INDEX($A24:$BM24,,$BV$12)*$BW$12+
INDEX($A24:$BM24,,$BV$15)*$BW$15+
INDEX($A24:$BM24,,$BV$16)*$BW$16+
INDEX($A24:$BM24,,$BV$17)*$BW$17+
INDEX($A24:$BM24,,$BV$18)*$BW$18+
INDEX($A24:$BM24,,$BV$19)*$BW$19+
INDEX($A24:$BM24,,$BV$20)*$BW$20+
INDEX($A24:$BM24,,$BV$21)*$BW$21+
INDEX($A24:$BM24,,$BV$22)*$BW$22+
INDEX($A24:$BM24,,$BV$23)*$BW$23+
INDEX($A24:$BM24,,$BV$25)*$BW$25+
INDEX($A24:$BM24,,$BV$26)*$BW$26+
INDEX($A24:$BM24,,$BV$27)*$BW$27+
$BN24)),
$BN24-100)</f>
        <v>242.16822999999997</v>
      </c>
      <c r="AT24" t="str">
        <f t="shared" si="3"/>
        <v/>
      </c>
      <c r="AU24" t="str">
        <f t="shared" si="4"/>
        <v/>
      </c>
      <c r="AV24" s="430">
        <f>IFERROR(
IF(AT24="",-100,
IF($BV$2&gt;0, INDEX(Beersheet!$A:$U,MATCH(AT24,INDEX(Beersheet!$A:$U,0,FFARawStatProjections!$BV$2),0),$BV$3)+$BN24,
INDEX($A24:$BM24,,$BV$12)*$BW$12+
INDEX($A24:$BM24,,$BV$15)*$BW$15+
INDEX($A24:$BM24,,$BV$16)*$BW$16+
INDEX($A24:$BM24,,$BV$17)*$BW$17+
INDEX($A24:$BM24,,$BV$18)*$BW$18+
INDEX($A24:$BM24,,$BV$19)*$BW$19+
INDEX($A24:$BM24,,$BV$20)*$BW$20+
INDEX($A24:$BM24,,$BV$21)*$BW$21+
INDEX($A24:$BM24,,$BV$22)*$BW$22+
INDEX($A24:$BM24,,$BV$23)*$BW$23+
INDEX($A24:$BM24,,$BV$25)*$BW$25+
INDEX($A24:$BM24,,$BV$26)*$BW$26+
INDEX($A24:$BM24,,$BV$27)*$BW$27+
$BN24)),
$BN24-100)</f>
        <v>-100</v>
      </c>
      <c r="AX24" t="str">
        <f t="shared" si="5"/>
        <v/>
      </c>
      <c r="AY24" t="str">
        <f t="shared" si="6"/>
        <v/>
      </c>
      <c r="AZ24" s="430">
        <f>IFERROR(
IF(AX24="",-100,
IF($BV$2&gt;0, INDEX(Beersheet!$A:$U,MATCH(AX24,INDEX(Beersheet!$A:$U,0,FFARawStatProjections!$BV$2),0),$BV$3)+$BN24,
INDEX($A24:$BM24,,$BV$12)*$BW$12+
INDEX($A24:$BM24,,$BV$15)*$BW$15+
INDEX($A24:$BM24,,$BV$16)*$BW$16+
INDEX($A24:$BM24,,$BV$17)*$BW$17+
INDEX($A24:$BM24,,$BV$18)*$BW$18+
INDEX($A24:$BM24,,$BV$19)*$BW$19+
INDEX($A24:$BM24,,$BV$20)*$BW$20+
INDEX($A24:$BM24,,$BV$21)*$BW$21+
INDEX($A24:$BM24,,$BV$22)*$BW$22+
INDEX($A24:$BM24,,$BV$23)*$BW$23+
INDEX($A24:$BM24,,$BV$25)*$BW$25+
INDEX($A24:$BM24,,$BV$26)*$BW$26+
INDEX($A24:$BM24,,$BV$27)*$BW$27+
$BN24)),
$BN24-100)</f>
        <v>-100</v>
      </c>
      <c r="BB24" t="str">
        <f t="shared" si="7"/>
        <v/>
      </c>
      <c r="BC24" t="str">
        <f t="shared" si="8"/>
        <v/>
      </c>
      <c r="BD24" s="430">
        <f>IFERROR(
IF(BB24="",-100,
IF($BV$2&gt;0, INDEX(Beersheet!$A:$U,MATCH(BB24,INDEX(Beersheet!$A:$U,0,FFARawStatProjections!$BV$2),0),$BV$3)+$BN24,
INDEX($A24:$BM24,,$BV$12)*$BW$12+
INDEX($A24:$BM24,,$BV$15)*$BW$15+
INDEX($A24:$BM24,,$BV$16)*$BW$16+
INDEX($A24:$BM24,,$BV$17)*$BW$17+
INDEX($A24:$BM24,,$BV$18)*$BW$18+
INDEX($A24:$BM24,,$BV$19)*$BW$19+
INDEX($A24:$BM24,,$BV$20)*$BW$20+
INDEX($A24:$BM24,,$BV$21)*$BW$21+
INDEX($A24:$BM24,,$BV$22)*$BW$22+
INDEX($A24:$BM24,,$BV$23)*$BW$23+
INDEX($A24:$BM24,,$BV$25)*$BW$25+
INDEX($A24:$BM24,,$BV$26)*$BW$26+
INDEX($A24:$BM24,,$BV$27)*$BW$27+
$BN24)),
$BN24-100)</f>
        <v>-100</v>
      </c>
      <c r="BF24" t="str">
        <f t="shared" si="9"/>
        <v/>
      </c>
      <c r="BG24" t="str">
        <f t="shared" si="10"/>
        <v/>
      </c>
      <c r="BH24">
        <f t="shared" si="11"/>
        <v>0</v>
      </c>
      <c r="BJ24" t="str">
        <f t="shared" si="12"/>
        <v/>
      </c>
      <c r="BL24">
        <f t="shared" si="1"/>
        <v>0</v>
      </c>
      <c r="BN24">
        <v>2.3000000000000001E-4</v>
      </c>
      <c r="BS24" s="4" t="s">
        <v>2537</v>
      </c>
      <c r="BU24" t="s">
        <v>2038</v>
      </c>
      <c r="BV24">
        <f t="shared" si="13"/>
        <v>18</v>
      </c>
      <c r="BW24">
        <v>-1</v>
      </c>
    </row>
    <row r="25" spans="1:75" ht="15.75" thickBot="1" x14ac:dyDescent="0.3">
      <c r="A25" s="569" t="s">
        <v>2519</v>
      </c>
      <c r="B25" s="569" t="s">
        <v>159</v>
      </c>
      <c r="C25" s="569" t="s">
        <v>1</v>
      </c>
      <c r="D25" s="574">
        <v>7</v>
      </c>
      <c r="E25" s="569"/>
      <c r="F25" s="569"/>
      <c r="G25" s="569">
        <v>521.29999999999995</v>
      </c>
      <c r="H25" s="569">
        <v>328.1</v>
      </c>
      <c r="I25" s="574">
        <v>12.7</v>
      </c>
      <c r="J25" s="574">
        <v>20.3</v>
      </c>
      <c r="K25" s="574">
        <v>3636.2</v>
      </c>
      <c r="L25" s="574">
        <v>0</v>
      </c>
      <c r="M25" s="574">
        <v>0</v>
      </c>
      <c r="N25" s="574">
        <v>0</v>
      </c>
      <c r="O25" s="574">
        <v>51.3</v>
      </c>
      <c r="P25" s="574">
        <v>1.6</v>
      </c>
      <c r="Q25" s="574">
        <v>201.8</v>
      </c>
      <c r="R25" s="569"/>
      <c r="S25" s="569"/>
      <c r="T25" s="569"/>
      <c r="U25" s="569"/>
      <c r="V25" s="569"/>
      <c r="W25" s="569"/>
      <c r="X25" s="569"/>
      <c r="Y25" s="569"/>
      <c r="Z25" s="569"/>
      <c r="AA25" s="569"/>
      <c r="AB25" s="569"/>
      <c r="AC25" s="569"/>
      <c r="AD25" s="569"/>
      <c r="AE25" s="569"/>
      <c r="AF25" s="569"/>
      <c r="AG25" s="569"/>
      <c r="AH25" s="569"/>
      <c r="AI25" s="569"/>
      <c r="AJ25" s="569"/>
      <c r="AK25" s="569"/>
      <c r="AL25" s="569"/>
      <c r="AM25" s="569"/>
      <c r="AN25" s="574">
        <v>238.9</v>
      </c>
      <c r="AO25">
        <v>24</v>
      </c>
      <c r="AP25" t="str">
        <f t="shared" si="14"/>
        <v>Bryce Young</v>
      </c>
      <c r="AQ25" t="str">
        <f t="shared" si="2"/>
        <v>CAR</v>
      </c>
      <c r="AR25" s="430">
        <f>IFERROR(
IF(AP25="",-100,
IF($BV$2&gt;0, INDEX(Beersheet!$A:$U,MATCH(AP25,INDEX(Beersheet!$A:$U,0,FFARawStatProjections!$BV$2),0),$BV$3)+$BN25,
INDEX($A25:$BM25,,$BV$12)*$BW$12+
INDEX($A25:$BM25,,$BV$15)*$BW$15+
INDEX($A25:$BM25,,$BV$16)*$BW$16+
INDEX($A25:$BM25,,$BV$17)*$BW$17+
INDEX($A25:$BM25,,$BV$18)*$BW$18+
INDEX($A25:$BM25,,$BV$19)*$BW$19+
INDEX($A25:$BM25,,$BV$20)*$BW$20+
INDEX($A25:$BM25,,$BV$21)*$BW$21+
INDEX($A25:$BM25,,$BV$22)*$BW$22+
INDEX($A25:$BM25,,$BV$23)*$BW$23+
INDEX($A25:$BM25,,$BV$25)*$BW$25+
INDEX($A25:$BM25,,$BV$26)*$BW$26+
INDEX($A25:$BM25,,$BV$27)*$BW$27+
$BN25)),
$BN25-100)</f>
        <v>243.72824</v>
      </c>
      <c r="AT25" t="str">
        <f t="shared" si="3"/>
        <v/>
      </c>
      <c r="AU25" t="str">
        <f t="shared" si="4"/>
        <v/>
      </c>
      <c r="AV25" s="430">
        <f>IFERROR(
IF(AT25="",-100,
IF($BV$2&gt;0, INDEX(Beersheet!$A:$U,MATCH(AT25,INDEX(Beersheet!$A:$U,0,FFARawStatProjections!$BV$2),0),$BV$3)+$BN25,
INDEX($A25:$BM25,,$BV$12)*$BW$12+
INDEX($A25:$BM25,,$BV$15)*$BW$15+
INDEX($A25:$BM25,,$BV$16)*$BW$16+
INDEX($A25:$BM25,,$BV$17)*$BW$17+
INDEX($A25:$BM25,,$BV$18)*$BW$18+
INDEX($A25:$BM25,,$BV$19)*$BW$19+
INDEX($A25:$BM25,,$BV$20)*$BW$20+
INDEX($A25:$BM25,,$BV$21)*$BW$21+
INDEX($A25:$BM25,,$BV$22)*$BW$22+
INDEX($A25:$BM25,,$BV$23)*$BW$23+
INDEX($A25:$BM25,,$BV$25)*$BW$25+
INDEX($A25:$BM25,,$BV$26)*$BW$26+
INDEX($A25:$BM25,,$BV$27)*$BW$27+
$BN25)),
$BN25-100)</f>
        <v>-100</v>
      </c>
      <c r="AX25" t="str">
        <f t="shared" si="5"/>
        <v/>
      </c>
      <c r="AY25" t="str">
        <f t="shared" si="6"/>
        <v/>
      </c>
      <c r="AZ25" s="430">
        <f>IFERROR(
IF(AX25="",-100,
IF($BV$2&gt;0, INDEX(Beersheet!$A:$U,MATCH(AX25,INDEX(Beersheet!$A:$U,0,FFARawStatProjections!$BV$2),0),$BV$3)+$BN25,
INDEX($A25:$BM25,,$BV$12)*$BW$12+
INDEX($A25:$BM25,,$BV$15)*$BW$15+
INDEX($A25:$BM25,,$BV$16)*$BW$16+
INDEX($A25:$BM25,,$BV$17)*$BW$17+
INDEX($A25:$BM25,,$BV$18)*$BW$18+
INDEX($A25:$BM25,,$BV$19)*$BW$19+
INDEX($A25:$BM25,,$BV$20)*$BW$20+
INDEX($A25:$BM25,,$BV$21)*$BW$21+
INDEX($A25:$BM25,,$BV$22)*$BW$22+
INDEX($A25:$BM25,,$BV$23)*$BW$23+
INDEX($A25:$BM25,,$BV$25)*$BW$25+
INDEX($A25:$BM25,,$BV$26)*$BW$26+
INDEX($A25:$BM25,,$BV$27)*$BW$27+
$BN25)),
$BN25-100)</f>
        <v>-100</v>
      </c>
      <c r="BB25" t="str">
        <f t="shared" si="7"/>
        <v/>
      </c>
      <c r="BC25" t="str">
        <f t="shared" si="8"/>
        <v/>
      </c>
      <c r="BD25" s="430">
        <f>IFERROR(
IF(BB25="",-100,
IF($BV$2&gt;0, INDEX(Beersheet!$A:$U,MATCH(BB25,INDEX(Beersheet!$A:$U,0,FFARawStatProjections!$BV$2),0),$BV$3)+$BN25,
INDEX($A25:$BM25,,$BV$12)*$BW$12+
INDEX($A25:$BM25,,$BV$15)*$BW$15+
INDEX($A25:$BM25,,$BV$16)*$BW$16+
INDEX($A25:$BM25,,$BV$17)*$BW$17+
INDEX($A25:$BM25,,$BV$18)*$BW$18+
INDEX($A25:$BM25,,$BV$19)*$BW$19+
INDEX($A25:$BM25,,$BV$20)*$BW$20+
INDEX($A25:$BM25,,$BV$21)*$BW$21+
INDEX($A25:$BM25,,$BV$22)*$BW$22+
INDEX($A25:$BM25,,$BV$23)*$BW$23+
INDEX($A25:$BM25,,$BV$25)*$BW$25+
INDEX($A25:$BM25,,$BV$26)*$BW$26+
INDEX($A25:$BM25,,$BV$27)*$BW$27+
$BN25)),
$BN25-100)</f>
        <v>-100</v>
      </c>
      <c r="BF25" t="str">
        <f t="shared" si="9"/>
        <v/>
      </c>
      <c r="BG25" t="str">
        <f t="shared" si="10"/>
        <v/>
      </c>
      <c r="BH25">
        <f t="shared" si="11"/>
        <v>0</v>
      </c>
      <c r="BJ25" t="str">
        <f t="shared" si="12"/>
        <v/>
      </c>
      <c r="BL25">
        <f t="shared" si="1"/>
        <v>0</v>
      </c>
      <c r="BN25">
        <v>2.4000000000000001E-4</v>
      </c>
      <c r="BS25" s="4" t="s">
        <v>2536</v>
      </c>
      <c r="BU25" t="s">
        <v>2039</v>
      </c>
      <c r="BV25">
        <f t="shared" si="13"/>
        <v>19</v>
      </c>
      <c r="BW25">
        <v>2</v>
      </c>
    </row>
    <row r="26" spans="1:75" ht="15.75" thickBot="1" x14ac:dyDescent="0.3">
      <c r="A26" s="569" t="s">
        <v>1294</v>
      </c>
      <c r="B26" s="569" t="s">
        <v>2073</v>
      </c>
      <c r="C26" s="569" t="s">
        <v>1</v>
      </c>
      <c r="D26" s="574">
        <v>13</v>
      </c>
      <c r="E26" s="569"/>
      <c r="F26" s="569"/>
      <c r="G26" s="569">
        <v>484</v>
      </c>
      <c r="H26" s="569">
        <v>319.7</v>
      </c>
      <c r="I26" s="574">
        <v>11.9</v>
      </c>
      <c r="J26" s="574">
        <v>21.2</v>
      </c>
      <c r="K26" s="574">
        <v>3556.6</v>
      </c>
      <c r="L26" s="574">
        <v>0</v>
      </c>
      <c r="M26" s="574">
        <v>0</v>
      </c>
      <c r="N26" s="574">
        <v>0</v>
      </c>
      <c r="O26" s="574">
        <v>30.3</v>
      </c>
      <c r="P26" s="574">
        <v>1.5</v>
      </c>
      <c r="Q26" s="574">
        <v>66.5</v>
      </c>
      <c r="R26" s="569"/>
      <c r="S26" s="569"/>
      <c r="T26" s="569"/>
      <c r="U26" s="569"/>
      <c r="V26" s="569"/>
      <c r="W26" s="569"/>
      <c r="X26" s="569"/>
      <c r="Y26" s="569"/>
      <c r="Z26" s="569"/>
      <c r="AA26" s="569"/>
      <c r="AB26" s="569"/>
      <c r="AC26" s="569"/>
      <c r="AD26" s="569"/>
      <c r="AE26" s="569"/>
      <c r="AF26" s="569"/>
      <c r="AG26" s="569"/>
      <c r="AH26" s="569"/>
      <c r="AI26" s="569"/>
      <c r="AJ26" s="569"/>
      <c r="AK26" s="569"/>
      <c r="AL26" s="569"/>
      <c r="AM26" s="569"/>
      <c r="AN26" s="574">
        <v>226.2</v>
      </c>
      <c r="AO26">
        <v>25</v>
      </c>
      <c r="AP26" t="str">
        <f t="shared" si="14"/>
        <v>Jimmy Garoppolo</v>
      </c>
      <c r="AQ26" t="str">
        <f t="shared" si="2"/>
        <v>LV</v>
      </c>
      <c r="AR26" s="430">
        <f>IFERROR(
IF(AP26="",-100,
IF($BV$2&gt;0, INDEX(Beersheet!$A:$U,MATCH(AP26,INDEX(Beersheet!$A:$U,0,FFARawStatProjections!$BV$2),0),$BV$3)+$BN26,
INDEX($A26:$BM26,,$BV$12)*$BW$12+
INDEX($A26:$BM26,,$BV$15)*$BW$15+
INDEX($A26:$BM26,,$BV$16)*$BW$16+
INDEX($A26:$BM26,,$BV$17)*$BW$17+
INDEX($A26:$BM26,,$BV$18)*$BW$18+
INDEX($A26:$BM26,,$BV$19)*$BW$19+
INDEX($A26:$BM26,,$BV$20)*$BW$20+
INDEX($A26:$BM26,,$BV$21)*$BW$21+
INDEX($A26:$BM26,,$BV$22)*$BW$22+
INDEX($A26:$BM26,,$BV$23)*$BW$23+
INDEX($A26:$BM26,,$BV$25)*$BW$25+
INDEX($A26:$BM26,,$BV$26)*$BW$26+
INDEX($A26:$BM26,,$BV$27)*$BW$27+
$BN26)),
$BN26-100)</f>
        <v>230.81424999999999</v>
      </c>
      <c r="AT26" t="str">
        <f t="shared" si="3"/>
        <v/>
      </c>
      <c r="AU26" t="str">
        <f t="shared" si="4"/>
        <v/>
      </c>
      <c r="AV26" s="430">
        <f>IFERROR(
IF(AT26="",-100,
IF($BV$2&gt;0, INDEX(Beersheet!$A:$U,MATCH(AT26,INDEX(Beersheet!$A:$U,0,FFARawStatProjections!$BV$2),0),$BV$3)+$BN26,
INDEX($A26:$BM26,,$BV$12)*$BW$12+
INDEX($A26:$BM26,,$BV$15)*$BW$15+
INDEX($A26:$BM26,,$BV$16)*$BW$16+
INDEX($A26:$BM26,,$BV$17)*$BW$17+
INDEX($A26:$BM26,,$BV$18)*$BW$18+
INDEX($A26:$BM26,,$BV$19)*$BW$19+
INDEX($A26:$BM26,,$BV$20)*$BW$20+
INDEX($A26:$BM26,,$BV$21)*$BW$21+
INDEX($A26:$BM26,,$BV$22)*$BW$22+
INDEX($A26:$BM26,,$BV$23)*$BW$23+
INDEX($A26:$BM26,,$BV$25)*$BW$25+
INDEX($A26:$BM26,,$BV$26)*$BW$26+
INDEX($A26:$BM26,,$BV$27)*$BW$27+
$BN26)),
$BN26-100)</f>
        <v>-100</v>
      </c>
      <c r="AX26" t="str">
        <f t="shared" si="5"/>
        <v/>
      </c>
      <c r="AY26" t="str">
        <f t="shared" si="6"/>
        <v/>
      </c>
      <c r="AZ26" s="430">
        <f>IFERROR(
IF(AX26="",-100,
IF($BV$2&gt;0, INDEX(Beersheet!$A:$U,MATCH(AX26,INDEX(Beersheet!$A:$U,0,FFARawStatProjections!$BV$2),0),$BV$3)+$BN26,
INDEX($A26:$BM26,,$BV$12)*$BW$12+
INDEX($A26:$BM26,,$BV$15)*$BW$15+
INDEX($A26:$BM26,,$BV$16)*$BW$16+
INDEX($A26:$BM26,,$BV$17)*$BW$17+
INDEX($A26:$BM26,,$BV$18)*$BW$18+
INDEX($A26:$BM26,,$BV$19)*$BW$19+
INDEX($A26:$BM26,,$BV$20)*$BW$20+
INDEX($A26:$BM26,,$BV$21)*$BW$21+
INDEX($A26:$BM26,,$BV$22)*$BW$22+
INDEX($A26:$BM26,,$BV$23)*$BW$23+
INDEX($A26:$BM26,,$BV$25)*$BW$25+
INDEX($A26:$BM26,,$BV$26)*$BW$26+
INDEX($A26:$BM26,,$BV$27)*$BW$27+
$BN26)),
$BN26-100)</f>
        <v>-100</v>
      </c>
      <c r="BB26" t="str">
        <f t="shared" si="7"/>
        <v/>
      </c>
      <c r="BC26" t="str">
        <f t="shared" si="8"/>
        <v/>
      </c>
      <c r="BD26" s="430">
        <f>IFERROR(
IF(BB26="",-100,
IF($BV$2&gt;0, INDEX(Beersheet!$A:$U,MATCH(BB26,INDEX(Beersheet!$A:$U,0,FFARawStatProjections!$BV$2),0),$BV$3)+$BN26,
INDEX($A26:$BM26,,$BV$12)*$BW$12+
INDEX($A26:$BM26,,$BV$15)*$BW$15+
INDEX($A26:$BM26,,$BV$16)*$BW$16+
INDEX($A26:$BM26,,$BV$17)*$BW$17+
INDEX($A26:$BM26,,$BV$18)*$BW$18+
INDEX($A26:$BM26,,$BV$19)*$BW$19+
INDEX($A26:$BM26,,$BV$20)*$BW$20+
INDEX($A26:$BM26,,$BV$21)*$BW$21+
INDEX($A26:$BM26,,$BV$22)*$BW$22+
INDEX($A26:$BM26,,$BV$23)*$BW$23+
INDEX($A26:$BM26,,$BV$25)*$BW$25+
INDEX($A26:$BM26,,$BV$26)*$BW$26+
INDEX($A26:$BM26,,$BV$27)*$BW$27+
$BN26)),
$BN26-100)</f>
        <v>-100</v>
      </c>
      <c r="BF26" t="str">
        <f t="shared" si="9"/>
        <v/>
      </c>
      <c r="BG26" t="str">
        <f t="shared" si="10"/>
        <v/>
      </c>
      <c r="BH26">
        <f t="shared" si="11"/>
        <v>0</v>
      </c>
      <c r="BJ26" t="str">
        <f t="shared" si="12"/>
        <v/>
      </c>
      <c r="BL26">
        <f t="shared" si="1"/>
        <v>0</v>
      </c>
      <c r="BN26">
        <v>2.5000000000000001E-4</v>
      </c>
      <c r="BS26" s="4" t="s">
        <v>2190</v>
      </c>
      <c r="BU26" t="s">
        <v>2040</v>
      </c>
      <c r="BV26">
        <f t="shared" si="13"/>
        <v>20</v>
      </c>
      <c r="BW26">
        <f>Instructions!J34</f>
        <v>6</v>
      </c>
    </row>
    <row r="27" spans="1:75" ht="15.75" thickBot="1" x14ac:dyDescent="0.3">
      <c r="A27" s="569" t="s">
        <v>79</v>
      </c>
      <c r="B27" s="569" t="s">
        <v>163</v>
      </c>
      <c r="C27" s="569" t="s">
        <v>1</v>
      </c>
      <c r="D27" s="574">
        <v>7</v>
      </c>
      <c r="E27" s="569"/>
      <c r="F27" s="569"/>
      <c r="G27" s="569">
        <v>452.5</v>
      </c>
      <c r="H27" s="569">
        <v>294.2</v>
      </c>
      <c r="I27" s="574">
        <v>10.9</v>
      </c>
      <c r="J27" s="574">
        <v>19</v>
      </c>
      <c r="K27" s="574">
        <v>3268.5</v>
      </c>
      <c r="L27" s="574">
        <v>0</v>
      </c>
      <c r="M27" s="574">
        <v>0</v>
      </c>
      <c r="N27" s="574">
        <v>0</v>
      </c>
      <c r="O27" s="574">
        <v>41.3</v>
      </c>
      <c r="P27" s="574">
        <v>2.2999999999999998</v>
      </c>
      <c r="Q27" s="574">
        <v>162.69999999999999</v>
      </c>
      <c r="R27" s="569"/>
      <c r="S27" s="569"/>
      <c r="T27" s="569"/>
      <c r="U27" s="569"/>
      <c r="V27" s="569"/>
      <c r="W27" s="569"/>
      <c r="X27" s="569"/>
      <c r="Y27" s="569"/>
      <c r="Z27" s="569"/>
      <c r="AA27" s="569"/>
      <c r="AB27" s="569"/>
      <c r="AC27" s="569"/>
      <c r="AD27" s="569"/>
      <c r="AE27" s="569"/>
      <c r="AF27" s="569"/>
      <c r="AG27" s="569"/>
      <c r="AH27" s="569"/>
      <c r="AI27" s="569"/>
      <c r="AJ27" s="569"/>
      <c r="AK27" s="569"/>
      <c r="AL27" s="569"/>
      <c r="AM27" s="569"/>
      <c r="AN27" s="574">
        <v>221.9</v>
      </c>
      <c r="AO27">
        <v>26</v>
      </c>
      <c r="AP27" t="str">
        <f t="shared" si="14"/>
        <v>Ryan Tannehill</v>
      </c>
      <c r="AQ27" t="str">
        <f t="shared" si="2"/>
        <v>TEN</v>
      </c>
      <c r="AR27" s="430">
        <f>IFERROR(
IF(AP27="",-100,
IF($BV$2&gt;0, INDEX(Beersheet!$A:$U,MATCH(AP27,INDEX(Beersheet!$A:$U,0,FFARawStatProjections!$BV$2),0),$BV$3)+$BN27,
INDEX($A27:$BM27,,$BV$12)*$BW$12+
INDEX($A27:$BM27,,$BV$15)*$BW$15+
INDEX($A27:$BM27,,$BV$16)*$BW$16+
INDEX($A27:$BM27,,$BV$17)*$BW$17+
INDEX($A27:$BM27,,$BV$18)*$BW$18+
INDEX($A27:$BM27,,$BV$19)*$BW$19+
INDEX($A27:$BM27,,$BV$20)*$BW$20+
INDEX($A27:$BM27,,$BV$21)*$BW$21+
INDEX($A27:$BM27,,$BV$22)*$BW$22+
INDEX($A27:$BM27,,$BV$23)*$BW$23+
INDEX($A27:$BM27,,$BV$25)*$BW$25+
INDEX($A27:$BM27,,$BV$26)*$BW$26+
INDEX($A27:$BM27,,$BV$27)*$BW$27+
$BN27)),
$BN27-100)</f>
        <v>225.91026000000002</v>
      </c>
      <c r="AT27" t="str">
        <f t="shared" si="3"/>
        <v/>
      </c>
      <c r="AU27" t="str">
        <f t="shared" si="4"/>
        <v/>
      </c>
      <c r="AV27" s="430">
        <f>IFERROR(
IF(AT27="",-100,
IF($BV$2&gt;0, INDEX(Beersheet!$A:$U,MATCH(AT27,INDEX(Beersheet!$A:$U,0,FFARawStatProjections!$BV$2),0),$BV$3)+$BN27,
INDEX($A27:$BM27,,$BV$12)*$BW$12+
INDEX($A27:$BM27,,$BV$15)*$BW$15+
INDEX($A27:$BM27,,$BV$16)*$BW$16+
INDEX($A27:$BM27,,$BV$17)*$BW$17+
INDEX($A27:$BM27,,$BV$18)*$BW$18+
INDEX($A27:$BM27,,$BV$19)*$BW$19+
INDEX($A27:$BM27,,$BV$20)*$BW$20+
INDEX($A27:$BM27,,$BV$21)*$BW$21+
INDEX($A27:$BM27,,$BV$22)*$BW$22+
INDEX($A27:$BM27,,$BV$23)*$BW$23+
INDEX($A27:$BM27,,$BV$25)*$BW$25+
INDEX($A27:$BM27,,$BV$26)*$BW$26+
INDEX($A27:$BM27,,$BV$27)*$BW$27+
$BN27)),
$BN27-100)</f>
        <v>-100</v>
      </c>
      <c r="AX27" t="str">
        <f t="shared" si="5"/>
        <v/>
      </c>
      <c r="AY27" t="str">
        <f t="shared" si="6"/>
        <v/>
      </c>
      <c r="AZ27" s="430">
        <f>IFERROR(
IF(AX27="",-100,
IF($BV$2&gt;0, INDEX(Beersheet!$A:$U,MATCH(AX27,INDEX(Beersheet!$A:$U,0,FFARawStatProjections!$BV$2),0),$BV$3)+$BN27,
INDEX($A27:$BM27,,$BV$12)*$BW$12+
INDEX($A27:$BM27,,$BV$15)*$BW$15+
INDEX($A27:$BM27,,$BV$16)*$BW$16+
INDEX($A27:$BM27,,$BV$17)*$BW$17+
INDEX($A27:$BM27,,$BV$18)*$BW$18+
INDEX($A27:$BM27,,$BV$19)*$BW$19+
INDEX($A27:$BM27,,$BV$20)*$BW$20+
INDEX($A27:$BM27,,$BV$21)*$BW$21+
INDEX($A27:$BM27,,$BV$22)*$BW$22+
INDEX($A27:$BM27,,$BV$23)*$BW$23+
INDEX($A27:$BM27,,$BV$25)*$BW$25+
INDEX($A27:$BM27,,$BV$26)*$BW$26+
INDEX($A27:$BM27,,$BV$27)*$BW$27+
$BN27)),
$BN27-100)</f>
        <v>-100</v>
      </c>
      <c r="BB27" t="str">
        <f t="shared" si="7"/>
        <v/>
      </c>
      <c r="BC27" t="str">
        <f t="shared" si="8"/>
        <v/>
      </c>
      <c r="BD27" s="430">
        <f>IFERROR(
IF(BB27="",-100,
IF($BV$2&gt;0, INDEX(Beersheet!$A:$U,MATCH(BB27,INDEX(Beersheet!$A:$U,0,FFARawStatProjections!$BV$2),0),$BV$3)+$BN27,
INDEX($A27:$BM27,,$BV$12)*$BW$12+
INDEX($A27:$BM27,,$BV$15)*$BW$15+
INDEX($A27:$BM27,,$BV$16)*$BW$16+
INDEX($A27:$BM27,,$BV$17)*$BW$17+
INDEX($A27:$BM27,,$BV$18)*$BW$18+
INDEX($A27:$BM27,,$BV$19)*$BW$19+
INDEX($A27:$BM27,,$BV$20)*$BW$20+
INDEX($A27:$BM27,,$BV$21)*$BW$21+
INDEX($A27:$BM27,,$BV$22)*$BW$22+
INDEX($A27:$BM27,,$BV$23)*$BW$23+
INDEX($A27:$BM27,,$BV$25)*$BW$25+
INDEX($A27:$BM27,,$BV$26)*$BW$26+
INDEX($A27:$BM27,,$BV$27)*$BW$27+
$BN27)),
$BN27-100)</f>
        <v>-100</v>
      </c>
      <c r="BF27" t="str">
        <f t="shared" si="9"/>
        <v/>
      </c>
      <c r="BG27" t="str">
        <f t="shared" si="10"/>
        <v/>
      </c>
      <c r="BH27">
        <f t="shared" si="11"/>
        <v>0</v>
      </c>
      <c r="BJ27" t="str">
        <f t="shared" si="12"/>
        <v/>
      </c>
      <c r="BL27">
        <f t="shared" si="1"/>
        <v>0</v>
      </c>
      <c r="BN27">
        <v>2.5999999999999998E-4</v>
      </c>
      <c r="BS27" s="4" t="s">
        <v>2377</v>
      </c>
      <c r="BU27" t="s">
        <v>2041</v>
      </c>
      <c r="BV27">
        <f t="shared" si="13"/>
        <v>21</v>
      </c>
      <c r="BW27">
        <f>IFERROR(1/Instructions!J32,0)</f>
        <v>0</v>
      </c>
    </row>
    <row r="28" spans="1:75" ht="15.75" thickBot="1" x14ac:dyDescent="0.3">
      <c r="A28" s="569" t="s">
        <v>2507</v>
      </c>
      <c r="B28" s="569" t="s">
        <v>151</v>
      </c>
      <c r="C28" s="569" t="s">
        <v>1</v>
      </c>
      <c r="D28" s="574">
        <v>7</v>
      </c>
      <c r="E28" s="569"/>
      <c r="F28" s="569"/>
      <c r="G28" s="569">
        <v>515</v>
      </c>
      <c r="H28" s="569">
        <v>323.2</v>
      </c>
      <c r="I28" s="574">
        <v>14.1</v>
      </c>
      <c r="J28" s="574">
        <v>19.2</v>
      </c>
      <c r="K28" s="574">
        <v>3426.2</v>
      </c>
      <c r="L28" s="574">
        <v>0</v>
      </c>
      <c r="M28" s="574">
        <v>0</v>
      </c>
      <c r="N28" s="574">
        <v>0</v>
      </c>
      <c r="O28" s="574">
        <v>49.8</v>
      </c>
      <c r="P28" s="574">
        <v>1.4</v>
      </c>
      <c r="Q28" s="574">
        <v>175.4</v>
      </c>
      <c r="R28" s="569"/>
      <c r="S28" s="569"/>
      <c r="T28" s="569"/>
      <c r="U28" s="569"/>
      <c r="V28" s="569"/>
      <c r="W28" s="569"/>
      <c r="X28" s="569"/>
      <c r="Y28" s="569"/>
      <c r="Z28" s="569"/>
      <c r="AA28" s="569"/>
      <c r="AB28" s="569"/>
      <c r="AC28" s="569"/>
      <c r="AD28" s="569"/>
      <c r="AE28" s="569"/>
      <c r="AF28" s="569"/>
      <c r="AG28" s="569"/>
      <c r="AH28" s="569"/>
      <c r="AI28" s="569"/>
      <c r="AJ28" s="569"/>
      <c r="AK28" s="569"/>
      <c r="AL28" s="569"/>
      <c r="AM28" s="569"/>
      <c r="AN28" s="574">
        <v>220.5</v>
      </c>
      <c r="AO28">
        <v>27</v>
      </c>
      <c r="AP28" t="str">
        <f t="shared" si="14"/>
        <v>CJ Stroud</v>
      </c>
      <c r="AQ28" t="str">
        <f t="shared" si="2"/>
        <v>HOU</v>
      </c>
      <c r="AR28" s="430">
        <f>IFERROR(
IF(AP28="",-100,
IF($BV$2&gt;0, INDEX(Beersheet!$A:$U,MATCH(AP28,INDEX(Beersheet!$A:$U,0,FFARawStatProjections!$BV$2),0),$BV$3)+$BN28,
INDEX($A28:$BM28,,$BV$12)*$BW$12+
INDEX($A28:$BM28,,$BV$15)*$BW$15+
INDEX($A28:$BM28,,$BV$16)*$BW$16+
INDEX($A28:$BM28,,$BV$17)*$BW$17+
INDEX($A28:$BM28,,$BV$18)*$BW$18+
INDEX($A28:$BM28,,$BV$19)*$BW$19+
INDEX($A28:$BM28,,$BV$20)*$BW$20+
INDEX($A28:$BM28,,$BV$21)*$BW$21+
INDEX($A28:$BM28,,$BV$22)*$BW$22+
INDEX($A28:$BM28,,$BV$23)*$BW$23+
INDEX($A28:$BM28,,$BV$25)*$BW$25+
INDEX($A28:$BM28,,$BV$26)*$BW$26+
INDEX($A28:$BM28,,$BV$27)*$BW$27+
$BN28)),
$BN28-100)</f>
        <v>225.68826999999999</v>
      </c>
      <c r="AT28" t="str">
        <f t="shared" si="3"/>
        <v/>
      </c>
      <c r="AU28" t="str">
        <f t="shared" si="4"/>
        <v/>
      </c>
      <c r="AV28" s="430">
        <f>IFERROR(
IF(AT28="",-100,
IF($BV$2&gt;0, INDEX(Beersheet!$A:$U,MATCH(AT28,INDEX(Beersheet!$A:$U,0,FFARawStatProjections!$BV$2),0),$BV$3)+$BN28,
INDEX($A28:$BM28,,$BV$12)*$BW$12+
INDEX($A28:$BM28,,$BV$15)*$BW$15+
INDEX($A28:$BM28,,$BV$16)*$BW$16+
INDEX($A28:$BM28,,$BV$17)*$BW$17+
INDEX($A28:$BM28,,$BV$18)*$BW$18+
INDEX($A28:$BM28,,$BV$19)*$BW$19+
INDEX($A28:$BM28,,$BV$20)*$BW$20+
INDEX($A28:$BM28,,$BV$21)*$BW$21+
INDEX($A28:$BM28,,$BV$22)*$BW$22+
INDEX($A28:$BM28,,$BV$23)*$BW$23+
INDEX($A28:$BM28,,$BV$25)*$BW$25+
INDEX($A28:$BM28,,$BV$26)*$BW$26+
INDEX($A28:$BM28,,$BV$27)*$BW$27+
$BN28)),
$BN28-100)</f>
        <v>-100</v>
      </c>
      <c r="AX28" t="str">
        <f t="shared" si="5"/>
        <v/>
      </c>
      <c r="AY28" t="str">
        <f t="shared" si="6"/>
        <v/>
      </c>
      <c r="AZ28" s="430">
        <f>IFERROR(
IF(AX28="",-100,
IF($BV$2&gt;0, INDEX(Beersheet!$A:$U,MATCH(AX28,INDEX(Beersheet!$A:$U,0,FFARawStatProjections!$BV$2),0),$BV$3)+$BN28,
INDEX($A28:$BM28,,$BV$12)*$BW$12+
INDEX($A28:$BM28,,$BV$15)*$BW$15+
INDEX($A28:$BM28,,$BV$16)*$BW$16+
INDEX($A28:$BM28,,$BV$17)*$BW$17+
INDEX($A28:$BM28,,$BV$18)*$BW$18+
INDEX($A28:$BM28,,$BV$19)*$BW$19+
INDEX($A28:$BM28,,$BV$20)*$BW$20+
INDEX($A28:$BM28,,$BV$21)*$BW$21+
INDEX($A28:$BM28,,$BV$22)*$BW$22+
INDEX($A28:$BM28,,$BV$23)*$BW$23+
INDEX($A28:$BM28,,$BV$25)*$BW$25+
INDEX($A28:$BM28,,$BV$26)*$BW$26+
INDEX($A28:$BM28,,$BV$27)*$BW$27+
$BN28)),
$BN28-100)</f>
        <v>-100</v>
      </c>
      <c r="BB28" t="str">
        <f t="shared" si="7"/>
        <v/>
      </c>
      <c r="BC28" t="str">
        <f t="shared" si="8"/>
        <v/>
      </c>
      <c r="BD28" s="430">
        <f>IFERROR(
IF(BB28="",-100,
IF($BV$2&gt;0, INDEX(Beersheet!$A:$U,MATCH(BB28,INDEX(Beersheet!$A:$U,0,FFARawStatProjections!$BV$2),0),$BV$3)+$BN28,
INDEX($A28:$BM28,,$BV$12)*$BW$12+
INDEX($A28:$BM28,,$BV$15)*$BW$15+
INDEX($A28:$BM28,,$BV$16)*$BW$16+
INDEX($A28:$BM28,,$BV$17)*$BW$17+
INDEX($A28:$BM28,,$BV$18)*$BW$18+
INDEX($A28:$BM28,,$BV$19)*$BW$19+
INDEX($A28:$BM28,,$BV$20)*$BW$20+
INDEX($A28:$BM28,,$BV$21)*$BW$21+
INDEX($A28:$BM28,,$BV$22)*$BW$22+
INDEX($A28:$BM28,,$BV$23)*$BW$23+
INDEX($A28:$BM28,,$BV$25)*$BW$25+
INDEX($A28:$BM28,,$BV$26)*$BW$26+
INDEX($A28:$BM28,,$BV$27)*$BW$27+
$BN28)),
$BN28-100)</f>
        <v>-100</v>
      </c>
      <c r="BF28" t="str">
        <f t="shared" si="9"/>
        <v/>
      </c>
      <c r="BG28" t="str">
        <f t="shared" si="10"/>
        <v/>
      </c>
      <c r="BH28">
        <f t="shared" si="11"/>
        <v>0</v>
      </c>
      <c r="BJ28" t="str">
        <f t="shared" si="12"/>
        <v/>
      </c>
      <c r="BL28">
        <f t="shared" si="1"/>
        <v>0</v>
      </c>
      <c r="BN28">
        <v>2.7E-4</v>
      </c>
      <c r="BS28" s="4" t="s">
        <v>63</v>
      </c>
      <c r="BU28" t="s">
        <v>2042</v>
      </c>
      <c r="BV28">
        <f t="shared" si="13"/>
        <v>22</v>
      </c>
      <c r="BW28">
        <v>2</v>
      </c>
    </row>
    <row r="29" spans="1:75" ht="15.75" thickBot="1" x14ac:dyDescent="0.3">
      <c r="A29" s="569" t="s">
        <v>2158</v>
      </c>
      <c r="B29" s="569" t="s">
        <v>157</v>
      </c>
      <c r="C29" s="569" t="s">
        <v>1</v>
      </c>
      <c r="D29" s="574">
        <v>11</v>
      </c>
      <c r="E29" s="569"/>
      <c r="F29" s="569"/>
      <c r="G29" s="569">
        <v>494.2</v>
      </c>
      <c r="H29" s="569">
        <v>323.39999999999998</v>
      </c>
      <c r="I29" s="574">
        <v>13.4</v>
      </c>
      <c r="J29" s="574">
        <v>18.899999999999999</v>
      </c>
      <c r="K29" s="574">
        <v>3443.3</v>
      </c>
      <c r="L29" s="574">
        <v>0</v>
      </c>
      <c r="M29" s="574">
        <v>0</v>
      </c>
      <c r="N29" s="574">
        <v>0</v>
      </c>
      <c r="O29" s="574">
        <v>50.8</v>
      </c>
      <c r="P29" s="574">
        <v>1.2</v>
      </c>
      <c r="Q29" s="574">
        <v>149.69999999999999</v>
      </c>
      <c r="R29" s="569"/>
      <c r="S29" s="569"/>
      <c r="T29" s="569"/>
      <c r="U29" s="569"/>
      <c r="V29" s="569"/>
      <c r="W29" s="569"/>
      <c r="X29" s="569"/>
      <c r="Y29" s="569"/>
      <c r="Z29" s="569"/>
      <c r="AA29" s="569"/>
      <c r="AB29" s="569"/>
      <c r="AC29" s="569"/>
      <c r="AD29" s="569"/>
      <c r="AE29" s="569"/>
      <c r="AF29" s="569"/>
      <c r="AG29" s="569"/>
      <c r="AH29" s="569"/>
      <c r="AI29" s="569"/>
      <c r="AJ29" s="569"/>
      <c r="AK29" s="569"/>
      <c r="AL29" s="569"/>
      <c r="AM29" s="569"/>
      <c r="AN29" s="574">
        <v>217.8</v>
      </c>
      <c r="AO29">
        <v>28</v>
      </c>
      <c r="AP29" t="str">
        <f t="shared" si="14"/>
        <v>Mac Jones</v>
      </c>
      <c r="AQ29" t="str">
        <f t="shared" si="2"/>
        <v>NE</v>
      </c>
      <c r="AR29" s="430">
        <f>IFERROR(
IF(AP29="",-100,
IF($BV$2&gt;0, INDEX(Beersheet!$A:$U,MATCH(AP29,INDEX(Beersheet!$A:$U,0,FFARawStatProjections!$BV$2),0),$BV$3)+$BN29,
INDEX($A29:$BM29,,$BV$12)*$BW$12+
INDEX($A29:$BM29,,$BV$15)*$BW$15+
INDEX($A29:$BM29,,$BV$16)*$BW$16+
INDEX($A29:$BM29,,$BV$17)*$BW$17+
INDEX($A29:$BM29,,$BV$18)*$BW$18+
INDEX($A29:$BM29,,$BV$19)*$BW$19+
INDEX($A29:$BM29,,$BV$20)*$BW$20+
INDEX($A29:$BM29,,$BV$21)*$BW$21+
INDEX($A29:$BM29,,$BV$22)*$BW$22+
INDEX($A29:$BM29,,$BV$23)*$BW$23+
INDEX($A29:$BM29,,$BV$25)*$BW$25+
INDEX($A29:$BM29,,$BV$26)*$BW$26+
INDEX($A29:$BM29,,$BV$27)*$BW$27+
$BN29)),
$BN29-100)</f>
        <v>222.10227999999998</v>
      </c>
      <c r="AT29" t="str">
        <f t="shared" si="3"/>
        <v/>
      </c>
      <c r="AU29" t="str">
        <f t="shared" si="4"/>
        <v/>
      </c>
      <c r="AV29" s="430">
        <f>IFERROR(
IF(AT29="",-100,
IF($BV$2&gt;0, INDEX(Beersheet!$A:$U,MATCH(AT29,INDEX(Beersheet!$A:$U,0,FFARawStatProjections!$BV$2),0),$BV$3)+$BN29,
INDEX($A29:$BM29,,$BV$12)*$BW$12+
INDEX($A29:$BM29,,$BV$15)*$BW$15+
INDEX($A29:$BM29,,$BV$16)*$BW$16+
INDEX($A29:$BM29,,$BV$17)*$BW$17+
INDEX($A29:$BM29,,$BV$18)*$BW$18+
INDEX($A29:$BM29,,$BV$19)*$BW$19+
INDEX($A29:$BM29,,$BV$20)*$BW$20+
INDEX($A29:$BM29,,$BV$21)*$BW$21+
INDEX($A29:$BM29,,$BV$22)*$BW$22+
INDEX($A29:$BM29,,$BV$23)*$BW$23+
INDEX($A29:$BM29,,$BV$25)*$BW$25+
INDEX($A29:$BM29,,$BV$26)*$BW$26+
INDEX($A29:$BM29,,$BV$27)*$BW$27+
$BN29)),
$BN29-100)</f>
        <v>-100</v>
      </c>
      <c r="AX29" t="str">
        <f t="shared" si="5"/>
        <v/>
      </c>
      <c r="AY29" t="str">
        <f t="shared" si="6"/>
        <v/>
      </c>
      <c r="AZ29" s="430">
        <f>IFERROR(
IF(AX29="",-100,
IF($BV$2&gt;0, INDEX(Beersheet!$A:$U,MATCH(AX29,INDEX(Beersheet!$A:$U,0,FFARawStatProjections!$BV$2),0),$BV$3)+$BN29,
INDEX($A29:$BM29,,$BV$12)*$BW$12+
INDEX($A29:$BM29,,$BV$15)*$BW$15+
INDEX($A29:$BM29,,$BV$16)*$BW$16+
INDEX($A29:$BM29,,$BV$17)*$BW$17+
INDEX($A29:$BM29,,$BV$18)*$BW$18+
INDEX($A29:$BM29,,$BV$19)*$BW$19+
INDEX($A29:$BM29,,$BV$20)*$BW$20+
INDEX($A29:$BM29,,$BV$21)*$BW$21+
INDEX($A29:$BM29,,$BV$22)*$BW$22+
INDEX($A29:$BM29,,$BV$23)*$BW$23+
INDEX($A29:$BM29,,$BV$25)*$BW$25+
INDEX($A29:$BM29,,$BV$26)*$BW$26+
INDEX($A29:$BM29,,$BV$27)*$BW$27+
$BN29)),
$BN29-100)</f>
        <v>-100</v>
      </c>
      <c r="BB29" t="str">
        <f t="shared" si="7"/>
        <v/>
      </c>
      <c r="BC29" t="str">
        <f t="shared" si="8"/>
        <v/>
      </c>
      <c r="BD29" s="430">
        <f>IFERROR(
IF(BB29="",-100,
IF($BV$2&gt;0, INDEX(Beersheet!$A:$U,MATCH(BB29,INDEX(Beersheet!$A:$U,0,FFARawStatProjections!$BV$2),0),$BV$3)+$BN29,
INDEX($A29:$BM29,,$BV$12)*$BW$12+
INDEX($A29:$BM29,,$BV$15)*$BW$15+
INDEX($A29:$BM29,,$BV$16)*$BW$16+
INDEX($A29:$BM29,,$BV$17)*$BW$17+
INDEX($A29:$BM29,,$BV$18)*$BW$18+
INDEX($A29:$BM29,,$BV$19)*$BW$19+
INDEX($A29:$BM29,,$BV$20)*$BW$20+
INDEX($A29:$BM29,,$BV$21)*$BW$21+
INDEX($A29:$BM29,,$BV$22)*$BW$22+
INDEX($A29:$BM29,,$BV$23)*$BW$23+
INDEX($A29:$BM29,,$BV$25)*$BW$25+
INDEX($A29:$BM29,,$BV$26)*$BW$26+
INDEX($A29:$BM29,,$BV$27)*$BW$27+
$BN29)),
$BN29-100)</f>
        <v>-100</v>
      </c>
      <c r="BF29" t="str">
        <f t="shared" si="9"/>
        <v/>
      </c>
      <c r="BG29" t="str">
        <f t="shared" si="10"/>
        <v/>
      </c>
      <c r="BH29">
        <f t="shared" si="11"/>
        <v>0</v>
      </c>
      <c r="BJ29" t="str">
        <f t="shared" si="12"/>
        <v/>
      </c>
      <c r="BL29">
        <f t="shared" si="1"/>
        <v>0</v>
      </c>
      <c r="BN29">
        <v>2.7999999999999998E-4</v>
      </c>
      <c r="BS29" s="4" t="s">
        <v>1868</v>
      </c>
      <c r="BU29" t="s">
        <v>2043</v>
      </c>
      <c r="BV29">
        <f t="shared" si="13"/>
        <v>23</v>
      </c>
      <c r="BW29">
        <v>2</v>
      </c>
    </row>
    <row r="30" spans="1:75" ht="15.75" thickBot="1" x14ac:dyDescent="0.3">
      <c r="A30" s="569" t="s">
        <v>1855</v>
      </c>
      <c r="B30" s="569" t="s">
        <v>2272</v>
      </c>
      <c r="C30" s="569" t="s">
        <v>1</v>
      </c>
      <c r="D30" s="574">
        <v>14</v>
      </c>
      <c r="E30" s="569"/>
      <c r="F30" s="569"/>
      <c r="G30" s="569">
        <v>432.5</v>
      </c>
      <c r="H30" s="569">
        <v>285.3</v>
      </c>
      <c r="I30" s="574">
        <v>9.6999999999999993</v>
      </c>
      <c r="J30" s="574">
        <v>14.2</v>
      </c>
      <c r="K30" s="574">
        <v>2779.7</v>
      </c>
      <c r="L30" s="574">
        <v>0</v>
      </c>
      <c r="M30" s="574">
        <v>0</v>
      </c>
      <c r="N30" s="574">
        <v>0</v>
      </c>
      <c r="O30" s="574">
        <v>80.900000000000006</v>
      </c>
      <c r="P30" s="574">
        <v>3</v>
      </c>
      <c r="Q30" s="574">
        <v>428.1</v>
      </c>
      <c r="R30" s="569"/>
      <c r="S30" s="569"/>
      <c r="T30" s="569"/>
      <c r="U30" s="569"/>
      <c r="V30" s="569"/>
      <c r="W30" s="569"/>
      <c r="X30" s="569"/>
      <c r="Y30" s="569"/>
      <c r="Z30" s="569"/>
      <c r="AA30" s="569"/>
      <c r="AB30" s="569"/>
      <c r="AC30" s="569"/>
      <c r="AD30" s="569"/>
      <c r="AE30" s="569"/>
      <c r="AF30" s="569"/>
      <c r="AG30" s="569"/>
      <c r="AH30" s="569"/>
      <c r="AI30" s="569"/>
      <c r="AJ30" s="569"/>
      <c r="AK30" s="569"/>
      <c r="AL30" s="569"/>
      <c r="AM30" s="569"/>
      <c r="AN30" s="574">
        <v>215.1</v>
      </c>
      <c r="AO30">
        <v>29</v>
      </c>
      <c r="AP30" t="str">
        <f t="shared" si="14"/>
        <v>Kyler Murray</v>
      </c>
      <c r="AQ30" t="str">
        <f t="shared" si="2"/>
        <v>AZ</v>
      </c>
      <c r="AR30" s="430">
        <f>IFERROR(
IF(AP30="",-100,
IF($BV$2&gt;0, INDEX(Beersheet!$A:$U,MATCH(AP30,INDEX(Beersheet!$A:$U,0,FFARawStatProjections!$BV$2),0),$BV$3)+$BN30,
INDEX($A30:$BM30,,$BV$12)*$BW$12+
INDEX($A30:$BM30,,$BV$15)*$BW$15+
INDEX($A30:$BM30,,$BV$16)*$BW$16+
INDEX($A30:$BM30,,$BV$17)*$BW$17+
INDEX($A30:$BM30,,$BV$18)*$BW$18+
INDEX($A30:$BM30,,$BV$19)*$BW$19+
INDEX($A30:$BM30,,$BV$20)*$BW$20+
INDEX($A30:$BM30,,$BV$21)*$BW$21+
INDEX($A30:$BM30,,$BV$22)*$BW$22+
INDEX($A30:$BM30,,$BV$23)*$BW$23+
INDEX($A30:$BM30,,$BV$25)*$BW$25+
INDEX($A30:$BM30,,$BV$26)*$BW$26+
INDEX($A30:$BM30,,$BV$27)*$BW$27+
$BN30)),
$BN30-100)</f>
        <v>219.09828999999999</v>
      </c>
      <c r="AT30" t="str">
        <f t="shared" si="3"/>
        <v/>
      </c>
      <c r="AU30" t="str">
        <f t="shared" si="4"/>
        <v/>
      </c>
      <c r="AV30" s="430">
        <f>IFERROR(
IF(AT30="",-100,
IF($BV$2&gt;0, INDEX(Beersheet!$A:$U,MATCH(AT30,INDEX(Beersheet!$A:$U,0,FFARawStatProjections!$BV$2),0),$BV$3)+$BN30,
INDEX($A30:$BM30,,$BV$12)*$BW$12+
INDEX($A30:$BM30,,$BV$15)*$BW$15+
INDEX($A30:$BM30,,$BV$16)*$BW$16+
INDEX($A30:$BM30,,$BV$17)*$BW$17+
INDEX($A30:$BM30,,$BV$18)*$BW$18+
INDEX($A30:$BM30,,$BV$19)*$BW$19+
INDEX($A30:$BM30,,$BV$20)*$BW$20+
INDEX($A30:$BM30,,$BV$21)*$BW$21+
INDEX($A30:$BM30,,$BV$22)*$BW$22+
INDEX($A30:$BM30,,$BV$23)*$BW$23+
INDEX($A30:$BM30,,$BV$25)*$BW$25+
INDEX($A30:$BM30,,$BV$26)*$BW$26+
INDEX($A30:$BM30,,$BV$27)*$BW$27+
$BN30)),
$BN30-100)</f>
        <v>-100</v>
      </c>
      <c r="AX30" t="str">
        <f t="shared" si="5"/>
        <v/>
      </c>
      <c r="AY30" t="str">
        <f t="shared" si="6"/>
        <v/>
      </c>
      <c r="AZ30" s="430">
        <f>IFERROR(
IF(AX30="",-100,
IF($BV$2&gt;0, INDEX(Beersheet!$A:$U,MATCH(AX30,INDEX(Beersheet!$A:$U,0,FFARawStatProjections!$BV$2),0),$BV$3)+$BN30,
INDEX($A30:$BM30,,$BV$12)*$BW$12+
INDEX($A30:$BM30,,$BV$15)*$BW$15+
INDEX($A30:$BM30,,$BV$16)*$BW$16+
INDEX($A30:$BM30,,$BV$17)*$BW$17+
INDEX($A30:$BM30,,$BV$18)*$BW$18+
INDEX($A30:$BM30,,$BV$19)*$BW$19+
INDEX($A30:$BM30,,$BV$20)*$BW$20+
INDEX($A30:$BM30,,$BV$21)*$BW$21+
INDEX($A30:$BM30,,$BV$22)*$BW$22+
INDEX($A30:$BM30,,$BV$23)*$BW$23+
INDEX($A30:$BM30,,$BV$25)*$BW$25+
INDEX($A30:$BM30,,$BV$26)*$BW$26+
INDEX($A30:$BM30,,$BV$27)*$BW$27+
$BN30)),
$BN30-100)</f>
        <v>-100</v>
      </c>
      <c r="BB30" t="str">
        <f t="shared" si="7"/>
        <v/>
      </c>
      <c r="BC30" t="str">
        <f t="shared" si="8"/>
        <v/>
      </c>
      <c r="BD30" s="430">
        <f>IFERROR(
IF(BB30="",-100,
IF($BV$2&gt;0, INDEX(Beersheet!$A:$U,MATCH(BB30,INDEX(Beersheet!$A:$U,0,FFARawStatProjections!$BV$2),0),$BV$3)+$BN30,
INDEX($A30:$BM30,,$BV$12)*$BW$12+
INDEX($A30:$BM30,,$BV$15)*$BW$15+
INDEX($A30:$BM30,,$BV$16)*$BW$16+
INDEX($A30:$BM30,,$BV$17)*$BW$17+
INDEX($A30:$BM30,,$BV$18)*$BW$18+
INDEX($A30:$BM30,,$BV$19)*$BW$19+
INDEX($A30:$BM30,,$BV$20)*$BW$20+
INDEX($A30:$BM30,,$BV$21)*$BW$21+
INDEX($A30:$BM30,,$BV$22)*$BW$22+
INDEX($A30:$BM30,,$BV$23)*$BW$23+
INDEX($A30:$BM30,,$BV$25)*$BW$25+
INDEX($A30:$BM30,,$BV$26)*$BW$26+
INDEX($A30:$BM30,,$BV$27)*$BW$27+
$BN30)),
$BN30-100)</f>
        <v>-100</v>
      </c>
      <c r="BF30" t="str">
        <f t="shared" si="9"/>
        <v/>
      </c>
      <c r="BG30" t="str">
        <f t="shared" si="10"/>
        <v/>
      </c>
      <c r="BH30">
        <f t="shared" si="11"/>
        <v>0</v>
      </c>
      <c r="BJ30" t="str">
        <f t="shared" si="12"/>
        <v/>
      </c>
      <c r="BL30">
        <f t="shared" si="1"/>
        <v>0</v>
      </c>
      <c r="BN30">
        <v>2.9E-4</v>
      </c>
      <c r="BS30" s="4" t="s">
        <v>1992</v>
      </c>
      <c r="BU30" t="s">
        <v>2044</v>
      </c>
      <c r="BV30">
        <f t="shared" si="13"/>
        <v>24</v>
      </c>
      <c r="BW30">
        <v>2</v>
      </c>
    </row>
    <row r="31" spans="1:75" ht="15.75" thickBot="1" x14ac:dyDescent="0.3">
      <c r="A31" s="569" t="s">
        <v>2286</v>
      </c>
      <c r="B31" s="569" t="s">
        <v>152</v>
      </c>
      <c r="C31" s="569" t="s">
        <v>1</v>
      </c>
      <c r="D31" s="574">
        <v>14</v>
      </c>
      <c r="E31" s="569"/>
      <c r="F31" s="569"/>
      <c r="G31" s="569">
        <v>481.8</v>
      </c>
      <c r="H31" s="569">
        <v>300.8</v>
      </c>
      <c r="I31" s="574">
        <v>12.5</v>
      </c>
      <c r="J31" s="574">
        <v>17.2</v>
      </c>
      <c r="K31" s="574">
        <v>3082.3</v>
      </c>
      <c r="L31" s="574">
        <v>0</v>
      </c>
      <c r="M31" s="574">
        <v>0</v>
      </c>
      <c r="N31" s="574">
        <v>0</v>
      </c>
      <c r="O31" s="574">
        <v>53.2</v>
      </c>
      <c r="P31" s="574">
        <v>1.8</v>
      </c>
      <c r="Q31" s="574">
        <v>220.3</v>
      </c>
      <c r="R31" s="569"/>
      <c r="S31" s="569"/>
      <c r="T31" s="569"/>
      <c r="U31" s="569"/>
      <c r="V31" s="569"/>
      <c r="W31" s="569"/>
      <c r="X31" s="569"/>
      <c r="Y31" s="569"/>
      <c r="Z31" s="569"/>
      <c r="AA31" s="569"/>
      <c r="AB31" s="569"/>
      <c r="AC31" s="569"/>
      <c r="AD31" s="569"/>
      <c r="AE31" s="569"/>
      <c r="AF31" s="569"/>
      <c r="AG31" s="569"/>
      <c r="AH31" s="569"/>
      <c r="AI31" s="569"/>
      <c r="AJ31" s="569"/>
      <c r="AK31" s="569"/>
      <c r="AL31" s="569"/>
      <c r="AM31" s="569"/>
      <c r="AN31" s="574">
        <v>207.2</v>
      </c>
      <c r="AO31">
        <v>30</v>
      </c>
      <c r="AP31" t="str">
        <f t="shared" si="14"/>
        <v>Sam Howell</v>
      </c>
      <c r="AQ31" t="str">
        <f t="shared" si="2"/>
        <v>WAS</v>
      </c>
      <c r="AR31" s="430">
        <f>IFERROR(
IF(AP31="",-100,
IF($BV$2&gt;0, INDEX(Beersheet!$A:$U,MATCH(AP31,INDEX(Beersheet!$A:$U,0,FFARawStatProjections!$BV$2),0),$BV$3)+$BN31,
INDEX($A31:$BM31,,$BV$12)*$BW$12+
INDEX($A31:$BM31,,$BV$15)*$BW$15+
INDEX($A31:$BM31,,$BV$16)*$BW$16+
INDEX($A31:$BM31,,$BV$17)*$BW$17+
INDEX($A31:$BM31,,$BV$18)*$BW$18+
INDEX($A31:$BM31,,$BV$19)*$BW$19+
INDEX($A31:$BM31,,$BV$20)*$BW$20+
INDEX($A31:$BM31,,$BV$21)*$BW$21+
INDEX($A31:$BM31,,$BV$22)*$BW$22+
INDEX($A31:$BM31,,$BV$23)*$BW$23+
INDEX($A31:$BM31,,$BV$25)*$BW$25+
INDEX($A31:$BM31,,$BV$26)*$BW$26+
INDEX($A31:$BM31,,$BV$27)*$BW$27+
$BN31)),
$BN31-100)</f>
        <v>212.42230000000004</v>
      </c>
      <c r="AT31" t="str">
        <f t="shared" si="3"/>
        <v/>
      </c>
      <c r="AU31" t="str">
        <f t="shared" si="4"/>
        <v/>
      </c>
      <c r="AV31" s="430">
        <f>IFERROR(
IF(AT31="",-100,
IF($BV$2&gt;0, INDEX(Beersheet!$A:$U,MATCH(AT31,INDEX(Beersheet!$A:$U,0,FFARawStatProjections!$BV$2),0),$BV$3)+$BN31,
INDEX($A31:$BM31,,$BV$12)*$BW$12+
INDEX($A31:$BM31,,$BV$15)*$BW$15+
INDEX($A31:$BM31,,$BV$16)*$BW$16+
INDEX($A31:$BM31,,$BV$17)*$BW$17+
INDEX($A31:$BM31,,$BV$18)*$BW$18+
INDEX($A31:$BM31,,$BV$19)*$BW$19+
INDEX($A31:$BM31,,$BV$20)*$BW$20+
INDEX($A31:$BM31,,$BV$21)*$BW$21+
INDEX($A31:$BM31,,$BV$22)*$BW$22+
INDEX($A31:$BM31,,$BV$23)*$BW$23+
INDEX($A31:$BM31,,$BV$25)*$BW$25+
INDEX($A31:$BM31,,$BV$26)*$BW$26+
INDEX($A31:$BM31,,$BV$27)*$BW$27+
$BN31)),
$BN31-100)</f>
        <v>-100</v>
      </c>
      <c r="AX31" t="str">
        <f t="shared" si="5"/>
        <v/>
      </c>
      <c r="AY31" t="str">
        <f t="shared" si="6"/>
        <v/>
      </c>
      <c r="AZ31" s="430">
        <f>IFERROR(
IF(AX31="",-100,
IF($BV$2&gt;0, INDEX(Beersheet!$A:$U,MATCH(AX31,INDEX(Beersheet!$A:$U,0,FFARawStatProjections!$BV$2),0),$BV$3)+$BN31,
INDEX($A31:$BM31,,$BV$12)*$BW$12+
INDEX($A31:$BM31,,$BV$15)*$BW$15+
INDEX($A31:$BM31,,$BV$16)*$BW$16+
INDEX($A31:$BM31,,$BV$17)*$BW$17+
INDEX($A31:$BM31,,$BV$18)*$BW$18+
INDEX($A31:$BM31,,$BV$19)*$BW$19+
INDEX($A31:$BM31,,$BV$20)*$BW$20+
INDEX($A31:$BM31,,$BV$21)*$BW$21+
INDEX($A31:$BM31,,$BV$22)*$BW$22+
INDEX($A31:$BM31,,$BV$23)*$BW$23+
INDEX($A31:$BM31,,$BV$25)*$BW$25+
INDEX($A31:$BM31,,$BV$26)*$BW$26+
INDEX($A31:$BM31,,$BV$27)*$BW$27+
$BN31)),
$BN31-100)</f>
        <v>-100</v>
      </c>
      <c r="BB31" t="str">
        <f t="shared" si="7"/>
        <v/>
      </c>
      <c r="BC31" t="str">
        <f t="shared" si="8"/>
        <v/>
      </c>
      <c r="BD31" s="430">
        <f>IFERROR(
IF(BB31="",-100,
IF($BV$2&gt;0, INDEX(Beersheet!$A:$U,MATCH(BB31,INDEX(Beersheet!$A:$U,0,FFARawStatProjections!$BV$2),0),$BV$3)+$BN31,
INDEX($A31:$BM31,,$BV$12)*$BW$12+
INDEX($A31:$BM31,,$BV$15)*$BW$15+
INDEX($A31:$BM31,,$BV$16)*$BW$16+
INDEX($A31:$BM31,,$BV$17)*$BW$17+
INDEX($A31:$BM31,,$BV$18)*$BW$18+
INDEX($A31:$BM31,,$BV$19)*$BW$19+
INDEX($A31:$BM31,,$BV$20)*$BW$20+
INDEX($A31:$BM31,,$BV$21)*$BW$21+
INDEX($A31:$BM31,,$BV$22)*$BW$22+
INDEX($A31:$BM31,,$BV$23)*$BW$23+
INDEX($A31:$BM31,,$BV$25)*$BW$25+
INDEX($A31:$BM31,,$BV$26)*$BW$26+
INDEX($A31:$BM31,,$BV$27)*$BW$27+
$BN31)),
$BN31-100)</f>
        <v>-100</v>
      </c>
      <c r="BF31" t="str">
        <f t="shared" si="9"/>
        <v/>
      </c>
      <c r="BG31" t="str">
        <f t="shared" si="10"/>
        <v/>
      </c>
      <c r="BH31">
        <f t="shared" si="11"/>
        <v>0</v>
      </c>
      <c r="BJ31" t="str">
        <f t="shared" si="12"/>
        <v/>
      </c>
      <c r="BL31">
        <f t="shared" si="1"/>
        <v>0</v>
      </c>
      <c r="BN31">
        <v>2.9999999999999997E-4</v>
      </c>
      <c r="BS31" s="4" t="s">
        <v>2089</v>
      </c>
      <c r="BU31" t="s">
        <v>2045</v>
      </c>
      <c r="BV31">
        <f t="shared" si="13"/>
        <v>25</v>
      </c>
    </row>
    <row r="32" spans="1:75" ht="15.75" thickBot="1" x14ac:dyDescent="0.3">
      <c r="A32" s="569" t="s">
        <v>2282</v>
      </c>
      <c r="B32" s="569" t="s">
        <v>148</v>
      </c>
      <c r="C32" s="569" t="s">
        <v>1</v>
      </c>
      <c r="D32" s="574">
        <v>11</v>
      </c>
      <c r="E32" s="569"/>
      <c r="F32" s="569"/>
      <c r="G32" s="569">
        <v>437.5</v>
      </c>
      <c r="H32" s="569">
        <v>269.60000000000002</v>
      </c>
      <c r="I32" s="574">
        <v>10.4</v>
      </c>
      <c r="J32" s="574">
        <v>16.600000000000001</v>
      </c>
      <c r="K32" s="574">
        <v>2912.3</v>
      </c>
      <c r="L32" s="574">
        <v>0</v>
      </c>
      <c r="M32" s="574">
        <v>0</v>
      </c>
      <c r="N32" s="574">
        <v>0</v>
      </c>
      <c r="O32" s="574">
        <v>38.799999999999997</v>
      </c>
      <c r="P32" s="574">
        <v>1.4</v>
      </c>
      <c r="Q32" s="574">
        <v>169</v>
      </c>
      <c r="R32" s="569"/>
      <c r="S32" s="569"/>
      <c r="T32" s="569"/>
      <c r="U32" s="569"/>
      <c r="V32" s="569"/>
      <c r="W32" s="569"/>
      <c r="X32" s="569"/>
      <c r="Y32" s="569"/>
      <c r="Z32" s="569"/>
      <c r="AA32" s="569"/>
      <c r="AB32" s="569"/>
      <c r="AC32" s="569"/>
      <c r="AD32" s="569"/>
      <c r="AE32" s="569"/>
      <c r="AF32" s="569"/>
      <c r="AG32" s="569"/>
      <c r="AH32" s="569"/>
      <c r="AI32" s="569"/>
      <c r="AJ32" s="569"/>
      <c r="AK32" s="569"/>
      <c r="AL32" s="569"/>
      <c r="AM32" s="569"/>
      <c r="AN32" s="574">
        <v>191.7</v>
      </c>
      <c r="AO32">
        <v>31</v>
      </c>
      <c r="AP32" t="str">
        <f t="shared" si="14"/>
        <v>Desmond Ridder</v>
      </c>
      <c r="AQ32" t="str">
        <f t="shared" si="2"/>
        <v>ATL</v>
      </c>
      <c r="AR32" s="430">
        <f>IFERROR(
IF(AP32="",-100,
IF($BV$2&gt;0, INDEX(Beersheet!$A:$U,MATCH(AP32,INDEX(Beersheet!$A:$U,0,FFARawStatProjections!$BV$2),0),$BV$3)+$BN32,
INDEX($A32:$BM32,,$BV$12)*$BW$12+
INDEX($A32:$BM32,,$BV$15)*$BW$15+
INDEX($A32:$BM32,,$BV$16)*$BW$16+
INDEX($A32:$BM32,,$BV$17)*$BW$17+
INDEX($A32:$BM32,,$BV$18)*$BW$18+
INDEX($A32:$BM32,,$BV$19)*$BW$19+
INDEX($A32:$BM32,,$BV$20)*$BW$20+
INDEX($A32:$BM32,,$BV$21)*$BW$21+
INDEX($A32:$BM32,,$BV$22)*$BW$22+
INDEX($A32:$BM32,,$BV$23)*$BW$23+
INDEX($A32:$BM32,,$BV$25)*$BW$25+
INDEX($A32:$BM32,,$BV$26)*$BW$26+
INDEX($A32:$BM32,,$BV$27)*$BW$27+
$BN32)),
$BN32-100)</f>
        <v>197.79231000000004</v>
      </c>
      <c r="AT32" t="str">
        <f t="shared" si="3"/>
        <v/>
      </c>
      <c r="AU32" t="str">
        <f t="shared" si="4"/>
        <v/>
      </c>
      <c r="AV32" s="430">
        <f>IFERROR(
IF(AT32="",-100,
IF($BV$2&gt;0, INDEX(Beersheet!$A:$U,MATCH(AT32,INDEX(Beersheet!$A:$U,0,FFARawStatProjections!$BV$2),0),$BV$3)+$BN32,
INDEX($A32:$BM32,,$BV$12)*$BW$12+
INDEX($A32:$BM32,,$BV$15)*$BW$15+
INDEX($A32:$BM32,,$BV$16)*$BW$16+
INDEX($A32:$BM32,,$BV$17)*$BW$17+
INDEX($A32:$BM32,,$BV$18)*$BW$18+
INDEX($A32:$BM32,,$BV$19)*$BW$19+
INDEX($A32:$BM32,,$BV$20)*$BW$20+
INDEX($A32:$BM32,,$BV$21)*$BW$21+
INDEX($A32:$BM32,,$BV$22)*$BW$22+
INDEX($A32:$BM32,,$BV$23)*$BW$23+
INDEX($A32:$BM32,,$BV$25)*$BW$25+
INDEX($A32:$BM32,,$BV$26)*$BW$26+
INDEX($A32:$BM32,,$BV$27)*$BW$27+
$BN32)),
$BN32-100)</f>
        <v>-100</v>
      </c>
      <c r="AX32" t="str">
        <f t="shared" si="5"/>
        <v/>
      </c>
      <c r="AY32" t="str">
        <f t="shared" si="6"/>
        <v/>
      </c>
      <c r="AZ32" s="430">
        <f>IFERROR(
IF(AX32="",-100,
IF($BV$2&gt;0, INDEX(Beersheet!$A:$U,MATCH(AX32,INDEX(Beersheet!$A:$U,0,FFARawStatProjections!$BV$2),0),$BV$3)+$BN32,
INDEX($A32:$BM32,,$BV$12)*$BW$12+
INDEX($A32:$BM32,,$BV$15)*$BW$15+
INDEX($A32:$BM32,,$BV$16)*$BW$16+
INDEX($A32:$BM32,,$BV$17)*$BW$17+
INDEX($A32:$BM32,,$BV$18)*$BW$18+
INDEX($A32:$BM32,,$BV$19)*$BW$19+
INDEX($A32:$BM32,,$BV$20)*$BW$20+
INDEX($A32:$BM32,,$BV$21)*$BW$21+
INDEX($A32:$BM32,,$BV$22)*$BW$22+
INDEX($A32:$BM32,,$BV$23)*$BW$23+
INDEX($A32:$BM32,,$BV$25)*$BW$25+
INDEX($A32:$BM32,,$BV$26)*$BW$26+
INDEX($A32:$BM32,,$BV$27)*$BW$27+
$BN32)),
$BN32-100)</f>
        <v>-100</v>
      </c>
      <c r="BB32" t="str">
        <f t="shared" si="7"/>
        <v/>
      </c>
      <c r="BC32" t="str">
        <f t="shared" si="8"/>
        <v/>
      </c>
      <c r="BD32" s="430">
        <f>IFERROR(
IF(BB32="",-100,
IF($BV$2&gt;0, INDEX(Beersheet!$A:$U,MATCH(BB32,INDEX(Beersheet!$A:$U,0,FFARawStatProjections!$BV$2),0),$BV$3)+$BN32,
INDEX($A32:$BM32,,$BV$12)*$BW$12+
INDEX($A32:$BM32,,$BV$15)*$BW$15+
INDEX($A32:$BM32,,$BV$16)*$BW$16+
INDEX($A32:$BM32,,$BV$17)*$BW$17+
INDEX($A32:$BM32,,$BV$18)*$BW$18+
INDEX($A32:$BM32,,$BV$19)*$BW$19+
INDEX($A32:$BM32,,$BV$20)*$BW$20+
INDEX($A32:$BM32,,$BV$21)*$BW$21+
INDEX($A32:$BM32,,$BV$22)*$BW$22+
INDEX($A32:$BM32,,$BV$23)*$BW$23+
INDEX($A32:$BM32,,$BV$25)*$BW$25+
INDEX($A32:$BM32,,$BV$26)*$BW$26+
INDEX($A32:$BM32,,$BV$27)*$BW$27+
$BN32)),
$BN32-100)</f>
        <v>-100</v>
      </c>
      <c r="BF32" t="str">
        <f t="shared" si="9"/>
        <v/>
      </c>
      <c r="BG32" t="str">
        <f t="shared" si="10"/>
        <v/>
      </c>
      <c r="BH32">
        <f t="shared" si="11"/>
        <v>0</v>
      </c>
      <c r="BJ32" t="str">
        <f t="shared" si="12"/>
        <v/>
      </c>
      <c r="BL32">
        <f t="shared" si="1"/>
        <v>0</v>
      </c>
      <c r="BN32">
        <v>3.1E-4</v>
      </c>
      <c r="BS32" s="4" t="s">
        <v>2535</v>
      </c>
      <c r="BU32" t="s">
        <v>2046</v>
      </c>
      <c r="BV32">
        <f t="shared" si="13"/>
        <v>26</v>
      </c>
      <c r="BW32">
        <v>6</v>
      </c>
    </row>
    <row r="33" spans="1:75" ht="15.75" thickBot="1" x14ac:dyDescent="0.3">
      <c r="A33" s="569" t="s">
        <v>1763</v>
      </c>
      <c r="B33" s="569" t="s">
        <v>149</v>
      </c>
      <c r="C33" s="569" t="s">
        <v>1</v>
      </c>
      <c r="D33" s="574">
        <v>5</v>
      </c>
      <c r="E33" s="569"/>
      <c r="F33" s="569"/>
      <c r="G33" s="569">
        <v>458.6</v>
      </c>
      <c r="H33" s="569">
        <v>281.5</v>
      </c>
      <c r="I33" s="574">
        <v>11.4</v>
      </c>
      <c r="J33" s="574">
        <v>15.9</v>
      </c>
      <c r="K33" s="574">
        <v>3001.1</v>
      </c>
      <c r="L33" s="574">
        <v>0</v>
      </c>
      <c r="M33" s="574">
        <v>0</v>
      </c>
      <c r="N33" s="574">
        <v>0</v>
      </c>
      <c r="O33" s="574">
        <v>34.5</v>
      </c>
      <c r="P33" s="574">
        <v>1.1000000000000001</v>
      </c>
      <c r="Q33" s="574">
        <v>123.9</v>
      </c>
      <c r="R33" s="569"/>
      <c r="S33" s="569"/>
      <c r="T33" s="569"/>
      <c r="U33" s="569"/>
      <c r="V33" s="569"/>
      <c r="W33" s="569"/>
      <c r="X33" s="569"/>
      <c r="Y33" s="569"/>
      <c r="Z33" s="569"/>
      <c r="AA33" s="569"/>
      <c r="AB33" s="569"/>
      <c r="AC33" s="569"/>
      <c r="AD33" s="569"/>
      <c r="AE33" s="569"/>
      <c r="AF33" s="569"/>
      <c r="AG33" s="569"/>
      <c r="AH33" s="569"/>
      <c r="AI33" s="569"/>
      <c r="AJ33" s="569"/>
      <c r="AK33" s="569"/>
      <c r="AL33" s="569"/>
      <c r="AM33" s="569"/>
      <c r="AN33" s="574">
        <v>187.2</v>
      </c>
      <c r="AO33">
        <v>32</v>
      </c>
      <c r="AP33" t="str">
        <f t="shared" si="14"/>
        <v>Baker Mayfield</v>
      </c>
      <c r="AQ33" t="str">
        <f t="shared" si="2"/>
        <v>TB</v>
      </c>
      <c r="AR33" s="430">
        <f>IFERROR(
IF(AP33="",-100,
IF($BV$2&gt;0, INDEX(Beersheet!$A:$U,MATCH(AP33,INDEX(Beersheet!$A:$U,0,FFARawStatProjections!$BV$2),0),$BV$3)+$BN33,
INDEX($A33:$BM33,,$BV$12)*$BW$12+
INDEX($A33:$BM33,,$BV$15)*$BW$15+
INDEX($A33:$BM33,,$BV$16)*$BW$16+
INDEX($A33:$BM33,,$BV$17)*$BW$17+
INDEX($A33:$BM33,,$BV$18)*$BW$18+
INDEX($A33:$BM33,,$BV$19)*$BW$19+
INDEX($A33:$BM33,,$BV$20)*$BW$20+
INDEX($A33:$BM33,,$BV$21)*$BW$21+
INDEX($A33:$BM33,,$BV$22)*$BW$22+
INDEX($A33:$BM33,,$BV$23)*$BW$23+
INDEX($A33:$BM33,,$BV$25)*$BW$25+
INDEX($A33:$BM33,,$BV$26)*$BW$26+
INDEX($A33:$BM33,,$BV$27)*$BW$27+
$BN33)),
$BN33-100)</f>
        <v>191.23431999999997</v>
      </c>
      <c r="AT33" t="str">
        <f t="shared" si="3"/>
        <v/>
      </c>
      <c r="AU33" t="str">
        <f t="shared" si="4"/>
        <v/>
      </c>
      <c r="AV33" s="430">
        <f>IFERROR(
IF(AT33="",-100,
IF($BV$2&gt;0, INDEX(Beersheet!$A:$U,MATCH(AT33,INDEX(Beersheet!$A:$U,0,FFARawStatProjections!$BV$2),0),$BV$3)+$BN33,
INDEX($A33:$BM33,,$BV$12)*$BW$12+
INDEX($A33:$BM33,,$BV$15)*$BW$15+
INDEX($A33:$BM33,,$BV$16)*$BW$16+
INDEX($A33:$BM33,,$BV$17)*$BW$17+
INDEX($A33:$BM33,,$BV$18)*$BW$18+
INDEX($A33:$BM33,,$BV$19)*$BW$19+
INDEX($A33:$BM33,,$BV$20)*$BW$20+
INDEX($A33:$BM33,,$BV$21)*$BW$21+
INDEX($A33:$BM33,,$BV$22)*$BW$22+
INDEX($A33:$BM33,,$BV$23)*$BW$23+
INDEX($A33:$BM33,,$BV$25)*$BW$25+
INDEX($A33:$BM33,,$BV$26)*$BW$26+
INDEX($A33:$BM33,,$BV$27)*$BW$27+
$BN33)),
$BN33-100)</f>
        <v>-100</v>
      </c>
      <c r="AX33" t="str">
        <f t="shared" si="5"/>
        <v/>
      </c>
      <c r="AY33" t="str">
        <f t="shared" si="6"/>
        <v/>
      </c>
      <c r="AZ33" s="430">
        <f>IFERROR(
IF(AX33="",-100,
IF($BV$2&gt;0, INDEX(Beersheet!$A:$U,MATCH(AX33,INDEX(Beersheet!$A:$U,0,FFARawStatProjections!$BV$2),0),$BV$3)+$BN33,
INDEX($A33:$BM33,,$BV$12)*$BW$12+
INDEX($A33:$BM33,,$BV$15)*$BW$15+
INDEX($A33:$BM33,,$BV$16)*$BW$16+
INDEX($A33:$BM33,,$BV$17)*$BW$17+
INDEX($A33:$BM33,,$BV$18)*$BW$18+
INDEX($A33:$BM33,,$BV$19)*$BW$19+
INDEX($A33:$BM33,,$BV$20)*$BW$20+
INDEX($A33:$BM33,,$BV$21)*$BW$21+
INDEX($A33:$BM33,,$BV$22)*$BW$22+
INDEX($A33:$BM33,,$BV$23)*$BW$23+
INDEX($A33:$BM33,,$BV$25)*$BW$25+
INDEX($A33:$BM33,,$BV$26)*$BW$26+
INDEX($A33:$BM33,,$BV$27)*$BW$27+
$BN33)),
$BN33-100)</f>
        <v>-100</v>
      </c>
      <c r="BB33" t="str">
        <f t="shared" si="7"/>
        <v/>
      </c>
      <c r="BC33" t="str">
        <f t="shared" si="8"/>
        <v/>
      </c>
      <c r="BD33" s="430">
        <f>IFERROR(
IF(BB33="",-100,
IF($BV$2&gt;0, INDEX(Beersheet!$A:$U,MATCH(BB33,INDEX(Beersheet!$A:$U,0,FFARawStatProjections!$BV$2),0),$BV$3)+$BN33,
INDEX($A33:$BM33,,$BV$12)*$BW$12+
INDEX($A33:$BM33,,$BV$15)*$BW$15+
INDEX($A33:$BM33,,$BV$16)*$BW$16+
INDEX($A33:$BM33,,$BV$17)*$BW$17+
INDEX($A33:$BM33,,$BV$18)*$BW$18+
INDEX($A33:$BM33,,$BV$19)*$BW$19+
INDEX($A33:$BM33,,$BV$20)*$BW$20+
INDEX($A33:$BM33,,$BV$21)*$BW$21+
INDEX($A33:$BM33,,$BV$22)*$BW$22+
INDEX($A33:$BM33,,$BV$23)*$BW$23+
INDEX($A33:$BM33,,$BV$25)*$BW$25+
INDEX($A33:$BM33,,$BV$26)*$BW$26+
INDEX($A33:$BM33,,$BV$27)*$BW$27+
$BN33)),
$BN33-100)</f>
        <v>-100</v>
      </c>
      <c r="BF33" t="str">
        <f t="shared" si="9"/>
        <v/>
      </c>
      <c r="BG33" t="str">
        <f t="shared" si="10"/>
        <v/>
      </c>
      <c r="BH33">
        <f t="shared" si="11"/>
        <v>0</v>
      </c>
      <c r="BJ33" t="str">
        <f t="shared" si="12"/>
        <v/>
      </c>
      <c r="BL33">
        <f t="shared" si="1"/>
        <v>0</v>
      </c>
      <c r="BN33">
        <v>3.2000000000000003E-4</v>
      </c>
      <c r="BS33" s="4" t="s">
        <v>2214</v>
      </c>
      <c r="BU33" t="s">
        <v>2137</v>
      </c>
      <c r="BV33">
        <f t="shared" si="13"/>
        <v>27</v>
      </c>
      <c r="BW33">
        <v>1</v>
      </c>
    </row>
    <row r="34" spans="1:75" ht="15.75" thickBot="1" x14ac:dyDescent="0.3">
      <c r="A34" s="569" t="s">
        <v>1302</v>
      </c>
      <c r="B34" s="569" t="s">
        <v>152</v>
      </c>
      <c r="C34" s="569" t="s">
        <v>1</v>
      </c>
      <c r="D34" s="574">
        <v>14</v>
      </c>
      <c r="E34" s="569"/>
      <c r="F34" s="569"/>
      <c r="G34" s="569">
        <v>195.5</v>
      </c>
      <c r="H34" s="569">
        <v>114.3</v>
      </c>
      <c r="I34" s="574">
        <v>3.9</v>
      </c>
      <c r="J34" s="574">
        <v>5.2</v>
      </c>
      <c r="K34" s="574">
        <v>1272.0999999999999</v>
      </c>
      <c r="L34" s="574">
        <v>0</v>
      </c>
      <c r="M34" s="574">
        <v>0</v>
      </c>
      <c r="N34" s="574">
        <v>0</v>
      </c>
      <c r="O34" s="574">
        <v>24</v>
      </c>
      <c r="P34" s="574">
        <v>0.9</v>
      </c>
      <c r="Q34" s="574">
        <v>95.1</v>
      </c>
      <c r="R34" s="569"/>
      <c r="S34" s="569"/>
      <c r="T34" s="569"/>
      <c r="U34" s="569"/>
      <c r="V34" s="569"/>
      <c r="W34" s="569"/>
      <c r="X34" s="569"/>
      <c r="Y34" s="569"/>
      <c r="Z34" s="569"/>
      <c r="AA34" s="569"/>
      <c r="AB34" s="569"/>
      <c r="AC34" s="569"/>
      <c r="AD34" s="569"/>
      <c r="AE34" s="569"/>
      <c r="AF34" s="569"/>
      <c r="AG34" s="569"/>
      <c r="AH34" s="569"/>
      <c r="AI34" s="569"/>
      <c r="AJ34" s="569"/>
      <c r="AK34" s="569"/>
      <c r="AL34" s="569"/>
      <c r="AM34" s="569"/>
      <c r="AN34" s="574">
        <v>79.2</v>
      </c>
      <c r="AO34">
        <v>33</v>
      </c>
      <c r="AP34" t="str">
        <f t="shared" si="14"/>
        <v>Jacoby Brissett</v>
      </c>
      <c r="AQ34" t="str">
        <f t="shared" si="2"/>
        <v>WAS</v>
      </c>
      <c r="AR34" s="430">
        <f>IFERROR(
IF(AP34="",-100,
IF($BV$2&gt;0, INDEX(Beersheet!$A:$U,MATCH(AP34,INDEX(Beersheet!$A:$U,0,FFARawStatProjections!$BV$2),0),$BV$3)+$BN34,
INDEX($A34:$BM34,,$BV$12)*$BW$12+
INDEX($A34:$BM34,,$BV$15)*$BW$15+
INDEX($A34:$BM34,,$BV$16)*$BW$16+
INDEX($A34:$BM34,,$BV$17)*$BW$17+
INDEX($A34:$BM34,,$BV$18)*$BW$18+
INDEX($A34:$BM34,,$BV$19)*$BW$19+
INDEX($A34:$BM34,,$BV$20)*$BW$20+
INDEX($A34:$BM34,,$BV$21)*$BW$21+
INDEX($A34:$BM34,,$BV$22)*$BW$22+
INDEX($A34:$BM34,,$BV$23)*$BW$23+
INDEX($A34:$BM34,,$BV$25)*$BW$25+
INDEX($A34:$BM34,,$BV$26)*$BW$26+
INDEX($A34:$BM34,,$BV$27)*$BW$27+
$BN34)),
$BN34-100)</f>
        <v>82.694330000000022</v>
      </c>
      <c r="AT34" t="str">
        <f t="shared" si="3"/>
        <v/>
      </c>
      <c r="AU34" t="str">
        <f t="shared" si="4"/>
        <v/>
      </c>
      <c r="AV34" s="430">
        <f>IFERROR(
IF(AT34="",-100,
IF($BV$2&gt;0, INDEX(Beersheet!$A:$U,MATCH(AT34,INDEX(Beersheet!$A:$U,0,FFARawStatProjections!$BV$2),0),$BV$3)+$BN34,
INDEX($A34:$BM34,,$BV$12)*$BW$12+
INDEX($A34:$BM34,,$BV$15)*$BW$15+
INDEX($A34:$BM34,,$BV$16)*$BW$16+
INDEX($A34:$BM34,,$BV$17)*$BW$17+
INDEX($A34:$BM34,,$BV$18)*$BW$18+
INDEX($A34:$BM34,,$BV$19)*$BW$19+
INDEX($A34:$BM34,,$BV$20)*$BW$20+
INDEX($A34:$BM34,,$BV$21)*$BW$21+
INDEX($A34:$BM34,,$BV$22)*$BW$22+
INDEX($A34:$BM34,,$BV$23)*$BW$23+
INDEX($A34:$BM34,,$BV$25)*$BW$25+
INDEX($A34:$BM34,,$BV$26)*$BW$26+
INDEX($A34:$BM34,,$BV$27)*$BW$27+
$BN34)),
$BN34-100)</f>
        <v>-100</v>
      </c>
      <c r="AX34" t="str">
        <f t="shared" si="5"/>
        <v/>
      </c>
      <c r="AY34" t="str">
        <f t="shared" si="6"/>
        <v/>
      </c>
      <c r="AZ34" s="430">
        <f>IFERROR(
IF(AX34="",-100,
IF($BV$2&gt;0, INDEX(Beersheet!$A:$U,MATCH(AX34,INDEX(Beersheet!$A:$U,0,FFARawStatProjections!$BV$2),0),$BV$3)+$BN34,
INDEX($A34:$BM34,,$BV$12)*$BW$12+
INDEX($A34:$BM34,,$BV$15)*$BW$15+
INDEX($A34:$BM34,,$BV$16)*$BW$16+
INDEX($A34:$BM34,,$BV$17)*$BW$17+
INDEX($A34:$BM34,,$BV$18)*$BW$18+
INDEX($A34:$BM34,,$BV$19)*$BW$19+
INDEX($A34:$BM34,,$BV$20)*$BW$20+
INDEX($A34:$BM34,,$BV$21)*$BW$21+
INDEX($A34:$BM34,,$BV$22)*$BW$22+
INDEX($A34:$BM34,,$BV$23)*$BW$23+
INDEX($A34:$BM34,,$BV$25)*$BW$25+
INDEX($A34:$BM34,,$BV$26)*$BW$26+
INDEX($A34:$BM34,,$BV$27)*$BW$27+
$BN34)),
$BN34-100)</f>
        <v>-100</v>
      </c>
      <c r="BB34" t="str">
        <f t="shared" si="7"/>
        <v/>
      </c>
      <c r="BC34" t="str">
        <f t="shared" si="8"/>
        <v/>
      </c>
      <c r="BD34" s="430">
        <f>IFERROR(
IF(BB34="",-100,
IF($BV$2&gt;0, INDEX(Beersheet!$A:$U,MATCH(BB34,INDEX(Beersheet!$A:$U,0,FFARawStatProjections!$BV$2),0),$BV$3)+$BN34,
INDEX($A34:$BM34,,$BV$12)*$BW$12+
INDEX($A34:$BM34,,$BV$15)*$BW$15+
INDEX($A34:$BM34,,$BV$16)*$BW$16+
INDEX($A34:$BM34,,$BV$17)*$BW$17+
INDEX($A34:$BM34,,$BV$18)*$BW$18+
INDEX($A34:$BM34,,$BV$19)*$BW$19+
INDEX($A34:$BM34,,$BV$20)*$BW$20+
INDEX($A34:$BM34,,$BV$21)*$BW$21+
INDEX($A34:$BM34,,$BV$22)*$BW$22+
INDEX($A34:$BM34,,$BV$23)*$BW$23+
INDEX($A34:$BM34,,$BV$25)*$BW$25+
INDEX($A34:$BM34,,$BV$26)*$BW$26+
INDEX($A34:$BM34,,$BV$27)*$BW$27+
$BN34)),
$BN34-100)</f>
        <v>-100</v>
      </c>
      <c r="BF34" t="str">
        <f t="shared" si="9"/>
        <v/>
      </c>
      <c r="BG34" t="str">
        <f t="shared" si="10"/>
        <v/>
      </c>
      <c r="BH34">
        <f t="shared" si="11"/>
        <v>0</v>
      </c>
      <c r="BJ34" t="str">
        <f t="shared" si="12"/>
        <v/>
      </c>
      <c r="BL34">
        <f t="shared" si="1"/>
        <v>0</v>
      </c>
      <c r="BN34">
        <v>3.3E-4</v>
      </c>
      <c r="BS34" s="4" t="s">
        <v>2091</v>
      </c>
      <c r="BU34" t="s">
        <v>2138</v>
      </c>
      <c r="BV34">
        <f t="shared" si="13"/>
        <v>28</v>
      </c>
      <c r="BW34">
        <v>2</v>
      </c>
    </row>
    <row r="35" spans="1:75" ht="15.75" thickBot="1" x14ac:dyDescent="0.3">
      <c r="A35" s="569" t="s">
        <v>2160</v>
      </c>
      <c r="B35" s="569" t="s">
        <v>149</v>
      </c>
      <c r="C35" s="569" t="s">
        <v>1</v>
      </c>
      <c r="D35" s="574">
        <v>5</v>
      </c>
      <c r="E35" s="569"/>
      <c r="F35" s="569"/>
      <c r="G35" s="569">
        <v>228.9</v>
      </c>
      <c r="H35" s="569">
        <v>138.19999999999999</v>
      </c>
      <c r="I35" s="574">
        <v>6.5</v>
      </c>
      <c r="J35" s="574">
        <v>6</v>
      </c>
      <c r="K35" s="574">
        <v>1379.2</v>
      </c>
      <c r="L35" s="574">
        <v>0</v>
      </c>
      <c r="M35" s="574">
        <v>0</v>
      </c>
      <c r="N35" s="574">
        <v>0</v>
      </c>
      <c r="O35" s="574">
        <v>18.8</v>
      </c>
      <c r="P35" s="574">
        <v>0.2</v>
      </c>
      <c r="Q35" s="574">
        <v>50.5</v>
      </c>
      <c r="R35" s="569"/>
      <c r="S35" s="569"/>
      <c r="T35" s="569"/>
      <c r="U35" s="569"/>
      <c r="V35" s="569"/>
      <c r="W35" s="569"/>
      <c r="X35" s="569"/>
      <c r="Y35" s="569"/>
      <c r="Z35" s="569"/>
      <c r="AA35" s="569"/>
      <c r="AB35" s="569"/>
      <c r="AC35" s="569"/>
      <c r="AD35" s="569"/>
      <c r="AE35" s="569"/>
      <c r="AF35" s="569"/>
      <c r="AG35" s="569"/>
      <c r="AH35" s="569"/>
      <c r="AI35" s="569"/>
      <c r="AJ35" s="569"/>
      <c r="AK35" s="569"/>
      <c r="AL35" s="569"/>
      <c r="AM35" s="569"/>
      <c r="AN35" s="574">
        <v>76.900000000000006</v>
      </c>
      <c r="AO35">
        <v>34</v>
      </c>
      <c r="AP35" t="str">
        <f t="shared" si="14"/>
        <v>Kyle Trask</v>
      </c>
      <c r="AQ35" t="str">
        <f t="shared" si="2"/>
        <v>TB</v>
      </c>
      <c r="AR35" s="430">
        <f>IFERROR(
IF(AP35="",-100,
IF($BV$2&gt;0, INDEX(Beersheet!$A:$U,MATCH(AP35,INDEX(Beersheet!$A:$U,0,FFARawStatProjections!$BV$2),0),$BV$3)+$BN35,
INDEX($A35:$BM35,,$BV$12)*$BW$12+
INDEX($A35:$BM35,,$BV$15)*$BW$15+
INDEX($A35:$BM35,,$BV$16)*$BW$16+
INDEX($A35:$BM35,,$BV$17)*$BW$17+
INDEX($A35:$BM35,,$BV$18)*$BW$18+
INDEX($A35:$BM35,,$BV$19)*$BW$19+
INDEX($A35:$BM35,,$BV$20)*$BW$20+
INDEX($A35:$BM35,,$BV$21)*$BW$21+
INDEX($A35:$BM35,,$BV$22)*$BW$22+
INDEX($A35:$BM35,,$BV$23)*$BW$23+
INDEX($A35:$BM35,,$BV$25)*$BW$25+
INDEX($A35:$BM35,,$BV$26)*$BW$26+
INDEX($A35:$BM35,,$BV$27)*$BW$27+
$BN35)),
$BN35-100)</f>
        <v>78.918340000000001</v>
      </c>
      <c r="AT35" t="str">
        <f t="shared" si="3"/>
        <v/>
      </c>
      <c r="AU35" t="str">
        <f t="shared" si="4"/>
        <v/>
      </c>
      <c r="AV35" s="430">
        <f>IFERROR(
IF(AT35="",-100,
IF($BV$2&gt;0, INDEX(Beersheet!$A:$U,MATCH(AT35,INDEX(Beersheet!$A:$U,0,FFARawStatProjections!$BV$2),0),$BV$3)+$BN35,
INDEX($A35:$BM35,,$BV$12)*$BW$12+
INDEX($A35:$BM35,,$BV$15)*$BW$15+
INDEX($A35:$BM35,,$BV$16)*$BW$16+
INDEX($A35:$BM35,,$BV$17)*$BW$17+
INDEX($A35:$BM35,,$BV$18)*$BW$18+
INDEX($A35:$BM35,,$BV$19)*$BW$19+
INDEX($A35:$BM35,,$BV$20)*$BW$20+
INDEX($A35:$BM35,,$BV$21)*$BW$21+
INDEX($A35:$BM35,,$BV$22)*$BW$22+
INDEX($A35:$BM35,,$BV$23)*$BW$23+
INDEX($A35:$BM35,,$BV$25)*$BW$25+
INDEX($A35:$BM35,,$BV$26)*$BW$26+
INDEX($A35:$BM35,,$BV$27)*$BW$27+
$BN35)),
$BN35-100)</f>
        <v>-100</v>
      </c>
      <c r="AX35" t="str">
        <f t="shared" si="5"/>
        <v/>
      </c>
      <c r="AY35" t="str">
        <f t="shared" si="6"/>
        <v/>
      </c>
      <c r="AZ35" s="430">
        <f>IFERROR(
IF(AX35="",-100,
IF($BV$2&gt;0, INDEX(Beersheet!$A:$U,MATCH(AX35,INDEX(Beersheet!$A:$U,0,FFARawStatProjections!$BV$2),0),$BV$3)+$BN35,
INDEX($A35:$BM35,,$BV$12)*$BW$12+
INDEX($A35:$BM35,,$BV$15)*$BW$15+
INDEX($A35:$BM35,,$BV$16)*$BW$16+
INDEX($A35:$BM35,,$BV$17)*$BW$17+
INDEX($A35:$BM35,,$BV$18)*$BW$18+
INDEX($A35:$BM35,,$BV$19)*$BW$19+
INDEX($A35:$BM35,,$BV$20)*$BW$20+
INDEX($A35:$BM35,,$BV$21)*$BW$21+
INDEX($A35:$BM35,,$BV$22)*$BW$22+
INDEX($A35:$BM35,,$BV$23)*$BW$23+
INDEX($A35:$BM35,,$BV$25)*$BW$25+
INDEX($A35:$BM35,,$BV$26)*$BW$26+
INDEX($A35:$BM35,,$BV$27)*$BW$27+
$BN35)),
$BN35-100)</f>
        <v>-100</v>
      </c>
      <c r="BB35" t="str">
        <f t="shared" si="7"/>
        <v/>
      </c>
      <c r="BC35" t="str">
        <f t="shared" si="8"/>
        <v/>
      </c>
      <c r="BD35" s="430">
        <f>IFERROR(
IF(BB35="",-100,
IF($BV$2&gt;0, INDEX(Beersheet!$A:$U,MATCH(BB35,INDEX(Beersheet!$A:$U,0,FFARawStatProjections!$BV$2),0),$BV$3)+$BN35,
INDEX($A35:$BM35,,$BV$12)*$BW$12+
INDEX($A35:$BM35,,$BV$15)*$BW$15+
INDEX($A35:$BM35,,$BV$16)*$BW$16+
INDEX($A35:$BM35,,$BV$17)*$BW$17+
INDEX($A35:$BM35,,$BV$18)*$BW$18+
INDEX($A35:$BM35,,$BV$19)*$BW$19+
INDEX($A35:$BM35,,$BV$20)*$BW$20+
INDEX($A35:$BM35,,$BV$21)*$BW$21+
INDEX($A35:$BM35,,$BV$22)*$BW$22+
INDEX($A35:$BM35,,$BV$23)*$BW$23+
INDEX($A35:$BM35,,$BV$25)*$BW$25+
INDEX($A35:$BM35,,$BV$26)*$BW$26+
INDEX($A35:$BM35,,$BV$27)*$BW$27+
$BN35)),
$BN35-100)</f>
        <v>-100</v>
      </c>
      <c r="BF35" t="str">
        <f t="shared" si="9"/>
        <v/>
      </c>
      <c r="BG35" t="str">
        <f t="shared" si="10"/>
        <v/>
      </c>
      <c r="BH35">
        <f t="shared" si="11"/>
        <v>0</v>
      </c>
      <c r="BJ35" t="str">
        <f t="shared" si="12"/>
        <v/>
      </c>
      <c r="BL35">
        <f t="shared" si="1"/>
        <v>0</v>
      </c>
      <c r="BN35">
        <v>3.4000000000000002E-4</v>
      </c>
      <c r="BS35" s="4" t="s">
        <v>2534</v>
      </c>
      <c r="BU35" t="s">
        <v>2049</v>
      </c>
      <c r="BV35">
        <f t="shared" si="13"/>
        <v>29</v>
      </c>
      <c r="BW35">
        <v>6</v>
      </c>
    </row>
    <row r="36" spans="1:75" ht="15.75" thickBot="1" x14ac:dyDescent="0.3">
      <c r="A36" s="569" t="s">
        <v>2164</v>
      </c>
      <c r="B36" s="569" t="s">
        <v>2272</v>
      </c>
      <c r="C36" s="569" t="s">
        <v>1</v>
      </c>
      <c r="D36" s="574">
        <v>14</v>
      </c>
      <c r="E36" s="569"/>
      <c r="F36" s="569"/>
      <c r="G36" s="569">
        <v>181.1</v>
      </c>
      <c r="H36" s="569">
        <v>118.2</v>
      </c>
      <c r="I36" s="574">
        <v>4.7</v>
      </c>
      <c r="J36" s="574">
        <v>4.7</v>
      </c>
      <c r="K36" s="574">
        <v>1264.0999999999999</v>
      </c>
      <c r="L36" s="574">
        <v>0</v>
      </c>
      <c r="M36" s="574">
        <v>0</v>
      </c>
      <c r="N36" s="574">
        <v>0</v>
      </c>
      <c r="O36" s="574">
        <v>19.100000000000001</v>
      </c>
      <c r="P36" s="574">
        <v>0.5</v>
      </c>
      <c r="Q36" s="574">
        <v>63.3</v>
      </c>
      <c r="R36" s="569"/>
      <c r="S36" s="569"/>
      <c r="T36" s="569"/>
      <c r="U36" s="569"/>
      <c r="V36" s="569"/>
      <c r="W36" s="569"/>
      <c r="X36" s="569"/>
      <c r="Y36" s="569"/>
      <c r="Z36" s="569"/>
      <c r="AA36" s="569"/>
      <c r="AB36" s="569"/>
      <c r="AC36" s="569"/>
      <c r="AD36" s="569"/>
      <c r="AE36" s="569"/>
      <c r="AF36" s="569"/>
      <c r="AG36" s="569"/>
      <c r="AH36" s="569"/>
      <c r="AI36" s="569"/>
      <c r="AJ36" s="569"/>
      <c r="AK36" s="569"/>
      <c r="AL36" s="569"/>
      <c r="AM36" s="569"/>
      <c r="AN36" s="574">
        <v>71.599999999999994</v>
      </c>
      <c r="AO36">
        <v>35</v>
      </c>
      <c r="AP36" t="str">
        <f t="shared" si="14"/>
        <v>Colt McCoy</v>
      </c>
      <c r="AQ36" t="str">
        <f t="shared" si="2"/>
        <v>AZ</v>
      </c>
      <c r="AR36" s="430">
        <f>IFERROR(
IF(AP36="",-100,
IF($BV$2&gt;0, INDEX(Beersheet!$A:$U,MATCH(AP36,INDEX(Beersheet!$A:$U,0,FFARawStatProjections!$BV$2),0),$BV$3)+$BN36,
INDEX($A36:$BM36,,$BV$12)*$BW$12+
INDEX($A36:$BM36,,$BV$15)*$BW$15+
INDEX($A36:$BM36,,$BV$16)*$BW$16+
INDEX($A36:$BM36,,$BV$17)*$BW$17+
INDEX($A36:$BM36,,$BV$18)*$BW$18+
INDEX($A36:$BM36,,$BV$19)*$BW$19+
INDEX($A36:$BM36,,$BV$20)*$BW$20+
INDEX($A36:$BM36,,$BV$21)*$BW$21+
INDEX($A36:$BM36,,$BV$22)*$BW$22+
INDEX($A36:$BM36,,$BV$23)*$BW$23+
INDEX($A36:$BM36,,$BV$25)*$BW$25+
INDEX($A36:$BM36,,$BV$26)*$BW$26+
INDEX($A36:$BM36,,$BV$27)*$BW$27+
$BN36)),
$BN36-100)</f>
        <v>73.994349999999997</v>
      </c>
      <c r="AT36" t="str">
        <f t="shared" si="3"/>
        <v/>
      </c>
      <c r="AU36" t="str">
        <f t="shared" si="4"/>
        <v/>
      </c>
      <c r="AV36" s="430">
        <f>IFERROR(
IF(AT36="",-100,
IF($BV$2&gt;0, INDEX(Beersheet!$A:$U,MATCH(AT36,INDEX(Beersheet!$A:$U,0,FFARawStatProjections!$BV$2),0),$BV$3)+$BN36,
INDEX($A36:$BM36,,$BV$12)*$BW$12+
INDEX($A36:$BM36,,$BV$15)*$BW$15+
INDEX($A36:$BM36,,$BV$16)*$BW$16+
INDEX($A36:$BM36,,$BV$17)*$BW$17+
INDEX($A36:$BM36,,$BV$18)*$BW$18+
INDEX($A36:$BM36,,$BV$19)*$BW$19+
INDEX($A36:$BM36,,$BV$20)*$BW$20+
INDEX($A36:$BM36,,$BV$21)*$BW$21+
INDEX($A36:$BM36,,$BV$22)*$BW$22+
INDEX($A36:$BM36,,$BV$23)*$BW$23+
INDEX($A36:$BM36,,$BV$25)*$BW$25+
INDEX($A36:$BM36,,$BV$26)*$BW$26+
INDEX($A36:$BM36,,$BV$27)*$BW$27+
$BN36)),
$BN36-100)</f>
        <v>-100</v>
      </c>
      <c r="AX36" t="str">
        <f t="shared" si="5"/>
        <v/>
      </c>
      <c r="AY36" t="str">
        <f t="shared" si="6"/>
        <v/>
      </c>
      <c r="AZ36" s="430">
        <f>IFERROR(
IF(AX36="",-100,
IF($BV$2&gt;0, INDEX(Beersheet!$A:$U,MATCH(AX36,INDEX(Beersheet!$A:$U,0,FFARawStatProjections!$BV$2),0),$BV$3)+$BN36,
INDEX($A36:$BM36,,$BV$12)*$BW$12+
INDEX($A36:$BM36,,$BV$15)*$BW$15+
INDEX($A36:$BM36,,$BV$16)*$BW$16+
INDEX($A36:$BM36,,$BV$17)*$BW$17+
INDEX($A36:$BM36,,$BV$18)*$BW$18+
INDEX($A36:$BM36,,$BV$19)*$BW$19+
INDEX($A36:$BM36,,$BV$20)*$BW$20+
INDEX($A36:$BM36,,$BV$21)*$BW$21+
INDEX($A36:$BM36,,$BV$22)*$BW$22+
INDEX($A36:$BM36,,$BV$23)*$BW$23+
INDEX($A36:$BM36,,$BV$25)*$BW$25+
INDEX($A36:$BM36,,$BV$26)*$BW$26+
INDEX($A36:$BM36,,$BV$27)*$BW$27+
$BN36)),
$BN36-100)</f>
        <v>-100</v>
      </c>
      <c r="BB36" t="str">
        <f t="shared" si="7"/>
        <v/>
      </c>
      <c r="BC36" t="str">
        <f t="shared" si="8"/>
        <v/>
      </c>
      <c r="BD36" s="430">
        <f>IFERROR(
IF(BB36="",-100,
IF($BV$2&gt;0, INDEX(Beersheet!$A:$U,MATCH(BB36,INDEX(Beersheet!$A:$U,0,FFARawStatProjections!$BV$2),0),$BV$3)+$BN36,
INDEX($A36:$BM36,,$BV$12)*$BW$12+
INDEX($A36:$BM36,,$BV$15)*$BW$15+
INDEX($A36:$BM36,,$BV$16)*$BW$16+
INDEX($A36:$BM36,,$BV$17)*$BW$17+
INDEX($A36:$BM36,,$BV$18)*$BW$18+
INDEX($A36:$BM36,,$BV$19)*$BW$19+
INDEX($A36:$BM36,,$BV$20)*$BW$20+
INDEX($A36:$BM36,,$BV$21)*$BW$21+
INDEX($A36:$BM36,,$BV$22)*$BW$22+
INDEX($A36:$BM36,,$BV$23)*$BW$23+
INDEX($A36:$BM36,,$BV$25)*$BW$25+
INDEX($A36:$BM36,,$BV$26)*$BW$26+
INDEX($A36:$BM36,,$BV$27)*$BW$27+
$BN36)),
$BN36-100)</f>
        <v>-100</v>
      </c>
      <c r="BF36" t="str">
        <f t="shared" si="9"/>
        <v/>
      </c>
      <c r="BG36" t="str">
        <f t="shared" si="10"/>
        <v/>
      </c>
      <c r="BH36">
        <f t="shared" si="11"/>
        <v>0</v>
      </c>
      <c r="BJ36" t="str">
        <f t="shared" si="12"/>
        <v/>
      </c>
      <c r="BL36">
        <f t="shared" si="1"/>
        <v>0</v>
      </c>
      <c r="BN36">
        <v>3.5E-4</v>
      </c>
      <c r="BS36" s="4" t="s">
        <v>2223</v>
      </c>
      <c r="BU36" t="s">
        <v>2050</v>
      </c>
      <c r="BV36">
        <f t="shared" si="13"/>
        <v>30</v>
      </c>
      <c r="BW36">
        <v>1</v>
      </c>
    </row>
    <row r="37" spans="1:75" ht="15.75" thickBot="1" x14ac:dyDescent="0.3">
      <c r="A37" s="569" t="s">
        <v>2394</v>
      </c>
      <c r="B37" s="569" t="s">
        <v>163</v>
      </c>
      <c r="C37" s="569" t="s">
        <v>1</v>
      </c>
      <c r="D37" s="574">
        <v>7</v>
      </c>
      <c r="E37" s="569"/>
      <c r="F37" s="569"/>
      <c r="G37" s="569">
        <v>129.5</v>
      </c>
      <c r="H37" s="569">
        <v>79.8</v>
      </c>
      <c r="I37" s="574">
        <v>4.5</v>
      </c>
      <c r="J37" s="574">
        <v>3.9</v>
      </c>
      <c r="K37" s="574">
        <v>946.7</v>
      </c>
      <c r="L37" s="574">
        <v>0</v>
      </c>
      <c r="M37" s="574">
        <v>0</v>
      </c>
      <c r="N37" s="574">
        <v>0</v>
      </c>
      <c r="O37" s="574">
        <v>17.8</v>
      </c>
      <c r="P37" s="574">
        <v>0.3</v>
      </c>
      <c r="Q37" s="574">
        <v>59.4</v>
      </c>
      <c r="R37" s="569"/>
      <c r="S37" s="569"/>
      <c r="T37" s="569"/>
      <c r="U37" s="569"/>
      <c r="V37" s="569"/>
      <c r="W37" s="569"/>
      <c r="X37" s="569"/>
      <c r="Y37" s="569"/>
      <c r="Z37" s="569"/>
      <c r="AA37" s="569"/>
      <c r="AB37" s="569"/>
      <c r="AC37" s="569"/>
      <c r="AD37" s="569"/>
      <c r="AE37" s="569"/>
      <c r="AF37" s="569"/>
      <c r="AG37" s="569"/>
      <c r="AH37" s="569"/>
      <c r="AI37" s="569"/>
      <c r="AJ37" s="569"/>
      <c r="AK37" s="569"/>
      <c r="AL37" s="569"/>
      <c r="AM37" s="569"/>
      <c r="AN37" s="574">
        <v>55</v>
      </c>
      <c r="AO37">
        <v>36</v>
      </c>
      <c r="AP37" t="str">
        <f t="shared" si="14"/>
        <v>Will Levis</v>
      </c>
      <c r="AQ37" t="str">
        <f t="shared" si="2"/>
        <v>TEN</v>
      </c>
      <c r="AR37" s="430">
        <f>IFERROR(
IF(AP37="",-100,
IF($BV$2&gt;0, INDEX(Beersheet!$A:$U,MATCH(AP37,INDEX(Beersheet!$A:$U,0,FFARawStatProjections!$BV$2),0),$BV$3)+$BN37,
INDEX($A37:$BM37,,$BV$12)*$BW$12+
INDEX($A37:$BM37,,$BV$15)*$BW$15+
INDEX($A37:$BM37,,$BV$16)*$BW$16+
INDEX($A37:$BM37,,$BV$17)*$BW$17+
INDEX($A37:$BM37,,$BV$18)*$BW$18+
INDEX($A37:$BM37,,$BV$19)*$BW$19+
INDEX($A37:$BM37,,$BV$20)*$BW$20+
INDEX($A37:$BM37,,$BV$21)*$BW$21+
INDEX($A37:$BM37,,$BV$22)*$BW$22+
INDEX($A37:$BM37,,$BV$23)*$BW$23+
INDEX($A37:$BM37,,$BV$25)*$BW$25+
INDEX($A37:$BM37,,$BV$26)*$BW$26+
INDEX($A37:$BM37,,$BV$27)*$BW$27+
$BN37)),
$BN37-100)</f>
        <v>56.708359999999999</v>
      </c>
      <c r="AT37" t="str">
        <f t="shared" si="3"/>
        <v/>
      </c>
      <c r="AU37" t="str">
        <f t="shared" si="4"/>
        <v/>
      </c>
      <c r="AV37" s="430">
        <f>IFERROR(
IF(AT37="",-100,
IF($BV$2&gt;0, INDEX(Beersheet!$A:$U,MATCH(AT37,INDEX(Beersheet!$A:$U,0,FFARawStatProjections!$BV$2),0),$BV$3)+$BN37,
INDEX($A37:$BM37,,$BV$12)*$BW$12+
INDEX($A37:$BM37,,$BV$15)*$BW$15+
INDEX($A37:$BM37,,$BV$16)*$BW$16+
INDEX($A37:$BM37,,$BV$17)*$BW$17+
INDEX($A37:$BM37,,$BV$18)*$BW$18+
INDEX($A37:$BM37,,$BV$19)*$BW$19+
INDEX($A37:$BM37,,$BV$20)*$BW$20+
INDEX($A37:$BM37,,$BV$21)*$BW$21+
INDEX($A37:$BM37,,$BV$22)*$BW$22+
INDEX($A37:$BM37,,$BV$23)*$BW$23+
INDEX($A37:$BM37,,$BV$25)*$BW$25+
INDEX($A37:$BM37,,$BV$26)*$BW$26+
INDEX($A37:$BM37,,$BV$27)*$BW$27+
$BN37)),
$BN37-100)</f>
        <v>-100</v>
      </c>
      <c r="AX37" t="str">
        <f t="shared" si="5"/>
        <v/>
      </c>
      <c r="AY37" t="str">
        <f t="shared" si="6"/>
        <v/>
      </c>
      <c r="AZ37" s="430">
        <f>IFERROR(
IF(AX37="",-100,
IF($BV$2&gt;0, INDEX(Beersheet!$A:$U,MATCH(AX37,INDEX(Beersheet!$A:$U,0,FFARawStatProjections!$BV$2),0),$BV$3)+$BN37,
INDEX($A37:$BM37,,$BV$12)*$BW$12+
INDEX($A37:$BM37,,$BV$15)*$BW$15+
INDEX($A37:$BM37,,$BV$16)*$BW$16+
INDEX($A37:$BM37,,$BV$17)*$BW$17+
INDEX($A37:$BM37,,$BV$18)*$BW$18+
INDEX($A37:$BM37,,$BV$19)*$BW$19+
INDEX($A37:$BM37,,$BV$20)*$BW$20+
INDEX($A37:$BM37,,$BV$21)*$BW$21+
INDEX($A37:$BM37,,$BV$22)*$BW$22+
INDEX($A37:$BM37,,$BV$23)*$BW$23+
INDEX($A37:$BM37,,$BV$25)*$BW$25+
INDEX($A37:$BM37,,$BV$26)*$BW$26+
INDEX($A37:$BM37,,$BV$27)*$BW$27+
$BN37)),
$BN37-100)</f>
        <v>-100</v>
      </c>
      <c r="BB37" t="str">
        <f t="shared" si="7"/>
        <v/>
      </c>
      <c r="BC37" t="str">
        <f t="shared" si="8"/>
        <v/>
      </c>
      <c r="BD37" s="430">
        <f>IFERROR(
IF(BB37="",-100,
IF($BV$2&gt;0, INDEX(Beersheet!$A:$U,MATCH(BB37,INDEX(Beersheet!$A:$U,0,FFARawStatProjections!$BV$2),0),$BV$3)+$BN37,
INDEX($A37:$BM37,,$BV$12)*$BW$12+
INDEX($A37:$BM37,,$BV$15)*$BW$15+
INDEX($A37:$BM37,,$BV$16)*$BW$16+
INDEX($A37:$BM37,,$BV$17)*$BW$17+
INDEX($A37:$BM37,,$BV$18)*$BW$18+
INDEX($A37:$BM37,,$BV$19)*$BW$19+
INDEX($A37:$BM37,,$BV$20)*$BW$20+
INDEX($A37:$BM37,,$BV$21)*$BW$21+
INDEX($A37:$BM37,,$BV$22)*$BW$22+
INDEX($A37:$BM37,,$BV$23)*$BW$23+
INDEX($A37:$BM37,,$BV$25)*$BW$25+
INDEX($A37:$BM37,,$BV$26)*$BW$26+
INDEX($A37:$BM37,,$BV$27)*$BW$27+
$BN37)),
$BN37-100)</f>
        <v>-100</v>
      </c>
      <c r="BF37" t="str">
        <f t="shared" si="9"/>
        <v/>
      </c>
      <c r="BG37" t="str">
        <f t="shared" si="10"/>
        <v/>
      </c>
      <c r="BH37">
        <f t="shared" si="11"/>
        <v>0</v>
      </c>
      <c r="BJ37" t="str">
        <f t="shared" si="12"/>
        <v/>
      </c>
      <c r="BL37">
        <f t="shared" si="1"/>
        <v>0</v>
      </c>
      <c r="BN37">
        <v>3.6000000000000002E-4</v>
      </c>
      <c r="BS37" s="4" t="s">
        <v>2533</v>
      </c>
      <c r="BU37" t="s">
        <v>2051</v>
      </c>
      <c r="BV37">
        <f t="shared" si="13"/>
        <v>31</v>
      </c>
      <c r="BW37">
        <v>3</v>
      </c>
    </row>
    <row r="38" spans="1:75" ht="15.75" thickBot="1" x14ac:dyDescent="0.3">
      <c r="A38" s="569" t="s">
        <v>2157</v>
      </c>
      <c r="B38" s="569" t="s">
        <v>155</v>
      </c>
      <c r="C38" s="569" t="s">
        <v>1</v>
      </c>
      <c r="D38" s="574">
        <v>9</v>
      </c>
      <c r="E38" s="569"/>
      <c r="F38" s="569"/>
      <c r="G38" s="569">
        <v>126.5</v>
      </c>
      <c r="H38" s="569">
        <v>77.8</v>
      </c>
      <c r="I38" s="574">
        <v>3.5</v>
      </c>
      <c r="J38" s="574">
        <v>3.1</v>
      </c>
      <c r="K38" s="574">
        <v>802.5</v>
      </c>
      <c r="L38" s="574">
        <v>0</v>
      </c>
      <c r="M38" s="574">
        <v>0</v>
      </c>
      <c r="N38" s="574">
        <v>0</v>
      </c>
      <c r="O38" s="574">
        <v>23.1</v>
      </c>
      <c r="P38" s="574">
        <v>0.6</v>
      </c>
      <c r="Q38" s="574">
        <v>94.2</v>
      </c>
      <c r="R38" s="569"/>
      <c r="S38" s="569"/>
      <c r="T38" s="569"/>
      <c r="U38" s="569"/>
      <c r="V38" s="569"/>
      <c r="W38" s="569"/>
      <c r="X38" s="569"/>
      <c r="Y38" s="569"/>
      <c r="Z38" s="569"/>
      <c r="AA38" s="569"/>
      <c r="AB38" s="569"/>
      <c r="AC38" s="569"/>
      <c r="AD38" s="569"/>
      <c r="AE38" s="569"/>
      <c r="AF38" s="569"/>
      <c r="AG38" s="569"/>
      <c r="AH38" s="569"/>
      <c r="AI38" s="569"/>
      <c r="AJ38" s="569"/>
      <c r="AK38" s="569"/>
      <c r="AL38" s="569"/>
      <c r="AM38" s="569"/>
      <c r="AN38" s="574">
        <v>52.3</v>
      </c>
      <c r="AO38">
        <v>37</v>
      </c>
      <c r="AP38" t="str">
        <f t="shared" si="14"/>
        <v>Trey Lance</v>
      </c>
      <c r="AQ38" t="str">
        <f t="shared" si="2"/>
        <v>SF</v>
      </c>
      <c r="AR38" s="430">
        <f>IFERROR(
IF(AP38="",-100,
IF($BV$2&gt;0, INDEX(Beersheet!$A:$U,MATCH(AP38,INDEX(Beersheet!$A:$U,0,FFARawStatProjections!$BV$2),0),$BV$3)+$BN38,
INDEX($A38:$BM38,,$BV$12)*$BW$12+
INDEX($A38:$BM38,,$BV$15)*$BW$15+
INDEX($A38:$BM38,,$BV$16)*$BW$16+
INDEX($A38:$BM38,,$BV$17)*$BW$17+
INDEX($A38:$BM38,,$BV$18)*$BW$18+
INDEX($A38:$BM38,,$BV$19)*$BW$19+
INDEX($A38:$BM38,,$BV$20)*$BW$20+
INDEX($A38:$BM38,,$BV$21)*$BW$21+
INDEX($A38:$BM38,,$BV$22)*$BW$22+
INDEX($A38:$BM38,,$BV$23)*$BW$23+
INDEX($A38:$BM38,,$BV$25)*$BW$25+
INDEX($A38:$BM38,,$BV$26)*$BW$26+
INDEX($A38:$BM38,,$BV$27)*$BW$27+
$BN38)),
$BN38-100)</f>
        <v>54.02037</v>
      </c>
      <c r="AT38" t="str">
        <f t="shared" si="3"/>
        <v/>
      </c>
      <c r="AU38" t="str">
        <f t="shared" si="4"/>
        <v/>
      </c>
      <c r="AV38" s="430">
        <f>IFERROR(
IF(AT38="",-100,
IF($BV$2&gt;0, INDEX(Beersheet!$A:$U,MATCH(AT38,INDEX(Beersheet!$A:$U,0,FFARawStatProjections!$BV$2),0),$BV$3)+$BN38,
INDEX($A38:$BM38,,$BV$12)*$BW$12+
INDEX($A38:$BM38,,$BV$15)*$BW$15+
INDEX($A38:$BM38,,$BV$16)*$BW$16+
INDEX($A38:$BM38,,$BV$17)*$BW$17+
INDEX($A38:$BM38,,$BV$18)*$BW$18+
INDEX($A38:$BM38,,$BV$19)*$BW$19+
INDEX($A38:$BM38,,$BV$20)*$BW$20+
INDEX($A38:$BM38,,$BV$21)*$BW$21+
INDEX($A38:$BM38,,$BV$22)*$BW$22+
INDEX($A38:$BM38,,$BV$23)*$BW$23+
INDEX($A38:$BM38,,$BV$25)*$BW$25+
INDEX($A38:$BM38,,$BV$26)*$BW$26+
INDEX($A38:$BM38,,$BV$27)*$BW$27+
$BN38)),
$BN38-100)</f>
        <v>-100</v>
      </c>
      <c r="AX38" t="str">
        <f t="shared" si="5"/>
        <v/>
      </c>
      <c r="AY38" t="str">
        <f t="shared" si="6"/>
        <v/>
      </c>
      <c r="AZ38" s="430">
        <f>IFERROR(
IF(AX38="",-100,
IF($BV$2&gt;0, INDEX(Beersheet!$A:$U,MATCH(AX38,INDEX(Beersheet!$A:$U,0,FFARawStatProjections!$BV$2),0),$BV$3)+$BN38,
INDEX($A38:$BM38,,$BV$12)*$BW$12+
INDEX($A38:$BM38,,$BV$15)*$BW$15+
INDEX($A38:$BM38,,$BV$16)*$BW$16+
INDEX($A38:$BM38,,$BV$17)*$BW$17+
INDEX($A38:$BM38,,$BV$18)*$BW$18+
INDEX($A38:$BM38,,$BV$19)*$BW$19+
INDEX($A38:$BM38,,$BV$20)*$BW$20+
INDEX($A38:$BM38,,$BV$21)*$BW$21+
INDEX($A38:$BM38,,$BV$22)*$BW$22+
INDEX($A38:$BM38,,$BV$23)*$BW$23+
INDEX($A38:$BM38,,$BV$25)*$BW$25+
INDEX($A38:$BM38,,$BV$26)*$BW$26+
INDEX($A38:$BM38,,$BV$27)*$BW$27+
$BN38)),
$BN38-100)</f>
        <v>-100</v>
      </c>
      <c r="BB38" t="str">
        <f t="shared" si="7"/>
        <v/>
      </c>
      <c r="BC38" t="str">
        <f t="shared" si="8"/>
        <v/>
      </c>
      <c r="BD38" s="430">
        <f>IFERROR(
IF(BB38="",-100,
IF($BV$2&gt;0, INDEX(Beersheet!$A:$U,MATCH(BB38,INDEX(Beersheet!$A:$U,0,FFARawStatProjections!$BV$2),0),$BV$3)+$BN38,
INDEX($A38:$BM38,,$BV$12)*$BW$12+
INDEX($A38:$BM38,,$BV$15)*$BW$15+
INDEX($A38:$BM38,,$BV$16)*$BW$16+
INDEX($A38:$BM38,,$BV$17)*$BW$17+
INDEX($A38:$BM38,,$BV$18)*$BW$18+
INDEX($A38:$BM38,,$BV$19)*$BW$19+
INDEX($A38:$BM38,,$BV$20)*$BW$20+
INDEX($A38:$BM38,,$BV$21)*$BW$21+
INDEX($A38:$BM38,,$BV$22)*$BW$22+
INDEX($A38:$BM38,,$BV$23)*$BW$23+
INDEX($A38:$BM38,,$BV$25)*$BW$25+
INDEX($A38:$BM38,,$BV$26)*$BW$26+
INDEX($A38:$BM38,,$BV$27)*$BW$27+
$BN38)),
$BN38-100)</f>
        <v>-100</v>
      </c>
      <c r="BF38" t="str">
        <f t="shared" si="9"/>
        <v/>
      </c>
      <c r="BG38" t="str">
        <f t="shared" si="10"/>
        <v/>
      </c>
      <c r="BH38">
        <f t="shared" si="11"/>
        <v>0</v>
      </c>
      <c r="BJ38" t="str">
        <f t="shared" si="12"/>
        <v/>
      </c>
      <c r="BL38">
        <f t="shared" si="1"/>
        <v>0</v>
      </c>
      <c r="BN38">
        <v>3.6999999999999999E-4</v>
      </c>
      <c r="BS38" s="4" t="s">
        <v>148</v>
      </c>
      <c r="BU38" t="s">
        <v>2052</v>
      </c>
      <c r="BV38">
        <f t="shared" si="13"/>
        <v>32</v>
      </c>
      <c r="BW38">
        <v>3</v>
      </c>
    </row>
    <row r="39" spans="1:75" ht="15.75" thickBot="1" x14ac:dyDescent="0.3">
      <c r="A39" s="569" t="s">
        <v>175</v>
      </c>
      <c r="B39" s="569" t="s">
        <v>2073</v>
      </c>
      <c r="C39" s="569" t="s">
        <v>1</v>
      </c>
      <c r="D39" s="574">
        <v>13</v>
      </c>
      <c r="E39" s="569"/>
      <c r="F39" s="569"/>
      <c r="G39" s="569">
        <v>98.1</v>
      </c>
      <c r="H39" s="569">
        <v>59.5</v>
      </c>
      <c r="I39" s="574">
        <v>4</v>
      </c>
      <c r="J39" s="574">
        <v>4</v>
      </c>
      <c r="K39" s="574">
        <v>742.8</v>
      </c>
      <c r="L39" s="574">
        <v>0</v>
      </c>
      <c r="M39" s="574">
        <v>0</v>
      </c>
      <c r="N39" s="574">
        <v>0</v>
      </c>
      <c r="O39" s="574">
        <v>10.4</v>
      </c>
      <c r="P39" s="574">
        <v>0.2</v>
      </c>
      <c r="Q39" s="574">
        <v>32.5</v>
      </c>
      <c r="R39" s="569"/>
      <c r="S39" s="569"/>
      <c r="T39" s="569"/>
      <c r="U39" s="569"/>
      <c r="V39" s="569"/>
      <c r="W39" s="569"/>
      <c r="X39" s="569"/>
      <c r="Y39" s="569"/>
      <c r="Z39" s="569"/>
      <c r="AA39" s="569"/>
      <c r="AB39" s="569"/>
      <c r="AC39" s="569"/>
      <c r="AD39" s="569"/>
      <c r="AE39" s="569"/>
      <c r="AF39" s="569"/>
      <c r="AG39" s="569"/>
      <c r="AH39" s="569"/>
      <c r="AI39" s="569"/>
      <c r="AJ39" s="569"/>
      <c r="AK39" s="569"/>
      <c r="AL39" s="569"/>
      <c r="AM39" s="569"/>
      <c r="AN39" s="574">
        <v>44.7</v>
      </c>
      <c r="AO39">
        <v>38</v>
      </c>
      <c r="AP39" t="str">
        <f t="shared" si="14"/>
        <v>Brian Hoyer</v>
      </c>
      <c r="AQ39" t="str">
        <f t="shared" si="2"/>
        <v>LV</v>
      </c>
      <c r="AR39" s="430">
        <f>IFERROR(
IF(AP39="",-100,
IF($BV$2&gt;0, INDEX(Beersheet!$A:$U,MATCH(AP39,INDEX(Beersheet!$A:$U,0,FFARawStatProjections!$BV$2),0),$BV$3)+$BN39,
INDEX($A39:$BM39,,$BV$12)*$BW$12+
INDEX($A39:$BM39,,$BV$15)*$BW$15+
INDEX($A39:$BM39,,$BV$16)*$BW$16+
INDEX($A39:$BM39,,$BV$17)*$BW$17+
INDEX($A39:$BM39,,$BV$18)*$BW$18+
INDEX($A39:$BM39,,$BV$19)*$BW$19+
INDEX($A39:$BM39,,$BV$20)*$BW$20+
INDEX($A39:$BM39,,$BV$21)*$BW$21+
INDEX($A39:$BM39,,$BV$22)*$BW$22+
INDEX($A39:$BM39,,$BV$23)*$BW$23+
INDEX($A39:$BM39,,$BV$25)*$BW$25+
INDEX($A39:$BM39,,$BV$26)*$BW$26+
INDEX($A39:$BM39,,$BV$27)*$BW$27+
$BN39)),
$BN39-100)</f>
        <v>46.162380000000006</v>
      </c>
      <c r="AT39" t="str">
        <f t="shared" si="3"/>
        <v/>
      </c>
      <c r="AU39" t="str">
        <f t="shared" si="4"/>
        <v/>
      </c>
      <c r="AV39" s="430">
        <f>IFERROR(
IF(AT39="",-100,
IF($BV$2&gt;0, INDEX(Beersheet!$A:$U,MATCH(AT39,INDEX(Beersheet!$A:$U,0,FFARawStatProjections!$BV$2),0),$BV$3)+$BN39,
INDEX($A39:$BM39,,$BV$12)*$BW$12+
INDEX($A39:$BM39,,$BV$15)*$BW$15+
INDEX($A39:$BM39,,$BV$16)*$BW$16+
INDEX($A39:$BM39,,$BV$17)*$BW$17+
INDEX($A39:$BM39,,$BV$18)*$BW$18+
INDEX($A39:$BM39,,$BV$19)*$BW$19+
INDEX($A39:$BM39,,$BV$20)*$BW$20+
INDEX($A39:$BM39,,$BV$21)*$BW$21+
INDEX($A39:$BM39,,$BV$22)*$BW$22+
INDEX($A39:$BM39,,$BV$23)*$BW$23+
INDEX($A39:$BM39,,$BV$25)*$BW$25+
INDEX($A39:$BM39,,$BV$26)*$BW$26+
INDEX($A39:$BM39,,$BV$27)*$BW$27+
$BN39)),
$BN39-100)</f>
        <v>-100</v>
      </c>
      <c r="AX39" t="str">
        <f t="shared" si="5"/>
        <v/>
      </c>
      <c r="AY39" t="str">
        <f t="shared" si="6"/>
        <v/>
      </c>
      <c r="AZ39" s="430">
        <f>IFERROR(
IF(AX39="",-100,
IF($BV$2&gt;0, INDEX(Beersheet!$A:$U,MATCH(AX39,INDEX(Beersheet!$A:$U,0,FFARawStatProjections!$BV$2),0),$BV$3)+$BN39,
INDEX($A39:$BM39,,$BV$12)*$BW$12+
INDEX($A39:$BM39,,$BV$15)*$BW$15+
INDEX($A39:$BM39,,$BV$16)*$BW$16+
INDEX($A39:$BM39,,$BV$17)*$BW$17+
INDEX($A39:$BM39,,$BV$18)*$BW$18+
INDEX($A39:$BM39,,$BV$19)*$BW$19+
INDEX($A39:$BM39,,$BV$20)*$BW$20+
INDEX($A39:$BM39,,$BV$21)*$BW$21+
INDEX($A39:$BM39,,$BV$22)*$BW$22+
INDEX($A39:$BM39,,$BV$23)*$BW$23+
INDEX($A39:$BM39,,$BV$25)*$BW$25+
INDEX($A39:$BM39,,$BV$26)*$BW$26+
INDEX($A39:$BM39,,$BV$27)*$BW$27+
$BN39)),
$BN39-100)</f>
        <v>-100</v>
      </c>
      <c r="BB39" t="str">
        <f t="shared" si="7"/>
        <v/>
      </c>
      <c r="BC39" t="str">
        <f t="shared" si="8"/>
        <v/>
      </c>
      <c r="BD39" s="430">
        <f>IFERROR(
IF(BB39="",-100,
IF($BV$2&gt;0, INDEX(Beersheet!$A:$U,MATCH(BB39,INDEX(Beersheet!$A:$U,0,FFARawStatProjections!$BV$2),0),$BV$3)+$BN39,
INDEX($A39:$BM39,,$BV$12)*$BW$12+
INDEX($A39:$BM39,,$BV$15)*$BW$15+
INDEX($A39:$BM39,,$BV$16)*$BW$16+
INDEX($A39:$BM39,,$BV$17)*$BW$17+
INDEX($A39:$BM39,,$BV$18)*$BW$18+
INDEX($A39:$BM39,,$BV$19)*$BW$19+
INDEX($A39:$BM39,,$BV$20)*$BW$20+
INDEX($A39:$BM39,,$BV$21)*$BW$21+
INDEX($A39:$BM39,,$BV$22)*$BW$22+
INDEX($A39:$BM39,,$BV$23)*$BW$23+
INDEX($A39:$BM39,,$BV$25)*$BW$25+
INDEX($A39:$BM39,,$BV$26)*$BW$26+
INDEX($A39:$BM39,,$BV$27)*$BW$27+
$BN39)),
$BN39-100)</f>
        <v>-100</v>
      </c>
      <c r="BF39" t="str">
        <f t="shared" si="9"/>
        <v/>
      </c>
      <c r="BG39" t="str">
        <f t="shared" si="10"/>
        <v/>
      </c>
      <c r="BH39">
        <f t="shared" si="11"/>
        <v>0</v>
      </c>
      <c r="BJ39" t="str">
        <f t="shared" si="12"/>
        <v/>
      </c>
      <c r="BL39">
        <f t="shared" si="1"/>
        <v>0</v>
      </c>
      <c r="BN39">
        <v>3.8000000000000002E-4</v>
      </c>
      <c r="BS39" s="4" t="s">
        <v>1756</v>
      </c>
      <c r="BU39" s="568" t="s">
        <v>2053</v>
      </c>
      <c r="BV39">
        <f t="shared" si="13"/>
        <v>33</v>
      </c>
      <c r="BW39">
        <v>3</v>
      </c>
    </row>
    <row r="40" spans="1:75" ht="15.75" hidden="1" thickBot="1" x14ac:dyDescent="0.3">
      <c r="A40" s="569" t="s">
        <v>2161</v>
      </c>
      <c r="B40" s="569" t="s">
        <v>148</v>
      </c>
      <c r="C40" s="569" t="s">
        <v>1</v>
      </c>
      <c r="D40" s="574">
        <v>11</v>
      </c>
      <c r="E40" s="569"/>
      <c r="F40" s="569"/>
      <c r="G40" s="569">
        <v>99</v>
      </c>
      <c r="H40" s="569">
        <v>60.6</v>
      </c>
      <c r="I40" s="574">
        <v>3.9</v>
      </c>
      <c r="J40" s="574">
        <v>3.8</v>
      </c>
      <c r="K40" s="574">
        <v>704.9</v>
      </c>
      <c r="L40" s="574">
        <v>0</v>
      </c>
      <c r="M40" s="574">
        <v>0</v>
      </c>
      <c r="N40" s="574">
        <v>0</v>
      </c>
      <c r="O40" s="574">
        <v>18.100000000000001</v>
      </c>
      <c r="P40" s="574">
        <v>0.2</v>
      </c>
      <c r="Q40" s="574">
        <v>51</v>
      </c>
      <c r="R40" s="569"/>
      <c r="S40" s="569"/>
      <c r="T40" s="569"/>
      <c r="U40" s="569"/>
      <c r="V40" s="569"/>
      <c r="W40" s="569"/>
      <c r="X40" s="569"/>
      <c r="Y40" s="569"/>
      <c r="Z40" s="569"/>
      <c r="AA40" s="569"/>
      <c r="AB40" s="569"/>
      <c r="AC40" s="569"/>
      <c r="AD40" s="569"/>
      <c r="AE40" s="569"/>
      <c r="AF40" s="569"/>
      <c r="AG40" s="569"/>
      <c r="AH40" s="569"/>
      <c r="AI40" s="569"/>
      <c r="AJ40" s="569"/>
      <c r="AK40" s="569"/>
      <c r="AL40" s="569"/>
      <c r="AM40" s="569"/>
      <c r="AN40" s="574">
        <v>43.4</v>
      </c>
      <c r="AO40">
        <v>39</v>
      </c>
      <c r="AP40" t="str">
        <f t="shared" si="14"/>
        <v>Taylor Heinicke</v>
      </c>
      <c r="AQ40" t="str">
        <f t="shared" si="2"/>
        <v>ATL</v>
      </c>
      <c r="AR40" s="430">
        <f>IFERROR(
IF(AP40="",-100,
IF($BV$2&gt;0, INDEX(Beersheet!$A:$U,MATCH(AP40,INDEX(Beersheet!$A:$U,0,FFARawStatProjections!$BV$2),0),$BV$3)+$BN40,
INDEX($A40:$BM40,,$BV$12)*$BW$12+
INDEX($A40:$BM40,,$BV$15)*$BW$15+
INDEX($A40:$BM40,,$BV$16)*$BW$16+
INDEX($A40:$BM40,,$BV$17)*$BW$17+
INDEX($A40:$BM40,,$BV$18)*$BW$18+
INDEX($A40:$BM40,,$BV$19)*$BW$19+
INDEX($A40:$BM40,,$BV$20)*$BW$20+
INDEX($A40:$BM40,,$BV$21)*$BW$21+
INDEX($A40:$BM40,,$BV$22)*$BW$22+
INDEX($A40:$BM40,,$BV$23)*$BW$23+
INDEX($A40:$BM40,,$BV$25)*$BW$25+
INDEX($A40:$BM40,,$BV$26)*$BW$26+
INDEX($A40:$BM40,,$BV$27)*$BW$27+
$BN40)),
$BN40-100)</f>
        <v>45.796390000000002</v>
      </c>
      <c r="AT40" t="str">
        <f t="shared" si="3"/>
        <v/>
      </c>
      <c r="AU40" t="str">
        <f t="shared" si="4"/>
        <v/>
      </c>
      <c r="AV40" s="430">
        <f>IFERROR(
IF(AT40="",-100,
IF($BV$2&gt;0, INDEX(Beersheet!$A:$U,MATCH(AT40,INDEX(Beersheet!$A:$U,0,FFARawStatProjections!$BV$2),0),$BV$3)+$BN40,
INDEX($A40:$BM40,,$BV$12)*$BW$12+
INDEX($A40:$BM40,,$BV$15)*$BW$15+
INDEX($A40:$BM40,,$BV$16)*$BW$16+
INDEX($A40:$BM40,,$BV$17)*$BW$17+
INDEX($A40:$BM40,,$BV$18)*$BW$18+
INDEX($A40:$BM40,,$BV$19)*$BW$19+
INDEX($A40:$BM40,,$BV$20)*$BW$20+
INDEX($A40:$BM40,,$BV$21)*$BW$21+
INDEX($A40:$BM40,,$BV$22)*$BW$22+
INDEX($A40:$BM40,,$BV$23)*$BW$23+
INDEX($A40:$BM40,,$BV$25)*$BW$25+
INDEX($A40:$BM40,,$BV$26)*$BW$26+
INDEX($A40:$BM40,,$BV$27)*$BW$27+
$BN40)),
$BN40-100)</f>
        <v>-100</v>
      </c>
      <c r="AX40" t="str">
        <f t="shared" si="5"/>
        <v/>
      </c>
      <c r="AY40" t="str">
        <f t="shared" si="6"/>
        <v/>
      </c>
      <c r="AZ40" s="430">
        <f>IFERROR(
IF(AX40="",-100,
IF($BV$2&gt;0, INDEX(Beersheet!$A:$U,MATCH(AX40,INDEX(Beersheet!$A:$U,0,FFARawStatProjections!$BV$2),0),$BV$3)+$BN40,
INDEX($A40:$BM40,,$BV$12)*$BW$12+
INDEX($A40:$BM40,,$BV$15)*$BW$15+
INDEX($A40:$BM40,,$BV$16)*$BW$16+
INDEX($A40:$BM40,,$BV$17)*$BW$17+
INDEX($A40:$BM40,,$BV$18)*$BW$18+
INDEX($A40:$BM40,,$BV$19)*$BW$19+
INDEX($A40:$BM40,,$BV$20)*$BW$20+
INDEX($A40:$BM40,,$BV$21)*$BW$21+
INDEX($A40:$BM40,,$BV$22)*$BW$22+
INDEX($A40:$BM40,,$BV$23)*$BW$23+
INDEX($A40:$BM40,,$BV$25)*$BW$25+
INDEX($A40:$BM40,,$BV$26)*$BW$26+
INDEX($A40:$BM40,,$BV$27)*$BW$27+
$BN40)),
$BN40-100)</f>
        <v>-100</v>
      </c>
      <c r="BB40" t="str">
        <f t="shared" si="7"/>
        <v/>
      </c>
      <c r="BC40" t="str">
        <f t="shared" si="8"/>
        <v/>
      </c>
      <c r="BD40" s="430">
        <f>IFERROR(
IF(BB40="",-100,
IF($BV$2&gt;0, INDEX(Beersheet!$A:$U,MATCH(BB40,INDEX(Beersheet!$A:$U,0,FFARawStatProjections!$BV$2),0),$BV$3)+$BN40,
INDEX($A40:$BM40,,$BV$12)*$BW$12+
INDEX($A40:$BM40,,$BV$15)*$BW$15+
INDEX($A40:$BM40,,$BV$16)*$BW$16+
INDEX($A40:$BM40,,$BV$17)*$BW$17+
INDEX($A40:$BM40,,$BV$18)*$BW$18+
INDEX($A40:$BM40,,$BV$19)*$BW$19+
INDEX($A40:$BM40,,$BV$20)*$BW$20+
INDEX($A40:$BM40,,$BV$21)*$BW$21+
INDEX($A40:$BM40,,$BV$22)*$BW$22+
INDEX($A40:$BM40,,$BV$23)*$BW$23+
INDEX($A40:$BM40,,$BV$25)*$BW$25+
INDEX($A40:$BM40,,$BV$26)*$BW$26+
INDEX($A40:$BM40,,$BV$27)*$BW$27+
$BN40)),
$BN40-100)</f>
        <v>-100</v>
      </c>
      <c r="BF40" t="str">
        <f t="shared" si="9"/>
        <v/>
      </c>
      <c r="BG40" t="str">
        <f t="shared" si="10"/>
        <v/>
      </c>
      <c r="BH40">
        <f t="shared" si="11"/>
        <v>0</v>
      </c>
      <c r="BJ40" t="str">
        <f t="shared" si="12"/>
        <v/>
      </c>
      <c r="BL40">
        <f t="shared" si="1"/>
        <v>0</v>
      </c>
      <c r="BN40">
        <v>3.8999999999999999E-4</v>
      </c>
      <c r="BS40" s="4" t="s">
        <v>1205</v>
      </c>
      <c r="BV40" t="e">
        <f t="shared" si="13"/>
        <v>#N/A</v>
      </c>
    </row>
    <row r="41" spans="1:75" ht="15.75" hidden="1" thickBot="1" x14ac:dyDescent="0.3">
      <c r="A41" s="569" t="s">
        <v>2061</v>
      </c>
      <c r="B41" s="569" t="s">
        <v>158</v>
      </c>
      <c r="C41" s="569" t="s">
        <v>1</v>
      </c>
      <c r="D41" s="574">
        <v>11</v>
      </c>
      <c r="E41" s="569"/>
      <c r="F41" s="569"/>
      <c r="G41" s="569">
        <v>79.599999999999994</v>
      </c>
      <c r="H41" s="569">
        <v>50</v>
      </c>
      <c r="I41" s="574">
        <v>2.4</v>
      </c>
      <c r="J41" s="574">
        <v>2.8</v>
      </c>
      <c r="K41" s="574">
        <v>697.2</v>
      </c>
      <c r="L41" s="574">
        <v>0</v>
      </c>
      <c r="M41" s="574">
        <v>0</v>
      </c>
      <c r="N41" s="574">
        <v>0</v>
      </c>
      <c r="O41" s="574">
        <v>12.7</v>
      </c>
      <c r="P41" s="574">
        <v>0.2</v>
      </c>
      <c r="Q41" s="574">
        <v>43.7</v>
      </c>
      <c r="R41" s="569"/>
      <c r="S41" s="569"/>
      <c r="T41" s="569"/>
      <c r="U41" s="569"/>
      <c r="V41" s="569"/>
      <c r="W41" s="569"/>
      <c r="X41" s="569"/>
      <c r="Y41" s="569"/>
      <c r="Z41" s="569"/>
      <c r="AA41" s="569"/>
      <c r="AB41" s="569"/>
      <c r="AC41" s="569"/>
      <c r="AD41" s="569"/>
      <c r="AE41" s="569"/>
      <c r="AF41" s="569"/>
      <c r="AG41" s="569"/>
      <c r="AH41" s="569"/>
      <c r="AI41" s="569"/>
      <c r="AJ41" s="569"/>
      <c r="AK41" s="569"/>
      <c r="AL41" s="569"/>
      <c r="AM41" s="569"/>
      <c r="AN41" s="574">
        <v>39.5</v>
      </c>
      <c r="AO41">
        <v>40</v>
      </c>
      <c r="AP41" t="str">
        <f t="shared" si="14"/>
        <v>Gardner Minshew</v>
      </c>
      <c r="AQ41" t="str">
        <f t="shared" si="2"/>
        <v>IND</v>
      </c>
      <c r="AR41" s="430">
        <f>IFERROR(
IF(AP41="",-100,
IF($BV$2&gt;0, INDEX(Beersheet!$A:$U,MATCH(AP41,INDEX(Beersheet!$A:$U,0,FFARawStatProjections!$BV$2),0),$BV$3)+$BN41,
INDEX($A41:$BM41,,$BV$12)*$BW$12+
INDEX($A41:$BM41,,$BV$15)*$BW$15+
INDEX($A41:$BM41,,$BV$16)*$BW$16+
INDEX($A41:$BM41,,$BV$17)*$BW$17+
INDEX($A41:$BM41,,$BV$18)*$BW$18+
INDEX($A41:$BM41,,$BV$19)*$BW$19+
INDEX($A41:$BM41,,$BV$20)*$BW$20+
INDEX($A41:$BM41,,$BV$21)*$BW$21+
INDEX($A41:$BM41,,$BV$22)*$BW$22+
INDEX($A41:$BM41,,$BV$23)*$BW$23+
INDEX($A41:$BM41,,$BV$25)*$BW$25+
INDEX($A41:$BM41,,$BV$26)*$BW$26+
INDEX($A41:$BM41,,$BV$27)*$BW$27+
$BN41)),
$BN41-100)</f>
        <v>42.258400000000002</v>
      </c>
      <c r="AT41" t="str">
        <f t="shared" si="3"/>
        <v/>
      </c>
      <c r="AU41" t="str">
        <f t="shared" si="4"/>
        <v/>
      </c>
      <c r="AV41" s="430">
        <f>IFERROR(
IF(AT41="",-100,
IF($BV$2&gt;0, INDEX(Beersheet!$A:$U,MATCH(AT41,INDEX(Beersheet!$A:$U,0,FFARawStatProjections!$BV$2),0),$BV$3)+$BN41,
INDEX($A41:$BM41,,$BV$12)*$BW$12+
INDEX($A41:$BM41,,$BV$15)*$BW$15+
INDEX($A41:$BM41,,$BV$16)*$BW$16+
INDEX($A41:$BM41,,$BV$17)*$BW$17+
INDEX($A41:$BM41,,$BV$18)*$BW$18+
INDEX($A41:$BM41,,$BV$19)*$BW$19+
INDEX($A41:$BM41,,$BV$20)*$BW$20+
INDEX($A41:$BM41,,$BV$21)*$BW$21+
INDEX($A41:$BM41,,$BV$22)*$BW$22+
INDEX($A41:$BM41,,$BV$23)*$BW$23+
INDEX($A41:$BM41,,$BV$25)*$BW$25+
INDEX($A41:$BM41,,$BV$26)*$BW$26+
INDEX($A41:$BM41,,$BV$27)*$BW$27+
$BN41)),
$BN41-100)</f>
        <v>-100</v>
      </c>
      <c r="AX41" t="str">
        <f t="shared" si="5"/>
        <v/>
      </c>
      <c r="AY41" t="str">
        <f t="shared" si="6"/>
        <v/>
      </c>
      <c r="AZ41" s="430">
        <f>IFERROR(
IF(AX41="",-100,
IF($BV$2&gt;0, INDEX(Beersheet!$A:$U,MATCH(AX41,INDEX(Beersheet!$A:$U,0,FFARawStatProjections!$BV$2),0),$BV$3)+$BN41,
INDEX($A41:$BM41,,$BV$12)*$BW$12+
INDEX($A41:$BM41,,$BV$15)*$BW$15+
INDEX($A41:$BM41,,$BV$16)*$BW$16+
INDEX($A41:$BM41,,$BV$17)*$BW$17+
INDEX($A41:$BM41,,$BV$18)*$BW$18+
INDEX($A41:$BM41,,$BV$19)*$BW$19+
INDEX($A41:$BM41,,$BV$20)*$BW$20+
INDEX($A41:$BM41,,$BV$21)*$BW$21+
INDEX($A41:$BM41,,$BV$22)*$BW$22+
INDEX($A41:$BM41,,$BV$23)*$BW$23+
INDEX($A41:$BM41,,$BV$25)*$BW$25+
INDEX($A41:$BM41,,$BV$26)*$BW$26+
INDEX($A41:$BM41,,$BV$27)*$BW$27+
$BN41)),
$BN41-100)</f>
        <v>-100</v>
      </c>
      <c r="BB41" t="str">
        <f t="shared" si="7"/>
        <v/>
      </c>
      <c r="BC41" t="str">
        <f t="shared" si="8"/>
        <v/>
      </c>
      <c r="BD41" s="430">
        <f>IFERROR(
IF(BB41="",-100,
IF($BV$2&gt;0, INDEX(Beersheet!$A:$U,MATCH(BB41,INDEX(Beersheet!$A:$U,0,FFARawStatProjections!$BV$2),0),$BV$3)+$BN41,
INDEX($A41:$BM41,,$BV$12)*$BW$12+
INDEX($A41:$BM41,,$BV$15)*$BW$15+
INDEX($A41:$BM41,,$BV$16)*$BW$16+
INDEX($A41:$BM41,,$BV$17)*$BW$17+
INDEX($A41:$BM41,,$BV$18)*$BW$18+
INDEX($A41:$BM41,,$BV$19)*$BW$19+
INDEX($A41:$BM41,,$BV$20)*$BW$20+
INDEX($A41:$BM41,,$BV$21)*$BW$21+
INDEX($A41:$BM41,,$BV$22)*$BW$22+
INDEX($A41:$BM41,,$BV$23)*$BW$23+
INDEX($A41:$BM41,,$BV$25)*$BW$25+
INDEX($A41:$BM41,,$BV$26)*$BW$26+
INDEX($A41:$BM41,,$BV$27)*$BW$27+
$BN41)),
$BN41-100)</f>
        <v>-100</v>
      </c>
      <c r="BF41" t="str">
        <f t="shared" si="9"/>
        <v/>
      </c>
      <c r="BG41" t="str">
        <f t="shared" si="10"/>
        <v/>
      </c>
      <c r="BH41">
        <f t="shared" si="11"/>
        <v>0</v>
      </c>
      <c r="BJ41" t="str">
        <f t="shared" si="12"/>
        <v/>
      </c>
      <c r="BL41">
        <f t="shared" si="1"/>
        <v>0</v>
      </c>
      <c r="BN41">
        <v>4.0000000000000002E-4</v>
      </c>
      <c r="BS41" s="4" t="s">
        <v>2532</v>
      </c>
      <c r="BV41" t="e">
        <f t="shared" si="13"/>
        <v>#N/A</v>
      </c>
    </row>
    <row r="42" spans="1:75" ht="15.75" hidden="1" thickBot="1" x14ac:dyDescent="0.3">
      <c r="A42" s="569" t="s">
        <v>2285</v>
      </c>
      <c r="B42" s="569" t="s">
        <v>166</v>
      </c>
      <c r="C42" s="569" t="s">
        <v>1</v>
      </c>
      <c r="D42" s="574">
        <v>10</v>
      </c>
      <c r="E42" s="569"/>
      <c r="F42" s="569"/>
      <c r="G42" s="569">
        <v>94.6</v>
      </c>
      <c r="H42" s="569">
        <v>56.6</v>
      </c>
      <c r="I42" s="574">
        <v>3.7</v>
      </c>
      <c r="J42" s="574">
        <v>2.8</v>
      </c>
      <c r="K42" s="574">
        <v>606.9</v>
      </c>
      <c r="L42" s="574">
        <v>0</v>
      </c>
      <c r="M42" s="574">
        <v>0</v>
      </c>
      <c r="N42" s="574">
        <v>0</v>
      </c>
      <c r="O42" s="574">
        <v>12.6</v>
      </c>
      <c r="P42" s="574">
        <v>0.1</v>
      </c>
      <c r="Q42" s="574">
        <v>20.3</v>
      </c>
      <c r="R42" s="569"/>
      <c r="S42" s="569"/>
      <c r="T42" s="569"/>
      <c r="U42" s="569"/>
      <c r="V42" s="569"/>
      <c r="W42" s="569"/>
      <c r="X42" s="569"/>
      <c r="Y42" s="569"/>
      <c r="Z42" s="569"/>
      <c r="AA42" s="569"/>
      <c r="AB42" s="569"/>
      <c r="AC42" s="569"/>
      <c r="AD42" s="569"/>
      <c r="AE42" s="569"/>
      <c r="AF42" s="569"/>
      <c r="AG42" s="569"/>
      <c r="AH42" s="569"/>
      <c r="AI42" s="569"/>
      <c r="AJ42" s="569"/>
      <c r="AK42" s="569"/>
      <c r="AL42" s="569"/>
      <c r="AM42" s="569"/>
      <c r="AN42" s="574">
        <v>33</v>
      </c>
      <c r="AO42">
        <v>41</v>
      </c>
      <c r="AP42" t="str">
        <f t="shared" si="14"/>
        <v>Mike White</v>
      </c>
      <c r="AQ42" t="str">
        <f t="shared" si="2"/>
        <v>MIA</v>
      </c>
      <c r="AR42" s="430">
        <f>IFERROR(
IF(AP42="",-100,
IF($BV$2&gt;0, INDEX(Beersheet!$A:$U,MATCH(AP42,INDEX(Beersheet!$A:$U,0,FFARawStatProjections!$BV$2),0),$BV$3)+$BN42,
INDEX($A42:$BM42,,$BV$12)*$BW$12+
INDEX($A42:$BM42,,$BV$15)*$BW$15+
INDEX($A42:$BM42,,$BV$16)*$BW$16+
INDEX($A42:$BM42,,$BV$17)*$BW$17+
INDEX($A42:$BM42,,$BV$18)*$BW$18+
INDEX($A42:$BM42,,$BV$19)*$BW$19+
INDEX($A42:$BM42,,$BV$20)*$BW$20+
INDEX($A42:$BM42,,$BV$21)*$BW$21+
INDEX($A42:$BM42,,$BV$22)*$BW$22+
INDEX($A42:$BM42,,$BV$23)*$BW$23+
INDEX($A42:$BM42,,$BV$25)*$BW$25+
INDEX($A42:$BM42,,$BV$26)*$BW$26+
INDEX($A42:$BM42,,$BV$27)*$BW$27+
$BN42)),
$BN42-100)</f>
        <v>34.406410000000001</v>
      </c>
      <c r="AT42" t="str">
        <f t="shared" si="3"/>
        <v/>
      </c>
      <c r="AU42" t="str">
        <f t="shared" si="4"/>
        <v/>
      </c>
      <c r="AV42" s="430">
        <f>IFERROR(
IF(AT42="",-100,
IF($BV$2&gt;0, INDEX(Beersheet!$A:$U,MATCH(AT42,INDEX(Beersheet!$A:$U,0,FFARawStatProjections!$BV$2),0),$BV$3)+$BN42,
INDEX($A42:$BM42,,$BV$12)*$BW$12+
INDEX($A42:$BM42,,$BV$15)*$BW$15+
INDEX($A42:$BM42,,$BV$16)*$BW$16+
INDEX($A42:$BM42,,$BV$17)*$BW$17+
INDEX($A42:$BM42,,$BV$18)*$BW$18+
INDEX($A42:$BM42,,$BV$19)*$BW$19+
INDEX($A42:$BM42,,$BV$20)*$BW$20+
INDEX($A42:$BM42,,$BV$21)*$BW$21+
INDEX($A42:$BM42,,$BV$22)*$BW$22+
INDEX($A42:$BM42,,$BV$23)*$BW$23+
INDEX($A42:$BM42,,$BV$25)*$BW$25+
INDEX($A42:$BM42,,$BV$26)*$BW$26+
INDEX($A42:$BM42,,$BV$27)*$BW$27+
$BN42)),
$BN42-100)</f>
        <v>-100</v>
      </c>
      <c r="AX42" t="str">
        <f t="shared" si="5"/>
        <v/>
      </c>
      <c r="AY42" t="str">
        <f t="shared" si="6"/>
        <v/>
      </c>
      <c r="AZ42" s="430">
        <f>IFERROR(
IF(AX42="",-100,
IF($BV$2&gt;0, INDEX(Beersheet!$A:$U,MATCH(AX42,INDEX(Beersheet!$A:$U,0,FFARawStatProjections!$BV$2),0),$BV$3)+$BN42,
INDEX($A42:$BM42,,$BV$12)*$BW$12+
INDEX($A42:$BM42,,$BV$15)*$BW$15+
INDEX($A42:$BM42,,$BV$16)*$BW$16+
INDEX($A42:$BM42,,$BV$17)*$BW$17+
INDEX($A42:$BM42,,$BV$18)*$BW$18+
INDEX($A42:$BM42,,$BV$19)*$BW$19+
INDEX($A42:$BM42,,$BV$20)*$BW$20+
INDEX($A42:$BM42,,$BV$21)*$BW$21+
INDEX($A42:$BM42,,$BV$22)*$BW$22+
INDEX($A42:$BM42,,$BV$23)*$BW$23+
INDEX($A42:$BM42,,$BV$25)*$BW$25+
INDEX($A42:$BM42,,$BV$26)*$BW$26+
INDEX($A42:$BM42,,$BV$27)*$BW$27+
$BN42)),
$BN42-100)</f>
        <v>-100</v>
      </c>
      <c r="BB42" t="str">
        <f t="shared" si="7"/>
        <v/>
      </c>
      <c r="BC42" t="str">
        <f t="shared" si="8"/>
        <v/>
      </c>
      <c r="BD42" s="430">
        <f>IFERROR(
IF(BB42="",-100,
IF($BV$2&gt;0, INDEX(Beersheet!$A:$U,MATCH(BB42,INDEX(Beersheet!$A:$U,0,FFARawStatProjections!$BV$2),0),$BV$3)+$BN42,
INDEX($A42:$BM42,,$BV$12)*$BW$12+
INDEX($A42:$BM42,,$BV$15)*$BW$15+
INDEX($A42:$BM42,,$BV$16)*$BW$16+
INDEX($A42:$BM42,,$BV$17)*$BW$17+
INDEX($A42:$BM42,,$BV$18)*$BW$18+
INDEX($A42:$BM42,,$BV$19)*$BW$19+
INDEX($A42:$BM42,,$BV$20)*$BW$20+
INDEX($A42:$BM42,,$BV$21)*$BW$21+
INDEX($A42:$BM42,,$BV$22)*$BW$22+
INDEX($A42:$BM42,,$BV$23)*$BW$23+
INDEX($A42:$BM42,,$BV$25)*$BW$25+
INDEX($A42:$BM42,,$BV$26)*$BW$26+
INDEX($A42:$BM42,,$BV$27)*$BW$27+
$BN42)),
$BN42-100)</f>
        <v>-100</v>
      </c>
      <c r="BF42" t="str">
        <f t="shared" si="9"/>
        <v/>
      </c>
      <c r="BG42" t="str">
        <f t="shared" si="10"/>
        <v/>
      </c>
      <c r="BH42">
        <f t="shared" si="11"/>
        <v>0</v>
      </c>
      <c r="BJ42" t="str">
        <f t="shared" si="12"/>
        <v/>
      </c>
      <c r="BL42">
        <f t="shared" si="1"/>
        <v>0</v>
      </c>
      <c r="BN42">
        <v>4.0999999999999999E-4</v>
      </c>
      <c r="BS42" s="4" t="s">
        <v>2531</v>
      </c>
      <c r="BV42" t="e">
        <f t="shared" si="13"/>
        <v>#N/A</v>
      </c>
    </row>
    <row r="43" spans="1:75" ht="15.75" hidden="1" thickBot="1" x14ac:dyDescent="0.3">
      <c r="A43" s="569" t="s">
        <v>2530</v>
      </c>
      <c r="B43" s="569" t="s">
        <v>157</v>
      </c>
      <c r="C43" s="569" t="s">
        <v>1</v>
      </c>
      <c r="D43" s="574">
        <v>11</v>
      </c>
      <c r="E43" s="569"/>
      <c r="F43" s="569"/>
      <c r="G43" s="569">
        <v>100.3</v>
      </c>
      <c r="H43" s="569">
        <v>61.3</v>
      </c>
      <c r="I43" s="574">
        <v>3.6</v>
      </c>
      <c r="J43" s="574">
        <v>2.4</v>
      </c>
      <c r="K43" s="574">
        <v>598.79999999999995</v>
      </c>
      <c r="L43" s="574">
        <v>0</v>
      </c>
      <c r="M43" s="574">
        <v>0</v>
      </c>
      <c r="N43" s="574">
        <v>0</v>
      </c>
      <c r="O43" s="574">
        <v>12</v>
      </c>
      <c r="P43" s="574">
        <v>0.1</v>
      </c>
      <c r="Q43" s="574">
        <v>22.4</v>
      </c>
      <c r="R43" s="569"/>
      <c r="S43" s="569"/>
      <c r="T43" s="569"/>
      <c r="U43" s="569"/>
      <c r="V43" s="569"/>
      <c r="W43" s="569"/>
      <c r="X43" s="569"/>
      <c r="Y43" s="569"/>
      <c r="Z43" s="569"/>
      <c r="AA43" s="569"/>
      <c r="AB43" s="569"/>
      <c r="AC43" s="569"/>
      <c r="AD43" s="569"/>
      <c r="AE43" s="569"/>
      <c r="AF43" s="569"/>
      <c r="AG43" s="569"/>
      <c r="AH43" s="569"/>
      <c r="AI43" s="569"/>
      <c r="AJ43" s="569"/>
      <c r="AK43" s="569"/>
      <c r="AL43" s="569"/>
      <c r="AM43" s="569"/>
      <c r="AN43" s="574">
        <v>30.8</v>
      </c>
      <c r="AO43">
        <v>42</v>
      </c>
      <c r="AP43" t="str">
        <f t="shared" si="14"/>
        <v>Bailey Zappe</v>
      </c>
      <c r="AQ43" t="str">
        <f t="shared" si="2"/>
        <v>NE</v>
      </c>
      <c r="AR43" s="430">
        <f>IFERROR(
IF(AP43="",-100,
IF($BV$2&gt;0, INDEX(Beersheet!$A:$U,MATCH(AP43,INDEX(Beersheet!$A:$U,0,FFARawStatProjections!$BV$2),0),$BV$3)+$BN43,
INDEX($A43:$BM43,,$BV$12)*$BW$12+
INDEX($A43:$BM43,,$BV$15)*$BW$15+
INDEX($A43:$BM43,,$BV$16)*$BW$16+
INDEX($A43:$BM43,,$BV$17)*$BW$17+
INDEX($A43:$BM43,,$BV$18)*$BW$18+
INDEX($A43:$BM43,,$BV$19)*$BW$19+
INDEX($A43:$BM43,,$BV$20)*$BW$20+
INDEX($A43:$BM43,,$BV$21)*$BW$21+
INDEX($A43:$BM43,,$BV$22)*$BW$22+
INDEX($A43:$BM43,,$BV$23)*$BW$23+
INDEX($A43:$BM43,,$BV$25)*$BW$25+
INDEX($A43:$BM43,,$BV$26)*$BW$26+
INDEX($A43:$BM43,,$BV$27)*$BW$27+
$BN43)),
$BN43-100)</f>
        <v>32.79242</v>
      </c>
      <c r="AT43" t="str">
        <f t="shared" si="3"/>
        <v/>
      </c>
      <c r="AU43" t="str">
        <f t="shared" si="4"/>
        <v/>
      </c>
      <c r="AV43" s="430">
        <f>IFERROR(
IF(AT43="",-100,
IF($BV$2&gt;0, INDEX(Beersheet!$A:$U,MATCH(AT43,INDEX(Beersheet!$A:$U,0,FFARawStatProjections!$BV$2),0),$BV$3)+$BN43,
INDEX($A43:$BM43,,$BV$12)*$BW$12+
INDEX($A43:$BM43,,$BV$15)*$BW$15+
INDEX($A43:$BM43,,$BV$16)*$BW$16+
INDEX($A43:$BM43,,$BV$17)*$BW$17+
INDEX($A43:$BM43,,$BV$18)*$BW$18+
INDEX($A43:$BM43,,$BV$19)*$BW$19+
INDEX($A43:$BM43,,$BV$20)*$BW$20+
INDEX($A43:$BM43,,$BV$21)*$BW$21+
INDEX($A43:$BM43,,$BV$22)*$BW$22+
INDEX($A43:$BM43,,$BV$23)*$BW$23+
INDEX($A43:$BM43,,$BV$25)*$BW$25+
INDEX($A43:$BM43,,$BV$26)*$BW$26+
INDEX($A43:$BM43,,$BV$27)*$BW$27+
$BN43)),
$BN43-100)</f>
        <v>-100</v>
      </c>
      <c r="AX43" t="str">
        <f t="shared" si="5"/>
        <v/>
      </c>
      <c r="AY43" t="str">
        <f t="shared" si="6"/>
        <v/>
      </c>
      <c r="AZ43" s="430">
        <f>IFERROR(
IF(AX43="",-100,
IF($BV$2&gt;0, INDEX(Beersheet!$A:$U,MATCH(AX43,INDEX(Beersheet!$A:$U,0,FFARawStatProjections!$BV$2),0),$BV$3)+$BN43,
INDEX($A43:$BM43,,$BV$12)*$BW$12+
INDEX($A43:$BM43,,$BV$15)*$BW$15+
INDEX($A43:$BM43,,$BV$16)*$BW$16+
INDEX($A43:$BM43,,$BV$17)*$BW$17+
INDEX($A43:$BM43,,$BV$18)*$BW$18+
INDEX($A43:$BM43,,$BV$19)*$BW$19+
INDEX($A43:$BM43,,$BV$20)*$BW$20+
INDEX($A43:$BM43,,$BV$21)*$BW$21+
INDEX($A43:$BM43,,$BV$22)*$BW$22+
INDEX($A43:$BM43,,$BV$23)*$BW$23+
INDEX($A43:$BM43,,$BV$25)*$BW$25+
INDEX($A43:$BM43,,$BV$26)*$BW$26+
INDEX($A43:$BM43,,$BV$27)*$BW$27+
$BN43)),
$BN43-100)</f>
        <v>-100</v>
      </c>
      <c r="BB43" t="str">
        <f t="shared" si="7"/>
        <v/>
      </c>
      <c r="BC43" t="str">
        <f t="shared" si="8"/>
        <v/>
      </c>
      <c r="BD43" s="430">
        <f>IFERROR(
IF(BB43="",-100,
IF($BV$2&gt;0, INDEX(Beersheet!$A:$U,MATCH(BB43,INDEX(Beersheet!$A:$U,0,FFARawStatProjections!$BV$2),0),$BV$3)+$BN43,
INDEX($A43:$BM43,,$BV$12)*$BW$12+
INDEX($A43:$BM43,,$BV$15)*$BW$15+
INDEX($A43:$BM43,,$BV$16)*$BW$16+
INDEX($A43:$BM43,,$BV$17)*$BW$17+
INDEX($A43:$BM43,,$BV$18)*$BW$18+
INDEX($A43:$BM43,,$BV$19)*$BW$19+
INDEX($A43:$BM43,,$BV$20)*$BW$20+
INDEX($A43:$BM43,,$BV$21)*$BW$21+
INDEX($A43:$BM43,,$BV$22)*$BW$22+
INDEX($A43:$BM43,,$BV$23)*$BW$23+
INDEX($A43:$BM43,,$BV$25)*$BW$25+
INDEX($A43:$BM43,,$BV$26)*$BW$26+
INDEX($A43:$BM43,,$BV$27)*$BW$27+
$BN43)),
$BN43-100)</f>
        <v>-100</v>
      </c>
      <c r="BF43" t="str">
        <f t="shared" si="9"/>
        <v/>
      </c>
      <c r="BG43" t="str">
        <f t="shared" si="10"/>
        <v/>
      </c>
      <c r="BH43">
        <f t="shared" si="11"/>
        <v>0</v>
      </c>
      <c r="BJ43" t="str">
        <f t="shared" si="12"/>
        <v/>
      </c>
      <c r="BL43">
        <f t="shared" si="1"/>
        <v>0</v>
      </c>
      <c r="BN43">
        <v>4.2000000000000002E-4</v>
      </c>
      <c r="BS43" s="4" t="s">
        <v>2272</v>
      </c>
      <c r="BV43" t="e">
        <f t="shared" si="13"/>
        <v>#N/A</v>
      </c>
    </row>
    <row r="44" spans="1:75" ht="15.75" hidden="1" thickBot="1" x14ac:dyDescent="0.3">
      <c r="A44" s="569" t="s">
        <v>2506</v>
      </c>
      <c r="B44" s="569" t="s">
        <v>2272</v>
      </c>
      <c r="C44" s="569" t="s">
        <v>1</v>
      </c>
      <c r="D44" s="574">
        <v>14</v>
      </c>
      <c r="E44" s="569"/>
      <c r="F44" s="569"/>
      <c r="G44" s="569">
        <v>107.3</v>
      </c>
      <c r="H44" s="569">
        <v>64.400000000000006</v>
      </c>
      <c r="I44" s="574">
        <v>3.9</v>
      </c>
      <c r="J44" s="574">
        <v>1.1000000000000001</v>
      </c>
      <c r="K44" s="574">
        <v>641.20000000000005</v>
      </c>
      <c r="L44" s="574">
        <v>0</v>
      </c>
      <c r="M44" s="574">
        <v>0</v>
      </c>
      <c r="N44" s="574">
        <v>0</v>
      </c>
      <c r="O44" s="574">
        <v>16</v>
      </c>
      <c r="P44" s="574">
        <v>0.3</v>
      </c>
      <c r="Q44" s="574">
        <v>43.4</v>
      </c>
      <c r="R44" s="569"/>
      <c r="S44" s="569"/>
      <c r="T44" s="569"/>
      <c r="U44" s="569"/>
      <c r="V44" s="569"/>
      <c r="W44" s="569"/>
      <c r="X44" s="569"/>
      <c r="Y44" s="569"/>
      <c r="Z44" s="569"/>
      <c r="AA44" s="569"/>
      <c r="AB44" s="569"/>
      <c r="AC44" s="569"/>
      <c r="AD44" s="569"/>
      <c r="AE44" s="569"/>
      <c r="AF44" s="569"/>
      <c r="AG44" s="569"/>
      <c r="AH44" s="569"/>
      <c r="AI44" s="569"/>
      <c r="AJ44" s="569"/>
      <c r="AK44" s="569"/>
      <c r="AL44" s="569"/>
      <c r="AM44" s="569"/>
      <c r="AN44" s="574">
        <v>29.8</v>
      </c>
      <c r="AO44">
        <v>43</v>
      </c>
      <c r="AP44" t="str">
        <f t="shared" si="14"/>
        <v>Clayton Tune</v>
      </c>
      <c r="AQ44" t="str">
        <f t="shared" si="2"/>
        <v>AZ</v>
      </c>
      <c r="AR44" s="430">
        <f>IFERROR(
IF(AP44="",-100,
IF($BV$2&gt;0, INDEX(Beersheet!$A:$U,MATCH(AP44,INDEX(Beersheet!$A:$U,0,FFARawStatProjections!$BV$2),0),$BV$3)+$BN44,
INDEX($A44:$BM44,,$BV$12)*$BW$12+
INDEX($A44:$BM44,,$BV$15)*$BW$15+
INDEX($A44:$BM44,,$BV$16)*$BW$16+
INDEX($A44:$BM44,,$BV$17)*$BW$17+
INDEX($A44:$BM44,,$BV$18)*$BW$18+
INDEX($A44:$BM44,,$BV$19)*$BW$19+
INDEX($A44:$BM44,,$BV$20)*$BW$20+
INDEX($A44:$BM44,,$BV$21)*$BW$21+
INDEX($A44:$BM44,,$BV$22)*$BW$22+
INDEX($A44:$BM44,,$BV$23)*$BW$23+
INDEX($A44:$BM44,,$BV$25)*$BW$25+
INDEX($A44:$BM44,,$BV$26)*$BW$26+
INDEX($A44:$BM44,,$BV$27)*$BW$27+
$BN44)),
$BN44-100)</f>
        <v>32.288430000000005</v>
      </c>
      <c r="AT44" t="str">
        <f t="shared" si="3"/>
        <v/>
      </c>
      <c r="AU44" t="str">
        <f t="shared" si="4"/>
        <v/>
      </c>
      <c r="AV44" s="430">
        <f>IFERROR(
IF(AT44="",-100,
IF($BV$2&gt;0, INDEX(Beersheet!$A:$U,MATCH(AT44,INDEX(Beersheet!$A:$U,0,FFARawStatProjections!$BV$2),0),$BV$3)+$BN44,
INDEX($A44:$BM44,,$BV$12)*$BW$12+
INDEX($A44:$BM44,,$BV$15)*$BW$15+
INDEX($A44:$BM44,,$BV$16)*$BW$16+
INDEX($A44:$BM44,,$BV$17)*$BW$17+
INDEX($A44:$BM44,,$BV$18)*$BW$18+
INDEX($A44:$BM44,,$BV$19)*$BW$19+
INDEX($A44:$BM44,,$BV$20)*$BW$20+
INDEX($A44:$BM44,,$BV$21)*$BW$21+
INDEX($A44:$BM44,,$BV$22)*$BW$22+
INDEX($A44:$BM44,,$BV$23)*$BW$23+
INDEX($A44:$BM44,,$BV$25)*$BW$25+
INDEX($A44:$BM44,,$BV$26)*$BW$26+
INDEX($A44:$BM44,,$BV$27)*$BW$27+
$BN44)),
$BN44-100)</f>
        <v>-100</v>
      </c>
      <c r="AX44" t="str">
        <f t="shared" si="5"/>
        <v/>
      </c>
      <c r="AY44" t="str">
        <f t="shared" si="6"/>
        <v/>
      </c>
      <c r="AZ44" s="430">
        <f>IFERROR(
IF(AX44="",-100,
IF($BV$2&gt;0, INDEX(Beersheet!$A:$U,MATCH(AX44,INDEX(Beersheet!$A:$U,0,FFARawStatProjections!$BV$2),0),$BV$3)+$BN44,
INDEX($A44:$BM44,,$BV$12)*$BW$12+
INDEX($A44:$BM44,,$BV$15)*$BW$15+
INDEX($A44:$BM44,,$BV$16)*$BW$16+
INDEX($A44:$BM44,,$BV$17)*$BW$17+
INDEX($A44:$BM44,,$BV$18)*$BW$18+
INDEX($A44:$BM44,,$BV$19)*$BW$19+
INDEX($A44:$BM44,,$BV$20)*$BW$20+
INDEX($A44:$BM44,,$BV$21)*$BW$21+
INDEX($A44:$BM44,,$BV$22)*$BW$22+
INDEX($A44:$BM44,,$BV$23)*$BW$23+
INDEX($A44:$BM44,,$BV$25)*$BW$25+
INDEX($A44:$BM44,,$BV$26)*$BW$26+
INDEX($A44:$BM44,,$BV$27)*$BW$27+
$BN44)),
$BN44-100)</f>
        <v>-100</v>
      </c>
      <c r="BB44" t="str">
        <f t="shared" si="7"/>
        <v/>
      </c>
      <c r="BC44" t="str">
        <f t="shared" si="8"/>
        <v/>
      </c>
      <c r="BD44" s="430">
        <f>IFERROR(
IF(BB44="",-100,
IF($BV$2&gt;0, INDEX(Beersheet!$A:$U,MATCH(BB44,INDEX(Beersheet!$A:$U,0,FFARawStatProjections!$BV$2),0),$BV$3)+$BN44,
INDEX($A44:$BM44,,$BV$12)*$BW$12+
INDEX($A44:$BM44,,$BV$15)*$BW$15+
INDEX($A44:$BM44,,$BV$16)*$BW$16+
INDEX($A44:$BM44,,$BV$17)*$BW$17+
INDEX($A44:$BM44,,$BV$18)*$BW$18+
INDEX($A44:$BM44,,$BV$19)*$BW$19+
INDEX($A44:$BM44,,$BV$20)*$BW$20+
INDEX($A44:$BM44,,$BV$21)*$BW$21+
INDEX($A44:$BM44,,$BV$22)*$BW$22+
INDEX($A44:$BM44,,$BV$23)*$BW$23+
INDEX($A44:$BM44,,$BV$25)*$BW$25+
INDEX($A44:$BM44,,$BV$26)*$BW$26+
INDEX($A44:$BM44,,$BV$27)*$BW$27+
$BN44)),
$BN44-100)</f>
        <v>-100</v>
      </c>
      <c r="BF44" t="str">
        <f t="shared" si="9"/>
        <v/>
      </c>
      <c r="BG44" t="str">
        <f t="shared" si="10"/>
        <v/>
      </c>
      <c r="BH44">
        <f t="shared" si="11"/>
        <v>0</v>
      </c>
      <c r="BJ44" t="str">
        <f t="shared" si="12"/>
        <v/>
      </c>
      <c r="BL44">
        <f t="shared" si="1"/>
        <v>0</v>
      </c>
      <c r="BN44">
        <v>4.2999999999999999E-4</v>
      </c>
      <c r="BS44" s="4" t="s">
        <v>2530</v>
      </c>
      <c r="BV44" t="e">
        <f t="shared" si="13"/>
        <v>#N/A</v>
      </c>
    </row>
    <row r="45" spans="1:75" ht="15.75" hidden="1" thickBot="1" x14ac:dyDescent="0.3">
      <c r="A45" s="569" t="s">
        <v>1762</v>
      </c>
      <c r="B45" s="569" t="s">
        <v>155</v>
      </c>
      <c r="C45" s="569" t="s">
        <v>1</v>
      </c>
      <c r="D45" s="574">
        <v>9</v>
      </c>
      <c r="E45" s="569"/>
      <c r="F45" s="569"/>
      <c r="G45" s="569">
        <v>102.7</v>
      </c>
      <c r="H45" s="569">
        <v>59.6</v>
      </c>
      <c r="I45" s="574">
        <v>3.6</v>
      </c>
      <c r="J45" s="574">
        <v>2</v>
      </c>
      <c r="K45" s="574">
        <v>498.7</v>
      </c>
      <c r="L45" s="574">
        <v>0</v>
      </c>
      <c r="M45" s="574">
        <v>0</v>
      </c>
      <c r="N45" s="574">
        <v>0</v>
      </c>
      <c r="O45" s="574">
        <v>14.4</v>
      </c>
      <c r="P45" s="574">
        <v>0.1</v>
      </c>
      <c r="Q45" s="574">
        <v>40</v>
      </c>
      <c r="R45" s="569"/>
      <c r="S45" s="569"/>
      <c r="T45" s="569"/>
      <c r="U45" s="569"/>
      <c r="V45" s="569"/>
      <c r="W45" s="569"/>
      <c r="X45" s="569"/>
      <c r="Y45" s="569"/>
      <c r="Z45" s="569"/>
      <c r="AA45" s="569"/>
      <c r="AB45" s="569"/>
      <c r="AC45" s="569"/>
      <c r="AD45" s="569"/>
      <c r="AE45" s="569"/>
      <c r="AF45" s="569"/>
      <c r="AG45" s="569"/>
      <c r="AH45" s="569"/>
      <c r="AI45" s="569"/>
      <c r="AJ45" s="569"/>
      <c r="AK45" s="569"/>
      <c r="AL45" s="569"/>
      <c r="AM45" s="569"/>
      <c r="AN45" s="574">
        <v>27</v>
      </c>
      <c r="AO45">
        <v>44</v>
      </c>
      <c r="AP45" t="str">
        <f t="shared" si="14"/>
        <v>Sam Darnold</v>
      </c>
      <c r="AQ45" t="str">
        <f t="shared" si="2"/>
        <v>SF</v>
      </c>
      <c r="AR45" s="430">
        <f>IFERROR(
IF(AP45="",-100,
IF($BV$2&gt;0, INDEX(Beersheet!$A:$U,MATCH(AP45,INDEX(Beersheet!$A:$U,0,FFARawStatProjections!$BV$2),0),$BV$3)+$BN45,
INDEX($A45:$BM45,,$BV$12)*$BW$12+
INDEX($A45:$BM45,,$BV$15)*$BW$15+
INDEX($A45:$BM45,,$BV$16)*$BW$16+
INDEX($A45:$BM45,,$BV$17)*$BW$17+
INDEX($A45:$BM45,,$BV$18)*$BW$18+
INDEX($A45:$BM45,,$BV$19)*$BW$19+
INDEX($A45:$BM45,,$BV$20)*$BW$20+
INDEX($A45:$BM45,,$BV$21)*$BW$21+
INDEX($A45:$BM45,,$BV$22)*$BW$22+
INDEX($A45:$BM45,,$BV$23)*$BW$23+
INDEX($A45:$BM45,,$BV$25)*$BW$25+
INDEX($A45:$BM45,,$BV$26)*$BW$26+
INDEX($A45:$BM45,,$BV$27)*$BW$27+
$BN45)),
$BN45-100)</f>
        <v>28.948440000000002</v>
      </c>
      <c r="AT45" t="str">
        <f t="shared" si="3"/>
        <v/>
      </c>
      <c r="AU45" t="str">
        <f t="shared" si="4"/>
        <v/>
      </c>
      <c r="AV45" s="430">
        <f>IFERROR(
IF(AT45="",-100,
IF($BV$2&gt;0, INDEX(Beersheet!$A:$U,MATCH(AT45,INDEX(Beersheet!$A:$U,0,FFARawStatProjections!$BV$2),0),$BV$3)+$BN45,
INDEX($A45:$BM45,,$BV$12)*$BW$12+
INDEX($A45:$BM45,,$BV$15)*$BW$15+
INDEX($A45:$BM45,,$BV$16)*$BW$16+
INDEX($A45:$BM45,,$BV$17)*$BW$17+
INDEX($A45:$BM45,,$BV$18)*$BW$18+
INDEX($A45:$BM45,,$BV$19)*$BW$19+
INDEX($A45:$BM45,,$BV$20)*$BW$20+
INDEX($A45:$BM45,,$BV$21)*$BW$21+
INDEX($A45:$BM45,,$BV$22)*$BW$22+
INDEX($A45:$BM45,,$BV$23)*$BW$23+
INDEX($A45:$BM45,,$BV$25)*$BW$25+
INDEX($A45:$BM45,,$BV$26)*$BW$26+
INDEX($A45:$BM45,,$BV$27)*$BW$27+
$BN45)),
$BN45-100)</f>
        <v>-100</v>
      </c>
      <c r="AX45" t="str">
        <f t="shared" si="5"/>
        <v/>
      </c>
      <c r="AY45" t="str">
        <f t="shared" si="6"/>
        <v/>
      </c>
      <c r="AZ45" s="430">
        <f>IFERROR(
IF(AX45="",-100,
IF($BV$2&gt;0, INDEX(Beersheet!$A:$U,MATCH(AX45,INDEX(Beersheet!$A:$U,0,FFARawStatProjections!$BV$2),0),$BV$3)+$BN45,
INDEX($A45:$BM45,,$BV$12)*$BW$12+
INDEX($A45:$BM45,,$BV$15)*$BW$15+
INDEX($A45:$BM45,,$BV$16)*$BW$16+
INDEX($A45:$BM45,,$BV$17)*$BW$17+
INDEX($A45:$BM45,,$BV$18)*$BW$18+
INDEX($A45:$BM45,,$BV$19)*$BW$19+
INDEX($A45:$BM45,,$BV$20)*$BW$20+
INDEX($A45:$BM45,,$BV$21)*$BW$21+
INDEX($A45:$BM45,,$BV$22)*$BW$22+
INDEX($A45:$BM45,,$BV$23)*$BW$23+
INDEX($A45:$BM45,,$BV$25)*$BW$25+
INDEX($A45:$BM45,,$BV$26)*$BW$26+
INDEX($A45:$BM45,,$BV$27)*$BW$27+
$BN45)),
$BN45-100)</f>
        <v>-100</v>
      </c>
      <c r="BB45" t="str">
        <f t="shared" si="7"/>
        <v/>
      </c>
      <c r="BC45" t="str">
        <f t="shared" si="8"/>
        <v/>
      </c>
      <c r="BD45" s="430">
        <f>IFERROR(
IF(BB45="",-100,
IF($BV$2&gt;0, INDEX(Beersheet!$A:$U,MATCH(BB45,INDEX(Beersheet!$A:$U,0,FFARawStatProjections!$BV$2),0),$BV$3)+$BN45,
INDEX($A45:$BM45,,$BV$12)*$BW$12+
INDEX($A45:$BM45,,$BV$15)*$BW$15+
INDEX($A45:$BM45,,$BV$16)*$BW$16+
INDEX($A45:$BM45,,$BV$17)*$BW$17+
INDEX($A45:$BM45,,$BV$18)*$BW$18+
INDEX($A45:$BM45,,$BV$19)*$BW$19+
INDEX($A45:$BM45,,$BV$20)*$BW$20+
INDEX($A45:$BM45,,$BV$21)*$BW$21+
INDEX($A45:$BM45,,$BV$22)*$BW$22+
INDEX($A45:$BM45,,$BV$23)*$BW$23+
INDEX($A45:$BM45,,$BV$25)*$BW$25+
INDEX($A45:$BM45,,$BV$26)*$BW$26+
INDEX($A45:$BM45,,$BV$27)*$BW$27+
$BN45)),
$BN45-100)</f>
        <v>-100</v>
      </c>
      <c r="BF45" t="str">
        <f t="shared" si="9"/>
        <v/>
      </c>
      <c r="BG45" t="str">
        <f t="shared" si="10"/>
        <v/>
      </c>
      <c r="BH45">
        <f t="shared" si="11"/>
        <v>0</v>
      </c>
      <c r="BJ45" t="str">
        <f t="shared" si="12"/>
        <v/>
      </c>
      <c r="BL45">
        <f t="shared" si="1"/>
        <v>0</v>
      </c>
      <c r="BN45">
        <v>4.4000000000000002E-4</v>
      </c>
      <c r="BS45" s="4" t="s">
        <v>1763</v>
      </c>
      <c r="BV45" t="e">
        <f t="shared" si="13"/>
        <v>#N/A</v>
      </c>
    </row>
    <row r="46" spans="1:75" ht="15.75" hidden="1" thickBot="1" x14ac:dyDescent="0.3">
      <c r="A46" s="569" t="s">
        <v>2159</v>
      </c>
      <c r="B46" s="569" t="s">
        <v>151</v>
      </c>
      <c r="C46" s="569" t="s">
        <v>1</v>
      </c>
      <c r="D46" s="574">
        <v>7</v>
      </c>
      <c r="E46" s="569"/>
      <c r="F46" s="569"/>
      <c r="G46" s="569">
        <v>87.1</v>
      </c>
      <c r="H46" s="569">
        <v>51</v>
      </c>
      <c r="I46" s="574">
        <v>4</v>
      </c>
      <c r="J46" s="574">
        <v>1.6</v>
      </c>
      <c r="K46" s="574">
        <v>526.1</v>
      </c>
      <c r="L46" s="574">
        <v>0</v>
      </c>
      <c r="M46" s="574">
        <v>0</v>
      </c>
      <c r="N46" s="574">
        <v>0</v>
      </c>
      <c r="O46" s="574">
        <v>14.8</v>
      </c>
      <c r="P46" s="574">
        <v>0.2</v>
      </c>
      <c r="Q46" s="574">
        <v>32.200000000000003</v>
      </c>
      <c r="R46" s="569"/>
      <c r="S46" s="569"/>
      <c r="T46" s="569"/>
      <c r="U46" s="569"/>
      <c r="V46" s="569"/>
      <c r="W46" s="569"/>
      <c r="X46" s="569"/>
      <c r="Y46" s="569"/>
      <c r="Z46" s="569"/>
      <c r="AA46" s="569"/>
      <c r="AB46" s="569"/>
      <c r="AC46" s="569"/>
      <c r="AD46" s="569"/>
      <c r="AE46" s="569"/>
      <c r="AF46" s="569"/>
      <c r="AG46" s="569"/>
      <c r="AH46" s="569"/>
      <c r="AI46" s="569"/>
      <c r="AJ46" s="569"/>
      <c r="AK46" s="569"/>
      <c r="AL46" s="569"/>
      <c r="AM46" s="569"/>
      <c r="AN46" s="574">
        <v>26.8</v>
      </c>
      <c r="AO46">
        <v>45</v>
      </c>
      <c r="AP46" t="str">
        <f t="shared" si="14"/>
        <v>Davis Mills</v>
      </c>
      <c r="AQ46" t="str">
        <f t="shared" si="2"/>
        <v>HOU</v>
      </c>
      <c r="AR46" s="430">
        <f>IFERROR(
IF(AP46="",-100,
IF($BV$2&gt;0, INDEX(Beersheet!$A:$U,MATCH(AP46,INDEX(Beersheet!$A:$U,0,FFARawStatProjections!$BV$2),0),$BV$3)+$BN46,
INDEX($A46:$BM46,,$BV$12)*$BW$12+
INDEX($A46:$BM46,,$BV$15)*$BW$15+
INDEX($A46:$BM46,,$BV$16)*$BW$16+
INDEX($A46:$BM46,,$BV$17)*$BW$17+
INDEX($A46:$BM46,,$BV$18)*$BW$18+
INDEX($A46:$BM46,,$BV$19)*$BW$19+
INDEX($A46:$BM46,,$BV$20)*$BW$20+
INDEX($A46:$BM46,,$BV$21)*$BW$21+
INDEX($A46:$BM46,,$BV$22)*$BW$22+
INDEX($A46:$BM46,,$BV$23)*$BW$23+
INDEX($A46:$BM46,,$BV$25)*$BW$25+
INDEX($A46:$BM46,,$BV$26)*$BW$26+
INDEX($A46:$BM46,,$BV$27)*$BW$27+
$BN46)),
$BN46-100)</f>
        <v>27.864450000000005</v>
      </c>
      <c r="AT46" t="str">
        <f t="shared" si="3"/>
        <v/>
      </c>
      <c r="AU46" t="str">
        <f t="shared" si="4"/>
        <v/>
      </c>
      <c r="AV46" s="430">
        <f>IFERROR(
IF(AT46="",-100,
IF($BV$2&gt;0, INDEX(Beersheet!$A:$U,MATCH(AT46,INDEX(Beersheet!$A:$U,0,FFARawStatProjections!$BV$2),0),$BV$3)+$BN46,
INDEX($A46:$BM46,,$BV$12)*$BW$12+
INDEX($A46:$BM46,,$BV$15)*$BW$15+
INDEX($A46:$BM46,,$BV$16)*$BW$16+
INDEX($A46:$BM46,,$BV$17)*$BW$17+
INDEX($A46:$BM46,,$BV$18)*$BW$18+
INDEX($A46:$BM46,,$BV$19)*$BW$19+
INDEX($A46:$BM46,,$BV$20)*$BW$20+
INDEX($A46:$BM46,,$BV$21)*$BW$21+
INDEX($A46:$BM46,,$BV$22)*$BW$22+
INDEX($A46:$BM46,,$BV$23)*$BW$23+
INDEX($A46:$BM46,,$BV$25)*$BW$25+
INDEX($A46:$BM46,,$BV$26)*$BW$26+
INDEX($A46:$BM46,,$BV$27)*$BW$27+
$BN46)),
$BN46-100)</f>
        <v>-100</v>
      </c>
      <c r="AX46" t="str">
        <f t="shared" si="5"/>
        <v/>
      </c>
      <c r="AY46" t="str">
        <f t="shared" si="6"/>
        <v/>
      </c>
      <c r="AZ46" s="430">
        <f>IFERROR(
IF(AX46="",-100,
IF($BV$2&gt;0, INDEX(Beersheet!$A:$U,MATCH(AX46,INDEX(Beersheet!$A:$U,0,FFARawStatProjections!$BV$2),0),$BV$3)+$BN46,
INDEX($A46:$BM46,,$BV$12)*$BW$12+
INDEX($A46:$BM46,,$BV$15)*$BW$15+
INDEX($A46:$BM46,,$BV$16)*$BW$16+
INDEX($A46:$BM46,,$BV$17)*$BW$17+
INDEX($A46:$BM46,,$BV$18)*$BW$18+
INDEX($A46:$BM46,,$BV$19)*$BW$19+
INDEX($A46:$BM46,,$BV$20)*$BW$20+
INDEX($A46:$BM46,,$BV$21)*$BW$21+
INDEX($A46:$BM46,,$BV$22)*$BW$22+
INDEX($A46:$BM46,,$BV$23)*$BW$23+
INDEX($A46:$BM46,,$BV$25)*$BW$25+
INDEX($A46:$BM46,,$BV$26)*$BW$26+
INDEX($A46:$BM46,,$BV$27)*$BW$27+
$BN46)),
$BN46-100)</f>
        <v>-100</v>
      </c>
      <c r="BB46" t="str">
        <f t="shared" si="7"/>
        <v/>
      </c>
      <c r="BC46" t="str">
        <f t="shared" si="8"/>
        <v/>
      </c>
      <c r="BD46" s="430">
        <f>IFERROR(
IF(BB46="",-100,
IF($BV$2&gt;0, INDEX(Beersheet!$A:$U,MATCH(BB46,INDEX(Beersheet!$A:$U,0,FFARawStatProjections!$BV$2),0),$BV$3)+$BN46,
INDEX($A46:$BM46,,$BV$12)*$BW$12+
INDEX($A46:$BM46,,$BV$15)*$BW$15+
INDEX($A46:$BM46,,$BV$16)*$BW$16+
INDEX($A46:$BM46,,$BV$17)*$BW$17+
INDEX($A46:$BM46,,$BV$18)*$BW$18+
INDEX($A46:$BM46,,$BV$19)*$BW$19+
INDEX($A46:$BM46,,$BV$20)*$BW$20+
INDEX($A46:$BM46,,$BV$21)*$BW$21+
INDEX($A46:$BM46,,$BV$22)*$BW$22+
INDEX($A46:$BM46,,$BV$23)*$BW$23+
INDEX($A46:$BM46,,$BV$25)*$BW$25+
INDEX($A46:$BM46,,$BV$26)*$BW$26+
INDEX($A46:$BM46,,$BV$27)*$BW$27+
$BN46)),
$BN46-100)</f>
        <v>-100</v>
      </c>
      <c r="BF46" t="str">
        <f t="shared" si="9"/>
        <v/>
      </c>
      <c r="BG46" t="str">
        <f t="shared" si="10"/>
        <v/>
      </c>
      <c r="BH46">
        <f t="shared" si="11"/>
        <v>0</v>
      </c>
      <c r="BJ46" t="str">
        <f t="shared" si="12"/>
        <v/>
      </c>
      <c r="BL46">
        <f t="shared" si="1"/>
        <v>0</v>
      </c>
      <c r="BN46">
        <v>4.4999999999999999E-4</v>
      </c>
      <c r="BS46" s="4" t="s">
        <v>162</v>
      </c>
      <c r="BV46" t="e">
        <f t="shared" si="13"/>
        <v>#N/A</v>
      </c>
    </row>
    <row r="47" spans="1:75" ht="15.75" hidden="1" thickBot="1" x14ac:dyDescent="0.3">
      <c r="A47" s="569" t="s">
        <v>180</v>
      </c>
      <c r="B47" s="569" t="s">
        <v>154</v>
      </c>
      <c r="C47" s="569" t="s">
        <v>1</v>
      </c>
      <c r="D47" s="574">
        <v>13</v>
      </c>
      <c r="E47" s="569"/>
      <c r="F47" s="569"/>
      <c r="G47" s="569">
        <v>42</v>
      </c>
      <c r="H47" s="569">
        <v>27.2</v>
      </c>
      <c r="I47" s="574">
        <v>1.3</v>
      </c>
      <c r="J47" s="574">
        <v>2</v>
      </c>
      <c r="K47" s="574">
        <v>285.89999999999998</v>
      </c>
      <c r="L47" s="574">
        <v>0</v>
      </c>
      <c r="M47" s="574">
        <v>0</v>
      </c>
      <c r="N47" s="574">
        <v>0</v>
      </c>
      <c r="O47" s="574">
        <v>14.3</v>
      </c>
      <c r="P47" s="574">
        <v>0.2</v>
      </c>
      <c r="Q47" s="574">
        <v>59.2</v>
      </c>
      <c r="R47" s="569"/>
      <c r="S47" s="569"/>
      <c r="T47" s="569"/>
      <c r="U47" s="569"/>
      <c r="V47" s="569"/>
      <c r="W47" s="569"/>
      <c r="X47" s="569"/>
      <c r="Y47" s="569"/>
      <c r="Z47" s="569"/>
      <c r="AA47" s="569"/>
      <c r="AB47" s="569"/>
      <c r="AC47" s="569"/>
      <c r="AD47" s="569"/>
      <c r="AE47" s="569"/>
      <c r="AF47" s="569"/>
      <c r="AG47" s="569"/>
      <c r="AH47" s="569"/>
      <c r="AI47" s="569"/>
      <c r="AJ47" s="569"/>
      <c r="AK47" s="569"/>
      <c r="AL47" s="569"/>
      <c r="AM47" s="569"/>
      <c r="AN47" s="574">
        <v>24.9</v>
      </c>
      <c r="AO47">
        <v>46</v>
      </c>
      <c r="AP47" t="str">
        <f t="shared" si="14"/>
        <v>Tyrod Taylor</v>
      </c>
      <c r="AQ47" t="str">
        <f t="shared" si="2"/>
        <v>NYG</v>
      </c>
      <c r="AR47" s="430">
        <f>IFERROR(
IF(AP47="",-100,
IF($BV$2&gt;0, INDEX(Beersheet!$A:$U,MATCH(AP47,INDEX(Beersheet!$A:$U,0,FFARawStatProjections!$BV$2),0),$BV$3)+$BN47,
INDEX($A47:$BM47,,$BV$12)*$BW$12+
INDEX($A47:$BM47,,$BV$15)*$BW$15+
INDEX($A47:$BM47,,$BV$16)*$BW$16+
INDEX($A47:$BM47,,$BV$17)*$BW$17+
INDEX($A47:$BM47,,$BV$18)*$BW$18+
INDEX($A47:$BM47,,$BV$19)*$BW$19+
INDEX($A47:$BM47,,$BV$20)*$BW$20+
INDEX($A47:$BM47,,$BV$21)*$BW$21+
INDEX($A47:$BM47,,$BV$22)*$BW$22+
INDEX($A47:$BM47,,$BV$23)*$BW$23+
INDEX($A47:$BM47,,$BV$25)*$BW$25+
INDEX($A47:$BM47,,$BV$26)*$BW$26+
INDEX($A47:$BM47,,$BV$27)*$BW$27+
$BN47)),
$BN47-100)</f>
        <v>25.256460000000001</v>
      </c>
      <c r="AT47" t="str">
        <f t="shared" si="3"/>
        <v/>
      </c>
      <c r="AU47" t="str">
        <f t="shared" si="4"/>
        <v/>
      </c>
      <c r="AV47" s="430">
        <f>IFERROR(
IF(AT47="",-100,
IF($BV$2&gt;0, INDEX(Beersheet!$A:$U,MATCH(AT47,INDEX(Beersheet!$A:$U,0,FFARawStatProjections!$BV$2),0),$BV$3)+$BN47,
INDEX($A47:$BM47,,$BV$12)*$BW$12+
INDEX($A47:$BM47,,$BV$15)*$BW$15+
INDEX($A47:$BM47,,$BV$16)*$BW$16+
INDEX($A47:$BM47,,$BV$17)*$BW$17+
INDEX($A47:$BM47,,$BV$18)*$BW$18+
INDEX($A47:$BM47,,$BV$19)*$BW$19+
INDEX($A47:$BM47,,$BV$20)*$BW$20+
INDEX($A47:$BM47,,$BV$21)*$BW$21+
INDEX($A47:$BM47,,$BV$22)*$BW$22+
INDEX($A47:$BM47,,$BV$23)*$BW$23+
INDEX($A47:$BM47,,$BV$25)*$BW$25+
INDEX($A47:$BM47,,$BV$26)*$BW$26+
INDEX($A47:$BM47,,$BV$27)*$BW$27+
$BN47)),
$BN47-100)</f>
        <v>-100</v>
      </c>
      <c r="AX47" t="str">
        <f t="shared" si="5"/>
        <v/>
      </c>
      <c r="AY47" t="str">
        <f t="shared" si="6"/>
        <v/>
      </c>
      <c r="AZ47" s="430">
        <f>IFERROR(
IF(AX47="",-100,
IF($BV$2&gt;0, INDEX(Beersheet!$A:$U,MATCH(AX47,INDEX(Beersheet!$A:$U,0,FFARawStatProjections!$BV$2),0),$BV$3)+$BN47,
INDEX($A47:$BM47,,$BV$12)*$BW$12+
INDEX($A47:$BM47,,$BV$15)*$BW$15+
INDEX($A47:$BM47,,$BV$16)*$BW$16+
INDEX($A47:$BM47,,$BV$17)*$BW$17+
INDEX($A47:$BM47,,$BV$18)*$BW$18+
INDEX($A47:$BM47,,$BV$19)*$BW$19+
INDEX($A47:$BM47,,$BV$20)*$BW$20+
INDEX($A47:$BM47,,$BV$21)*$BW$21+
INDEX($A47:$BM47,,$BV$22)*$BW$22+
INDEX($A47:$BM47,,$BV$23)*$BW$23+
INDEX($A47:$BM47,,$BV$25)*$BW$25+
INDEX($A47:$BM47,,$BV$26)*$BW$26+
INDEX($A47:$BM47,,$BV$27)*$BW$27+
$BN47)),
$BN47-100)</f>
        <v>-100</v>
      </c>
      <c r="BB47" t="str">
        <f t="shared" si="7"/>
        <v/>
      </c>
      <c r="BC47" t="str">
        <f t="shared" si="8"/>
        <v/>
      </c>
      <c r="BD47" s="430">
        <f>IFERROR(
IF(BB47="",-100,
IF($BV$2&gt;0, INDEX(Beersheet!$A:$U,MATCH(BB47,INDEX(Beersheet!$A:$U,0,FFARawStatProjections!$BV$2),0),$BV$3)+$BN47,
INDEX($A47:$BM47,,$BV$12)*$BW$12+
INDEX($A47:$BM47,,$BV$15)*$BW$15+
INDEX($A47:$BM47,,$BV$16)*$BW$16+
INDEX($A47:$BM47,,$BV$17)*$BW$17+
INDEX($A47:$BM47,,$BV$18)*$BW$18+
INDEX($A47:$BM47,,$BV$19)*$BW$19+
INDEX($A47:$BM47,,$BV$20)*$BW$20+
INDEX($A47:$BM47,,$BV$21)*$BW$21+
INDEX($A47:$BM47,,$BV$22)*$BW$22+
INDEX($A47:$BM47,,$BV$23)*$BW$23+
INDEX($A47:$BM47,,$BV$25)*$BW$25+
INDEX($A47:$BM47,,$BV$26)*$BW$26+
INDEX($A47:$BM47,,$BV$27)*$BW$27+
$BN47)),
$BN47-100)</f>
        <v>-100</v>
      </c>
      <c r="BF47" t="str">
        <f t="shared" si="9"/>
        <v/>
      </c>
      <c r="BG47" t="str">
        <f t="shared" si="10"/>
        <v/>
      </c>
      <c r="BH47">
        <f t="shared" si="11"/>
        <v>0</v>
      </c>
      <c r="BJ47" t="str">
        <f t="shared" si="12"/>
        <v/>
      </c>
      <c r="BL47">
        <f t="shared" si="1"/>
        <v>0</v>
      </c>
      <c r="BN47">
        <v>4.6000000000000001E-4</v>
      </c>
      <c r="BS47" s="4" t="s">
        <v>2529</v>
      </c>
      <c r="BV47" t="e">
        <f t="shared" si="13"/>
        <v>#N/A</v>
      </c>
    </row>
    <row r="48" spans="1:75" ht="15.75" hidden="1" thickBot="1" x14ac:dyDescent="0.3">
      <c r="A48" s="569" t="s">
        <v>1133</v>
      </c>
      <c r="B48" s="569" t="s">
        <v>137</v>
      </c>
      <c r="C48" s="569" t="s">
        <v>1</v>
      </c>
      <c r="D48" s="574">
        <v>10</v>
      </c>
      <c r="E48" s="569"/>
      <c r="F48" s="569"/>
      <c r="G48" s="569">
        <v>54.6</v>
      </c>
      <c r="H48" s="569">
        <v>34.299999999999997</v>
      </c>
      <c r="I48" s="574">
        <v>1.2</v>
      </c>
      <c r="J48" s="574">
        <v>1.6</v>
      </c>
      <c r="K48" s="574">
        <v>325.5</v>
      </c>
      <c r="L48" s="574">
        <v>0</v>
      </c>
      <c r="M48" s="574">
        <v>0</v>
      </c>
      <c r="N48" s="574">
        <v>0</v>
      </c>
      <c r="O48" s="574">
        <v>15.4</v>
      </c>
      <c r="P48" s="574">
        <v>0.3</v>
      </c>
      <c r="Q48" s="574">
        <v>48.8</v>
      </c>
      <c r="R48" s="569"/>
      <c r="S48" s="569"/>
      <c r="T48" s="569"/>
      <c r="U48" s="569"/>
      <c r="V48" s="569"/>
      <c r="W48" s="569"/>
      <c r="X48" s="569"/>
      <c r="Y48" s="569"/>
      <c r="Z48" s="569"/>
      <c r="AA48" s="569"/>
      <c r="AB48" s="569"/>
      <c r="AC48" s="569"/>
      <c r="AD48" s="569"/>
      <c r="AE48" s="569"/>
      <c r="AF48" s="569"/>
      <c r="AG48" s="569"/>
      <c r="AH48" s="569"/>
      <c r="AI48" s="569"/>
      <c r="AJ48" s="569"/>
      <c r="AK48" s="569"/>
      <c r="AL48" s="569"/>
      <c r="AM48" s="569"/>
      <c r="AN48" s="574">
        <v>23.8</v>
      </c>
      <c r="AO48">
        <v>47</v>
      </c>
      <c r="AP48" t="str">
        <f t="shared" si="14"/>
        <v>Marcus Mariota</v>
      </c>
      <c r="AQ48" t="str">
        <f t="shared" si="2"/>
        <v>PHI</v>
      </c>
      <c r="AR48" s="430">
        <f>IFERROR(
IF(AP48="",-100,
IF($BV$2&gt;0, INDEX(Beersheet!$A:$U,MATCH(AP48,INDEX(Beersheet!$A:$U,0,FFARawStatProjections!$BV$2),0),$BV$3)+$BN48,
INDEX($A48:$BM48,,$BV$12)*$BW$12+
INDEX($A48:$BM48,,$BV$15)*$BW$15+
INDEX($A48:$BM48,,$BV$16)*$BW$16+
INDEX($A48:$BM48,,$BV$17)*$BW$17+
INDEX($A48:$BM48,,$BV$18)*$BW$18+
INDEX($A48:$BM48,,$BV$19)*$BW$19+
INDEX($A48:$BM48,,$BV$20)*$BW$20+
INDEX($A48:$BM48,,$BV$21)*$BW$21+
INDEX($A48:$BM48,,$BV$22)*$BW$22+
INDEX($A48:$BM48,,$BV$23)*$BW$23+
INDEX($A48:$BM48,,$BV$25)*$BW$25+
INDEX($A48:$BM48,,$BV$26)*$BW$26+
INDEX($A48:$BM48,,$BV$27)*$BW$27+
$BN48)),
$BN48-100)</f>
        <v>24.900469999999999</v>
      </c>
      <c r="AT48" t="str">
        <f t="shared" si="3"/>
        <v/>
      </c>
      <c r="AU48" t="str">
        <f t="shared" si="4"/>
        <v/>
      </c>
      <c r="AV48" s="430">
        <f>IFERROR(
IF(AT48="",-100,
IF($BV$2&gt;0, INDEX(Beersheet!$A:$U,MATCH(AT48,INDEX(Beersheet!$A:$U,0,FFARawStatProjections!$BV$2),0),$BV$3)+$BN48,
INDEX($A48:$BM48,,$BV$12)*$BW$12+
INDEX($A48:$BM48,,$BV$15)*$BW$15+
INDEX($A48:$BM48,,$BV$16)*$BW$16+
INDEX($A48:$BM48,,$BV$17)*$BW$17+
INDEX($A48:$BM48,,$BV$18)*$BW$18+
INDEX($A48:$BM48,,$BV$19)*$BW$19+
INDEX($A48:$BM48,,$BV$20)*$BW$20+
INDEX($A48:$BM48,,$BV$21)*$BW$21+
INDEX($A48:$BM48,,$BV$22)*$BW$22+
INDEX($A48:$BM48,,$BV$23)*$BW$23+
INDEX($A48:$BM48,,$BV$25)*$BW$25+
INDEX($A48:$BM48,,$BV$26)*$BW$26+
INDEX($A48:$BM48,,$BV$27)*$BW$27+
$BN48)),
$BN48-100)</f>
        <v>-100</v>
      </c>
      <c r="AX48" t="str">
        <f t="shared" si="5"/>
        <v/>
      </c>
      <c r="AY48" t="str">
        <f t="shared" si="6"/>
        <v/>
      </c>
      <c r="AZ48" s="430">
        <f>IFERROR(
IF(AX48="",-100,
IF($BV$2&gt;0, INDEX(Beersheet!$A:$U,MATCH(AX48,INDEX(Beersheet!$A:$U,0,FFARawStatProjections!$BV$2),0),$BV$3)+$BN48,
INDEX($A48:$BM48,,$BV$12)*$BW$12+
INDEX($A48:$BM48,,$BV$15)*$BW$15+
INDEX($A48:$BM48,,$BV$16)*$BW$16+
INDEX($A48:$BM48,,$BV$17)*$BW$17+
INDEX($A48:$BM48,,$BV$18)*$BW$18+
INDEX($A48:$BM48,,$BV$19)*$BW$19+
INDEX($A48:$BM48,,$BV$20)*$BW$20+
INDEX($A48:$BM48,,$BV$21)*$BW$21+
INDEX($A48:$BM48,,$BV$22)*$BW$22+
INDEX($A48:$BM48,,$BV$23)*$BW$23+
INDEX($A48:$BM48,,$BV$25)*$BW$25+
INDEX($A48:$BM48,,$BV$26)*$BW$26+
INDEX($A48:$BM48,,$BV$27)*$BW$27+
$BN48)),
$BN48-100)</f>
        <v>-100</v>
      </c>
      <c r="BB48" t="str">
        <f t="shared" si="7"/>
        <v/>
      </c>
      <c r="BC48" t="str">
        <f t="shared" si="8"/>
        <v/>
      </c>
      <c r="BD48" s="430">
        <f>IFERROR(
IF(BB48="",-100,
IF($BV$2&gt;0, INDEX(Beersheet!$A:$U,MATCH(BB48,INDEX(Beersheet!$A:$U,0,FFARawStatProjections!$BV$2),0),$BV$3)+$BN48,
INDEX($A48:$BM48,,$BV$12)*$BW$12+
INDEX($A48:$BM48,,$BV$15)*$BW$15+
INDEX($A48:$BM48,,$BV$16)*$BW$16+
INDEX($A48:$BM48,,$BV$17)*$BW$17+
INDEX($A48:$BM48,,$BV$18)*$BW$18+
INDEX($A48:$BM48,,$BV$19)*$BW$19+
INDEX($A48:$BM48,,$BV$20)*$BW$20+
INDEX($A48:$BM48,,$BV$21)*$BW$21+
INDEX($A48:$BM48,,$BV$22)*$BW$22+
INDEX($A48:$BM48,,$BV$23)*$BW$23+
INDEX($A48:$BM48,,$BV$25)*$BW$25+
INDEX($A48:$BM48,,$BV$26)*$BW$26+
INDEX($A48:$BM48,,$BV$27)*$BW$27+
$BN48)),
$BN48-100)</f>
        <v>-100</v>
      </c>
      <c r="BF48" t="str">
        <f t="shared" si="9"/>
        <v/>
      </c>
      <c r="BG48" t="str">
        <f t="shared" si="10"/>
        <v/>
      </c>
      <c r="BH48">
        <f t="shared" si="11"/>
        <v>0</v>
      </c>
      <c r="BJ48" t="str">
        <f t="shared" si="12"/>
        <v/>
      </c>
      <c r="BL48">
        <f t="shared" si="1"/>
        <v>0</v>
      </c>
      <c r="BN48">
        <v>4.6999999999999999E-4</v>
      </c>
      <c r="BS48" s="4" t="s">
        <v>2339</v>
      </c>
      <c r="BV48" t="e">
        <f t="shared" si="13"/>
        <v>#N/A</v>
      </c>
    </row>
    <row r="49" spans="1:75" ht="15.75" hidden="1" thickBot="1" x14ac:dyDescent="0.3">
      <c r="A49" s="569" t="s">
        <v>2167</v>
      </c>
      <c r="B49" s="569" t="s">
        <v>1389</v>
      </c>
      <c r="C49" s="569" t="s">
        <v>1</v>
      </c>
      <c r="D49" s="574">
        <v>10</v>
      </c>
      <c r="E49" s="569"/>
      <c r="F49" s="569"/>
      <c r="G49" s="569">
        <v>82.2</v>
      </c>
      <c r="H49" s="569">
        <v>46.6</v>
      </c>
      <c r="I49" s="574">
        <v>5.7</v>
      </c>
      <c r="J49" s="574">
        <v>2</v>
      </c>
      <c r="K49" s="574">
        <v>494.1</v>
      </c>
      <c r="L49" s="574">
        <v>0</v>
      </c>
      <c r="M49" s="574">
        <v>0</v>
      </c>
      <c r="N49" s="574">
        <v>0</v>
      </c>
      <c r="O49" s="574">
        <v>25.7</v>
      </c>
      <c r="P49" s="574">
        <v>0.1</v>
      </c>
      <c r="Q49" s="574">
        <v>27.2</v>
      </c>
      <c r="R49" s="569"/>
      <c r="S49" s="569"/>
      <c r="T49" s="569"/>
      <c r="U49" s="569"/>
      <c r="V49" s="569"/>
      <c r="W49" s="569"/>
      <c r="X49" s="569"/>
      <c r="Y49" s="569"/>
      <c r="Z49" s="569"/>
      <c r="AA49" s="569"/>
      <c r="AB49" s="569"/>
      <c r="AC49" s="569"/>
      <c r="AD49" s="569"/>
      <c r="AE49" s="569"/>
      <c r="AF49" s="569"/>
      <c r="AG49" s="569"/>
      <c r="AH49" s="569"/>
      <c r="AI49" s="569"/>
      <c r="AJ49" s="569"/>
      <c r="AK49" s="569"/>
      <c r="AL49" s="569"/>
      <c r="AM49" s="569"/>
      <c r="AN49" s="574">
        <v>23.5</v>
      </c>
      <c r="AO49">
        <v>48</v>
      </c>
      <c r="AP49" t="str">
        <f t="shared" si="14"/>
        <v>Brett Rypien</v>
      </c>
      <c r="AQ49" t="str">
        <f t="shared" si="2"/>
        <v>LAR</v>
      </c>
      <c r="AR49" s="430">
        <f>IFERROR(
IF(AP49="",-100,
IF($BV$2&gt;0, INDEX(Beersheet!$A:$U,MATCH(AP49,INDEX(Beersheet!$A:$U,0,FFARawStatProjections!$BV$2),0),$BV$3)+$BN49,
INDEX($A49:$BM49,,$BV$12)*$BW$12+
INDEX($A49:$BM49,,$BV$15)*$BW$15+
INDEX($A49:$BM49,,$BV$16)*$BW$16+
INDEX($A49:$BM49,,$BV$17)*$BW$17+
INDEX($A49:$BM49,,$BV$18)*$BW$18+
INDEX($A49:$BM49,,$BV$19)*$BW$19+
INDEX($A49:$BM49,,$BV$20)*$BW$20+
INDEX($A49:$BM49,,$BV$21)*$BW$21+
INDEX($A49:$BM49,,$BV$22)*$BW$22+
INDEX($A49:$BM49,,$BV$23)*$BW$23+
INDEX($A49:$BM49,,$BV$25)*$BW$25+
INDEX($A49:$BM49,,$BV$26)*$BW$26+
INDEX($A49:$BM49,,$BV$27)*$BW$27+
$BN49)),
$BN49-100)</f>
        <v>25.384480000000003</v>
      </c>
      <c r="AT49" t="str">
        <f t="shared" si="3"/>
        <v/>
      </c>
      <c r="AU49" t="str">
        <f t="shared" si="4"/>
        <v/>
      </c>
      <c r="AV49" s="430">
        <f>IFERROR(
IF(AT49="",-100,
IF($BV$2&gt;0, INDEX(Beersheet!$A:$U,MATCH(AT49,INDEX(Beersheet!$A:$U,0,FFARawStatProjections!$BV$2),0),$BV$3)+$BN49,
INDEX($A49:$BM49,,$BV$12)*$BW$12+
INDEX($A49:$BM49,,$BV$15)*$BW$15+
INDEX($A49:$BM49,,$BV$16)*$BW$16+
INDEX($A49:$BM49,,$BV$17)*$BW$17+
INDEX($A49:$BM49,,$BV$18)*$BW$18+
INDEX($A49:$BM49,,$BV$19)*$BW$19+
INDEX($A49:$BM49,,$BV$20)*$BW$20+
INDEX($A49:$BM49,,$BV$21)*$BW$21+
INDEX($A49:$BM49,,$BV$22)*$BW$22+
INDEX($A49:$BM49,,$BV$23)*$BW$23+
INDEX($A49:$BM49,,$BV$25)*$BW$25+
INDEX($A49:$BM49,,$BV$26)*$BW$26+
INDEX($A49:$BM49,,$BV$27)*$BW$27+
$BN49)),
$BN49-100)</f>
        <v>-100</v>
      </c>
      <c r="AX49" t="str">
        <f t="shared" si="5"/>
        <v/>
      </c>
      <c r="AY49" t="str">
        <f t="shared" si="6"/>
        <v/>
      </c>
      <c r="AZ49" s="430">
        <f>IFERROR(
IF(AX49="",-100,
IF($BV$2&gt;0, INDEX(Beersheet!$A:$U,MATCH(AX49,INDEX(Beersheet!$A:$U,0,FFARawStatProjections!$BV$2),0),$BV$3)+$BN49,
INDEX($A49:$BM49,,$BV$12)*$BW$12+
INDEX($A49:$BM49,,$BV$15)*$BW$15+
INDEX($A49:$BM49,,$BV$16)*$BW$16+
INDEX($A49:$BM49,,$BV$17)*$BW$17+
INDEX($A49:$BM49,,$BV$18)*$BW$18+
INDEX($A49:$BM49,,$BV$19)*$BW$19+
INDEX($A49:$BM49,,$BV$20)*$BW$20+
INDEX($A49:$BM49,,$BV$21)*$BW$21+
INDEX($A49:$BM49,,$BV$22)*$BW$22+
INDEX($A49:$BM49,,$BV$23)*$BW$23+
INDEX($A49:$BM49,,$BV$25)*$BW$25+
INDEX($A49:$BM49,,$BV$26)*$BW$26+
INDEX($A49:$BM49,,$BV$27)*$BW$27+
$BN49)),
$BN49-100)</f>
        <v>-100</v>
      </c>
      <c r="BB49" t="str">
        <f t="shared" si="7"/>
        <v/>
      </c>
      <c r="BC49" t="str">
        <f t="shared" si="8"/>
        <v/>
      </c>
      <c r="BD49" s="430">
        <f>IFERROR(
IF(BB49="",-100,
IF($BV$2&gt;0, INDEX(Beersheet!$A:$U,MATCH(BB49,INDEX(Beersheet!$A:$U,0,FFARawStatProjections!$BV$2),0),$BV$3)+$BN49,
INDEX($A49:$BM49,,$BV$12)*$BW$12+
INDEX($A49:$BM49,,$BV$15)*$BW$15+
INDEX($A49:$BM49,,$BV$16)*$BW$16+
INDEX($A49:$BM49,,$BV$17)*$BW$17+
INDEX($A49:$BM49,,$BV$18)*$BW$18+
INDEX($A49:$BM49,,$BV$19)*$BW$19+
INDEX($A49:$BM49,,$BV$20)*$BW$20+
INDEX($A49:$BM49,,$BV$21)*$BW$21+
INDEX($A49:$BM49,,$BV$22)*$BW$22+
INDEX($A49:$BM49,,$BV$23)*$BW$23+
INDEX($A49:$BM49,,$BV$25)*$BW$25+
INDEX($A49:$BM49,,$BV$26)*$BW$26+
INDEX($A49:$BM49,,$BV$27)*$BW$27+
$BN49)),
$BN49-100)</f>
        <v>-100</v>
      </c>
      <c r="BF49" t="str">
        <f t="shared" si="9"/>
        <v/>
      </c>
      <c r="BG49" t="str">
        <f t="shared" si="10"/>
        <v/>
      </c>
      <c r="BH49">
        <f t="shared" si="11"/>
        <v>0</v>
      </c>
      <c r="BJ49" t="str">
        <f t="shared" si="12"/>
        <v/>
      </c>
      <c r="BL49">
        <f t="shared" si="1"/>
        <v>0</v>
      </c>
      <c r="BN49">
        <v>4.8000000000000001E-4</v>
      </c>
      <c r="BS49" s="4" t="s">
        <v>2528</v>
      </c>
      <c r="BV49" t="e">
        <f t="shared" si="13"/>
        <v>#N/A</v>
      </c>
    </row>
    <row r="50" spans="1:75" ht="15.75" hidden="1" thickBot="1" x14ac:dyDescent="0.3">
      <c r="A50" s="569" t="s">
        <v>2434</v>
      </c>
      <c r="B50" s="569" t="s">
        <v>147</v>
      </c>
      <c r="C50" s="569" t="s">
        <v>1</v>
      </c>
      <c r="D50" s="574">
        <v>6</v>
      </c>
      <c r="E50" s="569"/>
      <c r="F50" s="569"/>
      <c r="G50" s="569">
        <v>61.1</v>
      </c>
      <c r="H50" s="569">
        <v>40.299999999999997</v>
      </c>
      <c r="I50" s="574">
        <v>1.7</v>
      </c>
      <c r="J50" s="574">
        <v>1.6</v>
      </c>
      <c r="K50" s="574">
        <v>374.1</v>
      </c>
      <c r="L50" s="574">
        <v>0</v>
      </c>
      <c r="M50" s="574">
        <v>0</v>
      </c>
      <c r="N50" s="574">
        <v>0</v>
      </c>
      <c r="O50" s="574">
        <v>9</v>
      </c>
      <c r="P50" s="574">
        <v>0.3</v>
      </c>
      <c r="Q50" s="574">
        <v>26.9</v>
      </c>
      <c r="R50" s="569"/>
      <c r="S50" s="569"/>
      <c r="T50" s="569"/>
      <c r="U50" s="569"/>
      <c r="V50" s="569"/>
      <c r="W50" s="569"/>
      <c r="X50" s="569"/>
      <c r="Y50" s="569"/>
      <c r="Z50" s="569"/>
      <c r="AA50" s="569"/>
      <c r="AB50" s="569"/>
      <c r="AC50" s="569"/>
      <c r="AD50" s="569"/>
      <c r="AE50" s="569"/>
      <c r="AF50" s="569"/>
      <c r="AG50" s="569"/>
      <c r="AH50" s="569"/>
      <c r="AI50" s="569"/>
      <c r="AJ50" s="569"/>
      <c r="AK50" s="569"/>
      <c r="AL50" s="569"/>
      <c r="AM50" s="569"/>
      <c r="AN50" s="574">
        <v>23.5</v>
      </c>
      <c r="AO50">
        <v>49</v>
      </c>
      <c r="AP50" t="str">
        <f t="shared" si="14"/>
        <v>Mitch Trubisky</v>
      </c>
      <c r="AQ50" t="str">
        <f t="shared" si="2"/>
        <v>PIT</v>
      </c>
      <c r="AR50" s="430">
        <f>IFERROR(
IF(AP50="",-100,
IF($BV$2&gt;0, INDEX(Beersheet!$A:$U,MATCH(AP50,INDEX(Beersheet!$A:$U,0,FFARawStatProjections!$BV$2),0),$BV$3)+$BN50,
INDEX($A50:$BM50,,$BV$12)*$BW$12+
INDEX($A50:$BM50,,$BV$15)*$BW$15+
INDEX($A50:$BM50,,$BV$16)*$BW$16+
INDEX($A50:$BM50,,$BV$17)*$BW$17+
INDEX($A50:$BM50,,$BV$18)*$BW$18+
INDEX($A50:$BM50,,$BV$19)*$BW$19+
INDEX($A50:$BM50,,$BV$20)*$BW$20+
INDEX($A50:$BM50,,$BV$21)*$BW$21+
INDEX($A50:$BM50,,$BV$22)*$BW$22+
INDEX($A50:$BM50,,$BV$23)*$BW$23+
INDEX($A50:$BM50,,$BV$25)*$BW$25+
INDEX($A50:$BM50,,$BV$26)*$BW$26+
INDEX($A50:$BM50,,$BV$27)*$BW$27+
$BN50)),
$BN50-100)</f>
        <v>24.154490000000003</v>
      </c>
      <c r="AT50" t="str">
        <f t="shared" si="3"/>
        <v/>
      </c>
      <c r="AU50" t="str">
        <f t="shared" si="4"/>
        <v/>
      </c>
      <c r="AV50" s="430">
        <f>IFERROR(
IF(AT50="",-100,
IF($BV$2&gt;0, INDEX(Beersheet!$A:$U,MATCH(AT50,INDEX(Beersheet!$A:$U,0,FFARawStatProjections!$BV$2),0),$BV$3)+$BN50,
INDEX($A50:$BM50,,$BV$12)*$BW$12+
INDEX($A50:$BM50,,$BV$15)*$BW$15+
INDEX($A50:$BM50,,$BV$16)*$BW$16+
INDEX($A50:$BM50,,$BV$17)*$BW$17+
INDEX($A50:$BM50,,$BV$18)*$BW$18+
INDEX($A50:$BM50,,$BV$19)*$BW$19+
INDEX($A50:$BM50,,$BV$20)*$BW$20+
INDEX($A50:$BM50,,$BV$21)*$BW$21+
INDEX($A50:$BM50,,$BV$22)*$BW$22+
INDEX($A50:$BM50,,$BV$23)*$BW$23+
INDEX($A50:$BM50,,$BV$25)*$BW$25+
INDEX($A50:$BM50,,$BV$26)*$BW$26+
INDEX($A50:$BM50,,$BV$27)*$BW$27+
$BN50)),
$BN50-100)</f>
        <v>-100</v>
      </c>
      <c r="AX50" t="str">
        <f t="shared" si="5"/>
        <v/>
      </c>
      <c r="AY50" t="str">
        <f t="shared" si="6"/>
        <v/>
      </c>
      <c r="AZ50" s="430">
        <f>IFERROR(
IF(AX50="",-100,
IF($BV$2&gt;0, INDEX(Beersheet!$A:$U,MATCH(AX50,INDEX(Beersheet!$A:$U,0,FFARawStatProjections!$BV$2),0),$BV$3)+$BN50,
INDEX($A50:$BM50,,$BV$12)*$BW$12+
INDEX($A50:$BM50,,$BV$15)*$BW$15+
INDEX($A50:$BM50,,$BV$16)*$BW$16+
INDEX($A50:$BM50,,$BV$17)*$BW$17+
INDEX($A50:$BM50,,$BV$18)*$BW$18+
INDEX($A50:$BM50,,$BV$19)*$BW$19+
INDEX($A50:$BM50,,$BV$20)*$BW$20+
INDEX($A50:$BM50,,$BV$21)*$BW$21+
INDEX($A50:$BM50,,$BV$22)*$BW$22+
INDEX($A50:$BM50,,$BV$23)*$BW$23+
INDEX($A50:$BM50,,$BV$25)*$BW$25+
INDEX($A50:$BM50,,$BV$26)*$BW$26+
INDEX($A50:$BM50,,$BV$27)*$BW$27+
$BN50)),
$BN50-100)</f>
        <v>-100</v>
      </c>
      <c r="BB50" t="str">
        <f t="shared" si="7"/>
        <v/>
      </c>
      <c r="BC50" t="str">
        <f t="shared" si="8"/>
        <v/>
      </c>
      <c r="BD50" s="430">
        <f>IFERROR(
IF(BB50="",-100,
IF($BV$2&gt;0, INDEX(Beersheet!$A:$U,MATCH(BB50,INDEX(Beersheet!$A:$U,0,FFARawStatProjections!$BV$2),0),$BV$3)+$BN50,
INDEX($A50:$BM50,,$BV$12)*$BW$12+
INDEX($A50:$BM50,,$BV$15)*$BW$15+
INDEX($A50:$BM50,,$BV$16)*$BW$16+
INDEX($A50:$BM50,,$BV$17)*$BW$17+
INDEX($A50:$BM50,,$BV$18)*$BW$18+
INDEX($A50:$BM50,,$BV$19)*$BW$19+
INDEX($A50:$BM50,,$BV$20)*$BW$20+
INDEX($A50:$BM50,,$BV$21)*$BW$21+
INDEX($A50:$BM50,,$BV$22)*$BW$22+
INDEX($A50:$BM50,,$BV$23)*$BW$23+
INDEX($A50:$BM50,,$BV$25)*$BW$25+
INDEX($A50:$BM50,,$BV$26)*$BW$26+
INDEX($A50:$BM50,,$BV$27)*$BW$27+
$BN50)),
$BN50-100)</f>
        <v>-100</v>
      </c>
      <c r="BF50" t="str">
        <f t="shared" si="9"/>
        <v/>
      </c>
      <c r="BG50" t="str">
        <f t="shared" si="10"/>
        <v/>
      </c>
      <c r="BH50">
        <f t="shared" si="11"/>
        <v>0</v>
      </c>
      <c r="BJ50" t="str">
        <f t="shared" si="12"/>
        <v/>
      </c>
      <c r="BL50">
        <f t="shared" si="1"/>
        <v>0</v>
      </c>
      <c r="BN50">
        <v>4.8999999999999998E-4</v>
      </c>
      <c r="BS50" s="4" t="s">
        <v>179</v>
      </c>
      <c r="BV50" t="e">
        <f t="shared" si="13"/>
        <v>#N/A</v>
      </c>
    </row>
    <row r="51" spans="1:75" ht="15.75" hidden="1" thickBot="1" x14ac:dyDescent="0.3">
      <c r="A51" s="569" t="s">
        <v>2163</v>
      </c>
      <c r="B51" s="569" t="s">
        <v>162</v>
      </c>
      <c r="C51" s="569" t="s">
        <v>1</v>
      </c>
      <c r="D51" s="574">
        <v>13</v>
      </c>
      <c r="E51" s="569"/>
      <c r="F51" s="569"/>
      <c r="G51" s="569">
        <v>52.6</v>
      </c>
      <c r="H51" s="569">
        <v>32.9</v>
      </c>
      <c r="I51" s="574">
        <v>1.4</v>
      </c>
      <c r="J51" s="574">
        <v>1.4</v>
      </c>
      <c r="K51" s="574">
        <v>312.3</v>
      </c>
      <c r="L51" s="574">
        <v>0</v>
      </c>
      <c r="M51" s="574">
        <v>0</v>
      </c>
      <c r="N51" s="574">
        <v>0</v>
      </c>
      <c r="O51" s="574">
        <v>19.8</v>
      </c>
      <c r="P51" s="574">
        <v>0.2</v>
      </c>
      <c r="Q51" s="574">
        <v>59.4</v>
      </c>
      <c r="R51" s="569"/>
      <c r="S51" s="569"/>
      <c r="T51" s="569"/>
      <c r="U51" s="569"/>
      <c r="V51" s="569"/>
      <c r="W51" s="569"/>
      <c r="X51" s="569"/>
      <c r="Y51" s="569"/>
      <c r="Z51" s="569"/>
      <c r="AA51" s="569"/>
      <c r="AB51" s="569"/>
      <c r="AC51" s="569"/>
      <c r="AD51" s="569"/>
      <c r="AE51" s="569"/>
      <c r="AF51" s="569"/>
      <c r="AG51" s="569"/>
      <c r="AH51" s="569"/>
      <c r="AI51" s="569"/>
      <c r="AJ51" s="569"/>
      <c r="AK51" s="569"/>
      <c r="AL51" s="569"/>
      <c r="AM51" s="569"/>
      <c r="AN51" s="574">
        <v>22.8</v>
      </c>
      <c r="AO51">
        <v>50</v>
      </c>
      <c r="AP51" t="str">
        <f t="shared" si="14"/>
        <v>Tyler Huntley</v>
      </c>
      <c r="AQ51" t="str">
        <f t="shared" si="2"/>
        <v>BAL</v>
      </c>
      <c r="AR51" s="430">
        <f>IFERROR(
IF(AP51="",-100,
IF($BV$2&gt;0, INDEX(Beersheet!$A:$U,MATCH(AP51,INDEX(Beersheet!$A:$U,0,FFARawStatProjections!$BV$2),0),$BV$3)+$BN51,
INDEX($A51:$BM51,,$BV$12)*$BW$12+
INDEX($A51:$BM51,,$BV$15)*$BW$15+
INDEX($A51:$BM51,,$BV$16)*$BW$16+
INDEX($A51:$BM51,,$BV$17)*$BW$17+
INDEX($A51:$BM51,,$BV$18)*$BW$18+
INDEX($A51:$BM51,,$BV$19)*$BW$19+
INDEX($A51:$BM51,,$BV$20)*$BW$20+
INDEX($A51:$BM51,,$BV$21)*$BW$21+
INDEX($A51:$BM51,,$BV$22)*$BW$22+
INDEX($A51:$BM51,,$BV$23)*$BW$23+
INDEX($A51:$BM51,,$BV$25)*$BW$25+
INDEX($A51:$BM51,,$BV$26)*$BW$26+
INDEX($A51:$BM51,,$BV$27)*$BW$27+
$BN51)),
$BN51-100)</f>
        <v>23.8325</v>
      </c>
      <c r="AT51" t="str">
        <f t="shared" si="3"/>
        <v/>
      </c>
      <c r="AU51" t="str">
        <f t="shared" si="4"/>
        <v/>
      </c>
      <c r="AV51" s="430">
        <f>IFERROR(
IF(AT51="",-100,
IF($BV$2&gt;0, INDEX(Beersheet!$A:$U,MATCH(AT51,INDEX(Beersheet!$A:$U,0,FFARawStatProjections!$BV$2),0),$BV$3)+$BN51,
INDEX($A51:$BM51,,$BV$12)*$BW$12+
INDEX($A51:$BM51,,$BV$15)*$BW$15+
INDEX($A51:$BM51,,$BV$16)*$BW$16+
INDEX($A51:$BM51,,$BV$17)*$BW$17+
INDEX($A51:$BM51,,$BV$18)*$BW$18+
INDEX($A51:$BM51,,$BV$19)*$BW$19+
INDEX($A51:$BM51,,$BV$20)*$BW$20+
INDEX($A51:$BM51,,$BV$21)*$BW$21+
INDEX($A51:$BM51,,$BV$22)*$BW$22+
INDEX($A51:$BM51,,$BV$23)*$BW$23+
INDEX($A51:$BM51,,$BV$25)*$BW$25+
INDEX($A51:$BM51,,$BV$26)*$BW$26+
INDEX($A51:$BM51,,$BV$27)*$BW$27+
$BN51)),
$BN51-100)</f>
        <v>-100</v>
      </c>
      <c r="AX51" t="str">
        <f t="shared" si="5"/>
        <v/>
      </c>
      <c r="AY51" t="str">
        <f t="shared" si="6"/>
        <v/>
      </c>
      <c r="AZ51" s="430">
        <f>IFERROR(
IF(AX51="",-100,
IF($BV$2&gt;0, INDEX(Beersheet!$A:$U,MATCH(AX51,INDEX(Beersheet!$A:$U,0,FFARawStatProjections!$BV$2),0),$BV$3)+$BN51,
INDEX($A51:$BM51,,$BV$12)*$BW$12+
INDEX($A51:$BM51,,$BV$15)*$BW$15+
INDEX($A51:$BM51,,$BV$16)*$BW$16+
INDEX($A51:$BM51,,$BV$17)*$BW$17+
INDEX($A51:$BM51,,$BV$18)*$BW$18+
INDEX($A51:$BM51,,$BV$19)*$BW$19+
INDEX($A51:$BM51,,$BV$20)*$BW$20+
INDEX($A51:$BM51,,$BV$21)*$BW$21+
INDEX($A51:$BM51,,$BV$22)*$BW$22+
INDEX($A51:$BM51,,$BV$23)*$BW$23+
INDEX($A51:$BM51,,$BV$25)*$BW$25+
INDEX($A51:$BM51,,$BV$26)*$BW$26+
INDEX($A51:$BM51,,$BV$27)*$BW$27+
$BN51)),
$BN51-100)</f>
        <v>-100</v>
      </c>
      <c r="BB51" t="str">
        <f t="shared" si="7"/>
        <v/>
      </c>
      <c r="BC51" t="str">
        <f t="shared" si="8"/>
        <v/>
      </c>
      <c r="BD51" s="430">
        <f>IFERROR(
IF(BB51="",-100,
IF($BV$2&gt;0, INDEX(Beersheet!$A:$U,MATCH(BB51,INDEX(Beersheet!$A:$U,0,FFARawStatProjections!$BV$2),0),$BV$3)+$BN51,
INDEX($A51:$BM51,,$BV$12)*$BW$12+
INDEX($A51:$BM51,,$BV$15)*$BW$15+
INDEX($A51:$BM51,,$BV$16)*$BW$16+
INDEX($A51:$BM51,,$BV$17)*$BW$17+
INDEX($A51:$BM51,,$BV$18)*$BW$18+
INDEX($A51:$BM51,,$BV$19)*$BW$19+
INDEX($A51:$BM51,,$BV$20)*$BW$20+
INDEX($A51:$BM51,,$BV$21)*$BW$21+
INDEX($A51:$BM51,,$BV$22)*$BW$22+
INDEX($A51:$BM51,,$BV$23)*$BW$23+
INDEX($A51:$BM51,,$BV$25)*$BW$25+
INDEX($A51:$BM51,,$BV$26)*$BW$26+
INDEX($A51:$BM51,,$BV$27)*$BW$27+
$BN51)),
$BN51-100)</f>
        <v>-100</v>
      </c>
      <c r="BF51" t="str">
        <f t="shared" si="9"/>
        <v/>
      </c>
      <c r="BG51" t="str">
        <f t="shared" si="10"/>
        <v/>
      </c>
      <c r="BH51">
        <f t="shared" si="11"/>
        <v>0</v>
      </c>
      <c r="BJ51" t="str">
        <f t="shared" si="12"/>
        <v/>
      </c>
      <c r="BL51">
        <f t="shared" si="1"/>
        <v>0</v>
      </c>
      <c r="BN51">
        <v>5.0000000000000001E-4</v>
      </c>
      <c r="BS51" s="4" t="s">
        <v>2246</v>
      </c>
      <c r="BV51" t="e">
        <f t="shared" si="13"/>
        <v>#N/A</v>
      </c>
    </row>
    <row r="52" spans="1:75" ht="15.75" hidden="1" thickBot="1" x14ac:dyDescent="0.3">
      <c r="A52" s="569" t="s">
        <v>63</v>
      </c>
      <c r="B52" s="569" t="s">
        <v>159</v>
      </c>
      <c r="C52" s="569" t="s">
        <v>1</v>
      </c>
      <c r="D52" s="574">
        <v>7</v>
      </c>
      <c r="E52" s="569"/>
      <c r="F52" s="569"/>
      <c r="G52" s="569">
        <v>63.3</v>
      </c>
      <c r="H52" s="569">
        <v>39.299999999999997</v>
      </c>
      <c r="I52" s="574">
        <v>2.4</v>
      </c>
      <c r="J52" s="574">
        <v>1.9</v>
      </c>
      <c r="K52" s="574">
        <v>398.6</v>
      </c>
      <c r="L52" s="574">
        <v>0</v>
      </c>
      <c r="M52" s="574">
        <v>0</v>
      </c>
      <c r="N52" s="574">
        <v>0</v>
      </c>
      <c r="O52" s="574">
        <v>7.3</v>
      </c>
      <c r="P52" s="574">
        <v>0.1</v>
      </c>
      <c r="Q52" s="574">
        <v>15.3</v>
      </c>
      <c r="R52" s="569"/>
      <c r="S52" s="569"/>
      <c r="T52" s="569"/>
      <c r="U52" s="569"/>
      <c r="V52" s="569"/>
      <c r="W52" s="569"/>
      <c r="X52" s="569"/>
      <c r="Y52" s="569"/>
      <c r="Z52" s="569"/>
      <c r="AA52" s="569"/>
      <c r="AB52" s="569"/>
      <c r="AC52" s="569"/>
      <c r="AD52" s="569"/>
      <c r="AE52" s="569"/>
      <c r="AF52" s="569"/>
      <c r="AG52" s="569"/>
      <c r="AH52" s="569"/>
      <c r="AI52" s="569"/>
      <c r="AJ52" s="569"/>
      <c r="AK52" s="569"/>
      <c r="AL52" s="569"/>
      <c r="AM52" s="569"/>
      <c r="AN52" s="574">
        <v>22.4</v>
      </c>
      <c r="AO52">
        <v>51</v>
      </c>
      <c r="AP52" t="str">
        <f t="shared" si="14"/>
        <v>Andy Dalton</v>
      </c>
      <c r="AQ52" t="str">
        <f t="shared" si="2"/>
        <v>CAR</v>
      </c>
      <c r="AR52" s="430">
        <f>IFERROR(
IF(AP52="",-100,
IF($BV$2&gt;0, INDEX(Beersheet!$A:$U,MATCH(AP52,INDEX(Beersheet!$A:$U,0,FFARawStatProjections!$BV$2),0),$BV$3)+$BN52,
INDEX($A52:$BM52,,$BV$12)*$BW$12+
INDEX($A52:$BM52,,$BV$15)*$BW$15+
INDEX($A52:$BM52,,$BV$16)*$BW$16+
INDEX($A52:$BM52,,$BV$17)*$BW$17+
INDEX($A52:$BM52,,$BV$18)*$BW$18+
INDEX($A52:$BM52,,$BV$19)*$BW$19+
INDEX($A52:$BM52,,$BV$20)*$BW$20+
INDEX($A52:$BM52,,$BV$21)*$BW$21+
INDEX($A52:$BM52,,$BV$22)*$BW$22+
INDEX($A52:$BM52,,$BV$23)*$BW$23+
INDEX($A52:$BM52,,$BV$25)*$BW$25+
INDEX($A52:$BM52,,$BV$26)*$BW$26+
INDEX($A52:$BM52,,$BV$27)*$BW$27+
$BN52)),
$BN52-100)</f>
        <v>23.274509999999999</v>
      </c>
      <c r="AT52" t="str">
        <f t="shared" si="3"/>
        <v/>
      </c>
      <c r="AU52" t="str">
        <f t="shared" si="4"/>
        <v/>
      </c>
      <c r="AV52" s="430">
        <f>IFERROR(
IF(AT52="",-100,
IF($BV$2&gt;0, INDEX(Beersheet!$A:$U,MATCH(AT52,INDEX(Beersheet!$A:$U,0,FFARawStatProjections!$BV$2),0),$BV$3)+$BN52,
INDEX($A52:$BM52,,$BV$12)*$BW$12+
INDEX($A52:$BM52,,$BV$15)*$BW$15+
INDEX($A52:$BM52,,$BV$16)*$BW$16+
INDEX($A52:$BM52,,$BV$17)*$BW$17+
INDEX($A52:$BM52,,$BV$18)*$BW$18+
INDEX($A52:$BM52,,$BV$19)*$BW$19+
INDEX($A52:$BM52,,$BV$20)*$BW$20+
INDEX($A52:$BM52,,$BV$21)*$BW$21+
INDEX($A52:$BM52,,$BV$22)*$BW$22+
INDEX($A52:$BM52,,$BV$23)*$BW$23+
INDEX($A52:$BM52,,$BV$25)*$BW$25+
INDEX($A52:$BM52,,$BV$26)*$BW$26+
INDEX($A52:$BM52,,$BV$27)*$BW$27+
$BN52)),
$BN52-100)</f>
        <v>-100</v>
      </c>
      <c r="AX52" t="str">
        <f t="shared" si="5"/>
        <v/>
      </c>
      <c r="AY52" t="str">
        <f t="shared" si="6"/>
        <v/>
      </c>
      <c r="AZ52" s="430">
        <f>IFERROR(
IF(AX52="",-100,
IF($BV$2&gt;0, INDEX(Beersheet!$A:$U,MATCH(AX52,INDEX(Beersheet!$A:$U,0,FFARawStatProjections!$BV$2),0),$BV$3)+$BN52,
INDEX($A52:$BM52,,$BV$12)*$BW$12+
INDEX($A52:$BM52,,$BV$15)*$BW$15+
INDEX($A52:$BM52,,$BV$16)*$BW$16+
INDEX($A52:$BM52,,$BV$17)*$BW$17+
INDEX($A52:$BM52,,$BV$18)*$BW$18+
INDEX($A52:$BM52,,$BV$19)*$BW$19+
INDEX($A52:$BM52,,$BV$20)*$BW$20+
INDEX($A52:$BM52,,$BV$21)*$BW$21+
INDEX($A52:$BM52,,$BV$22)*$BW$22+
INDEX($A52:$BM52,,$BV$23)*$BW$23+
INDEX($A52:$BM52,,$BV$25)*$BW$25+
INDEX($A52:$BM52,,$BV$26)*$BW$26+
INDEX($A52:$BM52,,$BV$27)*$BW$27+
$BN52)),
$BN52-100)</f>
        <v>-100</v>
      </c>
      <c r="BB52" t="str">
        <f t="shared" si="7"/>
        <v/>
      </c>
      <c r="BC52" t="str">
        <f t="shared" si="8"/>
        <v/>
      </c>
      <c r="BD52" s="430">
        <f>IFERROR(
IF(BB52="",-100,
IF($BV$2&gt;0, INDEX(Beersheet!$A:$U,MATCH(BB52,INDEX(Beersheet!$A:$U,0,FFARawStatProjections!$BV$2),0),$BV$3)+$BN52,
INDEX($A52:$BM52,,$BV$12)*$BW$12+
INDEX($A52:$BM52,,$BV$15)*$BW$15+
INDEX($A52:$BM52,,$BV$16)*$BW$16+
INDEX($A52:$BM52,,$BV$17)*$BW$17+
INDEX($A52:$BM52,,$BV$18)*$BW$18+
INDEX($A52:$BM52,,$BV$19)*$BW$19+
INDEX($A52:$BM52,,$BV$20)*$BW$20+
INDEX($A52:$BM52,,$BV$21)*$BW$21+
INDEX($A52:$BM52,,$BV$22)*$BW$22+
INDEX($A52:$BM52,,$BV$23)*$BW$23+
INDEX($A52:$BM52,,$BV$25)*$BW$25+
INDEX($A52:$BM52,,$BV$26)*$BW$26+
INDEX($A52:$BM52,,$BV$27)*$BW$27+
$BN52)),
$BN52-100)</f>
        <v>-100</v>
      </c>
      <c r="BF52" t="str">
        <f t="shared" si="9"/>
        <v/>
      </c>
      <c r="BG52" t="str">
        <f t="shared" si="10"/>
        <v/>
      </c>
      <c r="BH52">
        <f t="shared" si="11"/>
        <v>0</v>
      </c>
      <c r="BJ52" t="str">
        <f t="shared" si="12"/>
        <v/>
      </c>
      <c r="BL52">
        <f t="shared" si="1"/>
        <v>0</v>
      </c>
      <c r="BN52">
        <v>5.1000000000000004E-4</v>
      </c>
      <c r="BS52" s="4" t="s">
        <v>2352</v>
      </c>
      <c r="BV52" t="e">
        <f t="shared" si="13"/>
        <v>#N/A</v>
      </c>
    </row>
    <row r="53" spans="1:75" ht="15.75" hidden="1" thickBot="1" x14ac:dyDescent="0.3">
      <c r="A53" s="569" t="s">
        <v>2096</v>
      </c>
      <c r="B53" s="569" t="s">
        <v>144</v>
      </c>
      <c r="C53" s="569" t="s">
        <v>1</v>
      </c>
      <c r="D53" s="574">
        <v>9</v>
      </c>
      <c r="E53" s="569"/>
      <c r="F53" s="569"/>
      <c r="G53" s="569">
        <v>60.3</v>
      </c>
      <c r="H53" s="569">
        <v>34.299999999999997</v>
      </c>
      <c r="I53" s="574">
        <v>2.2999999999999998</v>
      </c>
      <c r="J53" s="574">
        <v>2.2000000000000002</v>
      </c>
      <c r="K53" s="574">
        <v>349.1</v>
      </c>
      <c r="L53" s="574">
        <v>0</v>
      </c>
      <c r="M53" s="574">
        <v>0</v>
      </c>
      <c r="N53" s="574">
        <v>0</v>
      </c>
      <c r="O53" s="574">
        <v>5.3</v>
      </c>
      <c r="P53" s="574">
        <v>0.1</v>
      </c>
      <c r="Q53" s="574">
        <v>10.9</v>
      </c>
      <c r="R53" s="569"/>
      <c r="S53" s="569"/>
      <c r="T53" s="569"/>
      <c r="U53" s="569"/>
      <c r="V53" s="569"/>
      <c r="W53" s="569"/>
      <c r="X53" s="569"/>
      <c r="Y53" s="569"/>
      <c r="Z53" s="569"/>
      <c r="AA53" s="569"/>
      <c r="AB53" s="569"/>
      <c r="AC53" s="569"/>
      <c r="AD53" s="569"/>
      <c r="AE53" s="569"/>
      <c r="AF53" s="569"/>
      <c r="AG53" s="569"/>
      <c r="AH53" s="569"/>
      <c r="AI53" s="569"/>
      <c r="AJ53" s="569"/>
      <c r="AK53" s="569"/>
      <c r="AL53" s="569"/>
      <c r="AM53" s="569"/>
      <c r="AN53" s="574">
        <v>21.5</v>
      </c>
      <c r="AO53">
        <v>52</v>
      </c>
      <c r="AP53" t="str">
        <f t="shared" si="14"/>
        <v>Jarrett Stidham</v>
      </c>
      <c r="AQ53" t="str">
        <f t="shared" si="2"/>
        <v>DEN</v>
      </c>
      <c r="AR53" s="430">
        <f>IFERROR(
IF(AP53="",-100,
IF($BV$2&gt;0, INDEX(Beersheet!$A:$U,MATCH(AP53,INDEX(Beersheet!$A:$U,0,FFARawStatProjections!$BV$2),0),$BV$3)+$BN53,
INDEX($A53:$BM53,,$BV$12)*$BW$12+
INDEX($A53:$BM53,,$BV$15)*$BW$15+
INDEX($A53:$BM53,,$BV$16)*$BW$16+
INDEX($A53:$BM53,,$BV$17)*$BW$17+
INDEX($A53:$BM53,,$BV$18)*$BW$18+
INDEX($A53:$BM53,,$BV$19)*$BW$19+
INDEX($A53:$BM53,,$BV$20)*$BW$20+
INDEX($A53:$BM53,,$BV$21)*$BW$21+
INDEX($A53:$BM53,,$BV$22)*$BW$22+
INDEX($A53:$BM53,,$BV$23)*$BW$23+
INDEX($A53:$BM53,,$BV$25)*$BW$25+
INDEX($A53:$BM53,,$BV$26)*$BW$26+
INDEX($A53:$BM53,,$BV$27)*$BW$27+
$BN53)),
$BN53-100)</f>
        <v>22.154520000000005</v>
      </c>
      <c r="AT53" t="str">
        <f t="shared" si="3"/>
        <v/>
      </c>
      <c r="AU53" t="str">
        <f t="shared" si="4"/>
        <v/>
      </c>
      <c r="AV53" s="430">
        <f>IFERROR(
IF(AT53="",-100,
IF($BV$2&gt;0, INDEX(Beersheet!$A:$U,MATCH(AT53,INDEX(Beersheet!$A:$U,0,FFARawStatProjections!$BV$2),0),$BV$3)+$BN53,
INDEX($A53:$BM53,,$BV$12)*$BW$12+
INDEX($A53:$BM53,,$BV$15)*$BW$15+
INDEX($A53:$BM53,,$BV$16)*$BW$16+
INDEX($A53:$BM53,,$BV$17)*$BW$17+
INDEX($A53:$BM53,,$BV$18)*$BW$18+
INDEX($A53:$BM53,,$BV$19)*$BW$19+
INDEX($A53:$BM53,,$BV$20)*$BW$20+
INDEX($A53:$BM53,,$BV$21)*$BW$21+
INDEX($A53:$BM53,,$BV$22)*$BW$22+
INDEX($A53:$BM53,,$BV$23)*$BW$23+
INDEX($A53:$BM53,,$BV$25)*$BW$25+
INDEX($A53:$BM53,,$BV$26)*$BW$26+
INDEX($A53:$BM53,,$BV$27)*$BW$27+
$BN53)),
$BN53-100)</f>
        <v>-100</v>
      </c>
      <c r="AX53" t="str">
        <f t="shared" si="5"/>
        <v/>
      </c>
      <c r="AY53" t="str">
        <f t="shared" si="6"/>
        <v/>
      </c>
      <c r="AZ53" s="430">
        <f>IFERROR(
IF(AX53="",-100,
IF($BV$2&gt;0, INDEX(Beersheet!$A:$U,MATCH(AX53,INDEX(Beersheet!$A:$U,0,FFARawStatProjections!$BV$2),0),$BV$3)+$BN53,
INDEX($A53:$BM53,,$BV$12)*$BW$12+
INDEX($A53:$BM53,,$BV$15)*$BW$15+
INDEX($A53:$BM53,,$BV$16)*$BW$16+
INDEX($A53:$BM53,,$BV$17)*$BW$17+
INDEX($A53:$BM53,,$BV$18)*$BW$18+
INDEX($A53:$BM53,,$BV$19)*$BW$19+
INDEX($A53:$BM53,,$BV$20)*$BW$20+
INDEX($A53:$BM53,,$BV$21)*$BW$21+
INDEX($A53:$BM53,,$BV$22)*$BW$22+
INDEX($A53:$BM53,,$BV$23)*$BW$23+
INDEX($A53:$BM53,,$BV$25)*$BW$25+
INDEX($A53:$BM53,,$BV$26)*$BW$26+
INDEX($A53:$BM53,,$BV$27)*$BW$27+
$BN53)),
$BN53-100)</f>
        <v>-100</v>
      </c>
      <c r="BB53" t="str">
        <f t="shared" si="7"/>
        <v/>
      </c>
      <c r="BC53" t="str">
        <f t="shared" si="8"/>
        <v/>
      </c>
      <c r="BD53" s="430">
        <f>IFERROR(
IF(BB53="",-100,
IF($BV$2&gt;0, INDEX(Beersheet!$A:$U,MATCH(BB53,INDEX(Beersheet!$A:$U,0,FFARawStatProjections!$BV$2),0),$BV$3)+$BN53,
INDEX($A53:$BM53,,$BV$12)*$BW$12+
INDEX($A53:$BM53,,$BV$15)*$BW$15+
INDEX($A53:$BM53,,$BV$16)*$BW$16+
INDEX($A53:$BM53,,$BV$17)*$BW$17+
INDEX($A53:$BM53,,$BV$18)*$BW$18+
INDEX($A53:$BM53,,$BV$19)*$BW$19+
INDEX($A53:$BM53,,$BV$20)*$BW$20+
INDEX($A53:$BM53,,$BV$21)*$BW$21+
INDEX($A53:$BM53,,$BV$22)*$BW$22+
INDEX($A53:$BM53,,$BV$23)*$BW$23+
INDEX($A53:$BM53,,$BV$25)*$BW$25+
INDEX($A53:$BM53,,$BV$26)*$BW$26+
INDEX($A53:$BM53,,$BV$27)*$BW$27+
$BN53)),
$BN53-100)</f>
        <v>-100</v>
      </c>
      <c r="BF53" t="str">
        <f t="shared" si="9"/>
        <v/>
      </c>
      <c r="BG53" t="str">
        <f t="shared" si="10"/>
        <v/>
      </c>
      <c r="BH53">
        <f t="shared" si="11"/>
        <v>0</v>
      </c>
      <c r="BJ53" t="str">
        <f t="shared" si="12"/>
        <v/>
      </c>
      <c r="BL53">
        <f t="shared" si="1"/>
        <v>0</v>
      </c>
      <c r="BN53">
        <v>5.1999999999999995E-4</v>
      </c>
      <c r="BS53" s="4" t="s">
        <v>1780</v>
      </c>
      <c r="BV53" t="e">
        <f t="shared" si="13"/>
        <v>#N/A</v>
      </c>
    </row>
    <row r="54" spans="1:75" ht="15.75" hidden="1" thickBot="1" x14ac:dyDescent="0.3">
      <c r="A54" s="569" t="s">
        <v>2415</v>
      </c>
      <c r="B54" s="569" t="s">
        <v>139</v>
      </c>
      <c r="C54" s="569" t="s">
        <v>1</v>
      </c>
      <c r="D54" s="574">
        <v>6</v>
      </c>
      <c r="E54" s="569"/>
      <c r="F54" s="569"/>
      <c r="G54" s="569">
        <v>53.2</v>
      </c>
      <c r="H54" s="569">
        <v>32.799999999999997</v>
      </c>
      <c r="I54" s="574">
        <v>2.6</v>
      </c>
      <c r="J54" s="574">
        <v>1.6</v>
      </c>
      <c r="K54" s="574">
        <v>374.3</v>
      </c>
      <c r="L54" s="574">
        <v>0</v>
      </c>
      <c r="M54" s="574">
        <v>0</v>
      </c>
      <c r="N54" s="574">
        <v>0</v>
      </c>
      <c r="O54" s="574">
        <v>8.8000000000000007</v>
      </c>
      <c r="P54" s="574">
        <v>0.2</v>
      </c>
      <c r="Q54" s="574">
        <v>20</v>
      </c>
      <c r="R54" s="569"/>
      <c r="S54" s="569"/>
      <c r="T54" s="569"/>
      <c r="U54" s="569"/>
      <c r="V54" s="569"/>
      <c r="W54" s="569"/>
      <c r="X54" s="569"/>
      <c r="Y54" s="569"/>
      <c r="Z54" s="569"/>
      <c r="AA54" s="569"/>
      <c r="AB54" s="569"/>
      <c r="AC54" s="569"/>
      <c r="AD54" s="569"/>
      <c r="AE54" s="569"/>
      <c r="AF54" s="569"/>
      <c r="AG54" s="569"/>
      <c r="AH54" s="569"/>
      <c r="AI54" s="569"/>
      <c r="AJ54" s="569"/>
      <c r="AK54" s="569"/>
      <c r="AL54" s="569"/>
      <c r="AM54" s="569"/>
      <c r="AN54" s="574">
        <v>20.7</v>
      </c>
      <c r="AO54">
        <v>53</v>
      </c>
      <c r="AP54" t="str">
        <f t="shared" si="14"/>
        <v>Sean Clifford</v>
      </c>
      <c r="AQ54" t="str">
        <f t="shared" si="2"/>
        <v>GB</v>
      </c>
      <c r="AR54" s="430">
        <f>IFERROR(
IF(AP54="",-100,
IF($BV$2&gt;0, INDEX(Beersheet!$A:$U,MATCH(AP54,INDEX(Beersheet!$A:$U,0,FFARawStatProjections!$BV$2),0),$BV$3)+$BN54,
INDEX($A54:$BM54,,$BV$12)*$BW$12+
INDEX($A54:$BM54,,$BV$15)*$BW$15+
INDEX($A54:$BM54,,$BV$16)*$BW$16+
INDEX($A54:$BM54,,$BV$17)*$BW$17+
INDEX($A54:$BM54,,$BV$18)*$BW$18+
INDEX($A54:$BM54,,$BV$19)*$BW$19+
INDEX($A54:$BM54,,$BV$20)*$BW$20+
INDEX($A54:$BM54,,$BV$21)*$BW$21+
INDEX($A54:$BM54,,$BV$22)*$BW$22+
INDEX($A54:$BM54,,$BV$23)*$BW$23+
INDEX($A54:$BM54,,$BV$25)*$BW$25+
INDEX($A54:$BM54,,$BV$26)*$BW$26+
INDEX($A54:$BM54,,$BV$27)*$BW$27+
$BN54)),
$BN54-100)</f>
        <v>21.972530000000003</v>
      </c>
      <c r="AT54" t="str">
        <f t="shared" si="3"/>
        <v/>
      </c>
      <c r="AU54" t="str">
        <f t="shared" si="4"/>
        <v/>
      </c>
      <c r="AV54" s="430">
        <f>IFERROR(
IF(AT54="",-100,
IF($BV$2&gt;0, INDEX(Beersheet!$A:$U,MATCH(AT54,INDEX(Beersheet!$A:$U,0,FFARawStatProjections!$BV$2),0),$BV$3)+$BN54,
INDEX($A54:$BM54,,$BV$12)*$BW$12+
INDEX($A54:$BM54,,$BV$15)*$BW$15+
INDEX($A54:$BM54,,$BV$16)*$BW$16+
INDEX($A54:$BM54,,$BV$17)*$BW$17+
INDEX($A54:$BM54,,$BV$18)*$BW$18+
INDEX($A54:$BM54,,$BV$19)*$BW$19+
INDEX($A54:$BM54,,$BV$20)*$BW$20+
INDEX($A54:$BM54,,$BV$21)*$BW$21+
INDEX($A54:$BM54,,$BV$22)*$BW$22+
INDEX($A54:$BM54,,$BV$23)*$BW$23+
INDEX($A54:$BM54,,$BV$25)*$BW$25+
INDEX($A54:$BM54,,$BV$26)*$BW$26+
INDEX($A54:$BM54,,$BV$27)*$BW$27+
$BN54)),
$BN54-100)</f>
        <v>-100</v>
      </c>
      <c r="AX54" t="str">
        <f t="shared" si="5"/>
        <v/>
      </c>
      <c r="AY54" t="str">
        <f t="shared" si="6"/>
        <v/>
      </c>
      <c r="AZ54" s="430">
        <f>IFERROR(
IF(AX54="",-100,
IF($BV$2&gt;0, INDEX(Beersheet!$A:$U,MATCH(AX54,INDEX(Beersheet!$A:$U,0,FFARawStatProjections!$BV$2),0),$BV$3)+$BN54,
INDEX($A54:$BM54,,$BV$12)*$BW$12+
INDEX($A54:$BM54,,$BV$15)*$BW$15+
INDEX($A54:$BM54,,$BV$16)*$BW$16+
INDEX($A54:$BM54,,$BV$17)*$BW$17+
INDEX($A54:$BM54,,$BV$18)*$BW$18+
INDEX($A54:$BM54,,$BV$19)*$BW$19+
INDEX($A54:$BM54,,$BV$20)*$BW$20+
INDEX($A54:$BM54,,$BV$21)*$BW$21+
INDEX($A54:$BM54,,$BV$22)*$BW$22+
INDEX($A54:$BM54,,$BV$23)*$BW$23+
INDEX($A54:$BM54,,$BV$25)*$BW$25+
INDEX($A54:$BM54,,$BV$26)*$BW$26+
INDEX($A54:$BM54,,$BV$27)*$BW$27+
$BN54)),
$BN54-100)</f>
        <v>-100</v>
      </c>
      <c r="BB54" t="str">
        <f t="shared" si="7"/>
        <v/>
      </c>
      <c r="BC54" t="str">
        <f t="shared" si="8"/>
        <v/>
      </c>
      <c r="BD54" s="430">
        <f>IFERROR(
IF(BB54="",-100,
IF($BV$2&gt;0, INDEX(Beersheet!$A:$U,MATCH(BB54,INDEX(Beersheet!$A:$U,0,FFARawStatProjections!$BV$2),0),$BV$3)+$BN54,
INDEX($A54:$BM54,,$BV$12)*$BW$12+
INDEX($A54:$BM54,,$BV$15)*$BW$15+
INDEX($A54:$BM54,,$BV$16)*$BW$16+
INDEX($A54:$BM54,,$BV$17)*$BW$17+
INDEX($A54:$BM54,,$BV$18)*$BW$18+
INDEX($A54:$BM54,,$BV$19)*$BW$19+
INDEX($A54:$BM54,,$BV$20)*$BW$20+
INDEX($A54:$BM54,,$BV$21)*$BW$21+
INDEX($A54:$BM54,,$BV$22)*$BW$22+
INDEX($A54:$BM54,,$BV$23)*$BW$23+
INDEX($A54:$BM54,,$BV$25)*$BW$25+
INDEX($A54:$BM54,,$BV$26)*$BW$26+
INDEX($A54:$BM54,,$BV$27)*$BW$27+
$BN54)),
$BN54-100)</f>
        <v>-100</v>
      </c>
      <c r="BF54" t="str">
        <f t="shared" si="9"/>
        <v/>
      </c>
      <c r="BG54" t="str">
        <f t="shared" si="10"/>
        <v/>
      </c>
      <c r="BH54">
        <f t="shared" si="11"/>
        <v>0</v>
      </c>
      <c r="BJ54" t="str">
        <f t="shared" si="12"/>
        <v/>
      </c>
      <c r="BL54">
        <f t="shared" si="1"/>
        <v>0</v>
      </c>
      <c r="BN54">
        <v>5.2999999999999998E-4</v>
      </c>
      <c r="BS54" s="4" t="s">
        <v>107</v>
      </c>
      <c r="BV54" t="e">
        <f t="shared" si="13"/>
        <v>#N/A</v>
      </c>
    </row>
    <row r="55" spans="1:75" ht="15.75" hidden="1" thickBot="1" x14ac:dyDescent="0.3">
      <c r="A55" s="569" t="s">
        <v>2485</v>
      </c>
      <c r="B55" s="569" t="s">
        <v>142</v>
      </c>
      <c r="C55" s="569" t="s">
        <v>1</v>
      </c>
      <c r="D55" s="574">
        <v>9</v>
      </c>
      <c r="E55" s="569"/>
      <c r="F55" s="569"/>
      <c r="G55" s="569">
        <v>105.3</v>
      </c>
      <c r="H55" s="569">
        <v>62</v>
      </c>
      <c r="I55" s="574">
        <v>5.4</v>
      </c>
      <c r="J55" s="574">
        <v>0</v>
      </c>
      <c r="K55" s="574">
        <v>573.79999999999995</v>
      </c>
      <c r="L55" s="574">
        <v>0</v>
      </c>
      <c r="M55" s="574">
        <v>0</v>
      </c>
      <c r="N55" s="574">
        <v>0</v>
      </c>
      <c r="O55" s="574">
        <v>20.6</v>
      </c>
      <c r="P55" s="574">
        <v>0.2</v>
      </c>
      <c r="Q55" s="574">
        <v>43.1</v>
      </c>
      <c r="R55" s="569"/>
      <c r="S55" s="569"/>
      <c r="T55" s="569"/>
      <c r="U55" s="569"/>
      <c r="V55" s="569"/>
      <c r="W55" s="569"/>
      <c r="X55" s="569"/>
      <c r="Y55" s="569"/>
      <c r="Z55" s="569"/>
      <c r="AA55" s="569"/>
      <c r="AB55" s="569"/>
      <c r="AC55" s="569"/>
      <c r="AD55" s="569"/>
      <c r="AE55" s="569"/>
      <c r="AF55" s="569"/>
      <c r="AG55" s="569"/>
      <c r="AH55" s="569"/>
      <c r="AI55" s="569"/>
      <c r="AJ55" s="569"/>
      <c r="AK55" s="569"/>
      <c r="AL55" s="569"/>
      <c r="AM55" s="569"/>
      <c r="AN55" s="574">
        <v>19.899999999999999</v>
      </c>
      <c r="AO55">
        <v>54</v>
      </c>
      <c r="AP55" t="str">
        <f t="shared" si="14"/>
        <v>Hendon Hooker</v>
      </c>
      <c r="AQ55" t="str">
        <f t="shared" si="2"/>
        <v>DET</v>
      </c>
      <c r="AR55" s="430">
        <f>IFERROR(
IF(AP55="",-100,
IF($BV$2&gt;0, INDEX(Beersheet!$A:$U,MATCH(AP55,INDEX(Beersheet!$A:$U,0,FFARawStatProjections!$BV$2),0),$BV$3)+$BN55,
INDEX($A55:$BM55,,$BV$12)*$BW$12+
INDEX($A55:$BM55,,$BV$15)*$BW$15+
INDEX($A55:$BM55,,$BV$16)*$BW$16+
INDEX($A55:$BM55,,$BV$17)*$BW$17+
INDEX($A55:$BM55,,$BV$18)*$BW$18+
INDEX($A55:$BM55,,$BV$19)*$BW$19+
INDEX($A55:$BM55,,$BV$20)*$BW$20+
INDEX($A55:$BM55,,$BV$21)*$BW$21+
INDEX($A55:$BM55,,$BV$22)*$BW$22+
INDEX($A55:$BM55,,$BV$23)*$BW$23+
INDEX($A55:$BM55,,$BV$25)*$BW$25+
INDEX($A55:$BM55,,$BV$26)*$BW$26+
INDEX($A55:$BM55,,$BV$27)*$BW$27+
$BN55)),
$BN55-100)</f>
        <v>23.062539999999998</v>
      </c>
      <c r="AT55" t="str">
        <f t="shared" si="3"/>
        <v/>
      </c>
      <c r="AU55" t="str">
        <f t="shared" si="4"/>
        <v/>
      </c>
      <c r="AV55" s="430">
        <f>IFERROR(
IF(AT55="",-100,
IF($BV$2&gt;0, INDEX(Beersheet!$A:$U,MATCH(AT55,INDEX(Beersheet!$A:$U,0,FFARawStatProjections!$BV$2),0),$BV$3)+$BN55,
INDEX($A55:$BM55,,$BV$12)*$BW$12+
INDEX($A55:$BM55,,$BV$15)*$BW$15+
INDEX($A55:$BM55,,$BV$16)*$BW$16+
INDEX($A55:$BM55,,$BV$17)*$BW$17+
INDEX($A55:$BM55,,$BV$18)*$BW$18+
INDEX($A55:$BM55,,$BV$19)*$BW$19+
INDEX($A55:$BM55,,$BV$20)*$BW$20+
INDEX($A55:$BM55,,$BV$21)*$BW$21+
INDEX($A55:$BM55,,$BV$22)*$BW$22+
INDEX($A55:$BM55,,$BV$23)*$BW$23+
INDEX($A55:$BM55,,$BV$25)*$BW$25+
INDEX($A55:$BM55,,$BV$26)*$BW$26+
INDEX($A55:$BM55,,$BV$27)*$BW$27+
$BN55)),
$BN55-100)</f>
        <v>-100</v>
      </c>
      <c r="AX55" t="str">
        <f t="shared" si="5"/>
        <v/>
      </c>
      <c r="AY55" t="str">
        <f t="shared" si="6"/>
        <v/>
      </c>
      <c r="AZ55" s="430">
        <f>IFERROR(
IF(AX55="",-100,
IF($BV$2&gt;0, INDEX(Beersheet!$A:$U,MATCH(AX55,INDEX(Beersheet!$A:$U,0,FFARawStatProjections!$BV$2),0),$BV$3)+$BN55,
INDEX($A55:$BM55,,$BV$12)*$BW$12+
INDEX($A55:$BM55,,$BV$15)*$BW$15+
INDEX($A55:$BM55,,$BV$16)*$BW$16+
INDEX($A55:$BM55,,$BV$17)*$BW$17+
INDEX($A55:$BM55,,$BV$18)*$BW$18+
INDEX($A55:$BM55,,$BV$19)*$BW$19+
INDEX($A55:$BM55,,$BV$20)*$BW$20+
INDEX($A55:$BM55,,$BV$21)*$BW$21+
INDEX($A55:$BM55,,$BV$22)*$BW$22+
INDEX($A55:$BM55,,$BV$23)*$BW$23+
INDEX($A55:$BM55,,$BV$25)*$BW$25+
INDEX($A55:$BM55,,$BV$26)*$BW$26+
INDEX($A55:$BM55,,$BV$27)*$BW$27+
$BN55)),
$BN55-100)</f>
        <v>-100</v>
      </c>
      <c r="BB55" t="str">
        <f t="shared" si="7"/>
        <v/>
      </c>
      <c r="BC55" t="str">
        <f t="shared" si="8"/>
        <v/>
      </c>
      <c r="BD55" s="430">
        <f>IFERROR(
IF(BB55="",-100,
IF($BV$2&gt;0, INDEX(Beersheet!$A:$U,MATCH(BB55,INDEX(Beersheet!$A:$U,0,FFARawStatProjections!$BV$2),0),$BV$3)+$BN55,
INDEX($A55:$BM55,,$BV$12)*$BW$12+
INDEX($A55:$BM55,,$BV$15)*$BW$15+
INDEX($A55:$BM55,,$BV$16)*$BW$16+
INDEX($A55:$BM55,,$BV$17)*$BW$17+
INDEX($A55:$BM55,,$BV$18)*$BW$18+
INDEX($A55:$BM55,,$BV$19)*$BW$19+
INDEX($A55:$BM55,,$BV$20)*$BW$20+
INDEX($A55:$BM55,,$BV$21)*$BW$21+
INDEX($A55:$BM55,,$BV$22)*$BW$22+
INDEX($A55:$BM55,,$BV$23)*$BW$23+
INDEX($A55:$BM55,,$BV$25)*$BW$25+
INDEX($A55:$BM55,,$BV$26)*$BW$26+
INDEX($A55:$BM55,,$BV$27)*$BW$27+
$BN55)),
$BN55-100)</f>
        <v>-100</v>
      </c>
      <c r="BF55" t="str">
        <f t="shared" si="9"/>
        <v/>
      </c>
      <c r="BG55" t="str">
        <f t="shared" si="10"/>
        <v/>
      </c>
      <c r="BH55">
        <f t="shared" si="11"/>
        <v>0</v>
      </c>
      <c r="BJ55" t="str">
        <f t="shared" si="12"/>
        <v/>
      </c>
      <c r="BL55">
        <f t="shared" si="1"/>
        <v>0</v>
      </c>
      <c r="BN55">
        <v>5.4000000000000001E-4</v>
      </c>
      <c r="BS55" s="4" t="s">
        <v>2087</v>
      </c>
      <c r="BV55" t="e">
        <f t="shared" si="13"/>
        <v>#N/A</v>
      </c>
    </row>
    <row r="56" spans="1:75" ht="15.75" thickBot="1" x14ac:dyDescent="0.3">
      <c r="A56" s="569" t="s">
        <v>73</v>
      </c>
      <c r="B56" s="569" t="s">
        <v>142</v>
      </c>
      <c r="C56" s="569" t="s">
        <v>1</v>
      </c>
      <c r="D56" s="574">
        <v>9</v>
      </c>
      <c r="E56" s="569"/>
      <c r="F56" s="569"/>
      <c r="G56" s="569">
        <v>65.3</v>
      </c>
      <c r="H56" s="569">
        <v>35.4</v>
      </c>
      <c r="I56" s="574">
        <v>1.7</v>
      </c>
      <c r="J56" s="574">
        <v>1.2</v>
      </c>
      <c r="K56" s="574">
        <v>366.1</v>
      </c>
      <c r="L56" s="574">
        <v>0</v>
      </c>
      <c r="M56" s="574">
        <v>0</v>
      </c>
      <c r="N56" s="574">
        <v>0</v>
      </c>
      <c r="O56" s="574">
        <v>5.2</v>
      </c>
      <c r="P56" s="574">
        <v>0.1</v>
      </c>
      <c r="Q56" s="574">
        <v>14.7</v>
      </c>
      <c r="R56" s="569"/>
      <c r="S56" s="569"/>
      <c r="T56" s="569"/>
      <c r="U56" s="569"/>
      <c r="V56" s="569"/>
      <c r="W56" s="569"/>
      <c r="X56" s="569"/>
      <c r="Y56" s="569"/>
      <c r="Z56" s="569"/>
      <c r="AA56" s="569"/>
      <c r="AB56" s="569"/>
      <c r="AC56" s="569"/>
      <c r="AD56" s="569"/>
      <c r="AE56" s="569"/>
      <c r="AF56" s="569"/>
      <c r="AG56" s="569"/>
      <c r="AH56" s="569"/>
      <c r="AI56" s="569"/>
      <c r="AJ56" s="569"/>
      <c r="AK56" s="569"/>
      <c r="AL56" s="569"/>
      <c r="AM56" s="569"/>
      <c r="AN56" s="574">
        <v>19.600000000000001</v>
      </c>
      <c r="AO56">
        <v>55</v>
      </c>
      <c r="AP56" t="str">
        <f t="shared" si="14"/>
        <v>Teddy Bridgewater</v>
      </c>
      <c r="AQ56" t="str">
        <f t="shared" si="2"/>
        <v>DET</v>
      </c>
      <c r="AR56" s="430">
        <f>IFERROR(
IF(AP56="",-100,
IF($BV$2&gt;0, INDEX(Beersheet!$A:$U,MATCH(AP56,INDEX(Beersheet!$A:$U,0,FFARawStatProjections!$BV$2),0),$BV$3)+$BN56,
INDEX($A56:$BM56,,$BV$12)*$BW$12+
INDEX($A56:$BM56,,$BV$15)*$BW$15+
INDEX($A56:$BM56,,$BV$16)*$BW$16+
INDEX($A56:$BM56,,$BV$17)*$BW$17+
INDEX($A56:$BM56,,$BV$18)*$BW$18+
INDEX($A56:$BM56,,$BV$19)*$BW$19+
INDEX($A56:$BM56,,$BV$20)*$BW$20+
INDEX($A56:$BM56,,$BV$21)*$BW$21+
INDEX($A56:$BM56,,$BV$22)*$BW$22+
INDEX($A56:$BM56,,$BV$23)*$BW$23+
INDEX($A56:$BM56,,$BV$25)*$BW$25+
INDEX($A56:$BM56,,$BV$26)*$BW$26+
INDEX($A56:$BM56,,$BV$27)*$BW$27+
$BN56)),
$BN56-100)</f>
        <v>19.814550000000001</v>
      </c>
      <c r="AT56" t="str">
        <f t="shared" si="3"/>
        <v/>
      </c>
      <c r="AU56" t="str">
        <f t="shared" si="4"/>
        <v/>
      </c>
      <c r="AV56" s="430">
        <f>IFERROR(
IF(AT56="",-100,
IF($BV$2&gt;0, INDEX(Beersheet!$A:$U,MATCH(AT56,INDEX(Beersheet!$A:$U,0,FFARawStatProjections!$BV$2),0),$BV$3)+$BN56,
INDEX($A56:$BM56,,$BV$12)*$BW$12+
INDEX($A56:$BM56,,$BV$15)*$BW$15+
INDEX($A56:$BM56,,$BV$16)*$BW$16+
INDEX($A56:$BM56,,$BV$17)*$BW$17+
INDEX($A56:$BM56,,$BV$18)*$BW$18+
INDEX($A56:$BM56,,$BV$19)*$BW$19+
INDEX($A56:$BM56,,$BV$20)*$BW$20+
INDEX($A56:$BM56,,$BV$21)*$BW$21+
INDEX($A56:$BM56,,$BV$22)*$BW$22+
INDEX($A56:$BM56,,$BV$23)*$BW$23+
INDEX($A56:$BM56,,$BV$25)*$BW$25+
INDEX($A56:$BM56,,$BV$26)*$BW$26+
INDEX($A56:$BM56,,$BV$27)*$BW$27+
$BN56)),
$BN56-100)</f>
        <v>-100</v>
      </c>
      <c r="AX56" t="str">
        <f t="shared" si="5"/>
        <v/>
      </c>
      <c r="AY56" t="str">
        <f t="shared" si="6"/>
        <v/>
      </c>
      <c r="AZ56" s="430">
        <f>IFERROR(
IF(AX56="",-100,
IF($BV$2&gt;0, INDEX(Beersheet!$A:$U,MATCH(AX56,INDEX(Beersheet!$A:$U,0,FFARawStatProjections!$BV$2),0),$BV$3)+$BN56,
INDEX($A56:$BM56,,$BV$12)*$BW$12+
INDEX($A56:$BM56,,$BV$15)*$BW$15+
INDEX($A56:$BM56,,$BV$16)*$BW$16+
INDEX($A56:$BM56,,$BV$17)*$BW$17+
INDEX($A56:$BM56,,$BV$18)*$BW$18+
INDEX($A56:$BM56,,$BV$19)*$BW$19+
INDEX($A56:$BM56,,$BV$20)*$BW$20+
INDEX($A56:$BM56,,$BV$21)*$BW$21+
INDEX($A56:$BM56,,$BV$22)*$BW$22+
INDEX($A56:$BM56,,$BV$23)*$BW$23+
INDEX($A56:$BM56,,$BV$25)*$BW$25+
INDEX($A56:$BM56,,$BV$26)*$BW$26+
INDEX($A56:$BM56,,$BV$27)*$BW$27+
$BN56)),
$BN56-100)</f>
        <v>-100</v>
      </c>
      <c r="BB56" t="str">
        <f t="shared" si="7"/>
        <v/>
      </c>
      <c r="BC56" t="str">
        <f t="shared" si="8"/>
        <v/>
      </c>
      <c r="BD56" s="430">
        <f>IFERROR(
IF(BB56="",-100,
IF($BV$2&gt;0, INDEX(Beersheet!$A:$U,MATCH(BB56,INDEX(Beersheet!$A:$U,0,FFARawStatProjections!$BV$2),0),$BV$3)+$BN56,
INDEX($A56:$BM56,,$BV$12)*$BW$12+
INDEX($A56:$BM56,,$BV$15)*$BW$15+
INDEX($A56:$BM56,,$BV$16)*$BW$16+
INDEX($A56:$BM56,,$BV$17)*$BW$17+
INDEX($A56:$BM56,,$BV$18)*$BW$18+
INDEX($A56:$BM56,,$BV$19)*$BW$19+
INDEX($A56:$BM56,,$BV$20)*$BW$20+
INDEX($A56:$BM56,,$BV$21)*$BW$21+
INDEX($A56:$BM56,,$BV$22)*$BW$22+
INDEX($A56:$BM56,,$BV$23)*$BW$23+
INDEX($A56:$BM56,,$BV$25)*$BW$25+
INDEX($A56:$BM56,,$BV$26)*$BW$26+
INDEX($A56:$BM56,,$BV$27)*$BW$27+
$BN56)),
$BN56-100)</f>
        <v>-100</v>
      </c>
      <c r="BF56" t="str">
        <f t="shared" si="9"/>
        <v/>
      </c>
      <c r="BG56" t="str">
        <f t="shared" si="10"/>
        <v/>
      </c>
      <c r="BH56">
        <f t="shared" si="11"/>
        <v>0</v>
      </c>
      <c r="BJ56" t="str">
        <f t="shared" si="12"/>
        <v/>
      </c>
      <c r="BL56">
        <f t="shared" si="1"/>
        <v>0</v>
      </c>
      <c r="BN56">
        <v>5.5000000000000003E-4</v>
      </c>
      <c r="BS56" s="4" t="s">
        <v>2562</v>
      </c>
      <c r="BU56" s="568" t="s">
        <v>2054</v>
      </c>
      <c r="BV56">
        <f t="shared" si="13"/>
        <v>34</v>
      </c>
      <c r="BW56">
        <v>3</v>
      </c>
    </row>
    <row r="57" spans="1:75" ht="15.75" thickBot="1" x14ac:dyDescent="0.3">
      <c r="A57" s="569" t="s">
        <v>179</v>
      </c>
      <c r="B57" s="569" t="s">
        <v>136</v>
      </c>
      <c r="C57" s="569" t="s">
        <v>1</v>
      </c>
      <c r="D57" s="574">
        <v>10</v>
      </c>
      <c r="E57" s="569"/>
      <c r="F57" s="569"/>
      <c r="G57" s="569">
        <v>51.9</v>
      </c>
      <c r="H57" s="569">
        <v>30.6</v>
      </c>
      <c r="I57" s="574">
        <v>2.6</v>
      </c>
      <c r="J57" s="574">
        <v>1.7</v>
      </c>
      <c r="K57" s="574">
        <v>337.5</v>
      </c>
      <c r="L57" s="574">
        <v>0</v>
      </c>
      <c r="M57" s="574">
        <v>0</v>
      </c>
      <c r="N57" s="574">
        <v>0</v>
      </c>
      <c r="O57" s="574">
        <v>11.2</v>
      </c>
      <c r="P57" s="574">
        <v>0.1</v>
      </c>
      <c r="Q57" s="574">
        <v>21.2</v>
      </c>
      <c r="R57" s="569"/>
      <c r="S57" s="569"/>
      <c r="T57" s="569"/>
      <c r="U57" s="569"/>
      <c r="V57" s="569"/>
      <c r="W57" s="569"/>
      <c r="X57" s="569"/>
      <c r="Y57" s="569"/>
      <c r="Z57" s="569"/>
      <c r="AA57" s="569"/>
      <c r="AB57" s="569"/>
      <c r="AC57" s="569"/>
      <c r="AD57" s="569"/>
      <c r="AE57" s="569"/>
      <c r="AF57" s="569"/>
      <c r="AG57" s="569"/>
      <c r="AH57" s="569"/>
      <c r="AI57" s="569"/>
      <c r="AJ57" s="569"/>
      <c r="AK57" s="569"/>
      <c r="AL57" s="569"/>
      <c r="AM57" s="569"/>
      <c r="AN57" s="574">
        <v>19.3</v>
      </c>
      <c r="AO57">
        <v>56</v>
      </c>
      <c r="AP57" t="str">
        <f t="shared" si="14"/>
        <v>Blaine Gabbert</v>
      </c>
      <c r="AQ57" t="str">
        <f t="shared" si="2"/>
        <v>KC</v>
      </c>
      <c r="AR57" s="430">
        <f>IFERROR(
IF(AP57="",-100,
IF($BV$2&gt;0, INDEX(Beersheet!$A:$U,MATCH(AP57,INDEX(Beersheet!$A:$U,0,FFARawStatProjections!$BV$2),0),$BV$3)+$BN57,
INDEX($A57:$BM57,,$BV$12)*$BW$12+
INDEX($A57:$BM57,,$BV$15)*$BW$15+
INDEX($A57:$BM57,,$BV$16)*$BW$16+
INDEX($A57:$BM57,,$BV$17)*$BW$17+
INDEX($A57:$BM57,,$BV$18)*$BW$18+
INDEX($A57:$BM57,,$BV$19)*$BW$19+
INDEX($A57:$BM57,,$BV$20)*$BW$20+
INDEX($A57:$BM57,,$BV$21)*$BW$21+
INDEX($A57:$BM57,,$BV$22)*$BW$22+
INDEX($A57:$BM57,,$BV$23)*$BW$23+
INDEX($A57:$BM57,,$BV$25)*$BW$25+
INDEX($A57:$BM57,,$BV$26)*$BW$26+
INDEX($A57:$BM57,,$BV$27)*$BW$27+
$BN57)),
$BN57-100)</f>
        <v>20.420560000000002</v>
      </c>
      <c r="AT57" t="str">
        <f t="shared" si="3"/>
        <v/>
      </c>
      <c r="AU57" t="str">
        <f t="shared" si="4"/>
        <v/>
      </c>
      <c r="AV57" s="430">
        <f>IFERROR(
IF(AT57="",-100,
IF($BV$2&gt;0, INDEX(Beersheet!$A:$U,MATCH(AT57,INDEX(Beersheet!$A:$U,0,FFARawStatProjections!$BV$2),0),$BV$3)+$BN57,
INDEX($A57:$BM57,,$BV$12)*$BW$12+
INDEX($A57:$BM57,,$BV$15)*$BW$15+
INDEX($A57:$BM57,,$BV$16)*$BW$16+
INDEX($A57:$BM57,,$BV$17)*$BW$17+
INDEX($A57:$BM57,,$BV$18)*$BW$18+
INDEX($A57:$BM57,,$BV$19)*$BW$19+
INDEX($A57:$BM57,,$BV$20)*$BW$20+
INDEX($A57:$BM57,,$BV$21)*$BW$21+
INDEX($A57:$BM57,,$BV$22)*$BW$22+
INDEX($A57:$BM57,,$BV$23)*$BW$23+
INDEX($A57:$BM57,,$BV$25)*$BW$25+
INDEX($A57:$BM57,,$BV$26)*$BW$26+
INDEX($A57:$BM57,,$BV$27)*$BW$27+
$BN57)),
$BN57-100)</f>
        <v>-100</v>
      </c>
      <c r="AX57" t="str">
        <f t="shared" si="5"/>
        <v/>
      </c>
      <c r="AY57" t="str">
        <f t="shared" si="6"/>
        <v/>
      </c>
      <c r="AZ57" s="430">
        <f>IFERROR(
IF(AX57="",-100,
IF($BV$2&gt;0, INDEX(Beersheet!$A:$U,MATCH(AX57,INDEX(Beersheet!$A:$U,0,FFARawStatProjections!$BV$2),0),$BV$3)+$BN57,
INDEX($A57:$BM57,,$BV$12)*$BW$12+
INDEX($A57:$BM57,,$BV$15)*$BW$15+
INDEX($A57:$BM57,,$BV$16)*$BW$16+
INDEX($A57:$BM57,,$BV$17)*$BW$17+
INDEX($A57:$BM57,,$BV$18)*$BW$18+
INDEX($A57:$BM57,,$BV$19)*$BW$19+
INDEX($A57:$BM57,,$BV$20)*$BW$20+
INDEX($A57:$BM57,,$BV$21)*$BW$21+
INDEX($A57:$BM57,,$BV$22)*$BW$22+
INDEX($A57:$BM57,,$BV$23)*$BW$23+
INDEX($A57:$BM57,,$BV$25)*$BW$25+
INDEX($A57:$BM57,,$BV$26)*$BW$26+
INDEX($A57:$BM57,,$BV$27)*$BW$27+
$BN57)),
$BN57-100)</f>
        <v>-100</v>
      </c>
      <c r="BB57" t="str">
        <f t="shared" si="7"/>
        <v/>
      </c>
      <c r="BC57" t="str">
        <f t="shared" si="8"/>
        <v/>
      </c>
      <c r="BD57" s="430">
        <f>IFERROR(
IF(BB57="",-100,
IF($BV$2&gt;0, INDEX(Beersheet!$A:$U,MATCH(BB57,INDEX(Beersheet!$A:$U,0,FFARawStatProjections!$BV$2),0),$BV$3)+$BN57,
INDEX($A57:$BM57,,$BV$12)*$BW$12+
INDEX($A57:$BM57,,$BV$15)*$BW$15+
INDEX($A57:$BM57,,$BV$16)*$BW$16+
INDEX($A57:$BM57,,$BV$17)*$BW$17+
INDEX($A57:$BM57,,$BV$18)*$BW$18+
INDEX($A57:$BM57,,$BV$19)*$BW$19+
INDEX($A57:$BM57,,$BV$20)*$BW$20+
INDEX($A57:$BM57,,$BV$21)*$BW$21+
INDEX($A57:$BM57,,$BV$22)*$BW$22+
INDEX($A57:$BM57,,$BV$23)*$BW$23+
INDEX($A57:$BM57,,$BV$25)*$BW$25+
INDEX($A57:$BM57,,$BV$26)*$BW$26+
INDEX($A57:$BM57,,$BV$27)*$BW$27+
$BN57)),
$BN57-100)</f>
        <v>-100</v>
      </c>
      <c r="BF57" t="str">
        <f t="shared" si="9"/>
        <v/>
      </c>
      <c r="BG57" t="str">
        <f t="shared" si="10"/>
        <v/>
      </c>
      <c r="BH57">
        <f t="shared" si="11"/>
        <v>0</v>
      </c>
      <c r="BJ57" t="str">
        <f t="shared" si="12"/>
        <v/>
      </c>
      <c r="BL57">
        <f t="shared" si="1"/>
        <v>0</v>
      </c>
      <c r="BN57">
        <v>5.5999999999999995E-4</v>
      </c>
      <c r="BS57" s="4" t="s">
        <v>980</v>
      </c>
      <c r="BU57" s="568" t="s">
        <v>2055</v>
      </c>
      <c r="BV57">
        <f t="shared" si="13"/>
        <v>35</v>
      </c>
      <c r="BW57">
        <v>4</v>
      </c>
    </row>
    <row r="58" spans="1:75" ht="15.75" thickBot="1" x14ac:dyDescent="0.3">
      <c r="A58" s="569" t="s">
        <v>1131</v>
      </c>
      <c r="B58" s="569" t="s">
        <v>143</v>
      </c>
      <c r="C58" s="569" t="s">
        <v>1</v>
      </c>
      <c r="D58" s="574">
        <v>11</v>
      </c>
      <c r="E58" s="569"/>
      <c r="F58" s="569"/>
      <c r="G58" s="569">
        <v>38</v>
      </c>
      <c r="H58" s="569">
        <v>26.2</v>
      </c>
      <c r="I58" s="574">
        <v>1.4</v>
      </c>
      <c r="J58" s="574">
        <v>1.5</v>
      </c>
      <c r="K58" s="574">
        <v>321.60000000000002</v>
      </c>
      <c r="L58" s="574">
        <v>0</v>
      </c>
      <c r="M58" s="574">
        <v>0</v>
      </c>
      <c r="N58" s="574">
        <v>0</v>
      </c>
      <c r="O58" s="574">
        <v>4.5999999999999996</v>
      </c>
      <c r="P58" s="574">
        <v>0.2</v>
      </c>
      <c r="Q58" s="574">
        <v>9.4</v>
      </c>
      <c r="R58" s="569"/>
      <c r="S58" s="569"/>
      <c r="T58" s="569"/>
      <c r="U58" s="569"/>
      <c r="V58" s="569"/>
      <c r="W58" s="569"/>
      <c r="X58" s="569"/>
      <c r="Y58" s="569"/>
      <c r="Z58" s="569"/>
      <c r="AA58" s="569"/>
      <c r="AB58" s="569"/>
      <c r="AC58" s="569"/>
      <c r="AD58" s="569"/>
      <c r="AE58" s="569"/>
      <c r="AF58" s="569"/>
      <c r="AG58" s="569"/>
      <c r="AH58" s="569"/>
      <c r="AI58" s="569"/>
      <c r="AJ58" s="569"/>
      <c r="AK58" s="569"/>
      <c r="AL58" s="569"/>
      <c r="AM58" s="569"/>
      <c r="AN58" s="574">
        <v>19.2</v>
      </c>
      <c r="AO58">
        <v>57</v>
      </c>
      <c r="AP58" t="str">
        <f t="shared" si="14"/>
        <v>Jameis Winston</v>
      </c>
      <c r="AQ58" t="str">
        <f t="shared" si="2"/>
        <v>NO</v>
      </c>
      <c r="AR58" s="430">
        <f>IFERROR(
IF(AP58="",-100,
IF($BV$2&gt;0, INDEX(Beersheet!$A:$U,MATCH(AP58,INDEX(Beersheet!$A:$U,0,FFARawStatProjections!$BV$2),0),$BV$3)+$BN58,
INDEX($A58:$BM58,,$BV$12)*$BW$12+
INDEX($A58:$BM58,,$BV$15)*$BW$15+
INDEX($A58:$BM58,,$BV$16)*$BW$16+
INDEX($A58:$BM58,,$BV$17)*$BW$17+
INDEX($A58:$BM58,,$BV$18)*$BW$18+
INDEX($A58:$BM58,,$BV$19)*$BW$19+
INDEX($A58:$BM58,,$BV$20)*$BW$20+
INDEX($A58:$BM58,,$BV$21)*$BW$21+
INDEX($A58:$BM58,,$BV$22)*$BW$22+
INDEX($A58:$BM58,,$BV$23)*$BW$23+
INDEX($A58:$BM58,,$BV$25)*$BW$25+
INDEX($A58:$BM58,,$BV$26)*$BW$26+
INDEX($A58:$BM58,,$BV$27)*$BW$27+
$BN58)),
$BN58-100)</f>
        <v>19.604569999999999</v>
      </c>
      <c r="AT58" t="str">
        <f t="shared" si="3"/>
        <v/>
      </c>
      <c r="AU58" t="str">
        <f t="shared" si="4"/>
        <v/>
      </c>
      <c r="AV58" s="430">
        <f>IFERROR(
IF(AT58="",-100,
IF($BV$2&gt;0, INDEX(Beersheet!$A:$U,MATCH(AT58,INDEX(Beersheet!$A:$U,0,FFARawStatProjections!$BV$2),0),$BV$3)+$BN58,
INDEX($A58:$BM58,,$BV$12)*$BW$12+
INDEX($A58:$BM58,,$BV$15)*$BW$15+
INDEX($A58:$BM58,,$BV$16)*$BW$16+
INDEX($A58:$BM58,,$BV$17)*$BW$17+
INDEX($A58:$BM58,,$BV$18)*$BW$18+
INDEX($A58:$BM58,,$BV$19)*$BW$19+
INDEX($A58:$BM58,,$BV$20)*$BW$20+
INDEX($A58:$BM58,,$BV$21)*$BW$21+
INDEX($A58:$BM58,,$BV$22)*$BW$22+
INDEX($A58:$BM58,,$BV$23)*$BW$23+
INDEX($A58:$BM58,,$BV$25)*$BW$25+
INDEX($A58:$BM58,,$BV$26)*$BW$26+
INDEX($A58:$BM58,,$BV$27)*$BW$27+
$BN58)),
$BN58-100)</f>
        <v>-100</v>
      </c>
      <c r="AX58" t="str">
        <f t="shared" si="5"/>
        <v/>
      </c>
      <c r="AY58" t="str">
        <f t="shared" si="6"/>
        <v/>
      </c>
      <c r="AZ58" s="430">
        <f>IFERROR(
IF(AX58="",-100,
IF($BV$2&gt;0, INDEX(Beersheet!$A:$U,MATCH(AX58,INDEX(Beersheet!$A:$U,0,FFARawStatProjections!$BV$2),0),$BV$3)+$BN58,
INDEX($A58:$BM58,,$BV$12)*$BW$12+
INDEX($A58:$BM58,,$BV$15)*$BW$15+
INDEX($A58:$BM58,,$BV$16)*$BW$16+
INDEX($A58:$BM58,,$BV$17)*$BW$17+
INDEX($A58:$BM58,,$BV$18)*$BW$18+
INDEX($A58:$BM58,,$BV$19)*$BW$19+
INDEX($A58:$BM58,,$BV$20)*$BW$20+
INDEX($A58:$BM58,,$BV$21)*$BW$21+
INDEX($A58:$BM58,,$BV$22)*$BW$22+
INDEX($A58:$BM58,,$BV$23)*$BW$23+
INDEX($A58:$BM58,,$BV$25)*$BW$25+
INDEX($A58:$BM58,,$BV$26)*$BW$26+
INDEX($A58:$BM58,,$BV$27)*$BW$27+
$BN58)),
$BN58-100)</f>
        <v>-100</v>
      </c>
      <c r="BB58" t="str">
        <f t="shared" si="7"/>
        <v/>
      </c>
      <c r="BC58" t="str">
        <f t="shared" si="8"/>
        <v/>
      </c>
      <c r="BD58" s="430">
        <f>IFERROR(
IF(BB58="",-100,
IF($BV$2&gt;0, INDEX(Beersheet!$A:$U,MATCH(BB58,INDEX(Beersheet!$A:$U,0,FFARawStatProjections!$BV$2),0),$BV$3)+$BN58,
INDEX($A58:$BM58,,$BV$12)*$BW$12+
INDEX($A58:$BM58,,$BV$15)*$BW$15+
INDEX($A58:$BM58,,$BV$16)*$BW$16+
INDEX($A58:$BM58,,$BV$17)*$BW$17+
INDEX($A58:$BM58,,$BV$18)*$BW$18+
INDEX($A58:$BM58,,$BV$19)*$BW$19+
INDEX($A58:$BM58,,$BV$20)*$BW$20+
INDEX($A58:$BM58,,$BV$21)*$BW$21+
INDEX($A58:$BM58,,$BV$22)*$BW$22+
INDEX($A58:$BM58,,$BV$23)*$BW$23+
INDEX($A58:$BM58,,$BV$25)*$BW$25+
INDEX($A58:$BM58,,$BV$26)*$BW$26+
INDEX($A58:$BM58,,$BV$27)*$BW$27+
$BN58)),
$BN58-100)</f>
        <v>-100</v>
      </c>
      <c r="BF58" t="str">
        <f t="shared" si="9"/>
        <v/>
      </c>
      <c r="BG58" t="str">
        <f t="shared" si="10"/>
        <v/>
      </c>
      <c r="BH58">
        <f t="shared" si="11"/>
        <v>0</v>
      </c>
      <c r="BJ58" t="str">
        <f t="shared" si="12"/>
        <v/>
      </c>
      <c r="BL58">
        <f t="shared" si="1"/>
        <v>0</v>
      </c>
      <c r="BN58">
        <v>5.6999999999999998E-4</v>
      </c>
      <c r="BS58" s="4" t="s">
        <v>2527</v>
      </c>
      <c r="BU58" s="568" t="s">
        <v>2056</v>
      </c>
      <c r="BV58">
        <f t="shared" si="13"/>
        <v>36</v>
      </c>
      <c r="BW58">
        <v>5</v>
      </c>
    </row>
    <row r="59" spans="1:75" ht="15.75" thickBot="1" x14ac:dyDescent="0.3">
      <c r="A59" s="569" t="s">
        <v>1225</v>
      </c>
      <c r="B59" s="569" t="s">
        <v>145</v>
      </c>
      <c r="C59" s="569" t="s">
        <v>1</v>
      </c>
      <c r="D59" s="574">
        <v>7</v>
      </c>
      <c r="E59" s="569"/>
      <c r="F59" s="569"/>
      <c r="G59" s="569">
        <v>68.599999999999994</v>
      </c>
      <c r="H59" s="569">
        <v>41.6</v>
      </c>
      <c r="I59" s="574">
        <v>2.7</v>
      </c>
      <c r="J59" s="574">
        <v>1.7</v>
      </c>
      <c r="K59" s="574">
        <v>347.6</v>
      </c>
      <c r="L59" s="574">
        <v>0</v>
      </c>
      <c r="M59" s="574">
        <v>0</v>
      </c>
      <c r="N59" s="574">
        <v>0</v>
      </c>
      <c r="O59" s="574">
        <v>11.7</v>
      </c>
      <c r="P59" s="574">
        <v>0.1</v>
      </c>
      <c r="Q59" s="574">
        <v>17.3</v>
      </c>
      <c r="R59" s="569"/>
      <c r="S59" s="569"/>
      <c r="T59" s="569"/>
      <c r="U59" s="569"/>
      <c r="V59" s="569"/>
      <c r="W59" s="569"/>
      <c r="X59" s="569"/>
      <c r="Y59" s="569"/>
      <c r="Z59" s="569"/>
      <c r="AA59" s="569"/>
      <c r="AB59" s="569"/>
      <c r="AC59" s="569"/>
      <c r="AD59" s="569"/>
      <c r="AE59" s="569"/>
      <c r="AF59" s="569"/>
      <c r="AG59" s="569"/>
      <c r="AH59" s="569"/>
      <c r="AI59" s="569"/>
      <c r="AJ59" s="569"/>
      <c r="AK59" s="569"/>
      <c r="AL59" s="569"/>
      <c r="AM59" s="569"/>
      <c r="AN59" s="574">
        <v>19.100000000000001</v>
      </c>
      <c r="AO59">
        <v>58</v>
      </c>
      <c r="AP59" t="str">
        <f t="shared" si="14"/>
        <v>Trevor Siemian</v>
      </c>
      <c r="AQ59" t="str">
        <f t="shared" si="2"/>
        <v>CIN</v>
      </c>
      <c r="AR59" s="430">
        <f>IFERROR(
IF(AP59="",-100,
IF($BV$2&gt;0, INDEX(Beersheet!$A:$U,MATCH(AP59,INDEX(Beersheet!$A:$U,0,FFARawStatProjections!$BV$2),0),$BV$3)+$BN59,
INDEX($A59:$BM59,,$BV$12)*$BW$12+
INDEX($A59:$BM59,,$BV$15)*$BW$15+
INDEX($A59:$BM59,,$BV$16)*$BW$16+
INDEX($A59:$BM59,,$BV$17)*$BW$17+
INDEX($A59:$BM59,,$BV$18)*$BW$18+
INDEX($A59:$BM59,,$BV$19)*$BW$19+
INDEX($A59:$BM59,,$BV$20)*$BW$20+
INDEX($A59:$BM59,,$BV$21)*$BW$21+
INDEX($A59:$BM59,,$BV$22)*$BW$22+
INDEX($A59:$BM59,,$BV$23)*$BW$23+
INDEX($A59:$BM59,,$BV$25)*$BW$25+
INDEX($A59:$BM59,,$BV$26)*$BW$26+
INDEX($A59:$BM59,,$BV$27)*$BW$27+
$BN59)),
$BN59-100)</f>
        <v>20.334580000000003</v>
      </c>
      <c r="AT59" t="str">
        <f t="shared" si="3"/>
        <v/>
      </c>
      <c r="AU59" t="str">
        <f t="shared" si="4"/>
        <v/>
      </c>
      <c r="AV59" s="430">
        <f>IFERROR(
IF(AT59="",-100,
IF($BV$2&gt;0, INDEX(Beersheet!$A:$U,MATCH(AT59,INDEX(Beersheet!$A:$U,0,FFARawStatProjections!$BV$2),0),$BV$3)+$BN59,
INDEX($A59:$BM59,,$BV$12)*$BW$12+
INDEX($A59:$BM59,,$BV$15)*$BW$15+
INDEX($A59:$BM59,,$BV$16)*$BW$16+
INDEX($A59:$BM59,,$BV$17)*$BW$17+
INDEX($A59:$BM59,,$BV$18)*$BW$18+
INDEX($A59:$BM59,,$BV$19)*$BW$19+
INDEX($A59:$BM59,,$BV$20)*$BW$20+
INDEX($A59:$BM59,,$BV$21)*$BW$21+
INDEX($A59:$BM59,,$BV$22)*$BW$22+
INDEX($A59:$BM59,,$BV$23)*$BW$23+
INDEX($A59:$BM59,,$BV$25)*$BW$25+
INDEX($A59:$BM59,,$BV$26)*$BW$26+
INDEX($A59:$BM59,,$BV$27)*$BW$27+
$BN59)),
$BN59-100)</f>
        <v>-100</v>
      </c>
      <c r="AX59" t="str">
        <f t="shared" si="5"/>
        <v/>
      </c>
      <c r="AY59" t="str">
        <f t="shared" si="6"/>
        <v/>
      </c>
      <c r="AZ59" s="430">
        <f>IFERROR(
IF(AX59="",-100,
IF($BV$2&gt;0, INDEX(Beersheet!$A:$U,MATCH(AX59,INDEX(Beersheet!$A:$U,0,FFARawStatProjections!$BV$2),0),$BV$3)+$BN59,
INDEX($A59:$BM59,,$BV$12)*$BW$12+
INDEX($A59:$BM59,,$BV$15)*$BW$15+
INDEX($A59:$BM59,,$BV$16)*$BW$16+
INDEX($A59:$BM59,,$BV$17)*$BW$17+
INDEX($A59:$BM59,,$BV$18)*$BW$18+
INDEX($A59:$BM59,,$BV$19)*$BW$19+
INDEX($A59:$BM59,,$BV$20)*$BW$20+
INDEX($A59:$BM59,,$BV$21)*$BW$21+
INDEX($A59:$BM59,,$BV$22)*$BW$22+
INDEX($A59:$BM59,,$BV$23)*$BW$23+
INDEX($A59:$BM59,,$BV$25)*$BW$25+
INDEX($A59:$BM59,,$BV$26)*$BW$26+
INDEX($A59:$BM59,,$BV$27)*$BW$27+
$BN59)),
$BN59-100)</f>
        <v>-100</v>
      </c>
      <c r="BB59" t="str">
        <f t="shared" si="7"/>
        <v/>
      </c>
      <c r="BC59" t="str">
        <f t="shared" si="8"/>
        <v/>
      </c>
      <c r="BD59" s="430">
        <f>IFERROR(
IF(BB59="",-100,
IF($BV$2&gt;0, INDEX(Beersheet!$A:$U,MATCH(BB59,INDEX(Beersheet!$A:$U,0,FFARawStatProjections!$BV$2),0),$BV$3)+$BN59,
INDEX($A59:$BM59,,$BV$12)*$BW$12+
INDEX($A59:$BM59,,$BV$15)*$BW$15+
INDEX($A59:$BM59,,$BV$16)*$BW$16+
INDEX($A59:$BM59,,$BV$17)*$BW$17+
INDEX($A59:$BM59,,$BV$18)*$BW$18+
INDEX($A59:$BM59,,$BV$19)*$BW$19+
INDEX($A59:$BM59,,$BV$20)*$BW$20+
INDEX($A59:$BM59,,$BV$21)*$BW$21+
INDEX($A59:$BM59,,$BV$22)*$BW$22+
INDEX($A59:$BM59,,$BV$23)*$BW$23+
INDEX($A59:$BM59,,$BV$25)*$BW$25+
INDEX($A59:$BM59,,$BV$26)*$BW$26+
INDEX($A59:$BM59,,$BV$27)*$BW$27+
$BN59)),
$BN59-100)</f>
        <v>-100</v>
      </c>
      <c r="BF59" t="str">
        <f t="shared" si="9"/>
        <v/>
      </c>
      <c r="BG59" t="str">
        <f t="shared" si="10"/>
        <v/>
      </c>
      <c r="BH59">
        <f t="shared" si="11"/>
        <v>0</v>
      </c>
      <c r="BJ59" t="str">
        <f t="shared" si="12"/>
        <v/>
      </c>
      <c r="BL59">
        <f t="shared" si="1"/>
        <v>0</v>
      </c>
      <c r="BN59">
        <v>5.8E-4</v>
      </c>
      <c r="BS59" s="4" t="s">
        <v>1176</v>
      </c>
      <c r="BU59" s="568" t="s">
        <v>2057</v>
      </c>
      <c r="BV59">
        <f t="shared" si="13"/>
        <v>37</v>
      </c>
    </row>
    <row r="60" spans="1:75" ht="15.75" thickBot="1" x14ac:dyDescent="0.3">
      <c r="A60" s="569" t="s">
        <v>2287</v>
      </c>
      <c r="B60" s="569" t="s">
        <v>141</v>
      </c>
      <c r="C60" s="569" t="s">
        <v>1</v>
      </c>
      <c r="D60" s="574">
        <v>13</v>
      </c>
      <c r="E60" s="569"/>
      <c r="F60" s="569"/>
      <c r="G60" s="569">
        <v>85.7</v>
      </c>
      <c r="H60" s="569">
        <v>43.9</v>
      </c>
      <c r="I60" s="574">
        <v>4</v>
      </c>
      <c r="J60" s="574">
        <v>1.5</v>
      </c>
      <c r="K60" s="574">
        <v>371</v>
      </c>
      <c r="L60" s="574">
        <v>0</v>
      </c>
      <c r="M60" s="574">
        <v>0</v>
      </c>
      <c r="N60" s="574">
        <v>0</v>
      </c>
      <c r="O60" s="574">
        <v>9.9</v>
      </c>
      <c r="P60" s="574">
        <v>0.1</v>
      </c>
      <c r="Q60" s="574">
        <v>21.6</v>
      </c>
      <c r="R60" s="569"/>
      <c r="S60" s="569"/>
      <c r="T60" s="569"/>
      <c r="U60" s="569"/>
      <c r="V60" s="569"/>
      <c r="W60" s="569"/>
      <c r="X60" s="569"/>
      <c r="Y60" s="569"/>
      <c r="Z60" s="569"/>
      <c r="AA60" s="569"/>
      <c r="AB60" s="569"/>
      <c r="AC60" s="569"/>
      <c r="AD60" s="569"/>
      <c r="AE60" s="569"/>
      <c r="AF60" s="569"/>
      <c r="AG60" s="569"/>
      <c r="AH60" s="569"/>
      <c r="AI60" s="569"/>
      <c r="AJ60" s="569"/>
      <c r="AK60" s="569"/>
      <c r="AL60" s="569"/>
      <c r="AM60" s="569"/>
      <c r="AN60" s="574">
        <v>19</v>
      </c>
      <c r="AO60">
        <v>59</v>
      </c>
      <c r="AP60" t="str">
        <f t="shared" si="14"/>
        <v>PJ Walker</v>
      </c>
      <c r="AQ60" t="str">
        <f t="shared" si="2"/>
        <v>CHI</v>
      </c>
      <c r="AR60" s="430">
        <f>IFERROR(
IF(AP60="",-100,
IF($BV$2&gt;0, INDEX(Beersheet!$A:$U,MATCH(AP60,INDEX(Beersheet!$A:$U,0,FFARawStatProjections!$BV$2),0),$BV$3)+$BN60,
INDEX($A60:$BM60,,$BV$12)*$BW$12+
INDEX($A60:$BM60,,$BV$15)*$BW$15+
INDEX($A60:$BM60,,$BV$16)*$BW$16+
INDEX($A60:$BM60,,$BV$17)*$BW$17+
INDEX($A60:$BM60,,$BV$18)*$BW$18+
INDEX($A60:$BM60,,$BV$19)*$BW$19+
INDEX($A60:$BM60,,$BV$20)*$BW$20+
INDEX($A60:$BM60,,$BV$21)*$BW$21+
INDEX($A60:$BM60,,$BV$22)*$BW$22+
INDEX($A60:$BM60,,$BV$23)*$BW$23+
INDEX($A60:$BM60,,$BV$25)*$BW$25+
INDEX($A60:$BM60,,$BV$26)*$BW$26+
INDEX($A60:$BM60,,$BV$27)*$BW$27+
$BN60)),
$BN60-100)</f>
        <v>19.60059</v>
      </c>
      <c r="AT60" t="str">
        <f t="shared" si="3"/>
        <v/>
      </c>
      <c r="AU60" t="str">
        <f t="shared" si="4"/>
        <v/>
      </c>
      <c r="AV60" s="430">
        <f>IFERROR(
IF(AT60="",-100,
IF($BV$2&gt;0, INDEX(Beersheet!$A:$U,MATCH(AT60,INDEX(Beersheet!$A:$U,0,FFARawStatProjections!$BV$2),0),$BV$3)+$BN60,
INDEX($A60:$BM60,,$BV$12)*$BW$12+
INDEX($A60:$BM60,,$BV$15)*$BW$15+
INDEX($A60:$BM60,,$BV$16)*$BW$16+
INDEX($A60:$BM60,,$BV$17)*$BW$17+
INDEX($A60:$BM60,,$BV$18)*$BW$18+
INDEX($A60:$BM60,,$BV$19)*$BW$19+
INDEX($A60:$BM60,,$BV$20)*$BW$20+
INDEX($A60:$BM60,,$BV$21)*$BW$21+
INDEX($A60:$BM60,,$BV$22)*$BW$22+
INDEX($A60:$BM60,,$BV$23)*$BW$23+
INDEX($A60:$BM60,,$BV$25)*$BW$25+
INDEX($A60:$BM60,,$BV$26)*$BW$26+
INDEX($A60:$BM60,,$BV$27)*$BW$27+
$BN60)),
$BN60-100)</f>
        <v>-100</v>
      </c>
      <c r="AX60" t="str">
        <f t="shared" si="5"/>
        <v/>
      </c>
      <c r="AY60" t="str">
        <f t="shared" si="6"/>
        <v/>
      </c>
      <c r="AZ60" s="430">
        <f>IFERROR(
IF(AX60="",-100,
IF($BV$2&gt;0, INDEX(Beersheet!$A:$U,MATCH(AX60,INDEX(Beersheet!$A:$U,0,FFARawStatProjections!$BV$2),0),$BV$3)+$BN60,
INDEX($A60:$BM60,,$BV$12)*$BW$12+
INDEX($A60:$BM60,,$BV$15)*$BW$15+
INDEX($A60:$BM60,,$BV$16)*$BW$16+
INDEX($A60:$BM60,,$BV$17)*$BW$17+
INDEX($A60:$BM60,,$BV$18)*$BW$18+
INDEX($A60:$BM60,,$BV$19)*$BW$19+
INDEX($A60:$BM60,,$BV$20)*$BW$20+
INDEX($A60:$BM60,,$BV$21)*$BW$21+
INDEX($A60:$BM60,,$BV$22)*$BW$22+
INDEX($A60:$BM60,,$BV$23)*$BW$23+
INDEX($A60:$BM60,,$BV$25)*$BW$25+
INDEX($A60:$BM60,,$BV$26)*$BW$26+
INDEX($A60:$BM60,,$BV$27)*$BW$27+
$BN60)),
$BN60-100)</f>
        <v>-100</v>
      </c>
      <c r="BB60" t="str">
        <f t="shared" si="7"/>
        <v/>
      </c>
      <c r="BC60" t="str">
        <f t="shared" si="8"/>
        <v/>
      </c>
      <c r="BD60" s="430">
        <f>IFERROR(
IF(BB60="",-100,
IF($BV$2&gt;0, INDEX(Beersheet!$A:$U,MATCH(BB60,INDEX(Beersheet!$A:$U,0,FFARawStatProjections!$BV$2),0),$BV$3)+$BN60,
INDEX($A60:$BM60,,$BV$12)*$BW$12+
INDEX($A60:$BM60,,$BV$15)*$BW$15+
INDEX($A60:$BM60,,$BV$16)*$BW$16+
INDEX($A60:$BM60,,$BV$17)*$BW$17+
INDEX($A60:$BM60,,$BV$18)*$BW$18+
INDEX($A60:$BM60,,$BV$19)*$BW$19+
INDEX($A60:$BM60,,$BV$20)*$BW$20+
INDEX($A60:$BM60,,$BV$21)*$BW$21+
INDEX($A60:$BM60,,$BV$22)*$BW$22+
INDEX($A60:$BM60,,$BV$23)*$BW$23+
INDEX($A60:$BM60,,$BV$25)*$BW$25+
INDEX($A60:$BM60,,$BV$26)*$BW$26+
INDEX($A60:$BM60,,$BV$27)*$BW$27+
$BN60)),
$BN60-100)</f>
        <v>-100</v>
      </c>
      <c r="BF60" t="str">
        <f t="shared" si="9"/>
        <v/>
      </c>
      <c r="BG60" t="str">
        <f t="shared" si="10"/>
        <v/>
      </c>
      <c r="BH60">
        <f t="shared" si="11"/>
        <v>0</v>
      </c>
      <c r="BJ60" t="str">
        <f t="shared" si="12"/>
        <v/>
      </c>
      <c r="BL60">
        <f t="shared" si="1"/>
        <v>0</v>
      </c>
      <c r="BN60">
        <v>5.9000000000000003E-4</v>
      </c>
      <c r="BS60" s="4" t="s">
        <v>1893</v>
      </c>
      <c r="BU60" s="568" t="s">
        <v>2058</v>
      </c>
      <c r="BV60">
        <f t="shared" si="13"/>
        <v>38</v>
      </c>
    </row>
    <row r="61" spans="1:75" ht="15.75" thickBot="1" x14ac:dyDescent="0.3">
      <c r="A61" s="569" t="s">
        <v>2169</v>
      </c>
      <c r="B61" s="569" t="s">
        <v>161</v>
      </c>
      <c r="C61" s="569" t="s">
        <v>1</v>
      </c>
      <c r="D61" s="574">
        <v>5</v>
      </c>
      <c r="E61" s="569"/>
      <c r="F61" s="569"/>
      <c r="G61" s="569">
        <v>54.5</v>
      </c>
      <c r="H61" s="569">
        <v>32.5</v>
      </c>
      <c r="I61" s="574">
        <v>2.6</v>
      </c>
      <c r="J61" s="574">
        <v>1.5</v>
      </c>
      <c r="K61" s="574">
        <v>335.8</v>
      </c>
      <c r="L61" s="574">
        <v>0</v>
      </c>
      <c r="M61" s="574">
        <v>0</v>
      </c>
      <c r="N61" s="574">
        <v>0</v>
      </c>
      <c r="O61" s="574">
        <v>10.7</v>
      </c>
      <c r="P61" s="574">
        <v>0.1</v>
      </c>
      <c r="Q61" s="574">
        <v>27.4</v>
      </c>
      <c r="R61" s="569"/>
      <c r="S61" s="569"/>
      <c r="T61" s="569"/>
      <c r="U61" s="569"/>
      <c r="V61" s="569"/>
      <c r="W61" s="569"/>
      <c r="X61" s="569"/>
      <c r="Y61" s="569"/>
      <c r="Z61" s="569"/>
      <c r="AA61" s="569"/>
      <c r="AB61" s="569"/>
      <c r="AC61" s="569"/>
      <c r="AD61" s="569"/>
      <c r="AE61" s="569"/>
      <c r="AF61" s="569"/>
      <c r="AG61" s="569"/>
      <c r="AH61" s="569"/>
      <c r="AI61" s="569"/>
      <c r="AJ61" s="569"/>
      <c r="AK61" s="569"/>
      <c r="AL61" s="569"/>
      <c r="AM61" s="569"/>
      <c r="AN61" s="574">
        <v>18.899999999999999</v>
      </c>
      <c r="AO61">
        <v>60</v>
      </c>
      <c r="AP61" t="str">
        <f t="shared" si="14"/>
        <v>Joshua Dobbs</v>
      </c>
      <c r="AQ61" t="str">
        <f t="shared" si="2"/>
        <v>CLE</v>
      </c>
      <c r="AR61" s="430">
        <f>IFERROR(
IF(AP61="",-100,
IF($BV$2&gt;0, INDEX(Beersheet!$A:$U,MATCH(AP61,INDEX(Beersheet!$A:$U,0,FFARawStatProjections!$BV$2),0),$BV$3)+$BN61,
INDEX($A61:$BM61,,$BV$12)*$BW$12+
INDEX($A61:$BM61,,$BV$15)*$BW$15+
INDEX($A61:$BM61,,$BV$16)*$BW$16+
INDEX($A61:$BM61,,$BV$17)*$BW$17+
INDEX($A61:$BM61,,$BV$18)*$BW$18+
INDEX($A61:$BM61,,$BV$19)*$BW$19+
INDEX($A61:$BM61,,$BV$20)*$BW$20+
INDEX($A61:$BM61,,$BV$21)*$BW$21+
INDEX($A61:$BM61,,$BV$22)*$BW$22+
INDEX($A61:$BM61,,$BV$23)*$BW$23+
INDEX($A61:$BM61,,$BV$25)*$BW$25+
INDEX($A61:$BM61,,$BV$26)*$BW$26+
INDEX($A61:$BM61,,$BV$27)*$BW$27+
$BN61)),
$BN61-100)</f>
        <v>20.172600000000003</v>
      </c>
      <c r="AT61" t="str">
        <f t="shared" si="3"/>
        <v/>
      </c>
      <c r="AU61" t="str">
        <f t="shared" si="4"/>
        <v/>
      </c>
      <c r="AV61" s="430">
        <f>IFERROR(
IF(AT61="",-100,
IF($BV$2&gt;0, INDEX(Beersheet!$A:$U,MATCH(AT61,INDEX(Beersheet!$A:$U,0,FFARawStatProjections!$BV$2),0),$BV$3)+$BN61,
INDEX($A61:$BM61,,$BV$12)*$BW$12+
INDEX($A61:$BM61,,$BV$15)*$BW$15+
INDEX($A61:$BM61,,$BV$16)*$BW$16+
INDEX($A61:$BM61,,$BV$17)*$BW$17+
INDEX($A61:$BM61,,$BV$18)*$BW$18+
INDEX($A61:$BM61,,$BV$19)*$BW$19+
INDEX($A61:$BM61,,$BV$20)*$BW$20+
INDEX($A61:$BM61,,$BV$21)*$BW$21+
INDEX($A61:$BM61,,$BV$22)*$BW$22+
INDEX($A61:$BM61,,$BV$23)*$BW$23+
INDEX($A61:$BM61,,$BV$25)*$BW$25+
INDEX($A61:$BM61,,$BV$26)*$BW$26+
INDEX($A61:$BM61,,$BV$27)*$BW$27+
$BN61)),
$BN61-100)</f>
        <v>-100</v>
      </c>
      <c r="AX61" t="str">
        <f t="shared" si="5"/>
        <v/>
      </c>
      <c r="AY61" t="str">
        <f t="shared" si="6"/>
        <v/>
      </c>
      <c r="AZ61" s="430">
        <f>IFERROR(
IF(AX61="",-100,
IF($BV$2&gt;0, INDEX(Beersheet!$A:$U,MATCH(AX61,INDEX(Beersheet!$A:$U,0,FFARawStatProjections!$BV$2),0),$BV$3)+$BN61,
INDEX($A61:$BM61,,$BV$12)*$BW$12+
INDEX($A61:$BM61,,$BV$15)*$BW$15+
INDEX($A61:$BM61,,$BV$16)*$BW$16+
INDEX($A61:$BM61,,$BV$17)*$BW$17+
INDEX($A61:$BM61,,$BV$18)*$BW$18+
INDEX($A61:$BM61,,$BV$19)*$BW$19+
INDEX($A61:$BM61,,$BV$20)*$BW$20+
INDEX($A61:$BM61,,$BV$21)*$BW$21+
INDEX($A61:$BM61,,$BV$22)*$BW$22+
INDEX($A61:$BM61,,$BV$23)*$BW$23+
INDEX($A61:$BM61,,$BV$25)*$BW$25+
INDEX($A61:$BM61,,$BV$26)*$BW$26+
INDEX($A61:$BM61,,$BV$27)*$BW$27+
$BN61)),
$BN61-100)</f>
        <v>-100</v>
      </c>
      <c r="BB61" t="str">
        <f t="shared" si="7"/>
        <v/>
      </c>
      <c r="BC61" t="str">
        <f t="shared" si="8"/>
        <v/>
      </c>
      <c r="BD61" s="430">
        <f>IFERROR(
IF(BB61="",-100,
IF($BV$2&gt;0, INDEX(Beersheet!$A:$U,MATCH(BB61,INDEX(Beersheet!$A:$U,0,FFARawStatProjections!$BV$2),0),$BV$3)+$BN61,
INDEX($A61:$BM61,,$BV$12)*$BW$12+
INDEX($A61:$BM61,,$BV$15)*$BW$15+
INDEX($A61:$BM61,,$BV$16)*$BW$16+
INDEX($A61:$BM61,,$BV$17)*$BW$17+
INDEX($A61:$BM61,,$BV$18)*$BW$18+
INDEX($A61:$BM61,,$BV$19)*$BW$19+
INDEX($A61:$BM61,,$BV$20)*$BW$20+
INDEX($A61:$BM61,,$BV$21)*$BW$21+
INDEX($A61:$BM61,,$BV$22)*$BW$22+
INDEX($A61:$BM61,,$BV$23)*$BW$23+
INDEX($A61:$BM61,,$BV$25)*$BW$25+
INDEX($A61:$BM61,,$BV$26)*$BW$26+
INDEX($A61:$BM61,,$BV$27)*$BW$27+
$BN61)),
$BN61-100)</f>
        <v>-100</v>
      </c>
      <c r="BF61" t="str">
        <f t="shared" si="9"/>
        <v/>
      </c>
      <c r="BG61" t="str">
        <f t="shared" si="10"/>
        <v/>
      </c>
      <c r="BH61">
        <f t="shared" si="11"/>
        <v>0</v>
      </c>
      <c r="BJ61" t="str">
        <f t="shared" si="12"/>
        <v/>
      </c>
      <c r="BL61">
        <f t="shared" si="1"/>
        <v>0</v>
      </c>
      <c r="BN61">
        <v>5.9999999999999995E-4</v>
      </c>
      <c r="BS61" s="4" t="s">
        <v>2126</v>
      </c>
      <c r="BU61" s="568" t="s">
        <v>1851</v>
      </c>
      <c r="BV61">
        <f t="shared" si="13"/>
        <v>39</v>
      </c>
    </row>
    <row r="62" spans="1:75" ht="15.75" thickBot="1" x14ac:dyDescent="0.3">
      <c r="A62" s="569" t="s">
        <v>2165</v>
      </c>
      <c r="B62" s="569" t="s">
        <v>138</v>
      </c>
      <c r="C62" s="569" t="s">
        <v>1</v>
      </c>
      <c r="D62" s="574">
        <v>13</v>
      </c>
      <c r="E62" s="569"/>
      <c r="F62" s="569"/>
      <c r="G62" s="569">
        <v>43.3</v>
      </c>
      <c r="H62" s="569">
        <v>32.5</v>
      </c>
      <c r="I62" s="574">
        <v>2.1</v>
      </c>
      <c r="J62" s="574">
        <v>1.9</v>
      </c>
      <c r="K62" s="574">
        <v>327.5</v>
      </c>
      <c r="L62" s="574">
        <v>0</v>
      </c>
      <c r="M62" s="574">
        <v>0</v>
      </c>
      <c r="N62" s="574">
        <v>0</v>
      </c>
      <c r="O62" s="574">
        <v>4.7</v>
      </c>
      <c r="P62" s="574">
        <v>0.1</v>
      </c>
      <c r="Q62" s="574">
        <v>8.6</v>
      </c>
      <c r="R62" s="569"/>
      <c r="S62" s="569"/>
      <c r="T62" s="569"/>
      <c r="U62" s="569"/>
      <c r="V62" s="569"/>
      <c r="W62" s="569"/>
      <c r="X62" s="569"/>
      <c r="Y62" s="569"/>
      <c r="Z62" s="569"/>
      <c r="AA62" s="569"/>
      <c r="AB62" s="569"/>
      <c r="AC62" s="569"/>
      <c r="AD62" s="569"/>
      <c r="AE62" s="569"/>
      <c r="AF62" s="569"/>
      <c r="AG62" s="569"/>
      <c r="AH62" s="569"/>
      <c r="AI62" s="569"/>
      <c r="AJ62" s="569"/>
      <c r="AK62" s="569"/>
      <c r="AL62" s="569"/>
      <c r="AM62" s="569"/>
      <c r="AN62" s="574">
        <v>18.7</v>
      </c>
      <c r="AO62">
        <v>61</v>
      </c>
      <c r="AP62" t="str">
        <f t="shared" si="14"/>
        <v>Nick Mullens</v>
      </c>
      <c r="AQ62" t="str">
        <f t="shared" si="2"/>
        <v>MIN</v>
      </c>
      <c r="AR62" s="430">
        <f>IFERROR(
IF(AP62="",-100,
IF($BV$2&gt;0, INDEX(Beersheet!$A:$U,MATCH(AP62,INDEX(Beersheet!$A:$U,0,FFARawStatProjections!$BV$2),0),$BV$3)+$BN62,
INDEX($A62:$BM62,,$BV$12)*$BW$12+
INDEX($A62:$BM62,,$BV$15)*$BW$15+
INDEX($A62:$BM62,,$BV$16)*$BW$16+
INDEX($A62:$BM62,,$BV$17)*$BW$17+
INDEX($A62:$BM62,,$BV$18)*$BW$18+
INDEX($A62:$BM62,,$BV$19)*$BW$19+
INDEX($A62:$BM62,,$BV$20)*$BW$20+
INDEX($A62:$BM62,,$BV$21)*$BW$21+
INDEX($A62:$BM62,,$BV$22)*$BW$22+
INDEX($A62:$BM62,,$BV$23)*$BW$23+
INDEX($A62:$BM62,,$BV$25)*$BW$25+
INDEX($A62:$BM62,,$BV$26)*$BW$26+
INDEX($A62:$BM62,,$BV$27)*$BW$27+
$BN62)),
$BN62-100)</f>
        <v>20.060610000000004</v>
      </c>
      <c r="AT62" t="str">
        <f t="shared" si="3"/>
        <v/>
      </c>
      <c r="AU62" t="str">
        <f t="shared" si="4"/>
        <v/>
      </c>
      <c r="AV62" s="430">
        <f>IFERROR(
IF(AT62="",-100,
IF($BV$2&gt;0, INDEX(Beersheet!$A:$U,MATCH(AT62,INDEX(Beersheet!$A:$U,0,FFARawStatProjections!$BV$2),0),$BV$3)+$BN62,
INDEX($A62:$BM62,,$BV$12)*$BW$12+
INDEX($A62:$BM62,,$BV$15)*$BW$15+
INDEX($A62:$BM62,,$BV$16)*$BW$16+
INDEX($A62:$BM62,,$BV$17)*$BW$17+
INDEX($A62:$BM62,,$BV$18)*$BW$18+
INDEX($A62:$BM62,,$BV$19)*$BW$19+
INDEX($A62:$BM62,,$BV$20)*$BW$20+
INDEX($A62:$BM62,,$BV$21)*$BW$21+
INDEX($A62:$BM62,,$BV$22)*$BW$22+
INDEX($A62:$BM62,,$BV$23)*$BW$23+
INDEX($A62:$BM62,,$BV$25)*$BW$25+
INDEX($A62:$BM62,,$BV$26)*$BW$26+
INDEX($A62:$BM62,,$BV$27)*$BW$27+
$BN62)),
$BN62-100)</f>
        <v>-100</v>
      </c>
      <c r="AX62" t="str">
        <f t="shared" si="5"/>
        <v/>
      </c>
      <c r="AY62" t="str">
        <f t="shared" si="6"/>
        <v/>
      </c>
      <c r="AZ62" s="430">
        <f>IFERROR(
IF(AX62="",-100,
IF($BV$2&gt;0, INDEX(Beersheet!$A:$U,MATCH(AX62,INDEX(Beersheet!$A:$U,0,FFARawStatProjections!$BV$2),0),$BV$3)+$BN62,
INDEX($A62:$BM62,,$BV$12)*$BW$12+
INDEX($A62:$BM62,,$BV$15)*$BW$15+
INDEX($A62:$BM62,,$BV$16)*$BW$16+
INDEX($A62:$BM62,,$BV$17)*$BW$17+
INDEX($A62:$BM62,,$BV$18)*$BW$18+
INDEX($A62:$BM62,,$BV$19)*$BW$19+
INDEX($A62:$BM62,,$BV$20)*$BW$20+
INDEX($A62:$BM62,,$BV$21)*$BW$21+
INDEX($A62:$BM62,,$BV$22)*$BW$22+
INDEX($A62:$BM62,,$BV$23)*$BW$23+
INDEX($A62:$BM62,,$BV$25)*$BW$25+
INDEX($A62:$BM62,,$BV$26)*$BW$26+
INDEX($A62:$BM62,,$BV$27)*$BW$27+
$BN62)),
$BN62-100)</f>
        <v>-100</v>
      </c>
      <c r="BB62" t="str">
        <f t="shared" si="7"/>
        <v/>
      </c>
      <c r="BC62" t="str">
        <f t="shared" si="8"/>
        <v/>
      </c>
      <c r="BD62" s="430">
        <f>IFERROR(
IF(BB62="",-100,
IF($BV$2&gt;0, INDEX(Beersheet!$A:$U,MATCH(BB62,INDEX(Beersheet!$A:$U,0,FFARawStatProjections!$BV$2),0),$BV$3)+$BN62,
INDEX($A62:$BM62,,$BV$12)*$BW$12+
INDEX($A62:$BM62,,$BV$15)*$BW$15+
INDEX($A62:$BM62,,$BV$16)*$BW$16+
INDEX($A62:$BM62,,$BV$17)*$BW$17+
INDEX($A62:$BM62,,$BV$18)*$BW$18+
INDEX($A62:$BM62,,$BV$19)*$BW$19+
INDEX($A62:$BM62,,$BV$20)*$BW$20+
INDEX($A62:$BM62,,$BV$21)*$BW$21+
INDEX($A62:$BM62,,$BV$22)*$BW$22+
INDEX($A62:$BM62,,$BV$23)*$BW$23+
INDEX($A62:$BM62,,$BV$25)*$BW$25+
INDEX($A62:$BM62,,$BV$26)*$BW$26+
INDEX($A62:$BM62,,$BV$27)*$BW$27+
$BN62)),
$BN62-100)</f>
        <v>-100</v>
      </c>
      <c r="BF62" t="str">
        <f t="shared" si="9"/>
        <v/>
      </c>
      <c r="BG62" t="str">
        <f t="shared" si="10"/>
        <v/>
      </c>
      <c r="BH62">
        <f t="shared" si="11"/>
        <v>0</v>
      </c>
      <c r="BJ62" t="str">
        <f t="shared" si="12"/>
        <v/>
      </c>
      <c r="BL62">
        <f t="shared" si="1"/>
        <v>0</v>
      </c>
      <c r="BN62">
        <v>6.0999999999999997E-4</v>
      </c>
      <c r="BS62" s="4" t="s">
        <v>2526</v>
      </c>
      <c r="BU62" s="569" t="s">
        <v>2115</v>
      </c>
      <c r="BV62">
        <f t="shared" si="13"/>
        <v>40</v>
      </c>
    </row>
    <row r="63" spans="1:75" ht="15.75" thickBot="1" x14ac:dyDescent="0.3">
      <c r="A63" s="569" t="s">
        <v>2155</v>
      </c>
      <c r="B63" s="569" t="s">
        <v>164</v>
      </c>
      <c r="C63" s="569" t="s">
        <v>1</v>
      </c>
      <c r="D63" s="574">
        <v>7</v>
      </c>
      <c r="E63" s="569"/>
      <c r="F63" s="569"/>
      <c r="G63" s="569">
        <v>94.1</v>
      </c>
      <c r="H63" s="569">
        <v>52.5</v>
      </c>
      <c r="I63" s="574">
        <v>5.2</v>
      </c>
      <c r="J63" s="574">
        <v>0.8</v>
      </c>
      <c r="K63" s="574">
        <v>472.9</v>
      </c>
      <c r="L63" s="574">
        <v>0</v>
      </c>
      <c r="M63" s="574">
        <v>0</v>
      </c>
      <c r="N63" s="574">
        <v>0</v>
      </c>
      <c r="O63" s="574">
        <v>5.4</v>
      </c>
      <c r="P63" s="574">
        <v>0.2</v>
      </c>
      <c r="Q63" s="574">
        <v>13.4</v>
      </c>
      <c r="R63" s="569"/>
      <c r="S63" s="569"/>
      <c r="T63" s="569"/>
      <c r="U63" s="569"/>
      <c r="V63" s="569"/>
      <c r="W63" s="569"/>
      <c r="X63" s="569"/>
      <c r="Y63" s="569"/>
      <c r="Z63" s="569"/>
      <c r="AA63" s="569"/>
      <c r="AB63" s="569"/>
      <c r="AC63" s="569"/>
      <c r="AD63" s="569"/>
      <c r="AE63" s="569"/>
      <c r="AF63" s="569"/>
      <c r="AG63" s="569"/>
      <c r="AH63" s="569"/>
      <c r="AI63" s="569"/>
      <c r="AJ63" s="569"/>
      <c r="AK63" s="569"/>
      <c r="AL63" s="569"/>
      <c r="AM63" s="569"/>
      <c r="AN63" s="574">
        <v>18.399999999999999</v>
      </c>
      <c r="AO63">
        <v>62</v>
      </c>
      <c r="AP63" t="str">
        <f t="shared" si="14"/>
        <v>Zach Wilson</v>
      </c>
      <c r="AQ63" t="str">
        <f t="shared" si="2"/>
        <v>NYJ</v>
      </c>
      <c r="AR63" s="430">
        <f>IFERROR(
IF(AP63="",-100,
IF($BV$2&gt;0, INDEX(Beersheet!$A:$U,MATCH(AP63,INDEX(Beersheet!$A:$U,0,FFARawStatProjections!$BV$2),0),$BV$3)+$BN63,
INDEX($A63:$BM63,,$BV$12)*$BW$12+
INDEX($A63:$BM63,,$BV$15)*$BW$15+
INDEX($A63:$BM63,,$BV$16)*$BW$16+
INDEX($A63:$BM63,,$BV$17)*$BW$17+
INDEX($A63:$BM63,,$BV$18)*$BW$18+
INDEX($A63:$BM63,,$BV$19)*$BW$19+
INDEX($A63:$BM63,,$BV$20)*$BW$20+
INDEX($A63:$BM63,,$BV$21)*$BW$21+
INDEX($A63:$BM63,,$BV$22)*$BW$22+
INDEX($A63:$BM63,,$BV$23)*$BW$23+
INDEX($A63:$BM63,,$BV$25)*$BW$25+
INDEX($A63:$BM63,,$BV$26)*$BW$26+
INDEX($A63:$BM63,,$BV$27)*$BW$27+
$BN63)),
$BN63-100)</f>
        <v>19.456620000000001</v>
      </c>
      <c r="AT63" t="str">
        <f t="shared" si="3"/>
        <v/>
      </c>
      <c r="AU63" t="str">
        <f t="shared" si="4"/>
        <v/>
      </c>
      <c r="AV63" s="430">
        <f>IFERROR(
IF(AT63="",-100,
IF($BV$2&gt;0, INDEX(Beersheet!$A:$U,MATCH(AT63,INDEX(Beersheet!$A:$U,0,FFARawStatProjections!$BV$2),0),$BV$3)+$BN63,
INDEX($A63:$BM63,,$BV$12)*$BW$12+
INDEX($A63:$BM63,,$BV$15)*$BW$15+
INDEX($A63:$BM63,,$BV$16)*$BW$16+
INDEX($A63:$BM63,,$BV$17)*$BW$17+
INDEX($A63:$BM63,,$BV$18)*$BW$18+
INDEX($A63:$BM63,,$BV$19)*$BW$19+
INDEX($A63:$BM63,,$BV$20)*$BW$20+
INDEX($A63:$BM63,,$BV$21)*$BW$21+
INDEX($A63:$BM63,,$BV$22)*$BW$22+
INDEX($A63:$BM63,,$BV$23)*$BW$23+
INDEX($A63:$BM63,,$BV$25)*$BW$25+
INDEX($A63:$BM63,,$BV$26)*$BW$26+
INDEX($A63:$BM63,,$BV$27)*$BW$27+
$BN63)),
$BN63-100)</f>
        <v>-100</v>
      </c>
      <c r="AX63" t="str">
        <f t="shared" si="5"/>
        <v/>
      </c>
      <c r="AY63" t="str">
        <f t="shared" si="6"/>
        <v/>
      </c>
      <c r="AZ63" s="430">
        <f>IFERROR(
IF(AX63="",-100,
IF($BV$2&gt;0, INDEX(Beersheet!$A:$U,MATCH(AX63,INDEX(Beersheet!$A:$U,0,FFARawStatProjections!$BV$2),0),$BV$3)+$BN63,
INDEX($A63:$BM63,,$BV$12)*$BW$12+
INDEX($A63:$BM63,,$BV$15)*$BW$15+
INDEX($A63:$BM63,,$BV$16)*$BW$16+
INDEX($A63:$BM63,,$BV$17)*$BW$17+
INDEX($A63:$BM63,,$BV$18)*$BW$18+
INDEX($A63:$BM63,,$BV$19)*$BW$19+
INDEX($A63:$BM63,,$BV$20)*$BW$20+
INDEX($A63:$BM63,,$BV$21)*$BW$21+
INDEX($A63:$BM63,,$BV$22)*$BW$22+
INDEX($A63:$BM63,,$BV$23)*$BW$23+
INDEX($A63:$BM63,,$BV$25)*$BW$25+
INDEX($A63:$BM63,,$BV$26)*$BW$26+
INDEX($A63:$BM63,,$BV$27)*$BW$27+
$BN63)),
$BN63-100)</f>
        <v>-100</v>
      </c>
      <c r="BB63" t="str">
        <f t="shared" si="7"/>
        <v/>
      </c>
      <c r="BC63" t="str">
        <f t="shared" si="8"/>
        <v/>
      </c>
      <c r="BD63" s="430">
        <f>IFERROR(
IF(BB63="",-100,
IF($BV$2&gt;0, INDEX(Beersheet!$A:$U,MATCH(BB63,INDEX(Beersheet!$A:$U,0,FFARawStatProjections!$BV$2),0),$BV$3)+$BN63,
INDEX($A63:$BM63,,$BV$12)*$BW$12+
INDEX($A63:$BM63,,$BV$15)*$BW$15+
INDEX($A63:$BM63,,$BV$16)*$BW$16+
INDEX($A63:$BM63,,$BV$17)*$BW$17+
INDEX($A63:$BM63,,$BV$18)*$BW$18+
INDEX($A63:$BM63,,$BV$19)*$BW$19+
INDEX($A63:$BM63,,$BV$20)*$BW$20+
INDEX($A63:$BM63,,$BV$21)*$BW$21+
INDEX($A63:$BM63,,$BV$22)*$BW$22+
INDEX($A63:$BM63,,$BV$23)*$BW$23+
INDEX($A63:$BM63,,$BV$25)*$BW$25+
INDEX($A63:$BM63,,$BV$26)*$BW$26+
INDEX($A63:$BM63,,$BV$27)*$BW$27+
$BN63)),
$BN63-100)</f>
        <v>-100</v>
      </c>
      <c r="BF63" t="str">
        <f t="shared" si="9"/>
        <v/>
      </c>
      <c r="BG63" t="str">
        <f t="shared" si="10"/>
        <v/>
      </c>
      <c r="BH63">
        <f t="shared" si="11"/>
        <v>0</v>
      </c>
      <c r="BJ63" t="str">
        <f t="shared" si="12"/>
        <v/>
      </c>
      <c r="BL63">
        <f t="shared" si="1"/>
        <v>0</v>
      </c>
      <c r="BN63">
        <v>6.2E-4</v>
      </c>
      <c r="BS63" s="4" t="s">
        <v>2290</v>
      </c>
    </row>
    <row r="64" spans="1:75" ht="15.75" hidden="1" thickBot="1" x14ac:dyDescent="0.3">
      <c r="A64" s="569" t="s">
        <v>2409</v>
      </c>
      <c r="B64" s="569" t="s">
        <v>1389</v>
      </c>
      <c r="C64" s="569" t="s">
        <v>1</v>
      </c>
      <c r="D64" s="574">
        <v>10</v>
      </c>
      <c r="E64" s="569"/>
      <c r="F64" s="569"/>
      <c r="G64" s="569">
        <v>69.3</v>
      </c>
      <c r="H64" s="569">
        <v>43</v>
      </c>
      <c r="I64" s="574">
        <v>1.7</v>
      </c>
      <c r="J64" s="574">
        <v>1.1000000000000001</v>
      </c>
      <c r="K64" s="574">
        <v>356.6</v>
      </c>
      <c r="L64" s="574">
        <v>0</v>
      </c>
      <c r="M64" s="574">
        <v>0</v>
      </c>
      <c r="N64" s="574">
        <v>0</v>
      </c>
      <c r="O64" s="574">
        <v>8.8000000000000007</v>
      </c>
      <c r="P64" s="574">
        <v>0.1</v>
      </c>
      <c r="Q64" s="574">
        <v>18.2</v>
      </c>
      <c r="R64" s="569"/>
      <c r="S64" s="569"/>
      <c r="T64" s="569"/>
      <c r="U64" s="569"/>
      <c r="V64" s="569"/>
      <c r="W64" s="569"/>
      <c r="X64" s="569"/>
      <c r="Y64" s="569"/>
      <c r="Z64" s="569"/>
      <c r="AA64" s="569"/>
      <c r="AB64" s="569"/>
      <c r="AC64" s="569"/>
      <c r="AD64" s="569"/>
      <c r="AE64" s="569"/>
      <c r="AF64" s="569"/>
      <c r="AG64" s="569"/>
      <c r="AH64" s="569"/>
      <c r="AI64" s="569"/>
      <c r="AJ64" s="569"/>
      <c r="AK64" s="569"/>
      <c r="AL64" s="569"/>
      <c r="AM64" s="569"/>
      <c r="AN64" s="574">
        <v>18.399999999999999</v>
      </c>
      <c r="AO64">
        <v>63</v>
      </c>
      <c r="AP64" t="str">
        <f t="shared" si="14"/>
        <v>Stetson Bennett</v>
      </c>
      <c r="AQ64" t="str">
        <f t="shared" si="2"/>
        <v>LAR</v>
      </c>
      <c r="AR64" s="430">
        <f>IFERROR(
IF(AP64="",-100,
IF($BV$2&gt;0, INDEX(Beersheet!$A:$U,MATCH(AP64,INDEX(Beersheet!$A:$U,0,FFARawStatProjections!$BV$2),0),$BV$3)+$BN64,
INDEX($A64:$BM64,,$BV$12)*$BW$12+
INDEX($A64:$BM64,,$BV$15)*$BW$15+
INDEX($A64:$BM64,,$BV$16)*$BW$16+
INDEX($A64:$BM64,,$BV$17)*$BW$17+
INDEX($A64:$BM64,,$BV$18)*$BW$18+
INDEX($A64:$BM64,,$BV$19)*$BW$19+
INDEX($A64:$BM64,,$BV$20)*$BW$20+
INDEX($A64:$BM64,,$BV$21)*$BW$21+
INDEX($A64:$BM64,,$BV$22)*$BW$22+
INDEX($A64:$BM64,,$BV$23)*$BW$23+
INDEX($A64:$BM64,,$BV$25)*$BW$25+
INDEX($A64:$BM64,,$BV$26)*$BW$26+
INDEX($A64:$BM64,,$BV$27)*$BW$27+
$BN64)),
$BN64-100)</f>
        <v>19.384630000000005</v>
      </c>
      <c r="AT64" t="str">
        <f t="shared" si="3"/>
        <v/>
      </c>
      <c r="AU64" t="str">
        <f t="shared" si="4"/>
        <v/>
      </c>
      <c r="AV64" s="430">
        <f>IFERROR(
IF(AT64="",-100,
IF($BV$2&gt;0, INDEX(Beersheet!$A:$U,MATCH(AT64,INDEX(Beersheet!$A:$U,0,FFARawStatProjections!$BV$2),0),$BV$3)+$BN64,
INDEX($A64:$BM64,,$BV$12)*$BW$12+
INDEX($A64:$BM64,,$BV$15)*$BW$15+
INDEX($A64:$BM64,,$BV$16)*$BW$16+
INDEX($A64:$BM64,,$BV$17)*$BW$17+
INDEX($A64:$BM64,,$BV$18)*$BW$18+
INDEX($A64:$BM64,,$BV$19)*$BW$19+
INDEX($A64:$BM64,,$BV$20)*$BW$20+
INDEX($A64:$BM64,,$BV$21)*$BW$21+
INDEX($A64:$BM64,,$BV$22)*$BW$22+
INDEX($A64:$BM64,,$BV$23)*$BW$23+
INDEX($A64:$BM64,,$BV$25)*$BW$25+
INDEX($A64:$BM64,,$BV$26)*$BW$26+
INDEX($A64:$BM64,,$BV$27)*$BW$27+
$BN64)),
$BN64-100)</f>
        <v>-100</v>
      </c>
      <c r="AX64" t="str">
        <f t="shared" si="5"/>
        <v/>
      </c>
      <c r="AY64" t="str">
        <f t="shared" si="6"/>
        <v/>
      </c>
      <c r="AZ64" s="430">
        <f>IFERROR(
IF(AX64="",-100,
IF($BV$2&gt;0, INDEX(Beersheet!$A:$U,MATCH(AX64,INDEX(Beersheet!$A:$U,0,FFARawStatProjections!$BV$2),0),$BV$3)+$BN64,
INDEX($A64:$BM64,,$BV$12)*$BW$12+
INDEX($A64:$BM64,,$BV$15)*$BW$15+
INDEX($A64:$BM64,,$BV$16)*$BW$16+
INDEX($A64:$BM64,,$BV$17)*$BW$17+
INDEX($A64:$BM64,,$BV$18)*$BW$18+
INDEX($A64:$BM64,,$BV$19)*$BW$19+
INDEX($A64:$BM64,,$BV$20)*$BW$20+
INDEX($A64:$BM64,,$BV$21)*$BW$21+
INDEX($A64:$BM64,,$BV$22)*$BW$22+
INDEX($A64:$BM64,,$BV$23)*$BW$23+
INDEX($A64:$BM64,,$BV$25)*$BW$25+
INDEX($A64:$BM64,,$BV$26)*$BW$26+
INDEX($A64:$BM64,,$BV$27)*$BW$27+
$BN64)),
$BN64-100)</f>
        <v>-100</v>
      </c>
      <c r="BB64" t="str">
        <f t="shared" si="7"/>
        <v/>
      </c>
      <c r="BC64" t="str">
        <f t="shared" si="8"/>
        <v/>
      </c>
      <c r="BD64" s="430">
        <f>IFERROR(
IF(BB64="",-100,
IF($BV$2&gt;0, INDEX(Beersheet!$A:$U,MATCH(BB64,INDEX(Beersheet!$A:$U,0,FFARawStatProjections!$BV$2),0),$BV$3)+$BN64,
INDEX($A64:$BM64,,$BV$12)*$BW$12+
INDEX($A64:$BM64,,$BV$15)*$BW$15+
INDEX($A64:$BM64,,$BV$16)*$BW$16+
INDEX($A64:$BM64,,$BV$17)*$BW$17+
INDEX($A64:$BM64,,$BV$18)*$BW$18+
INDEX($A64:$BM64,,$BV$19)*$BW$19+
INDEX($A64:$BM64,,$BV$20)*$BW$20+
INDEX($A64:$BM64,,$BV$21)*$BW$21+
INDEX($A64:$BM64,,$BV$22)*$BW$22+
INDEX($A64:$BM64,,$BV$23)*$BW$23+
INDEX($A64:$BM64,,$BV$25)*$BW$25+
INDEX($A64:$BM64,,$BV$26)*$BW$26+
INDEX($A64:$BM64,,$BV$27)*$BW$27+
$BN64)),
$BN64-100)</f>
        <v>-100</v>
      </c>
      <c r="BF64" t="str">
        <f t="shared" si="9"/>
        <v/>
      </c>
      <c r="BG64" t="str">
        <f t="shared" si="10"/>
        <v/>
      </c>
      <c r="BH64">
        <f t="shared" si="11"/>
        <v>0</v>
      </c>
      <c r="BJ64" t="str">
        <f t="shared" si="12"/>
        <v/>
      </c>
      <c r="BL64">
        <f t="shared" si="1"/>
        <v>0</v>
      </c>
      <c r="BN64">
        <v>6.3000000000000003E-4</v>
      </c>
      <c r="BS64" s="4" t="s">
        <v>2525</v>
      </c>
    </row>
    <row r="65" spans="1:71" ht="15.75" hidden="1" thickBot="1" x14ac:dyDescent="0.3">
      <c r="A65" s="569" t="s">
        <v>2168</v>
      </c>
      <c r="B65" s="569" t="s">
        <v>1388</v>
      </c>
      <c r="C65" s="569" t="s">
        <v>1</v>
      </c>
      <c r="D65" s="574">
        <v>5</v>
      </c>
      <c r="E65" s="569"/>
      <c r="F65" s="569"/>
      <c r="G65" s="569">
        <v>64.5</v>
      </c>
      <c r="H65" s="569">
        <v>37.799999999999997</v>
      </c>
      <c r="I65" s="574">
        <v>3.6</v>
      </c>
      <c r="J65" s="574">
        <v>1.6</v>
      </c>
      <c r="K65" s="574">
        <v>342.3</v>
      </c>
      <c r="L65" s="574">
        <v>0</v>
      </c>
      <c r="M65" s="574">
        <v>0</v>
      </c>
      <c r="N65" s="574">
        <v>0</v>
      </c>
      <c r="O65" s="574">
        <v>15.2</v>
      </c>
      <c r="P65" s="574">
        <v>0.2</v>
      </c>
      <c r="Q65" s="574">
        <v>20.6</v>
      </c>
      <c r="R65" s="569"/>
      <c r="S65" s="569"/>
      <c r="T65" s="569"/>
      <c r="U65" s="569"/>
      <c r="V65" s="569"/>
      <c r="W65" s="569"/>
      <c r="X65" s="569"/>
      <c r="Y65" s="569"/>
      <c r="Z65" s="569"/>
      <c r="AA65" s="569"/>
      <c r="AB65" s="569"/>
      <c r="AC65" s="569"/>
      <c r="AD65" s="569"/>
      <c r="AE65" s="569"/>
      <c r="AF65" s="569"/>
      <c r="AG65" s="569"/>
      <c r="AH65" s="569"/>
      <c r="AI65" s="569"/>
      <c r="AJ65" s="569"/>
      <c r="AK65" s="569"/>
      <c r="AL65" s="569"/>
      <c r="AM65" s="569"/>
      <c r="AN65" s="574">
        <v>18.3</v>
      </c>
      <c r="AO65">
        <v>64</v>
      </c>
      <c r="AP65" t="str">
        <f t="shared" si="14"/>
        <v>Easton Stick</v>
      </c>
      <c r="AQ65" t="str">
        <f t="shared" si="2"/>
        <v>LAC</v>
      </c>
      <c r="AR65" s="430">
        <f>IFERROR(
IF(AP65="",-100,
IF($BV$2&gt;0, INDEX(Beersheet!$A:$U,MATCH(AP65,INDEX(Beersheet!$A:$U,0,FFARawStatProjections!$BV$2),0),$BV$3)+$BN65,
INDEX($A65:$BM65,,$BV$12)*$BW$12+
INDEX($A65:$BM65,,$BV$15)*$BW$15+
INDEX($A65:$BM65,,$BV$16)*$BW$16+
INDEX($A65:$BM65,,$BV$17)*$BW$17+
INDEX($A65:$BM65,,$BV$18)*$BW$18+
INDEX($A65:$BM65,,$BV$19)*$BW$19+
INDEX($A65:$BM65,,$BV$20)*$BW$20+
INDEX($A65:$BM65,,$BV$21)*$BW$21+
INDEX($A65:$BM65,,$BV$22)*$BW$22+
INDEX($A65:$BM65,,$BV$23)*$BW$23+
INDEX($A65:$BM65,,$BV$25)*$BW$25+
INDEX($A65:$BM65,,$BV$26)*$BW$26+
INDEX($A65:$BM65,,$BV$27)*$BW$27+
$BN65)),
$BN65-100)</f>
        <v>19.75264</v>
      </c>
      <c r="AT65" t="str">
        <f t="shared" si="3"/>
        <v/>
      </c>
      <c r="AU65" t="str">
        <f t="shared" si="4"/>
        <v/>
      </c>
      <c r="AV65" s="430">
        <f>IFERROR(
IF(AT65="",-100,
IF($BV$2&gt;0, INDEX(Beersheet!$A:$U,MATCH(AT65,INDEX(Beersheet!$A:$U,0,FFARawStatProjections!$BV$2),0),$BV$3)+$BN65,
INDEX($A65:$BM65,,$BV$12)*$BW$12+
INDEX($A65:$BM65,,$BV$15)*$BW$15+
INDEX($A65:$BM65,,$BV$16)*$BW$16+
INDEX($A65:$BM65,,$BV$17)*$BW$17+
INDEX($A65:$BM65,,$BV$18)*$BW$18+
INDEX($A65:$BM65,,$BV$19)*$BW$19+
INDEX($A65:$BM65,,$BV$20)*$BW$20+
INDEX($A65:$BM65,,$BV$21)*$BW$21+
INDEX($A65:$BM65,,$BV$22)*$BW$22+
INDEX($A65:$BM65,,$BV$23)*$BW$23+
INDEX($A65:$BM65,,$BV$25)*$BW$25+
INDEX($A65:$BM65,,$BV$26)*$BW$26+
INDEX($A65:$BM65,,$BV$27)*$BW$27+
$BN65)),
$BN65-100)</f>
        <v>-100</v>
      </c>
      <c r="AX65" t="str">
        <f t="shared" si="5"/>
        <v/>
      </c>
      <c r="AY65" t="str">
        <f t="shared" si="6"/>
        <v/>
      </c>
      <c r="AZ65" s="430">
        <f>IFERROR(
IF(AX65="",-100,
IF($BV$2&gt;0, INDEX(Beersheet!$A:$U,MATCH(AX65,INDEX(Beersheet!$A:$U,0,FFARawStatProjections!$BV$2),0),$BV$3)+$BN65,
INDEX($A65:$BM65,,$BV$12)*$BW$12+
INDEX($A65:$BM65,,$BV$15)*$BW$15+
INDEX($A65:$BM65,,$BV$16)*$BW$16+
INDEX($A65:$BM65,,$BV$17)*$BW$17+
INDEX($A65:$BM65,,$BV$18)*$BW$18+
INDEX($A65:$BM65,,$BV$19)*$BW$19+
INDEX($A65:$BM65,,$BV$20)*$BW$20+
INDEX($A65:$BM65,,$BV$21)*$BW$21+
INDEX($A65:$BM65,,$BV$22)*$BW$22+
INDEX($A65:$BM65,,$BV$23)*$BW$23+
INDEX($A65:$BM65,,$BV$25)*$BW$25+
INDEX($A65:$BM65,,$BV$26)*$BW$26+
INDEX($A65:$BM65,,$BV$27)*$BW$27+
$BN65)),
$BN65-100)</f>
        <v>-100</v>
      </c>
      <c r="BB65" t="str">
        <f t="shared" si="7"/>
        <v/>
      </c>
      <c r="BC65" t="str">
        <f t="shared" si="8"/>
        <v/>
      </c>
      <c r="BD65" s="430">
        <f>IFERROR(
IF(BB65="",-100,
IF($BV$2&gt;0, INDEX(Beersheet!$A:$U,MATCH(BB65,INDEX(Beersheet!$A:$U,0,FFARawStatProjections!$BV$2),0),$BV$3)+$BN65,
INDEX($A65:$BM65,,$BV$12)*$BW$12+
INDEX($A65:$BM65,,$BV$15)*$BW$15+
INDEX($A65:$BM65,,$BV$16)*$BW$16+
INDEX($A65:$BM65,,$BV$17)*$BW$17+
INDEX($A65:$BM65,,$BV$18)*$BW$18+
INDEX($A65:$BM65,,$BV$19)*$BW$19+
INDEX($A65:$BM65,,$BV$20)*$BW$20+
INDEX($A65:$BM65,,$BV$21)*$BW$21+
INDEX($A65:$BM65,,$BV$22)*$BW$22+
INDEX($A65:$BM65,,$BV$23)*$BW$23+
INDEX($A65:$BM65,,$BV$25)*$BW$25+
INDEX($A65:$BM65,,$BV$26)*$BW$26+
INDEX($A65:$BM65,,$BV$27)*$BW$27+
$BN65)),
$BN65-100)</f>
        <v>-100</v>
      </c>
      <c r="BF65" t="str">
        <f t="shared" si="9"/>
        <v/>
      </c>
      <c r="BG65" t="str">
        <f t="shared" si="10"/>
        <v/>
      </c>
      <c r="BH65">
        <f t="shared" si="11"/>
        <v>0</v>
      </c>
      <c r="BJ65" t="str">
        <f t="shared" si="12"/>
        <v/>
      </c>
      <c r="BL65">
        <f t="shared" si="1"/>
        <v>0</v>
      </c>
      <c r="BN65">
        <v>6.4000000000000005E-4</v>
      </c>
      <c r="BS65" s="4" t="s">
        <v>1104</v>
      </c>
    </row>
    <row r="66" spans="1:71" ht="15.75" thickBot="1" x14ac:dyDescent="0.3">
      <c r="A66" s="569" t="s">
        <v>2170</v>
      </c>
      <c r="B66" s="569" t="s">
        <v>165</v>
      </c>
      <c r="C66" s="569" t="s">
        <v>1</v>
      </c>
      <c r="D66" s="574">
        <v>9</v>
      </c>
      <c r="E66" s="569"/>
      <c r="F66" s="569"/>
      <c r="G66" s="569">
        <v>56.5</v>
      </c>
      <c r="H66" s="569">
        <v>33</v>
      </c>
      <c r="I66" s="574">
        <v>2.9</v>
      </c>
      <c r="J66" s="574">
        <v>1.5</v>
      </c>
      <c r="K66" s="574">
        <v>341.2</v>
      </c>
      <c r="L66" s="574">
        <v>0</v>
      </c>
      <c r="M66" s="574">
        <v>0</v>
      </c>
      <c r="N66" s="574">
        <v>0</v>
      </c>
      <c r="O66" s="574">
        <v>11.6</v>
      </c>
      <c r="P66" s="574">
        <v>0.1</v>
      </c>
      <c r="Q66" s="574">
        <v>20</v>
      </c>
      <c r="R66" s="569"/>
      <c r="S66" s="569"/>
      <c r="T66" s="569"/>
      <c r="U66" s="569"/>
      <c r="V66" s="569"/>
      <c r="W66" s="569"/>
      <c r="X66" s="569"/>
      <c r="Y66" s="569"/>
      <c r="Z66" s="569"/>
      <c r="AA66" s="569"/>
      <c r="AB66" s="569"/>
      <c r="AC66" s="569"/>
      <c r="AD66" s="569"/>
      <c r="AE66" s="569"/>
      <c r="AF66" s="569"/>
      <c r="AG66" s="569"/>
      <c r="AH66" s="569"/>
      <c r="AI66" s="569"/>
      <c r="AJ66" s="569"/>
      <c r="AK66" s="569"/>
      <c r="AL66" s="569"/>
      <c r="AM66" s="569"/>
      <c r="AN66" s="574">
        <v>18.2</v>
      </c>
      <c r="AO66">
        <v>65</v>
      </c>
      <c r="AP66" t="str">
        <f t="shared" si="14"/>
        <v>CJ Beathard</v>
      </c>
      <c r="AQ66" t="str">
        <f t="shared" si="2"/>
        <v>JAC</v>
      </c>
      <c r="AR66" s="430">
        <f>IFERROR(
IF(AP66="",-100,
IF($BV$2&gt;0, INDEX(Beersheet!$A:$U,MATCH(AP66,INDEX(Beersheet!$A:$U,0,FFARawStatProjections!$BV$2),0),$BV$3)+$BN66,
INDEX($A66:$BM66,,$BV$12)*$BW$12+
INDEX($A66:$BM66,,$BV$15)*$BW$15+
INDEX($A66:$BM66,,$BV$16)*$BW$16+
INDEX($A66:$BM66,,$BV$17)*$BW$17+
INDEX($A66:$BM66,,$BV$18)*$BW$18+
INDEX($A66:$BM66,,$BV$19)*$BW$19+
INDEX($A66:$BM66,,$BV$20)*$BW$20+
INDEX($A66:$BM66,,$BV$21)*$BW$21+
INDEX($A66:$BM66,,$BV$22)*$BW$22+
INDEX($A66:$BM66,,$BV$23)*$BW$23+
INDEX($A66:$BM66,,$BV$25)*$BW$25+
INDEX($A66:$BM66,,$BV$26)*$BW$26+
INDEX($A66:$BM66,,$BV$27)*$BW$27+
$BN66)),
$BN66-100)</f>
        <v>19.348650000000003</v>
      </c>
      <c r="AT66" t="str">
        <f t="shared" si="3"/>
        <v/>
      </c>
      <c r="AU66" t="str">
        <f t="shared" si="4"/>
        <v/>
      </c>
      <c r="AV66" s="430">
        <f>IFERROR(
IF(AT66="",-100,
IF($BV$2&gt;0, INDEX(Beersheet!$A:$U,MATCH(AT66,INDEX(Beersheet!$A:$U,0,FFARawStatProjections!$BV$2),0),$BV$3)+$BN66,
INDEX($A66:$BM66,,$BV$12)*$BW$12+
INDEX($A66:$BM66,,$BV$15)*$BW$15+
INDEX($A66:$BM66,,$BV$16)*$BW$16+
INDEX($A66:$BM66,,$BV$17)*$BW$17+
INDEX($A66:$BM66,,$BV$18)*$BW$18+
INDEX($A66:$BM66,,$BV$19)*$BW$19+
INDEX($A66:$BM66,,$BV$20)*$BW$20+
INDEX($A66:$BM66,,$BV$21)*$BW$21+
INDEX($A66:$BM66,,$BV$22)*$BW$22+
INDEX($A66:$BM66,,$BV$23)*$BW$23+
INDEX($A66:$BM66,,$BV$25)*$BW$25+
INDEX($A66:$BM66,,$BV$26)*$BW$26+
INDEX($A66:$BM66,,$BV$27)*$BW$27+
$BN66)),
$BN66-100)</f>
        <v>-100</v>
      </c>
      <c r="AX66" t="str">
        <f t="shared" si="5"/>
        <v/>
      </c>
      <c r="AY66" t="str">
        <f t="shared" si="6"/>
        <v/>
      </c>
      <c r="AZ66" s="430">
        <f>IFERROR(
IF(AX66="",-100,
IF($BV$2&gt;0, INDEX(Beersheet!$A:$U,MATCH(AX66,INDEX(Beersheet!$A:$U,0,FFARawStatProjections!$BV$2),0),$BV$3)+$BN66,
INDEX($A66:$BM66,,$BV$12)*$BW$12+
INDEX($A66:$BM66,,$BV$15)*$BW$15+
INDEX($A66:$BM66,,$BV$16)*$BW$16+
INDEX($A66:$BM66,,$BV$17)*$BW$17+
INDEX($A66:$BM66,,$BV$18)*$BW$18+
INDEX($A66:$BM66,,$BV$19)*$BW$19+
INDEX($A66:$BM66,,$BV$20)*$BW$20+
INDEX($A66:$BM66,,$BV$21)*$BW$21+
INDEX($A66:$BM66,,$BV$22)*$BW$22+
INDEX($A66:$BM66,,$BV$23)*$BW$23+
INDEX($A66:$BM66,,$BV$25)*$BW$25+
INDEX($A66:$BM66,,$BV$26)*$BW$26+
INDEX($A66:$BM66,,$BV$27)*$BW$27+
$BN66)),
$BN66-100)</f>
        <v>-100</v>
      </c>
      <c r="BB66" t="str">
        <f t="shared" si="7"/>
        <v/>
      </c>
      <c r="BC66" t="str">
        <f t="shared" ref="BC66:BC129" si="15">IFERROR(IF(BB66="","",$B66),"")</f>
        <v/>
      </c>
      <c r="BD66" s="430">
        <f>IFERROR(
IF(BB66="",-100,
IF($BV$2&gt;0, INDEX(Beersheet!$A:$U,MATCH(BB66,INDEX(Beersheet!$A:$U,0,FFARawStatProjections!$BV$2),0),$BV$3)+$BN66,
INDEX($A66:$BM66,,$BV$12)*$BW$12+
INDEX($A66:$BM66,,$BV$15)*$BW$15+
INDEX($A66:$BM66,,$BV$16)*$BW$16+
INDEX($A66:$BM66,,$BV$17)*$BW$17+
INDEX($A66:$BM66,,$BV$18)*$BW$18+
INDEX($A66:$BM66,,$BV$19)*$BW$19+
INDEX($A66:$BM66,,$BV$20)*$BW$20+
INDEX($A66:$BM66,,$BV$21)*$BW$21+
INDEX($A66:$BM66,,$BV$22)*$BW$22+
INDEX($A66:$BM66,,$BV$23)*$BW$23+
INDEX($A66:$BM66,,$BV$25)*$BW$25+
INDEX($A66:$BM66,,$BV$26)*$BW$26+
INDEX($A66:$BM66,,$BV$27)*$BW$27+
$BN66)),
$BN66-100)</f>
        <v>-100</v>
      </c>
      <c r="BF66" t="str">
        <f t="shared" si="9"/>
        <v/>
      </c>
      <c r="BG66" t="str">
        <f t="shared" si="10"/>
        <v/>
      </c>
      <c r="BH66">
        <f t="shared" si="11"/>
        <v>0</v>
      </c>
      <c r="BJ66" t="str">
        <f t="shared" si="12"/>
        <v/>
      </c>
      <c r="BL66">
        <f t="shared" ref="BL66:BL129" si="16">IFERROR(IF(BJ66="",0,
V66*2+W66*2+X66*2+Z66*6+AA66*1+AB66*2+AC66*6
+AN66+BN66),"")</f>
        <v>0</v>
      </c>
      <c r="BN66">
        <v>6.4999999999999997E-4</v>
      </c>
      <c r="BS66" s="4" t="s">
        <v>2524</v>
      </c>
    </row>
    <row r="67" spans="1:71" ht="15.75" thickBot="1" x14ac:dyDescent="0.3">
      <c r="A67" s="569" t="s">
        <v>1885</v>
      </c>
      <c r="B67" s="569" t="s">
        <v>140</v>
      </c>
      <c r="C67" s="569" t="s">
        <v>1</v>
      </c>
      <c r="D67" s="574">
        <v>5</v>
      </c>
      <c r="E67" s="569"/>
      <c r="F67" s="569"/>
      <c r="G67" s="569">
        <v>50.8</v>
      </c>
      <c r="H67" s="569">
        <v>27.8</v>
      </c>
      <c r="I67" s="574">
        <v>2.7</v>
      </c>
      <c r="J67" s="574">
        <v>1.6</v>
      </c>
      <c r="K67" s="574">
        <v>318.10000000000002</v>
      </c>
      <c r="L67" s="574">
        <v>0</v>
      </c>
      <c r="M67" s="574">
        <v>0</v>
      </c>
      <c r="N67" s="574">
        <v>0</v>
      </c>
      <c r="O67" s="574">
        <v>5.5</v>
      </c>
      <c r="P67" s="574">
        <v>0.1</v>
      </c>
      <c r="Q67" s="574">
        <v>16.100000000000001</v>
      </c>
      <c r="R67" s="569"/>
      <c r="S67" s="569"/>
      <c r="T67" s="569"/>
      <c r="U67" s="569"/>
      <c r="V67" s="569"/>
      <c r="W67" s="569"/>
      <c r="X67" s="569"/>
      <c r="Y67" s="569"/>
      <c r="Z67" s="569"/>
      <c r="AA67" s="569"/>
      <c r="AB67" s="569"/>
      <c r="AC67" s="569"/>
      <c r="AD67" s="569"/>
      <c r="AE67" s="569"/>
      <c r="AF67" s="569"/>
      <c r="AG67" s="569"/>
      <c r="AH67" s="569"/>
      <c r="AI67" s="569"/>
      <c r="AJ67" s="569"/>
      <c r="AK67" s="569"/>
      <c r="AL67" s="569"/>
      <c r="AM67" s="569"/>
      <c r="AN67" s="574">
        <v>17.5</v>
      </c>
      <c r="AO67">
        <v>66</v>
      </c>
      <c r="AP67" t="str">
        <f t="shared" si="14"/>
        <v>Drew Lock</v>
      </c>
      <c r="AQ67" t="str">
        <f t="shared" ref="AQ67:AQ130" si="17">IFERROR(IF(AP67="","",$B67),"")</f>
        <v>SEA</v>
      </c>
      <c r="AR67" s="430">
        <f>IFERROR(
IF(AP67="",-100,
IF($BV$2&gt;0, INDEX(Beersheet!$A:$U,MATCH(AP67,INDEX(Beersheet!$A:$U,0,FFARawStatProjections!$BV$2),0),$BV$3)+$BN67,
INDEX($A67:$BM67,,$BV$12)*$BW$12+
INDEX($A67:$BM67,,$BV$15)*$BW$15+
INDEX($A67:$BM67,,$BV$16)*$BW$16+
INDEX($A67:$BM67,,$BV$17)*$BW$17+
INDEX($A67:$BM67,,$BV$18)*$BW$18+
INDEX($A67:$BM67,,$BV$19)*$BW$19+
INDEX($A67:$BM67,,$BV$20)*$BW$20+
INDEX($A67:$BM67,,$BV$21)*$BW$21+
INDEX($A67:$BM67,,$BV$22)*$BW$22+
INDEX($A67:$BM67,,$BV$23)*$BW$23+
INDEX($A67:$BM67,,$BV$25)*$BW$25+
INDEX($A67:$BM67,,$BV$26)*$BW$26+
INDEX($A67:$BM67,,$BV$27)*$BW$27+
$BN67)),
$BN67-100)</f>
        <v>18.634660000000004</v>
      </c>
      <c r="AT67" t="str">
        <f t="shared" ref="AT67:AT130" si="18">IF($C67 = "RB", $A67, "")</f>
        <v/>
      </c>
      <c r="AU67" t="str">
        <f t="shared" ref="AU67:AU130" si="19">IFERROR(IF(AT67="","",$B67),"")</f>
        <v/>
      </c>
      <c r="AV67" s="430">
        <f>IFERROR(
IF(AT67="",-100,
IF($BV$2&gt;0, INDEX(Beersheet!$A:$U,MATCH(AT67,INDEX(Beersheet!$A:$U,0,FFARawStatProjections!$BV$2),0),$BV$3)+$BN67,
INDEX($A67:$BM67,,$BV$12)*$BW$12+
INDEX($A67:$BM67,,$BV$15)*$BW$15+
INDEX($A67:$BM67,,$BV$16)*$BW$16+
INDEX($A67:$BM67,,$BV$17)*$BW$17+
INDEX($A67:$BM67,,$BV$18)*$BW$18+
INDEX($A67:$BM67,,$BV$19)*$BW$19+
INDEX($A67:$BM67,,$BV$20)*$BW$20+
INDEX($A67:$BM67,,$BV$21)*$BW$21+
INDEX($A67:$BM67,,$BV$22)*$BW$22+
INDEX($A67:$BM67,,$BV$23)*$BW$23+
INDEX($A67:$BM67,,$BV$25)*$BW$25+
INDEX($A67:$BM67,,$BV$26)*$BW$26+
INDEX($A67:$BM67,,$BV$27)*$BW$27+
$BN67)),
$BN67-100)</f>
        <v>-100</v>
      </c>
      <c r="AX67" t="str">
        <f t="shared" ref="AX67:AX130" si="20">IF($C67 = "WR", $A67, "")</f>
        <v/>
      </c>
      <c r="AY67" t="str">
        <f t="shared" ref="AY67:AY130" si="21">IFERROR(IF(AX67="","",$B67),"")</f>
        <v/>
      </c>
      <c r="AZ67" s="430">
        <f>IFERROR(
IF(AX67="",-100,
IF($BV$2&gt;0, INDEX(Beersheet!$A:$U,MATCH(AX67,INDEX(Beersheet!$A:$U,0,FFARawStatProjections!$BV$2),0),$BV$3)+$BN67,
INDEX($A67:$BM67,,$BV$12)*$BW$12+
INDEX($A67:$BM67,,$BV$15)*$BW$15+
INDEX($A67:$BM67,,$BV$16)*$BW$16+
INDEX($A67:$BM67,,$BV$17)*$BW$17+
INDEX($A67:$BM67,,$BV$18)*$BW$18+
INDEX($A67:$BM67,,$BV$19)*$BW$19+
INDEX($A67:$BM67,,$BV$20)*$BW$20+
INDEX($A67:$BM67,,$BV$21)*$BW$21+
INDEX($A67:$BM67,,$BV$22)*$BW$22+
INDEX($A67:$BM67,,$BV$23)*$BW$23+
INDEX($A67:$BM67,,$BV$25)*$BW$25+
INDEX($A67:$BM67,,$BV$26)*$BW$26+
INDEX($A67:$BM67,,$BV$27)*$BW$27+
$BN67)),
$BN67-100)</f>
        <v>-100</v>
      </c>
      <c r="BB67" t="str">
        <f t="shared" ref="BB67:BB130" si="22">IF($C67 = "TE", $A67, "")</f>
        <v/>
      </c>
      <c r="BC67" t="str">
        <f t="shared" si="15"/>
        <v/>
      </c>
      <c r="BD67" s="430">
        <f>IFERROR(
IF(BB67="",-100,
IF($BV$2&gt;0, INDEX(Beersheet!$A:$U,MATCH(BB67,INDEX(Beersheet!$A:$U,0,FFARawStatProjections!$BV$2),0),$BV$3)+$BN67,
INDEX($A67:$BM67,,$BV$12)*$BW$12+
INDEX($A67:$BM67,,$BV$15)*$BW$15+
INDEX($A67:$BM67,,$BV$16)*$BW$16+
INDEX($A67:$BM67,,$BV$17)*$BW$17+
INDEX($A67:$BM67,,$BV$18)*$BW$18+
INDEX($A67:$BM67,,$BV$19)*$BW$19+
INDEX($A67:$BM67,,$BV$20)*$BW$20+
INDEX($A67:$BM67,,$BV$21)*$BW$21+
INDEX($A67:$BM67,,$BV$22)*$BW$22+
INDEX($A67:$BM67,,$BV$23)*$BW$23+
INDEX($A67:$BM67,,$BV$25)*$BW$25+
INDEX($A67:$BM67,,$BV$26)*$BW$26+
INDEX($A67:$BM67,,$BV$27)*$BW$27+
$BN67)),
$BN67-100)</f>
        <v>-100</v>
      </c>
      <c r="BF67" t="str">
        <f t="shared" ref="BF67:BF130" si="23">IF($C67 = "K", $A67, "")</f>
        <v/>
      </c>
      <c r="BG67" t="str">
        <f t="shared" ref="BG67:BG130" si="24">IFERROR(IF(BF67="","",$B67),"")</f>
        <v/>
      </c>
      <c r="BH67">
        <f t="shared" ref="BH67:BH130" si="25">IFERROR(IF(BF67="",0,
AF67*3
+AG67*3
+AH67*3
+AI67*4
+AJ67*5
+BN67+AN67),"")</f>
        <v>0</v>
      </c>
      <c r="BJ67" t="str">
        <f t="shared" ref="BJ67:BJ130" si="26">IF($C67 = "DST", $A67, "")</f>
        <v/>
      </c>
      <c r="BL67">
        <f t="shared" si="16"/>
        <v>0</v>
      </c>
      <c r="BN67">
        <v>6.6E-4</v>
      </c>
      <c r="BS67" s="4" t="s">
        <v>2167</v>
      </c>
    </row>
    <row r="68" spans="1:71" ht="15.75" thickBot="1" x14ac:dyDescent="0.3">
      <c r="A68" s="569" t="s">
        <v>2171</v>
      </c>
      <c r="B68" s="569" t="s">
        <v>146</v>
      </c>
      <c r="C68" s="569" t="s">
        <v>1</v>
      </c>
      <c r="D68" s="574">
        <v>7</v>
      </c>
      <c r="E68" s="569"/>
      <c r="F68" s="569"/>
      <c r="G68" s="569">
        <v>38.299999999999997</v>
      </c>
      <c r="H68" s="569">
        <v>23.8</v>
      </c>
      <c r="I68" s="574">
        <v>1.3</v>
      </c>
      <c r="J68" s="574">
        <v>1.5</v>
      </c>
      <c r="K68" s="574">
        <v>288.89999999999998</v>
      </c>
      <c r="L68" s="574">
        <v>0</v>
      </c>
      <c r="M68" s="574">
        <v>0</v>
      </c>
      <c r="N68" s="574">
        <v>0</v>
      </c>
      <c r="O68" s="574">
        <v>2.5</v>
      </c>
      <c r="P68" s="574">
        <v>0</v>
      </c>
      <c r="Q68" s="574">
        <v>5</v>
      </c>
      <c r="R68" s="569"/>
      <c r="S68" s="569"/>
      <c r="T68" s="569"/>
      <c r="U68" s="569"/>
      <c r="V68" s="569"/>
      <c r="W68" s="569"/>
      <c r="X68" s="569"/>
      <c r="Y68" s="569"/>
      <c r="Z68" s="569"/>
      <c r="AA68" s="569"/>
      <c r="AB68" s="569"/>
      <c r="AC68" s="569"/>
      <c r="AD68" s="569"/>
      <c r="AE68" s="569"/>
      <c r="AF68" s="569"/>
      <c r="AG68" s="569"/>
      <c r="AH68" s="569"/>
      <c r="AI68" s="569"/>
      <c r="AJ68" s="569"/>
      <c r="AK68" s="569"/>
      <c r="AL68" s="569"/>
      <c r="AM68" s="569"/>
      <c r="AN68" s="574">
        <v>16.7</v>
      </c>
      <c r="AO68">
        <v>67</v>
      </c>
      <c r="AP68" t="str">
        <f t="shared" si="14"/>
        <v>Cooper Rush</v>
      </c>
      <c r="AQ68" t="str">
        <f t="shared" si="17"/>
        <v>DAL</v>
      </c>
      <c r="AR68" s="430">
        <f>IFERROR(
IF(AP68="",-100,
IF($BV$2&gt;0, INDEX(Beersheet!$A:$U,MATCH(AP68,INDEX(Beersheet!$A:$U,0,FFARawStatProjections!$BV$2),0),$BV$3)+$BN68,
INDEX($A68:$BM68,,$BV$12)*$BW$12+
INDEX($A68:$BM68,,$BV$15)*$BW$15+
INDEX($A68:$BM68,,$BV$16)*$BW$16+
INDEX($A68:$BM68,,$BV$17)*$BW$17+
INDEX($A68:$BM68,,$BV$18)*$BW$18+
INDEX($A68:$BM68,,$BV$19)*$BW$19+
INDEX($A68:$BM68,,$BV$20)*$BW$20+
INDEX($A68:$BM68,,$BV$21)*$BW$21+
INDEX($A68:$BM68,,$BV$22)*$BW$22+
INDEX($A68:$BM68,,$BV$23)*$BW$23+
INDEX($A68:$BM68,,$BV$25)*$BW$25+
INDEX($A68:$BM68,,$BV$26)*$BW$26+
INDEX($A68:$BM68,,$BV$27)*$BW$27+
$BN68)),
$BN68-100)</f>
        <v>16.75667</v>
      </c>
      <c r="AT68" t="str">
        <f t="shared" si="18"/>
        <v/>
      </c>
      <c r="AU68" t="str">
        <f t="shared" si="19"/>
        <v/>
      </c>
      <c r="AV68" s="430">
        <f>IFERROR(
IF(AT68="",-100,
IF($BV$2&gt;0, INDEX(Beersheet!$A:$U,MATCH(AT68,INDEX(Beersheet!$A:$U,0,FFARawStatProjections!$BV$2),0),$BV$3)+$BN68,
INDEX($A68:$BM68,,$BV$12)*$BW$12+
INDEX($A68:$BM68,,$BV$15)*$BW$15+
INDEX($A68:$BM68,,$BV$16)*$BW$16+
INDEX($A68:$BM68,,$BV$17)*$BW$17+
INDEX($A68:$BM68,,$BV$18)*$BW$18+
INDEX($A68:$BM68,,$BV$19)*$BW$19+
INDEX($A68:$BM68,,$BV$20)*$BW$20+
INDEX($A68:$BM68,,$BV$21)*$BW$21+
INDEX($A68:$BM68,,$BV$22)*$BW$22+
INDEX($A68:$BM68,,$BV$23)*$BW$23+
INDEX($A68:$BM68,,$BV$25)*$BW$25+
INDEX($A68:$BM68,,$BV$26)*$BW$26+
INDEX($A68:$BM68,,$BV$27)*$BW$27+
$BN68)),
$BN68-100)</f>
        <v>-100</v>
      </c>
      <c r="AX68" t="str">
        <f t="shared" si="20"/>
        <v/>
      </c>
      <c r="AY68" t="str">
        <f t="shared" si="21"/>
        <v/>
      </c>
      <c r="AZ68" s="430">
        <f>IFERROR(
IF(AX68="",-100,
IF($BV$2&gt;0, INDEX(Beersheet!$A:$U,MATCH(AX68,INDEX(Beersheet!$A:$U,0,FFARawStatProjections!$BV$2),0),$BV$3)+$BN68,
INDEX($A68:$BM68,,$BV$12)*$BW$12+
INDEX($A68:$BM68,,$BV$15)*$BW$15+
INDEX($A68:$BM68,,$BV$16)*$BW$16+
INDEX($A68:$BM68,,$BV$17)*$BW$17+
INDEX($A68:$BM68,,$BV$18)*$BW$18+
INDEX($A68:$BM68,,$BV$19)*$BW$19+
INDEX($A68:$BM68,,$BV$20)*$BW$20+
INDEX($A68:$BM68,,$BV$21)*$BW$21+
INDEX($A68:$BM68,,$BV$22)*$BW$22+
INDEX($A68:$BM68,,$BV$23)*$BW$23+
INDEX($A68:$BM68,,$BV$25)*$BW$25+
INDEX($A68:$BM68,,$BV$26)*$BW$26+
INDEX($A68:$BM68,,$BV$27)*$BW$27+
$BN68)),
$BN68-100)</f>
        <v>-100</v>
      </c>
      <c r="BB68" t="str">
        <f t="shared" si="22"/>
        <v/>
      </c>
      <c r="BC68" t="str">
        <f t="shared" si="15"/>
        <v/>
      </c>
      <c r="BD68" s="430">
        <f>IFERROR(
IF(BB68="",-100,
IF($BV$2&gt;0, INDEX(Beersheet!$A:$U,MATCH(BB68,INDEX(Beersheet!$A:$U,0,FFARawStatProjections!$BV$2),0),$BV$3)+$BN68,
INDEX($A68:$BM68,,$BV$12)*$BW$12+
INDEX($A68:$BM68,,$BV$15)*$BW$15+
INDEX($A68:$BM68,,$BV$16)*$BW$16+
INDEX($A68:$BM68,,$BV$17)*$BW$17+
INDEX($A68:$BM68,,$BV$18)*$BW$18+
INDEX($A68:$BM68,,$BV$19)*$BW$19+
INDEX($A68:$BM68,,$BV$20)*$BW$20+
INDEX($A68:$BM68,,$BV$21)*$BW$21+
INDEX($A68:$BM68,,$BV$22)*$BW$22+
INDEX($A68:$BM68,,$BV$23)*$BW$23+
INDEX($A68:$BM68,,$BV$25)*$BW$25+
INDEX($A68:$BM68,,$BV$26)*$BW$26+
INDEX($A68:$BM68,,$BV$27)*$BW$27+
$BN68)),
$BN68-100)</f>
        <v>-100</v>
      </c>
      <c r="BF68" t="str">
        <f t="shared" si="23"/>
        <v/>
      </c>
      <c r="BG68" t="str">
        <f t="shared" si="24"/>
        <v/>
      </c>
      <c r="BH68">
        <f t="shared" si="25"/>
        <v>0</v>
      </c>
      <c r="BJ68" t="str">
        <f t="shared" si="26"/>
        <v/>
      </c>
      <c r="BL68">
        <f t="shared" si="16"/>
        <v>0</v>
      </c>
      <c r="BN68">
        <v>6.7000000000000002E-4</v>
      </c>
      <c r="BS68" s="4" t="s">
        <v>2245</v>
      </c>
    </row>
    <row r="69" spans="1:71" ht="15.75" thickBot="1" x14ac:dyDescent="0.3">
      <c r="A69" s="569" t="s">
        <v>2162</v>
      </c>
      <c r="B69" s="569" t="s">
        <v>2272</v>
      </c>
      <c r="C69" s="569" t="s">
        <v>1</v>
      </c>
      <c r="D69" s="574">
        <v>14</v>
      </c>
      <c r="E69" s="569"/>
      <c r="F69" s="569"/>
      <c r="G69" s="569">
        <v>87</v>
      </c>
      <c r="H69" s="569">
        <v>52</v>
      </c>
      <c r="I69" s="574">
        <v>2</v>
      </c>
      <c r="J69" s="574">
        <v>1.2</v>
      </c>
      <c r="K69" s="574">
        <v>307.60000000000002</v>
      </c>
      <c r="L69" s="574">
        <v>0</v>
      </c>
      <c r="M69" s="574">
        <v>0</v>
      </c>
      <c r="N69" s="574">
        <v>0</v>
      </c>
      <c r="O69" s="574">
        <v>7</v>
      </c>
      <c r="P69" s="574">
        <v>0</v>
      </c>
      <c r="Q69" s="574">
        <v>12.8</v>
      </c>
      <c r="R69" s="569"/>
      <c r="S69" s="569"/>
      <c r="T69" s="569"/>
      <c r="U69" s="569"/>
      <c r="V69" s="569"/>
      <c r="W69" s="569"/>
      <c r="X69" s="569"/>
      <c r="Y69" s="569"/>
      <c r="Z69" s="569"/>
      <c r="AA69" s="569"/>
      <c r="AB69" s="569"/>
      <c r="AC69" s="569"/>
      <c r="AD69" s="569"/>
      <c r="AE69" s="569"/>
      <c r="AF69" s="569"/>
      <c r="AG69" s="569"/>
      <c r="AH69" s="569"/>
      <c r="AI69" s="569"/>
      <c r="AJ69" s="569"/>
      <c r="AK69" s="569"/>
      <c r="AL69" s="569"/>
      <c r="AM69" s="569"/>
      <c r="AN69" s="574">
        <v>15.6</v>
      </c>
      <c r="AO69">
        <v>68</v>
      </c>
      <c r="AP69" t="str">
        <f t="shared" si="14"/>
        <v>David Blough</v>
      </c>
      <c r="AQ69" t="str">
        <f t="shared" si="17"/>
        <v>AZ</v>
      </c>
      <c r="AR69" s="430">
        <f>IFERROR(
IF(AP69="",-100,
IF($BV$2&gt;0, INDEX(Beersheet!$A:$U,MATCH(AP69,INDEX(Beersheet!$A:$U,0,FFARawStatProjections!$BV$2),0),$BV$3)+$BN69,
INDEX($A69:$BM69,,$BV$12)*$BW$12+
INDEX($A69:$BM69,,$BV$15)*$BW$15+
INDEX($A69:$BM69,,$BV$16)*$BW$16+
INDEX($A69:$BM69,,$BV$17)*$BW$17+
INDEX($A69:$BM69,,$BV$18)*$BW$18+
INDEX($A69:$BM69,,$BV$19)*$BW$19+
INDEX($A69:$BM69,,$BV$20)*$BW$20+
INDEX($A69:$BM69,,$BV$21)*$BW$21+
INDEX($A69:$BM69,,$BV$22)*$BW$22+
INDEX($A69:$BM69,,$BV$23)*$BW$23+
INDEX($A69:$BM69,,$BV$25)*$BW$25+
INDEX($A69:$BM69,,$BV$26)*$BW$26+
INDEX($A69:$BM69,,$BV$27)*$BW$27+
$BN69)),
$BN69-100)</f>
        <v>16.384680000000003</v>
      </c>
      <c r="AT69" t="str">
        <f t="shared" si="18"/>
        <v/>
      </c>
      <c r="AU69" t="str">
        <f t="shared" si="19"/>
        <v/>
      </c>
      <c r="AV69" s="430">
        <f>IFERROR(
IF(AT69="",-100,
IF($BV$2&gt;0, INDEX(Beersheet!$A:$U,MATCH(AT69,INDEX(Beersheet!$A:$U,0,FFARawStatProjections!$BV$2),0),$BV$3)+$BN69,
INDEX($A69:$BM69,,$BV$12)*$BW$12+
INDEX($A69:$BM69,,$BV$15)*$BW$15+
INDEX($A69:$BM69,,$BV$16)*$BW$16+
INDEX($A69:$BM69,,$BV$17)*$BW$17+
INDEX($A69:$BM69,,$BV$18)*$BW$18+
INDEX($A69:$BM69,,$BV$19)*$BW$19+
INDEX($A69:$BM69,,$BV$20)*$BW$20+
INDEX($A69:$BM69,,$BV$21)*$BW$21+
INDEX($A69:$BM69,,$BV$22)*$BW$22+
INDEX($A69:$BM69,,$BV$23)*$BW$23+
INDEX($A69:$BM69,,$BV$25)*$BW$25+
INDEX($A69:$BM69,,$BV$26)*$BW$26+
INDEX($A69:$BM69,,$BV$27)*$BW$27+
$BN69)),
$BN69-100)</f>
        <v>-100</v>
      </c>
      <c r="AX69" t="str">
        <f t="shared" si="20"/>
        <v/>
      </c>
      <c r="AY69" t="str">
        <f t="shared" si="21"/>
        <v/>
      </c>
      <c r="AZ69" s="430">
        <f>IFERROR(
IF(AX69="",-100,
IF($BV$2&gt;0, INDEX(Beersheet!$A:$U,MATCH(AX69,INDEX(Beersheet!$A:$U,0,FFARawStatProjections!$BV$2),0),$BV$3)+$BN69,
INDEX($A69:$BM69,,$BV$12)*$BW$12+
INDEX($A69:$BM69,,$BV$15)*$BW$15+
INDEX($A69:$BM69,,$BV$16)*$BW$16+
INDEX($A69:$BM69,,$BV$17)*$BW$17+
INDEX($A69:$BM69,,$BV$18)*$BW$18+
INDEX($A69:$BM69,,$BV$19)*$BW$19+
INDEX($A69:$BM69,,$BV$20)*$BW$20+
INDEX($A69:$BM69,,$BV$21)*$BW$21+
INDEX($A69:$BM69,,$BV$22)*$BW$22+
INDEX($A69:$BM69,,$BV$23)*$BW$23+
INDEX($A69:$BM69,,$BV$25)*$BW$25+
INDEX($A69:$BM69,,$BV$26)*$BW$26+
INDEX($A69:$BM69,,$BV$27)*$BW$27+
$BN69)),
$BN69-100)</f>
        <v>-100</v>
      </c>
      <c r="BB69" t="str">
        <f t="shared" si="22"/>
        <v/>
      </c>
      <c r="BC69" t="str">
        <f t="shared" si="15"/>
        <v/>
      </c>
      <c r="BD69" s="430">
        <f>IFERROR(
IF(BB69="",-100,
IF($BV$2&gt;0, INDEX(Beersheet!$A:$U,MATCH(BB69,INDEX(Beersheet!$A:$U,0,FFARawStatProjections!$BV$2),0),$BV$3)+$BN69,
INDEX($A69:$BM69,,$BV$12)*$BW$12+
INDEX($A69:$BM69,,$BV$15)*$BW$15+
INDEX($A69:$BM69,,$BV$16)*$BW$16+
INDEX($A69:$BM69,,$BV$17)*$BW$17+
INDEX($A69:$BM69,,$BV$18)*$BW$18+
INDEX($A69:$BM69,,$BV$19)*$BW$19+
INDEX($A69:$BM69,,$BV$20)*$BW$20+
INDEX($A69:$BM69,,$BV$21)*$BW$21+
INDEX($A69:$BM69,,$BV$22)*$BW$22+
INDEX($A69:$BM69,,$BV$23)*$BW$23+
INDEX($A69:$BM69,,$BV$25)*$BW$25+
INDEX($A69:$BM69,,$BV$26)*$BW$26+
INDEX($A69:$BM69,,$BV$27)*$BW$27+
$BN69)),
$BN69-100)</f>
        <v>-100</v>
      </c>
      <c r="BF69" t="str">
        <f t="shared" si="23"/>
        <v/>
      </c>
      <c r="BG69" t="str">
        <f t="shared" si="24"/>
        <v/>
      </c>
      <c r="BH69">
        <f t="shared" si="25"/>
        <v>0</v>
      </c>
      <c r="BJ69" t="str">
        <f t="shared" si="26"/>
        <v/>
      </c>
      <c r="BL69">
        <f t="shared" si="16"/>
        <v>0</v>
      </c>
      <c r="BN69">
        <v>6.8000000000000005E-4</v>
      </c>
      <c r="BS69" s="4" t="s">
        <v>175</v>
      </c>
    </row>
    <row r="70" spans="1:71" ht="15.75" thickBot="1" x14ac:dyDescent="0.3">
      <c r="A70" s="569" t="s">
        <v>2060</v>
      </c>
      <c r="B70" s="569" t="s">
        <v>156</v>
      </c>
      <c r="C70" s="569" t="s">
        <v>1</v>
      </c>
      <c r="D70" s="574">
        <v>13</v>
      </c>
      <c r="E70" s="569"/>
      <c r="F70" s="569"/>
      <c r="G70" s="569">
        <v>57.8</v>
      </c>
      <c r="H70" s="569">
        <v>35.799999999999997</v>
      </c>
      <c r="I70" s="574">
        <v>5.0999999999999996</v>
      </c>
      <c r="J70" s="574">
        <v>1.2</v>
      </c>
      <c r="K70" s="574">
        <v>387.2</v>
      </c>
      <c r="L70" s="574">
        <v>0</v>
      </c>
      <c r="M70" s="574">
        <v>0</v>
      </c>
      <c r="N70" s="574">
        <v>0</v>
      </c>
      <c r="O70" s="574">
        <v>10.199999999999999</v>
      </c>
      <c r="P70" s="574">
        <v>0.2</v>
      </c>
      <c r="Q70" s="574">
        <v>25.3</v>
      </c>
      <c r="R70" s="569"/>
      <c r="S70" s="569"/>
      <c r="T70" s="569"/>
      <c r="U70" s="569"/>
      <c r="V70" s="569"/>
      <c r="W70" s="569"/>
      <c r="X70" s="569"/>
      <c r="Y70" s="569"/>
      <c r="Z70" s="569"/>
      <c r="AA70" s="569"/>
      <c r="AB70" s="569"/>
      <c r="AC70" s="569"/>
      <c r="AD70" s="569"/>
      <c r="AE70" s="569"/>
      <c r="AF70" s="569"/>
      <c r="AG70" s="569"/>
      <c r="AH70" s="569"/>
      <c r="AI70" s="569"/>
      <c r="AJ70" s="569"/>
      <c r="AK70" s="569"/>
      <c r="AL70" s="569"/>
      <c r="AM70" s="569"/>
      <c r="AN70" s="574">
        <v>14.1</v>
      </c>
      <c r="AO70">
        <v>69</v>
      </c>
      <c r="AP70" t="str">
        <f t="shared" si="14"/>
        <v>Kyle Allen</v>
      </c>
      <c r="AQ70" t="str">
        <f t="shared" si="17"/>
        <v>BUF</v>
      </c>
      <c r="AR70" s="430">
        <f>IFERROR(
IF(AP70="",-100,
IF($BV$2&gt;0, INDEX(Beersheet!$A:$U,MATCH(AP70,INDEX(Beersheet!$A:$U,0,FFARawStatProjections!$BV$2),0),$BV$3)+$BN70,
INDEX($A70:$BM70,,$BV$12)*$BW$12+
INDEX($A70:$BM70,,$BV$15)*$BW$15+
INDEX($A70:$BM70,,$BV$16)*$BW$16+
INDEX($A70:$BM70,,$BV$17)*$BW$17+
INDEX($A70:$BM70,,$BV$18)*$BW$18+
INDEX($A70:$BM70,,$BV$19)*$BW$19+
INDEX($A70:$BM70,,$BV$20)*$BW$20+
INDEX($A70:$BM70,,$BV$21)*$BW$21+
INDEX($A70:$BM70,,$BV$22)*$BW$22+
INDEX($A70:$BM70,,$BV$23)*$BW$23+
INDEX($A70:$BM70,,$BV$25)*$BW$25+
INDEX($A70:$BM70,,$BV$26)*$BW$26+
INDEX($A70:$BM70,,$BV$27)*$BW$27+
$BN70)),
$BN70-100)</f>
        <v>18.918689999999998</v>
      </c>
      <c r="AT70" t="str">
        <f t="shared" si="18"/>
        <v/>
      </c>
      <c r="AU70" t="str">
        <f t="shared" si="19"/>
        <v/>
      </c>
      <c r="AV70" s="430">
        <f>IFERROR(
IF(AT70="",-100,
IF($BV$2&gt;0, INDEX(Beersheet!$A:$U,MATCH(AT70,INDEX(Beersheet!$A:$U,0,FFARawStatProjections!$BV$2),0),$BV$3)+$BN70,
INDEX($A70:$BM70,,$BV$12)*$BW$12+
INDEX($A70:$BM70,,$BV$15)*$BW$15+
INDEX($A70:$BM70,,$BV$16)*$BW$16+
INDEX($A70:$BM70,,$BV$17)*$BW$17+
INDEX($A70:$BM70,,$BV$18)*$BW$18+
INDEX($A70:$BM70,,$BV$19)*$BW$19+
INDEX($A70:$BM70,,$BV$20)*$BW$20+
INDEX($A70:$BM70,,$BV$21)*$BW$21+
INDEX($A70:$BM70,,$BV$22)*$BW$22+
INDEX($A70:$BM70,,$BV$23)*$BW$23+
INDEX($A70:$BM70,,$BV$25)*$BW$25+
INDEX($A70:$BM70,,$BV$26)*$BW$26+
INDEX($A70:$BM70,,$BV$27)*$BW$27+
$BN70)),
$BN70-100)</f>
        <v>-100</v>
      </c>
      <c r="AX70" t="str">
        <f t="shared" si="20"/>
        <v/>
      </c>
      <c r="AY70" t="str">
        <f t="shared" si="21"/>
        <v/>
      </c>
      <c r="AZ70" s="430">
        <f>IFERROR(
IF(AX70="",-100,
IF($BV$2&gt;0, INDEX(Beersheet!$A:$U,MATCH(AX70,INDEX(Beersheet!$A:$U,0,FFARawStatProjections!$BV$2),0),$BV$3)+$BN70,
INDEX($A70:$BM70,,$BV$12)*$BW$12+
INDEX($A70:$BM70,,$BV$15)*$BW$15+
INDEX($A70:$BM70,,$BV$16)*$BW$16+
INDEX($A70:$BM70,,$BV$17)*$BW$17+
INDEX($A70:$BM70,,$BV$18)*$BW$18+
INDEX($A70:$BM70,,$BV$19)*$BW$19+
INDEX($A70:$BM70,,$BV$20)*$BW$20+
INDEX($A70:$BM70,,$BV$21)*$BW$21+
INDEX($A70:$BM70,,$BV$22)*$BW$22+
INDEX($A70:$BM70,,$BV$23)*$BW$23+
INDEX($A70:$BM70,,$BV$25)*$BW$25+
INDEX($A70:$BM70,,$BV$26)*$BW$26+
INDEX($A70:$BM70,,$BV$27)*$BW$27+
$BN70)),
$BN70-100)</f>
        <v>-100</v>
      </c>
      <c r="BB70" t="str">
        <f t="shared" si="22"/>
        <v/>
      </c>
      <c r="BC70" t="str">
        <f t="shared" si="15"/>
        <v/>
      </c>
      <c r="BD70" s="430">
        <f>IFERROR(
IF(BB70="",-100,
IF($BV$2&gt;0, INDEX(Beersheet!$A:$U,MATCH(BB70,INDEX(Beersheet!$A:$U,0,FFARawStatProjections!$BV$2),0),$BV$3)+$BN70,
INDEX($A70:$BM70,,$BV$12)*$BW$12+
INDEX($A70:$BM70,,$BV$15)*$BW$15+
INDEX($A70:$BM70,,$BV$16)*$BW$16+
INDEX($A70:$BM70,,$BV$17)*$BW$17+
INDEX($A70:$BM70,,$BV$18)*$BW$18+
INDEX($A70:$BM70,,$BV$19)*$BW$19+
INDEX($A70:$BM70,,$BV$20)*$BW$20+
INDEX($A70:$BM70,,$BV$21)*$BW$21+
INDEX($A70:$BM70,,$BV$22)*$BW$22+
INDEX($A70:$BM70,,$BV$23)*$BW$23+
INDEX($A70:$BM70,,$BV$25)*$BW$25+
INDEX($A70:$BM70,,$BV$26)*$BW$26+
INDEX($A70:$BM70,,$BV$27)*$BW$27+
$BN70)),
$BN70-100)</f>
        <v>-100</v>
      </c>
      <c r="BF70" t="str">
        <f t="shared" si="23"/>
        <v/>
      </c>
      <c r="BG70" t="str">
        <f t="shared" si="24"/>
        <v/>
      </c>
      <c r="BH70">
        <f t="shared" si="25"/>
        <v>0</v>
      </c>
      <c r="BJ70" t="str">
        <f t="shared" si="26"/>
        <v/>
      </c>
      <c r="BL70">
        <f t="shared" si="16"/>
        <v>0</v>
      </c>
      <c r="BN70">
        <v>6.8999999999999997E-4</v>
      </c>
      <c r="BS70" s="4" t="s">
        <v>2296</v>
      </c>
    </row>
    <row r="71" spans="1:71" ht="15.75" thickBot="1" x14ac:dyDescent="0.3">
      <c r="A71" s="569" t="s">
        <v>2539</v>
      </c>
      <c r="B71" s="569" t="s">
        <v>2073</v>
      </c>
      <c r="C71" s="569" t="s">
        <v>1</v>
      </c>
      <c r="D71" s="574">
        <v>13</v>
      </c>
      <c r="E71" s="569"/>
      <c r="F71" s="569"/>
      <c r="G71" s="569">
        <v>65.400000000000006</v>
      </c>
      <c r="H71" s="569">
        <v>38.799999999999997</v>
      </c>
      <c r="I71" s="574">
        <v>2.4</v>
      </c>
      <c r="J71" s="574">
        <v>0.5</v>
      </c>
      <c r="K71" s="574">
        <v>296.2</v>
      </c>
      <c r="L71" s="574">
        <v>0</v>
      </c>
      <c r="M71" s="574">
        <v>0</v>
      </c>
      <c r="N71" s="574">
        <v>0</v>
      </c>
      <c r="O71" s="574">
        <v>11.4</v>
      </c>
      <c r="P71" s="574">
        <v>0.1</v>
      </c>
      <c r="Q71" s="574">
        <v>17.8</v>
      </c>
      <c r="R71" s="569"/>
      <c r="S71" s="569"/>
      <c r="T71" s="569"/>
      <c r="U71" s="569"/>
      <c r="V71" s="569"/>
      <c r="W71" s="569"/>
      <c r="X71" s="569"/>
      <c r="Y71" s="569"/>
      <c r="Z71" s="569"/>
      <c r="AA71" s="569"/>
      <c r="AB71" s="569"/>
      <c r="AC71" s="569"/>
      <c r="AD71" s="569"/>
      <c r="AE71" s="569"/>
      <c r="AF71" s="569"/>
      <c r="AG71" s="569"/>
      <c r="AH71" s="569"/>
      <c r="AI71" s="569"/>
      <c r="AJ71" s="569"/>
      <c r="AK71" s="569"/>
      <c r="AL71" s="569"/>
      <c r="AM71" s="569"/>
      <c r="AN71" s="574">
        <v>12.9</v>
      </c>
      <c r="AO71">
        <v>70</v>
      </c>
      <c r="AP71" t="str">
        <f t="shared" si="14"/>
        <v>Aidan OConnell</v>
      </c>
      <c r="AQ71" t="str">
        <f t="shared" si="17"/>
        <v>LV</v>
      </c>
      <c r="AR71" s="430">
        <f>IFERROR(
IF(AP71="",-100,
IF($BV$2&gt;0, INDEX(Beersheet!$A:$U,MATCH(AP71,INDEX(Beersheet!$A:$U,0,FFARawStatProjections!$BV$2),0),$BV$3)+$BN71,
INDEX($A71:$BM71,,$BV$12)*$BW$12+
INDEX($A71:$BM71,,$BV$15)*$BW$15+
INDEX($A71:$BM71,,$BV$16)*$BW$16+
INDEX($A71:$BM71,,$BV$17)*$BW$17+
INDEX($A71:$BM71,,$BV$18)*$BW$18+
INDEX($A71:$BM71,,$BV$19)*$BW$19+
INDEX($A71:$BM71,,$BV$20)*$BW$20+
INDEX($A71:$BM71,,$BV$21)*$BW$21+
INDEX($A71:$BM71,,$BV$22)*$BW$22+
INDEX($A71:$BM71,,$BV$23)*$BW$23+
INDEX($A71:$BM71,,$BV$25)*$BW$25+
INDEX($A71:$BM71,,$BV$26)*$BW$26+
INDEX($A71:$BM71,,$BV$27)*$BW$27+
$BN71)),
$BN71-100)</f>
        <v>13.8287</v>
      </c>
      <c r="AT71" t="str">
        <f t="shared" si="18"/>
        <v/>
      </c>
      <c r="AU71" t="str">
        <f t="shared" si="19"/>
        <v/>
      </c>
      <c r="AV71" s="430">
        <f>IFERROR(
IF(AT71="",-100,
IF($BV$2&gt;0, INDEX(Beersheet!$A:$U,MATCH(AT71,INDEX(Beersheet!$A:$U,0,FFARawStatProjections!$BV$2),0),$BV$3)+$BN71,
INDEX($A71:$BM71,,$BV$12)*$BW$12+
INDEX($A71:$BM71,,$BV$15)*$BW$15+
INDEX($A71:$BM71,,$BV$16)*$BW$16+
INDEX($A71:$BM71,,$BV$17)*$BW$17+
INDEX($A71:$BM71,,$BV$18)*$BW$18+
INDEX($A71:$BM71,,$BV$19)*$BW$19+
INDEX($A71:$BM71,,$BV$20)*$BW$20+
INDEX($A71:$BM71,,$BV$21)*$BW$21+
INDEX($A71:$BM71,,$BV$22)*$BW$22+
INDEX($A71:$BM71,,$BV$23)*$BW$23+
INDEX($A71:$BM71,,$BV$25)*$BW$25+
INDEX($A71:$BM71,,$BV$26)*$BW$26+
INDEX($A71:$BM71,,$BV$27)*$BW$27+
$BN71)),
$BN71-100)</f>
        <v>-100</v>
      </c>
      <c r="AX71" t="str">
        <f t="shared" si="20"/>
        <v/>
      </c>
      <c r="AY71" t="str">
        <f t="shared" si="21"/>
        <v/>
      </c>
      <c r="AZ71" s="430">
        <f>IFERROR(
IF(AX71="",-100,
IF($BV$2&gt;0, INDEX(Beersheet!$A:$U,MATCH(AX71,INDEX(Beersheet!$A:$U,0,FFARawStatProjections!$BV$2),0),$BV$3)+$BN71,
INDEX($A71:$BM71,,$BV$12)*$BW$12+
INDEX($A71:$BM71,,$BV$15)*$BW$15+
INDEX($A71:$BM71,,$BV$16)*$BW$16+
INDEX($A71:$BM71,,$BV$17)*$BW$17+
INDEX($A71:$BM71,,$BV$18)*$BW$18+
INDEX($A71:$BM71,,$BV$19)*$BW$19+
INDEX($A71:$BM71,,$BV$20)*$BW$20+
INDEX($A71:$BM71,,$BV$21)*$BW$21+
INDEX($A71:$BM71,,$BV$22)*$BW$22+
INDEX($A71:$BM71,,$BV$23)*$BW$23+
INDEX($A71:$BM71,,$BV$25)*$BW$25+
INDEX($A71:$BM71,,$BV$26)*$BW$26+
INDEX($A71:$BM71,,$BV$27)*$BW$27+
$BN71)),
$BN71-100)</f>
        <v>-100</v>
      </c>
      <c r="BB71" t="str">
        <f t="shared" si="22"/>
        <v/>
      </c>
      <c r="BC71" t="str">
        <f t="shared" si="15"/>
        <v/>
      </c>
      <c r="BD71" s="430">
        <f>IFERROR(
IF(BB71="",-100,
IF($BV$2&gt;0, INDEX(Beersheet!$A:$U,MATCH(BB71,INDEX(Beersheet!$A:$U,0,FFARawStatProjections!$BV$2),0),$BV$3)+$BN71,
INDEX($A71:$BM71,,$BV$12)*$BW$12+
INDEX($A71:$BM71,,$BV$15)*$BW$15+
INDEX($A71:$BM71,,$BV$16)*$BW$16+
INDEX($A71:$BM71,,$BV$17)*$BW$17+
INDEX($A71:$BM71,,$BV$18)*$BW$18+
INDEX($A71:$BM71,,$BV$19)*$BW$19+
INDEX($A71:$BM71,,$BV$20)*$BW$20+
INDEX($A71:$BM71,,$BV$21)*$BW$21+
INDEX($A71:$BM71,,$BV$22)*$BW$22+
INDEX($A71:$BM71,,$BV$23)*$BW$23+
INDEX($A71:$BM71,,$BV$25)*$BW$25+
INDEX($A71:$BM71,,$BV$26)*$BW$26+
INDEX($A71:$BM71,,$BV$27)*$BW$27+
$BN71)),
$BN71-100)</f>
        <v>-100</v>
      </c>
      <c r="BF71" t="str">
        <f t="shared" si="23"/>
        <v/>
      </c>
      <c r="BG71" t="str">
        <f t="shared" si="24"/>
        <v/>
      </c>
      <c r="BH71">
        <f t="shared" si="25"/>
        <v>0</v>
      </c>
      <c r="BJ71" t="str">
        <f t="shared" si="26"/>
        <v/>
      </c>
      <c r="BL71">
        <f t="shared" si="16"/>
        <v>0</v>
      </c>
      <c r="BN71">
        <v>6.9999999999999999E-4</v>
      </c>
      <c r="BS71" s="4" t="s">
        <v>2523</v>
      </c>
    </row>
    <row r="72" spans="1:71" ht="15.75" thickBot="1" x14ac:dyDescent="0.3">
      <c r="A72" s="569" t="s">
        <v>1224</v>
      </c>
      <c r="B72" s="569" t="s">
        <v>156</v>
      </c>
      <c r="C72" s="569" t="s">
        <v>1</v>
      </c>
      <c r="D72" s="574">
        <v>13</v>
      </c>
      <c r="E72" s="569"/>
      <c r="F72" s="569"/>
      <c r="G72" s="569">
        <v>38.700000000000003</v>
      </c>
      <c r="H72" s="569">
        <v>23.5</v>
      </c>
      <c r="I72" s="574">
        <v>1.2</v>
      </c>
      <c r="J72" s="574">
        <v>1</v>
      </c>
      <c r="K72" s="574">
        <v>214.7</v>
      </c>
      <c r="L72" s="574">
        <v>0</v>
      </c>
      <c r="M72" s="574">
        <v>0</v>
      </c>
      <c r="N72" s="574">
        <v>0</v>
      </c>
      <c r="O72" s="574">
        <v>3.1</v>
      </c>
      <c r="P72" s="574">
        <v>0.1</v>
      </c>
      <c r="Q72" s="574">
        <v>4.7</v>
      </c>
      <c r="R72" s="569"/>
      <c r="S72" s="569"/>
      <c r="T72" s="569"/>
      <c r="U72" s="569"/>
      <c r="V72" s="569"/>
      <c r="W72" s="569"/>
      <c r="X72" s="569"/>
      <c r="Y72" s="569"/>
      <c r="Z72" s="569"/>
      <c r="AA72" s="569"/>
      <c r="AB72" s="569"/>
      <c r="AC72" s="569"/>
      <c r="AD72" s="569"/>
      <c r="AE72" s="569"/>
      <c r="AF72" s="569"/>
      <c r="AG72" s="569"/>
      <c r="AH72" s="569"/>
      <c r="AI72" s="569"/>
      <c r="AJ72" s="569"/>
      <c r="AK72" s="569"/>
      <c r="AL72" s="569"/>
      <c r="AM72" s="569"/>
      <c r="AN72" s="574">
        <v>12.3</v>
      </c>
      <c r="AO72">
        <v>71</v>
      </c>
      <c r="AP72" t="str">
        <f t="shared" si="14"/>
        <v>Matt Barkley</v>
      </c>
      <c r="AQ72" t="str">
        <f t="shared" si="17"/>
        <v>BUF</v>
      </c>
      <c r="AR72" s="430">
        <f>IFERROR(
IF(AP72="",-100,
IF($BV$2&gt;0, INDEX(Beersheet!$A:$U,MATCH(AP72,INDEX(Beersheet!$A:$U,0,FFARawStatProjections!$BV$2),0),$BV$3)+$BN72,
INDEX($A72:$BM72,,$BV$12)*$BW$12+
INDEX($A72:$BM72,,$BV$15)*$BW$15+
INDEX($A72:$BM72,,$BV$16)*$BW$16+
INDEX($A72:$BM72,,$BV$17)*$BW$17+
INDEX($A72:$BM72,,$BV$18)*$BW$18+
INDEX($A72:$BM72,,$BV$19)*$BW$19+
INDEX($A72:$BM72,,$BV$20)*$BW$20+
INDEX($A72:$BM72,,$BV$21)*$BW$21+
INDEX($A72:$BM72,,$BV$22)*$BW$22+
INDEX($A72:$BM72,,$BV$23)*$BW$23+
INDEX($A72:$BM72,,$BV$25)*$BW$25+
INDEX($A72:$BM72,,$BV$26)*$BW$26+
INDEX($A72:$BM72,,$BV$27)*$BW$27+
$BN72)),
$BN72-100)</f>
        <v>12.458709999999998</v>
      </c>
      <c r="AT72" t="str">
        <f t="shared" si="18"/>
        <v/>
      </c>
      <c r="AU72" t="str">
        <f t="shared" si="19"/>
        <v/>
      </c>
      <c r="AV72" s="430">
        <f>IFERROR(
IF(AT72="",-100,
IF($BV$2&gt;0, INDEX(Beersheet!$A:$U,MATCH(AT72,INDEX(Beersheet!$A:$U,0,FFARawStatProjections!$BV$2),0),$BV$3)+$BN72,
INDEX($A72:$BM72,,$BV$12)*$BW$12+
INDEX($A72:$BM72,,$BV$15)*$BW$15+
INDEX($A72:$BM72,,$BV$16)*$BW$16+
INDEX($A72:$BM72,,$BV$17)*$BW$17+
INDEX($A72:$BM72,,$BV$18)*$BW$18+
INDEX($A72:$BM72,,$BV$19)*$BW$19+
INDEX($A72:$BM72,,$BV$20)*$BW$20+
INDEX($A72:$BM72,,$BV$21)*$BW$21+
INDEX($A72:$BM72,,$BV$22)*$BW$22+
INDEX($A72:$BM72,,$BV$23)*$BW$23+
INDEX($A72:$BM72,,$BV$25)*$BW$25+
INDEX($A72:$BM72,,$BV$26)*$BW$26+
INDEX($A72:$BM72,,$BV$27)*$BW$27+
$BN72)),
$BN72-100)</f>
        <v>-100</v>
      </c>
      <c r="AX72" t="str">
        <f t="shared" si="20"/>
        <v/>
      </c>
      <c r="AY72" t="str">
        <f t="shared" si="21"/>
        <v/>
      </c>
      <c r="AZ72" s="430">
        <f>IFERROR(
IF(AX72="",-100,
IF($BV$2&gt;0, INDEX(Beersheet!$A:$U,MATCH(AX72,INDEX(Beersheet!$A:$U,0,FFARawStatProjections!$BV$2),0),$BV$3)+$BN72,
INDEX($A72:$BM72,,$BV$12)*$BW$12+
INDEX($A72:$BM72,,$BV$15)*$BW$15+
INDEX($A72:$BM72,,$BV$16)*$BW$16+
INDEX($A72:$BM72,,$BV$17)*$BW$17+
INDEX($A72:$BM72,,$BV$18)*$BW$18+
INDEX($A72:$BM72,,$BV$19)*$BW$19+
INDEX($A72:$BM72,,$BV$20)*$BW$20+
INDEX($A72:$BM72,,$BV$21)*$BW$21+
INDEX($A72:$BM72,,$BV$22)*$BW$22+
INDEX($A72:$BM72,,$BV$23)*$BW$23+
INDEX($A72:$BM72,,$BV$25)*$BW$25+
INDEX($A72:$BM72,,$BV$26)*$BW$26+
INDEX($A72:$BM72,,$BV$27)*$BW$27+
$BN72)),
$BN72-100)</f>
        <v>-100</v>
      </c>
      <c r="BB72" t="str">
        <f t="shared" si="22"/>
        <v/>
      </c>
      <c r="BC72" t="str">
        <f t="shared" si="15"/>
        <v/>
      </c>
      <c r="BD72" s="430">
        <f>IFERROR(
IF(BB72="",-100,
IF($BV$2&gt;0, INDEX(Beersheet!$A:$U,MATCH(BB72,INDEX(Beersheet!$A:$U,0,FFARawStatProjections!$BV$2),0),$BV$3)+$BN72,
INDEX($A72:$BM72,,$BV$12)*$BW$12+
INDEX($A72:$BM72,,$BV$15)*$BW$15+
INDEX($A72:$BM72,,$BV$16)*$BW$16+
INDEX($A72:$BM72,,$BV$17)*$BW$17+
INDEX($A72:$BM72,,$BV$18)*$BW$18+
INDEX($A72:$BM72,,$BV$19)*$BW$19+
INDEX($A72:$BM72,,$BV$20)*$BW$20+
INDEX($A72:$BM72,,$BV$21)*$BW$21+
INDEX($A72:$BM72,,$BV$22)*$BW$22+
INDEX($A72:$BM72,,$BV$23)*$BW$23+
INDEX($A72:$BM72,,$BV$25)*$BW$25+
INDEX($A72:$BM72,,$BV$26)*$BW$26+
INDEX($A72:$BM72,,$BV$27)*$BW$27+
$BN72)),
$BN72-100)</f>
        <v>-100</v>
      </c>
      <c r="BF72" t="str">
        <f t="shared" si="23"/>
        <v/>
      </c>
      <c r="BG72" t="str">
        <f t="shared" si="24"/>
        <v/>
      </c>
      <c r="BH72">
        <f t="shared" si="25"/>
        <v>0</v>
      </c>
      <c r="BJ72" t="str">
        <f t="shared" si="26"/>
        <v/>
      </c>
      <c r="BL72">
        <f t="shared" si="16"/>
        <v>0</v>
      </c>
      <c r="BN72">
        <v>7.1000000000000002E-4</v>
      </c>
      <c r="BS72" s="4" t="s">
        <v>2522</v>
      </c>
    </row>
    <row r="73" spans="1:71" ht="15.75" thickBot="1" x14ac:dyDescent="0.3">
      <c r="A73" s="569" t="s">
        <v>2283</v>
      </c>
      <c r="B73" s="569" t="s">
        <v>163</v>
      </c>
      <c r="C73" s="569" t="s">
        <v>1</v>
      </c>
      <c r="D73" s="574">
        <v>7</v>
      </c>
      <c r="E73" s="569"/>
      <c r="F73" s="569"/>
      <c r="G73" s="569">
        <v>79.599999999999994</v>
      </c>
      <c r="H73" s="569">
        <v>45.5</v>
      </c>
      <c r="I73" s="574">
        <v>3.4</v>
      </c>
      <c r="J73" s="574">
        <v>0.5</v>
      </c>
      <c r="K73" s="574">
        <v>311.8</v>
      </c>
      <c r="L73" s="574">
        <v>0</v>
      </c>
      <c r="M73" s="574">
        <v>0</v>
      </c>
      <c r="N73" s="574">
        <v>0</v>
      </c>
      <c r="O73" s="574">
        <v>16.100000000000001</v>
      </c>
      <c r="P73" s="574">
        <v>0</v>
      </c>
      <c r="Q73" s="574">
        <v>22</v>
      </c>
      <c r="R73" s="569"/>
      <c r="S73" s="569"/>
      <c r="T73" s="569"/>
      <c r="U73" s="569"/>
      <c r="V73" s="569"/>
      <c r="W73" s="569"/>
      <c r="X73" s="569"/>
      <c r="Y73" s="569"/>
      <c r="Z73" s="569"/>
      <c r="AA73" s="569"/>
      <c r="AB73" s="569"/>
      <c r="AC73" s="569"/>
      <c r="AD73" s="569"/>
      <c r="AE73" s="569"/>
      <c r="AF73" s="569"/>
      <c r="AG73" s="569"/>
      <c r="AH73" s="569"/>
      <c r="AI73" s="569"/>
      <c r="AJ73" s="569"/>
      <c r="AK73" s="569"/>
      <c r="AL73" s="569"/>
      <c r="AM73" s="569"/>
      <c r="AN73" s="574">
        <v>12.2</v>
      </c>
      <c r="AO73">
        <v>72</v>
      </c>
      <c r="AP73" t="str">
        <f t="shared" si="14"/>
        <v>Malik Willis</v>
      </c>
      <c r="AQ73" t="str">
        <f t="shared" si="17"/>
        <v>TEN</v>
      </c>
      <c r="AR73" s="430">
        <f>IFERROR(
IF(AP73="",-100,
IF($BV$2&gt;0, INDEX(Beersheet!$A:$U,MATCH(AP73,INDEX(Beersheet!$A:$U,0,FFARawStatProjections!$BV$2),0),$BV$3)+$BN73,
INDEX($A73:$BM73,,$BV$12)*$BW$12+
INDEX($A73:$BM73,,$BV$15)*$BW$15+
INDEX($A73:$BM73,,$BV$16)*$BW$16+
INDEX($A73:$BM73,,$BV$17)*$BW$17+
INDEX($A73:$BM73,,$BV$18)*$BW$18+
INDEX($A73:$BM73,,$BV$19)*$BW$19+
INDEX($A73:$BM73,,$BV$20)*$BW$20+
INDEX($A73:$BM73,,$BV$21)*$BW$21+
INDEX($A73:$BM73,,$BV$22)*$BW$22+
INDEX($A73:$BM73,,$BV$23)*$BW$23+
INDEX($A73:$BM73,,$BV$25)*$BW$25+
INDEX($A73:$BM73,,$BV$26)*$BW$26+
INDEX($A73:$BM73,,$BV$27)*$BW$27+
$BN73)),
$BN73-100)</f>
        <v>13.272720000000001</v>
      </c>
      <c r="AT73" t="str">
        <f t="shared" si="18"/>
        <v/>
      </c>
      <c r="AU73" t="str">
        <f t="shared" si="19"/>
        <v/>
      </c>
      <c r="AV73" s="430">
        <f>IFERROR(
IF(AT73="",-100,
IF($BV$2&gt;0, INDEX(Beersheet!$A:$U,MATCH(AT73,INDEX(Beersheet!$A:$U,0,FFARawStatProjections!$BV$2),0),$BV$3)+$BN73,
INDEX($A73:$BM73,,$BV$12)*$BW$12+
INDEX($A73:$BM73,,$BV$15)*$BW$15+
INDEX($A73:$BM73,,$BV$16)*$BW$16+
INDEX($A73:$BM73,,$BV$17)*$BW$17+
INDEX($A73:$BM73,,$BV$18)*$BW$18+
INDEX($A73:$BM73,,$BV$19)*$BW$19+
INDEX($A73:$BM73,,$BV$20)*$BW$20+
INDEX($A73:$BM73,,$BV$21)*$BW$21+
INDEX($A73:$BM73,,$BV$22)*$BW$22+
INDEX($A73:$BM73,,$BV$23)*$BW$23+
INDEX($A73:$BM73,,$BV$25)*$BW$25+
INDEX($A73:$BM73,,$BV$26)*$BW$26+
INDEX($A73:$BM73,,$BV$27)*$BW$27+
$BN73)),
$BN73-100)</f>
        <v>-100</v>
      </c>
      <c r="AX73" t="str">
        <f t="shared" si="20"/>
        <v/>
      </c>
      <c r="AY73" t="str">
        <f t="shared" si="21"/>
        <v/>
      </c>
      <c r="AZ73" s="430">
        <f>IFERROR(
IF(AX73="",-100,
IF($BV$2&gt;0, INDEX(Beersheet!$A:$U,MATCH(AX73,INDEX(Beersheet!$A:$U,0,FFARawStatProjections!$BV$2),0),$BV$3)+$BN73,
INDEX($A73:$BM73,,$BV$12)*$BW$12+
INDEX($A73:$BM73,,$BV$15)*$BW$15+
INDEX($A73:$BM73,,$BV$16)*$BW$16+
INDEX($A73:$BM73,,$BV$17)*$BW$17+
INDEX($A73:$BM73,,$BV$18)*$BW$18+
INDEX($A73:$BM73,,$BV$19)*$BW$19+
INDEX($A73:$BM73,,$BV$20)*$BW$20+
INDEX($A73:$BM73,,$BV$21)*$BW$21+
INDEX($A73:$BM73,,$BV$22)*$BW$22+
INDEX($A73:$BM73,,$BV$23)*$BW$23+
INDEX($A73:$BM73,,$BV$25)*$BW$25+
INDEX($A73:$BM73,,$BV$26)*$BW$26+
INDEX($A73:$BM73,,$BV$27)*$BW$27+
$BN73)),
$BN73-100)</f>
        <v>-100</v>
      </c>
      <c r="BB73" t="str">
        <f t="shared" si="22"/>
        <v/>
      </c>
      <c r="BC73" t="str">
        <f t="shared" si="15"/>
        <v/>
      </c>
      <c r="BD73" s="430">
        <f>IFERROR(
IF(BB73="",-100,
IF($BV$2&gt;0, INDEX(Beersheet!$A:$U,MATCH(BB73,INDEX(Beersheet!$A:$U,0,FFARawStatProjections!$BV$2),0),$BV$3)+$BN73,
INDEX($A73:$BM73,,$BV$12)*$BW$12+
INDEX($A73:$BM73,,$BV$15)*$BW$15+
INDEX($A73:$BM73,,$BV$16)*$BW$16+
INDEX($A73:$BM73,,$BV$17)*$BW$17+
INDEX($A73:$BM73,,$BV$18)*$BW$18+
INDEX($A73:$BM73,,$BV$19)*$BW$19+
INDEX($A73:$BM73,,$BV$20)*$BW$20+
INDEX($A73:$BM73,,$BV$21)*$BW$21+
INDEX($A73:$BM73,,$BV$22)*$BW$22+
INDEX($A73:$BM73,,$BV$23)*$BW$23+
INDEX($A73:$BM73,,$BV$25)*$BW$25+
INDEX($A73:$BM73,,$BV$26)*$BW$26+
INDEX($A73:$BM73,,$BV$27)*$BW$27+
$BN73)),
$BN73-100)</f>
        <v>-100</v>
      </c>
      <c r="BF73" t="str">
        <f t="shared" si="23"/>
        <v/>
      </c>
      <c r="BG73" t="str">
        <f t="shared" si="24"/>
        <v/>
      </c>
      <c r="BH73">
        <f t="shared" si="25"/>
        <v>0</v>
      </c>
      <c r="BJ73" t="str">
        <f t="shared" si="26"/>
        <v/>
      </c>
      <c r="BL73">
        <f t="shared" si="16"/>
        <v>0</v>
      </c>
      <c r="BN73">
        <v>7.2000000000000005E-4</v>
      </c>
      <c r="BS73" s="4" t="s">
        <v>2521</v>
      </c>
    </row>
    <row r="74" spans="1:71" ht="15.75" thickBot="1" x14ac:dyDescent="0.3">
      <c r="A74" s="569" t="s">
        <v>2491</v>
      </c>
      <c r="B74" s="569" t="s">
        <v>161</v>
      </c>
      <c r="C74" s="569" t="s">
        <v>1</v>
      </c>
      <c r="D74" s="574">
        <v>5</v>
      </c>
      <c r="E74" s="569"/>
      <c r="F74" s="569"/>
      <c r="G74" s="569">
        <v>42.4</v>
      </c>
      <c r="H74" s="569">
        <v>25.1</v>
      </c>
      <c r="I74" s="574">
        <v>2.5</v>
      </c>
      <c r="J74" s="574">
        <v>0.5</v>
      </c>
      <c r="K74" s="574">
        <v>240.9</v>
      </c>
      <c r="L74" s="574">
        <v>0</v>
      </c>
      <c r="M74" s="574">
        <v>0</v>
      </c>
      <c r="N74" s="574">
        <v>0</v>
      </c>
      <c r="O74" s="574">
        <v>9.6999999999999993</v>
      </c>
      <c r="P74" s="574">
        <v>0.1</v>
      </c>
      <c r="Q74" s="574">
        <v>21.1</v>
      </c>
      <c r="R74" s="569"/>
      <c r="S74" s="569"/>
      <c r="T74" s="569"/>
      <c r="U74" s="569"/>
      <c r="V74" s="569"/>
      <c r="W74" s="569"/>
      <c r="X74" s="569"/>
      <c r="Y74" s="569"/>
      <c r="Z74" s="569"/>
      <c r="AA74" s="569"/>
      <c r="AB74" s="569"/>
      <c r="AC74" s="569"/>
      <c r="AD74" s="569"/>
      <c r="AE74" s="569"/>
      <c r="AF74" s="569"/>
      <c r="AG74" s="569"/>
      <c r="AH74" s="569"/>
      <c r="AI74" s="569"/>
      <c r="AJ74" s="569"/>
      <c r="AK74" s="569"/>
      <c r="AL74" s="569"/>
      <c r="AM74" s="569"/>
      <c r="AN74" s="574">
        <v>10.4</v>
      </c>
      <c r="AO74">
        <v>73</v>
      </c>
      <c r="AP74" t="str">
        <f t="shared" si="14"/>
        <v>Dorian Thompson-Robinson</v>
      </c>
      <c r="AQ74" t="str">
        <f t="shared" si="17"/>
        <v>CLE</v>
      </c>
      <c r="AR74" s="430">
        <f>IFERROR(
IF(AP74="",-100,
IF($BV$2&gt;0, INDEX(Beersheet!$A:$U,MATCH(AP74,INDEX(Beersheet!$A:$U,0,FFARawStatProjections!$BV$2),0),$BV$3)+$BN74,
INDEX($A74:$BM74,,$BV$12)*$BW$12+
INDEX($A74:$BM74,,$BV$15)*$BW$15+
INDEX($A74:$BM74,,$BV$16)*$BW$16+
INDEX($A74:$BM74,,$BV$17)*$BW$17+
INDEX($A74:$BM74,,$BV$18)*$BW$18+
INDEX($A74:$BM74,,$BV$19)*$BW$19+
INDEX($A74:$BM74,,$BV$20)*$BW$20+
INDEX($A74:$BM74,,$BV$21)*$BW$21+
INDEX($A74:$BM74,,$BV$22)*$BW$22+
INDEX($A74:$BM74,,$BV$23)*$BW$23+
INDEX($A74:$BM74,,$BV$25)*$BW$25+
INDEX($A74:$BM74,,$BV$26)*$BW$26+
INDEX($A74:$BM74,,$BV$27)*$BW$27+
$BN74)),
$BN74-100)</f>
        <v>11.846730000000001</v>
      </c>
      <c r="AT74" t="str">
        <f t="shared" si="18"/>
        <v/>
      </c>
      <c r="AU74" t="str">
        <f t="shared" si="19"/>
        <v/>
      </c>
      <c r="AV74" s="430">
        <f>IFERROR(
IF(AT74="",-100,
IF($BV$2&gt;0, INDEX(Beersheet!$A:$U,MATCH(AT74,INDEX(Beersheet!$A:$U,0,FFARawStatProjections!$BV$2),0),$BV$3)+$BN74,
INDEX($A74:$BM74,,$BV$12)*$BW$12+
INDEX($A74:$BM74,,$BV$15)*$BW$15+
INDEX($A74:$BM74,,$BV$16)*$BW$16+
INDEX($A74:$BM74,,$BV$17)*$BW$17+
INDEX($A74:$BM74,,$BV$18)*$BW$18+
INDEX($A74:$BM74,,$BV$19)*$BW$19+
INDEX($A74:$BM74,,$BV$20)*$BW$20+
INDEX($A74:$BM74,,$BV$21)*$BW$21+
INDEX($A74:$BM74,,$BV$22)*$BW$22+
INDEX($A74:$BM74,,$BV$23)*$BW$23+
INDEX($A74:$BM74,,$BV$25)*$BW$25+
INDEX($A74:$BM74,,$BV$26)*$BW$26+
INDEX($A74:$BM74,,$BV$27)*$BW$27+
$BN74)),
$BN74-100)</f>
        <v>-100</v>
      </c>
      <c r="AX74" t="str">
        <f t="shared" si="20"/>
        <v/>
      </c>
      <c r="AY74" t="str">
        <f t="shared" si="21"/>
        <v/>
      </c>
      <c r="AZ74" s="430">
        <f>IFERROR(
IF(AX74="",-100,
IF($BV$2&gt;0, INDEX(Beersheet!$A:$U,MATCH(AX74,INDEX(Beersheet!$A:$U,0,FFARawStatProjections!$BV$2),0),$BV$3)+$BN74,
INDEX($A74:$BM74,,$BV$12)*$BW$12+
INDEX($A74:$BM74,,$BV$15)*$BW$15+
INDEX($A74:$BM74,,$BV$16)*$BW$16+
INDEX($A74:$BM74,,$BV$17)*$BW$17+
INDEX($A74:$BM74,,$BV$18)*$BW$18+
INDEX($A74:$BM74,,$BV$19)*$BW$19+
INDEX($A74:$BM74,,$BV$20)*$BW$20+
INDEX($A74:$BM74,,$BV$21)*$BW$21+
INDEX($A74:$BM74,,$BV$22)*$BW$22+
INDEX($A74:$BM74,,$BV$23)*$BW$23+
INDEX($A74:$BM74,,$BV$25)*$BW$25+
INDEX($A74:$BM74,,$BV$26)*$BW$26+
INDEX($A74:$BM74,,$BV$27)*$BW$27+
$BN74)),
$BN74-100)</f>
        <v>-100</v>
      </c>
      <c r="BB74" t="str">
        <f t="shared" si="22"/>
        <v/>
      </c>
      <c r="BC74" t="str">
        <f t="shared" si="15"/>
        <v/>
      </c>
      <c r="BD74" s="430">
        <f>IFERROR(
IF(BB74="",-100,
IF($BV$2&gt;0, INDEX(Beersheet!$A:$U,MATCH(BB74,INDEX(Beersheet!$A:$U,0,FFARawStatProjections!$BV$2),0),$BV$3)+$BN74,
INDEX($A74:$BM74,,$BV$12)*$BW$12+
INDEX($A74:$BM74,,$BV$15)*$BW$15+
INDEX($A74:$BM74,,$BV$16)*$BW$16+
INDEX($A74:$BM74,,$BV$17)*$BW$17+
INDEX($A74:$BM74,,$BV$18)*$BW$18+
INDEX($A74:$BM74,,$BV$19)*$BW$19+
INDEX($A74:$BM74,,$BV$20)*$BW$20+
INDEX($A74:$BM74,,$BV$21)*$BW$21+
INDEX($A74:$BM74,,$BV$22)*$BW$22+
INDEX($A74:$BM74,,$BV$23)*$BW$23+
INDEX($A74:$BM74,,$BV$25)*$BW$25+
INDEX($A74:$BM74,,$BV$26)*$BW$26+
INDEX($A74:$BM74,,$BV$27)*$BW$27+
$BN74)),
$BN74-100)</f>
        <v>-100</v>
      </c>
      <c r="BF74" t="str">
        <f t="shared" si="23"/>
        <v/>
      </c>
      <c r="BG74" t="str">
        <f t="shared" si="24"/>
        <v/>
      </c>
      <c r="BH74">
        <f t="shared" si="25"/>
        <v>0</v>
      </c>
      <c r="BJ74" t="str">
        <f t="shared" si="26"/>
        <v/>
      </c>
      <c r="BL74">
        <f t="shared" si="16"/>
        <v>0</v>
      </c>
      <c r="BN74">
        <v>7.2999999999999996E-4</v>
      </c>
      <c r="BS74" s="4" t="s">
        <v>2359</v>
      </c>
    </row>
    <row r="75" spans="1:71" ht="15.75" thickBot="1" x14ac:dyDescent="0.3">
      <c r="A75" s="569" t="s">
        <v>2439</v>
      </c>
      <c r="B75" s="569" t="s">
        <v>1388</v>
      </c>
      <c r="C75" s="569" t="s">
        <v>1</v>
      </c>
      <c r="D75" s="574">
        <v>5</v>
      </c>
      <c r="E75" s="569"/>
      <c r="F75" s="569"/>
      <c r="G75" s="569">
        <v>21</v>
      </c>
      <c r="H75" s="569">
        <v>14</v>
      </c>
      <c r="I75" s="574">
        <v>0</v>
      </c>
      <c r="J75" s="574">
        <v>1</v>
      </c>
      <c r="K75" s="574">
        <v>144</v>
      </c>
      <c r="L75" s="574">
        <v>0</v>
      </c>
      <c r="M75" s="574">
        <v>0</v>
      </c>
      <c r="N75" s="574">
        <v>0</v>
      </c>
      <c r="O75" s="574">
        <v>1</v>
      </c>
      <c r="P75" s="574">
        <v>0</v>
      </c>
      <c r="Q75" s="574">
        <v>3</v>
      </c>
      <c r="R75" s="569"/>
      <c r="S75" s="569"/>
      <c r="T75" s="569"/>
      <c r="U75" s="569"/>
      <c r="V75" s="569"/>
      <c r="W75" s="569"/>
      <c r="X75" s="569"/>
      <c r="Y75" s="569"/>
      <c r="Z75" s="569"/>
      <c r="AA75" s="569"/>
      <c r="AB75" s="569"/>
      <c r="AC75" s="569"/>
      <c r="AD75" s="569"/>
      <c r="AE75" s="569"/>
      <c r="AF75" s="569"/>
      <c r="AG75" s="569"/>
      <c r="AH75" s="569"/>
      <c r="AI75" s="569"/>
      <c r="AJ75" s="569"/>
      <c r="AK75" s="569"/>
      <c r="AL75" s="569"/>
      <c r="AM75" s="569"/>
      <c r="AN75" s="574">
        <v>10.1</v>
      </c>
      <c r="AO75">
        <v>74</v>
      </c>
      <c r="AP75" t="str">
        <f t="shared" si="14"/>
        <v>Max Duggan</v>
      </c>
      <c r="AQ75" t="str">
        <f t="shared" si="17"/>
        <v>LAC</v>
      </c>
      <c r="AR75" s="430">
        <f>IFERROR(
IF(AP75="",-100,
IF($BV$2&gt;0, INDEX(Beersheet!$A:$U,MATCH(AP75,INDEX(Beersheet!$A:$U,0,FFARawStatProjections!$BV$2),0),$BV$3)+$BN75,
INDEX($A75:$BM75,,$BV$12)*$BW$12+
INDEX($A75:$BM75,,$BV$15)*$BW$15+
INDEX($A75:$BM75,,$BV$16)*$BW$16+
INDEX($A75:$BM75,,$BV$17)*$BW$17+
INDEX($A75:$BM75,,$BV$18)*$BW$18+
INDEX($A75:$BM75,,$BV$19)*$BW$19+
INDEX($A75:$BM75,,$BV$20)*$BW$20+
INDEX($A75:$BM75,,$BV$21)*$BW$21+
INDEX($A75:$BM75,,$BV$22)*$BW$22+
INDEX($A75:$BM75,,$BV$23)*$BW$23+
INDEX($A75:$BM75,,$BV$25)*$BW$25+
INDEX($A75:$BM75,,$BV$26)*$BW$26+
INDEX($A75:$BM75,,$BV$27)*$BW$27+
$BN75)),
$BN75-100)</f>
        <v>10.060740000000001</v>
      </c>
      <c r="AT75" t="str">
        <f t="shared" si="18"/>
        <v/>
      </c>
      <c r="AU75" t="str">
        <f t="shared" si="19"/>
        <v/>
      </c>
      <c r="AV75" s="430">
        <f>IFERROR(
IF(AT75="",-100,
IF($BV$2&gt;0, INDEX(Beersheet!$A:$U,MATCH(AT75,INDEX(Beersheet!$A:$U,0,FFARawStatProjections!$BV$2),0),$BV$3)+$BN75,
INDEX($A75:$BM75,,$BV$12)*$BW$12+
INDEX($A75:$BM75,,$BV$15)*$BW$15+
INDEX($A75:$BM75,,$BV$16)*$BW$16+
INDEX($A75:$BM75,,$BV$17)*$BW$17+
INDEX($A75:$BM75,,$BV$18)*$BW$18+
INDEX($A75:$BM75,,$BV$19)*$BW$19+
INDEX($A75:$BM75,,$BV$20)*$BW$20+
INDEX($A75:$BM75,,$BV$21)*$BW$21+
INDEX($A75:$BM75,,$BV$22)*$BW$22+
INDEX($A75:$BM75,,$BV$23)*$BW$23+
INDEX($A75:$BM75,,$BV$25)*$BW$25+
INDEX($A75:$BM75,,$BV$26)*$BW$26+
INDEX($A75:$BM75,,$BV$27)*$BW$27+
$BN75)),
$BN75-100)</f>
        <v>-100</v>
      </c>
      <c r="AX75" t="str">
        <f t="shared" si="20"/>
        <v/>
      </c>
      <c r="AY75" t="str">
        <f t="shared" si="21"/>
        <v/>
      </c>
      <c r="AZ75" s="430">
        <f>IFERROR(
IF(AX75="",-100,
IF($BV$2&gt;0, INDEX(Beersheet!$A:$U,MATCH(AX75,INDEX(Beersheet!$A:$U,0,FFARawStatProjections!$BV$2),0),$BV$3)+$BN75,
INDEX($A75:$BM75,,$BV$12)*$BW$12+
INDEX($A75:$BM75,,$BV$15)*$BW$15+
INDEX($A75:$BM75,,$BV$16)*$BW$16+
INDEX($A75:$BM75,,$BV$17)*$BW$17+
INDEX($A75:$BM75,,$BV$18)*$BW$18+
INDEX($A75:$BM75,,$BV$19)*$BW$19+
INDEX($A75:$BM75,,$BV$20)*$BW$20+
INDEX($A75:$BM75,,$BV$21)*$BW$21+
INDEX($A75:$BM75,,$BV$22)*$BW$22+
INDEX($A75:$BM75,,$BV$23)*$BW$23+
INDEX($A75:$BM75,,$BV$25)*$BW$25+
INDEX($A75:$BM75,,$BV$26)*$BW$26+
INDEX($A75:$BM75,,$BV$27)*$BW$27+
$BN75)),
$BN75-100)</f>
        <v>-100</v>
      </c>
      <c r="BB75" t="str">
        <f t="shared" si="22"/>
        <v/>
      </c>
      <c r="BC75" t="str">
        <f t="shared" si="15"/>
        <v/>
      </c>
      <c r="BD75" s="430">
        <f>IFERROR(
IF(BB75="",-100,
IF($BV$2&gt;0, INDEX(Beersheet!$A:$U,MATCH(BB75,INDEX(Beersheet!$A:$U,0,FFARawStatProjections!$BV$2),0),$BV$3)+$BN75,
INDEX($A75:$BM75,,$BV$12)*$BW$12+
INDEX($A75:$BM75,,$BV$15)*$BW$15+
INDEX($A75:$BM75,,$BV$16)*$BW$16+
INDEX($A75:$BM75,,$BV$17)*$BW$17+
INDEX($A75:$BM75,,$BV$18)*$BW$18+
INDEX($A75:$BM75,,$BV$19)*$BW$19+
INDEX($A75:$BM75,,$BV$20)*$BW$20+
INDEX($A75:$BM75,,$BV$21)*$BW$21+
INDEX($A75:$BM75,,$BV$22)*$BW$22+
INDEX($A75:$BM75,,$BV$23)*$BW$23+
INDEX($A75:$BM75,,$BV$25)*$BW$25+
INDEX($A75:$BM75,,$BV$26)*$BW$26+
INDEX($A75:$BM75,,$BV$27)*$BW$27+
$BN75)),
$BN75-100)</f>
        <v>-100</v>
      </c>
      <c r="BF75" t="str">
        <f t="shared" si="23"/>
        <v/>
      </c>
      <c r="BG75" t="str">
        <f t="shared" si="24"/>
        <v/>
      </c>
      <c r="BH75">
        <f t="shared" si="25"/>
        <v>0</v>
      </c>
      <c r="BJ75" t="str">
        <f t="shared" si="26"/>
        <v/>
      </c>
      <c r="BL75">
        <f t="shared" si="16"/>
        <v>0</v>
      </c>
      <c r="BN75">
        <v>7.3999999999999999E-4</v>
      </c>
      <c r="BS75" s="4" t="s">
        <v>2104</v>
      </c>
    </row>
    <row r="76" spans="1:71" ht="15.75" thickBot="1" x14ac:dyDescent="0.3">
      <c r="A76" s="569" t="s">
        <v>2471</v>
      </c>
      <c r="B76" s="569" t="s">
        <v>138</v>
      </c>
      <c r="C76" s="569" t="s">
        <v>1</v>
      </c>
      <c r="D76" s="574">
        <v>13</v>
      </c>
      <c r="E76" s="569"/>
      <c r="F76" s="569"/>
      <c r="G76" s="569">
        <v>20</v>
      </c>
      <c r="H76" s="569">
        <v>13</v>
      </c>
      <c r="I76" s="574">
        <v>0</v>
      </c>
      <c r="J76" s="574">
        <v>1</v>
      </c>
      <c r="K76" s="574">
        <v>141</v>
      </c>
      <c r="L76" s="574">
        <v>0</v>
      </c>
      <c r="M76" s="574">
        <v>0</v>
      </c>
      <c r="N76" s="574">
        <v>0</v>
      </c>
      <c r="O76" s="574">
        <v>1</v>
      </c>
      <c r="P76" s="574">
        <v>0</v>
      </c>
      <c r="Q76" s="574">
        <v>3</v>
      </c>
      <c r="R76" s="569"/>
      <c r="S76" s="569"/>
      <c r="T76" s="569"/>
      <c r="U76" s="569"/>
      <c r="V76" s="569"/>
      <c r="W76" s="569"/>
      <c r="X76" s="569"/>
      <c r="Y76" s="569"/>
      <c r="Z76" s="569"/>
      <c r="AA76" s="569"/>
      <c r="AB76" s="569"/>
      <c r="AC76" s="569"/>
      <c r="AD76" s="569"/>
      <c r="AE76" s="569"/>
      <c r="AF76" s="569"/>
      <c r="AG76" s="569"/>
      <c r="AH76" s="569"/>
      <c r="AI76" s="569"/>
      <c r="AJ76" s="569"/>
      <c r="AK76" s="569"/>
      <c r="AL76" s="569"/>
      <c r="AM76" s="569"/>
      <c r="AN76" s="574">
        <v>9.9</v>
      </c>
      <c r="AO76">
        <v>75</v>
      </c>
      <c r="AP76" t="str">
        <f t="shared" si="14"/>
        <v>Jaren Hall</v>
      </c>
      <c r="AQ76" t="str">
        <f t="shared" si="17"/>
        <v>MIN</v>
      </c>
      <c r="AR76" s="430">
        <f>IFERROR(
IF(AP76="",-100,
IF($BV$2&gt;0, INDEX(Beersheet!$A:$U,MATCH(AP76,INDEX(Beersheet!$A:$U,0,FFARawStatProjections!$BV$2),0),$BV$3)+$BN76,
INDEX($A76:$BM76,,$BV$12)*$BW$12+
INDEX($A76:$BM76,,$BV$15)*$BW$15+
INDEX($A76:$BM76,,$BV$16)*$BW$16+
INDEX($A76:$BM76,,$BV$17)*$BW$17+
INDEX($A76:$BM76,,$BV$18)*$BW$18+
INDEX($A76:$BM76,,$BV$19)*$BW$19+
INDEX($A76:$BM76,,$BV$20)*$BW$20+
INDEX($A76:$BM76,,$BV$21)*$BW$21+
INDEX($A76:$BM76,,$BV$22)*$BW$22+
INDEX($A76:$BM76,,$BV$23)*$BW$23+
INDEX($A76:$BM76,,$BV$25)*$BW$25+
INDEX($A76:$BM76,,$BV$26)*$BW$26+
INDEX($A76:$BM76,,$BV$27)*$BW$27+
$BN76)),
$BN76-100)</f>
        <v>9.9407500000000013</v>
      </c>
      <c r="AT76" t="str">
        <f t="shared" si="18"/>
        <v/>
      </c>
      <c r="AU76" t="str">
        <f t="shared" si="19"/>
        <v/>
      </c>
      <c r="AV76" s="430">
        <f>IFERROR(
IF(AT76="",-100,
IF($BV$2&gt;0, INDEX(Beersheet!$A:$U,MATCH(AT76,INDEX(Beersheet!$A:$U,0,FFARawStatProjections!$BV$2),0),$BV$3)+$BN76,
INDEX($A76:$BM76,,$BV$12)*$BW$12+
INDEX($A76:$BM76,,$BV$15)*$BW$15+
INDEX($A76:$BM76,,$BV$16)*$BW$16+
INDEX($A76:$BM76,,$BV$17)*$BW$17+
INDEX($A76:$BM76,,$BV$18)*$BW$18+
INDEX($A76:$BM76,,$BV$19)*$BW$19+
INDEX($A76:$BM76,,$BV$20)*$BW$20+
INDEX($A76:$BM76,,$BV$21)*$BW$21+
INDEX($A76:$BM76,,$BV$22)*$BW$22+
INDEX($A76:$BM76,,$BV$23)*$BW$23+
INDEX($A76:$BM76,,$BV$25)*$BW$25+
INDEX($A76:$BM76,,$BV$26)*$BW$26+
INDEX($A76:$BM76,,$BV$27)*$BW$27+
$BN76)),
$BN76-100)</f>
        <v>-100</v>
      </c>
      <c r="AX76" t="str">
        <f t="shared" si="20"/>
        <v/>
      </c>
      <c r="AY76" t="str">
        <f t="shared" si="21"/>
        <v/>
      </c>
      <c r="AZ76" s="430">
        <f>IFERROR(
IF(AX76="",-100,
IF($BV$2&gt;0, INDEX(Beersheet!$A:$U,MATCH(AX76,INDEX(Beersheet!$A:$U,0,FFARawStatProjections!$BV$2),0),$BV$3)+$BN76,
INDEX($A76:$BM76,,$BV$12)*$BW$12+
INDEX($A76:$BM76,,$BV$15)*$BW$15+
INDEX($A76:$BM76,,$BV$16)*$BW$16+
INDEX($A76:$BM76,,$BV$17)*$BW$17+
INDEX($A76:$BM76,,$BV$18)*$BW$18+
INDEX($A76:$BM76,,$BV$19)*$BW$19+
INDEX($A76:$BM76,,$BV$20)*$BW$20+
INDEX($A76:$BM76,,$BV$21)*$BW$21+
INDEX($A76:$BM76,,$BV$22)*$BW$22+
INDEX($A76:$BM76,,$BV$23)*$BW$23+
INDEX($A76:$BM76,,$BV$25)*$BW$25+
INDEX($A76:$BM76,,$BV$26)*$BW$26+
INDEX($A76:$BM76,,$BV$27)*$BW$27+
$BN76)),
$BN76-100)</f>
        <v>-100</v>
      </c>
      <c r="BB76" t="str">
        <f t="shared" si="22"/>
        <v/>
      </c>
      <c r="BC76" t="str">
        <f t="shared" si="15"/>
        <v/>
      </c>
      <c r="BD76" s="430">
        <f>IFERROR(
IF(BB76="",-100,
IF($BV$2&gt;0, INDEX(Beersheet!$A:$U,MATCH(BB76,INDEX(Beersheet!$A:$U,0,FFARawStatProjections!$BV$2),0),$BV$3)+$BN76,
INDEX($A76:$BM76,,$BV$12)*$BW$12+
INDEX($A76:$BM76,,$BV$15)*$BW$15+
INDEX($A76:$BM76,,$BV$16)*$BW$16+
INDEX($A76:$BM76,,$BV$17)*$BW$17+
INDEX($A76:$BM76,,$BV$18)*$BW$18+
INDEX($A76:$BM76,,$BV$19)*$BW$19+
INDEX($A76:$BM76,,$BV$20)*$BW$20+
INDEX($A76:$BM76,,$BV$21)*$BW$21+
INDEX($A76:$BM76,,$BV$22)*$BW$22+
INDEX($A76:$BM76,,$BV$23)*$BW$23+
INDEX($A76:$BM76,,$BV$25)*$BW$25+
INDEX($A76:$BM76,,$BV$26)*$BW$26+
INDEX($A76:$BM76,,$BV$27)*$BW$27+
$BN76)),
$BN76-100)</f>
        <v>-100</v>
      </c>
      <c r="BF76" t="str">
        <f t="shared" si="23"/>
        <v/>
      </c>
      <c r="BG76" t="str">
        <f t="shared" si="24"/>
        <v/>
      </c>
      <c r="BH76">
        <f t="shared" si="25"/>
        <v>0</v>
      </c>
      <c r="BJ76" t="str">
        <f t="shared" si="26"/>
        <v/>
      </c>
      <c r="BL76">
        <f t="shared" si="16"/>
        <v>0</v>
      </c>
      <c r="BN76">
        <v>7.5000000000000002E-4</v>
      </c>
      <c r="BS76" s="4" t="s">
        <v>2520</v>
      </c>
    </row>
    <row r="77" spans="1:71" ht="15.75" thickBot="1" x14ac:dyDescent="0.3">
      <c r="A77" s="569" t="s">
        <v>2403</v>
      </c>
      <c r="B77" s="569" t="s">
        <v>137</v>
      </c>
      <c r="C77" s="569" t="s">
        <v>1</v>
      </c>
      <c r="D77" s="574">
        <v>10</v>
      </c>
      <c r="E77" s="569"/>
      <c r="F77" s="569"/>
      <c r="G77" s="569">
        <v>16</v>
      </c>
      <c r="H77" s="569">
        <v>10</v>
      </c>
      <c r="I77" s="574">
        <v>0</v>
      </c>
      <c r="J77" s="574">
        <v>1</v>
      </c>
      <c r="K77" s="574">
        <v>120</v>
      </c>
      <c r="L77" s="574">
        <v>0</v>
      </c>
      <c r="M77" s="574">
        <v>0</v>
      </c>
      <c r="N77" s="574">
        <v>0</v>
      </c>
      <c r="O77" s="574">
        <v>1</v>
      </c>
      <c r="P77" s="574">
        <v>0</v>
      </c>
      <c r="Q77" s="574">
        <v>6</v>
      </c>
      <c r="R77" s="569"/>
      <c r="S77" s="569"/>
      <c r="T77" s="569"/>
      <c r="U77" s="569"/>
      <c r="V77" s="569"/>
      <c r="W77" s="569"/>
      <c r="X77" s="569"/>
      <c r="Y77" s="569"/>
      <c r="Z77" s="569"/>
      <c r="AA77" s="569"/>
      <c r="AB77" s="569"/>
      <c r="AC77" s="569"/>
      <c r="AD77" s="569"/>
      <c r="AE77" s="569"/>
      <c r="AF77" s="569"/>
      <c r="AG77" s="569"/>
      <c r="AH77" s="569"/>
      <c r="AI77" s="569"/>
      <c r="AJ77" s="569"/>
      <c r="AK77" s="569"/>
      <c r="AL77" s="569"/>
      <c r="AM77" s="569"/>
      <c r="AN77" s="574">
        <v>9.4</v>
      </c>
      <c r="AO77">
        <v>76</v>
      </c>
      <c r="AP77" t="str">
        <f t="shared" si="14"/>
        <v>Tanner McKee</v>
      </c>
      <c r="AQ77" t="str">
        <f t="shared" si="17"/>
        <v>PHI</v>
      </c>
      <c r="AR77" s="430">
        <f>IFERROR(
IF(AP77="",-100,
IF($BV$2&gt;0, INDEX(Beersheet!$A:$U,MATCH(AP77,INDEX(Beersheet!$A:$U,0,FFARawStatProjections!$BV$2),0),$BV$3)+$BN77,
INDEX($A77:$BM77,,$BV$12)*$BW$12+
INDEX($A77:$BM77,,$BV$15)*$BW$15+
INDEX($A77:$BM77,,$BV$16)*$BW$16+
INDEX($A77:$BM77,,$BV$17)*$BW$17+
INDEX($A77:$BM77,,$BV$18)*$BW$18+
INDEX($A77:$BM77,,$BV$19)*$BW$19+
INDEX($A77:$BM77,,$BV$20)*$BW$20+
INDEX($A77:$BM77,,$BV$21)*$BW$21+
INDEX($A77:$BM77,,$BV$22)*$BW$22+
INDEX($A77:$BM77,,$BV$23)*$BW$23+
INDEX($A77:$BM77,,$BV$25)*$BW$25+
INDEX($A77:$BM77,,$BV$26)*$BW$26+
INDEX($A77:$BM77,,$BV$27)*$BW$27+
$BN77)),
$BN77-100)</f>
        <v>9.40076</v>
      </c>
      <c r="AT77" t="str">
        <f t="shared" si="18"/>
        <v/>
      </c>
      <c r="AU77" t="str">
        <f t="shared" si="19"/>
        <v/>
      </c>
      <c r="AV77" s="430">
        <f>IFERROR(
IF(AT77="",-100,
IF($BV$2&gt;0, INDEX(Beersheet!$A:$U,MATCH(AT77,INDEX(Beersheet!$A:$U,0,FFARawStatProjections!$BV$2),0),$BV$3)+$BN77,
INDEX($A77:$BM77,,$BV$12)*$BW$12+
INDEX($A77:$BM77,,$BV$15)*$BW$15+
INDEX($A77:$BM77,,$BV$16)*$BW$16+
INDEX($A77:$BM77,,$BV$17)*$BW$17+
INDEX($A77:$BM77,,$BV$18)*$BW$18+
INDEX($A77:$BM77,,$BV$19)*$BW$19+
INDEX($A77:$BM77,,$BV$20)*$BW$20+
INDEX($A77:$BM77,,$BV$21)*$BW$21+
INDEX($A77:$BM77,,$BV$22)*$BW$22+
INDEX($A77:$BM77,,$BV$23)*$BW$23+
INDEX($A77:$BM77,,$BV$25)*$BW$25+
INDEX($A77:$BM77,,$BV$26)*$BW$26+
INDEX($A77:$BM77,,$BV$27)*$BW$27+
$BN77)),
$BN77-100)</f>
        <v>-100</v>
      </c>
      <c r="AX77" t="str">
        <f t="shared" si="20"/>
        <v/>
      </c>
      <c r="AY77" t="str">
        <f t="shared" si="21"/>
        <v/>
      </c>
      <c r="AZ77" s="430">
        <f>IFERROR(
IF(AX77="",-100,
IF($BV$2&gt;0, INDEX(Beersheet!$A:$U,MATCH(AX77,INDEX(Beersheet!$A:$U,0,FFARawStatProjections!$BV$2),0),$BV$3)+$BN77,
INDEX($A77:$BM77,,$BV$12)*$BW$12+
INDEX($A77:$BM77,,$BV$15)*$BW$15+
INDEX($A77:$BM77,,$BV$16)*$BW$16+
INDEX($A77:$BM77,,$BV$17)*$BW$17+
INDEX($A77:$BM77,,$BV$18)*$BW$18+
INDEX($A77:$BM77,,$BV$19)*$BW$19+
INDEX($A77:$BM77,,$BV$20)*$BW$20+
INDEX($A77:$BM77,,$BV$21)*$BW$21+
INDEX($A77:$BM77,,$BV$22)*$BW$22+
INDEX($A77:$BM77,,$BV$23)*$BW$23+
INDEX($A77:$BM77,,$BV$25)*$BW$25+
INDEX($A77:$BM77,,$BV$26)*$BW$26+
INDEX($A77:$BM77,,$BV$27)*$BW$27+
$BN77)),
$BN77-100)</f>
        <v>-100</v>
      </c>
      <c r="BB77" t="str">
        <f t="shared" si="22"/>
        <v/>
      </c>
      <c r="BC77" t="str">
        <f t="shared" si="15"/>
        <v/>
      </c>
      <c r="BD77" s="430">
        <f>IFERROR(
IF(BB77="",-100,
IF($BV$2&gt;0, INDEX(Beersheet!$A:$U,MATCH(BB77,INDEX(Beersheet!$A:$U,0,FFARawStatProjections!$BV$2),0),$BV$3)+$BN77,
INDEX($A77:$BM77,,$BV$12)*$BW$12+
INDEX($A77:$BM77,,$BV$15)*$BW$15+
INDEX($A77:$BM77,,$BV$16)*$BW$16+
INDEX($A77:$BM77,,$BV$17)*$BW$17+
INDEX($A77:$BM77,,$BV$18)*$BW$18+
INDEX($A77:$BM77,,$BV$19)*$BW$19+
INDEX($A77:$BM77,,$BV$20)*$BW$20+
INDEX($A77:$BM77,,$BV$21)*$BW$21+
INDEX($A77:$BM77,,$BV$22)*$BW$22+
INDEX($A77:$BM77,,$BV$23)*$BW$23+
INDEX($A77:$BM77,,$BV$25)*$BW$25+
INDEX($A77:$BM77,,$BV$26)*$BW$26+
INDEX($A77:$BM77,,$BV$27)*$BW$27+
$BN77)),
$BN77-100)</f>
        <v>-100</v>
      </c>
      <c r="BF77" t="str">
        <f t="shared" si="23"/>
        <v/>
      </c>
      <c r="BG77" t="str">
        <f t="shared" si="24"/>
        <v/>
      </c>
      <c r="BH77">
        <f t="shared" si="25"/>
        <v>0</v>
      </c>
      <c r="BJ77" t="str">
        <f t="shared" si="26"/>
        <v/>
      </c>
      <c r="BL77">
        <f t="shared" si="16"/>
        <v>0</v>
      </c>
      <c r="BN77">
        <v>7.6000000000000004E-4</v>
      </c>
      <c r="BS77" s="4" t="s">
        <v>2519</v>
      </c>
    </row>
    <row r="78" spans="1:71" ht="15.75" thickBot="1" x14ac:dyDescent="0.3">
      <c r="A78" s="569" t="s">
        <v>2410</v>
      </c>
      <c r="B78" s="569" t="s">
        <v>166</v>
      </c>
      <c r="C78" s="569" t="s">
        <v>1</v>
      </c>
      <c r="D78" s="574">
        <v>10</v>
      </c>
      <c r="E78" s="569"/>
      <c r="F78" s="569"/>
      <c r="G78" s="569">
        <v>90.7</v>
      </c>
      <c r="H78" s="569">
        <v>51.5</v>
      </c>
      <c r="I78" s="574">
        <v>4</v>
      </c>
      <c r="J78" s="574">
        <v>0.7</v>
      </c>
      <c r="K78" s="574">
        <v>243.7</v>
      </c>
      <c r="L78" s="574">
        <v>0</v>
      </c>
      <c r="M78" s="574">
        <v>0</v>
      </c>
      <c r="N78" s="574">
        <v>0</v>
      </c>
      <c r="O78" s="574">
        <v>26.5</v>
      </c>
      <c r="P78" s="574">
        <v>0</v>
      </c>
      <c r="Q78" s="574">
        <v>20.399999999999999</v>
      </c>
      <c r="R78" s="569"/>
      <c r="S78" s="569"/>
      <c r="T78" s="569"/>
      <c r="U78" s="569"/>
      <c r="V78" s="569"/>
      <c r="W78" s="569"/>
      <c r="X78" s="569"/>
      <c r="Y78" s="569"/>
      <c r="Z78" s="569"/>
      <c r="AA78" s="569"/>
      <c r="AB78" s="569"/>
      <c r="AC78" s="569"/>
      <c r="AD78" s="569"/>
      <c r="AE78" s="569"/>
      <c r="AF78" s="569"/>
      <c r="AG78" s="569"/>
      <c r="AH78" s="569"/>
      <c r="AI78" s="569"/>
      <c r="AJ78" s="569"/>
      <c r="AK78" s="569"/>
      <c r="AL78" s="569"/>
      <c r="AM78" s="569"/>
      <c r="AN78" s="574">
        <v>9.1</v>
      </c>
      <c r="AO78">
        <v>77</v>
      </c>
      <c r="AP78" t="str">
        <f t="shared" si="14"/>
        <v>Skylar Thompson</v>
      </c>
      <c r="AQ78" t="str">
        <f t="shared" si="17"/>
        <v>MIA</v>
      </c>
      <c r="AR78" s="430">
        <f>IFERROR(
IF(AP78="",-100,
IF($BV$2&gt;0, INDEX(Beersheet!$A:$U,MATCH(AP78,INDEX(Beersheet!$A:$U,0,FFARawStatProjections!$BV$2),0),$BV$3)+$BN78,
INDEX($A78:$BM78,,$BV$12)*$BW$12+
INDEX($A78:$BM78,,$BV$15)*$BW$15+
INDEX($A78:$BM78,,$BV$16)*$BW$16+
INDEX($A78:$BM78,,$BV$17)*$BW$17+
INDEX($A78:$BM78,,$BV$18)*$BW$18+
INDEX($A78:$BM78,,$BV$19)*$BW$19+
INDEX($A78:$BM78,,$BV$20)*$BW$20+
INDEX($A78:$BM78,,$BV$21)*$BW$21+
INDEX($A78:$BM78,,$BV$22)*$BW$22+
INDEX($A78:$BM78,,$BV$23)*$BW$23+
INDEX($A78:$BM78,,$BV$25)*$BW$25+
INDEX($A78:$BM78,,$BV$26)*$BW$26+
INDEX($A78:$BM78,,$BV$27)*$BW$27+
$BN78)),
$BN78-100)</f>
        <v>10.588769999999997</v>
      </c>
      <c r="AT78" t="str">
        <f t="shared" si="18"/>
        <v/>
      </c>
      <c r="AU78" t="str">
        <f t="shared" si="19"/>
        <v/>
      </c>
      <c r="AV78" s="430">
        <f>IFERROR(
IF(AT78="",-100,
IF($BV$2&gt;0, INDEX(Beersheet!$A:$U,MATCH(AT78,INDEX(Beersheet!$A:$U,0,FFARawStatProjections!$BV$2),0),$BV$3)+$BN78,
INDEX($A78:$BM78,,$BV$12)*$BW$12+
INDEX($A78:$BM78,,$BV$15)*$BW$15+
INDEX($A78:$BM78,,$BV$16)*$BW$16+
INDEX($A78:$BM78,,$BV$17)*$BW$17+
INDEX($A78:$BM78,,$BV$18)*$BW$18+
INDEX($A78:$BM78,,$BV$19)*$BW$19+
INDEX($A78:$BM78,,$BV$20)*$BW$20+
INDEX($A78:$BM78,,$BV$21)*$BW$21+
INDEX($A78:$BM78,,$BV$22)*$BW$22+
INDEX($A78:$BM78,,$BV$23)*$BW$23+
INDEX($A78:$BM78,,$BV$25)*$BW$25+
INDEX($A78:$BM78,,$BV$26)*$BW$26+
INDEX($A78:$BM78,,$BV$27)*$BW$27+
$BN78)),
$BN78-100)</f>
        <v>-100</v>
      </c>
      <c r="AX78" t="str">
        <f t="shared" si="20"/>
        <v/>
      </c>
      <c r="AY78" t="str">
        <f t="shared" si="21"/>
        <v/>
      </c>
      <c r="AZ78" s="430">
        <f>IFERROR(
IF(AX78="",-100,
IF($BV$2&gt;0, INDEX(Beersheet!$A:$U,MATCH(AX78,INDEX(Beersheet!$A:$U,0,FFARawStatProjections!$BV$2),0),$BV$3)+$BN78,
INDEX($A78:$BM78,,$BV$12)*$BW$12+
INDEX($A78:$BM78,,$BV$15)*$BW$15+
INDEX($A78:$BM78,,$BV$16)*$BW$16+
INDEX($A78:$BM78,,$BV$17)*$BW$17+
INDEX($A78:$BM78,,$BV$18)*$BW$18+
INDEX($A78:$BM78,,$BV$19)*$BW$19+
INDEX($A78:$BM78,,$BV$20)*$BW$20+
INDEX($A78:$BM78,,$BV$21)*$BW$21+
INDEX($A78:$BM78,,$BV$22)*$BW$22+
INDEX($A78:$BM78,,$BV$23)*$BW$23+
INDEX($A78:$BM78,,$BV$25)*$BW$25+
INDEX($A78:$BM78,,$BV$26)*$BW$26+
INDEX($A78:$BM78,,$BV$27)*$BW$27+
$BN78)),
$BN78-100)</f>
        <v>-100</v>
      </c>
      <c r="BB78" t="str">
        <f t="shared" si="22"/>
        <v/>
      </c>
      <c r="BC78" t="str">
        <f t="shared" si="15"/>
        <v/>
      </c>
      <c r="BD78" s="430">
        <f>IFERROR(
IF(BB78="",-100,
IF($BV$2&gt;0, INDEX(Beersheet!$A:$U,MATCH(BB78,INDEX(Beersheet!$A:$U,0,FFARawStatProjections!$BV$2),0),$BV$3)+$BN78,
INDEX($A78:$BM78,,$BV$12)*$BW$12+
INDEX($A78:$BM78,,$BV$15)*$BW$15+
INDEX($A78:$BM78,,$BV$16)*$BW$16+
INDEX($A78:$BM78,,$BV$17)*$BW$17+
INDEX($A78:$BM78,,$BV$18)*$BW$18+
INDEX($A78:$BM78,,$BV$19)*$BW$19+
INDEX($A78:$BM78,,$BV$20)*$BW$20+
INDEX($A78:$BM78,,$BV$21)*$BW$21+
INDEX($A78:$BM78,,$BV$22)*$BW$22+
INDEX($A78:$BM78,,$BV$23)*$BW$23+
INDEX($A78:$BM78,,$BV$25)*$BW$25+
INDEX($A78:$BM78,,$BV$26)*$BW$26+
INDEX($A78:$BM78,,$BV$27)*$BW$27+
$BN78)),
$BN78-100)</f>
        <v>-100</v>
      </c>
      <c r="BF78" t="str">
        <f t="shared" si="23"/>
        <v/>
      </c>
      <c r="BG78" t="str">
        <f t="shared" si="24"/>
        <v/>
      </c>
      <c r="BH78">
        <f t="shared" si="25"/>
        <v>0</v>
      </c>
      <c r="BJ78" t="str">
        <f t="shared" si="26"/>
        <v/>
      </c>
      <c r="BL78">
        <f t="shared" si="16"/>
        <v>0</v>
      </c>
      <c r="BN78">
        <v>7.6999999999999996E-4</v>
      </c>
      <c r="BS78" s="4" t="s">
        <v>2244</v>
      </c>
    </row>
    <row r="79" spans="1:71" ht="15.75" thickBot="1" x14ac:dyDescent="0.3">
      <c r="A79" s="569" t="s">
        <v>1221</v>
      </c>
      <c r="B79" s="569" t="s">
        <v>151</v>
      </c>
      <c r="C79" s="569" t="s">
        <v>1</v>
      </c>
      <c r="D79" s="574">
        <v>7</v>
      </c>
      <c r="E79" s="569"/>
      <c r="F79" s="569"/>
      <c r="G79" s="569">
        <v>119.6</v>
      </c>
      <c r="H79" s="569">
        <v>59.1</v>
      </c>
      <c r="I79" s="574">
        <v>1.3</v>
      </c>
      <c r="J79" s="574">
        <v>0.3</v>
      </c>
      <c r="K79" s="574">
        <v>225.4</v>
      </c>
      <c r="L79" s="574">
        <v>0</v>
      </c>
      <c r="M79" s="574">
        <v>0</v>
      </c>
      <c r="N79" s="574">
        <v>0</v>
      </c>
      <c r="O79" s="574">
        <v>10</v>
      </c>
      <c r="P79" s="574">
        <v>0</v>
      </c>
      <c r="Q79" s="574">
        <v>0.6</v>
      </c>
      <c r="R79" s="569"/>
      <c r="S79" s="569"/>
      <c r="T79" s="569"/>
      <c r="U79" s="569"/>
      <c r="V79" s="569"/>
      <c r="W79" s="569"/>
      <c r="X79" s="569"/>
      <c r="Y79" s="569"/>
      <c r="Z79" s="569"/>
      <c r="AA79" s="569"/>
      <c r="AB79" s="569"/>
      <c r="AC79" s="569"/>
      <c r="AD79" s="569"/>
      <c r="AE79" s="569"/>
      <c r="AF79" s="569"/>
      <c r="AG79" s="569"/>
      <c r="AH79" s="569"/>
      <c r="AI79" s="569"/>
      <c r="AJ79" s="569"/>
      <c r="AK79" s="569"/>
      <c r="AL79" s="569"/>
      <c r="AM79" s="569"/>
      <c r="AN79" s="574">
        <v>7.3</v>
      </c>
      <c r="AO79">
        <v>78</v>
      </c>
      <c r="AP79" t="str">
        <f t="shared" si="14"/>
        <v>Case Keenum</v>
      </c>
      <c r="AQ79" t="str">
        <f t="shared" si="17"/>
        <v>HOU</v>
      </c>
      <c r="AR79" s="430">
        <f>IFERROR(
IF(AP79="",-100,
IF($BV$2&gt;0, INDEX(Beersheet!$A:$U,MATCH(AP79,INDEX(Beersheet!$A:$U,0,FFARawStatProjections!$BV$2),0),$BV$3)+$BN79,
INDEX($A79:$BM79,,$BV$12)*$BW$12+
INDEX($A79:$BM79,,$BV$15)*$BW$15+
INDEX($A79:$BM79,,$BV$16)*$BW$16+
INDEX($A79:$BM79,,$BV$17)*$BW$17+
INDEX($A79:$BM79,,$BV$18)*$BW$18+
INDEX($A79:$BM79,,$BV$19)*$BW$19+
INDEX($A79:$BM79,,$BV$20)*$BW$20+
INDEX($A79:$BM79,,$BV$21)*$BW$21+
INDEX($A79:$BM79,,$BV$22)*$BW$22+
INDEX($A79:$BM79,,$BV$23)*$BW$23+
INDEX($A79:$BM79,,$BV$25)*$BW$25+
INDEX($A79:$BM79,,$BV$26)*$BW$26+
INDEX($A79:$BM79,,$BV$27)*$BW$27+
$BN79)),
$BN79-100)</f>
        <v>8.9767800000000015</v>
      </c>
      <c r="AT79" t="str">
        <f t="shared" si="18"/>
        <v/>
      </c>
      <c r="AU79" t="str">
        <f t="shared" si="19"/>
        <v/>
      </c>
      <c r="AV79" s="430">
        <f>IFERROR(
IF(AT79="",-100,
IF($BV$2&gt;0, INDEX(Beersheet!$A:$U,MATCH(AT79,INDEX(Beersheet!$A:$U,0,FFARawStatProjections!$BV$2),0),$BV$3)+$BN79,
INDEX($A79:$BM79,,$BV$12)*$BW$12+
INDEX($A79:$BM79,,$BV$15)*$BW$15+
INDEX($A79:$BM79,,$BV$16)*$BW$16+
INDEX($A79:$BM79,,$BV$17)*$BW$17+
INDEX($A79:$BM79,,$BV$18)*$BW$18+
INDEX($A79:$BM79,,$BV$19)*$BW$19+
INDEX($A79:$BM79,,$BV$20)*$BW$20+
INDEX($A79:$BM79,,$BV$21)*$BW$21+
INDEX($A79:$BM79,,$BV$22)*$BW$22+
INDEX($A79:$BM79,,$BV$23)*$BW$23+
INDEX($A79:$BM79,,$BV$25)*$BW$25+
INDEX($A79:$BM79,,$BV$26)*$BW$26+
INDEX($A79:$BM79,,$BV$27)*$BW$27+
$BN79)),
$BN79-100)</f>
        <v>-100</v>
      </c>
      <c r="AX79" t="str">
        <f t="shared" si="20"/>
        <v/>
      </c>
      <c r="AY79" t="str">
        <f t="shared" si="21"/>
        <v/>
      </c>
      <c r="AZ79" s="430">
        <f>IFERROR(
IF(AX79="",-100,
IF($BV$2&gt;0, INDEX(Beersheet!$A:$U,MATCH(AX79,INDEX(Beersheet!$A:$U,0,FFARawStatProjections!$BV$2),0),$BV$3)+$BN79,
INDEX($A79:$BM79,,$BV$12)*$BW$12+
INDEX($A79:$BM79,,$BV$15)*$BW$15+
INDEX($A79:$BM79,,$BV$16)*$BW$16+
INDEX($A79:$BM79,,$BV$17)*$BW$17+
INDEX($A79:$BM79,,$BV$18)*$BW$18+
INDEX($A79:$BM79,,$BV$19)*$BW$19+
INDEX($A79:$BM79,,$BV$20)*$BW$20+
INDEX($A79:$BM79,,$BV$21)*$BW$21+
INDEX($A79:$BM79,,$BV$22)*$BW$22+
INDEX($A79:$BM79,,$BV$23)*$BW$23+
INDEX($A79:$BM79,,$BV$25)*$BW$25+
INDEX($A79:$BM79,,$BV$26)*$BW$26+
INDEX($A79:$BM79,,$BV$27)*$BW$27+
$BN79)),
$BN79-100)</f>
        <v>-100</v>
      </c>
      <c r="BB79" t="str">
        <f t="shared" si="22"/>
        <v/>
      </c>
      <c r="BC79" t="str">
        <f t="shared" si="15"/>
        <v/>
      </c>
      <c r="BD79" s="430">
        <f>IFERROR(
IF(BB79="",-100,
IF($BV$2&gt;0, INDEX(Beersheet!$A:$U,MATCH(BB79,INDEX(Beersheet!$A:$U,0,FFARawStatProjections!$BV$2),0),$BV$3)+$BN79,
INDEX($A79:$BM79,,$BV$12)*$BW$12+
INDEX($A79:$BM79,,$BV$15)*$BW$15+
INDEX($A79:$BM79,,$BV$16)*$BW$16+
INDEX($A79:$BM79,,$BV$17)*$BW$17+
INDEX($A79:$BM79,,$BV$18)*$BW$18+
INDEX($A79:$BM79,,$BV$19)*$BW$19+
INDEX($A79:$BM79,,$BV$20)*$BW$20+
INDEX($A79:$BM79,,$BV$21)*$BW$21+
INDEX($A79:$BM79,,$BV$22)*$BW$22+
INDEX($A79:$BM79,,$BV$23)*$BW$23+
INDEX($A79:$BM79,,$BV$25)*$BW$25+
INDEX($A79:$BM79,,$BV$26)*$BW$26+
INDEX($A79:$BM79,,$BV$27)*$BW$27+
$BN79)),
$BN79-100)</f>
        <v>-100</v>
      </c>
      <c r="BF79" t="str">
        <f t="shared" si="23"/>
        <v/>
      </c>
      <c r="BG79" t="str">
        <f t="shared" si="24"/>
        <v/>
      </c>
      <c r="BH79">
        <f t="shared" si="25"/>
        <v>0</v>
      </c>
      <c r="BJ79" t="str">
        <f t="shared" si="26"/>
        <v/>
      </c>
      <c r="BL79">
        <f t="shared" si="16"/>
        <v>0</v>
      </c>
      <c r="BN79">
        <v>7.7999999999999999E-4</v>
      </c>
      <c r="BS79" s="4" t="s">
        <v>156</v>
      </c>
    </row>
    <row r="80" spans="1:71" ht="15.75" thickBot="1" x14ac:dyDescent="0.3">
      <c r="A80" s="569" t="s">
        <v>2284</v>
      </c>
      <c r="B80" s="569" t="s">
        <v>159</v>
      </c>
      <c r="C80" s="569" t="s">
        <v>1</v>
      </c>
      <c r="D80" s="574">
        <v>7</v>
      </c>
      <c r="E80" s="569"/>
      <c r="F80" s="569"/>
      <c r="G80" s="569">
        <v>68.8</v>
      </c>
      <c r="H80" s="569">
        <v>40.200000000000003</v>
      </c>
      <c r="I80" s="574">
        <v>2.6</v>
      </c>
      <c r="J80" s="574">
        <v>0.1</v>
      </c>
      <c r="K80" s="574">
        <v>197.3</v>
      </c>
      <c r="L80" s="574">
        <v>0</v>
      </c>
      <c r="M80" s="574">
        <v>0</v>
      </c>
      <c r="N80" s="574">
        <v>0</v>
      </c>
      <c r="O80" s="574">
        <v>18.399999999999999</v>
      </c>
      <c r="P80" s="574">
        <v>0.1</v>
      </c>
      <c r="Q80" s="574">
        <v>19.2</v>
      </c>
      <c r="R80" s="569"/>
      <c r="S80" s="569"/>
      <c r="T80" s="569"/>
      <c r="U80" s="569"/>
      <c r="V80" s="569"/>
      <c r="W80" s="569"/>
      <c r="X80" s="569"/>
      <c r="Y80" s="569"/>
      <c r="Z80" s="569"/>
      <c r="AA80" s="569"/>
      <c r="AB80" s="569"/>
      <c r="AC80" s="569"/>
      <c r="AD80" s="569"/>
      <c r="AE80" s="569"/>
      <c r="AF80" s="569"/>
      <c r="AG80" s="569"/>
      <c r="AH80" s="569"/>
      <c r="AI80" s="569"/>
      <c r="AJ80" s="569"/>
      <c r="AK80" s="569"/>
      <c r="AL80" s="569"/>
      <c r="AM80" s="569"/>
      <c r="AN80" s="574">
        <v>6.9</v>
      </c>
      <c r="AO80">
        <v>79</v>
      </c>
      <c r="AP80" t="str">
        <f t="shared" si="14"/>
        <v>Matt Corral</v>
      </c>
      <c r="AQ80" t="str">
        <f t="shared" si="17"/>
        <v>CAR</v>
      </c>
      <c r="AR80" s="430">
        <f>IFERROR(
IF(AP80="",-100,
IF($BV$2&gt;0, INDEX(Beersheet!$A:$U,MATCH(AP80,INDEX(Beersheet!$A:$U,0,FFARawStatProjections!$BV$2),0),$BV$3)+$BN80,
INDEX($A80:$BM80,,$BV$12)*$BW$12+
INDEX($A80:$BM80,,$BV$15)*$BW$15+
INDEX($A80:$BM80,,$BV$16)*$BW$16+
INDEX($A80:$BM80,,$BV$17)*$BW$17+
INDEX($A80:$BM80,,$BV$18)*$BW$18+
INDEX($A80:$BM80,,$BV$19)*$BW$19+
INDEX($A80:$BM80,,$BV$20)*$BW$20+
INDEX($A80:$BM80,,$BV$21)*$BW$21+
INDEX($A80:$BM80,,$BV$22)*$BW$22+
INDEX($A80:$BM80,,$BV$23)*$BW$23+
INDEX($A80:$BM80,,$BV$25)*$BW$25+
INDEX($A80:$BM80,,$BV$26)*$BW$26+
INDEX($A80:$BM80,,$BV$27)*$BW$27+
$BN80)),
$BN80-100)</f>
        <v>8.21279</v>
      </c>
      <c r="AT80" t="str">
        <f t="shared" si="18"/>
        <v/>
      </c>
      <c r="AU80" t="str">
        <f t="shared" si="19"/>
        <v/>
      </c>
      <c r="AV80" s="430">
        <f>IFERROR(
IF(AT80="",-100,
IF($BV$2&gt;0, INDEX(Beersheet!$A:$U,MATCH(AT80,INDEX(Beersheet!$A:$U,0,FFARawStatProjections!$BV$2),0),$BV$3)+$BN80,
INDEX($A80:$BM80,,$BV$12)*$BW$12+
INDEX($A80:$BM80,,$BV$15)*$BW$15+
INDEX($A80:$BM80,,$BV$16)*$BW$16+
INDEX($A80:$BM80,,$BV$17)*$BW$17+
INDEX($A80:$BM80,,$BV$18)*$BW$18+
INDEX($A80:$BM80,,$BV$19)*$BW$19+
INDEX($A80:$BM80,,$BV$20)*$BW$20+
INDEX($A80:$BM80,,$BV$21)*$BW$21+
INDEX($A80:$BM80,,$BV$22)*$BW$22+
INDEX($A80:$BM80,,$BV$23)*$BW$23+
INDEX($A80:$BM80,,$BV$25)*$BW$25+
INDEX($A80:$BM80,,$BV$26)*$BW$26+
INDEX($A80:$BM80,,$BV$27)*$BW$27+
$BN80)),
$BN80-100)</f>
        <v>-100</v>
      </c>
      <c r="AX80" t="str">
        <f t="shared" si="20"/>
        <v/>
      </c>
      <c r="AY80" t="str">
        <f t="shared" si="21"/>
        <v/>
      </c>
      <c r="AZ80" s="430">
        <f>IFERROR(
IF(AX80="",-100,
IF($BV$2&gt;0, INDEX(Beersheet!$A:$U,MATCH(AX80,INDEX(Beersheet!$A:$U,0,FFARawStatProjections!$BV$2),0),$BV$3)+$BN80,
INDEX($A80:$BM80,,$BV$12)*$BW$12+
INDEX($A80:$BM80,,$BV$15)*$BW$15+
INDEX($A80:$BM80,,$BV$16)*$BW$16+
INDEX($A80:$BM80,,$BV$17)*$BW$17+
INDEX($A80:$BM80,,$BV$18)*$BW$18+
INDEX($A80:$BM80,,$BV$19)*$BW$19+
INDEX($A80:$BM80,,$BV$20)*$BW$20+
INDEX($A80:$BM80,,$BV$21)*$BW$21+
INDEX($A80:$BM80,,$BV$22)*$BW$22+
INDEX($A80:$BM80,,$BV$23)*$BW$23+
INDEX($A80:$BM80,,$BV$25)*$BW$25+
INDEX($A80:$BM80,,$BV$26)*$BW$26+
INDEX($A80:$BM80,,$BV$27)*$BW$27+
$BN80)),
$BN80-100)</f>
        <v>-100</v>
      </c>
      <c r="BB80" t="str">
        <f t="shared" si="22"/>
        <v/>
      </c>
      <c r="BC80" t="str">
        <f t="shared" si="15"/>
        <v/>
      </c>
      <c r="BD80" s="430">
        <f>IFERROR(
IF(BB80="",-100,
IF($BV$2&gt;0, INDEX(Beersheet!$A:$U,MATCH(BB80,INDEX(Beersheet!$A:$U,0,FFARawStatProjections!$BV$2),0),$BV$3)+$BN80,
INDEX($A80:$BM80,,$BV$12)*$BW$12+
INDEX($A80:$BM80,,$BV$15)*$BW$15+
INDEX($A80:$BM80,,$BV$16)*$BW$16+
INDEX($A80:$BM80,,$BV$17)*$BW$17+
INDEX($A80:$BM80,,$BV$18)*$BW$18+
INDEX($A80:$BM80,,$BV$19)*$BW$19+
INDEX($A80:$BM80,,$BV$20)*$BW$20+
INDEX($A80:$BM80,,$BV$21)*$BW$21+
INDEX($A80:$BM80,,$BV$22)*$BW$22+
INDEX($A80:$BM80,,$BV$23)*$BW$23+
INDEX($A80:$BM80,,$BV$25)*$BW$25+
INDEX($A80:$BM80,,$BV$26)*$BW$26+
INDEX($A80:$BM80,,$BV$27)*$BW$27+
$BN80)),
$BN80-100)</f>
        <v>-100</v>
      </c>
      <c r="BF80" t="str">
        <f t="shared" si="23"/>
        <v/>
      </c>
      <c r="BG80" t="str">
        <f t="shared" si="24"/>
        <v/>
      </c>
      <c r="BH80">
        <f t="shared" si="25"/>
        <v>0</v>
      </c>
      <c r="BJ80" t="str">
        <f t="shared" si="26"/>
        <v/>
      </c>
      <c r="BL80">
        <f t="shared" si="16"/>
        <v>0</v>
      </c>
      <c r="BN80">
        <v>7.9000000000000001E-4</v>
      </c>
      <c r="BS80" s="4" t="s">
        <v>2127</v>
      </c>
    </row>
    <row r="81" spans="1:71" ht="15.75" thickBot="1" x14ac:dyDescent="0.3">
      <c r="A81" s="569" t="s">
        <v>2150</v>
      </c>
      <c r="B81" s="569" t="s">
        <v>147</v>
      </c>
      <c r="C81" s="569" t="s">
        <v>1</v>
      </c>
      <c r="D81" s="574">
        <v>6</v>
      </c>
      <c r="E81" s="569"/>
      <c r="F81" s="569"/>
      <c r="G81" s="569">
        <v>31</v>
      </c>
      <c r="H81" s="569">
        <v>21.3</v>
      </c>
      <c r="I81" s="574">
        <v>0.9</v>
      </c>
      <c r="J81" s="574">
        <v>0.5</v>
      </c>
      <c r="K81" s="574">
        <v>74.599999999999994</v>
      </c>
      <c r="L81" s="574">
        <v>0</v>
      </c>
      <c r="M81" s="574">
        <v>0</v>
      </c>
      <c r="N81" s="574">
        <v>0</v>
      </c>
      <c r="O81" s="574">
        <v>17</v>
      </c>
      <c r="P81" s="574">
        <v>0</v>
      </c>
      <c r="Q81" s="574">
        <v>12.3</v>
      </c>
      <c r="R81" s="569"/>
      <c r="S81" s="569"/>
      <c r="T81" s="569"/>
      <c r="U81" s="569"/>
      <c r="V81" s="569"/>
      <c r="W81" s="569"/>
      <c r="X81" s="569"/>
      <c r="Y81" s="569"/>
      <c r="Z81" s="569"/>
      <c r="AA81" s="569"/>
      <c r="AB81" s="569"/>
      <c r="AC81" s="569"/>
      <c r="AD81" s="569"/>
      <c r="AE81" s="569"/>
      <c r="AF81" s="569"/>
      <c r="AG81" s="569"/>
      <c r="AH81" s="569"/>
      <c r="AI81" s="569"/>
      <c r="AJ81" s="569"/>
      <c r="AK81" s="569"/>
      <c r="AL81" s="569"/>
      <c r="AM81" s="569"/>
      <c r="AN81" s="574">
        <v>5.5</v>
      </c>
      <c r="AO81">
        <v>80</v>
      </c>
      <c r="AP81" t="str">
        <f t="shared" si="14"/>
        <v>Mason Rudolph</v>
      </c>
      <c r="AQ81" t="str">
        <f t="shared" si="17"/>
        <v>PIT</v>
      </c>
      <c r="AR81" s="430">
        <f>IFERROR(
IF(AP81="",-100,
IF($BV$2&gt;0, INDEX(Beersheet!$A:$U,MATCH(AP81,INDEX(Beersheet!$A:$U,0,FFARawStatProjections!$BV$2),0),$BV$3)+$BN81,
INDEX($A81:$BM81,,$BV$12)*$BW$12+
INDEX($A81:$BM81,,$BV$15)*$BW$15+
INDEX($A81:$BM81,,$BV$16)*$BW$16+
INDEX($A81:$BM81,,$BV$17)*$BW$17+
INDEX($A81:$BM81,,$BV$18)*$BW$18+
INDEX($A81:$BM81,,$BV$19)*$BW$19+
INDEX($A81:$BM81,,$BV$20)*$BW$20+
INDEX($A81:$BM81,,$BV$21)*$BW$21+
INDEX($A81:$BM81,,$BV$22)*$BW$22+
INDEX($A81:$BM81,,$BV$23)*$BW$23+
INDEX($A81:$BM81,,$BV$25)*$BW$25+
INDEX($A81:$BM81,,$BV$26)*$BW$26+
INDEX($A81:$BM81,,$BV$27)*$BW$27+
$BN81)),
$BN81-100)</f>
        <v>5.3148</v>
      </c>
      <c r="AT81" t="str">
        <f t="shared" si="18"/>
        <v/>
      </c>
      <c r="AU81" t="str">
        <f t="shared" si="19"/>
        <v/>
      </c>
      <c r="AV81" s="430">
        <f>IFERROR(
IF(AT81="",-100,
IF($BV$2&gt;0, INDEX(Beersheet!$A:$U,MATCH(AT81,INDEX(Beersheet!$A:$U,0,FFARawStatProjections!$BV$2),0),$BV$3)+$BN81,
INDEX($A81:$BM81,,$BV$12)*$BW$12+
INDEX($A81:$BM81,,$BV$15)*$BW$15+
INDEX($A81:$BM81,,$BV$16)*$BW$16+
INDEX($A81:$BM81,,$BV$17)*$BW$17+
INDEX($A81:$BM81,,$BV$18)*$BW$18+
INDEX($A81:$BM81,,$BV$19)*$BW$19+
INDEX($A81:$BM81,,$BV$20)*$BW$20+
INDEX($A81:$BM81,,$BV$21)*$BW$21+
INDEX($A81:$BM81,,$BV$22)*$BW$22+
INDEX($A81:$BM81,,$BV$23)*$BW$23+
INDEX($A81:$BM81,,$BV$25)*$BW$25+
INDEX($A81:$BM81,,$BV$26)*$BW$26+
INDEX($A81:$BM81,,$BV$27)*$BW$27+
$BN81)),
$BN81-100)</f>
        <v>-100</v>
      </c>
      <c r="AX81" t="str">
        <f t="shared" si="20"/>
        <v/>
      </c>
      <c r="AY81" t="str">
        <f t="shared" si="21"/>
        <v/>
      </c>
      <c r="AZ81" s="430">
        <f>IFERROR(
IF(AX81="",-100,
IF($BV$2&gt;0, INDEX(Beersheet!$A:$U,MATCH(AX81,INDEX(Beersheet!$A:$U,0,FFARawStatProjections!$BV$2),0),$BV$3)+$BN81,
INDEX($A81:$BM81,,$BV$12)*$BW$12+
INDEX($A81:$BM81,,$BV$15)*$BW$15+
INDEX($A81:$BM81,,$BV$16)*$BW$16+
INDEX($A81:$BM81,,$BV$17)*$BW$17+
INDEX($A81:$BM81,,$BV$18)*$BW$18+
INDEX($A81:$BM81,,$BV$19)*$BW$19+
INDEX($A81:$BM81,,$BV$20)*$BW$20+
INDEX($A81:$BM81,,$BV$21)*$BW$21+
INDEX($A81:$BM81,,$BV$22)*$BW$22+
INDEX($A81:$BM81,,$BV$23)*$BW$23+
INDEX($A81:$BM81,,$BV$25)*$BW$25+
INDEX($A81:$BM81,,$BV$26)*$BW$26+
INDEX($A81:$BM81,,$BV$27)*$BW$27+
$BN81)),
$BN81-100)</f>
        <v>-100</v>
      </c>
      <c r="BB81" t="str">
        <f t="shared" si="22"/>
        <v/>
      </c>
      <c r="BC81" t="str">
        <f t="shared" si="15"/>
        <v/>
      </c>
      <c r="BD81" s="430">
        <f>IFERROR(
IF(BB81="",-100,
IF($BV$2&gt;0, INDEX(Beersheet!$A:$U,MATCH(BB81,INDEX(Beersheet!$A:$U,0,FFARawStatProjections!$BV$2),0),$BV$3)+$BN81,
INDEX($A81:$BM81,,$BV$12)*$BW$12+
INDEX($A81:$BM81,,$BV$15)*$BW$15+
INDEX($A81:$BM81,,$BV$16)*$BW$16+
INDEX($A81:$BM81,,$BV$17)*$BW$17+
INDEX($A81:$BM81,,$BV$18)*$BW$18+
INDEX($A81:$BM81,,$BV$19)*$BW$19+
INDEX($A81:$BM81,,$BV$20)*$BW$20+
INDEX($A81:$BM81,,$BV$21)*$BW$21+
INDEX($A81:$BM81,,$BV$22)*$BW$22+
INDEX($A81:$BM81,,$BV$23)*$BW$23+
INDEX($A81:$BM81,,$BV$25)*$BW$25+
INDEX($A81:$BM81,,$BV$26)*$BW$26+
INDEX($A81:$BM81,,$BV$27)*$BW$27+
$BN81)),
$BN81-100)</f>
        <v>-100</v>
      </c>
      <c r="BF81" t="str">
        <f t="shared" si="23"/>
        <v/>
      </c>
      <c r="BG81" t="str">
        <f t="shared" si="24"/>
        <v/>
      </c>
      <c r="BH81">
        <f t="shared" si="25"/>
        <v>0</v>
      </c>
      <c r="BJ81" t="str">
        <f t="shared" si="26"/>
        <v/>
      </c>
      <c r="BL81">
        <f t="shared" si="16"/>
        <v>0</v>
      </c>
      <c r="BN81">
        <v>8.0000000000000004E-4</v>
      </c>
      <c r="BS81" s="4" t="s">
        <v>2518</v>
      </c>
    </row>
    <row r="82" spans="1:71" ht="15.75" thickBot="1" x14ac:dyDescent="0.3">
      <c r="A82" s="569" t="s">
        <v>2477</v>
      </c>
      <c r="B82" s="569" t="s">
        <v>143</v>
      </c>
      <c r="C82" s="569" t="s">
        <v>1</v>
      </c>
      <c r="D82" s="574">
        <v>11</v>
      </c>
      <c r="E82" s="569"/>
      <c r="F82" s="569"/>
      <c r="G82" s="569">
        <v>16</v>
      </c>
      <c r="H82" s="569">
        <v>9.9</v>
      </c>
      <c r="I82" s="574">
        <v>2.2999999999999998</v>
      </c>
      <c r="J82" s="574">
        <v>0.5</v>
      </c>
      <c r="K82" s="574">
        <v>102.2</v>
      </c>
      <c r="L82" s="574">
        <v>0</v>
      </c>
      <c r="M82" s="574">
        <v>0</v>
      </c>
      <c r="N82" s="574">
        <v>0</v>
      </c>
      <c r="O82" s="574">
        <v>10.9</v>
      </c>
      <c r="P82" s="574">
        <v>0.1</v>
      </c>
      <c r="Q82" s="574">
        <v>22.4</v>
      </c>
      <c r="R82" s="569"/>
      <c r="S82" s="569"/>
      <c r="T82" s="569"/>
      <c r="U82" s="569"/>
      <c r="V82" s="569"/>
      <c r="W82" s="569"/>
      <c r="X82" s="569"/>
      <c r="Y82" s="569"/>
      <c r="Z82" s="569"/>
      <c r="AA82" s="569"/>
      <c r="AB82" s="569"/>
      <c r="AC82" s="569"/>
      <c r="AD82" s="569"/>
      <c r="AE82" s="569"/>
      <c r="AF82" s="569"/>
      <c r="AG82" s="569"/>
      <c r="AH82" s="569"/>
      <c r="AI82" s="569"/>
      <c r="AJ82" s="569"/>
      <c r="AK82" s="569"/>
      <c r="AL82" s="569"/>
      <c r="AM82" s="569"/>
      <c r="AN82" s="574">
        <v>5.3</v>
      </c>
      <c r="AO82">
        <v>81</v>
      </c>
      <c r="AP82" t="str">
        <f t="shared" si="14"/>
        <v>Jake Haener</v>
      </c>
      <c r="AQ82" t="str">
        <f t="shared" si="17"/>
        <v>NO</v>
      </c>
      <c r="AR82" s="430">
        <f>IFERROR(
IF(AP82="",-100,
IF($BV$2&gt;0, INDEX(Beersheet!$A:$U,MATCH(AP82,INDEX(Beersheet!$A:$U,0,FFARawStatProjections!$BV$2),0),$BV$3)+$BN82,
INDEX($A82:$BM82,,$BV$12)*$BW$12+
INDEX($A82:$BM82,,$BV$15)*$BW$15+
INDEX($A82:$BM82,,$BV$16)*$BW$16+
INDEX($A82:$BM82,,$BV$17)*$BW$17+
INDEX($A82:$BM82,,$BV$18)*$BW$18+
INDEX($A82:$BM82,,$BV$19)*$BW$19+
INDEX($A82:$BM82,,$BV$20)*$BW$20+
INDEX($A82:$BM82,,$BV$21)*$BW$21+
INDEX($A82:$BM82,,$BV$22)*$BW$22+
INDEX($A82:$BM82,,$BV$23)*$BW$23+
INDEX($A82:$BM82,,$BV$25)*$BW$25+
INDEX($A82:$BM82,,$BV$26)*$BW$26+
INDEX($A82:$BM82,,$BV$27)*$BW$27+
$BN82)),
$BN82-100)</f>
        <v>6.6288100000000005</v>
      </c>
      <c r="AT82" t="str">
        <f t="shared" si="18"/>
        <v/>
      </c>
      <c r="AU82" t="str">
        <f t="shared" si="19"/>
        <v/>
      </c>
      <c r="AV82" s="430">
        <f>IFERROR(
IF(AT82="",-100,
IF($BV$2&gt;0, INDEX(Beersheet!$A:$U,MATCH(AT82,INDEX(Beersheet!$A:$U,0,FFARawStatProjections!$BV$2),0),$BV$3)+$BN82,
INDEX($A82:$BM82,,$BV$12)*$BW$12+
INDEX($A82:$BM82,,$BV$15)*$BW$15+
INDEX($A82:$BM82,,$BV$16)*$BW$16+
INDEX($A82:$BM82,,$BV$17)*$BW$17+
INDEX($A82:$BM82,,$BV$18)*$BW$18+
INDEX($A82:$BM82,,$BV$19)*$BW$19+
INDEX($A82:$BM82,,$BV$20)*$BW$20+
INDEX($A82:$BM82,,$BV$21)*$BW$21+
INDEX($A82:$BM82,,$BV$22)*$BW$22+
INDEX($A82:$BM82,,$BV$23)*$BW$23+
INDEX($A82:$BM82,,$BV$25)*$BW$25+
INDEX($A82:$BM82,,$BV$26)*$BW$26+
INDEX($A82:$BM82,,$BV$27)*$BW$27+
$BN82)),
$BN82-100)</f>
        <v>-100</v>
      </c>
      <c r="AX82" t="str">
        <f t="shared" si="20"/>
        <v/>
      </c>
      <c r="AY82" t="str">
        <f t="shared" si="21"/>
        <v/>
      </c>
      <c r="AZ82" s="430">
        <f>IFERROR(
IF(AX82="",-100,
IF($BV$2&gt;0, INDEX(Beersheet!$A:$U,MATCH(AX82,INDEX(Beersheet!$A:$U,0,FFARawStatProjections!$BV$2),0),$BV$3)+$BN82,
INDEX($A82:$BM82,,$BV$12)*$BW$12+
INDEX($A82:$BM82,,$BV$15)*$BW$15+
INDEX($A82:$BM82,,$BV$16)*$BW$16+
INDEX($A82:$BM82,,$BV$17)*$BW$17+
INDEX($A82:$BM82,,$BV$18)*$BW$18+
INDEX($A82:$BM82,,$BV$19)*$BW$19+
INDEX($A82:$BM82,,$BV$20)*$BW$20+
INDEX($A82:$BM82,,$BV$21)*$BW$21+
INDEX($A82:$BM82,,$BV$22)*$BW$22+
INDEX($A82:$BM82,,$BV$23)*$BW$23+
INDEX($A82:$BM82,,$BV$25)*$BW$25+
INDEX($A82:$BM82,,$BV$26)*$BW$26+
INDEX($A82:$BM82,,$BV$27)*$BW$27+
$BN82)),
$BN82-100)</f>
        <v>-100</v>
      </c>
      <c r="BB82" t="str">
        <f t="shared" si="22"/>
        <v/>
      </c>
      <c r="BC82" t="str">
        <f t="shared" si="15"/>
        <v/>
      </c>
      <c r="BD82" s="430">
        <f>IFERROR(
IF(BB82="",-100,
IF($BV$2&gt;0, INDEX(Beersheet!$A:$U,MATCH(BB82,INDEX(Beersheet!$A:$U,0,FFARawStatProjections!$BV$2),0),$BV$3)+$BN82,
INDEX($A82:$BM82,,$BV$12)*$BW$12+
INDEX($A82:$BM82,,$BV$15)*$BW$15+
INDEX($A82:$BM82,,$BV$16)*$BW$16+
INDEX($A82:$BM82,,$BV$17)*$BW$17+
INDEX($A82:$BM82,,$BV$18)*$BW$18+
INDEX($A82:$BM82,,$BV$19)*$BW$19+
INDEX($A82:$BM82,,$BV$20)*$BW$20+
INDEX($A82:$BM82,,$BV$21)*$BW$21+
INDEX($A82:$BM82,,$BV$22)*$BW$22+
INDEX($A82:$BM82,,$BV$23)*$BW$23+
INDEX($A82:$BM82,,$BV$25)*$BW$25+
INDEX($A82:$BM82,,$BV$26)*$BW$26+
INDEX($A82:$BM82,,$BV$27)*$BW$27+
$BN82)),
$BN82-100)</f>
        <v>-100</v>
      </c>
      <c r="BF82" t="str">
        <f t="shared" si="23"/>
        <v/>
      </c>
      <c r="BG82" t="str">
        <f t="shared" si="24"/>
        <v/>
      </c>
      <c r="BH82">
        <f t="shared" si="25"/>
        <v>0</v>
      </c>
      <c r="BJ82" t="str">
        <f t="shared" si="26"/>
        <v/>
      </c>
      <c r="BL82">
        <f t="shared" si="16"/>
        <v>0</v>
      </c>
      <c r="BN82">
        <v>8.0999999999999996E-4</v>
      </c>
      <c r="BS82" s="4" t="s">
        <v>2354</v>
      </c>
    </row>
    <row r="83" spans="1:71" ht="15.75" thickBot="1" x14ac:dyDescent="0.3">
      <c r="A83" s="569" t="s">
        <v>2413</v>
      </c>
      <c r="B83" s="569" t="s">
        <v>136</v>
      </c>
      <c r="C83" s="569" t="s">
        <v>1</v>
      </c>
      <c r="D83" s="574">
        <v>10</v>
      </c>
      <c r="E83" s="569"/>
      <c r="F83" s="569"/>
      <c r="G83" s="569">
        <v>0</v>
      </c>
      <c r="H83" s="569">
        <v>0</v>
      </c>
      <c r="I83" s="574">
        <v>0.2</v>
      </c>
      <c r="J83" s="574">
        <v>0.1</v>
      </c>
      <c r="K83" s="574">
        <v>34</v>
      </c>
      <c r="L83" s="574">
        <v>0</v>
      </c>
      <c r="M83" s="574">
        <v>0</v>
      </c>
      <c r="N83" s="574">
        <v>0</v>
      </c>
      <c r="O83" s="574">
        <v>0</v>
      </c>
      <c r="P83" s="574">
        <v>0</v>
      </c>
      <c r="Q83" s="574">
        <v>0.2</v>
      </c>
      <c r="R83" s="569"/>
      <c r="S83" s="569"/>
      <c r="T83" s="569"/>
      <c r="U83" s="569"/>
      <c r="V83" s="569"/>
      <c r="W83" s="569"/>
      <c r="X83" s="569"/>
      <c r="Y83" s="569"/>
      <c r="Z83" s="569"/>
      <c r="AA83" s="569"/>
      <c r="AB83" s="569"/>
      <c r="AC83" s="569"/>
      <c r="AD83" s="569"/>
      <c r="AE83" s="569"/>
      <c r="AF83" s="569"/>
      <c r="AG83" s="569"/>
      <c r="AH83" s="569"/>
      <c r="AI83" s="569"/>
      <c r="AJ83" s="569"/>
      <c r="AK83" s="569"/>
      <c r="AL83" s="569"/>
      <c r="AM83" s="569"/>
      <c r="AN83" s="574">
        <v>1.7</v>
      </c>
      <c r="AO83">
        <v>82</v>
      </c>
      <c r="AP83" t="str">
        <f t="shared" si="14"/>
        <v>Shane Buechele</v>
      </c>
      <c r="AQ83" t="str">
        <f t="shared" si="17"/>
        <v>KC</v>
      </c>
      <c r="AR83" s="430">
        <f>IFERROR(
IF(AP83="",-100,
IF($BV$2&gt;0, INDEX(Beersheet!$A:$U,MATCH(AP83,INDEX(Beersheet!$A:$U,0,FFARawStatProjections!$BV$2),0),$BV$3)+$BN83,
INDEX($A83:$BM83,,$BV$12)*$BW$12+
INDEX($A83:$BM83,,$BV$15)*$BW$15+
INDEX($A83:$BM83,,$BV$16)*$BW$16+
INDEX($A83:$BM83,,$BV$17)*$BW$17+
INDEX($A83:$BM83,,$BV$18)*$BW$18+
INDEX($A83:$BM83,,$BV$19)*$BW$19+
INDEX($A83:$BM83,,$BV$20)*$BW$20+
INDEX($A83:$BM83,,$BV$21)*$BW$21+
INDEX($A83:$BM83,,$BV$22)*$BW$22+
INDEX($A83:$BM83,,$BV$23)*$BW$23+
INDEX($A83:$BM83,,$BV$25)*$BW$25+
INDEX($A83:$BM83,,$BV$26)*$BW$26+
INDEX($A83:$BM83,,$BV$27)*$BW$27+
$BN83)),
$BN83-100)</f>
        <v>1.5808200000000001</v>
      </c>
      <c r="AT83" t="str">
        <f t="shared" si="18"/>
        <v/>
      </c>
      <c r="AU83" t="str">
        <f t="shared" si="19"/>
        <v/>
      </c>
      <c r="AV83" s="430">
        <f>IFERROR(
IF(AT83="",-100,
IF($BV$2&gt;0, INDEX(Beersheet!$A:$U,MATCH(AT83,INDEX(Beersheet!$A:$U,0,FFARawStatProjections!$BV$2),0),$BV$3)+$BN83,
INDEX($A83:$BM83,,$BV$12)*$BW$12+
INDEX($A83:$BM83,,$BV$15)*$BW$15+
INDEX($A83:$BM83,,$BV$16)*$BW$16+
INDEX($A83:$BM83,,$BV$17)*$BW$17+
INDEX($A83:$BM83,,$BV$18)*$BW$18+
INDEX($A83:$BM83,,$BV$19)*$BW$19+
INDEX($A83:$BM83,,$BV$20)*$BW$20+
INDEX($A83:$BM83,,$BV$21)*$BW$21+
INDEX($A83:$BM83,,$BV$22)*$BW$22+
INDEX($A83:$BM83,,$BV$23)*$BW$23+
INDEX($A83:$BM83,,$BV$25)*$BW$25+
INDEX($A83:$BM83,,$BV$26)*$BW$26+
INDEX($A83:$BM83,,$BV$27)*$BW$27+
$BN83)),
$BN83-100)</f>
        <v>-100</v>
      </c>
      <c r="AX83" t="str">
        <f t="shared" si="20"/>
        <v/>
      </c>
      <c r="AY83" t="str">
        <f t="shared" si="21"/>
        <v/>
      </c>
      <c r="AZ83" s="430">
        <f>IFERROR(
IF(AX83="",-100,
IF($BV$2&gt;0, INDEX(Beersheet!$A:$U,MATCH(AX83,INDEX(Beersheet!$A:$U,0,FFARawStatProjections!$BV$2),0),$BV$3)+$BN83,
INDEX($A83:$BM83,,$BV$12)*$BW$12+
INDEX($A83:$BM83,,$BV$15)*$BW$15+
INDEX($A83:$BM83,,$BV$16)*$BW$16+
INDEX($A83:$BM83,,$BV$17)*$BW$17+
INDEX($A83:$BM83,,$BV$18)*$BW$18+
INDEX($A83:$BM83,,$BV$19)*$BW$19+
INDEX($A83:$BM83,,$BV$20)*$BW$20+
INDEX($A83:$BM83,,$BV$21)*$BW$21+
INDEX($A83:$BM83,,$BV$22)*$BW$22+
INDEX($A83:$BM83,,$BV$23)*$BW$23+
INDEX($A83:$BM83,,$BV$25)*$BW$25+
INDEX($A83:$BM83,,$BV$26)*$BW$26+
INDEX($A83:$BM83,,$BV$27)*$BW$27+
$BN83)),
$BN83-100)</f>
        <v>-100</v>
      </c>
      <c r="BB83" t="str">
        <f t="shared" si="22"/>
        <v/>
      </c>
      <c r="BC83" t="str">
        <f t="shared" si="15"/>
        <v/>
      </c>
      <c r="BD83" s="430">
        <f>IFERROR(
IF(BB83="",-100,
IF($BV$2&gt;0, INDEX(Beersheet!$A:$U,MATCH(BB83,INDEX(Beersheet!$A:$U,0,FFARawStatProjections!$BV$2),0),$BV$3)+$BN83,
INDEX($A83:$BM83,,$BV$12)*$BW$12+
INDEX($A83:$BM83,,$BV$15)*$BW$15+
INDEX($A83:$BM83,,$BV$16)*$BW$16+
INDEX($A83:$BM83,,$BV$17)*$BW$17+
INDEX($A83:$BM83,,$BV$18)*$BW$18+
INDEX($A83:$BM83,,$BV$19)*$BW$19+
INDEX($A83:$BM83,,$BV$20)*$BW$20+
INDEX($A83:$BM83,,$BV$21)*$BW$21+
INDEX($A83:$BM83,,$BV$22)*$BW$22+
INDEX($A83:$BM83,,$BV$23)*$BW$23+
INDEX($A83:$BM83,,$BV$25)*$BW$25+
INDEX($A83:$BM83,,$BV$26)*$BW$26+
INDEX($A83:$BM83,,$BV$27)*$BW$27+
$BN83)),
$BN83-100)</f>
        <v>-100</v>
      </c>
      <c r="BF83" t="str">
        <f t="shared" si="23"/>
        <v/>
      </c>
      <c r="BG83" t="str">
        <f t="shared" si="24"/>
        <v/>
      </c>
      <c r="BH83">
        <f t="shared" si="25"/>
        <v>0</v>
      </c>
      <c r="BJ83" t="str">
        <f t="shared" si="26"/>
        <v/>
      </c>
      <c r="BL83">
        <f t="shared" si="16"/>
        <v>0</v>
      </c>
      <c r="BN83">
        <v>8.1999999999999998E-4</v>
      </c>
      <c r="BS83" s="4" t="s">
        <v>2382</v>
      </c>
    </row>
    <row r="84" spans="1:71" ht="15.75" thickBot="1" x14ac:dyDescent="0.3">
      <c r="A84" s="569" t="s">
        <v>2166</v>
      </c>
      <c r="B84" s="569" t="s">
        <v>142</v>
      </c>
      <c r="C84" s="569" t="s">
        <v>1</v>
      </c>
      <c r="D84" s="574">
        <v>9</v>
      </c>
      <c r="E84" s="569"/>
      <c r="F84" s="569"/>
      <c r="G84" s="569">
        <v>0</v>
      </c>
      <c r="H84" s="569">
        <v>0</v>
      </c>
      <c r="I84" s="574">
        <v>0.1</v>
      </c>
      <c r="J84" s="574">
        <v>0.1</v>
      </c>
      <c r="K84" s="574">
        <v>26.3</v>
      </c>
      <c r="L84" s="574">
        <v>0</v>
      </c>
      <c r="M84" s="574">
        <v>0</v>
      </c>
      <c r="N84" s="574">
        <v>0</v>
      </c>
      <c r="O84" s="574">
        <v>0</v>
      </c>
      <c r="P84" s="574">
        <v>0</v>
      </c>
      <c r="Q84" s="574">
        <v>1.7</v>
      </c>
      <c r="R84" s="569"/>
      <c r="S84" s="569"/>
      <c r="T84" s="569"/>
      <c r="U84" s="569"/>
      <c r="V84" s="569"/>
      <c r="W84" s="569"/>
      <c r="X84" s="569"/>
      <c r="Y84" s="569"/>
      <c r="Z84" s="569"/>
      <c r="AA84" s="569"/>
      <c r="AB84" s="569"/>
      <c r="AC84" s="569"/>
      <c r="AD84" s="569"/>
      <c r="AE84" s="569"/>
      <c r="AF84" s="569"/>
      <c r="AG84" s="569"/>
      <c r="AH84" s="569"/>
      <c r="AI84" s="569"/>
      <c r="AJ84" s="569"/>
      <c r="AK84" s="569"/>
      <c r="AL84" s="569"/>
      <c r="AM84" s="569"/>
      <c r="AN84" s="574">
        <v>1.5</v>
      </c>
      <c r="AO84">
        <v>83</v>
      </c>
      <c r="AP84" t="str">
        <f t="shared" ref="AP84:AP147" si="27">IF($C84="QB",A84,"")</f>
        <v>Nate Sudfeld</v>
      </c>
      <c r="AQ84" t="str">
        <f t="shared" si="17"/>
        <v>DET</v>
      </c>
      <c r="AR84" s="430">
        <f>IFERROR(
IF(AP84="",-100,
IF($BV$2&gt;0, INDEX(Beersheet!$A:$U,MATCH(AP84,INDEX(Beersheet!$A:$U,0,FFARawStatProjections!$BV$2),0),$BV$3)+$BN84,
INDEX($A84:$BM84,,$BV$12)*$BW$12+
INDEX($A84:$BM84,,$BV$15)*$BW$15+
INDEX($A84:$BM84,,$BV$16)*$BW$16+
INDEX($A84:$BM84,,$BV$17)*$BW$17+
INDEX($A84:$BM84,,$BV$18)*$BW$18+
INDEX($A84:$BM84,,$BV$19)*$BW$19+
INDEX($A84:$BM84,,$BV$20)*$BW$20+
INDEX($A84:$BM84,,$BV$21)*$BW$21+
INDEX($A84:$BM84,,$BV$22)*$BW$22+
INDEX($A84:$BM84,,$BV$23)*$BW$23+
INDEX($A84:$BM84,,$BV$25)*$BW$25+
INDEX($A84:$BM84,,$BV$26)*$BW$26+
INDEX($A84:$BM84,,$BV$27)*$BW$27+
$BN84)),
$BN84-100)</f>
        <v>1.5228300000000001</v>
      </c>
      <c r="AT84" t="str">
        <f t="shared" si="18"/>
        <v/>
      </c>
      <c r="AU84" t="str">
        <f t="shared" si="19"/>
        <v/>
      </c>
      <c r="AV84" s="430">
        <f>IFERROR(
IF(AT84="",-100,
IF($BV$2&gt;0, INDEX(Beersheet!$A:$U,MATCH(AT84,INDEX(Beersheet!$A:$U,0,FFARawStatProjections!$BV$2),0),$BV$3)+$BN84,
INDEX($A84:$BM84,,$BV$12)*$BW$12+
INDEX($A84:$BM84,,$BV$15)*$BW$15+
INDEX($A84:$BM84,,$BV$16)*$BW$16+
INDEX($A84:$BM84,,$BV$17)*$BW$17+
INDEX($A84:$BM84,,$BV$18)*$BW$18+
INDEX($A84:$BM84,,$BV$19)*$BW$19+
INDEX($A84:$BM84,,$BV$20)*$BW$20+
INDEX($A84:$BM84,,$BV$21)*$BW$21+
INDEX($A84:$BM84,,$BV$22)*$BW$22+
INDEX($A84:$BM84,,$BV$23)*$BW$23+
INDEX($A84:$BM84,,$BV$25)*$BW$25+
INDEX($A84:$BM84,,$BV$26)*$BW$26+
INDEX($A84:$BM84,,$BV$27)*$BW$27+
$BN84)),
$BN84-100)</f>
        <v>-100</v>
      </c>
      <c r="AX84" t="str">
        <f t="shared" si="20"/>
        <v/>
      </c>
      <c r="AY84" t="str">
        <f t="shared" si="21"/>
        <v/>
      </c>
      <c r="AZ84" s="430">
        <f>IFERROR(
IF(AX84="",-100,
IF($BV$2&gt;0, INDEX(Beersheet!$A:$U,MATCH(AX84,INDEX(Beersheet!$A:$U,0,FFARawStatProjections!$BV$2),0),$BV$3)+$BN84,
INDEX($A84:$BM84,,$BV$12)*$BW$12+
INDEX($A84:$BM84,,$BV$15)*$BW$15+
INDEX($A84:$BM84,,$BV$16)*$BW$16+
INDEX($A84:$BM84,,$BV$17)*$BW$17+
INDEX($A84:$BM84,,$BV$18)*$BW$18+
INDEX($A84:$BM84,,$BV$19)*$BW$19+
INDEX($A84:$BM84,,$BV$20)*$BW$20+
INDEX($A84:$BM84,,$BV$21)*$BW$21+
INDEX($A84:$BM84,,$BV$22)*$BW$22+
INDEX($A84:$BM84,,$BV$23)*$BW$23+
INDEX($A84:$BM84,,$BV$25)*$BW$25+
INDEX($A84:$BM84,,$BV$26)*$BW$26+
INDEX($A84:$BM84,,$BV$27)*$BW$27+
$BN84)),
$BN84-100)</f>
        <v>-100</v>
      </c>
      <c r="BB84" t="str">
        <f t="shared" si="22"/>
        <v/>
      </c>
      <c r="BC84" t="str">
        <f t="shared" si="15"/>
        <v/>
      </c>
      <c r="BD84" s="430">
        <f>IFERROR(
IF(BB84="",-100,
IF($BV$2&gt;0, INDEX(Beersheet!$A:$U,MATCH(BB84,INDEX(Beersheet!$A:$U,0,FFARawStatProjections!$BV$2),0),$BV$3)+$BN84,
INDEX($A84:$BM84,,$BV$12)*$BW$12+
INDEX($A84:$BM84,,$BV$15)*$BW$15+
INDEX($A84:$BM84,,$BV$16)*$BW$16+
INDEX($A84:$BM84,,$BV$17)*$BW$17+
INDEX($A84:$BM84,,$BV$18)*$BW$18+
INDEX($A84:$BM84,,$BV$19)*$BW$19+
INDEX($A84:$BM84,,$BV$20)*$BW$20+
INDEX($A84:$BM84,,$BV$21)*$BW$21+
INDEX($A84:$BM84,,$BV$22)*$BW$22+
INDEX($A84:$BM84,,$BV$23)*$BW$23+
INDEX($A84:$BM84,,$BV$25)*$BW$25+
INDEX($A84:$BM84,,$BV$26)*$BW$26+
INDEX($A84:$BM84,,$BV$27)*$BW$27+
$BN84)),
$BN84-100)</f>
        <v>-100</v>
      </c>
      <c r="BF84" t="str">
        <f t="shared" si="23"/>
        <v/>
      </c>
      <c r="BG84" t="str">
        <f t="shared" si="24"/>
        <v/>
      </c>
      <c r="BH84">
        <f t="shared" si="25"/>
        <v>0</v>
      </c>
      <c r="BJ84" t="str">
        <f t="shared" si="26"/>
        <v/>
      </c>
      <c r="BL84">
        <f t="shared" si="16"/>
        <v>0</v>
      </c>
      <c r="BN84">
        <v>8.3000000000000001E-4</v>
      </c>
      <c r="BS84" s="4" t="s">
        <v>2268</v>
      </c>
    </row>
    <row r="85" spans="1:71" ht="15.75" thickBot="1" x14ac:dyDescent="0.3">
      <c r="A85" s="569" t="s">
        <v>2401</v>
      </c>
      <c r="B85" s="569" t="s">
        <v>154</v>
      </c>
      <c r="C85" s="569" t="s">
        <v>1</v>
      </c>
      <c r="D85" s="574">
        <v>13</v>
      </c>
      <c r="E85" s="569"/>
      <c r="F85" s="569"/>
      <c r="G85" s="569">
        <v>0</v>
      </c>
      <c r="H85" s="569">
        <v>0</v>
      </c>
      <c r="I85" s="574">
        <v>0.1</v>
      </c>
      <c r="J85" s="574">
        <v>0.1</v>
      </c>
      <c r="K85" s="574">
        <v>23.1</v>
      </c>
      <c r="L85" s="574">
        <v>0</v>
      </c>
      <c r="M85" s="574">
        <v>0</v>
      </c>
      <c r="N85" s="574">
        <v>0</v>
      </c>
      <c r="O85" s="574">
        <v>0</v>
      </c>
      <c r="P85" s="574">
        <v>0</v>
      </c>
      <c r="Q85" s="574">
        <v>0.1</v>
      </c>
      <c r="R85" s="569"/>
      <c r="S85" s="569"/>
      <c r="T85" s="569"/>
      <c r="U85" s="569"/>
      <c r="V85" s="569"/>
      <c r="W85" s="569"/>
      <c r="X85" s="569"/>
      <c r="Y85" s="569"/>
      <c r="Z85" s="569"/>
      <c r="AA85" s="569"/>
      <c r="AB85" s="569"/>
      <c r="AC85" s="569"/>
      <c r="AD85" s="569"/>
      <c r="AE85" s="569"/>
      <c r="AF85" s="569"/>
      <c r="AG85" s="569"/>
      <c r="AH85" s="569"/>
      <c r="AI85" s="569"/>
      <c r="AJ85" s="569"/>
      <c r="AK85" s="569"/>
      <c r="AL85" s="569"/>
      <c r="AM85" s="569"/>
      <c r="AN85" s="574">
        <v>1.3</v>
      </c>
      <c r="AO85">
        <v>84</v>
      </c>
      <c r="AP85" t="str">
        <f t="shared" si="27"/>
        <v>Tommy DeVito</v>
      </c>
      <c r="AQ85" t="str">
        <f t="shared" si="17"/>
        <v>NYG</v>
      </c>
      <c r="AR85" s="430">
        <f>IFERROR(
IF(AP85="",-100,
IF($BV$2&gt;0, INDEX(Beersheet!$A:$U,MATCH(AP85,INDEX(Beersheet!$A:$U,0,FFARawStatProjections!$BV$2),0),$BV$3)+$BN85,
INDEX($A85:$BM85,,$BV$12)*$BW$12+
INDEX($A85:$BM85,,$BV$15)*$BW$15+
INDEX($A85:$BM85,,$BV$16)*$BW$16+
INDEX($A85:$BM85,,$BV$17)*$BW$17+
INDEX($A85:$BM85,,$BV$18)*$BW$18+
INDEX($A85:$BM85,,$BV$19)*$BW$19+
INDEX($A85:$BM85,,$BV$20)*$BW$20+
INDEX($A85:$BM85,,$BV$21)*$BW$21+
INDEX($A85:$BM85,,$BV$22)*$BW$22+
INDEX($A85:$BM85,,$BV$23)*$BW$23+
INDEX($A85:$BM85,,$BV$25)*$BW$25+
INDEX($A85:$BM85,,$BV$26)*$BW$26+
INDEX($A85:$BM85,,$BV$27)*$BW$27+
$BN85)),
$BN85-100)</f>
        <v>1.2348400000000002</v>
      </c>
      <c r="AT85" t="str">
        <f t="shared" si="18"/>
        <v/>
      </c>
      <c r="AU85" t="str">
        <f t="shared" si="19"/>
        <v/>
      </c>
      <c r="AV85" s="430">
        <f>IFERROR(
IF(AT85="",-100,
IF($BV$2&gt;0, INDEX(Beersheet!$A:$U,MATCH(AT85,INDEX(Beersheet!$A:$U,0,FFARawStatProjections!$BV$2),0),$BV$3)+$BN85,
INDEX($A85:$BM85,,$BV$12)*$BW$12+
INDEX($A85:$BM85,,$BV$15)*$BW$15+
INDEX($A85:$BM85,,$BV$16)*$BW$16+
INDEX($A85:$BM85,,$BV$17)*$BW$17+
INDEX($A85:$BM85,,$BV$18)*$BW$18+
INDEX($A85:$BM85,,$BV$19)*$BW$19+
INDEX($A85:$BM85,,$BV$20)*$BW$20+
INDEX($A85:$BM85,,$BV$21)*$BW$21+
INDEX($A85:$BM85,,$BV$22)*$BW$22+
INDEX($A85:$BM85,,$BV$23)*$BW$23+
INDEX($A85:$BM85,,$BV$25)*$BW$25+
INDEX($A85:$BM85,,$BV$26)*$BW$26+
INDEX($A85:$BM85,,$BV$27)*$BW$27+
$BN85)),
$BN85-100)</f>
        <v>-100</v>
      </c>
      <c r="AX85" t="str">
        <f t="shared" si="20"/>
        <v/>
      </c>
      <c r="AY85" t="str">
        <f t="shared" si="21"/>
        <v/>
      </c>
      <c r="AZ85" s="430">
        <f>IFERROR(
IF(AX85="",-100,
IF($BV$2&gt;0, INDEX(Beersheet!$A:$U,MATCH(AX85,INDEX(Beersheet!$A:$U,0,FFARawStatProjections!$BV$2),0),$BV$3)+$BN85,
INDEX($A85:$BM85,,$BV$12)*$BW$12+
INDEX($A85:$BM85,,$BV$15)*$BW$15+
INDEX($A85:$BM85,,$BV$16)*$BW$16+
INDEX($A85:$BM85,,$BV$17)*$BW$17+
INDEX($A85:$BM85,,$BV$18)*$BW$18+
INDEX($A85:$BM85,,$BV$19)*$BW$19+
INDEX($A85:$BM85,,$BV$20)*$BW$20+
INDEX($A85:$BM85,,$BV$21)*$BW$21+
INDEX($A85:$BM85,,$BV$22)*$BW$22+
INDEX($A85:$BM85,,$BV$23)*$BW$23+
INDEX($A85:$BM85,,$BV$25)*$BW$25+
INDEX($A85:$BM85,,$BV$26)*$BW$26+
INDEX($A85:$BM85,,$BV$27)*$BW$27+
$BN85)),
$BN85-100)</f>
        <v>-100</v>
      </c>
      <c r="BB85" t="str">
        <f t="shared" si="22"/>
        <v/>
      </c>
      <c r="BC85" t="str">
        <f t="shared" si="15"/>
        <v/>
      </c>
      <c r="BD85" s="430">
        <f>IFERROR(
IF(BB85="",-100,
IF($BV$2&gt;0, INDEX(Beersheet!$A:$U,MATCH(BB85,INDEX(Beersheet!$A:$U,0,FFARawStatProjections!$BV$2),0),$BV$3)+$BN85,
INDEX($A85:$BM85,,$BV$12)*$BW$12+
INDEX($A85:$BM85,,$BV$15)*$BW$15+
INDEX($A85:$BM85,,$BV$16)*$BW$16+
INDEX($A85:$BM85,,$BV$17)*$BW$17+
INDEX($A85:$BM85,,$BV$18)*$BW$18+
INDEX($A85:$BM85,,$BV$19)*$BW$19+
INDEX($A85:$BM85,,$BV$20)*$BW$20+
INDEX($A85:$BM85,,$BV$21)*$BW$21+
INDEX($A85:$BM85,,$BV$22)*$BW$22+
INDEX($A85:$BM85,,$BV$23)*$BW$23+
INDEX($A85:$BM85,,$BV$25)*$BW$25+
INDEX($A85:$BM85,,$BV$26)*$BW$26+
INDEX($A85:$BM85,,$BV$27)*$BW$27+
$BN85)),
$BN85-100)</f>
        <v>-100</v>
      </c>
      <c r="BF85" t="str">
        <f t="shared" si="23"/>
        <v/>
      </c>
      <c r="BG85" t="str">
        <f t="shared" si="24"/>
        <v/>
      </c>
      <c r="BH85">
        <f t="shared" si="25"/>
        <v>0</v>
      </c>
      <c r="BJ85" t="str">
        <f t="shared" si="26"/>
        <v/>
      </c>
      <c r="BL85">
        <f t="shared" si="16"/>
        <v>0</v>
      </c>
      <c r="BN85">
        <v>8.4000000000000003E-4</v>
      </c>
      <c r="BS85" s="4" t="s">
        <v>2517</v>
      </c>
    </row>
    <row r="86" spans="1:71" ht="15.75" thickBot="1" x14ac:dyDescent="0.3">
      <c r="A86" s="569" t="s">
        <v>2149</v>
      </c>
      <c r="B86" s="569" t="s">
        <v>146</v>
      </c>
      <c r="C86" s="569" t="s">
        <v>1</v>
      </c>
      <c r="D86" s="574">
        <v>7</v>
      </c>
      <c r="E86" s="569"/>
      <c r="F86" s="569"/>
      <c r="G86" s="569">
        <v>0</v>
      </c>
      <c r="H86" s="569">
        <v>0</v>
      </c>
      <c r="I86" s="574">
        <v>0.1</v>
      </c>
      <c r="J86" s="574">
        <v>0</v>
      </c>
      <c r="K86" s="574">
        <v>9.4</v>
      </c>
      <c r="L86" s="574">
        <v>0</v>
      </c>
      <c r="M86" s="574">
        <v>0</v>
      </c>
      <c r="N86" s="574">
        <v>0</v>
      </c>
      <c r="O86" s="574">
        <v>0</v>
      </c>
      <c r="P86" s="574">
        <v>0</v>
      </c>
      <c r="Q86" s="574">
        <v>0</v>
      </c>
      <c r="R86" s="569"/>
      <c r="S86" s="569"/>
      <c r="T86" s="569"/>
      <c r="U86" s="569"/>
      <c r="V86" s="569"/>
      <c r="W86" s="569"/>
      <c r="X86" s="569"/>
      <c r="Y86" s="569"/>
      <c r="Z86" s="569"/>
      <c r="AA86" s="569"/>
      <c r="AB86" s="569"/>
      <c r="AC86" s="569"/>
      <c r="AD86" s="569"/>
      <c r="AE86" s="569"/>
      <c r="AF86" s="569"/>
      <c r="AG86" s="569"/>
      <c r="AH86" s="569"/>
      <c r="AI86" s="569"/>
      <c r="AJ86" s="569"/>
      <c r="AK86" s="569"/>
      <c r="AL86" s="569"/>
      <c r="AM86" s="569"/>
      <c r="AN86" s="574">
        <v>0.4</v>
      </c>
      <c r="AO86">
        <v>85</v>
      </c>
      <c r="AP86" t="str">
        <f t="shared" si="27"/>
        <v>Will Grier</v>
      </c>
      <c r="AQ86" t="str">
        <f t="shared" si="17"/>
        <v>DAL</v>
      </c>
      <c r="AR86" s="430">
        <f>IFERROR(
IF(AP86="",-100,
IF($BV$2&gt;0, INDEX(Beersheet!$A:$U,MATCH(AP86,INDEX(Beersheet!$A:$U,0,FFARawStatProjections!$BV$2),0),$BV$3)+$BN86,
INDEX($A86:$BM86,,$BV$12)*$BW$12+
INDEX($A86:$BM86,,$BV$15)*$BW$15+
INDEX($A86:$BM86,,$BV$16)*$BW$16+
INDEX($A86:$BM86,,$BV$17)*$BW$17+
INDEX($A86:$BM86,,$BV$18)*$BW$18+
INDEX($A86:$BM86,,$BV$19)*$BW$19+
INDEX($A86:$BM86,,$BV$20)*$BW$20+
INDEX($A86:$BM86,,$BV$21)*$BW$21+
INDEX($A86:$BM86,,$BV$22)*$BW$22+
INDEX($A86:$BM86,,$BV$23)*$BW$23+
INDEX($A86:$BM86,,$BV$25)*$BW$25+
INDEX($A86:$BM86,,$BV$26)*$BW$26+
INDEX($A86:$BM86,,$BV$27)*$BW$27+
$BN86)),
$BN86-100)</f>
        <v>0.27685000000000004</v>
      </c>
      <c r="AT86" t="str">
        <f t="shared" si="18"/>
        <v/>
      </c>
      <c r="AU86" t="str">
        <f t="shared" si="19"/>
        <v/>
      </c>
      <c r="AV86" s="430">
        <f>IFERROR(
IF(AT86="",-100,
IF($BV$2&gt;0, INDEX(Beersheet!$A:$U,MATCH(AT86,INDEX(Beersheet!$A:$U,0,FFARawStatProjections!$BV$2),0),$BV$3)+$BN86,
INDEX($A86:$BM86,,$BV$12)*$BW$12+
INDEX($A86:$BM86,,$BV$15)*$BW$15+
INDEX($A86:$BM86,,$BV$16)*$BW$16+
INDEX($A86:$BM86,,$BV$17)*$BW$17+
INDEX($A86:$BM86,,$BV$18)*$BW$18+
INDEX($A86:$BM86,,$BV$19)*$BW$19+
INDEX($A86:$BM86,,$BV$20)*$BW$20+
INDEX($A86:$BM86,,$BV$21)*$BW$21+
INDEX($A86:$BM86,,$BV$22)*$BW$22+
INDEX($A86:$BM86,,$BV$23)*$BW$23+
INDEX($A86:$BM86,,$BV$25)*$BW$25+
INDEX($A86:$BM86,,$BV$26)*$BW$26+
INDEX($A86:$BM86,,$BV$27)*$BW$27+
$BN86)),
$BN86-100)</f>
        <v>-100</v>
      </c>
      <c r="AX86" t="str">
        <f t="shared" si="20"/>
        <v/>
      </c>
      <c r="AY86" t="str">
        <f t="shared" si="21"/>
        <v/>
      </c>
      <c r="AZ86" s="430">
        <f>IFERROR(
IF(AX86="",-100,
IF($BV$2&gt;0, INDEX(Beersheet!$A:$U,MATCH(AX86,INDEX(Beersheet!$A:$U,0,FFARawStatProjections!$BV$2),0),$BV$3)+$BN86,
INDEX($A86:$BM86,,$BV$12)*$BW$12+
INDEX($A86:$BM86,,$BV$15)*$BW$15+
INDEX($A86:$BM86,,$BV$16)*$BW$16+
INDEX($A86:$BM86,,$BV$17)*$BW$17+
INDEX($A86:$BM86,,$BV$18)*$BW$18+
INDEX($A86:$BM86,,$BV$19)*$BW$19+
INDEX($A86:$BM86,,$BV$20)*$BW$20+
INDEX($A86:$BM86,,$BV$21)*$BW$21+
INDEX($A86:$BM86,,$BV$22)*$BW$22+
INDEX($A86:$BM86,,$BV$23)*$BW$23+
INDEX($A86:$BM86,,$BV$25)*$BW$25+
INDEX($A86:$BM86,,$BV$26)*$BW$26+
INDEX($A86:$BM86,,$BV$27)*$BW$27+
$BN86)),
$BN86-100)</f>
        <v>-100</v>
      </c>
      <c r="BB86" t="str">
        <f t="shared" si="22"/>
        <v/>
      </c>
      <c r="BC86" t="str">
        <f t="shared" si="15"/>
        <v/>
      </c>
      <c r="BD86" s="430">
        <f>IFERROR(
IF(BB86="",-100,
IF($BV$2&gt;0, INDEX(Beersheet!$A:$U,MATCH(BB86,INDEX(Beersheet!$A:$U,0,FFARawStatProjections!$BV$2),0),$BV$3)+$BN86,
INDEX($A86:$BM86,,$BV$12)*$BW$12+
INDEX($A86:$BM86,,$BV$15)*$BW$15+
INDEX($A86:$BM86,,$BV$16)*$BW$16+
INDEX($A86:$BM86,,$BV$17)*$BW$17+
INDEX($A86:$BM86,,$BV$18)*$BW$18+
INDEX($A86:$BM86,,$BV$19)*$BW$19+
INDEX($A86:$BM86,,$BV$20)*$BW$20+
INDEX($A86:$BM86,,$BV$21)*$BW$21+
INDEX($A86:$BM86,,$BV$22)*$BW$22+
INDEX($A86:$BM86,,$BV$23)*$BW$23+
INDEX($A86:$BM86,,$BV$25)*$BW$25+
INDEX($A86:$BM86,,$BV$26)*$BW$26+
INDEX($A86:$BM86,,$BV$27)*$BW$27+
$BN86)),
$BN86-100)</f>
        <v>-100</v>
      </c>
      <c r="BF86" t="str">
        <f t="shared" si="23"/>
        <v/>
      </c>
      <c r="BG86" t="str">
        <f t="shared" si="24"/>
        <v/>
      </c>
      <c r="BH86">
        <f t="shared" si="25"/>
        <v>0</v>
      </c>
      <c r="BJ86" t="str">
        <f t="shared" si="26"/>
        <v/>
      </c>
      <c r="BL86">
        <f t="shared" si="16"/>
        <v>0</v>
      </c>
      <c r="BN86">
        <v>8.4999999999999995E-4</v>
      </c>
      <c r="BS86" s="4" t="s">
        <v>2336</v>
      </c>
    </row>
    <row r="87" spans="1:71" ht="15.75" thickBot="1" x14ac:dyDescent="0.3">
      <c r="A87" s="569" t="s">
        <v>2554</v>
      </c>
      <c r="B87" s="569" t="s">
        <v>162</v>
      </c>
      <c r="C87" s="569" t="s">
        <v>1</v>
      </c>
      <c r="D87" s="574">
        <v>13</v>
      </c>
      <c r="E87" s="569"/>
      <c r="F87" s="569"/>
      <c r="G87" s="569">
        <v>0</v>
      </c>
      <c r="H87" s="569">
        <v>0</v>
      </c>
      <c r="I87" s="574">
        <v>0</v>
      </c>
      <c r="J87" s="574">
        <v>0</v>
      </c>
      <c r="K87" s="574">
        <v>0</v>
      </c>
      <c r="L87" s="574">
        <v>0</v>
      </c>
      <c r="M87" s="574">
        <v>0</v>
      </c>
      <c r="N87" s="574">
        <v>0</v>
      </c>
      <c r="O87" s="574">
        <v>0</v>
      </c>
      <c r="P87" s="574">
        <v>0</v>
      </c>
      <c r="Q87" s="574">
        <v>0</v>
      </c>
      <c r="R87" s="569"/>
      <c r="S87" s="569"/>
      <c r="T87" s="569"/>
      <c r="U87" s="569"/>
      <c r="V87" s="569"/>
      <c r="W87" s="569"/>
      <c r="X87" s="569"/>
      <c r="Y87" s="569"/>
      <c r="Z87" s="569"/>
      <c r="AA87" s="569"/>
      <c r="AB87" s="569"/>
      <c r="AC87" s="569"/>
      <c r="AD87" s="569"/>
      <c r="AE87" s="569"/>
      <c r="AF87" s="569"/>
      <c r="AG87" s="569"/>
      <c r="AH87" s="569"/>
      <c r="AI87" s="569"/>
      <c r="AJ87" s="569"/>
      <c r="AK87" s="569"/>
      <c r="AL87" s="569"/>
      <c r="AM87" s="569"/>
      <c r="AN87" s="574">
        <v>0</v>
      </c>
      <c r="AO87">
        <v>86</v>
      </c>
      <c r="AP87" t="str">
        <f t="shared" si="27"/>
        <v>Josh Johnson</v>
      </c>
      <c r="AQ87" t="str">
        <f t="shared" si="17"/>
        <v>BAL</v>
      </c>
      <c r="AR87" s="430">
        <f>IFERROR(
IF(AP87="",-100,
IF($BV$2&gt;0, INDEX(Beersheet!$A:$U,MATCH(AP87,INDEX(Beersheet!$A:$U,0,FFARawStatProjections!$BV$2),0),$BV$3)+$BN87,
INDEX($A87:$BM87,,$BV$12)*$BW$12+
INDEX($A87:$BM87,,$BV$15)*$BW$15+
INDEX($A87:$BM87,,$BV$16)*$BW$16+
INDEX($A87:$BM87,,$BV$17)*$BW$17+
INDEX($A87:$BM87,,$BV$18)*$BW$18+
INDEX($A87:$BM87,,$BV$19)*$BW$19+
INDEX($A87:$BM87,,$BV$20)*$BW$20+
INDEX($A87:$BM87,,$BV$21)*$BW$21+
INDEX($A87:$BM87,,$BV$22)*$BW$22+
INDEX($A87:$BM87,,$BV$23)*$BW$23+
INDEX($A87:$BM87,,$BV$25)*$BW$25+
INDEX($A87:$BM87,,$BV$26)*$BW$26+
INDEX($A87:$BM87,,$BV$27)*$BW$27+
$BN87)),
$BN87-100)</f>
        <v>8.5999999999999998E-4</v>
      </c>
      <c r="AT87" t="str">
        <f t="shared" si="18"/>
        <v/>
      </c>
      <c r="AU87" t="str">
        <f t="shared" si="19"/>
        <v/>
      </c>
      <c r="AV87" s="430">
        <f>IFERROR(
IF(AT87="",-100,
IF($BV$2&gt;0, INDEX(Beersheet!$A:$U,MATCH(AT87,INDEX(Beersheet!$A:$U,0,FFARawStatProjections!$BV$2),0),$BV$3)+$BN87,
INDEX($A87:$BM87,,$BV$12)*$BW$12+
INDEX($A87:$BM87,,$BV$15)*$BW$15+
INDEX($A87:$BM87,,$BV$16)*$BW$16+
INDEX($A87:$BM87,,$BV$17)*$BW$17+
INDEX($A87:$BM87,,$BV$18)*$BW$18+
INDEX($A87:$BM87,,$BV$19)*$BW$19+
INDEX($A87:$BM87,,$BV$20)*$BW$20+
INDEX($A87:$BM87,,$BV$21)*$BW$21+
INDEX($A87:$BM87,,$BV$22)*$BW$22+
INDEX($A87:$BM87,,$BV$23)*$BW$23+
INDEX($A87:$BM87,,$BV$25)*$BW$25+
INDEX($A87:$BM87,,$BV$26)*$BW$26+
INDEX($A87:$BM87,,$BV$27)*$BW$27+
$BN87)),
$BN87-100)</f>
        <v>-100</v>
      </c>
      <c r="AX87" t="str">
        <f t="shared" si="20"/>
        <v/>
      </c>
      <c r="AY87" t="str">
        <f t="shared" si="21"/>
        <v/>
      </c>
      <c r="AZ87" s="430">
        <f>IFERROR(
IF(AX87="",-100,
IF($BV$2&gt;0, INDEX(Beersheet!$A:$U,MATCH(AX87,INDEX(Beersheet!$A:$U,0,FFARawStatProjections!$BV$2),0),$BV$3)+$BN87,
INDEX($A87:$BM87,,$BV$12)*$BW$12+
INDEX($A87:$BM87,,$BV$15)*$BW$15+
INDEX($A87:$BM87,,$BV$16)*$BW$16+
INDEX($A87:$BM87,,$BV$17)*$BW$17+
INDEX($A87:$BM87,,$BV$18)*$BW$18+
INDEX($A87:$BM87,,$BV$19)*$BW$19+
INDEX($A87:$BM87,,$BV$20)*$BW$20+
INDEX($A87:$BM87,,$BV$21)*$BW$21+
INDEX($A87:$BM87,,$BV$22)*$BW$22+
INDEX($A87:$BM87,,$BV$23)*$BW$23+
INDEX($A87:$BM87,,$BV$25)*$BW$25+
INDEX($A87:$BM87,,$BV$26)*$BW$26+
INDEX($A87:$BM87,,$BV$27)*$BW$27+
$BN87)),
$BN87-100)</f>
        <v>-100</v>
      </c>
      <c r="BB87" t="str">
        <f t="shared" si="22"/>
        <v/>
      </c>
      <c r="BC87" t="str">
        <f t="shared" si="15"/>
        <v/>
      </c>
      <c r="BD87" s="430">
        <f>IFERROR(
IF(BB87="",-100,
IF($BV$2&gt;0, INDEX(Beersheet!$A:$U,MATCH(BB87,INDEX(Beersheet!$A:$U,0,FFARawStatProjections!$BV$2),0),$BV$3)+$BN87,
INDEX($A87:$BM87,,$BV$12)*$BW$12+
INDEX($A87:$BM87,,$BV$15)*$BW$15+
INDEX($A87:$BM87,,$BV$16)*$BW$16+
INDEX($A87:$BM87,,$BV$17)*$BW$17+
INDEX($A87:$BM87,,$BV$18)*$BW$18+
INDEX($A87:$BM87,,$BV$19)*$BW$19+
INDEX($A87:$BM87,,$BV$20)*$BW$20+
INDEX($A87:$BM87,,$BV$21)*$BW$21+
INDEX($A87:$BM87,,$BV$22)*$BW$22+
INDEX($A87:$BM87,,$BV$23)*$BW$23+
INDEX($A87:$BM87,,$BV$25)*$BW$25+
INDEX($A87:$BM87,,$BV$26)*$BW$26+
INDEX($A87:$BM87,,$BV$27)*$BW$27+
$BN87)),
$BN87-100)</f>
        <v>-100</v>
      </c>
      <c r="BF87" t="str">
        <f t="shared" si="23"/>
        <v/>
      </c>
      <c r="BG87" t="str">
        <f t="shared" si="24"/>
        <v/>
      </c>
      <c r="BH87">
        <f t="shared" si="25"/>
        <v>0</v>
      </c>
      <c r="BJ87" t="str">
        <f t="shared" si="26"/>
        <v/>
      </c>
      <c r="BL87">
        <f t="shared" si="16"/>
        <v>0</v>
      </c>
      <c r="BN87">
        <v>8.5999999999999998E-4</v>
      </c>
      <c r="BS87" s="4" t="s">
        <v>1787</v>
      </c>
    </row>
    <row r="88" spans="1:71" ht="15.75" thickBot="1" x14ac:dyDescent="0.3">
      <c r="A88" s="569"/>
      <c r="B88" s="569"/>
      <c r="C88" s="569" t="s">
        <v>1</v>
      </c>
      <c r="D88" s="574"/>
      <c r="E88" s="569"/>
      <c r="F88" s="569"/>
      <c r="G88" s="569"/>
      <c r="H88" s="569"/>
      <c r="I88" s="574"/>
      <c r="J88" s="574"/>
      <c r="K88" s="574"/>
      <c r="L88" s="574">
        <v>0</v>
      </c>
      <c r="M88" s="574">
        <v>0</v>
      </c>
      <c r="N88" s="574">
        <v>0</v>
      </c>
      <c r="O88" s="574"/>
      <c r="P88" s="574"/>
      <c r="Q88" s="574"/>
      <c r="R88" s="569"/>
      <c r="S88" s="569"/>
      <c r="T88" s="569"/>
      <c r="U88" s="569"/>
      <c r="V88" s="569"/>
      <c r="W88" s="569"/>
      <c r="X88" s="569"/>
      <c r="Y88" s="569"/>
      <c r="Z88" s="569"/>
      <c r="AA88" s="569"/>
      <c r="AB88" s="569"/>
      <c r="AC88" s="569"/>
      <c r="AD88" s="569"/>
      <c r="AE88" s="569"/>
      <c r="AF88" s="569"/>
      <c r="AG88" s="569"/>
      <c r="AH88" s="569"/>
      <c r="AI88" s="569"/>
      <c r="AJ88" s="569"/>
      <c r="AK88" s="569"/>
      <c r="AL88" s="569"/>
      <c r="AM88" s="569"/>
      <c r="AN88" s="574"/>
      <c r="AO88">
        <v>87</v>
      </c>
      <c r="AP88">
        <f t="shared" si="27"/>
        <v>0</v>
      </c>
      <c r="AQ88">
        <f t="shared" si="17"/>
        <v>0</v>
      </c>
      <c r="AR88" s="430">
        <f>IFERROR(
IF(AP88="",-100,
IF($BV$2&gt;0, INDEX(Beersheet!$A:$U,MATCH(AP88,INDEX(Beersheet!$A:$U,0,FFARawStatProjections!$BV$2),0),$BV$3)+$BN88,
INDEX($A88:$BM88,,$BV$12)*$BW$12+
INDEX($A88:$BM88,,$BV$15)*$BW$15+
INDEX($A88:$BM88,,$BV$16)*$BW$16+
INDEX($A88:$BM88,,$BV$17)*$BW$17+
INDEX($A88:$BM88,,$BV$18)*$BW$18+
INDEX($A88:$BM88,,$BV$19)*$BW$19+
INDEX($A88:$BM88,,$BV$20)*$BW$20+
INDEX($A88:$BM88,,$BV$21)*$BW$21+
INDEX($A88:$BM88,,$BV$22)*$BW$22+
INDEX($A88:$BM88,,$BV$23)*$BW$23+
INDEX($A88:$BM88,,$BV$25)*$BW$25+
INDEX($A88:$BM88,,$BV$26)*$BW$26+
INDEX($A88:$BM88,,$BV$27)*$BW$27+
$BN88)),
$BN88-100)</f>
        <v>8.7000000000000001E-4</v>
      </c>
      <c r="AT88" t="str">
        <f t="shared" si="18"/>
        <v/>
      </c>
      <c r="AU88" t="str">
        <f t="shared" si="19"/>
        <v/>
      </c>
      <c r="AV88" s="430">
        <f>IFERROR(
IF(AT88="",-100,
IF($BV$2&gt;0, INDEX(Beersheet!$A:$U,MATCH(AT88,INDEX(Beersheet!$A:$U,0,FFARawStatProjections!$BV$2),0),$BV$3)+$BN88,
INDEX($A88:$BM88,,$BV$12)*$BW$12+
INDEX($A88:$BM88,,$BV$15)*$BW$15+
INDEX($A88:$BM88,,$BV$16)*$BW$16+
INDEX($A88:$BM88,,$BV$17)*$BW$17+
INDEX($A88:$BM88,,$BV$18)*$BW$18+
INDEX($A88:$BM88,,$BV$19)*$BW$19+
INDEX($A88:$BM88,,$BV$20)*$BW$20+
INDEX($A88:$BM88,,$BV$21)*$BW$21+
INDEX($A88:$BM88,,$BV$22)*$BW$22+
INDEX($A88:$BM88,,$BV$23)*$BW$23+
INDEX($A88:$BM88,,$BV$25)*$BW$25+
INDEX($A88:$BM88,,$BV$26)*$BW$26+
INDEX($A88:$BM88,,$BV$27)*$BW$27+
$BN88)),
$BN88-100)</f>
        <v>-100</v>
      </c>
      <c r="AX88" t="str">
        <f t="shared" si="20"/>
        <v/>
      </c>
      <c r="AY88" t="str">
        <f t="shared" si="21"/>
        <v/>
      </c>
      <c r="AZ88" s="430">
        <f>IFERROR(
IF(AX88="",-100,
IF($BV$2&gt;0, INDEX(Beersheet!$A:$U,MATCH(AX88,INDEX(Beersheet!$A:$U,0,FFARawStatProjections!$BV$2),0),$BV$3)+$BN88,
INDEX($A88:$BM88,,$BV$12)*$BW$12+
INDEX($A88:$BM88,,$BV$15)*$BW$15+
INDEX($A88:$BM88,,$BV$16)*$BW$16+
INDEX($A88:$BM88,,$BV$17)*$BW$17+
INDEX($A88:$BM88,,$BV$18)*$BW$18+
INDEX($A88:$BM88,,$BV$19)*$BW$19+
INDEX($A88:$BM88,,$BV$20)*$BW$20+
INDEX($A88:$BM88,,$BV$21)*$BW$21+
INDEX($A88:$BM88,,$BV$22)*$BW$22+
INDEX($A88:$BM88,,$BV$23)*$BW$23+
INDEX($A88:$BM88,,$BV$25)*$BW$25+
INDEX($A88:$BM88,,$BV$26)*$BW$26+
INDEX($A88:$BM88,,$BV$27)*$BW$27+
$BN88)),
$BN88-100)</f>
        <v>-100</v>
      </c>
      <c r="BB88" t="str">
        <f t="shared" si="22"/>
        <v/>
      </c>
      <c r="BC88" t="str">
        <f t="shared" si="15"/>
        <v/>
      </c>
      <c r="BD88" s="430">
        <f>IFERROR(
IF(BB88="",-100,
IF($BV$2&gt;0, INDEX(Beersheet!$A:$U,MATCH(BB88,INDEX(Beersheet!$A:$U,0,FFARawStatProjections!$BV$2),0),$BV$3)+$BN88,
INDEX($A88:$BM88,,$BV$12)*$BW$12+
INDEX($A88:$BM88,,$BV$15)*$BW$15+
INDEX($A88:$BM88,,$BV$16)*$BW$16+
INDEX($A88:$BM88,,$BV$17)*$BW$17+
INDEX($A88:$BM88,,$BV$18)*$BW$18+
INDEX($A88:$BM88,,$BV$19)*$BW$19+
INDEX($A88:$BM88,,$BV$20)*$BW$20+
INDEX($A88:$BM88,,$BV$21)*$BW$21+
INDEX($A88:$BM88,,$BV$22)*$BW$22+
INDEX($A88:$BM88,,$BV$23)*$BW$23+
INDEX($A88:$BM88,,$BV$25)*$BW$25+
INDEX($A88:$BM88,,$BV$26)*$BW$26+
INDEX($A88:$BM88,,$BV$27)*$BW$27+
$BN88)),
$BN88-100)</f>
        <v>-100</v>
      </c>
      <c r="BF88" t="str">
        <f t="shared" si="23"/>
        <v/>
      </c>
      <c r="BG88" t="str">
        <f t="shared" si="24"/>
        <v/>
      </c>
      <c r="BH88">
        <f t="shared" si="25"/>
        <v>0</v>
      </c>
      <c r="BJ88" t="str">
        <f t="shared" si="26"/>
        <v/>
      </c>
      <c r="BL88">
        <f t="shared" si="16"/>
        <v>0</v>
      </c>
      <c r="BN88">
        <v>8.7000000000000001E-4</v>
      </c>
      <c r="BS88" s="4" t="s">
        <v>2289</v>
      </c>
    </row>
    <row r="89" spans="1:71" ht="15.75" thickBot="1" x14ac:dyDescent="0.3">
      <c r="A89" s="569"/>
      <c r="B89" s="569"/>
      <c r="C89" s="569" t="s">
        <v>1</v>
      </c>
      <c r="D89" s="574"/>
      <c r="E89" s="569"/>
      <c r="F89" s="569"/>
      <c r="G89" s="569"/>
      <c r="H89" s="569"/>
      <c r="I89" s="574"/>
      <c r="J89" s="574"/>
      <c r="K89" s="574"/>
      <c r="L89" s="574">
        <v>0</v>
      </c>
      <c r="M89" s="574">
        <v>0</v>
      </c>
      <c r="N89" s="574">
        <v>0</v>
      </c>
      <c r="O89" s="574"/>
      <c r="P89" s="574"/>
      <c r="Q89" s="574"/>
      <c r="R89" s="569"/>
      <c r="S89" s="569"/>
      <c r="T89" s="569"/>
      <c r="U89" s="569"/>
      <c r="V89" s="569"/>
      <c r="W89" s="569"/>
      <c r="X89" s="569"/>
      <c r="Y89" s="569"/>
      <c r="Z89" s="569"/>
      <c r="AA89" s="569"/>
      <c r="AB89" s="569"/>
      <c r="AC89" s="569"/>
      <c r="AD89" s="569"/>
      <c r="AE89" s="569"/>
      <c r="AF89" s="569"/>
      <c r="AG89" s="569"/>
      <c r="AH89" s="569"/>
      <c r="AI89" s="569"/>
      <c r="AJ89" s="569"/>
      <c r="AK89" s="569"/>
      <c r="AL89" s="569"/>
      <c r="AM89" s="569"/>
      <c r="AN89" s="574"/>
      <c r="AO89">
        <v>88</v>
      </c>
      <c r="AP89">
        <f t="shared" si="27"/>
        <v>0</v>
      </c>
      <c r="AQ89">
        <f t="shared" si="17"/>
        <v>0</v>
      </c>
      <c r="AR89" s="430">
        <f>IFERROR(
IF(AP89="",-100,
IF($BV$2&gt;0, INDEX(Beersheet!$A:$U,MATCH(AP89,INDEX(Beersheet!$A:$U,0,FFARawStatProjections!$BV$2),0),$BV$3)+$BN89,
INDEX($A89:$BM89,,$BV$12)*$BW$12+
INDEX($A89:$BM89,,$BV$15)*$BW$15+
INDEX($A89:$BM89,,$BV$16)*$BW$16+
INDEX($A89:$BM89,,$BV$17)*$BW$17+
INDEX($A89:$BM89,,$BV$18)*$BW$18+
INDEX($A89:$BM89,,$BV$19)*$BW$19+
INDEX($A89:$BM89,,$BV$20)*$BW$20+
INDEX($A89:$BM89,,$BV$21)*$BW$21+
INDEX($A89:$BM89,,$BV$22)*$BW$22+
INDEX($A89:$BM89,,$BV$23)*$BW$23+
INDEX($A89:$BM89,,$BV$25)*$BW$25+
INDEX($A89:$BM89,,$BV$26)*$BW$26+
INDEX($A89:$BM89,,$BV$27)*$BW$27+
$BN89)),
$BN89-100)</f>
        <v>8.8000000000000003E-4</v>
      </c>
      <c r="AT89" t="str">
        <f t="shared" si="18"/>
        <v/>
      </c>
      <c r="AU89" t="str">
        <f t="shared" si="19"/>
        <v/>
      </c>
      <c r="AV89" s="430">
        <f>IFERROR(
IF(AT89="",-100,
IF($BV$2&gt;0, INDEX(Beersheet!$A:$U,MATCH(AT89,INDEX(Beersheet!$A:$U,0,FFARawStatProjections!$BV$2),0),$BV$3)+$BN89,
INDEX($A89:$BM89,,$BV$12)*$BW$12+
INDEX($A89:$BM89,,$BV$15)*$BW$15+
INDEX($A89:$BM89,,$BV$16)*$BW$16+
INDEX($A89:$BM89,,$BV$17)*$BW$17+
INDEX($A89:$BM89,,$BV$18)*$BW$18+
INDEX($A89:$BM89,,$BV$19)*$BW$19+
INDEX($A89:$BM89,,$BV$20)*$BW$20+
INDEX($A89:$BM89,,$BV$21)*$BW$21+
INDEX($A89:$BM89,,$BV$22)*$BW$22+
INDEX($A89:$BM89,,$BV$23)*$BW$23+
INDEX($A89:$BM89,,$BV$25)*$BW$25+
INDEX($A89:$BM89,,$BV$26)*$BW$26+
INDEX($A89:$BM89,,$BV$27)*$BW$27+
$BN89)),
$BN89-100)</f>
        <v>-100</v>
      </c>
      <c r="AX89" t="str">
        <f t="shared" si="20"/>
        <v/>
      </c>
      <c r="AY89" t="str">
        <f t="shared" si="21"/>
        <v/>
      </c>
      <c r="AZ89" s="430">
        <f>IFERROR(
IF(AX89="",-100,
IF($BV$2&gt;0, INDEX(Beersheet!$A:$U,MATCH(AX89,INDEX(Beersheet!$A:$U,0,FFARawStatProjections!$BV$2),0),$BV$3)+$BN89,
INDEX($A89:$BM89,,$BV$12)*$BW$12+
INDEX($A89:$BM89,,$BV$15)*$BW$15+
INDEX($A89:$BM89,,$BV$16)*$BW$16+
INDEX($A89:$BM89,,$BV$17)*$BW$17+
INDEX($A89:$BM89,,$BV$18)*$BW$18+
INDEX($A89:$BM89,,$BV$19)*$BW$19+
INDEX($A89:$BM89,,$BV$20)*$BW$20+
INDEX($A89:$BM89,,$BV$21)*$BW$21+
INDEX($A89:$BM89,,$BV$22)*$BW$22+
INDEX($A89:$BM89,,$BV$23)*$BW$23+
INDEX($A89:$BM89,,$BV$25)*$BW$25+
INDEX($A89:$BM89,,$BV$26)*$BW$26+
INDEX($A89:$BM89,,$BV$27)*$BW$27+
$BN89)),
$BN89-100)</f>
        <v>-100</v>
      </c>
      <c r="BB89" t="str">
        <f t="shared" si="22"/>
        <v/>
      </c>
      <c r="BC89" t="str">
        <f t="shared" si="15"/>
        <v/>
      </c>
      <c r="BD89" s="430">
        <f>IFERROR(
IF(BB89="",-100,
IF($BV$2&gt;0, INDEX(Beersheet!$A:$U,MATCH(BB89,INDEX(Beersheet!$A:$U,0,FFARawStatProjections!$BV$2),0),$BV$3)+$BN89,
INDEX($A89:$BM89,,$BV$12)*$BW$12+
INDEX($A89:$BM89,,$BV$15)*$BW$15+
INDEX($A89:$BM89,,$BV$16)*$BW$16+
INDEX($A89:$BM89,,$BV$17)*$BW$17+
INDEX($A89:$BM89,,$BV$18)*$BW$18+
INDEX($A89:$BM89,,$BV$19)*$BW$19+
INDEX($A89:$BM89,,$BV$20)*$BW$20+
INDEX($A89:$BM89,,$BV$21)*$BW$21+
INDEX($A89:$BM89,,$BV$22)*$BW$22+
INDEX($A89:$BM89,,$BV$23)*$BW$23+
INDEX($A89:$BM89,,$BV$25)*$BW$25+
INDEX($A89:$BM89,,$BV$26)*$BW$26+
INDEX($A89:$BM89,,$BV$27)*$BW$27+
$BN89)),
$BN89-100)</f>
        <v>-100</v>
      </c>
      <c r="BF89" t="str">
        <f t="shared" si="23"/>
        <v/>
      </c>
      <c r="BG89" t="str">
        <f t="shared" si="24"/>
        <v/>
      </c>
      <c r="BH89">
        <f t="shared" si="25"/>
        <v>0</v>
      </c>
      <c r="BJ89" t="str">
        <f t="shared" si="26"/>
        <v/>
      </c>
      <c r="BL89">
        <f t="shared" si="16"/>
        <v>0</v>
      </c>
      <c r="BN89">
        <v>8.8000000000000003E-4</v>
      </c>
      <c r="BS89" s="4" t="s">
        <v>2210</v>
      </c>
    </row>
    <row r="90" spans="1:71" ht="15.75" thickBot="1" x14ac:dyDescent="0.3">
      <c r="A90" s="569"/>
      <c r="B90" s="569"/>
      <c r="C90" s="569" t="s">
        <v>1</v>
      </c>
      <c r="D90" s="574"/>
      <c r="E90" s="569"/>
      <c r="F90" s="569"/>
      <c r="G90" s="569"/>
      <c r="H90" s="569"/>
      <c r="I90" s="574"/>
      <c r="J90" s="574"/>
      <c r="K90" s="574"/>
      <c r="L90" s="574">
        <v>0</v>
      </c>
      <c r="M90" s="574">
        <v>0</v>
      </c>
      <c r="N90" s="574">
        <v>0</v>
      </c>
      <c r="O90" s="574"/>
      <c r="P90" s="574"/>
      <c r="Q90" s="574"/>
      <c r="R90" s="569"/>
      <c r="S90" s="569"/>
      <c r="T90" s="569"/>
      <c r="U90" s="569"/>
      <c r="V90" s="569"/>
      <c r="W90" s="569"/>
      <c r="X90" s="569"/>
      <c r="Y90" s="569"/>
      <c r="Z90" s="569"/>
      <c r="AA90" s="569"/>
      <c r="AB90" s="569"/>
      <c r="AC90" s="569"/>
      <c r="AD90" s="569"/>
      <c r="AE90" s="569"/>
      <c r="AF90" s="569"/>
      <c r="AG90" s="569"/>
      <c r="AH90" s="569"/>
      <c r="AI90" s="569"/>
      <c r="AJ90" s="569"/>
      <c r="AK90" s="569"/>
      <c r="AL90" s="569"/>
      <c r="AM90" s="569"/>
      <c r="AN90" s="574"/>
      <c r="AO90">
        <v>89</v>
      </c>
      <c r="AP90">
        <f t="shared" si="27"/>
        <v>0</v>
      </c>
      <c r="AQ90">
        <f t="shared" si="17"/>
        <v>0</v>
      </c>
      <c r="AR90" s="430">
        <f>IFERROR(
IF(AP90="",-100,
IF($BV$2&gt;0, INDEX(Beersheet!$A:$U,MATCH(AP90,INDEX(Beersheet!$A:$U,0,FFARawStatProjections!$BV$2),0),$BV$3)+$BN90,
INDEX($A90:$BM90,,$BV$12)*$BW$12+
INDEX($A90:$BM90,,$BV$15)*$BW$15+
INDEX($A90:$BM90,,$BV$16)*$BW$16+
INDEX($A90:$BM90,,$BV$17)*$BW$17+
INDEX($A90:$BM90,,$BV$18)*$BW$18+
INDEX($A90:$BM90,,$BV$19)*$BW$19+
INDEX($A90:$BM90,,$BV$20)*$BW$20+
INDEX($A90:$BM90,,$BV$21)*$BW$21+
INDEX($A90:$BM90,,$BV$22)*$BW$22+
INDEX($A90:$BM90,,$BV$23)*$BW$23+
INDEX($A90:$BM90,,$BV$25)*$BW$25+
INDEX($A90:$BM90,,$BV$26)*$BW$26+
INDEX($A90:$BM90,,$BV$27)*$BW$27+
$BN90)),
$BN90-100)</f>
        <v>8.8999999999999995E-4</v>
      </c>
      <c r="AT90" t="str">
        <f t="shared" si="18"/>
        <v/>
      </c>
      <c r="AU90" t="str">
        <f t="shared" si="19"/>
        <v/>
      </c>
      <c r="AV90" s="430">
        <f>IFERROR(
IF(AT90="",-100,
IF($BV$2&gt;0, INDEX(Beersheet!$A:$U,MATCH(AT90,INDEX(Beersheet!$A:$U,0,FFARawStatProjections!$BV$2),0),$BV$3)+$BN90,
INDEX($A90:$BM90,,$BV$12)*$BW$12+
INDEX($A90:$BM90,,$BV$15)*$BW$15+
INDEX($A90:$BM90,,$BV$16)*$BW$16+
INDEX($A90:$BM90,,$BV$17)*$BW$17+
INDEX($A90:$BM90,,$BV$18)*$BW$18+
INDEX($A90:$BM90,,$BV$19)*$BW$19+
INDEX($A90:$BM90,,$BV$20)*$BW$20+
INDEX($A90:$BM90,,$BV$21)*$BW$21+
INDEX($A90:$BM90,,$BV$22)*$BW$22+
INDEX($A90:$BM90,,$BV$23)*$BW$23+
INDEX($A90:$BM90,,$BV$25)*$BW$25+
INDEX($A90:$BM90,,$BV$26)*$BW$26+
INDEX($A90:$BM90,,$BV$27)*$BW$27+
$BN90)),
$BN90-100)</f>
        <v>-100</v>
      </c>
      <c r="AX90" t="str">
        <f t="shared" si="20"/>
        <v/>
      </c>
      <c r="AY90" t="str">
        <f t="shared" si="21"/>
        <v/>
      </c>
      <c r="AZ90" s="430">
        <f>IFERROR(
IF(AX90="",-100,
IF($BV$2&gt;0, INDEX(Beersheet!$A:$U,MATCH(AX90,INDEX(Beersheet!$A:$U,0,FFARawStatProjections!$BV$2),0),$BV$3)+$BN90,
INDEX($A90:$BM90,,$BV$12)*$BW$12+
INDEX($A90:$BM90,,$BV$15)*$BW$15+
INDEX($A90:$BM90,,$BV$16)*$BW$16+
INDEX($A90:$BM90,,$BV$17)*$BW$17+
INDEX($A90:$BM90,,$BV$18)*$BW$18+
INDEX($A90:$BM90,,$BV$19)*$BW$19+
INDEX($A90:$BM90,,$BV$20)*$BW$20+
INDEX($A90:$BM90,,$BV$21)*$BW$21+
INDEX($A90:$BM90,,$BV$22)*$BW$22+
INDEX($A90:$BM90,,$BV$23)*$BW$23+
INDEX($A90:$BM90,,$BV$25)*$BW$25+
INDEX($A90:$BM90,,$BV$26)*$BW$26+
INDEX($A90:$BM90,,$BV$27)*$BW$27+
$BN90)),
$BN90-100)</f>
        <v>-100</v>
      </c>
      <c r="BB90" t="str">
        <f t="shared" si="22"/>
        <v/>
      </c>
      <c r="BC90" t="str">
        <f t="shared" si="15"/>
        <v/>
      </c>
      <c r="BD90" s="430">
        <f>IFERROR(
IF(BB90="",-100,
IF($BV$2&gt;0, INDEX(Beersheet!$A:$U,MATCH(BB90,INDEX(Beersheet!$A:$U,0,FFARawStatProjections!$BV$2),0),$BV$3)+$BN90,
INDEX($A90:$BM90,,$BV$12)*$BW$12+
INDEX($A90:$BM90,,$BV$15)*$BW$15+
INDEX($A90:$BM90,,$BV$16)*$BW$16+
INDEX($A90:$BM90,,$BV$17)*$BW$17+
INDEX($A90:$BM90,,$BV$18)*$BW$18+
INDEX($A90:$BM90,,$BV$19)*$BW$19+
INDEX($A90:$BM90,,$BV$20)*$BW$20+
INDEX($A90:$BM90,,$BV$21)*$BW$21+
INDEX($A90:$BM90,,$BV$22)*$BW$22+
INDEX($A90:$BM90,,$BV$23)*$BW$23+
INDEX($A90:$BM90,,$BV$25)*$BW$25+
INDEX($A90:$BM90,,$BV$26)*$BW$26+
INDEX($A90:$BM90,,$BV$27)*$BW$27+
$BN90)),
$BN90-100)</f>
        <v>-100</v>
      </c>
      <c r="BF90" t="str">
        <f t="shared" si="23"/>
        <v/>
      </c>
      <c r="BG90" t="str">
        <f t="shared" si="24"/>
        <v/>
      </c>
      <c r="BH90">
        <f t="shared" si="25"/>
        <v>0</v>
      </c>
      <c r="BJ90" t="str">
        <f t="shared" si="26"/>
        <v/>
      </c>
      <c r="BL90">
        <f t="shared" si="16"/>
        <v>0</v>
      </c>
      <c r="BN90">
        <v>8.8999999999999995E-4</v>
      </c>
      <c r="BS90" s="4" t="s">
        <v>2516</v>
      </c>
    </row>
    <row r="91" spans="1:71" ht="15.75" thickBot="1" x14ac:dyDescent="0.3">
      <c r="A91" s="569"/>
      <c r="B91" s="569"/>
      <c r="C91" s="569" t="s">
        <v>1</v>
      </c>
      <c r="D91" s="574"/>
      <c r="E91" s="569"/>
      <c r="F91" s="569"/>
      <c r="G91" s="569"/>
      <c r="H91" s="569"/>
      <c r="I91" s="574"/>
      <c r="J91" s="574"/>
      <c r="K91" s="574"/>
      <c r="L91" s="574">
        <v>0</v>
      </c>
      <c r="M91" s="574">
        <v>0</v>
      </c>
      <c r="N91" s="574">
        <v>0</v>
      </c>
      <c r="O91" s="574"/>
      <c r="P91" s="574"/>
      <c r="Q91" s="574"/>
      <c r="R91" s="569"/>
      <c r="S91" s="569"/>
      <c r="T91" s="569"/>
      <c r="U91" s="569"/>
      <c r="V91" s="569"/>
      <c r="W91" s="569"/>
      <c r="X91" s="569"/>
      <c r="Y91" s="569"/>
      <c r="Z91" s="569"/>
      <c r="AA91" s="569"/>
      <c r="AB91" s="569"/>
      <c r="AC91" s="569"/>
      <c r="AD91" s="569"/>
      <c r="AE91" s="569"/>
      <c r="AF91" s="569"/>
      <c r="AG91" s="569"/>
      <c r="AH91" s="569"/>
      <c r="AI91" s="569"/>
      <c r="AJ91" s="569"/>
      <c r="AK91" s="569"/>
      <c r="AL91" s="569"/>
      <c r="AM91" s="569"/>
      <c r="AN91" s="574"/>
      <c r="AO91">
        <v>90</v>
      </c>
      <c r="AP91">
        <f t="shared" si="27"/>
        <v>0</v>
      </c>
      <c r="AQ91">
        <f t="shared" si="17"/>
        <v>0</v>
      </c>
      <c r="AR91" s="430">
        <f>IFERROR(
IF(AP91="",-100,
IF($BV$2&gt;0, INDEX(Beersheet!$A:$U,MATCH(AP91,INDEX(Beersheet!$A:$U,0,FFARawStatProjections!$BV$2),0),$BV$3)+$BN91,
INDEX($A91:$BM91,,$BV$12)*$BW$12+
INDEX($A91:$BM91,,$BV$15)*$BW$15+
INDEX($A91:$BM91,,$BV$16)*$BW$16+
INDEX($A91:$BM91,,$BV$17)*$BW$17+
INDEX($A91:$BM91,,$BV$18)*$BW$18+
INDEX($A91:$BM91,,$BV$19)*$BW$19+
INDEX($A91:$BM91,,$BV$20)*$BW$20+
INDEX($A91:$BM91,,$BV$21)*$BW$21+
INDEX($A91:$BM91,,$BV$22)*$BW$22+
INDEX($A91:$BM91,,$BV$23)*$BW$23+
INDEX($A91:$BM91,,$BV$25)*$BW$25+
INDEX($A91:$BM91,,$BV$26)*$BW$26+
INDEX($A91:$BM91,,$BV$27)*$BW$27+
$BN91)),
$BN91-100)</f>
        <v>8.9999999999999998E-4</v>
      </c>
      <c r="AT91" t="str">
        <f t="shared" si="18"/>
        <v/>
      </c>
      <c r="AU91" t="str">
        <f t="shared" si="19"/>
        <v/>
      </c>
      <c r="AV91" s="430">
        <f>IFERROR(
IF(AT91="",-100,
IF($BV$2&gt;0, INDEX(Beersheet!$A:$U,MATCH(AT91,INDEX(Beersheet!$A:$U,0,FFARawStatProjections!$BV$2),0),$BV$3)+$BN91,
INDEX($A91:$BM91,,$BV$12)*$BW$12+
INDEX($A91:$BM91,,$BV$15)*$BW$15+
INDEX($A91:$BM91,,$BV$16)*$BW$16+
INDEX($A91:$BM91,,$BV$17)*$BW$17+
INDEX($A91:$BM91,,$BV$18)*$BW$18+
INDEX($A91:$BM91,,$BV$19)*$BW$19+
INDEX($A91:$BM91,,$BV$20)*$BW$20+
INDEX($A91:$BM91,,$BV$21)*$BW$21+
INDEX($A91:$BM91,,$BV$22)*$BW$22+
INDEX($A91:$BM91,,$BV$23)*$BW$23+
INDEX($A91:$BM91,,$BV$25)*$BW$25+
INDEX($A91:$BM91,,$BV$26)*$BW$26+
INDEX($A91:$BM91,,$BV$27)*$BW$27+
$BN91)),
$BN91-100)</f>
        <v>-100</v>
      </c>
      <c r="AX91" t="str">
        <f t="shared" si="20"/>
        <v/>
      </c>
      <c r="AY91" t="str">
        <f t="shared" si="21"/>
        <v/>
      </c>
      <c r="AZ91" s="430">
        <f>IFERROR(
IF(AX91="",-100,
IF($BV$2&gt;0, INDEX(Beersheet!$A:$U,MATCH(AX91,INDEX(Beersheet!$A:$U,0,FFARawStatProjections!$BV$2),0),$BV$3)+$BN91,
INDEX($A91:$BM91,,$BV$12)*$BW$12+
INDEX($A91:$BM91,,$BV$15)*$BW$15+
INDEX($A91:$BM91,,$BV$16)*$BW$16+
INDEX($A91:$BM91,,$BV$17)*$BW$17+
INDEX($A91:$BM91,,$BV$18)*$BW$18+
INDEX($A91:$BM91,,$BV$19)*$BW$19+
INDEX($A91:$BM91,,$BV$20)*$BW$20+
INDEX($A91:$BM91,,$BV$21)*$BW$21+
INDEX($A91:$BM91,,$BV$22)*$BW$22+
INDEX($A91:$BM91,,$BV$23)*$BW$23+
INDEX($A91:$BM91,,$BV$25)*$BW$25+
INDEX($A91:$BM91,,$BV$26)*$BW$26+
INDEX($A91:$BM91,,$BV$27)*$BW$27+
$BN91)),
$BN91-100)</f>
        <v>-100</v>
      </c>
      <c r="BB91" t="str">
        <f t="shared" si="22"/>
        <v/>
      </c>
      <c r="BC91" t="str">
        <f t="shared" si="15"/>
        <v/>
      </c>
      <c r="BD91" s="430">
        <f>IFERROR(
IF(BB91="",-100,
IF($BV$2&gt;0, INDEX(Beersheet!$A:$U,MATCH(BB91,INDEX(Beersheet!$A:$U,0,FFARawStatProjections!$BV$2),0),$BV$3)+$BN91,
INDEX($A91:$BM91,,$BV$12)*$BW$12+
INDEX($A91:$BM91,,$BV$15)*$BW$15+
INDEX($A91:$BM91,,$BV$16)*$BW$16+
INDEX($A91:$BM91,,$BV$17)*$BW$17+
INDEX($A91:$BM91,,$BV$18)*$BW$18+
INDEX($A91:$BM91,,$BV$19)*$BW$19+
INDEX($A91:$BM91,,$BV$20)*$BW$20+
INDEX($A91:$BM91,,$BV$21)*$BW$21+
INDEX($A91:$BM91,,$BV$22)*$BW$22+
INDEX($A91:$BM91,,$BV$23)*$BW$23+
INDEX($A91:$BM91,,$BV$25)*$BW$25+
INDEX($A91:$BM91,,$BV$26)*$BW$26+
INDEX($A91:$BM91,,$BV$27)*$BW$27+
$BN91)),
$BN91-100)</f>
        <v>-100</v>
      </c>
      <c r="BF91" t="str">
        <f t="shared" si="23"/>
        <v/>
      </c>
      <c r="BG91" t="str">
        <f t="shared" si="24"/>
        <v/>
      </c>
      <c r="BH91">
        <f t="shared" si="25"/>
        <v>0</v>
      </c>
      <c r="BJ91" t="str">
        <f t="shared" si="26"/>
        <v/>
      </c>
      <c r="BL91">
        <f t="shared" si="16"/>
        <v>0</v>
      </c>
      <c r="BN91">
        <v>8.9999999999999998E-4</v>
      </c>
      <c r="BS91" s="4" t="s">
        <v>2515</v>
      </c>
    </row>
    <row r="92" spans="1:71" ht="15.75" thickBot="1" x14ac:dyDescent="0.3">
      <c r="A92" s="569"/>
      <c r="B92" s="569"/>
      <c r="C92" s="569" t="s">
        <v>1</v>
      </c>
      <c r="D92" s="574"/>
      <c r="E92" s="569"/>
      <c r="F92" s="569"/>
      <c r="G92" s="569"/>
      <c r="H92" s="569"/>
      <c r="I92" s="574"/>
      <c r="J92" s="574"/>
      <c r="K92" s="574"/>
      <c r="L92" s="574">
        <v>0</v>
      </c>
      <c r="M92" s="574">
        <v>0</v>
      </c>
      <c r="N92" s="574">
        <v>0</v>
      </c>
      <c r="O92" s="574"/>
      <c r="P92" s="574"/>
      <c r="Q92" s="574"/>
      <c r="R92" s="569"/>
      <c r="S92" s="569"/>
      <c r="T92" s="569"/>
      <c r="U92" s="569"/>
      <c r="V92" s="569"/>
      <c r="W92" s="569"/>
      <c r="X92" s="569"/>
      <c r="Y92" s="569"/>
      <c r="Z92" s="569"/>
      <c r="AA92" s="569"/>
      <c r="AB92" s="569"/>
      <c r="AC92" s="569"/>
      <c r="AD92" s="569"/>
      <c r="AE92" s="569"/>
      <c r="AF92" s="569"/>
      <c r="AG92" s="569"/>
      <c r="AH92" s="569"/>
      <c r="AI92" s="569"/>
      <c r="AJ92" s="569"/>
      <c r="AK92" s="569"/>
      <c r="AL92" s="569"/>
      <c r="AM92" s="569"/>
      <c r="AN92" s="574"/>
      <c r="AO92">
        <v>91</v>
      </c>
      <c r="AP92">
        <f t="shared" si="27"/>
        <v>0</v>
      </c>
      <c r="AQ92">
        <f t="shared" si="17"/>
        <v>0</v>
      </c>
      <c r="AR92" s="430">
        <f>IFERROR(
IF(AP92="",-100,
IF($BV$2&gt;0, INDEX(Beersheet!$A:$U,MATCH(AP92,INDEX(Beersheet!$A:$U,0,FFARawStatProjections!$BV$2),0),$BV$3)+$BN92,
INDEX($A92:$BM92,,$BV$12)*$BW$12+
INDEX($A92:$BM92,,$BV$15)*$BW$15+
INDEX($A92:$BM92,,$BV$16)*$BW$16+
INDEX($A92:$BM92,,$BV$17)*$BW$17+
INDEX($A92:$BM92,,$BV$18)*$BW$18+
INDEX($A92:$BM92,,$BV$19)*$BW$19+
INDEX($A92:$BM92,,$BV$20)*$BW$20+
INDEX($A92:$BM92,,$BV$21)*$BW$21+
INDEX($A92:$BM92,,$BV$22)*$BW$22+
INDEX($A92:$BM92,,$BV$23)*$BW$23+
INDEX($A92:$BM92,,$BV$25)*$BW$25+
INDEX($A92:$BM92,,$BV$26)*$BW$26+
INDEX($A92:$BM92,,$BV$27)*$BW$27+
$BN92)),
$BN92-100)</f>
        <v>9.1E-4</v>
      </c>
      <c r="AT92" t="str">
        <f t="shared" si="18"/>
        <v/>
      </c>
      <c r="AU92" t="str">
        <f t="shared" si="19"/>
        <v/>
      </c>
      <c r="AV92" s="430">
        <f>IFERROR(
IF(AT92="",-100,
IF($BV$2&gt;0, INDEX(Beersheet!$A:$U,MATCH(AT92,INDEX(Beersheet!$A:$U,0,FFARawStatProjections!$BV$2),0),$BV$3)+$BN92,
INDEX($A92:$BM92,,$BV$12)*$BW$12+
INDEX($A92:$BM92,,$BV$15)*$BW$15+
INDEX($A92:$BM92,,$BV$16)*$BW$16+
INDEX($A92:$BM92,,$BV$17)*$BW$17+
INDEX($A92:$BM92,,$BV$18)*$BW$18+
INDEX($A92:$BM92,,$BV$19)*$BW$19+
INDEX($A92:$BM92,,$BV$20)*$BW$20+
INDEX($A92:$BM92,,$BV$21)*$BW$21+
INDEX($A92:$BM92,,$BV$22)*$BW$22+
INDEX($A92:$BM92,,$BV$23)*$BW$23+
INDEX($A92:$BM92,,$BV$25)*$BW$25+
INDEX($A92:$BM92,,$BV$26)*$BW$26+
INDEX($A92:$BM92,,$BV$27)*$BW$27+
$BN92)),
$BN92-100)</f>
        <v>-100</v>
      </c>
      <c r="AX92" t="str">
        <f t="shared" si="20"/>
        <v/>
      </c>
      <c r="AY92" t="str">
        <f t="shared" si="21"/>
        <v/>
      </c>
      <c r="AZ92" s="430">
        <f>IFERROR(
IF(AX92="",-100,
IF($BV$2&gt;0, INDEX(Beersheet!$A:$U,MATCH(AX92,INDEX(Beersheet!$A:$U,0,FFARawStatProjections!$BV$2),0),$BV$3)+$BN92,
INDEX($A92:$BM92,,$BV$12)*$BW$12+
INDEX($A92:$BM92,,$BV$15)*$BW$15+
INDEX($A92:$BM92,,$BV$16)*$BW$16+
INDEX($A92:$BM92,,$BV$17)*$BW$17+
INDEX($A92:$BM92,,$BV$18)*$BW$18+
INDEX($A92:$BM92,,$BV$19)*$BW$19+
INDEX($A92:$BM92,,$BV$20)*$BW$20+
INDEX($A92:$BM92,,$BV$21)*$BW$21+
INDEX($A92:$BM92,,$BV$22)*$BW$22+
INDEX($A92:$BM92,,$BV$23)*$BW$23+
INDEX($A92:$BM92,,$BV$25)*$BW$25+
INDEX($A92:$BM92,,$BV$26)*$BW$26+
INDEX($A92:$BM92,,$BV$27)*$BW$27+
$BN92)),
$BN92-100)</f>
        <v>-100</v>
      </c>
      <c r="BB92" t="str">
        <f t="shared" si="22"/>
        <v/>
      </c>
      <c r="BC92" t="str">
        <f t="shared" si="15"/>
        <v/>
      </c>
      <c r="BD92" s="430">
        <f>IFERROR(
IF(BB92="",-100,
IF($BV$2&gt;0, INDEX(Beersheet!$A:$U,MATCH(BB92,INDEX(Beersheet!$A:$U,0,FFARawStatProjections!$BV$2),0),$BV$3)+$BN92,
INDEX($A92:$BM92,,$BV$12)*$BW$12+
INDEX($A92:$BM92,,$BV$15)*$BW$15+
INDEX($A92:$BM92,,$BV$16)*$BW$16+
INDEX($A92:$BM92,,$BV$17)*$BW$17+
INDEX($A92:$BM92,,$BV$18)*$BW$18+
INDEX($A92:$BM92,,$BV$19)*$BW$19+
INDEX($A92:$BM92,,$BV$20)*$BW$20+
INDEX($A92:$BM92,,$BV$21)*$BW$21+
INDEX($A92:$BM92,,$BV$22)*$BW$22+
INDEX($A92:$BM92,,$BV$23)*$BW$23+
INDEX($A92:$BM92,,$BV$25)*$BW$25+
INDEX($A92:$BM92,,$BV$26)*$BW$26+
INDEX($A92:$BM92,,$BV$27)*$BW$27+
$BN92)),
$BN92-100)</f>
        <v>-100</v>
      </c>
      <c r="BF92" t="str">
        <f t="shared" si="23"/>
        <v/>
      </c>
      <c r="BG92" t="str">
        <f t="shared" si="24"/>
        <v/>
      </c>
      <c r="BH92">
        <f t="shared" si="25"/>
        <v>0</v>
      </c>
      <c r="BJ92" t="str">
        <f t="shared" si="26"/>
        <v/>
      </c>
      <c r="BL92">
        <f t="shared" si="16"/>
        <v>0</v>
      </c>
      <c r="BN92">
        <v>9.1E-4</v>
      </c>
      <c r="BS92" s="4" t="s">
        <v>159</v>
      </c>
    </row>
    <row r="93" spans="1:71" ht="15.75" thickBot="1" x14ac:dyDescent="0.3">
      <c r="A93" s="569"/>
      <c r="B93" s="569"/>
      <c r="C93" s="569" t="s">
        <v>1</v>
      </c>
      <c r="D93" s="574"/>
      <c r="E93" s="569"/>
      <c r="F93" s="569"/>
      <c r="G93" s="569"/>
      <c r="H93" s="569"/>
      <c r="I93" s="574"/>
      <c r="J93" s="574"/>
      <c r="K93" s="574"/>
      <c r="L93" s="574">
        <v>0</v>
      </c>
      <c r="M93" s="574">
        <v>0</v>
      </c>
      <c r="N93" s="574">
        <v>0</v>
      </c>
      <c r="O93" s="574"/>
      <c r="P93" s="574"/>
      <c r="Q93" s="574"/>
      <c r="R93" s="569"/>
      <c r="S93" s="569"/>
      <c r="T93" s="569"/>
      <c r="U93" s="569"/>
      <c r="V93" s="569"/>
      <c r="W93" s="569"/>
      <c r="X93" s="569"/>
      <c r="Y93" s="569"/>
      <c r="Z93" s="569"/>
      <c r="AA93" s="569"/>
      <c r="AB93" s="569"/>
      <c r="AC93" s="569"/>
      <c r="AD93" s="569"/>
      <c r="AE93" s="569"/>
      <c r="AF93" s="569"/>
      <c r="AG93" s="569"/>
      <c r="AH93" s="569"/>
      <c r="AI93" s="569"/>
      <c r="AJ93" s="569"/>
      <c r="AK93" s="569"/>
      <c r="AL93" s="569"/>
      <c r="AM93" s="569"/>
      <c r="AN93" s="574"/>
      <c r="AO93">
        <v>92</v>
      </c>
      <c r="AP93">
        <f t="shared" si="27"/>
        <v>0</v>
      </c>
      <c r="AQ93">
        <f t="shared" si="17"/>
        <v>0</v>
      </c>
      <c r="AR93" s="430">
        <f>IFERROR(
IF(AP93="",-100,
IF($BV$2&gt;0, INDEX(Beersheet!$A:$U,MATCH(AP93,INDEX(Beersheet!$A:$U,0,FFARawStatProjections!$BV$2),0),$BV$3)+$BN93,
INDEX($A93:$BM93,,$BV$12)*$BW$12+
INDEX($A93:$BM93,,$BV$15)*$BW$15+
INDEX($A93:$BM93,,$BV$16)*$BW$16+
INDEX($A93:$BM93,,$BV$17)*$BW$17+
INDEX($A93:$BM93,,$BV$18)*$BW$18+
INDEX($A93:$BM93,,$BV$19)*$BW$19+
INDEX($A93:$BM93,,$BV$20)*$BW$20+
INDEX($A93:$BM93,,$BV$21)*$BW$21+
INDEX($A93:$BM93,,$BV$22)*$BW$22+
INDEX($A93:$BM93,,$BV$23)*$BW$23+
INDEX($A93:$BM93,,$BV$25)*$BW$25+
INDEX($A93:$BM93,,$BV$26)*$BW$26+
INDEX($A93:$BM93,,$BV$27)*$BW$27+
$BN93)),
$BN93-100)</f>
        <v>9.2000000000000003E-4</v>
      </c>
      <c r="AT93" t="str">
        <f t="shared" si="18"/>
        <v/>
      </c>
      <c r="AU93" t="str">
        <f t="shared" si="19"/>
        <v/>
      </c>
      <c r="AV93" s="430">
        <f>IFERROR(
IF(AT93="",-100,
IF($BV$2&gt;0, INDEX(Beersheet!$A:$U,MATCH(AT93,INDEX(Beersheet!$A:$U,0,FFARawStatProjections!$BV$2),0),$BV$3)+$BN93,
INDEX($A93:$BM93,,$BV$12)*$BW$12+
INDEX($A93:$BM93,,$BV$15)*$BW$15+
INDEX($A93:$BM93,,$BV$16)*$BW$16+
INDEX($A93:$BM93,,$BV$17)*$BW$17+
INDEX($A93:$BM93,,$BV$18)*$BW$18+
INDEX($A93:$BM93,,$BV$19)*$BW$19+
INDEX($A93:$BM93,,$BV$20)*$BW$20+
INDEX($A93:$BM93,,$BV$21)*$BW$21+
INDEX($A93:$BM93,,$BV$22)*$BW$22+
INDEX($A93:$BM93,,$BV$23)*$BW$23+
INDEX($A93:$BM93,,$BV$25)*$BW$25+
INDEX($A93:$BM93,,$BV$26)*$BW$26+
INDEX($A93:$BM93,,$BV$27)*$BW$27+
$BN93)),
$BN93-100)</f>
        <v>-100</v>
      </c>
      <c r="AX93" t="str">
        <f t="shared" si="20"/>
        <v/>
      </c>
      <c r="AY93" t="str">
        <f t="shared" si="21"/>
        <v/>
      </c>
      <c r="AZ93" s="430">
        <f>IFERROR(
IF(AX93="",-100,
IF($BV$2&gt;0, INDEX(Beersheet!$A:$U,MATCH(AX93,INDEX(Beersheet!$A:$U,0,FFARawStatProjections!$BV$2),0),$BV$3)+$BN93,
INDEX($A93:$BM93,,$BV$12)*$BW$12+
INDEX($A93:$BM93,,$BV$15)*$BW$15+
INDEX($A93:$BM93,,$BV$16)*$BW$16+
INDEX($A93:$BM93,,$BV$17)*$BW$17+
INDEX($A93:$BM93,,$BV$18)*$BW$18+
INDEX($A93:$BM93,,$BV$19)*$BW$19+
INDEX($A93:$BM93,,$BV$20)*$BW$20+
INDEX($A93:$BM93,,$BV$21)*$BW$21+
INDEX($A93:$BM93,,$BV$22)*$BW$22+
INDEX($A93:$BM93,,$BV$23)*$BW$23+
INDEX($A93:$BM93,,$BV$25)*$BW$25+
INDEX($A93:$BM93,,$BV$26)*$BW$26+
INDEX($A93:$BM93,,$BV$27)*$BW$27+
$BN93)),
$BN93-100)</f>
        <v>-100</v>
      </c>
      <c r="BB93" t="str">
        <f t="shared" si="22"/>
        <v/>
      </c>
      <c r="BC93" t="str">
        <f t="shared" si="15"/>
        <v/>
      </c>
      <c r="BD93" s="430">
        <f>IFERROR(
IF(BB93="",-100,
IF($BV$2&gt;0, INDEX(Beersheet!$A:$U,MATCH(BB93,INDEX(Beersheet!$A:$U,0,FFARawStatProjections!$BV$2),0),$BV$3)+$BN93,
INDEX($A93:$BM93,,$BV$12)*$BW$12+
INDEX($A93:$BM93,,$BV$15)*$BW$15+
INDEX($A93:$BM93,,$BV$16)*$BW$16+
INDEX($A93:$BM93,,$BV$17)*$BW$17+
INDEX($A93:$BM93,,$BV$18)*$BW$18+
INDEX($A93:$BM93,,$BV$19)*$BW$19+
INDEX($A93:$BM93,,$BV$20)*$BW$20+
INDEX($A93:$BM93,,$BV$21)*$BW$21+
INDEX($A93:$BM93,,$BV$22)*$BW$22+
INDEX($A93:$BM93,,$BV$23)*$BW$23+
INDEX($A93:$BM93,,$BV$25)*$BW$25+
INDEX($A93:$BM93,,$BV$26)*$BW$26+
INDEX($A93:$BM93,,$BV$27)*$BW$27+
$BN93)),
$BN93-100)</f>
        <v>-100</v>
      </c>
      <c r="BF93" t="str">
        <f t="shared" si="23"/>
        <v/>
      </c>
      <c r="BG93" t="str">
        <f t="shared" si="24"/>
        <v/>
      </c>
      <c r="BH93">
        <f t="shared" si="25"/>
        <v>0</v>
      </c>
      <c r="BJ93" t="str">
        <f t="shared" si="26"/>
        <v/>
      </c>
      <c r="BL93">
        <f t="shared" si="16"/>
        <v>0</v>
      </c>
      <c r="BN93">
        <v>9.2000000000000003E-4</v>
      </c>
      <c r="BS93" s="4" t="s">
        <v>1221</v>
      </c>
    </row>
    <row r="94" spans="1:71" ht="15.75" thickBot="1" x14ac:dyDescent="0.3">
      <c r="A94" s="569"/>
      <c r="B94" s="569"/>
      <c r="C94" s="569" t="s">
        <v>1</v>
      </c>
      <c r="D94" s="574"/>
      <c r="E94" s="569"/>
      <c r="F94" s="569"/>
      <c r="G94" s="569"/>
      <c r="H94" s="569"/>
      <c r="I94" s="574"/>
      <c r="J94" s="574"/>
      <c r="K94" s="574"/>
      <c r="L94" s="574">
        <v>0</v>
      </c>
      <c r="M94" s="574">
        <v>0</v>
      </c>
      <c r="N94" s="574">
        <v>0</v>
      </c>
      <c r="O94" s="574"/>
      <c r="P94" s="574"/>
      <c r="Q94" s="574"/>
      <c r="R94" s="569"/>
      <c r="S94" s="569"/>
      <c r="T94" s="569"/>
      <c r="U94" s="569"/>
      <c r="V94" s="569"/>
      <c r="W94" s="569"/>
      <c r="X94" s="569"/>
      <c r="Y94" s="569"/>
      <c r="Z94" s="569"/>
      <c r="AA94" s="569"/>
      <c r="AB94" s="569"/>
      <c r="AC94" s="569"/>
      <c r="AD94" s="569"/>
      <c r="AE94" s="569"/>
      <c r="AF94" s="569"/>
      <c r="AG94" s="569"/>
      <c r="AH94" s="569"/>
      <c r="AI94" s="569"/>
      <c r="AJ94" s="569"/>
      <c r="AK94" s="569"/>
      <c r="AL94" s="569"/>
      <c r="AM94" s="569"/>
      <c r="AN94" s="574"/>
      <c r="AO94">
        <v>93</v>
      </c>
      <c r="AP94">
        <f t="shared" si="27"/>
        <v>0</v>
      </c>
      <c r="AQ94">
        <f t="shared" si="17"/>
        <v>0</v>
      </c>
      <c r="AR94" s="430">
        <f>IFERROR(
IF(AP94="",-100,
IF($BV$2&gt;0, INDEX(Beersheet!$A:$U,MATCH(AP94,INDEX(Beersheet!$A:$U,0,FFARawStatProjections!$BV$2),0),$BV$3)+$BN94,
INDEX($A94:$BM94,,$BV$12)*$BW$12+
INDEX($A94:$BM94,,$BV$15)*$BW$15+
INDEX($A94:$BM94,,$BV$16)*$BW$16+
INDEX($A94:$BM94,,$BV$17)*$BW$17+
INDEX($A94:$BM94,,$BV$18)*$BW$18+
INDEX($A94:$BM94,,$BV$19)*$BW$19+
INDEX($A94:$BM94,,$BV$20)*$BW$20+
INDEX($A94:$BM94,,$BV$21)*$BW$21+
INDEX($A94:$BM94,,$BV$22)*$BW$22+
INDEX($A94:$BM94,,$BV$23)*$BW$23+
INDEX($A94:$BM94,,$BV$25)*$BW$25+
INDEX($A94:$BM94,,$BV$26)*$BW$26+
INDEX($A94:$BM94,,$BV$27)*$BW$27+
$BN94)),
$BN94-100)</f>
        <v>9.3000000000000005E-4</v>
      </c>
      <c r="AT94" t="str">
        <f t="shared" si="18"/>
        <v/>
      </c>
      <c r="AU94" t="str">
        <f t="shared" si="19"/>
        <v/>
      </c>
      <c r="AV94" s="430">
        <f>IFERROR(
IF(AT94="",-100,
IF($BV$2&gt;0, INDEX(Beersheet!$A:$U,MATCH(AT94,INDEX(Beersheet!$A:$U,0,FFARawStatProjections!$BV$2),0),$BV$3)+$BN94,
INDEX($A94:$BM94,,$BV$12)*$BW$12+
INDEX($A94:$BM94,,$BV$15)*$BW$15+
INDEX($A94:$BM94,,$BV$16)*$BW$16+
INDEX($A94:$BM94,,$BV$17)*$BW$17+
INDEX($A94:$BM94,,$BV$18)*$BW$18+
INDEX($A94:$BM94,,$BV$19)*$BW$19+
INDEX($A94:$BM94,,$BV$20)*$BW$20+
INDEX($A94:$BM94,,$BV$21)*$BW$21+
INDEX($A94:$BM94,,$BV$22)*$BW$22+
INDEX($A94:$BM94,,$BV$23)*$BW$23+
INDEX($A94:$BM94,,$BV$25)*$BW$25+
INDEX($A94:$BM94,,$BV$26)*$BW$26+
INDEX($A94:$BM94,,$BV$27)*$BW$27+
$BN94)),
$BN94-100)</f>
        <v>-100</v>
      </c>
      <c r="AX94" t="str">
        <f t="shared" si="20"/>
        <v/>
      </c>
      <c r="AY94" t="str">
        <f t="shared" si="21"/>
        <v/>
      </c>
      <c r="AZ94" s="430">
        <f>IFERROR(
IF(AX94="",-100,
IF($BV$2&gt;0, INDEX(Beersheet!$A:$U,MATCH(AX94,INDEX(Beersheet!$A:$U,0,FFARawStatProjections!$BV$2),0),$BV$3)+$BN94,
INDEX($A94:$BM94,,$BV$12)*$BW$12+
INDEX($A94:$BM94,,$BV$15)*$BW$15+
INDEX($A94:$BM94,,$BV$16)*$BW$16+
INDEX($A94:$BM94,,$BV$17)*$BW$17+
INDEX($A94:$BM94,,$BV$18)*$BW$18+
INDEX($A94:$BM94,,$BV$19)*$BW$19+
INDEX($A94:$BM94,,$BV$20)*$BW$20+
INDEX($A94:$BM94,,$BV$21)*$BW$21+
INDEX($A94:$BM94,,$BV$22)*$BW$22+
INDEX($A94:$BM94,,$BV$23)*$BW$23+
INDEX($A94:$BM94,,$BV$25)*$BW$25+
INDEX($A94:$BM94,,$BV$26)*$BW$26+
INDEX($A94:$BM94,,$BV$27)*$BW$27+
$BN94)),
$BN94-100)</f>
        <v>-100</v>
      </c>
      <c r="BB94" t="str">
        <f t="shared" si="22"/>
        <v/>
      </c>
      <c r="BC94" t="str">
        <f t="shared" si="15"/>
        <v/>
      </c>
      <c r="BD94" s="430">
        <f>IFERROR(
IF(BB94="",-100,
IF($BV$2&gt;0, INDEX(Beersheet!$A:$U,MATCH(BB94,INDEX(Beersheet!$A:$U,0,FFARawStatProjections!$BV$2),0),$BV$3)+$BN94,
INDEX($A94:$BM94,,$BV$12)*$BW$12+
INDEX($A94:$BM94,,$BV$15)*$BW$15+
INDEX($A94:$BM94,,$BV$16)*$BW$16+
INDEX($A94:$BM94,,$BV$17)*$BW$17+
INDEX($A94:$BM94,,$BV$18)*$BW$18+
INDEX($A94:$BM94,,$BV$19)*$BW$19+
INDEX($A94:$BM94,,$BV$20)*$BW$20+
INDEX($A94:$BM94,,$BV$21)*$BW$21+
INDEX($A94:$BM94,,$BV$22)*$BW$22+
INDEX($A94:$BM94,,$BV$23)*$BW$23+
INDEX($A94:$BM94,,$BV$25)*$BW$25+
INDEX($A94:$BM94,,$BV$26)*$BW$26+
INDEX($A94:$BM94,,$BV$27)*$BW$27+
$BN94)),
$BN94-100)</f>
        <v>-100</v>
      </c>
      <c r="BF94" t="str">
        <f t="shared" si="23"/>
        <v/>
      </c>
      <c r="BG94" t="str">
        <f t="shared" si="24"/>
        <v/>
      </c>
      <c r="BH94">
        <f t="shared" si="25"/>
        <v>0</v>
      </c>
      <c r="BJ94" t="str">
        <f t="shared" si="26"/>
        <v/>
      </c>
      <c r="BL94">
        <f t="shared" si="16"/>
        <v>0</v>
      </c>
      <c r="BN94">
        <v>9.3000000000000005E-4</v>
      </c>
      <c r="BS94" s="4" t="s">
        <v>2514</v>
      </c>
    </row>
    <row r="95" spans="1:71" ht="15.75" thickBot="1" x14ac:dyDescent="0.3">
      <c r="A95" s="569"/>
      <c r="B95" s="569"/>
      <c r="C95" s="569" t="s">
        <v>1</v>
      </c>
      <c r="D95" s="574"/>
      <c r="E95" s="569"/>
      <c r="F95" s="569"/>
      <c r="G95" s="569"/>
      <c r="H95" s="569"/>
      <c r="I95" s="574"/>
      <c r="J95" s="574"/>
      <c r="K95" s="574"/>
      <c r="L95" s="574">
        <v>0</v>
      </c>
      <c r="M95" s="574">
        <v>0</v>
      </c>
      <c r="N95" s="574">
        <v>0</v>
      </c>
      <c r="O95" s="574"/>
      <c r="P95" s="574"/>
      <c r="Q95" s="574"/>
      <c r="R95" s="569"/>
      <c r="S95" s="569"/>
      <c r="T95" s="569"/>
      <c r="U95" s="569"/>
      <c r="V95" s="569"/>
      <c r="W95" s="569"/>
      <c r="X95" s="569"/>
      <c r="Y95" s="569"/>
      <c r="Z95" s="569"/>
      <c r="AA95" s="569"/>
      <c r="AB95" s="569"/>
      <c r="AC95" s="569"/>
      <c r="AD95" s="569"/>
      <c r="AE95" s="569"/>
      <c r="AF95" s="569"/>
      <c r="AG95" s="569"/>
      <c r="AH95" s="569"/>
      <c r="AI95" s="569"/>
      <c r="AJ95" s="569"/>
      <c r="AK95" s="569"/>
      <c r="AL95" s="569"/>
      <c r="AM95" s="569"/>
      <c r="AN95" s="574"/>
      <c r="AO95">
        <v>94</v>
      </c>
      <c r="AP95">
        <f t="shared" si="27"/>
        <v>0</v>
      </c>
      <c r="AQ95">
        <f t="shared" si="17"/>
        <v>0</v>
      </c>
      <c r="AR95" s="430">
        <f>IFERROR(
IF(AP95="",-100,
IF($BV$2&gt;0, INDEX(Beersheet!$A:$U,MATCH(AP95,INDEX(Beersheet!$A:$U,0,FFARawStatProjections!$BV$2),0),$BV$3)+$BN95,
INDEX($A95:$BM95,,$BV$12)*$BW$12+
INDEX($A95:$BM95,,$BV$15)*$BW$15+
INDEX($A95:$BM95,,$BV$16)*$BW$16+
INDEX($A95:$BM95,,$BV$17)*$BW$17+
INDEX($A95:$BM95,,$BV$18)*$BW$18+
INDEX($A95:$BM95,,$BV$19)*$BW$19+
INDEX($A95:$BM95,,$BV$20)*$BW$20+
INDEX($A95:$BM95,,$BV$21)*$BW$21+
INDEX($A95:$BM95,,$BV$22)*$BW$22+
INDEX($A95:$BM95,,$BV$23)*$BW$23+
INDEX($A95:$BM95,,$BV$25)*$BW$25+
INDEX($A95:$BM95,,$BV$26)*$BW$26+
INDEX($A95:$BM95,,$BV$27)*$BW$27+
$BN95)),
$BN95-100)</f>
        <v>9.3999999999999997E-4</v>
      </c>
      <c r="AT95" t="str">
        <f t="shared" si="18"/>
        <v/>
      </c>
      <c r="AU95" t="str">
        <f t="shared" si="19"/>
        <v/>
      </c>
      <c r="AV95" s="430">
        <f>IFERROR(
IF(AT95="",-100,
IF($BV$2&gt;0, INDEX(Beersheet!$A:$U,MATCH(AT95,INDEX(Beersheet!$A:$U,0,FFARawStatProjections!$BV$2),0),$BV$3)+$BN95,
INDEX($A95:$BM95,,$BV$12)*$BW$12+
INDEX($A95:$BM95,,$BV$15)*$BW$15+
INDEX($A95:$BM95,,$BV$16)*$BW$16+
INDEX($A95:$BM95,,$BV$17)*$BW$17+
INDEX($A95:$BM95,,$BV$18)*$BW$18+
INDEX($A95:$BM95,,$BV$19)*$BW$19+
INDEX($A95:$BM95,,$BV$20)*$BW$20+
INDEX($A95:$BM95,,$BV$21)*$BW$21+
INDEX($A95:$BM95,,$BV$22)*$BW$22+
INDEX($A95:$BM95,,$BV$23)*$BW$23+
INDEX($A95:$BM95,,$BV$25)*$BW$25+
INDEX($A95:$BM95,,$BV$26)*$BW$26+
INDEX($A95:$BM95,,$BV$27)*$BW$27+
$BN95)),
$BN95-100)</f>
        <v>-100</v>
      </c>
      <c r="AX95" t="str">
        <f t="shared" si="20"/>
        <v/>
      </c>
      <c r="AY95" t="str">
        <f t="shared" si="21"/>
        <v/>
      </c>
      <c r="AZ95" s="430">
        <f>IFERROR(
IF(AX95="",-100,
IF($BV$2&gt;0, INDEX(Beersheet!$A:$U,MATCH(AX95,INDEX(Beersheet!$A:$U,0,FFARawStatProjections!$BV$2),0),$BV$3)+$BN95,
INDEX($A95:$BM95,,$BV$12)*$BW$12+
INDEX($A95:$BM95,,$BV$15)*$BW$15+
INDEX($A95:$BM95,,$BV$16)*$BW$16+
INDEX($A95:$BM95,,$BV$17)*$BW$17+
INDEX($A95:$BM95,,$BV$18)*$BW$18+
INDEX($A95:$BM95,,$BV$19)*$BW$19+
INDEX($A95:$BM95,,$BV$20)*$BW$20+
INDEX($A95:$BM95,,$BV$21)*$BW$21+
INDEX($A95:$BM95,,$BV$22)*$BW$22+
INDEX($A95:$BM95,,$BV$23)*$BW$23+
INDEX($A95:$BM95,,$BV$25)*$BW$25+
INDEX($A95:$BM95,,$BV$26)*$BW$26+
INDEX($A95:$BM95,,$BV$27)*$BW$27+
$BN95)),
$BN95-100)</f>
        <v>-100</v>
      </c>
      <c r="BB95" t="str">
        <f t="shared" si="22"/>
        <v/>
      </c>
      <c r="BC95" t="str">
        <f t="shared" si="15"/>
        <v/>
      </c>
      <c r="BD95" s="430">
        <f>IFERROR(
IF(BB95="",-100,
IF($BV$2&gt;0, INDEX(Beersheet!$A:$U,MATCH(BB95,INDEX(Beersheet!$A:$U,0,FFARawStatProjections!$BV$2),0),$BV$3)+$BN95,
INDEX($A95:$BM95,,$BV$12)*$BW$12+
INDEX($A95:$BM95,,$BV$15)*$BW$15+
INDEX($A95:$BM95,,$BV$16)*$BW$16+
INDEX($A95:$BM95,,$BV$17)*$BW$17+
INDEX($A95:$BM95,,$BV$18)*$BW$18+
INDEX($A95:$BM95,,$BV$19)*$BW$19+
INDEX($A95:$BM95,,$BV$20)*$BW$20+
INDEX($A95:$BM95,,$BV$21)*$BW$21+
INDEX($A95:$BM95,,$BV$22)*$BW$22+
INDEX($A95:$BM95,,$BV$23)*$BW$23+
INDEX($A95:$BM95,,$BV$25)*$BW$25+
INDEX($A95:$BM95,,$BV$26)*$BW$26+
INDEX($A95:$BM95,,$BV$27)*$BW$27+
$BN95)),
$BN95-100)</f>
        <v>-100</v>
      </c>
      <c r="BF95" t="str">
        <f t="shared" si="23"/>
        <v/>
      </c>
      <c r="BG95" t="str">
        <f t="shared" si="24"/>
        <v/>
      </c>
      <c r="BH95">
        <f t="shared" si="25"/>
        <v>0</v>
      </c>
      <c r="BJ95" t="str">
        <f t="shared" si="26"/>
        <v/>
      </c>
      <c r="BL95">
        <f t="shared" si="16"/>
        <v>0</v>
      </c>
      <c r="BN95">
        <v>9.3999999999999997E-4</v>
      </c>
      <c r="BS95" s="4" t="s">
        <v>2152</v>
      </c>
    </row>
    <row r="96" spans="1:71" ht="15.75" thickBot="1" x14ac:dyDescent="0.3">
      <c r="A96" s="569"/>
      <c r="B96" s="569"/>
      <c r="C96" s="569" t="s">
        <v>1</v>
      </c>
      <c r="D96" s="574"/>
      <c r="E96" s="569"/>
      <c r="F96" s="569"/>
      <c r="G96" s="569"/>
      <c r="H96" s="569"/>
      <c r="I96" s="574"/>
      <c r="J96" s="574"/>
      <c r="K96" s="574"/>
      <c r="L96" s="574">
        <v>0</v>
      </c>
      <c r="M96" s="574">
        <v>0</v>
      </c>
      <c r="N96" s="574">
        <v>0</v>
      </c>
      <c r="O96" s="574"/>
      <c r="P96" s="574"/>
      <c r="Q96" s="574"/>
      <c r="R96" s="569"/>
      <c r="S96" s="569"/>
      <c r="T96" s="569"/>
      <c r="U96" s="569"/>
      <c r="V96" s="569"/>
      <c r="W96" s="569"/>
      <c r="X96" s="569"/>
      <c r="Y96" s="569"/>
      <c r="Z96" s="569"/>
      <c r="AA96" s="569"/>
      <c r="AB96" s="569"/>
      <c r="AC96" s="569"/>
      <c r="AD96" s="569"/>
      <c r="AE96" s="569"/>
      <c r="AF96" s="569"/>
      <c r="AG96" s="569"/>
      <c r="AH96" s="569"/>
      <c r="AI96" s="569"/>
      <c r="AJ96" s="569"/>
      <c r="AK96" s="569"/>
      <c r="AL96" s="569"/>
      <c r="AM96" s="569"/>
      <c r="AN96" s="574"/>
      <c r="AO96">
        <v>95</v>
      </c>
      <c r="AP96">
        <f t="shared" si="27"/>
        <v>0</v>
      </c>
      <c r="AQ96">
        <f t="shared" si="17"/>
        <v>0</v>
      </c>
      <c r="AR96" s="430">
        <f>IFERROR(
IF(AP96="",-100,
IF($BV$2&gt;0, INDEX(Beersheet!$A:$U,MATCH(AP96,INDEX(Beersheet!$A:$U,0,FFARawStatProjections!$BV$2),0),$BV$3)+$BN96,
INDEX($A96:$BM96,,$BV$12)*$BW$12+
INDEX($A96:$BM96,,$BV$15)*$BW$15+
INDEX($A96:$BM96,,$BV$16)*$BW$16+
INDEX($A96:$BM96,,$BV$17)*$BW$17+
INDEX($A96:$BM96,,$BV$18)*$BW$18+
INDEX($A96:$BM96,,$BV$19)*$BW$19+
INDEX($A96:$BM96,,$BV$20)*$BW$20+
INDEX($A96:$BM96,,$BV$21)*$BW$21+
INDEX($A96:$BM96,,$BV$22)*$BW$22+
INDEX($A96:$BM96,,$BV$23)*$BW$23+
INDEX($A96:$BM96,,$BV$25)*$BW$25+
INDEX($A96:$BM96,,$BV$26)*$BW$26+
INDEX($A96:$BM96,,$BV$27)*$BW$27+
$BN96)),
$BN96-100)</f>
        <v>9.5E-4</v>
      </c>
      <c r="AT96" t="str">
        <f t="shared" si="18"/>
        <v/>
      </c>
      <c r="AU96" t="str">
        <f t="shared" si="19"/>
        <v/>
      </c>
      <c r="AV96" s="430">
        <f>IFERROR(
IF(AT96="",-100,
IF($BV$2&gt;0, INDEX(Beersheet!$A:$U,MATCH(AT96,INDEX(Beersheet!$A:$U,0,FFARawStatProjections!$BV$2),0),$BV$3)+$BN96,
INDEX($A96:$BM96,,$BV$12)*$BW$12+
INDEX($A96:$BM96,,$BV$15)*$BW$15+
INDEX($A96:$BM96,,$BV$16)*$BW$16+
INDEX($A96:$BM96,,$BV$17)*$BW$17+
INDEX($A96:$BM96,,$BV$18)*$BW$18+
INDEX($A96:$BM96,,$BV$19)*$BW$19+
INDEX($A96:$BM96,,$BV$20)*$BW$20+
INDEX($A96:$BM96,,$BV$21)*$BW$21+
INDEX($A96:$BM96,,$BV$22)*$BW$22+
INDEX($A96:$BM96,,$BV$23)*$BW$23+
INDEX($A96:$BM96,,$BV$25)*$BW$25+
INDEX($A96:$BM96,,$BV$26)*$BW$26+
INDEX($A96:$BM96,,$BV$27)*$BW$27+
$BN96)),
$BN96-100)</f>
        <v>-100</v>
      </c>
      <c r="AX96" t="str">
        <f t="shared" si="20"/>
        <v/>
      </c>
      <c r="AY96" t="str">
        <f t="shared" si="21"/>
        <v/>
      </c>
      <c r="AZ96" s="430">
        <f>IFERROR(
IF(AX96="",-100,
IF($BV$2&gt;0, INDEX(Beersheet!$A:$U,MATCH(AX96,INDEX(Beersheet!$A:$U,0,FFARawStatProjections!$BV$2),0),$BV$3)+$BN96,
INDEX($A96:$BM96,,$BV$12)*$BW$12+
INDEX($A96:$BM96,,$BV$15)*$BW$15+
INDEX($A96:$BM96,,$BV$16)*$BW$16+
INDEX($A96:$BM96,,$BV$17)*$BW$17+
INDEX($A96:$BM96,,$BV$18)*$BW$18+
INDEX($A96:$BM96,,$BV$19)*$BW$19+
INDEX($A96:$BM96,,$BV$20)*$BW$20+
INDEX($A96:$BM96,,$BV$21)*$BW$21+
INDEX($A96:$BM96,,$BV$22)*$BW$22+
INDEX($A96:$BM96,,$BV$23)*$BW$23+
INDEX($A96:$BM96,,$BV$25)*$BW$25+
INDEX($A96:$BM96,,$BV$26)*$BW$26+
INDEX($A96:$BM96,,$BV$27)*$BW$27+
$BN96)),
$BN96-100)</f>
        <v>-100</v>
      </c>
      <c r="BB96" t="str">
        <f t="shared" si="22"/>
        <v/>
      </c>
      <c r="BC96" t="str">
        <f t="shared" si="15"/>
        <v/>
      </c>
      <c r="BD96" s="430">
        <f>IFERROR(
IF(BB96="",-100,
IF($BV$2&gt;0, INDEX(Beersheet!$A:$U,MATCH(BB96,INDEX(Beersheet!$A:$U,0,FFARawStatProjections!$BV$2),0),$BV$3)+$BN96,
INDEX($A96:$BM96,,$BV$12)*$BW$12+
INDEX($A96:$BM96,,$BV$15)*$BW$15+
INDEX($A96:$BM96,,$BV$16)*$BW$16+
INDEX($A96:$BM96,,$BV$17)*$BW$17+
INDEX($A96:$BM96,,$BV$18)*$BW$18+
INDEX($A96:$BM96,,$BV$19)*$BW$19+
INDEX($A96:$BM96,,$BV$20)*$BW$20+
INDEX($A96:$BM96,,$BV$21)*$BW$21+
INDEX($A96:$BM96,,$BV$22)*$BW$22+
INDEX($A96:$BM96,,$BV$23)*$BW$23+
INDEX($A96:$BM96,,$BV$25)*$BW$25+
INDEX($A96:$BM96,,$BV$26)*$BW$26+
INDEX($A96:$BM96,,$BV$27)*$BW$27+
$BN96)),
$BN96-100)</f>
        <v>-100</v>
      </c>
      <c r="BF96" t="str">
        <f t="shared" si="23"/>
        <v/>
      </c>
      <c r="BG96" t="str">
        <f t="shared" si="24"/>
        <v/>
      </c>
      <c r="BH96">
        <f t="shared" si="25"/>
        <v>0</v>
      </c>
      <c r="BJ96" t="str">
        <f t="shared" si="26"/>
        <v/>
      </c>
      <c r="BL96">
        <f t="shared" si="16"/>
        <v>0</v>
      </c>
      <c r="BN96">
        <v>9.5E-4</v>
      </c>
      <c r="BS96" s="4" t="s">
        <v>2079</v>
      </c>
    </row>
    <row r="97" spans="1:71" ht="15.75" thickBot="1" x14ac:dyDescent="0.3">
      <c r="A97" s="569"/>
      <c r="B97" s="569"/>
      <c r="C97" s="569" t="s">
        <v>1</v>
      </c>
      <c r="D97" s="574"/>
      <c r="E97" s="569"/>
      <c r="F97" s="569"/>
      <c r="G97" s="569"/>
      <c r="H97" s="569"/>
      <c r="I97" s="574"/>
      <c r="J97" s="574"/>
      <c r="K97" s="574"/>
      <c r="L97" s="574">
        <v>0</v>
      </c>
      <c r="M97" s="574">
        <v>0</v>
      </c>
      <c r="N97" s="574">
        <v>0</v>
      </c>
      <c r="O97" s="574"/>
      <c r="P97" s="574"/>
      <c r="Q97" s="574"/>
      <c r="R97" s="569"/>
      <c r="S97" s="569"/>
      <c r="T97" s="569"/>
      <c r="U97" s="569"/>
      <c r="V97" s="569"/>
      <c r="W97" s="569"/>
      <c r="X97" s="569"/>
      <c r="Y97" s="569"/>
      <c r="Z97" s="569"/>
      <c r="AA97" s="569"/>
      <c r="AB97" s="569"/>
      <c r="AC97" s="569"/>
      <c r="AD97" s="569"/>
      <c r="AE97" s="569"/>
      <c r="AF97" s="569"/>
      <c r="AG97" s="569"/>
      <c r="AH97" s="569"/>
      <c r="AI97" s="569"/>
      <c r="AJ97" s="569"/>
      <c r="AK97" s="569"/>
      <c r="AL97" s="569"/>
      <c r="AM97" s="569"/>
      <c r="AN97" s="574"/>
      <c r="AO97">
        <v>96</v>
      </c>
      <c r="AP97">
        <f t="shared" si="27"/>
        <v>0</v>
      </c>
      <c r="AQ97">
        <f t="shared" si="17"/>
        <v>0</v>
      </c>
      <c r="AR97" s="430">
        <f>IFERROR(
IF(AP97="",-100,
IF($BV$2&gt;0, INDEX(Beersheet!$A:$U,MATCH(AP97,INDEX(Beersheet!$A:$U,0,FFARawStatProjections!$BV$2),0),$BV$3)+$BN97,
INDEX($A97:$BM97,,$BV$12)*$BW$12+
INDEX($A97:$BM97,,$BV$15)*$BW$15+
INDEX($A97:$BM97,,$BV$16)*$BW$16+
INDEX($A97:$BM97,,$BV$17)*$BW$17+
INDEX($A97:$BM97,,$BV$18)*$BW$18+
INDEX($A97:$BM97,,$BV$19)*$BW$19+
INDEX($A97:$BM97,,$BV$20)*$BW$20+
INDEX($A97:$BM97,,$BV$21)*$BW$21+
INDEX($A97:$BM97,,$BV$22)*$BW$22+
INDEX($A97:$BM97,,$BV$23)*$BW$23+
INDEX($A97:$BM97,,$BV$25)*$BW$25+
INDEX($A97:$BM97,,$BV$26)*$BW$26+
INDEX($A97:$BM97,,$BV$27)*$BW$27+
$BN97)),
$BN97-100)</f>
        <v>9.6000000000000002E-4</v>
      </c>
      <c r="AT97" t="str">
        <f t="shared" si="18"/>
        <v/>
      </c>
      <c r="AU97" t="str">
        <f t="shared" si="19"/>
        <v/>
      </c>
      <c r="AV97" s="430">
        <f>IFERROR(
IF(AT97="",-100,
IF($BV$2&gt;0, INDEX(Beersheet!$A:$U,MATCH(AT97,INDEX(Beersheet!$A:$U,0,FFARawStatProjections!$BV$2),0),$BV$3)+$BN97,
INDEX($A97:$BM97,,$BV$12)*$BW$12+
INDEX($A97:$BM97,,$BV$15)*$BW$15+
INDEX($A97:$BM97,,$BV$16)*$BW$16+
INDEX($A97:$BM97,,$BV$17)*$BW$17+
INDEX($A97:$BM97,,$BV$18)*$BW$18+
INDEX($A97:$BM97,,$BV$19)*$BW$19+
INDEX($A97:$BM97,,$BV$20)*$BW$20+
INDEX($A97:$BM97,,$BV$21)*$BW$21+
INDEX($A97:$BM97,,$BV$22)*$BW$22+
INDEX($A97:$BM97,,$BV$23)*$BW$23+
INDEX($A97:$BM97,,$BV$25)*$BW$25+
INDEX($A97:$BM97,,$BV$26)*$BW$26+
INDEX($A97:$BM97,,$BV$27)*$BW$27+
$BN97)),
$BN97-100)</f>
        <v>-100</v>
      </c>
      <c r="AX97" t="str">
        <f t="shared" si="20"/>
        <v/>
      </c>
      <c r="AY97" t="str">
        <f t="shared" si="21"/>
        <v/>
      </c>
      <c r="AZ97" s="430">
        <f>IFERROR(
IF(AX97="",-100,
IF($BV$2&gt;0, INDEX(Beersheet!$A:$U,MATCH(AX97,INDEX(Beersheet!$A:$U,0,FFARawStatProjections!$BV$2),0),$BV$3)+$BN97,
INDEX($A97:$BM97,,$BV$12)*$BW$12+
INDEX($A97:$BM97,,$BV$15)*$BW$15+
INDEX($A97:$BM97,,$BV$16)*$BW$16+
INDEX($A97:$BM97,,$BV$17)*$BW$17+
INDEX($A97:$BM97,,$BV$18)*$BW$18+
INDEX($A97:$BM97,,$BV$19)*$BW$19+
INDEX($A97:$BM97,,$BV$20)*$BW$20+
INDEX($A97:$BM97,,$BV$21)*$BW$21+
INDEX($A97:$BM97,,$BV$22)*$BW$22+
INDEX($A97:$BM97,,$BV$23)*$BW$23+
INDEX($A97:$BM97,,$BV$25)*$BW$25+
INDEX($A97:$BM97,,$BV$26)*$BW$26+
INDEX($A97:$BM97,,$BV$27)*$BW$27+
$BN97)),
$BN97-100)</f>
        <v>-100</v>
      </c>
      <c r="BB97" t="str">
        <f t="shared" si="22"/>
        <v/>
      </c>
      <c r="BC97" t="str">
        <f t="shared" si="15"/>
        <v/>
      </c>
      <c r="BD97" s="430">
        <f>IFERROR(
IF(BB97="",-100,
IF($BV$2&gt;0, INDEX(Beersheet!$A:$U,MATCH(BB97,INDEX(Beersheet!$A:$U,0,FFARawStatProjections!$BV$2),0),$BV$3)+$BN97,
INDEX($A97:$BM97,,$BV$12)*$BW$12+
INDEX($A97:$BM97,,$BV$15)*$BW$15+
INDEX($A97:$BM97,,$BV$16)*$BW$16+
INDEX($A97:$BM97,,$BV$17)*$BW$17+
INDEX($A97:$BM97,,$BV$18)*$BW$18+
INDEX($A97:$BM97,,$BV$19)*$BW$19+
INDEX($A97:$BM97,,$BV$20)*$BW$20+
INDEX($A97:$BM97,,$BV$21)*$BW$21+
INDEX($A97:$BM97,,$BV$22)*$BW$22+
INDEX($A97:$BM97,,$BV$23)*$BW$23+
INDEX($A97:$BM97,,$BV$25)*$BW$25+
INDEX($A97:$BM97,,$BV$26)*$BW$26+
INDEX($A97:$BM97,,$BV$27)*$BW$27+
$BN97)),
$BN97-100)</f>
        <v>-100</v>
      </c>
      <c r="BF97" t="str">
        <f t="shared" si="23"/>
        <v/>
      </c>
      <c r="BG97" t="str">
        <f t="shared" si="24"/>
        <v/>
      </c>
      <c r="BH97">
        <f t="shared" si="25"/>
        <v>0</v>
      </c>
      <c r="BJ97" t="str">
        <f t="shared" si="26"/>
        <v/>
      </c>
      <c r="BL97">
        <f t="shared" si="16"/>
        <v>0</v>
      </c>
      <c r="BN97">
        <v>9.6000000000000002E-4</v>
      </c>
      <c r="BS97" s="4" t="s">
        <v>2513</v>
      </c>
    </row>
    <row r="98" spans="1:71" ht="15.75" thickBot="1" x14ac:dyDescent="0.3">
      <c r="A98" s="569"/>
      <c r="B98" s="569"/>
      <c r="C98" s="569" t="s">
        <v>1</v>
      </c>
      <c r="D98" s="574"/>
      <c r="E98" s="569"/>
      <c r="F98" s="569"/>
      <c r="G98" s="569"/>
      <c r="H98" s="569"/>
      <c r="I98" s="574"/>
      <c r="J98" s="574"/>
      <c r="K98" s="574"/>
      <c r="L98" s="574">
        <v>0</v>
      </c>
      <c r="M98" s="574">
        <v>0</v>
      </c>
      <c r="N98" s="574">
        <v>0</v>
      </c>
      <c r="O98" s="574"/>
      <c r="P98" s="574"/>
      <c r="Q98" s="574"/>
      <c r="R98" s="569"/>
      <c r="S98" s="569"/>
      <c r="T98" s="569"/>
      <c r="U98" s="569"/>
      <c r="V98" s="569"/>
      <c r="W98" s="569"/>
      <c r="X98" s="569"/>
      <c r="Y98" s="569"/>
      <c r="Z98" s="569"/>
      <c r="AA98" s="569"/>
      <c r="AB98" s="569"/>
      <c r="AC98" s="569"/>
      <c r="AD98" s="569"/>
      <c r="AE98" s="569"/>
      <c r="AF98" s="569"/>
      <c r="AG98" s="569"/>
      <c r="AH98" s="569"/>
      <c r="AI98" s="569"/>
      <c r="AJ98" s="569"/>
      <c r="AK98" s="569"/>
      <c r="AL98" s="569"/>
      <c r="AM98" s="569"/>
      <c r="AN98" s="574"/>
      <c r="AO98">
        <v>97</v>
      </c>
      <c r="AP98">
        <f t="shared" si="27"/>
        <v>0</v>
      </c>
      <c r="AQ98">
        <f t="shared" si="17"/>
        <v>0</v>
      </c>
      <c r="AR98" s="430">
        <f>IFERROR(
IF(AP98="",-100,
IF($BV$2&gt;0, INDEX(Beersheet!$A:$U,MATCH(AP98,INDEX(Beersheet!$A:$U,0,FFARawStatProjections!$BV$2),0),$BV$3)+$BN98,
INDEX($A98:$BM98,,$BV$12)*$BW$12+
INDEX($A98:$BM98,,$BV$15)*$BW$15+
INDEX($A98:$BM98,,$BV$16)*$BW$16+
INDEX($A98:$BM98,,$BV$17)*$BW$17+
INDEX($A98:$BM98,,$BV$18)*$BW$18+
INDEX($A98:$BM98,,$BV$19)*$BW$19+
INDEX($A98:$BM98,,$BV$20)*$BW$20+
INDEX($A98:$BM98,,$BV$21)*$BW$21+
INDEX($A98:$BM98,,$BV$22)*$BW$22+
INDEX($A98:$BM98,,$BV$23)*$BW$23+
INDEX($A98:$BM98,,$BV$25)*$BW$25+
INDEX($A98:$BM98,,$BV$26)*$BW$26+
INDEX($A98:$BM98,,$BV$27)*$BW$27+
$BN98)),
$BN98-100)</f>
        <v>9.7000000000000005E-4</v>
      </c>
      <c r="AT98" t="str">
        <f t="shared" si="18"/>
        <v/>
      </c>
      <c r="AU98" t="str">
        <f t="shared" si="19"/>
        <v/>
      </c>
      <c r="AV98" s="430">
        <f>IFERROR(
IF(AT98="",-100,
IF($BV$2&gt;0, INDEX(Beersheet!$A:$U,MATCH(AT98,INDEX(Beersheet!$A:$U,0,FFARawStatProjections!$BV$2),0),$BV$3)+$BN98,
INDEX($A98:$BM98,,$BV$12)*$BW$12+
INDEX($A98:$BM98,,$BV$15)*$BW$15+
INDEX($A98:$BM98,,$BV$16)*$BW$16+
INDEX($A98:$BM98,,$BV$17)*$BW$17+
INDEX($A98:$BM98,,$BV$18)*$BW$18+
INDEX($A98:$BM98,,$BV$19)*$BW$19+
INDEX($A98:$BM98,,$BV$20)*$BW$20+
INDEX($A98:$BM98,,$BV$21)*$BW$21+
INDEX($A98:$BM98,,$BV$22)*$BW$22+
INDEX($A98:$BM98,,$BV$23)*$BW$23+
INDEX($A98:$BM98,,$BV$25)*$BW$25+
INDEX($A98:$BM98,,$BV$26)*$BW$26+
INDEX($A98:$BM98,,$BV$27)*$BW$27+
$BN98)),
$BN98-100)</f>
        <v>-100</v>
      </c>
      <c r="AX98" t="str">
        <f t="shared" si="20"/>
        <v/>
      </c>
      <c r="AY98" t="str">
        <f t="shared" si="21"/>
        <v/>
      </c>
      <c r="AZ98" s="430">
        <f>IFERROR(
IF(AX98="",-100,
IF($BV$2&gt;0, INDEX(Beersheet!$A:$U,MATCH(AX98,INDEX(Beersheet!$A:$U,0,FFARawStatProjections!$BV$2),0),$BV$3)+$BN98,
INDEX($A98:$BM98,,$BV$12)*$BW$12+
INDEX($A98:$BM98,,$BV$15)*$BW$15+
INDEX($A98:$BM98,,$BV$16)*$BW$16+
INDEX($A98:$BM98,,$BV$17)*$BW$17+
INDEX($A98:$BM98,,$BV$18)*$BW$18+
INDEX($A98:$BM98,,$BV$19)*$BW$19+
INDEX($A98:$BM98,,$BV$20)*$BW$20+
INDEX($A98:$BM98,,$BV$21)*$BW$21+
INDEX($A98:$BM98,,$BV$22)*$BW$22+
INDEX($A98:$BM98,,$BV$23)*$BW$23+
INDEX($A98:$BM98,,$BV$25)*$BW$25+
INDEX($A98:$BM98,,$BV$26)*$BW$26+
INDEX($A98:$BM98,,$BV$27)*$BW$27+
$BN98)),
$BN98-100)</f>
        <v>-100</v>
      </c>
      <c r="BB98" t="str">
        <f t="shared" si="22"/>
        <v/>
      </c>
      <c r="BC98" t="str">
        <f t="shared" si="15"/>
        <v/>
      </c>
      <c r="BD98" s="430">
        <f>IFERROR(
IF(BB98="",-100,
IF($BV$2&gt;0, INDEX(Beersheet!$A:$U,MATCH(BB98,INDEX(Beersheet!$A:$U,0,FFARawStatProjections!$BV$2),0),$BV$3)+$BN98,
INDEX($A98:$BM98,,$BV$12)*$BW$12+
INDEX($A98:$BM98,,$BV$15)*$BW$15+
INDEX($A98:$BM98,,$BV$16)*$BW$16+
INDEX($A98:$BM98,,$BV$17)*$BW$17+
INDEX($A98:$BM98,,$BV$18)*$BW$18+
INDEX($A98:$BM98,,$BV$19)*$BW$19+
INDEX($A98:$BM98,,$BV$20)*$BW$20+
INDEX($A98:$BM98,,$BV$21)*$BW$21+
INDEX($A98:$BM98,,$BV$22)*$BW$22+
INDEX($A98:$BM98,,$BV$23)*$BW$23+
INDEX($A98:$BM98,,$BV$25)*$BW$25+
INDEX($A98:$BM98,,$BV$26)*$BW$26+
INDEX($A98:$BM98,,$BV$27)*$BW$27+
$BN98)),
$BN98-100)</f>
        <v>-100</v>
      </c>
      <c r="BF98" t="str">
        <f t="shared" si="23"/>
        <v/>
      </c>
      <c r="BG98" t="str">
        <f t="shared" si="24"/>
        <v/>
      </c>
      <c r="BH98">
        <f t="shared" si="25"/>
        <v>0</v>
      </c>
      <c r="BJ98" t="str">
        <f t="shared" si="26"/>
        <v/>
      </c>
      <c r="BL98">
        <f t="shared" si="16"/>
        <v>0</v>
      </c>
      <c r="BN98">
        <v>9.7000000000000005E-4</v>
      </c>
      <c r="BS98" s="4" t="s">
        <v>2512</v>
      </c>
    </row>
    <row r="99" spans="1:71" ht="15.75" thickBot="1" x14ac:dyDescent="0.3">
      <c r="A99" s="569"/>
      <c r="B99" s="569"/>
      <c r="C99" s="569" t="s">
        <v>1</v>
      </c>
      <c r="D99" s="569"/>
      <c r="E99" s="569"/>
      <c r="F99" s="569"/>
      <c r="G99" s="569"/>
      <c r="H99" s="569"/>
      <c r="I99" s="569"/>
      <c r="J99" s="569"/>
      <c r="K99" s="569"/>
      <c r="L99" s="574">
        <v>0</v>
      </c>
      <c r="M99" s="574">
        <v>0</v>
      </c>
      <c r="N99" s="574">
        <v>0</v>
      </c>
      <c r="O99" s="569"/>
      <c r="P99" s="569"/>
      <c r="Q99" s="569"/>
      <c r="R99" s="569"/>
      <c r="S99" s="569"/>
      <c r="T99" s="569"/>
      <c r="U99" s="569"/>
      <c r="V99" s="569"/>
      <c r="W99" s="569"/>
      <c r="X99" s="569"/>
      <c r="Y99" s="569"/>
      <c r="Z99" s="569"/>
      <c r="AA99" s="569"/>
      <c r="AB99" s="569"/>
      <c r="AC99" s="569"/>
      <c r="AD99" s="569"/>
      <c r="AE99" s="569"/>
      <c r="AF99" s="569"/>
      <c r="AG99" s="569"/>
      <c r="AH99" s="569"/>
      <c r="AI99" s="569"/>
      <c r="AJ99" s="569"/>
      <c r="AK99" s="569"/>
      <c r="AL99" s="569"/>
      <c r="AM99" s="569"/>
      <c r="AN99" s="569"/>
      <c r="AO99">
        <v>98</v>
      </c>
      <c r="AP99">
        <f t="shared" si="27"/>
        <v>0</v>
      </c>
      <c r="AQ99">
        <f t="shared" si="17"/>
        <v>0</v>
      </c>
      <c r="AR99" s="430">
        <f>IFERROR(
IF(AP99="",-100,
IF($BV$2&gt;0, INDEX(Beersheet!$A:$U,MATCH(AP99,INDEX(Beersheet!$A:$U,0,FFARawStatProjections!$BV$2),0),$BV$3)+$BN99,
INDEX($A99:$BM99,,$BV$12)*$BW$12+
INDEX($A99:$BM99,,$BV$15)*$BW$15+
INDEX($A99:$BM99,,$BV$16)*$BW$16+
INDEX($A99:$BM99,,$BV$17)*$BW$17+
INDEX($A99:$BM99,,$BV$18)*$BW$18+
INDEX($A99:$BM99,,$BV$19)*$BW$19+
INDEX($A99:$BM99,,$BV$20)*$BW$20+
INDEX($A99:$BM99,,$BV$21)*$BW$21+
INDEX($A99:$BM99,,$BV$22)*$BW$22+
INDEX($A99:$BM99,,$BV$23)*$BW$23+
INDEX($A99:$BM99,,$BV$25)*$BW$25+
INDEX($A99:$BM99,,$BV$26)*$BW$26+
INDEX($A99:$BM99,,$BV$27)*$BW$27+
$BN99)),
$BN99-100)</f>
        <v>9.7999999999999997E-4</v>
      </c>
      <c r="AT99" t="str">
        <f t="shared" si="18"/>
        <v/>
      </c>
      <c r="AU99" t="str">
        <f t="shared" si="19"/>
        <v/>
      </c>
      <c r="AV99" s="430">
        <f>IFERROR(
IF(AT99="",-100,
IF($BV$2&gt;0, INDEX(Beersheet!$A:$U,MATCH(AT99,INDEX(Beersheet!$A:$U,0,FFARawStatProjections!$BV$2),0),$BV$3)+$BN99,
INDEX($A99:$BM99,,$BV$12)*$BW$12+
INDEX($A99:$BM99,,$BV$15)*$BW$15+
INDEX($A99:$BM99,,$BV$16)*$BW$16+
INDEX($A99:$BM99,,$BV$17)*$BW$17+
INDEX($A99:$BM99,,$BV$18)*$BW$18+
INDEX($A99:$BM99,,$BV$19)*$BW$19+
INDEX($A99:$BM99,,$BV$20)*$BW$20+
INDEX($A99:$BM99,,$BV$21)*$BW$21+
INDEX($A99:$BM99,,$BV$22)*$BW$22+
INDEX($A99:$BM99,,$BV$23)*$BW$23+
INDEX($A99:$BM99,,$BV$25)*$BW$25+
INDEX($A99:$BM99,,$BV$26)*$BW$26+
INDEX($A99:$BM99,,$BV$27)*$BW$27+
$BN99)),
$BN99-100)</f>
        <v>-100</v>
      </c>
      <c r="AX99" t="str">
        <f t="shared" si="20"/>
        <v/>
      </c>
      <c r="AY99" t="str">
        <f t="shared" si="21"/>
        <v/>
      </c>
      <c r="AZ99" s="430">
        <f>IFERROR(
IF(AX99="",-100,
IF($BV$2&gt;0, INDEX(Beersheet!$A:$U,MATCH(AX99,INDEX(Beersheet!$A:$U,0,FFARawStatProjections!$BV$2),0),$BV$3)+$BN99,
INDEX($A99:$BM99,,$BV$12)*$BW$12+
INDEX($A99:$BM99,,$BV$15)*$BW$15+
INDEX($A99:$BM99,,$BV$16)*$BW$16+
INDEX($A99:$BM99,,$BV$17)*$BW$17+
INDEX($A99:$BM99,,$BV$18)*$BW$18+
INDEX($A99:$BM99,,$BV$19)*$BW$19+
INDEX($A99:$BM99,,$BV$20)*$BW$20+
INDEX($A99:$BM99,,$BV$21)*$BW$21+
INDEX($A99:$BM99,,$BV$22)*$BW$22+
INDEX($A99:$BM99,,$BV$23)*$BW$23+
INDEX($A99:$BM99,,$BV$25)*$BW$25+
INDEX($A99:$BM99,,$BV$26)*$BW$26+
INDEX($A99:$BM99,,$BV$27)*$BW$27+
$BN99)),
$BN99-100)</f>
        <v>-100</v>
      </c>
      <c r="BB99" t="str">
        <f t="shared" si="22"/>
        <v/>
      </c>
      <c r="BC99" t="str">
        <f t="shared" si="15"/>
        <v/>
      </c>
      <c r="BD99" s="430">
        <f>IFERROR(
IF(BB99="",-100,
IF($BV$2&gt;0, INDEX(Beersheet!$A:$U,MATCH(BB99,INDEX(Beersheet!$A:$U,0,FFARawStatProjections!$BV$2),0),$BV$3)+$BN99,
INDEX($A99:$BM99,,$BV$12)*$BW$12+
INDEX($A99:$BM99,,$BV$15)*$BW$15+
INDEX($A99:$BM99,,$BV$16)*$BW$16+
INDEX($A99:$BM99,,$BV$17)*$BW$17+
INDEX($A99:$BM99,,$BV$18)*$BW$18+
INDEX($A99:$BM99,,$BV$19)*$BW$19+
INDEX($A99:$BM99,,$BV$20)*$BW$20+
INDEX($A99:$BM99,,$BV$21)*$BW$21+
INDEX($A99:$BM99,,$BV$22)*$BW$22+
INDEX($A99:$BM99,,$BV$23)*$BW$23+
INDEX($A99:$BM99,,$BV$25)*$BW$25+
INDEX($A99:$BM99,,$BV$26)*$BW$26+
INDEX($A99:$BM99,,$BV$27)*$BW$27+
$BN99)),
$BN99-100)</f>
        <v>-100</v>
      </c>
      <c r="BF99" t="str">
        <f t="shared" si="23"/>
        <v/>
      </c>
      <c r="BG99" t="str">
        <f t="shared" si="24"/>
        <v/>
      </c>
      <c r="BH99">
        <f t="shared" si="25"/>
        <v>0</v>
      </c>
      <c r="BJ99" t="str">
        <f t="shared" si="26"/>
        <v/>
      </c>
      <c r="BL99">
        <f t="shared" si="16"/>
        <v>0</v>
      </c>
      <c r="BN99">
        <v>9.7999999999999997E-4</v>
      </c>
      <c r="BS99" s="4" t="s">
        <v>2367</v>
      </c>
    </row>
    <row r="100" spans="1:71" ht="15.75" thickBot="1" x14ac:dyDescent="0.3">
      <c r="A100" s="569"/>
      <c r="B100" s="569"/>
      <c r="C100" s="569" t="s">
        <v>1</v>
      </c>
      <c r="D100" s="569"/>
      <c r="E100" s="569"/>
      <c r="F100" s="569"/>
      <c r="G100" s="569"/>
      <c r="H100" s="569"/>
      <c r="I100" s="569"/>
      <c r="J100" s="569"/>
      <c r="K100" s="569"/>
      <c r="L100" s="574">
        <v>0</v>
      </c>
      <c r="M100" s="574">
        <v>0</v>
      </c>
      <c r="N100" s="574">
        <v>0</v>
      </c>
      <c r="O100" s="569"/>
      <c r="P100" s="569"/>
      <c r="Q100" s="569"/>
      <c r="R100" s="569"/>
      <c r="S100" s="569"/>
      <c r="T100" s="569"/>
      <c r="U100" s="569"/>
      <c r="V100" s="569"/>
      <c r="W100" s="569"/>
      <c r="X100" s="569"/>
      <c r="Y100" s="569"/>
      <c r="Z100" s="569"/>
      <c r="AA100" s="569"/>
      <c r="AB100" s="569"/>
      <c r="AC100" s="569"/>
      <c r="AD100" s="569"/>
      <c r="AE100" s="569"/>
      <c r="AF100" s="569"/>
      <c r="AG100" s="569"/>
      <c r="AH100" s="569"/>
      <c r="AI100" s="569"/>
      <c r="AJ100" s="569"/>
      <c r="AK100" s="569"/>
      <c r="AL100" s="569"/>
      <c r="AM100" s="569"/>
      <c r="AN100" s="569"/>
      <c r="AO100">
        <v>99</v>
      </c>
      <c r="AP100">
        <f t="shared" si="27"/>
        <v>0</v>
      </c>
      <c r="AQ100">
        <f t="shared" si="17"/>
        <v>0</v>
      </c>
      <c r="AR100" s="430">
        <f>IFERROR(
IF(AP100="",-100,
IF($BV$2&gt;0, INDEX(Beersheet!$A:$U,MATCH(AP100,INDEX(Beersheet!$A:$U,0,FFARawStatProjections!$BV$2),0),$BV$3)+$BN100,
INDEX($A100:$BM100,,$BV$12)*$BW$12+
INDEX($A100:$BM100,,$BV$15)*$BW$15+
INDEX($A100:$BM100,,$BV$16)*$BW$16+
INDEX($A100:$BM100,,$BV$17)*$BW$17+
INDEX($A100:$BM100,,$BV$18)*$BW$18+
INDEX($A100:$BM100,,$BV$19)*$BW$19+
INDEX($A100:$BM100,,$BV$20)*$BW$20+
INDEX($A100:$BM100,,$BV$21)*$BW$21+
INDEX($A100:$BM100,,$BV$22)*$BW$22+
INDEX($A100:$BM100,,$BV$23)*$BW$23+
INDEX($A100:$BM100,,$BV$25)*$BW$25+
INDEX($A100:$BM100,,$BV$26)*$BW$26+
INDEX($A100:$BM100,,$BV$27)*$BW$27+
$BN100)),
$BN100-100)</f>
        <v>9.8999999999999999E-4</v>
      </c>
      <c r="AT100" t="str">
        <f t="shared" si="18"/>
        <v/>
      </c>
      <c r="AU100" t="str">
        <f t="shared" si="19"/>
        <v/>
      </c>
      <c r="AV100" s="430">
        <f>IFERROR(
IF(AT100="",-100,
IF($BV$2&gt;0, INDEX(Beersheet!$A:$U,MATCH(AT100,INDEX(Beersheet!$A:$U,0,FFARawStatProjections!$BV$2),0),$BV$3)+$BN100,
INDEX($A100:$BM100,,$BV$12)*$BW$12+
INDEX($A100:$BM100,,$BV$15)*$BW$15+
INDEX($A100:$BM100,,$BV$16)*$BW$16+
INDEX($A100:$BM100,,$BV$17)*$BW$17+
INDEX($A100:$BM100,,$BV$18)*$BW$18+
INDEX($A100:$BM100,,$BV$19)*$BW$19+
INDEX($A100:$BM100,,$BV$20)*$BW$20+
INDEX($A100:$BM100,,$BV$21)*$BW$21+
INDEX($A100:$BM100,,$BV$22)*$BW$22+
INDEX($A100:$BM100,,$BV$23)*$BW$23+
INDEX($A100:$BM100,,$BV$25)*$BW$25+
INDEX($A100:$BM100,,$BV$26)*$BW$26+
INDEX($A100:$BM100,,$BV$27)*$BW$27+
$BN100)),
$BN100-100)</f>
        <v>-100</v>
      </c>
      <c r="AX100" t="str">
        <f t="shared" si="20"/>
        <v/>
      </c>
      <c r="AY100" t="str">
        <f t="shared" si="21"/>
        <v/>
      </c>
      <c r="AZ100" s="430">
        <f>IFERROR(
IF(AX100="",-100,
IF($BV$2&gt;0, INDEX(Beersheet!$A:$U,MATCH(AX100,INDEX(Beersheet!$A:$U,0,FFARawStatProjections!$BV$2),0),$BV$3)+$BN100,
INDEX($A100:$BM100,,$BV$12)*$BW$12+
INDEX($A100:$BM100,,$BV$15)*$BW$15+
INDEX($A100:$BM100,,$BV$16)*$BW$16+
INDEX($A100:$BM100,,$BV$17)*$BW$17+
INDEX($A100:$BM100,,$BV$18)*$BW$18+
INDEX($A100:$BM100,,$BV$19)*$BW$19+
INDEX($A100:$BM100,,$BV$20)*$BW$20+
INDEX($A100:$BM100,,$BV$21)*$BW$21+
INDEX($A100:$BM100,,$BV$22)*$BW$22+
INDEX($A100:$BM100,,$BV$23)*$BW$23+
INDEX($A100:$BM100,,$BV$25)*$BW$25+
INDEX($A100:$BM100,,$BV$26)*$BW$26+
INDEX($A100:$BM100,,$BV$27)*$BW$27+
$BN100)),
$BN100-100)</f>
        <v>-100</v>
      </c>
      <c r="BB100" t="str">
        <f t="shared" si="22"/>
        <v/>
      </c>
      <c r="BC100" t="str">
        <f t="shared" si="15"/>
        <v/>
      </c>
      <c r="BD100" s="430">
        <f>IFERROR(
IF(BB100="",-100,
IF($BV$2&gt;0, INDEX(Beersheet!$A:$U,MATCH(BB100,INDEX(Beersheet!$A:$U,0,FFARawStatProjections!$BV$2),0),$BV$3)+$BN100,
INDEX($A100:$BM100,,$BV$12)*$BW$12+
INDEX($A100:$BM100,,$BV$15)*$BW$15+
INDEX($A100:$BM100,,$BV$16)*$BW$16+
INDEX($A100:$BM100,,$BV$17)*$BW$17+
INDEX($A100:$BM100,,$BV$18)*$BW$18+
INDEX($A100:$BM100,,$BV$19)*$BW$19+
INDEX($A100:$BM100,,$BV$20)*$BW$20+
INDEX($A100:$BM100,,$BV$21)*$BW$21+
INDEX($A100:$BM100,,$BV$22)*$BW$22+
INDEX($A100:$BM100,,$BV$23)*$BW$23+
INDEX($A100:$BM100,,$BV$25)*$BW$25+
INDEX($A100:$BM100,,$BV$26)*$BW$26+
INDEX($A100:$BM100,,$BV$27)*$BW$27+
$BN100)),
$BN100-100)</f>
        <v>-100</v>
      </c>
      <c r="BF100" t="str">
        <f t="shared" si="23"/>
        <v/>
      </c>
      <c r="BG100" t="str">
        <f t="shared" si="24"/>
        <v/>
      </c>
      <c r="BH100">
        <f t="shared" si="25"/>
        <v>0</v>
      </c>
      <c r="BJ100" t="str">
        <f t="shared" si="26"/>
        <v/>
      </c>
      <c r="BL100">
        <f t="shared" si="16"/>
        <v>0</v>
      </c>
      <c r="BN100">
        <v>9.8999999999999999E-4</v>
      </c>
      <c r="BS100" s="4" t="s">
        <v>2255</v>
      </c>
    </row>
    <row r="101" spans="1:71" ht="15.75" thickBot="1" x14ac:dyDescent="0.3">
      <c r="A101" s="569"/>
      <c r="B101" s="569"/>
      <c r="C101" s="569" t="s">
        <v>1</v>
      </c>
      <c r="D101" s="569"/>
      <c r="E101" s="569"/>
      <c r="F101" s="569"/>
      <c r="G101" s="569"/>
      <c r="H101" s="569"/>
      <c r="I101" s="569"/>
      <c r="J101" s="569"/>
      <c r="K101" s="569"/>
      <c r="L101" s="574">
        <v>0</v>
      </c>
      <c r="M101" s="574">
        <v>0</v>
      </c>
      <c r="N101" s="574">
        <v>0</v>
      </c>
      <c r="O101" s="569"/>
      <c r="P101" s="569"/>
      <c r="Q101" s="569"/>
      <c r="R101" s="569"/>
      <c r="S101" s="569"/>
      <c r="T101" s="569"/>
      <c r="U101" s="569"/>
      <c r="V101" s="569"/>
      <c r="W101" s="569"/>
      <c r="X101" s="569"/>
      <c r="Y101" s="569"/>
      <c r="Z101" s="569"/>
      <c r="AA101" s="569"/>
      <c r="AB101" s="569"/>
      <c r="AC101" s="569"/>
      <c r="AD101" s="569"/>
      <c r="AE101" s="569"/>
      <c r="AF101" s="569"/>
      <c r="AG101" s="569"/>
      <c r="AH101" s="569"/>
      <c r="AI101" s="569"/>
      <c r="AJ101" s="569"/>
      <c r="AK101" s="569"/>
      <c r="AL101" s="569"/>
      <c r="AM101" s="569"/>
      <c r="AN101" s="569"/>
      <c r="AO101">
        <v>100</v>
      </c>
      <c r="AP101">
        <f t="shared" si="27"/>
        <v>0</v>
      </c>
      <c r="AQ101">
        <f t="shared" si="17"/>
        <v>0</v>
      </c>
      <c r="AR101" s="430">
        <f>IFERROR(
IF(AP101="",-100,
IF($BV$2&gt;0, INDEX(Beersheet!$A:$U,MATCH(AP101,INDEX(Beersheet!$A:$U,0,FFARawStatProjections!$BV$2),0),$BV$3)+$BN101,
INDEX($A101:$BM101,,$BV$12)*$BW$12+
INDEX($A101:$BM101,,$BV$15)*$BW$15+
INDEX($A101:$BM101,,$BV$16)*$BW$16+
INDEX($A101:$BM101,,$BV$17)*$BW$17+
INDEX($A101:$BM101,,$BV$18)*$BW$18+
INDEX($A101:$BM101,,$BV$19)*$BW$19+
INDEX($A101:$BM101,,$BV$20)*$BW$20+
INDEX($A101:$BM101,,$BV$21)*$BW$21+
INDEX($A101:$BM101,,$BV$22)*$BW$22+
INDEX($A101:$BM101,,$BV$23)*$BW$23+
INDEX($A101:$BM101,,$BV$25)*$BW$25+
INDEX($A101:$BM101,,$BV$26)*$BW$26+
INDEX($A101:$BM101,,$BV$27)*$BW$27+
$BN101)),
$BN101-100)</f>
        <v>1E-3</v>
      </c>
      <c r="AT101" t="str">
        <f t="shared" si="18"/>
        <v/>
      </c>
      <c r="AU101" t="str">
        <f t="shared" si="19"/>
        <v/>
      </c>
      <c r="AV101" s="430">
        <f>IFERROR(
IF(AT101="",-100,
IF($BV$2&gt;0, INDEX(Beersheet!$A:$U,MATCH(AT101,INDEX(Beersheet!$A:$U,0,FFARawStatProjections!$BV$2),0),$BV$3)+$BN101,
INDEX($A101:$BM101,,$BV$12)*$BW$12+
INDEX($A101:$BM101,,$BV$15)*$BW$15+
INDEX($A101:$BM101,,$BV$16)*$BW$16+
INDEX($A101:$BM101,,$BV$17)*$BW$17+
INDEX($A101:$BM101,,$BV$18)*$BW$18+
INDEX($A101:$BM101,,$BV$19)*$BW$19+
INDEX($A101:$BM101,,$BV$20)*$BW$20+
INDEX($A101:$BM101,,$BV$21)*$BW$21+
INDEX($A101:$BM101,,$BV$22)*$BW$22+
INDEX($A101:$BM101,,$BV$23)*$BW$23+
INDEX($A101:$BM101,,$BV$25)*$BW$25+
INDEX($A101:$BM101,,$BV$26)*$BW$26+
INDEX($A101:$BM101,,$BV$27)*$BW$27+
$BN101)),
$BN101-100)</f>
        <v>-100</v>
      </c>
      <c r="AX101" t="str">
        <f t="shared" si="20"/>
        <v/>
      </c>
      <c r="AY101" t="str">
        <f t="shared" si="21"/>
        <v/>
      </c>
      <c r="AZ101" s="430">
        <f>IFERROR(
IF(AX101="",-100,
IF($BV$2&gt;0, INDEX(Beersheet!$A:$U,MATCH(AX101,INDEX(Beersheet!$A:$U,0,FFARawStatProjections!$BV$2),0),$BV$3)+$BN101,
INDEX($A101:$BM101,,$BV$12)*$BW$12+
INDEX($A101:$BM101,,$BV$15)*$BW$15+
INDEX($A101:$BM101,,$BV$16)*$BW$16+
INDEX($A101:$BM101,,$BV$17)*$BW$17+
INDEX($A101:$BM101,,$BV$18)*$BW$18+
INDEX($A101:$BM101,,$BV$19)*$BW$19+
INDEX($A101:$BM101,,$BV$20)*$BW$20+
INDEX($A101:$BM101,,$BV$21)*$BW$21+
INDEX($A101:$BM101,,$BV$22)*$BW$22+
INDEX($A101:$BM101,,$BV$23)*$BW$23+
INDEX($A101:$BM101,,$BV$25)*$BW$25+
INDEX($A101:$BM101,,$BV$26)*$BW$26+
INDEX($A101:$BM101,,$BV$27)*$BW$27+
$BN101)),
$BN101-100)</f>
        <v>-100</v>
      </c>
      <c r="BB101" t="str">
        <f t="shared" si="22"/>
        <v/>
      </c>
      <c r="BC101" t="str">
        <f t="shared" si="15"/>
        <v/>
      </c>
      <c r="BD101" s="430">
        <f>IFERROR(
IF(BB101="",-100,
IF($BV$2&gt;0, INDEX(Beersheet!$A:$U,MATCH(BB101,INDEX(Beersheet!$A:$U,0,FFARawStatProjections!$BV$2),0),$BV$3)+$BN101,
INDEX($A101:$BM101,,$BV$12)*$BW$12+
INDEX($A101:$BM101,,$BV$15)*$BW$15+
INDEX($A101:$BM101,,$BV$16)*$BW$16+
INDEX($A101:$BM101,,$BV$17)*$BW$17+
INDEX($A101:$BM101,,$BV$18)*$BW$18+
INDEX($A101:$BM101,,$BV$19)*$BW$19+
INDEX($A101:$BM101,,$BV$20)*$BW$20+
INDEX($A101:$BM101,,$BV$21)*$BW$21+
INDEX($A101:$BM101,,$BV$22)*$BW$22+
INDEX($A101:$BM101,,$BV$23)*$BW$23+
INDEX($A101:$BM101,,$BV$25)*$BW$25+
INDEX($A101:$BM101,,$BV$26)*$BW$26+
INDEX($A101:$BM101,,$BV$27)*$BW$27+
$BN101)),
$BN101-100)</f>
        <v>-100</v>
      </c>
      <c r="BF101" t="str">
        <f t="shared" si="23"/>
        <v/>
      </c>
      <c r="BG101" t="str">
        <f t="shared" si="24"/>
        <v/>
      </c>
      <c r="BH101">
        <f t="shared" si="25"/>
        <v>0</v>
      </c>
      <c r="BJ101" t="str">
        <f t="shared" si="26"/>
        <v/>
      </c>
      <c r="BL101">
        <f t="shared" si="16"/>
        <v>0</v>
      </c>
      <c r="BN101">
        <v>1E-3</v>
      </c>
      <c r="BS101" s="4" t="s">
        <v>2511</v>
      </c>
    </row>
    <row r="102" spans="1:71" ht="15.75" hidden="1" thickBot="1" x14ac:dyDescent="0.3">
      <c r="A102" s="569"/>
      <c r="B102" s="569"/>
      <c r="C102" s="569" t="s">
        <v>1</v>
      </c>
      <c r="D102" s="569"/>
      <c r="E102" s="569"/>
      <c r="F102" s="569"/>
      <c r="G102" s="569"/>
      <c r="H102" s="569"/>
      <c r="I102" s="569"/>
      <c r="J102" s="569"/>
      <c r="K102" s="569"/>
      <c r="L102" s="574">
        <v>0</v>
      </c>
      <c r="M102" s="574">
        <v>0</v>
      </c>
      <c r="N102" s="574">
        <v>0</v>
      </c>
      <c r="O102" s="569"/>
      <c r="P102" s="569"/>
      <c r="Q102" s="569"/>
      <c r="R102" s="569"/>
      <c r="S102" s="569"/>
      <c r="T102" s="569"/>
      <c r="U102" s="569"/>
      <c r="V102" s="569"/>
      <c r="W102" s="569"/>
      <c r="X102" s="569"/>
      <c r="Y102" s="569"/>
      <c r="Z102" s="569"/>
      <c r="AA102" s="569"/>
      <c r="AB102" s="569"/>
      <c r="AC102" s="569"/>
      <c r="AD102" s="569"/>
      <c r="AE102" s="569"/>
      <c r="AF102" s="569"/>
      <c r="AG102" s="569"/>
      <c r="AH102" s="569"/>
      <c r="AI102" s="569"/>
      <c r="AJ102" s="569"/>
      <c r="AK102" s="569"/>
      <c r="AL102" s="569"/>
      <c r="AM102" s="569"/>
      <c r="AN102" s="569"/>
      <c r="AO102">
        <v>101</v>
      </c>
      <c r="AP102">
        <f t="shared" si="27"/>
        <v>0</v>
      </c>
      <c r="AQ102">
        <f t="shared" si="17"/>
        <v>0</v>
      </c>
      <c r="AR102" s="430">
        <f>IFERROR(
IF(AP102="",-100,
IF($BV$2&gt;0, INDEX(Beersheet!$A:$U,MATCH(AP102,INDEX(Beersheet!$A:$U,0,FFARawStatProjections!$BV$2),0),$BV$3)+$BN102,
INDEX($A102:$BM102,,$BV$12)*$BW$12+
INDEX($A102:$BM102,,$BV$15)*$BW$15+
INDEX($A102:$BM102,,$BV$16)*$BW$16+
INDEX($A102:$BM102,,$BV$17)*$BW$17+
INDEX($A102:$BM102,,$BV$18)*$BW$18+
INDEX($A102:$BM102,,$BV$19)*$BW$19+
INDEX($A102:$BM102,,$BV$20)*$BW$20+
INDEX($A102:$BM102,,$BV$21)*$BW$21+
INDEX($A102:$BM102,,$BV$22)*$BW$22+
INDEX($A102:$BM102,,$BV$23)*$BW$23+
INDEX($A102:$BM102,,$BV$25)*$BW$25+
INDEX($A102:$BM102,,$BV$26)*$BW$26+
INDEX($A102:$BM102,,$BV$27)*$BW$27+
$BN102)),
$BN102-100)</f>
        <v>1.01E-3</v>
      </c>
      <c r="AT102" t="str">
        <f t="shared" si="18"/>
        <v/>
      </c>
      <c r="AU102" t="str">
        <f t="shared" si="19"/>
        <v/>
      </c>
      <c r="AV102" s="430">
        <f>IFERROR(
IF(AT102="",-100,
IF($BV$2&gt;0, INDEX(Beersheet!$A:$U,MATCH(AT102,INDEX(Beersheet!$A:$U,0,FFARawStatProjections!$BV$2),0),$BV$3)+$BN102,
INDEX($A102:$BM102,,$BV$12)*$BW$12+
INDEX($A102:$BM102,,$BV$15)*$BW$15+
INDEX($A102:$BM102,,$BV$16)*$BW$16+
INDEX($A102:$BM102,,$BV$17)*$BW$17+
INDEX($A102:$BM102,,$BV$18)*$BW$18+
INDEX($A102:$BM102,,$BV$19)*$BW$19+
INDEX($A102:$BM102,,$BV$20)*$BW$20+
INDEX($A102:$BM102,,$BV$21)*$BW$21+
INDEX($A102:$BM102,,$BV$22)*$BW$22+
INDEX($A102:$BM102,,$BV$23)*$BW$23+
INDEX($A102:$BM102,,$BV$25)*$BW$25+
INDEX($A102:$BM102,,$BV$26)*$BW$26+
INDEX($A102:$BM102,,$BV$27)*$BW$27+
$BN102)),
$BN102-100)</f>
        <v>-100</v>
      </c>
      <c r="AX102" t="str">
        <f t="shared" si="20"/>
        <v/>
      </c>
      <c r="AY102" t="str">
        <f t="shared" si="21"/>
        <v/>
      </c>
      <c r="AZ102" s="430">
        <f>IFERROR(
IF(AX102="",-100,
IF($BV$2&gt;0, INDEX(Beersheet!$A:$U,MATCH(AX102,INDEX(Beersheet!$A:$U,0,FFARawStatProjections!$BV$2),0),$BV$3)+$BN102,
INDEX($A102:$BM102,,$BV$12)*$BW$12+
INDEX($A102:$BM102,,$BV$15)*$BW$15+
INDEX($A102:$BM102,,$BV$16)*$BW$16+
INDEX($A102:$BM102,,$BV$17)*$BW$17+
INDEX($A102:$BM102,,$BV$18)*$BW$18+
INDEX($A102:$BM102,,$BV$19)*$BW$19+
INDEX($A102:$BM102,,$BV$20)*$BW$20+
INDEX($A102:$BM102,,$BV$21)*$BW$21+
INDEX($A102:$BM102,,$BV$22)*$BW$22+
INDEX($A102:$BM102,,$BV$23)*$BW$23+
INDEX($A102:$BM102,,$BV$25)*$BW$25+
INDEX($A102:$BM102,,$BV$26)*$BW$26+
INDEX($A102:$BM102,,$BV$27)*$BW$27+
$BN102)),
$BN102-100)</f>
        <v>-100</v>
      </c>
      <c r="BB102" t="str">
        <f t="shared" si="22"/>
        <v/>
      </c>
      <c r="BC102" t="str">
        <f t="shared" si="15"/>
        <v/>
      </c>
      <c r="BD102" s="430">
        <f>IFERROR(
IF(BB102="",-100,
IF($BV$2&gt;0, INDEX(Beersheet!$A:$U,MATCH(BB102,INDEX(Beersheet!$A:$U,0,FFARawStatProjections!$BV$2),0),$BV$3)+$BN102,
INDEX($A102:$BM102,,$BV$12)*$BW$12+
INDEX($A102:$BM102,,$BV$15)*$BW$15+
INDEX($A102:$BM102,,$BV$16)*$BW$16+
INDEX($A102:$BM102,,$BV$17)*$BW$17+
INDEX($A102:$BM102,,$BV$18)*$BW$18+
INDEX($A102:$BM102,,$BV$19)*$BW$19+
INDEX($A102:$BM102,,$BV$20)*$BW$20+
INDEX($A102:$BM102,,$BV$21)*$BW$21+
INDEX($A102:$BM102,,$BV$22)*$BW$22+
INDEX($A102:$BM102,,$BV$23)*$BW$23+
INDEX($A102:$BM102,,$BV$25)*$BW$25+
INDEX($A102:$BM102,,$BV$26)*$BW$26+
INDEX($A102:$BM102,,$BV$27)*$BW$27+
$BN102)),
$BN102-100)</f>
        <v>-100</v>
      </c>
      <c r="BF102" t="str">
        <f t="shared" si="23"/>
        <v/>
      </c>
      <c r="BG102" t="str">
        <f t="shared" si="24"/>
        <v/>
      </c>
      <c r="BH102">
        <f t="shared" si="25"/>
        <v>0</v>
      </c>
      <c r="BJ102" t="str">
        <f t="shared" si="26"/>
        <v/>
      </c>
      <c r="BL102">
        <f t="shared" si="16"/>
        <v>0</v>
      </c>
      <c r="BN102">
        <v>1.01E-3</v>
      </c>
      <c r="BS102" s="4" t="s">
        <v>2095</v>
      </c>
    </row>
    <row r="103" spans="1:71" ht="15.75" hidden="1" thickBot="1" x14ac:dyDescent="0.3">
      <c r="A103" s="569"/>
      <c r="B103" s="569"/>
      <c r="C103" s="569" t="s">
        <v>1</v>
      </c>
      <c r="D103" s="569"/>
      <c r="E103" s="569"/>
      <c r="F103" s="569"/>
      <c r="G103" s="569"/>
      <c r="H103" s="569"/>
      <c r="I103" s="569"/>
      <c r="J103" s="569"/>
      <c r="K103" s="569"/>
      <c r="L103" s="574">
        <v>0</v>
      </c>
      <c r="M103" s="574">
        <v>0</v>
      </c>
      <c r="N103" s="574">
        <v>0</v>
      </c>
      <c r="O103" s="569"/>
      <c r="P103" s="569"/>
      <c r="Q103" s="569"/>
      <c r="R103" s="569"/>
      <c r="S103" s="569"/>
      <c r="T103" s="569"/>
      <c r="U103" s="569"/>
      <c r="V103" s="569"/>
      <c r="W103" s="569"/>
      <c r="X103" s="569"/>
      <c r="Y103" s="569"/>
      <c r="Z103" s="569"/>
      <c r="AA103" s="569"/>
      <c r="AB103" s="569"/>
      <c r="AC103" s="569"/>
      <c r="AD103" s="569"/>
      <c r="AE103" s="569"/>
      <c r="AF103" s="569"/>
      <c r="AG103" s="569"/>
      <c r="AH103" s="569"/>
      <c r="AI103" s="569"/>
      <c r="AJ103" s="569"/>
      <c r="AK103" s="569"/>
      <c r="AL103" s="569"/>
      <c r="AM103" s="569"/>
      <c r="AN103" s="569"/>
      <c r="AO103">
        <v>102</v>
      </c>
      <c r="AP103">
        <f t="shared" si="27"/>
        <v>0</v>
      </c>
      <c r="AQ103">
        <f t="shared" si="17"/>
        <v>0</v>
      </c>
      <c r="AR103" s="430">
        <f>IFERROR(
IF(AP103="",-100,
IF($BV$2&gt;0, INDEX(Beersheet!$A:$U,MATCH(AP103,INDEX(Beersheet!$A:$U,0,FFARawStatProjections!$BV$2),0),$BV$3)+$BN103,
INDEX($A103:$BM103,,$BV$12)*$BW$12+
INDEX($A103:$BM103,,$BV$15)*$BW$15+
INDEX($A103:$BM103,,$BV$16)*$BW$16+
INDEX($A103:$BM103,,$BV$17)*$BW$17+
INDEX($A103:$BM103,,$BV$18)*$BW$18+
INDEX($A103:$BM103,,$BV$19)*$BW$19+
INDEX($A103:$BM103,,$BV$20)*$BW$20+
INDEX($A103:$BM103,,$BV$21)*$BW$21+
INDEX($A103:$BM103,,$BV$22)*$BW$22+
INDEX($A103:$BM103,,$BV$23)*$BW$23+
INDEX($A103:$BM103,,$BV$25)*$BW$25+
INDEX($A103:$BM103,,$BV$26)*$BW$26+
INDEX($A103:$BM103,,$BV$27)*$BW$27+
$BN103)),
$BN103-100)</f>
        <v>1.0200000000000001E-3</v>
      </c>
      <c r="AT103" t="str">
        <f t="shared" si="18"/>
        <v/>
      </c>
      <c r="AU103" t="str">
        <f t="shared" si="19"/>
        <v/>
      </c>
      <c r="AV103" s="430">
        <f>IFERROR(
IF(AT103="",-100,
IF($BV$2&gt;0, INDEX(Beersheet!$A:$U,MATCH(AT103,INDEX(Beersheet!$A:$U,0,FFARawStatProjections!$BV$2),0),$BV$3)+$BN103,
INDEX($A103:$BM103,,$BV$12)*$BW$12+
INDEX($A103:$BM103,,$BV$15)*$BW$15+
INDEX($A103:$BM103,,$BV$16)*$BW$16+
INDEX($A103:$BM103,,$BV$17)*$BW$17+
INDEX($A103:$BM103,,$BV$18)*$BW$18+
INDEX($A103:$BM103,,$BV$19)*$BW$19+
INDEX($A103:$BM103,,$BV$20)*$BW$20+
INDEX($A103:$BM103,,$BV$21)*$BW$21+
INDEX($A103:$BM103,,$BV$22)*$BW$22+
INDEX($A103:$BM103,,$BV$23)*$BW$23+
INDEX($A103:$BM103,,$BV$25)*$BW$25+
INDEX($A103:$BM103,,$BV$26)*$BW$26+
INDEX($A103:$BM103,,$BV$27)*$BW$27+
$BN103)),
$BN103-100)</f>
        <v>-100</v>
      </c>
      <c r="AX103" t="str">
        <f t="shared" si="20"/>
        <v/>
      </c>
      <c r="AY103" t="str">
        <f t="shared" si="21"/>
        <v/>
      </c>
      <c r="AZ103" s="430">
        <f>IFERROR(
IF(AX103="",-100,
IF($BV$2&gt;0, INDEX(Beersheet!$A:$U,MATCH(AX103,INDEX(Beersheet!$A:$U,0,FFARawStatProjections!$BV$2),0),$BV$3)+$BN103,
INDEX($A103:$BM103,,$BV$12)*$BW$12+
INDEX($A103:$BM103,,$BV$15)*$BW$15+
INDEX($A103:$BM103,,$BV$16)*$BW$16+
INDEX($A103:$BM103,,$BV$17)*$BW$17+
INDEX($A103:$BM103,,$BV$18)*$BW$18+
INDEX($A103:$BM103,,$BV$19)*$BW$19+
INDEX($A103:$BM103,,$BV$20)*$BW$20+
INDEX($A103:$BM103,,$BV$21)*$BW$21+
INDEX($A103:$BM103,,$BV$22)*$BW$22+
INDEX($A103:$BM103,,$BV$23)*$BW$23+
INDEX($A103:$BM103,,$BV$25)*$BW$25+
INDEX($A103:$BM103,,$BV$26)*$BW$26+
INDEX($A103:$BM103,,$BV$27)*$BW$27+
$BN103)),
$BN103-100)</f>
        <v>-100</v>
      </c>
      <c r="BB103" t="str">
        <f t="shared" si="22"/>
        <v/>
      </c>
      <c r="BC103" t="str">
        <f t="shared" si="15"/>
        <v/>
      </c>
      <c r="BD103" s="430">
        <f>IFERROR(
IF(BB103="",-100,
IF($BV$2&gt;0, INDEX(Beersheet!$A:$U,MATCH(BB103,INDEX(Beersheet!$A:$U,0,FFARawStatProjections!$BV$2),0),$BV$3)+$BN103,
INDEX($A103:$BM103,,$BV$12)*$BW$12+
INDEX($A103:$BM103,,$BV$15)*$BW$15+
INDEX($A103:$BM103,,$BV$16)*$BW$16+
INDEX($A103:$BM103,,$BV$17)*$BW$17+
INDEX($A103:$BM103,,$BV$18)*$BW$18+
INDEX($A103:$BM103,,$BV$19)*$BW$19+
INDEX($A103:$BM103,,$BV$20)*$BW$20+
INDEX($A103:$BM103,,$BV$21)*$BW$21+
INDEX($A103:$BM103,,$BV$22)*$BW$22+
INDEX($A103:$BM103,,$BV$23)*$BW$23+
INDEX($A103:$BM103,,$BV$25)*$BW$25+
INDEX($A103:$BM103,,$BV$26)*$BW$26+
INDEX($A103:$BM103,,$BV$27)*$BW$27+
$BN103)),
$BN103-100)</f>
        <v>-100</v>
      </c>
      <c r="BF103" t="str">
        <f t="shared" si="23"/>
        <v/>
      </c>
      <c r="BG103" t="str">
        <f t="shared" si="24"/>
        <v/>
      </c>
      <c r="BH103">
        <f t="shared" si="25"/>
        <v>0</v>
      </c>
      <c r="BJ103" t="str">
        <f t="shared" si="26"/>
        <v/>
      </c>
      <c r="BL103">
        <f t="shared" si="16"/>
        <v>0</v>
      </c>
      <c r="BN103">
        <v>1.0200000000000001E-3</v>
      </c>
      <c r="BS103" s="4" t="s">
        <v>1774</v>
      </c>
    </row>
    <row r="104" spans="1:71" ht="15.75" hidden="1" thickBot="1" x14ac:dyDescent="0.3">
      <c r="A104" s="569"/>
      <c r="B104" s="569"/>
      <c r="C104" s="569" t="s">
        <v>1</v>
      </c>
      <c r="D104" s="569"/>
      <c r="E104" s="569"/>
      <c r="F104" s="569"/>
      <c r="G104" s="569"/>
      <c r="H104" s="569"/>
      <c r="I104" s="569"/>
      <c r="J104" s="569"/>
      <c r="K104" s="569"/>
      <c r="L104" s="574">
        <v>0</v>
      </c>
      <c r="M104" s="574">
        <v>0</v>
      </c>
      <c r="N104" s="574">
        <v>0</v>
      </c>
      <c r="O104" s="569"/>
      <c r="P104" s="569"/>
      <c r="Q104" s="569"/>
      <c r="R104" s="569"/>
      <c r="S104" s="569"/>
      <c r="T104" s="569"/>
      <c r="U104" s="569"/>
      <c r="V104" s="569"/>
      <c r="W104" s="569"/>
      <c r="X104" s="569"/>
      <c r="Y104" s="569"/>
      <c r="Z104" s="569"/>
      <c r="AA104" s="569"/>
      <c r="AB104" s="569"/>
      <c r="AC104" s="569"/>
      <c r="AD104" s="569"/>
      <c r="AE104" s="569"/>
      <c r="AF104" s="569"/>
      <c r="AG104" s="569"/>
      <c r="AH104" s="569"/>
      <c r="AI104" s="569"/>
      <c r="AJ104" s="569"/>
      <c r="AK104" s="569"/>
      <c r="AL104" s="569"/>
      <c r="AM104" s="569"/>
      <c r="AN104" s="569"/>
      <c r="AO104">
        <v>103</v>
      </c>
      <c r="AP104">
        <f t="shared" si="27"/>
        <v>0</v>
      </c>
      <c r="AQ104">
        <f t="shared" si="17"/>
        <v>0</v>
      </c>
      <c r="AR104" s="430">
        <f>IFERROR(
IF(AP104="",-100,
IF($BV$2&gt;0, INDEX(Beersheet!$A:$U,MATCH(AP104,INDEX(Beersheet!$A:$U,0,FFARawStatProjections!$BV$2),0),$BV$3)+$BN104,
INDEX($A104:$BM104,,$BV$12)*$BW$12+
INDEX($A104:$BM104,,$BV$15)*$BW$15+
INDEX($A104:$BM104,,$BV$16)*$BW$16+
INDEX($A104:$BM104,,$BV$17)*$BW$17+
INDEX($A104:$BM104,,$BV$18)*$BW$18+
INDEX($A104:$BM104,,$BV$19)*$BW$19+
INDEX($A104:$BM104,,$BV$20)*$BW$20+
INDEX($A104:$BM104,,$BV$21)*$BW$21+
INDEX($A104:$BM104,,$BV$22)*$BW$22+
INDEX($A104:$BM104,,$BV$23)*$BW$23+
INDEX($A104:$BM104,,$BV$25)*$BW$25+
INDEX($A104:$BM104,,$BV$26)*$BW$26+
INDEX($A104:$BM104,,$BV$27)*$BW$27+
$BN104)),
$BN104-100)</f>
        <v>1.0300000000000001E-3</v>
      </c>
      <c r="AT104" t="str">
        <f t="shared" si="18"/>
        <v/>
      </c>
      <c r="AU104" t="str">
        <f t="shared" si="19"/>
        <v/>
      </c>
      <c r="AV104" s="430">
        <f>IFERROR(
IF(AT104="",-100,
IF($BV$2&gt;0, INDEX(Beersheet!$A:$U,MATCH(AT104,INDEX(Beersheet!$A:$U,0,FFARawStatProjections!$BV$2),0),$BV$3)+$BN104,
INDEX($A104:$BM104,,$BV$12)*$BW$12+
INDEX($A104:$BM104,,$BV$15)*$BW$15+
INDEX($A104:$BM104,,$BV$16)*$BW$16+
INDEX($A104:$BM104,,$BV$17)*$BW$17+
INDEX($A104:$BM104,,$BV$18)*$BW$18+
INDEX($A104:$BM104,,$BV$19)*$BW$19+
INDEX($A104:$BM104,,$BV$20)*$BW$20+
INDEX($A104:$BM104,,$BV$21)*$BW$21+
INDEX($A104:$BM104,,$BV$22)*$BW$22+
INDEX($A104:$BM104,,$BV$23)*$BW$23+
INDEX($A104:$BM104,,$BV$25)*$BW$25+
INDEX($A104:$BM104,,$BV$26)*$BW$26+
INDEX($A104:$BM104,,$BV$27)*$BW$27+
$BN104)),
$BN104-100)</f>
        <v>-100</v>
      </c>
      <c r="AX104" t="str">
        <f t="shared" si="20"/>
        <v/>
      </c>
      <c r="AY104" t="str">
        <f t="shared" si="21"/>
        <v/>
      </c>
      <c r="AZ104" s="430">
        <f>IFERROR(
IF(AX104="",-100,
IF($BV$2&gt;0, INDEX(Beersheet!$A:$U,MATCH(AX104,INDEX(Beersheet!$A:$U,0,FFARawStatProjections!$BV$2),0),$BV$3)+$BN104,
INDEX($A104:$BM104,,$BV$12)*$BW$12+
INDEX($A104:$BM104,,$BV$15)*$BW$15+
INDEX($A104:$BM104,,$BV$16)*$BW$16+
INDEX($A104:$BM104,,$BV$17)*$BW$17+
INDEX($A104:$BM104,,$BV$18)*$BW$18+
INDEX($A104:$BM104,,$BV$19)*$BW$19+
INDEX($A104:$BM104,,$BV$20)*$BW$20+
INDEX($A104:$BM104,,$BV$21)*$BW$21+
INDEX($A104:$BM104,,$BV$22)*$BW$22+
INDEX($A104:$BM104,,$BV$23)*$BW$23+
INDEX($A104:$BM104,,$BV$25)*$BW$25+
INDEX($A104:$BM104,,$BV$26)*$BW$26+
INDEX($A104:$BM104,,$BV$27)*$BW$27+
$BN104)),
$BN104-100)</f>
        <v>-100</v>
      </c>
      <c r="BB104" t="str">
        <f t="shared" si="22"/>
        <v/>
      </c>
      <c r="BC104" t="str">
        <f t="shared" si="15"/>
        <v/>
      </c>
      <c r="BD104" s="430">
        <f>IFERROR(
IF(BB104="",-100,
IF($BV$2&gt;0, INDEX(Beersheet!$A:$U,MATCH(BB104,INDEX(Beersheet!$A:$U,0,FFARawStatProjections!$BV$2),0),$BV$3)+$BN104,
INDEX($A104:$BM104,,$BV$12)*$BW$12+
INDEX($A104:$BM104,,$BV$15)*$BW$15+
INDEX($A104:$BM104,,$BV$16)*$BW$16+
INDEX($A104:$BM104,,$BV$17)*$BW$17+
INDEX($A104:$BM104,,$BV$18)*$BW$18+
INDEX($A104:$BM104,,$BV$19)*$BW$19+
INDEX($A104:$BM104,,$BV$20)*$BW$20+
INDEX($A104:$BM104,,$BV$21)*$BW$21+
INDEX($A104:$BM104,,$BV$22)*$BW$22+
INDEX($A104:$BM104,,$BV$23)*$BW$23+
INDEX($A104:$BM104,,$BV$25)*$BW$25+
INDEX($A104:$BM104,,$BV$26)*$BW$26+
INDEX($A104:$BM104,,$BV$27)*$BW$27+
$BN104)),
$BN104-100)</f>
        <v>-100</v>
      </c>
      <c r="BF104" t="str">
        <f t="shared" si="23"/>
        <v/>
      </c>
      <c r="BG104" t="str">
        <f t="shared" si="24"/>
        <v/>
      </c>
      <c r="BH104">
        <f t="shared" si="25"/>
        <v>0</v>
      </c>
      <c r="BJ104" t="str">
        <f t="shared" si="26"/>
        <v/>
      </c>
      <c r="BL104">
        <f t="shared" si="16"/>
        <v>0</v>
      </c>
      <c r="BN104">
        <v>1.0300000000000001E-3</v>
      </c>
      <c r="BS104" s="4" t="s">
        <v>2510</v>
      </c>
    </row>
    <row r="105" spans="1:71" ht="15.75" hidden="1" thickBot="1" x14ac:dyDescent="0.3">
      <c r="A105" s="569"/>
      <c r="B105" s="569"/>
      <c r="C105" s="569" t="s">
        <v>1</v>
      </c>
      <c r="D105" s="569"/>
      <c r="E105" s="569"/>
      <c r="F105" s="569"/>
      <c r="G105" s="569"/>
      <c r="H105" s="569"/>
      <c r="I105" s="569"/>
      <c r="J105" s="569"/>
      <c r="K105" s="569"/>
      <c r="L105" s="574">
        <v>0</v>
      </c>
      <c r="M105" s="574">
        <v>0</v>
      </c>
      <c r="N105" s="574">
        <v>0</v>
      </c>
      <c r="O105" s="569"/>
      <c r="P105" s="569"/>
      <c r="Q105" s="569"/>
      <c r="R105" s="569"/>
      <c r="S105" s="569"/>
      <c r="T105" s="569"/>
      <c r="U105" s="569"/>
      <c r="V105" s="569"/>
      <c r="W105" s="569"/>
      <c r="X105" s="569"/>
      <c r="Y105" s="569"/>
      <c r="Z105" s="569"/>
      <c r="AA105" s="569"/>
      <c r="AB105" s="569"/>
      <c r="AC105" s="569"/>
      <c r="AD105" s="569"/>
      <c r="AE105" s="569"/>
      <c r="AF105" s="569"/>
      <c r="AG105" s="569"/>
      <c r="AH105" s="569"/>
      <c r="AI105" s="569"/>
      <c r="AJ105" s="569"/>
      <c r="AK105" s="569"/>
      <c r="AL105" s="569"/>
      <c r="AM105" s="569"/>
      <c r="AN105" s="569"/>
      <c r="AO105">
        <v>104</v>
      </c>
      <c r="AP105">
        <f t="shared" si="27"/>
        <v>0</v>
      </c>
      <c r="AQ105">
        <f t="shared" si="17"/>
        <v>0</v>
      </c>
      <c r="AR105" s="430">
        <f>IFERROR(
IF(AP105="",-100,
IF($BV$2&gt;0, INDEX(Beersheet!$A:$U,MATCH(AP105,INDEX(Beersheet!$A:$U,0,FFARawStatProjections!$BV$2),0),$BV$3)+$BN105,
INDEX($A105:$BM105,,$BV$12)*$BW$12+
INDEX($A105:$BM105,,$BV$15)*$BW$15+
INDEX($A105:$BM105,,$BV$16)*$BW$16+
INDEX($A105:$BM105,,$BV$17)*$BW$17+
INDEX($A105:$BM105,,$BV$18)*$BW$18+
INDEX($A105:$BM105,,$BV$19)*$BW$19+
INDEX($A105:$BM105,,$BV$20)*$BW$20+
INDEX($A105:$BM105,,$BV$21)*$BW$21+
INDEX($A105:$BM105,,$BV$22)*$BW$22+
INDEX($A105:$BM105,,$BV$23)*$BW$23+
INDEX($A105:$BM105,,$BV$25)*$BW$25+
INDEX($A105:$BM105,,$BV$26)*$BW$26+
INDEX($A105:$BM105,,$BV$27)*$BW$27+
$BN105)),
$BN105-100)</f>
        <v>1.0399999999999999E-3</v>
      </c>
      <c r="AT105" t="str">
        <f t="shared" si="18"/>
        <v/>
      </c>
      <c r="AU105" t="str">
        <f t="shared" si="19"/>
        <v/>
      </c>
      <c r="AV105" s="430">
        <f>IFERROR(
IF(AT105="",-100,
IF($BV$2&gt;0, INDEX(Beersheet!$A:$U,MATCH(AT105,INDEX(Beersheet!$A:$U,0,FFARawStatProjections!$BV$2),0),$BV$3)+$BN105,
INDEX($A105:$BM105,,$BV$12)*$BW$12+
INDEX($A105:$BM105,,$BV$15)*$BW$15+
INDEX($A105:$BM105,,$BV$16)*$BW$16+
INDEX($A105:$BM105,,$BV$17)*$BW$17+
INDEX($A105:$BM105,,$BV$18)*$BW$18+
INDEX($A105:$BM105,,$BV$19)*$BW$19+
INDEX($A105:$BM105,,$BV$20)*$BW$20+
INDEX($A105:$BM105,,$BV$21)*$BW$21+
INDEX($A105:$BM105,,$BV$22)*$BW$22+
INDEX($A105:$BM105,,$BV$23)*$BW$23+
INDEX($A105:$BM105,,$BV$25)*$BW$25+
INDEX($A105:$BM105,,$BV$26)*$BW$26+
INDEX($A105:$BM105,,$BV$27)*$BW$27+
$BN105)),
$BN105-100)</f>
        <v>-100</v>
      </c>
      <c r="AX105" t="str">
        <f t="shared" si="20"/>
        <v/>
      </c>
      <c r="AY105" t="str">
        <f t="shared" si="21"/>
        <v/>
      </c>
      <c r="AZ105" s="430">
        <f>IFERROR(
IF(AX105="",-100,
IF($BV$2&gt;0, INDEX(Beersheet!$A:$U,MATCH(AX105,INDEX(Beersheet!$A:$U,0,FFARawStatProjections!$BV$2),0),$BV$3)+$BN105,
INDEX($A105:$BM105,,$BV$12)*$BW$12+
INDEX($A105:$BM105,,$BV$15)*$BW$15+
INDEX($A105:$BM105,,$BV$16)*$BW$16+
INDEX($A105:$BM105,,$BV$17)*$BW$17+
INDEX($A105:$BM105,,$BV$18)*$BW$18+
INDEX($A105:$BM105,,$BV$19)*$BW$19+
INDEX($A105:$BM105,,$BV$20)*$BW$20+
INDEX($A105:$BM105,,$BV$21)*$BW$21+
INDEX($A105:$BM105,,$BV$22)*$BW$22+
INDEX($A105:$BM105,,$BV$23)*$BW$23+
INDEX($A105:$BM105,,$BV$25)*$BW$25+
INDEX($A105:$BM105,,$BV$26)*$BW$26+
INDEX($A105:$BM105,,$BV$27)*$BW$27+
$BN105)),
$BN105-100)</f>
        <v>-100</v>
      </c>
      <c r="BB105" t="str">
        <f t="shared" si="22"/>
        <v/>
      </c>
      <c r="BC105" t="str">
        <f t="shared" si="15"/>
        <v/>
      </c>
      <c r="BD105" s="430">
        <f>IFERROR(
IF(BB105="",-100,
IF($BV$2&gt;0, INDEX(Beersheet!$A:$U,MATCH(BB105,INDEX(Beersheet!$A:$U,0,FFARawStatProjections!$BV$2),0),$BV$3)+$BN105,
INDEX($A105:$BM105,,$BV$12)*$BW$12+
INDEX($A105:$BM105,,$BV$15)*$BW$15+
INDEX($A105:$BM105,,$BV$16)*$BW$16+
INDEX($A105:$BM105,,$BV$17)*$BW$17+
INDEX($A105:$BM105,,$BV$18)*$BW$18+
INDEX($A105:$BM105,,$BV$19)*$BW$19+
INDEX($A105:$BM105,,$BV$20)*$BW$20+
INDEX($A105:$BM105,,$BV$21)*$BW$21+
INDEX($A105:$BM105,,$BV$22)*$BW$22+
INDEX($A105:$BM105,,$BV$23)*$BW$23+
INDEX($A105:$BM105,,$BV$25)*$BW$25+
INDEX($A105:$BM105,,$BV$26)*$BW$26+
INDEX($A105:$BM105,,$BV$27)*$BW$27+
$BN105)),
$BN105-100)</f>
        <v>-100</v>
      </c>
      <c r="BF105" t="str">
        <f t="shared" si="23"/>
        <v/>
      </c>
      <c r="BG105" t="str">
        <f t="shared" si="24"/>
        <v/>
      </c>
      <c r="BH105">
        <f t="shared" si="25"/>
        <v>0</v>
      </c>
      <c r="BJ105" t="str">
        <f t="shared" si="26"/>
        <v/>
      </c>
      <c r="BL105">
        <f t="shared" si="16"/>
        <v>0</v>
      </c>
      <c r="BN105">
        <v>1.0399999999999999E-3</v>
      </c>
      <c r="BS105" s="4" t="s">
        <v>141</v>
      </c>
    </row>
    <row r="106" spans="1:71" ht="15.75" thickBot="1" x14ac:dyDescent="0.3">
      <c r="A106" s="569"/>
      <c r="B106" s="569"/>
      <c r="C106" s="569" t="s">
        <v>1</v>
      </c>
      <c r="D106" s="569"/>
      <c r="E106" s="569"/>
      <c r="F106" s="569"/>
      <c r="G106" s="569"/>
      <c r="H106" s="569"/>
      <c r="I106" s="569"/>
      <c r="J106" s="569"/>
      <c r="K106" s="569"/>
      <c r="L106" s="574">
        <v>0</v>
      </c>
      <c r="M106" s="574">
        <v>0</v>
      </c>
      <c r="N106" s="574">
        <v>0</v>
      </c>
      <c r="O106" s="569"/>
      <c r="P106" s="569"/>
      <c r="Q106" s="569"/>
      <c r="R106" s="569"/>
      <c r="S106" s="569"/>
      <c r="T106" s="569"/>
      <c r="U106" s="569"/>
      <c r="V106" s="569"/>
      <c r="W106" s="569"/>
      <c r="X106" s="569"/>
      <c r="Y106" s="569"/>
      <c r="Z106" s="569"/>
      <c r="AA106" s="569"/>
      <c r="AB106" s="569"/>
      <c r="AC106" s="569"/>
      <c r="AD106" s="569"/>
      <c r="AE106" s="569"/>
      <c r="AF106" s="569"/>
      <c r="AG106" s="569"/>
      <c r="AH106" s="569"/>
      <c r="AI106" s="569"/>
      <c r="AJ106" s="569"/>
      <c r="AK106" s="569"/>
      <c r="AL106" s="569"/>
      <c r="AM106" s="569"/>
      <c r="AN106" s="569"/>
      <c r="AO106">
        <v>105</v>
      </c>
      <c r="AP106">
        <f t="shared" si="27"/>
        <v>0</v>
      </c>
      <c r="AQ106">
        <f t="shared" si="17"/>
        <v>0</v>
      </c>
      <c r="AR106" s="430">
        <f>IFERROR(
IF(AP106="",-100,
IF($BV$2&gt;0, INDEX(Beersheet!$A:$U,MATCH(AP106,INDEX(Beersheet!$A:$U,0,FFARawStatProjections!$BV$2),0),$BV$3)+$BN106,
INDEX($A106:$BM106,,$BV$12)*$BW$12+
INDEX($A106:$BM106,,$BV$15)*$BW$15+
INDEX($A106:$BM106,,$BV$16)*$BW$16+
INDEX($A106:$BM106,,$BV$17)*$BW$17+
INDEX($A106:$BM106,,$BV$18)*$BW$18+
INDEX($A106:$BM106,,$BV$19)*$BW$19+
INDEX($A106:$BM106,,$BV$20)*$BW$20+
INDEX($A106:$BM106,,$BV$21)*$BW$21+
INDEX($A106:$BM106,,$BV$22)*$BW$22+
INDEX($A106:$BM106,,$BV$23)*$BW$23+
INDEX($A106:$BM106,,$BV$25)*$BW$25+
INDEX($A106:$BM106,,$BV$26)*$BW$26+
INDEX($A106:$BM106,,$BV$27)*$BW$27+
$BN106)),
$BN106-100)</f>
        <v>1.0499999999999999E-3</v>
      </c>
      <c r="AT106" t="str">
        <f t="shared" si="18"/>
        <v/>
      </c>
      <c r="AU106" t="str">
        <f t="shared" si="19"/>
        <v/>
      </c>
      <c r="AV106" s="430">
        <f>IFERROR(
IF(AT106="",-100,
IF($BV$2&gt;0, INDEX(Beersheet!$A:$U,MATCH(AT106,INDEX(Beersheet!$A:$U,0,FFARawStatProjections!$BV$2),0),$BV$3)+$BN106,
INDEX($A106:$BM106,,$BV$12)*$BW$12+
INDEX($A106:$BM106,,$BV$15)*$BW$15+
INDEX($A106:$BM106,,$BV$16)*$BW$16+
INDEX($A106:$BM106,,$BV$17)*$BW$17+
INDEX($A106:$BM106,,$BV$18)*$BW$18+
INDEX($A106:$BM106,,$BV$19)*$BW$19+
INDEX($A106:$BM106,,$BV$20)*$BW$20+
INDEX($A106:$BM106,,$BV$21)*$BW$21+
INDEX($A106:$BM106,,$BV$22)*$BW$22+
INDEX($A106:$BM106,,$BV$23)*$BW$23+
INDEX($A106:$BM106,,$BV$25)*$BW$25+
INDEX($A106:$BM106,,$BV$26)*$BW$26+
INDEX($A106:$BM106,,$BV$27)*$BW$27+
$BN106)),
$BN106-100)</f>
        <v>-100</v>
      </c>
      <c r="AX106" t="str">
        <f t="shared" si="20"/>
        <v/>
      </c>
      <c r="AY106" t="str">
        <f t="shared" si="21"/>
        <v/>
      </c>
      <c r="AZ106" s="430">
        <f>IFERROR(
IF(AX106="",-100,
IF($BV$2&gt;0, INDEX(Beersheet!$A:$U,MATCH(AX106,INDEX(Beersheet!$A:$U,0,FFARawStatProjections!$BV$2),0),$BV$3)+$BN106,
INDEX($A106:$BM106,,$BV$12)*$BW$12+
INDEX($A106:$BM106,,$BV$15)*$BW$15+
INDEX($A106:$BM106,,$BV$16)*$BW$16+
INDEX($A106:$BM106,,$BV$17)*$BW$17+
INDEX($A106:$BM106,,$BV$18)*$BW$18+
INDEX($A106:$BM106,,$BV$19)*$BW$19+
INDEX($A106:$BM106,,$BV$20)*$BW$20+
INDEX($A106:$BM106,,$BV$21)*$BW$21+
INDEX($A106:$BM106,,$BV$22)*$BW$22+
INDEX($A106:$BM106,,$BV$23)*$BW$23+
INDEX($A106:$BM106,,$BV$25)*$BW$25+
INDEX($A106:$BM106,,$BV$26)*$BW$26+
INDEX($A106:$BM106,,$BV$27)*$BW$27+
$BN106)),
$BN106-100)</f>
        <v>-100</v>
      </c>
      <c r="BB106" t="str">
        <f t="shared" si="22"/>
        <v/>
      </c>
      <c r="BC106" t="str">
        <f t="shared" si="15"/>
        <v/>
      </c>
      <c r="BD106" s="430">
        <f>IFERROR(
IF(BB106="",-100,
IF($BV$2&gt;0, INDEX(Beersheet!$A:$U,MATCH(BB106,INDEX(Beersheet!$A:$U,0,FFARawStatProjections!$BV$2),0),$BV$3)+$BN106,
INDEX($A106:$BM106,,$BV$12)*$BW$12+
INDEX($A106:$BM106,,$BV$15)*$BW$15+
INDEX($A106:$BM106,,$BV$16)*$BW$16+
INDEX($A106:$BM106,,$BV$17)*$BW$17+
INDEX($A106:$BM106,,$BV$18)*$BW$18+
INDEX($A106:$BM106,,$BV$19)*$BW$19+
INDEX($A106:$BM106,,$BV$20)*$BW$20+
INDEX($A106:$BM106,,$BV$21)*$BW$21+
INDEX($A106:$BM106,,$BV$22)*$BW$22+
INDEX($A106:$BM106,,$BV$23)*$BW$23+
INDEX($A106:$BM106,,$BV$25)*$BW$25+
INDEX($A106:$BM106,,$BV$26)*$BW$26+
INDEX($A106:$BM106,,$BV$27)*$BW$27+
$BN106)),
$BN106-100)</f>
        <v>-100</v>
      </c>
      <c r="BF106" t="str">
        <f t="shared" si="23"/>
        <v/>
      </c>
      <c r="BG106" t="str">
        <f t="shared" si="24"/>
        <v/>
      </c>
      <c r="BH106">
        <f t="shared" si="25"/>
        <v>0</v>
      </c>
      <c r="BJ106" t="str">
        <f t="shared" si="26"/>
        <v/>
      </c>
      <c r="BL106">
        <f t="shared" si="16"/>
        <v>0</v>
      </c>
      <c r="BN106">
        <v>1.0499999999999999E-3</v>
      </c>
      <c r="BS106" s="4" t="s">
        <v>2371</v>
      </c>
    </row>
    <row r="107" spans="1:71" ht="15.75" thickBot="1" x14ac:dyDescent="0.3">
      <c r="A107" s="569"/>
      <c r="B107" s="569"/>
      <c r="C107" s="569" t="s">
        <v>1</v>
      </c>
      <c r="D107" s="569"/>
      <c r="E107" s="569"/>
      <c r="F107" s="569"/>
      <c r="G107" s="569"/>
      <c r="H107" s="569"/>
      <c r="I107" s="569"/>
      <c r="J107" s="569"/>
      <c r="K107" s="569"/>
      <c r="L107" s="574">
        <v>0</v>
      </c>
      <c r="M107" s="574">
        <v>0</v>
      </c>
      <c r="N107" s="574">
        <v>0</v>
      </c>
      <c r="O107" s="569"/>
      <c r="P107" s="569"/>
      <c r="Q107" s="569"/>
      <c r="R107" s="569"/>
      <c r="S107" s="569"/>
      <c r="T107" s="569"/>
      <c r="U107" s="569"/>
      <c r="V107" s="569"/>
      <c r="W107" s="569"/>
      <c r="X107" s="569"/>
      <c r="Y107" s="569"/>
      <c r="Z107" s="569"/>
      <c r="AA107" s="569"/>
      <c r="AB107" s="569"/>
      <c r="AC107" s="569"/>
      <c r="AD107" s="569"/>
      <c r="AE107" s="569"/>
      <c r="AF107" s="569"/>
      <c r="AG107" s="569"/>
      <c r="AH107" s="569"/>
      <c r="AI107" s="569"/>
      <c r="AJ107" s="569"/>
      <c r="AK107" s="569"/>
      <c r="AL107" s="569"/>
      <c r="AM107" s="569"/>
      <c r="AN107" s="569"/>
      <c r="AO107">
        <v>106</v>
      </c>
      <c r="AP107">
        <f t="shared" si="27"/>
        <v>0</v>
      </c>
      <c r="AQ107">
        <f t="shared" si="17"/>
        <v>0</v>
      </c>
      <c r="AR107" s="430">
        <f>IFERROR(
IF(AP107="",-100,
IF($BV$2&gt;0, INDEX(Beersheet!$A:$U,MATCH(AP107,INDEX(Beersheet!$A:$U,0,FFARawStatProjections!$BV$2),0),$BV$3)+$BN107,
INDEX($A107:$BM107,,$BV$12)*$BW$12+
INDEX($A107:$BM107,,$BV$15)*$BW$15+
INDEX($A107:$BM107,,$BV$16)*$BW$16+
INDEX($A107:$BM107,,$BV$17)*$BW$17+
INDEX($A107:$BM107,,$BV$18)*$BW$18+
INDEX($A107:$BM107,,$BV$19)*$BW$19+
INDEX($A107:$BM107,,$BV$20)*$BW$20+
INDEX($A107:$BM107,,$BV$21)*$BW$21+
INDEX($A107:$BM107,,$BV$22)*$BW$22+
INDEX($A107:$BM107,,$BV$23)*$BW$23+
INDEX($A107:$BM107,,$BV$25)*$BW$25+
INDEX($A107:$BM107,,$BV$26)*$BW$26+
INDEX($A107:$BM107,,$BV$27)*$BW$27+
$BN107)),
$BN107-100)</f>
        <v>1.06E-3</v>
      </c>
      <c r="AT107" t="str">
        <f t="shared" si="18"/>
        <v/>
      </c>
      <c r="AU107" t="str">
        <f t="shared" si="19"/>
        <v/>
      </c>
      <c r="AV107" s="430">
        <f>IFERROR(
IF(AT107="",-100,
IF($BV$2&gt;0, INDEX(Beersheet!$A:$U,MATCH(AT107,INDEX(Beersheet!$A:$U,0,FFARawStatProjections!$BV$2),0),$BV$3)+$BN107,
INDEX($A107:$BM107,,$BV$12)*$BW$12+
INDEX($A107:$BM107,,$BV$15)*$BW$15+
INDEX($A107:$BM107,,$BV$16)*$BW$16+
INDEX($A107:$BM107,,$BV$17)*$BW$17+
INDEX($A107:$BM107,,$BV$18)*$BW$18+
INDEX($A107:$BM107,,$BV$19)*$BW$19+
INDEX($A107:$BM107,,$BV$20)*$BW$20+
INDEX($A107:$BM107,,$BV$21)*$BW$21+
INDEX($A107:$BM107,,$BV$22)*$BW$22+
INDEX($A107:$BM107,,$BV$23)*$BW$23+
INDEX($A107:$BM107,,$BV$25)*$BW$25+
INDEX($A107:$BM107,,$BV$26)*$BW$26+
INDEX($A107:$BM107,,$BV$27)*$BW$27+
$BN107)),
$BN107-100)</f>
        <v>-100</v>
      </c>
      <c r="AX107" t="str">
        <f t="shared" si="20"/>
        <v/>
      </c>
      <c r="AY107" t="str">
        <f t="shared" si="21"/>
        <v/>
      </c>
      <c r="AZ107" s="430">
        <f>IFERROR(
IF(AX107="",-100,
IF($BV$2&gt;0, INDEX(Beersheet!$A:$U,MATCH(AX107,INDEX(Beersheet!$A:$U,0,FFARawStatProjections!$BV$2),0),$BV$3)+$BN107,
INDEX($A107:$BM107,,$BV$12)*$BW$12+
INDEX($A107:$BM107,,$BV$15)*$BW$15+
INDEX($A107:$BM107,,$BV$16)*$BW$16+
INDEX($A107:$BM107,,$BV$17)*$BW$17+
INDEX($A107:$BM107,,$BV$18)*$BW$18+
INDEX($A107:$BM107,,$BV$19)*$BW$19+
INDEX($A107:$BM107,,$BV$20)*$BW$20+
INDEX($A107:$BM107,,$BV$21)*$BW$21+
INDEX($A107:$BM107,,$BV$22)*$BW$22+
INDEX($A107:$BM107,,$BV$23)*$BW$23+
INDEX($A107:$BM107,,$BV$25)*$BW$25+
INDEX($A107:$BM107,,$BV$26)*$BW$26+
INDEX($A107:$BM107,,$BV$27)*$BW$27+
$BN107)),
$BN107-100)</f>
        <v>-100</v>
      </c>
      <c r="BB107" t="str">
        <f t="shared" si="22"/>
        <v/>
      </c>
      <c r="BC107" t="str">
        <f t="shared" si="15"/>
        <v/>
      </c>
      <c r="BD107" s="430">
        <f>IFERROR(
IF(BB107="",-100,
IF($BV$2&gt;0, INDEX(Beersheet!$A:$U,MATCH(BB107,INDEX(Beersheet!$A:$U,0,FFARawStatProjections!$BV$2),0),$BV$3)+$BN107,
INDEX($A107:$BM107,,$BV$12)*$BW$12+
INDEX($A107:$BM107,,$BV$15)*$BW$15+
INDEX($A107:$BM107,,$BV$16)*$BW$16+
INDEX($A107:$BM107,,$BV$17)*$BW$17+
INDEX($A107:$BM107,,$BV$18)*$BW$18+
INDEX($A107:$BM107,,$BV$19)*$BW$19+
INDEX($A107:$BM107,,$BV$20)*$BW$20+
INDEX($A107:$BM107,,$BV$21)*$BW$21+
INDEX($A107:$BM107,,$BV$22)*$BW$22+
INDEX($A107:$BM107,,$BV$23)*$BW$23+
INDEX($A107:$BM107,,$BV$25)*$BW$25+
INDEX($A107:$BM107,,$BV$26)*$BW$26+
INDEX($A107:$BM107,,$BV$27)*$BW$27+
$BN107)),
$BN107-100)</f>
        <v>-100</v>
      </c>
      <c r="BF107" t="str">
        <f t="shared" si="23"/>
        <v/>
      </c>
      <c r="BG107" t="str">
        <f t="shared" si="24"/>
        <v/>
      </c>
      <c r="BH107">
        <f t="shared" si="25"/>
        <v>0</v>
      </c>
      <c r="BJ107" t="str">
        <f t="shared" si="26"/>
        <v/>
      </c>
      <c r="BL107">
        <f t="shared" si="16"/>
        <v>0</v>
      </c>
      <c r="BN107">
        <v>1.06E-3</v>
      </c>
      <c r="BS107" s="4" t="s">
        <v>1188</v>
      </c>
    </row>
    <row r="108" spans="1:71" ht="15.75" thickBot="1" x14ac:dyDescent="0.3">
      <c r="A108" s="569"/>
      <c r="B108" s="569"/>
      <c r="C108" s="569" t="s">
        <v>1</v>
      </c>
      <c r="D108" s="569"/>
      <c r="E108" s="569"/>
      <c r="F108" s="569"/>
      <c r="G108" s="569"/>
      <c r="H108" s="569"/>
      <c r="I108" s="569"/>
      <c r="J108" s="569"/>
      <c r="K108" s="569"/>
      <c r="L108" s="574">
        <v>0</v>
      </c>
      <c r="M108" s="574">
        <v>0</v>
      </c>
      <c r="N108" s="574">
        <v>0</v>
      </c>
      <c r="O108" s="569"/>
      <c r="P108" s="569"/>
      <c r="Q108" s="569"/>
      <c r="R108" s="569"/>
      <c r="S108" s="569"/>
      <c r="T108" s="569"/>
      <c r="U108" s="569"/>
      <c r="V108" s="569"/>
      <c r="W108" s="569"/>
      <c r="X108" s="569"/>
      <c r="Y108" s="569"/>
      <c r="Z108" s="569"/>
      <c r="AA108" s="569"/>
      <c r="AB108" s="569"/>
      <c r="AC108" s="569"/>
      <c r="AD108" s="569"/>
      <c r="AE108" s="569"/>
      <c r="AF108" s="569"/>
      <c r="AG108" s="569"/>
      <c r="AH108" s="569"/>
      <c r="AI108" s="569"/>
      <c r="AJ108" s="569"/>
      <c r="AK108" s="569"/>
      <c r="AL108" s="569"/>
      <c r="AM108" s="569"/>
      <c r="AN108" s="569"/>
      <c r="AO108">
        <v>107</v>
      </c>
      <c r="AP108">
        <f t="shared" si="27"/>
        <v>0</v>
      </c>
      <c r="AQ108">
        <f t="shared" si="17"/>
        <v>0</v>
      </c>
      <c r="AR108" s="430">
        <f>IFERROR(
IF(AP108="",-100,
IF($BV$2&gt;0, INDEX(Beersheet!$A:$U,MATCH(AP108,INDEX(Beersheet!$A:$U,0,FFARawStatProjections!$BV$2),0),$BV$3)+$BN108,
INDEX($A108:$BM108,,$BV$12)*$BW$12+
INDEX($A108:$BM108,,$BV$15)*$BW$15+
INDEX($A108:$BM108,,$BV$16)*$BW$16+
INDEX($A108:$BM108,,$BV$17)*$BW$17+
INDEX($A108:$BM108,,$BV$18)*$BW$18+
INDEX($A108:$BM108,,$BV$19)*$BW$19+
INDEX($A108:$BM108,,$BV$20)*$BW$20+
INDEX($A108:$BM108,,$BV$21)*$BW$21+
INDEX($A108:$BM108,,$BV$22)*$BW$22+
INDEX($A108:$BM108,,$BV$23)*$BW$23+
INDEX($A108:$BM108,,$BV$25)*$BW$25+
INDEX($A108:$BM108,,$BV$26)*$BW$26+
INDEX($A108:$BM108,,$BV$27)*$BW$27+
$BN108)),
$BN108-100)</f>
        <v>1.07E-3</v>
      </c>
      <c r="AT108" t="str">
        <f t="shared" si="18"/>
        <v/>
      </c>
      <c r="AU108" t="str">
        <f t="shared" si="19"/>
        <v/>
      </c>
      <c r="AV108" s="430">
        <f>IFERROR(
IF(AT108="",-100,
IF($BV$2&gt;0, INDEX(Beersheet!$A:$U,MATCH(AT108,INDEX(Beersheet!$A:$U,0,FFARawStatProjections!$BV$2),0),$BV$3)+$BN108,
INDEX($A108:$BM108,,$BV$12)*$BW$12+
INDEX($A108:$BM108,,$BV$15)*$BW$15+
INDEX($A108:$BM108,,$BV$16)*$BW$16+
INDEX($A108:$BM108,,$BV$17)*$BW$17+
INDEX($A108:$BM108,,$BV$18)*$BW$18+
INDEX($A108:$BM108,,$BV$19)*$BW$19+
INDEX($A108:$BM108,,$BV$20)*$BW$20+
INDEX($A108:$BM108,,$BV$21)*$BW$21+
INDEX($A108:$BM108,,$BV$22)*$BW$22+
INDEX($A108:$BM108,,$BV$23)*$BW$23+
INDEX($A108:$BM108,,$BV$25)*$BW$25+
INDEX($A108:$BM108,,$BV$26)*$BW$26+
INDEX($A108:$BM108,,$BV$27)*$BW$27+
$BN108)),
$BN108-100)</f>
        <v>-100</v>
      </c>
      <c r="AX108" t="str">
        <f t="shared" si="20"/>
        <v/>
      </c>
      <c r="AY108" t="str">
        <f t="shared" si="21"/>
        <v/>
      </c>
      <c r="AZ108" s="430">
        <f>IFERROR(
IF(AX108="",-100,
IF($BV$2&gt;0, INDEX(Beersheet!$A:$U,MATCH(AX108,INDEX(Beersheet!$A:$U,0,FFARawStatProjections!$BV$2),0),$BV$3)+$BN108,
INDEX($A108:$BM108,,$BV$12)*$BW$12+
INDEX($A108:$BM108,,$BV$15)*$BW$15+
INDEX($A108:$BM108,,$BV$16)*$BW$16+
INDEX($A108:$BM108,,$BV$17)*$BW$17+
INDEX($A108:$BM108,,$BV$18)*$BW$18+
INDEX($A108:$BM108,,$BV$19)*$BW$19+
INDEX($A108:$BM108,,$BV$20)*$BW$20+
INDEX($A108:$BM108,,$BV$21)*$BW$21+
INDEX($A108:$BM108,,$BV$22)*$BW$22+
INDEX($A108:$BM108,,$BV$23)*$BW$23+
INDEX($A108:$BM108,,$BV$25)*$BW$25+
INDEX($A108:$BM108,,$BV$26)*$BW$26+
INDEX($A108:$BM108,,$BV$27)*$BW$27+
$BN108)),
$BN108-100)</f>
        <v>-100</v>
      </c>
      <c r="BB108" t="str">
        <f t="shared" si="22"/>
        <v/>
      </c>
      <c r="BC108" t="str">
        <f t="shared" si="15"/>
        <v/>
      </c>
      <c r="BD108" s="430">
        <f>IFERROR(
IF(BB108="",-100,
IF($BV$2&gt;0, INDEX(Beersheet!$A:$U,MATCH(BB108,INDEX(Beersheet!$A:$U,0,FFARawStatProjections!$BV$2),0),$BV$3)+$BN108,
INDEX($A108:$BM108,,$BV$12)*$BW$12+
INDEX($A108:$BM108,,$BV$15)*$BW$15+
INDEX($A108:$BM108,,$BV$16)*$BW$16+
INDEX($A108:$BM108,,$BV$17)*$BW$17+
INDEX($A108:$BM108,,$BV$18)*$BW$18+
INDEX($A108:$BM108,,$BV$19)*$BW$19+
INDEX($A108:$BM108,,$BV$20)*$BW$20+
INDEX($A108:$BM108,,$BV$21)*$BW$21+
INDEX($A108:$BM108,,$BV$22)*$BW$22+
INDEX($A108:$BM108,,$BV$23)*$BW$23+
INDEX($A108:$BM108,,$BV$25)*$BW$25+
INDEX($A108:$BM108,,$BV$26)*$BW$26+
INDEX($A108:$BM108,,$BV$27)*$BW$27+
$BN108)),
$BN108-100)</f>
        <v>-100</v>
      </c>
      <c r="BF108" t="str">
        <f t="shared" si="23"/>
        <v/>
      </c>
      <c r="BG108" t="str">
        <f t="shared" si="24"/>
        <v/>
      </c>
      <c r="BH108">
        <f t="shared" si="25"/>
        <v>0</v>
      </c>
      <c r="BJ108" t="str">
        <f t="shared" si="26"/>
        <v/>
      </c>
      <c r="BL108">
        <f t="shared" si="16"/>
        <v>0</v>
      </c>
      <c r="BN108">
        <v>1.07E-3</v>
      </c>
      <c r="BS108" s="4" t="s">
        <v>1111</v>
      </c>
    </row>
    <row r="109" spans="1:71" ht="15.75" thickBot="1" x14ac:dyDescent="0.3">
      <c r="A109" s="569"/>
      <c r="B109" s="569"/>
      <c r="C109" s="569" t="s">
        <v>1</v>
      </c>
      <c r="D109" s="569"/>
      <c r="E109" s="569"/>
      <c r="F109" s="569"/>
      <c r="G109" s="569"/>
      <c r="H109" s="569"/>
      <c r="I109" s="569"/>
      <c r="J109" s="569"/>
      <c r="K109" s="569"/>
      <c r="L109" s="574">
        <v>0</v>
      </c>
      <c r="M109" s="574">
        <v>0</v>
      </c>
      <c r="N109" s="574">
        <v>0</v>
      </c>
      <c r="O109" s="569"/>
      <c r="P109" s="569"/>
      <c r="Q109" s="569"/>
      <c r="R109" s="569"/>
      <c r="S109" s="569"/>
      <c r="T109" s="569"/>
      <c r="U109" s="569"/>
      <c r="V109" s="569"/>
      <c r="W109" s="569"/>
      <c r="X109" s="569"/>
      <c r="Y109" s="569"/>
      <c r="Z109" s="569"/>
      <c r="AA109" s="569"/>
      <c r="AB109" s="569"/>
      <c r="AC109" s="569"/>
      <c r="AD109" s="569"/>
      <c r="AE109" s="569"/>
      <c r="AF109" s="569"/>
      <c r="AG109" s="569"/>
      <c r="AH109" s="569"/>
      <c r="AI109" s="569"/>
      <c r="AJ109" s="569"/>
      <c r="AK109" s="569"/>
      <c r="AL109" s="569"/>
      <c r="AM109" s="569"/>
      <c r="AN109" s="569"/>
      <c r="AO109">
        <v>108</v>
      </c>
      <c r="AP109">
        <f t="shared" si="27"/>
        <v>0</v>
      </c>
      <c r="AQ109">
        <f t="shared" si="17"/>
        <v>0</v>
      </c>
      <c r="AR109" s="430">
        <f>IFERROR(
IF(AP109="",-100,
IF($BV$2&gt;0, INDEX(Beersheet!$A:$U,MATCH(AP109,INDEX(Beersheet!$A:$U,0,FFARawStatProjections!$BV$2),0),$BV$3)+$BN109,
INDEX($A109:$BM109,,$BV$12)*$BW$12+
INDEX($A109:$BM109,,$BV$15)*$BW$15+
INDEX($A109:$BM109,,$BV$16)*$BW$16+
INDEX($A109:$BM109,,$BV$17)*$BW$17+
INDEX($A109:$BM109,,$BV$18)*$BW$18+
INDEX($A109:$BM109,,$BV$19)*$BW$19+
INDEX($A109:$BM109,,$BV$20)*$BW$20+
INDEX($A109:$BM109,,$BV$21)*$BW$21+
INDEX($A109:$BM109,,$BV$22)*$BW$22+
INDEX($A109:$BM109,,$BV$23)*$BW$23+
INDEX($A109:$BM109,,$BV$25)*$BW$25+
INDEX($A109:$BM109,,$BV$26)*$BW$26+
INDEX($A109:$BM109,,$BV$27)*$BW$27+
$BN109)),
$BN109-100)</f>
        <v>1.08E-3</v>
      </c>
      <c r="AT109" t="str">
        <f t="shared" si="18"/>
        <v/>
      </c>
      <c r="AU109" t="str">
        <f t="shared" si="19"/>
        <v/>
      </c>
      <c r="AV109" s="430">
        <f>IFERROR(
IF(AT109="",-100,
IF($BV$2&gt;0, INDEX(Beersheet!$A:$U,MATCH(AT109,INDEX(Beersheet!$A:$U,0,FFARawStatProjections!$BV$2),0),$BV$3)+$BN109,
INDEX($A109:$BM109,,$BV$12)*$BW$12+
INDEX($A109:$BM109,,$BV$15)*$BW$15+
INDEX($A109:$BM109,,$BV$16)*$BW$16+
INDEX($A109:$BM109,,$BV$17)*$BW$17+
INDEX($A109:$BM109,,$BV$18)*$BW$18+
INDEX($A109:$BM109,,$BV$19)*$BW$19+
INDEX($A109:$BM109,,$BV$20)*$BW$20+
INDEX($A109:$BM109,,$BV$21)*$BW$21+
INDEX($A109:$BM109,,$BV$22)*$BW$22+
INDEX($A109:$BM109,,$BV$23)*$BW$23+
INDEX($A109:$BM109,,$BV$25)*$BW$25+
INDEX($A109:$BM109,,$BV$26)*$BW$26+
INDEX($A109:$BM109,,$BV$27)*$BW$27+
$BN109)),
$BN109-100)</f>
        <v>-100</v>
      </c>
      <c r="AX109" t="str">
        <f t="shared" si="20"/>
        <v/>
      </c>
      <c r="AY109" t="str">
        <f t="shared" si="21"/>
        <v/>
      </c>
      <c r="AZ109" s="430">
        <f>IFERROR(
IF(AX109="",-100,
IF($BV$2&gt;0, INDEX(Beersheet!$A:$U,MATCH(AX109,INDEX(Beersheet!$A:$U,0,FFARawStatProjections!$BV$2),0),$BV$3)+$BN109,
INDEX($A109:$BM109,,$BV$12)*$BW$12+
INDEX($A109:$BM109,,$BV$15)*$BW$15+
INDEX($A109:$BM109,,$BV$16)*$BW$16+
INDEX($A109:$BM109,,$BV$17)*$BW$17+
INDEX($A109:$BM109,,$BV$18)*$BW$18+
INDEX($A109:$BM109,,$BV$19)*$BW$19+
INDEX($A109:$BM109,,$BV$20)*$BW$20+
INDEX($A109:$BM109,,$BV$21)*$BW$21+
INDEX($A109:$BM109,,$BV$22)*$BW$22+
INDEX($A109:$BM109,,$BV$23)*$BW$23+
INDEX($A109:$BM109,,$BV$25)*$BW$25+
INDEX($A109:$BM109,,$BV$26)*$BW$26+
INDEX($A109:$BM109,,$BV$27)*$BW$27+
$BN109)),
$BN109-100)</f>
        <v>-100</v>
      </c>
      <c r="BB109" t="str">
        <f t="shared" si="22"/>
        <v/>
      </c>
      <c r="BC109" t="str">
        <f t="shared" si="15"/>
        <v/>
      </c>
      <c r="BD109" s="430">
        <f>IFERROR(
IF(BB109="",-100,
IF($BV$2&gt;0, INDEX(Beersheet!$A:$U,MATCH(BB109,INDEX(Beersheet!$A:$U,0,FFARawStatProjections!$BV$2),0),$BV$3)+$BN109,
INDEX($A109:$BM109,,$BV$12)*$BW$12+
INDEX($A109:$BM109,,$BV$15)*$BW$15+
INDEX($A109:$BM109,,$BV$16)*$BW$16+
INDEX($A109:$BM109,,$BV$17)*$BW$17+
INDEX($A109:$BM109,,$BV$18)*$BW$18+
INDEX($A109:$BM109,,$BV$19)*$BW$19+
INDEX($A109:$BM109,,$BV$20)*$BW$20+
INDEX($A109:$BM109,,$BV$21)*$BW$21+
INDEX($A109:$BM109,,$BV$22)*$BW$22+
INDEX($A109:$BM109,,$BV$23)*$BW$23+
INDEX($A109:$BM109,,$BV$25)*$BW$25+
INDEX($A109:$BM109,,$BV$26)*$BW$26+
INDEX($A109:$BM109,,$BV$27)*$BW$27+
$BN109)),
$BN109-100)</f>
        <v>-100</v>
      </c>
      <c r="BF109" t="str">
        <f t="shared" si="23"/>
        <v/>
      </c>
      <c r="BG109" t="str">
        <f t="shared" si="24"/>
        <v/>
      </c>
      <c r="BH109">
        <f t="shared" si="25"/>
        <v>0</v>
      </c>
      <c r="BJ109" t="str">
        <f t="shared" si="26"/>
        <v/>
      </c>
      <c r="BL109">
        <f t="shared" si="16"/>
        <v>0</v>
      </c>
      <c r="BN109">
        <v>1.08E-3</v>
      </c>
      <c r="BS109" s="4" t="s">
        <v>2188</v>
      </c>
    </row>
    <row r="110" spans="1:71" ht="15.75" thickBot="1" x14ac:dyDescent="0.3">
      <c r="A110" s="569"/>
      <c r="B110" s="569"/>
      <c r="C110" s="569" t="s">
        <v>1</v>
      </c>
      <c r="D110" s="569"/>
      <c r="E110" s="569"/>
      <c r="F110" s="569"/>
      <c r="G110" s="569"/>
      <c r="H110" s="569"/>
      <c r="I110" s="569"/>
      <c r="J110" s="569"/>
      <c r="K110" s="569"/>
      <c r="L110" s="574">
        <v>0</v>
      </c>
      <c r="M110" s="574">
        <v>0</v>
      </c>
      <c r="N110" s="574">
        <v>0</v>
      </c>
      <c r="O110" s="569"/>
      <c r="P110" s="569"/>
      <c r="Q110" s="569"/>
      <c r="R110" s="569"/>
      <c r="S110" s="569"/>
      <c r="T110" s="569"/>
      <c r="U110" s="569"/>
      <c r="V110" s="569"/>
      <c r="W110" s="569"/>
      <c r="X110" s="569"/>
      <c r="Y110" s="569"/>
      <c r="Z110" s="569"/>
      <c r="AA110" s="569"/>
      <c r="AB110" s="569"/>
      <c r="AC110" s="569"/>
      <c r="AD110" s="569"/>
      <c r="AE110" s="569"/>
      <c r="AF110" s="569"/>
      <c r="AG110" s="569"/>
      <c r="AH110" s="569"/>
      <c r="AI110" s="569"/>
      <c r="AJ110" s="569"/>
      <c r="AK110" s="569"/>
      <c r="AL110" s="569"/>
      <c r="AM110" s="569"/>
      <c r="AN110" s="569"/>
      <c r="AO110">
        <v>109</v>
      </c>
      <c r="AP110">
        <f t="shared" si="27"/>
        <v>0</v>
      </c>
      <c r="AQ110">
        <f t="shared" si="17"/>
        <v>0</v>
      </c>
      <c r="AR110" s="430">
        <f>IFERROR(
IF(AP110="",-100,
IF($BV$2&gt;0, INDEX(Beersheet!$A:$U,MATCH(AP110,INDEX(Beersheet!$A:$U,0,FFARawStatProjections!$BV$2),0),$BV$3)+$BN110,
INDEX($A110:$BM110,,$BV$12)*$BW$12+
INDEX($A110:$BM110,,$BV$15)*$BW$15+
INDEX($A110:$BM110,,$BV$16)*$BW$16+
INDEX($A110:$BM110,,$BV$17)*$BW$17+
INDEX($A110:$BM110,,$BV$18)*$BW$18+
INDEX($A110:$BM110,,$BV$19)*$BW$19+
INDEX($A110:$BM110,,$BV$20)*$BW$20+
INDEX($A110:$BM110,,$BV$21)*$BW$21+
INDEX($A110:$BM110,,$BV$22)*$BW$22+
INDEX($A110:$BM110,,$BV$23)*$BW$23+
INDEX($A110:$BM110,,$BV$25)*$BW$25+
INDEX($A110:$BM110,,$BV$26)*$BW$26+
INDEX($A110:$BM110,,$BV$27)*$BW$27+
$BN110)),
$BN110-100)</f>
        <v>1.09E-3</v>
      </c>
      <c r="AT110" t="str">
        <f t="shared" si="18"/>
        <v/>
      </c>
      <c r="AU110" t="str">
        <f t="shared" si="19"/>
        <v/>
      </c>
      <c r="AV110" s="430">
        <f>IFERROR(
IF(AT110="",-100,
IF($BV$2&gt;0, INDEX(Beersheet!$A:$U,MATCH(AT110,INDEX(Beersheet!$A:$U,0,FFARawStatProjections!$BV$2),0),$BV$3)+$BN110,
INDEX($A110:$BM110,,$BV$12)*$BW$12+
INDEX($A110:$BM110,,$BV$15)*$BW$15+
INDEX($A110:$BM110,,$BV$16)*$BW$16+
INDEX($A110:$BM110,,$BV$17)*$BW$17+
INDEX($A110:$BM110,,$BV$18)*$BW$18+
INDEX($A110:$BM110,,$BV$19)*$BW$19+
INDEX($A110:$BM110,,$BV$20)*$BW$20+
INDEX($A110:$BM110,,$BV$21)*$BW$21+
INDEX($A110:$BM110,,$BV$22)*$BW$22+
INDEX($A110:$BM110,,$BV$23)*$BW$23+
INDEX($A110:$BM110,,$BV$25)*$BW$25+
INDEX($A110:$BM110,,$BV$26)*$BW$26+
INDEX($A110:$BM110,,$BV$27)*$BW$27+
$BN110)),
$BN110-100)</f>
        <v>-100</v>
      </c>
      <c r="AX110" t="str">
        <f t="shared" si="20"/>
        <v/>
      </c>
      <c r="AY110" t="str">
        <f t="shared" si="21"/>
        <v/>
      </c>
      <c r="AZ110" s="430">
        <f>IFERROR(
IF(AX110="",-100,
IF($BV$2&gt;0, INDEX(Beersheet!$A:$U,MATCH(AX110,INDEX(Beersheet!$A:$U,0,FFARawStatProjections!$BV$2),0),$BV$3)+$BN110,
INDEX($A110:$BM110,,$BV$12)*$BW$12+
INDEX($A110:$BM110,,$BV$15)*$BW$15+
INDEX($A110:$BM110,,$BV$16)*$BW$16+
INDEX($A110:$BM110,,$BV$17)*$BW$17+
INDEX($A110:$BM110,,$BV$18)*$BW$18+
INDEX($A110:$BM110,,$BV$19)*$BW$19+
INDEX($A110:$BM110,,$BV$20)*$BW$20+
INDEX($A110:$BM110,,$BV$21)*$BW$21+
INDEX($A110:$BM110,,$BV$22)*$BW$22+
INDEX($A110:$BM110,,$BV$23)*$BW$23+
INDEX($A110:$BM110,,$BV$25)*$BW$25+
INDEX($A110:$BM110,,$BV$26)*$BW$26+
INDEX($A110:$BM110,,$BV$27)*$BW$27+
$BN110)),
$BN110-100)</f>
        <v>-100</v>
      </c>
      <c r="BB110" t="str">
        <f t="shared" si="22"/>
        <v/>
      </c>
      <c r="BC110" t="str">
        <f t="shared" si="15"/>
        <v/>
      </c>
      <c r="BD110" s="430">
        <f>IFERROR(
IF(BB110="",-100,
IF($BV$2&gt;0, INDEX(Beersheet!$A:$U,MATCH(BB110,INDEX(Beersheet!$A:$U,0,FFARawStatProjections!$BV$2),0),$BV$3)+$BN110,
INDEX($A110:$BM110,,$BV$12)*$BW$12+
INDEX($A110:$BM110,,$BV$15)*$BW$15+
INDEX($A110:$BM110,,$BV$16)*$BW$16+
INDEX($A110:$BM110,,$BV$17)*$BW$17+
INDEX($A110:$BM110,,$BV$18)*$BW$18+
INDEX($A110:$BM110,,$BV$19)*$BW$19+
INDEX($A110:$BM110,,$BV$20)*$BW$20+
INDEX($A110:$BM110,,$BV$21)*$BW$21+
INDEX($A110:$BM110,,$BV$22)*$BW$22+
INDEX($A110:$BM110,,$BV$23)*$BW$23+
INDEX($A110:$BM110,,$BV$25)*$BW$25+
INDEX($A110:$BM110,,$BV$26)*$BW$26+
INDEX($A110:$BM110,,$BV$27)*$BW$27+
$BN110)),
$BN110-100)</f>
        <v>-100</v>
      </c>
      <c r="BF110" t="str">
        <f t="shared" si="23"/>
        <v/>
      </c>
      <c r="BG110" t="str">
        <f t="shared" si="24"/>
        <v/>
      </c>
      <c r="BH110">
        <f t="shared" si="25"/>
        <v>0</v>
      </c>
      <c r="BJ110" t="str">
        <f t="shared" si="26"/>
        <v/>
      </c>
      <c r="BL110">
        <f t="shared" si="16"/>
        <v>0</v>
      </c>
      <c r="BN110">
        <v>1.09E-3</v>
      </c>
      <c r="BS110" s="4" t="s">
        <v>1434</v>
      </c>
    </row>
    <row r="111" spans="1:71" ht="15.75" thickBot="1" x14ac:dyDescent="0.3">
      <c r="A111" s="569"/>
      <c r="B111" s="569"/>
      <c r="C111" s="569" t="s">
        <v>1</v>
      </c>
      <c r="D111" s="569"/>
      <c r="E111" s="569"/>
      <c r="F111" s="569"/>
      <c r="G111" s="569"/>
      <c r="H111" s="569"/>
      <c r="I111" s="569"/>
      <c r="J111" s="569"/>
      <c r="K111" s="569"/>
      <c r="L111" s="574">
        <v>0</v>
      </c>
      <c r="M111" s="574">
        <v>0</v>
      </c>
      <c r="N111" s="574">
        <v>0</v>
      </c>
      <c r="O111" s="569"/>
      <c r="P111" s="569"/>
      <c r="Q111" s="569"/>
      <c r="R111" s="569"/>
      <c r="S111" s="569"/>
      <c r="T111" s="569"/>
      <c r="U111" s="569"/>
      <c r="V111" s="569"/>
      <c r="W111" s="569"/>
      <c r="X111" s="569"/>
      <c r="Y111" s="569"/>
      <c r="Z111" s="569"/>
      <c r="AA111" s="569"/>
      <c r="AB111" s="569"/>
      <c r="AC111" s="569"/>
      <c r="AD111" s="569"/>
      <c r="AE111" s="569"/>
      <c r="AF111" s="569"/>
      <c r="AG111" s="569"/>
      <c r="AH111" s="569"/>
      <c r="AI111" s="569"/>
      <c r="AJ111" s="569"/>
      <c r="AK111" s="569"/>
      <c r="AL111" s="569"/>
      <c r="AM111" s="569"/>
      <c r="AN111" s="569"/>
      <c r="AO111">
        <v>110</v>
      </c>
      <c r="AP111">
        <f t="shared" si="27"/>
        <v>0</v>
      </c>
      <c r="AQ111">
        <f t="shared" si="17"/>
        <v>0</v>
      </c>
      <c r="AR111" s="430">
        <f>IFERROR(
IF(AP111="",-100,
IF($BV$2&gt;0, INDEX(Beersheet!$A:$U,MATCH(AP111,INDEX(Beersheet!$A:$U,0,FFARawStatProjections!$BV$2),0),$BV$3)+$BN111,
INDEX($A111:$BM111,,$BV$12)*$BW$12+
INDEX($A111:$BM111,,$BV$15)*$BW$15+
INDEX($A111:$BM111,,$BV$16)*$BW$16+
INDEX($A111:$BM111,,$BV$17)*$BW$17+
INDEX($A111:$BM111,,$BV$18)*$BW$18+
INDEX($A111:$BM111,,$BV$19)*$BW$19+
INDEX($A111:$BM111,,$BV$20)*$BW$20+
INDEX($A111:$BM111,,$BV$21)*$BW$21+
INDEX($A111:$BM111,,$BV$22)*$BW$22+
INDEX($A111:$BM111,,$BV$23)*$BW$23+
INDEX($A111:$BM111,,$BV$25)*$BW$25+
INDEX($A111:$BM111,,$BV$26)*$BW$26+
INDEX($A111:$BM111,,$BV$27)*$BW$27+
$BN111)),
$BN111-100)</f>
        <v>1.1000000000000001E-3</v>
      </c>
      <c r="AT111" t="str">
        <f t="shared" si="18"/>
        <v/>
      </c>
      <c r="AU111" t="str">
        <f t="shared" si="19"/>
        <v/>
      </c>
      <c r="AV111" s="430">
        <f>IFERROR(
IF(AT111="",-100,
IF($BV$2&gt;0, INDEX(Beersheet!$A:$U,MATCH(AT111,INDEX(Beersheet!$A:$U,0,FFARawStatProjections!$BV$2),0),$BV$3)+$BN111,
INDEX($A111:$BM111,,$BV$12)*$BW$12+
INDEX($A111:$BM111,,$BV$15)*$BW$15+
INDEX($A111:$BM111,,$BV$16)*$BW$16+
INDEX($A111:$BM111,,$BV$17)*$BW$17+
INDEX($A111:$BM111,,$BV$18)*$BW$18+
INDEX($A111:$BM111,,$BV$19)*$BW$19+
INDEX($A111:$BM111,,$BV$20)*$BW$20+
INDEX($A111:$BM111,,$BV$21)*$BW$21+
INDEX($A111:$BM111,,$BV$22)*$BW$22+
INDEX($A111:$BM111,,$BV$23)*$BW$23+
INDEX($A111:$BM111,,$BV$25)*$BW$25+
INDEX($A111:$BM111,,$BV$26)*$BW$26+
INDEX($A111:$BM111,,$BV$27)*$BW$27+
$BN111)),
$BN111-100)</f>
        <v>-100</v>
      </c>
      <c r="AX111" t="str">
        <f t="shared" si="20"/>
        <v/>
      </c>
      <c r="AY111" t="str">
        <f t="shared" si="21"/>
        <v/>
      </c>
      <c r="AZ111" s="430">
        <f>IFERROR(
IF(AX111="",-100,
IF($BV$2&gt;0, INDEX(Beersheet!$A:$U,MATCH(AX111,INDEX(Beersheet!$A:$U,0,FFARawStatProjections!$BV$2),0),$BV$3)+$BN111,
INDEX($A111:$BM111,,$BV$12)*$BW$12+
INDEX($A111:$BM111,,$BV$15)*$BW$15+
INDEX($A111:$BM111,,$BV$16)*$BW$16+
INDEX($A111:$BM111,,$BV$17)*$BW$17+
INDEX($A111:$BM111,,$BV$18)*$BW$18+
INDEX($A111:$BM111,,$BV$19)*$BW$19+
INDEX($A111:$BM111,,$BV$20)*$BW$20+
INDEX($A111:$BM111,,$BV$21)*$BW$21+
INDEX($A111:$BM111,,$BV$22)*$BW$22+
INDEX($A111:$BM111,,$BV$23)*$BW$23+
INDEX($A111:$BM111,,$BV$25)*$BW$25+
INDEX($A111:$BM111,,$BV$26)*$BW$26+
INDEX($A111:$BM111,,$BV$27)*$BW$27+
$BN111)),
$BN111-100)</f>
        <v>-100</v>
      </c>
      <c r="BB111" t="str">
        <f t="shared" si="22"/>
        <v/>
      </c>
      <c r="BC111" t="str">
        <f t="shared" si="15"/>
        <v/>
      </c>
      <c r="BD111" s="430">
        <f>IFERROR(
IF(BB111="",-100,
IF($BV$2&gt;0, INDEX(Beersheet!$A:$U,MATCH(BB111,INDEX(Beersheet!$A:$U,0,FFARawStatProjections!$BV$2),0),$BV$3)+$BN111,
INDEX($A111:$BM111,,$BV$12)*$BW$12+
INDEX($A111:$BM111,,$BV$15)*$BW$15+
INDEX($A111:$BM111,,$BV$16)*$BW$16+
INDEX($A111:$BM111,,$BV$17)*$BW$17+
INDEX($A111:$BM111,,$BV$18)*$BW$18+
INDEX($A111:$BM111,,$BV$19)*$BW$19+
INDEX($A111:$BM111,,$BV$20)*$BW$20+
INDEX($A111:$BM111,,$BV$21)*$BW$21+
INDEX($A111:$BM111,,$BV$22)*$BW$22+
INDEX($A111:$BM111,,$BV$23)*$BW$23+
INDEX($A111:$BM111,,$BV$25)*$BW$25+
INDEX($A111:$BM111,,$BV$26)*$BW$26+
INDEX($A111:$BM111,,$BV$27)*$BW$27+
$BN111)),
$BN111-100)</f>
        <v>-100</v>
      </c>
      <c r="BF111" t="str">
        <f t="shared" si="23"/>
        <v/>
      </c>
      <c r="BG111" t="str">
        <f t="shared" si="24"/>
        <v/>
      </c>
      <c r="BH111">
        <f t="shared" si="25"/>
        <v>0</v>
      </c>
      <c r="BJ111" t="str">
        <f t="shared" si="26"/>
        <v/>
      </c>
      <c r="BL111">
        <f t="shared" si="16"/>
        <v>0</v>
      </c>
      <c r="BN111">
        <v>1.1000000000000001E-3</v>
      </c>
      <c r="BS111" s="4" t="s">
        <v>2153</v>
      </c>
    </row>
    <row r="112" spans="1:71" ht="15.75" thickBot="1" x14ac:dyDescent="0.3">
      <c r="A112" s="569"/>
      <c r="B112" s="569"/>
      <c r="C112" s="569" t="s">
        <v>1</v>
      </c>
      <c r="D112" s="569"/>
      <c r="E112" s="569"/>
      <c r="F112" s="569"/>
      <c r="G112" s="569"/>
      <c r="H112" s="569"/>
      <c r="I112" s="569"/>
      <c r="J112" s="569"/>
      <c r="K112" s="569"/>
      <c r="L112" s="574">
        <v>0</v>
      </c>
      <c r="M112" s="574">
        <v>0</v>
      </c>
      <c r="N112" s="574">
        <v>0</v>
      </c>
      <c r="O112" s="569"/>
      <c r="P112" s="569"/>
      <c r="Q112" s="569"/>
      <c r="R112" s="569"/>
      <c r="S112" s="569"/>
      <c r="T112" s="569"/>
      <c r="U112" s="569"/>
      <c r="V112" s="569"/>
      <c r="W112" s="569"/>
      <c r="X112" s="569"/>
      <c r="Y112" s="569"/>
      <c r="Z112" s="569"/>
      <c r="AA112" s="569"/>
      <c r="AB112" s="569"/>
      <c r="AC112" s="569"/>
      <c r="AD112" s="569"/>
      <c r="AE112" s="569"/>
      <c r="AF112" s="569"/>
      <c r="AG112" s="569"/>
      <c r="AH112" s="569"/>
      <c r="AI112" s="569"/>
      <c r="AJ112" s="569"/>
      <c r="AK112" s="569"/>
      <c r="AL112" s="569"/>
      <c r="AM112" s="569"/>
      <c r="AN112" s="569"/>
      <c r="AO112">
        <v>111</v>
      </c>
      <c r="AP112">
        <f t="shared" si="27"/>
        <v>0</v>
      </c>
      <c r="AQ112">
        <f t="shared" si="17"/>
        <v>0</v>
      </c>
      <c r="AR112" s="430">
        <f>IFERROR(
IF(AP112="",-100,
IF($BV$2&gt;0, INDEX(Beersheet!$A:$U,MATCH(AP112,INDEX(Beersheet!$A:$U,0,FFARawStatProjections!$BV$2),0),$BV$3)+$BN112,
INDEX($A112:$BM112,,$BV$12)*$BW$12+
INDEX($A112:$BM112,,$BV$15)*$BW$15+
INDEX($A112:$BM112,,$BV$16)*$BW$16+
INDEX($A112:$BM112,,$BV$17)*$BW$17+
INDEX($A112:$BM112,,$BV$18)*$BW$18+
INDEX($A112:$BM112,,$BV$19)*$BW$19+
INDEX($A112:$BM112,,$BV$20)*$BW$20+
INDEX($A112:$BM112,,$BV$21)*$BW$21+
INDEX($A112:$BM112,,$BV$22)*$BW$22+
INDEX($A112:$BM112,,$BV$23)*$BW$23+
INDEX($A112:$BM112,,$BV$25)*$BW$25+
INDEX($A112:$BM112,,$BV$26)*$BW$26+
INDEX($A112:$BM112,,$BV$27)*$BW$27+
$BN112)),
$BN112-100)</f>
        <v>1.1100000000000001E-3</v>
      </c>
      <c r="AT112" t="str">
        <f t="shared" si="18"/>
        <v/>
      </c>
      <c r="AU112" t="str">
        <f t="shared" si="19"/>
        <v/>
      </c>
      <c r="AV112" s="430">
        <f>IFERROR(
IF(AT112="",-100,
IF($BV$2&gt;0, INDEX(Beersheet!$A:$U,MATCH(AT112,INDEX(Beersheet!$A:$U,0,FFARawStatProjections!$BV$2),0),$BV$3)+$BN112,
INDEX($A112:$BM112,,$BV$12)*$BW$12+
INDEX($A112:$BM112,,$BV$15)*$BW$15+
INDEX($A112:$BM112,,$BV$16)*$BW$16+
INDEX($A112:$BM112,,$BV$17)*$BW$17+
INDEX($A112:$BM112,,$BV$18)*$BW$18+
INDEX($A112:$BM112,,$BV$19)*$BW$19+
INDEX($A112:$BM112,,$BV$20)*$BW$20+
INDEX($A112:$BM112,,$BV$21)*$BW$21+
INDEX($A112:$BM112,,$BV$22)*$BW$22+
INDEX($A112:$BM112,,$BV$23)*$BW$23+
INDEX($A112:$BM112,,$BV$25)*$BW$25+
INDEX($A112:$BM112,,$BV$26)*$BW$26+
INDEX($A112:$BM112,,$BV$27)*$BW$27+
$BN112)),
$BN112-100)</f>
        <v>-100</v>
      </c>
      <c r="AX112" t="str">
        <f t="shared" si="20"/>
        <v/>
      </c>
      <c r="AY112" t="str">
        <f t="shared" si="21"/>
        <v/>
      </c>
      <c r="AZ112" s="430">
        <f>IFERROR(
IF(AX112="",-100,
IF($BV$2&gt;0, INDEX(Beersheet!$A:$U,MATCH(AX112,INDEX(Beersheet!$A:$U,0,FFARawStatProjections!$BV$2),0),$BV$3)+$BN112,
INDEX($A112:$BM112,,$BV$12)*$BW$12+
INDEX($A112:$BM112,,$BV$15)*$BW$15+
INDEX($A112:$BM112,,$BV$16)*$BW$16+
INDEX($A112:$BM112,,$BV$17)*$BW$17+
INDEX($A112:$BM112,,$BV$18)*$BW$18+
INDEX($A112:$BM112,,$BV$19)*$BW$19+
INDEX($A112:$BM112,,$BV$20)*$BW$20+
INDEX($A112:$BM112,,$BV$21)*$BW$21+
INDEX($A112:$BM112,,$BV$22)*$BW$22+
INDEX($A112:$BM112,,$BV$23)*$BW$23+
INDEX($A112:$BM112,,$BV$25)*$BW$25+
INDEX($A112:$BM112,,$BV$26)*$BW$26+
INDEX($A112:$BM112,,$BV$27)*$BW$27+
$BN112)),
$BN112-100)</f>
        <v>-100</v>
      </c>
      <c r="BB112" t="str">
        <f t="shared" si="22"/>
        <v/>
      </c>
      <c r="BC112" t="str">
        <f t="shared" si="15"/>
        <v/>
      </c>
      <c r="BD112" s="430">
        <f>IFERROR(
IF(BB112="",-100,
IF($BV$2&gt;0, INDEX(Beersheet!$A:$U,MATCH(BB112,INDEX(Beersheet!$A:$U,0,FFARawStatProjections!$BV$2),0),$BV$3)+$BN112,
INDEX($A112:$BM112,,$BV$12)*$BW$12+
INDEX($A112:$BM112,,$BV$15)*$BW$15+
INDEX($A112:$BM112,,$BV$16)*$BW$16+
INDEX($A112:$BM112,,$BV$17)*$BW$17+
INDEX($A112:$BM112,,$BV$18)*$BW$18+
INDEX($A112:$BM112,,$BV$19)*$BW$19+
INDEX($A112:$BM112,,$BV$20)*$BW$20+
INDEX($A112:$BM112,,$BV$21)*$BW$21+
INDEX($A112:$BM112,,$BV$22)*$BW$22+
INDEX($A112:$BM112,,$BV$23)*$BW$23+
INDEX($A112:$BM112,,$BV$25)*$BW$25+
INDEX($A112:$BM112,,$BV$26)*$BW$26+
INDEX($A112:$BM112,,$BV$27)*$BW$27+
$BN112)),
$BN112-100)</f>
        <v>-100</v>
      </c>
      <c r="BF112" t="str">
        <f t="shared" si="23"/>
        <v/>
      </c>
      <c r="BG112" t="str">
        <f t="shared" si="24"/>
        <v/>
      </c>
      <c r="BH112">
        <f t="shared" si="25"/>
        <v>0</v>
      </c>
      <c r="BJ112" t="str">
        <f t="shared" si="26"/>
        <v/>
      </c>
      <c r="BL112">
        <f t="shared" si="16"/>
        <v>0</v>
      </c>
      <c r="BN112">
        <v>1.1100000000000001E-3</v>
      </c>
      <c r="BS112" s="4" t="s">
        <v>1274</v>
      </c>
    </row>
    <row r="113" spans="1:71" ht="15.75" thickBot="1" x14ac:dyDescent="0.3">
      <c r="A113" s="569"/>
      <c r="B113" s="569"/>
      <c r="C113" s="569" t="s">
        <v>1</v>
      </c>
      <c r="D113" s="569"/>
      <c r="E113" s="569"/>
      <c r="F113" s="569"/>
      <c r="G113" s="569"/>
      <c r="H113" s="569"/>
      <c r="I113" s="569"/>
      <c r="J113" s="569"/>
      <c r="K113" s="569"/>
      <c r="L113" s="574">
        <v>0</v>
      </c>
      <c r="M113" s="574">
        <v>0</v>
      </c>
      <c r="N113" s="574">
        <v>0</v>
      </c>
      <c r="O113" s="569"/>
      <c r="P113" s="569"/>
      <c r="Q113" s="569"/>
      <c r="R113" s="569"/>
      <c r="S113" s="569"/>
      <c r="T113" s="569"/>
      <c r="U113" s="569"/>
      <c r="V113" s="569"/>
      <c r="W113" s="569"/>
      <c r="X113" s="569"/>
      <c r="Y113" s="569"/>
      <c r="Z113" s="569"/>
      <c r="AA113" s="569"/>
      <c r="AB113" s="569"/>
      <c r="AC113" s="569"/>
      <c r="AD113" s="569"/>
      <c r="AE113" s="569"/>
      <c r="AF113" s="569"/>
      <c r="AG113" s="569"/>
      <c r="AH113" s="569"/>
      <c r="AI113" s="569"/>
      <c r="AJ113" s="569"/>
      <c r="AK113" s="569"/>
      <c r="AL113" s="569"/>
      <c r="AM113" s="569"/>
      <c r="AN113" s="569"/>
      <c r="AO113">
        <v>112</v>
      </c>
      <c r="AP113">
        <f t="shared" si="27"/>
        <v>0</v>
      </c>
      <c r="AQ113">
        <f t="shared" si="17"/>
        <v>0</v>
      </c>
      <c r="AR113" s="430">
        <f>IFERROR(
IF(AP113="",-100,
IF($BV$2&gt;0, INDEX(Beersheet!$A:$U,MATCH(AP113,INDEX(Beersheet!$A:$U,0,FFARawStatProjections!$BV$2),0),$BV$3)+$BN113,
INDEX($A113:$BM113,,$BV$12)*$BW$12+
INDEX($A113:$BM113,,$BV$15)*$BW$15+
INDEX($A113:$BM113,,$BV$16)*$BW$16+
INDEX($A113:$BM113,,$BV$17)*$BW$17+
INDEX($A113:$BM113,,$BV$18)*$BW$18+
INDEX($A113:$BM113,,$BV$19)*$BW$19+
INDEX($A113:$BM113,,$BV$20)*$BW$20+
INDEX($A113:$BM113,,$BV$21)*$BW$21+
INDEX($A113:$BM113,,$BV$22)*$BW$22+
INDEX($A113:$BM113,,$BV$23)*$BW$23+
INDEX($A113:$BM113,,$BV$25)*$BW$25+
INDEX($A113:$BM113,,$BV$26)*$BW$26+
INDEX($A113:$BM113,,$BV$27)*$BW$27+
$BN113)),
$BN113-100)</f>
        <v>1.1199999999999999E-3</v>
      </c>
      <c r="AT113" t="str">
        <f t="shared" si="18"/>
        <v/>
      </c>
      <c r="AU113" t="str">
        <f t="shared" si="19"/>
        <v/>
      </c>
      <c r="AV113" s="430">
        <f>IFERROR(
IF(AT113="",-100,
IF($BV$2&gt;0, INDEX(Beersheet!$A:$U,MATCH(AT113,INDEX(Beersheet!$A:$U,0,FFARawStatProjections!$BV$2),0),$BV$3)+$BN113,
INDEX($A113:$BM113,,$BV$12)*$BW$12+
INDEX($A113:$BM113,,$BV$15)*$BW$15+
INDEX($A113:$BM113,,$BV$16)*$BW$16+
INDEX($A113:$BM113,,$BV$17)*$BW$17+
INDEX($A113:$BM113,,$BV$18)*$BW$18+
INDEX($A113:$BM113,,$BV$19)*$BW$19+
INDEX($A113:$BM113,,$BV$20)*$BW$20+
INDEX($A113:$BM113,,$BV$21)*$BW$21+
INDEX($A113:$BM113,,$BV$22)*$BW$22+
INDEX($A113:$BM113,,$BV$23)*$BW$23+
INDEX($A113:$BM113,,$BV$25)*$BW$25+
INDEX($A113:$BM113,,$BV$26)*$BW$26+
INDEX($A113:$BM113,,$BV$27)*$BW$27+
$BN113)),
$BN113-100)</f>
        <v>-100</v>
      </c>
      <c r="AX113" t="str">
        <f t="shared" si="20"/>
        <v/>
      </c>
      <c r="AY113" t="str">
        <f t="shared" si="21"/>
        <v/>
      </c>
      <c r="AZ113" s="430">
        <f>IFERROR(
IF(AX113="",-100,
IF($BV$2&gt;0, INDEX(Beersheet!$A:$U,MATCH(AX113,INDEX(Beersheet!$A:$U,0,FFARawStatProjections!$BV$2),0),$BV$3)+$BN113,
INDEX($A113:$BM113,,$BV$12)*$BW$12+
INDEX($A113:$BM113,,$BV$15)*$BW$15+
INDEX($A113:$BM113,,$BV$16)*$BW$16+
INDEX($A113:$BM113,,$BV$17)*$BW$17+
INDEX($A113:$BM113,,$BV$18)*$BW$18+
INDEX($A113:$BM113,,$BV$19)*$BW$19+
INDEX($A113:$BM113,,$BV$20)*$BW$20+
INDEX($A113:$BM113,,$BV$21)*$BW$21+
INDEX($A113:$BM113,,$BV$22)*$BW$22+
INDEX($A113:$BM113,,$BV$23)*$BW$23+
INDEX($A113:$BM113,,$BV$25)*$BW$25+
INDEX($A113:$BM113,,$BV$26)*$BW$26+
INDEX($A113:$BM113,,$BV$27)*$BW$27+
$BN113)),
$BN113-100)</f>
        <v>-100</v>
      </c>
      <c r="BB113" t="str">
        <f t="shared" si="22"/>
        <v/>
      </c>
      <c r="BC113" t="str">
        <f t="shared" si="15"/>
        <v/>
      </c>
      <c r="BD113" s="430">
        <f>IFERROR(
IF(BB113="",-100,
IF($BV$2&gt;0, INDEX(Beersheet!$A:$U,MATCH(BB113,INDEX(Beersheet!$A:$U,0,FFARawStatProjections!$BV$2),0),$BV$3)+$BN113,
INDEX($A113:$BM113,,$BV$12)*$BW$12+
INDEX($A113:$BM113,,$BV$15)*$BW$15+
INDEX($A113:$BM113,,$BV$16)*$BW$16+
INDEX($A113:$BM113,,$BV$17)*$BW$17+
INDEX($A113:$BM113,,$BV$18)*$BW$18+
INDEX($A113:$BM113,,$BV$19)*$BW$19+
INDEX($A113:$BM113,,$BV$20)*$BW$20+
INDEX($A113:$BM113,,$BV$21)*$BW$21+
INDEX($A113:$BM113,,$BV$22)*$BW$22+
INDEX($A113:$BM113,,$BV$23)*$BW$23+
INDEX($A113:$BM113,,$BV$25)*$BW$25+
INDEX($A113:$BM113,,$BV$26)*$BW$26+
INDEX($A113:$BM113,,$BV$27)*$BW$27+
$BN113)),
$BN113-100)</f>
        <v>-100</v>
      </c>
      <c r="BF113" t="str">
        <f t="shared" si="23"/>
        <v/>
      </c>
      <c r="BG113" t="str">
        <f t="shared" si="24"/>
        <v/>
      </c>
      <c r="BH113">
        <f t="shared" si="25"/>
        <v>0</v>
      </c>
      <c r="BJ113" t="str">
        <f t="shared" si="26"/>
        <v/>
      </c>
      <c r="BL113">
        <f t="shared" si="16"/>
        <v>0</v>
      </c>
      <c r="BN113">
        <v>1.1199999999999999E-3</v>
      </c>
      <c r="BS113" s="4" t="s">
        <v>2380</v>
      </c>
    </row>
    <row r="114" spans="1:71" ht="15.75" thickBot="1" x14ac:dyDescent="0.3">
      <c r="A114" s="569"/>
      <c r="B114" s="569"/>
      <c r="C114" s="569" t="s">
        <v>1</v>
      </c>
      <c r="D114" s="569"/>
      <c r="E114" s="569"/>
      <c r="F114" s="569"/>
      <c r="G114" s="569"/>
      <c r="H114" s="569"/>
      <c r="I114" s="569"/>
      <c r="J114" s="569"/>
      <c r="K114" s="569"/>
      <c r="L114" s="574">
        <v>0</v>
      </c>
      <c r="M114" s="574">
        <v>0</v>
      </c>
      <c r="N114" s="574">
        <v>0</v>
      </c>
      <c r="O114" s="569"/>
      <c r="P114" s="569"/>
      <c r="Q114" s="569"/>
      <c r="R114" s="569"/>
      <c r="S114" s="569"/>
      <c r="T114" s="569"/>
      <c r="U114" s="569"/>
      <c r="V114" s="569"/>
      <c r="W114" s="569"/>
      <c r="X114" s="569"/>
      <c r="Y114" s="569"/>
      <c r="Z114" s="569"/>
      <c r="AA114" s="569"/>
      <c r="AB114" s="569"/>
      <c r="AC114" s="569"/>
      <c r="AD114" s="569"/>
      <c r="AE114" s="569"/>
      <c r="AF114" s="569"/>
      <c r="AG114" s="569"/>
      <c r="AH114" s="569"/>
      <c r="AI114" s="569"/>
      <c r="AJ114" s="569"/>
      <c r="AK114" s="569"/>
      <c r="AL114" s="569"/>
      <c r="AM114" s="569"/>
      <c r="AN114" s="569"/>
      <c r="AO114">
        <v>113</v>
      </c>
      <c r="AP114">
        <f t="shared" si="27"/>
        <v>0</v>
      </c>
      <c r="AQ114">
        <f t="shared" si="17"/>
        <v>0</v>
      </c>
      <c r="AR114" s="430">
        <f>IFERROR(
IF(AP114="",-100,
IF($BV$2&gt;0, INDEX(Beersheet!$A:$U,MATCH(AP114,INDEX(Beersheet!$A:$U,0,FFARawStatProjections!$BV$2),0),$BV$3)+$BN114,
INDEX($A114:$BM114,,$BV$12)*$BW$12+
INDEX($A114:$BM114,,$BV$15)*$BW$15+
INDEX($A114:$BM114,,$BV$16)*$BW$16+
INDEX($A114:$BM114,,$BV$17)*$BW$17+
INDEX($A114:$BM114,,$BV$18)*$BW$18+
INDEX($A114:$BM114,,$BV$19)*$BW$19+
INDEX($A114:$BM114,,$BV$20)*$BW$20+
INDEX($A114:$BM114,,$BV$21)*$BW$21+
INDEX($A114:$BM114,,$BV$22)*$BW$22+
INDEX($A114:$BM114,,$BV$23)*$BW$23+
INDEX($A114:$BM114,,$BV$25)*$BW$25+
INDEX($A114:$BM114,,$BV$26)*$BW$26+
INDEX($A114:$BM114,,$BV$27)*$BW$27+
$BN114)),
$BN114-100)</f>
        <v>1.1299999999999999E-3</v>
      </c>
      <c r="AT114" t="str">
        <f t="shared" si="18"/>
        <v/>
      </c>
      <c r="AU114" t="str">
        <f t="shared" si="19"/>
        <v/>
      </c>
      <c r="AV114" s="430">
        <f>IFERROR(
IF(AT114="",-100,
IF($BV$2&gt;0, INDEX(Beersheet!$A:$U,MATCH(AT114,INDEX(Beersheet!$A:$U,0,FFARawStatProjections!$BV$2),0),$BV$3)+$BN114,
INDEX($A114:$BM114,,$BV$12)*$BW$12+
INDEX($A114:$BM114,,$BV$15)*$BW$15+
INDEX($A114:$BM114,,$BV$16)*$BW$16+
INDEX($A114:$BM114,,$BV$17)*$BW$17+
INDEX($A114:$BM114,,$BV$18)*$BW$18+
INDEX($A114:$BM114,,$BV$19)*$BW$19+
INDEX($A114:$BM114,,$BV$20)*$BW$20+
INDEX($A114:$BM114,,$BV$21)*$BW$21+
INDEX($A114:$BM114,,$BV$22)*$BW$22+
INDEX($A114:$BM114,,$BV$23)*$BW$23+
INDEX($A114:$BM114,,$BV$25)*$BW$25+
INDEX($A114:$BM114,,$BV$26)*$BW$26+
INDEX($A114:$BM114,,$BV$27)*$BW$27+
$BN114)),
$BN114-100)</f>
        <v>-100</v>
      </c>
      <c r="AX114" t="str">
        <f t="shared" si="20"/>
        <v/>
      </c>
      <c r="AY114" t="str">
        <f t="shared" si="21"/>
        <v/>
      </c>
      <c r="AZ114" s="430">
        <f>IFERROR(
IF(AX114="",-100,
IF($BV$2&gt;0, INDEX(Beersheet!$A:$U,MATCH(AX114,INDEX(Beersheet!$A:$U,0,FFARawStatProjections!$BV$2),0),$BV$3)+$BN114,
INDEX($A114:$BM114,,$BV$12)*$BW$12+
INDEX($A114:$BM114,,$BV$15)*$BW$15+
INDEX($A114:$BM114,,$BV$16)*$BW$16+
INDEX($A114:$BM114,,$BV$17)*$BW$17+
INDEX($A114:$BM114,,$BV$18)*$BW$18+
INDEX($A114:$BM114,,$BV$19)*$BW$19+
INDEX($A114:$BM114,,$BV$20)*$BW$20+
INDEX($A114:$BM114,,$BV$21)*$BW$21+
INDEX($A114:$BM114,,$BV$22)*$BW$22+
INDEX($A114:$BM114,,$BV$23)*$BW$23+
INDEX($A114:$BM114,,$BV$25)*$BW$25+
INDEX($A114:$BM114,,$BV$26)*$BW$26+
INDEX($A114:$BM114,,$BV$27)*$BW$27+
$BN114)),
$BN114-100)</f>
        <v>-100</v>
      </c>
      <c r="BB114" t="str">
        <f t="shared" si="22"/>
        <v/>
      </c>
      <c r="BC114" t="str">
        <f t="shared" si="15"/>
        <v/>
      </c>
      <c r="BD114" s="430">
        <f>IFERROR(
IF(BB114="",-100,
IF($BV$2&gt;0, INDEX(Beersheet!$A:$U,MATCH(BB114,INDEX(Beersheet!$A:$U,0,FFARawStatProjections!$BV$2),0),$BV$3)+$BN114,
INDEX($A114:$BM114,,$BV$12)*$BW$12+
INDEX($A114:$BM114,,$BV$15)*$BW$15+
INDEX($A114:$BM114,,$BV$16)*$BW$16+
INDEX($A114:$BM114,,$BV$17)*$BW$17+
INDEX($A114:$BM114,,$BV$18)*$BW$18+
INDEX($A114:$BM114,,$BV$19)*$BW$19+
INDEX($A114:$BM114,,$BV$20)*$BW$20+
INDEX($A114:$BM114,,$BV$21)*$BW$21+
INDEX($A114:$BM114,,$BV$22)*$BW$22+
INDEX($A114:$BM114,,$BV$23)*$BW$23+
INDEX($A114:$BM114,,$BV$25)*$BW$25+
INDEX($A114:$BM114,,$BV$26)*$BW$26+
INDEX($A114:$BM114,,$BV$27)*$BW$27+
$BN114)),
$BN114-100)</f>
        <v>-100</v>
      </c>
      <c r="BF114" t="str">
        <f t="shared" si="23"/>
        <v/>
      </c>
      <c r="BG114" t="str">
        <f t="shared" si="24"/>
        <v/>
      </c>
      <c r="BH114">
        <f t="shared" si="25"/>
        <v>0</v>
      </c>
      <c r="BJ114" t="str">
        <f t="shared" si="26"/>
        <v/>
      </c>
      <c r="BL114">
        <f t="shared" si="16"/>
        <v>0</v>
      </c>
      <c r="BN114">
        <v>1.1299999999999999E-3</v>
      </c>
      <c r="BS114" s="4" t="s">
        <v>2320</v>
      </c>
    </row>
    <row r="115" spans="1:71" ht="15.75" thickBot="1" x14ac:dyDescent="0.3">
      <c r="A115" s="569"/>
      <c r="B115" s="569"/>
      <c r="C115" s="569"/>
      <c r="D115" s="569"/>
      <c r="E115" s="569"/>
      <c r="F115" s="569"/>
      <c r="G115" s="569"/>
      <c r="H115" s="569"/>
      <c r="I115" s="574">
        <v>0</v>
      </c>
      <c r="J115" s="574">
        <v>0</v>
      </c>
      <c r="K115" s="574">
        <v>0</v>
      </c>
      <c r="L115" s="574">
        <v>0</v>
      </c>
      <c r="M115" s="574">
        <v>0</v>
      </c>
      <c r="N115" s="574">
        <v>0</v>
      </c>
      <c r="O115" s="574">
        <v>0</v>
      </c>
      <c r="P115" s="574">
        <v>0</v>
      </c>
      <c r="Q115" s="574">
        <v>0</v>
      </c>
      <c r="R115" s="569"/>
      <c r="S115" s="569"/>
      <c r="T115" s="569"/>
      <c r="U115" s="569"/>
      <c r="V115" s="569"/>
      <c r="W115" s="569"/>
      <c r="X115" s="569"/>
      <c r="Y115" s="569"/>
      <c r="Z115" s="569"/>
      <c r="AA115" s="569"/>
      <c r="AB115" s="569"/>
      <c r="AC115" s="569"/>
      <c r="AD115" s="569"/>
      <c r="AE115" s="569"/>
      <c r="AF115" s="569"/>
      <c r="AG115" s="569"/>
      <c r="AH115" s="569"/>
      <c r="AI115" s="569"/>
      <c r="AJ115" s="569"/>
      <c r="AK115" s="569"/>
      <c r="AL115" s="569"/>
      <c r="AM115" s="569"/>
      <c r="AN115" s="569"/>
      <c r="AO115">
        <v>114</v>
      </c>
      <c r="AP115" t="str">
        <f t="shared" si="27"/>
        <v/>
      </c>
      <c r="AQ115" t="str">
        <f t="shared" si="17"/>
        <v/>
      </c>
      <c r="AR115" s="430">
        <f>IFERROR(
IF(AP115="",-100,
IF($BV$2&gt;0, INDEX(Beersheet!$A:$U,MATCH(AP115,INDEX(Beersheet!$A:$U,0,FFARawStatProjections!$BV$2),0),$BV$3)+$BN115,
INDEX($A115:$BM115,,$BV$12)*$BW$12+
INDEX($A115:$BM115,,$BV$15)*$BW$15+
INDEX($A115:$BM115,,$BV$16)*$BW$16+
INDEX($A115:$BM115,,$BV$17)*$BW$17+
INDEX($A115:$BM115,,$BV$18)*$BW$18+
INDEX($A115:$BM115,,$BV$19)*$BW$19+
INDEX($A115:$BM115,,$BV$20)*$BW$20+
INDEX($A115:$BM115,,$BV$21)*$BW$21+
INDEX($A115:$BM115,,$BV$22)*$BW$22+
INDEX($A115:$BM115,,$BV$23)*$BW$23+
INDEX($A115:$BM115,,$BV$25)*$BW$25+
INDEX($A115:$BM115,,$BV$26)*$BW$26+
INDEX($A115:$BM115,,$BV$27)*$BW$27+
$BN115)),
$BN115-100)</f>
        <v>-100</v>
      </c>
      <c r="AT115" t="str">
        <f t="shared" si="18"/>
        <v/>
      </c>
      <c r="AU115" t="str">
        <f t="shared" si="19"/>
        <v/>
      </c>
      <c r="AV115" s="430">
        <f>IFERROR(
IF(AT115="",-100,
IF($BV$2&gt;0, INDEX(Beersheet!$A:$U,MATCH(AT115,INDEX(Beersheet!$A:$U,0,FFARawStatProjections!$BV$2),0),$BV$3)+$BN115,
INDEX($A115:$BM115,,$BV$12)*$BW$12+
INDEX($A115:$BM115,,$BV$15)*$BW$15+
INDEX($A115:$BM115,,$BV$16)*$BW$16+
INDEX($A115:$BM115,,$BV$17)*$BW$17+
INDEX($A115:$BM115,,$BV$18)*$BW$18+
INDEX($A115:$BM115,,$BV$19)*$BW$19+
INDEX($A115:$BM115,,$BV$20)*$BW$20+
INDEX($A115:$BM115,,$BV$21)*$BW$21+
INDEX($A115:$BM115,,$BV$22)*$BW$22+
INDEX($A115:$BM115,,$BV$23)*$BW$23+
INDEX($A115:$BM115,,$BV$25)*$BW$25+
INDEX($A115:$BM115,,$BV$26)*$BW$26+
INDEX($A115:$BM115,,$BV$27)*$BW$27+
$BN115)),
$BN115-100)</f>
        <v>-100</v>
      </c>
      <c r="AX115" t="str">
        <f t="shared" si="20"/>
        <v/>
      </c>
      <c r="AY115" t="str">
        <f t="shared" si="21"/>
        <v/>
      </c>
      <c r="AZ115" s="430">
        <f>IFERROR(
IF(AX115="",-100,
IF($BV$2&gt;0, INDEX(Beersheet!$A:$U,MATCH(AX115,INDEX(Beersheet!$A:$U,0,FFARawStatProjections!$BV$2),0),$BV$3)+$BN115,
INDEX($A115:$BM115,,$BV$12)*$BW$12+
INDEX($A115:$BM115,,$BV$15)*$BW$15+
INDEX($A115:$BM115,,$BV$16)*$BW$16+
INDEX($A115:$BM115,,$BV$17)*$BW$17+
INDEX($A115:$BM115,,$BV$18)*$BW$18+
INDEX($A115:$BM115,,$BV$19)*$BW$19+
INDEX($A115:$BM115,,$BV$20)*$BW$20+
INDEX($A115:$BM115,,$BV$21)*$BW$21+
INDEX($A115:$BM115,,$BV$22)*$BW$22+
INDEX($A115:$BM115,,$BV$23)*$BW$23+
INDEX($A115:$BM115,,$BV$25)*$BW$25+
INDEX($A115:$BM115,,$BV$26)*$BW$26+
INDEX($A115:$BM115,,$BV$27)*$BW$27+
$BN115)),
$BN115-100)</f>
        <v>-100</v>
      </c>
      <c r="BB115" t="str">
        <f t="shared" si="22"/>
        <v/>
      </c>
      <c r="BC115" t="str">
        <f t="shared" si="15"/>
        <v/>
      </c>
      <c r="BD115" s="430">
        <f>IFERROR(
IF(BB115="",-100,
IF($BV$2&gt;0, INDEX(Beersheet!$A:$U,MATCH(BB115,INDEX(Beersheet!$A:$U,0,FFARawStatProjections!$BV$2),0),$BV$3)+$BN115,
INDEX($A115:$BM115,,$BV$12)*$BW$12+
INDEX($A115:$BM115,,$BV$15)*$BW$15+
INDEX($A115:$BM115,,$BV$16)*$BW$16+
INDEX($A115:$BM115,,$BV$17)*$BW$17+
INDEX($A115:$BM115,,$BV$18)*$BW$18+
INDEX($A115:$BM115,,$BV$19)*$BW$19+
INDEX($A115:$BM115,,$BV$20)*$BW$20+
INDEX($A115:$BM115,,$BV$21)*$BW$21+
INDEX($A115:$BM115,,$BV$22)*$BW$22+
INDEX($A115:$BM115,,$BV$23)*$BW$23+
INDEX($A115:$BM115,,$BV$25)*$BW$25+
INDEX($A115:$BM115,,$BV$26)*$BW$26+
INDEX($A115:$BM115,,$BV$27)*$BW$27+
$BN115)),
$BN115-100)</f>
        <v>-100</v>
      </c>
      <c r="BF115" t="str">
        <f t="shared" si="23"/>
        <v/>
      </c>
      <c r="BG115" t="str">
        <f t="shared" si="24"/>
        <v/>
      </c>
      <c r="BH115">
        <f t="shared" si="25"/>
        <v>0</v>
      </c>
      <c r="BJ115" t="str">
        <f t="shared" si="26"/>
        <v/>
      </c>
      <c r="BL115">
        <f t="shared" si="16"/>
        <v>0</v>
      </c>
      <c r="BN115">
        <v>1.14E-3</v>
      </c>
      <c r="BS115" s="4" t="s">
        <v>2509</v>
      </c>
    </row>
    <row r="116" spans="1:71" ht="15.75" thickBot="1" x14ac:dyDescent="0.3">
      <c r="A116" s="569"/>
      <c r="B116" s="569"/>
      <c r="C116" s="569"/>
      <c r="D116" s="569"/>
      <c r="E116" s="569"/>
      <c r="F116" s="569"/>
      <c r="G116" s="569"/>
      <c r="H116" s="569"/>
      <c r="I116" s="574">
        <v>0</v>
      </c>
      <c r="J116" s="574">
        <v>0</v>
      </c>
      <c r="K116" s="574">
        <v>0</v>
      </c>
      <c r="L116" s="574">
        <v>0</v>
      </c>
      <c r="M116" s="574">
        <v>0</v>
      </c>
      <c r="N116" s="574">
        <v>0</v>
      </c>
      <c r="O116" s="574">
        <v>0</v>
      </c>
      <c r="P116" s="574">
        <v>0</v>
      </c>
      <c r="Q116" s="574">
        <v>0</v>
      </c>
      <c r="R116" s="569"/>
      <c r="S116" s="569"/>
      <c r="T116" s="569"/>
      <c r="U116" s="569"/>
      <c r="V116" s="569"/>
      <c r="W116" s="569"/>
      <c r="X116" s="569"/>
      <c r="Y116" s="569"/>
      <c r="Z116" s="569"/>
      <c r="AA116" s="569"/>
      <c r="AB116" s="569"/>
      <c r="AC116" s="569"/>
      <c r="AD116" s="569"/>
      <c r="AE116" s="569"/>
      <c r="AF116" s="569"/>
      <c r="AG116" s="569"/>
      <c r="AH116" s="569"/>
      <c r="AI116" s="569"/>
      <c r="AJ116" s="569"/>
      <c r="AK116" s="569"/>
      <c r="AL116" s="569"/>
      <c r="AM116" s="569"/>
      <c r="AN116" s="569"/>
      <c r="AO116">
        <v>115</v>
      </c>
      <c r="AP116" t="str">
        <f t="shared" si="27"/>
        <v/>
      </c>
      <c r="AQ116" t="str">
        <f t="shared" si="17"/>
        <v/>
      </c>
      <c r="AR116" s="430">
        <f>IFERROR(
IF(AP116="",-100,
IF($BV$2&gt;0, INDEX(Beersheet!$A:$U,MATCH(AP116,INDEX(Beersheet!$A:$U,0,FFARawStatProjections!$BV$2),0),$BV$3)+$BN116,
INDEX($A116:$BM116,,$BV$12)*$BW$12+
INDEX($A116:$BM116,,$BV$15)*$BW$15+
INDEX($A116:$BM116,,$BV$16)*$BW$16+
INDEX($A116:$BM116,,$BV$17)*$BW$17+
INDEX($A116:$BM116,,$BV$18)*$BW$18+
INDEX($A116:$BM116,,$BV$19)*$BW$19+
INDEX($A116:$BM116,,$BV$20)*$BW$20+
INDEX($A116:$BM116,,$BV$21)*$BW$21+
INDEX($A116:$BM116,,$BV$22)*$BW$22+
INDEX($A116:$BM116,,$BV$23)*$BW$23+
INDEX($A116:$BM116,,$BV$25)*$BW$25+
INDEX($A116:$BM116,,$BV$26)*$BW$26+
INDEX($A116:$BM116,,$BV$27)*$BW$27+
$BN116)),
$BN116-100)</f>
        <v>-100</v>
      </c>
      <c r="AT116" t="str">
        <f t="shared" si="18"/>
        <v/>
      </c>
      <c r="AU116" t="str">
        <f t="shared" si="19"/>
        <v/>
      </c>
      <c r="AV116" s="430">
        <f>IFERROR(
IF(AT116="",-100,
IF($BV$2&gt;0, INDEX(Beersheet!$A:$U,MATCH(AT116,INDEX(Beersheet!$A:$U,0,FFARawStatProjections!$BV$2),0),$BV$3)+$BN116,
INDEX($A116:$BM116,,$BV$12)*$BW$12+
INDEX($A116:$BM116,,$BV$15)*$BW$15+
INDEX($A116:$BM116,,$BV$16)*$BW$16+
INDEX($A116:$BM116,,$BV$17)*$BW$17+
INDEX($A116:$BM116,,$BV$18)*$BW$18+
INDEX($A116:$BM116,,$BV$19)*$BW$19+
INDEX($A116:$BM116,,$BV$20)*$BW$20+
INDEX($A116:$BM116,,$BV$21)*$BW$21+
INDEX($A116:$BM116,,$BV$22)*$BW$22+
INDEX($A116:$BM116,,$BV$23)*$BW$23+
INDEX($A116:$BM116,,$BV$25)*$BW$25+
INDEX($A116:$BM116,,$BV$26)*$BW$26+
INDEX($A116:$BM116,,$BV$27)*$BW$27+
$BN116)),
$BN116-100)</f>
        <v>-100</v>
      </c>
      <c r="AX116" t="str">
        <f t="shared" si="20"/>
        <v/>
      </c>
      <c r="AY116" t="str">
        <f t="shared" si="21"/>
        <v/>
      </c>
      <c r="AZ116" s="430">
        <f>IFERROR(
IF(AX116="",-100,
IF($BV$2&gt;0, INDEX(Beersheet!$A:$U,MATCH(AX116,INDEX(Beersheet!$A:$U,0,FFARawStatProjections!$BV$2),0),$BV$3)+$BN116,
INDEX($A116:$BM116,,$BV$12)*$BW$12+
INDEX($A116:$BM116,,$BV$15)*$BW$15+
INDEX($A116:$BM116,,$BV$16)*$BW$16+
INDEX($A116:$BM116,,$BV$17)*$BW$17+
INDEX($A116:$BM116,,$BV$18)*$BW$18+
INDEX($A116:$BM116,,$BV$19)*$BW$19+
INDEX($A116:$BM116,,$BV$20)*$BW$20+
INDEX($A116:$BM116,,$BV$21)*$BW$21+
INDEX($A116:$BM116,,$BV$22)*$BW$22+
INDEX($A116:$BM116,,$BV$23)*$BW$23+
INDEX($A116:$BM116,,$BV$25)*$BW$25+
INDEX($A116:$BM116,,$BV$26)*$BW$26+
INDEX($A116:$BM116,,$BV$27)*$BW$27+
$BN116)),
$BN116-100)</f>
        <v>-100</v>
      </c>
      <c r="BB116" t="str">
        <f t="shared" si="22"/>
        <v/>
      </c>
      <c r="BC116" t="str">
        <f t="shared" si="15"/>
        <v/>
      </c>
      <c r="BD116" s="430">
        <f>IFERROR(
IF(BB116="",-100,
IF($BV$2&gt;0, INDEX(Beersheet!$A:$U,MATCH(BB116,INDEX(Beersheet!$A:$U,0,FFARawStatProjections!$BV$2),0),$BV$3)+$BN116,
INDEX($A116:$BM116,,$BV$12)*$BW$12+
INDEX($A116:$BM116,,$BV$15)*$BW$15+
INDEX($A116:$BM116,,$BV$16)*$BW$16+
INDEX($A116:$BM116,,$BV$17)*$BW$17+
INDEX($A116:$BM116,,$BV$18)*$BW$18+
INDEX($A116:$BM116,,$BV$19)*$BW$19+
INDEX($A116:$BM116,,$BV$20)*$BW$20+
INDEX($A116:$BM116,,$BV$21)*$BW$21+
INDEX($A116:$BM116,,$BV$22)*$BW$22+
INDEX($A116:$BM116,,$BV$23)*$BW$23+
INDEX($A116:$BM116,,$BV$25)*$BW$25+
INDEX($A116:$BM116,,$BV$26)*$BW$26+
INDEX($A116:$BM116,,$BV$27)*$BW$27+
$BN116)),
$BN116-100)</f>
        <v>-100</v>
      </c>
      <c r="BF116" t="str">
        <f t="shared" si="23"/>
        <v/>
      </c>
      <c r="BG116" t="str">
        <f t="shared" si="24"/>
        <v/>
      </c>
      <c r="BH116">
        <f t="shared" si="25"/>
        <v>0</v>
      </c>
      <c r="BJ116" t="str">
        <f t="shared" si="26"/>
        <v/>
      </c>
      <c r="BL116">
        <f t="shared" si="16"/>
        <v>0</v>
      </c>
      <c r="BN116">
        <v>1.15E-3</v>
      </c>
      <c r="BS116" s="4" t="s">
        <v>1791</v>
      </c>
    </row>
    <row r="117" spans="1:71" ht="15.75" thickBot="1" x14ac:dyDescent="0.3">
      <c r="A117" s="569" t="s">
        <v>1426</v>
      </c>
      <c r="B117" s="569" t="s">
        <v>155</v>
      </c>
      <c r="C117" s="569" t="s">
        <v>3</v>
      </c>
      <c r="D117" s="574">
        <v>9</v>
      </c>
      <c r="E117" s="569"/>
      <c r="F117" s="569"/>
      <c r="G117" s="569"/>
      <c r="H117" s="569"/>
      <c r="I117" s="574">
        <v>0</v>
      </c>
      <c r="J117" s="574">
        <v>0</v>
      </c>
      <c r="K117" s="574">
        <v>0</v>
      </c>
      <c r="L117" s="574">
        <v>74.8</v>
      </c>
      <c r="M117" s="574">
        <v>4.2</v>
      </c>
      <c r="N117" s="574">
        <v>632</v>
      </c>
      <c r="O117" s="574">
        <v>218.7</v>
      </c>
      <c r="P117" s="574">
        <v>7.5</v>
      </c>
      <c r="Q117" s="574">
        <v>1011.6</v>
      </c>
      <c r="R117" s="569"/>
      <c r="S117" s="569"/>
      <c r="T117" s="569"/>
      <c r="U117" s="569"/>
      <c r="V117" s="569"/>
      <c r="W117" s="569"/>
      <c r="X117" s="569"/>
      <c r="Y117" s="569"/>
      <c r="Z117" s="569"/>
      <c r="AA117" s="569"/>
      <c r="AB117" s="569"/>
      <c r="AC117" s="569"/>
      <c r="AD117" s="569"/>
      <c r="AE117" s="569"/>
      <c r="AF117" s="569"/>
      <c r="AG117" s="569"/>
      <c r="AH117" s="569"/>
      <c r="AI117" s="569"/>
      <c r="AJ117" s="569"/>
      <c r="AK117" s="569"/>
      <c r="AL117" s="569"/>
      <c r="AM117" s="569"/>
      <c r="AN117" s="574">
        <v>233.8</v>
      </c>
      <c r="AO117">
        <v>116</v>
      </c>
      <c r="AP117" t="str">
        <f t="shared" si="27"/>
        <v/>
      </c>
      <c r="AQ117" t="str">
        <f t="shared" si="17"/>
        <v/>
      </c>
      <c r="AR117" s="430">
        <f>IFERROR(
IF(AP117="",-100,
IF($BV$2&gt;0, INDEX(Beersheet!$A:$U,MATCH(AP117,INDEX(Beersheet!$A:$U,0,FFARawStatProjections!$BV$2),0),$BV$3)+$BN117,
INDEX($A117:$BM117,,$BV$12)*$BW$12+
INDEX($A117:$BM117,,$BV$15)*$BW$15+
INDEX($A117:$BM117,,$BV$16)*$BW$16+
INDEX($A117:$BM117,,$BV$17)*$BW$17+
INDEX($A117:$BM117,,$BV$18)*$BW$18+
INDEX($A117:$BM117,,$BV$19)*$BW$19+
INDEX($A117:$BM117,,$BV$20)*$BW$20+
INDEX($A117:$BM117,,$BV$21)*$BW$21+
INDEX($A117:$BM117,,$BV$22)*$BW$22+
INDEX($A117:$BM117,,$BV$23)*$BW$23+
INDEX($A117:$BM117,,$BV$25)*$BW$25+
INDEX($A117:$BM117,,$BV$26)*$BW$26+
INDEX($A117:$BM117,,$BV$27)*$BW$27+
$BN117)),
$BN117-100)</f>
        <v>-100</v>
      </c>
      <c r="AT117" t="str">
        <f t="shared" si="18"/>
        <v>Christian McCaffrey</v>
      </c>
      <c r="AU117" t="str">
        <f t="shared" si="19"/>
        <v>SF</v>
      </c>
      <c r="AV117" s="430">
        <f>IFERROR(
IF(AT117="",-100,
IF($BV$2&gt;0, INDEX(Beersheet!$A:$U,MATCH(AT117,INDEX(Beersheet!$A:$U,0,FFARawStatProjections!$BV$2),0),$BV$3)+$BN117,
INDEX($A117:$BM117,,$BV$12)*$BW$12+
INDEX($A117:$BM117,,$BV$15)*$BW$15+
INDEX($A117:$BM117,,$BV$16)*$BW$16+
INDEX($A117:$BM117,,$BV$17)*$BW$17+
INDEX($A117:$BM117,,$BV$18)*$BW$18+
INDEX($A117:$BM117,,$BV$19)*$BW$19+
INDEX($A117:$BM117,,$BV$20)*$BW$20+
INDEX($A117:$BM117,,$BV$21)*$BW$21+
INDEX($A117:$BM117,,$BV$22)*$BW$22+
INDEX($A117:$BM117,,$BV$23)*$BW$23+
INDEX($A117:$BM117,,$BV$25)*$BW$25+
INDEX($A117:$BM117,,$BV$26)*$BW$26+
INDEX($A117:$BM117,,$BV$27)*$BW$27+
$BN117)),
$BN117-100)</f>
        <v>309.36116000000004</v>
      </c>
      <c r="AX117" t="str">
        <f t="shared" si="20"/>
        <v/>
      </c>
      <c r="AY117" t="str">
        <f t="shared" si="21"/>
        <v/>
      </c>
      <c r="AZ117" s="430">
        <f>IFERROR(
IF(AX117="",-100,
IF($BV$2&gt;0, INDEX(Beersheet!$A:$U,MATCH(AX117,INDEX(Beersheet!$A:$U,0,FFARawStatProjections!$BV$2),0),$BV$3)+$BN117,
INDEX($A117:$BM117,,$BV$12)*$BW$12+
INDEX($A117:$BM117,,$BV$15)*$BW$15+
INDEX($A117:$BM117,,$BV$16)*$BW$16+
INDEX($A117:$BM117,,$BV$17)*$BW$17+
INDEX($A117:$BM117,,$BV$18)*$BW$18+
INDEX($A117:$BM117,,$BV$19)*$BW$19+
INDEX($A117:$BM117,,$BV$20)*$BW$20+
INDEX($A117:$BM117,,$BV$21)*$BW$21+
INDEX($A117:$BM117,,$BV$22)*$BW$22+
INDEX($A117:$BM117,,$BV$23)*$BW$23+
INDEX($A117:$BM117,,$BV$25)*$BW$25+
INDEX($A117:$BM117,,$BV$26)*$BW$26+
INDEX($A117:$BM117,,$BV$27)*$BW$27+
$BN117)),
$BN117-100)</f>
        <v>-100</v>
      </c>
      <c r="BB117" t="str">
        <f t="shared" si="22"/>
        <v/>
      </c>
      <c r="BC117" t="str">
        <f t="shared" si="15"/>
        <v/>
      </c>
      <c r="BD117" s="430">
        <f>IFERROR(
IF(BB117="",-100,
IF($BV$2&gt;0, INDEX(Beersheet!$A:$U,MATCH(BB117,INDEX(Beersheet!$A:$U,0,FFARawStatProjections!$BV$2),0),$BV$3)+$BN117,
INDEX($A117:$BM117,,$BV$12)*$BW$12+
INDEX($A117:$BM117,,$BV$15)*$BW$15+
INDEX($A117:$BM117,,$BV$16)*$BW$16+
INDEX($A117:$BM117,,$BV$17)*$BW$17+
INDEX($A117:$BM117,,$BV$18)*$BW$18+
INDEX($A117:$BM117,,$BV$19)*$BW$19+
INDEX($A117:$BM117,,$BV$20)*$BW$20+
INDEX($A117:$BM117,,$BV$21)*$BW$21+
INDEX($A117:$BM117,,$BV$22)*$BW$22+
INDEX($A117:$BM117,,$BV$23)*$BW$23+
INDEX($A117:$BM117,,$BV$25)*$BW$25+
INDEX($A117:$BM117,,$BV$26)*$BW$26+
INDEX($A117:$BM117,,$BV$27)*$BW$27+
$BN117)),
$BN117-100)</f>
        <v>-100</v>
      </c>
      <c r="BF117" t="str">
        <f t="shared" si="23"/>
        <v/>
      </c>
      <c r="BG117" t="str">
        <f t="shared" si="24"/>
        <v/>
      </c>
      <c r="BH117">
        <f t="shared" si="25"/>
        <v>0</v>
      </c>
      <c r="BJ117" t="str">
        <f t="shared" si="26"/>
        <v/>
      </c>
      <c r="BL117">
        <f t="shared" si="16"/>
        <v>0</v>
      </c>
      <c r="BN117">
        <v>1.16E-3</v>
      </c>
      <c r="BS117" s="4" t="s">
        <v>1426</v>
      </c>
    </row>
    <row r="118" spans="1:71" ht="15.75" thickBot="1" x14ac:dyDescent="0.3">
      <c r="A118" s="569" t="s">
        <v>1756</v>
      </c>
      <c r="B118" s="569" t="s">
        <v>1388</v>
      </c>
      <c r="C118" s="569" t="s">
        <v>3</v>
      </c>
      <c r="D118" s="574">
        <v>5</v>
      </c>
      <c r="E118" s="569"/>
      <c r="F118" s="569"/>
      <c r="G118" s="569"/>
      <c r="H118" s="569"/>
      <c r="I118" s="574">
        <v>0</v>
      </c>
      <c r="J118" s="574">
        <v>0</v>
      </c>
      <c r="K118" s="574">
        <v>0</v>
      </c>
      <c r="L118" s="574">
        <v>77.5</v>
      </c>
      <c r="M118" s="574">
        <v>3.9</v>
      </c>
      <c r="N118" s="574">
        <v>601.1</v>
      </c>
      <c r="O118" s="574">
        <v>191.4</v>
      </c>
      <c r="P118" s="574">
        <v>9.4</v>
      </c>
      <c r="Q118" s="574">
        <v>862.8</v>
      </c>
      <c r="R118" s="569"/>
      <c r="S118" s="569"/>
      <c r="T118" s="569"/>
      <c r="U118" s="569"/>
      <c r="V118" s="569"/>
      <c r="W118" s="569"/>
      <c r="X118" s="569"/>
      <c r="Y118" s="569"/>
      <c r="Z118" s="569"/>
      <c r="AA118" s="569"/>
      <c r="AB118" s="569"/>
      <c r="AC118" s="569"/>
      <c r="AD118" s="569"/>
      <c r="AE118" s="569"/>
      <c r="AF118" s="569"/>
      <c r="AG118" s="569"/>
      <c r="AH118" s="569"/>
      <c r="AI118" s="569"/>
      <c r="AJ118" s="569"/>
      <c r="AK118" s="569"/>
      <c r="AL118" s="569"/>
      <c r="AM118" s="569"/>
      <c r="AN118" s="574">
        <v>223.3</v>
      </c>
      <c r="AO118">
        <v>117</v>
      </c>
      <c r="AP118" t="str">
        <f t="shared" si="27"/>
        <v/>
      </c>
      <c r="AQ118" t="str">
        <f t="shared" si="17"/>
        <v/>
      </c>
      <c r="AR118" s="430">
        <f>IFERROR(
IF(AP118="",-100,
IF($BV$2&gt;0, INDEX(Beersheet!$A:$U,MATCH(AP118,INDEX(Beersheet!$A:$U,0,FFARawStatProjections!$BV$2),0),$BV$3)+$BN118,
INDEX($A118:$BM118,,$BV$12)*$BW$12+
INDEX($A118:$BM118,,$BV$15)*$BW$15+
INDEX($A118:$BM118,,$BV$16)*$BW$16+
INDEX($A118:$BM118,,$BV$17)*$BW$17+
INDEX($A118:$BM118,,$BV$18)*$BW$18+
INDEX($A118:$BM118,,$BV$19)*$BW$19+
INDEX($A118:$BM118,,$BV$20)*$BW$20+
INDEX($A118:$BM118,,$BV$21)*$BW$21+
INDEX($A118:$BM118,,$BV$22)*$BW$22+
INDEX($A118:$BM118,,$BV$23)*$BW$23+
INDEX($A118:$BM118,,$BV$25)*$BW$25+
INDEX($A118:$BM118,,$BV$26)*$BW$26+
INDEX($A118:$BM118,,$BV$27)*$BW$27+
$BN118)),
$BN118-100)</f>
        <v>-100</v>
      </c>
      <c r="AT118" t="str">
        <f t="shared" si="18"/>
        <v>Austin Ekeler</v>
      </c>
      <c r="AU118" t="str">
        <f t="shared" si="19"/>
        <v>LAC</v>
      </c>
      <c r="AV118" s="430">
        <f>IFERROR(
IF(AT118="",-100,
IF($BV$2&gt;0, INDEX(Beersheet!$A:$U,MATCH(AT118,INDEX(Beersheet!$A:$U,0,FFARawStatProjections!$BV$2),0),$BV$3)+$BN118,
INDEX($A118:$BM118,,$BV$12)*$BW$12+
INDEX($A118:$BM118,,$BV$15)*$BW$15+
INDEX($A118:$BM118,,$BV$16)*$BW$16+
INDEX($A118:$BM118,,$BV$17)*$BW$17+
INDEX($A118:$BM118,,$BV$18)*$BW$18+
INDEX($A118:$BM118,,$BV$19)*$BW$19+
INDEX($A118:$BM118,,$BV$20)*$BW$20+
INDEX($A118:$BM118,,$BV$21)*$BW$21+
INDEX($A118:$BM118,,$BV$22)*$BW$22+
INDEX($A118:$BM118,,$BV$23)*$BW$23+
INDEX($A118:$BM118,,$BV$25)*$BW$25+
INDEX($A118:$BM118,,$BV$26)*$BW$26+
INDEX($A118:$BM118,,$BV$27)*$BW$27+
$BN118)),
$BN118-100)</f>
        <v>303.69117000000006</v>
      </c>
      <c r="AX118" t="str">
        <f t="shared" si="20"/>
        <v/>
      </c>
      <c r="AY118" t="str">
        <f t="shared" si="21"/>
        <v/>
      </c>
      <c r="AZ118" s="430">
        <f>IFERROR(
IF(AX118="",-100,
IF($BV$2&gt;0, INDEX(Beersheet!$A:$U,MATCH(AX118,INDEX(Beersheet!$A:$U,0,FFARawStatProjections!$BV$2),0),$BV$3)+$BN118,
INDEX($A118:$BM118,,$BV$12)*$BW$12+
INDEX($A118:$BM118,,$BV$15)*$BW$15+
INDEX($A118:$BM118,,$BV$16)*$BW$16+
INDEX($A118:$BM118,,$BV$17)*$BW$17+
INDEX($A118:$BM118,,$BV$18)*$BW$18+
INDEX($A118:$BM118,,$BV$19)*$BW$19+
INDEX($A118:$BM118,,$BV$20)*$BW$20+
INDEX($A118:$BM118,,$BV$21)*$BW$21+
INDEX($A118:$BM118,,$BV$22)*$BW$22+
INDEX($A118:$BM118,,$BV$23)*$BW$23+
INDEX($A118:$BM118,,$BV$25)*$BW$25+
INDEX($A118:$BM118,,$BV$26)*$BW$26+
INDEX($A118:$BM118,,$BV$27)*$BW$27+
$BN118)),
$BN118-100)</f>
        <v>-100</v>
      </c>
      <c r="BB118" t="str">
        <f t="shared" si="22"/>
        <v/>
      </c>
      <c r="BC118" t="str">
        <f t="shared" si="15"/>
        <v/>
      </c>
      <c r="BD118" s="430">
        <f>IFERROR(
IF(BB118="",-100,
IF($BV$2&gt;0, INDEX(Beersheet!$A:$U,MATCH(BB118,INDEX(Beersheet!$A:$U,0,FFARawStatProjections!$BV$2),0),$BV$3)+$BN118,
INDEX($A118:$BM118,,$BV$12)*$BW$12+
INDEX($A118:$BM118,,$BV$15)*$BW$15+
INDEX($A118:$BM118,,$BV$16)*$BW$16+
INDEX($A118:$BM118,,$BV$17)*$BW$17+
INDEX($A118:$BM118,,$BV$18)*$BW$18+
INDEX($A118:$BM118,,$BV$19)*$BW$19+
INDEX($A118:$BM118,,$BV$20)*$BW$20+
INDEX($A118:$BM118,,$BV$21)*$BW$21+
INDEX($A118:$BM118,,$BV$22)*$BW$22+
INDEX($A118:$BM118,,$BV$23)*$BW$23+
INDEX($A118:$BM118,,$BV$25)*$BW$25+
INDEX($A118:$BM118,,$BV$26)*$BW$26+
INDEX($A118:$BM118,,$BV$27)*$BW$27+
$BN118)),
$BN118-100)</f>
        <v>-100</v>
      </c>
      <c r="BF118" t="str">
        <f t="shared" si="23"/>
        <v/>
      </c>
      <c r="BG118" t="str">
        <f t="shared" si="24"/>
        <v/>
      </c>
      <c r="BH118">
        <f t="shared" si="25"/>
        <v>0</v>
      </c>
      <c r="BJ118" t="str">
        <f t="shared" si="26"/>
        <v/>
      </c>
      <c r="BL118">
        <f t="shared" si="16"/>
        <v>0</v>
      </c>
      <c r="BN118">
        <v>1.17E-3</v>
      </c>
      <c r="BS118" s="4" t="s">
        <v>2321</v>
      </c>
    </row>
    <row r="119" spans="1:71" ht="15.75" thickBot="1" x14ac:dyDescent="0.3">
      <c r="A119" s="569" t="s">
        <v>1772</v>
      </c>
      <c r="B119" s="569" t="s">
        <v>161</v>
      </c>
      <c r="C119" s="569" t="s">
        <v>3</v>
      </c>
      <c r="D119" s="574">
        <v>5</v>
      </c>
      <c r="E119" s="569"/>
      <c r="F119" s="569"/>
      <c r="G119" s="569"/>
      <c r="H119" s="569"/>
      <c r="I119" s="574">
        <v>0</v>
      </c>
      <c r="J119" s="574">
        <v>0</v>
      </c>
      <c r="K119" s="574">
        <v>0</v>
      </c>
      <c r="L119" s="574">
        <v>28.2</v>
      </c>
      <c r="M119" s="574">
        <v>1.1000000000000001</v>
      </c>
      <c r="N119" s="574">
        <v>234.8</v>
      </c>
      <c r="O119" s="574">
        <v>280.39999999999998</v>
      </c>
      <c r="P119" s="574">
        <v>9.1</v>
      </c>
      <c r="Q119" s="574">
        <v>1373.8</v>
      </c>
      <c r="R119" s="569"/>
      <c r="S119" s="569"/>
      <c r="T119" s="569"/>
      <c r="U119" s="569"/>
      <c r="V119" s="569"/>
      <c r="W119" s="569"/>
      <c r="X119" s="569"/>
      <c r="Y119" s="569"/>
      <c r="Z119" s="569"/>
      <c r="AA119" s="569"/>
      <c r="AB119" s="569"/>
      <c r="AC119" s="569"/>
      <c r="AD119" s="569"/>
      <c r="AE119" s="569"/>
      <c r="AF119" s="569"/>
      <c r="AG119" s="569"/>
      <c r="AH119" s="569"/>
      <c r="AI119" s="569"/>
      <c r="AJ119" s="569"/>
      <c r="AK119" s="569"/>
      <c r="AL119" s="569"/>
      <c r="AM119" s="569"/>
      <c r="AN119" s="574">
        <v>219.9</v>
      </c>
      <c r="AO119">
        <v>118</v>
      </c>
      <c r="AP119" t="str">
        <f t="shared" si="27"/>
        <v/>
      </c>
      <c r="AQ119" t="str">
        <f t="shared" si="17"/>
        <v/>
      </c>
      <c r="AR119" s="430">
        <f>IFERROR(
IF(AP119="",-100,
IF($BV$2&gt;0, INDEX(Beersheet!$A:$U,MATCH(AP119,INDEX(Beersheet!$A:$U,0,FFARawStatProjections!$BV$2),0),$BV$3)+$BN119,
INDEX($A119:$BM119,,$BV$12)*$BW$12+
INDEX($A119:$BM119,,$BV$15)*$BW$15+
INDEX($A119:$BM119,,$BV$16)*$BW$16+
INDEX($A119:$BM119,,$BV$17)*$BW$17+
INDEX($A119:$BM119,,$BV$18)*$BW$18+
INDEX($A119:$BM119,,$BV$19)*$BW$19+
INDEX($A119:$BM119,,$BV$20)*$BW$20+
INDEX($A119:$BM119,,$BV$21)*$BW$21+
INDEX($A119:$BM119,,$BV$22)*$BW$22+
INDEX($A119:$BM119,,$BV$23)*$BW$23+
INDEX($A119:$BM119,,$BV$25)*$BW$25+
INDEX($A119:$BM119,,$BV$26)*$BW$26+
INDEX($A119:$BM119,,$BV$27)*$BW$27+
$BN119)),
$BN119-100)</f>
        <v>-100</v>
      </c>
      <c r="AT119" t="str">
        <f t="shared" si="18"/>
        <v>Nick Chubb</v>
      </c>
      <c r="AU119" t="str">
        <f t="shared" si="19"/>
        <v>CLE</v>
      </c>
      <c r="AV119" s="430">
        <f>IFERROR(
IF(AT119="",-100,
IF($BV$2&gt;0, INDEX(Beersheet!$A:$U,MATCH(AT119,INDEX(Beersheet!$A:$U,0,FFARawStatProjections!$BV$2),0),$BV$3)+$BN119,
INDEX($A119:$BM119,,$BV$12)*$BW$12+
INDEX($A119:$BM119,,$BV$15)*$BW$15+
INDEX($A119:$BM119,,$BV$16)*$BW$16+
INDEX($A119:$BM119,,$BV$17)*$BW$17+
INDEX($A119:$BM119,,$BV$18)*$BW$18+
INDEX($A119:$BM119,,$BV$19)*$BW$19+
INDEX($A119:$BM119,,$BV$20)*$BW$20+
INDEX($A119:$BM119,,$BV$21)*$BW$21+
INDEX($A119:$BM119,,$BV$22)*$BW$22+
INDEX($A119:$BM119,,$BV$23)*$BW$23+
INDEX($A119:$BM119,,$BV$25)*$BW$25+
INDEX($A119:$BM119,,$BV$26)*$BW$26+
INDEX($A119:$BM119,,$BV$27)*$BW$27+
$BN119)),
$BN119-100)</f>
        <v>250.26118</v>
      </c>
      <c r="AX119" t="str">
        <f t="shared" si="20"/>
        <v/>
      </c>
      <c r="AY119" t="str">
        <f t="shared" si="21"/>
        <v/>
      </c>
      <c r="AZ119" s="430">
        <f>IFERROR(
IF(AX119="",-100,
IF($BV$2&gt;0, INDEX(Beersheet!$A:$U,MATCH(AX119,INDEX(Beersheet!$A:$U,0,FFARawStatProjections!$BV$2),0),$BV$3)+$BN119,
INDEX($A119:$BM119,,$BV$12)*$BW$12+
INDEX($A119:$BM119,,$BV$15)*$BW$15+
INDEX($A119:$BM119,,$BV$16)*$BW$16+
INDEX($A119:$BM119,,$BV$17)*$BW$17+
INDEX($A119:$BM119,,$BV$18)*$BW$18+
INDEX($A119:$BM119,,$BV$19)*$BW$19+
INDEX($A119:$BM119,,$BV$20)*$BW$20+
INDEX($A119:$BM119,,$BV$21)*$BW$21+
INDEX($A119:$BM119,,$BV$22)*$BW$22+
INDEX($A119:$BM119,,$BV$23)*$BW$23+
INDEX($A119:$BM119,,$BV$25)*$BW$25+
INDEX($A119:$BM119,,$BV$26)*$BW$26+
INDEX($A119:$BM119,,$BV$27)*$BW$27+
$BN119)),
$BN119-100)</f>
        <v>-100</v>
      </c>
      <c r="BB119" t="str">
        <f t="shared" si="22"/>
        <v/>
      </c>
      <c r="BC119" t="str">
        <f t="shared" si="15"/>
        <v/>
      </c>
      <c r="BD119" s="430">
        <f>IFERROR(
IF(BB119="",-100,
IF($BV$2&gt;0, INDEX(Beersheet!$A:$U,MATCH(BB119,INDEX(Beersheet!$A:$U,0,FFARawStatProjections!$BV$2),0),$BV$3)+$BN119,
INDEX($A119:$BM119,,$BV$12)*$BW$12+
INDEX($A119:$BM119,,$BV$15)*$BW$15+
INDEX($A119:$BM119,,$BV$16)*$BW$16+
INDEX($A119:$BM119,,$BV$17)*$BW$17+
INDEX($A119:$BM119,,$BV$18)*$BW$18+
INDEX($A119:$BM119,,$BV$19)*$BW$19+
INDEX($A119:$BM119,,$BV$20)*$BW$20+
INDEX($A119:$BM119,,$BV$21)*$BW$21+
INDEX($A119:$BM119,,$BV$22)*$BW$22+
INDEX($A119:$BM119,,$BV$23)*$BW$23+
INDEX($A119:$BM119,,$BV$25)*$BW$25+
INDEX($A119:$BM119,,$BV$26)*$BW$26+
INDEX($A119:$BM119,,$BV$27)*$BW$27+
$BN119)),
$BN119-100)</f>
        <v>-100</v>
      </c>
      <c r="BF119" t="str">
        <f t="shared" si="23"/>
        <v/>
      </c>
      <c r="BG119" t="str">
        <f t="shared" si="24"/>
        <v/>
      </c>
      <c r="BH119">
        <f t="shared" si="25"/>
        <v>0</v>
      </c>
      <c r="BJ119" t="str">
        <f t="shared" si="26"/>
        <v/>
      </c>
      <c r="BL119">
        <f t="shared" si="16"/>
        <v>0</v>
      </c>
      <c r="BN119">
        <v>1.1800000000000001E-3</v>
      </c>
      <c r="BS119" s="4" t="s">
        <v>2179</v>
      </c>
    </row>
    <row r="120" spans="1:71" ht="15.75" thickBot="1" x14ac:dyDescent="0.3">
      <c r="A120" s="569" t="s">
        <v>1180</v>
      </c>
      <c r="B120" s="569" t="s">
        <v>163</v>
      </c>
      <c r="C120" s="569" t="s">
        <v>3</v>
      </c>
      <c r="D120" s="574">
        <v>7</v>
      </c>
      <c r="E120" s="569"/>
      <c r="F120" s="569"/>
      <c r="G120" s="569"/>
      <c r="H120" s="569"/>
      <c r="I120" s="574">
        <v>0</v>
      </c>
      <c r="J120" s="574">
        <v>0</v>
      </c>
      <c r="K120" s="574">
        <v>0</v>
      </c>
      <c r="L120" s="574">
        <v>32</v>
      </c>
      <c r="M120" s="574">
        <v>0.8</v>
      </c>
      <c r="N120" s="574">
        <v>271.10000000000002</v>
      </c>
      <c r="O120" s="574">
        <v>307.8</v>
      </c>
      <c r="P120" s="574">
        <v>9.4</v>
      </c>
      <c r="Q120" s="574">
        <v>1346.7</v>
      </c>
      <c r="R120" s="569"/>
      <c r="S120" s="569"/>
      <c r="T120" s="569"/>
      <c r="U120" s="569"/>
      <c r="V120" s="569"/>
      <c r="W120" s="569"/>
      <c r="X120" s="569"/>
      <c r="Y120" s="569"/>
      <c r="Z120" s="569"/>
      <c r="AA120" s="569"/>
      <c r="AB120" s="569"/>
      <c r="AC120" s="569"/>
      <c r="AD120" s="569"/>
      <c r="AE120" s="569"/>
      <c r="AF120" s="569"/>
      <c r="AG120" s="569"/>
      <c r="AH120" s="569"/>
      <c r="AI120" s="569"/>
      <c r="AJ120" s="569"/>
      <c r="AK120" s="569"/>
      <c r="AL120" s="569"/>
      <c r="AM120" s="569"/>
      <c r="AN120" s="574">
        <v>219.5</v>
      </c>
      <c r="AO120">
        <v>119</v>
      </c>
      <c r="AP120" t="str">
        <f t="shared" si="27"/>
        <v/>
      </c>
      <c r="AQ120" t="str">
        <f t="shared" si="17"/>
        <v/>
      </c>
      <c r="AR120" s="430">
        <f>IFERROR(
IF(AP120="",-100,
IF($BV$2&gt;0, INDEX(Beersheet!$A:$U,MATCH(AP120,INDEX(Beersheet!$A:$U,0,FFARawStatProjections!$BV$2),0),$BV$3)+$BN120,
INDEX($A120:$BM120,,$BV$12)*$BW$12+
INDEX($A120:$BM120,,$BV$15)*$BW$15+
INDEX($A120:$BM120,,$BV$16)*$BW$16+
INDEX($A120:$BM120,,$BV$17)*$BW$17+
INDEX($A120:$BM120,,$BV$18)*$BW$18+
INDEX($A120:$BM120,,$BV$19)*$BW$19+
INDEX($A120:$BM120,,$BV$20)*$BW$20+
INDEX($A120:$BM120,,$BV$21)*$BW$21+
INDEX($A120:$BM120,,$BV$22)*$BW$22+
INDEX($A120:$BM120,,$BV$23)*$BW$23+
INDEX($A120:$BM120,,$BV$25)*$BW$25+
INDEX($A120:$BM120,,$BV$26)*$BW$26+
INDEX($A120:$BM120,,$BV$27)*$BW$27+
$BN120)),
$BN120-100)</f>
        <v>-100</v>
      </c>
      <c r="AT120" t="str">
        <f t="shared" si="18"/>
        <v>Derrick Henry</v>
      </c>
      <c r="AU120" t="str">
        <f t="shared" si="19"/>
        <v>TEN</v>
      </c>
      <c r="AV120" s="430">
        <f>IFERROR(
IF(AT120="",-100,
IF($BV$2&gt;0, INDEX(Beersheet!$A:$U,MATCH(AT120,INDEX(Beersheet!$A:$U,0,FFARawStatProjections!$BV$2),0),$BV$3)+$BN120,
INDEX($A120:$BM120,,$BV$12)*$BW$12+
INDEX($A120:$BM120,,$BV$15)*$BW$15+
INDEX($A120:$BM120,,$BV$16)*$BW$16+
INDEX($A120:$BM120,,$BV$17)*$BW$17+
INDEX($A120:$BM120,,$BV$18)*$BW$18+
INDEX($A120:$BM120,,$BV$19)*$BW$19+
INDEX($A120:$BM120,,$BV$20)*$BW$20+
INDEX($A120:$BM120,,$BV$21)*$BW$21+
INDEX($A120:$BM120,,$BV$22)*$BW$22+
INDEX($A120:$BM120,,$BV$23)*$BW$23+
INDEX($A120:$BM120,,$BV$25)*$BW$25+
INDEX($A120:$BM120,,$BV$26)*$BW$26+
INDEX($A120:$BM120,,$BV$27)*$BW$27+
$BN120)),
$BN120-100)</f>
        <v>254.98119000000003</v>
      </c>
      <c r="AX120" t="str">
        <f t="shared" si="20"/>
        <v/>
      </c>
      <c r="AY120" t="str">
        <f t="shared" si="21"/>
        <v/>
      </c>
      <c r="AZ120" s="430">
        <f>IFERROR(
IF(AX120="",-100,
IF($BV$2&gt;0, INDEX(Beersheet!$A:$U,MATCH(AX120,INDEX(Beersheet!$A:$U,0,FFARawStatProjections!$BV$2),0),$BV$3)+$BN120,
INDEX($A120:$BM120,,$BV$12)*$BW$12+
INDEX($A120:$BM120,,$BV$15)*$BW$15+
INDEX($A120:$BM120,,$BV$16)*$BW$16+
INDEX($A120:$BM120,,$BV$17)*$BW$17+
INDEX($A120:$BM120,,$BV$18)*$BW$18+
INDEX($A120:$BM120,,$BV$19)*$BW$19+
INDEX($A120:$BM120,,$BV$20)*$BW$20+
INDEX($A120:$BM120,,$BV$21)*$BW$21+
INDEX($A120:$BM120,,$BV$22)*$BW$22+
INDEX($A120:$BM120,,$BV$23)*$BW$23+
INDEX($A120:$BM120,,$BV$25)*$BW$25+
INDEX($A120:$BM120,,$BV$26)*$BW$26+
INDEX($A120:$BM120,,$BV$27)*$BW$27+
$BN120)),
$BN120-100)</f>
        <v>-100</v>
      </c>
      <c r="BB120" t="str">
        <f t="shared" si="22"/>
        <v/>
      </c>
      <c r="BC120" t="str">
        <f t="shared" si="15"/>
        <v/>
      </c>
      <c r="BD120" s="430">
        <f>IFERROR(
IF(BB120="",-100,
IF($BV$2&gt;0, INDEX(Beersheet!$A:$U,MATCH(BB120,INDEX(Beersheet!$A:$U,0,FFARawStatProjections!$BV$2),0),$BV$3)+$BN120,
INDEX($A120:$BM120,,$BV$12)*$BW$12+
INDEX($A120:$BM120,,$BV$15)*$BW$15+
INDEX($A120:$BM120,,$BV$16)*$BW$16+
INDEX($A120:$BM120,,$BV$17)*$BW$17+
INDEX($A120:$BM120,,$BV$18)*$BW$18+
INDEX($A120:$BM120,,$BV$19)*$BW$19+
INDEX($A120:$BM120,,$BV$20)*$BW$20+
INDEX($A120:$BM120,,$BV$21)*$BW$21+
INDEX($A120:$BM120,,$BV$22)*$BW$22+
INDEX($A120:$BM120,,$BV$23)*$BW$23+
INDEX($A120:$BM120,,$BV$25)*$BW$25+
INDEX($A120:$BM120,,$BV$26)*$BW$26+
INDEX($A120:$BM120,,$BV$27)*$BW$27+
$BN120)),
$BN120-100)</f>
        <v>-100</v>
      </c>
      <c r="BF120" t="str">
        <f t="shared" si="23"/>
        <v/>
      </c>
      <c r="BG120" t="str">
        <f t="shared" si="24"/>
        <v/>
      </c>
      <c r="BH120">
        <f t="shared" si="25"/>
        <v>0</v>
      </c>
      <c r="BJ120" t="str">
        <f t="shared" si="26"/>
        <v/>
      </c>
      <c r="BL120">
        <f t="shared" si="16"/>
        <v>0</v>
      </c>
      <c r="BN120">
        <v>1.1900000000000001E-3</v>
      </c>
      <c r="BS120" s="4" t="s">
        <v>145</v>
      </c>
    </row>
    <row r="121" spans="1:71" ht="15.75" thickBot="1" x14ac:dyDescent="0.3">
      <c r="A121" s="569" t="s">
        <v>1853</v>
      </c>
      <c r="B121" s="569" t="s">
        <v>2073</v>
      </c>
      <c r="C121" s="569" t="s">
        <v>3</v>
      </c>
      <c r="D121" s="574">
        <v>13</v>
      </c>
      <c r="E121" s="569"/>
      <c r="F121" s="569"/>
      <c r="G121" s="569"/>
      <c r="H121" s="569"/>
      <c r="I121" s="574">
        <v>0</v>
      </c>
      <c r="J121" s="574">
        <v>0</v>
      </c>
      <c r="K121" s="574">
        <v>0</v>
      </c>
      <c r="L121" s="574">
        <v>39.799999999999997</v>
      </c>
      <c r="M121" s="574">
        <v>0.8</v>
      </c>
      <c r="N121" s="574">
        <v>292.7</v>
      </c>
      <c r="O121" s="574">
        <v>263.2</v>
      </c>
      <c r="P121" s="574">
        <v>9.8000000000000007</v>
      </c>
      <c r="Q121" s="574">
        <v>1228.9000000000001</v>
      </c>
      <c r="R121" s="569"/>
      <c r="S121" s="569"/>
      <c r="T121" s="569"/>
      <c r="U121" s="569"/>
      <c r="V121" s="569"/>
      <c r="W121" s="569"/>
      <c r="X121" s="569"/>
      <c r="Y121" s="569"/>
      <c r="Z121" s="569"/>
      <c r="AA121" s="569"/>
      <c r="AB121" s="569"/>
      <c r="AC121" s="569"/>
      <c r="AD121" s="569"/>
      <c r="AE121" s="569"/>
      <c r="AF121" s="569"/>
      <c r="AG121" s="569"/>
      <c r="AH121" s="569"/>
      <c r="AI121" s="569"/>
      <c r="AJ121" s="569"/>
      <c r="AK121" s="569"/>
      <c r="AL121" s="569"/>
      <c r="AM121" s="569"/>
      <c r="AN121" s="574">
        <v>213.4</v>
      </c>
      <c r="AO121">
        <v>120</v>
      </c>
      <c r="AP121" t="str">
        <f t="shared" si="27"/>
        <v/>
      </c>
      <c r="AQ121" t="str">
        <f t="shared" si="17"/>
        <v/>
      </c>
      <c r="AR121" s="430">
        <f>IFERROR(
IF(AP121="",-100,
IF($BV$2&gt;0, INDEX(Beersheet!$A:$U,MATCH(AP121,INDEX(Beersheet!$A:$U,0,FFARawStatProjections!$BV$2),0),$BV$3)+$BN121,
INDEX($A121:$BM121,,$BV$12)*$BW$12+
INDEX($A121:$BM121,,$BV$15)*$BW$15+
INDEX($A121:$BM121,,$BV$16)*$BW$16+
INDEX($A121:$BM121,,$BV$17)*$BW$17+
INDEX($A121:$BM121,,$BV$18)*$BW$18+
INDEX($A121:$BM121,,$BV$19)*$BW$19+
INDEX($A121:$BM121,,$BV$20)*$BW$20+
INDEX($A121:$BM121,,$BV$21)*$BW$21+
INDEX($A121:$BM121,,$BV$22)*$BW$22+
INDEX($A121:$BM121,,$BV$23)*$BW$23+
INDEX($A121:$BM121,,$BV$25)*$BW$25+
INDEX($A121:$BM121,,$BV$26)*$BW$26+
INDEX($A121:$BM121,,$BV$27)*$BW$27+
$BN121)),
$BN121-100)</f>
        <v>-100</v>
      </c>
      <c r="AT121" t="str">
        <f t="shared" si="18"/>
        <v>Josh Jacobs</v>
      </c>
      <c r="AU121" t="str">
        <f t="shared" si="19"/>
        <v>LV</v>
      </c>
      <c r="AV121" s="430">
        <f>IFERROR(
IF(AT121="",-100,
IF($BV$2&gt;0, INDEX(Beersheet!$A:$U,MATCH(AT121,INDEX(Beersheet!$A:$U,0,FFARawStatProjections!$BV$2),0),$BV$3)+$BN121,
INDEX($A121:$BM121,,$BV$12)*$BW$12+
INDEX($A121:$BM121,,$BV$15)*$BW$15+
INDEX($A121:$BM121,,$BV$16)*$BW$16+
INDEX($A121:$BM121,,$BV$17)*$BW$17+
INDEX($A121:$BM121,,$BV$18)*$BW$18+
INDEX($A121:$BM121,,$BV$19)*$BW$19+
INDEX($A121:$BM121,,$BV$20)*$BW$20+
INDEX($A121:$BM121,,$BV$21)*$BW$21+
INDEX($A121:$BM121,,$BV$22)*$BW$22+
INDEX($A121:$BM121,,$BV$23)*$BW$23+
INDEX($A121:$BM121,,$BV$25)*$BW$25+
INDEX($A121:$BM121,,$BV$26)*$BW$26+
INDEX($A121:$BM121,,$BV$27)*$BW$27+
$BN121)),
$BN121-100)</f>
        <v>255.56120000000001</v>
      </c>
      <c r="AX121" t="str">
        <f t="shared" si="20"/>
        <v/>
      </c>
      <c r="AY121" t="str">
        <f t="shared" si="21"/>
        <v/>
      </c>
      <c r="AZ121" s="430">
        <f>IFERROR(
IF(AX121="",-100,
IF($BV$2&gt;0, INDEX(Beersheet!$A:$U,MATCH(AX121,INDEX(Beersheet!$A:$U,0,FFARawStatProjections!$BV$2),0),$BV$3)+$BN121,
INDEX($A121:$BM121,,$BV$12)*$BW$12+
INDEX($A121:$BM121,,$BV$15)*$BW$15+
INDEX($A121:$BM121,,$BV$16)*$BW$16+
INDEX($A121:$BM121,,$BV$17)*$BW$17+
INDEX($A121:$BM121,,$BV$18)*$BW$18+
INDEX($A121:$BM121,,$BV$19)*$BW$19+
INDEX($A121:$BM121,,$BV$20)*$BW$20+
INDEX($A121:$BM121,,$BV$21)*$BW$21+
INDEX($A121:$BM121,,$BV$22)*$BW$22+
INDEX($A121:$BM121,,$BV$23)*$BW$23+
INDEX($A121:$BM121,,$BV$25)*$BW$25+
INDEX($A121:$BM121,,$BV$26)*$BW$26+
INDEX($A121:$BM121,,$BV$27)*$BW$27+
$BN121)),
$BN121-100)</f>
        <v>-100</v>
      </c>
      <c r="BB121" t="str">
        <f t="shared" si="22"/>
        <v/>
      </c>
      <c r="BC121" t="str">
        <f t="shared" si="15"/>
        <v/>
      </c>
      <c r="BD121" s="430">
        <f>IFERROR(
IF(BB121="",-100,
IF($BV$2&gt;0, INDEX(Beersheet!$A:$U,MATCH(BB121,INDEX(Beersheet!$A:$U,0,FFARawStatProjections!$BV$2),0),$BV$3)+$BN121,
INDEX($A121:$BM121,,$BV$12)*$BW$12+
INDEX($A121:$BM121,,$BV$15)*$BW$15+
INDEX($A121:$BM121,,$BV$16)*$BW$16+
INDEX($A121:$BM121,,$BV$17)*$BW$17+
INDEX($A121:$BM121,,$BV$18)*$BW$18+
INDEX($A121:$BM121,,$BV$19)*$BW$19+
INDEX($A121:$BM121,,$BV$20)*$BW$20+
INDEX($A121:$BM121,,$BV$21)*$BW$21+
INDEX($A121:$BM121,,$BV$22)*$BW$22+
INDEX($A121:$BM121,,$BV$23)*$BW$23+
INDEX($A121:$BM121,,$BV$25)*$BW$25+
INDEX($A121:$BM121,,$BV$26)*$BW$26+
INDEX($A121:$BM121,,$BV$27)*$BW$27+
$BN121)),
$BN121-100)</f>
        <v>-100</v>
      </c>
      <c r="BF121" t="str">
        <f t="shared" si="23"/>
        <v/>
      </c>
      <c r="BG121" t="str">
        <f t="shared" si="24"/>
        <v/>
      </c>
      <c r="BH121">
        <f t="shared" si="25"/>
        <v>0</v>
      </c>
      <c r="BJ121" t="str">
        <f t="shared" si="26"/>
        <v/>
      </c>
      <c r="BL121">
        <f t="shared" si="16"/>
        <v>0</v>
      </c>
      <c r="BN121">
        <v>1.1999999999999999E-3</v>
      </c>
      <c r="BS121" s="4" t="s">
        <v>2170</v>
      </c>
    </row>
    <row r="122" spans="1:71" ht="15.75" thickBot="1" x14ac:dyDescent="0.3">
      <c r="A122" s="569" t="s">
        <v>2528</v>
      </c>
      <c r="B122" s="569" t="s">
        <v>148</v>
      </c>
      <c r="C122" s="569" t="s">
        <v>3</v>
      </c>
      <c r="D122" s="574">
        <v>11</v>
      </c>
      <c r="E122" s="569"/>
      <c r="F122" s="569"/>
      <c r="G122" s="569"/>
      <c r="H122" s="569"/>
      <c r="I122" s="574">
        <v>0</v>
      </c>
      <c r="J122" s="574">
        <v>0</v>
      </c>
      <c r="K122" s="574">
        <v>0</v>
      </c>
      <c r="L122" s="574">
        <v>40.6</v>
      </c>
      <c r="M122" s="574">
        <v>2.1</v>
      </c>
      <c r="N122" s="574">
        <v>337.4</v>
      </c>
      <c r="O122" s="574">
        <v>247.9</v>
      </c>
      <c r="P122" s="574">
        <v>8.6999999999999993</v>
      </c>
      <c r="Q122" s="574">
        <v>1181.4000000000001</v>
      </c>
      <c r="R122" s="569"/>
      <c r="S122" s="569"/>
      <c r="T122" s="569"/>
      <c r="U122" s="569"/>
      <c r="V122" s="569"/>
      <c r="W122" s="569"/>
      <c r="X122" s="569"/>
      <c r="Y122" s="569"/>
      <c r="Z122" s="569"/>
      <c r="AA122" s="569"/>
      <c r="AB122" s="569"/>
      <c r="AC122" s="569"/>
      <c r="AD122" s="569"/>
      <c r="AE122" s="569"/>
      <c r="AF122" s="569"/>
      <c r="AG122" s="569"/>
      <c r="AH122" s="569"/>
      <c r="AI122" s="569"/>
      <c r="AJ122" s="569"/>
      <c r="AK122" s="569"/>
      <c r="AL122" s="569"/>
      <c r="AM122" s="569"/>
      <c r="AN122" s="574">
        <v>212.7</v>
      </c>
      <c r="AO122">
        <v>121</v>
      </c>
      <c r="AP122" t="str">
        <f t="shared" si="27"/>
        <v/>
      </c>
      <c r="AQ122" t="str">
        <f t="shared" si="17"/>
        <v/>
      </c>
      <c r="AR122" s="430">
        <f>IFERROR(
IF(AP122="",-100,
IF($BV$2&gt;0, INDEX(Beersheet!$A:$U,MATCH(AP122,INDEX(Beersheet!$A:$U,0,FFARawStatProjections!$BV$2),0),$BV$3)+$BN122,
INDEX($A122:$BM122,,$BV$12)*$BW$12+
INDEX($A122:$BM122,,$BV$15)*$BW$15+
INDEX($A122:$BM122,,$BV$16)*$BW$16+
INDEX($A122:$BM122,,$BV$17)*$BW$17+
INDEX($A122:$BM122,,$BV$18)*$BW$18+
INDEX($A122:$BM122,,$BV$19)*$BW$19+
INDEX($A122:$BM122,,$BV$20)*$BW$20+
INDEX($A122:$BM122,,$BV$21)*$BW$21+
INDEX($A122:$BM122,,$BV$22)*$BW$22+
INDEX($A122:$BM122,,$BV$23)*$BW$23+
INDEX($A122:$BM122,,$BV$25)*$BW$25+
INDEX($A122:$BM122,,$BV$26)*$BW$26+
INDEX($A122:$BM122,,$BV$27)*$BW$27+
$BN122)),
$BN122-100)</f>
        <v>-100</v>
      </c>
      <c r="AT122" t="str">
        <f t="shared" si="18"/>
        <v>Bijan Robinson</v>
      </c>
      <c r="AU122" t="str">
        <f t="shared" si="19"/>
        <v>ATL</v>
      </c>
      <c r="AV122" s="430">
        <f>IFERROR(
IF(AT122="",-100,
IF($BV$2&gt;0, INDEX(Beersheet!$A:$U,MATCH(AT122,INDEX(Beersheet!$A:$U,0,FFARawStatProjections!$BV$2),0),$BV$3)+$BN122,
INDEX($A122:$BM122,,$BV$12)*$BW$12+
INDEX($A122:$BM122,,$BV$15)*$BW$15+
INDEX($A122:$BM122,,$BV$16)*$BW$16+
INDEX($A122:$BM122,,$BV$17)*$BW$17+
INDEX($A122:$BM122,,$BV$18)*$BW$18+
INDEX($A122:$BM122,,$BV$19)*$BW$19+
INDEX($A122:$BM122,,$BV$20)*$BW$20+
INDEX($A122:$BM122,,$BV$21)*$BW$21+
INDEX($A122:$BM122,,$BV$22)*$BW$22+
INDEX($A122:$BM122,,$BV$23)*$BW$23+
INDEX($A122:$BM122,,$BV$25)*$BW$25+
INDEX($A122:$BM122,,$BV$26)*$BW$26+
INDEX($A122:$BM122,,$BV$27)*$BW$27+
$BN122)),
$BN122-100)</f>
        <v>257.28120999999999</v>
      </c>
      <c r="AX122" t="str">
        <f t="shared" si="20"/>
        <v/>
      </c>
      <c r="AY122" t="str">
        <f t="shared" si="21"/>
        <v/>
      </c>
      <c r="AZ122" s="430">
        <f>IFERROR(
IF(AX122="",-100,
IF($BV$2&gt;0, INDEX(Beersheet!$A:$U,MATCH(AX122,INDEX(Beersheet!$A:$U,0,FFARawStatProjections!$BV$2),0),$BV$3)+$BN122,
INDEX($A122:$BM122,,$BV$12)*$BW$12+
INDEX($A122:$BM122,,$BV$15)*$BW$15+
INDEX($A122:$BM122,,$BV$16)*$BW$16+
INDEX($A122:$BM122,,$BV$17)*$BW$17+
INDEX($A122:$BM122,,$BV$18)*$BW$18+
INDEX($A122:$BM122,,$BV$19)*$BW$19+
INDEX($A122:$BM122,,$BV$20)*$BW$20+
INDEX($A122:$BM122,,$BV$21)*$BW$21+
INDEX($A122:$BM122,,$BV$22)*$BW$22+
INDEX($A122:$BM122,,$BV$23)*$BW$23+
INDEX($A122:$BM122,,$BV$25)*$BW$25+
INDEX($A122:$BM122,,$BV$26)*$BW$26+
INDEX($A122:$BM122,,$BV$27)*$BW$27+
$BN122)),
$BN122-100)</f>
        <v>-100</v>
      </c>
      <c r="BB122" t="str">
        <f t="shared" si="22"/>
        <v/>
      </c>
      <c r="BC122" t="str">
        <f t="shared" si="15"/>
        <v/>
      </c>
      <c r="BD122" s="430">
        <f>IFERROR(
IF(BB122="",-100,
IF($BV$2&gt;0, INDEX(Beersheet!$A:$U,MATCH(BB122,INDEX(Beersheet!$A:$U,0,FFARawStatProjections!$BV$2),0),$BV$3)+$BN122,
INDEX($A122:$BM122,,$BV$12)*$BW$12+
INDEX($A122:$BM122,,$BV$15)*$BW$15+
INDEX($A122:$BM122,,$BV$16)*$BW$16+
INDEX($A122:$BM122,,$BV$17)*$BW$17+
INDEX($A122:$BM122,,$BV$18)*$BW$18+
INDEX($A122:$BM122,,$BV$19)*$BW$19+
INDEX($A122:$BM122,,$BV$20)*$BW$20+
INDEX($A122:$BM122,,$BV$21)*$BW$21+
INDEX($A122:$BM122,,$BV$22)*$BW$22+
INDEX($A122:$BM122,,$BV$23)*$BW$23+
INDEX($A122:$BM122,,$BV$25)*$BW$25+
INDEX($A122:$BM122,,$BV$26)*$BW$26+
INDEX($A122:$BM122,,$BV$27)*$BW$27+
$BN122)),
$BN122-100)</f>
        <v>-100</v>
      </c>
      <c r="BF122" t="str">
        <f t="shared" si="23"/>
        <v/>
      </c>
      <c r="BG122" t="str">
        <f t="shared" si="24"/>
        <v/>
      </c>
      <c r="BH122">
        <f t="shared" si="25"/>
        <v>0</v>
      </c>
      <c r="BJ122" t="str">
        <f t="shared" si="26"/>
        <v/>
      </c>
      <c r="BL122">
        <f t="shared" si="16"/>
        <v>0</v>
      </c>
      <c r="BN122">
        <v>1.2099999999999999E-3</v>
      </c>
      <c r="BS122" s="4" t="s">
        <v>2118</v>
      </c>
    </row>
    <row r="123" spans="1:71" ht="15.75" thickBot="1" x14ac:dyDescent="0.3">
      <c r="A123" s="569" t="s">
        <v>1881</v>
      </c>
      <c r="B123" s="569" t="s">
        <v>146</v>
      </c>
      <c r="C123" s="569" t="s">
        <v>3</v>
      </c>
      <c r="D123" s="574">
        <v>7</v>
      </c>
      <c r="E123" s="569"/>
      <c r="F123" s="569"/>
      <c r="G123" s="569"/>
      <c r="H123" s="569"/>
      <c r="I123" s="574">
        <v>0</v>
      </c>
      <c r="J123" s="574">
        <v>0</v>
      </c>
      <c r="K123" s="574">
        <v>0</v>
      </c>
      <c r="L123" s="574">
        <v>45.3</v>
      </c>
      <c r="M123" s="574">
        <v>2.2000000000000002</v>
      </c>
      <c r="N123" s="574">
        <v>378.4</v>
      </c>
      <c r="O123" s="574">
        <v>222.8</v>
      </c>
      <c r="P123" s="574">
        <v>8.1999999999999993</v>
      </c>
      <c r="Q123" s="574">
        <v>1116.5</v>
      </c>
      <c r="R123" s="569"/>
      <c r="S123" s="569"/>
      <c r="T123" s="569"/>
      <c r="U123" s="569"/>
      <c r="V123" s="569"/>
      <c r="W123" s="569"/>
      <c r="X123" s="569"/>
      <c r="Y123" s="569"/>
      <c r="Z123" s="569"/>
      <c r="AA123" s="569"/>
      <c r="AB123" s="569"/>
      <c r="AC123" s="569"/>
      <c r="AD123" s="569"/>
      <c r="AE123" s="569"/>
      <c r="AF123" s="569"/>
      <c r="AG123" s="569"/>
      <c r="AH123" s="569"/>
      <c r="AI123" s="569"/>
      <c r="AJ123" s="569"/>
      <c r="AK123" s="569"/>
      <c r="AL123" s="569"/>
      <c r="AM123" s="569"/>
      <c r="AN123" s="574">
        <v>210.9</v>
      </c>
      <c r="AO123">
        <v>122</v>
      </c>
      <c r="AP123" t="str">
        <f t="shared" si="27"/>
        <v/>
      </c>
      <c r="AQ123" t="str">
        <f t="shared" si="17"/>
        <v/>
      </c>
      <c r="AR123" s="430">
        <f>IFERROR(
IF(AP123="",-100,
IF($BV$2&gt;0, INDEX(Beersheet!$A:$U,MATCH(AP123,INDEX(Beersheet!$A:$U,0,FFARawStatProjections!$BV$2),0),$BV$3)+$BN123,
INDEX($A123:$BM123,,$BV$12)*$BW$12+
INDEX($A123:$BM123,,$BV$15)*$BW$15+
INDEX($A123:$BM123,,$BV$16)*$BW$16+
INDEX($A123:$BM123,,$BV$17)*$BW$17+
INDEX($A123:$BM123,,$BV$18)*$BW$18+
INDEX($A123:$BM123,,$BV$19)*$BW$19+
INDEX($A123:$BM123,,$BV$20)*$BW$20+
INDEX($A123:$BM123,,$BV$21)*$BW$21+
INDEX($A123:$BM123,,$BV$22)*$BW$22+
INDEX($A123:$BM123,,$BV$23)*$BW$23+
INDEX($A123:$BM123,,$BV$25)*$BW$25+
INDEX($A123:$BM123,,$BV$26)*$BW$26+
INDEX($A123:$BM123,,$BV$27)*$BW$27+
$BN123)),
$BN123-100)</f>
        <v>-100</v>
      </c>
      <c r="AT123" t="str">
        <f t="shared" si="18"/>
        <v>Tony Pollard</v>
      </c>
      <c r="AU123" t="str">
        <f t="shared" si="19"/>
        <v>DAL</v>
      </c>
      <c r="AV123" s="430">
        <f>IFERROR(
IF(AT123="",-100,
IF($BV$2&gt;0, INDEX(Beersheet!$A:$U,MATCH(AT123,INDEX(Beersheet!$A:$U,0,FFARawStatProjections!$BV$2),0),$BV$3)+$BN123,
INDEX($A123:$BM123,,$BV$12)*$BW$12+
INDEX($A123:$BM123,,$BV$15)*$BW$15+
INDEX($A123:$BM123,,$BV$16)*$BW$16+
INDEX($A123:$BM123,,$BV$17)*$BW$17+
INDEX($A123:$BM123,,$BV$18)*$BW$18+
INDEX($A123:$BM123,,$BV$19)*$BW$19+
INDEX($A123:$BM123,,$BV$20)*$BW$20+
INDEX($A123:$BM123,,$BV$21)*$BW$21+
INDEX($A123:$BM123,,$BV$22)*$BW$22+
INDEX($A123:$BM123,,$BV$23)*$BW$23+
INDEX($A123:$BM123,,$BV$25)*$BW$25+
INDEX($A123:$BM123,,$BV$26)*$BW$26+
INDEX($A123:$BM123,,$BV$27)*$BW$27+
$BN123)),
$BN123-100)</f>
        <v>257.19121999999999</v>
      </c>
      <c r="AX123" t="str">
        <f t="shared" si="20"/>
        <v/>
      </c>
      <c r="AY123" t="str">
        <f t="shared" si="21"/>
        <v/>
      </c>
      <c r="AZ123" s="430">
        <f>IFERROR(
IF(AX123="",-100,
IF($BV$2&gt;0, INDEX(Beersheet!$A:$U,MATCH(AX123,INDEX(Beersheet!$A:$U,0,FFARawStatProjections!$BV$2),0),$BV$3)+$BN123,
INDEX($A123:$BM123,,$BV$12)*$BW$12+
INDEX($A123:$BM123,,$BV$15)*$BW$15+
INDEX($A123:$BM123,,$BV$16)*$BW$16+
INDEX($A123:$BM123,,$BV$17)*$BW$17+
INDEX($A123:$BM123,,$BV$18)*$BW$18+
INDEX($A123:$BM123,,$BV$19)*$BW$19+
INDEX($A123:$BM123,,$BV$20)*$BW$20+
INDEX($A123:$BM123,,$BV$21)*$BW$21+
INDEX($A123:$BM123,,$BV$22)*$BW$22+
INDEX($A123:$BM123,,$BV$23)*$BW$23+
INDEX($A123:$BM123,,$BV$25)*$BW$25+
INDEX($A123:$BM123,,$BV$26)*$BW$26+
INDEX($A123:$BM123,,$BV$27)*$BW$27+
$BN123)),
$BN123-100)</f>
        <v>-100</v>
      </c>
      <c r="BB123" t="str">
        <f t="shared" si="22"/>
        <v/>
      </c>
      <c r="BC123" t="str">
        <f t="shared" si="15"/>
        <v/>
      </c>
      <c r="BD123" s="430">
        <f>IFERROR(
IF(BB123="",-100,
IF($BV$2&gt;0, INDEX(Beersheet!$A:$U,MATCH(BB123,INDEX(Beersheet!$A:$U,0,FFARawStatProjections!$BV$2),0),$BV$3)+$BN123,
INDEX($A123:$BM123,,$BV$12)*$BW$12+
INDEX($A123:$BM123,,$BV$15)*$BW$15+
INDEX($A123:$BM123,,$BV$16)*$BW$16+
INDEX($A123:$BM123,,$BV$17)*$BW$17+
INDEX($A123:$BM123,,$BV$18)*$BW$18+
INDEX($A123:$BM123,,$BV$19)*$BW$19+
INDEX($A123:$BM123,,$BV$20)*$BW$20+
INDEX($A123:$BM123,,$BV$21)*$BW$21+
INDEX($A123:$BM123,,$BV$22)*$BW$22+
INDEX($A123:$BM123,,$BV$23)*$BW$23+
INDEX($A123:$BM123,,$BV$25)*$BW$25+
INDEX($A123:$BM123,,$BV$26)*$BW$26+
INDEX($A123:$BM123,,$BV$27)*$BW$27+
$BN123)),
$BN123-100)</f>
        <v>-100</v>
      </c>
      <c r="BF123" t="str">
        <f t="shared" si="23"/>
        <v/>
      </c>
      <c r="BG123" t="str">
        <f t="shared" si="24"/>
        <v/>
      </c>
      <c r="BH123">
        <f t="shared" si="25"/>
        <v>0</v>
      </c>
      <c r="BJ123" t="str">
        <f t="shared" si="26"/>
        <v/>
      </c>
      <c r="BL123">
        <f t="shared" si="16"/>
        <v>0</v>
      </c>
      <c r="BN123">
        <v>1.2199999999999999E-3</v>
      </c>
      <c r="BS123" s="4" t="s">
        <v>2508</v>
      </c>
    </row>
    <row r="124" spans="1:71" ht="15.75" thickBot="1" x14ac:dyDescent="0.3">
      <c r="A124" s="569" t="s">
        <v>1766</v>
      </c>
      <c r="B124" s="569" t="s">
        <v>154</v>
      </c>
      <c r="C124" s="569" t="s">
        <v>3</v>
      </c>
      <c r="D124" s="574">
        <v>13</v>
      </c>
      <c r="E124" s="569"/>
      <c r="F124" s="569"/>
      <c r="G124" s="569"/>
      <c r="H124" s="569"/>
      <c r="I124" s="574">
        <v>0</v>
      </c>
      <c r="J124" s="574">
        <v>0</v>
      </c>
      <c r="K124" s="574">
        <v>0</v>
      </c>
      <c r="L124" s="574">
        <v>52.4</v>
      </c>
      <c r="M124" s="574">
        <v>1.7</v>
      </c>
      <c r="N124" s="574">
        <v>373.1</v>
      </c>
      <c r="O124" s="574">
        <v>253.8</v>
      </c>
      <c r="P124" s="574">
        <v>7.9</v>
      </c>
      <c r="Q124" s="574">
        <v>1133.9000000000001</v>
      </c>
      <c r="R124" s="569"/>
      <c r="S124" s="569"/>
      <c r="T124" s="569"/>
      <c r="U124" s="569"/>
      <c r="V124" s="569"/>
      <c r="W124" s="569"/>
      <c r="X124" s="569"/>
      <c r="Y124" s="569"/>
      <c r="Z124" s="569"/>
      <c r="AA124" s="569"/>
      <c r="AB124" s="569"/>
      <c r="AC124" s="569"/>
      <c r="AD124" s="569"/>
      <c r="AE124" s="569"/>
      <c r="AF124" s="569"/>
      <c r="AG124" s="569"/>
      <c r="AH124" s="569"/>
      <c r="AI124" s="569"/>
      <c r="AJ124" s="569"/>
      <c r="AK124" s="569"/>
      <c r="AL124" s="569"/>
      <c r="AM124" s="569"/>
      <c r="AN124" s="574">
        <v>206.9</v>
      </c>
      <c r="AO124">
        <v>123</v>
      </c>
      <c r="AP124" t="str">
        <f t="shared" si="27"/>
        <v/>
      </c>
      <c r="AQ124" t="str">
        <f t="shared" si="17"/>
        <v/>
      </c>
      <c r="AR124" s="430">
        <f>IFERROR(
IF(AP124="",-100,
IF($BV$2&gt;0, INDEX(Beersheet!$A:$U,MATCH(AP124,INDEX(Beersheet!$A:$U,0,FFARawStatProjections!$BV$2),0),$BV$3)+$BN124,
INDEX($A124:$BM124,,$BV$12)*$BW$12+
INDEX($A124:$BM124,,$BV$15)*$BW$15+
INDEX($A124:$BM124,,$BV$16)*$BW$16+
INDEX($A124:$BM124,,$BV$17)*$BW$17+
INDEX($A124:$BM124,,$BV$18)*$BW$18+
INDEX($A124:$BM124,,$BV$19)*$BW$19+
INDEX($A124:$BM124,,$BV$20)*$BW$20+
INDEX($A124:$BM124,,$BV$21)*$BW$21+
INDEX($A124:$BM124,,$BV$22)*$BW$22+
INDEX($A124:$BM124,,$BV$23)*$BW$23+
INDEX($A124:$BM124,,$BV$25)*$BW$25+
INDEX($A124:$BM124,,$BV$26)*$BW$26+
INDEX($A124:$BM124,,$BV$27)*$BW$27+
$BN124)),
$BN124-100)</f>
        <v>-100</v>
      </c>
      <c r="AT124" t="str">
        <f t="shared" si="18"/>
        <v>Saquon Barkley</v>
      </c>
      <c r="AU124" t="str">
        <f t="shared" si="19"/>
        <v>NYG</v>
      </c>
      <c r="AV124" s="430">
        <f>IFERROR(
IF(AT124="",-100,
IF($BV$2&gt;0, INDEX(Beersheet!$A:$U,MATCH(AT124,INDEX(Beersheet!$A:$U,0,FFARawStatProjections!$BV$2),0),$BV$3)+$BN124,
INDEX($A124:$BM124,,$BV$12)*$BW$12+
INDEX($A124:$BM124,,$BV$15)*$BW$15+
INDEX($A124:$BM124,,$BV$16)*$BW$16+
INDEX($A124:$BM124,,$BV$17)*$BW$17+
INDEX($A124:$BM124,,$BV$18)*$BW$18+
INDEX($A124:$BM124,,$BV$19)*$BW$19+
INDEX($A124:$BM124,,$BV$20)*$BW$20+
INDEX($A124:$BM124,,$BV$21)*$BW$21+
INDEX($A124:$BM124,,$BV$22)*$BW$22+
INDEX($A124:$BM124,,$BV$23)*$BW$23+
INDEX($A124:$BM124,,$BV$25)*$BW$25+
INDEX($A124:$BM124,,$BV$26)*$BW$26+
INDEX($A124:$BM124,,$BV$27)*$BW$27+
$BN124)),
$BN124-100)</f>
        <v>260.70123000000007</v>
      </c>
      <c r="AX124" t="str">
        <f t="shared" si="20"/>
        <v/>
      </c>
      <c r="AY124" t="str">
        <f t="shared" si="21"/>
        <v/>
      </c>
      <c r="AZ124" s="430">
        <f>IFERROR(
IF(AX124="",-100,
IF($BV$2&gt;0, INDEX(Beersheet!$A:$U,MATCH(AX124,INDEX(Beersheet!$A:$U,0,FFARawStatProjections!$BV$2),0),$BV$3)+$BN124,
INDEX($A124:$BM124,,$BV$12)*$BW$12+
INDEX($A124:$BM124,,$BV$15)*$BW$15+
INDEX($A124:$BM124,,$BV$16)*$BW$16+
INDEX($A124:$BM124,,$BV$17)*$BW$17+
INDEX($A124:$BM124,,$BV$18)*$BW$18+
INDEX($A124:$BM124,,$BV$19)*$BW$19+
INDEX($A124:$BM124,,$BV$20)*$BW$20+
INDEX($A124:$BM124,,$BV$21)*$BW$21+
INDEX($A124:$BM124,,$BV$22)*$BW$22+
INDEX($A124:$BM124,,$BV$23)*$BW$23+
INDEX($A124:$BM124,,$BV$25)*$BW$25+
INDEX($A124:$BM124,,$BV$26)*$BW$26+
INDEX($A124:$BM124,,$BV$27)*$BW$27+
$BN124)),
$BN124-100)</f>
        <v>-100</v>
      </c>
      <c r="BB124" t="str">
        <f t="shared" si="22"/>
        <v/>
      </c>
      <c r="BC124" t="str">
        <f t="shared" si="15"/>
        <v/>
      </c>
      <c r="BD124" s="430">
        <f>IFERROR(
IF(BB124="",-100,
IF($BV$2&gt;0, INDEX(Beersheet!$A:$U,MATCH(BB124,INDEX(Beersheet!$A:$U,0,FFARawStatProjections!$BV$2),0),$BV$3)+$BN124,
INDEX($A124:$BM124,,$BV$12)*$BW$12+
INDEX($A124:$BM124,,$BV$15)*$BW$15+
INDEX($A124:$BM124,,$BV$16)*$BW$16+
INDEX($A124:$BM124,,$BV$17)*$BW$17+
INDEX($A124:$BM124,,$BV$18)*$BW$18+
INDEX($A124:$BM124,,$BV$19)*$BW$19+
INDEX($A124:$BM124,,$BV$20)*$BW$20+
INDEX($A124:$BM124,,$BV$21)*$BW$21+
INDEX($A124:$BM124,,$BV$22)*$BW$22+
INDEX($A124:$BM124,,$BV$23)*$BW$23+
INDEX($A124:$BM124,,$BV$25)*$BW$25+
INDEX($A124:$BM124,,$BV$26)*$BW$26+
INDEX($A124:$BM124,,$BV$27)*$BW$27+
$BN124)),
$BN124-100)</f>
        <v>-100</v>
      </c>
      <c r="BF124" t="str">
        <f t="shared" si="23"/>
        <v/>
      </c>
      <c r="BG124" t="str">
        <f t="shared" si="24"/>
        <v/>
      </c>
      <c r="BH124">
        <f t="shared" si="25"/>
        <v>0</v>
      </c>
      <c r="BJ124" t="str">
        <f t="shared" si="26"/>
        <v/>
      </c>
      <c r="BL124">
        <f t="shared" si="16"/>
        <v>0</v>
      </c>
      <c r="BN124">
        <v>1.23E-3</v>
      </c>
      <c r="BS124" s="4" t="s">
        <v>2507</v>
      </c>
    </row>
    <row r="125" spans="1:71" ht="15.75" thickBot="1" x14ac:dyDescent="0.3">
      <c r="A125" s="569" t="s">
        <v>2075</v>
      </c>
      <c r="B125" s="569" t="s">
        <v>158</v>
      </c>
      <c r="C125" s="569" t="s">
        <v>3</v>
      </c>
      <c r="D125" s="574">
        <v>11</v>
      </c>
      <c r="E125" s="569"/>
      <c r="F125" s="569"/>
      <c r="G125" s="569"/>
      <c r="H125" s="569"/>
      <c r="I125" s="574">
        <v>0</v>
      </c>
      <c r="J125" s="574">
        <v>0</v>
      </c>
      <c r="K125" s="574">
        <v>0</v>
      </c>
      <c r="L125" s="574">
        <v>32.5</v>
      </c>
      <c r="M125" s="574">
        <v>1</v>
      </c>
      <c r="N125" s="574">
        <v>229.8</v>
      </c>
      <c r="O125" s="574">
        <v>276.60000000000002</v>
      </c>
      <c r="P125" s="574">
        <v>8.3000000000000007</v>
      </c>
      <c r="Q125" s="574">
        <v>1265.2</v>
      </c>
      <c r="R125" s="569"/>
      <c r="S125" s="569"/>
      <c r="T125" s="569"/>
      <c r="U125" s="569"/>
      <c r="V125" s="569"/>
      <c r="W125" s="569"/>
      <c r="X125" s="569"/>
      <c r="Y125" s="569"/>
      <c r="Z125" s="569"/>
      <c r="AA125" s="569"/>
      <c r="AB125" s="569"/>
      <c r="AC125" s="569"/>
      <c r="AD125" s="569"/>
      <c r="AE125" s="569"/>
      <c r="AF125" s="569"/>
      <c r="AG125" s="569"/>
      <c r="AH125" s="569"/>
      <c r="AI125" s="569"/>
      <c r="AJ125" s="569"/>
      <c r="AK125" s="569"/>
      <c r="AL125" s="569"/>
      <c r="AM125" s="569"/>
      <c r="AN125" s="574">
        <v>201</v>
      </c>
      <c r="AO125">
        <v>124</v>
      </c>
      <c r="AP125" t="str">
        <f t="shared" si="27"/>
        <v/>
      </c>
      <c r="AQ125" t="str">
        <f t="shared" si="17"/>
        <v/>
      </c>
      <c r="AR125" s="430">
        <f>IFERROR(
IF(AP125="",-100,
IF($BV$2&gt;0, INDEX(Beersheet!$A:$U,MATCH(AP125,INDEX(Beersheet!$A:$U,0,FFARawStatProjections!$BV$2),0),$BV$3)+$BN125,
INDEX($A125:$BM125,,$BV$12)*$BW$12+
INDEX($A125:$BM125,,$BV$15)*$BW$15+
INDEX($A125:$BM125,,$BV$16)*$BW$16+
INDEX($A125:$BM125,,$BV$17)*$BW$17+
INDEX($A125:$BM125,,$BV$18)*$BW$18+
INDEX($A125:$BM125,,$BV$19)*$BW$19+
INDEX($A125:$BM125,,$BV$20)*$BW$20+
INDEX($A125:$BM125,,$BV$21)*$BW$21+
INDEX($A125:$BM125,,$BV$22)*$BW$22+
INDEX($A125:$BM125,,$BV$23)*$BW$23+
INDEX($A125:$BM125,,$BV$25)*$BW$25+
INDEX($A125:$BM125,,$BV$26)*$BW$26+
INDEX($A125:$BM125,,$BV$27)*$BW$27+
$BN125)),
$BN125-100)</f>
        <v>-100</v>
      </c>
      <c r="AT125" t="str">
        <f t="shared" si="18"/>
        <v>Jonathan Taylor</v>
      </c>
      <c r="AU125" t="str">
        <f t="shared" si="19"/>
        <v>IND</v>
      </c>
      <c r="AV125" s="430">
        <f>IFERROR(
IF(AT125="",-100,
IF($BV$2&gt;0, INDEX(Beersheet!$A:$U,MATCH(AT125,INDEX(Beersheet!$A:$U,0,FFARawStatProjections!$BV$2),0),$BV$3)+$BN125,
INDEX($A125:$BM125,,$BV$12)*$BW$12+
INDEX($A125:$BM125,,$BV$15)*$BW$15+
INDEX($A125:$BM125,,$BV$16)*$BW$16+
INDEX($A125:$BM125,,$BV$17)*$BW$17+
INDEX($A125:$BM125,,$BV$18)*$BW$18+
INDEX($A125:$BM125,,$BV$19)*$BW$19+
INDEX($A125:$BM125,,$BV$20)*$BW$20+
INDEX($A125:$BM125,,$BV$21)*$BW$21+
INDEX($A125:$BM125,,$BV$22)*$BW$22+
INDEX($A125:$BM125,,$BV$23)*$BW$23+
INDEX($A125:$BM125,,$BV$25)*$BW$25+
INDEX($A125:$BM125,,$BV$26)*$BW$26+
INDEX($A125:$BM125,,$BV$27)*$BW$27+
$BN125)),
$BN125-100)</f>
        <v>237.80124000000001</v>
      </c>
      <c r="AX125" t="str">
        <f t="shared" si="20"/>
        <v/>
      </c>
      <c r="AY125" t="str">
        <f t="shared" si="21"/>
        <v/>
      </c>
      <c r="AZ125" s="430">
        <f>IFERROR(
IF(AX125="",-100,
IF($BV$2&gt;0, INDEX(Beersheet!$A:$U,MATCH(AX125,INDEX(Beersheet!$A:$U,0,FFARawStatProjections!$BV$2),0),$BV$3)+$BN125,
INDEX($A125:$BM125,,$BV$12)*$BW$12+
INDEX($A125:$BM125,,$BV$15)*$BW$15+
INDEX($A125:$BM125,,$BV$16)*$BW$16+
INDEX($A125:$BM125,,$BV$17)*$BW$17+
INDEX($A125:$BM125,,$BV$18)*$BW$18+
INDEX($A125:$BM125,,$BV$19)*$BW$19+
INDEX($A125:$BM125,,$BV$20)*$BW$20+
INDEX($A125:$BM125,,$BV$21)*$BW$21+
INDEX($A125:$BM125,,$BV$22)*$BW$22+
INDEX($A125:$BM125,,$BV$23)*$BW$23+
INDEX($A125:$BM125,,$BV$25)*$BW$25+
INDEX($A125:$BM125,,$BV$26)*$BW$26+
INDEX($A125:$BM125,,$BV$27)*$BW$27+
$BN125)),
$BN125-100)</f>
        <v>-100</v>
      </c>
      <c r="BB125" t="str">
        <f t="shared" si="22"/>
        <v/>
      </c>
      <c r="BC125" t="str">
        <f t="shared" si="15"/>
        <v/>
      </c>
      <c r="BD125" s="430">
        <f>IFERROR(
IF(BB125="",-100,
IF($BV$2&gt;0, INDEX(Beersheet!$A:$U,MATCH(BB125,INDEX(Beersheet!$A:$U,0,FFARawStatProjections!$BV$2),0),$BV$3)+$BN125,
INDEX($A125:$BM125,,$BV$12)*$BW$12+
INDEX($A125:$BM125,,$BV$15)*$BW$15+
INDEX($A125:$BM125,,$BV$16)*$BW$16+
INDEX($A125:$BM125,,$BV$17)*$BW$17+
INDEX($A125:$BM125,,$BV$18)*$BW$18+
INDEX($A125:$BM125,,$BV$19)*$BW$19+
INDEX($A125:$BM125,,$BV$20)*$BW$20+
INDEX($A125:$BM125,,$BV$21)*$BW$21+
INDEX($A125:$BM125,,$BV$22)*$BW$22+
INDEX($A125:$BM125,,$BV$23)*$BW$23+
INDEX($A125:$BM125,,$BV$25)*$BW$25+
INDEX($A125:$BM125,,$BV$26)*$BW$26+
INDEX($A125:$BM125,,$BV$27)*$BW$27+
$BN125)),
$BN125-100)</f>
        <v>-100</v>
      </c>
      <c r="BF125" t="str">
        <f t="shared" si="23"/>
        <v/>
      </c>
      <c r="BG125" t="str">
        <f t="shared" si="24"/>
        <v/>
      </c>
      <c r="BH125">
        <f t="shared" si="25"/>
        <v>0</v>
      </c>
      <c r="BJ125" t="str">
        <f t="shared" si="26"/>
        <v/>
      </c>
      <c r="BL125">
        <f t="shared" si="16"/>
        <v>0</v>
      </c>
      <c r="BN125">
        <v>1.24E-3</v>
      </c>
      <c r="BS125" s="4" t="s">
        <v>1880</v>
      </c>
    </row>
    <row r="126" spans="1:71" ht="15.75" thickBot="1" x14ac:dyDescent="0.3">
      <c r="A126" s="569" t="s">
        <v>1421</v>
      </c>
      <c r="B126" s="569" t="s">
        <v>145</v>
      </c>
      <c r="C126" s="569" t="s">
        <v>3</v>
      </c>
      <c r="D126" s="574">
        <v>7</v>
      </c>
      <c r="E126" s="569"/>
      <c r="F126" s="569"/>
      <c r="G126" s="569"/>
      <c r="H126" s="569"/>
      <c r="I126" s="574">
        <v>0</v>
      </c>
      <c r="J126" s="574">
        <v>0</v>
      </c>
      <c r="K126" s="574">
        <v>0</v>
      </c>
      <c r="L126" s="574">
        <v>50</v>
      </c>
      <c r="M126" s="574">
        <v>2.2000000000000002</v>
      </c>
      <c r="N126" s="574">
        <v>368.8</v>
      </c>
      <c r="O126" s="574">
        <v>229.6</v>
      </c>
      <c r="P126" s="574">
        <v>7.5</v>
      </c>
      <c r="Q126" s="574">
        <v>959.4</v>
      </c>
      <c r="R126" s="569"/>
      <c r="S126" s="569"/>
      <c r="T126" s="569"/>
      <c r="U126" s="569"/>
      <c r="V126" s="569"/>
      <c r="W126" s="569"/>
      <c r="X126" s="569"/>
      <c r="Y126" s="569"/>
      <c r="Z126" s="569"/>
      <c r="AA126" s="569"/>
      <c r="AB126" s="569"/>
      <c r="AC126" s="569"/>
      <c r="AD126" s="569"/>
      <c r="AE126" s="569"/>
      <c r="AF126" s="569"/>
      <c r="AG126" s="569"/>
      <c r="AH126" s="569"/>
      <c r="AI126" s="569"/>
      <c r="AJ126" s="569"/>
      <c r="AK126" s="569"/>
      <c r="AL126" s="569"/>
      <c r="AM126" s="569"/>
      <c r="AN126" s="574">
        <v>189.4</v>
      </c>
      <c r="AO126">
        <v>125</v>
      </c>
      <c r="AP126" t="str">
        <f t="shared" si="27"/>
        <v/>
      </c>
      <c r="AQ126" t="str">
        <f t="shared" si="17"/>
        <v/>
      </c>
      <c r="AR126" s="430">
        <f>IFERROR(
IF(AP126="",-100,
IF($BV$2&gt;0, INDEX(Beersheet!$A:$U,MATCH(AP126,INDEX(Beersheet!$A:$U,0,FFARawStatProjections!$BV$2),0),$BV$3)+$BN126,
INDEX($A126:$BM126,,$BV$12)*$BW$12+
INDEX($A126:$BM126,,$BV$15)*$BW$15+
INDEX($A126:$BM126,,$BV$16)*$BW$16+
INDEX($A126:$BM126,,$BV$17)*$BW$17+
INDEX($A126:$BM126,,$BV$18)*$BW$18+
INDEX($A126:$BM126,,$BV$19)*$BW$19+
INDEX($A126:$BM126,,$BV$20)*$BW$20+
INDEX($A126:$BM126,,$BV$21)*$BW$21+
INDEX($A126:$BM126,,$BV$22)*$BW$22+
INDEX($A126:$BM126,,$BV$23)*$BW$23+
INDEX($A126:$BM126,,$BV$25)*$BW$25+
INDEX($A126:$BM126,,$BV$26)*$BW$26+
INDEX($A126:$BM126,,$BV$27)*$BW$27+
$BN126)),
$BN126-100)</f>
        <v>-100</v>
      </c>
      <c r="AT126" t="str">
        <f t="shared" si="18"/>
        <v>Joe Mixon</v>
      </c>
      <c r="AU126" t="str">
        <f t="shared" si="19"/>
        <v>CIN</v>
      </c>
      <c r="AV126" s="430">
        <f>IFERROR(
IF(AT126="",-100,
IF($BV$2&gt;0, INDEX(Beersheet!$A:$U,MATCH(AT126,INDEX(Beersheet!$A:$U,0,FFARawStatProjections!$BV$2),0),$BV$3)+$BN126,
INDEX($A126:$BM126,,$BV$12)*$BW$12+
INDEX($A126:$BM126,,$BV$15)*$BW$15+
INDEX($A126:$BM126,,$BV$16)*$BW$16+
INDEX($A126:$BM126,,$BV$17)*$BW$17+
INDEX($A126:$BM126,,$BV$18)*$BW$18+
INDEX($A126:$BM126,,$BV$19)*$BW$19+
INDEX($A126:$BM126,,$BV$20)*$BW$20+
INDEX($A126:$BM126,,$BV$21)*$BW$21+
INDEX($A126:$BM126,,$BV$22)*$BW$22+
INDEX($A126:$BM126,,$BV$23)*$BW$23+
INDEX($A126:$BM126,,$BV$25)*$BW$25+
INDEX($A126:$BM126,,$BV$26)*$BW$26+
INDEX($A126:$BM126,,$BV$27)*$BW$27+
$BN126)),
$BN126-100)</f>
        <v>241.02125000000001</v>
      </c>
      <c r="AX126" t="str">
        <f t="shared" si="20"/>
        <v/>
      </c>
      <c r="AY126" t="str">
        <f t="shared" si="21"/>
        <v/>
      </c>
      <c r="AZ126" s="430">
        <f>IFERROR(
IF(AX126="",-100,
IF($BV$2&gt;0, INDEX(Beersheet!$A:$U,MATCH(AX126,INDEX(Beersheet!$A:$U,0,FFARawStatProjections!$BV$2),0),$BV$3)+$BN126,
INDEX($A126:$BM126,,$BV$12)*$BW$12+
INDEX($A126:$BM126,,$BV$15)*$BW$15+
INDEX($A126:$BM126,,$BV$16)*$BW$16+
INDEX($A126:$BM126,,$BV$17)*$BW$17+
INDEX($A126:$BM126,,$BV$18)*$BW$18+
INDEX($A126:$BM126,,$BV$19)*$BW$19+
INDEX($A126:$BM126,,$BV$20)*$BW$20+
INDEX($A126:$BM126,,$BV$21)*$BW$21+
INDEX($A126:$BM126,,$BV$22)*$BW$22+
INDEX($A126:$BM126,,$BV$23)*$BW$23+
INDEX($A126:$BM126,,$BV$25)*$BW$25+
INDEX($A126:$BM126,,$BV$26)*$BW$26+
INDEX($A126:$BM126,,$BV$27)*$BW$27+
$BN126)),
$BN126-100)</f>
        <v>-100</v>
      </c>
      <c r="BB126" t="str">
        <f t="shared" si="22"/>
        <v/>
      </c>
      <c r="BC126" t="str">
        <f t="shared" si="15"/>
        <v/>
      </c>
      <c r="BD126" s="430">
        <f>IFERROR(
IF(BB126="",-100,
IF($BV$2&gt;0, INDEX(Beersheet!$A:$U,MATCH(BB126,INDEX(Beersheet!$A:$U,0,FFARawStatProjections!$BV$2),0),$BV$3)+$BN126,
INDEX($A126:$BM126,,$BV$12)*$BW$12+
INDEX($A126:$BM126,,$BV$15)*$BW$15+
INDEX($A126:$BM126,,$BV$16)*$BW$16+
INDEX($A126:$BM126,,$BV$17)*$BW$17+
INDEX($A126:$BM126,,$BV$18)*$BW$18+
INDEX($A126:$BM126,,$BV$19)*$BW$19+
INDEX($A126:$BM126,,$BV$20)*$BW$20+
INDEX($A126:$BM126,,$BV$21)*$BW$21+
INDEX($A126:$BM126,,$BV$22)*$BW$22+
INDEX($A126:$BM126,,$BV$23)*$BW$23+
INDEX($A126:$BM126,,$BV$25)*$BW$25+
INDEX($A126:$BM126,,$BV$26)*$BW$26+
INDEX($A126:$BM126,,$BV$27)*$BW$27+
$BN126)),
$BN126-100)</f>
        <v>-100</v>
      </c>
      <c r="BF126" t="str">
        <f t="shared" si="23"/>
        <v/>
      </c>
      <c r="BG126" t="str">
        <f t="shared" si="24"/>
        <v/>
      </c>
      <c r="BH126">
        <f t="shared" si="25"/>
        <v>0</v>
      </c>
      <c r="BJ126" t="str">
        <f t="shared" si="26"/>
        <v/>
      </c>
      <c r="BL126">
        <f t="shared" si="16"/>
        <v>0</v>
      </c>
      <c r="BN126">
        <v>1.25E-3</v>
      </c>
      <c r="BS126" s="4" t="s">
        <v>2506</v>
      </c>
    </row>
    <row r="127" spans="1:71" ht="15.75" thickBot="1" x14ac:dyDescent="0.3">
      <c r="A127" s="569" t="s">
        <v>1436</v>
      </c>
      <c r="B127" s="569" t="s">
        <v>139</v>
      </c>
      <c r="C127" s="569" t="s">
        <v>3</v>
      </c>
      <c r="D127" s="574">
        <v>6</v>
      </c>
      <c r="E127" s="569"/>
      <c r="F127" s="569"/>
      <c r="G127" s="569"/>
      <c r="H127" s="569"/>
      <c r="I127" s="574">
        <v>0</v>
      </c>
      <c r="J127" s="574">
        <v>0</v>
      </c>
      <c r="K127" s="574">
        <v>0</v>
      </c>
      <c r="L127" s="574">
        <v>49.8</v>
      </c>
      <c r="M127" s="574">
        <v>2.7</v>
      </c>
      <c r="N127" s="574">
        <v>375.1</v>
      </c>
      <c r="O127" s="574">
        <v>200.2</v>
      </c>
      <c r="P127" s="574">
        <v>5.6</v>
      </c>
      <c r="Q127" s="574">
        <v>987</v>
      </c>
      <c r="R127" s="569"/>
      <c r="S127" s="569"/>
      <c r="T127" s="569"/>
      <c r="U127" s="569"/>
      <c r="V127" s="569"/>
      <c r="W127" s="569"/>
      <c r="X127" s="569"/>
      <c r="Y127" s="569"/>
      <c r="Z127" s="569"/>
      <c r="AA127" s="569"/>
      <c r="AB127" s="569"/>
      <c r="AC127" s="569"/>
      <c r="AD127" s="569"/>
      <c r="AE127" s="569"/>
      <c r="AF127" s="569"/>
      <c r="AG127" s="569"/>
      <c r="AH127" s="569"/>
      <c r="AI127" s="569"/>
      <c r="AJ127" s="569"/>
      <c r="AK127" s="569"/>
      <c r="AL127" s="569"/>
      <c r="AM127" s="569"/>
      <c r="AN127" s="574">
        <v>183</v>
      </c>
      <c r="AO127">
        <v>126</v>
      </c>
      <c r="AP127" t="str">
        <f t="shared" si="27"/>
        <v/>
      </c>
      <c r="AQ127" t="str">
        <f t="shared" si="17"/>
        <v/>
      </c>
      <c r="AR127" s="430">
        <f>IFERROR(
IF(AP127="",-100,
IF($BV$2&gt;0, INDEX(Beersheet!$A:$U,MATCH(AP127,INDEX(Beersheet!$A:$U,0,FFARawStatProjections!$BV$2),0),$BV$3)+$BN127,
INDEX($A127:$BM127,,$BV$12)*$BW$12+
INDEX($A127:$BM127,,$BV$15)*$BW$15+
INDEX($A127:$BM127,,$BV$16)*$BW$16+
INDEX($A127:$BM127,,$BV$17)*$BW$17+
INDEX($A127:$BM127,,$BV$18)*$BW$18+
INDEX($A127:$BM127,,$BV$19)*$BW$19+
INDEX($A127:$BM127,,$BV$20)*$BW$20+
INDEX($A127:$BM127,,$BV$21)*$BW$21+
INDEX($A127:$BM127,,$BV$22)*$BW$22+
INDEX($A127:$BM127,,$BV$23)*$BW$23+
INDEX($A127:$BM127,,$BV$25)*$BW$25+
INDEX($A127:$BM127,,$BV$26)*$BW$26+
INDEX($A127:$BM127,,$BV$27)*$BW$27+
$BN127)),
$BN127-100)</f>
        <v>-100</v>
      </c>
      <c r="AT127" t="str">
        <f t="shared" si="18"/>
        <v>Aaron Jones</v>
      </c>
      <c r="AU127" t="str">
        <f t="shared" si="19"/>
        <v>GB</v>
      </c>
      <c r="AV127" s="430">
        <f>IFERROR(
IF(AT127="",-100,
IF($BV$2&gt;0, INDEX(Beersheet!$A:$U,MATCH(AT127,INDEX(Beersheet!$A:$U,0,FFARawStatProjections!$BV$2),0),$BV$3)+$BN127,
INDEX($A127:$BM127,,$BV$12)*$BW$12+
INDEX($A127:$BM127,,$BV$15)*$BW$15+
INDEX($A127:$BM127,,$BV$16)*$BW$16+
INDEX($A127:$BM127,,$BV$17)*$BW$17+
INDEX($A127:$BM127,,$BV$18)*$BW$18+
INDEX($A127:$BM127,,$BV$19)*$BW$19+
INDEX($A127:$BM127,,$BV$20)*$BW$20+
INDEX($A127:$BM127,,$BV$21)*$BW$21+
INDEX($A127:$BM127,,$BV$22)*$BW$22+
INDEX($A127:$BM127,,$BV$23)*$BW$23+
INDEX($A127:$BM127,,$BV$25)*$BW$25+
INDEX($A127:$BM127,,$BV$26)*$BW$26+
INDEX($A127:$BM127,,$BV$27)*$BW$27+
$BN127)),
$BN127-100)</f>
        <v>235.81126</v>
      </c>
      <c r="AX127" t="str">
        <f t="shared" si="20"/>
        <v/>
      </c>
      <c r="AY127" t="str">
        <f t="shared" si="21"/>
        <v/>
      </c>
      <c r="AZ127" s="430">
        <f>IFERROR(
IF(AX127="",-100,
IF($BV$2&gt;0, INDEX(Beersheet!$A:$U,MATCH(AX127,INDEX(Beersheet!$A:$U,0,FFARawStatProjections!$BV$2),0),$BV$3)+$BN127,
INDEX($A127:$BM127,,$BV$12)*$BW$12+
INDEX($A127:$BM127,,$BV$15)*$BW$15+
INDEX($A127:$BM127,,$BV$16)*$BW$16+
INDEX($A127:$BM127,,$BV$17)*$BW$17+
INDEX($A127:$BM127,,$BV$18)*$BW$18+
INDEX($A127:$BM127,,$BV$19)*$BW$19+
INDEX($A127:$BM127,,$BV$20)*$BW$20+
INDEX($A127:$BM127,,$BV$21)*$BW$21+
INDEX($A127:$BM127,,$BV$22)*$BW$22+
INDEX($A127:$BM127,,$BV$23)*$BW$23+
INDEX($A127:$BM127,,$BV$25)*$BW$25+
INDEX($A127:$BM127,,$BV$26)*$BW$26+
INDEX($A127:$BM127,,$BV$27)*$BW$27+
$BN127)),
$BN127-100)</f>
        <v>-100</v>
      </c>
      <c r="BB127" t="str">
        <f t="shared" si="22"/>
        <v/>
      </c>
      <c r="BC127" t="str">
        <f t="shared" si="15"/>
        <v/>
      </c>
      <c r="BD127" s="430">
        <f>IFERROR(
IF(BB127="",-100,
IF($BV$2&gt;0, INDEX(Beersheet!$A:$U,MATCH(BB127,INDEX(Beersheet!$A:$U,0,FFARawStatProjections!$BV$2),0),$BV$3)+$BN127,
INDEX($A127:$BM127,,$BV$12)*$BW$12+
INDEX($A127:$BM127,,$BV$15)*$BW$15+
INDEX($A127:$BM127,,$BV$16)*$BW$16+
INDEX($A127:$BM127,,$BV$17)*$BW$17+
INDEX($A127:$BM127,,$BV$18)*$BW$18+
INDEX($A127:$BM127,,$BV$19)*$BW$19+
INDEX($A127:$BM127,,$BV$20)*$BW$20+
INDEX($A127:$BM127,,$BV$21)*$BW$21+
INDEX($A127:$BM127,,$BV$22)*$BW$22+
INDEX($A127:$BM127,,$BV$23)*$BW$23+
INDEX($A127:$BM127,,$BV$25)*$BW$25+
INDEX($A127:$BM127,,$BV$26)*$BW$26+
INDEX($A127:$BM127,,$BV$27)*$BW$27+
$BN127)),
$BN127-100)</f>
        <v>-100</v>
      </c>
      <c r="BF127" t="str">
        <f t="shared" si="23"/>
        <v/>
      </c>
      <c r="BG127" t="str">
        <f t="shared" si="24"/>
        <v/>
      </c>
      <c r="BH127">
        <f t="shared" si="25"/>
        <v>0</v>
      </c>
      <c r="BJ127" t="str">
        <f t="shared" si="26"/>
        <v/>
      </c>
      <c r="BL127">
        <f t="shared" si="16"/>
        <v>0</v>
      </c>
      <c r="BN127">
        <v>1.2600000000000001E-3</v>
      </c>
      <c r="BS127" s="4" t="s">
        <v>161</v>
      </c>
    </row>
    <row r="128" spans="1:71" ht="15.75" thickBot="1" x14ac:dyDescent="0.3">
      <c r="A128" s="569" t="s">
        <v>2172</v>
      </c>
      <c r="B128" s="569" t="s">
        <v>147</v>
      </c>
      <c r="C128" s="569" t="s">
        <v>3</v>
      </c>
      <c r="D128" s="574">
        <v>6</v>
      </c>
      <c r="E128" s="569"/>
      <c r="F128" s="569"/>
      <c r="G128" s="569"/>
      <c r="H128" s="569"/>
      <c r="I128" s="574">
        <v>0</v>
      </c>
      <c r="J128" s="574">
        <v>0</v>
      </c>
      <c r="K128" s="574">
        <v>0</v>
      </c>
      <c r="L128" s="574">
        <v>39.299999999999997</v>
      </c>
      <c r="M128" s="574">
        <v>2.2000000000000002</v>
      </c>
      <c r="N128" s="574">
        <v>265.89999999999998</v>
      </c>
      <c r="O128" s="574">
        <v>262.3</v>
      </c>
      <c r="P128" s="574">
        <v>6.8</v>
      </c>
      <c r="Q128" s="574">
        <v>1032.8</v>
      </c>
      <c r="R128" s="569"/>
      <c r="S128" s="569"/>
      <c r="T128" s="569"/>
      <c r="U128" s="569"/>
      <c r="V128" s="569"/>
      <c r="W128" s="569"/>
      <c r="X128" s="569"/>
      <c r="Y128" s="569"/>
      <c r="Z128" s="569"/>
      <c r="AA128" s="569"/>
      <c r="AB128" s="569"/>
      <c r="AC128" s="569"/>
      <c r="AD128" s="569"/>
      <c r="AE128" s="569"/>
      <c r="AF128" s="569"/>
      <c r="AG128" s="569"/>
      <c r="AH128" s="569"/>
      <c r="AI128" s="569"/>
      <c r="AJ128" s="569"/>
      <c r="AK128" s="569"/>
      <c r="AL128" s="569"/>
      <c r="AM128" s="569"/>
      <c r="AN128" s="574">
        <v>181.5</v>
      </c>
      <c r="AO128">
        <v>127</v>
      </c>
      <c r="AP128" t="str">
        <f t="shared" si="27"/>
        <v/>
      </c>
      <c r="AQ128" t="str">
        <f t="shared" si="17"/>
        <v/>
      </c>
      <c r="AR128" s="430">
        <f>IFERROR(
IF(AP128="",-100,
IF($BV$2&gt;0, INDEX(Beersheet!$A:$U,MATCH(AP128,INDEX(Beersheet!$A:$U,0,FFARawStatProjections!$BV$2),0),$BV$3)+$BN128,
INDEX($A128:$BM128,,$BV$12)*$BW$12+
INDEX($A128:$BM128,,$BV$15)*$BW$15+
INDEX($A128:$BM128,,$BV$16)*$BW$16+
INDEX($A128:$BM128,,$BV$17)*$BW$17+
INDEX($A128:$BM128,,$BV$18)*$BW$18+
INDEX($A128:$BM128,,$BV$19)*$BW$19+
INDEX($A128:$BM128,,$BV$20)*$BW$20+
INDEX($A128:$BM128,,$BV$21)*$BW$21+
INDEX($A128:$BM128,,$BV$22)*$BW$22+
INDEX($A128:$BM128,,$BV$23)*$BW$23+
INDEX($A128:$BM128,,$BV$25)*$BW$25+
INDEX($A128:$BM128,,$BV$26)*$BW$26+
INDEX($A128:$BM128,,$BV$27)*$BW$27+
$BN128)),
$BN128-100)</f>
        <v>-100</v>
      </c>
      <c r="AT128" t="str">
        <f t="shared" si="18"/>
        <v>Najee Harris</v>
      </c>
      <c r="AU128" t="str">
        <f t="shared" si="19"/>
        <v>PIT</v>
      </c>
      <c r="AV128" s="430">
        <f>IFERROR(
IF(AT128="",-100,
IF($BV$2&gt;0, INDEX(Beersheet!$A:$U,MATCH(AT128,INDEX(Beersheet!$A:$U,0,FFARawStatProjections!$BV$2),0),$BV$3)+$BN128,
INDEX($A128:$BM128,,$BV$12)*$BW$12+
INDEX($A128:$BM128,,$BV$15)*$BW$15+
INDEX($A128:$BM128,,$BV$16)*$BW$16+
INDEX($A128:$BM128,,$BV$17)*$BW$17+
INDEX($A128:$BM128,,$BV$18)*$BW$18+
INDEX($A128:$BM128,,$BV$19)*$BW$19+
INDEX($A128:$BM128,,$BV$20)*$BW$20+
INDEX($A128:$BM128,,$BV$21)*$BW$21+
INDEX($A128:$BM128,,$BV$22)*$BW$22+
INDEX($A128:$BM128,,$BV$23)*$BW$23+
INDEX($A128:$BM128,,$BV$25)*$BW$25+
INDEX($A128:$BM128,,$BV$26)*$BW$26+
INDEX($A128:$BM128,,$BV$27)*$BW$27+
$BN128)),
$BN128-100)</f>
        <v>223.17127000000002</v>
      </c>
      <c r="AX128" t="str">
        <f t="shared" si="20"/>
        <v/>
      </c>
      <c r="AY128" t="str">
        <f t="shared" si="21"/>
        <v/>
      </c>
      <c r="AZ128" s="430">
        <f>IFERROR(
IF(AX128="",-100,
IF($BV$2&gt;0, INDEX(Beersheet!$A:$U,MATCH(AX128,INDEX(Beersheet!$A:$U,0,FFARawStatProjections!$BV$2),0),$BV$3)+$BN128,
INDEX($A128:$BM128,,$BV$12)*$BW$12+
INDEX($A128:$BM128,,$BV$15)*$BW$15+
INDEX($A128:$BM128,,$BV$16)*$BW$16+
INDEX($A128:$BM128,,$BV$17)*$BW$17+
INDEX($A128:$BM128,,$BV$18)*$BW$18+
INDEX($A128:$BM128,,$BV$19)*$BW$19+
INDEX($A128:$BM128,,$BV$20)*$BW$20+
INDEX($A128:$BM128,,$BV$21)*$BW$21+
INDEX($A128:$BM128,,$BV$22)*$BW$22+
INDEX($A128:$BM128,,$BV$23)*$BW$23+
INDEX($A128:$BM128,,$BV$25)*$BW$25+
INDEX($A128:$BM128,,$BV$26)*$BW$26+
INDEX($A128:$BM128,,$BV$27)*$BW$27+
$BN128)),
$BN128-100)</f>
        <v>-100</v>
      </c>
      <c r="BB128" t="str">
        <f t="shared" si="22"/>
        <v/>
      </c>
      <c r="BC128" t="str">
        <f t="shared" si="15"/>
        <v/>
      </c>
      <c r="BD128" s="430">
        <f>IFERROR(
IF(BB128="",-100,
IF($BV$2&gt;0, INDEX(Beersheet!$A:$U,MATCH(BB128,INDEX(Beersheet!$A:$U,0,FFARawStatProjections!$BV$2),0),$BV$3)+$BN128,
INDEX($A128:$BM128,,$BV$12)*$BW$12+
INDEX($A128:$BM128,,$BV$15)*$BW$15+
INDEX($A128:$BM128,,$BV$16)*$BW$16+
INDEX($A128:$BM128,,$BV$17)*$BW$17+
INDEX($A128:$BM128,,$BV$18)*$BW$18+
INDEX($A128:$BM128,,$BV$19)*$BW$19+
INDEX($A128:$BM128,,$BV$20)*$BW$20+
INDEX($A128:$BM128,,$BV$21)*$BW$21+
INDEX($A128:$BM128,,$BV$22)*$BW$22+
INDEX($A128:$BM128,,$BV$23)*$BW$23+
INDEX($A128:$BM128,,$BV$25)*$BW$25+
INDEX($A128:$BM128,,$BV$26)*$BW$26+
INDEX($A128:$BM128,,$BV$27)*$BW$27+
$BN128)),
$BN128-100)</f>
        <v>-100</v>
      </c>
      <c r="BF128" t="str">
        <f t="shared" si="23"/>
        <v/>
      </c>
      <c r="BG128" t="str">
        <f t="shared" si="24"/>
        <v/>
      </c>
      <c r="BH128">
        <f t="shared" si="25"/>
        <v>0</v>
      </c>
      <c r="BJ128" t="str">
        <f t="shared" si="26"/>
        <v/>
      </c>
      <c r="BL128">
        <f t="shared" si="16"/>
        <v>0</v>
      </c>
      <c r="BN128">
        <v>1.2700000000000001E-3</v>
      </c>
      <c r="BS128" s="4" t="s">
        <v>2074</v>
      </c>
    </row>
    <row r="129" spans="1:71" ht="15.75" thickBot="1" x14ac:dyDescent="0.3">
      <c r="A129" s="569" t="s">
        <v>2173</v>
      </c>
      <c r="B129" s="569" t="s">
        <v>165</v>
      </c>
      <c r="C129" s="569" t="s">
        <v>3</v>
      </c>
      <c r="D129" s="574">
        <v>9</v>
      </c>
      <c r="E129" s="569"/>
      <c r="F129" s="569"/>
      <c r="G129" s="569"/>
      <c r="H129" s="569"/>
      <c r="I129" s="574">
        <v>0</v>
      </c>
      <c r="J129" s="574">
        <v>0</v>
      </c>
      <c r="K129" s="574">
        <v>0</v>
      </c>
      <c r="L129" s="574">
        <v>35.1</v>
      </c>
      <c r="M129" s="574">
        <v>0.9</v>
      </c>
      <c r="N129" s="574">
        <v>285.7</v>
      </c>
      <c r="O129" s="574">
        <v>218.6</v>
      </c>
      <c r="P129" s="574">
        <v>6.5</v>
      </c>
      <c r="Q129" s="574">
        <v>1082.0999999999999</v>
      </c>
      <c r="R129" s="569"/>
      <c r="S129" s="569"/>
      <c r="T129" s="569"/>
      <c r="U129" s="569"/>
      <c r="V129" s="569"/>
      <c r="W129" s="569"/>
      <c r="X129" s="569"/>
      <c r="Y129" s="569"/>
      <c r="Z129" s="569"/>
      <c r="AA129" s="569"/>
      <c r="AB129" s="569"/>
      <c r="AC129" s="569"/>
      <c r="AD129" s="569"/>
      <c r="AE129" s="569"/>
      <c r="AF129" s="569"/>
      <c r="AG129" s="569"/>
      <c r="AH129" s="569"/>
      <c r="AI129" s="569"/>
      <c r="AJ129" s="569"/>
      <c r="AK129" s="569"/>
      <c r="AL129" s="569"/>
      <c r="AM129" s="569"/>
      <c r="AN129" s="574">
        <v>176.4</v>
      </c>
      <c r="AO129">
        <v>128</v>
      </c>
      <c r="AP129" t="str">
        <f t="shared" si="27"/>
        <v/>
      </c>
      <c r="AQ129" t="str">
        <f t="shared" si="17"/>
        <v/>
      </c>
      <c r="AR129" s="430">
        <f>IFERROR(
IF(AP129="",-100,
IF($BV$2&gt;0, INDEX(Beersheet!$A:$U,MATCH(AP129,INDEX(Beersheet!$A:$U,0,FFARawStatProjections!$BV$2),0),$BV$3)+$BN129,
INDEX($A129:$BM129,,$BV$12)*$BW$12+
INDEX($A129:$BM129,,$BV$15)*$BW$15+
INDEX($A129:$BM129,,$BV$16)*$BW$16+
INDEX($A129:$BM129,,$BV$17)*$BW$17+
INDEX($A129:$BM129,,$BV$18)*$BW$18+
INDEX($A129:$BM129,,$BV$19)*$BW$19+
INDEX($A129:$BM129,,$BV$20)*$BW$20+
INDEX($A129:$BM129,,$BV$21)*$BW$21+
INDEX($A129:$BM129,,$BV$22)*$BW$22+
INDEX($A129:$BM129,,$BV$23)*$BW$23+
INDEX($A129:$BM129,,$BV$25)*$BW$25+
INDEX($A129:$BM129,,$BV$26)*$BW$26+
INDEX($A129:$BM129,,$BV$27)*$BW$27+
$BN129)),
$BN129-100)</f>
        <v>-100</v>
      </c>
      <c r="AT129" t="str">
        <f t="shared" si="18"/>
        <v>Travis Etienne</v>
      </c>
      <c r="AU129" t="str">
        <f t="shared" si="19"/>
        <v>JAC</v>
      </c>
      <c r="AV129" s="430">
        <f>IFERROR(
IF(AT129="",-100,
IF($BV$2&gt;0, INDEX(Beersheet!$A:$U,MATCH(AT129,INDEX(Beersheet!$A:$U,0,FFARawStatProjections!$BV$2),0),$BV$3)+$BN129,
INDEX($A129:$BM129,,$BV$12)*$BW$12+
INDEX($A129:$BM129,,$BV$15)*$BW$15+
INDEX($A129:$BM129,,$BV$16)*$BW$16+
INDEX($A129:$BM129,,$BV$17)*$BW$17+
INDEX($A129:$BM129,,$BV$18)*$BW$18+
INDEX($A129:$BM129,,$BV$19)*$BW$19+
INDEX($A129:$BM129,,$BV$20)*$BW$20+
INDEX($A129:$BM129,,$BV$21)*$BW$21+
INDEX($A129:$BM129,,$BV$22)*$BW$22+
INDEX($A129:$BM129,,$BV$23)*$BW$23+
INDEX($A129:$BM129,,$BV$25)*$BW$25+
INDEX($A129:$BM129,,$BV$26)*$BW$26+
INDEX($A129:$BM129,,$BV$27)*$BW$27+
$BN129)),
$BN129-100)</f>
        <v>216.28127999999998</v>
      </c>
      <c r="AX129" t="str">
        <f t="shared" si="20"/>
        <v/>
      </c>
      <c r="AY129" t="str">
        <f t="shared" si="21"/>
        <v/>
      </c>
      <c r="AZ129" s="430">
        <f>IFERROR(
IF(AX129="",-100,
IF($BV$2&gt;0, INDEX(Beersheet!$A:$U,MATCH(AX129,INDEX(Beersheet!$A:$U,0,FFARawStatProjections!$BV$2),0),$BV$3)+$BN129,
INDEX($A129:$BM129,,$BV$12)*$BW$12+
INDEX($A129:$BM129,,$BV$15)*$BW$15+
INDEX($A129:$BM129,,$BV$16)*$BW$16+
INDEX($A129:$BM129,,$BV$17)*$BW$17+
INDEX($A129:$BM129,,$BV$18)*$BW$18+
INDEX($A129:$BM129,,$BV$19)*$BW$19+
INDEX($A129:$BM129,,$BV$20)*$BW$20+
INDEX($A129:$BM129,,$BV$21)*$BW$21+
INDEX($A129:$BM129,,$BV$22)*$BW$22+
INDEX($A129:$BM129,,$BV$23)*$BW$23+
INDEX($A129:$BM129,,$BV$25)*$BW$25+
INDEX($A129:$BM129,,$BV$26)*$BW$26+
INDEX($A129:$BM129,,$BV$27)*$BW$27+
$BN129)),
$BN129-100)</f>
        <v>-100</v>
      </c>
      <c r="BB129" t="str">
        <f t="shared" si="22"/>
        <v/>
      </c>
      <c r="BC129" t="str">
        <f t="shared" si="15"/>
        <v/>
      </c>
      <c r="BD129" s="430">
        <f>IFERROR(
IF(BB129="",-100,
IF($BV$2&gt;0, INDEX(Beersheet!$A:$U,MATCH(BB129,INDEX(Beersheet!$A:$U,0,FFARawStatProjections!$BV$2),0),$BV$3)+$BN129,
INDEX($A129:$BM129,,$BV$12)*$BW$12+
INDEX($A129:$BM129,,$BV$15)*$BW$15+
INDEX($A129:$BM129,,$BV$16)*$BW$16+
INDEX($A129:$BM129,,$BV$17)*$BW$17+
INDEX($A129:$BM129,,$BV$18)*$BW$18+
INDEX($A129:$BM129,,$BV$19)*$BW$19+
INDEX($A129:$BM129,,$BV$20)*$BW$20+
INDEX($A129:$BM129,,$BV$21)*$BW$21+
INDEX($A129:$BM129,,$BV$22)*$BW$22+
INDEX($A129:$BM129,,$BV$23)*$BW$23+
INDEX($A129:$BM129,,$BV$25)*$BW$25+
INDEX($A129:$BM129,,$BV$26)*$BW$26+
INDEX($A129:$BM129,,$BV$27)*$BW$27+
$BN129)),
$BN129-100)</f>
        <v>-100</v>
      </c>
      <c r="BF129" t="str">
        <f t="shared" si="23"/>
        <v/>
      </c>
      <c r="BG129" t="str">
        <f t="shared" si="24"/>
        <v/>
      </c>
      <c r="BH129">
        <f t="shared" si="25"/>
        <v>0</v>
      </c>
      <c r="BJ129" t="str">
        <f t="shared" si="26"/>
        <v/>
      </c>
      <c r="BL129">
        <f t="shared" si="16"/>
        <v>0</v>
      </c>
      <c r="BN129">
        <v>1.2800000000000001E-3</v>
      </c>
      <c r="BS129" s="4" t="s">
        <v>2544</v>
      </c>
    </row>
    <row r="130" spans="1:71" ht="15.75" thickBot="1" x14ac:dyDescent="0.3">
      <c r="A130" s="569" t="s">
        <v>1871</v>
      </c>
      <c r="B130" s="569" t="s">
        <v>138</v>
      </c>
      <c r="C130" s="569" t="s">
        <v>3</v>
      </c>
      <c r="D130" s="574">
        <v>13</v>
      </c>
      <c r="E130" s="569"/>
      <c r="F130" s="569"/>
      <c r="G130" s="569"/>
      <c r="H130" s="569"/>
      <c r="I130" s="574">
        <v>0</v>
      </c>
      <c r="J130" s="574">
        <v>0</v>
      </c>
      <c r="K130" s="574">
        <v>0</v>
      </c>
      <c r="L130" s="574">
        <v>34.4</v>
      </c>
      <c r="M130" s="574">
        <v>1.6</v>
      </c>
      <c r="N130" s="574">
        <v>235.9</v>
      </c>
      <c r="O130" s="574">
        <v>215.3</v>
      </c>
      <c r="P130" s="574">
        <v>8.1</v>
      </c>
      <c r="Q130" s="574">
        <v>942.3</v>
      </c>
      <c r="R130" s="569"/>
      <c r="S130" s="569"/>
      <c r="T130" s="569"/>
      <c r="U130" s="569"/>
      <c r="V130" s="569"/>
      <c r="W130" s="569"/>
      <c r="X130" s="569"/>
      <c r="Y130" s="569"/>
      <c r="Z130" s="569"/>
      <c r="AA130" s="569"/>
      <c r="AB130" s="569"/>
      <c r="AC130" s="569"/>
      <c r="AD130" s="569"/>
      <c r="AE130" s="569"/>
      <c r="AF130" s="569"/>
      <c r="AG130" s="569"/>
      <c r="AH130" s="569"/>
      <c r="AI130" s="569"/>
      <c r="AJ130" s="569"/>
      <c r="AK130" s="569"/>
      <c r="AL130" s="569"/>
      <c r="AM130" s="569"/>
      <c r="AN130" s="574">
        <v>174.2</v>
      </c>
      <c r="AO130">
        <v>129</v>
      </c>
      <c r="AP130" t="str">
        <f t="shared" si="27"/>
        <v/>
      </c>
      <c r="AQ130" t="str">
        <f t="shared" si="17"/>
        <v/>
      </c>
      <c r="AR130" s="430">
        <f>IFERROR(
IF(AP130="",-100,
IF($BV$2&gt;0, INDEX(Beersheet!$A:$U,MATCH(AP130,INDEX(Beersheet!$A:$U,0,FFARawStatProjections!$BV$2),0),$BV$3)+$BN130,
INDEX($A130:$BM130,,$BV$12)*$BW$12+
INDEX($A130:$BM130,,$BV$15)*$BW$15+
INDEX($A130:$BM130,,$BV$16)*$BW$16+
INDEX($A130:$BM130,,$BV$17)*$BW$17+
INDEX($A130:$BM130,,$BV$18)*$BW$18+
INDEX($A130:$BM130,,$BV$19)*$BW$19+
INDEX($A130:$BM130,,$BV$20)*$BW$20+
INDEX($A130:$BM130,,$BV$21)*$BW$21+
INDEX($A130:$BM130,,$BV$22)*$BW$22+
INDEX($A130:$BM130,,$BV$23)*$BW$23+
INDEX($A130:$BM130,,$BV$25)*$BW$25+
INDEX($A130:$BM130,,$BV$26)*$BW$26+
INDEX($A130:$BM130,,$BV$27)*$BW$27+
$BN130)),
$BN130-100)</f>
        <v>-100</v>
      </c>
      <c r="AT130" t="str">
        <f t="shared" si="18"/>
        <v>Alexander Mattison</v>
      </c>
      <c r="AU130" t="str">
        <f t="shared" si="19"/>
        <v>MIN</v>
      </c>
      <c r="AV130" s="430">
        <f>IFERROR(
IF(AT130="",-100,
IF($BV$2&gt;0, INDEX(Beersheet!$A:$U,MATCH(AT130,INDEX(Beersheet!$A:$U,0,FFARawStatProjections!$BV$2),0),$BV$3)+$BN130,
INDEX($A130:$BM130,,$BV$12)*$BW$12+
INDEX($A130:$BM130,,$BV$15)*$BW$15+
INDEX($A130:$BM130,,$BV$16)*$BW$16+
INDEX($A130:$BM130,,$BV$17)*$BW$17+
INDEX($A130:$BM130,,$BV$18)*$BW$18+
INDEX($A130:$BM130,,$BV$19)*$BW$19+
INDEX($A130:$BM130,,$BV$20)*$BW$20+
INDEX($A130:$BM130,,$BV$21)*$BW$21+
INDEX($A130:$BM130,,$BV$22)*$BW$22+
INDEX($A130:$BM130,,$BV$23)*$BW$23+
INDEX($A130:$BM130,,$BV$25)*$BW$25+
INDEX($A130:$BM130,,$BV$26)*$BW$26+
INDEX($A130:$BM130,,$BV$27)*$BW$27+
$BN130)),
$BN130-100)</f>
        <v>210.42129000000003</v>
      </c>
      <c r="AX130" t="str">
        <f t="shared" si="20"/>
        <v/>
      </c>
      <c r="AY130" t="str">
        <f t="shared" si="21"/>
        <v/>
      </c>
      <c r="AZ130" s="430">
        <f>IFERROR(
IF(AX130="",-100,
IF($BV$2&gt;0, INDEX(Beersheet!$A:$U,MATCH(AX130,INDEX(Beersheet!$A:$U,0,FFARawStatProjections!$BV$2),0),$BV$3)+$BN130,
INDEX($A130:$BM130,,$BV$12)*$BW$12+
INDEX($A130:$BM130,,$BV$15)*$BW$15+
INDEX($A130:$BM130,,$BV$16)*$BW$16+
INDEX($A130:$BM130,,$BV$17)*$BW$17+
INDEX($A130:$BM130,,$BV$18)*$BW$18+
INDEX($A130:$BM130,,$BV$19)*$BW$19+
INDEX($A130:$BM130,,$BV$20)*$BW$20+
INDEX($A130:$BM130,,$BV$21)*$BW$21+
INDEX($A130:$BM130,,$BV$22)*$BW$22+
INDEX($A130:$BM130,,$BV$23)*$BW$23+
INDEX($A130:$BM130,,$BV$25)*$BW$25+
INDEX($A130:$BM130,,$BV$26)*$BW$26+
INDEX($A130:$BM130,,$BV$27)*$BW$27+
$BN130)),
$BN130-100)</f>
        <v>-100</v>
      </c>
      <c r="BB130" t="str">
        <f t="shared" si="22"/>
        <v/>
      </c>
      <c r="BC130" t="str">
        <f t="shared" ref="BC130:BC193" si="28">IFERROR(IF(BB130="","",$B130),"")</f>
        <v/>
      </c>
      <c r="BD130" s="430">
        <f>IFERROR(
IF(BB130="",-100,
IF($BV$2&gt;0, INDEX(Beersheet!$A:$U,MATCH(BB130,INDEX(Beersheet!$A:$U,0,FFARawStatProjections!$BV$2),0),$BV$3)+$BN130,
INDEX($A130:$BM130,,$BV$12)*$BW$12+
INDEX($A130:$BM130,,$BV$15)*$BW$15+
INDEX($A130:$BM130,,$BV$16)*$BW$16+
INDEX($A130:$BM130,,$BV$17)*$BW$17+
INDEX($A130:$BM130,,$BV$18)*$BW$18+
INDEX($A130:$BM130,,$BV$19)*$BW$19+
INDEX($A130:$BM130,,$BV$20)*$BW$20+
INDEX($A130:$BM130,,$BV$21)*$BW$21+
INDEX($A130:$BM130,,$BV$22)*$BW$22+
INDEX($A130:$BM130,,$BV$23)*$BW$23+
INDEX($A130:$BM130,,$BV$25)*$BW$25+
INDEX($A130:$BM130,,$BV$26)*$BW$26+
INDEX($A130:$BM130,,$BV$27)*$BW$27+
$BN130)),
$BN130-100)</f>
        <v>-100</v>
      </c>
      <c r="BF130" t="str">
        <f t="shared" si="23"/>
        <v/>
      </c>
      <c r="BG130" t="str">
        <f t="shared" si="24"/>
        <v/>
      </c>
      <c r="BH130">
        <f t="shared" si="25"/>
        <v>0</v>
      </c>
      <c r="BJ130" t="str">
        <f t="shared" si="26"/>
        <v/>
      </c>
      <c r="BL130">
        <f t="shared" ref="BL130:BL151" si="29">IFERROR(IF(BJ130="",0,
V130*2+W130*2+X130*2+Z130*6+AA130*1+AB130*2+AC130*6
+AN130+BN130),"")</f>
        <v>0</v>
      </c>
      <c r="BN130">
        <v>1.2899999999999999E-3</v>
      </c>
      <c r="BS130" s="4" t="s">
        <v>2349</v>
      </c>
    </row>
    <row r="131" spans="1:71" ht="15.75" thickBot="1" x14ac:dyDescent="0.3">
      <c r="A131" s="569" t="s">
        <v>2450</v>
      </c>
      <c r="B131" s="569" t="s">
        <v>140</v>
      </c>
      <c r="C131" s="569" t="s">
        <v>3</v>
      </c>
      <c r="D131" s="574">
        <v>5</v>
      </c>
      <c r="E131" s="569"/>
      <c r="F131" s="569"/>
      <c r="G131" s="569"/>
      <c r="H131" s="569"/>
      <c r="I131" s="574">
        <v>0</v>
      </c>
      <c r="J131" s="574">
        <v>0</v>
      </c>
      <c r="K131" s="574">
        <v>0</v>
      </c>
      <c r="L131" s="574">
        <v>25.9</v>
      </c>
      <c r="M131" s="574">
        <v>0.6</v>
      </c>
      <c r="N131" s="574">
        <v>173.7</v>
      </c>
      <c r="O131" s="574">
        <v>228.7</v>
      </c>
      <c r="P131" s="574">
        <v>8.1999999999999993</v>
      </c>
      <c r="Q131" s="574">
        <v>1040.3</v>
      </c>
      <c r="R131" s="569"/>
      <c r="S131" s="569"/>
      <c r="T131" s="569"/>
      <c r="U131" s="569"/>
      <c r="V131" s="569"/>
      <c r="W131" s="569"/>
      <c r="X131" s="569"/>
      <c r="Y131" s="569"/>
      <c r="Z131" s="569"/>
      <c r="AA131" s="569"/>
      <c r="AB131" s="569"/>
      <c r="AC131" s="569"/>
      <c r="AD131" s="569"/>
      <c r="AE131" s="569"/>
      <c r="AF131" s="569"/>
      <c r="AG131" s="569"/>
      <c r="AH131" s="569"/>
      <c r="AI131" s="569"/>
      <c r="AJ131" s="569"/>
      <c r="AK131" s="569"/>
      <c r="AL131" s="569"/>
      <c r="AM131" s="569"/>
      <c r="AN131" s="574">
        <v>173.7</v>
      </c>
      <c r="AO131">
        <v>130</v>
      </c>
      <c r="AP131" t="str">
        <f t="shared" si="27"/>
        <v/>
      </c>
      <c r="AQ131" t="str">
        <f t="shared" ref="AQ131:AQ194" si="30">IFERROR(IF(AP131="","",$B131),"")</f>
        <v/>
      </c>
      <c r="AR131" s="430">
        <f>IFERROR(
IF(AP131="",-100,
IF($BV$2&gt;0, INDEX(Beersheet!$A:$U,MATCH(AP131,INDEX(Beersheet!$A:$U,0,FFARawStatProjections!$BV$2),0),$BV$3)+$BN131,
INDEX($A131:$BM131,,$BV$12)*$BW$12+
INDEX($A131:$BM131,,$BV$15)*$BW$15+
INDEX($A131:$BM131,,$BV$16)*$BW$16+
INDEX($A131:$BM131,,$BV$17)*$BW$17+
INDEX($A131:$BM131,,$BV$18)*$BW$18+
INDEX($A131:$BM131,,$BV$19)*$BW$19+
INDEX($A131:$BM131,,$BV$20)*$BW$20+
INDEX($A131:$BM131,,$BV$21)*$BW$21+
INDEX($A131:$BM131,,$BV$22)*$BW$22+
INDEX($A131:$BM131,,$BV$23)*$BW$23+
INDEX($A131:$BM131,,$BV$25)*$BW$25+
INDEX($A131:$BM131,,$BV$26)*$BW$26+
INDEX($A131:$BM131,,$BV$27)*$BW$27+
$BN131)),
$BN131-100)</f>
        <v>-100</v>
      </c>
      <c r="AT131" t="str">
        <f t="shared" ref="AT131:AT194" si="31">IF($C131 = "RB", $A131, "")</f>
        <v>Kenneth Walker</v>
      </c>
      <c r="AU131" t="str">
        <f t="shared" ref="AU131:AU194" si="32">IFERROR(IF(AT131="","",$B131),"")</f>
        <v>SEA</v>
      </c>
      <c r="AV131" s="430">
        <f>IFERROR(
IF(AT131="",-100,
IF($BV$2&gt;0, INDEX(Beersheet!$A:$U,MATCH(AT131,INDEX(Beersheet!$A:$U,0,FFARawStatProjections!$BV$2),0),$BV$3)+$BN131,
INDEX($A131:$BM131,,$BV$12)*$BW$12+
INDEX($A131:$BM131,,$BV$15)*$BW$15+
INDEX($A131:$BM131,,$BV$16)*$BW$16+
INDEX($A131:$BM131,,$BV$17)*$BW$17+
INDEX($A131:$BM131,,$BV$18)*$BW$18+
INDEX($A131:$BM131,,$BV$19)*$BW$19+
INDEX($A131:$BM131,,$BV$20)*$BW$20+
INDEX($A131:$BM131,,$BV$21)*$BW$21+
INDEX($A131:$BM131,,$BV$22)*$BW$22+
INDEX($A131:$BM131,,$BV$23)*$BW$23+
INDEX($A131:$BM131,,$BV$25)*$BW$25+
INDEX($A131:$BM131,,$BV$26)*$BW$26+
INDEX($A131:$BM131,,$BV$27)*$BW$27+
$BN131)),
$BN131-100)</f>
        <v>200.10129999999998</v>
      </c>
      <c r="AX131" t="str">
        <f t="shared" ref="AX131:AX194" si="33">IF($C131 = "WR", $A131, "")</f>
        <v/>
      </c>
      <c r="AY131" t="str">
        <f t="shared" ref="AY131:AY194" si="34">IFERROR(IF(AX131="","",$B131),"")</f>
        <v/>
      </c>
      <c r="AZ131" s="430">
        <f>IFERROR(
IF(AX131="",-100,
IF($BV$2&gt;0, INDEX(Beersheet!$A:$U,MATCH(AX131,INDEX(Beersheet!$A:$U,0,FFARawStatProjections!$BV$2),0),$BV$3)+$BN131,
INDEX($A131:$BM131,,$BV$12)*$BW$12+
INDEX($A131:$BM131,,$BV$15)*$BW$15+
INDEX($A131:$BM131,,$BV$16)*$BW$16+
INDEX($A131:$BM131,,$BV$17)*$BW$17+
INDEX($A131:$BM131,,$BV$18)*$BW$18+
INDEX($A131:$BM131,,$BV$19)*$BW$19+
INDEX($A131:$BM131,,$BV$20)*$BW$20+
INDEX($A131:$BM131,,$BV$21)*$BW$21+
INDEX($A131:$BM131,,$BV$22)*$BW$22+
INDEX($A131:$BM131,,$BV$23)*$BW$23+
INDEX($A131:$BM131,,$BV$25)*$BW$25+
INDEX($A131:$BM131,,$BV$26)*$BW$26+
INDEX($A131:$BM131,,$BV$27)*$BW$27+
$BN131)),
$BN131-100)</f>
        <v>-100</v>
      </c>
      <c r="BB131" t="str">
        <f t="shared" ref="BB131:BB194" si="35">IF($C131 = "TE", $A131, "")</f>
        <v/>
      </c>
      <c r="BC131" t="str">
        <f t="shared" si="28"/>
        <v/>
      </c>
      <c r="BD131" s="430">
        <f>IFERROR(
IF(BB131="",-100,
IF($BV$2&gt;0, INDEX(Beersheet!$A:$U,MATCH(BB131,INDEX(Beersheet!$A:$U,0,FFARawStatProjections!$BV$2),0),$BV$3)+$BN131,
INDEX($A131:$BM131,,$BV$12)*$BW$12+
INDEX($A131:$BM131,,$BV$15)*$BW$15+
INDEX($A131:$BM131,,$BV$16)*$BW$16+
INDEX($A131:$BM131,,$BV$17)*$BW$17+
INDEX($A131:$BM131,,$BV$18)*$BW$18+
INDEX($A131:$BM131,,$BV$19)*$BW$19+
INDEX($A131:$BM131,,$BV$20)*$BW$20+
INDEX($A131:$BM131,,$BV$21)*$BW$21+
INDEX($A131:$BM131,,$BV$22)*$BW$22+
INDEX($A131:$BM131,,$BV$23)*$BW$23+
INDEX($A131:$BM131,,$BV$25)*$BW$25+
INDEX($A131:$BM131,,$BV$26)*$BW$26+
INDEX($A131:$BM131,,$BV$27)*$BW$27+
$BN131)),
$BN131-100)</f>
        <v>-100</v>
      </c>
      <c r="BF131" t="str">
        <f t="shared" ref="BF131:BF194" si="36">IF($C131 = "K", $A131, "")</f>
        <v/>
      </c>
      <c r="BG131" t="str">
        <f t="shared" ref="BG131:BG194" si="37">IFERROR(IF(BF131="","",$B131),"")</f>
        <v/>
      </c>
      <c r="BH131">
        <f t="shared" ref="BH131:BH194" si="38">IFERROR(IF(BF131="",0,
AF131*3
+AG131*3
+AH131*3
+AI131*4
+AJ131*5
+BN131+AN131),"")</f>
        <v>0</v>
      </c>
      <c r="BJ131" t="str">
        <f t="shared" ref="BJ131:BJ194" si="39">IF($C131 = "DST", $A131, "")</f>
        <v/>
      </c>
      <c r="BL131">
        <f t="shared" si="29"/>
        <v>0</v>
      </c>
      <c r="BN131">
        <v>1.2999999999999999E-3</v>
      </c>
      <c r="BS131" s="4" t="s">
        <v>2505</v>
      </c>
    </row>
    <row r="132" spans="1:71" ht="15.75" thickBot="1" x14ac:dyDescent="0.3">
      <c r="A132" s="569" t="s">
        <v>2180</v>
      </c>
      <c r="B132" s="569" t="s">
        <v>157</v>
      </c>
      <c r="C132" s="569" t="s">
        <v>3</v>
      </c>
      <c r="D132" s="574">
        <v>11</v>
      </c>
      <c r="E132" s="569"/>
      <c r="F132" s="569"/>
      <c r="G132" s="569"/>
      <c r="H132" s="569"/>
      <c r="I132" s="574">
        <v>0</v>
      </c>
      <c r="J132" s="574">
        <v>0</v>
      </c>
      <c r="K132" s="574">
        <v>0</v>
      </c>
      <c r="L132" s="574">
        <v>50.6</v>
      </c>
      <c r="M132" s="574">
        <v>1.3</v>
      </c>
      <c r="N132" s="574">
        <v>361.6</v>
      </c>
      <c r="O132" s="574">
        <v>208</v>
      </c>
      <c r="P132" s="574">
        <v>5.7</v>
      </c>
      <c r="Q132" s="574">
        <v>935.2</v>
      </c>
      <c r="R132" s="569"/>
      <c r="S132" s="569"/>
      <c r="T132" s="569"/>
      <c r="U132" s="569"/>
      <c r="V132" s="569"/>
      <c r="W132" s="569"/>
      <c r="X132" s="569"/>
      <c r="Y132" s="569"/>
      <c r="Z132" s="569"/>
      <c r="AA132" s="569"/>
      <c r="AB132" s="569"/>
      <c r="AC132" s="569"/>
      <c r="AD132" s="569"/>
      <c r="AE132" s="569"/>
      <c r="AF132" s="569"/>
      <c r="AG132" s="569"/>
      <c r="AH132" s="569"/>
      <c r="AI132" s="569"/>
      <c r="AJ132" s="569"/>
      <c r="AK132" s="569"/>
      <c r="AL132" s="569"/>
      <c r="AM132" s="569"/>
      <c r="AN132" s="574">
        <v>170</v>
      </c>
      <c r="AO132">
        <v>131</v>
      </c>
      <c r="AP132" t="str">
        <f t="shared" si="27"/>
        <v/>
      </c>
      <c r="AQ132" t="str">
        <f t="shared" si="30"/>
        <v/>
      </c>
      <c r="AR132" s="430">
        <f>IFERROR(
IF(AP132="",-100,
IF($BV$2&gt;0, INDEX(Beersheet!$A:$U,MATCH(AP132,INDEX(Beersheet!$A:$U,0,FFARawStatProjections!$BV$2),0),$BV$3)+$BN132,
INDEX($A132:$BM132,,$BV$12)*$BW$12+
INDEX($A132:$BM132,,$BV$15)*$BW$15+
INDEX($A132:$BM132,,$BV$16)*$BW$16+
INDEX($A132:$BM132,,$BV$17)*$BW$17+
INDEX($A132:$BM132,,$BV$18)*$BW$18+
INDEX($A132:$BM132,,$BV$19)*$BW$19+
INDEX($A132:$BM132,,$BV$20)*$BW$20+
INDEX($A132:$BM132,,$BV$21)*$BW$21+
INDEX($A132:$BM132,,$BV$22)*$BW$22+
INDEX($A132:$BM132,,$BV$23)*$BW$23+
INDEX($A132:$BM132,,$BV$25)*$BW$25+
INDEX($A132:$BM132,,$BV$26)*$BW$26+
INDEX($A132:$BM132,,$BV$27)*$BW$27+
$BN132)),
$BN132-100)</f>
        <v>-100</v>
      </c>
      <c r="AT132" t="str">
        <f t="shared" si="31"/>
        <v>Rhamondre Stevenson</v>
      </c>
      <c r="AU132" t="str">
        <f t="shared" si="32"/>
        <v>NE</v>
      </c>
      <c r="AV132" s="430">
        <f>IFERROR(
IF(AT132="",-100,
IF($BV$2&gt;0, INDEX(Beersheet!$A:$U,MATCH(AT132,INDEX(Beersheet!$A:$U,0,FFARawStatProjections!$BV$2),0),$BV$3)+$BN132,
INDEX($A132:$BM132,,$BV$12)*$BW$12+
INDEX($A132:$BM132,,$BV$15)*$BW$15+
INDEX($A132:$BM132,,$BV$16)*$BW$16+
INDEX($A132:$BM132,,$BV$17)*$BW$17+
INDEX($A132:$BM132,,$BV$18)*$BW$18+
INDEX($A132:$BM132,,$BV$19)*$BW$19+
INDEX($A132:$BM132,,$BV$20)*$BW$20+
INDEX($A132:$BM132,,$BV$21)*$BW$21+
INDEX($A132:$BM132,,$BV$22)*$BW$22+
INDEX($A132:$BM132,,$BV$23)*$BW$23+
INDEX($A132:$BM132,,$BV$25)*$BW$25+
INDEX($A132:$BM132,,$BV$26)*$BW$26+
INDEX($A132:$BM132,,$BV$27)*$BW$27+
$BN132)),
$BN132-100)</f>
        <v>222.28130999999999</v>
      </c>
      <c r="AX132" t="str">
        <f t="shared" si="33"/>
        <v/>
      </c>
      <c r="AY132" t="str">
        <f t="shared" si="34"/>
        <v/>
      </c>
      <c r="AZ132" s="430">
        <f>IFERROR(
IF(AX132="",-100,
IF($BV$2&gt;0, INDEX(Beersheet!$A:$U,MATCH(AX132,INDEX(Beersheet!$A:$U,0,FFARawStatProjections!$BV$2),0),$BV$3)+$BN132,
INDEX($A132:$BM132,,$BV$12)*$BW$12+
INDEX($A132:$BM132,,$BV$15)*$BW$15+
INDEX($A132:$BM132,,$BV$16)*$BW$16+
INDEX($A132:$BM132,,$BV$17)*$BW$17+
INDEX($A132:$BM132,,$BV$18)*$BW$18+
INDEX($A132:$BM132,,$BV$19)*$BW$19+
INDEX($A132:$BM132,,$BV$20)*$BW$20+
INDEX($A132:$BM132,,$BV$21)*$BW$21+
INDEX($A132:$BM132,,$BV$22)*$BW$22+
INDEX($A132:$BM132,,$BV$23)*$BW$23+
INDEX($A132:$BM132,,$BV$25)*$BW$25+
INDEX($A132:$BM132,,$BV$26)*$BW$26+
INDEX($A132:$BM132,,$BV$27)*$BW$27+
$BN132)),
$BN132-100)</f>
        <v>-100</v>
      </c>
      <c r="BB132" t="str">
        <f t="shared" si="35"/>
        <v/>
      </c>
      <c r="BC132" t="str">
        <f t="shared" si="28"/>
        <v/>
      </c>
      <c r="BD132" s="430">
        <f>IFERROR(
IF(BB132="",-100,
IF($BV$2&gt;0, INDEX(Beersheet!$A:$U,MATCH(BB132,INDEX(Beersheet!$A:$U,0,FFARawStatProjections!$BV$2),0),$BV$3)+$BN132,
INDEX($A132:$BM132,,$BV$12)*$BW$12+
INDEX($A132:$BM132,,$BV$15)*$BW$15+
INDEX($A132:$BM132,,$BV$16)*$BW$16+
INDEX($A132:$BM132,,$BV$17)*$BW$17+
INDEX($A132:$BM132,,$BV$18)*$BW$18+
INDEX($A132:$BM132,,$BV$19)*$BW$19+
INDEX($A132:$BM132,,$BV$20)*$BW$20+
INDEX($A132:$BM132,,$BV$21)*$BW$21+
INDEX($A132:$BM132,,$BV$22)*$BW$22+
INDEX($A132:$BM132,,$BV$23)*$BW$23+
INDEX($A132:$BM132,,$BV$25)*$BW$25+
INDEX($A132:$BM132,,$BV$26)*$BW$26+
INDEX($A132:$BM132,,$BV$27)*$BW$27+
$BN132)),
$BN132-100)</f>
        <v>-100</v>
      </c>
      <c r="BF132" t="str">
        <f t="shared" si="36"/>
        <v/>
      </c>
      <c r="BG132" t="str">
        <f t="shared" si="37"/>
        <v/>
      </c>
      <c r="BH132">
        <f t="shared" si="38"/>
        <v>0</v>
      </c>
      <c r="BJ132" t="str">
        <f t="shared" si="39"/>
        <v/>
      </c>
      <c r="BL132">
        <f t="shared" si="29"/>
        <v>0</v>
      </c>
      <c r="BN132">
        <v>1.31E-3</v>
      </c>
      <c r="BS132" s="4" t="s">
        <v>2253</v>
      </c>
    </row>
    <row r="133" spans="1:71" ht="15.75" thickBot="1" x14ac:dyDescent="0.3">
      <c r="A133" s="569" t="s">
        <v>1422</v>
      </c>
      <c r="B133" s="569" t="s">
        <v>2272</v>
      </c>
      <c r="C133" s="569" t="s">
        <v>3</v>
      </c>
      <c r="D133" s="574">
        <v>14</v>
      </c>
      <c r="E133" s="569"/>
      <c r="F133" s="569"/>
      <c r="G133" s="569"/>
      <c r="H133" s="569"/>
      <c r="I133" s="574">
        <v>0</v>
      </c>
      <c r="J133" s="574">
        <v>0</v>
      </c>
      <c r="K133" s="574">
        <v>0</v>
      </c>
      <c r="L133" s="574">
        <v>41</v>
      </c>
      <c r="M133" s="574">
        <v>1.3</v>
      </c>
      <c r="N133" s="574">
        <v>297.89999999999998</v>
      </c>
      <c r="O133" s="574">
        <v>214</v>
      </c>
      <c r="P133" s="574">
        <v>6.8</v>
      </c>
      <c r="Q133" s="574">
        <v>913.1</v>
      </c>
      <c r="R133" s="569"/>
      <c r="S133" s="569"/>
      <c r="T133" s="569"/>
      <c r="U133" s="569"/>
      <c r="V133" s="569"/>
      <c r="W133" s="569"/>
      <c r="X133" s="569"/>
      <c r="Y133" s="569"/>
      <c r="Z133" s="569"/>
      <c r="AA133" s="569"/>
      <c r="AB133" s="569"/>
      <c r="AC133" s="569"/>
      <c r="AD133" s="569"/>
      <c r="AE133" s="569"/>
      <c r="AF133" s="569"/>
      <c r="AG133" s="569"/>
      <c r="AH133" s="569"/>
      <c r="AI133" s="569"/>
      <c r="AJ133" s="569"/>
      <c r="AK133" s="569"/>
      <c r="AL133" s="569"/>
      <c r="AM133" s="569"/>
      <c r="AN133" s="574">
        <v>167.9</v>
      </c>
      <c r="AO133">
        <v>132</v>
      </c>
      <c r="AP133" t="str">
        <f t="shared" si="27"/>
        <v/>
      </c>
      <c r="AQ133" t="str">
        <f t="shared" si="30"/>
        <v/>
      </c>
      <c r="AR133" s="430">
        <f>IFERROR(
IF(AP133="",-100,
IF($BV$2&gt;0, INDEX(Beersheet!$A:$U,MATCH(AP133,INDEX(Beersheet!$A:$U,0,FFARawStatProjections!$BV$2),0),$BV$3)+$BN133,
INDEX($A133:$BM133,,$BV$12)*$BW$12+
INDEX($A133:$BM133,,$BV$15)*$BW$15+
INDEX($A133:$BM133,,$BV$16)*$BW$16+
INDEX($A133:$BM133,,$BV$17)*$BW$17+
INDEX($A133:$BM133,,$BV$18)*$BW$18+
INDEX($A133:$BM133,,$BV$19)*$BW$19+
INDEX($A133:$BM133,,$BV$20)*$BW$20+
INDEX($A133:$BM133,,$BV$21)*$BW$21+
INDEX($A133:$BM133,,$BV$22)*$BW$22+
INDEX($A133:$BM133,,$BV$23)*$BW$23+
INDEX($A133:$BM133,,$BV$25)*$BW$25+
INDEX($A133:$BM133,,$BV$26)*$BW$26+
INDEX($A133:$BM133,,$BV$27)*$BW$27+
$BN133)),
$BN133-100)</f>
        <v>-100</v>
      </c>
      <c r="AT133" t="str">
        <f t="shared" si="31"/>
        <v>James Conner</v>
      </c>
      <c r="AU133" t="str">
        <f t="shared" si="32"/>
        <v>AZ</v>
      </c>
      <c r="AV133" s="430">
        <f>IFERROR(
IF(AT133="",-100,
IF($BV$2&gt;0, INDEX(Beersheet!$A:$U,MATCH(AT133,INDEX(Beersheet!$A:$U,0,FFARawStatProjections!$BV$2),0),$BV$3)+$BN133,
INDEX($A133:$BM133,,$BV$12)*$BW$12+
INDEX($A133:$BM133,,$BV$15)*$BW$15+
INDEX($A133:$BM133,,$BV$16)*$BW$16+
INDEX($A133:$BM133,,$BV$17)*$BW$17+
INDEX($A133:$BM133,,$BV$18)*$BW$18+
INDEX($A133:$BM133,,$BV$19)*$BW$19+
INDEX($A133:$BM133,,$BV$20)*$BW$20+
INDEX($A133:$BM133,,$BV$21)*$BW$21+
INDEX($A133:$BM133,,$BV$22)*$BW$22+
INDEX($A133:$BM133,,$BV$23)*$BW$23+
INDEX($A133:$BM133,,$BV$25)*$BW$25+
INDEX($A133:$BM133,,$BV$26)*$BW$26+
INDEX($A133:$BM133,,$BV$27)*$BW$27+
$BN133)),
$BN133-100)</f>
        <v>210.70131999999998</v>
      </c>
      <c r="AX133" t="str">
        <f t="shared" si="33"/>
        <v/>
      </c>
      <c r="AY133" t="str">
        <f t="shared" si="34"/>
        <v/>
      </c>
      <c r="AZ133" s="430">
        <f>IFERROR(
IF(AX133="",-100,
IF($BV$2&gt;0, INDEX(Beersheet!$A:$U,MATCH(AX133,INDEX(Beersheet!$A:$U,0,FFARawStatProjections!$BV$2),0),$BV$3)+$BN133,
INDEX($A133:$BM133,,$BV$12)*$BW$12+
INDEX($A133:$BM133,,$BV$15)*$BW$15+
INDEX($A133:$BM133,,$BV$16)*$BW$16+
INDEX($A133:$BM133,,$BV$17)*$BW$17+
INDEX($A133:$BM133,,$BV$18)*$BW$18+
INDEX($A133:$BM133,,$BV$19)*$BW$19+
INDEX($A133:$BM133,,$BV$20)*$BW$20+
INDEX($A133:$BM133,,$BV$21)*$BW$21+
INDEX($A133:$BM133,,$BV$22)*$BW$22+
INDEX($A133:$BM133,,$BV$23)*$BW$23+
INDEX($A133:$BM133,,$BV$25)*$BW$25+
INDEX($A133:$BM133,,$BV$26)*$BW$26+
INDEX($A133:$BM133,,$BV$27)*$BW$27+
$BN133)),
$BN133-100)</f>
        <v>-100</v>
      </c>
      <c r="BB133" t="str">
        <f t="shared" si="35"/>
        <v/>
      </c>
      <c r="BC133" t="str">
        <f t="shared" si="28"/>
        <v/>
      </c>
      <c r="BD133" s="430">
        <f>IFERROR(
IF(BB133="",-100,
IF($BV$2&gt;0, INDEX(Beersheet!$A:$U,MATCH(BB133,INDEX(Beersheet!$A:$U,0,FFARawStatProjections!$BV$2),0),$BV$3)+$BN133,
INDEX($A133:$BM133,,$BV$12)*$BW$12+
INDEX($A133:$BM133,,$BV$15)*$BW$15+
INDEX($A133:$BM133,,$BV$16)*$BW$16+
INDEX($A133:$BM133,,$BV$17)*$BW$17+
INDEX($A133:$BM133,,$BV$18)*$BW$18+
INDEX($A133:$BM133,,$BV$19)*$BW$19+
INDEX($A133:$BM133,,$BV$20)*$BW$20+
INDEX($A133:$BM133,,$BV$21)*$BW$21+
INDEX($A133:$BM133,,$BV$22)*$BW$22+
INDEX($A133:$BM133,,$BV$23)*$BW$23+
INDEX($A133:$BM133,,$BV$25)*$BW$25+
INDEX($A133:$BM133,,$BV$26)*$BW$26+
INDEX($A133:$BM133,,$BV$27)*$BW$27+
$BN133)),
$BN133-100)</f>
        <v>-100</v>
      </c>
      <c r="BF133" t="str">
        <f t="shared" si="36"/>
        <v/>
      </c>
      <c r="BG133" t="str">
        <f t="shared" si="37"/>
        <v/>
      </c>
      <c r="BH133">
        <f t="shared" si="38"/>
        <v>0</v>
      </c>
      <c r="BJ133" t="str">
        <f t="shared" si="39"/>
        <v/>
      </c>
      <c r="BL133">
        <f t="shared" si="29"/>
        <v>0</v>
      </c>
      <c r="BN133">
        <v>1.32E-3</v>
      </c>
      <c r="BS133" s="4" t="s">
        <v>197</v>
      </c>
    </row>
    <row r="134" spans="1:71" ht="15.75" thickBot="1" x14ac:dyDescent="0.3">
      <c r="A134" s="569" t="s">
        <v>2292</v>
      </c>
      <c r="B134" s="569" t="s">
        <v>151</v>
      </c>
      <c r="C134" s="569" t="s">
        <v>3</v>
      </c>
      <c r="D134" s="574">
        <v>7</v>
      </c>
      <c r="E134" s="569"/>
      <c r="F134" s="569"/>
      <c r="G134" s="569"/>
      <c r="H134" s="569"/>
      <c r="I134" s="574">
        <v>0</v>
      </c>
      <c r="J134" s="574">
        <v>0</v>
      </c>
      <c r="K134" s="574">
        <v>0</v>
      </c>
      <c r="L134" s="574">
        <v>32.700000000000003</v>
      </c>
      <c r="M134" s="574">
        <v>1.1000000000000001</v>
      </c>
      <c r="N134" s="574">
        <v>216.2</v>
      </c>
      <c r="O134" s="574">
        <v>255.3</v>
      </c>
      <c r="P134" s="574">
        <v>5.8</v>
      </c>
      <c r="Q134" s="574">
        <v>1069.8</v>
      </c>
      <c r="R134" s="569"/>
      <c r="S134" s="569"/>
      <c r="T134" s="569"/>
      <c r="U134" s="569"/>
      <c r="V134" s="569"/>
      <c r="W134" s="569"/>
      <c r="X134" s="569"/>
      <c r="Y134" s="569"/>
      <c r="Z134" s="569"/>
      <c r="AA134" s="569"/>
      <c r="AB134" s="569"/>
      <c r="AC134" s="569"/>
      <c r="AD134" s="569"/>
      <c r="AE134" s="569"/>
      <c r="AF134" s="569"/>
      <c r="AG134" s="569"/>
      <c r="AH134" s="569"/>
      <c r="AI134" s="569"/>
      <c r="AJ134" s="569"/>
      <c r="AK134" s="569"/>
      <c r="AL134" s="569"/>
      <c r="AM134" s="569"/>
      <c r="AN134" s="574">
        <v>165.7</v>
      </c>
      <c r="AO134">
        <v>133</v>
      </c>
      <c r="AP134" t="str">
        <f t="shared" si="27"/>
        <v/>
      </c>
      <c r="AQ134" t="str">
        <f t="shared" si="30"/>
        <v/>
      </c>
      <c r="AR134" s="430">
        <f>IFERROR(
IF(AP134="",-100,
IF($BV$2&gt;0, INDEX(Beersheet!$A:$U,MATCH(AP134,INDEX(Beersheet!$A:$U,0,FFARawStatProjections!$BV$2),0),$BV$3)+$BN134,
INDEX($A134:$BM134,,$BV$12)*$BW$12+
INDEX($A134:$BM134,,$BV$15)*$BW$15+
INDEX($A134:$BM134,,$BV$16)*$BW$16+
INDEX($A134:$BM134,,$BV$17)*$BW$17+
INDEX($A134:$BM134,,$BV$18)*$BW$18+
INDEX($A134:$BM134,,$BV$19)*$BW$19+
INDEX($A134:$BM134,,$BV$20)*$BW$20+
INDEX($A134:$BM134,,$BV$21)*$BW$21+
INDEX($A134:$BM134,,$BV$22)*$BW$22+
INDEX($A134:$BM134,,$BV$23)*$BW$23+
INDEX($A134:$BM134,,$BV$25)*$BW$25+
INDEX($A134:$BM134,,$BV$26)*$BW$26+
INDEX($A134:$BM134,,$BV$27)*$BW$27+
$BN134)),
$BN134-100)</f>
        <v>-100</v>
      </c>
      <c r="AT134" t="str">
        <f t="shared" si="31"/>
        <v>Dameon Pierce</v>
      </c>
      <c r="AU134" t="str">
        <f t="shared" si="32"/>
        <v>HOU</v>
      </c>
      <c r="AV134" s="430">
        <f>IFERROR(
IF(AT134="",-100,
IF($BV$2&gt;0, INDEX(Beersheet!$A:$U,MATCH(AT134,INDEX(Beersheet!$A:$U,0,FFARawStatProjections!$BV$2),0),$BV$3)+$BN134,
INDEX($A134:$BM134,,$BV$12)*$BW$12+
INDEX($A134:$BM134,,$BV$15)*$BW$15+
INDEX($A134:$BM134,,$BV$16)*$BW$16+
INDEX($A134:$BM134,,$BV$17)*$BW$17+
INDEX($A134:$BM134,,$BV$18)*$BW$18+
INDEX($A134:$BM134,,$BV$19)*$BW$19+
INDEX($A134:$BM134,,$BV$20)*$BW$20+
INDEX($A134:$BM134,,$BV$21)*$BW$21+
INDEX($A134:$BM134,,$BV$22)*$BW$22+
INDEX($A134:$BM134,,$BV$23)*$BW$23+
INDEX($A134:$BM134,,$BV$25)*$BW$25+
INDEX($A134:$BM134,,$BV$26)*$BW$26+
INDEX($A134:$BM134,,$BV$27)*$BW$27+
$BN134)),
$BN134-100)</f>
        <v>202.70132999999998</v>
      </c>
      <c r="AX134" t="str">
        <f t="shared" si="33"/>
        <v/>
      </c>
      <c r="AY134" t="str">
        <f t="shared" si="34"/>
        <v/>
      </c>
      <c r="AZ134" s="430">
        <f>IFERROR(
IF(AX134="",-100,
IF($BV$2&gt;0, INDEX(Beersheet!$A:$U,MATCH(AX134,INDEX(Beersheet!$A:$U,0,FFARawStatProjections!$BV$2),0),$BV$3)+$BN134,
INDEX($A134:$BM134,,$BV$12)*$BW$12+
INDEX($A134:$BM134,,$BV$15)*$BW$15+
INDEX($A134:$BM134,,$BV$16)*$BW$16+
INDEX($A134:$BM134,,$BV$17)*$BW$17+
INDEX($A134:$BM134,,$BV$18)*$BW$18+
INDEX($A134:$BM134,,$BV$19)*$BW$19+
INDEX($A134:$BM134,,$BV$20)*$BW$20+
INDEX($A134:$BM134,,$BV$21)*$BW$21+
INDEX($A134:$BM134,,$BV$22)*$BW$22+
INDEX($A134:$BM134,,$BV$23)*$BW$23+
INDEX($A134:$BM134,,$BV$25)*$BW$25+
INDEX($A134:$BM134,,$BV$26)*$BW$26+
INDEX($A134:$BM134,,$BV$27)*$BW$27+
$BN134)),
$BN134-100)</f>
        <v>-100</v>
      </c>
      <c r="BB134" t="str">
        <f t="shared" si="35"/>
        <v/>
      </c>
      <c r="BC134" t="str">
        <f t="shared" si="28"/>
        <v/>
      </c>
      <c r="BD134" s="430">
        <f>IFERROR(
IF(BB134="",-100,
IF($BV$2&gt;0, INDEX(Beersheet!$A:$U,MATCH(BB134,INDEX(Beersheet!$A:$U,0,FFARawStatProjections!$BV$2),0),$BV$3)+$BN134,
INDEX($A134:$BM134,,$BV$12)*$BW$12+
INDEX($A134:$BM134,,$BV$15)*$BW$15+
INDEX($A134:$BM134,,$BV$16)*$BW$16+
INDEX($A134:$BM134,,$BV$17)*$BW$17+
INDEX($A134:$BM134,,$BV$18)*$BW$18+
INDEX($A134:$BM134,,$BV$19)*$BW$19+
INDEX($A134:$BM134,,$BV$20)*$BW$20+
INDEX($A134:$BM134,,$BV$21)*$BW$21+
INDEX($A134:$BM134,,$BV$22)*$BW$22+
INDEX($A134:$BM134,,$BV$23)*$BW$23+
INDEX($A134:$BM134,,$BV$25)*$BW$25+
INDEX($A134:$BM134,,$BV$26)*$BW$26+
INDEX($A134:$BM134,,$BV$27)*$BW$27+
$BN134)),
$BN134-100)</f>
        <v>-100</v>
      </c>
      <c r="BF134" t="str">
        <f t="shared" si="36"/>
        <v/>
      </c>
      <c r="BG134" t="str">
        <f t="shared" si="37"/>
        <v/>
      </c>
      <c r="BH134">
        <f t="shared" si="38"/>
        <v>0</v>
      </c>
      <c r="BJ134" t="str">
        <f t="shared" si="39"/>
        <v/>
      </c>
      <c r="BL134">
        <f t="shared" si="29"/>
        <v>0</v>
      </c>
      <c r="BN134">
        <v>1.33E-3</v>
      </c>
      <c r="BS134" s="4" t="s">
        <v>2105</v>
      </c>
    </row>
    <row r="135" spans="1:71" ht="15.75" thickBot="1" x14ac:dyDescent="0.3">
      <c r="A135" s="569" t="s">
        <v>2478</v>
      </c>
      <c r="B135" s="569" t="s">
        <v>142</v>
      </c>
      <c r="C135" s="569" t="s">
        <v>3</v>
      </c>
      <c r="D135" s="574">
        <v>9</v>
      </c>
      <c r="E135" s="569"/>
      <c r="F135" s="569"/>
      <c r="G135" s="569"/>
      <c r="H135" s="569"/>
      <c r="I135" s="574">
        <v>0</v>
      </c>
      <c r="J135" s="574">
        <v>0</v>
      </c>
      <c r="K135" s="574">
        <v>0</v>
      </c>
      <c r="L135" s="574">
        <v>44.5</v>
      </c>
      <c r="M135" s="574">
        <v>2</v>
      </c>
      <c r="N135" s="574">
        <v>351.2</v>
      </c>
      <c r="O135" s="574">
        <v>178.7</v>
      </c>
      <c r="P135" s="574">
        <v>6.6</v>
      </c>
      <c r="Q135" s="574">
        <v>784.1</v>
      </c>
      <c r="R135" s="569"/>
      <c r="S135" s="569"/>
      <c r="T135" s="569"/>
      <c r="U135" s="569"/>
      <c r="V135" s="569"/>
      <c r="W135" s="569"/>
      <c r="X135" s="569"/>
      <c r="Y135" s="569"/>
      <c r="Z135" s="569"/>
      <c r="AA135" s="569"/>
      <c r="AB135" s="569"/>
      <c r="AC135" s="569"/>
      <c r="AD135" s="569"/>
      <c r="AE135" s="569"/>
      <c r="AF135" s="569"/>
      <c r="AG135" s="569"/>
      <c r="AH135" s="569"/>
      <c r="AI135" s="569"/>
      <c r="AJ135" s="569"/>
      <c r="AK135" s="569"/>
      <c r="AL135" s="569"/>
      <c r="AM135" s="569"/>
      <c r="AN135" s="574">
        <v>161.80000000000001</v>
      </c>
      <c r="AO135">
        <v>134</v>
      </c>
      <c r="AP135" t="str">
        <f t="shared" si="27"/>
        <v/>
      </c>
      <c r="AQ135" t="str">
        <f t="shared" si="30"/>
        <v/>
      </c>
      <c r="AR135" s="430">
        <f>IFERROR(
IF(AP135="",-100,
IF($BV$2&gt;0, INDEX(Beersheet!$A:$U,MATCH(AP135,INDEX(Beersheet!$A:$U,0,FFARawStatProjections!$BV$2),0),$BV$3)+$BN135,
INDEX($A135:$BM135,,$BV$12)*$BW$12+
INDEX($A135:$BM135,,$BV$15)*$BW$15+
INDEX($A135:$BM135,,$BV$16)*$BW$16+
INDEX($A135:$BM135,,$BV$17)*$BW$17+
INDEX($A135:$BM135,,$BV$18)*$BW$18+
INDEX($A135:$BM135,,$BV$19)*$BW$19+
INDEX($A135:$BM135,,$BV$20)*$BW$20+
INDEX($A135:$BM135,,$BV$21)*$BW$21+
INDEX($A135:$BM135,,$BV$22)*$BW$22+
INDEX($A135:$BM135,,$BV$23)*$BW$23+
INDEX($A135:$BM135,,$BV$25)*$BW$25+
INDEX($A135:$BM135,,$BV$26)*$BW$26+
INDEX($A135:$BM135,,$BV$27)*$BW$27+
$BN135)),
$BN135-100)</f>
        <v>-100</v>
      </c>
      <c r="AT135" t="str">
        <f t="shared" si="31"/>
        <v>Jahmyr Gibbs</v>
      </c>
      <c r="AU135" t="str">
        <f t="shared" si="32"/>
        <v>DET</v>
      </c>
      <c r="AV135" s="430">
        <f>IFERROR(
IF(AT135="",-100,
IF($BV$2&gt;0, INDEX(Beersheet!$A:$U,MATCH(AT135,INDEX(Beersheet!$A:$U,0,FFARawStatProjections!$BV$2),0),$BV$3)+$BN135,
INDEX($A135:$BM135,,$BV$12)*$BW$12+
INDEX($A135:$BM135,,$BV$15)*$BW$15+
INDEX($A135:$BM135,,$BV$16)*$BW$16+
INDEX($A135:$BM135,,$BV$17)*$BW$17+
INDEX($A135:$BM135,,$BV$18)*$BW$18+
INDEX($A135:$BM135,,$BV$19)*$BW$19+
INDEX($A135:$BM135,,$BV$20)*$BW$20+
INDEX($A135:$BM135,,$BV$21)*$BW$21+
INDEX($A135:$BM135,,$BV$22)*$BW$22+
INDEX($A135:$BM135,,$BV$23)*$BW$23+
INDEX($A135:$BM135,,$BV$25)*$BW$25+
INDEX($A135:$BM135,,$BV$26)*$BW$26+
INDEX($A135:$BM135,,$BV$27)*$BW$27+
$BN135)),
$BN135-100)</f>
        <v>209.63133999999999</v>
      </c>
      <c r="AX135" t="str">
        <f t="shared" si="33"/>
        <v/>
      </c>
      <c r="AY135" t="str">
        <f t="shared" si="34"/>
        <v/>
      </c>
      <c r="AZ135" s="430">
        <f>IFERROR(
IF(AX135="",-100,
IF($BV$2&gt;0, INDEX(Beersheet!$A:$U,MATCH(AX135,INDEX(Beersheet!$A:$U,0,FFARawStatProjections!$BV$2),0),$BV$3)+$BN135,
INDEX($A135:$BM135,,$BV$12)*$BW$12+
INDEX($A135:$BM135,,$BV$15)*$BW$15+
INDEX($A135:$BM135,,$BV$16)*$BW$16+
INDEX($A135:$BM135,,$BV$17)*$BW$17+
INDEX($A135:$BM135,,$BV$18)*$BW$18+
INDEX($A135:$BM135,,$BV$19)*$BW$19+
INDEX($A135:$BM135,,$BV$20)*$BW$20+
INDEX($A135:$BM135,,$BV$21)*$BW$21+
INDEX($A135:$BM135,,$BV$22)*$BW$22+
INDEX($A135:$BM135,,$BV$23)*$BW$23+
INDEX($A135:$BM135,,$BV$25)*$BW$25+
INDEX($A135:$BM135,,$BV$26)*$BW$26+
INDEX($A135:$BM135,,$BV$27)*$BW$27+
$BN135)),
$BN135-100)</f>
        <v>-100</v>
      </c>
      <c r="BB135" t="str">
        <f t="shared" si="35"/>
        <v/>
      </c>
      <c r="BC135" t="str">
        <f t="shared" si="28"/>
        <v/>
      </c>
      <c r="BD135" s="430">
        <f>IFERROR(
IF(BB135="",-100,
IF($BV$2&gt;0, INDEX(Beersheet!$A:$U,MATCH(BB135,INDEX(Beersheet!$A:$U,0,FFARawStatProjections!$BV$2),0),$BV$3)+$BN135,
INDEX($A135:$BM135,,$BV$12)*$BW$12+
INDEX($A135:$BM135,,$BV$15)*$BW$15+
INDEX($A135:$BM135,,$BV$16)*$BW$16+
INDEX($A135:$BM135,,$BV$17)*$BW$17+
INDEX($A135:$BM135,,$BV$18)*$BW$18+
INDEX($A135:$BM135,,$BV$19)*$BW$19+
INDEX($A135:$BM135,,$BV$20)*$BW$20+
INDEX($A135:$BM135,,$BV$21)*$BW$21+
INDEX($A135:$BM135,,$BV$22)*$BW$22+
INDEX($A135:$BM135,,$BV$23)*$BW$23+
INDEX($A135:$BM135,,$BV$25)*$BW$25+
INDEX($A135:$BM135,,$BV$26)*$BW$26+
INDEX($A135:$BM135,,$BV$27)*$BW$27+
$BN135)),
$BN135-100)</f>
        <v>-100</v>
      </c>
      <c r="BF135" t="str">
        <f t="shared" si="36"/>
        <v/>
      </c>
      <c r="BG135" t="str">
        <f t="shared" si="37"/>
        <v/>
      </c>
      <c r="BH135">
        <f t="shared" si="38"/>
        <v>0</v>
      </c>
      <c r="BJ135" t="str">
        <f t="shared" si="39"/>
        <v/>
      </c>
      <c r="BL135">
        <f t="shared" si="29"/>
        <v>0</v>
      </c>
      <c r="BN135">
        <v>1.34E-3</v>
      </c>
      <c r="BS135" s="4" t="s">
        <v>2366</v>
      </c>
    </row>
    <row r="136" spans="1:71" ht="15.75" thickBot="1" x14ac:dyDescent="0.3">
      <c r="A136" s="569" t="s">
        <v>1856</v>
      </c>
      <c r="B136" s="569" t="s">
        <v>159</v>
      </c>
      <c r="C136" s="569" t="s">
        <v>3</v>
      </c>
      <c r="D136" s="574">
        <v>7</v>
      </c>
      <c r="E136" s="569"/>
      <c r="F136" s="569"/>
      <c r="G136" s="569"/>
      <c r="H136" s="569"/>
      <c r="I136" s="574">
        <v>0</v>
      </c>
      <c r="J136" s="574">
        <v>0</v>
      </c>
      <c r="K136" s="574">
        <v>0</v>
      </c>
      <c r="L136" s="574">
        <v>29.6</v>
      </c>
      <c r="M136" s="574">
        <v>0.8</v>
      </c>
      <c r="N136" s="574">
        <v>208.4</v>
      </c>
      <c r="O136" s="574">
        <v>218</v>
      </c>
      <c r="P136" s="574">
        <v>6.1</v>
      </c>
      <c r="Q136" s="574">
        <v>1013.6</v>
      </c>
      <c r="R136" s="569"/>
      <c r="S136" s="569"/>
      <c r="T136" s="569"/>
      <c r="U136" s="569"/>
      <c r="V136" s="569"/>
      <c r="W136" s="569"/>
      <c r="X136" s="569"/>
      <c r="Y136" s="569"/>
      <c r="Z136" s="569"/>
      <c r="AA136" s="569"/>
      <c r="AB136" s="569"/>
      <c r="AC136" s="569"/>
      <c r="AD136" s="569"/>
      <c r="AE136" s="569"/>
      <c r="AF136" s="569"/>
      <c r="AG136" s="569"/>
      <c r="AH136" s="569"/>
      <c r="AI136" s="569"/>
      <c r="AJ136" s="569"/>
      <c r="AK136" s="569"/>
      <c r="AL136" s="569"/>
      <c r="AM136" s="569"/>
      <c r="AN136" s="574">
        <v>160.19999999999999</v>
      </c>
      <c r="AO136">
        <v>135</v>
      </c>
      <c r="AP136" t="str">
        <f t="shared" si="27"/>
        <v/>
      </c>
      <c r="AQ136" t="str">
        <f t="shared" si="30"/>
        <v/>
      </c>
      <c r="AR136" s="430">
        <f>IFERROR(
IF(AP136="",-100,
IF($BV$2&gt;0, INDEX(Beersheet!$A:$U,MATCH(AP136,INDEX(Beersheet!$A:$U,0,FFARawStatProjections!$BV$2),0),$BV$3)+$BN136,
INDEX($A136:$BM136,,$BV$12)*$BW$12+
INDEX($A136:$BM136,,$BV$15)*$BW$15+
INDEX($A136:$BM136,,$BV$16)*$BW$16+
INDEX($A136:$BM136,,$BV$17)*$BW$17+
INDEX($A136:$BM136,,$BV$18)*$BW$18+
INDEX($A136:$BM136,,$BV$19)*$BW$19+
INDEX($A136:$BM136,,$BV$20)*$BW$20+
INDEX($A136:$BM136,,$BV$21)*$BW$21+
INDEX($A136:$BM136,,$BV$22)*$BW$22+
INDEX($A136:$BM136,,$BV$23)*$BW$23+
INDEX($A136:$BM136,,$BV$25)*$BW$25+
INDEX($A136:$BM136,,$BV$26)*$BW$26+
INDEX($A136:$BM136,,$BV$27)*$BW$27+
$BN136)),
$BN136-100)</f>
        <v>-100</v>
      </c>
      <c r="AT136" t="str">
        <f t="shared" si="31"/>
        <v>Miles Sanders</v>
      </c>
      <c r="AU136" t="str">
        <f t="shared" si="32"/>
        <v>CAR</v>
      </c>
      <c r="AV136" s="430">
        <f>IFERROR(
IF(AT136="",-100,
IF($BV$2&gt;0, INDEX(Beersheet!$A:$U,MATCH(AT136,INDEX(Beersheet!$A:$U,0,FFARawStatProjections!$BV$2),0),$BV$3)+$BN136,
INDEX($A136:$BM136,,$BV$12)*$BW$12+
INDEX($A136:$BM136,,$BV$15)*$BW$15+
INDEX($A136:$BM136,,$BV$16)*$BW$16+
INDEX($A136:$BM136,,$BV$17)*$BW$17+
INDEX($A136:$BM136,,$BV$18)*$BW$18+
INDEX($A136:$BM136,,$BV$19)*$BW$19+
INDEX($A136:$BM136,,$BV$20)*$BW$20+
INDEX($A136:$BM136,,$BV$21)*$BW$21+
INDEX($A136:$BM136,,$BV$22)*$BW$22+
INDEX($A136:$BM136,,$BV$23)*$BW$23+
INDEX($A136:$BM136,,$BV$25)*$BW$25+
INDEX($A136:$BM136,,$BV$26)*$BW$26+
INDEX($A136:$BM136,,$BV$27)*$BW$27+
$BN136)),
$BN136-100)</f>
        <v>193.20135000000002</v>
      </c>
      <c r="AX136" t="str">
        <f t="shared" si="33"/>
        <v/>
      </c>
      <c r="AY136" t="str">
        <f t="shared" si="34"/>
        <v/>
      </c>
      <c r="AZ136" s="430">
        <f>IFERROR(
IF(AX136="",-100,
IF($BV$2&gt;0, INDEX(Beersheet!$A:$U,MATCH(AX136,INDEX(Beersheet!$A:$U,0,FFARawStatProjections!$BV$2),0),$BV$3)+$BN136,
INDEX($A136:$BM136,,$BV$12)*$BW$12+
INDEX($A136:$BM136,,$BV$15)*$BW$15+
INDEX($A136:$BM136,,$BV$16)*$BW$16+
INDEX($A136:$BM136,,$BV$17)*$BW$17+
INDEX($A136:$BM136,,$BV$18)*$BW$18+
INDEX($A136:$BM136,,$BV$19)*$BW$19+
INDEX($A136:$BM136,,$BV$20)*$BW$20+
INDEX($A136:$BM136,,$BV$21)*$BW$21+
INDEX($A136:$BM136,,$BV$22)*$BW$22+
INDEX($A136:$BM136,,$BV$23)*$BW$23+
INDEX($A136:$BM136,,$BV$25)*$BW$25+
INDEX($A136:$BM136,,$BV$26)*$BW$26+
INDEX($A136:$BM136,,$BV$27)*$BW$27+
$BN136)),
$BN136-100)</f>
        <v>-100</v>
      </c>
      <c r="BB136" t="str">
        <f t="shared" si="35"/>
        <v/>
      </c>
      <c r="BC136" t="str">
        <f t="shared" si="28"/>
        <v/>
      </c>
      <c r="BD136" s="430">
        <f>IFERROR(
IF(BB136="",-100,
IF($BV$2&gt;0, INDEX(Beersheet!$A:$U,MATCH(BB136,INDEX(Beersheet!$A:$U,0,FFARawStatProjections!$BV$2),0),$BV$3)+$BN136,
INDEX($A136:$BM136,,$BV$12)*$BW$12+
INDEX($A136:$BM136,,$BV$15)*$BW$15+
INDEX($A136:$BM136,,$BV$16)*$BW$16+
INDEX($A136:$BM136,,$BV$17)*$BW$17+
INDEX($A136:$BM136,,$BV$18)*$BW$18+
INDEX($A136:$BM136,,$BV$19)*$BW$19+
INDEX($A136:$BM136,,$BV$20)*$BW$20+
INDEX($A136:$BM136,,$BV$21)*$BW$21+
INDEX($A136:$BM136,,$BV$22)*$BW$22+
INDEX($A136:$BM136,,$BV$23)*$BW$23+
INDEX($A136:$BM136,,$BV$25)*$BW$25+
INDEX($A136:$BM136,,$BV$26)*$BW$26+
INDEX($A136:$BM136,,$BV$27)*$BW$27+
$BN136)),
$BN136-100)</f>
        <v>-100</v>
      </c>
      <c r="BF136" t="str">
        <f t="shared" si="36"/>
        <v/>
      </c>
      <c r="BG136" t="str">
        <f t="shared" si="37"/>
        <v/>
      </c>
      <c r="BH136">
        <f t="shared" si="38"/>
        <v>0</v>
      </c>
      <c r="BJ136" t="str">
        <f t="shared" si="39"/>
        <v/>
      </c>
      <c r="BL136">
        <f t="shared" si="29"/>
        <v>0</v>
      </c>
      <c r="BN136">
        <v>1.3500000000000001E-3</v>
      </c>
      <c r="BS136" s="4" t="s">
        <v>2164</v>
      </c>
    </row>
    <row r="137" spans="1:71" ht="15.75" thickBot="1" x14ac:dyDescent="0.3">
      <c r="A137" s="569" t="s">
        <v>2290</v>
      </c>
      <c r="B137" s="569" t="s">
        <v>164</v>
      </c>
      <c r="C137" s="569" t="s">
        <v>3</v>
      </c>
      <c r="D137" s="574">
        <v>7</v>
      </c>
      <c r="E137" s="569"/>
      <c r="F137" s="569"/>
      <c r="G137" s="569"/>
      <c r="H137" s="569"/>
      <c r="I137" s="574">
        <v>0</v>
      </c>
      <c r="J137" s="574">
        <v>0</v>
      </c>
      <c r="K137" s="574">
        <v>0</v>
      </c>
      <c r="L137" s="574">
        <v>35.4</v>
      </c>
      <c r="M137" s="574">
        <v>1.8</v>
      </c>
      <c r="N137" s="574">
        <v>320.60000000000002</v>
      </c>
      <c r="O137" s="574">
        <v>179.2</v>
      </c>
      <c r="P137" s="574">
        <v>5.7</v>
      </c>
      <c r="Q137" s="574">
        <v>836.5</v>
      </c>
      <c r="R137" s="569"/>
      <c r="S137" s="569"/>
      <c r="T137" s="569"/>
      <c r="U137" s="569"/>
      <c r="V137" s="569"/>
      <c r="W137" s="569"/>
      <c r="X137" s="569"/>
      <c r="Y137" s="569"/>
      <c r="Z137" s="569"/>
      <c r="AA137" s="569"/>
      <c r="AB137" s="569"/>
      <c r="AC137" s="569"/>
      <c r="AD137" s="569"/>
      <c r="AE137" s="569"/>
      <c r="AF137" s="569"/>
      <c r="AG137" s="569"/>
      <c r="AH137" s="569"/>
      <c r="AI137" s="569"/>
      <c r="AJ137" s="569"/>
      <c r="AK137" s="569"/>
      <c r="AL137" s="569"/>
      <c r="AM137" s="569"/>
      <c r="AN137" s="574">
        <v>158.19999999999999</v>
      </c>
      <c r="AO137">
        <v>136</v>
      </c>
      <c r="AP137" t="str">
        <f t="shared" si="27"/>
        <v/>
      </c>
      <c r="AQ137" t="str">
        <f t="shared" si="30"/>
        <v/>
      </c>
      <c r="AR137" s="430">
        <f>IFERROR(
IF(AP137="",-100,
IF($BV$2&gt;0, INDEX(Beersheet!$A:$U,MATCH(AP137,INDEX(Beersheet!$A:$U,0,FFARawStatProjections!$BV$2),0),$BV$3)+$BN137,
INDEX($A137:$BM137,,$BV$12)*$BW$12+
INDEX($A137:$BM137,,$BV$15)*$BW$15+
INDEX($A137:$BM137,,$BV$16)*$BW$16+
INDEX($A137:$BM137,,$BV$17)*$BW$17+
INDEX($A137:$BM137,,$BV$18)*$BW$18+
INDEX($A137:$BM137,,$BV$19)*$BW$19+
INDEX($A137:$BM137,,$BV$20)*$BW$20+
INDEX($A137:$BM137,,$BV$21)*$BW$21+
INDEX($A137:$BM137,,$BV$22)*$BW$22+
INDEX($A137:$BM137,,$BV$23)*$BW$23+
INDEX($A137:$BM137,,$BV$25)*$BW$25+
INDEX($A137:$BM137,,$BV$26)*$BW$26+
INDEX($A137:$BM137,,$BV$27)*$BW$27+
$BN137)),
$BN137-100)</f>
        <v>-100</v>
      </c>
      <c r="AT137" t="str">
        <f t="shared" si="31"/>
        <v>Breece Hall</v>
      </c>
      <c r="AU137" t="str">
        <f t="shared" si="32"/>
        <v>NYJ</v>
      </c>
      <c r="AV137" s="430">
        <f>IFERROR(
IF(AT137="",-100,
IF($BV$2&gt;0, INDEX(Beersheet!$A:$U,MATCH(AT137,INDEX(Beersheet!$A:$U,0,FFARawStatProjections!$BV$2),0),$BV$3)+$BN137,
INDEX($A137:$BM137,,$BV$12)*$BW$12+
INDEX($A137:$BM137,,$BV$15)*$BW$15+
INDEX($A137:$BM137,,$BV$16)*$BW$16+
INDEX($A137:$BM137,,$BV$17)*$BW$17+
INDEX($A137:$BM137,,$BV$18)*$BW$18+
INDEX($A137:$BM137,,$BV$19)*$BW$19+
INDEX($A137:$BM137,,$BV$20)*$BW$20+
INDEX($A137:$BM137,,$BV$21)*$BW$21+
INDEX($A137:$BM137,,$BV$22)*$BW$22+
INDEX($A137:$BM137,,$BV$23)*$BW$23+
INDEX($A137:$BM137,,$BV$25)*$BW$25+
INDEX($A137:$BM137,,$BV$26)*$BW$26+
INDEX($A137:$BM137,,$BV$27)*$BW$27+
$BN137)),
$BN137-100)</f>
        <v>196.11136000000002</v>
      </c>
      <c r="AX137" t="str">
        <f t="shared" si="33"/>
        <v/>
      </c>
      <c r="AY137" t="str">
        <f t="shared" si="34"/>
        <v/>
      </c>
      <c r="AZ137" s="430">
        <f>IFERROR(
IF(AX137="",-100,
IF($BV$2&gt;0, INDEX(Beersheet!$A:$U,MATCH(AX137,INDEX(Beersheet!$A:$U,0,FFARawStatProjections!$BV$2),0),$BV$3)+$BN137,
INDEX($A137:$BM137,,$BV$12)*$BW$12+
INDEX($A137:$BM137,,$BV$15)*$BW$15+
INDEX($A137:$BM137,,$BV$16)*$BW$16+
INDEX($A137:$BM137,,$BV$17)*$BW$17+
INDEX($A137:$BM137,,$BV$18)*$BW$18+
INDEX($A137:$BM137,,$BV$19)*$BW$19+
INDEX($A137:$BM137,,$BV$20)*$BW$20+
INDEX($A137:$BM137,,$BV$21)*$BW$21+
INDEX($A137:$BM137,,$BV$22)*$BW$22+
INDEX($A137:$BM137,,$BV$23)*$BW$23+
INDEX($A137:$BM137,,$BV$25)*$BW$25+
INDEX($A137:$BM137,,$BV$26)*$BW$26+
INDEX($A137:$BM137,,$BV$27)*$BW$27+
$BN137)),
$BN137-100)</f>
        <v>-100</v>
      </c>
      <c r="BB137" t="str">
        <f t="shared" si="35"/>
        <v/>
      </c>
      <c r="BC137" t="str">
        <f t="shared" si="28"/>
        <v/>
      </c>
      <c r="BD137" s="430">
        <f>IFERROR(
IF(BB137="",-100,
IF($BV$2&gt;0, INDEX(Beersheet!$A:$U,MATCH(BB137,INDEX(Beersheet!$A:$U,0,FFARawStatProjections!$BV$2),0),$BV$3)+$BN137,
INDEX($A137:$BM137,,$BV$12)*$BW$12+
INDEX($A137:$BM137,,$BV$15)*$BW$15+
INDEX($A137:$BM137,,$BV$16)*$BW$16+
INDEX($A137:$BM137,,$BV$17)*$BW$17+
INDEX($A137:$BM137,,$BV$18)*$BW$18+
INDEX($A137:$BM137,,$BV$19)*$BW$19+
INDEX($A137:$BM137,,$BV$20)*$BW$20+
INDEX($A137:$BM137,,$BV$21)*$BW$21+
INDEX($A137:$BM137,,$BV$22)*$BW$22+
INDEX($A137:$BM137,,$BV$23)*$BW$23+
INDEX($A137:$BM137,,$BV$25)*$BW$25+
INDEX($A137:$BM137,,$BV$26)*$BW$26+
INDEX($A137:$BM137,,$BV$27)*$BW$27+
$BN137)),
$BN137-100)</f>
        <v>-100</v>
      </c>
      <c r="BF137" t="str">
        <f t="shared" si="36"/>
        <v/>
      </c>
      <c r="BG137" t="str">
        <f t="shared" si="37"/>
        <v/>
      </c>
      <c r="BH137">
        <f t="shared" si="38"/>
        <v>0</v>
      </c>
      <c r="BJ137" t="str">
        <f t="shared" si="39"/>
        <v/>
      </c>
      <c r="BL137">
        <f t="shared" si="29"/>
        <v>0</v>
      </c>
      <c r="BN137">
        <v>1.3600000000000001E-3</v>
      </c>
      <c r="BS137" s="4" t="s">
        <v>2362</v>
      </c>
    </row>
    <row r="138" spans="1:71" ht="15.75" thickBot="1" x14ac:dyDescent="0.3">
      <c r="A138" s="569" t="s">
        <v>2289</v>
      </c>
      <c r="B138" s="569" t="s">
        <v>1389</v>
      </c>
      <c r="C138" s="569" t="s">
        <v>3</v>
      </c>
      <c r="D138" s="574">
        <v>10</v>
      </c>
      <c r="E138" s="569"/>
      <c r="F138" s="569"/>
      <c r="G138" s="569"/>
      <c r="H138" s="569"/>
      <c r="I138" s="574">
        <v>0</v>
      </c>
      <c r="J138" s="574">
        <v>0</v>
      </c>
      <c r="K138" s="574">
        <v>0</v>
      </c>
      <c r="L138" s="574">
        <v>25.1</v>
      </c>
      <c r="M138" s="574">
        <v>0.7</v>
      </c>
      <c r="N138" s="574">
        <v>206.7</v>
      </c>
      <c r="O138" s="574">
        <v>233</v>
      </c>
      <c r="P138" s="574">
        <v>6.4</v>
      </c>
      <c r="Q138" s="574">
        <v>984.9</v>
      </c>
      <c r="R138" s="569"/>
      <c r="S138" s="569"/>
      <c r="T138" s="569"/>
      <c r="U138" s="569"/>
      <c r="V138" s="569"/>
      <c r="W138" s="569"/>
      <c r="X138" s="569"/>
      <c r="Y138" s="569"/>
      <c r="Z138" s="569"/>
      <c r="AA138" s="569"/>
      <c r="AB138" s="569"/>
      <c r="AC138" s="569"/>
      <c r="AD138" s="569"/>
      <c r="AE138" s="569"/>
      <c r="AF138" s="569"/>
      <c r="AG138" s="569"/>
      <c r="AH138" s="569"/>
      <c r="AI138" s="569"/>
      <c r="AJ138" s="569"/>
      <c r="AK138" s="569"/>
      <c r="AL138" s="569"/>
      <c r="AM138" s="569"/>
      <c r="AN138" s="574">
        <v>157.5</v>
      </c>
      <c r="AO138">
        <v>137</v>
      </c>
      <c r="AP138" t="str">
        <f t="shared" si="27"/>
        <v/>
      </c>
      <c r="AQ138" t="str">
        <f t="shared" si="30"/>
        <v/>
      </c>
      <c r="AR138" s="430">
        <f>IFERROR(
IF(AP138="",-100,
IF($BV$2&gt;0, INDEX(Beersheet!$A:$U,MATCH(AP138,INDEX(Beersheet!$A:$U,0,FFARawStatProjections!$BV$2),0),$BV$3)+$BN138,
INDEX($A138:$BM138,,$BV$12)*$BW$12+
INDEX($A138:$BM138,,$BV$15)*$BW$15+
INDEX($A138:$BM138,,$BV$16)*$BW$16+
INDEX($A138:$BM138,,$BV$17)*$BW$17+
INDEX($A138:$BM138,,$BV$18)*$BW$18+
INDEX($A138:$BM138,,$BV$19)*$BW$19+
INDEX($A138:$BM138,,$BV$20)*$BW$20+
INDEX($A138:$BM138,,$BV$21)*$BW$21+
INDEX($A138:$BM138,,$BV$22)*$BW$22+
INDEX($A138:$BM138,,$BV$23)*$BW$23+
INDEX($A138:$BM138,,$BV$25)*$BW$25+
INDEX($A138:$BM138,,$BV$26)*$BW$26+
INDEX($A138:$BM138,,$BV$27)*$BW$27+
$BN138)),
$BN138-100)</f>
        <v>-100</v>
      </c>
      <c r="AT138" t="str">
        <f t="shared" si="31"/>
        <v>Cam Akers</v>
      </c>
      <c r="AU138" t="str">
        <f t="shared" si="32"/>
        <v>LAR</v>
      </c>
      <c r="AV138" s="430">
        <f>IFERROR(
IF(AT138="",-100,
IF($BV$2&gt;0, INDEX(Beersheet!$A:$U,MATCH(AT138,INDEX(Beersheet!$A:$U,0,FFARawStatProjections!$BV$2),0),$BV$3)+$BN138,
INDEX($A138:$BM138,,$BV$12)*$BW$12+
INDEX($A138:$BM138,,$BV$15)*$BW$15+
INDEX($A138:$BM138,,$BV$16)*$BW$16+
INDEX($A138:$BM138,,$BV$17)*$BW$17+
INDEX($A138:$BM138,,$BV$18)*$BW$18+
INDEX($A138:$BM138,,$BV$19)*$BW$19+
INDEX($A138:$BM138,,$BV$20)*$BW$20+
INDEX($A138:$BM138,,$BV$21)*$BW$21+
INDEX($A138:$BM138,,$BV$22)*$BW$22+
INDEX($A138:$BM138,,$BV$23)*$BW$23+
INDEX($A138:$BM138,,$BV$25)*$BW$25+
INDEX($A138:$BM138,,$BV$26)*$BW$26+
INDEX($A138:$BM138,,$BV$27)*$BW$27+
$BN138)),
$BN138-100)</f>
        <v>186.86137000000002</v>
      </c>
      <c r="AX138" t="str">
        <f t="shared" si="33"/>
        <v/>
      </c>
      <c r="AY138" t="str">
        <f t="shared" si="34"/>
        <v/>
      </c>
      <c r="AZ138" s="430">
        <f>IFERROR(
IF(AX138="",-100,
IF($BV$2&gt;0, INDEX(Beersheet!$A:$U,MATCH(AX138,INDEX(Beersheet!$A:$U,0,FFARawStatProjections!$BV$2),0),$BV$3)+$BN138,
INDEX($A138:$BM138,,$BV$12)*$BW$12+
INDEX($A138:$BM138,,$BV$15)*$BW$15+
INDEX($A138:$BM138,,$BV$16)*$BW$16+
INDEX($A138:$BM138,,$BV$17)*$BW$17+
INDEX($A138:$BM138,,$BV$18)*$BW$18+
INDEX($A138:$BM138,,$BV$19)*$BW$19+
INDEX($A138:$BM138,,$BV$20)*$BW$20+
INDEX($A138:$BM138,,$BV$21)*$BW$21+
INDEX($A138:$BM138,,$BV$22)*$BW$22+
INDEX($A138:$BM138,,$BV$23)*$BW$23+
INDEX($A138:$BM138,,$BV$25)*$BW$25+
INDEX($A138:$BM138,,$BV$26)*$BW$26+
INDEX($A138:$BM138,,$BV$27)*$BW$27+
$BN138)),
$BN138-100)</f>
        <v>-100</v>
      </c>
      <c r="BB138" t="str">
        <f t="shared" si="35"/>
        <v/>
      </c>
      <c r="BC138" t="str">
        <f t="shared" si="28"/>
        <v/>
      </c>
      <c r="BD138" s="430">
        <f>IFERROR(
IF(BB138="",-100,
IF($BV$2&gt;0, INDEX(Beersheet!$A:$U,MATCH(BB138,INDEX(Beersheet!$A:$U,0,FFARawStatProjections!$BV$2),0),$BV$3)+$BN138,
INDEX($A138:$BM138,,$BV$12)*$BW$12+
INDEX($A138:$BM138,,$BV$15)*$BW$15+
INDEX($A138:$BM138,,$BV$16)*$BW$16+
INDEX($A138:$BM138,,$BV$17)*$BW$17+
INDEX($A138:$BM138,,$BV$18)*$BW$18+
INDEX($A138:$BM138,,$BV$19)*$BW$19+
INDEX($A138:$BM138,,$BV$20)*$BW$20+
INDEX($A138:$BM138,,$BV$21)*$BW$21+
INDEX($A138:$BM138,,$BV$22)*$BW$22+
INDEX($A138:$BM138,,$BV$23)*$BW$23+
INDEX($A138:$BM138,,$BV$25)*$BW$25+
INDEX($A138:$BM138,,$BV$26)*$BW$26+
INDEX($A138:$BM138,,$BV$27)*$BW$27+
$BN138)),
$BN138-100)</f>
        <v>-100</v>
      </c>
      <c r="BF138" t="str">
        <f t="shared" si="36"/>
        <v/>
      </c>
      <c r="BG138" t="str">
        <f t="shared" si="37"/>
        <v/>
      </c>
      <c r="BH138">
        <f t="shared" si="38"/>
        <v>0</v>
      </c>
      <c r="BJ138" t="str">
        <f t="shared" si="39"/>
        <v/>
      </c>
      <c r="BL138">
        <f t="shared" si="29"/>
        <v>0</v>
      </c>
      <c r="BN138">
        <v>1.3699999999999999E-3</v>
      </c>
      <c r="BS138" s="4" t="s">
        <v>1416</v>
      </c>
    </row>
    <row r="139" spans="1:71" ht="15.75" thickBot="1" x14ac:dyDescent="0.3">
      <c r="A139" s="569" t="s">
        <v>2078</v>
      </c>
      <c r="B139" s="569" t="s">
        <v>162</v>
      </c>
      <c r="C139" s="569" t="s">
        <v>3</v>
      </c>
      <c r="D139" s="574">
        <v>13</v>
      </c>
      <c r="E139" s="569"/>
      <c r="F139" s="569"/>
      <c r="G139" s="569"/>
      <c r="H139" s="569"/>
      <c r="I139" s="574">
        <v>0</v>
      </c>
      <c r="J139" s="574">
        <v>0</v>
      </c>
      <c r="K139" s="574">
        <v>0</v>
      </c>
      <c r="L139" s="574">
        <v>24</v>
      </c>
      <c r="M139" s="574">
        <v>1.6</v>
      </c>
      <c r="N139" s="574">
        <v>170.4</v>
      </c>
      <c r="O139" s="574">
        <v>173.8</v>
      </c>
      <c r="P139" s="574">
        <v>6.8</v>
      </c>
      <c r="Q139" s="574">
        <v>888.7</v>
      </c>
      <c r="R139" s="569"/>
      <c r="S139" s="569"/>
      <c r="T139" s="569"/>
      <c r="U139" s="569"/>
      <c r="V139" s="569"/>
      <c r="W139" s="569"/>
      <c r="X139" s="569"/>
      <c r="Y139" s="569"/>
      <c r="Z139" s="569"/>
      <c r="AA139" s="569"/>
      <c r="AB139" s="569"/>
      <c r="AC139" s="569"/>
      <c r="AD139" s="569"/>
      <c r="AE139" s="569"/>
      <c r="AF139" s="569"/>
      <c r="AG139" s="569"/>
      <c r="AH139" s="569"/>
      <c r="AI139" s="569"/>
      <c r="AJ139" s="569"/>
      <c r="AK139" s="569"/>
      <c r="AL139" s="569"/>
      <c r="AM139" s="569"/>
      <c r="AN139" s="574">
        <v>155.6</v>
      </c>
      <c r="AO139">
        <v>138</v>
      </c>
      <c r="AP139" t="str">
        <f t="shared" si="27"/>
        <v/>
      </c>
      <c r="AQ139" t="str">
        <f t="shared" si="30"/>
        <v/>
      </c>
      <c r="AR139" s="430">
        <f>IFERROR(
IF(AP139="",-100,
IF($BV$2&gt;0, INDEX(Beersheet!$A:$U,MATCH(AP139,INDEX(Beersheet!$A:$U,0,FFARawStatProjections!$BV$2),0),$BV$3)+$BN139,
INDEX($A139:$BM139,,$BV$12)*$BW$12+
INDEX($A139:$BM139,,$BV$15)*$BW$15+
INDEX($A139:$BM139,,$BV$16)*$BW$16+
INDEX($A139:$BM139,,$BV$17)*$BW$17+
INDEX($A139:$BM139,,$BV$18)*$BW$18+
INDEX($A139:$BM139,,$BV$19)*$BW$19+
INDEX($A139:$BM139,,$BV$20)*$BW$20+
INDEX($A139:$BM139,,$BV$21)*$BW$21+
INDEX($A139:$BM139,,$BV$22)*$BW$22+
INDEX($A139:$BM139,,$BV$23)*$BW$23+
INDEX($A139:$BM139,,$BV$25)*$BW$25+
INDEX($A139:$BM139,,$BV$26)*$BW$26+
INDEX($A139:$BM139,,$BV$27)*$BW$27+
$BN139)),
$BN139-100)</f>
        <v>-100</v>
      </c>
      <c r="AT139" t="str">
        <f t="shared" si="31"/>
        <v>JK Dobbins</v>
      </c>
      <c r="AU139" t="str">
        <f t="shared" si="32"/>
        <v>BAL</v>
      </c>
      <c r="AV139" s="430">
        <f>IFERROR(
IF(AT139="",-100,
IF($BV$2&gt;0, INDEX(Beersheet!$A:$U,MATCH(AT139,INDEX(Beersheet!$A:$U,0,FFARawStatProjections!$BV$2),0),$BV$3)+$BN139,
INDEX($A139:$BM139,,$BV$12)*$BW$12+
INDEX($A139:$BM139,,$BV$15)*$BW$15+
INDEX($A139:$BM139,,$BV$16)*$BW$16+
INDEX($A139:$BM139,,$BV$17)*$BW$17+
INDEX($A139:$BM139,,$BV$18)*$BW$18+
INDEX($A139:$BM139,,$BV$19)*$BW$19+
INDEX($A139:$BM139,,$BV$20)*$BW$20+
INDEX($A139:$BM139,,$BV$21)*$BW$21+
INDEX($A139:$BM139,,$BV$22)*$BW$22+
INDEX($A139:$BM139,,$BV$23)*$BW$23+
INDEX($A139:$BM139,,$BV$25)*$BW$25+
INDEX($A139:$BM139,,$BV$26)*$BW$26+
INDEX($A139:$BM139,,$BV$27)*$BW$27+
$BN139)),
$BN139-100)</f>
        <v>180.31138000000001</v>
      </c>
      <c r="AX139" t="str">
        <f t="shared" si="33"/>
        <v/>
      </c>
      <c r="AY139" t="str">
        <f t="shared" si="34"/>
        <v/>
      </c>
      <c r="AZ139" s="430">
        <f>IFERROR(
IF(AX139="",-100,
IF($BV$2&gt;0, INDEX(Beersheet!$A:$U,MATCH(AX139,INDEX(Beersheet!$A:$U,0,FFARawStatProjections!$BV$2),0),$BV$3)+$BN139,
INDEX($A139:$BM139,,$BV$12)*$BW$12+
INDEX($A139:$BM139,,$BV$15)*$BW$15+
INDEX($A139:$BM139,,$BV$16)*$BW$16+
INDEX($A139:$BM139,,$BV$17)*$BW$17+
INDEX($A139:$BM139,,$BV$18)*$BW$18+
INDEX($A139:$BM139,,$BV$19)*$BW$19+
INDEX($A139:$BM139,,$BV$20)*$BW$20+
INDEX($A139:$BM139,,$BV$21)*$BW$21+
INDEX($A139:$BM139,,$BV$22)*$BW$22+
INDEX($A139:$BM139,,$BV$23)*$BW$23+
INDEX($A139:$BM139,,$BV$25)*$BW$25+
INDEX($A139:$BM139,,$BV$26)*$BW$26+
INDEX($A139:$BM139,,$BV$27)*$BW$27+
$BN139)),
$BN139-100)</f>
        <v>-100</v>
      </c>
      <c r="BB139" t="str">
        <f t="shared" si="35"/>
        <v/>
      </c>
      <c r="BC139" t="str">
        <f t="shared" si="28"/>
        <v/>
      </c>
      <c r="BD139" s="430">
        <f>IFERROR(
IF(BB139="",-100,
IF($BV$2&gt;0, INDEX(Beersheet!$A:$U,MATCH(BB139,INDEX(Beersheet!$A:$U,0,FFARawStatProjections!$BV$2),0),$BV$3)+$BN139,
INDEX($A139:$BM139,,$BV$12)*$BW$12+
INDEX($A139:$BM139,,$BV$15)*$BW$15+
INDEX($A139:$BM139,,$BV$16)*$BW$16+
INDEX($A139:$BM139,,$BV$17)*$BW$17+
INDEX($A139:$BM139,,$BV$18)*$BW$18+
INDEX($A139:$BM139,,$BV$19)*$BW$19+
INDEX($A139:$BM139,,$BV$20)*$BW$20+
INDEX($A139:$BM139,,$BV$21)*$BW$21+
INDEX($A139:$BM139,,$BV$22)*$BW$22+
INDEX($A139:$BM139,,$BV$23)*$BW$23+
INDEX($A139:$BM139,,$BV$25)*$BW$25+
INDEX($A139:$BM139,,$BV$26)*$BW$26+
INDEX($A139:$BM139,,$BV$27)*$BW$27+
$BN139)),
$BN139-100)</f>
        <v>-100</v>
      </c>
      <c r="BF139" t="str">
        <f t="shared" si="36"/>
        <v/>
      </c>
      <c r="BG139" t="str">
        <f t="shared" si="37"/>
        <v/>
      </c>
      <c r="BH139">
        <f t="shared" si="38"/>
        <v>0</v>
      </c>
      <c r="BJ139" t="str">
        <f t="shared" si="39"/>
        <v/>
      </c>
      <c r="BL139">
        <f t="shared" si="29"/>
        <v>0</v>
      </c>
      <c r="BN139">
        <v>1.3799999999999999E-3</v>
      </c>
      <c r="BS139" s="4" t="s">
        <v>2171</v>
      </c>
    </row>
    <row r="140" spans="1:71" ht="15.75" thickBot="1" x14ac:dyDescent="0.3">
      <c r="A140" s="569" t="s">
        <v>2481</v>
      </c>
      <c r="B140" s="569" t="s">
        <v>136</v>
      </c>
      <c r="C140" s="569" t="s">
        <v>3</v>
      </c>
      <c r="D140" s="574">
        <v>10</v>
      </c>
      <c r="E140" s="569"/>
      <c r="F140" s="569"/>
      <c r="G140" s="569"/>
      <c r="H140" s="569"/>
      <c r="I140" s="574">
        <v>0</v>
      </c>
      <c r="J140" s="574">
        <v>0</v>
      </c>
      <c r="K140" s="574">
        <v>0</v>
      </c>
      <c r="L140" s="574">
        <v>24.3</v>
      </c>
      <c r="M140" s="574">
        <v>0.7</v>
      </c>
      <c r="N140" s="574">
        <v>199.7</v>
      </c>
      <c r="O140" s="574">
        <v>196.7</v>
      </c>
      <c r="P140" s="574">
        <v>6.8</v>
      </c>
      <c r="Q140" s="574">
        <v>937.1</v>
      </c>
      <c r="R140" s="569"/>
      <c r="S140" s="569"/>
      <c r="T140" s="569"/>
      <c r="U140" s="569"/>
      <c r="V140" s="569"/>
      <c r="W140" s="569"/>
      <c r="X140" s="569"/>
      <c r="Y140" s="569"/>
      <c r="Z140" s="569"/>
      <c r="AA140" s="569"/>
      <c r="AB140" s="569"/>
      <c r="AC140" s="569"/>
      <c r="AD140" s="569"/>
      <c r="AE140" s="569"/>
      <c r="AF140" s="569"/>
      <c r="AG140" s="569"/>
      <c r="AH140" s="569"/>
      <c r="AI140" s="569"/>
      <c r="AJ140" s="569"/>
      <c r="AK140" s="569"/>
      <c r="AL140" s="569"/>
      <c r="AM140" s="569"/>
      <c r="AN140" s="574">
        <v>155.19999999999999</v>
      </c>
      <c r="AO140">
        <v>139</v>
      </c>
      <c r="AP140" t="str">
        <f t="shared" si="27"/>
        <v/>
      </c>
      <c r="AQ140" t="str">
        <f t="shared" si="30"/>
        <v/>
      </c>
      <c r="AR140" s="430">
        <f>IFERROR(
IF(AP140="",-100,
IF($BV$2&gt;0, INDEX(Beersheet!$A:$U,MATCH(AP140,INDEX(Beersheet!$A:$U,0,FFARawStatProjections!$BV$2),0),$BV$3)+$BN140,
INDEX($A140:$BM140,,$BV$12)*$BW$12+
INDEX($A140:$BM140,,$BV$15)*$BW$15+
INDEX($A140:$BM140,,$BV$16)*$BW$16+
INDEX($A140:$BM140,,$BV$17)*$BW$17+
INDEX($A140:$BM140,,$BV$18)*$BW$18+
INDEX($A140:$BM140,,$BV$19)*$BW$19+
INDEX($A140:$BM140,,$BV$20)*$BW$20+
INDEX($A140:$BM140,,$BV$21)*$BW$21+
INDEX($A140:$BM140,,$BV$22)*$BW$22+
INDEX($A140:$BM140,,$BV$23)*$BW$23+
INDEX($A140:$BM140,,$BV$25)*$BW$25+
INDEX($A140:$BM140,,$BV$26)*$BW$26+
INDEX($A140:$BM140,,$BV$27)*$BW$27+
$BN140)),
$BN140-100)</f>
        <v>-100</v>
      </c>
      <c r="AT140" t="str">
        <f t="shared" si="31"/>
        <v>Isiah Pacheco</v>
      </c>
      <c r="AU140" t="str">
        <f t="shared" si="32"/>
        <v>KC</v>
      </c>
      <c r="AV140" s="430">
        <f>IFERROR(
IF(AT140="",-100,
IF($BV$2&gt;0, INDEX(Beersheet!$A:$U,MATCH(AT140,INDEX(Beersheet!$A:$U,0,FFARawStatProjections!$BV$2),0),$BV$3)+$BN140,
INDEX($A140:$BM140,,$BV$12)*$BW$12+
INDEX($A140:$BM140,,$BV$15)*$BW$15+
INDEX($A140:$BM140,,$BV$16)*$BW$16+
INDEX($A140:$BM140,,$BV$17)*$BW$17+
INDEX($A140:$BM140,,$BV$18)*$BW$18+
INDEX($A140:$BM140,,$BV$19)*$BW$19+
INDEX($A140:$BM140,,$BV$20)*$BW$20+
INDEX($A140:$BM140,,$BV$21)*$BW$21+
INDEX($A140:$BM140,,$BV$22)*$BW$22+
INDEX($A140:$BM140,,$BV$23)*$BW$23+
INDEX($A140:$BM140,,$BV$25)*$BW$25+
INDEX($A140:$BM140,,$BV$26)*$BW$26+
INDEX($A140:$BM140,,$BV$27)*$BW$27+
$BN140)),
$BN140-100)</f>
        <v>182.98139</v>
      </c>
      <c r="AX140" t="str">
        <f t="shared" si="33"/>
        <v/>
      </c>
      <c r="AY140" t="str">
        <f t="shared" si="34"/>
        <v/>
      </c>
      <c r="AZ140" s="430">
        <f>IFERROR(
IF(AX140="",-100,
IF($BV$2&gt;0, INDEX(Beersheet!$A:$U,MATCH(AX140,INDEX(Beersheet!$A:$U,0,FFARawStatProjections!$BV$2),0),$BV$3)+$BN140,
INDEX($A140:$BM140,,$BV$12)*$BW$12+
INDEX($A140:$BM140,,$BV$15)*$BW$15+
INDEX($A140:$BM140,,$BV$16)*$BW$16+
INDEX($A140:$BM140,,$BV$17)*$BW$17+
INDEX($A140:$BM140,,$BV$18)*$BW$18+
INDEX($A140:$BM140,,$BV$19)*$BW$19+
INDEX($A140:$BM140,,$BV$20)*$BW$20+
INDEX($A140:$BM140,,$BV$21)*$BW$21+
INDEX($A140:$BM140,,$BV$22)*$BW$22+
INDEX($A140:$BM140,,$BV$23)*$BW$23+
INDEX($A140:$BM140,,$BV$25)*$BW$25+
INDEX($A140:$BM140,,$BV$26)*$BW$26+
INDEX($A140:$BM140,,$BV$27)*$BW$27+
$BN140)),
$BN140-100)</f>
        <v>-100</v>
      </c>
      <c r="BB140" t="str">
        <f t="shared" si="35"/>
        <v/>
      </c>
      <c r="BC140" t="str">
        <f t="shared" si="28"/>
        <v/>
      </c>
      <c r="BD140" s="430">
        <f>IFERROR(
IF(BB140="",-100,
IF($BV$2&gt;0, INDEX(Beersheet!$A:$U,MATCH(BB140,INDEX(Beersheet!$A:$U,0,FFARawStatProjections!$BV$2),0),$BV$3)+$BN140,
INDEX($A140:$BM140,,$BV$12)*$BW$12+
INDEX($A140:$BM140,,$BV$15)*$BW$15+
INDEX($A140:$BM140,,$BV$16)*$BW$16+
INDEX($A140:$BM140,,$BV$17)*$BW$17+
INDEX($A140:$BM140,,$BV$18)*$BW$18+
INDEX($A140:$BM140,,$BV$19)*$BW$19+
INDEX($A140:$BM140,,$BV$20)*$BW$20+
INDEX($A140:$BM140,,$BV$21)*$BW$21+
INDEX($A140:$BM140,,$BV$22)*$BW$22+
INDEX($A140:$BM140,,$BV$23)*$BW$23+
INDEX($A140:$BM140,,$BV$25)*$BW$25+
INDEX($A140:$BM140,,$BV$26)*$BW$26+
INDEX($A140:$BM140,,$BV$27)*$BW$27+
$BN140)),
$BN140-100)</f>
        <v>-100</v>
      </c>
      <c r="BF140" t="str">
        <f t="shared" si="36"/>
        <v/>
      </c>
      <c r="BG140" t="str">
        <f t="shared" si="37"/>
        <v/>
      </c>
      <c r="BH140">
        <f t="shared" si="38"/>
        <v>0</v>
      </c>
      <c r="BJ140" t="str">
        <f t="shared" si="39"/>
        <v/>
      </c>
      <c r="BL140">
        <f t="shared" si="29"/>
        <v>0</v>
      </c>
      <c r="BN140">
        <v>1.39E-3</v>
      </c>
      <c r="BS140" s="4" t="s">
        <v>76</v>
      </c>
    </row>
    <row r="141" spans="1:71" ht="15.75" thickBot="1" x14ac:dyDescent="0.3">
      <c r="A141" s="569" t="s">
        <v>2295</v>
      </c>
      <c r="B141" s="569" t="s">
        <v>149</v>
      </c>
      <c r="C141" s="569" t="s">
        <v>3</v>
      </c>
      <c r="D141" s="574">
        <v>5</v>
      </c>
      <c r="E141" s="569"/>
      <c r="F141" s="569"/>
      <c r="G141" s="569"/>
      <c r="H141" s="569"/>
      <c r="I141" s="574">
        <v>0</v>
      </c>
      <c r="J141" s="574">
        <v>0</v>
      </c>
      <c r="K141" s="574">
        <v>0</v>
      </c>
      <c r="L141" s="574">
        <v>48.1</v>
      </c>
      <c r="M141" s="574">
        <v>1.9</v>
      </c>
      <c r="N141" s="574">
        <v>340.9</v>
      </c>
      <c r="O141" s="574">
        <v>205.7</v>
      </c>
      <c r="P141" s="574">
        <v>4.5</v>
      </c>
      <c r="Q141" s="574">
        <v>841</v>
      </c>
      <c r="R141" s="569"/>
      <c r="S141" s="569"/>
      <c r="T141" s="569"/>
      <c r="U141" s="569"/>
      <c r="V141" s="569"/>
      <c r="W141" s="569"/>
      <c r="X141" s="569"/>
      <c r="Y141" s="569"/>
      <c r="Z141" s="569"/>
      <c r="AA141" s="569"/>
      <c r="AB141" s="569"/>
      <c r="AC141" s="569"/>
      <c r="AD141" s="569"/>
      <c r="AE141" s="569"/>
      <c r="AF141" s="569"/>
      <c r="AG141" s="569"/>
      <c r="AH141" s="569"/>
      <c r="AI141" s="569"/>
      <c r="AJ141" s="569"/>
      <c r="AK141" s="569"/>
      <c r="AL141" s="569"/>
      <c r="AM141" s="569"/>
      <c r="AN141" s="574">
        <v>151.6</v>
      </c>
      <c r="AO141">
        <v>140</v>
      </c>
      <c r="AP141" t="str">
        <f t="shared" si="27"/>
        <v/>
      </c>
      <c r="AQ141" t="str">
        <f t="shared" si="30"/>
        <v/>
      </c>
      <c r="AR141" s="430">
        <f>IFERROR(
IF(AP141="",-100,
IF($BV$2&gt;0, INDEX(Beersheet!$A:$U,MATCH(AP141,INDEX(Beersheet!$A:$U,0,FFARawStatProjections!$BV$2),0),$BV$3)+$BN141,
INDEX($A141:$BM141,,$BV$12)*$BW$12+
INDEX($A141:$BM141,,$BV$15)*$BW$15+
INDEX($A141:$BM141,,$BV$16)*$BW$16+
INDEX($A141:$BM141,,$BV$17)*$BW$17+
INDEX($A141:$BM141,,$BV$18)*$BW$18+
INDEX($A141:$BM141,,$BV$19)*$BW$19+
INDEX($A141:$BM141,,$BV$20)*$BW$20+
INDEX($A141:$BM141,,$BV$21)*$BW$21+
INDEX($A141:$BM141,,$BV$22)*$BW$22+
INDEX($A141:$BM141,,$BV$23)*$BW$23+
INDEX($A141:$BM141,,$BV$25)*$BW$25+
INDEX($A141:$BM141,,$BV$26)*$BW$26+
INDEX($A141:$BM141,,$BV$27)*$BW$27+
$BN141)),
$BN141-100)</f>
        <v>-100</v>
      </c>
      <c r="AT141" t="str">
        <f t="shared" si="31"/>
        <v>Rachaad White</v>
      </c>
      <c r="AU141" t="str">
        <f t="shared" si="32"/>
        <v>TB</v>
      </c>
      <c r="AV141" s="430">
        <f>IFERROR(
IF(AT141="",-100,
IF($BV$2&gt;0, INDEX(Beersheet!$A:$U,MATCH(AT141,INDEX(Beersheet!$A:$U,0,FFARawStatProjections!$BV$2),0),$BV$3)+$BN141,
INDEX($A141:$BM141,,$BV$12)*$BW$12+
INDEX($A141:$BM141,,$BV$15)*$BW$15+
INDEX($A141:$BM141,,$BV$16)*$BW$16+
INDEX($A141:$BM141,,$BV$17)*$BW$17+
INDEX($A141:$BM141,,$BV$18)*$BW$18+
INDEX($A141:$BM141,,$BV$19)*$BW$19+
INDEX($A141:$BM141,,$BV$20)*$BW$20+
INDEX($A141:$BM141,,$BV$21)*$BW$21+
INDEX($A141:$BM141,,$BV$22)*$BW$22+
INDEX($A141:$BM141,,$BV$23)*$BW$23+
INDEX($A141:$BM141,,$BV$25)*$BW$25+
INDEX($A141:$BM141,,$BV$26)*$BW$26+
INDEX($A141:$BM141,,$BV$27)*$BW$27+
$BN141)),
$BN141-100)</f>
        <v>204.69139999999999</v>
      </c>
      <c r="AX141" t="str">
        <f t="shared" si="33"/>
        <v/>
      </c>
      <c r="AY141" t="str">
        <f t="shared" si="34"/>
        <v/>
      </c>
      <c r="AZ141" s="430">
        <f>IFERROR(
IF(AX141="",-100,
IF($BV$2&gt;0, INDEX(Beersheet!$A:$U,MATCH(AX141,INDEX(Beersheet!$A:$U,0,FFARawStatProjections!$BV$2),0),$BV$3)+$BN141,
INDEX($A141:$BM141,,$BV$12)*$BW$12+
INDEX($A141:$BM141,,$BV$15)*$BW$15+
INDEX($A141:$BM141,,$BV$16)*$BW$16+
INDEX($A141:$BM141,,$BV$17)*$BW$17+
INDEX($A141:$BM141,,$BV$18)*$BW$18+
INDEX($A141:$BM141,,$BV$19)*$BW$19+
INDEX($A141:$BM141,,$BV$20)*$BW$20+
INDEX($A141:$BM141,,$BV$21)*$BW$21+
INDEX($A141:$BM141,,$BV$22)*$BW$22+
INDEX($A141:$BM141,,$BV$23)*$BW$23+
INDEX($A141:$BM141,,$BV$25)*$BW$25+
INDEX($A141:$BM141,,$BV$26)*$BW$26+
INDEX($A141:$BM141,,$BV$27)*$BW$27+
$BN141)),
$BN141-100)</f>
        <v>-100</v>
      </c>
      <c r="BB141" t="str">
        <f t="shared" si="35"/>
        <v/>
      </c>
      <c r="BC141" t="str">
        <f t="shared" si="28"/>
        <v/>
      </c>
      <c r="BD141" s="430">
        <f>IFERROR(
IF(BB141="",-100,
IF($BV$2&gt;0, INDEX(Beersheet!$A:$U,MATCH(BB141,INDEX(Beersheet!$A:$U,0,FFARawStatProjections!$BV$2),0),$BV$3)+$BN141,
INDEX($A141:$BM141,,$BV$12)*$BW$12+
INDEX($A141:$BM141,,$BV$15)*$BW$15+
INDEX($A141:$BM141,,$BV$16)*$BW$16+
INDEX($A141:$BM141,,$BV$17)*$BW$17+
INDEX($A141:$BM141,,$BV$18)*$BW$18+
INDEX($A141:$BM141,,$BV$19)*$BW$19+
INDEX($A141:$BM141,,$BV$20)*$BW$20+
INDEX($A141:$BM141,,$BV$21)*$BW$21+
INDEX($A141:$BM141,,$BV$22)*$BW$22+
INDEX($A141:$BM141,,$BV$23)*$BW$23+
INDEX($A141:$BM141,,$BV$25)*$BW$25+
INDEX($A141:$BM141,,$BV$26)*$BW$26+
INDEX($A141:$BM141,,$BV$27)*$BW$27+
$BN141)),
$BN141-100)</f>
        <v>-100</v>
      </c>
      <c r="BF141" t="str">
        <f t="shared" si="36"/>
        <v/>
      </c>
      <c r="BG141" t="str">
        <f t="shared" si="37"/>
        <v/>
      </c>
      <c r="BH141">
        <f t="shared" si="38"/>
        <v>0</v>
      </c>
      <c r="BJ141" t="str">
        <f t="shared" si="39"/>
        <v/>
      </c>
      <c r="BL141">
        <f t="shared" si="29"/>
        <v>0</v>
      </c>
      <c r="BN141">
        <v>1.4E-3</v>
      </c>
      <c r="BS141" s="4" t="s">
        <v>1749</v>
      </c>
    </row>
    <row r="142" spans="1:71" ht="15.75" thickBot="1" x14ac:dyDescent="0.3">
      <c r="A142" s="569" t="s">
        <v>1854</v>
      </c>
      <c r="B142" s="569" t="s">
        <v>142</v>
      </c>
      <c r="C142" s="569" t="s">
        <v>3</v>
      </c>
      <c r="D142" s="574">
        <v>9</v>
      </c>
      <c r="E142" s="569"/>
      <c r="F142" s="569"/>
      <c r="G142" s="569"/>
      <c r="H142" s="569"/>
      <c r="I142" s="574">
        <v>0</v>
      </c>
      <c r="J142" s="574">
        <v>0</v>
      </c>
      <c r="K142" s="574">
        <v>0</v>
      </c>
      <c r="L142" s="574">
        <v>33.6</v>
      </c>
      <c r="M142" s="574">
        <v>1.2</v>
      </c>
      <c r="N142" s="574">
        <v>278.5</v>
      </c>
      <c r="O142" s="574">
        <v>194.4</v>
      </c>
      <c r="P142" s="574">
        <v>6.2</v>
      </c>
      <c r="Q142" s="574">
        <v>777.2</v>
      </c>
      <c r="R142" s="569"/>
      <c r="S142" s="569"/>
      <c r="T142" s="569"/>
      <c r="U142" s="569"/>
      <c r="V142" s="569"/>
      <c r="W142" s="569"/>
      <c r="X142" s="569"/>
      <c r="Y142" s="569"/>
      <c r="Z142" s="569"/>
      <c r="AA142" s="569"/>
      <c r="AB142" s="569"/>
      <c r="AC142" s="569"/>
      <c r="AD142" s="569"/>
      <c r="AE142" s="569"/>
      <c r="AF142" s="569"/>
      <c r="AG142" s="569"/>
      <c r="AH142" s="569"/>
      <c r="AI142" s="569"/>
      <c r="AJ142" s="569"/>
      <c r="AK142" s="569"/>
      <c r="AL142" s="569"/>
      <c r="AM142" s="569"/>
      <c r="AN142" s="574">
        <v>147.80000000000001</v>
      </c>
      <c r="AO142">
        <v>141</v>
      </c>
      <c r="AP142" t="str">
        <f t="shared" si="27"/>
        <v/>
      </c>
      <c r="AQ142" t="str">
        <f t="shared" si="30"/>
        <v/>
      </c>
      <c r="AR142" s="430">
        <f>IFERROR(
IF(AP142="",-100,
IF($BV$2&gt;0, INDEX(Beersheet!$A:$U,MATCH(AP142,INDEX(Beersheet!$A:$U,0,FFARawStatProjections!$BV$2),0),$BV$3)+$BN142,
INDEX($A142:$BM142,,$BV$12)*$BW$12+
INDEX($A142:$BM142,,$BV$15)*$BW$15+
INDEX($A142:$BM142,,$BV$16)*$BW$16+
INDEX($A142:$BM142,,$BV$17)*$BW$17+
INDEX($A142:$BM142,,$BV$18)*$BW$18+
INDEX($A142:$BM142,,$BV$19)*$BW$19+
INDEX($A142:$BM142,,$BV$20)*$BW$20+
INDEX($A142:$BM142,,$BV$21)*$BW$21+
INDEX($A142:$BM142,,$BV$22)*$BW$22+
INDEX($A142:$BM142,,$BV$23)*$BW$23+
INDEX($A142:$BM142,,$BV$25)*$BW$25+
INDEX($A142:$BM142,,$BV$26)*$BW$26+
INDEX($A142:$BM142,,$BV$27)*$BW$27+
$BN142)),
$BN142-100)</f>
        <v>-100</v>
      </c>
      <c r="AT142" t="str">
        <f t="shared" si="31"/>
        <v>David Montgomery</v>
      </c>
      <c r="AU142" t="str">
        <f t="shared" si="32"/>
        <v>DET</v>
      </c>
      <c r="AV142" s="430">
        <f>IFERROR(
IF(AT142="",-100,
IF($BV$2&gt;0, INDEX(Beersheet!$A:$U,MATCH(AT142,INDEX(Beersheet!$A:$U,0,FFARawStatProjections!$BV$2),0),$BV$3)+$BN142,
INDEX($A142:$BM142,,$BV$12)*$BW$12+
INDEX($A142:$BM142,,$BV$15)*$BW$15+
INDEX($A142:$BM142,,$BV$16)*$BW$16+
INDEX($A142:$BM142,,$BV$17)*$BW$17+
INDEX($A142:$BM142,,$BV$18)*$BW$18+
INDEX($A142:$BM142,,$BV$19)*$BW$19+
INDEX($A142:$BM142,,$BV$20)*$BW$20+
INDEX($A142:$BM142,,$BV$21)*$BW$21+
INDEX($A142:$BM142,,$BV$22)*$BW$22+
INDEX($A142:$BM142,,$BV$23)*$BW$23+
INDEX($A142:$BM142,,$BV$25)*$BW$25+
INDEX($A142:$BM142,,$BV$26)*$BW$26+
INDEX($A142:$BM142,,$BV$27)*$BW$27+
$BN142)),
$BN142-100)</f>
        <v>183.57141000000001</v>
      </c>
      <c r="AX142" t="str">
        <f t="shared" si="33"/>
        <v/>
      </c>
      <c r="AY142" t="str">
        <f t="shared" si="34"/>
        <v/>
      </c>
      <c r="AZ142" s="430">
        <f>IFERROR(
IF(AX142="",-100,
IF($BV$2&gt;0, INDEX(Beersheet!$A:$U,MATCH(AX142,INDEX(Beersheet!$A:$U,0,FFARawStatProjections!$BV$2),0),$BV$3)+$BN142,
INDEX($A142:$BM142,,$BV$12)*$BW$12+
INDEX($A142:$BM142,,$BV$15)*$BW$15+
INDEX($A142:$BM142,,$BV$16)*$BW$16+
INDEX($A142:$BM142,,$BV$17)*$BW$17+
INDEX($A142:$BM142,,$BV$18)*$BW$18+
INDEX($A142:$BM142,,$BV$19)*$BW$19+
INDEX($A142:$BM142,,$BV$20)*$BW$20+
INDEX($A142:$BM142,,$BV$21)*$BW$21+
INDEX($A142:$BM142,,$BV$22)*$BW$22+
INDEX($A142:$BM142,,$BV$23)*$BW$23+
INDEX($A142:$BM142,,$BV$25)*$BW$25+
INDEX($A142:$BM142,,$BV$26)*$BW$26+
INDEX($A142:$BM142,,$BV$27)*$BW$27+
$BN142)),
$BN142-100)</f>
        <v>-100</v>
      </c>
      <c r="BB142" t="str">
        <f t="shared" si="35"/>
        <v/>
      </c>
      <c r="BC142" t="str">
        <f t="shared" si="28"/>
        <v/>
      </c>
      <c r="BD142" s="430">
        <f>IFERROR(
IF(BB142="",-100,
IF($BV$2&gt;0, INDEX(Beersheet!$A:$U,MATCH(BB142,INDEX(Beersheet!$A:$U,0,FFARawStatProjections!$BV$2),0),$BV$3)+$BN142,
INDEX($A142:$BM142,,$BV$12)*$BW$12+
INDEX($A142:$BM142,,$BV$15)*$BW$15+
INDEX($A142:$BM142,,$BV$16)*$BW$16+
INDEX($A142:$BM142,,$BV$17)*$BW$17+
INDEX($A142:$BM142,,$BV$18)*$BW$18+
INDEX($A142:$BM142,,$BV$19)*$BW$19+
INDEX($A142:$BM142,,$BV$20)*$BW$20+
INDEX($A142:$BM142,,$BV$21)*$BW$21+
INDEX($A142:$BM142,,$BV$22)*$BW$22+
INDEX($A142:$BM142,,$BV$23)*$BW$23+
INDEX($A142:$BM142,,$BV$25)*$BW$25+
INDEX($A142:$BM142,,$BV$26)*$BW$26+
INDEX($A142:$BM142,,$BV$27)*$BW$27+
$BN142)),
$BN142-100)</f>
        <v>-100</v>
      </c>
      <c r="BF142" t="str">
        <f t="shared" si="36"/>
        <v/>
      </c>
      <c r="BG142" t="str">
        <f t="shared" si="37"/>
        <v/>
      </c>
      <c r="BH142">
        <f t="shared" si="38"/>
        <v>0</v>
      </c>
      <c r="BJ142" t="str">
        <f t="shared" si="39"/>
        <v/>
      </c>
      <c r="BL142">
        <f t="shared" si="29"/>
        <v>0</v>
      </c>
      <c r="BN142">
        <v>1.41E-3</v>
      </c>
      <c r="BS142" s="4" t="s">
        <v>1410</v>
      </c>
    </row>
    <row r="143" spans="1:71" ht="15.75" thickBot="1" x14ac:dyDescent="0.3">
      <c r="A143" s="569" t="s">
        <v>2174</v>
      </c>
      <c r="B143" s="569" t="s">
        <v>144</v>
      </c>
      <c r="C143" s="569" t="s">
        <v>3</v>
      </c>
      <c r="D143" s="574">
        <v>9</v>
      </c>
      <c r="E143" s="569"/>
      <c r="F143" s="569"/>
      <c r="G143" s="569"/>
      <c r="H143" s="569"/>
      <c r="I143" s="574">
        <v>0</v>
      </c>
      <c r="J143" s="574">
        <v>0</v>
      </c>
      <c r="K143" s="574">
        <v>0</v>
      </c>
      <c r="L143" s="574">
        <v>36.9</v>
      </c>
      <c r="M143" s="574">
        <v>1.5</v>
      </c>
      <c r="N143" s="574">
        <v>257.5</v>
      </c>
      <c r="O143" s="574">
        <v>178.4</v>
      </c>
      <c r="P143" s="574">
        <v>4.9000000000000004</v>
      </c>
      <c r="Q143" s="574">
        <v>822</v>
      </c>
      <c r="R143" s="569"/>
      <c r="S143" s="569"/>
      <c r="T143" s="569"/>
      <c r="U143" s="569"/>
      <c r="V143" s="569"/>
      <c r="W143" s="569"/>
      <c r="X143" s="569"/>
      <c r="Y143" s="569"/>
      <c r="Z143" s="569"/>
      <c r="AA143" s="569"/>
      <c r="AB143" s="569"/>
      <c r="AC143" s="569"/>
      <c r="AD143" s="569"/>
      <c r="AE143" s="569"/>
      <c r="AF143" s="569"/>
      <c r="AG143" s="569"/>
      <c r="AH143" s="569"/>
      <c r="AI143" s="569"/>
      <c r="AJ143" s="569"/>
      <c r="AK143" s="569"/>
      <c r="AL143" s="569"/>
      <c r="AM143" s="569"/>
      <c r="AN143" s="574">
        <v>143.19999999999999</v>
      </c>
      <c r="AO143">
        <v>142</v>
      </c>
      <c r="AP143" t="str">
        <f t="shared" si="27"/>
        <v/>
      </c>
      <c r="AQ143" t="str">
        <f t="shared" si="30"/>
        <v/>
      </c>
      <c r="AR143" s="430">
        <f>IFERROR(
IF(AP143="",-100,
IF($BV$2&gt;0, INDEX(Beersheet!$A:$U,MATCH(AP143,INDEX(Beersheet!$A:$U,0,FFARawStatProjections!$BV$2),0),$BV$3)+$BN143,
INDEX($A143:$BM143,,$BV$12)*$BW$12+
INDEX($A143:$BM143,,$BV$15)*$BW$15+
INDEX($A143:$BM143,,$BV$16)*$BW$16+
INDEX($A143:$BM143,,$BV$17)*$BW$17+
INDEX($A143:$BM143,,$BV$18)*$BW$18+
INDEX($A143:$BM143,,$BV$19)*$BW$19+
INDEX($A143:$BM143,,$BV$20)*$BW$20+
INDEX($A143:$BM143,,$BV$21)*$BW$21+
INDEX($A143:$BM143,,$BV$22)*$BW$22+
INDEX($A143:$BM143,,$BV$23)*$BW$23+
INDEX($A143:$BM143,,$BV$25)*$BW$25+
INDEX($A143:$BM143,,$BV$26)*$BW$26+
INDEX($A143:$BM143,,$BV$27)*$BW$27+
$BN143)),
$BN143-100)</f>
        <v>-100</v>
      </c>
      <c r="AT143" t="str">
        <f t="shared" si="31"/>
        <v>Javonte Williams</v>
      </c>
      <c r="AU143" t="str">
        <f t="shared" si="32"/>
        <v>DEN</v>
      </c>
      <c r="AV143" s="430">
        <f>IFERROR(
IF(AT143="",-100,
IF($BV$2&gt;0, INDEX(Beersheet!$A:$U,MATCH(AT143,INDEX(Beersheet!$A:$U,0,FFARawStatProjections!$BV$2),0),$BV$3)+$BN143,
INDEX($A143:$BM143,,$BV$12)*$BW$12+
INDEX($A143:$BM143,,$BV$15)*$BW$15+
INDEX($A143:$BM143,,$BV$16)*$BW$16+
INDEX($A143:$BM143,,$BV$17)*$BW$17+
INDEX($A143:$BM143,,$BV$18)*$BW$18+
INDEX($A143:$BM143,,$BV$19)*$BW$19+
INDEX($A143:$BM143,,$BV$20)*$BW$20+
INDEX($A143:$BM143,,$BV$21)*$BW$21+
INDEX($A143:$BM143,,$BV$22)*$BW$22+
INDEX($A143:$BM143,,$BV$23)*$BW$23+
INDEX($A143:$BM143,,$BV$25)*$BW$25+
INDEX($A143:$BM143,,$BV$26)*$BW$26+
INDEX($A143:$BM143,,$BV$27)*$BW$27+
$BN143)),
$BN143-100)</f>
        <v>183.25142</v>
      </c>
      <c r="AX143" t="str">
        <f t="shared" si="33"/>
        <v/>
      </c>
      <c r="AY143" t="str">
        <f t="shared" si="34"/>
        <v/>
      </c>
      <c r="AZ143" s="430">
        <f>IFERROR(
IF(AX143="",-100,
IF($BV$2&gt;0, INDEX(Beersheet!$A:$U,MATCH(AX143,INDEX(Beersheet!$A:$U,0,FFARawStatProjections!$BV$2),0),$BV$3)+$BN143,
INDEX($A143:$BM143,,$BV$12)*$BW$12+
INDEX($A143:$BM143,,$BV$15)*$BW$15+
INDEX($A143:$BM143,,$BV$16)*$BW$16+
INDEX($A143:$BM143,,$BV$17)*$BW$17+
INDEX($A143:$BM143,,$BV$18)*$BW$18+
INDEX($A143:$BM143,,$BV$19)*$BW$19+
INDEX($A143:$BM143,,$BV$20)*$BW$20+
INDEX($A143:$BM143,,$BV$21)*$BW$21+
INDEX($A143:$BM143,,$BV$22)*$BW$22+
INDEX($A143:$BM143,,$BV$23)*$BW$23+
INDEX($A143:$BM143,,$BV$25)*$BW$25+
INDEX($A143:$BM143,,$BV$26)*$BW$26+
INDEX($A143:$BM143,,$BV$27)*$BW$27+
$BN143)),
$BN143-100)</f>
        <v>-100</v>
      </c>
      <c r="BB143" t="str">
        <f t="shared" si="35"/>
        <v/>
      </c>
      <c r="BC143" t="str">
        <f t="shared" si="28"/>
        <v/>
      </c>
      <c r="BD143" s="430">
        <f>IFERROR(
IF(BB143="",-100,
IF($BV$2&gt;0, INDEX(Beersheet!$A:$U,MATCH(BB143,INDEX(Beersheet!$A:$U,0,FFARawStatProjections!$BV$2),0),$BV$3)+$BN143,
INDEX($A143:$BM143,,$BV$12)*$BW$12+
INDEX($A143:$BM143,,$BV$15)*$BW$15+
INDEX($A143:$BM143,,$BV$16)*$BW$16+
INDEX($A143:$BM143,,$BV$17)*$BW$17+
INDEX($A143:$BM143,,$BV$18)*$BW$18+
INDEX($A143:$BM143,,$BV$19)*$BW$19+
INDEX($A143:$BM143,,$BV$20)*$BW$20+
INDEX($A143:$BM143,,$BV$21)*$BW$21+
INDEX($A143:$BM143,,$BV$22)*$BW$22+
INDEX($A143:$BM143,,$BV$23)*$BW$23+
INDEX($A143:$BM143,,$BV$25)*$BW$25+
INDEX($A143:$BM143,,$BV$26)*$BW$26+
INDEX($A143:$BM143,,$BV$27)*$BW$27+
$BN143)),
$BN143-100)</f>
        <v>-100</v>
      </c>
      <c r="BF143" t="str">
        <f t="shared" si="36"/>
        <v/>
      </c>
      <c r="BG143" t="str">
        <f t="shared" si="37"/>
        <v/>
      </c>
      <c r="BH143">
        <f t="shared" si="38"/>
        <v>0</v>
      </c>
      <c r="BJ143" t="str">
        <f t="shared" si="39"/>
        <v/>
      </c>
      <c r="BL143">
        <f t="shared" si="29"/>
        <v>0</v>
      </c>
      <c r="BN143">
        <v>1.42E-3</v>
      </c>
      <c r="BS143" s="4" t="s">
        <v>1792</v>
      </c>
    </row>
    <row r="144" spans="1:71" ht="15.75" thickBot="1" x14ac:dyDescent="0.3">
      <c r="A144" s="569" t="s">
        <v>2291</v>
      </c>
      <c r="B144" s="569" t="s">
        <v>156</v>
      </c>
      <c r="C144" s="569" t="s">
        <v>3</v>
      </c>
      <c r="D144" s="574">
        <v>13</v>
      </c>
      <c r="E144" s="569"/>
      <c r="F144" s="569"/>
      <c r="G144" s="569"/>
      <c r="H144" s="569"/>
      <c r="I144" s="574">
        <v>0</v>
      </c>
      <c r="J144" s="574">
        <v>0</v>
      </c>
      <c r="K144" s="574">
        <v>0</v>
      </c>
      <c r="L144" s="574">
        <v>35.299999999999997</v>
      </c>
      <c r="M144" s="574">
        <v>1.7</v>
      </c>
      <c r="N144" s="574">
        <v>264.2</v>
      </c>
      <c r="O144" s="574">
        <v>160.30000000000001</v>
      </c>
      <c r="P144" s="574">
        <v>4.7</v>
      </c>
      <c r="Q144" s="574">
        <v>808</v>
      </c>
      <c r="R144" s="569"/>
      <c r="S144" s="569"/>
      <c r="T144" s="569"/>
      <c r="U144" s="569"/>
      <c r="V144" s="569"/>
      <c r="W144" s="569"/>
      <c r="X144" s="569"/>
      <c r="Y144" s="569"/>
      <c r="Z144" s="569"/>
      <c r="AA144" s="569"/>
      <c r="AB144" s="569"/>
      <c r="AC144" s="569"/>
      <c r="AD144" s="569"/>
      <c r="AE144" s="569"/>
      <c r="AF144" s="569"/>
      <c r="AG144" s="569"/>
      <c r="AH144" s="569"/>
      <c r="AI144" s="569"/>
      <c r="AJ144" s="569"/>
      <c r="AK144" s="569"/>
      <c r="AL144" s="569"/>
      <c r="AM144" s="569"/>
      <c r="AN144" s="574">
        <v>142.9</v>
      </c>
      <c r="AO144">
        <v>143</v>
      </c>
      <c r="AP144" t="str">
        <f t="shared" si="27"/>
        <v/>
      </c>
      <c r="AQ144" t="str">
        <f t="shared" si="30"/>
        <v/>
      </c>
      <c r="AR144" s="430">
        <f>IFERROR(
IF(AP144="",-100,
IF($BV$2&gt;0, INDEX(Beersheet!$A:$U,MATCH(AP144,INDEX(Beersheet!$A:$U,0,FFARawStatProjections!$BV$2),0),$BV$3)+$BN144,
INDEX($A144:$BM144,,$BV$12)*$BW$12+
INDEX($A144:$BM144,,$BV$15)*$BW$15+
INDEX($A144:$BM144,,$BV$16)*$BW$16+
INDEX($A144:$BM144,,$BV$17)*$BW$17+
INDEX($A144:$BM144,,$BV$18)*$BW$18+
INDEX($A144:$BM144,,$BV$19)*$BW$19+
INDEX($A144:$BM144,,$BV$20)*$BW$20+
INDEX($A144:$BM144,,$BV$21)*$BW$21+
INDEX($A144:$BM144,,$BV$22)*$BW$22+
INDEX($A144:$BM144,,$BV$23)*$BW$23+
INDEX($A144:$BM144,,$BV$25)*$BW$25+
INDEX($A144:$BM144,,$BV$26)*$BW$26+
INDEX($A144:$BM144,,$BV$27)*$BW$27+
$BN144)),
$BN144-100)</f>
        <v>-100</v>
      </c>
      <c r="AT144" t="str">
        <f t="shared" si="31"/>
        <v>James Cook</v>
      </c>
      <c r="AU144" t="str">
        <f t="shared" si="32"/>
        <v>BUF</v>
      </c>
      <c r="AV144" s="430">
        <f>IFERROR(
IF(AT144="",-100,
IF($BV$2&gt;0, INDEX(Beersheet!$A:$U,MATCH(AT144,INDEX(Beersheet!$A:$U,0,FFARawStatProjections!$BV$2),0),$BV$3)+$BN144,
INDEX($A144:$BM144,,$BV$12)*$BW$12+
INDEX($A144:$BM144,,$BV$15)*$BW$15+
INDEX($A144:$BM144,,$BV$16)*$BW$16+
INDEX($A144:$BM144,,$BV$17)*$BW$17+
INDEX($A144:$BM144,,$BV$18)*$BW$18+
INDEX($A144:$BM144,,$BV$19)*$BW$19+
INDEX($A144:$BM144,,$BV$20)*$BW$20+
INDEX($A144:$BM144,,$BV$21)*$BW$21+
INDEX($A144:$BM144,,$BV$22)*$BW$22+
INDEX($A144:$BM144,,$BV$23)*$BW$23+
INDEX($A144:$BM144,,$BV$25)*$BW$25+
INDEX($A144:$BM144,,$BV$26)*$BW$26+
INDEX($A144:$BM144,,$BV$27)*$BW$27+
$BN144)),
$BN144-100)</f>
        <v>180.92143000000002</v>
      </c>
      <c r="AX144" t="str">
        <f t="shared" si="33"/>
        <v/>
      </c>
      <c r="AY144" t="str">
        <f t="shared" si="34"/>
        <v/>
      </c>
      <c r="AZ144" s="430">
        <f>IFERROR(
IF(AX144="",-100,
IF($BV$2&gt;0, INDEX(Beersheet!$A:$U,MATCH(AX144,INDEX(Beersheet!$A:$U,0,FFARawStatProjections!$BV$2),0),$BV$3)+$BN144,
INDEX($A144:$BM144,,$BV$12)*$BW$12+
INDEX($A144:$BM144,,$BV$15)*$BW$15+
INDEX($A144:$BM144,,$BV$16)*$BW$16+
INDEX($A144:$BM144,,$BV$17)*$BW$17+
INDEX($A144:$BM144,,$BV$18)*$BW$18+
INDEX($A144:$BM144,,$BV$19)*$BW$19+
INDEX($A144:$BM144,,$BV$20)*$BW$20+
INDEX($A144:$BM144,,$BV$21)*$BW$21+
INDEX($A144:$BM144,,$BV$22)*$BW$22+
INDEX($A144:$BM144,,$BV$23)*$BW$23+
INDEX($A144:$BM144,,$BV$25)*$BW$25+
INDEX($A144:$BM144,,$BV$26)*$BW$26+
INDEX($A144:$BM144,,$BV$27)*$BW$27+
$BN144)),
$BN144-100)</f>
        <v>-100</v>
      </c>
      <c r="BB144" t="str">
        <f t="shared" si="35"/>
        <v/>
      </c>
      <c r="BC144" t="str">
        <f t="shared" si="28"/>
        <v/>
      </c>
      <c r="BD144" s="430">
        <f>IFERROR(
IF(BB144="",-100,
IF($BV$2&gt;0, INDEX(Beersheet!$A:$U,MATCH(BB144,INDEX(Beersheet!$A:$U,0,FFARawStatProjections!$BV$2),0),$BV$3)+$BN144,
INDEX($A144:$BM144,,$BV$12)*$BW$12+
INDEX($A144:$BM144,,$BV$15)*$BW$15+
INDEX($A144:$BM144,,$BV$16)*$BW$16+
INDEX($A144:$BM144,,$BV$17)*$BW$17+
INDEX($A144:$BM144,,$BV$18)*$BW$18+
INDEX($A144:$BM144,,$BV$19)*$BW$19+
INDEX($A144:$BM144,,$BV$20)*$BW$20+
INDEX($A144:$BM144,,$BV$21)*$BW$21+
INDEX($A144:$BM144,,$BV$22)*$BW$22+
INDEX($A144:$BM144,,$BV$23)*$BW$23+
INDEX($A144:$BM144,,$BV$25)*$BW$25+
INDEX($A144:$BM144,,$BV$26)*$BW$26+
INDEX($A144:$BM144,,$BV$27)*$BW$27+
$BN144)),
$BN144-100)</f>
        <v>-100</v>
      </c>
      <c r="BF144" t="str">
        <f t="shared" si="36"/>
        <v/>
      </c>
      <c r="BG144" t="str">
        <f t="shared" si="37"/>
        <v/>
      </c>
      <c r="BH144">
        <f t="shared" si="38"/>
        <v>0</v>
      </c>
      <c r="BJ144" t="str">
        <f t="shared" si="39"/>
        <v/>
      </c>
      <c r="BL144">
        <f t="shared" si="29"/>
        <v>0</v>
      </c>
      <c r="BN144">
        <v>1.4300000000000001E-3</v>
      </c>
      <c r="BS144" s="4" t="s">
        <v>2299</v>
      </c>
    </row>
    <row r="145" spans="1:71" ht="15.75" thickBot="1" x14ac:dyDescent="0.3">
      <c r="A145" s="569" t="s">
        <v>1429</v>
      </c>
      <c r="B145" s="569" t="s">
        <v>143</v>
      </c>
      <c r="C145" s="569" t="s">
        <v>3</v>
      </c>
      <c r="D145" s="574">
        <v>11</v>
      </c>
      <c r="E145" s="569"/>
      <c r="F145" s="569"/>
      <c r="G145" s="569"/>
      <c r="H145" s="569"/>
      <c r="I145" s="574">
        <v>0</v>
      </c>
      <c r="J145" s="574">
        <v>0</v>
      </c>
      <c r="K145" s="574">
        <v>0</v>
      </c>
      <c r="L145" s="574">
        <v>42.5</v>
      </c>
      <c r="M145" s="574">
        <v>1.8</v>
      </c>
      <c r="N145" s="574">
        <v>373.1</v>
      </c>
      <c r="O145" s="574">
        <v>176</v>
      </c>
      <c r="P145" s="574">
        <v>3.8</v>
      </c>
      <c r="Q145" s="574">
        <v>725</v>
      </c>
      <c r="R145" s="569"/>
      <c r="S145" s="569"/>
      <c r="T145" s="569"/>
      <c r="U145" s="569"/>
      <c r="V145" s="569"/>
      <c r="W145" s="569"/>
      <c r="X145" s="569"/>
      <c r="Y145" s="569"/>
      <c r="Z145" s="569"/>
      <c r="AA145" s="569"/>
      <c r="AB145" s="569"/>
      <c r="AC145" s="569"/>
      <c r="AD145" s="569"/>
      <c r="AE145" s="569"/>
      <c r="AF145" s="569"/>
      <c r="AG145" s="569"/>
      <c r="AH145" s="569"/>
      <c r="AI145" s="569"/>
      <c r="AJ145" s="569"/>
      <c r="AK145" s="569"/>
      <c r="AL145" s="569"/>
      <c r="AM145" s="569"/>
      <c r="AN145" s="574">
        <v>141.1</v>
      </c>
      <c r="AO145">
        <v>144</v>
      </c>
      <c r="AP145" t="str">
        <f t="shared" si="27"/>
        <v/>
      </c>
      <c r="AQ145" t="str">
        <f t="shared" si="30"/>
        <v/>
      </c>
      <c r="AR145" s="430">
        <f>IFERROR(
IF(AP145="",-100,
IF($BV$2&gt;0, INDEX(Beersheet!$A:$U,MATCH(AP145,INDEX(Beersheet!$A:$U,0,FFARawStatProjections!$BV$2),0),$BV$3)+$BN145,
INDEX($A145:$BM145,,$BV$12)*$BW$12+
INDEX($A145:$BM145,,$BV$15)*$BW$15+
INDEX($A145:$BM145,,$BV$16)*$BW$16+
INDEX($A145:$BM145,,$BV$17)*$BW$17+
INDEX($A145:$BM145,,$BV$18)*$BW$18+
INDEX($A145:$BM145,,$BV$19)*$BW$19+
INDEX($A145:$BM145,,$BV$20)*$BW$20+
INDEX($A145:$BM145,,$BV$21)*$BW$21+
INDEX($A145:$BM145,,$BV$22)*$BW$22+
INDEX($A145:$BM145,,$BV$23)*$BW$23+
INDEX($A145:$BM145,,$BV$25)*$BW$25+
INDEX($A145:$BM145,,$BV$26)*$BW$26+
INDEX($A145:$BM145,,$BV$27)*$BW$27+
$BN145)),
$BN145-100)</f>
        <v>-100</v>
      </c>
      <c r="AT145" t="str">
        <f t="shared" si="31"/>
        <v>Alvin Kamara</v>
      </c>
      <c r="AU145" t="str">
        <f t="shared" si="32"/>
        <v>NO</v>
      </c>
      <c r="AV145" s="430">
        <f>IFERROR(
IF(AT145="",-100,
IF($BV$2&gt;0, INDEX(Beersheet!$A:$U,MATCH(AT145,INDEX(Beersheet!$A:$U,0,FFARawStatProjections!$BV$2),0),$BV$3)+$BN145,
INDEX($A145:$BM145,,$BV$12)*$BW$12+
INDEX($A145:$BM145,,$BV$15)*$BW$15+
INDEX($A145:$BM145,,$BV$16)*$BW$16+
INDEX($A145:$BM145,,$BV$17)*$BW$17+
INDEX($A145:$BM145,,$BV$18)*$BW$18+
INDEX($A145:$BM145,,$BV$19)*$BW$19+
INDEX($A145:$BM145,,$BV$20)*$BW$20+
INDEX($A145:$BM145,,$BV$21)*$BW$21+
INDEX($A145:$BM145,,$BV$22)*$BW$22+
INDEX($A145:$BM145,,$BV$23)*$BW$23+
INDEX($A145:$BM145,,$BV$25)*$BW$25+
INDEX($A145:$BM145,,$BV$26)*$BW$26+
INDEX($A145:$BM145,,$BV$27)*$BW$27+
$BN145)),
$BN145-100)</f>
        <v>185.91144</v>
      </c>
      <c r="AX145" t="str">
        <f t="shared" si="33"/>
        <v/>
      </c>
      <c r="AY145" t="str">
        <f t="shared" si="34"/>
        <v/>
      </c>
      <c r="AZ145" s="430">
        <f>IFERROR(
IF(AX145="",-100,
IF($BV$2&gt;0, INDEX(Beersheet!$A:$U,MATCH(AX145,INDEX(Beersheet!$A:$U,0,FFARawStatProjections!$BV$2),0),$BV$3)+$BN145,
INDEX($A145:$BM145,,$BV$12)*$BW$12+
INDEX($A145:$BM145,,$BV$15)*$BW$15+
INDEX($A145:$BM145,,$BV$16)*$BW$16+
INDEX($A145:$BM145,,$BV$17)*$BW$17+
INDEX($A145:$BM145,,$BV$18)*$BW$18+
INDEX($A145:$BM145,,$BV$19)*$BW$19+
INDEX($A145:$BM145,,$BV$20)*$BW$20+
INDEX($A145:$BM145,,$BV$21)*$BW$21+
INDEX($A145:$BM145,,$BV$22)*$BW$22+
INDEX($A145:$BM145,,$BV$23)*$BW$23+
INDEX($A145:$BM145,,$BV$25)*$BW$25+
INDEX($A145:$BM145,,$BV$26)*$BW$26+
INDEX($A145:$BM145,,$BV$27)*$BW$27+
$BN145)),
$BN145-100)</f>
        <v>-100</v>
      </c>
      <c r="BB145" t="str">
        <f t="shared" si="35"/>
        <v/>
      </c>
      <c r="BC145" t="str">
        <f t="shared" si="28"/>
        <v/>
      </c>
      <c r="BD145" s="430">
        <f>IFERROR(
IF(BB145="",-100,
IF($BV$2&gt;0, INDEX(Beersheet!$A:$U,MATCH(BB145,INDEX(Beersheet!$A:$U,0,FFARawStatProjections!$BV$2),0),$BV$3)+$BN145,
INDEX($A145:$BM145,,$BV$12)*$BW$12+
INDEX($A145:$BM145,,$BV$15)*$BW$15+
INDEX($A145:$BM145,,$BV$16)*$BW$16+
INDEX($A145:$BM145,,$BV$17)*$BW$17+
INDEX($A145:$BM145,,$BV$18)*$BW$18+
INDEX($A145:$BM145,,$BV$19)*$BW$19+
INDEX($A145:$BM145,,$BV$20)*$BW$20+
INDEX($A145:$BM145,,$BV$21)*$BW$21+
INDEX($A145:$BM145,,$BV$22)*$BW$22+
INDEX($A145:$BM145,,$BV$23)*$BW$23+
INDEX($A145:$BM145,,$BV$25)*$BW$25+
INDEX($A145:$BM145,,$BV$26)*$BW$26+
INDEX($A145:$BM145,,$BV$27)*$BW$27+
$BN145)),
$BN145-100)</f>
        <v>-100</v>
      </c>
      <c r="BF145" t="str">
        <f t="shared" si="36"/>
        <v/>
      </c>
      <c r="BG145" t="str">
        <f t="shared" si="37"/>
        <v/>
      </c>
      <c r="BH145">
        <f t="shared" si="38"/>
        <v>0</v>
      </c>
      <c r="BJ145" t="str">
        <f t="shared" si="39"/>
        <v/>
      </c>
      <c r="BL145">
        <f t="shared" si="29"/>
        <v>0</v>
      </c>
      <c r="BN145">
        <v>1.4400000000000001E-3</v>
      </c>
      <c r="BS145" s="4" t="s">
        <v>2504</v>
      </c>
    </row>
    <row r="146" spans="1:71" ht="15.75" thickBot="1" x14ac:dyDescent="0.3">
      <c r="A146" s="569" t="s">
        <v>2086</v>
      </c>
      <c r="B146" s="569" t="s">
        <v>139</v>
      </c>
      <c r="C146" s="569" t="s">
        <v>3</v>
      </c>
      <c r="D146" s="574">
        <v>6</v>
      </c>
      <c r="E146" s="569"/>
      <c r="F146" s="569"/>
      <c r="G146" s="569"/>
      <c r="H146" s="569"/>
      <c r="I146" s="574">
        <v>0</v>
      </c>
      <c r="J146" s="574">
        <v>0</v>
      </c>
      <c r="K146" s="574">
        <v>0</v>
      </c>
      <c r="L146" s="574">
        <v>25</v>
      </c>
      <c r="M146" s="574">
        <v>0.7</v>
      </c>
      <c r="N146" s="574">
        <v>198</v>
      </c>
      <c r="O146" s="574">
        <v>166.7</v>
      </c>
      <c r="P146" s="574">
        <v>5.6</v>
      </c>
      <c r="Q146" s="574">
        <v>727.3</v>
      </c>
      <c r="R146" s="569"/>
      <c r="S146" s="569"/>
      <c r="T146" s="569"/>
      <c r="U146" s="569"/>
      <c r="V146" s="569"/>
      <c r="W146" s="569"/>
      <c r="X146" s="569"/>
      <c r="Y146" s="569"/>
      <c r="Z146" s="569"/>
      <c r="AA146" s="569"/>
      <c r="AB146" s="569"/>
      <c r="AC146" s="569"/>
      <c r="AD146" s="569"/>
      <c r="AE146" s="569"/>
      <c r="AF146" s="569"/>
      <c r="AG146" s="569"/>
      <c r="AH146" s="569"/>
      <c r="AI146" s="569"/>
      <c r="AJ146" s="569"/>
      <c r="AK146" s="569"/>
      <c r="AL146" s="569"/>
      <c r="AM146" s="569"/>
      <c r="AN146" s="574">
        <v>129.30000000000001</v>
      </c>
      <c r="AO146">
        <v>145</v>
      </c>
      <c r="AP146" t="str">
        <f t="shared" si="27"/>
        <v/>
      </c>
      <c r="AQ146" t="str">
        <f t="shared" si="30"/>
        <v/>
      </c>
      <c r="AR146" s="430">
        <f>IFERROR(
IF(AP146="",-100,
IF($BV$2&gt;0, INDEX(Beersheet!$A:$U,MATCH(AP146,INDEX(Beersheet!$A:$U,0,FFARawStatProjections!$BV$2),0),$BV$3)+$BN146,
INDEX($A146:$BM146,,$BV$12)*$BW$12+
INDEX($A146:$BM146,,$BV$15)*$BW$15+
INDEX($A146:$BM146,,$BV$16)*$BW$16+
INDEX($A146:$BM146,,$BV$17)*$BW$17+
INDEX($A146:$BM146,,$BV$18)*$BW$18+
INDEX($A146:$BM146,,$BV$19)*$BW$19+
INDEX($A146:$BM146,,$BV$20)*$BW$20+
INDEX($A146:$BM146,,$BV$21)*$BW$21+
INDEX($A146:$BM146,,$BV$22)*$BW$22+
INDEX($A146:$BM146,,$BV$23)*$BW$23+
INDEX($A146:$BM146,,$BV$25)*$BW$25+
INDEX($A146:$BM146,,$BV$26)*$BW$26+
INDEX($A146:$BM146,,$BV$27)*$BW$27+
$BN146)),
$BN146-100)</f>
        <v>-100</v>
      </c>
      <c r="AT146" t="str">
        <f t="shared" si="31"/>
        <v>AJ Dillon</v>
      </c>
      <c r="AU146" t="str">
        <f t="shared" si="32"/>
        <v>GB</v>
      </c>
      <c r="AV146" s="430">
        <f>IFERROR(
IF(AT146="",-100,
IF($BV$2&gt;0, INDEX(Beersheet!$A:$U,MATCH(AT146,INDEX(Beersheet!$A:$U,0,FFARawStatProjections!$BV$2),0),$BV$3)+$BN146,
INDEX($A146:$BM146,,$BV$12)*$BW$12+
INDEX($A146:$BM146,,$BV$15)*$BW$15+
INDEX($A146:$BM146,,$BV$16)*$BW$16+
INDEX($A146:$BM146,,$BV$17)*$BW$17+
INDEX($A146:$BM146,,$BV$18)*$BW$18+
INDEX($A146:$BM146,,$BV$19)*$BW$19+
INDEX($A146:$BM146,,$BV$20)*$BW$20+
INDEX($A146:$BM146,,$BV$21)*$BW$21+
INDEX($A146:$BM146,,$BV$22)*$BW$22+
INDEX($A146:$BM146,,$BV$23)*$BW$23+
INDEX($A146:$BM146,,$BV$25)*$BW$25+
INDEX($A146:$BM146,,$BV$26)*$BW$26+
INDEX($A146:$BM146,,$BV$27)*$BW$27+
$BN146)),
$BN146-100)</f>
        <v>155.33144999999999</v>
      </c>
      <c r="AX146" t="str">
        <f t="shared" si="33"/>
        <v/>
      </c>
      <c r="AY146" t="str">
        <f t="shared" si="34"/>
        <v/>
      </c>
      <c r="AZ146" s="430">
        <f>IFERROR(
IF(AX146="",-100,
IF($BV$2&gt;0, INDEX(Beersheet!$A:$U,MATCH(AX146,INDEX(Beersheet!$A:$U,0,FFARawStatProjections!$BV$2),0),$BV$3)+$BN146,
INDEX($A146:$BM146,,$BV$12)*$BW$12+
INDEX($A146:$BM146,,$BV$15)*$BW$15+
INDEX($A146:$BM146,,$BV$16)*$BW$16+
INDEX($A146:$BM146,,$BV$17)*$BW$17+
INDEX($A146:$BM146,,$BV$18)*$BW$18+
INDEX($A146:$BM146,,$BV$19)*$BW$19+
INDEX($A146:$BM146,,$BV$20)*$BW$20+
INDEX($A146:$BM146,,$BV$21)*$BW$21+
INDEX($A146:$BM146,,$BV$22)*$BW$22+
INDEX($A146:$BM146,,$BV$23)*$BW$23+
INDEX($A146:$BM146,,$BV$25)*$BW$25+
INDEX($A146:$BM146,,$BV$26)*$BW$26+
INDEX($A146:$BM146,,$BV$27)*$BW$27+
$BN146)),
$BN146-100)</f>
        <v>-100</v>
      </c>
      <c r="BB146" t="str">
        <f t="shared" si="35"/>
        <v/>
      </c>
      <c r="BC146" t="str">
        <f t="shared" si="28"/>
        <v/>
      </c>
      <c r="BD146" s="430">
        <f>IFERROR(
IF(BB146="",-100,
IF($BV$2&gt;0, INDEX(Beersheet!$A:$U,MATCH(BB146,INDEX(Beersheet!$A:$U,0,FFARawStatProjections!$BV$2),0),$BV$3)+$BN146,
INDEX($A146:$BM146,,$BV$12)*$BW$12+
INDEX($A146:$BM146,,$BV$15)*$BW$15+
INDEX($A146:$BM146,,$BV$16)*$BW$16+
INDEX($A146:$BM146,,$BV$17)*$BW$17+
INDEX($A146:$BM146,,$BV$18)*$BW$18+
INDEX($A146:$BM146,,$BV$19)*$BW$19+
INDEX($A146:$BM146,,$BV$20)*$BW$20+
INDEX($A146:$BM146,,$BV$21)*$BW$21+
INDEX($A146:$BM146,,$BV$22)*$BW$22+
INDEX($A146:$BM146,,$BV$23)*$BW$23+
INDEX($A146:$BM146,,$BV$25)*$BW$25+
INDEX($A146:$BM146,,$BV$26)*$BW$26+
INDEX($A146:$BM146,,$BV$27)*$BW$27+
$BN146)),
$BN146-100)</f>
        <v>-100</v>
      </c>
      <c r="BF146" t="str">
        <f t="shared" si="36"/>
        <v/>
      </c>
      <c r="BG146" t="str">
        <f t="shared" si="37"/>
        <v/>
      </c>
      <c r="BH146">
        <f t="shared" si="38"/>
        <v>0</v>
      </c>
      <c r="BJ146" t="str">
        <f t="shared" si="39"/>
        <v/>
      </c>
      <c r="BL146">
        <f t="shared" si="29"/>
        <v>0</v>
      </c>
      <c r="BN146">
        <v>1.4499999999999999E-3</v>
      </c>
      <c r="BS146" s="4" t="s">
        <v>1432</v>
      </c>
    </row>
    <row r="147" spans="1:71" ht="15.75" thickBot="1" x14ac:dyDescent="0.3">
      <c r="A147" s="569" t="s">
        <v>2296</v>
      </c>
      <c r="B147" s="569" t="s">
        <v>152</v>
      </c>
      <c r="C147" s="569" t="s">
        <v>3</v>
      </c>
      <c r="D147" s="574">
        <v>14</v>
      </c>
      <c r="E147" s="569"/>
      <c r="F147" s="569"/>
      <c r="G147" s="569"/>
      <c r="H147" s="569"/>
      <c r="I147" s="574">
        <v>0</v>
      </c>
      <c r="J147" s="574">
        <v>0</v>
      </c>
      <c r="K147" s="574">
        <v>0</v>
      </c>
      <c r="L147" s="574">
        <v>16.2</v>
      </c>
      <c r="M147" s="574">
        <v>0.7</v>
      </c>
      <c r="N147" s="574">
        <v>105.1</v>
      </c>
      <c r="O147" s="574">
        <v>209.6</v>
      </c>
      <c r="P147" s="574">
        <v>4.3</v>
      </c>
      <c r="Q147" s="574">
        <v>882.9</v>
      </c>
      <c r="R147" s="569"/>
      <c r="S147" s="569"/>
      <c r="T147" s="569"/>
      <c r="U147" s="569"/>
      <c r="V147" s="569"/>
      <c r="W147" s="569"/>
      <c r="X147" s="569"/>
      <c r="Y147" s="569"/>
      <c r="Z147" s="569"/>
      <c r="AA147" s="569"/>
      <c r="AB147" s="569"/>
      <c r="AC147" s="569"/>
      <c r="AD147" s="569"/>
      <c r="AE147" s="569"/>
      <c r="AF147" s="569"/>
      <c r="AG147" s="569"/>
      <c r="AH147" s="569"/>
      <c r="AI147" s="569"/>
      <c r="AJ147" s="569"/>
      <c r="AK147" s="569"/>
      <c r="AL147" s="569"/>
      <c r="AM147" s="569"/>
      <c r="AN147" s="574">
        <v>128</v>
      </c>
      <c r="AO147">
        <v>146</v>
      </c>
      <c r="AP147" t="str">
        <f t="shared" si="27"/>
        <v/>
      </c>
      <c r="AQ147" t="str">
        <f t="shared" si="30"/>
        <v/>
      </c>
      <c r="AR147" s="430">
        <f>IFERROR(
IF(AP147="",-100,
IF($BV$2&gt;0, INDEX(Beersheet!$A:$U,MATCH(AP147,INDEX(Beersheet!$A:$U,0,FFARawStatProjections!$BV$2),0),$BV$3)+$BN147,
INDEX($A147:$BM147,,$BV$12)*$BW$12+
INDEX($A147:$BM147,,$BV$15)*$BW$15+
INDEX($A147:$BM147,,$BV$16)*$BW$16+
INDEX($A147:$BM147,,$BV$17)*$BW$17+
INDEX($A147:$BM147,,$BV$18)*$BW$18+
INDEX($A147:$BM147,,$BV$19)*$BW$19+
INDEX($A147:$BM147,,$BV$20)*$BW$20+
INDEX($A147:$BM147,,$BV$21)*$BW$21+
INDEX($A147:$BM147,,$BV$22)*$BW$22+
INDEX($A147:$BM147,,$BV$23)*$BW$23+
INDEX($A147:$BM147,,$BV$25)*$BW$25+
INDEX($A147:$BM147,,$BV$26)*$BW$26+
INDEX($A147:$BM147,,$BV$27)*$BW$27+
$BN147)),
$BN147-100)</f>
        <v>-100</v>
      </c>
      <c r="AT147" t="str">
        <f t="shared" si="31"/>
        <v>Brian Robinson</v>
      </c>
      <c r="AU147" t="str">
        <f t="shared" si="32"/>
        <v>WAS</v>
      </c>
      <c r="AV147" s="430">
        <f>IFERROR(
IF(AT147="",-100,
IF($BV$2&gt;0, INDEX(Beersheet!$A:$U,MATCH(AT147,INDEX(Beersheet!$A:$U,0,FFARawStatProjections!$BV$2),0),$BV$3)+$BN147,
INDEX($A147:$BM147,,$BV$12)*$BW$12+
INDEX($A147:$BM147,,$BV$15)*$BW$15+
INDEX($A147:$BM147,,$BV$16)*$BW$16+
INDEX($A147:$BM147,,$BV$17)*$BW$17+
INDEX($A147:$BM147,,$BV$18)*$BW$18+
INDEX($A147:$BM147,,$BV$19)*$BW$19+
INDEX($A147:$BM147,,$BV$20)*$BW$20+
INDEX($A147:$BM147,,$BV$21)*$BW$21+
INDEX($A147:$BM147,,$BV$22)*$BW$22+
INDEX($A147:$BM147,,$BV$23)*$BW$23+
INDEX($A147:$BM147,,$BV$25)*$BW$25+
INDEX($A147:$BM147,,$BV$26)*$BW$26+
INDEX($A147:$BM147,,$BV$27)*$BW$27+
$BN147)),
$BN147-100)</f>
        <v>145.00146000000001</v>
      </c>
      <c r="AX147" t="str">
        <f t="shared" si="33"/>
        <v/>
      </c>
      <c r="AY147" t="str">
        <f t="shared" si="34"/>
        <v/>
      </c>
      <c r="AZ147" s="430">
        <f>IFERROR(
IF(AX147="",-100,
IF($BV$2&gt;0, INDEX(Beersheet!$A:$U,MATCH(AX147,INDEX(Beersheet!$A:$U,0,FFARawStatProjections!$BV$2),0),$BV$3)+$BN147,
INDEX($A147:$BM147,,$BV$12)*$BW$12+
INDEX($A147:$BM147,,$BV$15)*$BW$15+
INDEX($A147:$BM147,,$BV$16)*$BW$16+
INDEX($A147:$BM147,,$BV$17)*$BW$17+
INDEX($A147:$BM147,,$BV$18)*$BW$18+
INDEX($A147:$BM147,,$BV$19)*$BW$19+
INDEX($A147:$BM147,,$BV$20)*$BW$20+
INDEX($A147:$BM147,,$BV$21)*$BW$21+
INDEX($A147:$BM147,,$BV$22)*$BW$22+
INDEX($A147:$BM147,,$BV$23)*$BW$23+
INDEX($A147:$BM147,,$BV$25)*$BW$25+
INDEX($A147:$BM147,,$BV$26)*$BW$26+
INDEX($A147:$BM147,,$BV$27)*$BW$27+
$BN147)),
$BN147-100)</f>
        <v>-100</v>
      </c>
      <c r="BB147" t="str">
        <f t="shared" si="35"/>
        <v/>
      </c>
      <c r="BC147" t="str">
        <f t="shared" si="28"/>
        <v/>
      </c>
      <c r="BD147" s="430">
        <f>IFERROR(
IF(BB147="",-100,
IF($BV$2&gt;0, INDEX(Beersheet!$A:$U,MATCH(BB147,INDEX(Beersheet!$A:$U,0,FFARawStatProjections!$BV$2),0),$BV$3)+$BN147,
INDEX($A147:$BM147,,$BV$12)*$BW$12+
INDEX($A147:$BM147,,$BV$15)*$BW$15+
INDEX($A147:$BM147,,$BV$16)*$BW$16+
INDEX($A147:$BM147,,$BV$17)*$BW$17+
INDEX($A147:$BM147,,$BV$18)*$BW$18+
INDEX($A147:$BM147,,$BV$19)*$BW$19+
INDEX($A147:$BM147,,$BV$20)*$BW$20+
INDEX($A147:$BM147,,$BV$21)*$BW$21+
INDEX($A147:$BM147,,$BV$22)*$BW$22+
INDEX($A147:$BM147,,$BV$23)*$BW$23+
INDEX($A147:$BM147,,$BV$25)*$BW$25+
INDEX($A147:$BM147,,$BV$26)*$BW$26+
INDEX($A147:$BM147,,$BV$27)*$BW$27+
$BN147)),
$BN147-100)</f>
        <v>-100</v>
      </c>
      <c r="BF147" t="str">
        <f t="shared" si="36"/>
        <v/>
      </c>
      <c r="BG147" t="str">
        <f t="shared" si="37"/>
        <v/>
      </c>
      <c r="BH147">
        <f t="shared" si="38"/>
        <v>0</v>
      </c>
      <c r="BJ147" t="str">
        <f t="shared" si="39"/>
        <v/>
      </c>
      <c r="BL147">
        <f t="shared" si="29"/>
        <v>0</v>
      </c>
      <c r="BN147">
        <v>1.4599999999999999E-3</v>
      </c>
      <c r="BS147" s="4" t="s">
        <v>1295</v>
      </c>
    </row>
    <row r="148" spans="1:71" ht="15.75" thickBot="1" x14ac:dyDescent="0.3">
      <c r="A148" s="569" t="s">
        <v>2191</v>
      </c>
      <c r="B148" s="569" t="s">
        <v>141</v>
      </c>
      <c r="C148" s="569" t="s">
        <v>3</v>
      </c>
      <c r="D148" s="574">
        <v>13</v>
      </c>
      <c r="E148" s="569"/>
      <c r="F148" s="569"/>
      <c r="G148" s="569"/>
      <c r="H148" s="569"/>
      <c r="I148" s="574">
        <v>0</v>
      </c>
      <c r="J148" s="574">
        <v>0</v>
      </c>
      <c r="K148" s="574">
        <v>0</v>
      </c>
      <c r="L148" s="574">
        <v>20.2</v>
      </c>
      <c r="M148" s="574">
        <v>0.8</v>
      </c>
      <c r="N148" s="574">
        <v>135.5</v>
      </c>
      <c r="O148" s="574">
        <v>163.69999999999999</v>
      </c>
      <c r="P148" s="574">
        <v>4.8</v>
      </c>
      <c r="Q148" s="574">
        <v>812.6</v>
      </c>
      <c r="R148" s="569"/>
      <c r="S148" s="569"/>
      <c r="T148" s="569"/>
      <c r="U148" s="569"/>
      <c r="V148" s="569"/>
      <c r="W148" s="569"/>
      <c r="X148" s="569"/>
      <c r="Y148" s="569"/>
      <c r="Z148" s="569"/>
      <c r="AA148" s="569"/>
      <c r="AB148" s="569"/>
      <c r="AC148" s="569"/>
      <c r="AD148" s="569"/>
      <c r="AE148" s="569"/>
      <c r="AF148" s="569"/>
      <c r="AG148" s="569"/>
      <c r="AH148" s="569"/>
      <c r="AI148" s="569"/>
      <c r="AJ148" s="569"/>
      <c r="AK148" s="569"/>
      <c r="AL148" s="569"/>
      <c r="AM148" s="569"/>
      <c r="AN148" s="574">
        <v>127.5</v>
      </c>
      <c r="AO148">
        <v>147</v>
      </c>
      <c r="AP148" t="str">
        <f t="shared" ref="AP148:AP211" si="40">IF($C148="QB",A148,"")</f>
        <v/>
      </c>
      <c r="AQ148" t="str">
        <f t="shared" si="30"/>
        <v/>
      </c>
      <c r="AR148" s="430">
        <f>IFERROR(
IF(AP148="",-100,
IF($BV$2&gt;0, INDEX(Beersheet!$A:$U,MATCH(AP148,INDEX(Beersheet!$A:$U,0,FFARawStatProjections!$BV$2),0),$BV$3)+$BN148,
INDEX($A148:$BM148,,$BV$12)*$BW$12+
INDEX($A148:$BM148,,$BV$15)*$BW$15+
INDEX($A148:$BM148,,$BV$16)*$BW$16+
INDEX($A148:$BM148,,$BV$17)*$BW$17+
INDEX($A148:$BM148,,$BV$18)*$BW$18+
INDEX($A148:$BM148,,$BV$19)*$BW$19+
INDEX($A148:$BM148,,$BV$20)*$BW$20+
INDEX($A148:$BM148,,$BV$21)*$BW$21+
INDEX($A148:$BM148,,$BV$22)*$BW$22+
INDEX($A148:$BM148,,$BV$23)*$BW$23+
INDEX($A148:$BM148,,$BV$25)*$BW$25+
INDEX($A148:$BM148,,$BV$26)*$BW$26+
INDEX($A148:$BM148,,$BV$27)*$BW$27+
$BN148)),
$BN148-100)</f>
        <v>-100</v>
      </c>
      <c r="AT148" t="str">
        <f t="shared" si="31"/>
        <v>Khalil Herbert</v>
      </c>
      <c r="AU148" t="str">
        <f t="shared" si="32"/>
        <v>CHI</v>
      </c>
      <c r="AV148" s="430">
        <f>IFERROR(
IF(AT148="",-100,
IF($BV$2&gt;0, INDEX(Beersheet!$A:$U,MATCH(AT148,INDEX(Beersheet!$A:$U,0,FFARawStatProjections!$BV$2),0),$BV$3)+$BN148,
INDEX($A148:$BM148,,$BV$12)*$BW$12+
INDEX($A148:$BM148,,$BV$15)*$BW$15+
INDEX($A148:$BM148,,$BV$16)*$BW$16+
INDEX($A148:$BM148,,$BV$17)*$BW$17+
INDEX($A148:$BM148,,$BV$18)*$BW$18+
INDEX($A148:$BM148,,$BV$19)*$BW$19+
INDEX($A148:$BM148,,$BV$20)*$BW$20+
INDEX($A148:$BM148,,$BV$21)*$BW$21+
INDEX($A148:$BM148,,$BV$22)*$BW$22+
INDEX($A148:$BM148,,$BV$23)*$BW$23+
INDEX($A148:$BM148,,$BV$25)*$BW$25+
INDEX($A148:$BM148,,$BV$26)*$BW$26+
INDEX($A148:$BM148,,$BV$27)*$BW$27+
$BN148)),
$BN148-100)</f>
        <v>148.61147000000003</v>
      </c>
      <c r="AX148" t="str">
        <f t="shared" si="33"/>
        <v/>
      </c>
      <c r="AY148" t="str">
        <f t="shared" si="34"/>
        <v/>
      </c>
      <c r="AZ148" s="430">
        <f>IFERROR(
IF(AX148="",-100,
IF($BV$2&gt;0, INDEX(Beersheet!$A:$U,MATCH(AX148,INDEX(Beersheet!$A:$U,0,FFARawStatProjections!$BV$2),0),$BV$3)+$BN148,
INDEX($A148:$BM148,,$BV$12)*$BW$12+
INDEX($A148:$BM148,,$BV$15)*$BW$15+
INDEX($A148:$BM148,,$BV$16)*$BW$16+
INDEX($A148:$BM148,,$BV$17)*$BW$17+
INDEX($A148:$BM148,,$BV$18)*$BW$18+
INDEX($A148:$BM148,,$BV$19)*$BW$19+
INDEX($A148:$BM148,,$BV$20)*$BW$20+
INDEX($A148:$BM148,,$BV$21)*$BW$21+
INDEX($A148:$BM148,,$BV$22)*$BW$22+
INDEX($A148:$BM148,,$BV$23)*$BW$23+
INDEX($A148:$BM148,,$BV$25)*$BW$25+
INDEX($A148:$BM148,,$BV$26)*$BW$26+
INDEX($A148:$BM148,,$BV$27)*$BW$27+
$BN148)),
$BN148-100)</f>
        <v>-100</v>
      </c>
      <c r="BB148" t="str">
        <f t="shared" si="35"/>
        <v/>
      </c>
      <c r="BC148" t="str">
        <f t="shared" si="28"/>
        <v/>
      </c>
      <c r="BD148" s="430">
        <f>IFERROR(
IF(BB148="",-100,
IF($BV$2&gt;0, INDEX(Beersheet!$A:$U,MATCH(BB148,INDEX(Beersheet!$A:$U,0,FFARawStatProjections!$BV$2),0),$BV$3)+$BN148,
INDEX($A148:$BM148,,$BV$12)*$BW$12+
INDEX($A148:$BM148,,$BV$15)*$BW$15+
INDEX($A148:$BM148,,$BV$16)*$BW$16+
INDEX($A148:$BM148,,$BV$17)*$BW$17+
INDEX($A148:$BM148,,$BV$18)*$BW$18+
INDEX($A148:$BM148,,$BV$19)*$BW$19+
INDEX($A148:$BM148,,$BV$20)*$BW$20+
INDEX($A148:$BM148,,$BV$21)*$BW$21+
INDEX($A148:$BM148,,$BV$22)*$BW$22+
INDEX($A148:$BM148,,$BV$23)*$BW$23+
INDEX($A148:$BM148,,$BV$25)*$BW$25+
INDEX($A148:$BM148,,$BV$26)*$BW$26+
INDEX($A148:$BM148,,$BV$27)*$BW$27+
$BN148)),
$BN148-100)</f>
        <v>-100</v>
      </c>
      <c r="BF148" t="str">
        <f t="shared" si="36"/>
        <v/>
      </c>
      <c r="BG148" t="str">
        <f t="shared" si="37"/>
        <v/>
      </c>
      <c r="BH148">
        <f t="shared" si="38"/>
        <v>0</v>
      </c>
      <c r="BJ148" t="str">
        <f t="shared" si="39"/>
        <v/>
      </c>
      <c r="BL148">
        <f t="shared" si="29"/>
        <v>0</v>
      </c>
      <c r="BN148">
        <v>1.47E-3</v>
      </c>
      <c r="BS148" s="4" t="s">
        <v>146</v>
      </c>
    </row>
    <row r="149" spans="1:71" ht="15.75" thickBot="1" x14ac:dyDescent="0.3">
      <c r="A149" s="569" t="s">
        <v>2076</v>
      </c>
      <c r="B149" s="569" t="s">
        <v>137</v>
      </c>
      <c r="C149" s="569" t="s">
        <v>3</v>
      </c>
      <c r="D149" s="574">
        <v>10</v>
      </c>
      <c r="E149" s="569"/>
      <c r="F149" s="569"/>
      <c r="G149" s="569"/>
      <c r="H149" s="569"/>
      <c r="I149" s="574">
        <v>0</v>
      </c>
      <c r="J149" s="574">
        <v>0</v>
      </c>
      <c r="K149" s="574">
        <v>0</v>
      </c>
      <c r="L149" s="574">
        <v>39.9</v>
      </c>
      <c r="M149" s="574">
        <v>1.8</v>
      </c>
      <c r="N149" s="574">
        <v>329.4</v>
      </c>
      <c r="O149" s="574">
        <v>118.2</v>
      </c>
      <c r="P149" s="574">
        <v>4.8</v>
      </c>
      <c r="Q149" s="574">
        <v>555.9</v>
      </c>
      <c r="R149" s="569"/>
      <c r="S149" s="569"/>
      <c r="T149" s="569"/>
      <c r="U149" s="569"/>
      <c r="V149" s="569"/>
      <c r="W149" s="569"/>
      <c r="X149" s="569"/>
      <c r="Y149" s="569"/>
      <c r="Z149" s="569"/>
      <c r="AA149" s="569"/>
      <c r="AB149" s="569"/>
      <c r="AC149" s="569"/>
      <c r="AD149" s="569"/>
      <c r="AE149" s="569"/>
      <c r="AF149" s="569"/>
      <c r="AG149" s="569"/>
      <c r="AH149" s="569"/>
      <c r="AI149" s="569"/>
      <c r="AJ149" s="569"/>
      <c r="AK149" s="569"/>
      <c r="AL149" s="569"/>
      <c r="AM149" s="569"/>
      <c r="AN149" s="574">
        <v>126.5</v>
      </c>
      <c r="AO149">
        <v>148</v>
      </c>
      <c r="AP149" t="str">
        <f t="shared" si="40"/>
        <v/>
      </c>
      <c r="AQ149" t="str">
        <f t="shared" si="30"/>
        <v/>
      </c>
      <c r="AR149" s="430">
        <f>IFERROR(
IF(AP149="",-100,
IF($BV$2&gt;0, INDEX(Beersheet!$A:$U,MATCH(AP149,INDEX(Beersheet!$A:$U,0,FFARawStatProjections!$BV$2),0),$BV$3)+$BN149,
INDEX($A149:$BM149,,$BV$12)*$BW$12+
INDEX($A149:$BM149,,$BV$15)*$BW$15+
INDEX($A149:$BM149,,$BV$16)*$BW$16+
INDEX($A149:$BM149,,$BV$17)*$BW$17+
INDEX($A149:$BM149,,$BV$18)*$BW$18+
INDEX($A149:$BM149,,$BV$19)*$BW$19+
INDEX($A149:$BM149,,$BV$20)*$BW$20+
INDEX($A149:$BM149,,$BV$21)*$BW$21+
INDEX($A149:$BM149,,$BV$22)*$BW$22+
INDEX($A149:$BM149,,$BV$23)*$BW$23+
INDEX($A149:$BM149,,$BV$25)*$BW$25+
INDEX($A149:$BM149,,$BV$26)*$BW$26+
INDEX($A149:$BM149,,$BV$27)*$BW$27+
$BN149)),
$BN149-100)</f>
        <v>-100</v>
      </c>
      <c r="AT149" t="str">
        <f t="shared" si="31"/>
        <v>DAndre Swift</v>
      </c>
      <c r="AU149" t="str">
        <f t="shared" si="32"/>
        <v>PHI</v>
      </c>
      <c r="AV149" s="430">
        <f>IFERROR(
IF(AT149="",-100,
IF($BV$2&gt;0, INDEX(Beersheet!$A:$U,MATCH(AT149,INDEX(Beersheet!$A:$U,0,FFARawStatProjections!$BV$2),0),$BV$3)+$BN149,
INDEX($A149:$BM149,,$BV$12)*$BW$12+
INDEX($A149:$BM149,,$BV$15)*$BW$15+
INDEX($A149:$BM149,,$BV$16)*$BW$16+
INDEX($A149:$BM149,,$BV$17)*$BW$17+
INDEX($A149:$BM149,,$BV$18)*$BW$18+
INDEX($A149:$BM149,,$BV$19)*$BW$19+
INDEX($A149:$BM149,,$BV$20)*$BW$20+
INDEX($A149:$BM149,,$BV$21)*$BW$21+
INDEX($A149:$BM149,,$BV$22)*$BW$22+
INDEX($A149:$BM149,,$BV$23)*$BW$23+
INDEX($A149:$BM149,,$BV$25)*$BW$25+
INDEX($A149:$BM149,,$BV$26)*$BW$26+
INDEX($A149:$BM149,,$BV$27)*$BW$27+
$BN149)),
$BN149-100)</f>
        <v>168.03147999999999</v>
      </c>
      <c r="AX149" t="str">
        <f t="shared" si="33"/>
        <v/>
      </c>
      <c r="AY149" t="str">
        <f t="shared" si="34"/>
        <v/>
      </c>
      <c r="AZ149" s="430">
        <f>IFERROR(
IF(AX149="",-100,
IF($BV$2&gt;0, INDEX(Beersheet!$A:$U,MATCH(AX149,INDEX(Beersheet!$A:$U,0,FFARawStatProjections!$BV$2),0),$BV$3)+$BN149,
INDEX($A149:$BM149,,$BV$12)*$BW$12+
INDEX($A149:$BM149,,$BV$15)*$BW$15+
INDEX($A149:$BM149,,$BV$16)*$BW$16+
INDEX($A149:$BM149,,$BV$17)*$BW$17+
INDEX($A149:$BM149,,$BV$18)*$BW$18+
INDEX($A149:$BM149,,$BV$19)*$BW$19+
INDEX($A149:$BM149,,$BV$20)*$BW$20+
INDEX($A149:$BM149,,$BV$21)*$BW$21+
INDEX($A149:$BM149,,$BV$22)*$BW$22+
INDEX($A149:$BM149,,$BV$23)*$BW$23+
INDEX($A149:$BM149,,$BV$25)*$BW$25+
INDEX($A149:$BM149,,$BV$26)*$BW$26+
INDEX($A149:$BM149,,$BV$27)*$BW$27+
$BN149)),
$BN149-100)</f>
        <v>-100</v>
      </c>
      <c r="BB149" t="str">
        <f t="shared" si="35"/>
        <v/>
      </c>
      <c r="BC149" t="str">
        <f t="shared" si="28"/>
        <v/>
      </c>
      <c r="BD149" s="430">
        <f>IFERROR(
IF(BB149="",-100,
IF($BV$2&gt;0, INDEX(Beersheet!$A:$U,MATCH(BB149,INDEX(Beersheet!$A:$U,0,FFARawStatProjections!$BV$2),0),$BV$3)+$BN149,
INDEX($A149:$BM149,,$BV$12)*$BW$12+
INDEX($A149:$BM149,,$BV$15)*$BW$15+
INDEX($A149:$BM149,,$BV$16)*$BW$16+
INDEX($A149:$BM149,,$BV$17)*$BW$17+
INDEX($A149:$BM149,,$BV$18)*$BW$18+
INDEX($A149:$BM149,,$BV$19)*$BW$19+
INDEX($A149:$BM149,,$BV$20)*$BW$20+
INDEX($A149:$BM149,,$BV$21)*$BW$21+
INDEX($A149:$BM149,,$BV$22)*$BW$22+
INDEX($A149:$BM149,,$BV$23)*$BW$23+
INDEX($A149:$BM149,,$BV$25)*$BW$25+
INDEX($A149:$BM149,,$BV$26)*$BW$26+
INDEX($A149:$BM149,,$BV$27)*$BW$27+
$BN149)),
$BN149-100)</f>
        <v>-100</v>
      </c>
      <c r="BF149" t="str">
        <f t="shared" si="36"/>
        <v/>
      </c>
      <c r="BG149" t="str">
        <f t="shared" si="37"/>
        <v/>
      </c>
      <c r="BH149">
        <f t="shared" si="38"/>
        <v>0</v>
      </c>
      <c r="BJ149" t="str">
        <f t="shared" si="39"/>
        <v/>
      </c>
      <c r="BL149">
        <f t="shared" si="29"/>
        <v>0</v>
      </c>
      <c r="BN149">
        <v>1.48E-3</v>
      </c>
      <c r="BS149" s="4" t="s">
        <v>1813</v>
      </c>
    </row>
    <row r="150" spans="1:71" ht="15.75" thickBot="1" x14ac:dyDescent="0.3">
      <c r="A150" s="569" t="s">
        <v>1425</v>
      </c>
      <c r="B150" s="569" t="s">
        <v>164</v>
      </c>
      <c r="C150" s="569" t="s">
        <v>3</v>
      </c>
      <c r="D150" s="574">
        <v>7</v>
      </c>
      <c r="E150" s="569"/>
      <c r="F150" s="569"/>
      <c r="G150" s="569"/>
      <c r="H150" s="569"/>
      <c r="I150" s="574">
        <v>0</v>
      </c>
      <c r="J150" s="574">
        <v>0</v>
      </c>
      <c r="K150" s="574">
        <v>0</v>
      </c>
      <c r="L150" s="574">
        <v>27.4</v>
      </c>
      <c r="M150" s="574">
        <v>1</v>
      </c>
      <c r="N150" s="574">
        <v>204.1</v>
      </c>
      <c r="O150" s="574">
        <v>175.3</v>
      </c>
      <c r="P150" s="574">
        <v>4.4000000000000004</v>
      </c>
      <c r="Q150" s="574">
        <v>738.3</v>
      </c>
      <c r="R150" s="569"/>
      <c r="S150" s="569"/>
      <c r="T150" s="569"/>
      <c r="U150" s="569"/>
      <c r="V150" s="569"/>
      <c r="W150" s="569"/>
      <c r="X150" s="569"/>
      <c r="Y150" s="569"/>
      <c r="Z150" s="569"/>
      <c r="AA150" s="569"/>
      <c r="AB150" s="569"/>
      <c r="AC150" s="569"/>
      <c r="AD150" s="569"/>
      <c r="AE150" s="569"/>
      <c r="AF150" s="569"/>
      <c r="AG150" s="569"/>
      <c r="AH150" s="569"/>
      <c r="AI150" s="569"/>
      <c r="AJ150" s="569"/>
      <c r="AK150" s="569"/>
      <c r="AL150" s="569"/>
      <c r="AM150" s="569"/>
      <c r="AN150" s="574">
        <v>123.8</v>
      </c>
      <c r="AO150">
        <v>149</v>
      </c>
      <c r="AP150" t="str">
        <f t="shared" si="40"/>
        <v/>
      </c>
      <c r="AQ150" t="str">
        <f t="shared" si="30"/>
        <v/>
      </c>
      <c r="AR150" s="430">
        <f>IFERROR(
IF(AP150="",-100,
IF($BV$2&gt;0, INDEX(Beersheet!$A:$U,MATCH(AP150,INDEX(Beersheet!$A:$U,0,FFARawStatProjections!$BV$2),0),$BV$3)+$BN150,
INDEX($A150:$BM150,,$BV$12)*$BW$12+
INDEX($A150:$BM150,,$BV$15)*$BW$15+
INDEX($A150:$BM150,,$BV$16)*$BW$16+
INDEX($A150:$BM150,,$BV$17)*$BW$17+
INDEX($A150:$BM150,,$BV$18)*$BW$18+
INDEX($A150:$BM150,,$BV$19)*$BW$19+
INDEX($A150:$BM150,,$BV$20)*$BW$20+
INDEX($A150:$BM150,,$BV$21)*$BW$21+
INDEX($A150:$BM150,,$BV$22)*$BW$22+
INDEX($A150:$BM150,,$BV$23)*$BW$23+
INDEX($A150:$BM150,,$BV$25)*$BW$25+
INDEX($A150:$BM150,,$BV$26)*$BW$26+
INDEX($A150:$BM150,,$BV$27)*$BW$27+
$BN150)),
$BN150-100)</f>
        <v>-100</v>
      </c>
      <c r="AT150" t="str">
        <f t="shared" si="31"/>
        <v>Dalvin Cook</v>
      </c>
      <c r="AU150" t="str">
        <f t="shared" si="32"/>
        <v>NYJ</v>
      </c>
      <c r="AV150" s="430">
        <f>IFERROR(
IF(AT150="",-100,
IF($BV$2&gt;0, INDEX(Beersheet!$A:$U,MATCH(AT150,INDEX(Beersheet!$A:$U,0,FFARawStatProjections!$BV$2),0),$BV$3)+$BN150,
INDEX($A150:$BM150,,$BV$12)*$BW$12+
INDEX($A150:$BM150,,$BV$15)*$BW$15+
INDEX($A150:$BM150,,$BV$16)*$BW$16+
INDEX($A150:$BM150,,$BV$17)*$BW$17+
INDEX($A150:$BM150,,$BV$18)*$BW$18+
INDEX($A150:$BM150,,$BV$19)*$BW$19+
INDEX($A150:$BM150,,$BV$20)*$BW$20+
INDEX($A150:$BM150,,$BV$21)*$BW$21+
INDEX($A150:$BM150,,$BV$22)*$BW$22+
INDEX($A150:$BM150,,$BV$23)*$BW$23+
INDEX($A150:$BM150,,$BV$25)*$BW$25+
INDEX($A150:$BM150,,$BV$26)*$BW$26+
INDEX($A150:$BM150,,$BV$27)*$BW$27+
$BN150)),
$BN150-100)</f>
        <v>154.04149000000001</v>
      </c>
      <c r="AX150" t="str">
        <f t="shared" si="33"/>
        <v/>
      </c>
      <c r="AY150" t="str">
        <f t="shared" si="34"/>
        <v/>
      </c>
      <c r="AZ150" s="430">
        <f>IFERROR(
IF(AX150="",-100,
IF($BV$2&gt;0, INDEX(Beersheet!$A:$U,MATCH(AX150,INDEX(Beersheet!$A:$U,0,FFARawStatProjections!$BV$2),0),$BV$3)+$BN150,
INDEX($A150:$BM150,,$BV$12)*$BW$12+
INDEX($A150:$BM150,,$BV$15)*$BW$15+
INDEX($A150:$BM150,,$BV$16)*$BW$16+
INDEX($A150:$BM150,,$BV$17)*$BW$17+
INDEX($A150:$BM150,,$BV$18)*$BW$18+
INDEX($A150:$BM150,,$BV$19)*$BW$19+
INDEX($A150:$BM150,,$BV$20)*$BW$20+
INDEX($A150:$BM150,,$BV$21)*$BW$21+
INDEX($A150:$BM150,,$BV$22)*$BW$22+
INDEX($A150:$BM150,,$BV$23)*$BW$23+
INDEX($A150:$BM150,,$BV$25)*$BW$25+
INDEX($A150:$BM150,,$BV$26)*$BW$26+
INDEX($A150:$BM150,,$BV$27)*$BW$27+
$BN150)),
$BN150-100)</f>
        <v>-100</v>
      </c>
      <c r="BB150" t="str">
        <f t="shared" si="35"/>
        <v/>
      </c>
      <c r="BC150" t="str">
        <f t="shared" si="28"/>
        <v/>
      </c>
      <c r="BD150" s="430">
        <f>IFERROR(
IF(BB150="",-100,
IF($BV$2&gt;0, INDEX(Beersheet!$A:$U,MATCH(BB150,INDEX(Beersheet!$A:$U,0,FFARawStatProjections!$BV$2),0),$BV$3)+$BN150,
INDEX($A150:$BM150,,$BV$12)*$BW$12+
INDEX($A150:$BM150,,$BV$15)*$BW$15+
INDEX($A150:$BM150,,$BV$16)*$BW$16+
INDEX($A150:$BM150,,$BV$17)*$BW$17+
INDEX($A150:$BM150,,$BV$18)*$BW$18+
INDEX($A150:$BM150,,$BV$19)*$BW$19+
INDEX($A150:$BM150,,$BV$20)*$BW$20+
INDEX($A150:$BM150,,$BV$21)*$BW$21+
INDEX($A150:$BM150,,$BV$22)*$BW$22+
INDEX($A150:$BM150,,$BV$23)*$BW$23+
INDEX($A150:$BM150,,$BV$25)*$BW$25+
INDEX($A150:$BM150,,$BV$26)*$BW$26+
INDEX($A150:$BM150,,$BV$27)*$BW$27+
$BN150)),
$BN150-100)</f>
        <v>-100</v>
      </c>
      <c r="BF150" t="str">
        <f t="shared" si="36"/>
        <v/>
      </c>
      <c r="BG150" t="str">
        <f t="shared" si="37"/>
        <v/>
      </c>
      <c r="BH150">
        <f t="shared" si="38"/>
        <v>0</v>
      </c>
      <c r="BJ150" t="str">
        <f t="shared" si="39"/>
        <v/>
      </c>
      <c r="BL150">
        <f t="shared" si="29"/>
        <v>0</v>
      </c>
      <c r="BN150">
        <v>1.49E-3</v>
      </c>
      <c r="BS150" s="4" t="s">
        <v>2553</v>
      </c>
    </row>
    <row r="151" spans="1:71" ht="15.75" thickBot="1" x14ac:dyDescent="0.3">
      <c r="A151" s="569" t="s">
        <v>1440</v>
      </c>
      <c r="B151" s="569" t="s">
        <v>144</v>
      </c>
      <c r="C151" s="569" t="s">
        <v>3</v>
      </c>
      <c r="D151" s="574">
        <v>9</v>
      </c>
      <c r="E151" s="569"/>
      <c r="F151" s="569"/>
      <c r="G151" s="569"/>
      <c r="H151" s="569"/>
      <c r="I151" s="574">
        <v>0</v>
      </c>
      <c r="J151" s="574">
        <v>0</v>
      </c>
      <c r="K151" s="574">
        <v>0</v>
      </c>
      <c r="L151" s="574">
        <v>28.8</v>
      </c>
      <c r="M151" s="574">
        <v>1.5</v>
      </c>
      <c r="N151" s="574">
        <v>232.6</v>
      </c>
      <c r="O151" s="574">
        <v>152</v>
      </c>
      <c r="P151" s="574">
        <v>3.9</v>
      </c>
      <c r="Q151" s="574">
        <v>636.4</v>
      </c>
      <c r="R151" s="569"/>
      <c r="S151" s="569"/>
      <c r="T151" s="569"/>
      <c r="U151" s="569"/>
      <c r="V151" s="569"/>
      <c r="W151" s="569"/>
      <c r="X151" s="569"/>
      <c r="Y151" s="569"/>
      <c r="Z151" s="569"/>
      <c r="AA151" s="569"/>
      <c r="AB151" s="569"/>
      <c r="AC151" s="569"/>
      <c r="AD151" s="569"/>
      <c r="AE151" s="569"/>
      <c r="AF151" s="569"/>
      <c r="AG151" s="569"/>
      <c r="AH151" s="569"/>
      <c r="AI151" s="569"/>
      <c r="AJ151" s="569"/>
      <c r="AK151" s="569"/>
      <c r="AL151" s="569"/>
      <c r="AM151" s="569"/>
      <c r="AN151" s="574">
        <v>118.4</v>
      </c>
      <c r="AO151">
        <v>150</v>
      </c>
      <c r="AP151" t="str">
        <f t="shared" si="40"/>
        <v/>
      </c>
      <c r="AQ151" t="str">
        <f t="shared" si="30"/>
        <v/>
      </c>
      <c r="AR151" s="430">
        <f>IFERROR(
IF(AP151="",-100,
IF($BV$2&gt;0, INDEX(Beersheet!$A:$U,MATCH(AP151,INDEX(Beersheet!$A:$U,0,FFARawStatProjections!$BV$2),0),$BV$3)+$BN151,
INDEX($A151:$BM151,,$BV$12)*$BW$12+
INDEX($A151:$BM151,,$BV$15)*$BW$15+
INDEX($A151:$BM151,,$BV$16)*$BW$16+
INDEX($A151:$BM151,,$BV$17)*$BW$17+
INDEX($A151:$BM151,,$BV$18)*$BW$18+
INDEX($A151:$BM151,,$BV$19)*$BW$19+
INDEX($A151:$BM151,,$BV$20)*$BW$20+
INDEX($A151:$BM151,,$BV$21)*$BW$21+
INDEX($A151:$BM151,,$BV$22)*$BW$22+
INDEX($A151:$BM151,,$BV$23)*$BW$23+
INDEX($A151:$BM151,,$BV$25)*$BW$25+
INDEX($A151:$BM151,,$BV$26)*$BW$26+
INDEX($A151:$BM151,,$BV$27)*$BW$27+
$BN151)),
$BN151-100)</f>
        <v>-100</v>
      </c>
      <c r="AT151" t="str">
        <f t="shared" si="31"/>
        <v>Samaje Perine</v>
      </c>
      <c r="AU151" t="str">
        <f t="shared" si="32"/>
        <v>DEN</v>
      </c>
      <c r="AV151" s="430">
        <f>IFERROR(
IF(AT151="",-100,
IF($BV$2&gt;0, INDEX(Beersheet!$A:$U,MATCH(AT151,INDEX(Beersheet!$A:$U,0,FFARawStatProjections!$BV$2),0),$BV$3)+$BN151,
INDEX($A151:$BM151,,$BV$12)*$BW$12+
INDEX($A151:$BM151,,$BV$15)*$BW$15+
INDEX($A151:$BM151,,$BV$16)*$BW$16+
INDEX($A151:$BM151,,$BV$17)*$BW$17+
INDEX($A151:$BM151,,$BV$18)*$BW$18+
INDEX($A151:$BM151,,$BV$19)*$BW$19+
INDEX($A151:$BM151,,$BV$20)*$BW$20+
INDEX($A151:$BM151,,$BV$21)*$BW$21+
INDEX($A151:$BM151,,$BV$22)*$BW$22+
INDEX($A151:$BM151,,$BV$23)*$BW$23+
INDEX($A151:$BM151,,$BV$25)*$BW$25+
INDEX($A151:$BM151,,$BV$26)*$BW$26+
INDEX($A151:$BM151,,$BV$27)*$BW$27+
$BN151)),
$BN151-100)</f>
        <v>148.10150000000002</v>
      </c>
      <c r="AX151" t="str">
        <f t="shared" si="33"/>
        <v/>
      </c>
      <c r="AY151" t="str">
        <f t="shared" si="34"/>
        <v/>
      </c>
      <c r="AZ151" s="430">
        <f>IFERROR(
IF(AX151="",-100,
IF($BV$2&gt;0, INDEX(Beersheet!$A:$U,MATCH(AX151,INDEX(Beersheet!$A:$U,0,FFARawStatProjections!$BV$2),0),$BV$3)+$BN151,
INDEX($A151:$BM151,,$BV$12)*$BW$12+
INDEX($A151:$BM151,,$BV$15)*$BW$15+
INDEX($A151:$BM151,,$BV$16)*$BW$16+
INDEX($A151:$BM151,,$BV$17)*$BW$17+
INDEX($A151:$BM151,,$BV$18)*$BW$18+
INDEX($A151:$BM151,,$BV$19)*$BW$19+
INDEX($A151:$BM151,,$BV$20)*$BW$20+
INDEX($A151:$BM151,,$BV$21)*$BW$21+
INDEX($A151:$BM151,,$BV$22)*$BW$22+
INDEX($A151:$BM151,,$BV$23)*$BW$23+
INDEX($A151:$BM151,,$BV$25)*$BW$25+
INDEX($A151:$BM151,,$BV$26)*$BW$26+
INDEX($A151:$BM151,,$BV$27)*$BW$27+
$BN151)),
$BN151-100)</f>
        <v>-100</v>
      </c>
      <c r="BB151" t="str">
        <f t="shared" si="35"/>
        <v/>
      </c>
      <c r="BC151" t="str">
        <f t="shared" si="28"/>
        <v/>
      </c>
      <c r="BD151" s="430">
        <f>IFERROR(
IF(BB151="",-100,
IF($BV$2&gt;0, INDEX(Beersheet!$A:$U,MATCH(BB151,INDEX(Beersheet!$A:$U,0,FFARawStatProjections!$BV$2),0),$BV$3)+$BN151,
INDEX($A151:$BM151,,$BV$12)*$BW$12+
INDEX($A151:$BM151,,$BV$15)*$BW$15+
INDEX($A151:$BM151,,$BV$16)*$BW$16+
INDEX($A151:$BM151,,$BV$17)*$BW$17+
INDEX($A151:$BM151,,$BV$18)*$BW$18+
INDEX($A151:$BM151,,$BV$19)*$BW$19+
INDEX($A151:$BM151,,$BV$20)*$BW$20+
INDEX($A151:$BM151,,$BV$21)*$BW$21+
INDEX($A151:$BM151,,$BV$22)*$BW$22+
INDEX($A151:$BM151,,$BV$23)*$BW$23+
INDEX($A151:$BM151,,$BV$25)*$BW$25+
INDEX($A151:$BM151,,$BV$26)*$BW$26+
INDEX($A151:$BM151,,$BV$27)*$BW$27+
$BN151)),
$BN151-100)</f>
        <v>-100</v>
      </c>
      <c r="BF151" t="str">
        <f t="shared" si="36"/>
        <v/>
      </c>
      <c r="BG151" t="str">
        <f t="shared" si="37"/>
        <v/>
      </c>
      <c r="BH151">
        <f t="shared" si="38"/>
        <v>0</v>
      </c>
      <c r="BJ151" t="str">
        <f t="shared" si="39"/>
        <v/>
      </c>
      <c r="BL151">
        <f t="shared" si="29"/>
        <v>0</v>
      </c>
      <c r="BN151">
        <v>1.5E-3</v>
      </c>
      <c r="BS151" s="4" t="s">
        <v>2503</v>
      </c>
    </row>
    <row r="152" spans="1:71" ht="15.75" thickBot="1" x14ac:dyDescent="0.3">
      <c r="A152" s="569" t="s">
        <v>2091</v>
      </c>
      <c r="B152" s="569" t="s">
        <v>152</v>
      </c>
      <c r="C152" s="569" t="s">
        <v>3</v>
      </c>
      <c r="D152" s="574">
        <v>14</v>
      </c>
      <c r="E152" s="569"/>
      <c r="F152" s="569"/>
      <c r="G152" s="569"/>
      <c r="H152" s="569"/>
      <c r="I152" s="574">
        <v>0</v>
      </c>
      <c r="J152" s="574">
        <v>0</v>
      </c>
      <c r="K152" s="574">
        <v>0</v>
      </c>
      <c r="L152" s="574">
        <v>42.6</v>
      </c>
      <c r="M152" s="574">
        <v>1.4</v>
      </c>
      <c r="N152" s="574">
        <v>309.7</v>
      </c>
      <c r="O152" s="574">
        <v>139.1</v>
      </c>
      <c r="P152" s="574">
        <v>3.6</v>
      </c>
      <c r="Q152" s="574">
        <v>558.70000000000005</v>
      </c>
      <c r="R152" s="569"/>
      <c r="S152" s="569"/>
      <c r="T152" s="569"/>
      <c r="U152" s="569"/>
      <c r="V152" s="569"/>
      <c r="W152" s="569"/>
      <c r="X152" s="569"/>
      <c r="Y152" s="569"/>
      <c r="Z152" s="569"/>
      <c r="AA152" s="569"/>
      <c r="AB152" s="569"/>
      <c r="AC152" s="569"/>
      <c r="AD152" s="569"/>
      <c r="AE152" s="569"/>
      <c r="AF152" s="569"/>
      <c r="AG152" s="569"/>
      <c r="AH152" s="569"/>
      <c r="AI152" s="569"/>
      <c r="AJ152" s="569"/>
      <c r="AK152" s="569"/>
      <c r="AL152" s="569"/>
      <c r="AM152" s="569"/>
      <c r="AN152" s="574">
        <v>115.1</v>
      </c>
      <c r="AO152">
        <v>151</v>
      </c>
      <c r="AP152" t="str">
        <f t="shared" si="40"/>
        <v/>
      </c>
      <c r="AQ152" t="str">
        <f t="shared" si="30"/>
        <v/>
      </c>
      <c r="AR152" s="430">
        <f>IFERROR(
IF(AP152="",-100,
IF($BV$2&gt;0, INDEX(Beersheet!$A:$U,MATCH(AP152,INDEX(Beersheet!$A:$U,0,FFARawStatProjections!$BV$2),0),$BV$3)+$BN152,
INDEX($A152:$BM152,,$BV$12)*$BW$12+
INDEX($A152:$BM152,,$BV$15)*$BW$15+
INDEX($A152:$BM152,,$BV$16)*$BW$16+
INDEX($A152:$BM152,,$BV$17)*$BW$17+
INDEX($A152:$BM152,,$BV$18)*$BW$18+
INDEX($A152:$BM152,,$BV$19)*$BW$19+
INDEX($A152:$BM152,,$BV$20)*$BW$20+
INDEX($A152:$BM152,,$BV$21)*$BW$21+
INDEX($A152:$BM152,,$BV$22)*$BW$22+
INDEX($A152:$BM152,,$BV$23)*$BW$23+
INDEX($A152:$BM152,,$BV$25)*$BW$25+
INDEX($A152:$BM152,,$BV$26)*$BW$26+
INDEX($A152:$BM152,,$BV$27)*$BW$27+
$BN152)),
$BN152-100)</f>
        <v>-100</v>
      </c>
      <c r="AT152" t="str">
        <f t="shared" si="31"/>
        <v>Antonio Gibson</v>
      </c>
      <c r="AU152" t="str">
        <f t="shared" si="32"/>
        <v>WAS</v>
      </c>
      <c r="AV152" s="430">
        <f>IFERROR(
IF(AT152="",-100,
IF($BV$2&gt;0, INDEX(Beersheet!$A:$U,MATCH(AT152,INDEX(Beersheet!$A:$U,0,FFARawStatProjections!$BV$2),0),$BV$3)+$BN152,
INDEX($A152:$BM152,,$BV$12)*$BW$12+
INDEX($A152:$BM152,,$BV$15)*$BW$15+
INDEX($A152:$BM152,,$BV$16)*$BW$16+
INDEX($A152:$BM152,,$BV$17)*$BW$17+
INDEX($A152:$BM152,,$BV$18)*$BW$18+
INDEX($A152:$BM152,,$BV$19)*$BW$19+
INDEX($A152:$BM152,,$BV$20)*$BW$20+
INDEX($A152:$BM152,,$BV$21)*$BW$21+
INDEX($A152:$BM152,,$BV$22)*$BW$22+
INDEX($A152:$BM152,,$BV$23)*$BW$23+
INDEX($A152:$BM152,,$BV$25)*$BW$25+
INDEX($A152:$BM152,,$BV$26)*$BW$26+
INDEX($A152:$BM152,,$BV$27)*$BW$27+
$BN152)),
$BN152-100)</f>
        <v>159.44150999999999</v>
      </c>
      <c r="AX152" t="str">
        <f t="shared" si="33"/>
        <v/>
      </c>
      <c r="AY152" t="str">
        <f t="shared" si="34"/>
        <v/>
      </c>
      <c r="AZ152" s="430">
        <f>IFERROR(
IF(AX152="",-100,
IF($BV$2&gt;0, INDEX(Beersheet!$A:$U,MATCH(AX152,INDEX(Beersheet!$A:$U,0,FFARawStatProjections!$BV$2),0),$BV$3)+$BN152,
INDEX($A152:$BM152,,$BV$12)*$BW$12+
INDEX($A152:$BM152,,$BV$15)*$BW$15+
INDEX($A152:$BM152,,$BV$16)*$BW$16+
INDEX($A152:$BM152,,$BV$17)*$BW$17+
INDEX($A152:$BM152,,$BV$18)*$BW$18+
INDEX($A152:$BM152,,$BV$19)*$BW$19+
INDEX($A152:$BM152,,$BV$20)*$BW$20+
INDEX($A152:$BM152,,$BV$21)*$BW$21+
INDEX($A152:$BM152,,$BV$22)*$BW$22+
INDEX($A152:$BM152,,$BV$23)*$BW$23+
INDEX($A152:$BM152,,$BV$25)*$BW$25+
INDEX($A152:$BM152,,$BV$26)*$BW$26+
INDEX($A152:$BM152,,$BV$27)*$BW$27+
$BN152)),
$BN152-100)</f>
        <v>-100</v>
      </c>
      <c r="BB152" t="str">
        <f t="shared" si="35"/>
        <v/>
      </c>
      <c r="BC152" t="str">
        <f t="shared" si="28"/>
        <v/>
      </c>
      <c r="BD152" s="430">
        <f>IFERROR(
IF(BB152="",-100,
IF($BV$2&gt;0, INDEX(Beersheet!$A:$U,MATCH(BB152,INDEX(Beersheet!$A:$U,0,FFARawStatProjections!$BV$2),0),$BV$3)+$BN152,
INDEX($A152:$BM152,,$BV$12)*$BW$12+
INDEX($A152:$BM152,,$BV$15)*$BW$15+
INDEX($A152:$BM152,,$BV$16)*$BW$16+
INDEX($A152:$BM152,,$BV$17)*$BW$17+
INDEX($A152:$BM152,,$BV$18)*$BW$18+
INDEX($A152:$BM152,,$BV$19)*$BW$19+
INDEX($A152:$BM152,,$BV$20)*$BW$20+
INDEX($A152:$BM152,,$BV$21)*$BW$21+
INDEX($A152:$BM152,,$BV$22)*$BW$22+
INDEX($A152:$BM152,,$BV$23)*$BW$23+
INDEX($A152:$BM152,,$BV$25)*$BW$25+
INDEX($A152:$BM152,,$BV$26)*$BW$26+
INDEX($A152:$BM152,,$BV$27)*$BW$27+
$BN152)),
$BN152-100)</f>
        <v>-100</v>
      </c>
      <c r="BF152" t="str">
        <f t="shared" si="36"/>
        <v/>
      </c>
      <c r="BG152" t="str">
        <f t="shared" si="37"/>
        <v/>
      </c>
      <c r="BH152">
        <f t="shared" si="38"/>
        <v>0</v>
      </c>
      <c r="BJ152" t="str">
        <f t="shared" si="39"/>
        <v/>
      </c>
      <c r="BL152">
        <f>IFERROR(IF(BJ152="",0,
V152*2+W152*2+X152*2+Z152*6+AA152*1+AB152*2+AC152*6
+AN152+BN152),"")</f>
        <v>0</v>
      </c>
      <c r="BN152">
        <v>1.5100000000000001E-3</v>
      </c>
      <c r="BS152" s="4" t="s">
        <v>1993</v>
      </c>
    </row>
    <row r="153" spans="1:71" ht="15.75" thickBot="1" x14ac:dyDescent="0.3">
      <c r="A153" s="569" t="s">
        <v>1767</v>
      </c>
      <c r="B153" s="569" t="s">
        <v>137</v>
      </c>
      <c r="C153" s="569" t="s">
        <v>3</v>
      </c>
      <c r="D153" s="574">
        <v>10</v>
      </c>
      <c r="E153" s="569"/>
      <c r="F153" s="569"/>
      <c r="G153" s="569"/>
      <c r="H153" s="569"/>
      <c r="I153" s="574">
        <v>0</v>
      </c>
      <c r="J153" s="574">
        <v>0</v>
      </c>
      <c r="K153" s="574">
        <v>0</v>
      </c>
      <c r="L153" s="574">
        <v>8.3000000000000007</v>
      </c>
      <c r="M153" s="574">
        <v>0.2</v>
      </c>
      <c r="N153" s="574">
        <v>55.9</v>
      </c>
      <c r="O153" s="574">
        <v>157</v>
      </c>
      <c r="P153" s="574">
        <v>5.0999999999999996</v>
      </c>
      <c r="Q153" s="574">
        <v>754.8</v>
      </c>
      <c r="R153" s="569"/>
      <c r="S153" s="569"/>
      <c r="T153" s="569"/>
      <c r="U153" s="569"/>
      <c r="V153" s="569"/>
      <c r="W153" s="569"/>
      <c r="X153" s="569"/>
      <c r="Y153" s="569"/>
      <c r="Z153" s="569"/>
      <c r="AA153" s="569"/>
      <c r="AB153" s="569"/>
      <c r="AC153" s="569"/>
      <c r="AD153" s="569"/>
      <c r="AE153" s="569"/>
      <c r="AF153" s="569"/>
      <c r="AG153" s="569"/>
      <c r="AH153" s="569"/>
      <c r="AI153" s="569"/>
      <c r="AJ153" s="569"/>
      <c r="AK153" s="569"/>
      <c r="AL153" s="569"/>
      <c r="AM153" s="569"/>
      <c r="AN153" s="574">
        <v>111.7</v>
      </c>
      <c r="AO153">
        <v>152</v>
      </c>
      <c r="AP153" t="str">
        <f t="shared" si="40"/>
        <v/>
      </c>
      <c r="AQ153" t="str">
        <f t="shared" si="30"/>
        <v/>
      </c>
      <c r="AR153" s="430">
        <f>IFERROR(
IF(AP153="",-100,
IF($BV$2&gt;0, INDEX(Beersheet!$A:$U,MATCH(AP153,INDEX(Beersheet!$A:$U,0,FFARawStatProjections!$BV$2),0),$BV$3)+$BN153,
INDEX($A153:$BM153,,$BV$12)*$BW$12+
INDEX($A153:$BM153,,$BV$15)*$BW$15+
INDEX($A153:$BM153,,$BV$16)*$BW$16+
INDEX($A153:$BM153,,$BV$17)*$BW$17+
INDEX($A153:$BM153,,$BV$18)*$BW$18+
INDEX($A153:$BM153,,$BV$19)*$BW$19+
INDEX($A153:$BM153,,$BV$20)*$BW$20+
INDEX($A153:$BM153,,$BV$21)*$BW$21+
INDEX($A153:$BM153,,$BV$22)*$BW$22+
INDEX($A153:$BM153,,$BV$23)*$BW$23+
INDEX($A153:$BM153,,$BV$25)*$BW$25+
INDEX($A153:$BM153,,$BV$26)*$BW$26+
INDEX($A153:$BM153,,$BV$27)*$BW$27+
$BN153)),
$BN153-100)</f>
        <v>-100</v>
      </c>
      <c r="AT153" t="str">
        <f t="shared" si="31"/>
        <v>Rashaad Penny</v>
      </c>
      <c r="AU153" t="str">
        <f t="shared" si="32"/>
        <v>PHI</v>
      </c>
      <c r="AV153" s="430">
        <f>IFERROR(
IF(AT153="",-100,
IF($BV$2&gt;0, INDEX(Beersheet!$A:$U,MATCH(AT153,INDEX(Beersheet!$A:$U,0,FFARawStatProjections!$BV$2),0),$BV$3)+$BN153,
INDEX($A153:$BM153,,$BV$12)*$BW$12+
INDEX($A153:$BM153,,$BV$15)*$BW$15+
INDEX($A153:$BM153,,$BV$16)*$BW$16+
INDEX($A153:$BM153,,$BV$17)*$BW$17+
INDEX($A153:$BM153,,$BV$18)*$BW$18+
INDEX($A153:$BM153,,$BV$19)*$BW$19+
INDEX($A153:$BM153,,$BV$20)*$BW$20+
INDEX($A153:$BM153,,$BV$21)*$BW$21+
INDEX($A153:$BM153,,$BV$22)*$BW$22+
INDEX($A153:$BM153,,$BV$23)*$BW$23+
INDEX($A153:$BM153,,$BV$25)*$BW$25+
INDEX($A153:$BM153,,$BV$26)*$BW$26+
INDEX($A153:$BM153,,$BV$27)*$BW$27+
$BN153)),
$BN153-100)</f>
        <v>121.17152</v>
      </c>
      <c r="AX153" t="str">
        <f t="shared" si="33"/>
        <v/>
      </c>
      <c r="AY153" t="str">
        <f t="shared" si="34"/>
        <v/>
      </c>
      <c r="AZ153" s="430">
        <f>IFERROR(
IF(AX153="",-100,
IF($BV$2&gt;0, INDEX(Beersheet!$A:$U,MATCH(AX153,INDEX(Beersheet!$A:$U,0,FFARawStatProjections!$BV$2),0),$BV$3)+$BN153,
INDEX($A153:$BM153,,$BV$12)*$BW$12+
INDEX($A153:$BM153,,$BV$15)*$BW$15+
INDEX($A153:$BM153,,$BV$16)*$BW$16+
INDEX($A153:$BM153,,$BV$17)*$BW$17+
INDEX($A153:$BM153,,$BV$18)*$BW$18+
INDEX($A153:$BM153,,$BV$19)*$BW$19+
INDEX($A153:$BM153,,$BV$20)*$BW$20+
INDEX($A153:$BM153,,$BV$21)*$BW$21+
INDEX($A153:$BM153,,$BV$22)*$BW$22+
INDEX($A153:$BM153,,$BV$23)*$BW$23+
INDEX($A153:$BM153,,$BV$25)*$BW$25+
INDEX($A153:$BM153,,$BV$26)*$BW$26+
INDEX($A153:$BM153,,$BV$27)*$BW$27+
$BN153)),
$BN153-100)</f>
        <v>-100</v>
      </c>
      <c r="BB153" t="str">
        <f t="shared" si="35"/>
        <v/>
      </c>
      <c r="BC153" t="str">
        <f t="shared" si="28"/>
        <v/>
      </c>
      <c r="BD153" s="430">
        <f>IFERROR(
IF(BB153="",-100,
IF($BV$2&gt;0, INDEX(Beersheet!$A:$U,MATCH(BB153,INDEX(Beersheet!$A:$U,0,FFARawStatProjections!$BV$2),0),$BV$3)+$BN153,
INDEX($A153:$BM153,,$BV$12)*$BW$12+
INDEX($A153:$BM153,,$BV$15)*$BW$15+
INDEX($A153:$BM153,,$BV$16)*$BW$16+
INDEX($A153:$BM153,,$BV$17)*$BW$17+
INDEX($A153:$BM153,,$BV$18)*$BW$18+
INDEX($A153:$BM153,,$BV$19)*$BW$19+
INDEX($A153:$BM153,,$BV$20)*$BW$20+
INDEX($A153:$BM153,,$BV$21)*$BW$21+
INDEX($A153:$BM153,,$BV$22)*$BW$22+
INDEX($A153:$BM153,,$BV$23)*$BW$23+
INDEX($A153:$BM153,,$BV$25)*$BW$25+
INDEX($A153:$BM153,,$BV$26)*$BW$26+
INDEX($A153:$BM153,,$BV$27)*$BW$27+
$BN153)),
$BN153-100)</f>
        <v>-100</v>
      </c>
      <c r="BF153" t="str">
        <f t="shared" si="36"/>
        <v/>
      </c>
      <c r="BG153" t="str">
        <f t="shared" si="37"/>
        <v/>
      </c>
      <c r="BH153">
        <f t="shared" si="38"/>
        <v>0</v>
      </c>
      <c r="BJ153" t="str">
        <f t="shared" si="39"/>
        <v/>
      </c>
      <c r="BL153">
        <f t="shared" ref="BL153:BL216" si="41">IFERROR(IF(BJ153="",0,
V153*2+W153*2+X153*2+Z153*6+AA153*1+AB153*2+AC153*6
+AN153+BN153),"")</f>
        <v>0</v>
      </c>
      <c r="BN153">
        <v>1.5200000000000001E-3</v>
      </c>
      <c r="BS153" s="4" t="s">
        <v>1425</v>
      </c>
    </row>
    <row r="154" spans="1:71" ht="15.75" thickBot="1" x14ac:dyDescent="0.3">
      <c r="A154" s="569" t="s">
        <v>1446</v>
      </c>
      <c r="B154" s="569" t="s">
        <v>143</v>
      </c>
      <c r="C154" s="569" t="s">
        <v>3</v>
      </c>
      <c r="D154" s="574">
        <v>11</v>
      </c>
      <c r="E154" s="569"/>
      <c r="F154" s="569"/>
      <c r="G154" s="569"/>
      <c r="H154" s="569"/>
      <c r="I154" s="574">
        <v>0</v>
      </c>
      <c r="J154" s="574">
        <v>0</v>
      </c>
      <c r="K154" s="574">
        <v>0</v>
      </c>
      <c r="L154" s="574">
        <v>14.1</v>
      </c>
      <c r="M154" s="574">
        <v>0.5</v>
      </c>
      <c r="N154" s="574">
        <v>106.4</v>
      </c>
      <c r="O154" s="574">
        <v>161.5</v>
      </c>
      <c r="P154" s="574">
        <v>5.4</v>
      </c>
      <c r="Q154" s="574">
        <v>662.3</v>
      </c>
      <c r="R154" s="569"/>
      <c r="S154" s="569"/>
      <c r="T154" s="569"/>
      <c r="U154" s="569"/>
      <c r="V154" s="569"/>
      <c r="W154" s="569"/>
      <c r="X154" s="569"/>
      <c r="Y154" s="569"/>
      <c r="Z154" s="569"/>
      <c r="AA154" s="569"/>
      <c r="AB154" s="569"/>
      <c r="AC154" s="569"/>
      <c r="AD154" s="569"/>
      <c r="AE154" s="569"/>
      <c r="AF154" s="569"/>
      <c r="AG154" s="569"/>
      <c r="AH154" s="569"/>
      <c r="AI154" s="569"/>
      <c r="AJ154" s="569"/>
      <c r="AK154" s="569"/>
      <c r="AL154" s="569"/>
      <c r="AM154" s="569"/>
      <c r="AN154" s="574">
        <v>110.5</v>
      </c>
      <c r="AO154">
        <v>153</v>
      </c>
      <c r="AP154" t="str">
        <f t="shared" si="40"/>
        <v/>
      </c>
      <c r="AQ154" t="str">
        <f t="shared" si="30"/>
        <v/>
      </c>
      <c r="AR154" s="430">
        <f>IFERROR(
IF(AP154="",-100,
IF($BV$2&gt;0, INDEX(Beersheet!$A:$U,MATCH(AP154,INDEX(Beersheet!$A:$U,0,FFARawStatProjections!$BV$2),0),$BV$3)+$BN154,
INDEX($A154:$BM154,,$BV$12)*$BW$12+
INDEX($A154:$BM154,,$BV$15)*$BW$15+
INDEX($A154:$BM154,,$BV$16)*$BW$16+
INDEX($A154:$BM154,,$BV$17)*$BW$17+
INDEX($A154:$BM154,,$BV$18)*$BW$18+
INDEX($A154:$BM154,,$BV$19)*$BW$19+
INDEX($A154:$BM154,,$BV$20)*$BW$20+
INDEX($A154:$BM154,,$BV$21)*$BW$21+
INDEX($A154:$BM154,,$BV$22)*$BW$22+
INDEX($A154:$BM154,,$BV$23)*$BW$23+
INDEX($A154:$BM154,,$BV$25)*$BW$25+
INDEX($A154:$BM154,,$BV$26)*$BW$26+
INDEX($A154:$BM154,,$BV$27)*$BW$27+
$BN154)),
$BN154-100)</f>
        <v>-100</v>
      </c>
      <c r="AT154" t="str">
        <f t="shared" si="31"/>
        <v>Jamaal Williams</v>
      </c>
      <c r="AU154" t="str">
        <f t="shared" si="32"/>
        <v>NO</v>
      </c>
      <c r="AV154" s="430">
        <f>IFERROR(
IF(AT154="",-100,
IF($BV$2&gt;0, INDEX(Beersheet!$A:$U,MATCH(AT154,INDEX(Beersheet!$A:$U,0,FFARawStatProjections!$BV$2),0),$BV$3)+$BN154,
INDEX($A154:$BM154,,$BV$12)*$BW$12+
INDEX($A154:$BM154,,$BV$15)*$BW$15+
INDEX($A154:$BM154,,$BV$16)*$BW$16+
INDEX($A154:$BM154,,$BV$17)*$BW$17+
INDEX($A154:$BM154,,$BV$18)*$BW$18+
INDEX($A154:$BM154,,$BV$19)*$BW$19+
INDEX($A154:$BM154,,$BV$20)*$BW$20+
INDEX($A154:$BM154,,$BV$21)*$BW$21+
INDEX($A154:$BM154,,$BV$22)*$BW$22+
INDEX($A154:$BM154,,$BV$23)*$BW$23+
INDEX($A154:$BM154,,$BV$25)*$BW$25+
INDEX($A154:$BM154,,$BV$26)*$BW$26+
INDEX($A154:$BM154,,$BV$27)*$BW$27+
$BN154)),
$BN154-100)</f>
        <v>126.37153000000001</v>
      </c>
      <c r="AX154" t="str">
        <f t="shared" si="33"/>
        <v/>
      </c>
      <c r="AY154" t="str">
        <f t="shared" si="34"/>
        <v/>
      </c>
      <c r="AZ154" s="430">
        <f>IFERROR(
IF(AX154="",-100,
IF($BV$2&gt;0, INDEX(Beersheet!$A:$U,MATCH(AX154,INDEX(Beersheet!$A:$U,0,FFARawStatProjections!$BV$2),0),$BV$3)+$BN154,
INDEX($A154:$BM154,,$BV$12)*$BW$12+
INDEX($A154:$BM154,,$BV$15)*$BW$15+
INDEX($A154:$BM154,,$BV$16)*$BW$16+
INDEX($A154:$BM154,,$BV$17)*$BW$17+
INDEX($A154:$BM154,,$BV$18)*$BW$18+
INDEX($A154:$BM154,,$BV$19)*$BW$19+
INDEX($A154:$BM154,,$BV$20)*$BW$20+
INDEX($A154:$BM154,,$BV$21)*$BW$21+
INDEX($A154:$BM154,,$BV$22)*$BW$22+
INDEX($A154:$BM154,,$BV$23)*$BW$23+
INDEX($A154:$BM154,,$BV$25)*$BW$25+
INDEX($A154:$BM154,,$BV$26)*$BW$26+
INDEX($A154:$BM154,,$BV$27)*$BW$27+
$BN154)),
$BN154-100)</f>
        <v>-100</v>
      </c>
      <c r="BB154" t="str">
        <f t="shared" si="35"/>
        <v/>
      </c>
      <c r="BC154" t="str">
        <f t="shared" si="28"/>
        <v/>
      </c>
      <c r="BD154" s="430">
        <f>IFERROR(
IF(BB154="",-100,
IF($BV$2&gt;0, INDEX(Beersheet!$A:$U,MATCH(BB154,INDEX(Beersheet!$A:$U,0,FFARawStatProjections!$BV$2),0),$BV$3)+$BN154,
INDEX($A154:$BM154,,$BV$12)*$BW$12+
INDEX($A154:$BM154,,$BV$15)*$BW$15+
INDEX($A154:$BM154,,$BV$16)*$BW$16+
INDEX($A154:$BM154,,$BV$17)*$BW$17+
INDEX($A154:$BM154,,$BV$18)*$BW$18+
INDEX($A154:$BM154,,$BV$19)*$BW$19+
INDEX($A154:$BM154,,$BV$20)*$BW$20+
INDEX($A154:$BM154,,$BV$21)*$BW$21+
INDEX($A154:$BM154,,$BV$22)*$BW$22+
INDEX($A154:$BM154,,$BV$23)*$BW$23+
INDEX($A154:$BM154,,$BV$25)*$BW$25+
INDEX($A154:$BM154,,$BV$26)*$BW$26+
INDEX($A154:$BM154,,$BV$27)*$BW$27+
$BN154)),
$BN154-100)</f>
        <v>-100</v>
      </c>
      <c r="BF154" t="str">
        <f t="shared" si="36"/>
        <v/>
      </c>
      <c r="BG154" t="str">
        <f t="shared" si="37"/>
        <v/>
      </c>
      <c r="BH154">
        <f t="shared" si="38"/>
        <v>0</v>
      </c>
      <c r="BJ154" t="str">
        <f t="shared" si="39"/>
        <v/>
      </c>
      <c r="BL154">
        <f t="shared" si="41"/>
        <v>0</v>
      </c>
      <c r="BN154">
        <v>1.5299999999999999E-3</v>
      </c>
      <c r="BS154" s="4" t="s">
        <v>2192</v>
      </c>
    </row>
    <row r="155" spans="1:71" ht="15.75" thickBot="1" x14ac:dyDescent="0.3">
      <c r="A155" s="569" t="s">
        <v>1877</v>
      </c>
      <c r="B155" s="569" t="s">
        <v>166</v>
      </c>
      <c r="C155" s="569" t="s">
        <v>3</v>
      </c>
      <c r="D155" s="574">
        <v>10</v>
      </c>
      <c r="E155" s="569"/>
      <c r="F155" s="569"/>
      <c r="G155" s="569"/>
      <c r="H155" s="569"/>
      <c r="I155" s="574">
        <v>0</v>
      </c>
      <c r="J155" s="574">
        <v>0</v>
      </c>
      <c r="K155" s="574">
        <v>0</v>
      </c>
      <c r="L155" s="574">
        <v>22.1</v>
      </c>
      <c r="M155" s="574">
        <v>1.1000000000000001</v>
      </c>
      <c r="N155" s="574">
        <v>170.1</v>
      </c>
      <c r="O155" s="574">
        <v>134.9</v>
      </c>
      <c r="P155" s="574">
        <v>4.4000000000000004</v>
      </c>
      <c r="Q155" s="574">
        <v>627.4</v>
      </c>
      <c r="R155" s="569"/>
      <c r="S155" s="569"/>
      <c r="T155" s="569"/>
      <c r="U155" s="569"/>
      <c r="V155" s="569"/>
      <c r="W155" s="569"/>
      <c r="X155" s="569"/>
      <c r="Y155" s="569"/>
      <c r="Z155" s="569"/>
      <c r="AA155" s="569"/>
      <c r="AB155" s="569"/>
      <c r="AC155" s="569"/>
      <c r="AD155" s="569"/>
      <c r="AE155" s="569"/>
      <c r="AF155" s="569"/>
      <c r="AG155" s="569"/>
      <c r="AH155" s="569"/>
      <c r="AI155" s="569"/>
      <c r="AJ155" s="569"/>
      <c r="AK155" s="569"/>
      <c r="AL155" s="569"/>
      <c r="AM155" s="569"/>
      <c r="AN155" s="574">
        <v>109.9</v>
      </c>
      <c r="AO155">
        <v>154</v>
      </c>
      <c r="AP155" t="str">
        <f t="shared" si="40"/>
        <v/>
      </c>
      <c r="AQ155" t="str">
        <f t="shared" si="30"/>
        <v/>
      </c>
      <c r="AR155" s="430">
        <f>IFERROR(
IF(AP155="",-100,
IF($BV$2&gt;0, INDEX(Beersheet!$A:$U,MATCH(AP155,INDEX(Beersheet!$A:$U,0,FFARawStatProjections!$BV$2),0),$BV$3)+$BN155,
INDEX($A155:$BM155,,$BV$12)*$BW$12+
INDEX($A155:$BM155,,$BV$15)*$BW$15+
INDEX($A155:$BM155,,$BV$16)*$BW$16+
INDEX($A155:$BM155,,$BV$17)*$BW$17+
INDEX($A155:$BM155,,$BV$18)*$BW$18+
INDEX($A155:$BM155,,$BV$19)*$BW$19+
INDEX($A155:$BM155,,$BV$20)*$BW$20+
INDEX($A155:$BM155,,$BV$21)*$BW$21+
INDEX($A155:$BM155,,$BV$22)*$BW$22+
INDEX($A155:$BM155,,$BV$23)*$BW$23+
INDEX($A155:$BM155,,$BV$25)*$BW$25+
INDEX($A155:$BM155,,$BV$26)*$BW$26+
INDEX($A155:$BM155,,$BV$27)*$BW$27+
$BN155)),
$BN155-100)</f>
        <v>-100</v>
      </c>
      <c r="AT155" t="str">
        <f t="shared" si="31"/>
        <v>Jeff Wilson</v>
      </c>
      <c r="AU155" t="str">
        <f t="shared" si="32"/>
        <v>MIA</v>
      </c>
      <c r="AV155" s="430">
        <f>IFERROR(
IF(AT155="",-100,
IF($BV$2&gt;0, INDEX(Beersheet!$A:$U,MATCH(AT155,INDEX(Beersheet!$A:$U,0,FFARawStatProjections!$BV$2),0),$BV$3)+$BN155,
INDEX($A155:$BM155,,$BV$12)*$BW$12+
INDEX($A155:$BM155,,$BV$15)*$BW$15+
INDEX($A155:$BM155,,$BV$16)*$BW$16+
INDEX($A155:$BM155,,$BV$17)*$BW$17+
INDEX($A155:$BM155,,$BV$18)*$BW$18+
INDEX($A155:$BM155,,$BV$19)*$BW$19+
INDEX($A155:$BM155,,$BV$20)*$BW$20+
INDEX($A155:$BM155,,$BV$21)*$BW$21+
INDEX($A155:$BM155,,$BV$22)*$BW$22+
INDEX($A155:$BM155,,$BV$23)*$BW$23+
INDEX($A155:$BM155,,$BV$25)*$BW$25+
INDEX($A155:$BM155,,$BV$26)*$BW$26+
INDEX($A155:$BM155,,$BV$27)*$BW$27+
$BN155)),
$BN155-100)</f>
        <v>134.85154000000003</v>
      </c>
      <c r="AX155" t="str">
        <f t="shared" si="33"/>
        <v/>
      </c>
      <c r="AY155" t="str">
        <f t="shared" si="34"/>
        <v/>
      </c>
      <c r="AZ155" s="430">
        <f>IFERROR(
IF(AX155="",-100,
IF($BV$2&gt;0, INDEX(Beersheet!$A:$U,MATCH(AX155,INDEX(Beersheet!$A:$U,0,FFARawStatProjections!$BV$2),0),$BV$3)+$BN155,
INDEX($A155:$BM155,,$BV$12)*$BW$12+
INDEX($A155:$BM155,,$BV$15)*$BW$15+
INDEX($A155:$BM155,,$BV$16)*$BW$16+
INDEX($A155:$BM155,,$BV$17)*$BW$17+
INDEX($A155:$BM155,,$BV$18)*$BW$18+
INDEX($A155:$BM155,,$BV$19)*$BW$19+
INDEX($A155:$BM155,,$BV$20)*$BW$20+
INDEX($A155:$BM155,,$BV$21)*$BW$21+
INDEX($A155:$BM155,,$BV$22)*$BW$22+
INDEX($A155:$BM155,,$BV$23)*$BW$23+
INDEX($A155:$BM155,,$BV$25)*$BW$25+
INDEX($A155:$BM155,,$BV$26)*$BW$26+
INDEX($A155:$BM155,,$BV$27)*$BW$27+
$BN155)),
$BN155-100)</f>
        <v>-100</v>
      </c>
      <c r="BB155" t="str">
        <f t="shared" si="35"/>
        <v/>
      </c>
      <c r="BC155" t="str">
        <f t="shared" si="28"/>
        <v/>
      </c>
      <c r="BD155" s="430">
        <f>IFERROR(
IF(BB155="",-100,
IF($BV$2&gt;0, INDEX(Beersheet!$A:$U,MATCH(BB155,INDEX(Beersheet!$A:$U,0,FFARawStatProjections!$BV$2),0),$BV$3)+$BN155,
INDEX($A155:$BM155,,$BV$12)*$BW$12+
INDEX($A155:$BM155,,$BV$15)*$BW$15+
INDEX($A155:$BM155,,$BV$16)*$BW$16+
INDEX($A155:$BM155,,$BV$17)*$BW$17+
INDEX($A155:$BM155,,$BV$18)*$BW$18+
INDEX($A155:$BM155,,$BV$19)*$BW$19+
INDEX($A155:$BM155,,$BV$20)*$BW$20+
INDEX($A155:$BM155,,$BV$21)*$BW$21+
INDEX($A155:$BM155,,$BV$22)*$BW$22+
INDEX($A155:$BM155,,$BV$23)*$BW$23+
INDEX($A155:$BM155,,$BV$25)*$BW$25+
INDEX($A155:$BM155,,$BV$26)*$BW$26+
INDEX($A155:$BM155,,$BV$27)*$BW$27+
$BN155)),
$BN155-100)</f>
        <v>-100</v>
      </c>
      <c r="BF155" t="str">
        <f t="shared" si="36"/>
        <v/>
      </c>
      <c r="BG155" t="str">
        <f t="shared" si="37"/>
        <v/>
      </c>
      <c r="BH155">
        <f t="shared" si="38"/>
        <v>0</v>
      </c>
      <c r="BJ155" t="str">
        <f t="shared" si="39"/>
        <v/>
      </c>
      <c r="BL155">
        <f t="shared" si="41"/>
        <v>0</v>
      </c>
      <c r="BN155">
        <v>1.5399999999999999E-3</v>
      </c>
      <c r="BS155" s="4" t="s">
        <v>2292</v>
      </c>
    </row>
    <row r="156" spans="1:71" ht="15.75" thickBot="1" x14ac:dyDescent="0.3">
      <c r="A156" s="569" t="s">
        <v>2182</v>
      </c>
      <c r="B156" s="569" t="s">
        <v>155</v>
      </c>
      <c r="C156" s="569" t="s">
        <v>3</v>
      </c>
      <c r="D156" s="574">
        <v>9</v>
      </c>
      <c r="E156" s="569"/>
      <c r="F156" s="569"/>
      <c r="G156" s="569"/>
      <c r="H156" s="569"/>
      <c r="I156" s="574">
        <v>0</v>
      </c>
      <c r="J156" s="574">
        <v>0</v>
      </c>
      <c r="K156" s="574">
        <v>0</v>
      </c>
      <c r="L156" s="574">
        <v>13.1</v>
      </c>
      <c r="M156" s="574">
        <v>0.8</v>
      </c>
      <c r="N156" s="574">
        <v>95</v>
      </c>
      <c r="O156" s="574">
        <v>141</v>
      </c>
      <c r="P156" s="574">
        <v>4.0999999999999996</v>
      </c>
      <c r="Q156" s="574">
        <v>641.1</v>
      </c>
      <c r="R156" s="569"/>
      <c r="S156" s="569"/>
      <c r="T156" s="569"/>
      <c r="U156" s="569"/>
      <c r="V156" s="569"/>
      <c r="W156" s="569"/>
      <c r="X156" s="569"/>
      <c r="Y156" s="569"/>
      <c r="Z156" s="569"/>
      <c r="AA156" s="569"/>
      <c r="AB156" s="569"/>
      <c r="AC156" s="569"/>
      <c r="AD156" s="569"/>
      <c r="AE156" s="569"/>
      <c r="AF156" s="569"/>
      <c r="AG156" s="569"/>
      <c r="AH156" s="569"/>
      <c r="AI156" s="569"/>
      <c r="AJ156" s="569"/>
      <c r="AK156" s="569"/>
      <c r="AL156" s="569"/>
      <c r="AM156" s="569"/>
      <c r="AN156" s="574">
        <v>102.3</v>
      </c>
      <c r="AO156">
        <v>155</v>
      </c>
      <c r="AP156" t="str">
        <f t="shared" si="40"/>
        <v/>
      </c>
      <c r="AQ156" t="str">
        <f t="shared" si="30"/>
        <v/>
      </c>
      <c r="AR156" s="430">
        <f>IFERROR(
IF(AP156="",-100,
IF($BV$2&gt;0, INDEX(Beersheet!$A:$U,MATCH(AP156,INDEX(Beersheet!$A:$U,0,FFARawStatProjections!$BV$2),0),$BV$3)+$BN156,
INDEX($A156:$BM156,,$BV$12)*$BW$12+
INDEX($A156:$BM156,,$BV$15)*$BW$15+
INDEX($A156:$BM156,,$BV$16)*$BW$16+
INDEX($A156:$BM156,,$BV$17)*$BW$17+
INDEX($A156:$BM156,,$BV$18)*$BW$18+
INDEX($A156:$BM156,,$BV$19)*$BW$19+
INDEX($A156:$BM156,,$BV$20)*$BW$20+
INDEX($A156:$BM156,,$BV$21)*$BW$21+
INDEX($A156:$BM156,,$BV$22)*$BW$22+
INDEX($A156:$BM156,,$BV$23)*$BW$23+
INDEX($A156:$BM156,,$BV$25)*$BW$25+
INDEX($A156:$BM156,,$BV$26)*$BW$26+
INDEX($A156:$BM156,,$BV$27)*$BW$27+
$BN156)),
$BN156-100)</f>
        <v>-100</v>
      </c>
      <c r="AT156" t="str">
        <f t="shared" si="31"/>
        <v>Elijah Mitchell</v>
      </c>
      <c r="AU156" t="str">
        <f t="shared" si="32"/>
        <v>SF</v>
      </c>
      <c r="AV156" s="430">
        <f>IFERROR(
IF(AT156="",-100,
IF($BV$2&gt;0, INDEX(Beersheet!$A:$U,MATCH(AT156,INDEX(Beersheet!$A:$U,0,FFARawStatProjections!$BV$2),0),$BV$3)+$BN156,
INDEX($A156:$BM156,,$BV$12)*$BW$12+
INDEX($A156:$BM156,,$BV$15)*$BW$15+
INDEX($A156:$BM156,,$BV$16)*$BW$16+
INDEX($A156:$BM156,,$BV$17)*$BW$17+
INDEX($A156:$BM156,,$BV$18)*$BW$18+
INDEX($A156:$BM156,,$BV$19)*$BW$19+
INDEX($A156:$BM156,,$BV$20)*$BW$20+
INDEX($A156:$BM156,,$BV$21)*$BW$21+
INDEX($A156:$BM156,,$BV$22)*$BW$22+
INDEX($A156:$BM156,,$BV$23)*$BW$23+
INDEX($A156:$BM156,,$BV$25)*$BW$25+
INDEX($A156:$BM156,,$BV$26)*$BW$26+
INDEX($A156:$BM156,,$BV$27)*$BW$27+
$BN156)),
$BN156-100)</f>
        <v>116.11154999999999</v>
      </c>
      <c r="AX156" t="str">
        <f t="shared" si="33"/>
        <v/>
      </c>
      <c r="AY156" t="str">
        <f t="shared" si="34"/>
        <v/>
      </c>
      <c r="AZ156" s="430">
        <f>IFERROR(
IF(AX156="",-100,
IF($BV$2&gt;0, INDEX(Beersheet!$A:$U,MATCH(AX156,INDEX(Beersheet!$A:$U,0,FFARawStatProjections!$BV$2),0),$BV$3)+$BN156,
INDEX($A156:$BM156,,$BV$12)*$BW$12+
INDEX($A156:$BM156,,$BV$15)*$BW$15+
INDEX($A156:$BM156,,$BV$16)*$BW$16+
INDEX($A156:$BM156,,$BV$17)*$BW$17+
INDEX($A156:$BM156,,$BV$18)*$BW$18+
INDEX($A156:$BM156,,$BV$19)*$BW$19+
INDEX($A156:$BM156,,$BV$20)*$BW$20+
INDEX($A156:$BM156,,$BV$21)*$BW$21+
INDEX($A156:$BM156,,$BV$22)*$BW$22+
INDEX($A156:$BM156,,$BV$23)*$BW$23+
INDEX($A156:$BM156,,$BV$25)*$BW$25+
INDEX($A156:$BM156,,$BV$26)*$BW$26+
INDEX($A156:$BM156,,$BV$27)*$BW$27+
$BN156)),
$BN156-100)</f>
        <v>-100</v>
      </c>
      <c r="BB156" t="str">
        <f t="shared" si="35"/>
        <v/>
      </c>
      <c r="BC156" t="str">
        <f t="shared" si="28"/>
        <v/>
      </c>
      <c r="BD156" s="430">
        <f>IFERROR(
IF(BB156="",-100,
IF($BV$2&gt;0, INDEX(Beersheet!$A:$U,MATCH(BB156,INDEX(Beersheet!$A:$U,0,FFARawStatProjections!$BV$2),0),$BV$3)+$BN156,
INDEX($A156:$BM156,,$BV$12)*$BW$12+
INDEX($A156:$BM156,,$BV$15)*$BW$15+
INDEX($A156:$BM156,,$BV$16)*$BW$16+
INDEX($A156:$BM156,,$BV$17)*$BW$17+
INDEX($A156:$BM156,,$BV$18)*$BW$18+
INDEX($A156:$BM156,,$BV$19)*$BW$19+
INDEX($A156:$BM156,,$BV$20)*$BW$20+
INDEX($A156:$BM156,,$BV$21)*$BW$21+
INDEX($A156:$BM156,,$BV$22)*$BW$22+
INDEX($A156:$BM156,,$BV$23)*$BW$23+
INDEX($A156:$BM156,,$BV$25)*$BW$25+
INDEX($A156:$BM156,,$BV$26)*$BW$26+
INDEX($A156:$BM156,,$BV$27)*$BW$27+
$BN156)),
$BN156-100)</f>
        <v>-100</v>
      </c>
      <c r="BF156" t="str">
        <f t="shared" si="36"/>
        <v/>
      </c>
      <c r="BG156" t="str">
        <f t="shared" si="37"/>
        <v/>
      </c>
      <c r="BH156">
        <f t="shared" si="38"/>
        <v>0</v>
      </c>
      <c r="BJ156" t="str">
        <f t="shared" si="39"/>
        <v/>
      </c>
      <c r="BL156">
        <f t="shared" si="41"/>
        <v>0</v>
      </c>
      <c r="BN156">
        <v>1.5499999999999999E-3</v>
      </c>
      <c r="BS156" s="4" t="s">
        <v>1867</v>
      </c>
    </row>
    <row r="157" spans="1:71" ht="15.75" thickBot="1" x14ac:dyDescent="0.3">
      <c r="A157" s="569" t="s">
        <v>2293</v>
      </c>
      <c r="B157" s="569" t="s">
        <v>148</v>
      </c>
      <c r="C157" s="569" t="s">
        <v>3</v>
      </c>
      <c r="D157" s="574">
        <v>11</v>
      </c>
      <c r="E157" s="569"/>
      <c r="F157" s="569"/>
      <c r="G157" s="569"/>
      <c r="H157" s="569"/>
      <c r="I157" s="574">
        <v>0</v>
      </c>
      <c r="J157" s="574">
        <v>0</v>
      </c>
      <c r="K157" s="574">
        <v>0</v>
      </c>
      <c r="L157" s="574">
        <v>11.8</v>
      </c>
      <c r="M157" s="574">
        <v>0.5</v>
      </c>
      <c r="N157" s="574">
        <v>90.7</v>
      </c>
      <c r="O157" s="574">
        <v>148.1</v>
      </c>
      <c r="P157" s="574">
        <v>3.4</v>
      </c>
      <c r="Q157" s="574">
        <v>687.4</v>
      </c>
      <c r="R157" s="569"/>
      <c r="S157" s="569"/>
      <c r="T157" s="569"/>
      <c r="U157" s="569"/>
      <c r="V157" s="569"/>
      <c r="W157" s="569"/>
      <c r="X157" s="569"/>
      <c r="Y157" s="569"/>
      <c r="Z157" s="569"/>
      <c r="AA157" s="569"/>
      <c r="AB157" s="569"/>
      <c r="AC157" s="569"/>
      <c r="AD157" s="569"/>
      <c r="AE157" s="569"/>
      <c r="AF157" s="569"/>
      <c r="AG157" s="569"/>
      <c r="AH157" s="569"/>
      <c r="AI157" s="569"/>
      <c r="AJ157" s="569"/>
      <c r="AK157" s="569"/>
      <c r="AL157" s="569"/>
      <c r="AM157" s="569"/>
      <c r="AN157" s="574">
        <v>100.4</v>
      </c>
      <c r="AO157">
        <v>156</v>
      </c>
      <c r="AP157" t="str">
        <f t="shared" si="40"/>
        <v/>
      </c>
      <c r="AQ157" t="str">
        <f t="shared" si="30"/>
        <v/>
      </c>
      <c r="AR157" s="430">
        <f>IFERROR(
IF(AP157="",-100,
IF($BV$2&gt;0, INDEX(Beersheet!$A:$U,MATCH(AP157,INDEX(Beersheet!$A:$U,0,FFARawStatProjections!$BV$2),0),$BV$3)+$BN157,
INDEX($A157:$BM157,,$BV$12)*$BW$12+
INDEX($A157:$BM157,,$BV$15)*$BW$15+
INDEX($A157:$BM157,,$BV$16)*$BW$16+
INDEX($A157:$BM157,,$BV$17)*$BW$17+
INDEX($A157:$BM157,,$BV$18)*$BW$18+
INDEX($A157:$BM157,,$BV$19)*$BW$19+
INDEX($A157:$BM157,,$BV$20)*$BW$20+
INDEX($A157:$BM157,,$BV$21)*$BW$21+
INDEX($A157:$BM157,,$BV$22)*$BW$22+
INDEX($A157:$BM157,,$BV$23)*$BW$23+
INDEX($A157:$BM157,,$BV$25)*$BW$25+
INDEX($A157:$BM157,,$BV$26)*$BW$26+
INDEX($A157:$BM157,,$BV$27)*$BW$27+
$BN157)),
$BN157-100)</f>
        <v>-100</v>
      </c>
      <c r="AT157" t="str">
        <f t="shared" si="31"/>
        <v>Tyler Allgeier</v>
      </c>
      <c r="AU157" t="str">
        <f t="shared" si="32"/>
        <v>ATL</v>
      </c>
      <c r="AV157" s="430">
        <f>IFERROR(
IF(AT157="",-100,
IF($BV$2&gt;0, INDEX(Beersheet!$A:$U,MATCH(AT157,INDEX(Beersheet!$A:$U,0,FFARawStatProjections!$BV$2),0),$BV$3)+$BN157,
INDEX($A157:$BM157,,$BV$12)*$BW$12+
INDEX($A157:$BM157,,$BV$15)*$BW$15+
INDEX($A157:$BM157,,$BV$16)*$BW$16+
INDEX($A157:$BM157,,$BV$17)*$BW$17+
INDEX($A157:$BM157,,$BV$18)*$BW$18+
INDEX($A157:$BM157,,$BV$19)*$BW$19+
INDEX($A157:$BM157,,$BV$20)*$BW$20+
INDEX($A157:$BM157,,$BV$21)*$BW$21+
INDEX($A157:$BM157,,$BV$22)*$BW$22+
INDEX($A157:$BM157,,$BV$23)*$BW$23+
INDEX($A157:$BM157,,$BV$25)*$BW$25+
INDEX($A157:$BM157,,$BV$26)*$BW$26+
INDEX($A157:$BM157,,$BV$27)*$BW$27+
$BN157)),
$BN157-100)</f>
        <v>113.01155999999999</v>
      </c>
      <c r="AX157" t="str">
        <f t="shared" si="33"/>
        <v/>
      </c>
      <c r="AY157" t="str">
        <f t="shared" si="34"/>
        <v/>
      </c>
      <c r="AZ157" s="430">
        <f>IFERROR(
IF(AX157="",-100,
IF($BV$2&gt;0, INDEX(Beersheet!$A:$U,MATCH(AX157,INDEX(Beersheet!$A:$U,0,FFARawStatProjections!$BV$2),0),$BV$3)+$BN157,
INDEX($A157:$BM157,,$BV$12)*$BW$12+
INDEX($A157:$BM157,,$BV$15)*$BW$15+
INDEX($A157:$BM157,,$BV$16)*$BW$16+
INDEX($A157:$BM157,,$BV$17)*$BW$17+
INDEX($A157:$BM157,,$BV$18)*$BW$18+
INDEX($A157:$BM157,,$BV$19)*$BW$19+
INDEX($A157:$BM157,,$BV$20)*$BW$20+
INDEX($A157:$BM157,,$BV$21)*$BW$21+
INDEX($A157:$BM157,,$BV$22)*$BW$22+
INDEX($A157:$BM157,,$BV$23)*$BW$23+
INDEX($A157:$BM157,,$BV$25)*$BW$25+
INDEX($A157:$BM157,,$BV$26)*$BW$26+
INDEX($A157:$BM157,,$BV$27)*$BW$27+
$BN157)),
$BN157-100)</f>
        <v>-100</v>
      </c>
      <c r="BB157" t="str">
        <f t="shared" si="35"/>
        <v/>
      </c>
      <c r="BC157" t="str">
        <f t="shared" si="28"/>
        <v/>
      </c>
      <c r="BD157" s="430">
        <f>IFERROR(
IF(BB157="",-100,
IF($BV$2&gt;0, INDEX(Beersheet!$A:$U,MATCH(BB157,INDEX(Beersheet!$A:$U,0,FFARawStatProjections!$BV$2),0),$BV$3)+$BN157,
INDEX($A157:$BM157,,$BV$12)*$BW$12+
INDEX($A157:$BM157,,$BV$15)*$BW$15+
INDEX($A157:$BM157,,$BV$16)*$BW$16+
INDEX($A157:$BM157,,$BV$17)*$BW$17+
INDEX($A157:$BM157,,$BV$18)*$BW$18+
INDEX($A157:$BM157,,$BV$19)*$BW$19+
INDEX($A157:$BM157,,$BV$20)*$BW$20+
INDEX($A157:$BM157,,$BV$21)*$BW$21+
INDEX($A157:$BM157,,$BV$22)*$BW$22+
INDEX($A157:$BM157,,$BV$23)*$BW$23+
INDEX($A157:$BM157,,$BV$25)*$BW$25+
INDEX($A157:$BM157,,$BV$26)*$BW$26+
INDEX($A157:$BM157,,$BV$27)*$BW$27+
$BN157)),
$BN157-100)</f>
        <v>-100</v>
      </c>
      <c r="BF157" t="str">
        <f t="shared" si="36"/>
        <v/>
      </c>
      <c r="BG157" t="str">
        <f t="shared" si="37"/>
        <v/>
      </c>
      <c r="BH157">
        <f t="shared" si="38"/>
        <v>0</v>
      </c>
      <c r="BJ157" t="str">
        <f t="shared" si="39"/>
        <v/>
      </c>
      <c r="BL157">
        <f t="shared" si="41"/>
        <v>0</v>
      </c>
      <c r="BN157">
        <v>1.56E-3</v>
      </c>
      <c r="BS157" s="4" t="s">
        <v>1149</v>
      </c>
    </row>
    <row r="158" spans="1:71" ht="15.75" hidden="1" thickBot="1" x14ac:dyDescent="0.3">
      <c r="A158" s="569" t="s">
        <v>1280</v>
      </c>
      <c r="B158" s="569" t="s">
        <v>166</v>
      </c>
      <c r="C158" s="569" t="s">
        <v>3</v>
      </c>
      <c r="D158" s="574">
        <v>10</v>
      </c>
      <c r="E158" s="569"/>
      <c r="F158" s="569"/>
      <c r="G158" s="569"/>
      <c r="H158" s="569"/>
      <c r="I158" s="574">
        <v>0</v>
      </c>
      <c r="J158" s="574">
        <v>0</v>
      </c>
      <c r="K158" s="574">
        <v>0</v>
      </c>
      <c r="L158" s="574">
        <v>22.5</v>
      </c>
      <c r="M158" s="574">
        <v>0.9</v>
      </c>
      <c r="N158" s="574">
        <v>160.4</v>
      </c>
      <c r="O158" s="574">
        <v>134.69999999999999</v>
      </c>
      <c r="P158" s="574">
        <v>3.3</v>
      </c>
      <c r="Q158" s="574">
        <v>598.5</v>
      </c>
      <c r="R158" s="569"/>
      <c r="S158" s="569"/>
      <c r="T158" s="569"/>
      <c r="U158" s="569"/>
      <c r="V158" s="569"/>
      <c r="W158" s="569"/>
      <c r="X158" s="569"/>
      <c r="Y158" s="569"/>
      <c r="Z158" s="569"/>
      <c r="AA158" s="569"/>
      <c r="AB158" s="569"/>
      <c r="AC158" s="569"/>
      <c r="AD158" s="569"/>
      <c r="AE158" s="569"/>
      <c r="AF158" s="569"/>
      <c r="AG158" s="569"/>
      <c r="AH158" s="569"/>
      <c r="AI158" s="569"/>
      <c r="AJ158" s="569"/>
      <c r="AK158" s="569"/>
      <c r="AL158" s="569"/>
      <c r="AM158" s="569"/>
      <c r="AN158" s="574">
        <v>99.4</v>
      </c>
      <c r="AO158">
        <v>157</v>
      </c>
      <c r="AP158" t="str">
        <f t="shared" si="40"/>
        <v/>
      </c>
      <c r="AQ158" t="str">
        <f t="shared" si="30"/>
        <v/>
      </c>
      <c r="AR158" s="430">
        <f>IFERROR(
IF(AP158="",-100,
IF($BV$2&gt;0, INDEX(Beersheet!$A:$U,MATCH(AP158,INDEX(Beersheet!$A:$U,0,FFARawStatProjections!$BV$2),0),$BV$3)+$BN158,
INDEX($A158:$BM158,,$BV$12)*$BW$12+
INDEX($A158:$BM158,,$BV$15)*$BW$15+
INDEX($A158:$BM158,,$BV$16)*$BW$16+
INDEX($A158:$BM158,,$BV$17)*$BW$17+
INDEX($A158:$BM158,,$BV$18)*$BW$18+
INDEX($A158:$BM158,,$BV$19)*$BW$19+
INDEX($A158:$BM158,,$BV$20)*$BW$20+
INDEX($A158:$BM158,,$BV$21)*$BW$21+
INDEX($A158:$BM158,,$BV$22)*$BW$22+
INDEX($A158:$BM158,,$BV$23)*$BW$23+
INDEX($A158:$BM158,,$BV$25)*$BW$25+
INDEX($A158:$BM158,,$BV$26)*$BW$26+
INDEX($A158:$BM158,,$BV$27)*$BW$27+
$BN158)),
$BN158-100)</f>
        <v>-100</v>
      </c>
      <c r="AT158" t="str">
        <f t="shared" si="31"/>
        <v>Raheem Mostert</v>
      </c>
      <c r="AU158" t="str">
        <f t="shared" si="32"/>
        <v>MIA</v>
      </c>
      <c r="AV158" s="430">
        <f>IFERROR(
IF(AT158="",-100,
IF($BV$2&gt;0, INDEX(Beersheet!$A:$U,MATCH(AT158,INDEX(Beersheet!$A:$U,0,FFARawStatProjections!$BV$2),0),$BV$3)+$BN158,
INDEX($A158:$BM158,,$BV$12)*$BW$12+
INDEX($A158:$BM158,,$BV$15)*$BW$15+
INDEX($A158:$BM158,,$BV$16)*$BW$16+
INDEX($A158:$BM158,,$BV$17)*$BW$17+
INDEX($A158:$BM158,,$BV$18)*$BW$18+
INDEX($A158:$BM158,,$BV$19)*$BW$19+
INDEX($A158:$BM158,,$BV$20)*$BW$20+
INDEX($A158:$BM158,,$BV$21)*$BW$21+
INDEX($A158:$BM158,,$BV$22)*$BW$22+
INDEX($A158:$BM158,,$BV$23)*$BW$23+
INDEX($A158:$BM158,,$BV$25)*$BW$25+
INDEX($A158:$BM158,,$BV$26)*$BW$26+
INDEX($A158:$BM158,,$BV$27)*$BW$27+
$BN158)),
$BN158-100)</f>
        <v>123.59157</v>
      </c>
      <c r="AX158" t="str">
        <f t="shared" si="33"/>
        <v/>
      </c>
      <c r="AY158" t="str">
        <f t="shared" si="34"/>
        <v/>
      </c>
      <c r="AZ158" s="430">
        <f>IFERROR(
IF(AX158="",-100,
IF($BV$2&gt;0, INDEX(Beersheet!$A:$U,MATCH(AX158,INDEX(Beersheet!$A:$U,0,FFARawStatProjections!$BV$2),0),$BV$3)+$BN158,
INDEX($A158:$BM158,,$BV$12)*$BW$12+
INDEX($A158:$BM158,,$BV$15)*$BW$15+
INDEX($A158:$BM158,,$BV$16)*$BW$16+
INDEX($A158:$BM158,,$BV$17)*$BW$17+
INDEX($A158:$BM158,,$BV$18)*$BW$18+
INDEX($A158:$BM158,,$BV$19)*$BW$19+
INDEX($A158:$BM158,,$BV$20)*$BW$20+
INDEX($A158:$BM158,,$BV$21)*$BW$21+
INDEX($A158:$BM158,,$BV$22)*$BW$22+
INDEX($A158:$BM158,,$BV$23)*$BW$23+
INDEX($A158:$BM158,,$BV$25)*$BW$25+
INDEX($A158:$BM158,,$BV$26)*$BW$26+
INDEX($A158:$BM158,,$BV$27)*$BW$27+
$BN158)),
$BN158-100)</f>
        <v>-100</v>
      </c>
      <c r="BB158" t="str">
        <f t="shared" si="35"/>
        <v/>
      </c>
      <c r="BC158" t="str">
        <f t="shared" si="28"/>
        <v/>
      </c>
      <c r="BD158" s="430">
        <f>IFERROR(
IF(BB158="",-100,
IF($BV$2&gt;0, INDEX(Beersheet!$A:$U,MATCH(BB158,INDEX(Beersheet!$A:$U,0,FFARawStatProjections!$BV$2),0),$BV$3)+$BN158,
INDEX($A158:$BM158,,$BV$12)*$BW$12+
INDEX($A158:$BM158,,$BV$15)*$BW$15+
INDEX($A158:$BM158,,$BV$16)*$BW$16+
INDEX($A158:$BM158,,$BV$17)*$BW$17+
INDEX($A158:$BM158,,$BV$18)*$BW$18+
INDEX($A158:$BM158,,$BV$19)*$BW$19+
INDEX($A158:$BM158,,$BV$20)*$BW$20+
INDEX($A158:$BM158,,$BV$21)*$BW$21+
INDEX($A158:$BM158,,$BV$22)*$BW$22+
INDEX($A158:$BM158,,$BV$23)*$BW$23+
INDEX($A158:$BM158,,$BV$25)*$BW$25+
INDEX($A158:$BM158,,$BV$26)*$BW$26+
INDEX($A158:$BM158,,$BV$27)*$BW$27+
$BN158)),
$BN158-100)</f>
        <v>-100</v>
      </c>
      <c r="BF158" t="str">
        <f t="shared" si="36"/>
        <v/>
      </c>
      <c r="BG158" t="str">
        <f t="shared" si="37"/>
        <v/>
      </c>
      <c r="BH158">
        <f t="shared" si="38"/>
        <v>0</v>
      </c>
      <c r="BJ158" t="str">
        <f t="shared" si="39"/>
        <v/>
      </c>
      <c r="BL158">
        <f t="shared" si="41"/>
        <v>0</v>
      </c>
      <c r="BN158">
        <v>1.57E-3</v>
      </c>
      <c r="BS158" s="4" t="s">
        <v>1750</v>
      </c>
    </row>
    <row r="159" spans="1:71" ht="15.75" hidden="1" thickBot="1" x14ac:dyDescent="0.3">
      <c r="A159" s="569" t="s">
        <v>2391</v>
      </c>
      <c r="B159" s="569" t="s">
        <v>140</v>
      </c>
      <c r="C159" s="569" t="s">
        <v>3</v>
      </c>
      <c r="D159" s="574">
        <v>5</v>
      </c>
      <c r="E159" s="569"/>
      <c r="F159" s="569"/>
      <c r="G159" s="569"/>
      <c r="H159" s="569"/>
      <c r="I159" s="574">
        <v>0</v>
      </c>
      <c r="J159" s="574">
        <v>0</v>
      </c>
      <c r="K159" s="574">
        <v>0</v>
      </c>
      <c r="L159" s="574">
        <v>23.6</v>
      </c>
      <c r="M159" s="574">
        <v>0.8</v>
      </c>
      <c r="N159" s="574">
        <v>188.1</v>
      </c>
      <c r="O159" s="574">
        <v>125.4</v>
      </c>
      <c r="P159" s="574">
        <v>3.5</v>
      </c>
      <c r="Q159" s="574">
        <v>540.6</v>
      </c>
      <c r="R159" s="569"/>
      <c r="S159" s="569"/>
      <c r="T159" s="569"/>
      <c r="U159" s="569"/>
      <c r="V159" s="569"/>
      <c r="W159" s="569"/>
      <c r="X159" s="569"/>
      <c r="Y159" s="569"/>
      <c r="Z159" s="569"/>
      <c r="AA159" s="569"/>
      <c r="AB159" s="569"/>
      <c r="AC159" s="569"/>
      <c r="AD159" s="569"/>
      <c r="AE159" s="569"/>
      <c r="AF159" s="569"/>
      <c r="AG159" s="569"/>
      <c r="AH159" s="569"/>
      <c r="AI159" s="569"/>
      <c r="AJ159" s="569"/>
      <c r="AK159" s="569"/>
      <c r="AL159" s="569"/>
      <c r="AM159" s="569"/>
      <c r="AN159" s="574">
        <v>96.6</v>
      </c>
      <c r="AO159">
        <v>158</v>
      </c>
      <c r="AP159" t="str">
        <f t="shared" si="40"/>
        <v/>
      </c>
      <c r="AQ159" t="str">
        <f t="shared" si="30"/>
        <v/>
      </c>
      <c r="AR159" s="430">
        <f>IFERROR(
IF(AP159="",-100,
IF($BV$2&gt;0, INDEX(Beersheet!$A:$U,MATCH(AP159,INDEX(Beersheet!$A:$U,0,FFARawStatProjections!$BV$2),0),$BV$3)+$BN159,
INDEX($A159:$BM159,,$BV$12)*$BW$12+
INDEX($A159:$BM159,,$BV$15)*$BW$15+
INDEX($A159:$BM159,,$BV$16)*$BW$16+
INDEX($A159:$BM159,,$BV$17)*$BW$17+
INDEX($A159:$BM159,,$BV$18)*$BW$18+
INDEX($A159:$BM159,,$BV$19)*$BW$19+
INDEX($A159:$BM159,,$BV$20)*$BW$20+
INDEX($A159:$BM159,,$BV$21)*$BW$21+
INDEX($A159:$BM159,,$BV$22)*$BW$22+
INDEX($A159:$BM159,,$BV$23)*$BW$23+
INDEX($A159:$BM159,,$BV$25)*$BW$25+
INDEX($A159:$BM159,,$BV$26)*$BW$26+
INDEX($A159:$BM159,,$BV$27)*$BW$27+
$BN159)),
$BN159-100)</f>
        <v>-100</v>
      </c>
      <c r="AT159" t="str">
        <f t="shared" si="31"/>
        <v>Zach Charbonnet</v>
      </c>
      <c r="AU159" t="str">
        <f t="shared" si="32"/>
        <v>SEA</v>
      </c>
      <c r="AV159" s="430">
        <f>IFERROR(
IF(AT159="",-100,
IF($BV$2&gt;0, INDEX(Beersheet!$A:$U,MATCH(AT159,INDEX(Beersheet!$A:$U,0,FFARawStatProjections!$BV$2),0),$BV$3)+$BN159,
INDEX($A159:$BM159,,$BV$12)*$BW$12+
INDEX($A159:$BM159,,$BV$15)*$BW$15+
INDEX($A159:$BM159,,$BV$16)*$BW$16+
INDEX($A159:$BM159,,$BV$17)*$BW$17+
INDEX($A159:$BM159,,$BV$18)*$BW$18+
INDEX($A159:$BM159,,$BV$19)*$BW$19+
INDEX($A159:$BM159,,$BV$20)*$BW$20+
INDEX($A159:$BM159,,$BV$21)*$BW$21+
INDEX($A159:$BM159,,$BV$22)*$BW$22+
INDEX($A159:$BM159,,$BV$23)*$BW$23+
INDEX($A159:$BM159,,$BV$25)*$BW$25+
INDEX($A159:$BM159,,$BV$26)*$BW$26+
INDEX($A159:$BM159,,$BV$27)*$BW$27+
$BN159)),
$BN159-100)</f>
        <v>122.27158000000001</v>
      </c>
      <c r="AX159" t="str">
        <f t="shared" si="33"/>
        <v/>
      </c>
      <c r="AY159" t="str">
        <f t="shared" si="34"/>
        <v/>
      </c>
      <c r="AZ159" s="430">
        <f>IFERROR(
IF(AX159="",-100,
IF($BV$2&gt;0, INDEX(Beersheet!$A:$U,MATCH(AX159,INDEX(Beersheet!$A:$U,0,FFARawStatProjections!$BV$2),0),$BV$3)+$BN159,
INDEX($A159:$BM159,,$BV$12)*$BW$12+
INDEX($A159:$BM159,,$BV$15)*$BW$15+
INDEX($A159:$BM159,,$BV$16)*$BW$16+
INDEX($A159:$BM159,,$BV$17)*$BW$17+
INDEX($A159:$BM159,,$BV$18)*$BW$18+
INDEX($A159:$BM159,,$BV$19)*$BW$19+
INDEX($A159:$BM159,,$BV$20)*$BW$20+
INDEX($A159:$BM159,,$BV$21)*$BW$21+
INDEX($A159:$BM159,,$BV$22)*$BW$22+
INDEX($A159:$BM159,,$BV$23)*$BW$23+
INDEX($A159:$BM159,,$BV$25)*$BW$25+
INDEX($A159:$BM159,,$BV$26)*$BW$26+
INDEX($A159:$BM159,,$BV$27)*$BW$27+
$BN159)),
$BN159-100)</f>
        <v>-100</v>
      </c>
      <c r="BB159" t="str">
        <f t="shared" si="35"/>
        <v/>
      </c>
      <c r="BC159" t="str">
        <f t="shared" si="28"/>
        <v/>
      </c>
      <c r="BD159" s="430">
        <f>IFERROR(
IF(BB159="",-100,
IF($BV$2&gt;0, INDEX(Beersheet!$A:$U,MATCH(BB159,INDEX(Beersheet!$A:$U,0,FFARawStatProjections!$BV$2),0),$BV$3)+$BN159,
INDEX($A159:$BM159,,$BV$12)*$BW$12+
INDEX($A159:$BM159,,$BV$15)*$BW$15+
INDEX($A159:$BM159,,$BV$16)*$BW$16+
INDEX($A159:$BM159,,$BV$17)*$BW$17+
INDEX($A159:$BM159,,$BV$18)*$BW$18+
INDEX($A159:$BM159,,$BV$19)*$BW$19+
INDEX($A159:$BM159,,$BV$20)*$BW$20+
INDEX($A159:$BM159,,$BV$21)*$BW$21+
INDEX($A159:$BM159,,$BV$22)*$BW$22+
INDEX($A159:$BM159,,$BV$23)*$BW$23+
INDEX($A159:$BM159,,$BV$25)*$BW$25+
INDEX($A159:$BM159,,$BV$26)*$BW$26+
INDEX($A159:$BM159,,$BV$27)*$BW$27+
$BN159)),
$BN159-100)</f>
        <v>-100</v>
      </c>
      <c r="BF159" t="str">
        <f t="shared" si="36"/>
        <v/>
      </c>
      <c r="BG159" t="str">
        <f t="shared" si="37"/>
        <v/>
      </c>
      <c r="BH159">
        <f t="shared" si="38"/>
        <v>0</v>
      </c>
      <c r="BJ159" t="str">
        <f t="shared" si="39"/>
        <v/>
      </c>
      <c r="BL159">
        <f t="shared" si="41"/>
        <v>0</v>
      </c>
      <c r="BN159">
        <v>1.58E-3</v>
      </c>
      <c r="BS159" s="4" t="s">
        <v>1895</v>
      </c>
    </row>
    <row r="160" spans="1:71" ht="15.75" hidden="1" thickBot="1" x14ac:dyDescent="0.3">
      <c r="A160" s="569" t="s">
        <v>1179</v>
      </c>
      <c r="B160" s="569" t="s">
        <v>157</v>
      </c>
      <c r="C160" s="569" t="s">
        <v>3</v>
      </c>
      <c r="D160" s="574">
        <v>11</v>
      </c>
      <c r="E160" s="569"/>
      <c r="F160" s="569"/>
      <c r="G160" s="569"/>
      <c r="H160" s="569"/>
      <c r="I160" s="574">
        <v>0</v>
      </c>
      <c r="J160" s="574">
        <v>0</v>
      </c>
      <c r="K160" s="574">
        <v>0</v>
      </c>
      <c r="L160" s="574">
        <v>15.7</v>
      </c>
      <c r="M160" s="574">
        <v>0.5</v>
      </c>
      <c r="N160" s="574">
        <v>115.8</v>
      </c>
      <c r="O160" s="574">
        <v>142</v>
      </c>
      <c r="P160" s="574">
        <v>4.2</v>
      </c>
      <c r="Q160" s="574">
        <v>551.4</v>
      </c>
      <c r="R160" s="569"/>
      <c r="S160" s="569"/>
      <c r="T160" s="569"/>
      <c r="U160" s="569"/>
      <c r="V160" s="569"/>
      <c r="W160" s="569"/>
      <c r="X160" s="569"/>
      <c r="Y160" s="569"/>
      <c r="Z160" s="569"/>
      <c r="AA160" s="569"/>
      <c r="AB160" s="569"/>
      <c r="AC160" s="569"/>
      <c r="AD160" s="569"/>
      <c r="AE160" s="569"/>
      <c r="AF160" s="569"/>
      <c r="AG160" s="569"/>
      <c r="AH160" s="569"/>
      <c r="AI160" s="569"/>
      <c r="AJ160" s="569"/>
      <c r="AK160" s="569"/>
      <c r="AL160" s="569"/>
      <c r="AM160" s="569"/>
      <c r="AN160" s="574">
        <v>93.1</v>
      </c>
      <c r="AO160">
        <v>159</v>
      </c>
      <c r="AP160" t="str">
        <f t="shared" si="40"/>
        <v/>
      </c>
      <c r="AQ160" t="str">
        <f t="shared" si="30"/>
        <v/>
      </c>
      <c r="AR160" s="430">
        <f>IFERROR(
IF(AP160="",-100,
IF($BV$2&gt;0, INDEX(Beersheet!$A:$U,MATCH(AP160,INDEX(Beersheet!$A:$U,0,FFARawStatProjections!$BV$2),0),$BV$3)+$BN160,
INDEX($A160:$BM160,,$BV$12)*$BW$12+
INDEX($A160:$BM160,,$BV$15)*$BW$15+
INDEX($A160:$BM160,,$BV$16)*$BW$16+
INDEX($A160:$BM160,,$BV$17)*$BW$17+
INDEX($A160:$BM160,,$BV$18)*$BW$18+
INDEX($A160:$BM160,,$BV$19)*$BW$19+
INDEX($A160:$BM160,,$BV$20)*$BW$20+
INDEX($A160:$BM160,,$BV$21)*$BW$21+
INDEX($A160:$BM160,,$BV$22)*$BW$22+
INDEX($A160:$BM160,,$BV$23)*$BW$23+
INDEX($A160:$BM160,,$BV$25)*$BW$25+
INDEX($A160:$BM160,,$BV$26)*$BW$26+
INDEX($A160:$BM160,,$BV$27)*$BW$27+
$BN160)),
$BN160-100)</f>
        <v>-100</v>
      </c>
      <c r="AT160" t="str">
        <f t="shared" si="31"/>
        <v>Ezekiel Elliott</v>
      </c>
      <c r="AU160" t="str">
        <f t="shared" si="32"/>
        <v>NE</v>
      </c>
      <c r="AV160" s="430">
        <f>IFERROR(
IF(AT160="",-100,
IF($BV$2&gt;0, INDEX(Beersheet!$A:$U,MATCH(AT160,INDEX(Beersheet!$A:$U,0,FFARawStatProjections!$BV$2),0),$BV$3)+$BN160,
INDEX($A160:$BM160,,$BV$12)*$BW$12+
INDEX($A160:$BM160,,$BV$15)*$BW$15+
INDEX($A160:$BM160,,$BV$16)*$BW$16+
INDEX($A160:$BM160,,$BV$17)*$BW$17+
INDEX($A160:$BM160,,$BV$18)*$BW$18+
INDEX($A160:$BM160,,$BV$19)*$BW$19+
INDEX($A160:$BM160,,$BV$20)*$BW$20+
INDEX($A160:$BM160,,$BV$21)*$BW$21+
INDEX($A160:$BM160,,$BV$22)*$BW$22+
INDEX($A160:$BM160,,$BV$23)*$BW$23+
INDEX($A160:$BM160,,$BV$25)*$BW$25+
INDEX($A160:$BM160,,$BV$26)*$BW$26+
INDEX($A160:$BM160,,$BV$27)*$BW$27+
$BN160)),
$BN160-100)</f>
        <v>110.62159</v>
      </c>
      <c r="AX160" t="str">
        <f t="shared" si="33"/>
        <v/>
      </c>
      <c r="AY160" t="str">
        <f t="shared" si="34"/>
        <v/>
      </c>
      <c r="AZ160" s="430">
        <f>IFERROR(
IF(AX160="",-100,
IF($BV$2&gt;0, INDEX(Beersheet!$A:$U,MATCH(AX160,INDEX(Beersheet!$A:$U,0,FFARawStatProjections!$BV$2),0),$BV$3)+$BN160,
INDEX($A160:$BM160,,$BV$12)*$BW$12+
INDEX($A160:$BM160,,$BV$15)*$BW$15+
INDEX($A160:$BM160,,$BV$16)*$BW$16+
INDEX($A160:$BM160,,$BV$17)*$BW$17+
INDEX($A160:$BM160,,$BV$18)*$BW$18+
INDEX($A160:$BM160,,$BV$19)*$BW$19+
INDEX($A160:$BM160,,$BV$20)*$BW$20+
INDEX($A160:$BM160,,$BV$21)*$BW$21+
INDEX($A160:$BM160,,$BV$22)*$BW$22+
INDEX($A160:$BM160,,$BV$23)*$BW$23+
INDEX($A160:$BM160,,$BV$25)*$BW$25+
INDEX($A160:$BM160,,$BV$26)*$BW$26+
INDEX($A160:$BM160,,$BV$27)*$BW$27+
$BN160)),
$BN160-100)</f>
        <v>-100</v>
      </c>
      <c r="BB160" t="str">
        <f t="shared" si="35"/>
        <v/>
      </c>
      <c r="BC160" t="str">
        <f t="shared" si="28"/>
        <v/>
      </c>
      <c r="BD160" s="430">
        <f>IFERROR(
IF(BB160="",-100,
IF($BV$2&gt;0, INDEX(Beersheet!$A:$U,MATCH(BB160,INDEX(Beersheet!$A:$U,0,FFARawStatProjections!$BV$2),0),$BV$3)+$BN160,
INDEX($A160:$BM160,,$BV$12)*$BW$12+
INDEX($A160:$BM160,,$BV$15)*$BW$15+
INDEX($A160:$BM160,,$BV$16)*$BW$16+
INDEX($A160:$BM160,,$BV$17)*$BW$17+
INDEX($A160:$BM160,,$BV$18)*$BW$18+
INDEX($A160:$BM160,,$BV$19)*$BW$19+
INDEX($A160:$BM160,,$BV$20)*$BW$20+
INDEX($A160:$BM160,,$BV$21)*$BW$21+
INDEX($A160:$BM160,,$BV$22)*$BW$22+
INDEX($A160:$BM160,,$BV$23)*$BW$23+
INDEX($A160:$BM160,,$BV$25)*$BW$25+
INDEX($A160:$BM160,,$BV$26)*$BW$26+
INDEX($A160:$BM160,,$BV$27)*$BW$27+
$BN160)),
$BN160-100)</f>
        <v>-100</v>
      </c>
      <c r="BF160" t="str">
        <f t="shared" si="36"/>
        <v/>
      </c>
      <c r="BG160" t="str">
        <f t="shared" si="37"/>
        <v/>
      </c>
      <c r="BH160">
        <f t="shared" si="38"/>
        <v>0</v>
      </c>
      <c r="BJ160" t="str">
        <f t="shared" si="39"/>
        <v/>
      </c>
      <c r="BL160">
        <f t="shared" si="41"/>
        <v>0</v>
      </c>
      <c r="BN160">
        <v>1.5900000000000001E-3</v>
      </c>
      <c r="BS160" s="4" t="s">
        <v>2076</v>
      </c>
    </row>
    <row r="161" spans="1:71" ht="15.75" hidden="1" thickBot="1" x14ac:dyDescent="0.3">
      <c r="A161" s="569" t="s">
        <v>2279</v>
      </c>
      <c r="B161" s="569" t="s">
        <v>141</v>
      </c>
      <c r="C161" s="569" t="s">
        <v>3</v>
      </c>
      <c r="D161" s="574">
        <v>13</v>
      </c>
      <c r="E161" s="569"/>
      <c r="F161" s="569"/>
      <c r="G161" s="569"/>
      <c r="H161" s="569"/>
      <c r="I161" s="574">
        <v>0</v>
      </c>
      <c r="J161" s="574">
        <v>0</v>
      </c>
      <c r="K161" s="574">
        <v>0</v>
      </c>
      <c r="L161" s="574">
        <v>7</v>
      </c>
      <c r="M161" s="574">
        <v>0.2</v>
      </c>
      <c r="N161" s="574">
        <v>51.7</v>
      </c>
      <c r="O161" s="574">
        <v>133.1</v>
      </c>
      <c r="P161" s="574">
        <v>3.3</v>
      </c>
      <c r="Q161" s="574">
        <v>654.4</v>
      </c>
      <c r="R161" s="569"/>
      <c r="S161" s="569"/>
      <c r="T161" s="569"/>
      <c r="U161" s="569"/>
      <c r="V161" s="569"/>
      <c r="W161" s="569"/>
      <c r="X161" s="569"/>
      <c r="Y161" s="569"/>
      <c r="Z161" s="569"/>
      <c r="AA161" s="569"/>
      <c r="AB161" s="569"/>
      <c r="AC161" s="569"/>
      <c r="AD161" s="569"/>
      <c r="AE161" s="569"/>
      <c r="AF161" s="569"/>
      <c r="AG161" s="569"/>
      <c r="AH161" s="569"/>
      <c r="AI161" s="569"/>
      <c r="AJ161" s="569"/>
      <c r="AK161" s="569"/>
      <c r="AL161" s="569"/>
      <c r="AM161" s="569"/>
      <c r="AN161" s="574">
        <v>90.6</v>
      </c>
      <c r="AO161">
        <v>160</v>
      </c>
      <c r="AP161" t="str">
        <f t="shared" si="40"/>
        <v/>
      </c>
      <c r="AQ161" t="str">
        <f t="shared" si="30"/>
        <v/>
      </c>
      <c r="AR161" s="430">
        <f>IFERROR(
IF(AP161="",-100,
IF($BV$2&gt;0, INDEX(Beersheet!$A:$U,MATCH(AP161,INDEX(Beersheet!$A:$U,0,FFARawStatProjections!$BV$2),0),$BV$3)+$BN161,
INDEX($A161:$BM161,,$BV$12)*$BW$12+
INDEX($A161:$BM161,,$BV$15)*$BW$15+
INDEX($A161:$BM161,,$BV$16)*$BW$16+
INDEX($A161:$BM161,,$BV$17)*$BW$17+
INDEX($A161:$BM161,,$BV$18)*$BW$18+
INDEX($A161:$BM161,,$BV$19)*$BW$19+
INDEX($A161:$BM161,,$BV$20)*$BW$20+
INDEX($A161:$BM161,,$BV$21)*$BW$21+
INDEX($A161:$BM161,,$BV$22)*$BW$22+
INDEX($A161:$BM161,,$BV$23)*$BW$23+
INDEX($A161:$BM161,,$BV$25)*$BW$25+
INDEX($A161:$BM161,,$BV$26)*$BW$26+
INDEX($A161:$BM161,,$BV$27)*$BW$27+
$BN161)),
$BN161-100)</f>
        <v>-100</v>
      </c>
      <c r="AT161" t="str">
        <f t="shared" si="31"/>
        <v>DOnta Foreman</v>
      </c>
      <c r="AU161" t="str">
        <f t="shared" si="32"/>
        <v>CHI</v>
      </c>
      <c r="AV161" s="430">
        <f>IFERROR(
IF(AT161="",-100,
IF($BV$2&gt;0, INDEX(Beersheet!$A:$U,MATCH(AT161,INDEX(Beersheet!$A:$U,0,FFARawStatProjections!$BV$2),0),$BV$3)+$BN161,
INDEX($A161:$BM161,,$BV$12)*$BW$12+
INDEX($A161:$BM161,,$BV$15)*$BW$15+
INDEX($A161:$BM161,,$BV$16)*$BW$16+
INDEX($A161:$BM161,,$BV$17)*$BW$17+
INDEX($A161:$BM161,,$BV$18)*$BW$18+
INDEX($A161:$BM161,,$BV$19)*$BW$19+
INDEX($A161:$BM161,,$BV$20)*$BW$20+
INDEX($A161:$BM161,,$BV$21)*$BW$21+
INDEX($A161:$BM161,,$BV$22)*$BW$22+
INDEX($A161:$BM161,,$BV$23)*$BW$23+
INDEX($A161:$BM161,,$BV$25)*$BW$25+
INDEX($A161:$BM161,,$BV$26)*$BW$26+
INDEX($A161:$BM161,,$BV$27)*$BW$27+
$BN161)),
$BN161-100)</f>
        <v>98.611599999999996</v>
      </c>
      <c r="AX161" t="str">
        <f t="shared" si="33"/>
        <v/>
      </c>
      <c r="AY161" t="str">
        <f t="shared" si="34"/>
        <v/>
      </c>
      <c r="AZ161" s="430">
        <f>IFERROR(
IF(AX161="",-100,
IF($BV$2&gt;0, INDEX(Beersheet!$A:$U,MATCH(AX161,INDEX(Beersheet!$A:$U,0,FFARawStatProjections!$BV$2),0),$BV$3)+$BN161,
INDEX($A161:$BM161,,$BV$12)*$BW$12+
INDEX($A161:$BM161,,$BV$15)*$BW$15+
INDEX($A161:$BM161,,$BV$16)*$BW$16+
INDEX($A161:$BM161,,$BV$17)*$BW$17+
INDEX($A161:$BM161,,$BV$18)*$BW$18+
INDEX($A161:$BM161,,$BV$19)*$BW$19+
INDEX($A161:$BM161,,$BV$20)*$BW$20+
INDEX($A161:$BM161,,$BV$21)*$BW$21+
INDEX($A161:$BM161,,$BV$22)*$BW$22+
INDEX($A161:$BM161,,$BV$23)*$BW$23+
INDEX($A161:$BM161,,$BV$25)*$BW$25+
INDEX($A161:$BM161,,$BV$26)*$BW$26+
INDEX($A161:$BM161,,$BV$27)*$BW$27+
$BN161)),
$BN161-100)</f>
        <v>-100</v>
      </c>
      <c r="BB161" t="str">
        <f t="shared" si="35"/>
        <v/>
      </c>
      <c r="BC161" t="str">
        <f t="shared" si="28"/>
        <v/>
      </c>
      <c r="BD161" s="430">
        <f>IFERROR(
IF(BB161="",-100,
IF($BV$2&gt;0, INDEX(Beersheet!$A:$U,MATCH(BB161,INDEX(Beersheet!$A:$U,0,FFARawStatProjections!$BV$2),0),$BV$3)+$BN161,
INDEX($A161:$BM161,,$BV$12)*$BW$12+
INDEX($A161:$BM161,,$BV$15)*$BW$15+
INDEX($A161:$BM161,,$BV$16)*$BW$16+
INDEX($A161:$BM161,,$BV$17)*$BW$17+
INDEX($A161:$BM161,,$BV$18)*$BW$18+
INDEX($A161:$BM161,,$BV$19)*$BW$19+
INDEX($A161:$BM161,,$BV$20)*$BW$20+
INDEX($A161:$BM161,,$BV$21)*$BW$21+
INDEX($A161:$BM161,,$BV$22)*$BW$22+
INDEX($A161:$BM161,,$BV$23)*$BW$23+
INDEX($A161:$BM161,,$BV$25)*$BW$25+
INDEX($A161:$BM161,,$BV$26)*$BW$26+
INDEX($A161:$BM161,,$BV$27)*$BW$27+
$BN161)),
$BN161-100)</f>
        <v>-100</v>
      </c>
      <c r="BF161" t="str">
        <f t="shared" si="36"/>
        <v/>
      </c>
      <c r="BG161" t="str">
        <f t="shared" si="37"/>
        <v/>
      </c>
      <c r="BH161">
        <f t="shared" si="38"/>
        <v>0</v>
      </c>
      <c r="BJ161" t="str">
        <f t="shared" si="39"/>
        <v/>
      </c>
      <c r="BL161">
        <f t="shared" si="41"/>
        <v>0</v>
      </c>
      <c r="BN161">
        <v>1.6000000000000001E-3</v>
      </c>
      <c r="BS161" s="4" t="s">
        <v>2358</v>
      </c>
    </row>
    <row r="162" spans="1:71" ht="15.75" hidden="1" thickBot="1" x14ac:dyDescent="0.3">
      <c r="A162" s="569" t="s">
        <v>1867</v>
      </c>
      <c r="B162" s="569" t="s">
        <v>156</v>
      </c>
      <c r="C162" s="569" t="s">
        <v>3</v>
      </c>
      <c r="D162" s="574">
        <v>13</v>
      </c>
      <c r="E162" s="569"/>
      <c r="F162" s="569"/>
      <c r="G162" s="569"/>
      <c r="H162" s="569"/>
      <c r="I162" s="574">
        <v>0</v>
      </c>
      <c r="J162" s="574">
        <v>0</v>
      </c>
      <c r="K162" s="574">
        <v>0</v>
      </c>
      <c r="L162" s="574">
        <v>16.899999999999999</v>
      </c>
      <c r="M162" s="574">
        <v>0.4</v>
      </c>
      <c r="N162" s="574">
        <v>115.7</v>
      </c>
      <c r="O162" s="574">
        <v>122.7</v>
      </c>
      <c r="P162" s="574">
        <v>3.9</v>
      </c>
      <c r="Q162" s="574">
        <v>546.5</v>
      </c>
      <c r="R162" s="569"/>
      <c r="S162" s="569"/>
      <c r="T162" s="569"/>
      <c r="U162" s="569"/>
      <c r="V162" s="569"/>
      <c r="W162" s="569"/>
      <c r="X162" s="569"/>
      <c r="Y162" s="569"/>
      <c r="Z162" s="569"/>
      <c r="AA162" s="569"/>
      <c r="AB162" s="569"/>
      <c r="AC162" s="569"/>
      <c r="AD162" s="569"/>
      <c r="AE162" s="569"/>
      <c r="AF162" s="569"/>
      <c r="AG162" s="569"/>
      <c r="AH162" s="569"/>
      <c r="AI162" s="569"/>
      <c r="AJ162" s="569"/>
      <c r="AK162" s="569"/>
      <c r="AL162" s="569"/>
      <c r="AM162" s="569"/>
      <c r="AN162" s="574">
        <v>90.3</v>
      </c>
      <c r="AO162">
        <v>161</v>
      </c>
      <c r="AP162" t="str">
        <f t="shared" si="40"/>
        <v/>
      </c>
      <c r="AQ162" t="str">
        <f t="shared" si="30"/>
        <v/>
      </c>
      <c r="AR162" s="430">
        <f>IFERROR(
IF(AP162="",-100,
IF($BV$2&gt;0, INDEX(Beersheet!$A:$U,MATCH(AP162,INDEX(Beersheet!$A:$U,0,FFARawStatProjections!$BV$2),0),$BV$3)+$BN162,
INDEX($A162:$BM162,,$BV$12)*$BW$12+
INDEX($A162:$BM162,,$BV$15)*$BW$15+
INDEX($A162:$BM162,,$BV$16)*$BW$16+
INDEX($A162:$BM162,,$BV$17)*$BW$17+
INDEX($A162:$BM162,,$BV$18)*$BW$18+
INDEX($A162:$BM162,,$BV$19)*$BW$19+
INDEX($A162:$BM162,,$BV$20)*$BW$20+
INDEX($A162:$BM162,,$BV$21)*$BW$21+
INDEX($A162:$BM162,,$BV$22)*$BW$22+
INDEX($A162:$BM162,,$BV$23)*$BW$23+
INDEX($A162:$BM162,,$BV$25)*$BW$25+
INDEX($A162:$BM162,,$BV$26)*$BW$26+
INDEX($A162:$BM162,,$BV$27)*$BW$27+
$BN162)),
$BN162-100)</f>
        <v>-100</v>
      </c>
      <c r="AT162" t="str">
        <f t="shared" si="31"/>
        <v>Damien Harris</v>
      </c>
      <c r="AU162" t="str">
        <f t="shared" si="32"/>
        <v>BUF</v>
      </c>
      <c r="AV162" s="430">
        <f>IFERROR(
IF(AT162="",-100,
IF($BV$2&gt;0, INDEX(Beersheet!$A:$U,MATCH(AT162,INDEX(Beersheet!$A:$U,0,FFARawStatProjections!$BV$2),0),$BV$3)+$BN162,
INDEX($A162:$BM162,,$BV$12)*$BW$12+
INDEX($A162:$BM162,,$BV$15)*$BW$15+
INDEX($A162:$BM162,,$BV$16)*$BW$16+
INDEX($A162:$BM162,,$BV$17)*$BW$17+
INDEX($A162:$BM162,,$BV$18)*$BW$18+
INDEX($A162:$BM162,,$BV$19)*$BW$19+
INDEX($A162:$BM162,,$BV$20)*$BW$20+
INDEX($A162:$BM162,,$BV$21)*$BW$21+
INDEX($A162:$BM162,,$BV$22)*$BW$22+
INDEX($A162:$BM162,,$BV$23)*$BW$23+
INDEX($A162:$BM162,,$BV$25)*$BW$25+
INDEX($A162:$BM162,,$BV$26)*$BW$26+
INDEX($A162:$BM162,,$BV$27)*$BW$27+
$BN162)),
$BN162-100)</f>
        <v>108.92161</v>
      </c>
      <c r="AX162" t="str">
        <f t="shared" si="33"/>
        <v/>
      </c>
      <c r="AY162" t="str">
        <f t="shared" si="34"/>
        <v/>
      </c>
      <c r="AZ162" s="430">
        <f>IFERROR(
IF(AX162="",-100,
IF($BV$2&gt;0, INDEX(Beersheet!$A:$U,MATCH(AX162,INDEX(Beersheet!$A:$U,0,FFARawStatProjections!$BV$2),0),$BV$3)+$BN162,
INDEX($A162:$BM162,,$BV$12)*$BW$12+
INDEX($A162:$BM162,,$BV$15)*$BW$15+
INDEX($A162:$BM162,,$BV$16)*$BW$16+
INDEX($A162:$BM162,,$BV$17)*$BW$17+
INDEX($A162:$BM162,,$BV$18)*$BW$18+
INDEX($A162:$BM162,,$BV$19)*$BW$19+
INDEX($A162:$BM162,,$BV$20)*$BW$20+
INDEX($A162:$BM162,,$BV$21)*$BW$21+
INDEX($A162:$BM162,,$BV$22)*$BW$22+
INDEX($A162:$BM162,,$BV$23)*$BW$23+
INDEX($A162:$BM162,,$BV$25)*$BW$25+
INDEX($A162:$BM162,,$BV$26)*$BW$26+
INDEX($A162:$BM162,,$BV$27)*$BW$27+
$BN162)),
$BN162-100)</f>
        <v>-100</v>
      </c>
      <c r="BB162" t="str">
        <f t="shared" si="35"/>
        <v/>
      </c>
      <c r="BC162" t="str">
        <f t="shared" si="28"/>
        <v/>
      </c>
      <c r="BD162" s="430">
        <f>IFERROR(
IF(BB162="",-100,
IF($BV$2&gt;0, INDEX(Beersheet!$A:$U,MATCH(BB162,INDEX(Beersheet!$A:$U,0,FFARawStatProjections!$BV$2),0),$BV$3)+$BN162,
INDEX($A162:$BM162,,$BV$12)*$BW$12+
INDEX($A162:$BM162,,$BV$15)*$BW$15+
INDEX($A162:$BM162,,$BV$16)*$BW$16+
INDEX($A162:$BM162,,$BV$17)*$BW$17+
INDEX($A162:$BM162,,$BV$18)*$BW$18+
INDEX($A162:$BM162,,$BV$19)*$BW$19+
INDEX($A162:$BM162,,$BV$20)*$BW$20+
INDEX($A162:$BM162,,$BV$21)*$BW$21+
INDEX($A162:$BM162,,$BV$22)*$BW$22+
INDEX($A162:$BM162,,$BV$23)*$BW$23+
INDEX($A162:$BM162,,$BV$25)*$BW$25+
INDEX($A162:$BM162,,$BV$26)*$BW$26+
INDEX($A162:$BM162,,$BV$27)*$BW$27+
$BN162)),
$BN162-100)</f>
        <v>-100</v>
      </c>
      <c r="BF162" t="str">
        <f t="shared" si="36"/>
        <v/>
      </c>
      <c r="BG162" t="str">
        <f t="shared" si="37"/>
        <v/>
      </c>
      <c r="BH162">
        <f t="shared" si="38"/>
        <v>0</v>
      </c>
      <c r="BJ162" t="str">
        <f t="shared" si="39"/>
        <v/>
      </c>
      <c r="BL162">
        <f t="shared" si="41"/>
        <v>0</v>
      </c>
      <c r="BN162">
        <v>1.6100000000000001E-3</v>
      </c>
      <c r="BS162" s="4" t="s">
        <v>1819</v>
      </c>
    </row>
    <row r="163" spans="1:71" ht="15.75" hidden="1" thickBot="1" x14ac:dyDescent="0.3">
      <c r="A163" s="569" t="s">
        <v>2179</v>
      </c>
      <c r="B163" s="569" t="s">
        <v>159</v>
      </c>
      <c r="C163" s="569" t="s">
        <v>3</v>
      </c>
      <c r="D163" s="574">
        <v>7</v>
      </c>
      <c r="E163" s="569"/>
      <c r="F163" s="569"/>
      <c r="G163" s="569"/>
      <c r="H163" s="569"/>
      <c r="I163" s="574">
        <v>0</v>
      </c>
      <c r="J163" s="574">
        <v>0</v>
      </c>
      <c r="K163" s="574">
        <v>0</v>
      </c>
      <c r="L163" s="574">
        <v>17.600000000000001</v>
      </c>
      <c r="M163" s="574">
        <v>0.5</v>
      </c>
      <c r="N163" s="574">
        <v>155.19999999999999</v>
      </c>
      <c r="O163" s="574">
        <v>112.1</v>
      </c>
      <c r="P163" s="574">
        <v>3.1</v>
      </c>
      <c r="Q163" s="574">
        <v>524.29999999999995</v>
      </c>
      <c r="R163" s="569"/>
      <c r="S163" s="569"/>
      <c r="T163" s="569"/>
      <c r="U163" s="569"/>
      <c r="V163" s="569"/>
      <c r="W163" s="569"/>
      <c r="X163" s="569"/>
      <c r="Y163" s="569"/>
      <c r="Z163" s="569"/>
      <c r="AA163" s="569"/>
      <c r="AB163" s="569"/>
      <c r="AC163" s="569"/>
      <c r="AD163" s="569"/>
      <c r="AE163" s="569"/>
      <c r="AF163" s="569"/>
      <c r="AG163" s="569"/>
      <c r="AH163" s="569"/>
      <c r="AI163" s="569"/>
      <c r="AJ163" s="569"/>
      <c r="AK163" s="569"/>
      <c r="AL163" s="569"/>
      <c r="AM163" s="569"/>
      <c r="AN163" s="574">
        <v>88.1</v>
      </c>
      <c r="AO163">
        <v>162</v>
      </c>
      <c r="AP163" t="str">
        <f t="shared" si="40"/>
        <v/>
      </c>
      <c r="AQ163" t="str">
        <f t="shared" si="30"/>
        <v/>
      </c>
      <c r="AR163" s="430">
        <f>IFERROR(
IF(AP163="",-100,
IF($BV$2&gt;0, INDEX(Beersheet!$A:$U,MATCH(AP163,INDEX(Beersheet!$A:$U,0,FFARawStatProjections!$BV$2),0),$BV$3)+$BN163,
INDEX($A163:$BM163,,$BV$12)*$BW$12+
INDEX($A163:$BM163,,$BV$15)*$BW$15+
INDEX($A163:$BM163,,$BV$16)*$BW$16+
INDEX($A163:$BM163,,$BV$17)*$BW$17+
INDEX($A163:$BM163,,$BV$18)*$BW$18+
INDEX($A163:$BM163,,$BV$19)*$BW$19+
INDEX($A163:$BM163,,$BV$20)*$BW$20+
INDEX($A163:$BM163,,$BV$21)*$BW$21+
INDEX($A163:$BM163,,$BV$22)*$BW$22+
INDEX($A163:$BM163,,$BV$23)*$BW$23+
INDEX($A163:$BM163,,$BV$25)*$BW$25+
INDEX($A163:$BM163,,$BV$26)*$BW$26+
INDEX($A163:$BM163,,$BV$27)*$BW$27+
$BN163)),
$BN163-100)</f>
        <v>-100</v>
      </c>
      <c r="AT163" t="str">
        <f t="shared" si="31"/>
        <v>Chuba Hubbard</v>
      </c>
      <c r="AU163" t="str">
        <f t="shared" si="32"/>
        <v>CAR</v>
      </c>
      <c r="AV163" s="430">
        <f>IFERROR(
IF(AT163="",-100,
IF($BV$2&gt;0, INDEX(Beersheet!$A:$U,MATCH(AT163,INDEX(Beersheet!$A:$U,0,FFARawStatProjections!$BV$2),0),$BV$3)+$BN163,
INDEX($A163:$BM163,,$BV$12)*$BW$12+
INDEX($A163:$BM163,,$BV$15)*$BW$15+
INDEX($A163:$BM163,,$BV$16)*$BW$16+
INDEX($A163:$BM163,,$BV$17)*$BW$17+
INDEX($A163:$BM163,,$BV$18)*$BW$18+
INDEX($A163:$BM163,,$BV$19)*$BW$19+
INDEX($A163:$BM163,,$BV$20)*$BW$20+
INDEX($A163:$BM163,,$BV$21)*$BW$21+
INDEX($A163:$BM163,,$BV$22)*$BW$22+
INDEX($A163:$BM163,,$BV$23)*$BW$23+
INDEX($A163:$BM163,,$BV$25)*$BW$25+
INDEX($A163:$BM163,,$BV$26)*$BW$26+
INDEX($A163:$BM163,,$BV$27)*$BW$27+
$BN163)),
$BN163-100)</f>
        <v>107.15162000000001</v>
      </c>
      <c r="AX163" t="str">
        <f t="shared" si="33"/>
        <v/>
      </c>
      <c r="AY163" t="str">
        <f t="shared" si="34"/>
        <v/>
      </c>
      <c r="AZ163" s="430">
        <f>IFERROR(
IF(AX163="",-100,
IF($BV$2&gt;0, INDEX(Beersheet!$A:$U,MATCH(AX163,INDEX(Beersheet!$A:$U,0,FFARawStatProjections!$BV$2),0),$BV$3)+$BN163,
INDEX($A163:$BM163,,$BV$12)*$BW$12+
INDEX($A163:$BM163,,$BV$15)*$BW$15+
INDEX($A163:$BM163,,$BV$16)*$BW$16+
INDEX($A163:$BM163,,$BV$17)*$BW$17+
INDEX($A163:$BM163,,$BV$18)*$BW$18+
INDEX($A163:$BM163,,$BV$19)*$BW$19+
INDEX($A163:$BM163,,$BV$20)*$BW$20+
INDEX($A163:$BM163,,$BV$21)*$BW$21+
INDEX($A163:$BM163,,$BV$22)*$BW$22+
INDEX($A163:$BM163,,$BV$23)*$BW$23+
INDEX($A163:$BM163,,$BV$25)*$BW$25+
INDEX($A163:$BM163,,$BV$26)*$BW$26+
INDEX($A163:$BM163,,$BV$27)*$BW$27+
$BN163)),
$BN163-100)</f>
        <v>-100</v>
      </c>
      <c r="BB163" t="str">
        <f t="shared" si="35"/>
        <v/>
      </c>
      <c r="BC163" t="str">
        <f t="shared" si="28"/>
        <v/>
      </c>
      <c r="BD163" s="430">
        <f>IFERROR(
IF(BB163="",-100,
IF($BV$2&gt;0, INDEX(Beersheet!$A:$U,MATCH(BB163,INDEX(Beersheet!$A:$U,0,FFARawStatProjections!$BV$2),0),$BV$3)+$BN163,
INDEX($A163:$BM163,,$BV$12)*$BW$12+
INDEX($A163:$BM163,,$BV$15)*$BW$15+
INDEX($A163:$BM163,,$BV$16)*$BW$16+
INDEX($A163:$BM163,,$BV$17)*$BW$17+
INDEX($A163:$BM163,,$BV$18)*$BW$18+
INDEX($A163:$BM163,,$BV$19)*$BW$19+
INDEX($A163:$BM163,,$BV$20)*$BW$20+
INDEX($A163:$BM163,,$BV$21)*$BW$21+
INDEX($A163:$BM163,,$BV$22)*$BW$22+
INDEX($A163:$BM163,,$BV$23)*$BW$23+
INDEX($A163:$BM163,,$BV$25)*$BW$25+
INDEX($A163:$BM163,,$BV$26)*$BW$26+
INDEX($A163:$BM163,,$BV$27)*$BW$27+
$BN163)),
$BN163-100)</f>
        <v>-100</v>
      </c>
      <c r="BF163" t="str">
        <f t="shared" si="36"/>
        <v/>
      </c>
      <c r="BG163" t="str">
        <f t="shared" si="37"/>
        <v/>
      </c>
      <c r="BH163">
        <f t="shared" si="38"/>
        <v>0</v>
      </c>
      <c r="BJ163" t="str">
        <f t="shared" si="39"/>
        <v/>
      </c>
      <c r="BL163">
        <f t="shared" si="41"/>
        <v>0</v>
      </c>
      <c r="BN163">
        <v>1.6199999999999999E-3</v>
      </c>
      <c r="BS163" s="4" t="s">
        <v>1882</v>
      </c>
    </row>
    <row r="164" spans="1:71" ht="15.75" hidden="1" thickBot="1" x14ac:dyDescent="0.3">
      <c r="A164" s="569" t="s">
        <v>1866</v>
      </c>
      <c r="B164" s="569" t="s">
        <v>151</v>
      </c>
      <c r="C164" s="569" t="s">
        <v>3</v>
      </c>
      <c r="D164" s="574">
        <v>7</v>
      </c>
      <c r="E164" s="569"/>
      <c r="F164" s="569"/>
      <c r="G164" s="569"/>
      <c r="H164" s="569"/>
      <c r="I164" s="574">
        <v>0</v>
      </c>
      <c r="J164" s="574">
        <v>0</v>
      </c>
      <c r="K164" s="574">
        <v>0</v>
      </c>
      <c r="L164" s="574">
        <v>24.4</v>
      </c>
      <c r="M164" s="574">
        <v>0.4</v>
      </c>
      <c r="N164" s="574">
        <v>173.9</v>
      </c>
      <c r="O164" s="574">
        <v>127.7</v>
      </c>
      <c r="P164" s="574">
        <v>2.8</v>
      </c>
      <c r="Q164" s="574">
        <v>540.6</v>
      </c>
      <c r="R164" s="569"/>
      <c r="S164" s="569"/>
      <c r="T164" s="569"/>
      <c r="U164" s="569"/>
      <c r="V164" s="569"/>
      <c r="W164" s="569"/>
      <c r="X164" s="569"/>
      <c r="Y164" s="569"/>
      <c r="Z164" s="569"/>
      <c r="AA164" s="569"/>
      <c r="AB164" s="569"/>
      <c r="AC164" s="569"/>
      <c r="AD164" s="569"/>
      <c r="AE164" s="569"/>
      <c r="AF164" s="569"/>
      <c r="AG164" s="569"/>
      <c r="AH164" s="569"/>
      <c r="AI164" s="569"/>
      <c r="AJ164" s="569"/>
      <c r="AK164" s="569"/>
      <c r="AL164" s="569"/>
      <c r="AM164" s="569"/>
      <c r="AN164" s="574">
        <v>87.9</v>
      </c>
      <c r="AO164">
        <v>163</v>
      </c>
      <c r="AP164" t="str">
        <f t="shared" si="40"/>
        <v/>
      </c>
      <c r="AQ164" t="str">
        <f t="shared" si="30"/>
        <v/>
      </c>
      <c r="AR164" s="430">
        <f>IFERROR(
IF(AP164="",-100,
IF($BV$2&gt;0, INDEX(Beersheet!$A:$U,MATCH(AP164,INDEX(Beersheet!$A:$U,0,FFARawStatProjections!$BV$2),0),$BV$3)+$BN164,
INDEX($A164:$BM164,,$BV$12)*$BW$12+
INDEX($A164:$BM164,,$BV$15)*$BW$15+
INDEX($A164:$BM164,,$BV$16)*$BW$16+
INDEX($A164:$BM164,,$BV$17)*$BW$17+
INDEX($A164:$BM164,,$BV$18)*$BW$18+
INDEX($A164:$BM164,,$BV$19)*$BW$19+
INDEX($A164:$BM164,,$BV$20)*$BW$20+
INDEX($A164:$BM164,,$BV$21)*$BW$21+
INDEX($A164:$BM164,,$BV$22)*$BW$22+
INDEX($A164:$BM164,,$BV$23)*$BW$23+
INDEX($A164:$BM164,,$BV$25)*$BW$25+
INDEX($A164:$BM164,,$BV$26)*$BW$26+
INDEX($A164:$BM164,,$BV$27)*$BW$27+
$BN164)),
$BN164-100)</f>
        <v>-100</v>
      </c>
      <c r="AT164" t="str">
        <f t="shared" si="31"/>
        <v>Devin Singletary</v>
      </c>
      <c r="AU164" t="str">
        <f t="shared" si="32"/>
        <v>HOU</v>
      </c>
      <c r="AV164" s="430">
        <f>IFERROR(
IF(AT164="",-100,
IF($BV$2&gt;0, INDEX(Beersheet!$A:$U,MATCH(AT164,INDEX(Beersheet!$A:$U,0,FFARawStatProjections!$BV$2),0),$BV$3)+$BN164,
INDEX($A164:$BM164,,$BV$12)*$BW$12+
INDEX($A164:$BM164,,$BV$15)*$BW$15+
INDEX($A164:$BM164,,$BV$16)*$BW$16+
INDEX($A164:$BM164,,$BV$17)*$BW$17+
INDEX($A164:$BM164,,$BV$18)*$BW$18+
INDEX($A164:$BM164,,$BV$19)*$BW$19+
INDEX($A164:$BM164,,$BV$20)*$BW$20+
INDEX($A164:$BM164,,$BV$21)*$BW$21+
INDEX($A164:$BM164,,$BV$22)*$BW$22+
INDEX($A164:$BM164,,$BV$23)*$BW$23+
INDEX($A164:$BM164,,$BV$25)*$BW$25+
INDEX($A164:$BM164,,$BV$26)*$BW$26+
INDEX($A164:$BM164,,$BV$27)*$BW$27+
$BN164)),
$BN164-100)</f>
        <v>115.05163</v>
      </c>
      <c r="AX164" t="str">
        <f t="shared" si="33"/>
        <v/>
      </c>
      <c r="AY164" t="str">
        <f t="shared" si="34"/>
        <v/>
      </c>
      <c r="AZ164" s="430">
        <f>IFERROR(
IF(AX164="",-100,
IF($BV$2&gt;0, INDEX(Beersheet!$A:$U,MATCH(AX164,INDEX(Beersheet!$A:$U,0,FFARawStatProjections!$BV$2),0),$BV$3)+$BN164,
INDEX($A164:$BM164,,$BV$12)*$BW$12+
INDEX($A164:$BM164,,$BV$15)*$BW$15+
INDEX($A164:$BM164,,$BV$16)*$BW$16+
INDEX($A164:$BM164,,$BV$17)*$BW$17+
INDEX($A164:$BM164,,$BV$18)*$BW$18+
INDEX($A164:$BM164,,$BV$19)*$BW$19+
INDEX($A164:$BM164,,$BV$20)*$BW$20+
INDEX($A164:$BM164,,$BV$21)*$BW$21+
INDEX($A164:$BM164,,$BV$22)*$BW$22+
INDEX($A164:$BM164,,$BV$23)*$BW$23+
INDEX($A164:$BM164,,$BV$25)*$BW$25+
INDEX($A164:$BM164,,$BV$26)*$BW$26+
INDEX($A164:$BM164,,$BV$27)*$BW$27+
$BN164)),
$BN164-100)</f>
        <v>-100</v>
      </c>
      <c r="BB164" t="str">
        <f t="shared" si="35"/>
        <v/>
      </c>
      <c r="BC164" t="str">
        <f t="shared" si="28"/>
        <v/>
      </c>
      <c r="BD164" s="430">
        <f>IFERROR(
IF(BB164="",-100,
IF($BV$2&gt;0, INDEX(Beersheet!$A:$U,MATCH(BB164,INDEX(Beersheet!$A:$U,0,FFARawStatProjections!$BV$2),0),$BV$3)+$BN164,
INDEX($A164:$BM164,,$BV$12)*$BW$12+
INDEX($A164:$BM164,,$BV$15)*$BW$15+
INDEX($A164:$BM164,,$BV$16)*$BW$16+
INDEX($A164:$BM164,,$BV$17)*$BW$17+
INDEX($A164:$BM164,,$BV$18)*$BW$18+
INDEX($A164:$BM164,,$BV$19)*$BW$19+
INDEX($A164:$BM164,,$BV$20)*$BW$20+
INDEX($A164:$BM164,,$BV$21)*$BW$21+
INDEX($A164:$BM164,,$BV$22)*$BW$22+
INDEX($A164:$BM164,,$BV$23)*$BW$23+
INDEX($A164:$BM164,,$BV$25)*$BW$25+
INDEX($A164:$BM164,,$BV$26)*$BW$26+
INDEX($A164:$BM164,,$BV$27)*$BW$27+
$BN164)),
$BN164-100)</f>
        <v>-100</v>
      </c>
      <c r="BF164" t="str">
        <f t="shared" si="36"/>
        <v/>
      </c>
      <c r="BG164" t="str">
        <f t="shared" si="37"/>
        <v/>
      </c>
      <c r="BH164">
        <f t="shared" si="38"/>
        <v>0</v>
      </c>
      <c r="BJ164" t="str">
        <f t="shared" si="39"/>
        <v/>
      </c>
      <c r="BL164">
        <f t="shared" si="41"/>
        <v>0</v>
      </c>
      <c r="BN164">
        <v>1.6299999999999999E-3</v>
      </c>
      <c r="BS164" s="4" t="s">
        <v>2340</v>
      </c>
    </row>
    <row r="165" spans="1:71" ht="15.75" hidden="1" thickBot="1" x14ac:dyDescent="0.3">
      <c r="A165" s="569" t="s">
        <v>2494</v>
      </c>
      <c r="B165" s="569" t="s">
        <v>166</v>
      </c>
      <c r="C165" s="569" t="s">
        <v>3</v>
      </c>
      <c r="D165" s="574">
        <v>10</v>
      </c>
      <c r="E165" s="569"/>
      <c r="F165" s="569"/>
      <c r="G165" s="569"/>
      <c r="H165" s="569"/>
      <c r="I165" s="574">
        <v>0</v>
      </c>
      <c r="J165" s="574">
        <v>0</v>
      </c>
      <c r="K165" s="574">
        <v>0</v>
      </c>
      <c r="L165" s="574">
        <v>21.9</v>
      </c>
      <c r="M165" s="574">
        <v>0.9</v>
      </c>
      <c r="N165" s="574">
        <v>182.8</v>
      </c>
      <c r="O165" s="574">
        <v>118.7</v>
      </c>
      <c r="P165" s="574">
        <v>3</v>
      </c>
      <c r="Q165" s="574">
        <v>474.1</v>
      </c>
      <c r="R165" s="569"/>
      <c r="S165" s="569"/>
      <c r="T165" s="569"/>
      <c r="U165" s="569"/>
      <c r="V165" s="569"/>
      <c r="W165" s="569"/>
      <c r="X165" s="569"/>
      <c r="Y165" s="569"/>
      <c r="Z165" s="569"/>
      <c r="AA165" s="569"/>
      <c r="AB165" s="569"/>
      <c r="AC165" s="569"/>
      <c r="AD165" s="569"/>
      <c r="AE165" s="569"/>
      <c r="AF165" s="569"/>
      <c r="AG165" s="569"/>
      <c r="AH165" s="569"/>
      <c r="AI165" s="569"/>
      <c r="AJ165" s="569"/>
      <c r="AK165" s="569"/>
      <c r="AL165" s="569"/>
      <c r="AM165" s="569"/>
      <c r="AN165" s="574">
        <v>86.9</v>
      </c>
      <c r="AO165">
        <v>164</v>
      </c>
      <c r="AP165" t="str">
        <f t="shared" si="40"/>
        <v/>
      </c>
      <c r="AQ165" t="str">
        <f t="shared" si="30"/>
        <v/>
      </c>
      <c r="AR165" s="430">
        <f>IFERROR(
IF(AP165="",-100,
IF($BV$2&gt;0, INDEX(Beersheet!$A:$U,MATCH(AP165,INDEX(Beersheet!$A:$U,0,FFARawStatProjections!$BV$2),0),$BV$3)+$BN165,
INDEX($A165:$BM165,,$BV$12)*$BW$12+
INDEX($A165:$BM165,,$BV$15)*$BW$15+
INDEX($A165:$BM165,,$BV$16)*$BW$16+
INDEX($A165:$BM165,,$BV$17)*$BW$17+
INDEX($A165:$BM165,,$BV$18)*$BW$18+
INDEX($A165:$BM165,,$BV$19)*$BW$19+
INDEX($A165:$BM165,,$BV$20)*$BW$20+
INDEX($A165:$BM165,,$BV$21)*$BW$21+
INDEX($A165:$BM165,,$BV$22)*$BW$22+
INDEX($A165:$BM165,,$BV$23)*$BW$23+
INDEX($A165:$BM165,,$BV$25)*$BW$25+
INDEX($A165:$BM165,,$BV$26)*$BW$26+
INDEX($A165:$BM165,,$BV$27)*$BW$27+
$BN165)),
$BN165-100)</f>
        <v>-100</v>
      </c>
      <c r="AT165" t="str">
        <f t="shared" si="31"/>
        <v>DeVon Achane</v>
      </c>
      <c r="AU165" t="str">
        <f t="shared" si="32"/>
        <v>MIA</v>
      </c>
      <c r="AV165" s="430">
        <f>IFERROR(
IF(AT165="",-100,
IF($BV$2&gt;0, INDEX(Beersheet!$A:$U,MATCH(AT165,INDEX(Beersheet!$A:$U,0,FFARawStatProjections!$BV$2),0),$BV$3)+$BN165,
INDEX($A165:$BM165,,$BV$12)*$BW$12+
INDEX($A165:$BM165,,$BV$15)*$BW$15+
INDEX($A165:$BM165,,$BV$16)*$BW$16+
INDEX($A165:$BM165,,$BV$17)*$BW$17+
INDEX($A165:$BM165,,$BV$18)*$BW$18+
INDEX($A165:$BM165,,$BV$19)*$BW$19+
INDEX($A165:$BM165,,$BV$20)*$BW$20+
INDEX($A165:$BM165,,$BV$21)*$BW$21+
INDEX($A165:$BM165,,$BV$22)*$BW$22+
INDEX($A165:$BM165,,$BV$23)*$BW$23+
INDEX($A165:$BM165,,$BV$25)*$BW$25+
INDEX($A165:$BM165,,$BV$26)*$BW$26+
INDEX($A165:$BM165,,$BV$27)*$BW$27+
$BN165)),
$BN165-100)</f>
        <v>110.99164</v>
      </c>
      <c r="AX165" t="str">
        <f t="shared" si="33"/>
        <v/>
      </c>
      <c r="AY165" t="str">
        <f t="shared" si="34"/>
        <v/>
      </c>
      <c r="AZ165" s="430">
        <f>IFERROR(
IF(AX165="",-100,
IF($BV$2&gt;0, INDEX(Beersheet!$A:$U,MATCH(AX165,INDEX(Beersheet!$A:$U,0,FFARawStatProjections!$BV$2),0),$BV$3)+$BN165,
INDEX($A165:$BM165,,$BV$12)*$BW$12+
INDEX($A165:$BM165,,$BV$15)*$BW$15+
INDEX($A165:$BM165,,$BV$16)*$BW$16+
INDEX($A165:$BM165,,$BV$17)*$BW$17+
INDEX($A165:$BM165,,$BV$18)*$BW$18+
INDEX($A165:$BM165,,$BV$19)*$BW$19+
INDEX($A165:$BM165,,$BV$20)*$BW$20+
INDEX($A165:$BM165,,$BV$21)*$BW$21+
INDEX($A165:$BM165,,$BV$22)*$BW$22+
INDEX($A165:$BM165,,$BV$23)*$BW$23+
INDEX($A165:$BM165,,$BV$25)*$BW$25+
INDEX($A165:$BM165,,$BV$26)*$BW$26+
INDEX($A165:$BM165,,$BV$27)*$BW$27+
$BN165)),
$BN165-100)</f>
        <v>-100</v>
      </c>
      <c r="BB165" t="str">
        <f t="shared" si="35"/>
        <v/>
      </c>
      <c r="BC165" t="str">
        <f t="shared" si="28"/>
        <v/>
      </c>
      <c r="BD165" s="430">
        <f>IFERROR(
IF(BB165="",-100,
IF($BV$2&gt;0, INDEX(Beersheet!$A:$U,MATCH(BB165,INDEX(Beersheet!$A:$U,0,FFARawStatProjections!$BV$2),0),$BV$3)+$BN165,
INDEX($A165:$BM165,,$BV$12)*$BW$12+
INDEX($A165:$BM165,,$BV$15)*$BW$15+
INDEX($A165:$BM165,,$BV$16)*$BW$16+
INDEX($A165:$BM165,,$BV$17)*$BW$17+
INDEX($A165:$BM165,,$BV$18)*$BW$18+
INDEX($A165:$BM165,,$BV$19)*$BW$19+
INDEX($A165:$BM165,,$BV$20)*$BW$20+
INDEX($A165:$BM165,,$BV$21)*$BW$21+
INDEX($A165:$BM165,,$BV$22)*$BW$22+
INDEX($A165:$BM165,,$BV$23)*$BW$23+
INDEX($A165:$BM165,,$BV$25)*$BW$25+
INDEX($A165:$BM165,,$BV$26)*$BW$26+
INDEX($A165:$BM165,,$BV$27)*$BW$27+
$BN165)),
$BN165-100)</f>
        <v>-100</v>
      </c>
      <c r="BF165" t="str">
        <f t="shared" si="36"/>
        <v/>
      </c>
      <c r="BG165" t="str">
        <f t="shared" si="37"/>
        <v/>
      </c>
      <c r="BH165">
        <f t="shared" si="38"/>
        <v>0</v>
      </c>
      <c r="BJ165" t="str">
        <f t="shared" si="39"/>
        <v/>
      </c>
      <c r="BL165">
        <f t="shared" si="41"/>
        <v>0</v>
      </c>
      <c r="BN165">
        <v>1.64E-3</v>
      </c>
      <c r="BS165" s="4" t="s">
        <v>1794</v>
      </c>
    </row>
    <row r="166" spans="1:71" ht="15.75" hidden="1" thickBot="1" x14ac:dyDescent="0.3">
      <c r="A166" s="569" t="s">
        <v>2467</v>
      </c>
      <c r="B166" s="569" t="s">
        <v>147</v>
      </c>
      <c r="C166" s="569" t="s">
        <v>3</v>
      </c>
      <c r="D166" s="574">
        <v>6</v>
      </c>
      <c r="E166" s="569"/>
      <c r="F166" s="569"/>
      <c r="G166" s="569"/>
      <c r="H166" s="569"/>
      <c r="I166" s="574">
        <v>0</v>
      </c>
      <c r="J166" s="574">
        <v>0</v>
      </c>
      <c r="K166" s="574">
        <v>0</v>
      </c>
      <c r="L166" s="574">
        <v>23.8</v>
      </c>
      <c r="M166" s="574">
        <v>0.4</v>
      </c>
      <c r="N166" s="574">
        <v>202.2</v>
      </c>
      <c r="O166" s="574">
        <v>107.4</v>
      </c>
      <c r="P166" s="574">
        <v>2.6</v>
      </c>
      <c r="Q166" s="574">
        <v>482.7</v>
      </c>
      <c r="R166" s="569"/>
      <c r="S166" s="569"/>
      <c r="T166" s="569"/>
      <c r="U166" s="569"/>
      <c r="V166" s="569"/>
      <c r="W166" s="569"/>
      <c r="X166" s="569"/>
      <c r="Y166" s="569"/>
      <c r="Z166" s="569"/>
      <c r="AA166" s="569"/>
      <c r="AB166" s="569"/>
      <c r="AC166" s="569"/>
      <c r="AD166" s="569"/>
      <c r="AE166" s="569"/>
      <c r="AF166" s="569"/>
      <c r="AG166" s="569"/>
      <c r="AH166" s="569"/>
      <c r="AI166" s="569"/>
      <c r="AJ166" s="569"/>
      <c r="AK166" s="569"/>
      <c r="AL166" s="569"/>
      <c r="AM166" s="569"/>
      <c r="AN166" s="574">
        <v>86.1</v>
      </c>
      <c r="AO166">
        <v>165</v>
      </c>
      <c r="AP166" t="str">
        <f t="shared" si="40"/>
        <v/>
      </c>
      <c r="AQ166" t="str">
        <f t="shared" si="30"/>
        <v/>
      </c>
      <c r="AR166" s="430">
        <f>IFERROR(
IF(AP166="",-100,
IF($BV$2&gt;0, INDEX(Beersheet!$A:$U,MATCH(AP166,INDEX(Beersheet!$A:$U,0,FFARawStatProjections!$BV$2),0),$BV$3)+$BN166,
INDEX($A166:$BM166,,$BV$12)*$BW$12+
INDEX($A166:$BM166,,$BV$15)*$BW$15+
INDEX($A166:$BM166,,$BV$16)*$BW$16+
INDEX($A166:$BM166,,$BV$17)*$BW$17+
INDEX($A166:$BM166,,$BV$18)*$BW$18+
INDEX($A166:$BM166,,$BV$19)*$BW$19+
INDEX($A166:$BM166,,$BV$20)*$BW$20+
INDEX($A166:$BM166,,$BV$21)*$BW$21+
INDEX($A166:$BM166,,$BV$22)*$BW$22+
INDEX($A166:$BM166,,$BV$23)*$BW$23+
INDEX($A166:$BM166,,$BV$25)*$BW$25+
INDEX($A166:$BM166,,$BV$26)*$BW$26+
INDEX($A166:$BM166,,$BV$27)*$BW$27+
$BN166)),
$BN166-100)</f>
        <v>-100</v>
      </c>
      <c r="AT166" t="str">
        <f t="shared" si="31"/>
        <v>Jaylen Warren</v>
      </c>
      <c r="AU166" t="str">
        <f t="shared" si="32"/>
        <v>PIT</v>
      </c>
      <c r="AV166" s="430">
        <f>IFERROR(
IF(AT166="",-100,
IF($BV$2&gt;0, INDEX(Beersheet!$A:$U,MATCH(AT166,INDEX(Beersheet!$A:$U,0,FFARawStatProjections!$BV$2),0),$BV$3)+$BN166,
INDEX($A166:$BM166,,$BV$12)*$BW$12+
INDEX($A166:$BM166,,$BV$15)*$BW$15+
INDEX($A166:$BM166,,$BV$16)*$BW$16+
INDEX($A166:$BM166,,$BV$17)*$BW$17+
INDEX($A166:$BM166,,$BV$18)*$BW$18+
INDEX($A166:$BM166,,$BV$19)*$BW$19+
INDEX($A166:$BM166,,$BV$20)*$BW$20+
INDEX($A166:$BM166,,$BV$21)*$BW$21+
INDEX($A166:$BM166,,$BV$22)*$BW$22+
INDEX($A166:$BM166,,$BV$23)*$BW$23+
INDEX($A166:$BM166,,$BV$25)*$BW$25+
INDEX($A166:$BM166,,$BV$26)*$BW$26+
INDEX($A166:$BM166,,$BV$27)*$BW$27+
$BN166)),
$BN166-100)</f>
        <v>110.29165</v>
      </c>
      <c r="AX166" t="str">
        <f t="shared" si="33"/>
        <v/>
      </c>
      <c r="AY166" t="str">
        <f t="shared" si="34"/>
        <v/>
      </c>
      <c r="AZ166" s="430">
        <f>IFERROR(
IF(AX166="",-100,
IF($BV$2&gt;0, INDEX(Beersheet!$A:$U,MATCH(AX166,INDEX(Beersheet!$A:$U,0,FFARawStatProjections!$BV$2),0),$BV$3)+$BN166,
INDEX($A166:$BM166,,$BV$12)*$BW$12+
INDEX($A166:$BM166,,$BV$15)*$BW$15+
INDEX($A166:$BM166,,$BV$16)*$BW$16+
INDEX($A166:$BM166,,$BV$17)*$BW$17+
INDEX($A166:$BM166,,$BV$18)*$BW$18+
INDEX($A166:$BM166,,$BV$19)*$BW$19+
INDEX($A166:$BM166,,$BV$20)*$BW$20+
INDEX($A166:$BM166,,$BV$21)*$BW$21+
INDEX($A166:$BM166,,$BV$22)*$BW$22+
INDEX($A166:$BM166,,$BV$23)*$BW$23+
INDEX($A166:$BM166,,$BV$25)*$BW$25+
INDEX($A166:$BM166,,$BV$26)*$BW$26+
INDEX($A166:$BM166,,$BV$27)*$BW$27+
$BN166)),
$BN166-100)</f>
        <v>-100</v>
      </c>
      <c r="BB166" t="str">
        <f t="shared" si="35"/>
        <v/>
      </c>
      <c r="BC166" t="str">
        <f t="shared" si="28"/>
        <v/>
      </c>
      <c r="BD166" s="430">
        <f>IFERROR(
IF(BB166="",-100,
IF($BV$2&gt;0, INDEX(Beersheet!$A:$U,MATCH(BB166,INDEX(Beersheet!$A:$U,0,FFARawStatProjections!$BV$2),0),$BV$3)+$BN166,
INDEX($A166:$BM166,,$BV$12)*$BW$12+
INDEX($A166:$BM166,,$BV$15)*$BW$15+
INDEX($A166:$BM166,,$BV$16)*$BW$16+
INDEX($A166:$BM166,,$BV$17)*$BW$17+
INDEX($A166:$BM166,,$BV$18)*$BW$18+
INDEX($A166:$BM166,,$BV$19)*$BW$19+
INDEX($A166:$BM166,,$BV$20)*$BW$20+
INDEX($A166:$BM166,,$BV$21)*$BW$21+
INDEX($A166:$BM166,,$BV$22)*$BW$22+
INDEX($A166:$BM166,,$BV$23)*$BW$23+
INDEX($A166:$BM166,,$BV$25)*$BW$25+
INDEX($A166:$BM166,,$BV$26)*$BW$26+
INDEX($A166:$BM166,,$BV$27)*$BW$27+
$BN166)),
$BN166-100)</f>
        <v>-100</v>
      </c>
      <c r="BF166" t="str">
        <f t="shared" si="36"/>
        <v/>
      </c>
      <c r="BG166" t="str">
        <f t="shared" si="37"/>
        <v/>
      </c>
      <c r="BH166">
        <f t="shared" si="38"/>
        <v>0</v>
      </c>
      <c r="BJ166" t="str">
        <f t="shared" si="39"/>
        <v/>
      </c>
      <c r="BL166">
        <f t="shared" si="41"/>
        <v>0</v>
      </c>
      <c r="BN166">
        <v>1.65E-3</v>
      </c>
      <c r="BS166" s="4" t="s">
        <v>1959</v>
      </c>
    </row>
    <row r="167" spans="1:71" ht="15.75" hidden="1" thickBot="1" x14ac:dyDescent="0.3">
      <c r="A167" s="569" t="s">
        <v>2178</v>
      </c>
      <c r="B167" s="569" t="s">
        <v>137</v>
      </c>
      <c r="C167" s="569" t="s">
        <v>3</v>
      </c>
      <c r="D167" s="574">
        <v>10</v>
      </c>
      <c r="E167" s="569"/>
      <c r="F167" s="569"/>
      <c r="G167" s="569"/>
      <c r="H167" s="569"/>
      <c r="I167" s="574">
        <v>0</v>
      </c>
      <c r="J167" s="574">
        <v>0</v>
      </c>
      <c r="K167" s="574">
        <v>0</v>
      </c>
      <c r="L167" s="574">
        <v>22.1</v>
      </c>
      <c r="M167" s="574">
        <v>0.7</v>
      </c>
      <c r="N167" s="574">
        <v>171.6</v>
      </c>
      <c r="O167" s="574">
        <v>90.7</v>
      </c>
      <c r="P167" s="574">
        <v>3.8</v>
      </c>
      <c r="Q167" s="574">
        <v>398.9</v>
      </c>
      <c r="R167" s="569"/>
      <c r="S167" s="569"/>
      <c r="T167" s="569"/>
      <c r="U167" s="569"/>
      <c r="V167" s="569"/>
      <c r="W167" s="569"/>
      <c r="X167" s="569"/>
      <c r="Y167" s="569"/>
      <c r="Z167" s="569"/>
      <c r="AA167" s="569"/>
      <c r="AB167" s="569"/>
      <c r="AC167" s="569"/>
      <c r="AD167" s="569"/>
      <c r="AE167" s="569"/>
      <c r="AF167" s="569"/>
      <c r="AG167" s="569"/>
      <c r="AH167" s="569"/>
      <c r="AI167" s="569"/>
      <c r="AJ167" s="569"/>
      <c r="AK167" s="569"/>
      <c r="AL167" s="569"/>
      <c r="AM167" s="569"/>
      <c r="AN167" s="574">
        <v>83.6</v>
      </c>
      <c r="AO167">
        <v>166</v>
      </c>
      <c r="AP167" t="str">
        <f t="shared" si="40"/>
        <v/>
      </c>
      <c r="AQ167" t="str">
        <f t="shared" si="30"/>
        <v/>
      </c>
      <c r="AR167" s="430">
        <f>IFERROR(
IF(AP167="",-100,
IF($BV$2&gt;0, INDEX(Beersheet!$A:$U,MATCH(AP167,INDEX(Beersheet!$A:$U,0,FFARawStatProjections!$BV$2),0),$BV$3)+$BN167,
INDEX($A167:$BM167,,$BV$12)*$BW$12+
INDEX($A167:$BM167,,$BV$15)*$BW$15+
INDEX($A167:$BM167,,$BV$16)*$BW$16+
INDEX($A167:$BM167,,$BV$17)*$BW$17+
INDEX($A167:$BM167,,$BV$18)*$BW$18+
INDEX($A167:$BM167,,$BV$19)*$BW$19+
INDEX($A167:$BM167,,$BV$20)*$BW$20+
INDEX($A167:$BM167,,$BV$21)*$BW$21+
INDEX($A167:$BM167,,$BV$22)*$BW$22+
INDEX($A167:$BM167,,$BV$23)*$BW$23+
INDEX($A167:$BM167,,$BV$25)*$BW$25+
INDEX($A167:$BM167,,$BV$26)*$BW$26+
INDEX($A167:$BM167,,$BV$27)*$BW$27+
$BN167)),
$BN167-100)</f>
        <v>-100</v>
      </c>
      <c r="AT167" t="str">
        <f t="shared" si="31"/>
        <v>Kenneth Gainwell</v>
      </c>
      <c r="AU167" t="str">
        <f t="shared" si="32"/>
        <v>PHI</v>
      </c>
      <c r="AV167" s="430">
        <f>IFERROR(
IF(AT167="",-100,
IF($BV$2&gt;0, INDEX(Beersheet!$A:$U,MATCH(AT167,INDEX(Beersheet!$A:$U,0,FFARawStatProjections!$BV$2),0),$BV$3)+$BN167,
INDEX($A167:$BM167,,$BV$12)*$BW$12+
INDEX($A167:$BM167,,$BV$15)*$BW$15+
INDEX($A167:$BM167,,$BV$16)*$BW$16+
INDEX($A167:$BM167,,$BV$17)*$BW$17+
INDEX($A167:$BM167,,$BV$18)*$BW$18+
INDEX($A167:$BM167,,$BV$19)*$BW$19+
INDEX($A167:$BM167,,$BV$20)*$BW$20+
INDEX($A167:$BM167,,$BV$21)*$BW$21+
INDEX($A167:$BM167,,$BV$22)*$BW$22+
INDEX($A167:$BM167,,$BV$23)*$BW$23+
INDEX($A167:$BM167,,$BV$25)*$BW$25+
INDEX($A167:$BM167,,$BV$26)*$BW$26+
INDEX($A167:$BM167,,$BV$27)*$BW$27+
$BN167)),
$BN167-100)</f>
        <v>106.15165999999999</v>
      </c>
      <c r="AX167" t="str">
        <f t="shared" si="33"/>
        <v/>
      </c>
      <c r="AY167" t="str">
        <f t="shared" si="34"/>
        <v/>
      </c>
      <c r="AZ167" s="430">
        <f>IFERROR(
IF(AX167="",-100,
IF($BV$2&gt;0, INDEX(Beersheet!$A:$U,MATCH(AX167,INDEX(Beersheet!$A:$U,0,FFARawStatProjections!$BV$2),0),$BV$3)+$BN167,
INDEX($A167:$BM167,,$BV$12)*$BW$12+
INDEX($A167:$BM167,,$BV$15)*$BW$15+
INDEX($A167:$BM167,,$BV$16)*$BW$16+
INDEX($A167:$BM167,,$BV$17)*$BW$17+
INDEX($A167:$BM167,,$BV$18)*$BW$18+
INDEX($A167:$BM167,,$BV$19)*$BW$19+
INDEX($A167:$BM167,,$BV$20)*$BW$20+
INDEX($A167:$BM167,,$BV$21)*$BW$21+
INDEX($A167:$BM167,,$BV$22)*$BW$22+
INDEX($A167:$BM167,,$BV$23)*$BW$23+
INDEX($A167:$BM167,,$BV$25)*$BW$25+
INDEX($A167:$BM167,,$BV$26)*$BW$26+
INDEX($A167:$BM167,,$BV$27)*$BW$27+
$BN167)),
$BN167-100)</f>
        <v>-100</v>
      </c>
      <c r="BB167" t="str">
        <f t="shared" si="35"/>
        <v/>
      </c>
      <c r="BC167" t="str">
        <f t="shared" si="28"/>
        <v/>
      </c>
      <c r="BD167" s="430">
        <f>IFERROR(
IF(BB167="",-100,
IF($BV$2&gt;0, INDEX(Beersheet!$A:$U,MATCH(BB167,INDEX(Beersheet!$A:$U,0,FFARawStatProjections!$BV$2),0),$BV$3)+$BN167,
INDEX($A167:$BM167,,$BV$12)*$BW$12+
INDEX($A167:$BM167,,$BV$15)*$BW$15+
INDEX($A167:$BM167,,$BV$16)*$BW$16+
INDEX($A167:$BM167,,$BV$17)*$BW$17+
INDEX($A167:$BM167,,$BV$18)*$BW$18+
INDEX($A167:$BM167,,$BV$19)*$BW$19+
INDEX($A167:$BM167,,$BV$20)*$BW$20+
INDEX($A167:$BM167,,$BV$21)*$BW$21+
INDEX($A167:$BM167,,$BV$22)*$BW$22+
INDEX($A167:$BM167,,$BV$23)*$BW$23+
INDEX($A167:$BM167,,$BV$25)*$BW$25+
INDEX($A167:$BM167,,$BV$26)*$BW$26+
INDEX($A167:$BM167,,$BV$27)*$BW$27+
$BN167)),
$BN167-100)</f>
        <v>-100</v>
      </c>
      <c r="BF167" t="str">
        <f t="shared" si="36"/>
        <v/>
      </c>
      <c r="BG167" t="str">
        <f t="shared" si="37"/>
        <v/>
      </c>
      <c r="BH167">
        <f t="shared" si="38"/>
        <v>0</v>
      </c>
      <c r="BJ167" t="str">
        <f t="shared" si="39"/>
        <v/>
      </c>
      <c r="BL167">
        <f t="shared" si="41"/>
        <v>0</v>
      </c>
      <c r="BN167">
        <v>1.66E-3</v>
      </c>
      <c r="BS167" s="4" t="s">
        <v>1894</v>
      </c>
    </row>
    <row r="168" spans="1:71" ht="15.75" hidden="1" thickBot="1" x14ac:dyDescent="0.3">
      <c r="A168" s="569" t="s">
        <v>986</v>
      </c>
      <c r="B168" s="569" t="s">
        <v>136</v>
      </c>
      <c r="C168" s="569" t="s">
        <v>3</v>
      </c>
      <c r="D168" s="574">
        <v>10</v>
      </c>
      <c r="E168" s="569"/>
      <c r="F168" s="569"/>
      <c r="G168" s="569"/>
      <c r="H168" s="569"/>
      <c r="I168" s="574">
        <v>0</v>
      </c>
      <c r="J168" s="574">
        <v>0</v>
      </c>
      <c r="K168" s="574">
        <v>0</v>
      </c>
      <c r="L168" s="574">
        <v>38.4</v>
      </c>
      <c r="M168" s="574">
        <v>3.1</v>
      </c>
      <c r="N168" s="574">
        <v>329.9</v>
      </c>
      <c r="O168" s="574">
        <v>57.1</v>
      </c>
      <c r="P168" s="574">
        <v>1.6</v>
      </c>
      <c r="Q168" s="574">
        <v>223.6</v>
      </c>
      <c r="R168" s="569"/>
      <c r="S168" s="569"/>
      <c r="T168" s="569"/>
      <c r="U168" s="569"/>
      <c r="V168" s="569"/>
      <c r="W168" s="569"/>
      <c r="X168" s="569"/>
      <c r="Y168" s="569"/>
      <c r="Z168" s="569"/>
      <c r="AA168" s="569"/>
      <c r="AB168" s="569"/>
      <c r="AC168" s="569"/>
      <c r="AD168" s="569"/>
      <c r="AE168" s="569"/>
      <c r="AF168" s="569"/>
      <c r="AG168" s="569"/>
      <c r="AH168" s="569"/>
      <c r="AI168" s="569"/>
      <c r="AJ168" s="569"/>
      <c r="AK168" s="569"/>
      <c r="AL168" s="569"/>
      <c r="AM168" s="569"/>
      <c r="AN168" s="574">
        <v>83</v>
      </c>
      <c r="AO168">
        <v>167</v>
      </c>
      <c r="AP168" t="str">
        <f t="shared" si="40"/>
        <v/>
      </c>
      <c r="AQ168" t="str">
        <f t="shared" si="30"/>
        <v/>
      </c>
      <c r="AR168" s="430">
        <f>IFERROR(
IF(AP168="",-100,
IF($BV$2&gt;0, INDEX(Beersheet!$A:$U,MATCH(AP168,INDEX(Beersheet!$A:$U,0,FFARawStatProjections!$BV$2),0),$BV$3)+$BN168,
INDEX($A168:$BM168,,$BV$12)*$BW$12+
INDEX($A168:$BM168,,$BV$15)*$BW$15+
INDEX($A168:$BM168,,$BV$16)*$BW$16+
INDEX($A168:$BM168,,$BV$17)*$BW$17+
INDEX($A168:$BM168,,$BV$18)*$BW$18+
INDEX($A168:$BM168,,$BV$19)*$BW$19+
INDEX($A168:$BM168,,$BV$20)*$BW$20+
INDEX($A168:$BM168,,$BV$21)*$BW$21+
INDEX($A168:$BM168,,$BV$22)*$BW$22+
INDEX($A168:$BM168,,$BV$23)*$BW$23+
INDEX($A168:$BM168,,$BV$25)*$BW$25+
INDEX($A168:$BM168,,$BV$26)*$BW$26+
INDEX($A168:$BM168,,$BV$27)*$BW$27+
$BN168)),
$BN168-100)</f>
        <v>-100</v>
      </c>
      <c r="AT168" t="str">
        <f t="shared" si="31"/>
        <v>Jerick McKinnon</v>
      </c>
      <c r="AU168" t="str">
        <f t="shared" si="32"/>
        <v>KC</v>
      </c>
      <c r="AV168" s="430">
        <f>IFERROR(
IF(AT168="",-100,
IF($BV$2&gt;0, INDEX(Beersheet!$A:$U,MATCH(AT168,INDEX(Beersheet!$A:$U,0,FFARawStatProjections!$BV$2),0),$BV$3)+$BN168,
INDEX($A168:$BM168,,$BV$12)*$BW$12+
INDEX($A168:$BM168,,$BV$15)*$BW$15+
INDEX($A168:$BM168,,$BV$16)*$BW$16+
INDEX($A168:$BM168,,$BV$17)*$BW$17+
INDEX($A168:$BM168,,$BV$18)*$BW$18+
INDEX($A168:$BM168,,$BV$19)*$BW$19+
INDEX($A168:$BM168,,$BV$20)*$BW$20+
INDEX($A168:$BM168,,$BV$21)*$BW$21+
INDEX($A168:$BM168,,$BV$22)*$BW$22+
INDEX($A168:$BM168,,$BV$23)*$BW$23+
INDEX($A168:$BM168,,$BV$25)*$BW$25+
INDEX($A168:$BM168,,$BV$26)*$BW$26+
INDEX($A168:$BM168,,$BV$27)*$BW$27+
$BN168)),
$BN168-100)</f>
        <v>121.95167000000001</v>
      </c>
      <c r="AX168" t="str">
        <f t="shared" si="33"/>
        <v/>
      </c>
      <c r="AY168" t="str">
        <f t="shared" si="34"/>
        <v/>
      </c>
      <c r="AZ168" s="430">
        <f>IFERROR(
IF(AX168="",-100,
IF($BV$2&gt;0, INDEX(Beersheet!$A:$U,MATCH(AX168,INDEX(Beersheet!$A:$U,0,FFARawStatProjections!$BV$2),0),$BV$3)+$BN168,
INDEX($A168:$BM168,,$BV$12)*$BW$12+
INDEX($A168:$BM168,,$BV$15)*$BW$15+
INDEX($A168:$BM168,,$BV$16)*$BW$16+
INDEX($A168:$BM168,,$BV$17)*$BW$17+
INDEX($A168:$BM168,,$BV$18)*$BW$18+
INDEX($A168:$BM168,,$BV$19)*$BW$19+
INDEX($A168:$BM168,,$BV$20)*$BW$20+
INDEX($A168:$BM168,,$BV$21)*$BW$21+
INDEX($A168:$BM168,,$BV$22)*$BW$22+
INDEX($A168:$BM168,,$BV$23)*$BW$23+
INDEX($A168:$BM168,,$BV$25)*$BW$25+
INDEX($A168:$BM168,,$BV$26)*$BW$26+
INDEX($A168:$BM168,,$BV$27)*$BW$27+
$BN168)),
$BN168-100)</f>
        <v>-100</v>
      </c>
      <c r="BB168" t="str">
        <f t="shared" si="35"/>
        <v/>
      </c>
      <c r="BC168" t="str">
        <f t="shared" si="28"/>
        <v/>
      </c>
      <c r="BD168" s="430">
        <f>IFERROR(
IF(BB168="",-100,
IF($BV$2&gt;0, INDEX(Beersheet!$A:$U,MATCH(BB168,INDEX(Beersheet!$A:$U,0,FFARawStatProjections!$BV$2),0),$BV$3)+$BN168,
INDEX($A168:$BM168,,$BV$12)*$BW$12+
INDEX($A168:$BM168,,$BV$15)*$BW$15+
INDEX($A168:$BM168,,$BV$16)*$BW$16+
INDEX($A168:$BM168,,$BV$17)*$BW$17+
INDEX($A168:$BM168,,$BV$18)*$BW$18+
INDEX($A168:$BM168,,$BV$19)*$BW$19+
INDEX($A168:$BM168,,$BV$20)*$BW$20+
INDEX($A168:$BM168,,$BV$21)*$BW$21+
INDEX($A168:$BM168,,$BV$22)*$BW$22+
INDEX($A168:$BM168,,$BV$23)*$BW$23+
INDEX($A168:$BM168,,$BV$25)*$BW$25+
INDEX($A168:$BM168,,$BV$26)*$BW$26+
INDEX($A168:$BM168,,$BV$27)*$BW$27+
$BN168)),
$BN168-100)</f>
        <v>-100</v>
      </c>
      <c r="BF168" t="str">
        <f t="shared" si="36"/>
        <v/>
      </c>
      <c r="BG168" t="str">
        <f t="shared" si="37"/>
        <v/>
      </c>
      <c r="BH168">
        <f t="shared" si="38"/>
        <v>0</v>
      </c>
      <c r="BJ168" t="str">
        <f t="shared" si="39"/>
        <v/>
      </c>
      <c r="BL168">
        <f t="shared" si="41"/>
        <v>0</v>
      </c>
      <c r="BN168">
        <v>1.67E-3</v>
      </c>
      <c r="BS168" s="4" t="s">
        <v>2128</v>
      </c>
    </row>
    <row r="169" spans="1:71" ht="15.75" hidden="1" thickBot="1" x14ac:dyDescent="0.3">
      <c r="A169" s="569" t="s">
        <v>1829</v>
      </c>
      <c r="B169" s="569" t="s">
        <v>162</v>
      </c>
      <c r="C169" s="569" t="s">
        <v>3</v>
      </c>
      <c r="D169" s="574">
        <v>13</v>
      </c>
      <c r="E169" s="569"/>
      <c r="F169" s="569"/>
      <c r="G169" s="569"/>
      <c r="H169" s="569"/>
      <c r="I169" s="574">
        <v>0</v>
      </c>
      <c r="J169" s="574">
        <v>0</v>
      </c>
      <c r="K169" s="574">
        <v>0</v>
      </c>
      <c r="L169" s="574">
        <v>6.8</v>
      </c>
      <c r="M169" s="574">
        <v>0.2</v>
      </c>
      <c r="N169" s="574">
        <v>58.7</v>
      </c>
      <c r="O169" s="574">
        <v>119.5</v>
      </c>
      <c r="P169" s="574">
        <v>3.2</v>
      </c>
      <c r="Q169" s="574">
        <v>564</v>
      </c>
      <c r="R169" s="569"/>
      <c r="S169" s="569"/>
      <c r="T169" s="569"/>
      <c r="U169" s="569"/>
      <c r="V169" s="569"/>
      <c r="W169" s="569"/>
      <c r="X169" s="569"/>
      <c r="Y169" s="569"/>
      <c r="Z169" s="569"/>
      <c r="AA169" s="569"/>
      <c r="AB169" s="569"/>
      <c r="AC169" s="569"/>
      <c r="AD169" s="569"/>
      <c r="AE169" s="569"/>
      <c r="AF169" s="569"/>
      <c r="AG169" s="569"/>
      <c r="AH169" s="569"/>
      <c r="AI169" s="569"/>
      <c r="AJ169" s="569"/>
      <c r="AK169" s="569"/>
      <c r="AL169" s="569"/>
      <c r="AM169" s="569"/>
      <c r="AN169" s="574">
        <v>80.400000000000006</v>
      </c>
      <c r="AO169">
        <v>168</v>
      </c>
      <c r="AP169" t="str">
        <f t="shared" si="40"/>
        <v/>
      </c>
      <c r="AQ169" t="str">
        <f t="shared" si="30"/>
        <v/>
      </c>
      <c r="AR169" s="430">
        <f>IFERROR(
IF(AP169="",-100,
IF($BV$2&gt;0, INDEX(Beersheet!$A:$U,MATCH(AP169,INDEX(Beersheet!$A:$U,0,FFARawStatProjections!$BV$2),0),$BV$3)+$BN169,
INDEX($A169:$BM169,,$BV$12)*$BW$12+
INDEX($A169:$BM169,,$BV$15)*$BW$15+
INDEX($A169:$BM169,,$BV$16)*$BW$16+
INDEX($A169:$BM169,,$BV$17)*$BW$17+
INDEX($A169:$BM169,,$BV$18)*$BW$18+
INDEX($A169:$BM169,,$BV$19)*$BW$19+
INDEX($A169:$BM169,,$BV$20)*$BW$20+
INDEX($A169:$BM169,,$BV$21)*$BW$21+
INDEX($A169:$BM169,,$BV$22)*$BW$22+
INDEX($A169:$BM169,,$BV$23)*$BW$23+
INDEX($A169:$BM169,,$BV$25)*$BW$25+
INDEX($A169:$BM169,,$BV$26)*$BW$26+
INDEX($A169:$BM169,,$BV$27)*$BW$27+
$BN169)),
$BN169-100)</f>
        <v>-100</v>
      </c>
      <c r="AT169" t="str">
        <f t="shared" si="31"/>
        <v>Gus Edwards</v>
      </c>
      <c r="AU169" t="str">
        <f t="shared" si="32"/>
        <v>BAL</v>
      </c>
      <c r="AV169" s="430">
        <f>IFERROR(
IF(AT169="",-100,
IF($BV$2&gt;0, INDEX(Beersheet!$A:$U,MATCH(AT169,INDEX(Beersheet!$A:$U,0,FFARawStatProjections!$BV$2),0),$BV$3)+$BN169,
INDEX($A169:$BM169,,$BV$12)*$BW$12+
INDEX($A169:$BM169,,$BV$15)*$BW$15+
INDEX($A169:$BM169,,$BV$16)*$BW$16+
INDEX($A169:$BM169,,$BV$17)*$BW$17+
INDEX($A169:$BM169,,$BV$18)*$BW$18+
INDEX($A169:$BM169,,$BV$19)*$BW$19+
INDEX($A169:$BM169,,$BV$20)*$BW$20+
INDEX($A169:$BM169,,$BV$21)*$BW$21+
INDEX($A169:$BM169,,$BV$22)*$BW$22+
INDEX($A169:$BM169,,$BV$23)*$BW$23+
INDEX($A169:$BM169,,$BV$25)*$BW$25+
INDEX($A169:$BM169,,$BV$26)*$BW$26+
INDEX($A169:$BM169,,$BV$27)*$BW$27+
$BN169)),
$BN169-100)</f>
        <v>89.471680000000006</v>
      </c>
      <c r="AX169" t="str">
        <f t="shared" si="33"/>
        <v/>
      </c>
      <c r="AY169" t="str">
        <f t="shared" si="34"/>
        <v/>
      </c>
      <c r="AZ169" s="430">
        <f>IFERROR(
IF(AX169="",-100,
IF($BV$2&gt;0, INDEX(Beersheet!$A:$U,MATCH(AX169,INDEX(Beersheet!$A:$U,0,FFARawStatProjections!$BV$2),0),$BV$3)+$BN169,
INDEX($A169:$BM169,,$BV$12)*$BW$12+
INDEX($A169:$BM169,,$BV$15)*$BW$15+
INDEX($A169:$BM169,,$BV$16)*$BW$16+
INDEX($A169:$BM169,,$BV$17)*$BW$17+
INDEX($A169:$BM169,,$BV$18)*$BW$18+
INDEX($A169:$BM169,,$BV$19)*$BW$19+
INDEX($A169:$BM169,,$BV$20)*$BW$20+
INDEX($A169:$BM169,,$BV$21)*$BW$21+
INDEX($A169:$BM169,,$BV$22)*$BW$22+
INDEX($A169:$BM169,,$BV$23)*$BW$23+
INDEX($A169:$BM169,,$BV$25)*$BW$25+
INDEX($A169:$BM169,,$BV$26)*$BW$26+
INDEX($A169:$BM169,,$BV$27)*$BW$27+
$BN169)),
$BN169-100)</f>
        <v>-100</v>
      </c>
      <c r="BB169" t="str">
        <f t="shared" si="35"/>
        <v/>
      </c>
      <c r="BC169" t="str">
        <f t="shared" si="28"/>
        <v/>
      </c>
      <c r="BD169" s="430">
        <f>IFERROR(
IF(BB169="",-100,
IF($BV$2&gt;0, INDEX(Beersheet!$A:$U,MATCH(BB169,INDEX(Beersheet!$A:$U,0,FFARawStatProjections!$BV$2),0),$BV$3)+$BN169,
INDEX($A169:$BM169,,$BV$12)*$BW$12+
INDEX($A169:$BM169,,$BV$15)*$BW$15+
INDEX($A169:$BM169,,$BV$16)*$BW$16+
INDEX($A169:$BM169,,$BV$17)*$BW$17+
INDEX($A169:$BM169,,$BV$18)*$BW$18+
INDEX($A169:$BM169,,$BV$19)*$BW$19+
INDEX($A169:$BM169,,$BV$20)*$BW$20+
INDEX($A169:$BM169,,$BV$21)*$BW$21+
INDEX($A169:$BM169,,$BV$22)*$BW$22+
INDEX($A169:$BM169,,$BV$23)*$BW$23+
INDEX($A169:$BM169,,$BV$25)*$BW$25+
INDEX($A169:$BM169,,$BV$26)*$BW$26+
INDEX($A169:$BM169,,$BV$27)*$BW$27+
$BN169)),
$BN169-100)</f>
        <v>-100</v>
      </c>
      <c r="BF169" t="str">
        <f t="shared" si="36"/>
        <v/>
      </c>
      <c r="BG169" t="str">
        <f t="shared" si="37"/>
        <v/>
      </c>
      <c r="BH169">
        <f t="shared" si="38"/>
        <v>0</v>
      </c>
      <c r="BJ169" t="str">
        <f t="shared" si="39"/>
        <v/>
      </c>
      <c r="BL169">
        <f t="shared" si="41"/>
        <v>0</v>
      </c>
      <c r="BN169">
        <v>1.6800000000000001E-3</v>
      </c>
      <c r="BS169" s="4" t="s">
        <v>2502</v>
      </c>
    </row>
    <row r="170" spans="1:71" ht="15.75" hidden="1" thickBot="1" x14ac:dyDescent="0.3">
      <c r="A170" s="569" t="s">
        <v>2407</v>
      </c>
      <c r="B170" s="569" t="s">
        <v>165</v>
      </c>
      <c r="C170" s="569" t="s">
        <v>3</v>
      </c>
      <c r="D170" s="574">
        <v>9</v>
      </c>
      <c r="E170" s="569"/>
      <c r="F170" s="569"/>
      <c r="G170" s="569"/>
      <c r="H170" s="569"/>
      <c r="I170" s="574">
        <v>0</v>
      </c>
      <c r="J170" s="574">
        <v>0</v>
      </c>
      <c r="K170" s="574">
        <v>0</v>
      </c>
      <c r="L170" s="574">
        <v>17.8</v>
      </c>
      <c r="M170" s="574">
        <v>0.7</v>
      </c>
      <c r="N170" s="574">
        <v>142</v>
      </c>
      <c r="O170" s="574">
        <v>108.5</v>
      </c>
      <c r="P170" s="574">
        <v>2.7</v>
      </c>
      <c r="Q170" s="574">
        <v>432.5</v>
      </c>
      <c r="R170" s="569"/>
      <c r="S170" s="569"/>
      <c r="T170" s="569"/>
      <c r="U170" s="569"/>
      <c r="V170" s="569"/>
      <c r="W170" s="569"/>
      <c r="X170" s="569"/>
      <c r="Y170" s="569"/>
      <c r="Z170" s="569"/>
      <c r="AA170" s="569"/>
      <c r="AB170" s="569"/>
      <c r="AC170" s="569"/>
      <c r="AD170" s="569"/>
      <c r="AE170" s="569"/>
      <c r="AF170" s="569"/>
      <c r="AG170" s="569"/>
      <c r="AH170" s="569"/>
      <c r="AI170" s="569"/>
      <c r="AJ170" s="569"/>
      <c r="AK170" s="569"/>
      <c r="AL170" s="569"/>
      <c r="AM170" s="569"/>
      <c r="AN170" s="574">
        <v>76.3</v>
      </c>
      <c r="AO170">
        <v>169</v>
      </c>
      <c r="AP170" t="str">
        <f t="shared" si="40"/>
        <v/>
      </c>
      <c r="AQ170" t="str">
        <f t="shared" si="30"/>
        <v/>
      </c>
      <c r="AR170" s="430">
        <f>IFERROR(
IF(AP170="",-100,
IF($BV$2&gt;0, INDEX(Beersheet!$A:$U,MATCH(AP170,INDEX(Beersheet!$A:$U,0,FFARawStatProjections!$BV$2),0),$BV$3)+$BN170,
INDEX($A170:$BM170,,$BV$12)*$BW$12+
INDEX($A170:$BM170,,$BV$15)*$BW$15+
INDEX($A170:$BM170,,$BV$16)*$BW$16+
INDEX($A170:$BM170,,$BV$17)*$BW$17+
INDEX($A170:$BM170,,$BV$18)*$BW$18+
INDEX($A170:$BM170,,$BV$19)*$BW$19+
INDEX($A170:$BM170,,$BV$20)*$BW$20+
INDEX($A170:$BM170,,$BV$21)*$BW$21+
INDEX($A170:$BM170,,$BV$22)*$BW$22+
INDEX($A170:$BM170,,$BV$23)*$BW$23+
INDEX($A170:$BM170,,$BV$25)*$BW$25+
INDEX($A170:$BM170,,$BV$26)*$BW$26+
INDEX($A170:$BM170,,$BV$27)*$BW$27+
$BN170)),
$BN170-100)</f>
        <v>-100</v>
      </c>
      <c r="AT170" t="str">
        <f t="shared" si="31"/>
        <v>Tank Bigsby</v>
      </c>
      <c r="AU170" t="str">
        <f t="shared" si="32"/>
        <v>JAC</v>
      </c>
      <c r="AV170" s="430">
        <f>IFERROR(
IF(AT170="",-100,
IF($BV$2&gt;0, INDEX(Beersheet!$A:$U,MATCH(AT170,INDEX(Beersheet!$A:$U,0,FFARawStatProjections!$BV$2),0),$BV$3)+$BN170,
INDEX($A170:$BM170,,$BV$12)*$BW$12+
INDEX($A170:$BM170,,$BV$15)*$BW$15+
INDEX($A170:$BM170,,$BV$16)*$BW$16+
INDEX($A170:$BM170,,$BV$17)*$BW$17+
INDEX($A170:$BM170,,$BV$18)*$BW$18+
INDEX($A170:$BM170,,$BV$19)*$BW$19+
INDEX($A170:$BM170,,$BV$20)*$BW$20+
INDEX($A170:$BM170,,$BV$21)*$BW$21+
INDEX($A170:$BM170,,$BV$22)*$BW$22+
INDEX($A170:$BM170,,$BV$23)*$BW$23+
INDEX($A170:$BM170,,$BV$25)*$BW$25+
INDEX($A170:$BM170,,$BV$26)*$BW$26+
INDEX($A170:$BM170,,$BV$27)*$BW$27+
$BN170)),
$BN170-100)</f>
        <v>95.651690000000002</v>
      </c>
      <c r="AX170" t="str">
        <f t="shared" si="33"/>
        <v/>
      </c>
      <c r="AY170" t="str">
        <f t="shared" si="34"/>
        <v/>
      </c>
      <c r="AZ170" s="430">
        <f>IFERROR(
IF(AX170="",-100,
IF($BV$2&gt;0, INDEX(Beersheet!$A:$U,MATCH(AX170,INDEX(Beersheet!$A:$U,0,FFARawStatProjections!$BV$2),0),$BV$3)+$BN170,
INDEX($A170:$BM170,,$BV$12)*$BW$12+
INDEX($A170:$BM170,,$BV$15)*$BW$15+
INDEX($A170:$BM170,,$BV$16)*$BW$16+
INDEX($A170:$BM170,,$BV$17)*$BW$17+
INDEX($A170:$BM170,,$BV$18)*$BW$18+
INDEX($A170:$BM170,,$BV$19)*$BW$19+
INDEX($A170:$BM170,,$BV$20)*$BW$20+
INDEX($A170:$BM170,,$BV$21)*$BW$21+
INDEX($A170:$BM170,,$BV$22)*$BW$22+
INDEX($A170:$BM170,,$BV$23)*$BW$23+
INDEX($A170:$BM170,,$BV$25)*$BW$25+
INDEX($A170:$BM170,,$BV$26)*$BW$26+
INDEX($A170:$BM170,,$BV$27)*$BW$27+
$BN170)),
$BN170-100)</f>
        <v>-100</v>
      </c>
      <c r="BB170" t="str">
        <f t="shared" si="35"/>
        <v/>
      </c>
      <c r="BC170" t="str">
        <f t="shared" si="28"/>
        <v/>
      </c>
      <c r="BD170" s="430">
        <f>IFERROR(
IF(BB170="",-100,
IF($BV$2&gt;0, INDEX(Beersheet!$A:$U,MATCH(BB170,INDEX(Beersheet!$A:$U,0,FFARawStatProjections!$BV$2),0),$BV$3)+$BN170,
INDEX($A170:$BM170,,$BV$12)*$BW$12+
INDEX($A170:$BM170,,$BV$15)*$BW$15+
INDEX($A170:$BM170,,$BV$16)*$BW$16+
INDEX($A170:$BM170,,$BV$17)*$BW$17+
INDEX($A170:$BM170,,$BV$18)*$BW$18+
INDEX($A170:$BM170,,$BV$19)*$BW$19+
INDEX($A170:$BM170,,$BV$20)*$BW$20+
INDEX($A170:$BM170,,$BV$21)*$BW$21+
INDEX($A170:$BM170,,$BV$22)*$BW$22+
INDEX($A170:$BM170,,$BV$23)*$BW$23+
INDEX($A170:$BM170,,$BV$25)*$BW$25+
INDEX($A170:$BM170,,$BV$26)*$BW$26+
INDEX($A170:$BM170,,$BV$27)*$BW$27+
$BN170)),
$BN170-100)</f>
        <v>-100</v>
      </c>
      <c r="BF170" t="str">
        <f t="shared" si="36"/>
        <v/>
      </c>
      <c r="BG170" t="str">
        <f t="shared" si="37"/>
        <v/>
      </c>
      <c r="BH170">
        <f t="shared" si="38"/>
        <v>0</v>
      </c>
      <c r="BJ170" t="str">
        <f t="shared" si="39"/>
        <v/>
      </c>
      <c r="BL170">
        <f t="shared" si="41"/>
        <v>0</v>
      </c>
      <c r="BN170">
        <v>1.6900000000000001E-3</v>
      </c>
      <c r="BS170" s="4" t="s">
        <v>1831</v>
      </c>
    </row>
    <row r="171" spans="1:71" ht="15.75" hidden="1" thickBot="1" x14ac:dyDescent="0.3">
      <c r="A171" s="569" t="s">
        <v>2418</v>
      </c>
      <c r="B171" s="569" t="s">
        <v>141</v>
      </c>
      <c r="C171" s="569" t="s">
        <v>3</v>
      </c>
      <c r="D171" s="574">
        <v>13</v>
      </c>
      <c r="E171" s="569"/>
      <c r="F171" s="569"/>
      <c r="G171" s="569"/>
      <c r="H171" s="569"/>
      <c r="I171" s="574">
        <v>0</v>
      </c>
      <c r="J171" s="574">
        <v>0</v>
      </c>
      <c r="K171" s="574">
        <v>0</v>
      </c>
      <c r="L171" s="574">
        <v>10.5</v>
      </c>
      <c r="M171" s="574">
        <v>0.6</v>
      </c>
      <c r="N171" s="574">
        <v>109.9</v>
      </c>
      <c r="O171" s="574">
        <v>97.6</v>
      </c>
      <c r="P171" s="574">
        <v>2.2999999999999998</v>
      </c>
      <c r="Q171" s="574">
        <v>440</v>
      </c>
      <c r="R171" s="569"/>
      <c r="S171" s="569"/>
      <c r="T171" s="569"/>
      <c r="U171" s="569"/>
      <c r="V171" s="569"/>
      <c r="W171" s="569"/>
      <c r="X171" s="569"/>
      <c r="Y171" s="569"/>
      <c r="Z171" s="569"/>
      <c r="AA171" s="569"/>
      <c r="AB171" s="569"/>
      <c r="AC171" s="569"/>
      <c r="AD171" s="569"/>
      <c r="AE171" s="569"/>
      <c r="AF171" s="569"/>
      <c r="AG171" s="569"/>
      <c r="AH171" s="569"/>
      <c r="AI171" s="569"/>
      <c r="AJ171" s="569"/>
      <c r="AK171" s="569"/>
      <c r="AL171" s="569"/>
      <c r="AM171" s="569"/>
      <c r="AN171" s="574">
        <v>70.3</v>
      </c>
      <c r="AO171">
        <v>170</v>
      </c>
      <c r="AP171" t="str">
        <f t="shared" si="40"/>
        <v/>
      </c>
      <c r="AQ171" t="str">
        <f t="shared" si="30"/>
        <v/>
      </c>
      <c r="AR171" s="430">
        <f>IFERROR(
IF(AP171="",-100,
IF($BV$2&gt;0, INDEX(Beersheet!$A:$U,MATCH(AP171,INDEX(Beersheet!$A:$U,0,FFARawStatProjections!$BV$2),0),$BV$3)+$BN171,
INDEX($A171:$BM171,,$BV$12)*$BW$12+
INDEX($A171:$BM171,,$BV$15)*$BW$15+
INDEX($A171:$BM171,,$BV$16)*$BW$16+
INDEX($A171:$BM171,,$BV$17)*$BW$17+
INDEX($A171:$BM171,,$BV$18)*$BW$18+
INDEX($A171:$BM171,,$BV$19)*$BW$19+
INDEX($A171:$BM171,,$BV$20)*$BW$20+
INDEX($A171:$BM171,,$BV$21)*$BW$21+
INDEX($A171:$BM171,,$BV$22)*$BW$22+
INDEX($A171:$BM171,,$BV$23)*$BW$23+
INDEX($A171:$BM171,,$BV$25)*$BW$25+
INDEX($A171:$BM171,,$BV$26)*$BW$26+
INDEX($A171:$BM171,,$BV$27)*$BW$27+
$BN171)),
$BN171-100)</f>
        <v>-100</v>
      </c>
      <c r="AT171" t="str">
        <f t="shared" si="31"/>
        <v>Roschon Johnson</v>
      </c>
      <c r="AU171" t="str">
        <f t="shared" si="32"/>
        <v>CHI</v>
      </c>
      <c r="AV171" s="430">
        <f>IFERROR(
IF(AT171="",-100,
IF($BV$2&gt;0, INDEX(Beersheet!$A:$U,MATCH(AT171,INDEX(Beersheet!$A:$U,0,FFARawStatProjections!$BV$2),0),$BV$3)+$BN171,
INDEX($A171:$BM171,,$BV$12)*$BW$12+
INDEX($A171:$BM171,,$BV$15)*$BW$15+
INDEX($A171:$BM171,,$BV$16)*$BW$16+
INDEX($A171:$BM171,,$BV$17)*$BW$17+
INDEX($A171:$BM171,,$BV$18)*$BW$18+
INDEX($A171:$BM171,,$BV$19)*$BW$19+
INDEX($A171:$BM171,,$BV$20)*$BW$20+
INDEX($A171:$BM171,,$BV$21)*$BW$21+
INDEX($A171:$BM171,,$BV$22)*$BW$22+
INDEX($A171:$BM171,,$BV$23)*$BW$23+
INDEX($A171:$BM171,,$BV$25)*$BW$25+
INDEX($A171:$BM171,,$BV$26)*$BW$26+
INDEX($A171:$BM171,,$BV$27)*$BW$27+
$BN171)),
$BN171-100)</f>
        <v>82.8917</v>
      </c>
      <c r="AX171" t="str">
        <f t="shared" si="33"/>
        <v/>
      </c>
      <c r="AY171" t="str">
        <f t="shared" si="34"/>
        <v/>
      </c>
      <c r="AZ171" s="430">
        <f>IFERROR(
IF(AX171="",-100,
IF($BV$2&gt;0, INDEX(Beersheet!$A:$U,MATCH(AX171,INDEX(Beersheet!$A:$U,0,FFARawStatProjections!$BV$2),0),$BV$3)+$BN171,
INDEX($A171:$BM171,,$BV$12)*$BW$12+
INDEX($A171:$BM171,,$BV$15)*$BW$15+
INDEX($A171:$BM171,,$BV$16)*$BW$16+
INDEX($A171:$BM171,,$BV$17)*$BW$17+
INDEX($A171:$BM171,,$BV$18)*$BW$18+
INDEX($A171:$BM171,,$BV$19)*$BW$19+
INDEX($A171:$BM171,,$BV$20)*$BW$20+
INDEX($A171:$BM171,,$BV$21)*$BW$21+
INDEX($A171:$BM171,,$BV$22)*$BW$22+
INDEX($A171:$BM171,,$BV$23)*$BW$23+
INDEX($A171:$BM171,,$BV$25)*$BW$25+
INDEX($A171:$BM171,,$BV$26)*$BW$26+
INDEX($A171:$BM171,,$BV$27)*$BW$27+
$BN171)),
$BN171-100)</f>
        <v>-100</v>
      </c>
      <c r="BB171" t="str">
        <f t="shared" si="35"/>
        <v/>
      </c>
      <c r="BC171" t="str">
        <f t="shared" si="28"/>
        <v/>
      </c>
      <c r="BD171" s="430">
        <f>IFERROR(
IF(BB171="",-100,
IF($BV$2&gt;0, INDEX(Beersheet!$A:$U,MATCH(BB171,INDEX(Beersheet!$A:$U,0,FFARawStatProjections!$BV$2),0),$BV$3)+$BN171,
INDEX($A171:$BM171,,$BV$12)*$BW$12+
INDEX($A171:$BM171,,$BV$15)*$BW$15+
INDEX($A171:$BM171,,$BV$16)*$BW$16+
INDEX($A171:$BM171,,$BV$17)*$BW$17+
INDEX($A171:$BM171,,$BV$18)*$BW$18+
INDEX($A171:$BM171,,$BV$19)*$BW$19+
INDEX($A171:$BM171,,$BV$20)*$BW$20+
INDEX($A171:$BM171,,$BV$21)*$BW$21+
INDEX($A171:$BM171,,$BV$22)*$BW$22+
INDEX($A171:$BM171,,$BV$23)*$BW$23+
INDEX($A171:$BM171,,$BV$25)*$BW$25+
INDEX($A171:$BM171,,$BV$26)*$BW$26+
INDEX($A171:$BM171,,$BV$27)*$BW$27+
$BN171)),
$BN171-100)</f>
        <v>-100</v>
      </c>
      <c r="BF171" t="str">
        <f t="shared" si="36"/>
        <v/>
      </c>
      <c r="BG171" t="str">
        <f t="shared" si="37"/>
        <v/>
      </c>
      <c r="BH171">
        <f t="shared" si="38"/>
        <v>0</v>
      </c>
      <c r="BJ171" t="str">
        <f t="shared" si="39"/>
        <v/>
      </c>
      <c r="BL171">
        <f t="shared" si="41"/>
        <v>0</v>
      </c>
      <c r="BN171">
        <v>1.6999999999999999E-3</v>
      </c>
      <c r="BS171" s="4" t="s">
        <v>1334</v>
      </c>
    </row>
    <row r="172" spans="1:71" ht="15.75" hidden="1" thickBot="1" x14ac:dyDescent="0.3">
      <c r="A172" s="569" t="s">
        <v>1774</v>
      </c>
      <c r="B172" s="569" t="s">
        <v>149</v>
      </c>
      <c r="C172" s="569" t="s">
        <v>3</v>
      </c>
      <c r="D172" s="574">
        <v>5</v>
      </c>
      <c r="E172" s="569"/>
      <c r="F172" s="569"/>
      <c r="G172" s="569"/>
      <c r="H172" s="569"/>
      <c r="I172" s="574">
        <v>0</v>
      </c>
      <c r="J172" s="574">
        <v>0</v>
      </c>
      <c r="K172" s="574">
        <v>0</v>
      </c>
      <c r="L172" s="574">
        <v>20.2</v>
      </c>
      <c r="M172" s="574">
        <v>0.8</v>
      </c>
      <c r="N172" s="574">
        <v>162.30000000000001</v>
      </c>
      <c r="O172" s="574">
        <v>81.599999999999994</v>
      </c>
      <c r="P172" s="574">
        <v>1.8</v>
      </c>
      <c r="Q172" s="574">
        <v>358.3</v>
      </c>
      <c r="R172" s="569"/>
      <c r="S172" s="569"/>
      <c r="T172" s="569"/>
      <c r="U172" s="569"/>
      <c r="V172" s="569"/>
      <c r="W172" s="569"/>
      <c r="X172" s="569"/>
      <c r="Y172" s="569"/>
      <c r="Z172" s="569"/>
      <c r="AA172" s="569"/>
      <c r="AB172" s="569"/>
      <c r="AC172" s="569"/>
      <c r="AD172" s="569"/>
      <c r="AE172" s="569"/>
      <c r="AF172" s="569"/>
      <c r="AG172" s="569"/>
      <c r="AH172" s="569"/>
      <c r="AI172" s="569"/>
      <c r="AJ172" s="569"/>
      <c r="AK172" s="569"/>
      <c r="AL172" s="569"/>
      <c r="AM172" s="569"/>
      <c r="AN172" s="574">
        <v>66.7</v>
      </c>
      <c r="AO172">
        <v>171</v>
      </c>
      <c r="AP172" t="str">
        <f t="shared" si="40"/>
        <v/>
      </c>
      <c r="AQ172" t="str">
        <f t="shared" si="30"/>
        <v/>
      </c>
      <c r="AR172" s="430">
        <f>IFERROR(
IF(AP172="",-100,
IF($BV$2&gt;0, INDEX(Beersheet!$A:$U,MATCH(AP172,INDEX(Beersheet!$A:$U,0,FFARawStatProjections!$BV$2),0),$BV$3)+$BN172,
INDEX($A172:$BM172,,$BV$12)*$BW$12+
INDEX($A172:$BM172,,$BV$15)*$BW$15+
INDEX($A172:$BM172,,$BV$16)*$BW$16+
INDEX($A172:$BM172,,$BV$17)*$BW$17+
INDEX($A172:$BM172,,$BV$18)*$BW$18+
INDEX($A172:$BM172,,$BV$19)*$BW$19+
INDEX($A172:$BM172,,$BV$20)*$BW$20+
INDEX($A172:$BM172,,$BV$21)*$BW$21+
INDEX($A172:$BM172,,$BV$22)*$BW$22+
INDEX($A172:$BM172,,$BV$23)*$BW$23+
INDEX($A172:$BM172,,$BV$25)*$BW$25+
INDEX($A172:$BM172,,$BV$26)*$BW$26+
INDEX($A172:$BM172,,$BV$27)*$BW$27+
$BN172)),
$BN172-100)</f>
        <v>-100</v>
      </c>
      <c r="AT172" t="str">
        <f t="shared" si="31"/>
        <v>Chase Edmonds</v>
      </c>
      <c r="AU172" t="str">
        <f t="shared" si="32"/>
        <v>TB</v>
      </c>
      <c r="AV172" s="430">
        <f>IFERROR(
IF(AT172="",-100,
IF($BV$2&gt;0, INDEX(Beersheet!$A:$U,MATCH(AT172,INDEX(Beersheet!$A:$U,0,FFARawStatProjections!$BV$2),0),$BV$3)+$BN172,
INDEX($A172:$BM172,,$BV$12)*$BW$12+
INDEX($A172:$BM172,,$BV$15)*$BW$15+
INDEX($A172:$BM172,,$BV$16)*$BW$16+
INDEX($A172:$BM172,,$BV$17)*$BW$17+
INDEX($A172:$BM172,,$BV$18)*$BW$18+
INDEX($A172:$BM172,,$BV$19)*$BW$19+
INDEX($A172:$BM172,,$BV$20)*$BW$20+
INDEX($A172:$BM172,,$BV$21)*$BW$21+
INDEX($A172:$BM172,,$BV$22)*$BW$22+
INDEX($A172:$BM172,,$BV$23)*$BW$23+
INDEX($A172:$BM172,,$BV$25)*$BW$25+
INDEX($A172:$BM172,,$BV$26)*$BW$26+
INDEX($A172:$BM172,,$BV$27)*$BW$27+
$BN172)),
$BN172-100)</f>
        <v>87.861710000000016</v>
      </c>
      <c r="AX172" t="str">
        <f t="shared" si="33"/>
        <v/>
      </c>
      <c r="AY172" t="str">
        <f t="shared" si="34"/>
        <v/>
      </c>
      <c r="AZ172" s="430">
        <f>IFERROR(
IF(AX172="",-100,
IF($BV$2&gt;0, INDEX(Beersheet!$A:$U,MATCH(AX172,INDEX(Beersheet!$A:$U,0,FFARawStatProjections!$BV$2),0),$BV$3)+$BN172,
INDEX($A172:$BM172,,$BV$12)*$BW$12+
INDEX($A172:$BM172,,$BV$15)*$BW$15+
INDEX($A172:$BM172,,$BV$16)*$BW$16+
INDEX($A172:$BM172,,$BV$17)*$BW$17+
INDEX($A172:$BM172,,$BV$18)*$BW$18+
INDEX($A172:$BM172,,$BV$19)*$BW$19+
INDEX($A172:$BM172,,$BV$20)*$BW$20+
INDEX($A172:$BM172,,$BV$21)*$BW$21+
INDEX($A172:$BM172,,$BV$22)*$BW$22+
INDEX($A172:$BM172,,$BV$23)*$BW$23+
INDEX($A172:$BM172,,$BV$25)*$BW$25+
INDEX($A172:$BM172,,$BV$26)*$BW$26+
INDEX($A172:$BM172,,$BV$27)*$BW$27+
$BN172)),
$BN172-100)</f>
        <v>-100</v>
      </c>
      <c r="BB172" t="str">
        <f t="shared" si="35"/>
        <v/>
      </c>
      <c r="BC172" t="str">
        <f t="shared" si="28"/>
        <v/>
      </c>
      <c r="BD172" s="430">
        <f>IFERROR(
IF(BB172="",-100,
IF($BV$2&gt;0, INDEX(Beersheet!$A:$U,MATCH(BB172,INDEX(Beersheet!$A:$U,0,FFARawStatProjections!$BV$2),0),$BV$3)+$BN172,
INDEX($A172:$BM172,,$BV$12)*$BW$12+
INDEX($A172:$BM172,,$BV$15)*$BW$15+
INDEX($A172:$BM172,,$BV$16)*$BW$16+
INDEX($A172:$BM172,,$BV$17)*$BW$17+
INDEX($A172:$BM172,,$BV$18)*$BW$18+
INDEX($A172:$BM172,,$BV$19)*$BW$19+
INDEX($A172:$BM172,,$BV$20)*$BW$20+
INDEX($A172:$BM172,,$BV$21)*$BW$21+
INDEX($A172:$BM172,,$BV$22)*$BW$22+
INDEX($A172:$BM172,,$BV$23)*$BW$23+
INDEX($A172:$BM172,,$BV$25)*$BW$25+
INDEX($A172:$BM172,,$BV$26)*$BW$26+
INDEX($A172:$BM172,,$BV$27)*$BW$27+
$BN172)),
$BN172-100)</f>
        <v>-100</v>
      </c>
      <c r="BF172" t="str">
        <f t="shared" si="36"/>
        <v/>
      </c>
      <c r="BG172" t="str">
        <f t="shared" si="37"/>
        <v/>
      </c>
      <c r="BH172">
        <f t="shared" si="38"/>
        <v>0</v>
      </c>
      <c r="BJ172" t="str">
        <f t="shared" si="39"/>
        <v/>
      </c>
      <c r="BL172">
        <f t="shared" si="41"/>
        <v>0</v>
      </c>
      <c r="BN172">
        <v>1.7099999999999999E-3</v>
      </c>
      <c r="BS172" s="4" t="s">
        <v>2547</v>
      </c>
    </row>
    <row r="173" spans="1:71" ht="15.75" hidden="1" thickBot="1" x14ac:dyDescent="0.3">
      <c r="A173" s="569" t="s">
        <v>76</v>
      </c>
      <c r="B173" s="569" t="s">
        <v>148</v>
      </c>
      <c r="C173" s="569" t="s">
        <v>3</v>
      </c>
      <c r="D173" s="574">
        <v>11</v>
      </c>
      <c r="E173" s="569"/>
      <c r="F173" s="569"/>
      <c r="G173" s="569"/>
      <c r="H173" s="569"/>
      <c r="I173" s="574">
        <v>0</v>
      </c>
      <c r="J173" s="574">
        <v>0</v>
      </c>
      <c r="K173" s="574">
        <v>0</v>
      </c>
      <c r="L173" s="574">
        <v>19.5</v>
      </c>
      <c r="M173" s="574">
        <v>0.8</v>
      </c>
      <c r="N173" s="574">
        <v>158.6</v>
      </c>
      <c r="O173" s="574">
        <v>72.5</v>
      </c>
      <c r="P173" s="574">
        <v>2.4</v>
      </c>
      <c r="Q173" s="574">
        <v>309.10000000000002</v>
      </c>
      <c r="R173" s="569"/>
      <c r="S173" s="569"/>
      <c r="T173" s="569"/>
      <c r="U173" s="569"/>
      <c r="V173" s="569"/>
      <c r="W173" s="569"/>
      <c r="X173" s="569"/>
      <c r="Y173" s="569"/>
      <c r="Z173" s="569"/>
      <c r="AA173" s="569"/>
      <c r="AB173" s="569"/>
      <c r="AC173" s="569"/>
      <c r="AD173" s="569"/>
      <c r="AE173" s="569"/>
      <c r="AF173" s="569"/>
      <c r="AG173" s="569"/>
      <c r="AH173" s="569"/>
      <c r="AI173" s="569"/>
      <c r="AJ173" s="569"/>
      <c r="AK173" s="569"/>
      <c r="AL173" s="569"/>
      <c r="AM173" s="569"/>
      <c r="AN173" s="574">
        <v>65.5</v>
      </c>
      <c r="AO173">
        <v>172</v>
      </c>
      <c r="AP173" t="str">
        <f t="shared" si="40"/>
        <v/>
      </c>
      <c r="AQ173" t="str">
        <f t="shared" si="30"/>
        <v/>
      </c>
      <c r="AR173" s="430">
        <f>IFERROR(
IF(AP173="",-100,
IF($BV$2&gt;0, INDEX(Beersheet!$A:$U,MATCH(AP173,INDEX(Beersheet!$A:$U,0,FFARawStatProjections!$BV$2),0),$BV$3)+$BN173,
INDEX($A173:$BM173,,$BV$12)*$BW$12+
INDEX($A173:$BM173,,$BV$15)*$BW$15+
INDEX($A173:$BM173,,$BV$16)*$BW$16+
INDEX($A173:$BM173,,$BV$17)*$BW$17+
INDEX($A173:$BM173,,$BV$18)*$BW$18+
INDEX($A173:$BM173,,$BV$19)*$BW$19+
INDEX($A173:$BM173,,$BV$20)*$BW$20+
INDEX($A173:$BM173,,$BV$21)*$BW$21+
INDEX($A173:$BM173,,$BV$22)*$BW$22+
INDEX($A173:$BM173,,$BV$23)*$BW$23+
INDEX($A173:$BM173,,$BV$25)*$BW$25+
INDEX($A173:$BM173,,$BV$26)*$BW$26+
INDEX($A173:$BM173,,$BV$27)*$BW$27+
$BN173)),
$BN173-100)</f>
        <v>-100</v>
      </c>
      <c r="AT173" t="str">
        <f t="shared" si="31"/>
        <v>Cordarrelle Patterson</v>
      </c>
      <c r="AU173" t="str">
        <f t="shared" si="32"/>
        <v>ATL</v>
      </c>
      <c r="AV173" s="430">
        <f>IFERROR(
IF(AT173="",-100,
IF($BV$2&gt;0, INDEX(Beersheet!$A:$U,MATCH(AT173,INDEX(Beersheet!$A:$U,0,FFARawStatProjections!$BV$2),0),$BV$3)+$BN173,
INDEX($A173:$BM173,,$BV$12)*$BW$12+
INDEX($A173:$BM173,,$BV$15)*$BW$15+
INDEX($A173:$BM173,,$BV$16)*$BW$16+
INDEX($A173:$BM173,,$BV$17)*$BW$17+
INDEX($A173:$BM173,,$BV$18)*$BW$18+
INDEX($A173:$BM173,,$BV$19)*$BW$19+
INDEX($A173:$BM173,,$BV$20)*$BW$20+
INDEX($A173:$BM173,,$BV$21)*$BW$21+
INDEX($A173:$BM173,,$BV$22)*$BW$22+
INDEX($A173:$BM173,,$BV$23)*$BW$23+
INDEX($A173:$BM173,,$BV$25)*$BW$25+
INDEX($A173:$BM173,,$BV$26)*$BW$26+
INDEX($A173:$BM173,,$BV$27)*$BW$27+
$BN173)),
$BN173-100)</f>
        <v>85.471720000000005</v>
      </c>
      <c r="AX173" t="str">
        <f t="shared" si="33"/>
        <v/>
      </c>
      <c r="AY173" t="str">
        <f t="shared" si="34"/>
        <v/>
      </c>
      <c r="AZ173" s="430">
        <f>IFERROR(
IF(AX173="",-100,
IF($BV$2&gt;0, INDEX(Beersheet!$A:$U,MATCH(AX173,INDEX(Beersheet!$A:$U,0,FFARawStatProjections!$BV$2),0),$BV$3)+$BN173,
INDEX($A173:$BM173,,$BV$12)*$BW$12+
INDEX($A173:$BM173,,$BV$15)*$BW$15+
INDEX($A173:$BM173,,$BV$16)*$BW$16+
INDEX($A173:$BM173,,$BV$17)*$BW$17+
INDEX($A173:$BM173,,$BV$18)*$BW$18+
INDEX($A173:$BM173,,$BV$19)*$BW$19+
INDEX($A173:$BM173,,$BV$20)*$BW$20+
INDEX($A173:$BM173,,$BV$21)*$BW$21+
INDEX($A173:$BM173,,$BV$22)*$BW$22+
INDEX($A173:$BM173,,$BV$23)*$BW$23+
INDEX($A173:$BM173,,$BV$25)*$BW$25+
INDEX($A173:$BM173,,$BV$26)*$BW$26+
INDEX($A173:$BM173,,$BV$27)*$BW$27+
$BN173)),
$BN173-100)</f>
        <v>-100</v>
      </c>
      <c r="BB173" t="str">
        <f t="shared" si="35"/>
        <v/>
      </c>
      <c r="BC173" t="str">
        <f t="shared" si="28"/>
        <v/>
      </c>
      <c r="BD173" s="430">
        <f>IFERROR(
IF(BB173="",-100,
IF($BV$2&gt;0, INDEX(Beersheet!$A:$U,MATCH(BB173,INDEX(Beersheet!$A:$U,0,FFARawStatProjections!$BV$2),0),$BV$3)+$BN173,
INDEX($A173:$BM173,,$BV$12)*$BW$12+
INDEX($A173:$BM173,,$BV$15)*$BW$15+
INDEX($A173:$BM173,,$BV$16)*$BW$16+
INDEX($A173:$BM173,,$BV$17)*$BW$17+
INDEX($A173:$BM173,,$BV$18)*$BW$18+
INDEX($A173:$BM173,,$BV$19)*$BW$19+
INDEX($A173:$BM173,,$BV$20)*$BW$20+
INDEX($A173:$BM173,,$BV$21)*$BW$21+
INDEX($A173:$BM173,,$BV$22)*$BW$22+
INDEX($A173:$BM173,,$BV$23)*$BW$23+
INDEX($A173:$BM173,,$BV$25)*$BW$25+
INDEX($A173:$BM173,,$BV$26)*$BW$26+
INDEX($A173:$BM173,,$BV$27)*$BW$27+
$BN173)),
$BN173-100)</f>
        <v>-100</v>
      </c>
      <c r="BF173" t="str">
        <f t="shared" si="36"/>
        <v/>
      </c>
      <c r="BG173" t="str">
        <f t="shared" si="37"/>
        <v/>
      </c>
      <c r="BH173">
        <f t="shared" si="38"/>
        <v>0</v>
      </c>
      <c r="BJ173" t="str">
        <f t="shared" si="39"/>
        <v/>
      </c>
      <c r="BL173">
        <f t="shared" si="41"/>
        <v>0</v>
      </c>
      <c r="BN173">
        <v>1.72E-3</v>
      </c>
      <c r="BS173" s="4" t="s">
        <v>2090</v>
      </c>
    </row>
    <row r="174" spans="1:71" ht="15.75" hidden="1" thickBot="1" x14ac:dyDescent="0.3">
      <c r="A174" s="569" t="s">
        <v>2093</v>
      </c>
      <c r="B174" s="569" t="s">
        <v>1388</v>
      </c>
      <c r="C174" s="569" t="s">
        <v>3</v>
      </c>
      <c r="D174" s="574">
        <v>5</v>
      </c>
      <c r="E174" s="569"/>
      <c r="F174" s="569"/>
      <c r="G174" s="569"/>
      <c r="H174" s="569"/>
      <c r="I174" s="574">
        <v>0</v>
      </c>
      <c r="J174" s="574">
        <v>0</v>
      </c>
      <c r="K174" s="574">
        <v>0</v>
      </c>
      <c r="L174" s="574">
        <v>13.6</v>
      </c>
      <c r="M174" s="574">
        <v>0.3</v>
      </c>
      <c r="N174" s="574">
        <v>115.7</v>
      </c>
      <c r="O174" s="574">
        <v>93.1</v>
      </c>
      <c r="P174" s="574">
        <v>2.2999999999999998</v>
      </c>
      <c r="Q174" s="574">
        <v>380.6</v>
      </c>
      <c r="R174" s="569"/>
      <c r="S174" s="569"/>
      <c r="T174" s="569"/>
      <c r="U174" s="569"/>
      <c r="V174" s="569"/>
      <c r="W174" s="569"/>
      <c r="X174" s="569"/>
      <c r="Y174" s="569"/>
      <c r="Z174" s="569"/>
      <c r="AA174" s="569"/>
      <c r="AB174" s="569"/>
      <c r="AC174" s="569"/>
      <c r="AD174" s="569"/>
      <c r="AE174" s="569"/>
      <c r="AF174" s="569"/>
      <c r="AG174" s="569"/>
      <c r="AH174" s="569"/>
      <c r="AI174" s="569"/>
      <c r="AJ174" s="569"/>
      <c r="AK174" s="569"/>
      <c r="AL174" s="569"/>
      <c r="AM174" s="569"/>
      <c r="AN174" s="574">
        <v>62.7</v>
      </c>
      <c r="AO174">
        <v>173</v>
      </c>
      <c r="AP174" t="str">
        <f t="shared" si="40"/>
        <v/>
      </c>
      <c r="AQ174" t="str">
        <f t="shared" si="30"/>
        <v/>
      </c>
      <c r="AR174" s="430">
        <f>IFERROR(
IF(AP174="",-100,
IF($BV$2&gt;0, INDEX(Beersheet!$A:$U,MATCH(AP174,INDEX(Beersheet!$A:$U,0,FFARawStatProjections!$BV$2),0),$BV$3)+$BN174,
INDEX($A174:$BM174,,$BV$12)*$BW$12+
INDEX($A174:$BM174,,$BV$15)*$BW$15+
INDEX($A174:$BM174,,$BV$16)*$BW$16+
INDEX($A174:$BM174,,$BV$17)*$BW$17+
INDEX($A174:$BM174,,$BV$18)*$BW$18+
INDEX($A174:$BM174,,$BV$19)*$BW$19+
INDEX($A174:$BM174,,$BV$20)*$BW$20+
INDEX($A174:$BM174,,$BV$21)*$BW$21+
INDEX($A174:$BM174,,$BV$22)*$BW$22+
INDEX($A174:$BM174,,$BV$23)*$BW$23+
INDEX($A174:$BM174,,$BV$25)*$BW$25+
INDEX($A174:$BM174,,$BV$26)*$BW$26+
INDEX($A174:$BM174,,$BV$27)*$BW$27+
$BN174)),
$BN174-100)</f>
        <v>-100</v>
      </c>
      <c r="AT174" t="str">
        <f t="shared" si="31"/>
        <v>Joshua Kelley</v>
      </c>
      <c r="AU174" t="str">
        <f t="shared" si="32"/>
        <v>LAC</v>
      </c>
      <c r="AV174" s="430">
        <f>IFERROR(
IF(AT174="",-100,
IF($BV$2&gt;0, INDEX(Beersheet!$A:$U,MATCH(AT174,INDEX(Beersheet!$A:$U,0,FFARawStatProjections!$BV$2),0),$BV$3)+$BN174,
INDEX($A174:$BM174,,$BV$12)*$BW$12+
INDEX($A174:$BM174,,$BV$15)*$BW$15+
INDEX($A174:$BM174,,$BV$16)*$BW$16+
INDEX($A174:$BM174,,$BV$17)*$BW$17+
INDEX($A174:$BM174,,$BV$18)*$BW$18+
INDEX($A174:$BM174,,$BV$19)*$BW$19+
INDEX($A174:$BM174,,$BV$20)*$BW$20+
INDEX($A174:$BM174,,$BV$21)*$BW$21+
INDEX($A174:$BM174,,$BV$22)*$BW$22+
INDEX($A174:$BM174,,$BV$23)*$BW$23+
INDEX($A174:$BM174,,$BV$25)*$BW$25+
INDEX($A174:$BM174,,$BV$26)*$BW$26+
INDEX($A174:$BM174,,$BV$27)*$BW$27+
$BN174)),
$BN174-100)</f>
        <v>78.831729999999993</v>
      </c>
      <c r="AX174" t="str">
        <f t="shared" si="33"/>
        <v/>
      </c>
      <c r="AY174" t="str">
        <f t="shared" si="34"/>
        <v/>
      </c>
      <c r="AZ174" s="430">
        <f>IFERROR(
IF(AX174="",-100,
IF($BV$2&gt;0, INDEX(Beersheet!$A:$U,MATCH(AX174,INDEX(Beersheet!$A:$U,0,FFARawStatProjections!$BV$2),0),$BV$3)+$BN174,
INDEX($A174:$BM174,,$BV$12)*$BW$12+
INDEX($A174:$BM174,,$BV$15)*$BW$15+
INDEX($A174:$BM174,,$BV$16)*$BW$16+
INDEX($A174:$BM174,,$BV$17)*$BW$17+
INDEX($A174:$BM174,,$BV$18)*$BW$18+
INDEX($A174:$BM174,,$BV$19)*$BW$19+
INDEX($A174:$BM174,,$BV$20)*$BW$20+
INDEX($A174:$BM174,,$BV$21)*$BW$21+
INDEX($A174:$BM174,,$BV$22)*$BW$22+
INDEX($A174:$BM174,,$BV$23)*$BW$23+
INDEX($A174:$BM174,,$BV$25)*$BW$25+
INDEX($A174:$BM174,,$BV$26)*$BW$26+
INDEX($A174:$BM174,,$BV$27)*$BW$27+
$BN174)),
$BN174-100)</f>
        <v>-100</v>
      </c>
      <c r="BB174" t="str">
        <f t="shared" si="35"/>
        <v/>
      </c>
      <c r="BC174" t="str">
        <f t="shared" si="28"/>
        <v/>
      </c>
      <c r="BD174" s="430">
        <f>IFERROR(
IF(BB174="",-100,
IF($BV$2&gt;0, INDEX(Beersheet!$A:$U,MATCH(BB174,INDEX(Beersheet!$A:$U,0,FFARawStatProjections!$BV$2),0),$BV$3)+$BN174,
INDEX($A174:$BM174,,$BV$12)*$BW$12+
INDEX($A174:$BM174,,$BV$15)*$BW$15+
INDEX($A174:$BM174,,$BV$16)*$BW$16+
INDEX($A174:$BM174,,$BV$17)*$BW$17+
INDEX($A174:$BM174,,$BV$18)*$BW$18+
INDEX($A174:$BM174,,$BV$19)*$BW$19+
INDEX($A174:$BM174,,$BV$20)*$BW$20+
INDEX($A174:$BM174,,$BV$21)*$BW$21+
INDEX($A174:$BM174,,$BV$22)*$BW$22+
INDEX($A174:$BM174,,$BV$23)*$BW$23+
INDEX($A174:$BM174,,$BV$25)*$BW$25+
INDEX($A174:$BM174,,$BV$26)*$BW$26+
INDEX($A174:$BM174,,$BV$27)*$BW$27+
$BN174)),
$BN174-100)</f>
        <v>-100</v>
      </c>
      <c r="BF174" t="str">
        <f t="shared" si="36"/>
        <v/>
      </c>
      <c r="BG174" t="str">
        <f t="shared" si="37"/>
        <v/>
      </c>
      <c r="BH174">
        <f t="shared" si="38"/>
        <v>0</v>
      </c>
      <c r="BJ174" t="str">
        <f t="shared" si="39"/>
        <v/>
      </c>
      <c r="BL174">
        <f t="shared" si="41"/>
        <v>0</v>
      </c>
      <c r="BN174">
        <v>1.73E-3</v>
      </c>
      <c r="BS174" s="4" t="s">
        <v>2348</v>
      </c>
    </row>
    <row r="175" spans="1:71" ht="15.75" hidden="1" thickBot="1" x14ac:dyDescent="0.3">
      <c r="A175" s="569" t="s">
        <v>2074</v>
      </c>
      <c r="B175" s="569" t="s">
        <v>136</v>
      </c>
      <c r="C175" s="569" t="s">
        <v>3</v>
      </c>
      <c r="D175" s="574">
        <v>10</v>
      </c>
      <c r="E175" s="569"/>
      <c r="F175" s="569"/>
      <c r="G175" s="569"/>
      <c r="H175" s="569"/>
      <c r="I175" s="574">
        <v>0</v>
      </c>
      <c r="J175" s="574">
        <v>0</v>
      </c>
      <c r="K175" s="574">
        <v>0</v>
      </c>
      <c r="L175" s="574">
        <v>13.2</v>
      </c>
      <c r="M175" s="574">
        <v>0.9</v>
      </c>
      <c r="N175" s="574">
        <v>115.2</v>
      </c>
      <c r="O175" s="574">
        <v>77.3</v>
      </c>
      <c r="P175" s="574">
        <v>2.1</v>
      </c>
      <c r="Q175" s="574">
        <v>325.3</v>
      </c>
      <c r="R175" s="569"/>
      <c r="S175" s="569"/>
      <c r="T175" s="569"/>
      <c r="U175" s="569"/>
      <c r="V175" s="569"/>
      <c r="W175" s="569"/>
      <c r="X175" s="569"/>
      <c r="Y175" s="569"/>
      <c r="Z175" s="569"/>
      <c r="AA175" s="569"/>
      <c r="AB175" s="569"/>
      <c r="AC175" s="569"/>
      <c r="AD175" s="569"/>
      <c r="AE175" s="569"/>
      <c r="AF175" s="569"/>
      <c r="AG175" s="569"/>
      <c r="AH175" s="569"/>
      <c r="AI175" s="569"/>
      <c r="AJ175" s="569"/>
      <c r="AK175" s="569"/>
      <c r="AL175" s="569"/>
      <c r="AM175" s="569"/>
      <c r="AN175" s="574">
        <v>61.8</v>
      </c>
      <c r="AO175">
        <v>174</v>
      </c>
      <c r="AP175" t="str">
        <f t="shared" si="40"/>
        <v/>
      </c>
      <c r="AQ175" t="str">
        <f t="shared" si="30"/>
        <v/>
      </c>
      <c r="AR175" s="430">
        <f>IFERROR(
IF(AP175="",-100,
IF($BV$2&gt;0, INDEX(Beersheet!$A:$U,MATCH(AP175,INDEX(Beersheet!$A:$U,0,FFARawStatProjections!$BV$2),0),$BV$3)+$BN175,
INDEX($A175:$BM175,,$BV$12)*$BW$12+
INDEX($A175:$BM175,,$BV$15)*$BW$15+
INDEX($A175:$BM175,,$BV$16)*$BW$16+
INDEX($A175:$BM175,,$BV$17)*$BW$17+
INDEX($A175:$BM175,,$BV$18)*$BW$18+
INDEX($A175:$BM175,,$BV$19)*$BW$19+
INDEX($A175:$BM175,,$BV$20)*$BW$20+
INDEX($A175:$BM175,,$BV$21)*$BW$21+
INDEX($A175:$BM175,,$BV$22)*$BW$22+
INDEX($A175:$BM175,,$BV$23)*$BW$23+
INDEX($A175:$BM175,,$BV$25)*$BW$25+
INDEX($A175:$BM175,,$BV$26)*$BW$26+
INDEX($A175:$BM175,,$BV$27)*$BW$27+
$BN175)),
$BN175-100)</f>
        <v>-100</v>
      </c>
      <c r="AT175" t="str">
        <f t="shared" si="31"/>
        <v>Clyde Edwards-Helaire</v>
      </c>
      <c r="AU175" t="str">
        <f t="shared" si="32"/>
        <v>KC</v>
      </c>
      <c r="AV175" s="430">
        <f>IFERROR(
IF(AT175="",-100,
IF($BV$2&gt;0, INDEX(Beersheet!$A:$U,MATCH(AT175,INDEX(Beersheet!$A:$U,0,FFARawStatProjections!$BV$2),0),$BV$3)+$BN175,
INDEX($A175:$BM175,,$BV$12)*$BW$12+
INDEX($A175:$BM175,,$BV$15)*$BW$15+
INDEX($A175:$BM175,,$BV$16)*$BW$16+
INDEX($A175:$BM175,,$BV$17)*$BW$17+
INDEX($A175:$BM175,,$BV$18)*$BW$18+
INDEX($A175:$BM175,,$BV$19)*$BW$19+
INDEX($A175:$BM175,,$BV$20)*$BW$20+
INDEX($A175:$BM175,,$BV$21)*$BW$21+
INDEX($A175:$BM175,,$BV$22)*$BW$22+
INDEX($A175:$BM175,,$BV$23)*$BW$23+
INDEX($A175:$BM175,,$BV$25)*$BW$25+
INDEX($A175:$BM175,,$BV$26)*$BW$26+
INDEX($A175:$BM175,,$BV$27)*$BW$27+
$BN175)),
$BN175-100)</f>
        <v>75.251739999999998</v>
      </c>
      <c r="AX175" t="str">
        <f t="shared" si="33"/>
        <v/>
      </c>
      <c r="AY175" t="str">
        <f t="shared" si="34"/>
        <v/>
      </c>
      <c r="AZ175" s="430">
        <f>IFERROR(
IF(AX175="",-100,
IF($BV$2&gt;0, INDEX(Beersheet!$A:$U,MATCH(AX175,INDEX(Beersheet!$A:$U,0,FFARawStatProjections!$BV$2),0),$BV$3)+$BN175,
INDEX($A175:$BM175,,$BV$12)*$BW$12+
INDEX($A175:$BM175,,$BV$15)*$BW$15+
INDEX($A175:$BM175,,$BV$16)*$BW$16+
INDEX($A175:$BM175,,$BV$17)*$BW$17+
INDEX($A175:$BM175,,$BV$18)*$BW$18+
INDEX($A175:$BM175,,$BV$19)*$BW$19+
INDEX($A175:$BM175,,$BV$20)*$BW$20+
INDEX($A175:$BM175,,$BV$21)*$BW$21+
INDEX($A175:$BM175,,$BV$22)*$BW$22+
INDEX($A175:$BM175,,$BV$23)*$BW$23+
INDEX($A175:$BM175,,$BV$25)*$BW$25+
INDEX($A175:$BM175,,$BV$26)*$BW$26+
INDEX($A175:$BM175,,$BV$27)*$BW$27+
$BN175)),
$BN175-100)</f>
        <v>-100</v>
      </c>
      <c r="BB175" t="str">
        <f t="shared" si="35"/>
        <v/>
      </c>
      <c r="BC175" t="str">
        <f t="shared" si="28"/>
        <v/>
      </c>
      <c r="BD175" s="430">
        <f>IFERROR(
IF(BB175="",-100,
IF($BV$2&gt;0, INDEX(Beersheet!$A:$U,MATCH(BB175,INDEX(Beersheet!$A:$U,0,FFARawStatProjections!$BV$2),0),$BV$3)+$BN175,
INDEX($A175:$BM175,,$BV$12)*$BW$12+
INDEX($A175:$BM175,,$BV$15)*$BW$15+
INDEX($A175:$BM175,,$BV$16)*$BW$16+
INDEX($A175:$BM175,,$BV$17)*$BW$17+
INDEX($A175:$BM175,,$BV$18)*$BW$18+
INDEX($A175:$BM175,,$BV$19)*$BW$19+
INDEX($A175:$BM175,,$BV$20)*$BW$20+
INDEX($A175:$BM175,,$BV$21)*$BW$21+
INDEX($A175:$BM175,,$BV$22)*$BW$22+
INDEX($A175:$BM175,,$BV$23)*$BW$23+
INDEX($A175:$BM175,,$BV$25)*$BW$25+
INDEX($A175:$BM175,,$BV$26)*$BW$26+
INDEX($A175:$BM175,,$BV$27)*$BW$27+
$BN175)),
$BN175-100)</f>
        <v>-100</v>
      </c>
      <c r="BF175" t="str">
        <f t="shared" si="36"/>
        <v/>
      </c>
      <c r="BG175" t="str">
        <f t="shared" si="37"/>
        <v/>
      </c>
      <c r="BH175">
        <f t="shared" si="38"/>
        <v>0</v>
      </c>
      <c r="BJ175" t="str">
        <f t="shared" si="39"/>
        <v/>
      </c>
      <c r="BL175">
        <f t="shared" si="41"/>
        <v>0</v>
      </c>
      <c r="BN175">
        <v>1.74E-3</v>
      </c>
      <c r="BS175" s="4" t="s">
        <v>193</v>
      </c>
    </row>
    <row r="176" spans="1:71" ht="15.75" hidden="1" thickBot="1" x14ac:dyDescent="0.3">
      <c r="A176" s="569" t="s">
        <v>2397</v>
      </c>
      <c r="B176" s="569" t="s">
        <v>163</v>
      </c>
      <c r="C176" s="569" t="s">
        <v>3</v>
      </c>
      <c r="D176" s="574">
        <v>7</v>
      </c>
      <c r="E176" s="569"/>
      <c r="F176" s="569"/>
      <c r="G176" s="569"/>
      <c r="H176" s="569"/>
      <c r="I176" s="574">
        <v>0</v>
      </c>
      <c r="J176" s="574">
        <v>0</v>
      </c>
      <c r="K176" s="574">
        <v>0</v>
      </c>
      <c r="L176" s="574">
        <v>15.3</v>
      </c>
      <c r="M176" s="574">
        <v>0.6</v>
      </c>
      <c r="N176" s="574">
        <v>128.1</v>
      </c>
      <c r="O176" s="574">
        <v>90.7</v>
      </c>
      <c r="P176" s="574">
        <v>1.9</v>
      </c>
      <c r="Q176" s="574">
        <v>357</v>
      </c>
      <c r="R176" s="569"/>
      <c r="S176" s="569"/>
      <c r="T176" s="569"/>
      <c r="U176" s="569"/>
      <c r="V176" s="569"/>
      <c r="W176" s="569"/>
      <c r="X176" s="569"/>
      <c r="Y176" s="569"/>
      <c r="Z176" s="569"/>
      <c r="AA176" s="569"/>
      <c r="AB176" s="569"/>
      <c r="AC176" s="569"/>
      <c r="AD176" s="569"/>
      <c r="AE176" s="569"/>
      <c r="AF176" s="569"/>
      <c r="AG176" s="569"/>
      <c r="AH176" s="569"/>
      <c r="AI176" s="569"/>
      <c r="AJ176" s="569"/>
      <c r="AK176" s="569"/>
      <c r="AL176" s="569"/>
      <c r="AM176" s="569"/>
      <c r="AN176" s="574">
        <v>61.5</v>
      </c>
      <c r="AO176">
        <v>175</v>
      </c>
      <c r="AP176" t="str">
        <f t="shared" si="40"/>
        <v/>
      </c>
      <c r="AQ176" t="str">
        <f t="shared" si="30"/>
        <v/>
      </c>
      <c r="AR176" s="430">
        <f>IFERROR(
IF(AP176="",-100,
IF($BV$2&gt;0, INDEX(Beersheet!$A:$U,MATCH(AP176,INDEX(Beersheet!$A:$U,0,FFARawStatProjections!$BV$2),0),$BV$3)+$BN176,
INDEX($A176:$BM176,,$BV$12)*$BW$12+
INDEX($A176:$BM176,,$BV$15)*$BW$15+
INDEX($A176:$BM176,,$BV$16)*$BW$16+
INDEX($A176:$BM176,,$BV$17)*$BW$17+
INDEX($A176:$BM176,,$BV$18)*$BW$18+
INDEX($A176:$BM176,,$BV$19)*$BW$19+
INDEX($A176:$BM176,,$BV$20)*$BW$20+
INDEX($A176:$BM176,,$BV$21)*$BW$21+
INDEX($A176:$BM176,,$BV$22)*$BW$22+
INDEX($A176:$BM176,,$BV$23)*$BW$23+
INDEX($A176:$BM176,,$BV$25)*$BW$25+
INDEX($A176:$BM176,,$BV$26)*$BW$26+
INDEX($A176:$BM176,,$BV$27)*$BW$27+
$BN176)),
$BN176-100)</f>
        <v>-100</v>
      </c>
      <c r="AT176" t="str">
        <f t="shared" si="31"/>
        <v>Tyjae Spears</v>
      </c>
      <c r="AU176" t="str">
        <f t="shared" si="32"/>
        <v>TEN</v>
      </c>
      <c r="AV176" s="430">
        <f>IFERROR(
IF(AT176="",-100,
IF($BV$2&gt;0, INDEX(Beersheet!$A:$U,MATCH(AT176,INDEX(Beersheet!$A:$U,0,FFARawStatProjections!$BV$2),0),$BV$3)+$BN176,
INDEX($A176:$BM176,,$BV$12)*$BW$12+
INDEX($A176:$BM176,,$BV$15)*$BW$15+
INDEX($A176:$BM176,,$BV$16)*$BW$16+
INDEX($A176:$BM176,,$BV$17)*$BW$17+
INDEX($A176:$BM176,,$BV$18)*$BW$18+
INDEX($A176:$BM176,,$BV$19)*$BW$19+
INDEX($A176:$BM176,,$BV$20)*$BW$20+
INDEX($A176:$BM176,,$BV$21)*$BW$21+
INDEX($A176:$BM176,,$BV$22)*$BW$22+
INDEX($A176:$BM176,,$BV$23)*$BW$23+
INDEX($A176:$BM176,,$BV$25)*$BW$25+
INDEX($A176:$BM176,,$BV$26)*$BW$26+
INDEX($A176:$BM176,,$BV$27)*$BW$27+
$BN176)),
$BN176-100)</f>
        <v>78.811750000000004</v>
      </c>
      <c r="AX176" t="str">
        <f t="shared" si="33"/>
        <v/>
      </c>
      <c r="AY176" t="str">
        <f t="shared" si="34"/>
        <v/>
      </c>
      <c r="AZ176" s="430">
        <f>IFERROR(
IF(AX176="",-100,
IF($BV$2&gt;0, INDEX(Beersheet!$A:$U,MATCH(AX176,INDEX(Beersheet!$A:$U,0,FFARawStatProjections!$BV$2),0),$BV$3)+$BN176,
INDEX($A176:$BM176,,$BV$12)*$BW$12+
INDEX($A176:$BM176,,$BV$15)*$BW$15+
INDEX($A176:$BM176,,$BV$16)*$BW$16+
INDEX($A176:$BM176,,$BV$17)*$BW$17+
INDEX($A176:$BM176,,$BV$18)*$BW$18+
INDEX($A176:$BM176,,$BV$19)*$BW$19+
INDEX($A176:$BM176,,$BV$20)*$BW$20+
INDEX($A176:$BM176,,$BV$21)*$BW$21+
INDEX($A176:$BM176,,$BV$22)*$BW$22+
INDEX($A176:$BM176,,$BV$23)*$BW$23+
INDEX($A176:$BM176,,$BV$25)*$BW$25+
INDEX($A176:$BM176,,$BV$26)*$BW$26+
INDEX($A176:$BM176,,$BV$27)*$BW$27+
$BN176)),
$BN176-100)</f>
        <v>-100</v>
      </c>
      <c r="BB176" t="str">
        <f t="shared" si="35"/>
        <v/>
      </c>
      <c r="BC176" t="str">
        <f t="shared" si="28"/>
        <v/>
      </c>
      <c r="BD176" s="430">
        <f>IFERROR(
IF(BB176="",-100,
IF($BV$2&gt;0, INDEX(Beersheet!$A:$U,MATCH(BB176,INDEX(Beersheet!$A:$U,0,FFARawStatProjections!$BV$2),0),$BV$3)+$BN176,
INDEX($A176:$BM176,,$BV$12)*$BW$12+
INDEX($A176:$BM176,,$BV$15)*$BW$15+
INDEX($A176:$BM176,,$BV$16)*$BW$16+
INDEX($A176:$BM176,,$BV$17)*$BW$17+
INDEX($A176:$BM176,,$BV$18)*$BW$18+
INDEX($A176:$BM176,,$BV$19)*$BW$19+
INDEX($A176:$BM176,,$BV$20)*$BW$20+
INDEX($A176:$BM176,,$BV$21)*$BW$21+
INDEX($A176:$BM176,,$BV$22)*$BW$22+
INDEX($A176:$BM176,,$BV$23)*$BW$23+
INDEX($A176:$BM176,,$BV$25)*$BW$25+
INDEX($A176:$BM176,,$BV$26)*$BW$26+
INDEX($A176:$BM176,,$BV$27)*$BW$27+
$BN176)),
$BN176-100)</f>
        <v>-100</v>
      </c>
      <c r="BF176" t="str">
        <f t="shared" si="36"/>
        <v/>
      </c>
      <c r="BG176" t="str">
        <f t="shared" si="37"/>
        <v/>
      </c>
      <c r="BH176">
        <f t="shared" si="38"/>
        <v>0</v>
      </c>
      <c r="BJ176" t="str">
        <f t="shared" si="39"/>
        <v/>
      </c>
      <c r="BL176">
        <f t="shared" si="41"/>
        <v>0</v>
      </c>
      <c r="BN176">
        <v>1.75E-3</v>
      </c>
      <c r="BS176" s="4" t="s">
        <v>2332</v>
      </c>
    </row>
    <row r="177" spans="1:71" ht="15.75" hidden="1" thickBot="1" x14ac:dyDescent="0.3">
      <c r="A177" s="569" t="s">
        <v>2309</v>
      </c>
      <c r="B177" s="569" t="s">
        <v>138</v>
      </c>
      <c r="C177" s="569" t="s">
        <v>3</v>
      </c>
      <c r="D177" s="574">
        <v>13</v>
      </c>
      <c r="E177" s="569"/>
      <c r="F177" s="569"/>
      <c r="G177" s="569"/>
      <c r="H177" s="569"/>
      <c r="I177" s="574">
        <v>0</v>
      </c>
      <c r="J177" s="574">
        <v>0</v>
      </c>
      <c r="K177" s="574">
        <v>0</v>
      </c>
      <c r="L177" s="574">
        <v>13.8</v>
      </c>
      <c r="M177" s="574">
        <v>0.6</v>
      </c>
      <c r="N177" s="574">
        <v>114.6</v>
      </c>
      <c r="O177" s="574">
        <v>89.2</v>
      </c>
      <c r="P177" s="574">
        <v>2</v>
      </c>
      <c r="Q177" s="574">
        <v>327.9</v>
      </c>
      <c r="R177" s="569"/>
      <c r="S177" s="569"/>
      <c r="T177" s="569"/>
      <c r="U177" s="569"/>
      <c r="V177" s="569"/>
      <c r="W177" s="569"/>
      <c r="X177" s="569"/>
      <c r="Y177" s="569"/>
      <c r="Z177" s="569"/>
      <c r="AA177" s="569"/>
      <c r="AB177" s="569"/>
      <c r="AC177" s="569"/>
      <c r="AD177" s="569"/>
      <c r="AE177" s="569"/>
      <c r="AF177" s="569"/>
      <c r="AG177" s="569"/>
      <c r="AH177" s="569"/>
      <c r="AI177" s="569"/>
      <c r="AJ177" s="569"/>
      <c r="AK177" s="569"/>
      <c r="AL177" s="569"/>
      <c r="AM177" s="569"/>
      <c r="AN177" s="574">
        <v>58.2</v>
      </c>
      <c r="AO177">
        <v>176</v>
      </c>
      <c r="AP177" t="str">
        <f t="shared" si="40"/>
        <v/>
      </c>
      <c r="AQ177" t="str">
        <f t="shared" si="30"/>
        <v/>
      </c>
      <c r="AR177" s="430">
        <f>IFERROR(
IF(AP177="",-100,
IF($BV$2&gt;0, INDEX(Beersheet!$A:$U,MATCH(AP177,INDEX(Beersheet!$A:$U,0,FFARawStatProjections!$BV$2),0),$BV$3)+$BN177,
INDEX($A177:$BM177,,$BV$12)*$BW$12+
INDEX($A177:$BM177,,$BV$15)*$BW$15+
INDEX($A177:$BM177,,$BV$16)*$BW$16+
INDEX($A177:$BM177,,$BV$17)*$BW$17+
INDEX($A177:$BM177,,$BV$18)*$BW$18+
INDEX($A177:$BM177,,$BV$19)*$BW$19+
INDEX($A177:$BM177,,$BV$20)*$BW$20+
INDEX($A177:$BM177,,$BV$21)*$BW$21+
INDEX($A177:$BM177,,$BV$22)*$BW$22+
INDEX($A177:$BM177,,$BV$23)*$BW$23+
INDEX($A177:$BM177,,$BV$25)*$BW$25+
INDEX($A177:$BM177,,$BV$26)*$BW$26+
INDEX($A177:$BM177,,$BV$27)*$BW$27+
$BN177)),
$BN177-100)</f>
        <v>-100</v>
      </c>
      <c r="AT177" t="str">
        <f t="shared" si="31"/>
        <v>Ty Chandler</v>
      </c>
      <c r="AU177" t="str">
        <f t="shared" si="32"/>
        <v>MIN</v>
      </c>
      <c r="AV177" s="430">
        <f>IFERROR(
IF(AT177="",-100,
IF($BV$2&gt;0, INDEX(Beersheet!$A:$U,MATCH(AT177,INDEX(Beersheet!$A:$U,0,FFARawStatProjections!$BV$2),0),$BV$3)+$BN177,
INDEX($A177:$BM177,,$BV$12)*$BW$12+
INDEX($A177:$BM177,,$BV$15)*$BW$15+
INDEX($A177:$BM177,,$BV$16)*$BW$16+
INDEX($A177:$BM177,,$BV$17)*$BW$17+
INDEX($A177:$BM177,,$BV$18)*$BW$18+
INDEX($A177:$BM177,,$BV$19)*$BW$19+
INDEX($A177:$BM177,,$BV$20)*$BW$20+
INDEX($A177:$BM177,,$BV$21)*$BW$21+
INDEX($A177:$BM177,,$BV$22)*$BW$22+
INDEX($A177:$BM177,,$BV$23)*$BW$23+
INDEX($A177:$BM177,,$BV$25)*$BW$25+
INDEX($A177:$BM177,,$BV$26)*$BW$26+
INDEX($A177:$BM177,,$BV$27)*$BW$27+
$BN177)),
$BN177-100)</f>
        <v>73.65176000000001</v>
      </c>
      <c r="AX177" t="str">
        <f t="shared" si="33"/>
        <v/>
      </c>
      <c r="AY177" t="str">
        <f t="shared" si="34"/>
        <v/>
      </c>
      <c r="AZ177" s="430">
        <f>IFERROR(
IF(AX177="",-100,
IF($BV$2&gt;0, INDEX(Beersheet!$A:$U,MATCH(AX177,INDEX(Beersheet!$A:$U,0,FFARawStatProjections!$BV$2),0),$BV$3)+$BN177,
INDEX($A177:$BM177,,$BV$12)*$BW$12+
INDEX($A177:$BM177,,$BV$15)*$BW$15+
INDEX($A177:$BM177,,$BV$16)*$BW$16+
INDEX($A177:$BM177,,$BV$17)*$BW$17+
INDEX($A177:$BM177,,$BV$18)*$BW$18+
INDEX($A177:$BM177,,$BV$19)*$BW$19+
INDEX($A177:$BM177,,$BV$20)*$BW$20+
INDEX($A177:$BM177,,$BV$21)*$BW$21+
INDEX($A177:$BM177,,$BV$22)*$BW$22+
INDEX($A177:$BM177,,$BV$23)*$BW$23+
INDEX($A177:$BM177,,$BV$25)*$BW$25+
INDEX($A177:$BM177,,$BV$26)*$BW$26+
INDEX($A177:$BM177,,$BV$27)*$BW$27+
$BN177)),
$BN177-100)</f>
        <v>-100</v>
      </c>
      <c r="BB177" t="str">
        <f t="shared" si="35"/>
        <v/>
      </c>
      <c r="BC177" t="str">
        <f t="shared" si="28"/>
        <v/>
      </c>
      <c r="BD177" s="430">
        <f>IFERROR(
IF(BB177="",-100,
IF($BV$2&gt;0, INDEX(Beersheet!$A:$U,MATCH(BB177,INDEX(Beersheet!$A:$U,0,FFARawStatProjections!$BV$2),0),$BV$3)+$BN177,
INDEX($A177:$BM177,,$BV$12)*$BW$12+
INDEX($A177:$BM177,,$BV$15)*$BW$15+
INDEX($A177:$BM177,,$BV$16)*$BW$16+
INDEX($A177:$BM177,,$BV$17)*$BW$17+
INDEX($A177:$BM177,,$BV$18)*$BW$18+
INDEX($A177:$BM177,,$BV$19)*$BW$19+
INDEX($A177:$BM177,,$BV$20)*$BW$20+
INDEX($A177:$BM177,,$BV$21)*$BW$21+
INDEX($A177:$BM177,,$BV$22)*$BW$22+
INDEX($A177:$BM177,,$BV$23)*$BW$23+
INDEX($A177:$BM177,,$BV$25)*$BW$25+
INDEX($A177:$BM177,,$BV$26)*$BW$26+
INDEX($A177:$BM177,,$BV$27)*$BW$27+
$BN177)),
$BN177-100)</f>
        <v>-100</v>
      </c>
      <c r="BF177" t="str">
        <f t="shared" si="36"/>
        <v/>
      </c>
      <c r="BG177" t="str">
        <f t="shared" si="37"/>
        <v/>
      </c>
      <c r="BH177">
        <f t="shared" si="38"/>
        <v>0</v>
      </c>
      <c r="BJ177" t="str">
        <f t="shared" si="39"/>
        <v/>
      </c>
      <c r="BL177">
        <f t="shared" si="41"/>
        <v>0</v>
      </c>
      <c r="BN177">
        <v>1.7600000000000001E-3</v>
      </c>
      <c r="BS177" s="4" t="s">
        <v>2162</v>
      </c>
    </row>
    <row r="178" spans="1:71" ht="15.75" hidden="1" thickBot="1" x14ac:dyDescent="0.3">
      <c r="A178" s="569" t="s">
        <v>2308</v>
      </c>
      <c r="B178" s="569" t="s">
        <v>161</v>
      </c>
      <c r="C178" s="569" t="s">
        <v>3</v>
      </c>
      <c r="D178" s="574">
        <v>5</v>
      </c>
      <c r="E178" s="569"/>
      <c r="F178" s="569"/>
      <c r="G178" s="569"/>
      <c r="H178" s="569"/>
      <c r="I178" s="574">
        <v>0</v>
      </c>
      <c r="J178" s="574">
        <v>0</v>
      </c>
      <c r="K178" s="574">
        <v>0</v>
      </c>
      <c r="L178" s="574">
        <v>10.5</v>
      </c>
      <c r="M178" s="574">
        <v>0.5</v>
      </c>
      <c r="N178" s="574">
        <v>100.9</v>
      </c>
      <c r="O178" s="574">
        <v>95.7</v>
      </c>
      <c r="P178" s="574">
        <v>1.7</v>
      </c>
      <c r="Q178" s="574">
        <v>351.2</v>
      </c>
      <c r="R178" s="569"/>
      <c r="S178" s="569"/>
      <c r="T178" s="569"/>
      <c r="U178" s="569"/>
      <c r="V178" s="569"/>
      <c r="W178" s="569"/>
      <c r="X178" s="569"/>
      <c r="Y178" s="569"/>
      <c r="Z178" s="569"/>
      <c r="AA178" s="569"/>
      <c r="AB178" s="569"/>
      <c r="AC178" s="569"/>
      <c r="AD178" s="569"/>
      <c r="AE178" s="569"/>
      <c r="AF178" s="569"/>
      <c r="AG178" s="569"/>
      <c r="AH178" s="569"/>
      <c r="AI178" s="569"/>
      <c r="AJ178" s="569"/>
      <c r="AK178" s="569"/>
      <c r="AL178" s="569"/>
      <c r="AM178" s="569"/>
      <c r="AN178" s="574">
        <v>57.6</v>
      </c>
      <c r="AO178">
        <v>177</v>
      </c>
      <c r="AP178" t="str">
        <f t="shared" si="40"/>
        <v/>
      </c>
      <c r="AQ178" t="str">
        <f t="shared" si="30"/>
        <v/>
      </c>
      <c r="AR178" s="430">
        <f>IFERROR(
IF(AP178="",-100,
IF($BV$2&gt;0, INDEX(Beersheet!$A:$U,MATCH(AP178,INDEX(Beersheet!$A:$U,0,FFARawStatProjections!$BV$2),0),$BV$3)+$BN178,
INDEX($A178:$BM178,,$BV$12)*$BW$12+
INDEX($A178:$BM178,,$BV$15)*$BW$15+
INDEX($A178:$BM178,,$BV$16)*$BW$16+
INDEX($A178:$BM178,,$BV$17)*$BW$17+
INDEX($A178:$BM178,,$BV$18)*$BW$18+
INDEX($A178:$BM178,,$BV$19)*$BW$19+
INDEX($A178:$BM178,,$BV$20)*$BW$20+
INDEX($A178:$BM178,,$BV$21)*$BW$21+
INDEX($A178:$BM178,,$BV$22)*$BW$22+
INDEX($A178:$BM178,,$BV$23)*$BW$23+
INDEX($A178:$BM178,,$BV$25)*$BW$25+
INDEX($A178:$BM178,,$BV$26)*$BW$26+
INDEX($A178:$BM178,,$BV$27)*$BW$27+
$BN178)),
$BN178-100)</f>
        <v>-100</v>
      </c>
      <c r="AT178" t="str">
        <f t="shared" si="31"/>
        <v>Jerome Ford</v>
      </c>
      <c r="AU178" t="str">
        <f t="shared" si="32"/>
        <v>CLE</v>
      </c>
      <c r="AV178" s="430">
        <f>IFERROR(
IF(AT178="",-100,
IF($BV$2&gt;0, INDEX(Beersheet!$A:$U,MATCH(AT178,INDEX(Beersheet!$A:$U,0,FFARawStatProjections!$BV$2),0),$BV$3)+$BN178,
INDEX($A178:$BM178,,$BV$12)*$BW$12+
INDEX($A178:$BM178,,$BV$15)*$BW$15+
INDEX($A178:$BM178,,$BV$16)*$BW$16+
INDEX($A178:$BM178,,$BV$17)*$BW$17+
INDEX($A178:$BM178,,$BV$18)*$BW$18+
INDEX($A178:$BM178,,$BV$19)*$BW$19+
INDEX($A178:$BM178,,$BV$20)*$BW$20+
INDEX($A178:$BM178,,$BV$21)*$BW$21+
INDEX($A178:$BM178,,$BV$22)*$BW$22+
INDEX($A178:$BM178,,$BV$23)*$BW$23+
INDEX($A178:$BM178,,$BV$25)*$BW$25+
INDEX($A178:$BM178,,$BV$26)*$BW$26+
INDEX($A178:$BM178,,$BV$27)*$BW$27+
$BN178)),
$BN178-100)</f>
        <v>68.91176999999999</v>
      </c>
      <c r="AX178" t="str">
        <f t="shared" si="33"/>
        <v/>
      </c>
      <c r="AY178" t="str">
        <f t="shared" si="34"/>
        <v/>
      </c>
      <c r="AZ178" s="430">
        <f>IFERROR(
IF(AX178="",-100,
IF($BV$2&gt;0, INDEX(Beersheet!$A:$U,MATCH(AX178,INDEX(Beersheet!$A:$U,0,FFARawStatProjections!$BV$2),0),$BV$3)+$BN178,
INDEX($A178:$BM178,,$BV$12)*$BW$12+
INDEX($A178:$BM178,,$BV$15)*$BW$15+
INDEX($A178:$BM178,,$BV$16)*$BW$16+
INDEX($A178:$BM178,,$BV$17)*$BW$17+
INDEX($A178:$BM178,,$BV$18)*$BW$18+
INDEX($A178:$BM178,,$BV$19)*$BW$19+
INDEX($A178:$BM178,,$BV$20)*$BW$20+
INDEX($A178:$BM178,,$BV$21)*$BW$21+
INDEX($A178:$BM178,,$BV$22)*$BW$22+
INDEX($A178:$BM178,,$BV$23)*$BW$23+
INDEX($A178:$BM178,,$BV$25)*$BW$25+
INDEX($A178:$BM178,,$BV$26)*$BW$26+
INDEX($A178:$BM178,,$BV$27)*$BW$27+
$BN178)),
$BN178-100)</f>
        <v>-100</v>
      </c>
      <c r="BB178" t="str">
        <f t="shared" si="35"/>
        <v/>
      </c>
      <c r="BC178" t="str">
        <f t="shared" si="28"/>
        <v/>
      </c>
      <c r="BD178" s="430">
        <f>IFERROR(
IF(BB178="",-100,
IF($BV$2&gt;0, INDEX(Beersheet!$A:$U,MATCH(BB178,INDEX(Beersheet!$A:$U,0,FFARawStatProjections!$BV$2),0),$BV$3)+$BN178,
INDEX($A178:$BM178,,$BV$12)*$BW$12+
INDEX($A178:$BM178,,$BV$15)*$BW$15+
INDEX($A178:$BM178,,$BV$16)*$BW$16+
INDEX($A178:$BM178,,$BV$17)*$BW$17+
INDEX($A178:$BM178,,$BV$18)*$BW$18+
INDEX($A178:$BM178,,$BV$19)*$BW$19+
INDEX($A178:$BM178,,$BV$20)*$BW$20+
INDEX($A178:$BM178,,$BV$21)*$BW$21+
INDEX($A178:$BM178,,$BV$22)*$BW$22+
INDEX($A178:$BM178,,$BV$23)*$BW$23+
INDEX($A178:$BM178,,$BV$25)*$BW$25+
INDEX($A178:$BM178,,$BV$26)*$BW$26+
INDEX($A178:$BM178,,$BV$27)*$BW$27+
$BN178)),
$BN178-100)</f>
        <v>-100</v>
      </c>
      <c r="BF178" t="str">
        <f t="shared" si="36"/>
        <v/>
      </c>
      <c r="BG178" t="str">
        <f t="shared" si="37"/>
        <v/>
      </c>
      <c r="BH178">
        <f t="shared" si="38"/>
        <v>0</v>
      </c>
      <c r="BJ178" t="str">
        <f t="shared" si="39"/>
        <v/>
      </c>
      <c r="BL178">
        <f t="shared" si="41"/>
        <v>0</v>
      </c>
      <c r="BN178">
        <v>1.7700000000000001E-3</v>
      </c>
      <c r="BS178" s="4" t="s">
        <v>1854</v>
      </c>
    </row>
    <row r="179" spans="1:71" ht="15.75" hidden="1" thickBot="1" x14ac:dyDescent="0.3">
      <c r="A179" s="569" t="s">
        <v>2305</v>
      </c>
      <c r="B179" s="569" t="s">
        <v>1389</v>
      </c>
      <c r="C179" s="569" t="s">
        <v>3</v>
      </c>
      <c r="D179" s="574">
        <v>10</v>
      </c>
      <c r="E179" s="569"/>
      <c r="F179" s="569"/>
      <c r="G179" s="569"/>
      <c r="H179" s="569"/>
      <c r="I179" s="574">
        <v>0</v>
      </c>
      <c r="J179" s="574">
        <v>0</v>
      </c>
      <c r="K179" s="574">
        <v>0</v>
      </c>
      <c r="L179" s="574">
        <v>16.3</v>
      </c>
      <c r="M179" s="574">
        <v>0.4</v>
      </c>
      <c r="N179" s="574">
        <v>132.1</v>
      </c>
      <c r="O179" s="574">
        <v>83.8</v>
      </c>
      <c r="P179" s="574">
        <v>1.4</v>
      </c>
      <c r="Q179" s="574">
        <v>342.9</v>
      </c>
      <c r="R179" s="569"/>
      <c r="S179" s="569"/>
      <c r="T179" s="569"/>
      <c r="U179" s="569"/>
      <c r="V179" s="569"/>
      <c r="W179" s="569"/>
      <c r="X179" s="569"/>
      <c r="Y179" s="569"/>
      <c r="Z179" s="569"/>
      <c r="AA179" s="569"/>
      <c r="AB179" s="569"/>
      <c r="AC179" s="569"/>
      <c r="AD179" s="569"/>
      <c r="AE179" s="569"/>
      <c r="AF179" s="569"/>
      <c r="AG179" s="569"/>
      <c r="AH179" s="569"/>
      <c r="AI179" s="569"/>
      <c r="AJ179" s="569"/>
      <c r="AK179" s="569"/>
      <c r="AL179" s="569"/>
      <c r="AM179" s="569"/>
      <c r="AN179" s="574">
        <v>57.1</v>
      </c>
      <c r="AO179">
        <v>178</v>
      </c>
      <c r="AP179" t="str">
        <f t="shared" si="40"/>
        <v/>
      </c>
      <c r="AQ179" t="str">
        <f t="shared" si="30"/>
        <v/>
      </c>
      <c r="AR179" s="430">
        <f>IFERROR(
IF(AP179="",-100,
IF($BV$2&gt;0, INDEX(Beersheet!$A:$U,MATCH(AP179,INDEX(Beersheet!$A:$U,0,FFARawStatProjections!$BV$2),0),$BV$3)+$BN179,
INDEX($A179:$BM179,,$BV$12)*$BW$12+
INDEX($A179:$BM179,,$BV$15)*$BW$15+
INDEX($A179:$BM179,,$BV$16)*$BW$16+
INDEX($A179:$BM179,,$BV$17)*$BW$17+
INDEX($A179:$BM179,,$BV$18)*$BW$18+
INDEX($A179:$BM179,,$BV$19)*$BW$19+
INDEX($A179:$BM179,,$BV$20)*$BW$20+
INDEX($A179:$BM179,,$BV$21)*$BW$21+
INDEX($A179:$BM179,,$BV$22)*$BW$22+
INDEX($A179:$BM179,,$BV$23)*$BW$23+
INDEX($A179:$BM179,,$BV$25)*$BW$25+
INDEX($A179:$BM179,,$BV$26)*$BW$26+
INDEX($A179:$BM179,,$BV$27)*$BW$27+
$BN179)),
$BN179-100)</f>
        <v>-100</v>
      </c>
      <c r="AT179" t="str">
        <f t="shared" si="31"/>
        <v>Kyren Williams</v>
      </c>
      <c r="AU179" t="str">
        <f t="shared" si="32"/>
        <v>LAR</v>
      </c>
      <c r="AV179" s="430">
        <f>IFERROR(
IF(AT179="",-100,
IF($BV$2&gt;0, INDEX(Beersheet!$A:$U,MATCH(AT179,INDEX(Beersheet!$A:$U,0,FFARawStatProjections!$BV$2),0),$BV$3)+$BN179,
INDEX($A179:$BM179,,$BV$12)*$BW$12+
INDEX($A179:$BM179,,$BV$15)*$BW$15+
INDEX($A179:$BM179,,$BV$16)*$BW$16+
INDEX($A179:$BM179,,$BV$17)*$BW$17+
INDEX($A179:$BM179,,$BV$18)*$BW$18+
INDEX($A179:$BM179,,$BV$19)*$BW$19+
INDEX($A179:$BM179,,$BV$20)*$BW$20+
INDEX($A179:$BM179,,$BV$21)*$BW$21+
INDEX($A179:$BM179,,$BV$22)*$BW$22+
INDEX($A179:$BM179,,$BV$23)*$BW$23+
INDEX($A179:$BM179,,$BV$25)*$BW$25+
INDEX($A179:$BM179,,$BV$26)*$BW$26+
INDEX($A179:$BM179,,$BV$27)*$BW$27+
$BN179)),
$BN179-100)</f>
        <v>74.601779999999991</v>
      </c>
      <c r="AX179" t="str">
        <f t="shared" si="33"/>
        <v/>
      </c>
      <c r="AY179" t="str">
        <f t="shared" si="34"/>
        <v/>
      </c>
      <c r="AZ179" s="430">
        <f>IFERROR(
IF(AX179="",-100,
IF($BV$2&gt;0, INDEX(Beersheet!$A:$U,MATCH(AX179,INDEX(Beersheet!$A:$U,0,FFARawStatProjections!$BV$2),0),$BV$3)+$BN179,
INDEX($A179:$BM179,,$BV$12)*$BW$12+
INDEX($A179:$BM179,,$BV$15)*$BW$15+
INDEX($A179:$BM179,,$BV$16)*$BW$16+
INDEX($A179:$BM179,,$BV$17)*$BW$17+
INDEX($A179:$BM179,,$BV$18)*$BW$18+
INDEX($A179:$BM179,,$BV$19)*$BW$19+
INDEX($A179:$BM179,,$BV$20)*$BW$20+
INDEX($A179:$BM179,,$BV$21)*$BW$21+
INDEX($A179:$BM179,,$BV$22)*$BW$22+
INDEX($A179:$BM179,,$BV$23)*$BW$23+
INDEX($A179:$BM179,,$BV$25)*$BW$25+
INDEX($A179:$BM179,,$BV$26)*$BW$26+
INDEX($A179:$BM179,,$BV$27)*$BW$27+
$BN179)),
$BN179-100)</f>
        <v>-100</v>
      </c>
      <c r="BB179" t="str">
        <f t="shared" si="35"/>
        <v/>
      </c>
      <c r="BC179" t="str">
        <f t="shared" si="28"/>
        <v/>
      </c>
      <c r="BD179" s="430">
        <f>IFERROR(
IF(BB179="",-100,
IF($BV$2&gt;0, INDEX(Beersheet!$A:$U,MATCH(BB179,INDEX(Beersheet!$A:$U,0,FFARawStatProjections!$BV$2),0),$BV$3)+$BN179,
INDEX($A179:$BM179,,$BV$12)*$BW$12+
INDEX($A179:$BM179,,$BV$15)*$BW$15+
INDEX($A179:$BM179,,$BV$16)*$BW$16+
INDEX($A179:$BM179,,$BV$17)*$BW$17+
INDEX($A179:$BM179,,$BV$18)*$BW$18+
INDEX($A179:$BM179,,$BV$19)*$BW$19+
INDEX($A179:$BM179,,$BV$20)*$BW$20+
INDEX($A179:$BM179,,$BV$21)*$BW$21+
INDEX($A179:$BM179,,$BV$22)*$BW$22+
INDEX($A179:$BM179,,$BV$23)*$BW$23+
INDEX($A179:$BM179,,$BV$25)*$BW$25+
INDEX($A179:$BM179,,$BV$26)*$BW$26+
INDEX($A179:$BM179,,$BV$27)*$BW$27+
$BN179)),
$BN179-100)</f>
        <v>-100</v>
      </c>
      <c r="BF179" t="str">
        <f t="shared" si="36"/>
        <v/>
      </c>
      <c r="BG179" t="str">
        <f t="shared" si="37"/>
        <v/>
      </c>
      <c r="BH179">
        <f t="shared" si="38"/>
        <v>0</v>
      </c>
      <c r="BJ179" t="str">
        <f t="shared" si="39"/>
        <v/>
      </c>
      <c r="BL179">
        <f t="shared" si="41"/>
        <v>0</v>
      </c>
      <c r="BN179">
        <v>1.7799999999999999E-3</v>
      </c>
      <c r="BS179" s="4" t="s">
        <v>1452</v>
      </c>
    </row>
    <row r="180" spans="1:71" ht="15.75" hidden="1" thickBot="1" x14ac:dyDescent="0.3">
      <c r="A180" s="569" t="s">
        <v>2511</v>
      </c>
      <c r="B180" s="569" t="s">
        <v>145</v>
      </c>
      <c r="C180" s="569" t="s">
        <v>3</v>
      </c>
      <c r="D180" s="574">
        <v>7</v>
      </c>
      <c r="E180" s="569"/>
      <c r="F180" s="569"/>
      <c r="G180" s="569"/>
      <c r="H180" s="569"/>
      <c r="I180" s="574">
        <v>0</v>
      </c>
      <c r="J180" s="574">
        <v>0</v>
      </c>
      <c r="K180" s="574">
        <v>0</v>
      </c>
      <c r="L180" s="574">
        <v>16.899999999999999</v>
      </c>
      <c r="M180" s="574">
        <v>0.6</v>
      </c>
      <c r="N180" s="574">
        <v>138.80000000000001</v>
      </c>
      <c r="O180" s="574">
        <v>70.5</v>
      </c>
      <c r="P180" s="574">
        <v>1.7</v>
      </c>
      <c r="Q180" s="574">
        <v>287.39999999999998</v>
      </c>
      <c r="R180" s="569"/>
      <c r="S180" s="569"/>
      <c r="T180" s="569"/>
      <c r="U180" s="569"/>
      <c r="V180" s="569"/>
      <c r="W180" s="569"/>
      <c r="X180" s="569"/>
      <c r="Y180" s="569"/>
      <c r="Z180" s="569"/>
      <c r="AA180" s="569"/>
      <c r="AB180" s="569"/>
      <c r="AC180" s="569"/>
      <c r="AD180" s="569"/>
      <c r="AE180" s="569"/>
      <c r="AF180" s="569"/>
      <c r="AG180" s="569"/>
      <c r="AH180" s="569"/>
      <c r="AI180" s="569"/>
      <c r="AJ180" s="569"/>
      <c r="AK180" s="569"/>
      <c r="AL180" s="569"/>
      <c r="AM180" s="569"/>
      <c r="AN180" s="574">
        <v>54.9</v>
      </c>
      <c r="AO180">
        <v>179</v>
      </c>
      <c r="AP180" t="str">
        <f t="shared" si="40"/>
        <v/>
      </c>
      <c r="AQ180" t="str">
        <f t="shared" si="30"/>
        <v/>
      </c>
      <c r="AR180" s="430">
        <f>IFERROR(
IF(AP180="",-100,
IF($BV$2&gt;0, INDEX(Beersheet!$A:$U,MATCH(AP180,INDEX(Beersheet!$A:$U,0,FFARawStatProjections!$BV$2),0),$BV$3)+$BN180,
INDEX($A180:$BM180,,$BV$12)*$BW$12+
INDEX($A180:$BM180,,$BV$15)*$BW$15+
INDEX($A180:$BM180,,$BV$16)*$BW$16+
INDEX($A180:$BM180,,$BV$17)*$BW$17+
INDEX($A180:$BM180,,$BV$18)*$BW$18+
INDEX($A180:$BM180,,$BV$19)*$BW$19+
INDEX($A180:$BM180,,$BV$20)*$BW$20+
INDEX($A180:$BM180,,$BV$21)*$BW$21+
INDEX($A180:$BM180,,$BV$22)*$BW$22+
INDEX($A180:$BM180,,$BV$23)*$BW$23+
INDEX($A180:$BM180,,$BV$25)*$BW$25+
INDEX($A180:$BM180,,$BV$26)*$BW$26+
INDEX($A180:$BM180,,$BV$27)*$BW$27+
$BN180)),
$BN180-100)</f>
        <v>-100</v>
      </c>
      <c r="AT180" t="str">
        <f t="shared" si="31"/>
        <v>Chase Brown</v>
      </c>
      <c r="AU180" t="str">
        <f t="shared" si="32"/>
        <v>CIN</v>
      </c>
      <c r="AV180" s="430">
        <f>IFERROR(
IF(AT180="",-100,
IF($BV$2&gt;0, INDEX(Beersheet!$A:$U,MATCH(AT180,INDEX(Beersheet!$A:$U,0,FFARawStatProjections!$BV$2),0),$BV$3)+$BN180,
INDEX($A180:$BM180,,$BV$12)*$BW$12+
INDEX($A180:$BM180,,$BV$15)*$BW$15+
INDEX($A180:$BM180,,$BV$16)*$BW$16+
INDEX($A180:$BM180,,$BV$17)*$BW$17+
INDEX($A180:$BM180,,$BV$18)*$BW$18+
INDEX($A180:$BM180,,$BV$19)*$BW$19+
INDEX($A180:$BM180,,$BV$20)*$BW$20+
INDEX($A180:$BM180,,$BV$21)*$BW$21+
INDEX($A180:$BM180,,$BV$22)*$BW$22+
INDEX($A180:$BM180,,$BV$23)*$BW$23+
INDEX($A180:$BM180,,$BV$25)*$BW$25+
INDEX($A180:$BM180,,$BV$26)*$BW$26+
INDEX($A180:$BM180,,$BV$27)*$BW$27+
$BN180)),
$BN180-100)</f>
        <v>73.321789999999993</v>
      </c>
      <c r="AX180" t="str">
        <f t="shared" si="33"/>
        <v/>
      </c>
      <c r="AY180" t="str">
        <f t="shared" si="34"/>
        <v/>
      </c>
      <c r="AZ180" s="430">
        <f>IFERROR(
IF(AX180="",-100,
IF($BV$2&gt;0, INDEX(Beersheet!$A:$U,MATCH(AX180,INDEX(Beersheet!$A:$U,0,FFARawStatProjections!$BV$2),0),$BV$3)+$BN180,
INDEX($A180:$BM180,,$BV$12)*$BW$12+
INDEX($A180:$BM180,,$BV$15)*$BW$15+
INDEX($A180:$BM180,,$BV$16)*$BW$16+
INDEX($A180:$BM180,,$BV$17)*$BW$17+
INDEX($A180:$BM180,,$BV$18)*$BW$18+
INDEX($A180:$BM180,,$BV$19)*$BW$19+
INDEX($A180:$BM180,,$BV$20)*$BW$20+
INDEX($A180:$BM180,,$BV$21)*$BW$21+
INDEX($A180:$BM180,,$BV$22)*$BW$22+
INDEX($A180:$BM180,,$BV$23)*$BW$23+
INDEX($A180:$BM180,,$BV$25)*$BW$25+
INDEX($A180:$BM180,,$BV$26)*$BW$26+
INDEX($A180:$BM180,,$BV$27)*$BW$27+
$BN180)),
$BN180-100)</f>
        <v>-100</v>
      </c>
      <c r="BB180" t="str">
        <f t="shared" si="35"/>
        <v/>
      </c>
      <c r="BC180" t="str">
        <f t="shared" si="28"/>
        <v/>
      </c>
      <c r="BD180" s="430">
        <f>IFERROR(
IF(BB180="",-100,
IF($BV$2&gt;0, INDEX(Beersheet!$A:$U,MATCH(BB180,INDEX(Beersheet!$A:$U,0,FFARawStatProjections!$BV$2),0),$BV$3)+$BN180,
INDEX($A180:$BM180,,$BV$12)*$BW$12+
INDEX($A180:$BM180,,$BV$15)*$BW$15+
INDEX($A180:$BM180,,$BV$16)*$BW$16+
INDEX($A180:$BM180,,$BV$17)*$BW$17+
INDEX($A180:$BM180,,$BV$18)*$BW$18+
INDEX($A180:$BM180,,$BV$19)*$BW$19+
INDEX($A180:$BM180,,$BV$20)*$BW$20+
INDEX($A180:$BM180,,$BV$21)*$BW$21+
INDEX($A180:$BM180,,$BV$22)*$BW$22+
INDEX($A180:$BM180,,$BV$23)*$BW$23+
INDEX($A180:$BM180,,$BV$25)*$BW$25+
INDEX($A180:$BM180,,$BV$26)*$BW$26+
INDEX($A180:$BM180,,$BV$27)*$BW$27+
$BN180)),
$BN180-100)</f>
        <v>-100</v>
      </c>
      <c r="BF180" t="str">
        <f t="shared" si="36"/>
        <v/>
      </c>
      <c r="BG180" t="str">
        <f t="shared" si="37"/>
        <v/>
      </c>
      <c r="BH180">
        <f t="shared" si="38"/>
        <v>0</v>
      </c>
      <c r="BJ180" t="str">
        <f t="shared" si="39"/>
        <v/>
      </c>
      <c r="BL180">
        <f t="shared" si="41"/>
        <v>0</v>
      </c>
      <c r="BN180">
        <v>1.7899999999999999E-3</v>
      </c>
      <c r="BS180" s="4" t="s">
        <v>1424</v>
      </c>
    </row>
    <row r="181" spans="1:71" ht="15.75" hidden="1" thickBot="1" x14ac:dyDescent="0.3">
      <c r="A181" s="569" t="s">
        <v>1955</v>
      </c>
      <c r="B181" s="569" t="s">
        <v>146</v>
      </c>
      <c r="C181" s="569" t="s">
        <v>3</v>
      </c>
      <c r="D181" s="574">
        <v>7</v>
      </c>
      <c r="E181" s="569"/>
      <c r="F181" s="569"/>
      <c r="G181" s="569"/>
      <c r="H181" s="569"/>
      <c r="I181" s="574">
        <v>0</v>
      </c>
      <c r="J181" s="574">
        <v>0</v>
      </c>
      <c r="K181" s="574">
        <v>0</v>
      </c>
      <c r="L181" s="574">
        <v>6.6</v>
      </c>
      <c r="M181" s="574">
        <v>0.2</v>
      </c>
      <c r="N181" s="574">
        <v>53</v>
      </c>
      <c r="O181" s="574">
        <v>77.3</v>
      </c>
      <c r="P181" s="574">
        <v>2.1</v>
      </c>
      <c r="Q181" s="574">
        <v>346.3</v>
      </c>
      <c r="R181" s="569"/>
      <c r="S181" s="569"/>
      <c r="T181" s="569"/>
      <c r="U181" s="569"/>
      <c r="V181" s="569"/>
      <c r="W181" s="569"/>
      <c r="X181" s="569"/>
      <c r="Y181" s="569"/>
      <c r="Z181" s="569"/>
      <c r="AA181" s="569"/>
      <c r="AB181" s="569"/>
      <c r="AC181" s="569"/>
      <c r="AD181" s="569"/>
      <c r="AE181" s="569"/>
      <c r="AF181" s="569"/>
      <c r="AG181" s="569"/>
      <c r="AH181" s="569"/>
      <c r="AI181" s="569"/>
      <c r="AJ181" s="569"/>
      <c r="AK181" s="569"/>
      <c r="AL181" s="569"/>
      <c r="AM181" s="569"/>
      <c r="AN181" s="574">
        <v>52.4</v>
      </c>
      <c r="AO181">
        <v>180</v>
      </c>
      <c r="AP181" t="str">
        <f t="shared" si="40"/>
        <v/>
      </c>
      <c r="AQ181" t="str">
        <f t="shared" si="30"/>
        <v/>
      </c>
      <c r="AR181" s="430">
        <f>IFERROR(
IF(AP181="",-100,
IF($BV$2&gt;0, INDEX(Beersheet!$A:$U,MATCH(AP181,INDEX(Beersheet!$A:$U,0,FFARawStatProjections!$BV$2),0),$BV$3)+$BN181,
INDEX($A181:$BM181,,$BV$12)*$BW$12+
INDEX($A181:$BM181,,$BV$15)*$BW$15+
INDEX($A181:$BM181,,$BV$16)*$BW$16+
INDEX($A181:$BM181,,$BV$17)*$BW$17+
INDEX($A181:$BM181,,$BV$18)*$BW$18+
INDEX($A181:$BM181,,$BV$19)*$BW$19+
INDEX($A181:$BM181,,$BV$20)*$BW$20+
INDEX($A181:$BM181,,$BV$21)*$BW$21+
INDEX($A181:$BM181,,$BV$22)*$BW$22+
INDEX($A181:$BM181,,$BV$23)*$BW$23+
INDEX($A181:$BM181,,$BV$25)*$BW$25+
INDEX($A181:$BM181,,$BV$26)*$BW$26+
INDEX($A181:$BM181,,$BV$27)*$BW$27+
$BN181)),
$BN181-100)</f>
        <v>-100</v>
      </c>
      <c r="AT181" t="str">
        <f t="shared" si="31"/>
        <v>Ronald Jones</v>
      </c>
      <c r="AU181" t="str">
        <f t="shared" si="32"/>
        <v>DAL</v>
      </c>
      <c r="AV181" s="430">
        <f>IFERROR(
IF(AT181="",-100,
IF($BV$2&gt;0, INDEX(Beersheet!$A:$U,MATCH(AT181,INDEX(Beersheet!$A:$U,0,FFARawStatProjections!$BV$2),0),$BV$3)+$BN181,
INDEX($A181:$BM181,,$BV$12)*$BW$12+
INDEX($A181:$BM181,,$BV$15)*$BW$15+
INDEX($A181:$BM181,,$BV$16)*$BW$16+
INDEX($A181:$BM181,,$BV$17)*$BW$17+
INDEX($A181:$BM181,,$BV$18)*$BW$18+
INDEX($A181:$BM181,,$BV$19)*$BW$19+
INDEX($A181:$BM181,,$BV$20)*$BW$20+
INDEX($A181:$BM181,,$BV$21)*$BW$21+
INDEX($A181:$BM181,,$BV$22)*$BW$22+
INDEX($A181:$BM181,,$BV$23)*$BW$23+
INDEX($A181:$BM181,,$BV$25)*$BW$25+
INDEX($A181:$BM181,,$BV$26)*$BW$26+
INDEX($A181:$BM181,,$BV$27)*$BW$27+
$BN181)),
$BN181-100)</f>
        <v>60.331800000000008</v>
      </c>
      <c r="AX181" t="str">
        <f t="shared" si="33"/>
        <v/>
      </c>
      <c r="AY181" t="str">
        <f t="shared" si="34"/>
        <v/>
      </c>
      <c r="AZ181" s="430">
        <f>IFERROR(
IF(AX181="",-100,
IF($BV$2&gt;0, INDEX(Beersheet!$A:$U,MATCH(AX181,INDEX(Beersheet!$A:$U,0,FFARawStatProjections!$BV$2),0),$BV$3)+$BN181,
INDEX($A181:$BM181,,$BV$12)*$BW$12+
INDEX($A181:$BM181,,$BV$15)*$BW$15+
INDEX($A181:$BM181,,$BV$16)*$BW$16+
INDEX($A181:$BM181,,$BV$17)*$BW$17+
INDEX($A181:$BM181,,$BV$18)*$BW$18+
INDEX($A181:$BM181,,$BV$19)*$BW$19+
INDEX($A181:$BM181,,$BV$20)*$BW$20+
INDEX($A181:$BM181,,$BV$21)*$BW$21+
INDEX($A181:$BM181,,$BV$22)*$BW$22+
INDEX($A181:$BM181,,$BV$23)*$BW$23+
INDEX($A181:$BM181,,$BV$25)*$BW$25+
INDEX($A181:$BM181,,$BV$26)*$BW$26+
INDEX($A181:$BM181,,$BV$27)*$BW$27+
$BN181)),
$BN181-100)</f>
        <v>-100</v>
      </c>
      <c r="BB181" t="str">
        <f t="shared" si="35"/>
        <v/>
      </c>
      <c r="BC181" t="str">
        <f t="shared" si="28"/>
        <v/>
      </c>
      <c r="BD181" s="430">
        <f>IFERROR(
IF(BB181="",-100,
IF($BV$2&gt;0, INDEX(Beersheet!$A:$U,MATCH(BB181,INDEX(Beersheet!$A:$U,0,FFARawStatProjections!$BV$2),0),$BV$3)+$BN181,
INDEX($A181:$BM181,,$BV$12)*$BW$12+
INDEX($A181:$BM181,,$BV$15)*$BW$15+
INDEX($A181:$BM181,,$BV$16)*$BW$16+
INDEX($A181:$BM181,,$BV$17)*$BW$17+
INDEX($A181:$BM181,,$BV$18)*$BW$18+
INDEX($A181:$BM181,,$BV$19)*$BW$19+
INDEX($A181:$BM181,,$BV$20)*$BW$20+
INDEX($A181:$BM181,,$BV$21)*$BW$21+
INDEX($A181:$BM181,,$BV$22)*$BW$22+
INDEX($A181:$BM181,,$BV$23)*$BW$23+
INDEX($A181:$BM181,,$BV$25)*$BW$25+
INDEX($A181:$BM181,,$BV$26)*$BW$26+
INDEX($A181:$BM181,,$BV$27)*$BW$27+
$BN181)),
$BN181-100)</f>
        <v>-100</v>
      </c>
      <c r="BF181" t="str">
        <f t="shared" si="36"/>
        <v/>
      </c>
      <c r="BG181" t="str">
        <f t="shared" si="37"/>
        <v/>
      </c>
      <c r="BH181">
        <f t="shared" si="38"/>
        <v>0</v>
      </c>
      <c r="BJ181" t="str">
        <f t="shared" si="39"/>
        <v/>
      </c>
      <c r="BL181">
        <f t="shared" si="41"/>
        <v>0</v>
      </c>
      <c r="BN181">
        <v>1.8E-3</v>
      </c>
      <c r="BS181" s="4" t="s">
        <v>2501</v>
      </c>
    </row>
    <row r="182" spans="1:71" ht="15.75" hidden="1" thickBot="1" x14ac:dyDescent="0.3">
      <c r="A182" s="569" t="s">
        <v>2451</v>
      </c>
      <c r="B182" s="569" t="s">
        <v>143</v>
      </c>
      <c r="C182" s="569" t="s">
        <v>3</v>
      </c>
      <c r="D182" s="574">
        <v>11</v>
      </c>
      <c r="E182" s="569"/>
      <c r="F182" s="569"/>
      <c r="G182" s="569"/>
      <c r="H182" s="569"/>
      <c r="I182" s="574">
        <v>0</v>
      </c>
      <c r="J182" s="574">
        <v>0</v>
      </c>
      <c r="K182" s="574">
        <v>0</v>
      </c>
      <c r="L182" s="574">
        <v>11.4</v>
      </c>
      <c r="M182" s="574">
        <v>0.5</v>
      </c>
      <c r="N182" s="574">
        <v>112.4</v>
      </c>
      <c r="O182" s="574">
        <v>84.3</v>
      </c>
      <c r="P182" s="574">
        <v>1.6</v>
      </c>
      <c r="Q182" s="574">
        <v>301.39999999999998</v>
      </c>
      <c r="R182" s="569"/>
      <c r="S182" s="569"/>
      <c r="T182" s="569"/>
      <c r="U182" s="569"/>
      <c r="V182" s="569"/>
      <c r="W182" s="569"/>
      <c r="X182" s="569"/>
      <c r="Y182" s="569"/>
      <c r="Z182" s="569"/>
      <c r="AA182" s="569"/>
      <c r="AB182" s="569"/>
      <c r="AC182" s="569"/>
      <c r="AD182" s="569"/>
      <c r="AE182" s="569"/>
      <c r="AF182" s="569"/>
      <c r="AG182" s="569"/>
      <c r="AH182" s="569"/>
      <c r="AI182" s="569"/>
      <c r="AJ182" s="569"/>
      <c r="AK182" s="569"/>
      <c r="AL182" s="569"/>
      <c r="AM182" s="569"/>
      <c r="AN182" s="574">
        <v>52.3</v>
      </c>
      <c r="AO182">
        <v>181</v>
      </c>
      <c r="AP182" t="str">
        <f t="shared" si="40"/>
        <v/>
      </c>
      <c r="AQ182" t="str">
        <f t="shared" si="30"/>
        <v/>
      </c>
      <c r="AR182" s="430">
        <f>IFERROR(
IF(AP182="",-100,
IF($BV$2&gt;0, INDEX(Beersheet!$A:$U,MATCH(AP182,INDEX(Beersheet!$A:$U,0,FFARawStatProjections!$BV$2),0),$BV$3)+$BN182,
INDEX($A182:$BM182,,$BV$12)*$BW$12+
INDEX($A182:$BM182,,$BV$15)*$BW$15+
INDEX($A182:$BM182,,$BV$16)*$BW$16+
INDEX($A182:$BM182,,$BV$17)*$BW$17+
INDEX($A182:$BM182,,$BV$18)*$BW$18+
INDEX($A182:$BM182,,$BV$19)*$BW$19+
INDEX($A182:$BM182,,$BV$20)*$BW$20+
INDEX($A182:$BM182,,$BV$21)*$BW$21+
INDEX($A182:$BM182,,$BV$22)*$BW$22+
INDEX($A182:$BM182,,$BV$23)*$BW$23+
INDEX($A182:$BM182,,$BV$25)*$BW$25+
INDEX($A182:$BM182,,$BV$26)*$BW$26+
INDEX($A182:$BM182,,$BV$27)*$BW$27+
$BN182)),
$BN182-100)</f>
        <v>-100</v>
      </c>
      <c r="AT182" t="str">
        <f t="shared" si="31"/>
        <v>Kendre Miller</v>
      </c>
      <c r="AU182" t="str">
        <f t="shared" si="32"/>
        <v>NO</v>
      </c>
      <c r="AV182" s="430">
        <f>IFERROR(
IF(AT182="",-100,
IF($BV$2&gt;0, INDEX(Beersheet!$A:$U,MATCH(AT182,INDEX(Beersheet!$A:$U,0,FFARawStatProjections!$BV$2),0),$BV$3)+$BN182,
INDEX($A182:$BM182,,$BV$12)*$BW$12+
INDEX($A182:$BM182,,$BV$15)*$BW$15+
INDEX($A182:$BM182,,$BV$16)*$BW$16+
INDEX($A182:$BM182,,$BV$17)*$BW$17+
INDEX($A182:$BM182,,$BV$18)*$BW$18+
INDEX($A182:$BM182,,$BV$19)*$BW$19+
INDEX($A182:$BM182,,$BV$20)*$BW$20+
INDEX($A182:$BM182,,$BV$21)*$BW$21+
INDEX($A182:$BM182,,$BV$22)*$BW$22+
INDEX($A182:$BM182,,$BV$23)*$BW$23+
INDEX($A182:$BM182,,$BV$25)*$BW$25+
INDEX($A182:$BM182,,$BV$26)*$BW$26+
INDEX($A182:$BM182,,$BV$27)*$BW$27+
$BN182)),
$BN182-100)</f>
        <v>65.381810000000002</v>
      </c>
      <c r="AX182" t="str">
        <f t="shared" si="33"/>
        <v/>
      </c>
      <c r="AY182" t="str">
        <f t="shared" si="34"/>
        <v/>
      </c>
      <c r="AZ182" s="430">
        <f>IFERROR(
IF(AX182="",-100,
IF($BV$2&gt;0, INDEX(Beersheet!$A:$U,MATCH(AX182,INDEX(Beersheet!$A:$U,0,FFARawStatProjections!$BV$2),0),$BV$3)+$BN182,
INDEX($A182:$BM182,,$BV$12)*$BW$12+
INDEX($A182:$BM182,,$BV$15)*$BW$15+
INDEX($A182:$BM182,,$BV$16)*$BW$16+
INDEX($A182:$BM182,,$BV$17)*$BW$17+
INDEX($A182:$BM182,,$BV$18)*$BW$18+
INDEX($A182:$BM182,,$BV$19)*$BW$19+
INDEX($A182:$BM182,,$BV$20)*$BW$20+
INDEX($A182:$BM182,,$BV$21)*$BW$21+
INDEX($A182:$BM182,,$BV$22)*$BW$22+
INDEX($A182:$BM182,,$BV$23)*$BW$23+
INDEX($A182:$BM182,,$BV$25)*$BW$25+
INDEX($A182:$BM182,,$BV$26)*$BW$26+
INDEX($A182:$BM182,,$BV$27)*$BW$27+
$BN182)),
$BN182-100)</f>
        <v>-100</v>
      </c>
      <c r="BB182" t="str">
        <f t="shared" si="35"/>
        <v/>
      </c>
      <c r="BC182" t="str">
        <f t="shared" si="28"/>
        <v/>
      </c>
      <c r="BD182" s="430">
        <f>IFERROR(
IF(BB182="",-100,
IF($BV$2&gt;0, INDEX(Beersheet!$A:$U,MATCH(BB182,INDEX(Beersheet!$A:$U,0,FFARawStatProjections!$BV$2),0),$BV$3)+$BN182,
INDEX($A182:$BM182,,$BV$12)*$BW$12+
INDEX($A182:$BM182,,$BV$15)*$BW$15+
INDEX($A182:$BM182,,$BV$16)*$BW$16+
INDEX($A182:$BM182,,$BV$17)*$BW$17+
INDEX($A182:$BM182,,$BV$18)*$BW$18+
INDEX($A182:$BM182,,$BV$19)*$BW$19+
INDEX($A182:$BM182,,$BV$20)*$BW$20+
INDEX($A182:$BM182,,$BV$21)*$BW$21+
INDEX($A182:$BM182,,$BV$22)*$BW$22+
INDEX($A182:$BM182,,$BV$23)*$BW$23+
INDEX($A182:$BM182,,$BV$25)*$BW$25+
INDEX($A182:$BM182,,$BV$26)*$BW$26+
INDEX($A182:$BM182,,$BV$27)*$BW$27+
$BN182)),
$BN182-100)</f>
        <v>-100</v>
      </c>
      <c r="BF182" t="str">
        <f t="shared" si="36"/>
        <v/>
      </c>
      <c r="BG182" t="str">
        <f t="shared" si="37"/>
        <v/>
      </c>
      <c r="BH182">
        <f t="shared" si="38"/>
        <v>0</v>
      </c>
      <c r="BJ182" t="str">
        <f t="shared" si="39"/>
        <v/>
      </c>
      <c r="BL182">
        <f t="shared" si="41"/>
        <v>0</v>
      </c>
      <c r="BN182">
        <v>1.81E-3</v>
      </c>
      <c r="BS182" s="4" t="s">
        <v>2500</v>
      </c>
    </row>
    <row r="183" spans="1:71" ht="15.75" hidden="1" thickBot="1" x14ac:dyDescent="0.3">
      <c r="A183" s="569" t="s">
        <v>2304</v>
      </c>
      <c r="B183" s="569" t="s">
        <v>2272</v>
      </c>
      <c r="C183" s="569" t="s">
        <v>3</v>
      </c>
      <c r="D183" s="574">
        <v>14</v>
      </c>
      <c r="E183" s="569"/>
      <c r="F183" s="569"/>
      <c r="G183" s="569"/>
      <c r="H183" s="569"/>
      <c r="I183" s="574">
        <v>0</v>
      </c>
      <c r="J183" s="574">
        <v>0</v>
      </c>
      <c r="K183" s="574">
        <v>0</v>
      </c>
      <c r="L183" s="574">
        <v>13.7</v>
      </c>
      <c r="M183" s="574">
        <v>0.3</v>
      </c>
      <c r="N183" s="574">
        <v>92</v>
      </c>
      <c r="O183" s="574">
        <v>71.599999999999994</v>
      </c>
      <c r="P183" s="574">
        <v>1.8</v>
      </c>
      <c r="Q183" s="574">
        <v>292.8</v>
      </c>
      <c r="R183" s="569"/>
      <c r="S183" s="569"/>
      <c r="T183" s="569"/>
      <c r="U183" s="569"/>
      <c r="V183" s="569"/>
      <c r="W183" s="569"/>
      <c r="X183" s="569"/>
      <c r="Y183" s="569"/>
      <c r="Z183" s="569"/>
      <c r="AA183" s="569"/>
      <c r="AB183" s="569"/>
      <c r="AC183" s="569"/>
      <c r="AD183" s="569"/>
      <c r="AE183" s="569"/>
      <c r="AF183" s="569"/>
      <c r="AG183" s="569"/>
      <c r="AH183" s="569"/>
      <c r="AI183" s="569"/>
      <c r="AJ183" s="569"/>
      <c r="AK183" s="569"/>
      <c r="AL183" s="569"/>
      <c r="AM183" s="569"/>
      <c r="AN183" s="574">
        <v>49.9</v>
      </c>
      <c r="AO183">
        <v>182</v>
      </c>
      <c r="AP183" t="str">
        <f t="shared" si="40"/>
        <v/>
      </c>
      <c r="AQ183" t="str">
        <f t="shared" si="30"/>
        <v/>
      </c>
      <c r="AR183" s="430">
        <f>IFERROR(
IF(AP183="",-100,
IF($BV$2&gt;0, INDEX(Beersheet!$A:$U,MATCH(AP183,INDEX(Beersheet!$A:$U,0,FFARawStatProjections!$BV$2),0),$BV$3)+$BN183,
INDEX($A183:$BM183,,$BV$12)*$BW$12+
INDEX($A183:$BM183,,$BV$15)*$BW$15+
INDEX($A183:$BM183,,$BV$16)*$BW$16+
INDEX($A183:$BM183,,$BV$17)*$BW$17+
INDEX($A183:$BM183,,$BV$18)*$BW$18+
INDEX($A183:$BM183,,$BV$19)*$BW$19+
INDEX($A183:$BM183,,$BV$20)*$BW$20+
INDEX($A183:$BM183,,$BV$21)*$BW$21+
INDEX($A183:$BM183,,$BV$22)*$BW$22+
INDEX($A183:$BM183,,$BV$23)*$BW$23+
INDEX($A183:$BM183,,$BV$25)*$BW$25+
INDEX($A183:$BM183,,$BV$26)*$BW$26+
INDEX($A183:$BM183,,$BV$27)*$BW$27+
$BN183)),
$BN183-100)</f>
        <v>-100</v>
      </c>
      <c r="AT183" t="str">
        <f t="shared" si="31"/>
        <v>Keaontay Ingram</v>
      </c>
      <c r="AU183" t="str">
        <f t="shared" si="32"/>
        <v>AZ</v>
      </c>
      <c r="AV183" s="430">
        <f>IFERROR(
IF(AT183="",-100,
IF($BV$2&gt;0, INDEX(Beersheet!$A:$U,MATCH(AT183,INDEX(Beersheet!$A:$U,0,FFARawStatProjections!$BV$2),0),$BV$3)+$BN183,
INDEX($A183:$BM183,,$BV$12)*$BW$12+
INDEX($A183:$BM183,,$BV$15)*$BW$15+
INDEX($A183:$BM183,,$BV$16)*$BW$16+
INDEX($A183:$BM183,,$BV$17)*$BW$17+
INDEX($A183:$BM183,,$BV$18)*$BW$18+
INDEX($A183:$BM183,,$BV$19)*$BW$19+
INDEX($A183:$BM183,,$BV$20)*$BW$20+
INDEX($A183:$BM183,,$BV$21)*$BW$21+
INDEX($A183:$BM183,,$BV$22)*$BW$22+
INDEX($A183:$BM183,,$BV$23)*$BW$23+
INDEX($A183:$BM183,,$BV$25)*$BW$25+
INDEX($A183:$BM183,,$BV$26)*$BW$26+
INDEX($A183:$BM183,,$BV$27)*$BW$27+
$BN183)),
$BN183-100)</f>
        <v>64.781819999999996</v>
      </c>
      <c r="AX183" t="str">
        <f t="shared" si="33"/>
        <v/>
      </c>
      <c r="AY183" t="str">
        <f t="shared" si="34"/>
        <v/>
      </c>
      <c r="AZ183" s="430">
        <f>IFERROR(
IF(AX183="",-100,
IF($BV$2&gt;0, INDEX(Beersheet!$A:$U,MATCH(AX183,INDEX(Beersheet!$A:$U,0,FFARawStatProjections!$BV$2),0),$BV$3)+$BN183,
INDEX($A183:$BM183,,$BV$12)*$BW$12+
INDEX($A183:$BM183,,$BV$15)*$BW$15+
INDEX($A183:$BM183,,$BV$16)*$BW$16+
INDEX($A183:$BM183,,$BV$17)*$BW$17+
INDEX($A183:$BM183,,$BV$18)*$BW$18+
INDEX($A183:$BM183,,$BV$19)*$BW$19+
INDEX($A183:$BM183,,$BV$20)*$BW$20+
INDEX($A183:$BM183,,$BV$21)*$BW$21+
INDEX($A183:$BM183,,$BV$22)*$BW$22+
INDEX($A183:$BM183,,$BV$23)*$BW$23+
INDEX($A183:$BM183,,$BV$25)*$BW$25+
INDEX($A183:$BM183,,$BV$26)*$BW$26+
INDEX($A183:$BM183,,$BV$27)*$BW$27+
$BN183)),
$BN183-100)</f>
        <v>-100</v>
      </c>
      <c r="BB183" t="str">
        <f t="shared" si="35"/>
        <v/>
      </c>
      <c r="BC183" t="str">
        <f t="shared" si="28"/>
        <v/>
      </c>
      <c r="BD183" s="430">
        <f>IFERROR(
IF(BB183="",-100,
IF($BV$2&gt;0, INDEX(Beersheet!$A:$U,MATCH(BB183,INDEX(Beersheet!$A:$U,0,FFARawStatProjections!$BV$2),0),$BV$3)+$BN183,
INDEX($A183:$BM183,,$BV$12)*$BW$12+
INDEX($A183:$BM183,,$BV$15)*$BW$15+
INDEX($A183:$BM183,,$BV$16)*$BW$16+
INDEX($A183:$BM183,,$BV$17)*$BW$17+
INDEX($A183:$BM183,,$BV$18)*$BW$18+
INDEX($A183:$BM183,,$BV$19)*$BW$19+
INDEX($A183:$BM183,,$BV$20)*$BW$20+
INDEX($A183:$BM183,,$BV$21)*$BW$21+
INDEX($A183:$BM183,,$BV$22)*$BW$22+
INDEX($A183:$BM183,,$BV$23)*$BW$23+
INDEX($A183:$BM183,,$BV$25)*$BW$25+
INDEX($A183:$BM183,,$BV$26)*$BW$26+
INDEX($A183:$BM183,,$BV$27)*$BW$27+
$BN183)),
$BN183-100)</f>
        <v>-100</v>
      </c>
      <c r="BF183" t="str">
        <f t="shared" si="36"/>
        <v/>
      </c>
      <c r="BG183" t="str">
        <f t="shared" si="37"/>
        <v/>
      </c>
      <c r="BH183">
        <f t="shared" si="38"/>
        <v>0</v>
      </c>
      <c r="BJ183" t="str">
        <f t="shared" si="39"/>
        <v/>
      </c>
      <c r="BL183">
        <f t="shared" si="41"/>
        <v>0</v>
      </c>
      <c r="BN183">
        <v>1.82E-3</v>
      </c>
      <c r="BS183" s="4" t="s">
        <v>2159</v>
      </c>
    </row>
    <row r="184" spans="1:71" ht="15.75" hidden="1" thickBot="1" x14ac:dyDescent="0.3">
      <c r="A184" s="569" t="s">
        <v>2480</v>
      </c>
      <c r="B184" s="569" t="s">
        <v>164</v>
      </c>
      <c r="C184" s="569" t="s">
        <v>3</v>
      </c>
      <c r="D184" s="574">
        <v>7</v>
      </c>
      <c r="E184" s="569"/>
      <c r="F184" s="569"/>
      <c r="G184" s="569"/>
      <c r="H184" s="569"/>
      <c r="I184" s="574">
        <v>0</v>
      </c>
      <c r="J184" s="574">
        <v>0</v>
      </c>
      <c r="K184" s="574">
        <v>0</v>
      </c>
      <c r="L184" s="574">
        <v>0</v>
      </c>
      <c r="M184" s="574">
        <v>0.1</v>
      </c>
      <c r="N184" s="574">
        <v>130.80000000000001</v>
      </c>
      <c r="O184" s="574">
        <v>94.3</v>
      </c>
      <c r="P184" s="574">
        <v>0.3</v>
      </c>
      <c r="Q184" s="574">
        <v>352.4</v>
      </c>
      <c r="R184" s="569"/>
      <c r="S184" s="569"/>
      <c r="T184" s="569"/>
      <c r="U184" s="569"/>
      <c r="V184" s="569"/>
      <c r="W184" s="569"/>
      <c r="X184" s="569"/>
      <c r="Y184" s="569"/>
      <c r="Z184" s="569"/>
      <c r="AA184" s="569"/>
      <c r="AB184" s="569"/>
      <c r="AC184" s="569"/>
      <c r="AD184" s="569"/>
      <c r="AE184" s="569"/>
      <c r="AF184" s="569"/>
      <c r="AG184" s="569"/>
      <c r="AH184" s="569"/>
      <c r="AI184" s="569"/>
      <c r="AJ184" s="569"/>
      <c r="AK184" s="569"/>
      <c r="AL184" s="569"/>
      <c r="AM184" s="569"/>
      <c r="AN184" s="574">
        <v>49.7</v>
      </c>
      <c r="AO184">
        <v>183</v>
      </c>
      <c r="AP184" t="str">
        <f t="shared" si="40"/>
        <v/>
      </c>
      <c r="AQ184" t="str">
        <f t="shared" si="30"/>
        <v/>
      </c>
      <c r="AR184" s="430">
        <f>IFERROR(
IF(AP184="",-100,
IF($BV$2&gt;0, INDEX(Beersheet!$A:$U,MATCH(AP184,INDEX(Beersheet!$A:$U,0,FFARawStatProjections!$BV$2),0),$BV$3)+$BN184,
INDEX($A184:$BM184,,$BV$12)*$BW$12+
INDEX($A184:$BM184,,$BV$15)*$BW$15+
INDEX($A184:$BM184,,$BV$16)*$BW$16+
INDEX($A184:$BM184,,$BV$17)*$BW$17+
INDEX($A184:$BM184,,$BV$18)*$BW$18+
INDEX($A184:$BM184,,$BV$19)*$BW$19+
INDEX($A184:$BM184,,$BV$20)*$BW$20+
INDEX($A184:$BM184,,$BV$21)*$BW$21+
INDEX($A184:$BM184,,$BV$22)*$BW$22+
INDEX($A184:$BM184,,$BV$23)*$BW$23+
INDEX($A184:$BM184,,$BV$25)*$BW$25+
INDEX($A184:$BM184,,$BV$26)*$BW$26+
INDEX($A184:$BM184,,$BV$27)*$BW$27+
$BN184)),
$BN184-100)</f>
        <v>-100</v>
      </c>
      <c r="AT184" t="str">
        <f t="shared" si="31"/>
        <v>Israel Abanikanda</v>
      </c>
      <c r="AU184" t="str">
        <f t="shared" si="32"/>
        <v>NYJ</v>
      </c>
      <c r="AV184" s="430">
        <f>IFERROR(
IF(AT184="",-100,
IF($BV$2&gt;0, INDEX(Beersheet!$A:$U,MATCH(AT184,INDEX(Beersheet!$A:$U,0,FFARawStatProjections!$BV$2),0),$BV$3)+$BN184,
INDEX($A184:$BM184,,$BV$12)*$BW$12+
INDEX($A184:$BM184,,$BV$15)*$BW$15+
INDEX($A184:$BM184,,$BV$16)*$BW$16+
INDEX($A184:$BM184,,$BV$17)*$BW$17+
INDEX($A184:$BM184,,$BV$18)*$BW$18+
INDEX($A184:$BM184,,$BV$19)*$BW$19+
INDEX($A184:$BM184,,$BV$20)*$BW$20+
INDEX($A184:$BM184,,$BV$21)*$BW$21+
INDEX($A184:$BM184,,$BV$22)*$BW$22+
INDEX($A184:$BM184,,$BV$23)*$BW$23+
INDEX($A184:$BM184,,$BV$25)*$BW$25+
INDEX($A184:$BM184,,$BV$26)*$BW$26+
INDEX($A184:$BM184,,$BV$27)*$BW$27+
$BN184)),
$BN184-100)</f>
        <v>50.721829999999997</v>
      </c>
      <c r="AX184" t="str">
        <f t="shared" si="33"/>
        <v/>
      </c>
      <c r="AY184" t="str">
        <f t="shared" si="34"/>
        <v/>
      </c>
      <c r="AZ184" s="430">
        <f>IFERROR(
IF(AX184="",-100,
IF($BV$2&gt;0, INDEX(Beersheet!$A:$U,MATCH(AX184,INDEX(Beersheet!$A:$U,0,FFARawStatProjections!$BV$2),0),$BV$3)+$BN184,
INDEX($A184:$BM184,,$BV$12)*$BW$12+
INDEX($A184:$BM184,,$BV$15)*$BW$15+
INDEX($A184:$BM184,,$BV$16)*$BW$16+
INDEX($A184:$BM184,,$BV$17)*$BW$17+
INDEX($A184:$BM184,,$BV$18)*$BW$18+
INDEX($A184:$BM184,,$BV$19)*$BW$19+
INDEX($A184:$BM184,,$BV$20)*$BW$20+
INDEX($A184:$BM184,,$BV$21)*$BW$21+
INDEX($A184:$BM184,,$BV$22)*$BW$22+
INDEX($A184:$BM184,,$BV$23)*$BW$23+
INDEX($A184:$BM184,,$BV$25)*$BW$25+
INDEX($A184:$BM184,,$BV$26)*$BW$26+
INDEX($A184:$BM184,,$BV$27)*$BW$27+
$BN184)),
$BN184-100)</f>
        <v>-100</v>
      </c>
      <c r="BB184" t="str">
        <f t="shared" si="35"/>
        <v/>
      </c>
      <c r="BC184" t="str">
        <f t="shared" si="28"/>
        <v/>
      </c>
      <c r="BD184" s="430">
        <f>IFERROR(
IF(BB184="",-100,
IF($BV$2&gt;0, INDEX(Beersheet!$A:$U,MATCH(BB184,INDEX(Beersheet!$A:$U,0,FFARawStatProjections!$BV$2),0),$BV$3)+$BN184,
INDEX($A184:$BM184,,$BV$12)*$BW$12+
INDEX($A184:$BM184,,$BV$15)*$BW$15+
INDEX($A184:$BM184,,$BV$16)*$BW$16+
INDEX($A184:$BM184,,$BV$17)*$BW$17+
INDEX($A184:$BM184,,$BV$18)*$BW$18+
INDEX($A184:$BM184,,$BV$19)*$BW$19+
INDEX($A184:$BM184,,$BV$20)*$BW$20+
INDEX($A184:$BM184,,$BV$21)*$BW$21+
INDEX($A184:$BM184,,$BV$22)*$BW$22+
INDEX($A184:$BM184,,$BV$23)*$BW$23+
INDEX($A184:$BM184,,$BV$25)*$BW$25+
INDEX($A184:$BM184,,$BV$26)*$BW$26+
INDEX($A184:$BM184,,$BV$27)*$BW$27+
$BN184)),
$BN184-100)</f>
        <v>-100</v>
      </c>
      <c r="BF184" t="str">
        <f t="shared" si="36"/>
        <v/>
      </c>
      <c r="BG184" t="str">
        <f t="shared" si="37"/>
        <v/>
      </c>
      <c r="BH184">
        <f t="shared" si="38"/>
        <v>0</v>
      </c>
      <c r="BJ184" t="str">
        <f t="shared" si="39"/>
        <v/>
      </c>
      <c r="BL184">
        <f t="shared" si="41"/>
        <v>0</v>
      </c>
      <c r="BN184">
        <v>1.83E-3</v>
      </c>
      <c r="BS184" s="4" t="s">
        <v>1887</v>
      </c>
    </row>
    <row r="185" spans="1:71" ht="15.75" hidden="1" thickBot="1" x14ac:dyDescent="0.3">
      <c r="A185" s="569" t="s">
        <v>129</v>
      </c>
      <c r="B185" s="569" t="s">
        <v>156</v>
      </c>
      <c r="C185" s="569" t="s">
        <v>3</v>
      </c>
      <c r="D185" s="574">
        <v>13</v>
      </c>
      <c r="E185" s="569"/>
      <c r="F185" s="569"/>
      <c r="G185" s="569"/>
      <c r="H185" s="569"/>
      <c r="I185" s="574">
        <v>0</v>
      </c>
      <c r="J185" s="574">
        <v>0</v>
      </c>
      <c r="K185" s="574">
        <v>0</v>
      </c>
      <c r="L185" s="574">
        <v>10.3</v>
      </c>
      <c r="M185" s="574">
        <v>0.2</v>
      </c>
      <c r="N185" s="574">
        <v>75.099999999999994</v>
      </c>
      <c r="O185" s="574">
        <v>62.7</v>
      </c>
      <c r="P185" s="574">
        <v>1.7</v>
      </c>
      <c r="Q185" s="574">
        <v>293.10000000000002</v>
      </c>
      <c r="R185" s="569"/>
      <c r="S185" s="569"/>
      <c r="T185" s="569"/>
      <c r="U185" s="569"/>
      <c r="V185" s="569"/>
      <c r="W185" s="569"/>
      <c r="X185" s="569"/>
      <c r="Y185" s="569"/>
      <c r="Z185" s="569"/>
      <c r="AA185" s="569"/>
      <c r="AB185" s="569"/>
      <c r="AC185" s="569"/>
      <c r="AD185" s="569"/>
      <c r="AE185" s="569"/>
      <c r="AF185" s="569"/>
      <c r="AG185" s="569"/>
      <c r="AH185" s="569"/>
      <c r="AI185" s="569"/>
      <c r="AJ185" s="569"/>
      <c r="AK185" s="569"/>
      <c r="AL185" s="569"/>
      <c r="AM185" s="569"/>
      <c r="AN185" s="574">
        <v>48</v>
      </c>
      <c r="AO185">
        <v>184</v>
      </c>
      <c r="AP185" t="str">
        <f t="shared" si="40"/>
        <v/>
      </c>
      <c r="AQ185" t="str">
        <f t="shared" si="30"/>
        <v/>
      </c>
      <c r="AR185" s="430">
        <f>IFERROR(
IF(AP185="",-100,
IF($BV$2&gt;0, INDEX(Beersheet!$A:$U,MATCH(AP185,INDEX(Beersheet!$A:$U,0,FFARawStatProjections!$BV$2),0),$BV$3)+$BN185,
INDEX($A185:$BM185,,$BV$12)*$BW$12+
INDEX($A185:$BM185,,$BV$15)*$BW$15+
INDEX($A185:$BM185,,$BV$16)*$BW$16+
INDEX($A185:$BM185,,$BV$17)*$BW$17+
INDEX($A185:$BM185,,$BV$18)*$BW$18+
INDEX($A185:$BM185,,$BV$19)*$BW$19+
INDEX($A185:$BM185,,$BV$20)*$BW$20+
INDEX($A185:$BM185,,$BV$21)*$BW$21+
INDEX($A185:$BM185,,$BV$22)*$BW$22+
INDEX($A185:$BM185,,$BV$23)*$BW$23+
INDEX($A185:$BM185,,$BV$25)*$BW$25+
INDEX($A185:$BM185,,$BV$26)*$BW$26+
INDEX($A185:$BM185,,$BV$27)*$BW$27+
$BN185)),
$BN185-100)</f>
        <v>-100</v>
      </c>
      <c r="AT185" t="str">
        <f t="shared" si="31"/>
        <v>Latavius Murray</v>
      </c>
      <c r="AU185" t="str">
        <f t="shared" si="32"/>
        <v>BUF</v>
      </c>
      <c r="AV185" s="430">
        <f>IFERROR(
IF(AT185="",-100,
IF($BV$2&gt;0, INDEX(Beersheet!$A:$U,MATCH(AT185,INDEX(Beersheet!$A:$U,0,FFARawStatProjections!$BV$2),0),$BV$3)+$BN185,
INDEX($A185:$BM185,,$BV$12)*$BW$12+
INDEX($A185:$BM185,,$BV$15)*$BW$15+
INDEX($A185:$BM185,,$BV$16)*$BW$16+
INDEX($A185:$BM185,,$BV$17)*$BW$17+
INDEX($A185:$BM185,,$BV$18)*$BW$18+
INDEX($A185:$BM185,,$BV$19)*$BW$19+
INDEX($A185:$BM185,,$BV$20)*$BW$20+
INDEX($A185:$BM185,,$BV$21)*$BW$21+
INDEX($A185:$BM185,,$BV$22)*$BW$22+
INDEX($A185:$BM185,,$BV$23)*$BW$23+
INDEX($A185:$BM185,,$BV$25)*$BW$25+
INDEX($A185:$BM185,,$BV$26)*$BW$26+
INDEX($A185:$BM185,,$BV$27)*$BW$27+
$BN185)),
$BN185-100)</f>
        <v>58.521839999999997</v>
      </c>
      <c r="AX185" t="str">
        <f t="shared" si="33"/>
        <v/>
      </c>
      <c r="AY185" t="str">
        <f t="shared" si="34"/>
        <v/>
      </c>
      <c r="AZ185" s="430">
        <f>IFERROR(
IF(AX185="",-100,
IF($BV$2&gt;0, INDEX(Beersheet!$A:$U,MATCH(AX185,INDEX(Beersheet!$A:$U,0,FFARawStatProjections!$BV$2),0),$BV$3)+$BN185,
INDEX($A185:$BM185,,$BV$12)*$BW$12+
INDEX($A185:$BM185,,$BV$15)*$BW$15+
INDEX($A185:$BM185,,$BV$16)*$BW$16+
INDEX($A185:$BM185,,$BV$17)*$BW$17+
INDEX($A185:$BM185,,$BV$18)*$BW$18+
INDEX($A185:$BM185,,$BV$19)*$BW$19+
INDEX($A185:$BM185,,$BV$20)*$BW$20+
INDEX($A185:$BM185,,$BV$21)*$BW$21+
INDEX($A185:$BM185,,$BV$22)*$BW$22+
INDEX($A185:$BM185,,$BV$23)*$BW$23+
INDEX($A185:$BM185,,$BV$25)*$BW$25+
INDEX($A185:$BM185,,$BV$26)*$BW$26+
INDEX($A185:$BM185,,$BV$27)*$BW$27+
$BN185)),
$BN185-100)</f>
        <v>-100</v>
      </c>
      <c r="BB185" t="str">
        <f t="shared" si="35"/>
        <v/>
      </c>
      <c r="BC185" t="str">
        <f t="shared" si="28"/>
        <v/>
      </c>
      <c r="BD185" s="430">
        <f>IFERROR(
IF(BB185="",-100,
IF($BV$2&gt;0, INDEX(Beersheet!$A:$U,MATCH(BB185,INDEX(Beersheet!$A:$U,0,FFARawStatProjections!$BV$2),0),$BV$3)+$BN185,
INDEX($A185:$BM185,,$BV$12)*$BW$12+
INDEX($A185:$BM185,,$BV$15)*$BW$15+
INDEX($A185:$BM185,,$BV$16)*$BW$16+
INDEX($A185:$BM185,,$BV$17)*$BW$17+
INDEX($A185:$BM185,,$BV$18)*$BW$18+
INDEX($A185:$BM185,,$BV$19)*$BW$19+
INDEX($A185:$BM185,,$BV$20)*$BW$20+
INDEX($A185:$BM185,,$BV$21)*$BW$21+
INDEX($A185:$BM185,,$BV$22)*$BW$22+
INDEX($A185:$BM185,,$BV$23)*$BW$23+
INDEX($A185:$BM185,,$BV$25)*$BW$25+
INDEX($A185:$BM185,,$BV$26)*$BW$26+
INDEX($A185:$BM185,,$BV$27)*$BW$27+
$BN185)),
$BN185-100)</f>
        <v>-100</v>
      </c>
      <c r="BF185" t="str">
        <f t="shared" si="36"/>
        <v/>
      </c>
      <c r="BG185" t="str">
        <f t="shared" si="37"/>
        <v/>
      </c>
      <c r="BH185">
        <f t="shared" si="38"/>
        <v>0</v>
      </c>
      <c r="BJ185" t="str">
        <f t="shared" si="39"/>
        <v/>
      </c>
      <c r="BL185">
        <f t="shared" si="41"/>
        <v>0</v>
      </c>
      <c r="BN185">
        <v>1.8400000000000001E-3</v>
      </c>
      <c r="BS185" s="4" t="s">
        <v>2346</v>
      </c>
    </row>
    <row r="186" spans="1:71" ht="15.75" hidden="1" thickBot="1" x14ac:dyDescent="0.3">
      <c r="A186" s="569" t="s">
        <v>1748</v>
      </c>
      <c r="B186" s="569" t="s">
        <v>154</v>
      </c>
      <c r="C186" s="569" t="s">
        <v>3</v>
      </c>
      <c r="D186" s="574">
        <v>13</v>
      </c>
      <c r="E186" s="569"/>
      <c r="F186" s="569"/>
      <c r="G186" s="569"/>
      <c r="H186" s="569"/>
      <c r="I186" s="574">
        <v>0</v>
      </c>
      <c r="J186" s="574">
        <v>0</v>
      </c>
      <c r="K186" s="574">
        <v>0</v>
      </c>
      <c r="L186" s="574">
        <v>12.9</v>
      </c>
      <c r="M186" s="574">
        <v>0.3</v>
      </c>
      <c r="N186" s="574">
        <v>106.5</v>
      </c>
      <c r="O186" s="574">
        <v>61.1</v>
      </c>
      <c r="P186" s="574">
        <v>1.2</v>
      </c>
      <c r="Q186" s="574">
        <v>274.10000000000002</v>
      </c>
      <c r="R186" s="569"/>
      <c r="S186" s="569"/>
      <c r="T186" s="569"/>
      <c r="U186" s="569"/>
      <c r="V186" s="569"/>
      <c r="W186" s="569"/>
      <c r="X186" s="569"/>
      <c r="Y186" s="569"/>
      <c r="Z186" s="569"/>
      <c r="AA186" s="569"/>
      <c r="AB186" s="569"/>
      <c r="AC186" s="569"/>
      <c r="AD186" s="569"/>
      <c r="AE186" s="569"/>
      <c r="AF186" s="569"/>
      <c r="AG186" s="569"/>
      <c r="AH186" s="569"/>
      <c r="AI186" s="569"/>
      <c r="AJ186" s="569"/>
      <c r="AK186" s="569"/>
      <c r="AL186" s="569"/>
      <c r="AM186" s="569"/>
      <c r="AN186" s="574">
        <v>45.6</v>
      </c>
      <c r="AO186">
        <v>185</v>
      </c>
      <c r="AP186" t="str">
        <f t="shared" si="40"/>
        <v/>
      </c>
      <c r="AQ186" t="str">
        <f t="shared" si="30"/>
        <v/>
      </c>
      <c r="AR186" s="430">
        <f>IFERROR(
IF(AP186="",-100,
IF($BV$2&gt;0, INDEX(Beersheet!$A:$U,MATCH(AP186,INDEX(Beersheet!$A:$U,0,FFARawStatProjections!$BV$2),0),$BV$3)+$BN186,
INDEX($A186:$BM186,,$BV$12)*$BW$12+
INDEX($A186:$BM186,,$BV$15)*$BW$15+
INDEX($A186:$BM186,,$BV$16)*$BW$16+
INDEX($A186:$BM186,,$BV$17)*$BW$17+
INDEX($A186:$BM186,,$BV$18)*$BW$18+
INDEX($A186:$BM186,,$BV$19)*$BW$19+
INDEX($A186:$BM186,,$BV$20)*$BW$20+
INDEX($A186:$BM186,,$BV$21)*$BW$21+
INDEX($A186:$BM186,,$BV$22)*$BW$22+
INDEX($A186:$BM186,,$BV$23)*$BW$23+
INDEX($A186:$BM186,,$BV$25)*$BW$25+
INDEX($A186:$BM186,,$BV$26)*$BW$26+
INDEX($A186:$BM186,,$BV$27)*$BW$27+
$BN186)),
$BN186-100)</f>
        <v>-100</v>
      </c>
      <c r="AT186" t="str">
        <f t="shared" si="31"/>
        <v>Matt Breida</v>
      </c>
      <c r="AU186" t="str">
        <f t="shared" si="32"/>
        <v>NYG</v>
      </c>
      <c r="AV186" s="430">
        <f>IFERROR(
IF(AT186="",-100,
IF($BV$2&gt;0, INDEX(Beersheet!$A:$U,MATCH(AT186,INDEX(Beersheet!$A:$U,0,FFARawStatProjections!$BV$2),0),$BV$3)+$BN186,
INDEX($A186:$BM186,,$BV$12)*$BW$12+
INDEX($A186:$BM186,,$BV$15)*$BW$15+
INDEX($A186:$BM186,,$BV$16)*$BW$16+
INDEX($A186:$BM186,,$BV$17)*$BW$17+
INDEX($A186:$BM186,,$BV$18)*$BW$18+
INDEX($A186:$BM186,,$BV$19)*$BW$19+
INDEX($A186:$BM186,,$BV$20)*$BW$20+
INDEX($A186:$BM186,,$BV$21)*$BW$21+
INDEX($A186:$BM186,,$BV$22)*$BW$22+
INDEX($A186:$BM186,,$BV$23)*$BW$23+
INDEX($A186:$BM186,,$BV$25)*$BW$25+
INDEX($A186:$BM186,,$BV$26)*$BW$26+
INDEX($A186:$BM186,,$BV$27)*$BW$27+
$BN186)),
$BN186-100)</f>
        <v>59.961849999999998</v>
      </c>
      <c r="AX186" t="str">
        <f t="shared" si="33"/>
        <v/>
      </c>
      <c r="AY186" t="str">
        <f t="shared" si="34"/>
        <v/>
      </c>
      <c r="AZ186" s="430">
        <f>IFERROR(
IF(AX186="",-100,
IF($BV$2&gt;0, INDEX(Beersheet!$A:$U,MATCH(AX186,INDEX(Beersheet!$A:$U,0,FFARawStatProjections!$BV$2),0),$BV$3)+$BN186,
INDEX($A186:$BM186,,$BV$12)*$BW$12+
INDEX($A186:$BM186,,$BV$15)*$BW$15+
INDEX($A186:$BM186,,$BV$16)*$BW$16+
INDEX($A186:$BM186,,$BV$17)*$BW$17+
INDEX($A186:$BM186,,$BV$18)*$BW$18+
INDEX($A186:$BM186,,$BV$19)*$BW$19+
INDEX($A186:$BM186,,$BV$20)*$BW$20+
INDEX($A186:$BM186,,$BV$21)*$BW$21+
INDEX($A186:$BM186,,$BV$22)*$BW$22+
INDEX($A186:$BM186,,$BV$23)*$BW$23+
INDEX($A186:$BM186,,$BV$25)*$BW$25+
INDEX($A186:$BM186,,$BV$26)*$BW$26+
INDEX($A186:$BM186,,$BV$27)*$BW$27+
$BN186)),
$BN186-100)</f>
        <v>-100</v>
      </c>
      <c r="BB186" t="str">
        <f t="shared" si="35"/>
        <v/>
      </c>
      <c r="BC186" t="str">
        <f t="shared" si="28"/>
        <v/>
      </c>
      <c r="BD186" s="430">
        <f>IFERROR(
IF(BB186="",-100,
IF($BV$2&gt;0, INDEX(Beersheet!$A:$U,MATCH(BB186,INDEX(Beersheet!$A:$U,0,FFARawStatProjections!$BV$2),0),$BV$3)+$BN186,
INDEX($A186:$BM186,,$BV$12)*$BW$12+
INDEX($A186:$BM186,,$BV$15)*$BW$15+
INDEX($A186:$BM186,,$BV$16)*$BW$16+
INDEX($A186:$BM186,,$BV$17)*$BW$17+
INDEX($A186:$BM186,,$BV$18)*$BW$18+
INDEX($A186:$BM186,,$BV$19)*$BW$19+
INDEX($A186:$BM186,,$BV$20)*$BW$20+
INDEX($A186:$BM186,,$BV$21)*$BW$21+
INDEX($A186:$BM186,,$BV$22)*$BW$22+
INDEX($A186:$BM186,,$BV$23)*$BW$23+
INDEX($A186:$BM186,,$BV$25)*$BW$25+
INDEX($A186:$BM186,,$BV$26)*$BW$26+
INDEX($A186:$BM186,,$BV$27)*$BW$27+
$BN186)),
$BN186-100)</f>
        <v>-100</v>
      </c>
      <c r="BF186" t="str">
        <f t="shared" si="36"/>
        <v/>
      </c>
      <c r="BG186" t="str">
        <f t="shared" si="37"/>
        <v/>
      </c>
      <c r="BH186">
        <f t="shared" si="38"/>
        <v>0</v>
      </c>
      <c r="BJ186" t="str">
        <f t="shared" si="39"/>
        <v/>
      </c>
      <c r="BL186">
        <f t="shared" si="41"/>
        <v>0</v>
      </c>
      <c r="BN186">
        <v>1.8500000000000001E-3</v>
      </c>
      <c r="BS186" s="4" t="s">
        <v>1336</v>
      </c>
    </row>
    <row r="187" spans="1:71" ht="15.75" hidden="1" thickBot="1" x14ac:dyDescent="0.3">
      <c r="A187" s="569" t="s">
        <v>2294</v>
      </c>
      <c r="B187" s="569" t="s">
        <v>1388</v>
      </c>
      <c r="C187" s="569" t="s">
        <v>3</v>
      </c>
      <c r="D187" s="574">
        <v>5</v>
      </c>
      <c r="E187" s="569"/>
      <c r="F187" s="569"/>
      <c r="G187" s="569"/>
      <c r="H187" s="569"/>
      <c r="I187" s="574">
        <v>0</v>
      </c>
      <c r="J187" s="574">
        <v>0</v>
      </c>
      <c r="K187" s="574">
        <v>0</v>
      </c>
      <c r="L187" s="574">
        <v>9.5</v>
      </c>
      <c r="M187" s="574">
        <v>0.3</v>
      </c>
      <c r="N187" s="574">
        <v>82.1</v>
      </c>
      <c r="O187" s="574">
        <v>70.5</v>
      </c>
      <c r="P187" s="574">
        <v>1.2</v>
      </c>
      <c r="Q187" s="574">
        <v>274.3</v>
      </c>
      <c r="R187" s="569"/>
      <c r="S187" s="569"/>
      <c r="T187" s="569"/>
      <c r="U187" s="569"/>
      <c r="V187" s="569"/>
      <c r="W187" s="569"/>
      <c r="X187" s="569"/>
      <c r="Y187" s="569"/>
      <c r="Z187" s="569"/>
      <c r="AA187" s="569"/>
      <c r="AB187" s="569"/>
      <c r="AC187" s="569"/>
      <c r="AD187" s="569"/>
      <c r="AE187" s="569"/>
      <c r="AF187" s="569"/>
      <c r="AG187" s="569"/>
      <c r="AH187" s="569"/>
      <c r="AI187" s="569"/>
      <c r="AJ187" s="569"/>
      <c r="AK187" s="569"/>
      <c r="AL187" s="569"/>
      <c r="AM187" s="569"/>
      <c r="AN187" s="574">
        <v>44.1</v>
      </c>
      <c r="AO187">
        <v>186</v>
      </c>
      <c r="AP187" t="str">
        <f t="shared" si="40"/>
        <v/>
      </c>
      <c r="AQ187" t="str">
        <f t="shared" si="30"/>
        <v/>
      </c>
      <c r="AR187" s="430">
        <f>IFERROR(
IF(AP187="",-100,
IF($BV$2&gt;0, INDEX(Beersheet!$A:$U,MATCH(AP187,INDEX(Beersheet!$A:$U,0,FFARawStatProjections!$BV$2),0),$BV$3)+$BN187,
INDEX($A187:$BM187,,$BV$12)*$BW$12+
INDEX($A187:$BM187,,$BV$15)*$BW$15+
INDEX($A187:$BM187,,$BV$16)*$BW$16+
INDEX($A187:$BM187,,$BV$17)*$BW$17+
INDEX($A187:$BM187,,$BV$18)*$BW$18+
INDEX($A187:$BM187,,$BV$19)*$BW$19+
INDEX($A187:$BM187,,$BV$20)*$BW$20+
INDEX($A187:$BM187,,$BV$21)*$BW$21+
INDEX($A187:$BM187,,$BV$22)*$BW$22+
INDEX($A187:$BM187,,$BV$23)*$BW$23+
INDEX($A187:$BM187,,$BV$25)*$BW$25+
INDEX($A187:$BM187,,$BV$26)*$BW$26+
INDEX($A187:$BM187,,$BV$27)*$BW$27+
$BN187)),
$BN187-100)</f>
        <v>-100</v>
      </c>
      <c r="AT187" t="str">
        <f t="shared" si="31"/>
        <v>Isaiah Spiller</v>
      </c>
      <c r="AU187" t="str">
        <f t="shared" si="32"/>
        <v>LAC</v>
      </c>
      <c r="AV187" s="430">
        <f>IFERROR(
IF(AT187="",-100,
IF($BV$2&gt;0, INDEX(Beersheet!$A:$U,MATCH(AT187,INDEX(Beersheet!$A:$U,0,FFARawStatProjections!$BV$2),0),$BV$3)+$BN187,
INDEX($A187:$BM187,,$BV$12)*$BW$12+
INDEX($A187:$BM187,,$BV$15)*$BW$15+
INDEX($A187:$BM187,,$BV$16)*$BW$16+
INDEX($A187:$BM187,,$BV$17)*$BW$17+
INDEX($A187:$BM187,,$BV$18)*$BW$18+
INDEX($A187:$BM187,,$BV$19)*$BW$19+
INDEX($A187:$BM187,,$BV$20)*$BW$20+
INDEX($A187:$BM187,,$BV$21)*$BW$21+
INDEX($A187:$BM187,,$BV$22)*$BW$22+
INDEX($A187:$BM187,,$BV$23)*$BW$23+
INDEX($A187:$BM187,,$BV$25)*$BW$25+
INDEX($A187:$BM187,,$BV$26)*$BW$26+
INDEX($A187:$BM187,,$BV$27)*$BW$27+
$BN187)),
$BN187-100)</f>
        <v>54.141860000000001</v>
      </c>
      <c r="AX187" t="str">
        <f t="shared" si="33"/>
        <v/>
      </c>
      <c r="AY187" t="str">
        <f t="shared" si="34"/>
        <v/>
      </c>
      <c r="AZ187" s="430">
        <f>IFERROR(
IF(AX187="",-100,
IF($BV$2&gt;0, INDEX(Beersheet!$A:$U,MATCH(AX187,INDEX(Beersheet!$A:$U,0,FFARawStatProjections!$BV$2),0),$BV$3)+$BN187,
INDEX($A187:$BM187,,$BV$12)*$BW$12+
INDEX($A187:$BM187,,$BV$15)*$BW$15+
INDEX($A187:$BM187,,$BV$16)*$BW$16+
INDEX($A187:$BM187,,$BV$17)*$BW$17+
INDEX($A187:$BM187,,$BV$18)*$BW$18+
INDEX($A187:$BM187,,$BV$19)*$BW$19+
INDEX($A187:$BM187,,$BV$20)*$BW$20+
INDEX($A187:$BM187,,$BV$21)*$BW$21+
INDEX($A187:$BM187,,$BV$22)*$BW$22+
INDEX($A187:$BM187,,$BV$23)*$BW$23+
INDEX($A187:$BM187,,$BV$25)*$BW$25+
INDEX($A187:$BM187,,$BV$26)*$BW$26+
INDEX($A187:$BM187,,$BV$27)*$BW$27+
$BN187)),
$BN187-100)</f>
        <v>-100</v>
      </c>
      <c r="BB187" t="str">
        <f t="shared" si="35"/>
        <v/>
      </c>
      <c r="BC187" t="str">
        <f t="shared" si="28"/>
        <v/>
      </c>
      <c r="BD187" s="430">
        <f>IFERROR(
IF(BB187="",-100,
IF($BV$2&gt;0, INDEX(Beersheet!$A:$U,MATCH(BB187,INDEX(Beersheet!$A:$U,0,FFARawStatProjections!$BV$2),0),$BV$3)+$BN187,
INDEX($A187:$BM187,,$BV$12)*$BW$12+
INDEX($A187:$BM187,,$BV$15)*$BW$15+
INDEX($A187:$BM187,,$BV$16)*$BW$16+
INDEX($A187:$BM187,,$BV$17)*$BW$17+
INDEX($A187:$BM187,,$BV$18)*$BW$18+
INDEX($A187:$BM187,,$BV$19)*$BW$19+
INDEX($A187:$BM187,,$BV$20)*$BW$20+
INDEX($A187:$BM187,,$BV$21)*$BW$21+
INDEX($A187:$BM187,,$BV$22)*$BW$22+
INDEX($A187:$BM187,,$BV$23)*$BW$23+
INDEX($A187:$BM187,,$BV$25)*$BW$25+
INDEX($A187:$BM187,,$BV$26)*$BW$26+
INDEX($A187:$BM187,,$BV$27)*$BW$27+
$BN187)),
$BN187-100)</f>
        <v>-100</v>
      </c>
      <c r="BF187" t="str">
        <f t="shared" si="36"/>
        <v/>
      </c>
      <c r="BG187" t="str">
        <f t="shared" si="37"/>
        <v/>
      </c>
      <c r="BH187">
        <f t="shared" si="38"/>
        <v>0</v>
      </c>
      <c r="BJ187" t="str">
        <f t="shared" si="39"/>
        <v/>
      </c>
      <c r="BL187">
        <f t="shared" si="41"/>
        <v>0</v>
      </c>
      <c r="BN187">
        <v>1.8600000000000001E-3</v>
      </c>
      <c r="BS187" s="4" t="s">
        <v>108</v>
      </c>
    </row>
    <row r="188" spans="1:71" ht="15.75" hidden="1" thickBot="1" x14ac:dyDescent="0.3">
      <c r="A188" s="569" t="s">
        <v>2297</v>
      </c>
      <c r="B188" s="569" t="s">
        <v>2073</v>
      </c>
      <c r="C188" s="569" t="s">
        <v>3</v>
      </c>
      <c r="D188" s="574">
        <v>13</v>
      </c>
      <c r="E188" s="569"/>
      <c r="F188" s="569"/>
      <c r="G188" s="569"/>
      <c r="H188" s="569"/>
      <c r="I188" s="574">
        <v>0</v>
      </c>
      <c r="J188" s="574">
        <v>0</v>
      </c>
      <c r="K188" s="574">
        <v>0</v>
      </c>
      <c r="L188" s="574">
        <v>10.4</v>
      </c>
      <c r="M188" s="574">
        <v>0.3</v>
      </c>
      <c r="N188" s="574">
        <v>48.6</v>
      </c>
      <c r="O188" s="574">
        <v>59.4</v>
      </c>
      <c r="P188" s="574">
        <v>1.9</v>
      </c>
      <c r="Q188" s="574">
        <v>253</v>
      </c>
      <c r="R188" s="569"/>
      <c r="S188" s="569"/>
      <c r="T188" s="569"/>
      <c r="U188" s="569"/>
      <c r="V188" s="569"/>
      <c r="W188" s="569"/>
      <c r="X188" s="569"/>
      <c r="Y188" s="569"/>
      <c r="Z188" s="569"/>
      <c r="AA188" s="569"/>
      <c r="AB188" s="569"/>
      <c r="AC188" s="569"/>
      <c r="AD188" s="569"/>
      <c r="AE188" s="569"/>
      <c r="AF188" s="569"/>
      <c r="AG188" s="569"/>
      <c r="AH188" s="569"/>
      <c r="AI188" s="569"/>
      <c r="AJ188" s="569"/>
      <c r="AK188" s="569"/>
      <c r="AL188" s="569"/>
      <c r="AM188" s="569"/>
      <c r="AN188" s="574">
        <v>43.1</v>
      </c>
      <c r="AO188">
        <v>187</v>
      </c>
      <c r="AP188" t="str">
        <f t="shared" si="40"/>
        <v/>
      </c>
      <c r="AQ188" t="str">
        <f t="shared" si="30"/>
        <v/>
      </c>
      <c r="AR188" s="430">
        <f>IFERROR(
IF(AP188="",-100,
IF($BV$2&gt;0, INDEX(Beersheet!$A:$U,MATCH(AP188,INDEX(Beersheet!$A:$U,0,FFARawStatProjections!$BV$2),0),$BV$3)+$BN188,
INDEX($A188:$BM188,,$BV$12)*$BW$12+
INDEX($A188:$BM188,,$BV$15)*$BW$15+
INDEX($A188:$BM188,,$BV$16)*$BW$16+
INDEX($A188:$BM188,,$BV$17)*$BW$17+
INDEX($A188:$BM188,,$BV$18)*$BW$18+
INDEX($A188:$BM188,,$BV$19)*$BW$19+
INDEX($A188:$BM188,,$BV$20)*$BW$20+
INDEX($A188:$BM188,,$BV$21)*$BW$21+
INDEX($A188:$BM188,,$BV$22)*$BW$22+
INDEX($A188:$BM188,,$BV$23)*$BW$23+
INDEX($A188:$BM188,,$BV$25)*$BW$25+
INDEX($A188:$BM188,,$BV$26)*$BW$26+
INDEX($A188:$BM188,,$BV$27)*$BW$27+
$BN188)),
$BN188-100)</f>
        <v>-100</v>
      </c>
      <c r="AT188" t="str">
        <f t="shared" si="31"/>
        <v>Zamir White</v>
      </c>
      <c r="AU188" t="str">
        <f t="shared" si="32"/>
        <v>LV</v>
      </c>
      <c r="AV188" s="430">
        <f>IFERROR(
IF(AT188="",-100,
IF($BV$2&gt;0, INDEX(Beersheet!$A:$U,MATCH(AT188,INDEX(Beersheet!$A:$U,0,FFARawStatProjections!$BV$2),0),$BV$3)+$BN188,
INDEX($A188:$BM188,,$BV$12)*$BW$12+
INDEX($A188:$BM188,,$BV$15)*$BW$15+
INDEX($A188:$BM188,,$BV$16)*$BW$16+
INDEX($A188:$BM188,,$BV$17)*$BW$17+
INDEX($A188:$BM188,,$BV$18)*$BW$18+
INDEX($A188:$BM188,,$BV$19)*$BW$19+
INDEX($A188:$BM188,,$BV$20)*$BW$20+
INDEX($A188:$BM188,,$BV$21)*$BW$21+
INDEX($A188:$BM188,,$BV$22)*$BW$22+
INDEX($A188:$BM188,,$BV$23)*$BW$23+
INDEX($A188:$BM188,,$BV$25)*$BW$25+
INDEX($A188:$BM188,,$BV$26)*$BW$26+
INDEX($A188:$BM188,,$BV$27)*$BW$27+
$BN188)),
$BN188-100)</f>
        <v>53.761869999999995</v>
      </c>
      <c r="AX188" t="str">
        <f t="shared" si="33"/>
        <v/>
      </c>
      <c r="AY188" t="str">
        <f t="shared" si="34"/>
        <v/>
      </c>
      <c r="AZ188" s="430">
        <f>IFERROR(
IF(AX188="",-100,
IF($BV$2&gt;0, INDEX(Beersheet!$A:$U,MATCH(AX188,INDEX(Beersheet!$A:$U,0,FFARawStatProjections!$BV$2),0),$BV$3)+$BN188,
INDEX($A188:$BM188,,$BV$12)*$BW$12+
INDEX($A188:$BM188,,$BV$15)*$BW$15+
INDEX($A188:$BM188,,$BV$16)*$BW$16+
INDEX($A188:$BM188,,$BV$17)*$BW$17+
INDEX($A188:$BM188,,$BV$18)*$BW$18+
INDEX($A188:$BM188,,$BV$19)*$BW$19+
INDEX($A188:$BM188,,$BV$20)*$BW$20+
INDEX($A188:$BM188,,$BV$21)*$BW$21+
INDEX($A188:$BM188,,$BV$22)*$BW$22+
INDEX($A188:$BM188,,$BV$23)*$BW$23+
INDEX($A188:$BM188,,$BV$25)*$BW$25+
INDEX($A188:$BM188,,$BV$26)*$BW$26+
INDEX($A188:$BM188,,$BV$27)*$BW$27+
$BN188)),
$BN188-100)</f>
        <v>-100</v>
      </c>
      <c r="BB188" t="str">
        <f t="shared" si="35"/>
        <v/>
      </c>
      <c r="BC188" t="str">
        <f t="shared" si="28"/>
        <v/>
      </c>
      <c r="BD188" s="430">
        <f>IFERROR(
IF(BB188="",-100,
IF($BV$2&gt;0, INDEX(Beersheet!$A:$U,MATCH(BB188,INDEX(Beersheet!$A:$U,0,FFARawStatProjections!$BV$2),0),$BV$3)+$BN188,
INDEX($A188:$BM188,,$BV$12)*$BW$12+
INDEX($A188:$BM188,,$BV$15)*$BW$15+
INDEX($A188:$BM188,,$BV$16)*$BW$16+
INDEX($A188:$BM188,,$BV$17)*$BW$17+
INDEX($A188:$BM188,,$BV$18)*$BW$18+
INDEX($A188:$BM188,,$BV$19)*$BW$19+
INDEX($A188:$BM188,,$BV$20)*$BW$20+
INDEX($A188:$BM188,,$BV$21)*$BW$21+
INDEX($A188:$BM188,,$BV$22)*$BW$22+
INDEX($A188:$BM188,,$BV$23)*$BW$23+
INDEX($A188:$BM188,,$BV$25)*$BW$25+
INDEX($A188:$BM188,,$BV$26)*$BW$26+
INDEX($A188:$BM188,,$BV$27)*$BW$27+
$BN188)),
$BN188-100)</f>
        <v>-100</v>
      </c>
      <c r="BF188" t="str">
        <f t="shared" si="36"/>
        <v/>
      </c>
      <c r="BG188" t="str">
        <f t="shared" si="37"/>
        <v/>
      </c>
      <c r="BH188">
        <f t="shared" si="38"/>
        <v>0</v>
      </c>
      <c r="BJ188" t="str">
        <f t="shared" si="39"/>
        <v/>
      </c>
      <c r="BL188">
        <f t="shared" si="41"/>
        <v>0</v>
      </c>
      <c r="BN188">
        <v>1.8699999999999999E-3</v>
      </c>
      <c r="BS188" s="4" t="s">
        <v>2331</v>
      </c>
    </row>
    <row r="189" spans="1:71" ht="15.75" hidden="1" thickBot="1" x14ac:dyDescent="0.3">
      <c r="A189" s="569" t="s">
        <v>2390</v>
      </c>
      <c r="B189" s="569" t="s">
        <v>1389</v>
      </c>
      <c r="C189" s="569" t="s">
        <v>3</v>
      </c>
      <c r="D189" s="574">
        <v>10</v>
      </c>
      <c r="E189" s="569"/>
      <c r="F189" s="569"/>
      <c r="G189" s="569"/>
      <c r="H189" s="569"/>
      <c r="I189" s="574">
        <v>0</v>
      </c>
      <c r="J189" s="574">
        <v>0</v>
      </c>
      <c r="K189" s="574">
        <v>0</v>
      </c>
      <c r="L189" s="574">
        <v>9.8000000000000007</v>
      </c>
      <c r="M189" s="574">
        <v>0.4</v>
      </c>
      <c r="N189" s="574">
        <v>92.7</v>
      </c>
      <c r="O189" s="574">
        <v>63</v>
      </c>
      <c r="P189" s="574">
        <v>1.3</v>
      </c>
      <c r="Q189" s="574">
        <v>238.9</v>
      </c>
      <c r="R189" s="569"/>
      <c r="S189" s="569"/>
      <c r="T189" s="569"/>
      <c r="U189" s="569"/>
      <c r="V189" s="569"/>
      <c r="W189" s="569"/>
      <c r="X189" s="569"/>
      <c r="Y189" s="569"/>
      <c r="Z189" s="569"/>
      <c r="AA189" s="569"/>
      <c r="AB189" s="569"/>
      <c r="AC189" s="569"/>
      <c r="AD189" s="569"/>
      <c r="AE189" s="569"/>
      <c r="AF189" s="569"/>
      <c r="AG189" s="569"/>
      <c r="AH189" s="569"/>
      <c r="AI189" s="569"/>
      <c r="AJ189" s="569"/>
      <c r="AK189" s="569"/>
      <c r="AL189" s="569"/>
      <c r="AM189" s="569"/>
      <c r="AN189" s="574">
        <v>42.7</v>
      </c>
      <c r="AO189">
        <v>188</v>
      </c>
      <c r="AP189" t="str">
        <f t="shared" si="40"/>
        <v/>
      </c>
      <c r="AQ189" t="str">
        <f t="shared" si="30"/>
        <v/>
      </c>
      <c r="AR189" s="430">
        <f>IFERROR(
IF(AP189="",-100,
IF($BV$2&gt;0, INDEX(Beersheet!$A:$U,MATCH(AP189,INDEX(Beersheet!$A:$U,0,FFARawStatProjections!$BV$2),0),$BV$3)+$BN189,
INDEX($A189:$BM189,,$BV$12)*$BW$12+
INDEX($A189:$BM189,,$BV$15)*$BW$15+
INDEX($A189:$BM189,,$BV$16)*$BW$16+
INDEX($A189:$BM189,,$BV$17)*$BW$17+
INDEX($A189:$BM189,,$BV$18)*$BW$18+
INDEX($A189:$BM189,,$BV$19)*$BW$19+
INDEX($A189:$BM189,,$BV$20)*$BW$20+
INDEX($A189:$BM189,,$BV$21)*$BW$21+
INDEX($A189:$BM189,,$BV$22)*$BW$22+
INDEX($A189:$BM189,,$BV$23)*$BW$23+
INDEX($A189:$BM189,,$BV$25)*$BW$25+
INDEX($A189:$BM189,,$BV$26)*$BW$26+
INDEX($A189:$BM189,,$BV$27)*$BW$27+
$BN189)),
$BN189-100)</f>
        <v>-100</v>
      </c>
      <c r="AT189" t="str">
        <f t="shared" si="31"/>
        <v>Zach Evans</v>
      </c>
      <c r="AU189" t="str">
        <f t="shared" si="32"/>
        <v>LAR</v>
      </c>
      <c r="AV189" s="430">
        <f>IFERROR(
IF(AT189="",-100,
IF($BV$2&gt;0, INDEX(Beersheet!$A:$U,MATCH(AT189,INDEX(Beersheet!$A:$U,0,FFARawStatProjections!$BV$2),0),$BV$3)+$BN189,
INDEX($A189:$BM189,,$BV$12)*$BW$12+
INDEX($A189:$BM189,,$BV$15)*$BW$15+
INDEX($A189:$BM189,,$BV$16)*$BW$16+
INDEX($A189:$BM189,,$BV$17)*$BW$17+
INDEX($A189:$BM189,,$BV$18)*$BW$18+
INDEX($A189:$BM189,,$BV$19)*$BW$19+
INDEX($A189:$BM189,,$BV$20)*$BW$20+
INDEX($A189:$BM189,,$BV$21)*$BW$21+
INDEX($A189:$BM189,,$BV$22)*$BW$22+
INDEX($A189:$BM189,,$BV$23)*$BW$23+
INDEX($A189:$BM189,,$BV$25)*$BW$25+
INDEX($A189:$BM189,,$BV$26)*$BW$26+
INDEX($A189:$BM189,,$BV$27)*$BW$27+
$BN189)),
$BN189-100)</f>
        <v>53.161880000000004</v>
      </c>
      <c r="AX189" t="str">
        <f t="shared" si="33"/>
        <v/>
      </c>
      <c r="AY189" t="str">
        <f t="shared" si="34"/>
        <v/>
      </c>
      <c r="AZ189" s="430">
        <f>IFERROR(
IF(AX189="",-100,
IF($BV$2&gt;0, INDEX(Beersheet!$A:$U,MATCH(AX189,INDEX(Beersheet!$A:$U,0,FFARawStatProjections!$BV$2),0),$BV$3)+$BN189,
INDEX($A189:$BM189,,$BV$12)*$BW$12+
INDEX($A189:$BM189,,$BV$15)*$BW$15+
INDEX($A189:$BM189,,$BV$16)*$BW$16+
INDEX($A189:$BM189,,$BV$17)*$BW$17+
INDEX($A189:$BM189,,$BV$18)*$BW$18+
INDEX($A189:$BM189,,$BV$19)*$BW$19+
INDEX($A189:$BM189,,$BV$20)*$BW$20+
INDEX($A189:$BM189,,$BV$21)*$BW$21+
INDEX($A189:$BM189,,$BV$22)*$BW$22+
INDEX($A189:$BM189,,$BV$23)*$BW$23+
INDEX($A189:$BM189,,$BV$25)*$BW$25+
INDEX($A189:$BM189,,$BV$26)*$BW$26+
INDEX($A189:$BM189,,$BV$27)*$BW$27+
$BN189)),
$BN189-100)</f>
        <v>-100</v>
      </c>
      <c r="BB189" t="str">
        <f t="shared" si="35"/>
        <v/>
      </c>
      <c r="BC189" t="str">
        <f t="shared" si="28"/>
        <v/>
      </c>
      <c r="BD189" s="430">
        <f>IFERROR(
IF(BB189="",-100,
IF($BV$2&gt;0, INDEX(Beersheet!$A:$U,MATCH(BB189,INDEX(Beersheet!$A:$U,0,FFARawStatProjections!$BV$2),0),$BV$3)+$BN189,
INDEX($A189:$BM189,,$BV$12)*$BW$12+
INDEX($A189:$BM189,,$BV$15)*$BW$15+
INDEX($A189:$BM189,,$BV$16)*$BW$16+
INDEX($A189:$BM189,,$BV$17)*$BW$17+
INDEX($A189:$BM189,,$BV$18)*$BW$18+
INDEX($A189:$BM189,,$BV$19)*$BW$19+
INDEX($A189:$BM189,,$BV$20)*$BW$20+
INDEX($A189:$BM189,,$BV$21)*$BW$21+
INDEX($A189:$BM189,,$BV$22)*$BW$22+
INDEX($A189:$BM189,,$BV$23)*$BW$23+
INDEX($A189:$BM189,,$BV$25)*$BW$25+
INDEX($A189:$BM189,,$BV$26)*$BW$26+
INDEX($A189:$BM189,,$BV$27)*$BW$27+
$BN189)),
$BN189-100)</f>
        <v>-100</v>
      </c>
      <c r="BF189" t="str">
        <f t="shared" si="36"/>
        <v/>
      </c>
      <c r="BG189" t="str">
        <f t="shared" si="37"/>
        <v/>
      </c>
      <c r="BH189">
        <f t="shared" si="38"/>
        <v>0</v>
      </c>
      <c r="BJ189" t="str">
        <f t="shared" si="39"/>
        <v/>
      </c>
      <c r="BL189">
        <f t="shared" si="41"/>
        <v>0</v>
      </c>
      <c r="BN189">
        <v>1.8799999999999999E-3</v>
      </c>
      <c r="BS189" s="4" t="s">
        <v>1865</v>
      </c>
    </row>
    <row r="190" spans="1:71" ht="15.75" hidden="1" thickBot="1" x14ac:dyDescent="0.3">
      <c r="A190" s="569" t="s">
        <v>2082</v>
      </c>
      <c r="B190" s="569" t="s">
        <v>158</v>
      </c>
      <c r="C190" s="569" t="s">
        <v>3</v>
      </c>
      <c r="D190" s="574">
        <v>11</v>
      </c>
      <c r="E190" s="569"/>
      <c r="F190" s="569"/>
      <c r="G190" s="569"/>
      <c r="H190" s="569"/>
      <c r="I190" s="574">
        <v>0</v>
      </c>
      <c r="J190" s="574">
        <v>0</v>
      </c>
      <c r="K190" s="574">
        <v>0</v>
      </c>
      <c r="L190" s="574">
        <v>9.1999999999999993</v>
      </c>
      <c r="M190" s="574">
        <v>0.2</v>
      </c>
      <c r="N190" s="574">
        <v>61.2</v>
      </c>
      <c r="O190" s="574">
        <v>64.599999999999994</v>
      </c>
      <c r="P190" s="574">
        <v>1.2</v>
      </c>
      <c r="Q190" s="574">
        <v>286.2</v>
      </c>
      <c r="R190" s="569"/>
      <c r="S190" s="569"/>
      <c r="T190" s="569"/>
      <c r="U190" s="569"/>
      <c r="V190" s="569"/>
      <c r="W190" s="569"/>
      <c r="X190" s="569"/>
      <c r="Y190" s="569"/>
      <c r="Z190" s="569"/>
      <c r="AA190" s="569"/>
      <c r="AB190" s="569"/>
      <c r="AC190" s="569"/>
      <c r="AD190" s="569"/>
      <c r="AE190" s="569"/>
      <c r="AF190" s="569"/>
      <c r="AG190" s="569"/>
      <c r="AH190" s="569"/>
      <c r="AI190" s="569"/>
      <c r="AJ190" s="569"/>
      <c r="AK190" s="569"/>
      <c r="AL190" s="569"/>
      <c r="AM190" s="569"/>
      <c r="AN190" s="574">
        <v>42.3</v>
      </c>
      <c r="AO190">
        <v>189</v>
      </c>
      <c r="AP190" t="str">
        <f t="shared" si="40"/>
        <v/>
      </c>
      <c r="AQ190" t="str">
        <f t="shared" si="30"/>
        <v/>
      </c>
      <c r="AR190" s="430">
        <f>IFERROR(
IF(AP190="",-100,
IF($BV$2&gt;0, INDEX(Beersheet!$A:$U,MATCH(AP190,INDEX(Beersheet!$A:$U,0,FFARawStatProjections!$BV$2),0),$BV$3)+$BN190,
INDEX($A190:$BM190,,$BV$12)*$BW$12+
INDEX($A190:$BM190,,$BV$15)*$BW$15+
INDEX($A190:$BM190,,$BV$16)*$BW$16+
INDEX($A190:$BM190,,$BV$17)*$BW$17+
INDEX($A190:$BM190,,$BV$18)*$BW$18+
INDEX($A190:$BM190,,$BV$19)*$BW$19+
INDEX($A190:$BM190,,$BV$20)*$BW$20+
INDEX($A190:$BM190,,$BV$21)*$BW$21+
INDEX($A190:$BM190,,$BV$22)*$BW$22+
INDEX($A190:$BM190,,$BV$23)*$BW$23+
INDEX($A190:$BM190,,$BV$25)*$BW$25+
INDEX($A190:$BM190,,$BV$26)*$BW$26+
INDEX($A190:$BM190,,$BV$27)*$BW$27+
$BN190)),
$BN190-100)</f>
        <v>-100</v>
      </c>
      <c r="AT190" t="str">
        <f t="shared" si="31"/>
        <v>Zack Moss</v>
      </c>
      <c r="AU190" t="str">
        <f t="shared" si="32"/>
        <v>IND</v>
      </c>
      <c r="AV190" s="430">
        <f>IFERROR(
IF(AT190="",-100,
IF($BV$2&gt;0, INDEX(Beersheet!$A:$U,MATCH(AT190,INDEX(Beersheet!$A:$U,0,FFARawStatProjections!$BV$2),0),$BV$3)+$BN190,
INDEX($A190:$BM190,,$BV$12)*$BW$12+
INDEX($A190:$BM190,,$BV$15)*$BW$15+
INDEX($A190:$BM190,,$BV$16)*$BW$16+
INDEX($A190:$BM190,,$BV$17)*$BW$17+
INDEX($A190:$BM190,,$BV$18)*$BW$18+
INDEX($A190:$BM190,,$BV$19)*$BW$19+
INDEX($A190:$BM190,,$BV$20)*$BW$20+
INDEX($A190:$BM190,,$BV$21)*$BW$21+
INDEX($A190:$BM190,,$BV$22)*$BW$22+
INDEX($A190:$BM190,,$BV$23)*$BW$23+
INDEX($A190:$BM190,,$BV$25)*$BW$25+
INDEX($A190:$BM190,,$BV$26)*$BW$26+
INDEX($A190:$BM190,,$BV$27)*$BW$27+
$BN190)),
$BN190-100)</f>
        <v>52.341890000000006</v>
      </c>
      <c r="AX190" t="str">
        <f t="shared" si="33"/>
        <v/>
      </c>
      <c r="AY190" t="str">
        <f t="shared" si="34"/>
        <v/>
      </c>
      <c r="AZ190" s="430">
        <f>IFERROR(
IF(AX190="",-100,
IF($BV$2&gt;0, INDEX(Beersheet!$A:$U,MATCH(AX190,INDEX(Beersheet!$A:$U,0,FFARawStatProjections!$BV$2),0),$BV$3)+$BN190,
INDEX($A190:$BM190,,$BV$12)*$BW$12+
INDEX($A190:$BM190,,$BV$15)*$BW$15+
INDEX($A190:$BM190,,$BV$16)*$BW$16+
INDEX($A190:$BM190,,$BV$17)*$BW$17+
INDEX($A190:$BM190,,$BV$18)*$BW$18+
INDEX($A190:$BM190,,$BV$19)*$BW$19+
INDEX($A190:$BM190,,$BV$20)*$BW$20+
INDEX($A190:$BM190,,$BV$21)*$BW$21+
INDEX($A190:$BM190,,$BV$22)*$BW$22+
INDEX($A190:$BM190,,$BV$23)*$BW$23+
INDEX($A190:$BM190,,$BV$25)*$BW$25+
INDEX($A190:$BM190,,$BV$26)*$BW$26+
INDEX($A190:$BM190,,$BV$27)*$BW$27+
$BN190)),
$BN190-100)</f>
        <v>-100</v>
      </c>
      <c r="BB190" t="str">
        <f t="shared" si="35"/>
        <v/>
      </c>
      <c r="BC190" t="str">
        <f t="shared" si="28"/>
        <v/>
      </c>
      <c r="BD190" s="430">
        <f>IFERROR(
IF(BB190="",-100,
IF($BV$2&gt;0, INDEX(Beersheet!$A:$U,MATCH(BB190,INDEX(Beersheet!$A:$U,0,FFARawStatProjections!$BV$2),0),$BV$3)+$BN190,
INDEX($A190:$BM190,,$BV$12)*$BW$12+
INDEX($A190:$BM190,,$BV$15)*$BW$15+
INDEX($A190:$BM190,,$BV$16)*$BW$16+
INDEX($A190:$BM190,,$BV$17)*$BW$17+
INDEX($A190:$BM190,,$BV$18)*$BW$18+
INDEX($A190:$BM190,,$BV$19)*$BW$19+
INDEX($A190:$BM190,,$BV$20)*$BW$20+
INDEX($A190:$BM190,,$BV$21)*$BW$21+
INDEX($A190:$BM190,,$BV$22)*$BW$22+
INDEX($A190:$BM190,,$BV$23)*$BW$23+
INDEX($A190:$BM190,,$BV$25)*$BW$25+
INDEX($A190:$BM190,,$BV$26)*$BW$26+
INDEX($A190:$BM190,,$BV$27)*$BW$27+
$BN190)),
$BN190-100)</f>
        <v>-100</v>
      </c>
      <c r="BF190" t="str">
        <f t="shared" si="36"/>
        <v/>
      </c>
      <c r="BG190" t="str">
        <f t="shared" si="37"/>
        <v/>
      </c>
      <c r="BH190">
        <f t="shared" si="38"/>
        <v>0</v>
      </c>
      <c r="BJ190" t="str">
        <f t="shared" si="39"/>
        <v/>
      </c>
      <c r="BL190">
        <f t="shared" si="41"/>
        <v>0</v>
      </c>
      <c r="BN190">
        <v>1.89E-3</v>
      </c>
      <c r="BS190" s="4" t="s">
        <v>2103</v>
      </c>
    </row>
    <row r="191" spans="1:71" ht="15.75" hidden="1" thickBot="1" x14ac:dyDescent="0.3">
      <c r="A191" s="569" t="s">
        <v>2496</v>
      </c>
      <c r="B191" s="569" t="s">
        <v>146</v>
      </c>
      <c r="C191" s="569" t="s">
        <v>3</v>
      </c>
      <c r="D191" s="574">
        <v>7</v>
      </c>
      <c r="E191" s="569"/>
      <c r="F191" s="569"/>
      <c r="G191" s="569"/>
      <c r="H191" s="569"/>
      <c r="I191" s="574">
        <v>0</v>
      </c>
      <c r="J191" s="574">
        <v>0</v>
      </c>
      <c r="K191" s="574">
        <v>0</v>
      </c>
      <c r="L191" s="574">
        <v>10.9</v>
      </c>
      <c r="M191" s="574">
        <v>0.5</v>
      </c>
      <c r="N191" s="574">
        <v>91.4</v>
      </c>
      <c r="O191" s="574">
        <v>67.599999999999994</v>
      </c>
      <c r="P191" s="574">
        <v>1.3</v>
      </c>
      <c r="Q191" s="574">
        <v>229.4</v>
      </c>
      <c r="R191" s="569"/>
      <c r="S191" s="569"/>
      <c r="T191" s="569"/>
      <c r="U191" s="569"/>
      <c r="V191" s="569"/>
      <c r="W191" s="569"/>
      <c r="X191" s="569"/>
      <c r="Y191" s="569"/>
      <c r="Z191" s="569"/>
      <c r="AA191" s="569"/>
      <c r="AB191" s="569"/>
      <c r="AC191" s="569"/>
      <c r="AD191" s="569"/>
      <c r="AE191" s="569"/>
      <c r="AF191" s="569"/>
      <c r="AG191" s="569"/>
      <c r="AH191" s="569"/>
      <c r="AI191" s="569"/>
      <c r="AJ191" s="569"/>
      <c r="AK191" s="569"/>
      <c r="AL191" s="569"/>
      <c r="AM191" s="569"/>
      <c r="AN191" s="574">
        <v>41.4</v>
      </c>
      <c r="AO191">
        <v>190</v>
      </c>
      <c r="AP191" t="str">
        <f t="shared" si="40"/>
        <v/>
      </c>
      <c r="AQ191" t="str">
        <f t="shared" si="30"/>
        <v/>
      </c>
      <c r="AR191" s="430">
        <f>IFERROR(
IF(AP191="",-100,
IF($BV$2&gt;0, INDEX(Beersheet!$A:$U,MATCH(AP191,INDEX(Beersheet!$A:$U,0,FFARawStatProjections!$BV$2),0),$BV$3)+$BN191,
INDEX($A191:$BM191,,$BV$12)*$BW$12+
INDEX($A191:$BM191,,$BV$15)*$BW$15+
INDEX($A191:$BM191,,$BV$16)*$BW$16+
INDEX($A191:$BM191,,$BV$17)*$BW$17+
INDEX($A191:$BM191,,$BV$18)*$BW$18+
INDEX($A191:$BM191,,$BV$19)*$BW$19+
INDEX($A191:$BM191,,$BV$20)*$BW$20+
INDEX($A191:$BM191,,$BV$21)*$BW$21+
INDEX($A191:$BM191,,$BV$22)*$BW$22+
INDEX($A191:$BM191,,$BV$23)*$BW$23+
INDEX($A191:$BM191,,$BV$25)*$BW$25+
INDEX($A191:$BM191,,$BV$26)*$BW$26+
INDEX($A191:$BM191,,$BV$27)*$BW$27+
$BN191)),
$BN191-100)</f>
        <v>-100</v>
      </c>
      <c r="AT191" t="str">
        <f t="shared" si="31"/>
        <v>Deuce Vaughn</v>
      </c>
      <c r="AU191" t="str">
        <f t="shared" si="32"/>
        <v>DAL</v>
      </c>
      <c r="AV191" s="430">
        <f>IFERROR(
IF(AT191="",-100,
IF($BV$2&gt;0, INDEX(Beersheet!$A:$U,MATCH(AT191,INDEX(Beersheet!$A:$U,0,FFARawStatProjections!$BV$2),0),$BV$3)+$BN191,
INDEX($A191:$BM191,,$BV$12)*$BW$12+
INDEX($A191:$BM191,,$BV$15)*$BW$15+
INDEX($A191:$BM191,,$BV$16)*$BW$16+
INDEX($A191:$BM191,,$BV$17)*$BW$17+
INDEX($A191:$BM191,,$BV$18)*$BW$18+
INDEX($A191:$BM191,,$BV$19)*$BW$19+
INDEX($A191:$BM191,,$BV$20)*$BW$20+
INDEX($A191:$BM191,,$BV$21)*$BW$21+
INDEX($A191:$BM191,,$BV$22)*$BW$22+
INDEX($A191:$BM191,,$BV$23)*$BW$23+
INDEX($A191:$BM191,,$BV$25)*$BW$25+
INDEX($A191:$BM191,,$BV$26)*$BW$26+
INDEX($A191:$BM191,,$BV$27)*$BW$27+
$BN191)),
$BN191-100)</f>
        <v>53.7819</v>
      </c>
      <c r="AX191" t="str">
        <f t="shared" si="33"/>
        <v/>
      </c>
      <c r="AY191" t="str">
        <f t="shared" si="34"/>
        <v/>
      </c>
      <c r="AZ191" s="430">
        <f>IFERROR(
IF(AX191="",-100,
IF($BV$2&gt;0, INDEX(Beersheet!$A:$U,MATCH(AX191,INDEX(Beersheet!$A:$U,0,FFARawStatProjections!$BV$2),0),$BV$3)+$BN191,
INDEX($A191:$BM191,,$BV$12)*$BW$12+
INDEX($A191:$BM191,,$BV$15)*$BW$15+
INDEX($A191:$BM191,,$BV$16)*$BW$16+
INDEX($A191:$BM191,,$BV$17)*$BW$17+
INDEX($A191:$BM191,,$BV$18)*$BW$18+
INDEX($A191:$BM191,,$BV$19)*$BW$19+
INDEX($A191:$BM191,,$BV$20)*$BW$20+
INDEX($A191:$BM191,,$BV$21)*$BW$21+
INDEX($A191:$BM191,,$BV$22)*$BW$22+
INDEX($A191:$BM191,,$BV$23)*$BW$23+
INDEX($A191:$BM191,,$BV$25)*$BW$25+
INDEX($A191:$BM191,,$BV$26)*$BW$26+
INDEX($A191:$BM191,,$BV$27)*$BW$27+
$BN191)),
$BN191-100)</f>
        <v>-100</v>
      </c>
      <c r="BB191" t="str">
        <f t="shared" si="35"/>
        <v/>
      </c>
      <c r="BC191" t="str">
        <f t="shared" si="28"/>
        <v/>
      </c>
      <c r="BD191" s="430">
        <f>IFERROR(
IF(BB191="",-100,
IF($BV$2&gt;0, INDEX(Beersheet!$A:$U,MATCH(BB191,INDEX(Beersheet!$A:$U,0,FFARawStatProjections!$BV$2),0),$BV$3)+$BN191,
INDEX($A191:$BM191,,$BV$12)*$BW$12+
INDEX($A191:$BM191,,$BV$15)*$BW$15+
INDEX($A191:$BM191,,$BV$16)*$BW$16+
INDEX($A191:$BM191,,$BV$17)*$BW$17+
INDEX($A191:$BM191,,$BV$18)*$BW$18+
INDEX($A191:$BM191,,$BV$19)*$BW$19+
INDEX($A191:$BM191,,$BV$20)*$BW$20+
INDEX($A191:$BM191,,$BV$21)*$BW$21+
INDEX($A191:$BM191,,$BV$22)*$BW$22+
INDEX($A191:$BM191,,$BV$23)*$BW$23+
INDEX($A191:$BM191,,$BV$25)*$BW$25+
INDEX($A191:$BM191,,$BV$26)*$BW$26+
INDEX($A191:$BM191,,$BV$27)*$BW$27+
$BN191)),
$BN191-100)</f>
        <v>-100</v>
      </c>
      <c r="BF191" t="str">
        <f t="shared" si="36"/>
        <v/>
      </c>
      <c r="BG191" t="str">
        <f t="shared" si="37"/>
        <v/>
      </c>
      <c r="BH191">
        <f t="shared" si="38"/>
        <v>0</v>
      </c>
      <c r="BJ191" t="str">
        <f t="shared" si="39"/>
        <v/>
      </c>
      <c r="BL191">
        <f t="shared" si="41"/>
        <v>0</v>
      </c>
      <c r="BN191">
        <v>1.9E-3</v>
      </c>
      <c r="BS191" s="4" t="s">
        <v>1266</v>
      </c>
    </row>
    <row r="192" spans="1:71" ht="15.75" hidden="1" thickBot="1" x14ac:dyDescent="0.3">
      <c r="A192" s="569" t="s">
        <v>1193</v>
      </c>
      <c r="B192" s="569" t="s">
        <v>158</v>
      </c>
      <c r="C192" s="569" t="s">
        <v>3</v>
      </c>
      <c r="D192" s="574">
        <v>11</v>
      </c>
      <c r="E192" s="569"/>
      <c r="F192" s="569"/>
      <c r="G192" s="569"/>
      <c r="H192" s="569"/>
      <c r="I192" s="574">
        <v>0</v>
      </c>
      <c r="J192" s="574">
        <v>0</v>
      </c>
      <c r="K192" s="574">
        <v>0</v>
      </c>
      <c r="L192" s="574">
        <v>13</v>
      </c>
      <c r="M192" s="574">
        <v>0.2</v>
      </c>
      <c r="N192" s="574">
        <v>98.4</v>
      </c>
      <c r="O192" s="574">
        <v>55.2</v>
      </c>
      <c r="P192" s="574">
        <v>1.2</v>
      </c>
      <c r="Q192" s="574">
        <v>231.3</v>
      </c>
      <c r="R192" s="569"/>
      <c r="S192" s="569"/>
      <c r="T192" s="569"/>
      <c r="U192" s="569"/>
      <c r="V192" s="569"/>
      <c r="W192" s="569"/>
      <c r="X192" s="569"/>
      <c r="Y192" s="569"/>
      <c r="Z192" s="569"/>
      <c r="AA192" s="569"/>
      <c r="AB192" s="569"/>
      <c r="AC192" s="569"/>
      <c r="AD192" s="569"/>
      <c r="AE192" s="569"/>
      <c r="AF192" s="569"/>
      <c r="AG192" s="569"/>
      <c r="AH192" s="569"/>
      <c r="AI192" s="569"/>
      <c r="AJ192" s="569"/>
      <c r="AK192" s="569"/>
      <c r="AL192" s="569"/>
      <c r="AM192" s="569"/>
      <c r="AN192" s="574">
        <v>41.1</v>
      </c>
      <c r="AO192">
        <v>191</v>
      </c>
      <c r="AP192" t="str">
        <f t="shared" si="40"/>
        <v/>
      </c>
      <c r="AQ192" t="str">
        <f t="shared" si="30"/>
        <v/>
      </c>
      <c r="AR192" s="430">
        <f>IFERROR(
IF(AP192="",-100,
IF($BV$2&gt;0, INDEX(Beersheet!$A:$U,MATCH(AP192,INDEX(Beersheet!$A:$U,0,FFARawStatProjections!$BV$2),0),$BV$3)+$BN192,
INDEX($A192:$BM192,,$BV$12)*$BW$12+
INDEX($A192:$BM192,,$BV$15)*$BW$15+
INDEX($A192:$BM192,,$BV$16)*$BW$16+
INDEX($A192:$BM192,,$BV$17)*$BW$17+
INDEX($A192:$BM192,,$BV$18)*$BW$18+
INDEX($A192:$BM192,,$BV$19)*$BW$19+
INDEX($A192:$BM192,,$BV$20)*$BW$20+
INDEX($A192:$BM192,,$BV$21)*$BW$21+
INDEX($A192:$BM192,,$BV$22)*$BW$22+
INDEX($A192:$BM192,,$BV$23)*$BW$23+
INDEX($A192:$BM192,,$BV$25)*$BW$25+
INDEX($A192:$BM192,,$BV$26)*$BW$26+
INDEX($A192:$BM192,,$BV$27)*$BW$27+
$BN192)),
$BN192-100)</f>
        <v>-100</v>
      </c>
      <c r="AT192" t="str">
        <f t="shared" si="31"/>
        <v>Kenyan Drake</v>
      </c>
      <c r="AU192" t="str">
        <f t="shared" si="32"/>
        <v>IND</v>
      </c>
      <c r="AV192" s="430">
        <f>IFERROR(
IF(AT192="",-100,
IF($BV$2&gt;0, INDEX(Beersheet!$A:$U,MATCH(AT192,INDEX(Beersheet!$A:$U,0,FFARawStatProjections!$BV$2),0),$BV$3)+$BN192,
INDEX($A192:$BM192,,$BV$12)*$BW$12+
INDEX($A192:$BM192,,$BV$15)*$BW$15+
INDEX($A192:$BM192,,$BV$16)*$BW$16+
INDEX($A192:$BM192,,$BV$17)*$BW$17+
INDEX($A192:$BM192,,$BV$18)*$BW$18+
INDEX($A192:$BM192,,$BV$19)*$BW$19+
INDEX($A192:$BM192,,$BV$20)*$BW$20+
INDEX($A192:$BM192,,$BV$21)*$BW$21+
INDEX($A192:$BM192,,$BV$22)*$BW$22+
INDEX($A192:$BM192,,$BV$23)*$BW$23+
INDEX($A192:$BM192,,$BV$25)*$BW$25+
INDEX($A192:$BM192,,$BV$26)*$BW$26+
INDEX($A192:$BM192,,$BV$27)*$BW$27+
$BN192)),
$BN192-100)</f>
        <v>54.371910000000007</v>
      </c>
      <c r="AX192" t="str">
        <f t="shared" si="33"/>
        <v/>
      </c>
      <c r="AY192" t="str">
        <f t="shared" si="34"/>
        <v/>
      </c>
      <c r="AZ192" s="430">
        <f>IFERROR(
IF(AX192="",-100,
IF($BV$2&gt;0, INDEX(Beersheet!$A:$U,MATCH(AX192,INDEX(Beersheet!$A:$U,0,FFARawStatProjections!$BV$2),0),$BV$3)+$BN192,
INDEX($A192:$BM192,,$BV$12)*$BW$12+
INDEX($A192:$BM192,,$BV$15)*$BW$15+
INDEX($A192:$BM192,,$BV$16)*$BW$16+
INDEX($A192:$BM192,,$BV$17)*$BW$17+
INDEX($A192:$BM192,,$BV$18)*$BW$18+
INDEX($A192:$BM192,,$BV$19)*$BW$19+
INDEX($A192:$BM192,,$BV$20)*$BW$20+
INDEX($A192:$BM192,,$BV$21)*$BW$21+
INDEX($A192:$BM192,,$BV$22)*$BW$22+
INDEX($A192:$BM192,,$BV$23)*$BW$23+
INDEX($A192:$BM192,,$BV$25)*$BW$25+
INDEX($A192:$BM192,,$BV$26)*$BW$26+
INDEX($A192:$BM192,,$BV$27)*$BW$27+
$BN192)),
$BN192-100)</f>
        <v>-100</v>
      </c>
      <c r="BB192" t="str">
        <f t="shared" si="35"/>
        <v/>
      </c>
      <c r="BC192" t="str">
        <f t="shared" si="28"/>
        <v/>
      </c>
      <c r="BD192" s="430">
        <f>IFERROR(
IF(BB192="",-100,
IF($BV$2&gt;0, INDEX(Beersheet!$A:$U,MATCH(BB192,INDEX(Beersheet!$A:$U,0,FFARawStatProjections!$BV$2),0),$BV$3)+$BN192,
INDEX($A192:$BM192,,$BV$12)*$BW$12+
INDEX($A192:$BM192,,$BV$15)*$BW$15+
INDEX($A192:$BM192,,$BV$16)*$BW$16+
INDEX($A192:$BM192,,$BV$17)*$BW$17+
INDEX($A192:$BM192,,$BV$18)*$BW$18+
INDEX($A192:$BM192,,$BV$19)*$BW$19+
INDEX($A192:$BM192,,$BV$20)*$BW$20+
INDEX($A192:$BM192,,$BV$21)*$BW$21+
INDEX($A192:$BM192,,$BV$22)*$BW$22+
INDEX($A192:$BM192,,$BV$23)*$BW$23+
INDEX($A192:$BM192,,$BV$25)*$BW$25+
INDEX($A192:$BM192,,$BV$26)*$BW$26+
INDEX($A192:$BM192,,$BV$27)*$BW$27+
$BN192)),
$BN192-100)</f>
        <v>-100</v>
      </c>
      <c r="BF192" t="str">
        <f t="shared" si="36"/>
        <v/>
      </c>
      <c r="BG192" t="str">
        <f t="shared" si="37"/>
        <v/>
      </c>
      <c r="BH192">
        <f t="shared" si="38"/>
        <v>0</v>
      </c>
      <c r="BJ192" t="str">
        <f t="shared" si="39"/>
        <v/>
      </c>
      <c r="BL192">
        <f t="shared" si="41"/>
        <v>0</v>
      </c>
      <c r="BN192">
        <v>1.91E-3</v>
      </c>
      <c r="BS192" s="4" t="s">
        <v>2546</v>
      </c>
    </row>
    <row r="193" spans="1:71" ht="15.75" thickBot="1" x14ac:dyDescent="0.3">
      <c r="A193" s="569" t="s">
        <v>2563</v>
      </c>
      <c r="B193" s="569" t="s">
        <v>138</v>
      </c>
      <c r="C193" s="569" t="s">
        <v>3</v>
      </c>
      <c r="D193" s="574">
        <v>13</v>
      </c>
      <c r="E193" s="569"/>
      <c r="F193" s="569"/>
      <c r="G193" s="569"/>
      <c r="H193" s="569"/>
      <c r="I193" s="574">
        <v>0</v>
      </c>
      <c r="J193" s="574">
        <v>0</v>
      </c>
      <c r="K193" s="574">
        <v>0</v>
      </c>
      <c r="L193" s="574">
        <v>16.2</v>
      </c>
      <c r="M193" s="574">
        <v>0.6</v>
      </c>
      <c r="N193" s="574">
        <v>126.5</v>
      </c>
      <c r="O193" s="574">
        <v>0</v>
      </c>
      <c r="P193" s="574">
        <v>1.2</v>
      </c>
      <c r="Q193" s="574">
        <v>173.4</v>
      </c>
      <c r="R193" s="569"/>
      <c r="S193" s="569"/>
      <c r="T193" s="569"/>
      <c r="U193" s="569"/>
      <c r="V193" s="569"/>
      <c r="W193" s="569"/>
      <c r="X193" s="569"/>
      <c r="Y193" s="569"/>
      <c r="Z193" s="569"/>
      <c r="AA193" s="569"/>
      <c r="AB193" s="569"/>
      <c r="AC193" s="569"/>
      <c r="AD193" s="569"/>
      <c r="AE193" s="569"/>
      <c r="AF193" s="569"/>
      <c r="AG193" s="569"/>
      <c r="AH193" s="569"/>
      <c r="AI193" s="569"/>
      <c r="AJ193" s="569"/>
      <c r="AK193" s="569"/>
      <c r="AL193" s="569"/>
      <c r="AM193" s="569"/>
      <c r="AN193" s="574">
        <v>40.700000000000003</v>
      </c>
      <c r="AO193">
        <v>192</v>
      </c>
      <c r="AP193" t="str">
        <f t="shared" si="40"/>
        <v/>
      </c>
      <c r="AQ193" t="str">
        <f t="shared" si="30"/>
        <v/>
      </c>
      <c r="AR193" s="430">
        <f>IFERROR(
IF(AP193="",-100,
IF($BV$2&gt;0, INDEX(Beersheet!$A:$U,MATCH(AP193,INDEX(Beersheet!$A:$U,0,FFARawStatProjections!$BV$2),0),$BV$3)+$BN193,
INDEX($A193:$BM193,,$BV$12)*$BW$12+
INDEX($A193:$BM193,,$BV$15)*$BW$15+
INDEX($A193:$BM193,,$BV$16)*$BW$16+
INDEX($A193:$BM193,,$BV$17)*$BW$17+
INDEX($A193:$BM193,,$BV$18)*$BW$18+
INDEX($A193:$BM193,,$BV$19)*$BW$19+
INDEX($A193:$BM193,,$BV$20)*$BW$20+
INDEX($A193:$BM193,,$BV$21)*$BW$21+
INDEX($A193:$BM193,,$BV$22)*$BW$22+
INDEX($A193:$BM193,,$BV$23)*$BW$23+
INDEX($A193:$BM193,,$BV$25)*$BW$25+
INDEX($A193:$BM193,,$BV$26)*$BW$26+
INDEX($A193:$BM193,,$BV$27)*$BW$27+
$BN193)),
$BN193-100)</f>
        <v>-100</v>
      </c>
      <c r="AT193" t="str">
        <f t="shared" si="31"/>
        <v>Abram Smith</v>
      </c>
      <c r="AU193" t="str">
        <f t="shared" si="32"/>
        <v>MIN</v>
      </c>
      <c r="AV193" s="430">
        <f>IFERROR(
IF(AT193="",-100,
IF($BV$2&gt;0, INDEX(Beersheet!$A:$U,MATCH(AT193,INDEX(Beersheet!$A:$U,0,FFARawStatProjections!$BV$2),0),$BV$3)+$BN193,
INDEX($A193:$BM193,,$BV$12)*$BW$12+
INDEX($A193:$BM193,,$BV$15)*$BW$15+
INDEX($A193:$BM193,,$BV$16)*$BW$16+
INDEX($A193:$BM193,,$BV$17)*$BW$17+
INDEX($A193:$BM193,,$BV$18)*$BW$18+
INDEX($A193:$BM193,,$BV$19)*$BW$19+
INDEX($A193:$BM193,,$BV$20)*$BW$20+
INDEX($A193:$BM193,,$BV$21)*$BW$21+
INDEX($A193:$BM193,,$BV$22)*$BW$22+
INDEX($A193:$BM193,,$BV$23)*$BW$23+
INDEX($A193:$BM193,,$BV$25)*$BW$25+
INDEX($A193:$BM193,,$BV$26)*$BW$26+
INDEX($A193:$BM193,,$BV$27)*$BW$27+
$BN193)),
$BN193-100)</f>
        <v>56.991919999999993</v>
      </c>
      <c r="AX193" t="str">
        <f t="shared" si="33"/>
        <v/>
      </c>
      <c r="AY193" t="str">
        <f t="shared" si="34"/>
        <v/>
      </c>
      <c r="AZ193" s="430">
        <f>IFERROR(
IF(AX193="",-100,
IF($BV$2&gt;0, INDEX(Beersheet!$A:$U,MATCH(AX193,INDEX(Beersheet!$A:$U,0,FFARawStatProjections!$BV$2),0),$BV$3)+$BN193,
INDEX($A193:$BM193,,$BV$12)*$BW$12+
INDEX($A193:$BM193,,$BV$15)*$BW$15+
INDEX($A193:$BM193,,$BV$16)*$BW$16+
INDEX($A193:$BM193,,$BV$17)*$BW$17+
INDEX($A193:$BM193,,$BV$18)*$BW$18+
INDEX($A193:$BM193,,$BV$19)*$BW$19+
INDEX($A193:$BM193,,$BV$20)*$BW$20+
INDEX($A193:$BM193,,$BV$21)*$BW$21+
INDEX($A193:$BM193,,$BV$22)*$BW$22+
INDEX($A193:$BM193,,$BV$23)*$BW$23+
INDEX($A193:$BM193,,$BV$25)*$BW$25+
INDEX($A193:$BM193,,$BV$26)*$BW$26+
INDEX($A193:$BM193,,$BV$27)*$BW$27+
$BN193)),
$BN193-100)</f>
        <v>-100</v>
      </c>
      <c r="BB193" t="str">
        <f t="shared" si="35"/>
        <v/>
      </c>
      <c r="BC193" t="str">
        <f t="shared" si="28"/>
        <v/>
      </c>
      <c r="BD193" s="430">
        <f>IFERROR(
IF(BB193="",-100,
IF($BV$2&gt;0, INDEX(Beersheet!$A:$U,MATCH(BB193,INDEX(Beersheet!$A:$U,0,FFARawStatProjections!$BV$2),0),$BV$3)+$BN193,
INDEX($A193:$BM193,,$BV$12)*$BW$12+
INDEX($A193:$BM193,,$BV$15)*$BW$15+
INDEX($A193:$BM193,,$BV$16)*$BW$16+
INDEX($A193:$BM193,,$BV$17)*$BW$17+
INDEX($A193:$BM193,,$BV$18)*$BW$18+
INDEX($A193:$BM193,,$BV$19)*$BW$19+
INDEX($A193:$BM193,,$BV$20)*$BW$20+
INDEX($A193:$BM193,,$BV$21)*$BW$21+
INDEX($A193:$BM193,,$BV$22)*$BW$22+
INDEX($A193:$BM193,,$BV$23)*$BW$23+
INDEX($A193:$BM193,,$BV$25)*$BW$25+
INDEX($A193:$BM193,,$BV$26)*$BW$26+
INDEX($A193:$BM193,,$BV$27)*$BW$27+
$BN193)),
$BN193-100)</f>
        <v>-100</v>
      </c>
      <c r="BF193" t="str">
        <f t="shared" si="36"/>
        <v/>
      </c>
      <c r="BG193" t="str">
        <f t="shared" si="37"/>
        <v/>
      </c>
      <c r="BH193">
        <f t="shared" si="38"/>
        <v>0</v>
      </c>
      <c r="BJ193" t="str">
        <f t="shared" si="39"/>
        <v/>
      </c>
      <c r="BL193">
        <f t="shared" si="41"/>
        <v>0</v>
      </c>
      <c r="BN193">
        <v>1.92E-3</v>
      </c>
      <c r="BS193" s="4" t="s">
        <v>2189</v>
      </c>
    </row>
    <row r="194" spans="1:71" ht="15.75" thickBot="1" x14ac:dyDescent="0.3">
      <c r="A194" s="569" t="s">
        <v>1749</v>
      </c>
      <c r="B194" s="569" t="s">
        <v>2272</v>
      </c>
      <c r="C194" s="569" t="s">
        <v>3</v>
      </c>
      <c r="D194" s="574">
        <v>14</v>
      </c>
      <c r="E194" s="569"/>
      <c r="F194" s="569"/>
      <c r="G194" s="569"/>
      <c r="H194" s="569"/>
      <c r="I194" s="574">
        <v>0</v>
      </c>
      <c r="J194" s="574">
        <v>0</v>
      </c>
      <c r="K194" s="574">
        <v>0</v>
      </c>
      <c r="L194" s="574">
        <v>11.8</v>
      </c>
      <c r="M194" s="574">
        <v>0.2</v>
      </c>
      <c r="N194" s="574">
        <v>80.900000000000006</v>
      </c>
      <c r="O194" s="574">
        <v>56.4</v>
      </c>
      <c r="P194" s="574">
        <v>1.7</v>
      </c>
      <c r="Q194" s="574">
        <v>204.9</v>
      </c>
      <c r="R194" s="569"/>
      <c r="S194" s="569"/>
      <c r="T194" s="569"/>
      <c r="U194" s="569"/>
      <c r="V194" s="569"/>
      <c r="W194" s="569"/>
      <c r="X194" s="569"/>
      <c r="Y194" s="569"/>
      <c r="Z194" s="569"/>
      <c r="AA194" s="569"/>
      <c r="AB194" s="569"/>
      <c r="AC194" s="569"/>
      <c r="AD194" s="569"/>
      <c r="AE194" s="569"/>
      <c r="AF194" s="569"/>
      <c r="AG194" s="569"/>
      <c r="AH194" s="569"/>
      <c r="AI194" s="569"/>
      <c r="AJ194" s="569"/>
      <c r="AK194" s="569"/>
      <c r="AL194" s="569"/>
      <c r="AM194" s="569"/>
      <c r="AN194" s="574">
        <v>38.9</v>
      </c>
      <c r="AO194">
        <v>193</v>
      </c>
      <c r="AP194" t="str">
        <f t="shared" si="40"/>
        <v/>
      </c>
      <c r="AQ194" t="str">
        <f t="shared" si="30"/>
        <v/>
      </c>
      <c r="AR194" s="430">
        <f>IFERROR(
IF(AP194="",-100,
IF($BV$2&gt;0, INDEX(Beersheet!$A:$U,MATCH(AP194,INDEX(Beersheet!$A:$U,0,FFARawStatProjections!$BV$2),0),$BV$3)+$BN194,
INDEX($A194:$BM194,,$BV$12)*$BW$12+
INDEX($A194:$BM194,,$BV$15)*$BW$15+
INDEX($A194:$BM194,,$BV$16)*$BW$16+
INDEX($A194:$BM194,,$BV$17)*$BW$17+
INDEX($A194:$BM194,,$BV$18)*$BW$18+
INDEX($A194:$BM194,,$BV$19)*$BW$19+
INDEX($A194:$BM194,,$BV$20)*$BW$20+
INDEX($A194:$BM194,,$BV$21)*$BW$21+
INDEX($A194:$BM194,,$BV$22)*$BW$22+
INDEX($A194:$BM194,,$BV$23)*$BW$23+
INDEX($A194:$BM194,,$BV$25)*$BW$25+
INDEX($A194:$BM194,,$BV$26)*$BW$26+
INDEX($A194:$BM194,,$BV$27)*$BW$27+
$BN194)),
$BN194-100)</f>
        <v>-100</v>
      </c>
      <c r="AT194" t="str">
        <f t="shared" si="31"/>
        <v>Corey Clement</v>
      </c>
      <c r="AU194" t="str">
        <f t="shared" si="32"/>
        <v>AZ</v>
      </c>
      <c r="AV194" s="430">
        <f>IFERROR(
IF(AT194="",-100,
IF($BV$2&gt;0, INDEX(Beersheet!$A:$U,MATCH(AT194,INDEX(Beersheet!$A:$U,0,FFARawStatProjections!$BV$2),0),$BV$3)+$BN194,
INDEX($A194:$BM194,,$BV$12)*$BW$12+
INDEX($A194:$BM194,,$BV$15)*$BW$15+
INDEX($A194:$BM194,,$BV$16)*$BW$16+
INDEX($A194:$BM194,,$BV$17)*$BW$17+
INDEX($A194:$BM194,,$BV$18)*$BW$18+
INDEX($A194:$BM194,,$BV$19)*$BW$19+
INDEX($A194:$BM194,,$BV$20)*$BW$20+
INDEX($A194:$BM194,,$BV$21)*$BW$21+
INDEX($A194:$BM194,,$BV$22)*$BW$22+
INDEX($A194:$BM194,,$BV$23)*$BW$23+
INDEX($A194:$BM194,,$BV$25)*$BW$25+
INDEX($A194:$BM194,,$BV$26)*$BW$26+
INDEX($A194:$BM194,,$BV$27)*$BW$27+
$BN194)),
$BN194-100)</f>
        <v>51.781930000000003</v>
      </c>
      <c r="AX194" t="str">
        <f t="shared" si="33"/>
        <v/>
      </c>
      <c r="AY194" t="str">
        <f t="shared" si="34"/>
        <v/>
      </c>
      <c r="AZ194" s="430">
        <f>IFERROR(
IF(AX194="",-100,
IF($BV$2&gt;0, INDEX(Beersheet!$A:$U,MATCH(AX194,INDEX(Beersheet!$A:$U,0,FFARawStatProjections!$BV$2),0),$BV$3)+$BN194,
INDEX($A194:$BM194,,$BV$12)*$BW$12+
INDEX($A194:$BM194,,$BV$15)*$BW$15+
INDEX($A194:$BM194,,$BV$16)*$BW$16+
INDEX($A194:$BM194,,$BV$17)*$BW$17+
INDEX($A194:$BM194,,$BV$18)*$BW$18+
INDEX($A194:$BM194,,$BV$19)*$BW$19+
INDEX($A194:$BM194,,$BV$20)*$BW$20+
INDEX($A194:$BM194,,$BV$21)*$BW$21+
INDEX($A194:$BM194,,$BV$22)*$BW$22+
INDEX($A194:$BM194,,$BV$23)*$BW$23+
INDEX($A194:$BM194,,$BV$25)*$BW$25+
INDEX($A194:$BM194,,$BV$26)*$BW$26+
INDEX($A194:$BM194,,$BV$27)*$BW$27+
$BN194)),
$BN194-100)</f>
        <v>-100</v>
      </c>
      <c r="BB194" t="str">
        <f t="shared" si="35"/>
        <v/>
      </c>
      <c r="BC194" t="str">
        <f t="shared" ref="BC194:BC257" si="42">IFERROR(IF(BB194="","",$B194),"")</f>
        <v/>
      </c>
      <c r="BD194" s="430">
        <f>IFERROR(
IF(BB194="",-100,
IF($BV$2&gt;0, INDEX(Beersheet!$A:$U,MATCH(BB194,INDEX(Beersheet!$A:$U,0,FFARawStatProjections!$BV$2),0),$BV$3)+$BN194,
INDEX($A194:$BM194,,$BV$12)*$BW$12+
INDEX($A194:$BM194,,$BV$15)*$BW$15+
INDEX($A194:$BM194,,$BV$16)*$BW$16+
INDEX($A194:$BM194,,$BV$17)*$BW$17+
INDEX($A194:$BM194,,$BV$18)*$BW$18+
INDEX($A194:$BM194,,$BV$19)*$BW$19+
INDEX($A194:$BM194,,$BV$20)*$BW$20+
INDEX($A194:$BM194,,$BV$21)*$BW$21+
INDEX($A194:$BM194,,$BV$22)*$BW$22+
INDEX($A194:$BM194,,$BV$23)*$BW$23+
INDEX($A194:$BM194,,$BV$25)*$BW$25+
INDEX($A194:$BM194,,$BV$26)*$BW$26+
INDEX($A194:$BM194,,$BV$27)*$BW$27+
$BN194)),
$BN194-100)</f>
        <v>-100</v>
      </c>
      <c r="BF194" t="str">
        <f t="shared" si="36"/>
        <v/>
      </c>
      <c r="BG194" t="str">
        <f t="shared" si="37"/>
        <v/>
      </c>
      <c r="BH194">
        <f t="shared" si="38"/>
        <v>0</v>
      </c>
      <c r="BJ194" t="str">
        <f t="shared" si="39"/>
        <v/>
      </c>
      <c r="BL194">
        <f t="shared" si="41"/>
        <v>0</v>
      </c>
      <c r="BN194">
        <v>1.9300000000000001E-3</v>
      </c>
      <c r="BS194" s="4" t="s">
        <v>144</v>
      </c>
    </row>
    <row r="195" spans="1:71" ht="15.75" thickBot="1" x14ac:dyDescent="0.3">
      <c r="A195" s="569" t="s">
        <v>2488</v>
      </c>
      <c r="B195" s="569" t="s">
        <v>154</v>
      </c>
      <c r="C195" s="569" t="s">
        <v>3</v>
      </c>
      <c r="D195" s="574">
        <v>13</v>
      </c>
      <c r="E195" s="569"/>
      <c r="F195" s="569"/>
      <c r="G195" s="569"/>
      <c r="H195" s="569"/>
      <c r="I195" s="574">
        <v>0</v>
      </c>
      <c r="J195" s="574">
        <v>0</v>
      </c>
      <c r="K195" s="574">
        <v>0</v>
      </c>
      <c r="L195" s="574">
        <v>8.5</v>
      </c>
      <c r="M195" s="574">
        <v>0.4</v>
      </c>
      <c r="N195" s="574">
        <v>71.599999999999994</v>
      </c>
      <c r="O195" s="574">
        <v>50</v>
      </c>
      <c r="P195" s="574">
        <v>1.1000000000000001</v>
      </c>
      <c r="Q195" s="574">
        <v>212.6</v>
      </c>
      <c r="R195" s="569"/>
      <c r="S195" s="569"/>
      <c r="T195" s="569"/>
      <c r="U195" s="569"/>
      <c r="V195" s="569"/>
      <c r="W195" s="569"/>
      <c r="X195" s="569"/>
      <c r="Y195" s="569"/>
      <c r="Z195" s="569"/>
      <c r="AA195" s="569"/>
      <c r="AB195" s="569"/>
      <c r="AC195" s="569"/>
      <c r="AD195" s="569"/>
      <c r="AE195" s="569"/>
      <c r="AF195" s="569"/>
      <c r="AG195" s="569"/>
      <c r="AH195" s="569"/>
      <c r="AI195" s="569"/>
      <c r="AJ195" s="569"/>
      <c r="AK195" s="569"/>
      <c r="AL195" s="569"/>
      <c r="AM195" s="569"/>
      <c r="AN195" s="574">
        <v>36</v>
      </c>
      <c r="AO195">
        <v>194</v>
      </c>
      <c r="AP195" t="str">
        <f t="shared" si="40"/>
        <v/>
      </c>
      <c r="AQ195" t="str">
        <f t="shared" ref="AQ195:AQ258" si="43">IFERROR(IF(AP195="","",$B195),"")</f>
        <v/>
      </c>
      <c r="AR195" s="430">
        <f>IFERROR(
IF(AP195="",-100,
IF($BV$2&gt;0, INDEX(Beersheet!$A:$U,MATCH(AP195,INDEX(Beersheet!$A:$U,0,FFARawStatProjections!$BV$2),0),$BV$3)+$BN195,
INDEX($A195:$BM195,,$BV$12)*$BW$12+
INDEX($A195:$BM195,,$BV$15)*$BW$15+
INDEX($A195:$BM195,,$BV$16)*$BW$16+
INDEX($A195:$BM195,,$BV$17)*$BW$17+
INDEX($A195:$BM195,,$BV$18)*$BW$18+
INDEX($A195:$BM195,,$BV$19)*$BW$19+
INDEX($A195:$BM195,,$BV$20)*$BW$20+
INDEX($A195:$BM195,,$BV$21)*$BW$21+
INDEX($A195:$BM195,,$BV$22)*$BW$22+
INDEX($A195:$BM195,,$BV$23)*$BW$23+
INDEX($A195:$BM195,,$BV$25)*$BW$25+
INDEX($A195:$BM195,,$BV$26)*$BW$26+
INDEX($A195:$BM195,,$BV$27)*$BW$27+
$BN195)),
$BN195-100)</f>
        <v>-100</v>
      </c>
      <c r="AT195" t="str">
        <f t="shared" ref="AT195:AT258" si="44">IF($C195 = "RB", $A195, "")</f>
        <v>Eric Gray</v>
      </c>
      <c r="AU195" t="str">
        <f t="shared" ref="AU195:AU258" si="45">IFERROR(IF(AT195="","",$B195),"")</f>
        <v>NYG</v>
      </c>
      <c r="AV195" s="430">
        <f>IFERROR(
IF(AT195="",-100,
IF($BV$2&gt;0, INDEX(Beersheet!$A:$U,MATCH(AT195,INDEX(Beersheet!$A:$U,0,FFARawStatProjections!$BV$2),0),$BV$3)+$BN195,
INDEX($A195:$BM195,,$BV$12)*$BW$12+
INDEX($A195:$BM195,,$BV$15)*$BW$15+
INDEX($A195:$BM195,,$BV$16)*$BW$16+
INDEX($A195:$BM195,,$BV$17)*$BW$17+
INDEX($A195:$BM195,,$BV$18)*$BW$18+
INDEX($A195:$BM195,,$BV$19)*$BW$19+
INDEX($A195:$BM195,,$BV$20)*$BW$20+
INDEX($A195:$BM195,,$BV$21)*$BW$21+
INDEX($A195:$BM195,,$BV$22)*$BW$22+
INDEX($A195:$BM195,,$BV$23)*$BW$23+
INDEX($A195:$BM195,,$BV$25)*$BW$25+
INDEX($A195:$BM195,,$BV$26)*$BW$26+
INDEX($A195:$BM195,,$BV$27)*$BW$27+
$BN195)),
$BN195-100)</f>
        <v>45.921939999999999</v>
      </c>
      <c r="AX195" t="str">
        <f t="shared" ref="AX195:AX258" si="46">IF($C195 = "WR", $A195, "")</f>
        <v/>
      </c>
      <c r="AY195" t="str">
        <f t="shared" ref="AY195:AY258" si="47">IFERROR(IF(AX195="","",$B195),"")</f>
        <v/>
      </c>
      <c r="AZ195" s="430">
        <f>IFERROR(
IF(AX195="",-100,
IF($BV$2&gt;0, INDEX(Beersheet!$A:$U,MATCH(AX195,INDEX(Beersheet!$A:$U,0,FFARawStatProjections!$BV$2),0),$BV$3)+$BN195,
INDEX($A195:$BM195,,$BV$12)*$BW$12+
INDEX($A195:$BM195,,$BV$15)*$BW$15+
INDEX($A195:$BM195,,$BV$16)*$BW$16+
INDEX($A195:$BM195,,$BV$17)*$BW$17+
INDEX($A195:$BM195,,$BV$18)*$BW$18+
INDEX($A195:$BM195,,$BV$19)*$BW$19+
INDEX($A195:$BM195,,$BV$20)*$BW$20+
INDEX($A195:$BM195,,$BV$21)*$BW$21+
INDEX($A195:$BM195,,$BV$22)*$BW$22+
INDEX($A195:$BM195,,$BV$23)*$BW$23+
INDEX($A195:$BM195,,$BV$25)*$BW$25+
INDEX($A195:$BM195,,$BV$26)*$BW$26+
INDEX($A195:$BM195,,$BV$27)*$BW$27+
$BN195)),
$BN195-100)</f>
        <v>-100</v>
      </c>
      <c r="BB195" t="str">
        <f t="shared" ref="BB195:BB258" si="48">IF($C195 = "TE", $A195, "")</f>
        <v/>
      </c>
      <c r="BC195" t="str">
        <f t="shared" si="42"/>
        <v/>
      </c>
      <c r="BD195" s="430">
        <f>IFERROR(
IF(BB195="",-100,
IF($BV$2&gt;0, INDEX(Beersheet!$A:$U,MATCH(BB195,INDEX(Beersheet!$A:$U,0,FFARawStatProjections!$BV$2),0),$BV$3)+$BN195,
INDEX($A195:$BM195,,$BV$12)*$BW$12+
INDEX($A195:$BM195,,$BV$15)*$BW$15+
INDEX($A195:$BM195,,$BV$16)*$BW$16+
INDEX($A195:$BM195,,$BV$17)*$BW$17+
INDEX($A195:$BM195,,$BV$18)*$BW$18+
INDEX($A195:$BM195,,$BV$19)*$BW$19+
INDEX($A195:$BM195,,$BV$20)*$BW$20+
INDEX($A195:$BM195,,$BV$21)*$BW$21+
INDEX($A195:$BM195,,$BV$22)*$BW$22+
INDEX($A195:$BM195,,$BV$23)*$BW$23+
INDEX($A195:$BM195,,$BV$25)*$BW$25+
INDEX($A195:$BM195,,$BV$26)*$BW$26+
INDEX($A195:$BM195,,$BV$27)*$BW$27+
$BN195)),
$BN195-100)</f>
        <v>-100</v>
      </c>
      <c r="BF195" t="str">
        <f t="shared" ref="BF195:BF258" si="49">IF($C195 = "K", $A195, "")</f>
        <v/>
      </c>
      <c r="BG195" t="str">
        <f t="shared" ref="BG195:BG258" si="50">IFERROR(IF(BF195="","",$B195),"")</f>
        <v/>
      </c>
      <c r="BH195">
        <f t="shared" ref="BH195:BH258" si="51">IFERROR(IF(BF195="",0,
AF195*3
+AG195*3
+AH195*3
+AI195*4
+AJ195*5
+BN195+AN195),"")</f>
        <v>0</v>
      </c>
      <c r="BJ195" t="str">
        <f t="shared" ref="BJ195:BJ258" si="52">IF($C195 = "DST", $A195, "")</f>
        <v/>
      </c>
      <c r="BL195">
        <f t="shared" si="41"/>
        <v>0</v>
      </c>
      <c r="BN195">
        <v>1.9400000000000001E-3</v>
      </c>
      <c r="BS195" s="4" t="s">
        <v>2499</v>
      </c>
    </row>
    <row r="196" spans="1:71" ht="15.75" thickBot="1" x14ac:dyDescent="0.3">
      <c r="A196" s="569" t="s">
        <v>2114</v>
      </c>
      <c r="B196" s="569" t="s">
        <v>165</v>
      </c>
      <c r="C196" s="569" t="s">
        <v>3</v>
      </c>
      <c r="D196" s="574">
        <v>9</v>
      </c>
      <c r="E196" s="569"/>
      <c r="F196" s="569"/>
      <c r="G196" s="569"/>
      <c r="H196" s="569"/>
      <c r="I196" s="574">
        <v>0</v>
      </c>
      <c r="J196" s="574">
        <v>0</v>
      </c>
      <c r="K196" s="574">
        <v>0</v>
      </c>
      <c r="L196" s="574">
        <v>12.8</v>
      </c>
      <c r="M196" s="574">
        <v>0.4</v>
      </c>
      <c r="N196" s="574">
        <v>96</v>
      </c>
      <c r="O196" s="574">
        <v>37.200000000000003</v>
      </c>
      <c r="P196" s="574">
        <v>1</v>
      </c>
      <c r="Q196" s="574">
        <v>179.7</v>
      </c>
      <c r="R196" s="569"/>
      <c r="S196" s="569"/>
      <c r="T196" s="569"/>
      <c r="U196" s="569"/>
      <c r="V196" s="569"/>
      <c r="W196" s="569"/>
      <c r="X196" s="569"/>
      <c r="Y196" s="569"/>
      <c r="Z196" s="569"/>
      <c r="AA196" s="569"/>
      <c r="AB196" s="569"/>
      <c r="AC196" s="569"/>
      <c r="AD196" s="569"/>
      <c r="AE196" s="569"/>
      <c r="AF196" s="569"/>
      <c r="AG196" s="569"/>
      <c r="AH196" s="569"/>
      <c r="AI196" s="569"/>
      <c r="AJ196" s="569"/>
      <c r="AK196" s="569"/>
      <c r="AL196" s="569"/>
      <c r="AM196" s="569"/>
      <c r="AN196" s="574">
        <v>35.6</v>
      </c>
      <c r="AO196">
        <v>195</v>
      </c>
      <c r="AP196" t="str">
        <f t="shared" si="40"/>
        <v/>
      </c>
      <c r="AQ196" t="str">
        <f t="shared" si="43"/>
        <v/>
      </c>
      <c r="AR196" s="430">
        <f>IFERROR(
IF(AP196="",-100,
IF($BV$2&gt;0, INDEX(Beersheet!$A:$U,MATCH(AP196,INDEX(Beersheet!$A:$U,0,FFARawStatProjections!$BV$2),0),$BV$3)+$BN196,
INDEX($A196:$BM196,,$BV$12)*$BW$12+
INDEX($A196:$BM196,,$BV$15)*$BW$15+
INDEX($A196:$BM196,,$BV$16)*$BW$16+
INDEX($A196:$BM196,,$BV$17)*$BW$17+
INDEX($A196:$BM196,,$BV$18)*$BW$18+
INDEX($A196:$BM196,,$BV$19)*$BW$19+
INDEX($A196:$BM196,,$BV$20)*$BW$20+
INDEX($A196:$BM196,,$BV$21)*$BW$21+
INDEX($A196:$BM196,,$BV$22)*$BW$22+
INDEX($A196:$BM196,,$BV$23)*$BW$23+
INDEX($A196:$BM196,,$BV$25)*$BW$25+
INDEX($A196:$BM196,,$BV$26)*$BW$26+
INDEX($A196:$BM196,,$BV$27)*$BW$27+
$BN196)),
$BN196-100)</f>
        <v>-100</v>
      </c>
      <c r="AT196" t="str">
        <f t="shared" si="44"/>
        <v>JaMycal Hasty</v>
      </c>
      <c r="AU196" t="str">
        <f t="shared" si="45"/>
        <v>JAC</v>
      </c>
      <c r="AV196" s="430">
        <f>IFERROR(
IF(AT196="",-100,
IF($BV$2&gt;0, INDEX(Beersheet!$A:$U,MATCH(AT196,INDEX(Beersheet!$A:$U,0,FFARawStatProjections!$BV$2),0),$BV$3)+$BN196,
INDEX($A196:$BM196,,$BV$12)*$BW$12+
INDEX($A196:$BM196,,$BV$15)*$BW$15+
INDEX($A196:$BM196,,$BV$16)*$BW$16+
INDEX($A196:$BM196,,$BV$17)*$BW$17+
INDEX($A196:$BM196,,$BV$18)*$BW$18+
INDEX($A196:$BM196,,$BV$19)*$BW$19+
INDEX($A196:$BM196,,$BV$20)*$BW$20+
INDEX($A196:$BM196,,$BV$21)*$BW$21+
INDEX($A196:$BM196,,$BV$22)*$BW$22+
INDEX($A196:$BM196,,$BV$23)*$BW$23+
INDEX($A196:$BM196,,$BV$25)*$BW$25+
INDEX($A196:$BM196,,$BV$26)*$BW$26+
INDEX($A196:$BM196,,$BV$27)*$BW$27+
$BN196)),
$BN196-100)</f>
        <v>48.771950000000004</v>
      </c>
      <c r="AX196" t="str">
        <f t="shared" si="46"/>
        <v/>
      </c>
      <c r="AY196" t="str">
        <f t="shared" si="47"/>
        <v/>
      </c>
      <c r="AZ196" s="430">
        <f>IFERROR(
IF(AX196="",-100,
IF($BV$2&gt;0, INDEX(Beersheet!$A:$U,MATCH(AX196,INDEX(Beersheet!$A:$U,0,FFARawStatProjections!$BV$2),0),$BV$3)+$BN196,
INDEX($A196:$BM196,,$BV$12)*$BW$12+
INDEX($A196:$BM196,,$BV$15)*$BW$15+
INDEX($A196:$BM196,,$BV$16)*$BW$16+
INDEX($A196:$BM196,,$BV$17)*$BW$17+
INDEX($A196:$BM196,,$BV$18)*$BW$18+
INDEX($A196:$BM196,,$BV$19)*$BW$19+
INDEX($A196:$BM196,,$BV$20)*$BW$20+
INDEX($A196:$BM196,,$BV$21)*$BW$21+
INDEX($A196:$BM196,,$BV$22)*$BW$22+
INDEX($A196:$BM196,,$BV$23)*$BW$23+
INDEX($A196:$BM196,,$BV$25)*$BW$25+
INDEX($A196:$BM196,,$BV$26)*$BW$26+
INDEX($A196:$BM196,,$BV$27)*$BW$27+
$BN196)),
$BN196-100)</f>
        <v>-100</v>
      </c>
      <c r="BB196" t="str">
        <f t="shared" si="48"/>
        <v/>
      </c>
      <c r="BC196" t="str">
        <f t="shared" si="42"/>
        <v/>
      </c>
      <c r="BD196" s="430">
        <f>IFERROR(
IF(BB196="",-100,
IF($BV$2&gt;0, INDEX(Beersheet!$A:$U,MATCH(BB196,INDEX(Beersheet!$A:$U,0,FFARawStatProjections!$BV$2),0),$BV$3)+$BN196,
INDEX($A196:$BM196,,$BV$12)*$BW$12+
INDEX($A196:$BM196,,$BV$15)*$BW$15+
INDEX($A196:$BM196,,$BV$16)*$BW$16+
INDEX($A196:$BM196,,$BV$17)*$BW$17+
INDEX($A196:$BM196,,$BV$18)*$BW$18+
INDEX($A196:$BM196,,$BV$19)*$BW$19+
INDEX($A196:$BM196,,$BV$20)*$BW$20+
INDEX($A196:$BM196,,$BV$21)*$BW$21+
INDEX($A196:$BM196,,$BV$22)*$BW$22+
INDEX($A196:$BM196,,$BV$23)*$BW$23+
INDEX($A196:$BM196,,$BV$25)*$BW$25+
INDEX($A196:$BM196,,$BV$26)*$BW$26+
INDEX($A196:$BM196,,$BV$27)*$BW$27+
$BN196)),
$BN196-100)</f>
        <v>-100</v>
      </c>
      <c r="BF196" t="str">
        <f t="shared" si="49"/>
        <v/>
      </c>
      <c r="BG196" t="str">
        <f t="shared" si="50"/>
        <v/>
      </c>
      <c r="BH196">
        <f t="shared" si="51"/>
        <v>0</v>
      </c>
      <c r="BJ196" t="str">
        <f t="shared" si="52"/>
        <v/>
      </c>
      <c r="BL196">
        <f t="shared" si="41"/>
        <v>0</v>
      </c>
      <c r="BN196">
        <v>1.9499999999999999E-3</v>
      </c>
      <c r="BS196" s="4" t="s">
        <v>2498</v>
      </c>
    </row>
    <row r="197" spans="1:71" ht="15.75" thickBot="1" x14ac:dyDescent="0.3">
      <c r="A197" s="569" t="s">
        <v>2077</v>
      </c>
      <c r="B197" s="569" t="s">
        <v>149</v>
      </c>
      <c r="C197" s="569" t="s">
        <v>3</v>
      </c>
      <c r="D197" s="574">
        <v>5</v>
      </c>
      <c r="E197" s="569"/>
      <c r="F197" s="569"/>
      <c r="G197" s="569"/>
      <c r="H197" s="569"/>
      <c r="I197" s="574">
        <v>0</v>
      </c>
      <c r="J197" s="574">
        <v>0</v>
      </c>
      <c r="K197" s="574">
        <v>0</v>
      </c>
      <c r="L197" s="574">
        <v>6.9</v>
      </c>
      <c r="M197" s="574">
        <v>0.2</v>
      </c>
      <c r="N197" s="574">
        <v>45.2</v>
      </c>
      <c r="O197" s="574">
        <v>55.1</v>
      </c>
      <c r="P197" s="574">
        <v>1.3</v>
      </c>
      <c r="Q197" s="574">
        <v>217.3</v>
      </c>
      <c r="R197" s="569"/>
      <c r="S197" s="569"/>
      <c r="T197" s="569"/>
      <c r="U197" s="569"/>
      <c r="V197" s="569"/>
      <c r="W197" s="569"/>
      <c r="X197" s="569"/>
      <c r="Y197" s="569"/>
      <c r="Z197" s="569"/>
      <c r="AA197" s="569"/>
      <c r="AB197" s="569"/>
      <c r="AC197" s="569"/>
      <c r="AD197" s="569"/>
      <c r="AE197" s="569"/>
      <c r="AF197" s="569"/>
      <c r="AG197" s="569"/>
      <c r="AH197" s="569"/>
      <c r="AI197" s="569"/>
      <c r="AJ197" s="569"/>
      <c r="AK197" s="569"/>
      <c r="AL197" s="569"/>
      <c r="AM197" s="569"/>
      <c r="AN197" s="574">
        <v>33.799999999999997</v>
      </c>
      <c r="AO197">
        <v>196</v>
      </c>
      <c r="AP197" t="str">
        <f t="shared" si="40"/>
        <v/>
      </c>
      <c r="AQ197" t="str">
        <f t="shared" si="43"/>
        <v/>
      </c>
      <c r="AR197" s="430">
        <f>IFERROR(
IF(AP197="",-100,
IF($BV$2&gt;0, INDEX(Beersheet!$A:$U,MATCH(AP197,INDEX(Beersheet!$A:$U,0,FFARawStatProjections!$BV$2),0),$BV$3)+$BN197,
INDEX($A197:$BM197,,$BV$12)*$BW$12+
INDEX($A197:$BM197,,$BV$15)*$BW$15+
INDEX($A197:$BM197,,$BV$16)*$BW$16+
INDEX($A197:$BM197,,$BV$17)*$BW$17+
INDEX($A197:$BM197,,$BV$18)*$BW$18+
INDEX($A197:$BM197,,$BV$19)*$BW$19+
INDEX($A197:$BM197,,$BV$20)*$BW$20+
INDEX($A197:$BM197,,$BV$21)*$BW$21+
INDEX($A197:$BM197,,$BV$22)*$BW$22+
INDEX($A197:$BM197,,$BV$23)*$BW$23+
INDEX($A197:$BM197,,$BV$25)*$BW$25+
INDEX($A197:$BM197,,$BV$26)*$BW$26+
INDEX($A197:$BM197,,$BV$27)*$BW$27+
$BN197)),
$BN197-100)</f>
        <v>-100</v>
      </c>
      <c r="AT197" t="str">
        <f t="shared" si="44"/>
        <v>KeShawn Vaughn</v>
      </c>
      <c r="AU197" t="str">
        <f t="shared" si="45"/>
        <v>TB</v>
      </c>
      <c r="AV197" s="430">
        <f>IFERROR(
IF(AT197="",-100,
IF($BV$2&gt;0, INDEX(Beersheet!$A:$U,MATCH(AT197,INDEX(Beersheet!$A:$U,0,FFARawStatProjections!$BV$2),0),$BV$3)+$BN197,
INDEX($A197:$BM197,,$BV$12)*$BW$12+
INDEX($A197:$BM197,,$BV$15)*$BW$15+
INDEX($A197:$BM197,,$BV$16)*$BW$16+
INDEX($A197:$BM197,,$BV$17)*$BW$17+
INDEX($A197:$BM197,,$BV$18)*$BW$18+
INDEX($A197:$BM197,,$BV$19)*$BW$19+
INDEX($A197:$BM197,,$BV$20)*$BW$20+
INDEX($A197:$BM197,,$BV$21)*$BW$21+
INDEX($A197:$BM197,,$BV$22)*$BW$22+
INDEX($A197:$BM197,,$BV$23)*$BW$23+
INDEX($A197:$BM197,,$BV$25)*$BW$25+
INDEX($A197:$BM197,,$BV$26)*$BW$26+
INDEX($A197:$BM197,,$BV$27)*$BW$27+
$BN197)),
$BN197-100)</f>
        <v>42.151960000000003</v>
      </c>
      <c r="AX197" t="str">
        <f t="shared" si="46"/>
        <v/>
      </c>
      <c r="AY197" t="str">
        <f t="shared" si="47"/>
        <v/>
      </c>
      <c r="AZ197" s="430">
        <f>IFERROR(
IF(AX197="",-100,
IF($BV$2&gt;0, INDEX(Beersheet!$A:$U,MATCH(AX197,INDEX(Beersheet!$A:$U,0,FFARawStatProjections!$BV$2),0),$BV$3)+$BN197,
INDEX($A197:$BM197,,$BV$12)*$BW$12+
INDEX($A197:$BM197,,$BV$15)*$BW$15+
INDEX($A197:$BM197,,$BV$16)*$BW$16+
INDEX($A197:$BM197,,$BV$17)*$BW$17+
INDEX($A197:$BM197,,$BV$18)*$BW$18+
INDEX($A197:$BM197,,$BV$19)*$BW$19+
INDEX($A197:$BM197,,$BV$20)*$BW$20+
INDEX($A197:$BM197,,$BV$21)*$BW$21+
INDEX($A197:$BM197,,$BV$22)*$BW$22+
INDEX($A197:$BM197,,$BV$23)*$BW$23+
INDEX($A197:$BM197,,$BV$25)*$BW$25+
INDEX($A197:$BM197,,$BV$26)*$BW$26+
INDEX($A197:$BM197,,$BV$27)*$BW$27+
$BN197)),
$BN197-100)</f>
        <v>-100</v>
      </c>
      <c r="BB197" t="str">
        <f t="shared" si="48"/>
        <v/>
      </c>
      <c r="BC197" t="str">
        <f t="shared" si="42"/>
        <v/>
      </c>
      <c r="BD197" s="430">
        <f>IFERROR(
IF(BB197="",-100,
IF($BV$2&gt;0, INDEX(Beersheet!$A:$U,MATCH(BB197,INDEX(Beersheet!$A:$U,0,FFARawStatProjections!$BV$2),0),$BV$3)+$BN197,
INDEX($A197:$BM197,,$BV$12)*$BW$12+
INDEX($A197:$BM197,,$BV$15)*$BW$15+
INDEX($A197:$BM197,,$BV$16)*$BW$16+
INDEX($A197:$BM197,,$BV$17)*$BW$17+
INDEX($A197:$BM197,,$BV$18)*$BW$18+
INDEX($A197:$BM197,,$BV$19)*$BW$19+
INDEX($A197:$BM197,,$BV$20)*$BW$20+
INDEX($A197:$BM197,,$BV$21)*$BW$21+
INDEX($A197:$BM197,,$BV$22)*$BW$22+
INDEX($A197:$BM197,,$BV$23)*$BW$23+
INDEX($A197:$BM197,,$BV$25)*$BW$25+
INDEX($A197:$BM197,,$BV$26)*$BW$26+
INDEX($A197:$BM197,,$BV$27)*$BW$27+
$BN197)),
$BN197-100)</f>
        <v>-100</v>
      </c>
      <c r="BF197" t="str">
        <f t="shared" si="49"/>
        <v/>
      </c>
      <c r="BG197" t="str">
        <f t="shared" si="50"/>
        <v/>
      </c>
      <c r="BH197">
        <f t="shared" si="51"/>
        <v>0</v>
      </c>
      <c r="BJ197" t="str">
        <f t="shared" si="52"/>
        <v/>
      </c>
      <c r="BL197">
        <f t="shared" si="41"/>
        <v>0</v>
      </c>
      <c r="BN197">
        <v>1.9599999999999999E-3</v>
      </c>
      <c r="BS197" s="4" t="s">
        <v>2088</v>
      </c>
    </row>
    <row r="198" spans="1:71" ht="15.75" thickBot="1" x14ac:dyDescent="0.3">
      <c r="A198" s="569" t="s">
        <v>2463</v>
      </c>
      <c r="B198" s="569" t="s">
        <v>155</v>
      </c>
      <c r="C198" s="569" t="s">
        <v>3</v>
      </c>
      <c r="D198" s="574">
        <v>9</v>
      </c>
      <c r="E198" s="569"/>
      <c r="F198" s="569"/>
      <c r="G198" s="569"/>
      <c r="H198" s="569"/>
      <c r="I198" s="574">
        <v>0</v>
      </c>
      <c r="J198" s="574">
        <v>0</v>
      </c>
      <c r="K198" s="574">
        <v>0</v>
      </c>
      <c r="L198" s="574">
        <v>2.9</v>
      </c>
      <c r="M198" s="574">
        <v>0.1</v>
      </c>
      <c r="N198" s="574">
        <v>34.5</v>
      </c>
      <c r="O198" s="574">
        <v>52.8</v>
      </c>
      <c r="P198" s="574">
        <v>0.9</v>
      </c>
      <c r="Q198" s="574">
        <v>237.9</v>
      </c>
      <c r="R198" s="569"/>
      <c r="S198" s="569"/>
      <c r="T198" s="569"/>
      <c r="U198" s="569"/>
      <c r="V198" s="569"/>
      <c r="W198" s="569"/>
      <c r="X198" s="569"/>
      <c r="Y198" s="569"/>
      <c r="Z198" s="569"/>
      <c r="AA198" s="569"/>
      <c r="AB198" s="569"/>
      <c r="AC198" s="569"/>
      <c r="AD198" s="569"/>
      <c r="AE198" s="569"/>
      <c r="AF198" s="569"/>
      <c r="AG198" s="569"/>
      <c r="AH198" s="569"/>
      <c r="AI198" s="569"/>
      <c r="AJ198" s="569"/>
      <c r="AK198" s="569"/>
      <c r="AL198" s="569"/>
      <c r="AM198" s="569"/>
      <c r="AN198" s="574">
        <v>32.700000000000003</v>
      </c>
      <c r="AO198">
        <v>197</v>
      </c>
      <c r="AP198" t="str">
        <f t="shared" si="40"/>
        <v/>
      </c>
      <c r="AQ198" t="str">
        <f t="shared" si="43"/>
        <v/>
      </c>
      <c r="AR198" s="430">
        <f>IFERROR(
IF(AP198="",-100,
IF($BV$2&gt;0, INDEX(Beersheet!$A:$U,MATCH(AP198,INDEX(Beersheet!$A:$U,0,FFARawStatProjections!$BV$2),0),$BV$3)+$BN198,
INDEX($A198:$BM198,,$BV$12)*$BW$12+
INDEX($A198:$BM198,,$BV$15)*$BW$15+
INDEX($A198:$BM198,,$BV$16)*$BW$16+
INDEX($A198:$BM198,,$BV$17)*$BW$17+
INDEX($A198:$BM198,,$BV$18)*$BW$18+
INDEX($A198:$BM198,,$BV$19)*$BW$19+
INDEX($A198:$BM198,,$BV$20)*$BW$20+
INDEX($A198:$BM198,,$BV$21)*$BW$21+
INDEX($A198:$BM198,,$BV$22)*$BW$22+
INDEX($A198:$BM198,,$BV$23)*$BW$23+
INDEX($A198:$BM198,,$BV$25)*$BW$25+
INDEX($A198:$BM198,,$BV$26)*$BW$26+
INDEX($A198:$BM198,,$BV$27)*$BW$27+
$BN198)),
$BN198-100)</f>
        <v>-100</v>
      </c>
      <c r="AT198" t="str">
        <f t="shared" si="44"/>
        <v>Jordan Mason</v>
      </c>
      <c r="AU198" t="str">
        <f t="shared" si="45"/>
        <v>SF</v>
      </c>
      <c r="AV198" s="430">
        <f>IFERROR(
IF(AT198="",-100,
IF($BV$2&gt;0, INDEX(Beersheet!$A:$U,MATCH(AT198,INDEX(Beersheet!$A:$U,0,FFARawStatProjections!$BV$2),0),$BV$3)+$BN198,
INDEX($A198:$BM198,,$BV$12)*$BW$12+
INDEX($A198:$BM198,,$BV$15)*$BW$15+
INDEX($A198:$BM198,,$BV$16)*$BW$16+
INDEX($A198:$BM198,,$BV$17)*$BW$17+
INDEX($A198:$BM198,,$BV$18)*$BW$18+
INDEX($A198:$BM198,,$BV$19)*$BW$19+
INDEX($A198:$BM198,,$BV$20)*$BW$20+
INDEX($A198:$BM198,,$BV$21)*$BW$21+
INDEX($A198:$BM198,,$BV$22)*$BW$22+
INDEX($A198:$BM198,,$BV$23)*$BW$23+
INDEX($A198:$BM198,,$BV$25)*$BW$25+
INDEX($A198:$BM198,,$BV$26)*$BW$26+
INDEX($A198:$BM198,,$BV$27)*$BW$27+
$BN198)),
$BN198-100)</f>
        <v>36.141970000000001</v>
      </c>
      <c r="AX198" t="str">
        <f t="shared" si="46"/>
        <v/>
      </c>
      <c r="AY198" t="str">
        <f t="shared" si="47"/>
        <v/>
      </c>
      <c r="AZ198" s="430">
        <f>IFERROR(
IF(AX198="",-100,
IF($BV$2&gt;0, INDEX(Beersheet!$A:$U,MATCH(AX198,INDEX(Beersheet!$A:$U,0,FFARawStatProjections!$BV$2),0),$BV$3)+$BN198,
INDEX($A198:$BM198,,$BV$12)*$BW$12+
INDEX($A198:$BM198,,$BV$15)*$BW$15+
INDEX($A198:$BM198,,$BV$16)*$BW$16+
INDEX($A198:$BM198,,$BV$17)*$BW$17+
INDEX($A198:$BM198,,$BV$18)*$BW$18+
INDEX($A198:$BM198,,$BV$19)*$BW$19+
INDEX($A198:$BM198,,$BV$20)*$BW$20+
INDEX($A198:$BM198,,$BV$21)*$BW$21+
INDEX($A198:$BM198,,$BV$22)*$BW$22+
INDEX($A198:$BM198,,$BV$23)*$BW$23+
INDEX($A198:$BM198,,$BV$25)*$BW$25+
INDEX($A198:$BM198,,$BV$26)*$BW$26+
INDEX($A198:$BM198,,$BV$27)*$BW$27+
$BN198)),
$BN198-100)</f>
        <v>-100</v>
      </c>
      <c r="BB198" t="str">
        <f t="shared" si="48"/>
        <v/>
      </c>
      <c r="BC198" t="str">
        <f t="shared" si="42"/>
        <v/>
      </c>
      <c r="BD198" s="430">
        <f>IFERROR(
IF(BB198="",-100,
IF($BV$2&gt;0, INDEX(Beersheet!$A:$U,MATCH(BB198,INDEX(Beersheet!$A:$U,0,FFARawStatProjections!$BV$2),0),$BV$3)+$BN198,
INDEX($A198:$BM198,,$BV$12)*$BW$12+
INDEX($A198:$BM198,,$BV$15)*$BW$15+
INDEX($A198:$BM198,,$BV$16)*$BW$16+
INDEX($A198:$BM198,,$BV$17)*$BW$17+
INDEX($A198:$BM198,,$BV$18)*$BW$18+
INDEX($A198:$BM198,,$BV$19)*$BW$19+
INDEX($A198:$BM198,,$BV$20)*$BW$20+
INDEX($A198:$BM198,,$BV$21)*$BW$21+
INDEX($A198:$BM198,,$BV$22)*$BW$22+
INDEX($A198:$BM198,,$BV$23)*$BW$23+
INDEX($A198:$BM198,,$BV$25)*$BW$25+
INDEX($A198:$BM198,,$BV$26)*$BW$26+
INDEX($A198:$BM198,,$BV$27)*$BW$27+
$BN198)),
$BN198-100)</f>
        <v>-100</v>
      </c>
      <c r="BF198" t="str">
        <f t="shared" si="49"/>
        <v/>
      </c>
      <c r="BG198" t="str">
        <f t="shared" si="50"/>
        <v/>
      </c>
      <c r="BH198">
        <f t="shared" si="51"/>
        <v>0</v>
      </c>
      <c r="BJ198" t="str">
        <f t="shared" si="52"/>
        <v/>
      </c>
      <c r="BL198">
        <f t="shared" si="41"/>
        <v>0</v>
      </c>
      <c r="BN198">
        <v>1.97E-3</v>
      </c>
      <c r="BS198" s="4" t="s">
        <v>2313</v>
      </c>
    </row>
    <row r="199" spans="1:71" ht="15.75" thickBot="1" x14ac:dyDescent="0.3">
      <c r="A199" s="569" t="s">
        <v>2176</v>
      </c>
      <c r="B199" s="569" t="s">
        <v>164</v>
      </c>
      <c r="C199" s="569" t="s">
        <v>3</v>
      </c>
      <c r="D199" s="574">
        <v>7</v>
      </c>
      <c r="E199" s="569"/>
      <c r="F199" s="569"/>
      <c r="G199" s="569"/>
      <c r="H199" s="569"/>
      <c r="I199" s="574">
        <v>0</v>
      </c>
      <c r="J199" s="574">
        <v>0</v>
      </c>
      <c r="K199" s="574">
        <v>0</v>
      </c>
      <c r="L199" s="574">
        <v>11.6</v>
      </c>
      <c r="M199" s="574">
        <v>0.3</v>
      </c>
      <c r="N199" s="574">
        <v>118.1</v>
      </c>
      <c r="O199" s="574">
        <v>42.1</v>
      </c>
      <c r="P199" s="574">
        <v>0.6</v>
      </c>
      <c r="Q199" s="574">
        <v>155.19999999999999</v>
      </c>
      <c r="R199" s="569"/>
      <c r="S199" s="569"/>
      <c r="T199" s="569"/>
      <c r="U199" s="569"/>
      <c r="V199" s="569"/>
      <c r="W199" s="569"/>
      <c r="X199" s="569"/>
      <c r="Y199" s="569"/>
      <c r="Z199" s="569"/>
      <c r="AA199" s="569"/>
      <c r="AB199" s="569"/>
      <c r="AC199" s="569"/>
      <c r="AD199" s="569"/>
      <c r="AE199" s="569"/>
      <c r="AF199" s="569"/>
      <c r="AG199" s="569"/>
      <c r="AH199" s="569"/>
      <c r="AI199" s="569"/>
      <c r="AJ199" s="569"/>
      <c r="AK199" s="569"/>
      <c r="AL199" s="569"/>
      <c r="AM199" s="569"/>
      <c r="AN199" s="574">
        <v>32.1</v>
      </c>
      <c r="AO199">
        <v>198</v>
      </c>
      <c r="AP199" t="str">
        <f t="shared" si="40"/>
        <v/>
      </c>
      <c r="AQ199" t="str">
        <f t="shared" si="43"/>
        <v/>
      </c>
      <c r="AR199" s="430">
        <f>IFERROR(
IF(AP199="",-100,
IF($BV$2&gt;0, INDEX(Beersheet!$A:$U,MATCH(AP199,INDEX(Beersheet!$A:$U,0,FFARawStatProjections!$BV$2),0),$BV$3)+$BN199,
INDEX($A199:$BM199,,$BV$12)*$BW$12+
INDEX($A199:$BM199,,$BV$15)*$BW$15+
INDEX($A199:$BM199,,$BV$16)*$BW$16+
INDEX($A199:$BM199,,$BV$17)*$BW$17+
INDEX($A199:$BM199,,$BV$18)*$BW$18+
INDEX($A199:$BM199,,$BV$19)*$BW$19+
INDEX($A199:$BM199,,$BV$20)*$BW$20+
INDEX($A199:$BM199,,$BV$21)*$BW$21+
INDEX($A199:$BM199,,$BV$22)*$BW$22+
INDEX($A199:$BM199,,$BV$23)*$BW$23+
INDEX($A199:$BM199,,$BV$25)*$BW$25+
INDEX($A199:$BM199,,$BV$26)*$BW$26+
INDEX($A199:$BM199,,$BV$27)*$BW$27+
$BN199)),
$BN199-100)</f>
        <v>-100</v>
      </c>
      <c r="AT199" t="str">
        <f t="shared" si="44"/>
        <v>Michael Carter</v>
      </c>
      <c r="AU199" t="str">
        <f t="shared" si="45"/>
        <v>NYJ</v>
      </c>
      <c r="AV199" s="430">
        <f>IFERROR(
IF(AT199="",-100,
IF($BV$2&gt;0, INDEX(Beersheet!$A:$U,MATCH(AT199,INDEX(Beersheet!$A:$U,0,FFARawStatProjections!$BV$2),0),$BV$3)+$BN199,
INDEX($A199:$BM199,,$BV$12)*$BW$12+
INDEX($A199:$BM199,,$BV$15)*$BW$15+
INDEX($A199:$BM199,,$BV$16)*$BW$16+
INDEX($A199:$BM199,,$BV$17)*$BW$17+
INDEX($A199:$BM199,,$BV$18)*$BW$18+
INDEX($A199:$BM199,,$BV$19)*$BW$19+
INDEX($A199:$BM199,,$BV$20)*$BW$20+
INDEX($A199:$BM199,,$BV$21)*$BW$21+
INDEX($A199:$BM199,,$BV$22)*$BW$22+
INDEX($A199:$BM199,,$BV$23)*$BW$23+
INDEX($A199:$BM199,,$BV$25)*$BW$25+
INDEX($A199:$BM199,,$BV$26)*$BW$26+
INDEX($A199:$BM199,,$BV$27)*$BW$27+
$BN199)),
$BN199-100)</f>
        <v>44.331980000000001</v>
      </c>
      <c r="AX199" t="str">
        <f t="shared" si="46"/>
        <v/>
      </c>
      <c r="AY199" t="str">
        <f t="shared" si="47"/>
        <v/>
      </c>
      <c r="AZ199" s="430">
        <f>IFERROR(
IF(AX199="",-100,
IF($BV$2&gt;0, INDEX(Beersheet!$A:$U,MATCH(AX199,INDEX(Beersheet!$A:$U,0,FFARawStatProjections!$BV$2),0),$BV$3)+$BN199,
INDEX($A199:$BM199,,$BV$12)*$BW$12+
INDEX($A199:$BM199,,$BV$15)*$BW$15+
INDEX($A199:$BM199,,$BV$16)*$BW$16+
INDEX($A199:$BM199,,$BV$17)*$BW$17+
INDEX($A199:$BM199,,$BV$18)*$BW$18+
INDEX($A199:$BM199,,$BV$19)*$BW$19+
INDEX($A199:$BM199,,$BV$20)*$BW$20+
INDEX($A199:$BM199,,$BV$21)*$BW$21+
INDEX($A199:$BM199,,$BV$22)*$BW$22+
INDEX($A199:$BM199,,$BV$23)*$BW$23+
INDEX($A199:$BM199,,$BV$25)*$BW$25+
INDEX($A199:$BM199,,$BV$26)*$BW$26+
INDEX($A199:$BM199,,$BV$27)*$BW$27+
$BN199)),
$BN199-100)</f>
        <v>-100</v>
      </c>
      <c r="BB199" t="str">
        <f t="shared" si="48"/>
        <v/>
      </c>
      <c r="BC199" t="str">
        <f t="shared" si="42"/>
        <v/>
      </c>
      <c r="BD199" s="430">
        <f>IFERROR(
IF(BB199="",-100,
IF($BV$2&gt;0, INDEX(Beersheet!$A:$U,MATCH(BB199,INDEX(Beersheet!$A:$U,0,FFARawStatProjections!$BV$2),0),$BV$3)+$BN199,
INDEX($A199:$BM199,,$BV$12)*$BW$12+
INDEX($A199:$BM199,,$BV$15)*$BW$15+
INDEX($A199:$BM199,,$BV$16)*$BW$16+
INDEX($A199:$BM199,,$BV$17)*$BW$17+
INDEX($A199:$BM199,,$BV$18)*$BW$18+
INDEX($A199:$BM199,,$BV$19)*$BW$19+
INDEX($A199:$BM199,,$BV$20)*$BW$20+
INDEX($A199:$BM199,,$BV$21)*$BW$21+
INDEX($A199:$BM199,,$BV$22)*$BW$22+
INDEX($A199:$BM199,,$BV$23)*$BW$23+
INDEX($A199:$BM199,,$BV$25)*$BW$25+
INDEX($A199:$BM199,,$BV$26)*$BW$26+
INDEX($A199:$BM199,,$BV$27)*$BW$27+
$BN199)),
$BN199-100)</f>
        <v>-100</v>
      </c>
      <c r="BF199" t="str">
        <f t="shared" si="49"/>
        <v/>
      </c>
      <c r="BG199" t="str">
        <f t="shared" si="50"/>
        <v/>
      </c>
      <c r="BH199">
        <f t="shared" si="51"/>
        <v>0</v>
      </c>
      <c r="BJ199" t="str">
        <f t="shared" si="52"/>
        <v/>
      </c>
      <c r="BL199">
        <f t="shared" si="41"/>
        <v>0</v>
      </c>
      <c r="BN199">
        <v>1.98E-3</v>
      </c>
      <c r="BS199" s="4" t="s">
        <v>2497</v>
      </c>
    </row>
    <row r="200" spans="1:71" ht="15.75" thickBot="1" x14ac:dyDescent="0.3">
      <c r="A200" s="569" t="s">
        <v>1126</v>
      </c>
      <c r="B200" s="569" t="s">
        <v>162</v>
      </c>
      <c r="C200" s="569" t="s">
        <v>3</v>
      </c>
      <c r="D200" s="574">
        <v>13</v>
      </c>
      <c r="E200" s="569"/>
      <c r="F200" s="569"/>
      <c r="G200" s="569"/>
      <c r="H200" s="569"/>
      <c r="I200" s="574">
        <v>0</v>
      </c>
      <c r="J200" s="574">
        <v>0</v>
      </c>
      <c r="K200" s="574">
        <v>0</v>
      </c>
      <c r="L200" s="574">
        <v>10.5</v>
      </c>
      <c r="M200" s="574">
        <v>0.3</v>
      </c>
      <c r="N200" s="574">
        <v>82.4</v>
      </c>
      <c r="O200" s="574">
        <v>38.700000000000003</v>
      </c>
      <c r="P200" s="574">
        <v>0.9</v>
      </c>
      <c r="Q200" s="574">
        <v>175.7</v>
      </c>
      <c r="R200" s="569"/>
      <c r="S200" s="569"/>
      <c r="T200" s="569"/>
      <c r="U200" s="569"/>
      <c r="V200" s="569"/>
      <c r="W200" s="569"/>
      <c r="X200" s="569"/>
      <c r="Y200" s="569"/>
      <c r="Z200" s="569"/>
      <c r="AA200" s="569"/>
      <c r="AB200" s="569"/>
      <c r="AC200" s="569"/>
      <c r="AD200" s="569"/>
      <c r="AE200" s="569"/>
      <c r="AF200" s="569"/>
      <c r="AG200" s="569"/>
      <c r="AH200" s="569"/>
      <c r="AI200" s="569"/>
      <c r="AJ200" s="569"/>
      <c r="AK200" s="569"/>
      <c r="AL200" s="569"/>
      <c r="AM200" s="569"/>
      <c r="AN200" s="574">
        <v>31.2</v>
      </c>
      <c r="AO200">
        <v>199</v>
      </c>
      <c r="AP200" t="str">
        <f t="shared" si="40"/>
        <v/>
      </c>
      <c r="AQ200" t="str">
        <f t="shared" si="43"/>
        <v/>
      </c>
      <c r="AR200" s="430">
        <f>IFERROR(
IF(AP200="",-100,
IF($BV$2&gt;0, INDEX(Beersheet!$A:$U,MATCH(AP200,INDEX(Beersheet!$A:$U,0,FFARawStatProjections!$BV$2),0),$BV$3)+$BN200,
INDEX($A200:$BM200,,$BV$12)*$BW$12+
INDEX($A200:$BM200,,$BV$15)*$BW$15+
INDEX($A200:$BM200,,$BV$16)*$BW$16+
INDEX($A200:$BM200,,$BV$17)*$BW$17+
INDEX($A200:$BM200,,$BV$18)*$BW$18+
INDEX($A200:$BM200,,$BV$19)*$BW$19+
INDEX($A200:$BM200,,$BV$20)*$BW$20+
INDEX($A200:$BM200,,$BV$21)*$BW$21+
INDEX($A200:$BM200,,$BV$22)*$BW$22+
INDEX($A200:$BM200,,$BV$23)*$BW$23+
INDEX($A200:$BM200,,$BV$25)*$BW$25+
INDEX($A200:$BM200,,$BV$26)*$BW$26+
INDEX($A200:$BM200,,$BV$27)*$BW$27+
$BN200)),
$BN200-100)</f>
        <v>-100</v>
      </c>
      <c r="AT200" t="str">
        <f t="shared" si="44"/>
        <v>Melvin Gordon</v>
      </c>
      <c r="AU200" t="str">
        <f t="shared" si="45"/>
        <v>BAL</v>
      </c>
      <c r="AV200" s="430">
        <f>IFERROR(
IF(AT200="",-100,
IF($BV$2&gt;0, INDEX(Beersheet!$A:$U,MATCH(AT200,INDEX(Beersheet!$A:$U,0,FFARawStatProjections!$BV$2),0),$BV$3)+$BN200,
INDEX($A200:$BM200,,$BV$12)*$BW$12+
INDEX($A200:$BM200,,$BV$15)*$BW$15+
INDEX($A200:$BM200,,$BV$16)*$BW$16+
INDEX($A200:$BM200,,$BV$17)*$BW$17+
INDEX($A200:$BM200,,$BV$18)*$BW$18+
INDEX($A200:$BM200,,$BV$19)*$BW$19+
INDEX($A200:$BM200,,$BV$20)*$BW$20+
INDEX($A200:$BM200,,$BV$21)*$BW$21+
INDEX($A200:$BM200,,$BV$22)*$BW$22+
INDEX($A200:$BM200,,$BV$23)*$BW$23+
INDEX($A200:$BM200,,$BV$25)*$BW$25+
INDEX($A200:$BM200,,$BV$26)*$BW$26+
INDEX($A200:$BM200,,$BV$27)*$BW$27+
$BN200)),
$BN200-100)</f>
        <v>43.511989999999997</v>
      </c>
      <c r="AX200" t="str">
        <f t="shared" si="46"/>
        <v/>
      </c>
      <c r="AY200" t="str">
        <f t="shared" si="47"/>
        <v/>
      </c>
      <c r="AZ200" s="430">
        <f>IFERROR(
IF(AX200="",-100,
IF($BV$2&gt;0, INDEX(Beersheet!$A:$U,MATCH(AX200,INDEX(Beersheet!$A:$U,0,FFARawStatProjections!$BV$2),0),$BV$3)+$BN200,
INDEX($A200:$BM200,,$BV$12)*$BW$12+
INDEX($A200:$BM200,,$BV$15)*$BW$15+
INDEX($A200:$BM200,,$BV$16)*$BW$16+
INDEX($A200:$BM200,,$BV$17)*$BW$17+
INDEX($A200:$BM200,,$BV$18)*$BW$18+
INDEX($A200:$BM200,,$BV$19)*$BW$19+
INDEX($A200:$BM200,,$BV$20)*$BW$20+
INDEX($A200:$BM200,,$BV$21)*$BW$21+
INDEX($A200:$BM200,,$BV$22)*$BW$22+
INDEX($A200:$BM200,,$BV$23)*$BW$23+
INDEX($A200:$BM200,,$BV$25)*$BW$25+
INDEX($A200:$BM200,,$BV$26)*$BW$26+
INDEX($A200:$BM200,,$BV$27)*$BW$27+
$BN200)),
$BN200-100)</f>
        <v>-100</v>
      </c>
      <c r="BB200" t="str">
        <f t="shared" si="48"/>
        <v/>
      </c>
      <c r="BC200" t="str">
        <f t="shared" si="42"/>
        <v/>
      </c>
      <c r="BD200" s="430">
        <f>IFERROR(
IF(BB200="",-100,
IF($BV$2&gt;0, INDEX(Beersheet!$A:$U,MATCH(BB200,INDEX(Beersheet!$A:$U,0,FFARawStatProjections!$BV$2),0),$BV$3)+$BN200,
INDEX($A200:$BM200,,$BV$12)*$BW$12+
INDEX($A200:$BM200,,$BV$15)*$BW$15+
INDEX($A200:$BM200,,$BV$16)*$BW$16+
INDEX($A200:$BM200,,$BV$17)*$BW$17+
INDEX($A200:$BM200,,$BV$18)*$BW$18+
INDEX($A200:$BM200,,$BV$19)*$BW$19+
INDEX($A200:$BM200,,$BV$20)*$BW$20+
INDEX($A200:$BM200,,$BV$21)*$BW$21+
INDEX($A200:$BM200,,$BV$22)*$BW$22+
INDEX($A200:$BM200,,$BV$23)*$BW$23+
INDEX($A200:$BM200,,$BV$25)*$BW$25+
INDEX($A200:$BM200,,$BV$26)*$BW$26+
INDEX($A200:$BM200,,$BV$27)*$BW$27+
$BN200)),
$BN200-100)</f>
        <v>-100</v>
      </c>
      <c r="BF200" t="str">
        <f t="shared" si="49"/>
        <v/>
      </c>
      <c r="BG200" t="str">
        <f t="shared" si="50"/>
        <v/>
      </c>
      <c r="BH200">
        <f t="shared" si="51"/>
        <v>0</v>
      </c>
      <c r="BJ200" t="str">
        <f t="shared" si="52"/>
        <v/>
      </c>
      <c r="BL200">
        <f t="shared" si="41"/>
        <v>0</v>
      </c>
      <c r="BN200">
        <v>1.99E-3</v>
      </c>
      <c r="BS200" s="4" t="s">
        <v>176</v>
      </c>
    </row>
    <row r="201" spans="1:71" ht="15.75" thickBot="1" x14ac:dyDescent="0.3">
      <c r="A201" s="569" t="s">
        <v>2310</v>
      </c>
      <c r="B201" s="569" t="s">
        <v>157</v>
      </c>
      <c r="C201" s="569" t="s">
        <v>3</v>
      </c>
      <c r="D201" s="574">
        <v>11</v>
      </c>
      <c r="E201" s="569"/>
      <c r="F201" s="569"/>
      <c r="G201" s="569"/>
      <c r="H201" s="569"/>
      <c r="I201" s="574">
        <v>0</v>
      </c>
      <c r="J201" s="574">
        <v>0</v>
      </c>
      <c r="K201" s="574">
        <v>0</v>
      </c>
      <c r="L201" s="574">
        <v>5.2</v>
      </c>
      <c r="M201" s="574">
        <v>0.2</v>
      </c>
      <c r="N201" s="574">
        <v>63.4</v>
      </c>
      <c r="O201" s="574">
        <v>45.8</v>
      </c>
      <c r="P201" s="574">
        <v>0.7</v>
      </c>
      <c r="Q201" s="574">
        <v>187.5</v>
      </c>
      <c r="R201" s="569"/>
      <c r="S201" s="569"/>
      <c r="T201" s="569"/>
      <c r="U201" s="569"/>
      <c r="V201" s="569"/>
      <c r="W201" s="569"/>
      <c r="X201" s="569"/>
      <c r="Y201" s="569"/>
      <c r="Z201" s="569"/>
      <c r="AA201" s="569"/>
      <c r="AB201" s="569"/>
      <c r="AC201" s="569"/>
      <c r="AD201" s="569"/>
      <c r="AE201" s="569"/>
      <c r="AF201" s="569"/>
      <c r="AG201" s="569"/>
      <c r="AH201" s="569"/>
      <c r="AI201" s="569"/>
      <c r="AJ201" s="569"/>
      <c r="AK201" s="569"/>
      <c r="AL201" s="569"/>
      <c r="AM201" s="569"/>
      <c r="AN201" s="574">
        <v>29.8</v>
      </c>
      <c r="AO201">
        <v>200</v>
      </c>
      <c r="AP201" t="str">
        <f t="shared" si="40"/>
        <v/>
      </c>
      <c r="AQ201" t="str">
        <f t="shared" si="43"/>
        <v/>
      </c>
      <c r="AR201" s="430">
        <f>IFERROR(
IF(AP201="",-100,
IF($BV$2&gt;0, INDEX(Beersheet!$A:$U,MATCH(AP201,INDEX(Beersheet!$A:$U,0,FFARawStatProjections!$BV$2),0),$BV$3)+$BN201,
INDEX($A201:$BM201,,$BV$12)*$BW$12+
INDEX($A201:$BM201,,$BV$15)*$BW$15+
INDEX($A201:$BM201,,$BV$16)*$BW$16+
INDEX($A201:$BM201,,$BV$17)*$BW$17+
INDEX($A201:$BM201,,$BV$18)*$BW$18+
INDEX($A201:$BM201,,$BV$19)*$BW$19+
INDEX($A201:$BM201,,$BV$20)*$BW$20+
INDEX($A201:$BM201,,$BV$21)*$BW$21+
INDEX($A201:$BM201,,$BV$22)*$BW$22+
INDEX($A201:$BM201,,$BV$23)*$BW$23+
INDEX($A201:$BM201,,$BV$25)*$BW$25+
INDEX($A201:$BM201,,$BV$26)*$BW$26+
INDEX($A201:$BM201,,$BV$27)*$BW$27+
$BN201)),
$BN201-100)</f>
        <v>-100</v>
      </c>
      <c r="AT201" t="str">
        <f t="shared" si="44"/>
        <v>Pierre Strong</v>
      </c>
      <c r="AU201" t="str">
        <f t="shared" si="45"/>
        <v>NE</v>
      </c>
      <c r="AV201" s="430">
        <f>IFERROR(
IF(AT201="",-100,
IF($BV$2&gt;0, INDEX(Beersheet!$A:$U,MATCH(AT201,INDEX(Beersheet!$A:$U,0,FFARawStatProjections!$BV$2),0),$BV$3)+$BN201,
INDEX($A201:$BM201,,$BV$12)*$BW$12+
INDEX($A201:$BM201,,$BV$15)*$BW$15+
INDEX($A201:$BM201,,$BV$16)*$BW$16+
INDEX($A201:$BM201,,$BV$17)*$BW$17+
INDEX($A201:$BM201,,$BV$18)*$BW$18+
INDEX($A201:$BM201,,$BV$19)*$BW$19+
INDEX($A201:$BM201,,$BV$20)*$BW$20+
INDEX($A201:$BM201,,$BV$21)*$BW$21+
INDEX($A201:$BM201,,$BV$22)*$BW$22+
INDEX($A201:$BM201,,$BV$23)*$BW$23+
INDEX($A201:$BM201,,$BV$25)*$BW$25+
INDEX($A201:$BM201,,$BV$26)*$BW$26+
INDEX($A201:$BM201,,$BV$27)*$BW$27+
$BN201)),
$BN201-100)</f>
        <v>35.692</v>
      </c>
      <c r="AX201" t="str">
        <f t="shared" si="46"/>
        <v/>
      </c>
      <c r="AY201" t="str">
        <f t="shared" si="47"/>
        <v/>
      </c>
      <c r="AZ201" s="430">
        <f>IFERROR(
IF(AX201="",-100,
IF($BV$2&gt;0, INDEX(Beersheet!$A:$U,MATCH(AX201,INDEX(Beersheet!$A:$U,0,FFARawStatProjections!$BV$2),0),$BV$3)+$BN201,
INDEX($A201:$BM201,,$BV$12)*$BW$12+
INDEX($A201:$BM201,,$BV$15)*$BW$15+
INDEX($A201:$BM201,,$BV$16)*$BW$16+
INDEX($A201:$BM201,,$BV$17)*$BW$17+
INDEX($A201:$BM201,,$BV$18)*$BW$18+
INDEX($A201:$BM201,,$BV$19)*$BW$19+
INDEX($A201:$BM201,,$BV$20)*$BW$20+
INDEX($A201:$BM201,,$BV$21)*$BW$21+
INDEX($A201:$BM201,,$BV$22)*$BW$22+
INDEX($A201:$BM201,,$BV$23)*$BW$23+
INDEX($A201:$BM201,,$BV$25)*$BW$25+
INDEX($A201:$BM201,,$BV$26)*$BW$26+
INDEX($A201:$BM201,,$BV$27)*$BW$27+
$BN201)),
$BN201-100)</f>
        <v>-100</v>
      </c>
      <c r="BB201" t="str">
        <f t="shared" si="48"/>
        <v/>
      </c>
      <c r="BC201" t="str">
        <f t="shared" si="42"/>
        <v/>
      </c>
      <c r="BD201" s="430">
        <f>IFERROR(
IF(BB201="",-100,
IF($BV$2&gt;0, INDEX(Beersheet!$A:$U,MATCH(BB201,INDEX(Beersheet!$A:$U,0,FFARawStatProjections!$BV$2),0),$BV$3)+$BN201,
INDEX($A201:$BM201,,$BV$12)*$BW$12+
INDEX($A201:$BM201,,$BV$15)*$BW$15+
INDEX($A201:$BM201,,$BV$16)*$BW$16+
INDEX($A201:$BM201,,$BV$17)*$BW$17+
INDEX($A201:$BM201,,$BV$18)*$BW$18+
INDEX($A201:$BM201,,$BV$19)*$BW$19+
INDEX($A201:$BM201,,$BV$20)*$BW$20+
INDEX($A201:$BM201,,$BV$21)*$BW$21+
INDEX($A201:$BM201,,$BV$22)*$BW$22+
INDEX($A201:$BM201,,$BV$23)*$BW$23+
INDEX($A201:$BM201,,$BV$25)*$BW$25+
INDEX($A201:$BM201,,$BV$26)*$BW$26+
INDEX($A201:$BM201,,$BV$27)*$BW$27+
$BN201)),
$BN201-100)</f>
        <v>-100</v>
      </c>
      <c r="BF201" t="str">
        <f t="shared" si="49"/>
        <v/>
      </c>
      <c r="BG201" t="str">
        <f t="shared" si="50"/>
        <v/>
      </c>
      <c r="BH201">
        <f t="shared" si="51"/>
        <v>0</v>
      </c>
      <c r="BJ201" t="str">
        <f t="shared" si="52"/>
        <v/>
      </c>
      <c r="BL201">
        <f t="shared" si="41"/>
        <v>0</v>
      </c>
      <c r="BN201">
        <v>2E-3</v>
      </c>
      <c r="BS201" s="4" t="s">
        <v>2558</v>
      </c>
    </row>
    <row r="202" spans="1:71" ht="15.75" thickBot="1" x14ac:dyDescent="0.3">
      <c r="A202" s="569" t="s">
        <v>1130</v>
      </c>
      <c r="B202" s="569" t="s">
        <v>2073</v>
      </c>
      <c r="C202" s="569" t="s">
        <v>3</v>
      </c>
      <c r="D202" s="574">
        <v>13</v>
      </c>
      <c r="E202" s="569"/>
      <c r="F202" s="569"/>
      <c r="G202" s="569"/>
      <c r="H202" s="569"/>
      <c r="I202" s="574">
        <v>0</v>
      </c>
      <c r="J202" s="574">
        <v>0</v>
      </c>
      <c r="K202" s="574">
        <v>0</v>
      </c>
      <c r="L202" s="574">
        <v>18.399999999999999</v>
      </c>
      <c r="M202" s="574">
        <v>0.6</v>
      </c>
      <c r="N202" s="574">
        <v>140.5</v>
      </c>
      <c r="O202" s="574">
        <v>28.1</v>
      </c>
      <c r="P202" s="574">
        <v>0.4</v>
      </c>
      <c r="Q202" s="574">
        <v>97.1</v>
      </c>
      <c r="R202" s="569"/>
      <c r="S202" s="569"/>
      <c r="T202" s="569"/>
      <c r="U202" s="569"/>
      <c r="V202" s="569"/>
      <c r="W202" s="569"/>
      <c r="X202" s="569"/>
      <c r="Y202" s="569"/>
      <c r="Z202" s="569"/>
      <c r="AA202" s="569"/>
      <c r="AB202" s="569"/>
      <c r="AC202" s="569"/>
      <c r="AD202" s="569"/>
      <c r="AE202" s="569"/>
      <c r="AF202" s="569"/>
      <c r="AG202" s="569"/>
      <c r="AH202" s="569"/>
      <c r="AI202" s="569"/>
      <c r="AJ202" s="569"/>
      <c r="AK202" s="569"/>
      <c r="AL202" s="569"/>
      <c r="AM202" s="569"/>
      <c r="AN202" s="574">
        <v>29.4</v>
      </c>
      <c r="AO202">
        <v>201</v>
      </c>
      <c r="AP202" t="str">
        <f t="shared" si="40"/>
        <v/>
      </c>
      <c r="AQ202" t="str">
        <f t="shared" si="43"/>
        <v/>
      </c>
      <c r="AR202" s="430">
        <f>IFERROR(
IF(AP202="",-100,
IF($BV$2&gt;0, INDEX(Beersheet!$A:$U,MATCH(AP202,INDEX(Beersheet!$A:$U,0,FFARawStatProjections!$BV$2),0),$BV$3)+$BN202,
INDEX($A202:$BM202,,$BV$12)*$BW$12+
INDEX($A202:$BM202,,$BV$15)*$BW$15+
INDEX($A202:$BM202,,$BV$16)*$BW$16+
INDEX($A202:$BM202,,$BV$17)*$BW$17+
INDEX($A202:$BM202,,$BV$18)*$BW$18+
INDEX($A202:$BM202,,$BV$19)*$BW$19+
INDEX($A202:$BM202,,$BV$20)*$BW$20+
INDEX($A202:$BM202,,$BV$21)*$BW$21+
INDEX($A202:$BM202,,$BV$22)*$BW$22+
INDEX($A202:$BM202,,$BV$23)*$BW$23+
INDEX($A202:$BM202,,$BV$25)*$BW$25+
INDEX($A202:$BM202,,$BV$26)*$BW$26+
INDEX($A202:$BM202,,$BV$27)*$BW$27+
$BN202)),
$BN202-100)</f>
        <v>-100</v>
      </c>
      <c r="AT202" t="str">
        <f t="shared" si="44"/>
        <v>Ameer Abdullah</v>
      </c>
      <c r="AU202" t="str">
        <f t="shared" si="45"/>
        <v>LV</v>
      </c>
      <c r="AV202" s="430">
        <f>IFERROR(
IF(AT202="",-100,
IF($BV$2&gt;0, INDEX(Beersheet!$A:$U,MATCH(AT202,INDEX(Beersheet!$A:$U,0,FFARawStatProjections!$BV$2),0),$BV$3)+$BN202,
INDEX($A202:$BM202,,$BV$12)*$BW$12+
INDEX($A202:$BM202,,$BV$15)*$BW$15+
INDEX($A202:$BM202,,$BV$16)*$BW$16+
INDEX($A202:$BM202,,$BV$17)*$BW$17+
INDEX($A202:$BM202,,$BV$18)*$BW$18+
INDEX($A202:$BM202,,$BV$19)*$BW$19+
INDEX($A202:$BM202,,$BV$20)*$BW$20+
INDEX($A202:$BM202,,$BV$21)*$BW$21+
INDEX($A202:$BM202,,$BV$22)*$BW$22+
INDEX($A202:$BM202,,$BV$23)*$BW$23+
INDEX($A202:$BM202,,$BV$25)*$BW$25+
INDEX($A202:$BM202,,$BV$26)*$BW$26+
INDEX($A202:$BM202,,$BV$27)*$BW$27+
$BN202)),
$BN202-100)</f>
        <v>48.162009999999995</v>
      </c>
      <c r="AX202" t="str">
        <f t="shared" si="46"/>
        <v/>
      </c>
      <c r="AY202" t="str">
        <f t="shared" si="47"/>
        <v/>
      </c>
      <c r="AZ202" s="430">
        <f>IFERROR(
IF(AX202="",-100,
IF($BV$2&gt;0, INDEX(Beersheet!$A:$U,MATCH(AX202,INDEX(Beersheet!$A:$U,0,FFARawStatProjections!$BV$2),0),$BV$3)+$BN202,
INDEX($A202:$BM202,,$BV$12)*$BW$12+
INDEX($A202:$BM202,,$BV$15)*$BW$15+
INDEX($A202:$BM202,,$BV$16)*$BW$16+
INDEX($A202:$BM202,,$BV$17)*$BW$17+
INDEX($A202:$BM202,,$BV$18)*$BW$18+
INDEX($A202:$BM202,,$BV$19)*$BW$19+
INDEX($A202:$BM202,,$BV$20)*$BW$20+
INDEX($A202:$BM202,,$BV$21)*$BW$21+
INDEX($A202:$BM202,,$BV$22)*$BW$22+
INDEX($A202:$BM202,,$BV$23)*$BW$23+
INDEX($A202:$BM202,,$BV$25)*$BW$25+
INDEX($A202:$BM202,,$BV$26)*$BW$26+
INDEX($A202:$BM202,,$BV$27)*$BW$27+
$BN202)),
$BN202-100)</f>
        <v>-100</v>
      </c>
      <c r="BB202" t="str">
        <f t="shared" si="48"/>
        <v/>
      </c>
      <c r="BC202" t="str">
        <f t="shared" si="42"/>
        <v/>
      </c>
      <c r="BD202" s="430">
        <f>IFERROR(
IF(BB202="",-100,
IF($BV$2&gt;0, INDEX(Beersheet!$A:$U,MATCH(BB202,INDEX(Beersheet!$A:$U,0,FFARawStatProjections!$BV$2),0),$BV$3)+$BN202,
INDEX($A202:$BM202,,$BV$12)*$BW$12+
INDEX($A202:$BM202,,$BV$15)*$BW$15+
INDEX($A202:$BM202,,$BV$16)*$BW$16+
INDEX($A202:$BM202,,$BV$17)*$BW$17+
INDEX($A202:$BM202,,$BV$18)*$BW$18+
INDEX($A202:$BM202,,$BV$19)*$BW$19+
INDEX($A202:$BM202,,$BV$20)*$BW$20+
INDEX($A202:$BM202,,$BV$21)*$BW$21+
INDEX($A202:$BM202,,$BV$22)*$BW$22+
INDEX($A202:$BM202,,$BV$23)*$BW$23+
INDEX($A202:$BM202,,$BV$25)*$BW$25+
INDEX($A202:$BM202,,$BV$26)*$BW$26+
INDEX($A202:$BM202,,$BV$27)*$BW$27+
$BN202)),
$BN202-100)</f>
        <v>-100</v>
      </c>
      <c r="BF202" t="str">
        <f t="shared" si="49"/>
        <v/>
      </c>
      <c r="BG202" t="str">
        <f t="shared" si="50"/>
        <v/>
      </c>
      <c r="BH202">
        <f t="shared" si="51"/>
        <v>0</v>
      </c>
      <c r="BJ202" t="str">
        <f t="shared" si="52"/>
        <v/>
      </c>
      <c r="BL202">
        <f t="shared" si="41"/>
        <v>0</v>
      </c>
      <c r="BN202">
        <v>2.0100000000000001E-3</v>
      </c>
      <c r="BS202" s="4" t="s">
        <v>2119</v>
      </c>
    </row>
    <row r="203" spans="1:71" ht="15.75" thickBot="1" x14ac:dyDescent="0.3">
      <c r="A203" s="569" t="s">
        <v>1883</v>
      </c>
      <c r="B203" s="569" t="s">
        <v>145</v>
      </c>
      <c r="C203" s="569" t="s">
        <v>3</v>
      </c>
      <c r="D203" s="574">
        <v>7</v>
      </c>
      <c r="E203" s="569"/>
      <c r="F203" s="569"/>
      <c r="G203" s="569"/>
      <c r="H203" s="569"/>
      <c r="I203" s="574">
        <v>0</v>
      </c>
      <c r="J203" s="574">
        <v>0</v>
      </c>
      <c r="K203" s="574">
        <v>0</v>
      </c>
      <c r="L203" s="574">
        <v>8</v>
      </c>
      <c r="M203" s="574">
        <v>0.2</v>
      </c>
      <c r="N203" s="574">
        <v>61.2</v>
      </c>
      <c r="O203" s="574">
        <v>52.4</v>
      </c>
      <c r="P203" s="574">
        <v>0.7</v>
      </c>
      <c r="Q203" s="574">
        <v>192.6</v>
      </c>
      <c r="R203" s="569"/>
      <c r="S203" s="569"/>
      <c r="T203" s="569"/>
      <c r="U203" s="569"/>
      <c r="V203" s="569"/>
      <c r="W203" s="569"/>
      <c r="X203" s="569"/>
      <c r="Y203" s="569"/>
      <c r="Z203" s="569"/>
      <c r="AA203" s="569"/>
      <c r="AB203" s="569"/>
      <c r="AC203" s="569"/>
      <c r="AD203" s="569"/>
      <c r="AE203" s="569"/>
      <c r="AF203" s="569"/>
      <c r="AG203" s="569"/>
      <c r="AH203" s="569"/>
      <c r="AI203" s="569"/>
      <c r="AJ203" s="569"/>
      <c r="AK203" s="569"/>
      <c r="AL203" s="569"/>
      <c r="AM203" s="569"/>
      <c r="AN203" s="574">
        <v>29.3</v>
      </c>
      <c r="AO203">
        <v>202</v>
      </c>
      <c r="AP203" t="str">
        <f t="shared" si="40"/>
        <v/>
      </c>
      <c r="AQ203" t="str">
        <f t="shared" si="43"/>
        <v/>
      </c>
      <c r="AR203" s="430">
        <f>IFERROR(
IF(AP203="",-100,
IF($BV$2&gt;0, INDEX(Beersheet!$A:$U,MATCH(AP203,INDEX(Beersheet!$A:$U,0,FFARawStatProjections!$BV$2),0),$BV$3)+$BN203,
INDEX($A203:$BM203,,$BV$12)*$BW$12+
INDEX($A203:$BM203,,$BV$15)*$BW$15+
INDEX($A203:$BM203,,$BV$16)*$BW$16+
INDEX($A203:$BM203,,$BV$17)*$BW$17+
INDEX($A203:$BM203,,$BV$18)*$BW$18+
INDEX($A203:$BM203,,$BV$19)*$BW$19+
INDEX($A203:$BM203,,$BV$20)*$BW$20+
INDEX($A203:$BM203,,$BV$21)*$BW$21+
INDEX($A203:$BM203,,$BV$22)*$BW$22+
INDEX($A203:$BM203,,$BV$23)*$BW$23+
INDEX($A203:$BM203,,$BV$25)*$BW$25+
INDEX($A203:$BM203,,$BV$26)*$BW$26+
INDEX($A203:$BM203,,$BV$27)*$BW$27+
$BN203)),
$BN203-100)</f>
        <v>-100</v>
      </c>
      <c r="AT203" t="str">
        <f t="shared" si="44"/>
        <v>Trayveon Williams</v>
      </c>
      <c r="AU203" t="str">
        <f t="shared" si="45"/>
        <v>CIN</v>
      </c>
      <c r="AV203" s="430">
        <f>IFERROR(
IF(AT203="",-100,
IF($BV$2&gt;0, INDEX(Beersheet!$A:$U,MATCH(AT203,INDEX(Beersheet!$A:$U,0,FFARawStatProjections!$BV$2),0),$BV$3)+$BN203,
INDEX($A203:$BM203,,$BV$12)*$BW$12+
INDEX($A203:$BM203,,$BV$15)*$BW$15+
INDEX($A203:$BM203,,$BV$16)*$BW$16+
INDEX($A203:$BM203,,$BV$17)*$BW$17+
INDEX($A203:$BM203,,$BV$18)*$BW$18+
INDEX($A203:$BM203,,$BV$19)*$BW$19+
INDEX($A203:$BM203,,$BV$20)*$BW$20+
INDEX($A203:$BM203,,$BV$21)*$BW$21+
INDEX($A203:$BM203,,$BV$22)*$BW$22+
INDEX($A203:$BM203,,$BV$23)*$BW$23+
INDEX($A203:$BM203,,$BV$25)*$BW$25+
INDEX($A203:$BM203,,$BV$26)*$BW$26+
INDEX($A203:$BM203,,$BV$27)*$BW$27+
$BN203)),
$BN203-100)</f>
        <v>38.782020000000003</v>
      </c>
      <c r="AX203" t="str">
        <f t="shared" si="46"/>
        <v/>
      </c>
      <c r="AY203" t="str">
        <f t="shared" si="47"/>
        <v/>
      </c>
      <c r="AZ203" s="430">
        <f>IFERROR(
IF(AX203="",-100,
IF($BV$2&gt;0, INDEX(Beersheet!$A:$U,MATCH(AX203,INDEX(Beersheet!$A:$U,0,FFARawStatProjections!$BV$2),0),$BV$3)+$BN203,
INDEX($A203:$BM203,,$BV$12)*$BW$12+
INDEX($A203:$BM203,,$BV$15)*$BW$15+
INDEX($A203:$BM203,,$BV$16)*$BW$16+
INDEX($A203:$BM203,,$BV$17)*$BW$17+
INDEX($A203:$BM203,,$BV$18)*$BW$18+
INDEX($A203:$BM203,,$BV$19)*$BW$19+
INDEX($A203:$BM203,,$BV$20)*$BW$20+
INDEX($A203:$BM203,,$BV$21)*$BW$21+
INDEX($A203:$BM203,,$BV$22)*$BW$22+
INDEX($A203:$BM203,,$BV$23)*$BW$23+
INDEX($A203:$BM203,,$BV$25)*$BW$25+
INDEX($A203:$BM203,,$BV$26)*$BW$26+
INDEX($A203:$BM203,,$BV$27)*$BW$27+
$BN203)),
$BN203-100)</f>
        <v>-100</v>
      </c>
      <c r="BB203" t="str">
        <f t="shared" si="48"/>
        <v/>
      </c>
      <c r="BC203" t="str">
        <f t="shared" si="42"/>
        <v/>
      </c>
      <c r="BD203" s="430">
        <f>IFERROR(
IF(BB203="",-100,
IF($BV$2&gt;0, INDEX(Beersheet!$A:$U,MATCH(BB203,INDEX(Beersheet!$A:$U,0,FFARawStatProjections!$BV$2),0),$BV$3)+$BN203,
INDEX($A203:$BM203,,$BV$12)*$BW$12+
INDEX($A203:$BM203,,$BV$15)*$BW$15+
INDEX($A203:$BM203,,$BV$16)*$BW$16+
INDEX($A203:$BM203,,$BV$17)*$BW$17+
INDEX($A203:$BM203,,$BV$18)*$BW$18+
INDEX($A203:$BM203,,$BV$19)*$BW$19+
INDEX($A203:$BM203,,$BV$20)*$BW$20+
INDEX($A203:$BM203,,$BV$21)*$BW$21+
INDEX($A203:$BM203,,$BV$22)*$BW$22+
INDEX($A203:$BM203,,$BV$23)*$BW$23+
INDEX($A203:$BM203,,$BV$25)*$BW$25+
INDEX($A203:$BM203,,$BV$26)*$BW$26+
INDEX($A203:$BM203,,$BV$27)*$BW$27+
$BN203)),
$BN203-100)</f>
        <v>-100</v>
      </c>
      <c r="BF203" t="str">
        <f t="shared" si="49"/>
        <v/>
      </c>
      <c r="BG203" t="str">
        <f t="shared" si="50"/>
        <v/>
      </c>
      <c r="BH203">
        <f t="shared" si="51"/>
        <v>0</v>
      </c>
      <c r="BJ203" t="str">
        <f t="shared" si="52"/>
        <v/>
      </c>
      <c r="BL203">
        <f t="shared" si="41"/>
        <v>0</v>
      </c>
      <c r="BN203">
        <v>2.0200000000000001E-3</v>
      </c>
      <c r="BS203" s="4" t="s">
        <v>1180</v>
      </c>
    </row>
    <row r="204" spans="1:71" ht="15.75" thickBot="1" x14ac:dyDescent="0.3">
      <c r="A204" s="569" t="s">
        <v>2298</v>
      </c>
      <c r="B204" s="569" t="s">
        <v>163</v>
      </c>
      <c r="C204" s="569" t="s">
        <v>3</v>
      </c>
      <c r="D204" s="574">
        <v>7</v>
      </c>
      <c r="E204" s="569"/>
      <c r="F204" s="569"/>
      <c r="G204" s="569"/>
      <c r="H204" s="569"/>
      <c r="I204" s="574">
        <v>0</v>
      </c>
      <c r="J204" s="574">
        <v>0</v>
      </c>
      <c r="K204" s="574">
        <v>0</v>
      </c>
      <c r="L204" s="574">
        <v>12.9</v>
      </c>
      <c r="M204" s="574">
        <v>0.4</v>
      </c>
      <c r="N204" s="574">
        <v>89.6</v>
      </c>
      <c r="O204" s="574">
        <v>39.700000000000003</v>
      </c>
      <c r="P204" s="574">
        <v>0.5</v>
      </c>
      <c r="Q204" s="574">
        <v>152.30000000000001</v>
      </c>
      <c r="R204" s="569"/>
      <c r="S204" s="569"/>
      <c r="T204" s="569"/>
      <c r="U204" s="569"/>
      <c r="V204" s="569"/>
      <c r="W204" s="569"/>
      <c r="X204" s="569"/>
      <c r="Y204" s="569"/>
      <c r="Z204" s="569"/>
      <c r="AA204" s="569"/>
      <c r="AB204" s="569"/>
      <c r="AC204" s="569"/>
      <c r="AD204" s="569"/>
      <c r="AE204" s="569"/>
      <c r="AF204" s="569"/>
      <c r="AG204" s="569"/>
      <c r="AH204" s="569"/>
      <c r="AI204" s="569"/>
      <c r="AJ204" s="569"/>
      <c r="AK204" s="569"/>
      <c r="AL204" s="569"/>
      <c r="AM204" s="569"/>
      <c r="AN204" s="574">
        <v>29.1</v>
      </c>
      <c r="AO204">
        <v>203</v>
      </c>
      <c r="AP204" t="str">
        <f t="shared" si="40"/>
        <v/>
      </c>
      <c r="AQ204" t="str">
        <f t="shared" si="43"/>
        <v/>
      </c>
      <c r="AR204" s="430">
        <f>IFERROR(
IF(AP204="",-100,
IF($BV$2&gt;0, INDEX(Beersheet!$A:$U,MATCH(AP204,INDEX(Beersheet!$A:$U,0,FFARawStatProjections!$BV$2),0),$BV$3)+$BN204,
INDEX($A204:$BM204,,$BV$12)*$BW$12+
INDEX($A204:$BM204,,$BV$15)*$BW$15+
INDEX($A204:$BM204,,$BV$16)*$BW$16+
INDEX($A204:$BM204,,$BV$17)*$BW$17+
INDEX($A204:$BM204,,$BV$18)*$BW$18+
INDEX($A204:$BM204,,$BV$19)*$BW$19+
INDEX($A204:$BM204,,$BV$20)*$BW$20+
INDEX($A204:$BM204,,$BV$21)*$BW$21+
INDEX($A204:$BM204,,$BV$22)*$BW$22+
INDEX($A204:$BM204,,$BV$23)*$BW$23+
INDEX($A204:$BM204,,$BV$25)*$BW$25+
INDEX($A204:$BM204,,$BV$26)*$BW$26+
INDEX($A204:$BM204,,$BV$27)*$BW$27+
$BN204)),
$BN204-100)</f>
        <v>-100</v>
      </c>
      <c r="AT204" t="str">
        <f t="shared" si="44"/>
        <v>Hassan Haskins</v>
      </c>
      <c r="AU204" t="str">
        <f t="shared" si="45"/>
        <v>TEN</v>
      </c>
      <c r="AV204" s="430">
        <f>IFERROR(
IF(AT204="",-100,
IF($BV$2&gt;0, INDEX(Beersheet!$A:$U,MATCH(AT204,INDEX(Beersheet!$A:$U,0,FFARawStatProjections!$BV$2),0),$BV$3)+$BN204,
INDEX($A204:$BM204,,$BV$12)*$BW$12+
INDEX($A204:$BM204,,$BV$15)*$BW$15+
INDEX($A204:$BM204,,$BV$16)*$BW$16+
INDEX($A204:$BM204,,$BV$17)*$BW$17+
INDEX($A204:$BM204,,$BV$18)*$BW$18+
INDEX($A204:$BM204,,$BV$19)*$BW$19+
INDEX($A204:$BM204,,$BV$20)*$BW$20+
INDEX($A204:$BM204,,$BV$21)*$BW$21+
INDEX($A204:$BM204,,$BV$22)*$BW$22+
INDEX($A204:$BM204,,$BV$23)*$BW$23+
INDEX($A204:$BM204,,$BV$25)*$BW$25+
INDEX($A204:$BM204,,$BV$26)*$BW$26+
INDEX($A204:$BM204,,$BV$27)*$BW$27+
$BN204)),
$BN204-100)</f>
        <v>42.49203</v>
      </c>
      <c r="AX204" t="str">
        <f t="shared" si="46"/>
        <v/>
      </c>
      <c r="AY204" t="str">
        <f t="shared" si="47"/>
        <v/>
      </c>
      <c r="AZ204" s="430">
        <f>IFERROR(
IF(AX204="",-100,
IF($BV$2&gt;0, INDEX(Beersheet!$A:$U,MATCH(AX204,INDEX(Beersheet!$A:$U,0,FFARawStatProjections!$BV$2),0),$BV$3)+$BN204,
INDEX($A204:$BM204,,$BV$12)*$BW$12+
INDEX($A204:$BM204,,$BV$15)*$BW$15+
INDEX($A204:$BM204,,$BV$16)*$BW$16+
INDEX($A204:$BM204,,$BV$17)*$BW$17+
INDEX($A204:$BM204,,$BV$18)*$BW$18+
INDEX($A204:$BM204,,$BV$19)*$BW$19+
INDEX($A204:$BM204,,$BV$20)*$BW$20+
INDEX($A204:$BM204,,$BV$21)*$BW$21+
INDEX($A204:$BM204,,$BV$22)*$BW$22+
INDEX($A204:$BM204,,$BV$23)*$BW$23+
INDEX($A204:$BM204,,$BV$25)*$BW$25+
INDEX($A204:$BM204,,$BV$26)*$BW$26+
INDEX($A204:$BM204,,$BV$27)*$BW$27+
$BN204)),
$BN204-100)</f>
        <v>-100</v>
      </c>
      <c r="BB204" t="str">
        <f t="shared" si="48"/>
        <v/>
      </c>
      <c r="BC204" t="str">
        <f t="shared" si="42"/>
        <v/>
      </c>
      <c r="BD204" s="430">
        <f>IFERROR(
IF(BB204="",-100,
IF($BV$2&gt;0, INDEX(Beersheet!$A:$U,MATCH(BB204,INDEX(Beersheet!$A:$U,0,FFARawStatProjections!$BV$2),0),$BV$3)+$BN204,
INDEX($A204:$BM204,,$BV$12)*$BW$12+
INDEX($A204:$BM204,,$BV$15)*$BW$15+
INDEX($A204:$BM204,,$BV$16)*$BW$16+
INDEX($A204:$BM204,,$BV$17)*$BW$17+
INDEX($A204:$BM204,,$BV$18)*$BW$18+
INDEX($A204:$BM204,,$BV$19)*$BW$19+
INDEX($A204:$BM204,,$BV$20)*$BW$20+
INDEX($A204:$BM204,,$BV$21)*$BW$21+
INDEX($A204:$BM204,,$BV$22)*$BW$22+
INDEX($A204:$BM204,,$BV$23)*$BW$23+
INDEX($A204:$BM204,,$BV$25)*$BW$25+
INDEX($A204:$BM204,,$BV$26)*$BW$26+
INDEX($A204:$BM204,,$BV$27)*$BW$27+
$BN204)),
$BN204-100)</f>
        <v>-100</v>
      </c>
      <c r="BF204" t="str">
        <f t="shared" si="49"/>
        <v/>
      </c>
      <c r="BG204" t="str">
        <f t="shared" si="50"/>
        <v/>
      </c>
      <c r="BH204">
        <f t="shared" si="51"/>
        <v>0</v>
      </c>
      <c r="BJ204" t="str">
        <f t="shared" si="52"/>
        <v/>
      </c>
      <c r="BL204">
        <f t="shared" si="41"/>
        <v>0</v>
      </c>
      <c r="BN204">
        <v>2.0300000000000001E-3</v>
      </c>
      <c r="BS204" s="4" t="s">
        <v>1431</v>
      </c>
    </row>
    <row r="205" spans="1:71" ht="15.75" thickBot="1" x14ac:dyDescent="0.3">
      <c r="A205" s="569" t="s">
        <v>2509</v>
      </c>
      <c r="B205" s="569" t="s">
        <v>152</v>
      </c>
      <c r="C205" s="569" t="s">
        <v>3</v>
      </c>
      <c r="D205" s="574">
        <v>14</v>
      </c>
      <c r="E205" s="569"/>
      <c r="F205" s="569"/>
      <c r="G205" s="569"/>
      <c r="H205" s="569"/>
      <c r="I205" s="574">
        <v>0</v>
      </c>
      <c r="J205" s="574">
        <v>0</v>
      </c>
      <c r="K205" s="574">
        <v>0</v>
      </c>
      <c r="L205" s="574">
        <v>8.6999999999999993</v>
      </c>
      <c r="M205" s="574">
        <v>0.2</v>
      </c>
      <c r="N205" s="574">
        <v>60.4</v>
      </c>
      <c r="O205" s="574">
        <v>39.1</v>
      </c>
      <c r="P205" s="574">
        <v>0.8</v>
      </c>
      <c r="Q205" s="574">
        <v>164</v>
      </c>
      <c r="R205" s="569"/>
      <c r="S205" s="569"/>
      <c r="T205" s="569"/>
      <c r="U205" s="569"/>
      <c r="V205" s="569"/>
      <c r="W205" s="569"/>
      <c r="X205" s="569"/>
      <c r="Y205" s="569"/>
      <c r="Z205" s="569"/>
      <c r="AA205" s="569"/>
      <c r="AB205" s="569"/>
      <c r="AC205" s="569"/>
      <c r="AD205" s="569"/>
      <c r="AE205" s="569"/>
      <c r="AF205" s="569"/>
      <c r="AG205" s="569"/>
      <c r="AH205" s="569"/>
      <c r="AI205" s="569"/>
      <c r="AJ205" s="569"/>
      <c r="AK205" s="569"/>
      <c r="AL205" s="569"/>
      <c r="AM205" s="569"/>
      <c r="AN205" s="574">
        <v>28</v>
      </c>
      <c r="AO205">
        <v>204</v>
      </c>
      <c r="AP205" t="str">
        <f t="shared" si="40"/>
        <v/>
      </c>
      <c r="AQ205" t="str">
        <f t="shared" si="43"/>
        <v/>
      </c>
      <c r="AR205" s="430">
        <f>IFERROR(
IF(AP205="",-100,
IF($BV$2&gt;0, INDEX(Beersheet!$A:$U,MATCH(AP205,INDEX(Beersheet!$A:$U,0,FFARawStatProjections!$BV$2),0),$BV$3)+$BN205,
INDEX($A205:$BM205,,$BV$12)*$BW$12+
INDEX($A205:$BM205,,$BV$15)*$BW$15+
INDEX($A205:$BM205,,$BV$16)*$BW$16+
INDEX($A205:$BM205,,$BV$17)*$BW$17+
INDEX($A205:$BM205,,$BV$18)*$BW$18+
INDEX($A205:$BM205,,$BV$19)*$BW$19+
INDEX($A205:$BM205,,$BV$20)*$BW$20+
INDEX($A205:$BM205,,$BV$21)*$BW$21+
INDEX($A205:$BM205,,$BV$22)*$BW$22+
INDEX($A205:$BM205,,$BV$23)*$BW$23+
INDEX($A205:$BM205,,$BV$25)*$BW$25+
INDEX($A205:$BM205,,$BV$26)*$BW$26+
INDEX($A205:$BM205,,$BV$27)*$BW$27+
$BN205)),
$BN205-100)</f>
        <v>-100</v>
      </c>
      <c r="AT205" t="str">
        <f t="shared" si="44"/>
        <v>Chris Rodriguez</v>
      </c>
      <c r="AU205" t="str">
        <f t="shared" si="45"/>
        <v>WAS</v>
      </c>
      <c r="AV205" s="430">
        <f>IFERROR(
IF(AT205="",-100,
IF($BV$2&gt;0, INDEX(Beersheet!$A:$U,MATCH(AT205,INDEX(Beersheet!$A:$U,0,FFARawStatProjections!$BV$2),0),$BV$3)+$BN205,
INDEX($A205:$BM205,,$BV$12)*$BW$12+
INDEX($A205:$BM205,,$BV$15)*$BW$15+
INDEX($A205:$BM205,,$BV$16)*$BW$16+
INDEX($A205:$BM205,,$BV$17)*$BW$17+
INDEX($A205:$BM205,,$BV$18)*$BW$18+
INDEX($A205:$BM205,,$BV$19)*$BW$19+
INDEX($A205:$BM205,,$BV$20)*$BW$20+
INDEX($A205:$BM205,,$BV$21)*$BW$21+
INDEX($A205:$BM205,,$BV$22)*$BW$22+
INDEX($A205:$BM205,,$BV$23)*$BW$23+
INDEX($A205:$BM205,,$BV$25)*$BW$25+
INDEX($A205:$BM205,,$BV$26)*$BW$26+
INDEX($A205:$BM205,,$BV$27)*$BW$27+
$BN205)),
$BN205-100)</f>
        <v>37.142040000000001</v>
      </c>
      <c r="AX205" t="str">
        <f t="shared" si="46"/>
        <v/>
      </c>
      <c r="AY205" t="str">
        <f t="shared" si="47"/>
        <v/>
      </c>
      <c r="AZ205" s="430">
        <f>IFERROR(
IF(AX205="",-100,
IF($BV$2&gt;0, INDEX(Beersheet!$A:$U,MATCH(AX205,INDEX(Beersheet!$A:$U,0,FFARawStatProjections!$BV$2),0),$BV$3)+$BN205,
INDEX($A205:$BM205,,$BV$12)*$BW$12+
INDEX($A205:$BM205,,$BV$15)*$BW$15+
INDEX($A205:$BM205,,$BV$16)*$BW$16+
INDEX($A205:$BM205,,$BV$17)*$BW$17+
INDEX($A205:$BM205,,$BV$18)*$BW$18+
INDEX($A205:$BM205,,$BV$19)*$BW$19+
INDEX($A205:$BM205,,$BV$20)*$BW$20+
INDEX($A205:$BM205,,$BV$21)*$BW$21+
INDEX($A205:$BM205,,$BV$22)*$BW$22+
INDEX($A205:$BM205,,$BV$23)*$BW$23+
INDEX($A205:$BM205,,$BV$25)*$BW$25+
INDEX($A205:$BM205,,$BV$26)*$BW$26+
INDEX($A205:$BM205,,$BV$27)*$BW$27+
$BN205)),
$BN205-100)</f>
        <v>-100</v>
      </c>
      <c r="BB205" t="str">
        <f t="shared" si="48"/>
        <v/>
      </c>
      <c r="BC205" t="str">
        <f t="shared" si="42"/>
        <v/>
      </c>
      <c r="BD205" s="430">
        <f>IFERROR(
IF(BB205="",-100,
IF($BV$2&gt;0, INDEX(Beersheet!$A:$U,MATCH(BB205,INDEX(Beersheet!$A:$U,0,FFARawStatProjections!$BV$2),0),$BV$3)+$BN205,
INDEX($A205:$BM205,,$BV$12)*$BW$12+
INDEX($A205:$BM205,,$BV$15)*$BW$15+
INDEX($A205:$BM205,,$BV$16)*$BW$16+
INDEX($A205:$BM205,,$BV$17)*$BW$17+
INDEX($A205:$BM205,,$BV$18)*$BW$18+
INDEX($A205:$BM205,,$BV$19)*$BW$19+
INDEX($A205:$BM205,,$BV$20)*$BW$20+
INDEX($A205:$BM205,,$BV$21)*$BW$21+
INDEX($A205:$BM205,,$BV$22)*$BW$22+
INDEX($A205:$BM205,,$BV$23)*$BW$23+
INDEX($A205:$BM205,,$BV$25)*$BW$25+
INDEX($A205:$BM205,,$BV$26)*$BW$26+
INDEX($A205:$BM205,,$BV$27)*$BW$27+
$BN205)),
$BN205-100)</f>
        <v>-100</v>
      </c>
      <c r="BF205" t="str">
        <f t="shared" si="49"/>
        <v/>
      </c>
      <c r="BG205" t="str">
        <f t="shared" si="50"/>
        <v/>
      </c>
      <c r="BH205">
        <f t="shared" si="51"/>
        <v>0</v>
      </c>
      <c r="BJ205" t="str">
        <f t="shared" si="52"/>
        <v/>
      </c>
      <c r="BL205">
        <f t="shared" si="41"/>
        <v>0</v>
      </c>
      <c r="BN205">
        <v>2.0400000000000001E-3</v>
      </c>
      <c r="BS205" s="4" t="s">
        <v>2282</v>
      </c>
    </row>
    <row r="206" spans="1:71" ht="15.75" thickBot="1" x14ac:dyDescent="0.3">
      <c r="A206" s="569" t="s">
        <v>2423</v>
      </c>
      <c r="B206" s="569" t="s">
        <v>159</v>
      </c>
      <c r="C206" s="569" t="s">
        <v>3</v>
      </c>
      <c r="D206" s="574">
        <v>7</v>
      </c>
      <c r="E206" s="569"/>
      <c r="F206" s="569"/>
      <c r="G206" s="569"/>
      <c r="H206" s="569"/>
      <c r="I206" s="574">
        <v>0</v>
      </c>
      <c r="J206" s="574">
        <v>0</v>
      </c>
      <c r="K206" s="574">
        <v>0</v>
      </c>
      <c r="L206" s="574">
        <v>10.9</v>
      </c>
      <c r="M206" s="574">
        <v>0.3</v>
      </c>
      <c r="N206" s="574">
        <v>81</v>
      </c>
      <c r="O206" s="574">
        <v>31.5</v>
      </c>
      <c r="P206" s="574">
        <v>1.2</v>
      </c>
      <c r="Q206" s="574">
        <v>118.3</v>
      </c>
      <c r="R206" s="569"/>
      <c r="S206" s="569"/>
      <c r="T206" s="569"/>
      <c r="U206" s="569"/>
      <c r="V206" s="569"/>
      <c r="W206" s="569"/>
      <c r="X206" s="569"/>
      <c r="Y206" s="569"/>
      <c r="Z206" s="569"/>
      <c r="AA206" s="569"/>
      <c r="AB206" s="569"/>
      <c r="AC206" s="569"/>
      <c r="AD206" s="569"/>
      <c r="AE206" s="569"/>
      <c r="AF206" s="569"/>
      <c r="AG206" s="569"/>
      <c r="AH206" s="569"/>
      <c r="AI206" s="569"/>
      <c r="AJ206" s="569"/>
      <c r="AK206" s="569"/>
      <c r="AL206" s="569"/>
      <c r="AM206" s="569"/>
      <c r="AN206" s="574">
        <v>27.8</v>
      </c>
      <c r="AO206">
        <v>205</v>
      </c>
      <c r="AP206" t="str">
        <f t="shared" si="40"/>
        <v/>
      </c>
      <c r="AQ206" t="str">
        <f t="shared" si="43"/>
        <v/>
      </c>
      <c r="AR206" s="430">
        <f>IFERROR(
IF(AP206="",-100,
IF($BV$2&gt;0, INDEX(Beersheet!$A:$U,MATCH(AP206,INDEX(Beersheet!$A:$U,0,FFARawStatProjections!$BV$2),0),$BV$3)+$BN206,
INDEX($A206:$BM206,,$BV$12)*$BW$12+
INDEX($A206:$BM206,,$BV$15)*$BW$15+
INDEX($A206:$BM206,,$BV$16)*$BW$16+
INDEX($A206:$BM206,,$BV$17)*$BW$17+
INDEX($A206:$BM206,,$BV$18)*$BW$18+
INDEX($A206:$BM206,,$BV$19)*$BW$19+
INDEX($A206:$BM206,,$BV$20)*$BW$20+
INDEX($A206:$BM206,,$BV$21)*$BW$21+
INDEX($A206:$BM206,,$BV$22)*$BW$22+
INDEX($A206:$BM206,,$BV$23)*$BW$23+
INDEX($A206:$BM206,,$BV$25)*$BW$25+
INDEX($A206:$BM206,,$BV$26)*$BW$26+
INDEX($A206:$BM206,,$BV$27)*$BW$27+
$BN206)),
$BN206-100)</f>
        <v>-100</v>
      </c>
      <c r="AT206" t="str">
        <f t="shared" si="44"/>
        <v>Raheem Blackshear</v>
      </c>
      <c r="AU206" t="str">
        <f t="shared" si="45"/>
        <v>CAR</v>
      </c>
      <c r="AV206" s="430">
        <f>IFERROR(
IF(AT206="",-100,
IF($BV$2&gt;0, INDEX(Beersheet!$A:$U,MATCH(AT206,INDEX(Beersheet!$A:$U,0,FFARawStatProjections!$BV$2),0),$BV$3)+$BN206,
INDEX($A206:$BM206,,$BV$12)*$BW$12+
INDEX($A206:$BM206,,$BV$15)*$BW$15+
INDEX($A206:$BM206,,$BV$16)*$BW$16+
INDEX($A206:$BM206,,$BV$17)*$BW$17+
INDEX($A206:$BM206,,$BV$18)*$BW$18+
INDEX($A206:$BM206,,$BV$19)*$BW$19+
INDEX($A206:$BM206,,$BV$20)*$BW$20+
INDEX($A206:$BM206,,$BV$21)*$BW$21+
INDEX($A206:$BM206,,$BV$22)*$BW$22+
INDEX($A206:$BM206,,$BV$23)*$BW$23+
INDEX($A206:$BM206,,$BV$25)*$BW$25+
INDEX($A206:$BM206,,$BV$26)*$BW$26+
INDEX($A206:$BM206,,$BV$27)*$BW$27+
$BN206)),
$BN206-100)</f>
        <v>39.832049999999995</v>
      </c>
      <c r="AX206" t="str">
        <f t="shared" si="46"/>
        <v/>
      </c>
      <c r="AY206" t="str">
        <f t="shared" si="47"/>
        <v/>
      </c>
      <c r="AZ206" s="430">
        <f>IFERROR(
IF(AX206="",-100,
IF($BV$2&gt;0, INDEX(Beersheet!$A:$U,MATCH(AX206,INDEX(Beersheet!$A:$U,0,FFARawStatProjections!$BV$2),0),$BV$3)+$BN206,
INDEX($A206:$BM206,,$BV$12)*$BW$12+
INDEX($A206:$BM206,,$BV$15)*$BW$15+
INDEX($A206:$BM206,,$BV$16)*$BW$16+
INDEX($A206:$BM206,,$BV$17)*$BW$17+
INDEX($A206:$BM206,,$BV$18)*$BW$18+
INDEX($A206:$BM206,,$BV$19)*$BW$19+
INDEX($A206:$BM206,,$BV$20)*$BW$20+
INDEX($A206:$BM206,,$BV$21)*$BW$21+
INDEX($A206:$BM206,,$BV$22)*$BW$22+
INDEX($A206:$BM206,,$BV$23)*$BW$23+
INDEX($A206:$BM206,,$BV$25)*$BW$25+
INDEX($A206:$BM206,,$BV$26)*$BW$26+
INDEX($A206:$BM206,,$BV$27)*$BW$27+
$BN206)),
$BN206-100)</f>
        <v>-100</v>
      </c>
      <c r="BB206" t="str">
        <f t="shared" si="48"/>
        <v/>
      </c>
      <c r="BC206" t="str">
        <f t="shared" si="42"/>
        <v/>
      </c>
      <c r="BD206" s="430">
        <f>IFERROR(
IF(BB206="",-100,
IF($BV$2&gt;0, INDEX(Beersheet!$A:$U,MATCH(BB206,INDEX(Beersheet!$A:$U,0,FFARawStatProjections!$BV$2),0),$BV$3)+$BN206,
INDEX($A206:$BM206,,$BV$12)*$BW$12+
INDEX($A206:$BM206,,$BV$15)*$BW$15+
INDEX($A206:$BM206,,$BV$16)*$BW$16+
INDEX($A206:$BM206,,$BV$17)*$BW$17+
INDEX($A206:$BM206,,$BV$18)*$BW$18+
INDEX($A206:$BM206,,$BV$19)*$BW$19+
INDEX($A206:$BM206,,$BV$20)*$BW$20+
INDEX($A206:$BM206,,$BV$21)*$BW$21+
INDEX($A206:$BM206,,$BV$22)*$BW$22+
INDEX($A206:$BM206,,$BV$23)*$BW$23+
INDEX($A206:$BM206,,$BV$25)*$BW$25+
INDEX($A206:$BM206,,$BV$26)*$BW$26+
INDEX($A206:$BM206,,$BV$27)*$BW$27+
$BN206)),
$BN206-100)</f>
        <v>-100</v>
      </c>
      <c r="BF206" t="str">
        <f t="shared" si="49"/>
        <v/>
      </c>
      <c r="BG206" t="str">
        <f t="shared" si="50"/>
        <v/>
      </c>
      <c r="BH206">
        <f t="shared" si="51"/>
        <v>0</v>
      </c>
      <c r="BJ206" t="str">
        <f t="shared" si="52"/>
        <v/>
      </c>
      <c r="BL206">
        <f t="shared" si="41"/>
        <v>0</v>
      </c>
      <c r="BN206">
        <v>2.0500000000000002E-3</v>
      </c>
      <c r="BS206" s="4" t="s">
        <v>142</v>
      </c>
    </row>
    <row r="207" spans="1:71" ht="15.75" thickBot="1" x14ac:dyDescent="0.3">
      <c r="A207" s="569" t="s">
        <v>2184</v>
      </c>
      <c r="B207" s="569" t="s">
        <v>146</v>
      </c>
      <c r="C207" s="569" t="s">
        <v>3</v>
      </c>
      <c r="D207" s="574">
        <v>7</v>
      </c>
      <c r="E207" s="569"/>
      <c r="F207" s="569"/>
      <c r="G207" s="569"/>
      <c r="H207" s="569"/>
      <c r="I207" s="574">
        <v>0</v>
      </c>
      <c r="J207" s="574">
        <v>0</v>
      </c>
      <c r="K207" s="574">
        <v>0</v>
      </c>
      <c r="L207" s="574">
        <v>6.4</v>
      </c>
      <c r="M207" s="574">
        <v>0.2</v>
      </c>
      <c r="N207" s="574">
        <v>52.3</v>
      </c>
      <c r="O207" s="574">
        <v>46.3</v>
      </c>
      <c r="P207" s="574">
        <v>0.8</v>
      </c>
      <c r="Q207" s="574">
        <v>161.19999999999999</v>
      </c>
      <c r="R207" s="569"/>
      <c r="S207" s="569"/>
      <c r="T207" s="569"/>
      <c r="U207" s="569"/>
      <c r="V207" s="569"/>
      <c r="W207" s="569"/>
      <c r="X207" s="569"/>
      <c r="Y207" s="569"/>
      <c r="Z207" s="569"/>
      <c r="AA207" s="569"/>
      <c r="AB207" s="569"/>
      <c r="AC207" s="569"/>
      <c r="AD207" s="569"/>
      <c r="AE207" s="569"/>
      <c r="AF207" s="569"/>
      <c r="AG207" s="569"/>
      <c r="AH207" s="569"/>
      <c r="AI207" s="569"/>
      <c r="AJ207" s="569"/>
      <c r="AK207" s="569"/>
      <c r="AL207" s="569"/>
      <c r="AM207" s="569"/>
      <c r="AN207" s="574">
        <v>27.4</v>
      </c>
      <c r="AO207">
        <v>206</v>
      </c>
      <c r="AP207" t="str">
        <f t="shared" si="40"/>
        <v/>
      </c>
      <c r="AQ207" t="str">
        <f t="shared" si="43"/>
        <v/>
      </c>
      <c r="AR207" s="430">
        <f>IFERROR(
IF(AP207="",-100,
IF($BV$2&gt;0, INDEX(Beersheet!$A:$U,MATCH(AP207,INDEX(Beersheet!$A:$U,0,FFARawStatProjections!$BV$2),0),$BV$3)+$BN207,
INDEX($A207:$BM207,,$BV$12)*$BW$12+
INDEX($A207:$BM207,,$BV$15)*$BW$15+
INDEX($A207:$BM207,,$BV$16)*$BW$16+
INDEX($A207:$BM207,,$BV$17)*$BW$17+
INDEX($A207:$BM207,,$BV$18)*$BW$18+
INDEX($A207:$BM207,,$BV$19)*$BW$19+
INDEX($A207:$BM207,,$BV$20)*$BW$20+
INDEX($A207:$BM207,,$BV$21)*$BW$21+
INDEX($A207:$BM207,,$BV$22)*$BW$22+
INDEX($A207:$BM207,,$BV$23)*$BW$23+
INDEX($A207:$BM207,,$BV$25)*$BW$25+
INDEX($A207:$BM207,,$BV$26)*$BW$26+
INDEX($A207:$BM207,,$BV$27)*$BW$27+
$BN207)),
$BN207-100)</f>
        <v>-100</v>
      </c>
      <c r="AT207" t="str">
        <f t="shared" si="44"/>
        <v>Rico Dowdle</v>
      </c>
      <c r="AU207" t="str">
        <f t="shared" si="45"/>
        <v>DAL</v>
      </c>
      <c r="AV207" s="430">
        <f>IFERROR(
IF(AT207="",-100,
IF($BV$2&gt;0, INDEX(Beersheet!$A:$U,MATCH(AT207,INDEX(Beersheet!$A:$U,0,FFARawStatProjections!$BV$2),0),$BV$3)+$BN207,
INDEX($A207:$BM207,,$BV$12)*$BW$12+
INDEX($A207:$BM207,,$BV$15)*$BW$15+
INDEX($A207:$BM207,,$BV$16)*$BW$16+
INDEX($A207:$BM207,,$BV$17)*$BW$17+
INDEX($A207:$BM207,,$BV$18)*$BW$18+
INDEX($A207:$BM207,,$BV$19)*$BW$19+
INDEX($A207:$BM207,,$BV$20)*$BW$20+
INDEX($A207:$BM207,,$BV$21)*$BW$21+
INDEX($A207:$BM207,,$BV$22)*$BW$22+
INDEX($A207:$BM207,,$BV$23)*$BW$23+
INDEX($A207:$BM207,,$BV$25)*$BW$25+
INDEX($A207:$BM207,,$BV$26)*$BW$26+
INDEX($A207:$BM207,,$BV$27)*$BW$27+
$BN207)),
$BN207-100)</f>
        <v>33.75206</v>
      </c>
      <c r="AX207" t="str">
        <f t="shared" si="46"/>
        <v/>
      </c>
      <c r="AY207" t="str">
        <f t="shared" si="47"/>
        <v/>
      </c>
      <c r="AZ207" s="430">
        <f>IFERROR(
IF(AX207="",-100,
IF($BV$2&gt;0, INDEX(Beersheet!$A:$U,MATCH(AX207,INDEX(Beersheet!$A:$U,0,FFARawStatProjections!$BV$2),0),$BV$3)+$BN207,
INDEX($A207:$BM207,,$BV$12)*$BW$12+
INDEX($A207:$BM207,,$BV$15)*$BW$15+
INDEX($A207:$BM207,,$BV$16)*$BW$16+
INDEX($A207:$BM207,,$BV$17)*$BW$17+
INDEX($A207:$BM207,,$BV$18)*$BW$18+
INDEX($A207:$BM207,,$BV$19)*$BW$19+
INDEX($A207:$BM207,,$BV$20)*$BW$20+
INDEX($A207:$BM207,,$BV$21)*$BW$21+
INDEX($A207:$BM207,,$BV$22)*$BW$22+
INDEX($A207:$BM207,,$BV$23)*$BW$23+
INDEX($A207:$BM207,,$BV$25)*$BW$25+
INDEX($A207:$BM207,,$BV$26)*$BW$26+
INDEX($A207:$BM207,,$BV$27)*$BW$27+
$BN207)),
$BN207-100)</f>
        <v>-100</v>
      </c>
      <c r="BB207" t="str">
        <f t="shared" si="48"/>
        <v/>
      </c>
      <c r="BC207" t="str">
        <f t="shared" si="42"/>
        <v/>
      </c>
      <c r="BD207" s="430">
        <f>IFERROR(
IF(BB207="",-100,
IF($BV$2&gt;0, INDEX(Beersheet!$A:$U,MATCH(BB207,INDEX(Beersheet!$A:$U,0,FFARawStatProjections!$BV$2),0),$BV$3)+$BN207,
INDEX($A207:$BM207,,$BV$12)*$BW$12+
INDEX($A207:$BM207,,$BV$15)*$BW$15+
INDEX($A207:$BM207,,$BV$16)*$BW$16+
INDEX($A207:$BM207,,$BV$17)*$BW$17+
INDEX($A207:$BM207,,$BV$18)*$BW$18+
INDEX($A207:$BM207,,$BV$19)*$BW$19+
INDEX($A207:$BM207,,$BV$20)*$BW$20+
INDEX($A207:$BM207,,$BV$21)*$BW$21+
INDEX($A207:$BM207,,$BV$22)*$BW$22+
INDEX($A207:$BM207,,$BV$23)*$BW$23+
INDEX($A207:$BM207,,$BV$25)*$BW$25+
INDEX($A207:$BM207,,$BV$26)*$BW$26+
INDEX($A207:$BM207,,$BV$27)*$BW$27+
$BN207)),
$BN207-100)</f>
        <v>-100</v>
      </c>
      <c r="BF207" t="str">
        <f t="shared" si="49"/>
        <v/>
      </c>
      <c r="BG207" t="str">
        <f t="shared" si="50"/>
        <v/>
      </c>
      <c r="BH207">
        <f t="shared" si="51"/>
        <v>0</v>
      </c>
      <c r="BJ207" t="str">
        <f t="shared" si="52"/>
        <v/>
      </c>
      <c r="BL207">
        <f t="shared" si="41"/>
        <v>0</v>
      </c>
      <c r="BN207">
        <v>2.0600000000000002E-3</v>
      </c>
      <c r="BS207" s="4" t="s">
        <v>2496</v>
      </c>
    </row>
    <row r="208" spans="1:71" ht="15.75" thickBot="1" x14ac:dyDescent="0.3">
      <c r="A208" s="569" t="s">
        <v>2487</v>
      </c>
      <c r="B208" s="569" t="s">
        <v>158</v>
      </c>
      <c r="C208" s="569" t="s">
        <v>3</v>
      </c>
      <c r="D208" s="574">
        <v>11</v>
      </c>
      <c r="E208" s="569"/>
      <c r="F208" s="569"/>
      <c r="G208" s="569"/>
      <c r="H208" s="569"/>
      <c r="I208" s="574">
        <v>0</v>
      </c>
      <c r="J208" s="574">
        <v>0</v>
      </c>
      <c r="K208" s="574">
        <v>0</v>
      </c>
      <c r="L208" s="574">
        <v>5.2</v>
      </c>
      <c r="M208" s="574">
        <v>0.1</v>
      </c>
      <c r="N208" s="574">
        <v>61</v>
      </c>
      <c r="O208" s="574">
        <v>45.3</v>
      </c>
      <c r="P208" s="574">
        <v>0.6</v>
      </c>
      <c r="Q208" s="574">
        <v>173.9</v>
      </c>
      <c r="R208" s="569"/>
      <c r="S208" s="569"/>
      <c r="T208" s="569"/>
      <c r="U208" s="569"/>
      <c r="V208" s="569"/>
      <c r="W208" s="569"/>
      <c r="X208" s="569"/>
      <c r="Y208" s="569"/>
      <c r="Z208" s="569"/>
      <c r="AA208" s="569"/>
      <c r="AB208" s="569"/>
      <c r="AC208" s="569"/>
      <c r="AD208" s="569"/>
      <c r="AE208" s="569"/>
      <c r="AF208" s="569"/>
      <c r="AG208" s="569"/>
      <c r="AH208" s="569"/>
      <c r="AI208" s="569"/>
      <c r="AJ208" s="569"/>
      <c r="AK208" s="569"/>
      <c r="AL208" s="569"/>
      <c r="AM208" s="569"/>
      <c r="AN208" s="574">
        <v>27.3</v>
      </c>
      <c r="AO208">
        <v>207</v>
      </c>
      <c r="AP208" t="str">
        <f t="shared" si="40"/>
        <v/>
      </c>
      <c r="AQ208" t="str">
        <f t="shared" si="43"/>
        <v/>
      </c>
      <c r="AR208" s="430">
        <f>IFERROR(
IF(AP208="",-100,
IF($BV$2&gt;0, INDEX(Beersheet!$A:$U,MATCH(AP208,INDEX(Beersheet!$A:$U,0,FFARawStatProjections!$BV$2),0),$BV$3)+$BN208,
INDEX($A208:$BM208,,$BV$12)*$BW$12+
INDEX($A208:$BM208,,$BV$15)*$BW$15+
INDEX($A208:$BM208,,$BV$16)*$BW$16+
INDEX($A208:$BM208,,$BV$17)*$BW$17+
INDEX($A208:$BM208,,$BV$18)*$BW$18+
INDEX($A208:$BM208,,$BV$19)*$BW$19+
INDEX($A208:$BM208,,$BV$20)*$BW$20+
INDEX($A208:$BM208,,$BV$21)*$BW$21+
INDEX($A208:$BM208,,$BV$22)*$BW$22+
INDEX($A208:$BM208,,$BV$23)*$BW$23+
INDEX($A208:$BM208,,$BV$25)*$BW$25+
INDEX($A208:$BM208,,$BV$26)*$BW$26+
INDEX($A208:$BM208,,$BV$27)*$BW$27+
$BN208)),
$BN208-100)</f>
        <v>-100</v>
      </c>
      <c r="AT208" t="str">
        <f t="shared" si="44"/>
        <v>Evan Hull</v>
      </c>
      <c r="AU208" t="str">
        <f t="shared" si="45"/>
        <v>IND</v>
      </c>
      <c r="AV208" s="430">
        <f>IFERROR(
IF(AT208="",-100,
IF($BV$2&gt;0, INDEX(Beersheet!$A:$U,MATCH(AT208,INDEX(Beersheet!$A:$U,0,FFARawStatProjections!$BV$2),0),$BV$3)+$BN208,
INDEX($A208:$BM208,,$BV$12)*$BW$12+
INDEX($A208:$BM208,,$BV$15)*$BW$15+
INDEX($A208:$BM208,,$BV$16)*$BW$16+
INDEX($A208:$BM208,,$BV$17)*$BW$17+
INDEX($A208:$BM208,,$BV$18)*$BW$18+
INDEX($A208:$BM208,,$BV$19)*$BW$19+
INDEX($A208:$BM208,,$BV$20)*$BW$20+
INDEX($A208:$BM208,,$BV$21)*$BW$21+
INDEX($A208:$BM208,,$BV$22)*$BW$22+
INDEX($A208:$BM208,,$BV$23)*$BW$23+
INDEX($A208:$BM208,,$BV$25)*$BW$25+
INDEX($A208:$BM208,,$BV$26)*$BW$26+
INDEX($A208:$BM208,,$BV$27)*$BW$27+
$BN208)),
$BN208-100)</f>
        <v>32.892070000000004</v>
      </c>
      <c r="AX208" t="str">
        <f t="shared" si="46"/>
        <v/>
      </c>
      <c r="AY208" t="str">
        <f t="shared" si="47"/>
        <v/>
      </c>
      <c r="AZ208" s="430">
        <f>IFERROR(
IF(AX208="",-100,
IF($BV$2&gt;0, INDEX(Beersheet!$A:$U,MATCH(AX208,INDEX(Beersheet!$A:$U,0,FFARawStatProjections!$BV$2),0),$BV$3)+$BN208,
INDEX($A208:$BM208,,$BV$12)*$BW$12+
INDEX($A208:$BM208,,$BV$15)*$BW$15+
INDEX($A208:$BM208,,$BV$16)*$BW$16+
INDEX($A208:$BM208,,$BV$17)*$BW$17+
INDEX($A208:$BM208,,$BV$18)*$BW$18+
INDEX($A208:$BM208,,$BV$19)*$BW$19+
INDEX($A208:$BM208,,$BV$20)*$BW$20+
INDEX($A208:$BM208,,$BV$21)*$BW$21+
INDEX($A208:$BM208,,$BV$22)*$BW$22+
INDEX($A208:$BM208,,$BV$23)*$BW$23+
INDEX($A208:$BM208,,$BV$25)*$BW$25+
INDEX($A208:$BM208,,$BV$26)*$BW$26+
INDEX($A208:$BM208,,$BV$27)*$BW$27+
$BN208)),
$BN208-100)</f>
        <v>-100</v>
      </c>
      <c r="BB208" t="str">
        <f t="shared" si="48"/>
        <v/>
      </c>
      <c r="BC208" t="str">
        <f t="shared" si="42"/>
        <v/>
      </c>
      <c r="BD208" s="430">
        <f>IFERROR(
IF(BB208="",-100,
IF($BV$2&gt;0, INDEX(Beersheet!$A:$U,MATCH(BB208,INDEX(Beersheet!$A:$U,0,FFARawStatProjections!$BV$2),0),$BV$3)+$BN208,
INDEX($A208:$BM208,,$BV$12)*$BW$12+
INDEX($A208:$BM208,,$BV$15)*$BW$15+
INDEX($A208:$BM208,,$BV$16)*$BW$16+
INDEX($A208:$BM208,,$BV$17)*$BW$17+
INDEX($A208:$BM208,,$BV$18)*$BW$18+
INDEX($A208:$BM208,,$BV$19)*$BW$19+
INDEX($A208:$BM208,,$BV$20)*$BW$20+
INDEX($A208:$BM208,,$BV$21)*$BW$21+
INDEX($A208:$BM208,,$BV$22)*$BW$22+
INDEX($A208:$BM208,,$BV$23)*$BW$23+
INDEX($A208:$BM208,,$BV$25)*$BW$25+
INDEX($A208:$BM208,,$BV$26)*$BW$26+
INDEX($A208:$BM208,,$BV$27)*$BW$27+
$BN208)),
$BN208-100)</f>
        <v>-100</v>
      </c>
      <c r="BF208" t="str">
        <f t="shared" si="49"/>
        <v/>
      </c>
      <c r="BG208" t="str">
        <f t="shared" si="50"/>
        <v/>
      </c>
      <c r="BH208">
        <f t="shared" si="51"/>
        <v>0</v>
      </c>
      <c r="BJ208" t="str">
        <f t="shared" si="52"/>
        <v/>
      </c>
      <c r="BL208">
        <f t="shared" si="41"/>
        <v>0</v>
      </c>
      <c r="BN208">
        <v>2.0699999999999998E-3</v>
      </c>
      <c r="BS208" s="4" t="s">
        <v>1208</v>
      </c>
    </row>
    <row r="209" spans="1:71" ht="15.75" thickBot="1" x14ac:dyDescent="0.3">
      <c r="A209" s="569" t="s">
        <v>2414</v>
      </c>
      <c r="B209" s="569" t="s">
        <v>149</v>
      </c>
      <c r="C209" s="569" t="s">
        <v>3</v>
      </c>
      <c r="D209" s="574">
        <v>5</v>
      </c>
      <c r="E209" s="569"/>
      <c r="F209" s="569"/>
      <c r="G209" s="569"/>
      <c r="H209" s="569"/>
      <c r="I209" s="574">
        <v>0</v>
      </c>
      <c r="J209" s="574">
        <v>0</v>
      </c>
      <c r="K209" s="574">
        <v>0</v>
      </c>
      <c r="L209" s="574">
        <v>6.3</v>
      </c>
      <c r="M209" s="574">
        <v>0.2</v>
      </c>
      <c r="N209" s="574">
        <v>60.9</v>
      </c>
      <c r="O209" s="574">
        <v>44.3</v>
      </c>
      <c r="P209" s="574">
        <v>0.6</v>
      </c>
      <c r="Q209" s="574">
        <v>171.1</v>
      </c>
      <c r="R209" s="569"/>
      <c r="S209" s="569"/>
      <c r="T209" s="569"/>
      <c r="U209" s="569"/>
      <c r="V209" s="569"/>
      <c r="W209" s="569"/>
      <c r="X209" s="569"/>
      <c r="Y209" s="569"/>
      <c r="Z209" s="569"/>
      <c r="AA209" s="569"/>
      <c r="AB209" s="569"/>
      <c r="AC209" s="569"/>
      <c r="AD209" s="569"/>
      <c r="AE209" s="569"/>
      <c r="AF209" s="569"/>
      <c r="AG209" s="569"/>
      <c r="AH209" s="569"/>
      <c r="AI209" s="569"/>
      <c r="AJ209" s="569"/>
      <c r="AK209" s="569"/>
      <c r="AL209" s="569"/>
      <c r="AM209" s="569"/>
      <c r="AN209" s="574">
        <v>27.1</v>
      </c>
      <c r="AO209">
        <v>208</v>
      </c>
      <c r="AP209" t="str">
        <f t="shared" si="40"/>
        <v/>
      </c>
      <c r="AQ209" t="str">
        <f t="shared" si="43"/>
        <v/>
      </c>
      <c r="AR209" s="430">
        <f>IFERROR(
IF(AP209="",-100,
IF($BV$2&gt;0, INDEX(Beersheet!$A:$U,MATCH(AP209,INDEX(Beersheet!$A:$U,0,FFARawStatProjections!$BV$2),0),$BV$3)+$BN209,
INDEX($A209:$BM209,,$BV$12)*$BW$12+
INDEX($A209:$BM209,,$BV$15)*$BW$15+
INDEX($A209:$BM209,,$BV$16)*$BW$16+
INDEX($A209:$BM209,,$BV$17)*$BW$17+
INDEX($A209:$BM209,,$BV$18)*$BW$18+
INDEX($A209:$BM209,,$BV$19)*$BW$19+
INDEX($A209:$BM209,,$BV$20)*$BW$20+
INDEX($A209:$BM209,,$BV$21)*$BW$21+
INDEX($A209:$BM209,,$BV$22)*$BW$22+
INDEX($A209:$BM209,,$BV$23)*$BW$23+
INDEX($A209:$BM209,,$BV$25)*$BW$25+
INDEX($A209:$BM209,,$BV$26)*$BW$26+
INDEX($A209:$BM209,,$BV$27)*$BW$27+
$BN209)),
$BN209-100)</f>
        <v>-100</v>
      </c>
      <c r="AT209" t="str">
        <f t="shared" si="44"/>
        <v>Sean Tucker</v>
      </c>
      <c r="AU209" t="str">
        <f t="shared" si="45"/>
        <v>TB</v>
      </c>
      <c r="AV209" s="430">
        <f>IFERROR(
IF(AT209="",-100,
IF($BV$2&gt;0, INDEX(Beersheet!$A:$U,MATCH(AT209,INDEX(Beersheet!$A:$U,0,FFARawStatProjections!$BV$2),0),$BV$3)+$BN209,
INDEX($A209:$BM209,,$BV$12)*$BW$12+
INDEX($A209:$BM209,,$BV$15)*$BW$15+
INDEX($A209:$BM209,,$BV$16)*$BW$16+
INDEX($A209:$BM209,,$BV$17)*$BW$17+
INDEX($A209:$BM209,,$BV$18)*$BW$18+
INDEX($A209:$BM209,,$BV$19)*$BW$19+
INDEX($A209:$BM209,,$BV$20)*$BW$20+
INDEX($A209:$BM209,,$BV$21)*$BW$21+
INDEX($A209:$BM209,,$BV$22)*$BW$22+
INDEX($A209:$BM209,,$BV$23)*$BW$23+
INDEX($A209:$BM209,,$BV$25)*$BW$25+
INDEX($A209:$BM209,,$BV$26)*$BW$26+
INDEX($A209:$BM209,,$BV$27)*$BW$27+
$BN209)),
$BN209-100)</f>
        <v>34.302079999999997</v>
      </c>
      <c r="AX209" t="str">
        <f t="shared" si="46"/>
        <v/>
      </c>
      <c r="AY209" t="str">
        <f t="shared" si="47"/>
        <v/>
      </c>
      <c r="AZ209" s="430">
        <f>IFERROR(
IF(AX209="",-100,
IF($BV$2&gt;0, INDEX(Beersheet!$A:$U,MATCH(AX209,INDEX(Beersheet!$A:$U,0,FFARawStatProjections!$BV$2),0),$BV$3)+$BN209,
INDEX($A209:$BM209,,$BV$12)*$BW$12+
INDEX($A209:$BM209,,$BV$15)*$BW$15+
INDEX($A209:$BM209,,$BV$16)*$BW$16+
INDEX($A209:$BM209,,$BV$17)*$BW$17+
INDEX($A209:$BM209,,$BV$18)*$BW$18+
INDEX($A209:$BM209,,$BV$19)*$BW$19+
INDEX($A209:$BM209,,$BV$20)*$BW$20+
INDEX($A209:$BM209,,$BV$21)*$BW$21+
INDEX($A209:$BM209,,$BV$22)*$BW$22+
INDEX($A209:$BM209,,$BV$23)*$BW$23+
INDEX($A209:$BM209,,$BV$25)*$BW$25+
INDEX($A209:$BM209,,$BV$26)*$BW$26+
INDEX($A209:$BM209,,$BV$27)*$BW$27+
$BN209)),
$BN209-100)</f>
        <v>-100</v>
      </c>
      <c r="BB209" t="str">
        <f t="shared" si="48"/>
        <v/>
      </c>
      <c r="BC209" t="str">
        <f t="shared" si="42"/>
        <v/>
      </c>
      <c r="BD209" s="430">
        <f>IFERROR(
IF(BB209="",-100,
IF($BV$2&gt;0, INDEX(Beersheet!$A:$U,MATCH(BB209,INDEX(Beersheet!$A:$U,0,FFARawStatProjections!$BV$2),0),$BV$3)+$BN209,
INDEX($A209:$BM209,,$BV$12)*$BW$12+
INDEX($A209:$BM209,,$BV$15)*$BW$15+
INDEX($A209:$BM209,,$BV$16)*$BW$16+
INDEX($A209:$BM209,,$BV$17)*$BW$17+
INDEX($A209:$BM209,,$BV$18)*$BW$18+
INDEX($A209:$BM209,,$BV$19)*$BW$19+
INDEX($A209:$BM209,,$BV$20)*$BW$20+
INDEX($A209:$BM209,,$BV$21)*$BW$21+
INDEX($A209:$BM209,,$BV$22)*$BW$22+
INDEX($A209:$BM209,,$BV$23)*$BW$23+
INDEX($A209:$BM209,,$BV$25)*$BW$25+
INDEX($A209:$BM209,,$BV$26)*$BW$26+
INDEX($A209:$BM209,,$BV$27)*$BW$27+
$BN209)),
$BN209-100)</f>
        <v>-100</v>
      </c>
      <c r="BF209" t="str">
        <f t="shared" si="49"/>
        <v/>
      </c>
      <c r="BG209" t="str">
        <f t="shared" si="50"/>
        <v/>
      </c>
      <c r="BH209">
        <f t="shared" si="51"/>
        <v>0</v>
      </c>
      <c r="BJ209" t="str">
        <f t="shared" si="52"/>
        <v/>
      </c>
      <c r="BL209">
        <f t="shared" si="41"/>
        <v>0</v>
      </c>
      <c r="BN209">
        <v>2.0799999999999998E-3</v>
      </c>
      <c r="BS209" s="4" t="s">
        <v>2495</v>
      </c>
    </row>
    <row r="210" spans="1:71" ht="15.75" thickBot="1" x14ac:dyDescent="0.3">
      <c r="A210" s="569" t="s">
        <v>2185</v>
      </c>
      <c r="B210" s="569" t="s">
        <v>138</v>
      </c>
      <c r="C210" s="569" t="s">
        <v>3</v>
      </c>
      <c r="D210" s="574">
        <v>13</v>
      </c>
      <c r="E210" s="569"/>
      <c r="F210" s="569"/>
      <c r="G210" s="569"/>
      <c r="H210" s="569"/>
      <c r="I210" s="574">
        <v>0</v>
      </c>
      <c r="J210" s="574">
        <v>0</v>
      </c>
      <c r="K210" s="574">
        <v>0</v>
      </c>
      <c r="L210" s="574">
        <v>7.3</v>
      </c>
      <c r="M210" s="574">
        <v>0.2</v>
      </c>
      <c r="N210" s="574">
        <v>50.8</v>
      </c>
      <c r="O210" s="574">
        <v>44.7</v>
      </c>
      <c r="P210" s="574">
        <v>0.9</v>
      </c>
      <c r="Q210" s="574">
        <v>153.1</v>
      </c>
      <c r="R210" s="569"/>
      <c r="S210" s="569"/>
      <c r="T210" s="569"/>
      <c r="U210" s="569"/>
      <c r="V210" s="569"/>
      <c r="W210" s="569"/>
      <c r="X210" s="569"/>
      <c r="Y210" s="569"/>
      <c r="Z210" s="569"/>
      <c r="AA210" s="569"/>
      <c r="AB210" s="569"/>
      <c r="AC210" s="569"/>
      <c r="AD210" s="569"/>
      <c r="AE210" s="569"/>
      <c r="AF210" s="569"/>
      <c r="AG210" s="569"/>
      <c r="AH210" s="569"/>
      <c r="AI210" s="569"/>
      <c r="AJ210" s="569"/>
      <c r="AK210" s="569"/>
      <c r="AL210" s="569"/>
      <c r="AM210" s="569"/>
      <c r="AN210" s="574">
        <v>26.6</v>
      </c>
      <c r="AO210">
        <v>209</v>
      </c>
      <c r="AP210" t="str">
        <f t="shared" si="40"/>
        <v/>
      </c>
      <c r="AQ210" t="str">
        <f t="shared" si="43"/>
        <v/>
      </c>
      <c r="AR210" s="430">
        <f>IFERROR(
IF(AP210="",-100,
IF($BV$2&gt;0, INDEX(Beersheet!$A:$U,MATCH(AP210,INDEX(Beersheet!$A:$U,0,FFARawStatProjections!$BV$2),0),$BV$3)+$BN210,
INDEX($A210:$BM210,,$BV$12)*$BW$12+
INDEX($A210:$BM210,,$BV$15)*$BW$15+
INDEX($A210:$BM210,,$BV$16)*$BW$16+
INDEX($A210:$BM210,,$BV$17)*$BW$17+
INDEX($A210:$BM210,,$BV$18)*$BW$18+
INDEX($A210:$BM210,,$BV$19)*$BW$19+
INDEX($A210:$BM210,,$BV$20)*$BW$20+
INDEX($A210:$BM210,,$BV$21)*$BW$21+
INDEX($A210:$BM210,,$BV$22)*$BW$22+
INDEX($A210:$BM210,,$BV$23)*$BW$23+
INDEX($A210:$BM210,,$BV$25)*$BW$25+
INDEX($A210:$BM210,,$BV$26)*$BW$26+
INDEX($A210:$BM210,,$BV$27)*$BW$27+
$BN210)),
$BN210-100)</f>
        <v>-100</v>
      </c>
      <c r="AT210" t="str">
        <f t="shared" si="44"/>
        <v>Kene Nwangwu</v>
      </c>
      <c r="AU210" t="str">
        <f t="shared" si="45"/>
        <v>MIN</v>
      </c>
      <c r="AV210" s="430">
        <f>IFERROR(
IF(AT210="",-100,
IF($BV$2&gt;0, INDEX(Beersheet!$A:$U,MATCH(AT210,INDEX(Beersheet!$A:$U,0,FFARawStatProjections!$BV$2),0),$BV$3)+$BN210,
INDEX($A210:$BM210,,$BV$12)*$BW$12+
INDEX($A210:$BM210,,$BV$15)*$BW$15+
INDEX($A210:$BM210,,$BV$16)*$BW$16+
INDEX($A210:$BM210,,$BV$17)*$BW$17+
INDEX($A210:$BM210,,$BV$18)*$BW$18+
INDEX($A210:$BM210,,$BV$19)*$BW$19+
INDEX($A210:$BM210,,$BV$20)*$BW$20+
INDEX($A210:$BM210,,$BV$21)*$BW$21+
INDEX($A210:$BM210,,$BV$22)*$BW$22+
INDEX($A210:$BM210,,$BV$23)*$BW$23+
INDEX($A210:$BM210,,$BV$25)*$BW$25+
INDEX($A210:$BM210,,$BV$26)*$BW$26+
INDEX($A210:$BM210,,$BV$27)*$BW$27+
$BN210)),
$BN210-100)</f>
        <v>34.292090000000002</v>
      </c>
      <c r="AX210" t="str">
        <f t="shared" si="46"/>
        <v/>
      </c>
      <c r="AY210" t="str">
        <f t="shared" si="47"/>
        <v/>
      </c>
      <c r="AZ210" s="430">
        <f>IFERROR(
IF(AX210="",-100,
IF($BV$2&gt;0, INDEX(Beersheet!$A:$U,MATCH(AX210,INDEX(Beersheet!$A:$U,0,FFARawStatProjections!$BV$2),0),$BV$3)+$BN210,
INDEX($A210:$BM210,,$BV$12)*$BW$12+
INDEX($A210:$BM210,,$BV$15)*$BW$15+
INDEX($A210:$BM210,,$BV$16)*$BW$16+
INDEX($A210:$BM210,,$BV$17)*$BW$17+
INDEX($A210:$BM210,,$BV$18)*$BW$18+
INDEX($A210:$BM210,,$BV$19)*$BW$19+
INDEX($A210:$BM210,,$BV$20)*$BW$20+
INDEX($A210:$BM210,,$BV$21)*$BW$21+
INDEX($A210:$BM210,,$BV$22)*$BW$22+
INDEX($A210:$BM210,,$BV$23)*$BW$23+
INDEX($A210:$BM210,,$BV$25)*$BW$25+
INDEX($A210:$BM210,,$BV$26)*$BW$26+
INDEX($A210:$BM210,,$BV$27)*$BW$27+
$BN210)),
$BN210-100)</f>
        <v>-100</v>
      </c>
      <c r="BB210" t="str">
        <f t="shared" si="48"/>
        <v/>
      </c>
      <c r="BC210" t="str">
        <f t="shared" si="42"/>
        <v/>
      </c>
      <c r="BD210" s="430">
        <f>IFERROR(
IF(BB210="",-100,
IF($BV$2&gt;0, INDEX(Beersheet!$A:$U,MATCH(BB210,INDEX(Beersheet!$A:$U,0,FFARawStatProjections!$BV$2),0),$BV$3)+$BN210,
INDEX($A210:$BM210,,$BV$12)*$BW$12+
INDEX($A210:$BM210,,$BV$15)*$BW$15+
INDEX($A210:$BM210,,$BV$16)*$BW$16+
INDEX($A210:$BM210,,$BV$17)*$BW$17+
INDEX($A210:$BM210,,$BV$18)*$BW$18+
INDEX($A210:$BM210,,$BV$19)*$BW$19+
INDEX($A210:$BM210,,$BV$20)*$BW$20+
INDEX($A210:$BM210,,$BV$21)*$BW$21+
INDEX($A210:$BM210,,$BV$22)*$BW$22+
INDEX($A210:$BM210,,$BV$23)*$BW$23+
INDEX($A210:$BM210,,$BV$25)*$BW$25+
INDEX($A210:$BM210,,$BV$26)*$BW$26+
INDEX($A210:$BM210,,$BV$27)*$BW$27+
$BN210)),
$BN210-100)</f>
        <v>-100</v>
      </c>
      <c r="BF210" t="str">
        <f t="shared" si="49"/>
        <v/>
      </c>
      <c r="BG210" t="str">
        <f t="shared" si="50"/>
        <v/>
      </c>
      <c r="BH210">
        <f t="shared" si="51"/>
        <v>0</v>
      </c>
      <c r="BJ210" t="str">
        <f t="shared" si="52"/>
        <v/>
      </c>
      <c r="BL210">
        <f t="shared" si="41"/>
        <v>0</v>
      </c>
      <c r="BN210">
        <v>2.0899999999999998E-3</v>
      </c>
      <c r="BS210" s="4" t="s">
        <v>2106</v>
      </c>
    </row>
    <row r="211" spans="1:71" ht="15.75" thickBot="1" x14ac:dyDescent="0.3">
      <c r="A211" s="569" t="s">
        <v>2443</v>
      </c>
      <c r="B211" s="569" t="s">
        <v>146</v>
      </c>
      <c r="C211" s="569" t="s">
        <v>3</v>
      </c>
      <c r="D211" s="574">
        <v>7</v>
      </c>
      <c r="E211" s="569"/>
      <c r="F211" s="569"/>
      <c r="G211" s="569"/>
      <c r="H211" s="569"/>
      <c r="I211" s="574">
        <v>0</v>
      </c>
      <c r="J211" s="574">
        <v>0</v>
      </c>
      <c r="K211" s="574">
        <v>0</v>
      </c>
      <c r="L211" s="574">
        <v>3.7</v>
      </c>
      <c r="M211" s="574">
        <v>0.1</v>
      </c>
      <c r="N211" s="574">
        <v>43</v>
      </c>
      <c r="O211" s="574">
        <v>48.7</v>
      </c>
      <c r="P211" s="574">
        <v>0.9</v>
      </c>
      <c r="Q211" s="574">
        <v>164.4</v>
      </c>
      <c r="R211" s="569"/>
      <c r="S211" s="569"/>
      <c r="T211" s="569"/>
      <c r="U211" s="569"/>
      <c r="V211" s="569"/>
      <c r="W211" s="569"/>
      <c r="X211" s="569"/>
      <c r="Y211" s="569"/>
      <c r="Z211" s="569"/>
      <c r="AA211" s="569"/>
      <c r="AB211" s="569"/>
      <c r="AC211" s="569"/>
      <c r="AD211" s="569"/>
      <c r="AE211" s="569"/>
      <c r="AF211" s="569"/>
      <c r="AG211" s="569"/>
      <c r="AH211" s="569"/>
      <c r="AI211" s="569"/>
      <c r="AJ211" s="569"/>
      <c r="AK211" s="569"/>
      <c r="AL211" s="569"/>
      <c r="AM211" s="569"/>
      <c r="AN211" s="574">
        <v>26.2</v>
      </c>
      <c r="AO211">
        <v>210</v>
      </c>
      <c r="AP211" t="str">
        <f t="shared" si="40"/>
        <v/>
      </c>
      <c r="AQ211" t="str">
        <f t="shared" si="43"/>
        <v/>
      </c>
      <c r="AR211" s="430">
        <f>IFERROR(
IF(AP211="",-100,
IF($BV$2&gt;0, INDEX(Beersheet!$A:$U,MATCH(AP211,INDEX(Beersheet!$A:$U,0,FFARawStatProjections!$BV$2),0),$BV$3)+$BN211,
INDEX($A211:$BM211,,$BV$12)*$BW$12+
INDEX($A211:$BM211,,$BV$15)*$BW$15+
INDEX($A211:$BM211,,$BV$16)*$BW$16+
INDEX($A211:$BM211,,$BV$17)*$BW$17+
INDEX($A211:$BM211,,$BV$18)*$BW$18+
INDEX($A211:$BM211,,$BV$19)*$BW$19+
INDEX($A211:$BM211,,$BV$20)*$BW$20+
INDEX($A211:$BM211,,$BV$21)*$BW$21+
INDEX($A211:$BM211,,$BV$22)*$BW$22+
INDEX($A211:$BM211,,$BV$23)*$BW$23+
INDEX($A211:$BM211,,$BV$25)*$BW$25+
INDEX($A211:$BM211,,$BV$26)*$BW$26+
INDEX($A211:$BM211,,$BV$27)*$BW$27+
$BN211)),
$BN211-100)</f>
        <v>-100</v>
      </c>
      <c r="AT211" t="str">
        <f t="shared" si="44"/>
        <v>Malik Davis</v>
      </c>
      <c r="AU211" t="str">
        <f t="shared" si="45"/>
        <v>DAL</v>
      </c>
      <c r="AV211" s="430">
        <f>IFERROR(
IF(AT211="",-100,
IF($BV$2&gt;0, INDEX(Beersheet!$A:$U,MATCH(AT211,INDEX(Beersheet!$A:$U,0,FFARawStatProjections!$BV$2),0),$BV$3)+$BN211,
INDEX($A211:$BM211,,$BV$12)*$BW$12+
INDEX($A211:$BM211,,$BV$15)*$BW$15+
INDEX($A211:$BM211,,$BV$16)*$BW$16+
INDEX($A211:$BM211,,$BV$17)*$BW$17+
INDEX($A211:$BM211,,$BV$18)*$BW$18+
INDEX($A211:$BM211,,$BV$19)*$BW$19+
INDEX($A211:$BM211,,$BV$20)*$BW$20+
INDEX($A211:$BM211,,$BV$21)*$BW$21+
INDEX($A211:$BM211,,$BV$22)*$BW$22+
INDEX($A211:$BM211,,$BV$23)*$BW$23+
INDEX($A211:$BM211,,$BV$25)*$BW$25+
INDEX($A211:$BM211,,$BV$26)*$BW$26+
INDEX($A211:$BM211,,$BV$27)*$BW$27+
$BN211)),
$BN211-100)</f>
        <v>30.442100000000003</v>
      </c>
      <c r="AX211" t="str">
        <f t="shared" si="46"/>
        <v/>
      </c>
      <c r="AY211" t="str">
        <f t="shared" si="47"/>
        <v/>
      </c>
      <c r="AZ211" s="430">
        <f>IFERROR(
IF(AX211="",-100,
IF($BV$2&gt;0, INDEX(Beersheet!$A:$U,MATCH(AX211,INDEX(Beersheet!$A:$U,0,FFARawStatProjections!$BV$2),0),$BV$3)+$BN211,
INDEX($A211:$BM211,,$BV$12)*$BW$12+
INDEX($A211:$BM211,,$BV$15)*$BW$15+
INDEX($A211:$BM211,,$BV$16)*$BW$16+
INDEX($A211:$BM211,,$BV$17)*$BW$17+
INDEX($A211:$BM211,,$BV$18)*$BW$18+
INDEX($A211:$BM211,,$BV$19)*$BW$19+
INDEX($A211:$BM211,,$BV$20)*$BW$20+
INDEX($A211:$BM211,,$BV$21)*$BW$21+
INDEX($A211:$BM211,,$BV$22)*$BW$22+
INDEX($A211:$BM211,,$BV$23)*$BW$23+
INDEX($A211:$BM211,,$BV$25)*$BW$25+
INDEX($A211:$BM211,,$BV$26)*$BW$26+
INDEX($A211:$BM211,,$BV$27)*$BW$27+
$BN211)),
$BN211-100)</f>
        <v>-100</v>
      </c>
      <c r="BB211" t="str">
        <f t="shared" si="48"/>
        <v/>
      </c>
      <c r="BC211" t="str">
        <f t="shared" si="42"/>
        <v/>
      </c>
      <c r="BD211" s="430">
        <f>IFERROR(
IF(BB211="",-100,
IF($BV$2&gt;0, INDEX(Beersheet!$A:$U,MATCH(BB211,INDEX(Beersheet!$A:$U,0,FFARawStatProjections!$BV$2),0),$BV$3)+$BN211,
INDEX($A211:$BM211,,$BV$12)*$BW$12+
INDEX($A211:$BM211,,$BV$15)*$BW$15+
INDEX($A211:$BM211,,$BV$16)*$BW$16+
INDEX($A211:$BM211,,$BV$17)*$BW$17+
INDEX($A211:$BM211,,$BV$18)*$BW$18+
INDEX($A211:$BM211,,$BV$19)*$BW$19+
INDEX($A211:$BM211,,$BV$20)*$BW$20+
INDEX($A211:$BM211,,$BV$21)*$BW$21+
INDEX($A211:$BM211,,$BV$22)*$BW$22+
INDEX($A211:$BM211,,$BV$23)*$BW$23+
INDEX($A211:$BM211,,$BV$25)*$BW$25+
INDEX($A211:$BM211,,$BV$26)*$BW$26+
INDEX($A211:$BM211,,$BV$27)*$BW$27+
$BN211)),
$BN211-100)</f>
        <v>-100</v>
      </c>
      <c r="BF211" t="str">
        <f t="shared" si="49"/>
        <v/>
      </c>
      <c r="BG211" t="str">
        <f t="shared" si="50"/>
        <v/>
      </c>
      <c r="BH211">
        <f t="shared" si="51"/>
        <v>0</v>
      </c>
      <c r="BJ211" t="str">
        <f t="shared" si="52"/>
        <v/>
      </c>
      <c r="BL211">
        <f t="shared" si="41"/>
        <v>0</v>
      </c>
      <c r="BN211">
        <v>2.0999999999999999E-3</v>
      </c>
      <c r="BS211" s="4" t="s">
        <v>2100</v>
      </c>
    </row>
    <row r="212" spans="1:71" ht="15.75" thickBot="1" x14ac:dyDescent="0.3">
      <c r="A212" s="569" t="s">
        <v>2493</v>
      </c>
      <c r="B212" s="569" t="s">
        <v>138</v>
      </c>
      <c r="C212" s="569" t="s">
        <v>3</v>
      </c>
      <c r="D212" s="574">
        <v>13</v>
      </c>
      <c r="E212" s="569"/>
      <c r="F212" s="569"/>
      <c r="G212" s="569"/>
      <c r="H212" s="569"/>
      <c r="I212" s="574">
        <v>0</v>
      </c>
      <c r="J212" s="574">
        <v>0</v>
      </c>
      <c r="K212" s="574">
        <v>0</v>
      </c>
      <c r="L212" s="574">
        <v>3.4</v>
      </c>
      <c r="M212" s="574">
        <v>0.1</v>
      </c>
      <c r="N212" s="574">
        <v>51</v>
      </c>
      <c r="O212" s="574">
        <v>55.7</v>
      </c>
      <c r="P212" s="574">
        <v>0.7</v>
      </c>
      <c r="Q212" s="574">
        <v>166.2</v>
      </c>
      <c r="R212" s="569"/>
      <c r="S212" s="569"/>
      <c r="T212" s="569"/>
      <c r="U212" s="569"/>
      <c r="V212" s="569"/>
      <c r="W212" s="569"/>
      <c r="X212" s="569"/>
      <c r="Y212" s="569"/>
      <c r="Z212" s="569"/>
      <c r="AA212" s="569"/>
      <c r="AB212" s="569"/>
      <c r="AC212" s="569"/>
      <c r="AD212" s="569"/>
      <c r="AE212" s="569"/>
      <c r="AF212" s="569"/>
      <c r="AG212" s="569"/>
      <c r="AH212" s="569"/>
      <c r="AI212" s="569"/>
      <c r="AJ212" s="569"/>
      <c r="AK212" s="569"/>
      <c r="AL212" s="569"/>
      <c r="AM212" s="569"/>
      <c r="AN212" s="574">
        <v>25.9</v>
      </c>
      <c r="AO212">
        <v>211</v>
      </c>
      <c r="AP212" t="str">
        <f t="shared" ref="AP212:AP275" si="53">IF($C212="QB",A212,"")</f>
        <v/>
      </c>
      <c r="AQ212" t="str">
        <f t="shared" si="43"/>
        <v/>
      </c>
      <c r="AR212" s="430">
        <f>IFERROR(
IF(AP212="",-100,
IF($BV$2&gt;0, INDEX(Beersheet!$A:$U,MATCH(AP212,INDEX(Beersheet!$A:$U,0,FFARawStatProjections!$BV$2),0),$BV$3)+$BN212,
INDEX($A212:$BM212,,$BV$12)*$BW$12+
INDEX($A212:$BM212,,$BV$15)*$BW$15+
INDEX($A212:$BM212,,$BV$16)*$BW$16+
INDEX($A212:$BM212,,$BV$17)*$BW$17+
INDEX($A212:$BM212,,$BV$18)*$BW$18+
INDEX($A212:$BM212,,$BV$19)*$BW$19+
INDEX($A212:$BM212,,$BV$20)*$BW$20+
INDEX($A212:$BM212,,$BV$21)*$BW$21+
INDEX($A212:$BM212,,$BV$22)*$BW$22+
INDEX($A212:$BM212,,$BV$23)*$BW$23+
INDEX($A212:$BM212,,$BV$25)*$BW$25+
INDEX($A212:$BM212,,$BV$26)*$BW$26+
INDEX($A212:$BM212,,$BV$27)*$BW$27+
$BN212)),
$BN212-100)</f>
        <v>-100</v>
      </c>
      <c r="AT212" t="str">
        <f t="shared" si="44"/>
        <v>DeWayne McBride</v>
      </c>
      <c r="AU212" t="str">
        <f t="shared" si="45"/>
        <v>MIN</v>
      </c>
      <c r="AV212" s="430">
        <f>IFERROR(
IF(AT212="",-100,
IF($BV$2&gt;0, INDEX(Beersheet!$A:$U,MATCH(AT212,INDEX(Beersheet!$A:$U,0,FFARawStatProjections!$BV$2),0),$BV$3)+$BN212,
INDEX($A212:$BM212,,$BV$12)*$BW$12+
INDEX($A212:$BM212,,$BV$15)*$BW$15+
INDEX($A212:$BM212,,$BV$16)*$BW$16+
INDEX($A212:$BM212,,$BV$17)*$BW$17+
INDEX($A212:$BM212,,$BV$18)*$BW$18+
INDEX($A212:$BM212,,$BV$19)*$BW$19+
INDEX($A212:$BM212,,$BV$20)*$BW$20+
INDEX($A212:$BM212,,$BV$21)*$BW$21+
INDEX($A212:$BM212,,$BV$22)*$BW$22+
INDEX($A212:$BM212,,$BV$23)*$BW$23+
INDEX($A212:$BM212,,$BV$25)*$BW$25+
INDEX($A212:$BM212,,$BV$26)*$BW$26+
INDEX($A212:$BM212,,$BV$27)*$BW$27+
$BN212)),
$BN212-100)</f>
        <v>29.92211</v>
      </c>
      <c r="AX212" t="str">
        <f t="shared" si="46"/>
        <v/>
      </c>
      <c r="AY212" t="str">
        <f t="shared" si="47"/>
        <v/>
      </c>
      <c r="AZ212" s="430">
        <f>IFERROR(
IF(AX212="",-100,
IF($BV$2&gt;0, INDEX(Beersheet!$A:$U,MATCH(AX212,INDEX(Beersheet!$A:$U,0,FFARawStatProjections!$BV$2),0),$BV$3)+$BN212,
INDEX($A212:$BM212,,$BV$12)*$BW$12+
INDEX($A212:$BM212,,$BV$15)*$BW$15+
INDEX($A212:$BM212,,$BV$16)*$BW$16+
INDEX($A212:$BM212,,$BV$17)*$BW$17+
INDEX($A212:$BM212,,$BV$18)*$BW$18+
INDEX($A212:$BM212,,$BV$19)*$BW$19+
INDEX($A212:$BM212,,$BV$20)*$BW$20+
INDEX($A212:$BM212,,$BV$21)*$BW$21+
INDEX($A212:$BM212,,$BV$22)*$BW$22+
INDEX($A212:$BM212,,$BV$23)*$BW$23+
INDEX($A212:$BM212,,$BV$25)*$BW$25+
INDEX($A212:$BM212,,$BV$26)*$BW$26+
INDEX($A212:$BM212,,$BV$27)*$BW$27+
$BN212)),
$BN212-100)</f>
        <v>-100</v>
      </c>
      <c r="BB212" t="str">
        <f t="shared" si="48"/>
        <v/>
      </c>
      <c r="BC212" t="str">
        <f t="shared" si="42"/>
        <v/>
      </c>
      <c r="BD212" s="430">
        <f>IFERROR(
IF(BB212="",-100,
IF($BV$2&gt;0, INDEX(Beersheet!$A:$U,MATCH(BB212,INDEX(Beersheet!$A:$U,0,FFARawStatProjections!$BV$2),0),$BV$3)+$BN212,
INDEX($A212:$BM212,,$BV$12)*$BW$12+
INDEX($A212:$BM212,,$BV$15)*$BW$15+
INDEX($A212:$BM212,,$BV$16)*$BW$16+
INDEX($A212:$BM212,,$BV$17)*$BW$17+
INDEX($A212:$BM212,,$BV$18)*$BW$18+
INDEX($A212:$BM212,,$BV$19)*$BW$19+
INDEX($A212:$BM212,,$BV$20)*$BW$20+
INDEX($A212:$BM212,,$BV$21)*$BW$21+
INDEX($A212:$BM212,,$BV$22)*$BW$22+
INDEX($A212:$BM212,,$BV$23)*$BW$23+
INDEX($A212:$BM212,,$BV$25)*$BW$25+
INDEX($A212:$BM212,,$BV$26)*$BW$26+
INDEX($A212:$BM212,,$BV$27)*$BW$27+
$BN212)),
$BN212-100)</f>
        <v>-100</v>
      </c>
      <c r="BF212" t="str">
        <f t="shared" si="49"/>
        <v/>
      </c>
      <c r="BG212" t="str">
        <f t="shared" si="50"/>
        <v/>
      </c>
      <c r="BH212">
        <f t="shared" si="51"/>
        <v>0</v>
      </c>
      <c r="BJ212" t="str">
        <f t="shared" si="52"/>
        <v/>
      </c>
      <c r="BL212">
        <f t="shared" si="41"/>
        <v>0</v>
      </c>
      <c r="BN212">
        <v>2.1099999999999999E-3</v>
      </c>
      <c r="BS212" s="4" t="s">
        <v>1866</v>
      </c>
    </row>
    <row r="213" spans="1:71" ht="15.75" thickBot="1" x14ac:dyDescent="0.3">
      <c r="A213" s="569" t="s">
        <v>2103</v>
      </c>
      <c r="B213" s="569" t="s">
        <v>140</v>
      </c>
      <c r="C213" s="569" t="s">
        <v>3</v>
      </c>
      <c r="D213" s="574">
        <v>5</v>
      </c>
      <c r="E213" s="569"/>
      <c r="F213" s="569"/>
      <c r="G213" s="569"/>
      <c r="H213" s="569"/>
      <c r="I213" s="574">
        <v>0</v>
      </c>
      <c r="J213" s="574">
        <v>0</v>
      </c>
      <c r="K213" s="574">
        <v>0</v>
      </c>
      <c r="L213" s="574">
        <v>9.6999999999999993</v>
      </c>
      <c r="M213" s="574">
        <v>0.3</v>
      </c>
      <c r="N213" s="574">
        <v>82.7</v>
      </c>
      <c r="O213" s="574">
        <v>20.3</v>
      </c>
      <c r="P213" s="574">
        <v>0.6</v>
      </c>
      <c r="Q213" s="574">
        <v>123.7</v>
      </c>
      <c r="R213" s="569"/>
      <c r="S213" s="569"/>
      <c r="T213" s="569"/>
      <c r="U213" s="569"/>
      <c r="V213" s="569"/>
      <c r="W213" s="569"/>
      <c r="X213" s="569"/>
      <c r="Y213" s="569"/>
      <c r="Z213" s="569"/>
      <c r="AA213" s="569"/>
      <c r="AB213" s="569"/>
      <c r="AC213" s="569"/>
      <c r="AD213" s="569"/>
      <c r="AE213" s="569"/>
      <c r="AF213" s="569"/>
      <c r="AG213" s="569"/>
      <c r="AH213" s="569"/>
      <c r="AI213" s="569"/>
      <c r="AJ213" s="569"/>
      <c r="AK213" s="569"/>
      <c r="AL213" s="569"/>
      <c r="AM213" s="569"/>
      <c r="AN213" s="574">
        <v>25.5</v>
      </c>
      <c r="AO213">
        <v>212</v>
      </c>
      <c r="AP213" t="str">
        <f t="shared" si="53"/>
        <v/>
      </c>
      <c r="AQ213" t="str">
        <f t="shared" si="43"/>
        <v/>
      </c>
      <c r="AR213" s="430">
        <f>IFERROR(
IF(AP213="",-100,
IF($BV$2&gt;0, INDEX(Beersheet!$A:$U,MATCH(AP213,INDEX(Beersheet!$A:$U,0,FFARawStatProjections!$BV$2),0),$BV$3)+$BN213,
INDEX($A213:$BM213,,$BV$12)*$BW$12+
INDEX($A213:$BM213,,$BV$15)*$BW$15+
INDEX($A213:$BM213,,$BV$16)*$BW$16+
INDEX($A213:$BM213,,$BV$17)*$BW$17+
INDEX($A213:$BM213,,$BV$18)*$BW$18+
INDEX($A213:$BM213,,$BV$19)*$BW$19+
INDEX($A213:$BM213,,$BV$20)*$BW$20+
INDEX($A213:$BM213,,$BV$21)*$BW$21+
INDEX($A213:$BM213,,$BV$22)*$BW$22+
INDEX($A213:$BM213,,$BV$23)*$BW$23+
INDEX($A213:$BM213,,$BV$25)*$BW$25+
INDEX($A213:$BM213,,$BV$26)*$BW$26+
INDEX($A213:$BM213,,$BV$27)*$BW$27+
$BN213)),
$BN213-100)</f>
        <v>-100</v>
      </c>
      <c r="AT213" t="str">
        <f t="shared" si="44"/>
        <v>DeeJay Dallas</v>
      </c>
      <c r="AU213" t="str">
        <f t="shared" si="45"/>
        <v>SEA</v>
      </c>
      <c r="AV213" s="430">
        <f>IFERROR(
IF(AT213="",-100,
IF($BV$2&gt;0, INDEX(Beersheet!$A:$U,MATCH(AT213,INDEX(Beersheet!$A:$U,0,FFARawStatProjections!$BV$2),0),$BV$3)+$BN213,
INDEX($A213:$BM213,,$BV$12)*$BW$12+
INDEX($A213:$BM213,,$BV$15)*$BW$15+
INDEX($A213:$BM213,,$BV$16)*$BW$16+
INDEX($A213:$BM213,,$BV$17)*$BW$17+
INDEX($A213:$BM213,,$BV$18)*$BW$18+
INDEX($A213:$BM213,,$BV$19)*$BW$19+
INDEX($A213:$BM213,,$BV$20)*$BW$20+
INDEX($A213:$BM213,,$BV$21)*$BW$21+
INDEX($A213:$BM213,,$BV$22)*$BW$22+
INDEX($A213:$BM213,,$BV$23)*$BW$23+
INDEX($A213:$BM213,,$BV$25)*$BW$25+
INDEX($A213:$BM213,,$BV$26)*$BW$26+
INDEX($A213:$BM213,,$BV$27)*$BW$27+
$BN213)),
$BN213-100)</f>
        <v>35.742120000000007</v>
      </c>
      <c r="AX213" t="str">
        <f t="shared" si="46"/>
        <v/>
      </c>
      <c r="AY213" t="str">
        <f t="shared" si="47"/>
        <v/>
      </c>
      <c r="AZ213" s="430">
        <f>IFERROR(
IF(AX213="",-100,
IF($BV$2&gt;0, INDEX(Beersheet!$A:$U,MATCH(AX213,INDEX(Beersheet!$A:$U,0,FFARawStatProjections!$BV$2),0),$BV$3)+$BN213,
INDEX($A213:$BM213,,$BV$12)*$BW$12+
INDEX($A213:$BM213,,$BV$15)*$BW$15+
INDEX($A213:$BM213,,$BV$16)*$BW$16+
INDEX($A213:$BM213,,$BV$17)*$BW$17+
INDEX($A213:$BM213,,$BV$18)*$BW$18+
INDEX($A213:$BM213,,$BV$19)*$BW$19+
INDEX($A213:$BM213,,$BV$20)*$BW$20+
INDEX($A213:$BM213,,$BV$21)*$BW$21+
INDEX($A213:$BM213,,$BV$22)*$BW$22+
INDEX($A213:$BM213,,$BV$23)*$BW$23+
INDEX($A213:$BM213,,$BV$25)*$BW$25+
INDEX($A213:$BM213,,$BV$26)*$BW$26+
INDEX($A213:$BM213,,$BV$27)*$BW$27+
$BN213)),
$BN213-100)</f>
        <v>-100</v>
      </c>
      <c r="BB213" t="str">
        <f t="shared" si="48"/>
        <v/>
      </c>
      <c r="BC213" t="str">
        <f t="shared" si="42"/>
        <v/>
      </c>
      <c r="BD213" s="430">
        <f>IFERROR(
IF(BB213="",-100,
IF($BV$2&gt;0, INDEX(Beersheet!$A:$U,MATCH(BB213,INDEX(Beersheet!$A:$U,0,FFARawStatProjections!$BV$2),0),$BV$3)+$BN213,
INDEX($A213:$BM213,,$BV$12)*$BW$12+
INDEX($A213:$BM213,,$BV$15)*$BW$15+
INDEX($A213:$BM213,,$BV$16)*$BW$16+
INDEX($A213:$BM213,,$BV$17)*$BW$17+
INDEX($A213:$BM213,,$BV$18)*$BW$18+
INDEX($A213:$BM213,,$BV$19)*$BW$19+
INDEX($A213:$BM213,,$BV$20)*$BW$20+
INDEX($A213:$BM213,,$BV$21)*$BW$21+
INDEX($A213:$BM213,,$BV$22)*$BW$22+
INDEX($A213:$BM213,,$BV$23)*$BW$23+
INDEX($A213:$BM213,,$BV$25)*$BW$25+
INDEX($A213:$BM213,,$BV$26)*$BW$26+
INDEX($A213:$BM213,,$BV$27)*$BW$27+
$BN213)),
$BN213-100)</f>
        <v>-100</v>
      </c>
      <c r="BF213" t="str">
        <f t="shared" si="49"/>
        <v/>
      </c>
      <c r="BG213" t="str">
        <f t="shared" si="50"/>
        <v/>
      </c>
      <c r="BH213">
        <f t="shared" si="51"/>
        <v>0</v>
      </c>
      <c r="BJ213" t="str">
        <f t="shared" si="52"/>
        <v/>
      </c>
      <c r="BL213">
        <f t="shared" si="41"/>
        <v>0</v>
      </c>
      <c r="BN213">
        <v>2.1199999999999999E-3</v>
      </c>
      <c r="BS213" s="4" t="s">
        <v>2494</v>
      </c>
    </row>
    <row r="214" spans="1:71" ht="15.75" thickBot="1" x14ac:dyDescent="0.3">
      <c r="A214" s="569" t="s">
        <v>2188</v>
      </c>
      <c r="B214" s="569" t="s">
        <v>145</v>
      </c>
      <c r="C214" s="569" t="s">
        <v>3</v>
      </c>
      <c r="D214" s="574">
        <v>7</v>
      </c>
      <c r="E214" s="569"/>
      <c r="F214" s="569"/>
      <c r="G214" s="569"/>
      <c r="H214" s="569"/>
      <c r="I214" s="574">
        <v>0</v>
      </c>
      <c r="J214" s="574">
        <v>0</v>
      </c>
      <c r="K214" s="574">
        <v>0</v>
      </c>
      <c r="L214" s="574">
        <v>9.9</v>
      </c>
      <c r="M214" s="574">
        <v>0.3</v>
      </c>
      <c r="N214" s="574">
        <v>77.2</v>
      </c>
      <c r="O214" s="574">
        <v>37.9</v>
      </c>
      <c r="P214" s="574">
        <v>0.5</v>
      </c>
      <c r="Q214" s="574">
        <v>133.5</v>
      </c>
      <c r="R214" s="569"/>
      <c r="S214" s="569"/>
      <c r="T214" s="569"/>
      <c r="U214" s="569"/>
      <c r="V214" s="569"/>
      <c r="W214" s="569"/>
      <c r="X214" s="569"/>
      <c r="Y214" s="569"/>
      <c r="Z214" s="569"/>
      <c r="AA214" s="569"/>
      <c r="AB214" s="569"/>
      <c r="AC214" s="569"/>
      <c r="AD214" s="569"/>
      <c r="AE214" s="569"/>
      <c r="AF214" s="569"/>
      <c r="AG214" s="569"/>
      <c r="AH214" s="569"/>
      <c r="AI214" s="569"/>
      <c r="AJ214" s="569"/>
      <c r="AK214" s="569"/>
      <c r="AL214" s="569"/>
      <c r="AM214" s="569"/>
      <c r="AN214" s="574">
        <v>25.5</v>
      </c>
      <c r="AO214">
        <v>213</v>
      </c>
      <c r="AP214" t="str">
        <f t="shared" si="53"/>
        <v/>
      </c>
      <c r="AQ214" t="str">
        <f t="shared" si="43"/>
        <v/>
      </c>
      <c r="AR214" s="430">
        <f>IFERROR(
IF(AP214="",-100,
IF($BV$2&gt;0, INDEX(Beersheet!$A:$U,MATCH(AP214,INDEX(Beersheet!$A:$U,0,FFARawStatProjections!$BV$2),0),$BV$3)+$BN214,
INDEX($A214:$BM214,,$BV$12)*$BW$12+
INDEX($A214:$BM214,,$BV$15)*$BW$15+
INDEX($A214:$BM214,,$BV$16)*$BW$16+
INDEX($A214:$BM214,,$BV$17)*$BW$17+
INDEX($A214:$BM214,,$BV$18)*$BW$18+
INDEX($A214:$BM214,,$BV$19)*$BW$19+
INDEX($A214:$BM214,,$BV$20)*$BW$20+
INDEX($A214:$BM214,,$BV$21)*$BW$21+
INDEX($A214:$BM214,,$BV$22)*$BW$22+
INDEX($A214:$BM214,,$BV$23)*$BW$23+
INDEX($A214:$BM214,,$BV$25)*$BW$25+
INDEX($A214:$BM214,,$BV$26)*$BW$26+
INDEX($A214:$BM214,,$BV$27)*$BW$27+
$BN214)),
$BN214-100)</f>
        <v>-100</v>
      </c>
      <c r="AT214" t="str">
        <f t="shared" si="44"/>
        <v>Chris Evans</v>
      </c>
      <c r="AU214" t="str">
        <f t="shared" si="45"/>
        <v>CIN</v>
      </c>
      <c r="AV214" s="430">
        <f>IFERROR(
IF(AT214="",-100,
IF($BV$2&gt;0, INDEX(Beersheet!$A:$U,MATCH(AT214,INDEX(Beersheet!$A:$U,0,FFARawStatProjections!$BV$2),0),$BV$3)+$BN214,
INDEX($A214:$BM214,,$BV$12)*$BW$12+
INDEX($A214:$BM214,,$BV$15)*$BW$15+
INDEX($A214:$BM214,,$BV$16)*$BW$16+
INDEX($A214:$BM214,,$BV$17)*$BW$17+
INDEX($A214:$BM214,,$BV$18)*$BW$18+
INDEX($A214:$BM214,,$BV$19)*$BW$19+
INDEX($A214:$BM214,,$BV$20)*$BW$20+
INDEX($A214:$BM214,,$BV$21)*$BW$21+
INDEX($A214:$BM214,,$BV$22)*$BW$22+
INDEX($A214:$BM214,,$BV$23)*$BW$23+
INDEX($A214:$BM214,,$BV$25)*$BW$25+
INDEX($A214:$BM214,,$BV$26)*$BW$26+
INDEX($A214:$BM214,,$BV$27)*$BW$27+
$BN214)),
$BN214-100)</f>
        <v>35.772130000000004</v>
      </c>
      <c r="AX214" t="str">
        <f t="shared" si="46"/>
        <v/>
      </c>
      <c r="AY214" t="str">
        <f t="shared" si="47"/>
        <v/>
      </c>
      <c r="AZ214" s="430">
        <f>IFERROR(
IF(AX214="",-100,
IF($BV$2&gt;0, INDEX(Beersheet!$A:$U,MATCH(AX214,INDEX(Beersheet!$A:$U,0,FFARawStatProjections!$BV$2),0),$BV$3)+$BN214,
INDEX($A214:$BM214,,$BV$12)*$BW$12+
INDEX($A214:$BM214,,$BV$15)*$BW$15+
INDEX($A214:$BM214,,$BV$16)*$BW$16+
INDEX($A214:$BM214,,$BV$17)*$BW$17+
INDEX($A214:$BM214,,$BV$18)*$BW$18+
INDEX($A214:$BM214,,$BV$19)*$BW$19+
INDEX($A214:$BM214,,$BV$20)*$BW$20+
INDEX($A214:$BM214,,$BV$21)*$BW$21+
INDEX($A214:$BM214,,$BV$22)*$BW$22+
INDEX($A214:$BM214,,$BV$23)*$BW$23+
INDEX($A214:$BM214,,$BV$25)*$BW$25+
INDEX($A214:$BM214,,$BV$26)*$BW$26+
INDEX($A214:$BM214,,$BV$27)*$BW$27+
$BN214)),
$BN214-100)</f>
        <v>-100</v>
      </c>
      <c r="BB214" t="str">
        <f t="shared" si="48"/>
        <v/>
      </c>
      <c r="BC214" t="str">
        <f t="shared" si="42"/>
        <v/>
      </c>
      <c r="BD214" s="430">
        <f>IFERROR(
IF(BB214="",-100,
IF($BV$2&gt;0, INDEX(Beersheet!$A:$U,MATCH(BB214,INDEX(Beersheet!$A:$U,0,FFARawStatProjections!$BV$2),0),$BV$3)+$BN214,
INDEX($A214:$BM214,,$BV$12)*$BW$12+
INDEX($A214:$BM214,,$BV$15)*$BW$15+
INDEX($A214:$BM214,,$BV$16)*$BW$16+
INDEX($A214:$BM214,,$BV$17)*$BW$17+
INDEX($A214:$BM214,,$BV$18)*$BW$18+
INDEX($A214:$BM214,,$BV$19)*$BW$19+
INDEX($A214:$BM214,,$BV$20)*$BW$20+
INDEX($A214:$BM214,,$BV$21)*$BW$21+
INDEX($A214:$BM214,,$BV$22)*$BW$22+
INDEX($A214:$BM214,,$BV$23)*$BW$23+
INDEX($A214:$BM214,,$BV$25)*$BW$25+
INDEX($A214:$BM214,,$BV$26)*$BW$26+
INDEX($A214:$BM214,,$BV$27)*$BW$27+
$BN214)),
$BN214-100)</f>
        <v>-100</v>
      </c>
      <c r="BF214" t="str">
        <f t="shared" si="49"/>
        <v/>
      </c>
      <c r="BG214" t="str">
        <f t="shared" si="50"/>
        <v/>
      </c>
      <c r="BH214">
        <f t="shared" si="51"/>
        <v>0</v>
      </c>
      <c r="BJ214" t="str">
        <f t="shared" si="52"/>
        <v/>
      </c>
      <c r="BL214">
        <f t="shared" si="41"/>
        <v>0</v>
      </c>
      <c r="BN214">
        <v>2.1299999999999999E-3</v>
      </c>
      <c r="BS214" s="4" t="s">
        <v>2196</v>
      </c>
    </row>
    <row r="215" spans="1:71" ht="15.75" thickBot="1" x14ac:dyDescent="0.3">
      <c r="A215" s="569" t="s">
        <v>2313</v>
      </c>
      <c r="B215" s="569" t="s">
        <v>158</v>
      </c>
      <c r="C215" s="569" t="s">
        <v>3</v>
      </c>
      <c r="D215" s="574">
        <v>11</v>
      </c>
      <c r="E215" s="569"/>
      <c r="F215" s="569"/>
      <c r="G215" s="569"/>
      <c r="H215" s="569"/>
      <c r="I215" s="574">
        <v>0</v>
      </c>
      <c r="J215" s="574">
        <v>0</v>
      </c>
      <c r="K215" s="574">
        <v>0</v>
      </c>
      <c r="L215" s="574">
        <v>17.899999999999999</v>
      </c>
      <c r="M215" s="574">
        <v>0.5</v>
      </c>
      <c r="N215" s="574">
        <v>109.1</v>
      </c>
      <c r="O215" s="574">
        <v>39.5</v>
      </c>
      <c r="P215" s="574">
        <v>0.4</v>
      </c>
      <c r="Q215" s="574">
        <v>106.3</v>
      </c>
      <c r="R215" s="569"/>
      <c r="S215" s="569"/>
      <c r="T215" s="569"/>
      <c r="U215" s="569"/>
      <c r="V215" s="569"/>
      <c r="W215" s="569"/>
      <c r="X215" s="569"/>
      <c r="Y215" s="569"/>
      <c r="Z215" s="569"/>
      <c r="AA215" s="569"/>
      <c r="AB215" s="569"/>
      <c r="AC215" s="569"/>
      <c r="AD215" s="569"/>
      <c r="AE215" s="569"/>
      <c r="AF215" s="569"/>
      <c r="AG215" s="569"/>
      <c r="AH215" s="569"/>
      <c r="AI215" s="569"/>
      <c r="AJ215" s="569"/>
      <c r="AK215" s="569"/>
      <c r="AL215" s="569"/>
      <c r="AM215" s="569"/>
      <c r="AN215" s="574">
        <v>25</v>
      </c>
      <c r="AO215">
        <v>214</v>
      </c>
      <c r="AP215" t="str">
        <f t="shared" si="53"/>
        <v/>
      </c>
      <c r="AQ215" t="str">
        <f t="shared" si="43"/>
        <v/>
      </c>
      <c r="AR215" s="430">
        <f>IFERROR(
IF(AP215="",-100,
IF($BV$2&gt;0, INDEX(Beersheet!$A:$U,MATCH(AP215,INDEX(Beersheet!$A:$U,0,FFARawStatProjections!$BV$2),0),$BV$3)+$BN215,
INDEX($A215:$BM215,,$BV$12)*$BW$12+
INDEX($A215:$BM215,,$BV$15)*$BW$15+
INDEX($A215:$BM215,,$BV$16)*$BW$16+
INDEX($A215:$BM215,,$BV$17)*$BW$17+
INDEX($A215:$BM215,,$BV$18)*$BW$18+
INDEX($A215:$BM215,,$BV$19)*$BW$19+
INDEX($A215:$BM215,,$BV$20)*$BW$20+
INDEX($A215:$BM215,,$BV$21)*$BW$21+
INDEX($A215:$BM215,,$BV$22)*$BW$22+
INDEX($A215:$BM215,,$BV$23)*$BW$23+
INDEX($A215:$BM215,,$BV$25)*$BW$25+
INDEX($A215:$BM215,,$BV$26)*$BW$26+
INDEX($A215:$BM215,,$BV$27)*$BW$27+
$BN215)),
$BN215-100)</f>
        <v>-100</v>
      </c>
      <c r="AT215" t="str">
        <f t="shared" si="44"/>
        <v>Deon Jackson</v>
      </c>
      <c r="AU215" t="str">
        <f t="shared" si="45"/>
        <v>IND</v>
      </c>
      <c r="AV215" s="430">
        <f>IFERROR(
IF(AT215="",-100,
IF($BV$2&gt;0, INDEX(Beersheet!$A:$U,MATCH(AT215,INDEX(Beersheet!$A:$U,0,FFARawStatProjections!$BV$2),0),$BV$3)+$BN215,
INDEX($A215:$BM215,,$BV$12)*$BW$12+
INDEX($A215:$BM215,,$BV$15)*$BW$15+
INDEX($A215:$BM215,,$BV$16)*$BW$16+
INDEX($A215:$BM215,,$BV$17)*$BW$17+
INDEX($A215:$BM215,,$BV$18)*$BW$18+
INDEX($A215:$BM215,,$BV$19)*$BW$19+
INDEX($A215:$BM215,,$BV$20)*$BW$20+
INDEX($A215:$BM215,,$BV$21)*$BW$21+
INDEX($A215:$BM215,,$BV$22)*$BW$22+
INDEX($A215:$BM215,,$BV$23)*$BW$23+
INDEX($A215:$BM215,,$BV$25)*$BW$25+
INDEX($A215:$BM215,,$BV$26)*$BW$26+
INDEX($A215:$BM215,,$BV$27)*$BW$27+
$BN215)),
$BN215-100)</f>
        <v>44.842140000000001</v>
      </c>
      <c r="AX215" t="str">
        <f t="shared" si="46"/>
        <v/>
      </c>
      <c r="AY215" t="str">
        <f t="shared" si="47"/>
        <v/>
      </c>
      <c r="AZ215" s="430">
        <f>IFERROR(
IF(AX215="",-100,
IF($BV$2&gt;0, INDEX(Beersheet!$A:$U,MATCH(AX215,INDEX(Beersheet!$A:$U,0,FFARawStatProjections!$BV$2),0),$BV$3)+$BN215,
INDEX($A215:$BM215,,$BV$12)*$BW$12+
INDEX($A215:$BM215,,$BV$15)*$BW$15+
INDEX($A215:$BM215,,$BV$16)*$BW$16+
INDEX($A215:$BM215,,$BV$17)*$BW$17+
INDEX($A215:$BM215,,$BV$18)*$BW$18+
INDEX($A215:$BM215,,$BV$19)*$BW$19+
INDEX($A215:$BM215,,$BV$20)*$BW$20+
INDEX($A215:$BM215,,$BV$21)*$BW$21+
INDEX($A215:$BM215,,$BV$22)*$BW$22+
INDEX($A215:$BM215,,$BV$23)*$BW$23+
INDEX($A215:$BM215,,$BV$25)*$BW$25+
INDEX($A215:$BM215,,$BV$26)*$BW$26+
INDEX($A215:$BM215,,$BV$27)*$BW$27+
$BN215)),
$BN215-100)</f>
        <v>-100</v>
      </c>
      <c r="BB215" t="str">
        <f t="shared" si="48"/>
        <v/>
      </c>
      <c r="BC215" t="str">
        <f t="shared" si="42"/>
        <v/>
      </c>
      <c r="BD215" s="430">
        <f>IFERROR(
IF(BB215="",-100,
IF($BV$2&gt;0, INDEX(Beersheet!$A:$U,MATCH(BB215,INDEX(Beersheet!$A:$U,0,FFARawStatProjections!$BV$2),0),$BV$3)+$BN215,
INDEX($A215:$BM215,,$BV$12)*$BW$12+
INDEX($A215:$BM215,,$BV$15)*$BW$15+
INDEX($A215:$BM215,,$BV$16)*$BW$16+
INDEX($A215:$BM215,,$BV$17)*$BW$17+
INDEX($A215:$BM215,,$BV$18)*$BW$18+
INDEX($A215:$BM215,,$BV$19)*$BW$19+
INDEX($A215:$BM215,,$BV$20)*$BW$20+
INDEX($A215:$BM215,,$BV$21)*$BW$21+
INDEX($A215:$BM215,,$BV$22)*$BW$22+
INDEX($A215:$BM215,,$BV$23)*$BW$23+
INDEX($A215:$BM215,,$BV$25)*$BW$25+
INDEX($A215:$BM215,,$BV$26)*$BW$26+
INDEX($A215:$BM215,,$BV$27)*$BW$27+
$BN215)),
$BN215-100)</f>
        <v>-100</v>
      </c>
      <c r="BF215" t="str">
        <f t="shared" si="49"/>
        <v/>
      </c>
      <c r="BG215" t="str">
        <f t="shared" si="50"/>
        <v/>
      </c>
      <c r="BH215">
        <f t="shared" si="51"/>
        <v>0</v>
      </c>
      <c r="BJ215" t="str">
        <f t="shared" si="52"/>
        <v/>
      </c>
      <c r="BL215">
        <f t="shared" si="41"/>
        <v>0</v>
      </c>
      <c r="BN215">
        <v>2.14E-3</v>
      </c>
      <c r="BS215" s="4" t="s">
        <v>2493</v>
      </c>
    </row>
    <row r="216" spans="1:71" ht="15.75" thickBot="1" x14ac:dyDescent="0.3">
      <c r="A216" s="569" t="s">
        <v>2299</v>
      </c>
      <c r="B216" s="569" t="s">
        <v>142</v>
      </c>
      <c r="C216" s="569" t="s">
        <v>3</v>
      </c>
      <c r="D216" s="574">
        <v>9</v>
      </c>
      <c r="E216" s="569"/>
      <c r="F216" s="569"/>
      <c r="G216" s="569"/>
      <c r="H216" s="569"/>
      <c r="I216" s="574">
        <v>0</v>
      </c>
      <c r="J216" s="574">
        <v>0</v>
      </c>
      <c r="K216" s="574">
        <v>0</v>
      </c>
      <c r="L216" s="574">
        <v>8.9</v>
      </c>
      <c r="M216" s="574">
        <v>0.3</v>
      </c>
      <c r="N216" s="574">
        <v>74.2</v>
      </c>
      <c r="O216" s="574">
        <v>24</v>
      </c>
      <c r="P216" s="574">
        <v>0.6</v>
      </c>
      <c r="Q216" s="574">
        <v>115.8</v>
      </c>
      <c r="R216" s="569"/>
      <c r="S216" s="569"/>
      <c r="T216" s="569"/>
      <c r="U216" s="569"/>
      <c r="V216" s="569"/>
      <c r="W216" s="569"/>
      <c r="X216" s="569"/>
      <c r="Y216" s="569"/>
      <c r="Z216" s="569"/>
      <c r="AA216" s="569"/>
      <c r="AB216" s="569"/>
      <c r="AC216" s="569"/>
      <c r="AD216" s="569"/>
      <c r="AE216" s="569"/>
      <c r="AF216" s="569"/>
      <c r="AG216" s="569"/>
      <c r="AH216" s="569"/>
      <c r="AI216" s="569"/>
      <c r="AJ216" s="569"/>
      <c r="AK216" s="569"/>
      <c r="AL216" s="569"/>
      <c r="AM216" s="569"/>
      <c r="AN216" s="574">
        <v>24.8</v>
      </c>
      <c r="AO216">
        <v>215</v>
      </c>
      <c r="AP216" t="str">
        <f t="shared" si="53"/>
        <v/>
      </c>
      <c r="AQ216" t="str">
        <f t="shared" si="43"/>
        <v/>
      </c>
      <c r="AR216" s="430">
        <f>IFERROR(
IF(AP216="",-100,
IF($BV$2&gt;0, INDEX(Beersheet!$A:$U,MATCH(AP216,INDEX(Beersheet!$A:$U,0,FFARawStatProjections!$BV$2),0),$BV$3)+$BN216,
INDEX($A216:$BM216,,$BV$12)*$BW$12+
INDEX($A216:$BM216,,$BV$15)*$BW$15+
INDEX($A216:$BM216,,$BV$16)*$BW$16+
INDEX($A216:$BM216,,$BV$17)*$BW$17+
INDEX($A216:$BM216,,$BV$18)*$BW$18+
INDEX($A216:$BM216,,$BV$19)*$BW$19+
INDEX($A216:$BM216,,$BV$20)*$BW$20+
INDEX($A216:$BM216,,$BV$21)*$BW$21+
INDEX($A216:$BM216,,$BV$22)*$BW$22+
INDEX($A216:$BM216,,$BV$23)*$BW$23+
INDEX($A216:$BM216,,$BV$25)*$BW$25+
INDEX($A216:$BM216,,$BV$26)*$BW$26+
INDEX($A216:$BM216,,$BV$27)*$BW$27+
$BN216)),
$BN216-100)</f>
        <v>-100</v>
      </c>
      <c r="AT216" t="str">
        <f t="shared" si="44"/>
        <v>Craig Reynolds</v>
      </c>
      <c r="AU216" t="str">
        <f t="shared" si="45"/>
        <v>DET</v>
      </c>
      <c r="AV216" s="430">
        <f>IFERROR(
IF(AT216="",-100,
IF($BV$2&gt;0, INDEX(Beersheet!$A:$U,MATCH(AT216,INDEX(Beersheet!$A:$U,0,FFARawStatProjections!$BV$2),0),$BV$3)+$BN216,
INDEX($A216:$BM216,,$BV$12)*$BW$12+
INDEX($A216:$BM216,,$BV$15)*$BW$15+
INDEX($A216:$BM216,,$BV$16)*$BW$16+
INDEX($A216:$BM216,,$BV$17)*$BW$17+
INDEX($A216:$BM216,,$BV$18)*$BW$18+
INDEX($A216:$BM216,,$BV$19)*$BW$19+
INDEX($A216:$BM216,,$BV$20)*$BW$20+
INDEX($A216:$BM216,,$BV$21)*$BW$21+
INDEX($A216:$BM216,,$BV$22)*$BW$22+
INDEX($A216:$BM216,,$BV$23)*$BW$23+
INDEX($A216:$BM216,,$BV$25)*$BW$25+
INDEX($A216:$BM216,,$BV$26)*$BW$26+
INDEX($A216:$BM216,,$BV$27)*$BW$27+
$BN216)),
$BN216-100)</f>
        <v>33.302149999999997</v>
      </c>
      <c r="AX216" t="str">
        <f t="shared" si="46"/>
        <v/>
      </c>
      <c r="AY216" t="str">
        <f t="shared" si="47"/>
        <v/>
      </c>
      <c r="AZ216" s="430">
        <f>IFERROR(
IF(AX216="",-100,
IF($BV$2&gt;0, INDEX(Beersheet!$A:$U,MATCH(AX216,INDEX(Beersheet!$A:$U,0,FFARawStatProjections!$BV$2),0),$BV$3)+$BN216,
INDEX($A216:$BM216,,$BV$12)*$BW$12+
INDEX($A216:$BM216,,$BV$15)*$BW$15+
INDEX($A216:$BM216,,$BV$16)*$BW$16+
INDEX($A216:$BM216,,$BV$17)*$BW$17+
INDEX($A216:$BM216,,$BV$18)*$BW$18+
INDEX($A216:$BM216,,$BV$19)*$BW$19+
INDEX($A216:$BM216,,$BV$20)*$BW$20+
INDEX($A216:$BM216,,$BV$21)*$BW$21+
INDEX($A216:$BM216,,$BV$22)*$BW$22+
INDEX($A216:$BM216,,$BV$23)*$BW$23+
INDEX($A216:$BM216,,$BV$25)*$BW$25+
INDEX($A216:$BM216,,$BV$26)*$BW$26+
INDEX($A216:$BM216,,$BV$27)*$BW$27+
$BN216)),
$BN216-100)</f>
        <v>-100</v>
      </c>
      <c r="BB216" t="str">
        <f t="shared" si="48"/>
        <v/>
      </c>
      <c r="BC216" t="str">
        <f t="shared" si="42"/>
        <v/>
      </c>
      <c r="BD216" s="430">
        <f>IFERROR(
IF(BB216="",-100,
IF($BV$2&gt;0, INDEX(Beersheet!$A:$U,MATCH(BB216,INDEX(Beersheet!$A:$U,0,FFARawStatProjections!$BV$2),0),$BV$3)+$BN216,
INDEX($A216:$BM216,,$BV$12)*$BW$12+
INDEX($A216:$BM216,,$BV$15)*$BW$15+
INDEX($A216:$BM216,,$BV$16)*$BW$16+
INDEX($A216:$BM216,,$BV$17)*$BW$17+
INDEX($A216:$BM216,,$BV$18)*$BW$18+
INDEX($A216:$BM216,,$BV$19)*$BW$19+
INDEX($A216:$BM216,,$BV$20)*$BW$20+
INDEX($A216:$BM216,,$BV$21)*$BW$21+
INDEX($A216:$BM216,,$BV$22)*$BW$22+
INDEX($A216:$BM216,,$BV$23)*$BW$23+
INDEX($A216:$BM216,,$BV$25)*$BW$25+
INDEX($A216:$BM216,,$BV$26)*$BW$26+
INDEX($A216:$BM216,,$BV$27)*$BW$27+
$BN216)),
$BN216-100)</f>
        <v>-100</v>
      </c>
      <c r="BF216" t="str">
        <f t="shared" si="49"/>
        <v/>
      </c>
      <c r="BG216" t="str">
        <f t="shared" si="50"/>
        <v/>
      </c>
      <c r="BH216">
        <f t="shared" si="51"/>
        <v>0</v>
      </c>
      <c r="BJ216" t="str">
        <f t="shared" si="52"/>
        <v/>
      </c>
      <c r="BL216">
        <f t="shared" si="41"/>
        <v>0</v>
      </c>
      <c r="BN216">
        <v>2.15E-3</v>
      </c>
      <c r="BS216" s="4" t="s">
        <v>2209</v>
      </c>
    </row>
    <row r="217" spans="1:71" ht="15.75" thickBot="1" x14ac:dyDescent="0.3">
      <c r="A217" s="569" t="s">
        <v>1780</v>
      </c>
      <c r="B217" s="569" t="s">
        <v>137</v>
      </c>
      <c r="C217" s="569" t="s">
        <v>3</v>
      </c>
      <c r="D217" s="574">
        <v>10</v>
      </c>
      <c r="E217" s="569"/>
      <c r="F217" s="569"/>
      <c r="G217" s="569"/>
      <c r="H217" s="569"/>
      <c r="I217" s="574">
        <v>0</v>
      </c>
      <c r="J217" s="574">
        <v>0</v>
      </c>
      <c r="K217" s="574">
        <v>0</v>
      </c>
      <c r="L217" s="574">
        <v>3.6</v>
      </c>
      <c r="M217" s="574">
        <v>0.1</v>
      </c>
      <c r="N217" s="574">
        <v>36</v>
      </c>
      <c r="O217" s="574">
        <v>31.2</v>
      </c>
      <c r="P217" s="574">
        <v>1.1000000000000001</v>
      </c>
      <c r="Q217" s="574">
        <v>143.80000000000001</v>
      </c>
      <c r="R217" s="569"/>
      <c r="S217" s="569"/>
      <c r="T217" s="569"/>
      <c r="U217" s="569"/>
      <c r="V217" s="569"/>
      <c r="W217" s="569"/>
      <c r="X217" s="569"/>
      <c r="Y217" s="569"/>
      <c r="Z217" s="569"/>
      <c r="AA217" s="569"/>
      <c r="AB217" s="569"/>
      <c r="AC217" s="569"/>
      <c r="AD217" s="569"/>
      <c r="AE217" s="569"/>
      <c r="AF217" s="569"/>
      <c r="AG217" s="569"/>
      <c r="AH217" s="569"/>
      <c r="AI217" s="569"/>
      <c r="AJ217" s="569"/>
      <c r="AK217" s="569"/>
      <c r="AL217" s="569"/>
      <c r="AM217" s="569"/>
      <c r="AN217" s="574">
        <v>24.6</v>
      </c>
      <c r="AO217">
        <v>216</v>
      </c>
      <c r="AP217" t="str">
        <f t="shared" si="53"/>
        <v/>
      </c>
      <c r="AQ217" t="str">
        <f t="shared" si="43"/>
        <v/>
      </c>
      <c r="AR217" s="430">
        <f>IFERROR(
IF(AP217="",-100,
IF($BV$2&gt;0, INDEX(Beersheet!$A:$U,MATCH(AP217,INDEX(Beersheet!$A:$U,0,FFARawStatProjections!$BV$2),0),$BV$3)+$BN217,
INDEX($A217:$BM217,,$BV$12)*$BW$12+
INDEX($A217:$BM217,,$BV$15)*$BW$15+
INDEX($A217:$BM217,,$BV$16)*$BW$16+
INDEX($A217:$BM217,,$BV$17)*$BW$17+
INDEX($A217:$BM217,,$BV$18)*$BW$18+
INDEX($A217:$BM217,,$BV$19)*$BW$19+
INDEX($A217:$BM217,,$BV$20)*$BW$20+
INDEX($A217:$BM217,,$BV$21)*$BW$21+
INDEX($A217:$BM217,,$BV$22)*$BW$22+
INDEX($A217:$BM217,,$BV$23)*$BW$23+
INDEX($A217:$BM217,,$BV$25)*$BW$25+
INDEX($A217:$BM217,,$BV$26)*$BW$26+
INDEX($A217:$BM217,,$BV$27)*$BW$27+
$BN217)),
$BN217-100)</f>
        <v>-100</v>
      </c>
      <c r="AT217" t="str">
        <f t="shared" si="44"/>
        <v>Boston Scott</v>
      </c>
      <c r="AU217" t="str">
        <f t="shared" si="45"/>
        <v>PHI</v>
      </c>
      <c r="AV217" s="430">
        <f>IFERROR(
IF(AT217="",-100,
IF($BV$2&gt;0, INDEX(Beersheet!$A:$U,MATCH(AT217,INDEX(Beersheet!$A:$U,0,FFARawStatProjections!$BV$2),0),$BV$3)+$BN217,
INDEX($A217:$BM217,,$BV$12)*$BW$12+
INDEX($A217:$BM217,,$BV$15)*$BW$15+
INDEX($A217:$BM217,,$BV$16)*$BW$16+
INDEX($A217:$BM217,,$BV$17)*$BW$17+
INDEX($A217:$BM217,,$BV$18)*$BW$18+
INDEX($A217:$BM217,,$BV$19)*$BW$19+
INDEX($A217:$BM217,,$BV$20)*$BW$20+
INDEX($A217:$BM217,,$BV$21)*$BW$21+
INDEX($A217:$BM217,,$BV$22)*$BW$22+
INDEX($A217:$BM217,,$BV$23)*$BW$23+
INDEX($A217:$BM217,,$BV$25)*$BW$25+
INDEX($A217:$BM217,,$BV$26)*$BW$26+
INDEX($A217:$BM217,,$BV$27)*$BW$27+
$BN217)),
$BN217-100)</f>
        <v>28.782160000000005</v>
      </c>
      <c r="AX217" t="str">
        <f t="shared" si="46"/>
        <v/>
      </c>
      <c r="AY217" t="str">
        <f t="shared" si="47"/>
        <v/>
      </c>
      <c r="AZ217" s="430">
        <f>IFERROR(
IF(AX217="",-100,
IF($BV$2&gt;0, INDEX(Beersheet!$A:$U,MATCH(AX217,INDEX(Beersheet!$A:$U,0,FFARawStatProjections!$BV$2),0),$BV$3)+$BN217,
INDEX($A217:$BM217,,$BV$12)*$BW$12+
INDEX($A217:$BM217,,$BV$15)*$BW$15+
INDEX($A217:$BM217,,$BV$16)*$BW$16+
INDEX($A217:$BM217,,$BV$17)*$BW$17+
INDEX($A217:$BM217,,$BV$18)*$BW$18+
INDEX($A217:$BM217,,$BV$19)*$BW$19+
INDEX($A217:$BM217,,$BV$20)*$BW$20+
INDEX($A217:$BM217,,$BV$21)*$BW$21+
INDEX($A217:$BM217,,$BV$22)*$BW$22+
INDEX($A217:$BM217,,$BV$23)*$BW$23+
INDEX($A217:$BM217,,$BV$25)*$BW$25+
INDEX($A217:$BM217,,$BV$26)*$BW$26+
INDEX($A217:$BM217,,$BV$27)*$BW$27+
$BN217)),
$BN217-100)</f>
        <v>-100</v>
      </c>
      <c r="BB217" t="str">
        <f t="shared" si="48"/>
        <v/>
      </c>
      <c r="BC217" t="str">
        <f t="shared" si="42"/>
        <v/>
      </c>
      <c r="BD217" s="430">
        <f>IFERROR(
IF(BB217="",-100,
IF($BV$2&gt;0, INDEX(Beersheet!$A:$U,MATCH(BB217,INDEX(Beersheet!$A:$U,0,FFARawStatProjections!$BV$2),0),$BV$3)+$BN217,
INDEX($A217:$BM217,,$BV$12)*$BW$12+
INDEX($A217:$BM217,,$BV$15)*$BW$15+
INDEX($A217:$BM217,,$BV$16)*$BW$16+
INDEX($A217:$BM217,,$BV$17)*$BW$17+
INDEX($A217:$BM217,,$BV$18)*$BW$18+
INDEX($A217:$BM217,,$BV$19)*$BW$19+
INDEX($A217:$BM217,,$BV$20)*$BW$20+
INDEX($A217:$BM217,,$BV$21)*$BW$21+
INDEX($A217:$BM217,,$BV$22)*$BW$22+
INDEX($A217:$BM217,,$BV$23)*$BW$23+
INDEX($A217:$BM217,,$BV$25)*$BW$25+
INDEX($A217:$BM217,,$BV$26)*$BW$26+
INDEX($A217:$BM217,,$BV$27)*$BW$27+
$BN217)),
$BN217-100)</f>
        <v>-100</v>
      </c>
      <c r="BF217" t="str">
        <f t="shared" si="49"/>
        <v/>
      </c>
      <c r="BG217" t="str">
        <f t="shared" si="50"/>
        <v/>
      </c>
      <c r="BH217">
        <f t="shared" si="51"/>
        <v>0</v>
      </c>
      <c r="BJ217" t="str">
        <f t="shared" si="52"/>
        <v/>
      </c>
      <c r="BL217">
        <f t="shared" ref="BL217:BL280" si="54">IFERROR(IF(BJ217="",0,
V217*2+W217*2+X217*2+Z217*6+AA217*1+AB217*2+AC217*6
+AN217+BN217),"")</f>
        <v>0</v>
      </c>
      <c r="BN217">
        <v>2.16E-3</v>
      </c>
      <c r="BS217" s="4" t="s">
        <v>2144</v>
      </c>
    </row>
    <row r="218" spans="1:71" ht="15.75" thickBot="1" x14ac:dyDescent="0.3">
      <c r="A218" s="569" t="s">
        <v>2411</v>
      </c>
      <c r="B218" s="569" t="s">
        <v>2073</v>
      </c>
      <c r="C218" s="569" t="s">
        <v>3</v>
      </c>
      <c r="D218" s="574">
        <v>13</v>
      </c>
      <c r="E218" s="569"/>
      <c r="F218" s="569"/>
      <c r="G218" s="569"/>
      <c r="H218" s="569"/>
      <c r="I218" s="574">
        <v>0</v>
      </c>
      <c r="J218" s="574">
        <v>0</v>
      </c>
      <c r="K218" s="574">
        <v>0</v>
      </c>
      <c r="L218" s="574">
        <v>4</v>
      </c>
      <c r="M218" s="574">
        <v>0</v>
      </c>
      <c r="N218" s="574">
        <v>39</v>
      </c>
      <c r="O218" s="574">
        <v>30</v>
      </c>
      <c r="P218" s="574">
        <v>1</v>
      </c>
      <c r="Q218" s="574">
        <v>136</v>
      </c>
      <c r="R218" s="569"/>
      <c r="S218" s="569"/>
      <c r="T218" s="569"/>
      <c r="U218" s="569"/>
      <c r="V218" s="569"/>
      <c r="W218" s="569"/>
      <c r="X218" s="569"/>
      <c r="Y218" s="569"/>
      <c r="Z218" s="569"/>
      <c r="AA218" s="569"/>
      <c r="AB218" s="569"/>
      <c r="AC218" s="569"/>
      <c r="AD218" s="569"/>
      <c r="AE218" s="569"/>
      <c r="AF218" s="569"/>
      <c r="AG218" s="569"/>
      <c r="AH218" s="569"/>
      <c r="AI218" s="569"/>
      <c r="AJ218" s="569"/>
      <c r="AK218" s="569"/>
      <c r="AL218" s="569"/>
      <c r="AM218" s="569"/>
      <c r="AN218" s="574">
        <v>23.5</v>
      </c>
      <c r="AO218">
        <v>217</v>
      </c>
      <c r="AP218" t="str">
        <f t="shared" si="53"/>
        <v/>
      </c>
      <c r="AQ218" t="str">
        <f t="shared" si="43"/>
        <v/>
      </c>
      <c r="AR218" s="430">
        <f>IFERROR(
IF(AP218="",-100,
IF($BV$2&gt;0, INDEX(Beersheet!$A:$U,MATCH(AP218,INDEX(Beersheet!$A:$U,0,FFARawStatProjections!$BV$2),0),$BV$3)+$BN218,
INDEX($A218:$BM218,,$BV$12)*$BW$12+
INDEX($A218:$BM218,,$BV$15)*$BW$15+
INDEX($A218:$BM218,,$BV$16)*$BW$16+
INDEX($A218:$BM218,,$BV$17)*$BW$17+
INDEX($A218:$BM218,,$BV$18)*$BW$18+
INDEX($A218:$BM218,,$BV$19)*$BW$19+
INDEX($A218:$BM218,,$BV$20)*$BW$20+
INDEX($A218:$BM218,,$BV$21)*$BW$21+
INDEX($A218:$BM218,,$BV$22)*$BW$22+
INDEX($A218:$BM218,,$BV$23)*$BW$23+
INDEX($A218:$BM218,,$BV$25)*$BW$25+
INDEX($A218:$BM218,,$BV$26)*$BW$26+
INDEX($A218:$BM218,,$BV$27)*$BW$27+
$BN218)),
$BN218-100)</f>
        <v>-100</v>
      </c>
      <c r="AT218" t="str">
        <f t="shared" si="44"/>
        <v>Sincere McCormick</v>
      </c>
      <c r="AU218" t="str">
        <f t="shared" si="45"/>
        <v>LV</v>
      </c>
      <c r="AV218" s="430">
        <f>IFERROR(
IF(AT218="",-100,
IF($BV$2&gt;0, INDEX(Beersheet!$A:$U,MATCH(AT218,INDEX(Beersheet!$A:$U,0,FFARawStatProjections!$BV$2),0),$BV$3)+$BN218,
INDEX($A218:$BM218,,$BV$12)*$BW$12+
INDEX($A218:$BM218,,$BV$15)*$BW$15+
INDEX($A218:$BM218,,$BV$16)*$BW$16+
INDEX($A218:$BM218,,$BV$17)*$BW$17+
INDEX($A218:$BM218,,$BV$18)*$BW$18+
INDEX($A218:$BM218,,$BV$19)*$BW$19+
INDEX($A218:$BM218,,$BV$20)*$BW$20+
INDEX($A218:$BM218,,$BV$21)*$BW$21+
INDEX($A218:$BM218,,$BV$22)*$BW$22+
INDEX($A218:$BM218,,$BV$23)*$BW$23+
INDEX($A218:$BM218,,$BV$25)*$BW$25+
INDEX($A218:$BM218,,$BV$26)*$BW$26+
INDEX($A218:$BM218,,$BV$27)*$BW$27+
$BN218)),
$BN218-100)</f>
        <v>27.50217</v>
      </c>
      <c r="AX218" t="str">
        <f t="shared" si="46"/>
        <v/>
      </c>
      <c r="AY218" t="str">
        <f t="shared" si="47"/>
        <v/>
      </c>
      <c r="AZ218" s="430">
        <f>IFERROR(
IF(AX218="",-100,
IF($BV$2&gt;0, INDEX(Beersheet!$A:$U,MATCH(AX218,INDEX(Beersheet!$A:$U,0,FFARawStatProjections!$BV$2),0),$BV$3)+$BN218,
INDEX($A218:$BM218,,$BV$12)*$BW$12+
INDEX($A218:$BM218,,$BV$15)*$BW$15+
INDEX($A218:$BM218,,$BV$16)*$BW$16+
INDEX($A218:$BM218,,$BV$17)*$BW$17+
INDEX($A218:$BM218,,$BV$18)*$BW$18+
INDEX($A218:$BM218,,$BV$19)*$BW$19+
INDEX($A218:$BM218,,$BV$20)*$BW$20+
INDEX($A218:$BM218,,$BV$21)*$BW$21+
INDEX($A218:$BM218,,$BV$22)*$BW$22+
INDEX($A218:$BM218,,$BV$23)*$BW$23+
INDEX($A218:$BM218,,$BV$25)*$BW$25+
INDEX($A218:$BM218,,$BV$26)*$BW$26+
INDEX($A218:$BM218,,$BV$27)*$BW$27+
$BN218)),
$BN218-100)</f>
        <v>-100</v>
      </c>
      <c r="BB218" t="str">
        <f t="shared" si="48"/>
        <v/>
      </c>
      <c r="BC218" t="str">
        <f t="shared" si="42"/>
        <v/>
      </c>
      <c r="BD218" s="430">
        <f>IFERROR(
IF(BB218="",-100,
IF($BV$2&gt;0, INDEX(Beersheet!$A:$U,MATCH(BB218,INDEX(Beersheet!$A:$U,0,FFARawStatProjections!$BV$2),0),$BV$3)+$BN218,
INDEX($A218:$BM218,,$BV$12)*$BW$12+
INDEX($A218:$BM218,,$BV$15)*$BW$15+
INDEX($A218:$BM218,,$BV$16)*$BW$16+
INDEX($A218:$BM218,,$BV$17)*$BW$17+
INDEX($A218:$BM218,,$BV$18)*$BW$18+
INDEX($A218:$BM218,,$BV$19)*$BW$19+
INDEX($A218:$BM218,,$BV$20)*$BW$20+
INDEX($A218:$BM218,,$BV$21)*$BW$21+
INDEX($A218:$BM218,,$BV$22)*$BW$22+
INDEX($A218:$BM218,,$BV$23)*$BW$23+
INDEX($A218:$BM218,,$BV$25)*$BW$25+
INDEX($A218:$BM218,,$BV$26)*$BW$26+
INDEX($A218:$BM218,,$BV$27)*$BW$27+
$BN218)),
$BN218-100)</f>
        <v>-100</v>
      </c>
      <c r="BF218" t="str">
        <f t="shared" si="49"/>
        <v/>
      </c>
      <c r="BG218" t="str">
        <f t="shared" si="50"/>
        <v/>
      </c>
      <c r="BH218">
        <f t="shared" si="51"/>
        <v>0</v>
      </c>
      <c r="BJ218" t="str">
        <f t="shared" si="52"/>
        <v/>
      </c>
      <c r="BL218">
        <f t="shared" si="54"/>
        <v>0</v>
      </c>
      <c r="BN218">
        <v>2.1700000000000001E-3</v>
      </c>
      <c r="BS218" s="4" t="s">
        <v>1875</v>
      </c>
    </row>
    <row r="219" spans="1:71" ht="15.75" thickBot="1" x14ac:dyDescent="0.3">
      <c r="A219" s="569" t="s">
        <v>2089</v>
      </c>
      <c r="B219" s="569" t="s">
        <v>147</v>
      </c>
      <c r="C219" s="569" t="s">
        <v>3</v>
      </c>
      <c r="D219" s="574">
        <v>6</v>
      </c>
      <c r="E219" s="569"/>
      <c r="F219" s="569"/>
      <c r="G219" s="569"/>
      <c r="H219" s="569"/>
      <c r="I219" s="574">
        <v>0</v>
      </c>
      <c r="J219" s="574">
        <v>0</v>
      </c>
      <c r="K219" s="574">
        <v>0</v>
      </c>
      <c r="L219" s="574">
        <v>8.1999999999999993</v>
      </c>
      <c r="M219" s="574">
        <v>0.2</v>
      </c>
      <c r="N219" s="574">
        <v>51.7</v>
      </c>
      <c r="O219" s="574">
        <v>22.2</v>
      </c>
      <c r="P219" s="574">
        <v>0.6</v>
      </c>
      <c r="Q219" s="574">
        <v>131.30000000000001</v>
      </c>
      <c r="R219" s="569"/>
      <c r="S219" s="569"/>
      <c r="T219" s="569"/>
      <c r="U219" s="569"/>
      <c r="V219" s="569"/>
      <c r="W219" s="569"/>
      <c r="X219" s="569"/>
      <c r="Y219" s="569"/>
      <c r="Z219" s="569"/>
      <c r="AA219" s="569"/>
      <c r="AB219" s="569"/>
      <c r="AC219" s="569"/>
      <c r="AD219" s="569"/>
      <c r="AE219" s="569"/>
      <c r="AF219" s="569"/>
      <c r="AG219" s="569"/>
      <c r="AH219" s="569"/>
      <c r="AI219" s="569"/>
      <c r="AJ219" s="569"/>
      <c r="AK219" s="569"/>
      <c r="AL219" s="569"/>
      <c r="AM219" s="569"/>
      <c r="AN219" s="574">
        <v>23.1</v>
      </c>
      <c r="AO219">
        <v>218</v>
      </c>
      <c r="AP219" t="str">
        <f t="shared" si="53"/>
        <v/>
      </c>
      <c r="AQ219" t="str">
        <f t="shared" si="43"/>
        <v/>
      </c>
      <c r="AR219" s="430">
        <f>IFERROR(
IF(AP219="",-100,
IF($BV$2&gt;0, INDEX(Beersheet!$A:$U,MATCH(AP219,INDEX(Beersheet!$A:$U,0,FFARawStatProjections!$BV$2),0),$BV$3)+$BN219,
INDEX($A219:$BM219,,$BV$12)*$BW$12+
INDEX($A219:$BM219,,$BV$15)*$BW$15+
INDEX($A219:$BM219,,$BV$16)*$BW$16+
INDEX($A219:$BM219,,$BV$17)*$BW$17+
INDEX($A219:$BM219,,$BV$18)*$BW$18+
INDEX($A219:$BM219,,$BV$19)*$BW$19+
INDEX($A219:$BM219,,$BV$20)*$BW$20+
INDEX($A219:$BM219,,$BV$21)*$BW$21+
INDEX($A219:$BM219,,$BV$22)*$BW$22+
INDEX($A219:$BM219,,$BV$23)*$BW$23+
INDEX($A219:$BM219,,$BV$25)*$BW$25+
INDEX($A219:$BM219,,$BV$26)*$BW$26+
INDEX($A219:$BM219,,$BV$27)*$BW$27+
$BN219)),
$BN219-100)</f>
        <v>-100</v>
      </c>
      <c r="AT219" t="str">
        <f t="shared" si="44"/>
        <v>Anthony McFarland</v>
      </c>
      <c r="AU219" t="str">
        <f t="shared" si="45"/>
        <v>PIT</v>
      </c>
      <c r="AV219" s="430">
        <f>IFERROR(
IF(AT219="",-100,
IF($BV$2&gt;0, INDEX(Beersheet!$A:$U,MATCH(AT219,INDEX(Beersheet!$A:$U,0,FFARawStatProjections!$BV$2),0),$BV$3)+$BN219,
INDEX($A219:$BM219,,$BV$12)*$BW$12+
INDEX($A219:$BM219,,$BV$15)*$BW$15+
INDEX($A219:$BM219,,$BV$16)*$BW$16+
INDEX($A219:$BM219,,$BV$17)*$BW$17+
INDEX($A219:$BM219,,$BV$18)*$BW$18+
INDEX($A219:$BM219,,$BV$19)*$BW$19+
INDEX($A219:$BM219,,$BV$20)*$BW$20+
INDEX($A219:$BM219,,$BV$21)*$BW$21+
INDEX($A219:$BM219,,$BV$22)*$BW$22+
INDEX($A219:$BM219,,$BV$23)*$BW$23+
INDEX($A219:$BM219,,$BV$25)*$BW$25+
INDEX($A219:$BM219,,$BV$26)*$BW$26+
INDEX($A219:$BM219,,$BV$27)*$BW$27+
$BN219)),
$BN219-100)</f>
        <v>31.302180000000003</v>
      </c>
      <c r="AX219" t="str">
        <f t="shared" si="46"/>
        <v/>
      </c>
      <c r="AY219" t="str">
        <f t="shared" si="47"/>
        <v/>
      </c>
      <c r="AZ219" s="430">
        <f>IFERROR(
IF(AX219="",-100,
IF($BV$2&gt;0, INDEX(Beersheet!$A:$U,MATCH(AX219,INDEX(Beersheet!$A:$U,0,FFARawStatProjections!$BV$2),0),$BV$3)+$BN219,
INDEX($A219:$BM219,,$BV$12)*$BW$12+
INDEX($A219:$BM219,,$BV$15)*$BW$15+
INDEX($A219:$BM219,,$BV$16)*$BW$16+
INDEX($A219:$BM219,,$BV$17)*$BW$17+
INDEX($A219:$BM219,,$BV$18)*$BW$18+
INDEX($A219:$BM219,,$BV$19)*$BW$19+
INDEX($A219:$BM219,,$BV$20)*$BW$20+
INDEX($A219:$BM219,,$BV$21)*$BW$21+
INDEX($A219:$BM219,,$BV$22)*$BW$22+
INDEX($A219:$BM219,,$BV$23)*$BW$23+
INDEX($A219:$BM219,,$BV$25)*$BW$25+
INDEX($A219:$BM219,,$BV$26)*$BW$26+
INDEX($A219:$BM219,,$BV$27)*$BW$27+
$BN219)),
$BN219-100)</f>
        <v>-100</v>
      </c>
      <c r="BB219" t="str">
        <f t="shared" si="48"/>
        <v/>
      </c>
      <c r="BC219" t="str">
        <f t="shared" si="42"/>
        <v/>
      </c>
      <c r="BD219" s="430">
        <f>IFERROR(
IF(BB219="",-100,
IF($BV$2&gt;0, INDEX(Beersheet!$A:$U,MATCH(BB219,INDEX(Beersheet!$A:$U,0,FFARawStatProjections!$BV$2),0),$BV$3)+$BN219,
INDEX($A219:$BM219,,$BV$12)*$BW$12+
INDEX($A219:$BM219,,$BV$15)*$BW$15+
INDEX($A219:$BM219,,$BV$16)*$BW$16+
INDEX($A219:$BM219,,$BV$17)*$BW$17+
INDEX($A219:$BM219,,$BV$18)*$BW$18+
INDEX($A219:$BM219,,$BV$19)*$BW$19+
INDEX($A219:$BM219,,$BV$20)*$BW$20+
INDEX($A219:$BM219,,$BV$21)*$BW$21+
INDEX($A219:$BM219,,$BV$22)*$BW$22+
INDEX($A219:$BM219,,$BV$23)*$BW$23+
INDEX($A219:$BM219,,$BV$25)*$BW$25+
INDEX($A219:$BM219,,$BV$26)*$BW$26+
INDEX($A219:$BM219,,$BV$27)*$BW$27+
$BN219)),
$BN219-100)</f>
        <v>-100</v>
      </c>
      <c r="BF219" t="str">
        <f t="shared" si="49"/>
        <v/>
      </c>
      <c r="BG219" t="str">
        <f t="shared" si="50"/>
        <v/>
      </c>
      <c r="BH219">
        <f t="shared" si="51"/>
        <v>0</v>
      </c>
      <c r="BJ219" t="str">
        <f t="shared" si="52"/>
        <v/>
      </c>
      <c r="BL219">
        <f t="shared" si="54"/>
        <v>0</v>
      </c>
      <c r="BN219">
        <v>2.1800000000000001E-3</v>
      </c>
      <c r="BS219" s="4" t="s">
        <v>1870</v>
      </c>
    </row>
    <row r="220" spans="1:71" ht="15.75" thickBot="1" x14ac:dyDescent="0.3">
      <c r="A220" s="569" t="s">
        <v>2386</v>
      </c>
      <c r="B220" s="569" t="s">
        <v>164</v>
      </c>
      <c r="C220" s="569" t="s">
        <v>3</v>
      </c>
      <c r="D220" s="574">
        <v>7</v>
      </c>
      <c r="E220" s="569"/>
      <c r="F220" s="569"/>
      <c r="G220" s="569"/>
      <c r="H220" s="569"/>
      <c r="I220" s="574">
        <v>0</v>
      </c>
      <c r="J220" s="574">
        <v>0</v>
      </c>
      <c r="K220" s="574">
        <v>0</v>
      </c>
      <c r="L220" s="574">
        <v>5.5</v>
      </c>
      <c r="M220" s="574">
        <v>0.2</v>
      </c>
      <c r="N220" s="574">
        <v>51.7</v>
      </c>
      <c r="O220" s="574">
        <v>36.1</v>
      </c>
      <c r="P220" s="574">
        <v>0.4</v>
      </c>
      <c r="Q220" s="574">
        <v>147</v>
      </c>
      <c r="R220" s="569"/>
      <c r="S220" s="569"/>
      <c r="T220" s="569"/>
      <c r="U220" s="569"/>
      <c r="V220" s="569"/>
      <c r="W220" s="569"/>
      <c r="X220" s="569"/>
      <c r="Y220" s="569"/>
      <c r="Z220" s="569"/>
      <c r="AA220" s="569"/>
      <c r="AB220" s="569"/>
      <c r="AC220" s="569"/>
      <c r="AD220" s="569"/>
      <c r="AE220" s="569"/>
      <c r="AF220" s="569"/>
      <c r="AG220" s="569"/>
      <c r="AH220" s="569"/>
      <c r="AI220" s="569"/>
      <c r="AJ220" s="569"/>
      <c r="AK220" s="569"/>
      <c r="AL220" s="569"/>
      <c r="AM220" s="569"/>
      <c r="AN220" s="574">
        <v>23</v>
      </c>
      <c r="AO220">
        <v>219</v>
      </c>
      <c r="AP220" t="str">
        <f t="shared" si="53"/>
        <v/>
      </c>
      <c r="AQ220" t="str">
        <f t="shared" si="43"/>
        <v/>
      </c>
      <c r="AR220" s="430">
        <f>IFERROR(
IF(AP220="",-100,
IF($BV$2&gt;0, INDEX(Beersheet!$A:$U,MATCH(AP220,INDEX(Beersheet!$A:$U,0,FFARawStatProjections!$BV$2),0),$BV$3)+$BN220,
INDEX($A220:$BM220,,$BV$12)*$BW$12+
INDEX($A220:$BM220,,$BV$15)*$BW$15+
INDEX($A220:$BM220,,$BV$16)*$BW$16+
INDEX($A220:$BM220,,$BV$17)*$BW$17+
INDEX($A220:$BM220,,$BV$18)*$BW$18+
INDEX($A220:$BM220,,$BV$19)*$BW$19+
INDEX($A220:$BM220,,$BV$20)*$BW$20+
INDEX($A220:$BM220,,$BV$21)*$BW$21+
INDEX($A220:$BM220,,$BV$22)*$BW$22+
INDEX($A220:$BM220,,$BV$23)*$BW$23+
INDEX($A220:$BM220,,$BV$25)*$BW$25+
INDEX($A220:$BM220,,$BV$26)*$BW$26+
INDEX($A220:$BM220,,$BV$27)*$BW$27+
$BN220)),
$BN220-100)</f>
        <v>-100</v>
      </c>
      <c r="AT220" t="str">
        <f t="shared" si="44"/>
        <v>Zonovan Knight</v>
      </c>
      <c r="AU220" t="str">
        <f t="shared" si="45"/>
        <v>NYJ</v>
      </c>
      <c r="AV220" s="430">
        <f>IFERROR(
IF(AT220="",-100,
IF($BV$2&gt;0, INDEX(Beersheet!$A:$U,MATCH(AT220,INDEX(Beersheet!$A:$U,0,FFARawStatProjections!$BV$2),0),$BV$3)+$BN220,
INDEX($A220:$BM220,,$BV$12)*$BW$12+
INDEX($A220:$BM220,,$BV$15)*$BW$15+
INDEX($A220:$BM220,,$BV$16)*$BW$16+
INDEX($A220:$BM220,,$BV$17)*$BW$17+
INDEX($A220:$BM220,,$BV$18)*$BW$18+
INDEX($A220:$BM220,,$BV$19)*$BW$19+
INDEX($A220:$BM220,,$BV$20)*$BW$20+
INDEX($A220:$BM220,,$BV$21)*$BW$21+
INDEX($A220:$BM220,,$BV$22)*$BW$22+
INDEX($A220:$BM220,,$BV$23)*$BW$23+
INDEX($A220:$BM220,,$BV$25)*$BW$25+
INDEX($A220:$BM220,,$BV$26)*$BW$26+
INDEX($A220:$BM220,,$BV$27)*$BW$27+
$BN220)),
$BN220-100)</f>
        <v>28.972190000000001</v>
      </c>
      <c r="AX220" t="str">
        <f t="shared" si="46"/>
        <v/>
      </c>
      <c r="AY220" t="str">
        <f t="shared" si="47"/>
        <v/>
      </c>
      <c r="AZ220" s="430">
        <f>IFERROR(
IF(AX220="",-100,
IF($BV$2&gt;0, INDEX(Beersheet!$A:$U,MATCH(AX220,INDEX(Beersheet!$A:$U,0,FFARawStatProjections!$BV$2),0),$BV$3)+$BN220,
INDEX($A220:$BM220,,$BV$12)*$BW$12+
INDEX($A220:$BM220,,$BV$15)*$BW$15+
INDEX($A220:$BM220,,$BV$16)*$BW$16+
INDEX($A220:$BM220,,$BV$17)*$BW$17+
INDEX($A220:$BM220,,$BV$18)*$BW$18+
INDEX($A220:$BM220,,$BV$19)*$BW$19+
INDEX($A220:$BM220,,$BV$20)*$BW$20+
INDEX($A220:$BM220,,$BV$21)*$BW$21+
INDEX($A220:$BM220,,$BV$22)*$BW$22+
INDEX($A220:$BM220,,$BV$23)*$BW$23+
INDEX($A220:$BM220,,$BV$25)*$BW$25+
INDEX($A220:$BM220,,$BV$26)*$BW$26+
INDEX($A220:$BM220,,$BV$27)*$BW$27+
$BN220)),
$BN220-100)</f>
        <v>-100</v>
      </c>
      <c r="BB220" t="str">
        <f t="shared" si="48"/>
        <v/>
      </c>
      <c r="BC220" t="str">
        <f t="shared" si="42"/>
        <v/>
      </c>
      <c r="BD220" s="430">
        <f>IFERROR(
IF(BB220="",-100,
IF($BV$2&gt;0, INDEX(Beersheet!$A:$U,MATCH(BB220,INDEX(Beersheet!$A:$U,0,FFARawStatProjections!$BV$2),0),$BV$3)+$BN220,
INDEX($A220:$BM220,,$BV$12)*$BW$12+
INDEX($A220:$BM220,,$BV$15)*$BW$15+
INDEX($A220:$BM220,,$BV$16)*$BW$16+
INDEX($A220:$BM220,,$BV$17)*$BW$17+
INDEX($A220:$BM220,,$BV$18)*$BW$18+
INDEX($A220:$BM220,,$BV$19)*$BW$19+
INDEX($A220:$BM220,,$BV$20)*$BW$20+
INDEX($A220:$BM220,,$BV$21)*$BW$21+
INDEX($A220:$BM220,,$BV$22)*$BW$22+
INDEX($A220:$BM220,,$BV$23)*$BW$23+
INDEX($A220:$BM220,,$BV$25)*$BW$25+
INDEX($A220:$BM220,,$BV$26)*$BW$26+
INDEX($A220:$BM220,,$BV$27)*$BW$27+
$BN220)),
$BN220-100)</f>
        <v>-100</v>
      </c>
      <c r="BF220" t="str">
        <f t="shared" si="49"/>
        <v/>
      </c>
      <c r="BG220" t="str">
        <f t="shared" si="50"/>
        <v/>
      </c>
      <c r="BH220">
        <f t="shared" si="51"/>
        <v>0</v>
      </c>
      <c r="BJ220" t="str">
        <f t="shared" si="52"/>
        <v/>
      </c>
      <c r="BL220">
        <f t="shared" si="54"/>
        <v>0</v>
      </c>
      <c r="BN220">
        <v>2.1900000000000001E-3</v>
      </c>
      <c r="BS220" s="4" t="s">
        <v>1852</v>
      </c>
    </row>
    <row r="221" spans="1:71" ht="15.75" thickBot="1" x14ac:dyDescent="0.3">
      <c r="A221" s="569" t="s">
        <v>2449</v>
      </c>
      <c r="B221" s="569" t="s">
        <v>140</v>
      </c>
      <c r="C221" s="569" t="s">
        <v>3</v>
      </c>
      <c r="D221" s="574">
        <v>5</v>
      </c>
      <c r="E221" s="569"/>
      <c r="F221" s="569"/>
      <c r="G221" s="569"/>
      <c r="H221" s="569"/>
      <c r="I221" s="574">
        <v>0</v>
      </c>
      <c r="J221" s="574">
        <v>0</v>
      </c>
      <c r="K221" s="574">
        <v>0</v>
      </c>
      <c r="L221" s="574">
        <v>4</v>
      </c>
      <c r="M221" s="574">
        <v>0</v>
      </c>
      <c r="N221" s="574">
        <v>49.1</v>
      </c>
      <c r="O221" s="574">
        <v>39</v>
      </c>
      <c r="P221" s="574">
        <v>0.5</v>
      </c>
      <c r="Q221" s="574">
        <v>146.9</v>
      </c>
      <c r="R221" s="569"/>
      <c r="S221" s="569"/>
      <c r="T221" s="569"/>
      <c r="U221" s="569"/>
      <c r="V221" s="569"/>
      <c r="W221" s="569"/>
      <c r="X221" s="569"/>
      <c r="Y221" s="569"/>
      <c r="Z221" s="569"/>
      <c r="AA221" s="569"/>
      <c r="AB221" s="569"/>
      <c r="AC221" s="569"/>
      <c r="AD221" s="569"/>
      <c r="AE221" s="569"/>
      <c r="AF221" s="569"/>
      <c r="AG221" s="569"/>
      <c r="AH221" s="569"/>
      <c r="AI221" s="569"/>
      <c r="AJ221" s="569"/>
      <c r="AK221" s="569"/>
      <c r="AL221" s="569"/>
      <c r="AM221" s="569"/>
      <c r="AN221" s="574">
        <v>22.3</v>
      </c>
      <c r="AO221">
        <v>220</v>
      </c>
      <c r="AP221" t="str">
        <f t="shared" si="53"/>
        <v/>
      </c>
      <c r="AQ221" t="str">
        <f t="shared" si="43"/>
        <v/>
      </c>
      <c r="AR221" s="430">
        <f>IFERROR(
IF(AP221="",-100,
IF($BV$2&gt;0, INDEX(Beersheet!$A:$U,MATCH(AP221,INDEX(Beersheet!$A:$U,0,FFARawStatProjections!$BV$2),0),$BV$3)+$BN221,
INDEX($A221:$BM221,,$BV$12)*$BW$12+
INDEX($A221:$BM221,,$BV$15)*$BW$15+
INDEX($A221:$BM221,,$BV$16)*$BW$16+
INDEX($A221:$BM221,,$BV$17)*$BW$17+
INDEX($A221:$BM221,,$BV$18)*$BW$18+
INDEX($A221:$BM221,,$BV$19)*$BW$19+
INDEX($A221:$BM221,,$BV$20)*$BW$20+
INDEX($A221:$BM221,,$BV$21)*$BW$21+
INDEX($A221:$BM221,,$BV$22)*$BW$22+
INDEX($A221:$BM221,,$BV$23)*$BW$23+
INDEX($A221:$BM221,,$BV$25)*$BW$25+
INDEX($A221:$BM221,,$BV$26)*$BW$26+
INDEX($A221:$BM221,,$BV$27)*$BW$27+
$BN221)),
$BN221-100)</f>
        <v>-100</v>
      </c>
      <c r="AT221" t="str">
        <f t="shared" si="44"/>
        <v>Kenny McIntosh</v>
      </c>
      <c r="AU221" t="str">
        <f t="shared" si="45"/>
        <v>SEA</v>
      </c>
      <c r="AV221" s="430">
        <f>IFERROR(
IF(AT221="",-100,
IF($BV$2&gt;0, INDEX(Beersheet!$A:$U,MATCH(AT221,INDEX(Beersheet!$A:$U,0,FFARawStatProjections!$BV$2),0),$BV$3)+$BN221,
INDEX($A221:$BM221,,$BV$12)*$BW$12+
INDEX($A221:$BM221,,$BV$15)*$BW$15+
INDEX($A221:$BM221,,$BV$16)*$BW$16+
INDEX($A221:$BM221,,$BV$17)*$BW$17+
INDEX($A221:$BM221,,$BV$18)*$BW$18+
INDEX($A221:$BM221,,$BV$19)*$BW$19+
INDEX($A221:$BM221,,$BV$20)*$BW$20+
INDEX($A221:$BM221,,$BV$21)*$BW$21+
INDEX($A221:$BM221,,$BV$22)*$BW$22+
INDEX($A221:$BM221,,$BV$23)*$BW$23+
INDEX($A221:$BM221,,$BV$25)*$BW$25+
INDEX($A221:$BM221,,$BV$26)*$BW$26+
INDEX($A221:$BM221,,$BV$27)*$BW$27+
$BN221)),
$BN221-100)</f>
        <v>26.6022</v>
      </c>
      <c r="AX221" t="str">
        <f t="shared" si="46"/>
        <v/>
      </c>
      <c r="AY221" t="str">
        <f t="shared" si="47"/>
        <v/>
      </c>
      <c r="AZ221" s="430">
        <f>IFERROR(
IF(AX221="",-100,
IF($BV$2&gt;0, INDEX(Beersheet!$A:$U,MATCH(AX221,INDEX(Beersheet!$A:$U,0,FFARawStatProjections!$BV$2),0),$BV$3)+$BN221,
INDEX($A221:$BM221,,$BV$12)*$BW$12+
INDEX($A221:$BM221,,$BV$15)*$BW$15+
INDEX($A221:$BM221,,$BV$16)*$BW$16+
INDEX($A221:$BM221,,$BV$17)*$BW$17+
INDEX($A221:$BM221,,$BV$18)*$BW$18+
INDEX($A221:$BM221,,$BV$19)*$BW$19+
INDEX($A221:$BM221,,$BV$20)*$BW$20+
INDEX($A221:$BM221,,$BV$21)*$BW$21+
INDEX($A221:$BM221,,$BV$22)*$BW$22+
INDEX($A221:$BM221,,$BV$23)*$BW$23+
INDEX($A221:$BM221,,$BV$25)*$BW$25+
INDEX($A221:$BM221,,$BV$26)*$BW$26+
INDEX($A221:$BM221,,$BV$27)*$BW$27+
$BN221)),
$BN221-100)</f>
        <v>-100</v>
      </c>
      <c r="BB221" t="str">
        <f t="shared" si="48"/>
        <v/>
      </c>
      <c r="BC221" t="str">
        <f t="shared" si="42"/>
        <v/>
      </c>
      <c r="BD221" s="430">
        <f>IFERROR(
IF(BB221="",-100,
IF($BV$2&gt;0, INDEX(Beersheet!$A:$U,MATCH(BB221,INDEX(Beersheet!$A:$U,0,FFARawStatProjections!$BV$2),0),$BV$3)+$BN221,
INDEX($A221:$BM221,,$BV$12)*$BW$12+
INDEX($A221:$BM221,,$BV$15)*$BW$15+
INDEX($A221:$BM221,,$BV$16)*$BW$16+
INDEX($A221:$BM221,,$BV$17)*$BW$17+
INDEX($A221:$BM221,,$BV$18)*$BW$18+
INDEX($A221:$BM221,,$BV$19)*$BW$19+
INDEX($A221:$BM221,,$BV$20)*$BW$20+
INDEX($A221:$BM221,,$BV$21)*$BW$21+
INDEX($A221:$BM221,,$BV$22)*$BW$22+
INDEX($A221:$BM221,,$BV$23)*$BW$23+
INDEX($A221:$BM221,,$BV$25)*$BW$25+
INDEX($A221:$BM221,,$BV$26)*$BW$26+
INDEX($A221:$BM221,,$BV$27)*$BW$27+
$BN221)),
$BN221-100)</f>
        <v>-100</v>
      </c>
      <c r="BF221" t="str">
        <f t="shared" si="49"/>
        <v/>
      </c>
      <c r="BG221" t="str">
        <f t="shared" si="50"/>
        <v/>
      </c>
      <c r="BH221">
        <f t="shared" si="51"/>
        <v>0</v>
      </c>
      <c r="BJ221" t="str">
        <f t="shared" si="52"/>
        <v/>
      </c>
      <c r="BL221">
        <f t="shared" si="54"/>
        <v>0</v>
      </c>
      <c r="BN221">
        <v>2.2000000000000001E-3</v>
      </c>
      <c r="BS221" s="4" t="s">
        <v>1857</v>
      </c>
    </row>
    <row r="222" spans="1:71" ht="15.75" thickBot="1" x14ac:dyDescent="0.3">
      <c r="A222" s="569" t="s">
        <v>1114</v>
      </c>
      <c r="B222" s="569" t="s">
        <v>157</v>
      </c>
      <c r="C222" s="569" t="s">
        <v>3</v>
      </c>
      <c r="D222" s="574">
        <v>11</v>
      </c>
      <c r="E222" s="569"/>
      <c r="F222" s="569"/>
      <c r="G222" s="569"/>
      <c r="H222" s="569"/>
      <c r="I222" s="574">
        <v>0</v>
      </c>
      <c r="J222" s="574">
        <v>0</v>
      </c>
      <c r="K222" s="574">
        <v>0</v>
      </c>
      <c r="L222" s="574">
        <v>14.4</v>
      </c>
      <c r="M222" s="574">
        <v>0.5</v>
      </c>
      <c r="N222" s="574">
        <v>101.9</v>
      </c>
      <c r="O222" s="574">
        <v>22.4</v>
      </c>
      <c r="P222" s="574">
        <v>0.2</v>
      </c>
      <c r="Q222" s="574">
        <v>64.5</v>
      </c>
      <c r="R222" s="569"/>
      <c r="S222" s="569"/>
      <c r="T222" s="569"/>
      <c r="U222" s="569"/>
      <c r="V222" s="569"/>
      <c r="W222" s="569"/>
      <c r="X222" s="569"/>
      <c r="Y222" s="569"/>
      <c r="Z222" s="569"/>
      <c r="AA222" s="569"/>
      <c r="AB222" s="569"/>
      <c r="AC222" s="569"/>
      <c r="AD222" s="569"/>
      <c r="AE222" s="569"/>
      <c r="AF222" s="569"/>
      <c r="AG222" s="569"/>
      <c r="AH222" s="569"/>
      <c r="AI222" s="569"/>
      <c r="AJ222" s="569"/>
      <c r="AK222" s="569"/>
      <c r="AL222" s="569"/>
      <c r="AM222" s="569"/>
      <c r="AN222" s="574">
        <v>20.9</v>
      </c>
      <c r="AO222">
        <v>221</v>
      </c>
      <c r="AP222" t="str">
        <f t="shared" si="53"/>
        <v/>
      </c>
      <c r="AQ222" t="str">
        <f t="shared" si="43"/>
        <v/>
      </c>
      <c r="AR222" s="430">
        <f>IFERROR(
IF(AP222="",-100,
IF($BV$2&gt;0, INDEX(Beersheet!$A:$U,MATCH(AP222,INDEX(Beersheet!$A:$U,0,FFARawStatProjections!$BV$2),0),$BV$3)+$BN222,
INDEX($A222:$BM222,,$BV$12)*$BW$12+
INDEX($A222:$BM222,,$BV$15)*$BW$15+
INDEX($A222:$BM222,,$BV$16)*$BW$16+
INDEX($A222:$BM222,,$BV$17)*$BW$17+
INDEX($A222:$BM222,,$BV$18)*$BW$18+
INDEX($A222:$BM222,,$BV$19)*$BW$19+
INDEX($A222:$BM222,,$BV$20)*$BW$20+
INDEX($A222:$BM222,,$BV$21)*$BW$21+
INDEX($A222:$BM222,,$BV$22)*$BW$22+
INDEX($A222:$BM222,,$BV$23)*$BW$23+
INDEX($A222:$BM222,,$BV$25)*$BW$25+
INDEX($A222:$BM222,,$BV$26)*$BW$26+
INDEX($A222:$BM222,,$BV$27)*$BW$27+
$BN222)),
$BN222-100)</f>
        <v>-100</v>
      </c>
      <c r="AT222" t="str">
        <f t="shared" si="44"/>
        <v>Ty Montgomery</v>
      </c>
      <c r="AU222" t="str">
        <f t="shared" si="45"/>
        <v>NE</v>
      </c>
      <c r="AV222" s="430">
        <f>IFERROR(
IF(AT222="",-100,
IF($BV$2&gt;0, INDEX(Beersheet!$A:$U,MATCH(AT222,INDEX(Beersheet!$A:$U,0,FFARawStatProjections!$BV$2),0),$BV$3)+$BN222,
INDEX($A222:$BM222,,$BV$12)*$BW$12+
INDEX($A222:$BM222,,$BV$15)*$BW$15+
INDEX($A222:$BM222,,$BV$16)*$BW$16+
INDEX($A222:$BM222,,$BV$17)*$BW$17+
INDEX($A222:$BM222,,$BV$18)*$BW$18+
INDEX($A222:$BM222,,$BV$19)*$BW$19+
INDEX($A222:$BM222,,$BV$20)*$BW$20+
INDEX($A222:$BM222,,$BV$21)*$BW$21+
INDEX($A222:$BM222,,$BV$22)*$BW$22+
INDEX($A222:$BM222,,$BV$23)*$BW$23+
INDEX($A222:$BM222,,$BV$25)*$BW$25+
INDEX($A222:$BM222,,$BV$26)*$BW$26+
INDEX($A222:$BM222,,$BV$27)*$BW$27+
$BN222)),
$BN222-100)</f>
        <v>35.24221</v>
      </c>
      <c r="AX222" t="str">
        <f t="shared" si="46"/>
        <v/>
      </c>
      <c r="AY222" t="str">
        <f t="shared" si="47"/>
        <v/>
      </c>
      <c r="AZ222" s="430">
        <f>IFERROR(
IF(AX222="",-100,
IF($BV$2&gt;0, INDEX(Beersheet!$A:$U,MATCH(AX222,INDEX(Beersheet!$A:$U,0,FFARawStatProjections!$BV$2),0),$BV$3)+$BN222,
INDEX($A222:$BM222,,$BV$12)*$BW$12+
INDEX($A222:$BM222,,$BV$15)*$BW$15+
INDEX($A222:$BM222,,$BV$16)*$BW$16+
INDEX($A222:$BM222,,$BV$17)*$BW$17+
INDEX($A222:$BM222,,$BV$18)*$BW$18+
INDEX($A222:$BM222,,$BV$19)*$BW$19+
INDEX($A222:$BM222,,$BV$20)*$BW$20+
INDEX($A222:$BM222,,$BV$21)*$BW$21+
INDEX($A222:$BM222,,$BV$22)*$BW$22+
INDEX($A222:$BM222,,$BV$23)*$BW$23+
INDEX($A222:$BM222,,$BV$25)*$BW$25+
INDEX($A222:$BM222,,$BV$26)*$BW$26+
INDEX($A222:$BM222,,$BV$27)*$BW$27+
$BN222)),
$BN222-100)</f>
        <v>-100</v>
      </c>
      <c r="BB222" t="str">
        <f t="shared" si="48"/>
        <v/>
      </c>
      <c r="BC222" t="str">
        <f t="shared" si="42"/>
        <v/>
      </c>
      <c r="BD222" s="430">
        <f>IFERROR(
IF(BB222="",-100,
IF($BV$2&gt;0, INDEX(Beersheet!$A:$U,MATCH(BB222,INDEX(Beersheet!$A:$U,0,FFARawStatProjections!$BV$2),0),$BV$3)+$BN222,
INDEX($A222:$BM222,,$BV$12)*$BW$12+
INDEX($A222:$BM222,,$BV$15)*$BW$15+
INDEX($A222:$BM222,,$BV$16)*$BW$16+
INDEX($A222:$BM222,,$BV$17)*$BW$17+
INDEX($A222:$BM222,,$BV$18)*$BW$18+
INDEX($A222:$BM222,,$BV$19)*$BW$19+
INDEX($A222:$BM222,,$BV$20)*$BW$20+
INDEX($A222:$BM222,,$BV$21)*$BW$21+
INDEX($A222:$BM222,,$BV$22)*$BW$22+
INDEX($A222:$BM222,,$BV$23)*$BW$23+
INDEX($A222:$BM222,,$BV$25)*$BW$25+
INDEX($A222:$BM222,,$BV$26)*$BW$26+
INDEX($A222:$BM222,,$BV$27)*$BW$27+
$BN222)),
$BN222-100)</f>
        <v>-100</v>
      </c>
      <c r="BF222" t="str">
        <f t="shared" si="49"/>
        <v/>
      </c>
      <c r="BG222" t="str">
        <f t="shared" si="50"/>
        <v/>
      </c>
      <c r="BH222">
        <f t="shared" si="51"/>
        <v>0</v>
      </c>
      <c r="BJ222" t="str">
        <f t="shared" si="52"/>
        <v/>
      </c>
      <c r="BL222">
        <f t="shared" si="54"/>
        <v>0</v>
      </c>
      <c r="BN222">
        <v>2.2100000000000002E-3</v>
      </c>
      <c r="BS222" s="4" t="s">
        <v>2250</v>
      </c>
    </row>
    <row r="223" spans="1:71" ht="15.75" thickBot="1" x14ac:dyDescent="0.3">
      <c r="A223" s="569" t="s">
        <v>2119</v>
      </c>
      <c r="B223" s="569" t="s">
        <v>165</v>
      </c>
      <c r="C223" s="569" t="s">
        <v>3</v>
      </c>
      <c r="D223" s="574">
        <v>9</v>
      </c>
      <c r="E223" s="569"/>
      <c r="F223" s="569"/>
      <c r="G223" s="569"/>
      <c r="H223" s="569"/>
      <c r="I223" s="574">
        <v>0</v>
      </c>
      <c r="J223" s="574">
        <v>0</v>
      </c>
      <c r="K223" s="574">
        <v>0</v>
      </c>
      <c r="L223" s="574">
        <v>4.7</v>
      </c>
      <c r="M223" s="574">
        <v>0.1</v>
      </c>
      <c r="N223" s="574">
        <v>40.5</v>
      </c>
      <c r="O223" s="574">
        <v>33</v>
      </c>
      <c r="P223" s="574">
        <v>0.4</v>
      </c>
      <c r="Q223" s="574">
        <v>136.19999999999999</v>
      </c>
      <c r="R223" s="569"/>
      <c r="S223" s="569"/>
      <c r="T223" s="569"/>
      <c r="U223" s="569"/>
      <c r="V223" s="569"/>
      <c r="W223" s="569"/>
      <c r="X223" s="569"/>
      <c r="Y223" s="569"/>
      <c r="Z223" s="569"/>
      <c r="AA223" s="569"/>
      <c r="AB223" s="569"/>
      <c r="AC223" s="569"/>
      <c r="AD223" s="569"/>
      <c r="AE223" s="569"/>
      <c r="AF223" s="569"/>
      <c r="AG223" s="569"/>
      <c r="AH223" s="569"/>
      <c r="AI223" s="569"/>
      <c r="AJ223" s="569"/>
      <c r="AK223" s="569"/>
      <c r="AL223" s="569"/>
      <c r="AM223" s="569"/>
      <c r="AN223" s="574">
        <v>20.7</v>
      </c>
      <c r="AO223">
        <v>222</v>
      </c>
      <c r="AP223" t="str">
        <f t="shared" si="53"/>
        <v/>
      </c>
      <c r="AQ223" t="str">
        <f t="shared" si="43"/>
        <v/>
      </c>
      <c r="AR223" s="430">
        <f>IFERROR(
IF(AP223="",-100,
IF($BV$2&gt;0, INDEX(Beersheet!$A:$U,MATCH(AP223,INDEX(Beersheet!$A:$U,0,FFARawStatProjections!$BV$2),0),$BV$3)+$BN223,
INDEX($A223:$BM223,,$BV$12)*$BW$12+
INDEX($A223:$BM223,,$BV$15)*$BW$15+
INDEX($A223:$BM223,,$BV$16)*$BW$16+
INDEX($A223:$BM223,,$BV$17)*$BW$17+
INDEX($A223:$BM223,,$BV$18)*$BW$18+
INDEX($A223:$BM223,,$BV$19)*$BW$19+
INDEX($A223:$BM223,,$BV$20)*$BW$20+
INDEX($A223:$BM223,,$BV$21)*$BW$21+
INDEX($A223:$BM223,,$BV$22)*$BW$22+
INDEX($A223:$BM223,,$BV$23)*$BW$23+
INDEX($A223:$BM223,,$BV$25)*$BW$25+
INDEX($A223:$BM223,,$BV$26)*$BW$26+
INDEX($A223:$BM223,,$BV$27)*$BW$27+
$BN223)),
$BN223-100)</f>
        <v>-100</v>
      </c>
      <c r="AT223" t="str">
        <f t="shared" si="44"/>
        <v>DErnest Johnson</v>
      </c>
      <c r="AU223" t="str">
        <f t="shared" si="45"/>
        <v>JAC</v>
      </c>
      <c r="AV223" s="430">
        <f>IFERROR(
IF(AT223="",-100,
IF($BV$2&gt;0, INDEX(Beersheet!$A:$U,MATCH(AT223,INDEX(Beersheet!$A:$U,0,FFARawStatProjections!$BV$2),0),$BV$3)+$BN223,
INDEX($A223:$BM223,,$BV$12)*$BW$12+
INDEX($A223:$BM223,,$BV$15)*$BW$15+
INDEX($A223:$BM223,,$BV$16)*$BW$16+
INDEX($A223:$BM223,,$BV$17)*$BW$17+
INDEX($A223:$BM223,,$BV$18)*$BW$18+
INDEX($A223:$BM223,,$BV$19)*$BW$19+
INDEX($A223:$BM223,,$BV$20)*$BW$20+
INDEX($A223:$BM223,,$BV$21)*$BW$21+
INDEX($A223:$BM223,,$BV$22)*$BW$22+
INDEX($A223:$BM223,,$BV$23)*$BW$23+
INDEX($A223:$BM223,,$BV$25)*$BW$25+
INDEX($A223:$BM223,,$BV$26)*$BW$26+
INDEX($A223:$BM223,,$BV$27)*$BW$27+
$BN223)),
$BN223-100)</f>
        <v>25.372220000000002</v>
      </c>
      <c r="AX223" t="str">
        <f t="shared" si="46"/>
        <v/>
      </c>
      <c r="AY223" t="str">
        <f t="shared" si="47"/>
        <v/>
      </c>
      <c r="AZ223" s="430">
        <f>IFERROR(
IF(AX223="",-100,
IF($BV$2&gt;0, INDEX(Beersheet!$A:$U,MATCH(AX223,INDEX(Beersheet!$A:$U,0,FFARawStatProjections!$BV$2),0),$BV$3)+$BN223,
INDEX($A223:$BM223,,$BV$12)*$BW$12+
INDEX($A223:$BM223,,$BV$15)*$BW$15+
INDEX($A223:$BM223,,$BV$16)*$BW$16+
INDEX($A223:$BM223,,$BV$17)*$BW$17+
INDEX($A223:$BM223,,$BV$18)*$BW$18+
INDEX($A223:$BM223,,$BV$19)*$BW$19+
INDEX($A223:$BM223,,$BV$20)*$BW$20+
INDEX($A223:$BM223,,$BV$21)*$BW$21+
INDEX($A223:$BM223,,$BV$22)*$BW$22+
INDEX($A223:$BM223,,$BV$23)*$BW$23+
INDEX($A223:$BM223,,$BV$25)*$BW$25+
INDEX($A223:$BM223,,$BV$26)*$BW$26+
INDEX($A223:$BM223,,$BV$27)*$BW$27+
$BN223)),
$BN223-100)</f>
        <v>-100</v>
      </c>
      <c r="BB223" t="str">
        <f t="shared" si="48"/>
        <v/>
      </c>
      <c r="BC223" t="str">
        <f t="shared" si="42"/>
        <v/>
      </c>
      <c r="BD223" s="430">
        <f>IFERROR(
IF(BB223="",-100,
IF($BV$2&gt;0, INDEX(Beersheet!$A:$U,MATCH(BB223,INDEX(Beersheet!$A:$U,0,FFARawStatProjections!$BV$2),0),$BV$3)+$BN223,
INDEX($A223:$BM223,,$BV$12)*$BW$12+
INDEX($A223:$BM223,,$BV$15)*$BW$15+
INDEX($A223:$BM223,,$BV$16)*$BW$16+
INDEX($A223:$BM223,,$BV$17)*$BW$17+
INDEX($A223:$BM223,,$BV$18)*$BW$18+
INDEX($A223:$BM223,,$BV$19)*$BW$19+
INDEX($A223:$BM223,,$BV$20)*$BW$20+
INDEX($A223:$BM223,,$BV$21)*$BW$21+
INDEX($A223:$BM223,,$BV$22)*$BW$22+
INDEX($A223:$BM223,,$BV$23)*$BW$23+
INDEX($A223:$BM223,,$BV$25)*$BW$25+
INDEX($A223:$BM223,,$BV$26)*$BW$26+
INDEX($A223:$BM223,,$BV$27)*$BW$27+
$BN223)),
$BN223-100)</f>
        <v>-100</v>
      </c>
      <c r="BF223" t="str">
        <f t="shared" si="49"/>
        <v/>
      </c>
      <c r="BG223" t="str">
        <f t="shared" si="50"/>
        <v/>
      </c>
      <c r="BH223">
        <f t="shared" si="51"/>
        <v>0</v>
      </c>
      <c r="BJ223" t="str">
        <f t="shared" si="52"/>
        <v/>
      </c>
      <c r="BL223">
        <f t="shared" si="54"/>
        <v>0</v>
      </c>
      <c r="BN223">
        <v>2.2200000000000002E-3</v>
      </c>
      <c r="BS223" s="4" t="s">
        <v>2233</v>
      </c>
    </row>
    <row r="224" spans="1:71" ht="15.75" thickBot="1" x14ac:dyDescent="0.3">
      <c r="A224" s="569" t="s">
        <v>1890</v>
      </c>
      <c r="B224" s="569" t="s">
        <v>141</v>
      </c>
      <c r="C224" s="569" t="s">
        <v>3</v>
      </c>
      <c r="D224" s="574">
        <v>13</v>
      </c>
      <c r="E224" s="569"/>
      <c r="F224" s="569"/>
      <c r="G224" s="569"/>
      <c r="H224" s="569"/>
      <c r="I224" s="574">
        <v>0</v>
      </c>
      <c r="J224" s="574">
        <v>0</v>
      </c>
      <c r="K224" s="574">
        <v>0</v>
      </c>
      <c r="L224" s="574">
        <v>8.3000000000000007</v>
      </c>
      <c r="M224" s="574">
        <v>0.2</v>
      </c>
      <c r="N224" s="574">
        <v>75.099999999999994</v>
      </c>
      <c r="O224" s="574">
        <v>18.5</v>
      </c>
      <c r="P224" s="574">
        <v>0.3</v>
      </c>
      <c r="Q224" s="574">
        <v>95.7</v>
      </c>
      <c r="R224" s="569"/>
      <c r="S224" s="569"/>
      <c r="T224" s="569"/>
      <c r="U224" s="569"/>
      <c r="V224" s="569"/>
      <c r="W224" s="569"/>
      <c r="X224" s="569"/>
      <c r="Y224" s="569"/>
      <c r="Z224" s="569"/>
      <c r="AA224" s="569"/>
      <c r="AB224" s="569"/>
      <c r="AC224" s="569"/>
      <c r="AD224" s="569"/>
      <c r="AE224" s="569"/>
      <c r="AF224" s="569"/>
      <c r="AG224" s="569"/>
      <c r="AH224" s="569"/>
      <c r="AI224" s="569"/>
      <c r="AJ224" s="569"/>
      <c r="AK224" s="569"/>
      <c r="AL224" s="569"/>
      <c r="AM224" s="569"/>
      <c r="AN224" s="574">
        <v>20</v>
      </c>
      <c r="AO224">
        <v>223</v>
      </c>
      <c r="AP224" t="str">
        <f t="shared" si="53"/>
        <v/>
      </c>
      <c r="AQ224" t="str">
        <f t="shared" si="43"/>
        <v/>
      </c>
      <c r="AR224" s="430">
        <f>IFERROR(
IF(AP224="",-100,
IF($BV$2&gt;0, INDEX(Beersheet!$A:$U,MATCH(AP224,INDEX(Beersheet!$A:$U,0,FFARawStatProjections!$BV$2),0),$BV$3)+$BN224,
INDEX($A224:$BM224,,$BV$12)*$BW$12+
INDEX($A224:$BM224,,$BV$15)*$BW$15+
INDEX($A224:$BM224,,$BV$16)*$BW$16+
INDEX($A224:$BM224,,$BV$17)*$BW$17+
INDEX($A224:$BM224,,$BV$18)*$BW$18+
INDEX($A224:$BM224,,$BV$19)*$BW$19+
INDEX($A224:$BM224,,$BV$20)*$BW$20+
INDEX($A224:$BM224,,$BV$21)*$BW$21+
INDEX($A224:$BM224,,$BV$22)*$BW$22+
INDEX($A224:$BM224,,$BV$23)*$BW$23+
INDEX($A224:$BM224,,$BV$25)*$BW$25+
INDEX($A224:$BM224,,$BV$26)*$BW$26+
INDEX($A224:$BM224,,$BV$27)*$BW$27+
$BN224)),
$BN224-100)</f>
        <v>-100</v>
      </c>
      <c r="AT224" t="str">
        <f t="shared" si="44"/>
        <v>Travis Homer</v>
      </c>
      <c r="AU224" t="str">
        <f t="shared" si="45"/>
        <v>CHI</v>
      </c>
      <c r="AV224" s="430">
        <f>IFERROR(
IF(AT224="",-100,
IF($BV$2&gt;0, INDEX(Beersheet!$A:$U,MATCH(AT224,INDEX(Beersheet!$A:$U,0,FFARawStatProjections!$BV$2),0),$BV$3)+$BN224,
INDEX($A224:$BM224,,$BV$12)*$BW$12+
INDEX($A224:$BM224,,$BV$15)*$BW$15+
INDEX($A224:$BM224,,$BV$16)*$BW$16+
INDEX($A224:$BM224,,$BV$17)*$BW$17+
INDEX($A224:$BM224,,$BV$18)*$BW$18+
INDEX($A224:$BM224,,$BV$19)*$BW$19+
INDEX($A224:$BM224,,$BV$20)*$BW$20+
INDEX($A224:$BM224,,$BV$21)*$BW$21+
INDEX($A224:$BM224,,$BV$22)*$BW$22+
INDEX($A224:$BM224,,$BV$23)*$BW$23+
INDEX($A224:$BM224,,$BV$25)*$BW$25+
INDEX($A224:$BM224,,$BV$26)*$BW$26+
INDEX($A224:$BM224,,$BV$27)*$BW$27+
$BN224)),
$BN224-100)</f>
        <v>28.38223</v>
      </c>
      <c r="AX224" t="str">
        <f t="shared" si="46"/>
        <v/>
      </c>
      <c r="AY224" t="str">
        <f t="shared" si="47"/>
        <v/>
      </c>
      <c r="AZ224" s="430">
        <f>IFERROR(
IF(AX224="",-100,
IF($BV$2&gt;0, INDEX(Beersheet!$A:$U,MATCH(AX224,INDEX(Beersheet!$A:$U,0,FFARawStatProjections!$BV$2),0),$BV$3)+$BN224,
INDEX($A224:$BM224,,$BV$12)*$BW$12+
INDEX($A224:$BM224,,$BV$15)*$BW$15+
INDEX($A224:$BM224,,$BV$16)*$BW$16+
INDEX($A224:$BM224,,$BV$17)*$BW$17+
INDEX($A224:$BM224,,$BV$18)*$BW$18+
INDEX($A224:$BM224,,$BV$19)*$BW$19+
INDEX($A224:$BM224,,$BV$20)*$BW$20+
INDEX($A224:$BM224,,$BV$21)*$BW$21+
INDEX($A224:$BM224,,$BV$22)*$BW$22+
INDEX($A224:$BM224,,$BV$23)*$BW$23+
INDEX($A224:$BM224,,$BV$25)*$BW$25+
INDEX($A224:$BM224,,$BV$26)*$BW$26+
INDEX($A224:$BM224,,$BV$27)*$BW$27+
$BN224)),
$BN224-100)</f>
        <v>-100</v>
      </c>
      <c r="BB224" t="str">
        <f t="shared" si="48"/>
        <v/>
      </c>
      <c r="BC224" t="str">
        <f t="shared" si="42"/>
        <v/>
      </c>
      <c r="BD224" s="430">
        <f>IFERROR(
IF(BB224="",-100,
IF($BV$2&gt;0, INDEX(Beersheet!$A:$U,MATCH(BB224,INDEX(Beersheet!$A:$U,0,FFARawStatProjections!$BV$2),0),$BV$3)+$BN224,
INDEX($A224:$BM224,,$BV$12)*$BW$12+
INDEX($A224:$BM224,,$BV$15)*$BW$15+
INDEX($A224:$BM224,,$BV$16)*$BW$16+
INDEX($A224:$BM224,,$BV$17)*$BW$17+
INDEX($A224:$BM224,,$BV$18)*$BW$18+
INDEX($A224:$BM224,,$BV$19)*$BW$19+
INDEX($A224:$BM224,,$BV$20)*$BW$20+
INDEX($A224:$BM224,,$BV$21)*$BW$21+
INDEX($A224:$BM224,,$BV$22)*$BW$22+
INDEX($A224:$BM224,,$BV$23)*$BW$23+
INDEX($A224:$BM224,,$BV$25)*$BW$25+
INDEX($A224:$BM224,,$BV$26)*$BW$26+
INDEX($A224:$BM224,,$BV$27)*$BW$27+
$BN224)),
$BN224-100)</f>
        <v>-100</v>
      </c>
      <c r="BF224" t="str">
        <f t="shared" si="49"/>
        <v/>
      </c>
      <c r="BG224" t="str">
        <f t="shared" si="50"/>
        <v/>
      </c>
      <c r="BH224">
        <f t="shared" si="51"/>
        <v>0</v>
      </c>
      <c r="BJ224" t="str">
        <f t="shared" si="52"/>
        <v/>
      </c>
      <c r="BL224">
        <f t="shared" si="54"/>
        <v>0</v>
      </c>
      <c r="BN224">
        <v>2.2300000000000002E-3</v>
      </c>
      <c r="BS224" s="4" t="s">
        <v>2110</v>
      </c>
    </row>
    <row r="225" spans="1:71" ht="15.75" thickBot="1" x14ac:dyDescent="0.3">
      <c r="A225" s="569" t="s">
        <v>2499</v>
      </c>
      <c r="B225" s="569" t="s">
        <v>136</v>
      </c>
      <c r="C225" s="569" t="s">
        <v>3</v>
      </c>
      <c r="D225" s="574">
        <v>10</v>
      </c>
      <c r="E225" s="569"/>
      <c r="F225" s="569"/>
      <c r="G225" s="569"/>
      <c r="H225" s="569"/>
      <c r="I225" s="574">
        <v>0</v>
      </c>
      <c r="J225" s="574">
        <v>0</v>
      </c>
      <c r="K225" s="574">
        <v>0</v>
      </c>
      <c r="L225" s="574">
        <v>5.4</v>
      </c>
      <c r="M225" s="574">
        <v>0.2</v>
      </c>
      <c r="N225" s="574">
        <v>46.9</v>
      </c>
      <c r="O225" s="574">
        <v>31.4</v>
      </c>
      <c r="P225" s="574">
        <v>0.5</v>
      </c>
      <c r="Q225" s="574">
        <v>117.5</v>
      </c>
      <c r="R225" s="569"/>
      <c r="S225" s="569"/>
      <c r="T225" s="569"/>
      <c r="U225" s="569"/>
      <c r="V225" s="569"/>
      <c r="W225" s="569"/>
      <c r="X225" s="569"/>
      <c r="Y225" s="569"/>
      <c r="Z225" s="569"/>
      <c r="AA225" s="569"/>
      <c r="AB225" s="569"/>
      <c r="AC225" s="569"/>
      <c r="AD225" s="569"/>
      <c r="AE225" s="569"/>
      <c r="AF225" s="569"/>
      <c r="AG225" s="569"/>
      <c r="AH225" s="569"/>
      <c r="AI225" s="569"/>
      <c r="AJ225" s="569"/>
      <c r="AK225" s="569"/>
      <c r="AL225" s="569"/>
      <c r="AM225" s="569"/>
      <c r="AN225" s="574">
        <v>20</v>
      </c>
      <c r="AO225">
        <v>224</v>
      </c>
      <c r="AP225" t="str">
        <f t="shared" si="53"/>
        <v/>
      </c>
      <c r="AQ225" t="str">
        <f t="shared" si="43"/>
        <v/>
      </c>
      <c r="AR225" s="430">
        <f>IFERROR(
IF(AP225="",-100,
IF($BV$2&gt;0, INDEX(Beersheet!$A:$U,MATCH(AP225,INDEX(Beersheet!$A:$U,0,FFARawStatProjections!$BV$2),0),$BV$3)+$BN225,
INDEX($A225:$BM225,,$BV$12)*$BW$12+
INDEX($A225:$BM225,,$BV$15)*$BW$15+
INDEX($A225:$BM225,,$BV$16)*$BW$16+
INDEX($A225:$BM225,,$BV$17)*$BW$17+
INDEX($A225:$BM225,,$BV$18)*$BW$18+
INDEX($A225:$BM225,,$BV$19)*$BW$19+
INDEX($A225:$BM225,,$BV$20)*$BW$20+
INDEX($A225:$BM225,,$BV$21)*$BW$21+
INDEX($A225:$BM225,,$BV$22)*$BW$22+
INDEX($A225:$BM225,,$BV$23)*$BW$23+
INDEX($A225:$BM225,,$BV$25)*$BW$25+
INDEX($A225:$BM225,,$BV$26)*$BW$26+
INDEX($A225:$BM225,,$BV$27)*$BW$27+
$BN225)),
$BN225-100)</f>
        <v>-100</v>
      </c>
      <c r="AT225" t="str">
        <f t="shared" si="44"/>
        <v>Deneric Prince</v>
      </c>
      <c r="AU225" t="str">
        <f t="shared" si="45"/>
        <v>KC</v>
      </c>
      <c r="AV225" s="430">
        <f>IFERROR(
IF(AT225="",-100,
IF($BV$2&gt;0, INDEX(Beersheet!$A:$U,MATCH(AT225,INDEX(Beersheet!$A:$U,0,FFARawStatProjections!$BV$2),0),$BV$3)+$BN225,
INDEX($A225:$BM225,,$BV$12)*$BW$12+
INDEX($A225:$BM225,,$BV$15)*$BW$15+
INDEX($A225:$BM225,,$BV$16)*$BW$16+
INDEX($A225:$BM225,,$BV$17)*$BW$17+
INDEX($A225:$BM225,,$BV$18)*$BW$18+
INDEX($A225:$BM225,,$BV$19)*$BW$19+
INDEX($A225:$BM225,,$BV$20)*$BW$20+
INDEX($A225:$BM225,,$BV$21)*$BW$21+
INDEX($A225:$BM225,,$BV$22)*$BW$22+
INDEX($A225:$BM225,,$BV$23)*$BW$23+
INDEX($A225:$BM225,,$BV$25)*$BW$25+
INDEX($A225:$BM225,,$BV$26)*$BW$26+
INDEX($A225:$BM225,,$BV$27)*$BW$27+
$BN225)),
$BN225-100)</f>
        <v>26.04224</v>
      </c>
      <c r="AX225" t="str">
        <f t="shared" si="46"/>
        <v/>
      </c>
      <c r="AY225" t="str">
        <f t="shared" si="47"/>
        <v/>
      </c>
      <c r="AZ225" s="430">
        <f>IFERROR(
IF(AX225="",-100,
IF($BV$2&gt;0, INDEX(Beersheet!$A:$U,MATCH(AX225,INDEX(Beersheet!$A:$U,0,FFARawStatProjections!$BV$2),0),$BV$3)+$BN225,
INDEX($A225:$BM225,,$BV$12)*$BW$12+
INDEX($A225:$BM225,,$BV$15)*$BW$15+
INDEX($A225:$BM225,,$BV$16)*$BW$16+
INDEX($A225:$BM225,,$BV$17)*$BW$17+
INDEX($A225:$BM225,,$BV$18)*$BW$18+
INDEX($A225:$BM225,,$BV$19)*$BW$19+
INDEX($A225:$BM225,,$BV$20)*$BW$20+
INDEX($A225:$BM225,,$BV$21)*$BW$21+
INDEX($A225:$BM225,,$BV$22)*$BW$22+
INDEX($A225:$BM225,,$BV$23)*$BW$23+
INDEX($A225:$BM225,,$BV$25)*$BW$25+
INDEX($A225:$BM225,,$BV$26)*$BW$26+
INDEX($A225:$BM225,,$BV$27)*$BW$27+
$BN225)),
$BN225-100)</f>
        <v>-100</v>
      </c>
      <c r="BB225" t="str">
        <f t="shared" si="48"/>
        <v/>
      </c>
      <c r="BC225" t="str">
        <f t="shared" si="42"/>
        <v/>
      </c>
      <c r="BD225" s="430">
        <f>IFERROR(
IF(BB225="",-100,
IF($BV$2&gt;0, INDEX(Beersheet!$A:$U,MATCH(BB225,INDEX(Beersheet!$A:$U,0,FFARawStatProjections!$BV$2),0),$BV$3)+$BN225,
INDEX($A225:$BM225,,$BV$12)*$BW$12+
INDEX($A225:$BM225,,$BV$15)*$BW$15+
INDEX($A225:$BM225,,$BV$16)*$BW$16+
INDEX($A225:$BM225,,$BV$17)*$BW$17+
INDEX($A225:$BM225,,$BV$18)*$BW$18+
INDEX($A225:$BM225,,$BV$19)*$BW$19+
INDEX($A225:$BM225,,$BV$20)*$BW$20+
INDEX($A225:$BM225,,$BV$21)*$BW$21+
INDEX($A225:$BM225,,$BV$22)*$BW$22+
INDEX($A225:$BM225,,$BV$23)*$BW$23+
INDEX($A225:$BM225,,$BV$25)*$BW$25+
INDEX($A225:$BM225,,$BV$26)*$BW$26+
INDEX($A225:$BM225,,$BV$27)*$BW$27+
$BN225)),
$BN225-100)</f>
        <v>-100</v>
      </c>
      <c r="BF225" t="str">
        <f t="shared" si="49"/>
        <v/>
      </c>
      <c r="BG225" t="str">
        <f t="shared" si="50"/>
        <v/>
      </c>
      <c r="BH225">
        <f t="shared" si="51"/>
        <v>0</v>
      </c>
      <c r="BJ225" t="str">
        <f t="shared" si="52"/>
        <v/>
      </c>
      <c r="BL225">
        <f t="shared" si="54"/>
        <v>0</v>
      </c>
      <c r="BN225">
        <v>2.2399999999999998E-3</v>
      </c>
      <c r="BS225" s="4" t="s">
        <v>2279</v>
      </c>
    </row>
    <row r="226" spans="1:71" ht="15.75" thickBot="1" x14ac:dyDescent="0.3">
      <c r="A226" s="569" t="s">
        <v>2311</v>
      </c>
      <c r="B226" s="569" t="s">
        <v>139</v>
      </c>
      <c r="C226" s="569" t="s">
        <v>3</v>
      </c>
      <c r="D226" s="574">
        <v>6</v>
      </c>
      <c r="E226" s="569"/>
      <c r="F226" s="569"/>
      <c r="G226" s="569"/>
      <c r="H226" s="569"/>
      <c r="I226" s="574">
        <v>0</v>
      </c>
      <c r="J226" s="574">
        <v>0</v>
      </c>
      <c r="K226" s="574">
        <v>0</v>
      </c>
      <c r="L226" s="574">
        <v>6.1</v>
      </c>
      <c r="M226" s="574">
        <v>0.2</v>
      </c>
      <c r="N226" s="574">
        <v>36.799999999999997</v>
      </c>
      <c r="O226" s="574">
        <v>23.3</v>
      </c>
      <c r="P226" s="574">
        <v>0.7</v>
      </c>
      <c r="Q226" s="574">
        <v>109.2</v>
      </c>
      <c r="R226" s="569"/>
      <c r="S226" s="569"/>
      <c r="T226" s="569"/>
      <c r="U226" s="569"/>
      <c r="V226" s="569"/>
      <c r="W226" s="569"/>
      <c r="X226" s="569"/>
      <c r="Y226" s="569"/>
      <c r="Z226" s="569"/>
      <c r="AA226" s="569"/>
      <c r="AB226" s="569"/>
      <c r="AC226" s="569"/>
      <c r="AD226" s="569"/>
      <c r="AE226" s="569"/>
      <c r="AF226" s="569"/>
      <c r="AG226" s="569"/>
      <c r="AH226" s="569"/>
      <c r="AI226" s="569"/>
      <c r="AJ226" s="569"/>
      <c r="AK226" s="569"/>
      <c r="AL226" s="569"/>
      <c r="AM226" s="569"/>
      <c r="AN226" s="574">
        <v>19.899999999999999</v>
      </c>
      <c r="AO226">
        <v>225</v>
      </c>
      <c r="AP226" t="str">
        <f t="shared" si="53"/>
        <v/>
      </c>
      <c r="AQ226" t="str">
        <f t="shared" si="43"/>
        <v/>
      </c>
      <c r="AR226" s="430">
        <f>IFERROR(
IF(AP226="",-100,
IF($BV$2&gt;0, INDEX(Beersheet!$A:$U,MATCH(AP226,INDEX(Beersheet!$A:$U,0,FFARawStatProjections!$BV$2),0),$BV$3)+$BN226,
INDEX($A226:$BM226,,$BV$12)*$BW$12+
INDEX($A226:$BM226,,$BV$15)*$BW$15+
INDEX($A226:$BM226,,$BV$16)*$BW$16+
INDEX($A226:$BM226,,$BV$17)*$BW$17+
INDEX($A226:$BM226,,$BV$18)*$BW$18+
INDEX($A226:$BM226,,$BV$19)*$BW$19+
INDEX($A226:$BM226,,$BV$20)*$BW$20+
INDEX($A226:$BM226,,$BV$21)*$BW$21+
INDEX($A226:$BM226,,$BV$22)*$BW$22+
INDEX($A226:$BM226,,$BV$23)*$BW$23+
INDEX($A226:$BM226,,$BV$25)*$BW$25+
INDEX($A226:$BM226,,$BV$26)*$BW$26+
INDEX($A226:$BM226,,$BV$27)*$BW$27+
$BN226)),
$BN226-100)</f>
        <v>-100</v>
      </c>
      <c r="AT226" t="str">
        <f t="shared" si="44"/>
        <v>Patrick Taylor</v>
      </c>
      <c r="AU226" t="str">
        <f t="shared" si="45"/>
        <v>GB</v>
      </c>
      <c r="AV226" s="430">
        <f>IFERROR(
IF(AT226="",-100,
IF($BV$2&gt;0, INDEX(Beersheet!$A:$U,MATCH(AT226,INDEX(Beersheet!$A:$U,0,FFARawStatProjections!$BV$2),0),$BV$3)+$BN226,
INDEX($A226:$BM226,,$BV$12)*$BW$12+
INDEX($A226:$BM226,,$BV$15)*$BW$15+
INDEX($A226:$BM226,,$BV$16)*$BW$16+
INDEX($A226:$BM226,,$BV$17)*$BW$17+
INDEX($A226:$BM226,,$BV$18)*$BW$18+
INDEX($A226:$BM226,,$BV$19)*$BW$19+
INDEX($A226:$BM226,,$BV$20)*$BW$20+
INDEX($A226:$BM226,,$BV$21)*$BW$21+
INDEX($A226:$BM226,,$BV$22)*$BW$22+
INDEX($A226:$BM226,,$BV$23)*$BW$23+
INDEX($A226:$BM226,,$BV$25)*$BW$25+
INDEX($A226:$BM226,,$BV$26)*$BW$26+
INDEX($A226:$BM226,,$BV$27)*$BW$27+
$BN226)),
$BN226-100)</f>
        <v>26.102250000000002</v>
      </c>
      <c r="AX226" t="str">
        <f t="shared" si="46"/>
        <v/>
      </c>
      <c r="AY226" t="str">
        <f t="shared" si="47"/>
        <v/>
      </c>
      <c r="AZ226" s="430">
        <f>IFERROR(
IF(AX226="",-100,
IF($BV$2&gt;0, INDEX(Beersheet!$A:$U,MATCH(AX226,INDEX(Beersheet!$A:$U,0,FFARawStatProjections!$BV$2),0),$BV$3)+$BN226,
INDEX($A226:$BM226,,$BV$12)*$BW$12+
INDEX($A226:$BM226,,$BV$15)*$BW$15+
INDEX($A226:$BM226,,$BV$16)*$BW$16+
INDEX($A226:$BM226,,$BV$17)*$BW$17+
INDEX($A226:$BM226,,$BV$18)*$BW$18+
INDEX($A226:$BM226,,$BV$19)*$BW$19+
INDEX($A226:$BM226,,$BV$20)*$BW$20+
INDEX($A226:$BM226,,$BV$21)*$BW$21+
INDEX($A226:$BM226,,$BV$22)*$BW$22+
INDEX($A226:$BM226,,$BV$23)*$BW$23+
INDEX($A226:$BM226,,$BV$25)*$BW$25+
INDEX($A226:$BM226,,$BV$26)*$BW$26+
INDEX($A226:$BM226,,$BV$27)*$BW$27+
$BN226)),
$BN226-100)</f>
        <v>-100</v>
      </c>
      <c r="BB226" t="str">
        <f t="shared" si="48"/>
        <v/>
      </c>
      <c r="BC226" t="str">
        <f t="shared" si="42"/>
        <v/>
      </c>
      <c r="BD226" s="430">
        <f>IFERROR(
IF(BB226="",-100,
IF($BV$2&gt;0, INDEX(Beersheet!$A:$U,MATCH(BB226,INDEX(Beersheet!$A:$U,0,FFARawStatProjections!$BV$2),0),$BV$3)+$BN226,
INDEX($A226:$BM226,,$BV$12)*$BW$12+
INDEX($A226:$BM226,,$BV$15)*$BW$15+
INDEX($A226:$BM226,,$BV$16)*$BW$16+
INDEX($A226:$BM226,,$BV$17)*$BW$17+
INDEX($A226:$BM226,,$BV$18)*$BW$18+
INDEX($A226:$BM226,,$BV$19)*$BW$19+
INDEX($A226:$BM226,,$BV$20)*$BW$20+
INDEX($A226:$BM226,,$BV$21)*$BW$21+
INDEX($A226:$BM226,,$BV$22)*$BW$22+
INDEX($A226:$BM226,,$BV$23)*$BW$23+
INDEX($A226:$BM226,,$BV$25)*$BW$25+
INDEX($A226:$BM226,,$BV$26)*$BW$26+
INDEX($A226:$BM226,,$BV$27)*$BW$27+
$BN226)),
$BN226-100)</f>
        <v>-100</v>
      </c>
      <c r="BF226" t="str">
        <f t="shared" si="49"/>
        <v/>
      </c>
      <c r="BG226" t="str">
        <f t="shared" si="50"/>
        <v/>
      </c>
      <c r="BH226">
        <f t="shared" si="51"/>
        <v>0</v>
      </c>
      <c r="BJ226" t="str">
        <f t="shared" si="52"/>
        <v/>
      </c>
      <c r="BL226">
        <f t="shared" si="54"/>
        <v>0</v>
      </c>
      <c r="BN226">
        <v>2.2499999999999998E-3</v>
      </c>
      <c r="BS226" s="4" t="s">
        <v>2492</v>
      </c>
    </row>
    <row r="227" spans="1:71" ht="15.75" thickBot="1" x14ac:dyDescent="0.3">
      <c r="A227" s="569" t="s">
        <v>991</v>
      </c>
      <c r="B227" s="569" t="s">
        <v>155</v>
      </c>
      <c r="C227" s="569" t="s">
        <v>3</v>
      </c>
      <c r="D227" s="574">
        <v>9</v>
      </c>
      <c r="E227" s="569"/>
      <c r="F227" s="569"/>
      <c r="G227" s="569"/>
      <c r="H227" s="569"/>
      <c r="I227" s="574">
        <v>0</v>
      </c>
      <c r="J227" s="574">
        <v>0</v>
      </c>
      <c r="K227" s="574">
        <v>0</v>
      </c>
      <c r="L227" s="574">
        <v>13</v>
      </c>
      <c r="M227" s="574">
        <v>0.6</v>
      </c>
      <c r="N227" s="574">
        <v>107.9</v>
      </c>
      <c r="O227" s="574">
        <v>8.9</v>
      </c>
      <c r="P227" s="574">
        <v>0.4</v>
      </c>
      <c r="Q227" s="574">
        <v>30.4</v>
      </c>
      <c r="R227" s="569"/>
      <c r="S227" s="569"/>
      <c r="T227" s="569"/>
      <c r="U227" s="569"/>
      <c r="V227" s="569"/>
      <c r="W227" s="569"/>
      <c r="X227" s="569"/>
      <c r="Y227" s="569"/>
      <c r="Z227" s="569"/>
      <c r="AA227" s="569"/>
      <c r="AB227" s="569"/>
      <c r="AC227" s="569"/>
      <c r="AD227" s="569"/>
      <c r="AE227" s="569"/>
      <c r="AF227" s="569"/>
      <c r="AG227" s="569"/>
      <c r="AH227" s="569"/>
      <c r="AI227" s="569"/>
      <c r="AJ227" s="569"/>
      <c r="AK227" s="569"/>
      <c r="AL227" s="569"/>
      <c r="AM227" s="569"/>
      <c r="AN227" s="574">
        <v>19.8</v>
      </c>
      <c r="AO227">
        <v>226</v>
      </c>
      <c r="AP227" t="str">
        <f t="shared" si="53"/>
        <v/>
      </c>
      <c r="AQ227" t="str">
        <f t="shared" si="43"/>
        <v/>
      </c>
      <c r="AR227" s="430">
        <f>IFERROR(
IF(AP227="",-100,
IF($BV$2&gt;0, INDEX(Beersheet!$A:$U,MATCH(AP227,INDEX(Beersheet!$A:$U,0,FFARawStatProjections!$BV$2),0),$BV$3)+$BN227,
INDEX($A227:$BM227,,$BV$12)*$BW$12+
INDEX($A227:$BM227,,$BV$15)*$BW$15+
INDEX($A227:$BM227,,$BV$16)*$BW$16+
INDEX($A227:$BM227,,$BV$17)*$BW$17+
INDEX($A227:$BM227,,$BV$18)*$BW$18+
INDEX($A227:$BM227,,$BV$19)*$BW$19+
INDEX($A227:$BM227,,$BV$20)*$BW$20+
INDEX($A227:$BM227,,$BV$21)*$BW$21+
INDEX($A227:$BM227,,$BV$22)*$BW$22+
INDEX($A227:$BM227,,$BV$23)*$BW$23+
INDEX($A227:$BM227,,$BV$25)*$BW$25+
INDEX($A227:$BM227,,$BV$26)*$BW$26+
INDEX($A227:$BM227,,$BV$27)*$BW$27+
$BN227)),
$BN227-100)</f>
        <v>-100</v>
      </c>
      <c r="AT227" t="str">
        <f t="shared" si="44"/>
        <v>Kyle Juszczyk</v>
      </c>
      <c r="AU227" t="str">
        <f t="shared" si="45"/>
        <v>SF</v>
      </c>
      <c r="AV227" s="430">
        <f>IFERROR(
IF(AT227="",-100,
IF($BV$2&gt;0, INDEX(Beersheet!$A:$U,MATCH(AT227,INDEX(Beersheet!$A:$U,0,FFARawStatProjections!$BV$2),0),$BV$3)+$BN227,
INDEX($A227:$BM227,,$BV$12)*$BW$12+
INDEX($A227:$BM227,,$BV$15)*$BW$15+
INDEX($A227:$BM227,,$BV$16)*$BW$16+
INDEX($A227:$BM227,,$BV$17)*$BW$17+
INDEX($A227:$BM227,,$BV$18)*$BW$18+
INDEX($A227:$BM227,,$BV$19)*$BW$19+
INDEX($A227:$BM227,,$BV$20)*$BW$20+
INDEX($A227:$BM227,,$BV$21)*$BW$21+
INDEX($A227:$BM227,,$BV$22)*$BW$22+
INDEX($A227:$BM227,,$BV$23)*$BW$23+
INDEX($A227:$BM227,,$BV$25)*$BW$25+
INDEX($A227:$BM227,,$BV$26)*$BW$26+
INDEX($A227:$BM227,,$BV$27)*$BW$27+
$BN227)),
$BN227-100)</f>
        <v>32.832259999999998</v>
      </c>
      <c r="AX227" t="str">
        <f t="shared" si="46"/>
        <v/>
      </c>
      <c r="AY227" t="str">
        <f t="shared" si="47"/>
        <v/>
      </c>
      <c r="AZ227" s="430">
        <f>IFERROR(
IF(AX227="",-100,
IF($BV$2&gt;0, INDEX(Beersheet!$A:$U,MATCH(AX227,INDEX(Beersheet!$A:$U,0,FFARawStatProjections!$BV$2),0),$BV$3)+$BN227,
INDEX($A227:$BM227,,$BV$12)*$BW$12+
INDEX($A227:$BM227,,$BV$15)*$BW$15+
INDEX($A227:$BM227,,$BV$16)*$BW$16+
INDEX($A227:$BM227,,$BV$17)*$BW$17+
INDEX($A227:$BM227,,$BV$18)*$BW$18+
INDEX($A227:$BM227,,$BV$19)*$BW$19+
INDEX($A227:$BM227,,$BV$20)*$BW$20+
INDEX($A227:$BM227,,$BV$21)*$BW$21+
INDEX($A227:$BM227,,$BV$22)*$BW$22+
INDEX($A227:$BM227,,$BV$23)*$BW$23+
INDEX($A227:$BM227,,$BV$25)*$BW$25+
INDEX($A227:$BM227,,$BV$26)*$BW$26+
INDEX($A227:$BM227,,$BV$27)*$BW$27+
$BN227)),
$BN227-100)</f>
        <v>-100</v>
      </c>
      <c r="BB227" t="str">
        <f t="shared" si="48"/>
        <v/>
      </c>
      <c r="BC227" t="str">
        <f t="shared" si="42"/>
        <v/>
      </c>
      <c r="BD227" s="430">
        <f>IFERROR(
IF(BB227="",-100,
IF($BV$2&gt;0, INDEX(Beersheet!$A:$U,MATCH(BB227,INDEX(Beersheet!$A:$U,0,FFARawStatProjections!$BV$2),0),$BV$3)+$BN227,
INDEX($A227:$BM227,,$BV$12)*$BW$12+
INDEX($A227:$BM227,,$BV$15)*$BW$15+
INDEX($A227:$BM227,,$BV$16)*$BW$16+
INDEX($A227:$BM227,,$BV$17)*$BW$17+
INDEX($A227:$BM227,,$BV$18)*$BW$18+
INDEX($A227:$BM227,,$BV$19)*$BW$19+
INDEX($A227:$BM227,,$BV$20)*$BW$20+
INDEX($A227:$BM227,,$BV$21)*$BW$21+
INDEX($A227:$BM227,,$BV$22)*$BW$22+
INDEX($A227:$BM227,,$BV$23)*$BW$23+
INDEX($A227:$BM227,,$BV$25)*$BW$25+
INDEX($A227:$BM227,,$BV$26)*$BW$26+
INDEX($A227:$BM227,,$BV$27)*$BW$27+
$BN227)),
$BN227-100)</f>
        <v>-100</v>
      </c>
      <c r="BF227" t="str">
        <f t="shared" si="49"/>
        <v/>
      </c>
      <c r="BG227" t="str">
        <f t="shared" si="50"/>
        <v/>
      </c>
      <c r="BH227">
        <f t="shared" si="51"/>
        <v>0</v>
      </c>
      <c r="BJ227" t="str">
        <f t="shared" si="52"/>
        <v/>
      </c>
      <c r="BL227">
        <f t="shared" si="54"/>
        <v>0</v>
      </c>
      <c r="BN227">
        <v>2.2599999999999999E-3</v>
      </c>
      <c r="BS227" s="4" t="s">
        <v>2491</v>
      </c>
    </row>
    <row r="228" spans="1:71" ht="15.75" thickBot="1" x14ac:dyDescent="0.3">
      <c r="A228" s="569" t="s">
        <v>2307</v>
      </c>
      <c r="B228" s="569" t="s">
        <v>157</v>
      </c>
      <c r="C228" s="569" t="s">
        <v>3</v>
      </c>
      <c r="D228" s="574">
        <v>11</v>
      </c>
      <c r="E228" s="569"/>
      <c r="F228" s="569"/>
      <c r="G228" s="569"/>
      <c r="H228" s="569"/>
      <c r="I228" s="574">
        <v>0</v>
      </c>
      <c r="J228" s="574">
        <v>0</v>
      </c>
      <c r="K228" s="574">
        <v>0</v>
      </c>
      <c r="L228" s="574">
        <v>3.1</v>
      </c>
      <c r="M228" s="574">
        <v>0.1</v>
      </c>
      <c r="N228" s="574">
        <v>32.700000000000003</v>
      </c>
      <c r="O228" s="574">
        <v>32.799999999999997</v>
      </c>
      <c r="P228" s="574">
        <v>0.5</v>
      </c>
      <c r="Q228" s="574">
        <v>128.9</v>
      </c>
      <c r="R228" s="569"/>
      <c r="S228" s="569"/>
      <c r="T228" s="569"/>
      <c r="U228" s="569"/>
      <c r="V228" s="569"/>
      <c r="W228" s="569"/>
      <c r="X228" s="569"/>
      <c r="Y228" s="569"/>
      <c r="Z228" s="569"/>
      <c r="AA228" s="569"/>
      <c r="AB228" s="569"/>
      <c r="AC228" s="569"/>
      <c r="AD228" s="569"/>
      <c r="AE228" s="569"/>
      <c r="AF228" s="569"/>
      <c r="AG228" s="569"/>
      <c r="AH228" s="569"/>
      <c r="AI228" s="569"/>
      <c r="AJ228" s="569"/>
      <c r="AK228" s="569"/>
      <c r="AL228" s="569"/>
      <c r="AM228" s="569"/>
      <c r="AN228" s="574">
        <v>19.5</v>
      </c>
      <c r="AO228">
        <v>227</v>
      </c>
      <c r="AP228" t="str">
        <f t="shared" si="53"/>
        <v/>
      </c>
      <c r="AQ228" t="str">
        <f t="shared" si="43"/>
        <v/>
      </c>
      <c r="AR228" s="430">
        <f>IFERROR(
IF(AP228="",-100,
IF($BV$2&gt;0, INDEX(Beersheet!$A:$U,MATCH(AP228,INDEX(Beersheet!$A:$U,0,FFARawStatProjections!$BV$2),0),$BV$3)+$BN228,
INDEX($A228:$BM228,,$BV$12)*$BW$12+
INDEX($A228:$BM228,,$BV$15)*$BW$15+
INDEX($A228:$BM228,,$BV$16)*$BW$16+
INDEX($A228:$BM228,,$BV$17)*$BW$17+
INDEX($A228:$BM228,,$BV$18)*$BW$18+
INDEX($A228:$BM228,,$BV$19)*$BW$19+
INDEX($A228:$BM228,,$BV$20)*$BW$20+
INDEX($A228:$BM228,,$BV$21)*$BW$21+
INDEX($A228:$BM228,,$BV$22)*$BW$22+
INDEX($A228:$BM228,,$BV$23)*$BW$23+
INDEX($A228:$BM228,,$BV$25)*$BW$25+
INDEX($A228:$BM228,,$BV$26)*$BW$26+
INDEX($A228:$BM228,,$BV$27)*$BW$27+
$BN228)),
$BN228-100)</f>
        <v>-100</v>
      </c>
      <c r="AT228" t="str">
        <f t="shared" si="44"/>
        <v>Kevin Harris</v>
      </c>
      <c r="AU228" t="str">
        <f t="shared" si="45"/>
        <v>NE</v>
      </c>
      <c r="AV228" s="430">
        <f>IFERROR(
IF(AT228="",-100,
IF($BV$2&gt;0, INDEX(Beersheet!$A:$U,MATCH(AT228,INDEX(Beersheet!$A:$U,0,FFARawStatProjections!$BV$2),0),$BV$3)+$BN228,
INDEX($A228:$BM228,,$BV$12)*$BW$12+
INDEX($A228:$BM228,,$BV$15)*$BW$15+
INDEX($A228:$BM228,,$BV$16)*$BW$16+
INDEX($A228:$BM228,,$BV$17)*$BW$17+
INDEX($A228:$BM228,,$BV$18)*$BW$18+
INDEX($A228:$BM228,,$BV$19)*$BW$19+
INDEX($A228:$BM228,,$BV$20)*$BW$20+
INDEX($A228:$BM228,,$BV$21)*$BW$21+
INDEX($A228:$BM228,,$BV$22)*$BW$22+
INDEX($A228:$BM228,,$BV$23)*$BW$23+
INDEX($A228:$BM228,,$BV$25)*$BW$25+
INDEX($A228:$BM228,,$BV$26)*$BW$26+
INDEX($A228:$BM228,,$BV$27)*$BW$27+
$BN228)),
$BN228-100)</f>
        <v>22.862269999999999</v>
      </c>
      <c r="AX228" t="str">
        <f t="shared" si="46"/>
        <v/>
      </c>
      <c r="AY228" t="str">
        <f t="shared" si="47"/>
        <v/>
      </c>
      <c r="AZ228" s="430">
        <f>IFERROR(
IF(AX228="",-100,
IF($BV$2&gt;0, INDEX(Beersheet!$A:$U,MATCH(AX228,INDEX(Beersheet!$A:$U,0,FFARawStatProjections!$BV$2),0),$BV$3)+$BN228,
INDEX($A228:$BM228,,$BV$12)*$BW$12+
INDEX($A228:$BM228,,$BV$15)*$BW$15+
INDEX($A228:$BM228,,$BV$16)*$BW$16+
INDEX($A228:$BM228,,$BV$17)*$BW$17+
INDEX($A228:$BM228,,$BV$18)*$BW$18+
INDEX($A228:$BM228,,$BV$19)*$BW$19+
INDEX($A228:$BM228,,$BV$20)*$BW$20+
INDEX($A228:$BM228,,$BV$21)*$BW$21+
INDEX($A228:$BM228,,$BV$22)*$BW$22+
INDEX($A228:$BM228,,$BV$23)*$BW$23+
INDEX($A228:$BM228,,$BV$25)*$BW$25+
INDEX($A228:$BM228,,$BV$26)*$BW$26+
INDEX($A228:$BM228,,$BV$27)*$BW$27+
$BN228)),
$BN228-100)</f>
        <v>-100</v>
      </c>
      <c r="BB228" t="str">
        <f t="shared" si="48"/>
        <v/>
      </c>
      <c r="BC228" t="str">
        <f t="shared" si="42"/>
        <v/>
      </c>
      <c r="BD228" s="430">
        <f>IFERROR(
IF(BB228="",-100,
IF($BV$2&gt;0, INDEX(Beersheet!$A:$U,MATCH(BB228,INDEX(Beersheet!$A:$U,0,FFARawStatProjections!$BV$2),0),$BV$3)+$BN228,
INDEX($A228:$BM228,,$BV$12)*$BW$12+
INDEX($A228:$BM228,,$BV$15)*$BW$15+
INDEX($A228:$BM228,,$BV$16)*$BW$16+
INDEX($A228:$BM228,,$BV$17)*$BW$17+
INDEX($A228:$BM228,,$BV$18)*$BW$18+
INDEX($A228:$BM228,,$BV$19)*$BW$19+
INDEX($A228:$BM228,,$BV$20)*$BW$20+
INDEX($A228:$BM228,,$BV$21)*$BW$21+
INDEX($A228:$BM228,,$BV$22)*$BW$22+
INDEX($A228:$BM228,,$BV$23)*$BW$23+
INDEX($A228:$BM228,,$BV$25)*$BW$25+
INDEX($A228:$BM228,,$BV$26)*$BW$26+
INDEX($A228:$BM228,,$BV$27)*$BW$27+
$BN228)),
$BN228-100)</f>
        <v>-100</v>
      </c>
      <c r="BF228" t="str">
        <f t="shared" si="49"/>
        <v/>
      </c>
      <c r="BG228" t="str">
        <f t="shared" si="50"/>
        <v/>
      </c>
      <c r="BH228">
        <f t="shared" si="51"/>
        <v>0</v>
      </c>
      <c r="BJ228" t="str">
        <f t="shared" si="52"/>
        <v/>
      </c>
      <c r="BL228">
        <f t="shared" si="54"/>
        <v>0</v>
      </c>
      <c r="BN228">
        <v>2.2699999999999999E-3</v>
      </c>
      <c r="BS228" s="4" t="s">
        <v>2318</v>
      </c>
    </row>
    <row r="229" spans="1:71" ht="15.75" thickBot="1" x14ac:dyDescent="0.3">
      <c r="A229" s="569" t="s">
        <v>2111</v>
      </c>
      <c r="B229" s="569" t="s">
        <v>154</v>
      </c>
      <c r="C229" s="569" t="s">
        <v>3</v>
      </c>
      <c r="D229" s="574">
        <v>13</v>
      </c>
      <c r="E229" s="569"/>
      <c r="F229" s="569"/>
      <c r="G229" s="569"/>
      <c r="H229" s="569"/>
      <c r="I229" s="574">
        <v>0</v>
      </c>
      <c r="J229" s="574">
        <v>0</v>
      </c>
      <c r="K229" s="574">
        <v>0</v>
      </c>
      <c r="L229" s="574">
        <v>4</v>
      </c>
      <c r="M229" s="574">
        <v>0.1</v>
      </c>
      <c r="N229" s="574">
        <v>44.5</v>
      </c>
      <c r="O229" s="574">
        <v>44</v>
      </c>
      <c r="P229" s="574">
        <v>0.2</v>
      </c>
      <c r="Q229" s="574">
        <v>139.6</v>
      </c>
      <c r="R229" s="569"/>
      <c r="S229" s="569"/>
      <c r="T229" s="569"/>
      <c r="U229" s="569"/>
      <c r="V229" s="569"/>
      <c r="W229" s="569"/>
      <c r="X229" s="569"/>
      <c r="Y229" s="569"/>
      <c r="Z229" s="569"/>
      <c r="AA229" s="569"/>
      <c r="AB229" s="569"/>
      <c r="AC229" s="569"/>
      <c r="AD229" s="569"/>
      <c r="AE229" s="569"/>
      <c r="AF229" s="569"/>
      <c r="AG229" s="569"/>
      <c r="AH229" s="569"/>
      <c r="AI229" s="569"/>
      <c r="AJ229" s="569"/>
      <c r="AK229" s="569"/>
      <c r="AL229" s="569"/>
      <c r="AM229" s="569"/>
      <c r="AN229" s="574">
        <v>19.2</v>
      </c>
      <c r="AO229">
        <v>228</v>
      </c>
      <c r="AP229" t="str">
        <f t="shared" si="53"/>
        <v/>
      </c>
      <c r="AQ229" t="str">
        <f t="shared" si="43"/>
        <v/>
      </c>
      <c r="AR229" s="430">
        <f>IFERROR(
IF(AP229="",-100,
IF($BV$2&gt;0, INDEX(Beersheet!$A:$U,MATCH(AP229,INDEX(Beersheet!$A:$U,0,FFARawStatProjections!$BV$2),0),$BV$3)+$BN229,
INDEX($A229:$BM229,,$BV$12)*$BW$12+
INDEX($A229:$BM229,,$BV$15)*$BW$15+
INDEX($A229:$BM229,,$BV$16)*$BW$16+
INDEX($A229:$BM229,,$BV$17)*$BW$17+
INDEX($A229:$BM229,,$BV$18)*$BW$18+
INDEX($A229:$BM229,,$BV$19)*$BW$19+
INDEX($A229:$BM229,,$BV$20)*$BW$20+
INDEX($A229:$BM229,,$BV$21)*$BW$21+
INDEX($A229:$BM229,,$BV$22)*$BW$22+
INDEX($A229:$BM229,,$BV$23)*$BW$23+
INDEX($A229:$BM229,,$BV$25)*$BW$25+
INDEX($A229:$BM229,,$BV$26)*$BW$26+
INDEX($A229:$BM229,,$BV$27)*$BW$27+
$BN229)),
$BN229-100)</f>
        <v>-100</v>
      </c>
      <c r="AT229" t="str">
        <f t="shared" si="44"/>
        <v>James Robinson</v>
      </c>
      <c r="AU229" t="str">
        <f t="shared" si="45"/>
        <v>NYG</v>
      </c>
      <c r="AV229" s="430">
        <f>IFERROR(
IF(AT229="",-100,
IF($BV$2&gt;0, INDEX(Beersheet!$A:$U,MATCH(AT229,INDEX(Beersheet!$A:$U,0,FFARawStatProjections!$BV$2),0),$BV$3)+$BN229,
INDEX($A229:$BM229,,$BV$12)*$BW$12+
INDEX($A229:$BM229,,$BV$15)*$BW$15+
INDEX($A229:$BM229,,$BV$16)*$BW$16+
INDEX($A229:$BM229,,$BV$17)*$BW$17+
INDEX($A229:$BM229,,$BV$18)*$BW$18+
INDEX($A229:$BM229,,$BV$19)*$BW$19+
INDEX($A229:$BM229,,$BV$20)*$BW$20+
INDEX($A229:$BM229,,$BV$21)*$BW$21+
INDEX($A229:$BM229,,$BV$22)*$BW$22+
INDEX($A229:$BM229,,$BV$23)*$BW$23+
INDEX($A229:$BM229,,$BV$25)*$BW$25+
INDEX($A229:$BM229,,$BV$26)*$BW$26+
INDEX($A229:$BM229,,$BV$27)*$BW$27+
$BN229)),
$BN229-100)</f>
        <v>24.21228</v>
      </c>
      <c r="AX229" t="str">
        <f t="shared" si="46"/>
        <v/>
      </c>
      <c r="AY229" t="str">
        <f t="shared" si="47"/>
        <v/>
      </c>
      <c r="AZ229" s="430">
        <f>IFERROR(
IF(AX229="",-100,
IF($BV$2&gt;0, INDEX(Beersheet!$A:$U,MATCH(AX229,INDEX(Beersheet!$A:$U,0,FFARawStatProjections!$BV$2),0),$BV$3)+$BN229,
INDEX($A229:$BM229,,$BV$12)*$BW$12+
INDEX($A229:$BM229,,$BV$15)*$BW$15+
INDEX($A229:$BM229,,$BV$16)*$BW$16+
INDEX($A229:$BM229,,$BV$17)*$BW$17+
INDEX($A229:$BM229,,$BV$18)*$BW$18+
INDEX($A229:$BM229,,$BV$19)*$BW$19+
INDEX($A229:$BM229,,$BV$20)*$BW$20+
INDEX($A229:$BM229,,$BV$21)*$BW$21+
INDEX($A229:$BM229,,$BV$22)*$BW$22+
INDEX($A229:$BM229,,$BV$23)*$BW$23+
INDEX($A229:$BM229,,$BV$25)*$BW$25+
INDEX($A229:$BM229,,$BV$26)*$BW$26+
INDEX($A229:$BM229,,$BV$27)*$BW$27+
$BN229)),
$BN229-100)</f>
        <v>-100</v>
      </c>
      <c r="BB229" t="str">
        <f t="shared" si="48"/>
        <v/>
      </c>
      <c r="BC229" t="str">
        <f t="shared" si="42"/>
        <v/>
      </c>
      <c r="BD229" s="430">
        <f>IFERROR(
IF(BB229="",-100,
IF($BV$2&gt;0, INDEX(Beersheet!$A:$U,MATCH(BB229,INDEX(Beersheet!$A:$U,0,FFARawStatProjections!$BV$2),0),$BV$3)+$BN229,
INDEX($A229:$BM229,,$BV$12)*$BW$12+
INDEX($A229:$BM229,,$BV$15)*$BW$15+
INDEX($A229:$BM229,,$BV$16)*$BW$16+
INDEX($A229:$BM229,,$BV$17)*$BW$17+
INDEX($A229:$BM229,,$BV$18)*$BW$18+
INDEX($A229:$BM229,,$BV$19)*$BW$19+
INDEX($A229:$BM229,,$BV$20)*$BW$20+
INDEX($A229:$BM229,,$BV$21)*$BW$21+
INDEX($A229:$BM229,,$BV$22)*$BW$22+
INDEX($A229:$BM229,,$BV$23)*$BW$23+
INDEX($A229:$BM229,,$BV$25)*$BW$25+
INDEX($A229:$BM229,,$BV$26)*$BW$26+
INDEX($A229:$BM229,,$BV$27)*$BW$27+
$BN229)),
$BN229-100)</f>
        <v>-100</v>
      </c>
      <c r="BF229" t="str">
        <f t="shared" si="49"/>
        <v/>
      </c>
      <c r="BG229" t="str">
        <f t="shared" si="50"/>
        <v/>
      </c>
      <c r="BH229">
        <f t="shared" si="51"/>
        <v>0</v>
      </c>
      <c r="BJ229" t="str">
        <f t="shared" si="52"/>
        <v/>
      </c>
      <c r="BL229">
        <f t="shared" si="54"/>
        <v>0</v>
      </c>
      <c r="BN229">
        <v>2.2799999999999999E-3</v>
      </c>
      <c r="BS229" s="4" t="s">
        <v>1885</v>
      </c>
    </row>
    <row r="230" spans="1:71" ht="15.75" thickBot="1" x14ac:dyDescent="0.3">
      <c r="A230" s="569" t="s">
        <v>2186</v>
      </c>
      <c r="B230" s="569" t="s">
        <v>154</v>
      </c>
      <c r="C230" s="569" t="s">
        <v>3</v>
      </c>
      <c r="D230" s="574">
        <v>13</v>
      </c>
      <c r="E230" s="569"/>
      <c r="F230" s="569"/>
      <c r="G230" s="569"/>
      <c r="H230" s="569"/>
      <c r="I230" s="574">
        <v>0</v>
      </c>
      <c r="J230" s="574">
        <v>0</v>
      </c>
      <c r="K230" s="574">
        <v>0</v>
      </c>
      <c r="L230" s="574">
        <v>5</v>
      </c>
      <c r="M230" s="574">
        <v>0.1</v>
      </c>
      <c r="N230" s="574">
        <v>29.9</v>
      </c>
      <c r="O230" s="574">
        <v>21.6</v>
      </c>
      <c r="P230" s="574">
        <v>0.8</v>
      </c>
      <c r="Q230" s="574">
        <v>106.9</v>
      </c>
      <c r="R230" s="569"/>
      <c r="S230" s="569"/>
      <c r="T230" s="569"/>
      <c r="U230" s="569"/>
      <c r="V230" s="569"/>
      <c r="W230" s="569"/>
      <c r="X230" s="569"/>
      <c r="Y230" s="569"/>
      <c r="Z230" s="569"/>
      <c r="AA230" s="569"/>
      <c r="AB230" s="569"/>
      <c r="AC230" s="569"/>
      <c r="AD230" s="569"/>
      <c r="AE230" s="569"/>
      <c r="AF230" s="569"/>
      <c r="AG230" s="569"/>
      <c r="AH230" s="569"/>
      <c r="AI230" s="569"/>
      <c r="AJ230" s="569"/>
      <c r="AK230" s="569"/>
      <c r="AL230" s="569"/>
      <c r="AM230" s="569"/>
      <c r="AN230" s="574">
        <v>18.8</v>
      </c>
      <c r="AO230">
        <v>229</v>
      </c>
      <c r="AP230" t="str">
        <f t="shared" si="53"/>
        <v/>
      </c>
      <c r="AQ230" t="str">
        <f t="shared" si="43"/>
        <v/>
      </c>
      <c r="AR230" s="430">
        <f>IFERROR(
IF(AP230="",-100,
IF($BV$2&gt;0, INDEX(Beersheet!$A:$U,MATCH(AP230,INDEX(Beersheet!$A:$U,0,FFARawStatProjections!$BV$2),0),$BV$3)+$BN230,
INDEX($A230:$BM230,,$BV$12)*$BW$12+
INDEX($A230:$BM230,,$BV$15)*$BW$15+
INDEX($A230:$BM230,,$BV$16)*$BW$16+
INDEX($A230:$BM230,,$BV$17)*$BW$17+
INDEX($A230:$BM230,,$BV$18)*$BW$18+
INDEX($A230:$BM230,,$BV$19)*$BW$19+
INDEX($A230:$BM230,,$BV$20)*$BW$20+
INDEX($A230:$BM230,,$BV$21)*$BW$21+
INDEX($A230:$BM230,,$BV$22)*$BW$22+
INDEX($A230:$BM230,,$BV$23)*$BW$23+
INDEX($A230:$BM230,,$BV$25)*$BW$25+
INDEX($A230:$BM230,,$BV$26)*$BW$26+
INDEX($A230:$BM230,,$BV$27)*$BW$27+
$BN230)),
$BN230-100)</f>
        <v>-100</v>
      </c>
      <c r="AT230" t="str">
        <f t="shared" si="44"/>
        <v>Gary Brightwell</v>
      </c>
      <c r="AU230" t="str">
        <f t="shared" si="45"/>
        <v>NYG</v>
      </c>
      <c r="AV230" s="430">
        <f>IFERROR(
IF(AT230="",-100,
IF($BV$2&gt;0, INDEX(Beersheet!$A:$U,MATCH(AT230,INDEX(Beersheet!$A:$U,0,FFARawStatProjections!$BV$2),0),$BV$3)+$BN230,
INDEX($A230:$BM230,,$BV$12)*$BW$12+
INDEX($A230:$BM230,,$BV$15)*$BW$15+
INDEX($A230:$BM230,,$BV$16)*$BW$16+
INDEX($A230:$BM230,,$BV$17)*$BW$17+
INDEX($A230:$BM230,,$BV$18)*$BW$18+
INDEX($A230:$BM230,,$BV$19)*$BW$19+
INDEX($A230:$BM230,,$BV$20)*$BW$20+
INDEX($A230:$BM230,,$BV$21)*$BW$21+
INDEX($A230:$BM230,,$BV$22)*$BW$22+
INDEX($A230:$BM230,,$BV$23)*$BW$23+
INDEX($A230:$BM230,,$BV$25)*$BW$25+
INDEX($A230:$BM230,,$BV$26)*$BW$26+
INDEX($A230:$BM230,,$BV$27)*$BW$27+
$BN230)),
$BN230-100)</f>
        <v>24.08229</v>
      </c>
      <c r="AX230" t="str">
        <f t="shared" si="46"/>
        <v/>
      </c>
      <c r="AY230" t="str">
        <f t="shared" si="47"/>
        <v/>
      </c>
      <c r="AZ230" s="430">
        <f>IFERROR(
IF(AX230="",-100,
IF($BV$2&gt;0, INDEX(Beersheet!$A:$U,MATCH(AX230,INDEX(Beersheet!$A:$U,0,FFARawStatProjections!$BV$2),0),$BV$3)+$BN230,
INDEX($A230:$BM230,,$BV$12)*$BW$12+
INDEX($A230:$BM230,,$BV$15)*$BW$15+
INDEX($A230:$BM230,,$BV$16)*$BW$16+
INDEX($A230:$BM230,,$BV$17)*$BW$17+
INDEX($A230:$BM230,,$BV$18)*$BW$18+
INDEX($A230:$BM230,,$BV$19)*$BW$19+
INDEX($A230:$BM230,,$BV$20)*$BW$20+
INDEX($A230:$BM230,,$BV$21)*$BW$21+
INDEX($A230:$BM230,,$BV$22)*$BW$22+
INDEX($A230:$BM230,,$BV$23)*$BW$23+
INDEX($A230:$BM230,,$BV$25)*$BW$25+
INDEX($A230:$BM230,,$BV$26)*$BW$26+
INDEX($A230:$BM230,,$BV$27)*$BW$27+
$BN230)),
$BN230-100)</f>
        <v>-100</v>
      </c>
      <c r="BB230" t="str">
        <f t="shared" si="48"/>
        <v/>
      </c>
      <c r="BC230" t="str">
        <f t="shared" si="42"/>
        <v/>
      </c>
      <c r="BD230" s="430">
        <f>IFERROR(
IF(BB230="",-100,
IF($BV$2&gt;0, INDEX(Beersheet!$A:$U,MATCH(BB230,INDEX(Beersheet!$A:$U,0,FFARawStatProjections!$BV$2),0),$BV$3)+$BN230,
INDEX($A230:$BM230,,$BV$12)*$BW$12+
INDEX($A230:$BM230,,$BV$15)*$BW$15+
INDEX($A230:$BM230,,$BV$16)*$BW$16+
INDEX($A230:$BM230,,$BV$17)*$BW$17+
INDEX($A230:$BM230,,$BV$18)*$BW$18+
INDEX($A230:$BM230,,$BV$19)*$BW$19+
INDEX($A230:$BM230,,$BV$20)*$BW$20+
INDEX($A230:$BM230,,$BV$21)*$BW$21+
INDEX($A230:$BM230,,$BV$22)*$BW$22+
INDEX($A230:$BM230,,$BV$23)*$BW$23+
INDEX($A230:$BM230,,$BV$25)*$BW$25+
INDEX($A230:$BM230,,$BV$26)*$BW$26+
INDEX($A230:$BM230,,$BV$27)*$BW$27+
$BN230)),
$BN230-100)</f>
        <v>-100</v>
      </c>
      <c r="BF230" t="str">
        <f t="shared" si="49"/>
        <v/>
      </c>
      <c r="BG230" t="str">
        <f t="shared" si="50"/>
        <v/>
      </c>
      <c r="BH230">
        <f t="shared" si="51"/>
        <v>0</v>
      </c>
      <c r="BJ230" t="str">
        <f t="shared" si="52"/>
        <v/>
      </c>
      <c r="BL230">
        <f t="shared" si="54"/>
        <v>0</v>
      </c>
      <c r="BN230">
        <v>2.2899999999999999E-3</v>
      </c>
      <c r="BS230" s="4" t="s">
        <v>1892</v>
      </c>
    </row>
    <row r="231" spans="1:71" ht="15.75" thickBot="1" x14ac:dyDescent="0.3">
      <c r="A231" s="569" t="s">
        <v>1831</v>
      </c>
      <c r="B231" s="569" t="s">
        <v>143</v>
      </c>
      <c r="C231" s="569" t="s">
        <v>3</v>
      </c>
      <c r="D231" s="574">
        <v>11</v>
      </c>
      <c r="E231" s="569"/>
      <c r="F231" s="569"/>
      <c r="G231" s="569"/>
      <c r="H231" s="569"/>
      <c r="I231" s="574">
        <v>0</v>
      </c>
      <c r="J231" s="574">
        <v>0</v>
      </c>
      <c r="K231" s="574">
        <v>0</v>
      </c>
      <c r="L231" s="574">
        <v>0</v>
      </c>
      <c r="M231" s="574">
        <v>0</v>
      </c>
      <c r="N231" s="574">
        <v>72.599999999999994</v>
      </c>
      <c r="O231" s="574">
        <v>36.700000000000003</v>
      </c>
      <c r="P231" s="574">
        <v>0</v>
      </c>
      <c r="Q231" s="574">
        <v>117.1</v>
      </c>
      <c r="R231" s="569"/>
      <c r="S231" s="569"/>
      <c r="T231" s="569"/>
      <c r="U231" s="569"/>
      <c r="V231" s="569"/>
      <c r="W231" s="569"/>
      <c r="X231" s="569"/>
      <c r="Y231" s="569"/>
      <c r="Z231" s="569"/>
      <c r="AA231" s="569"/>
      <c r="AB231" s="569"/>
      <c r="AC231" s="569"/>
      <c r="AD231" s="569"/>
      <c r="AE231" s="569"/>
      <c r="AF231" s="569"/>
      <c r="AG231" s="569"/>
      <c r="AH231" s="569"/>
      <c r="AI231" s="569"/>
      <c r="AJ231" s="569"/>
      <c r="AK231" s="569"/>
      <c r="AL231" s="569"/>
      <c r="AM231" s="569"/>
      <c r="AN231" s="574">
        <v>18.600000000000001</v>
      </c>
      <c r="AO231">
        <v>230</v>
      </c>
      <c r="AP231" t="str">
        <f t="shared" si="53"/>
        <v/>
      </c>
      <c r="AQ231" t="str">
        <f t="shared" si="43"/>
        <v/>
      </c>
      <c r="AR231" s="430">
        <f>IFERROR(
IF(AP231="",-100,
IF($BV$2&gt;0, INDEX(Beersheet!$A:$U,MATCH(AP231,INDEX(Beersheet!$A:$U,0,FFARawStatProjections!$BV$2),0),$BV$3)+$BN231,
INDEX($A231:$BM231,,$BV$12)*$BW$12+
INDEX($A231:$BM231,,$BV$15)*$BW$15+
INDEX($A231:$BM231,,$BV$16)*$BW$16+
INDEX($A231:$BM231,,$BV$17)*$BW$17+
INDEX($A231:$BM231,,$BV$18)*$BW$18+
INDEX($A231:$BM231,,$BV$19)*$BW$19+
INDEX($A231:$BM231,,$BV$20)*$BW$20+
INDEX($A231:$BM231,,$BV$21)*$BW$21+
INDEX($A231:$BM231,,$BV$22)*$BW$22+
INDEX($A231:$BM231,,$BV$23)*$BW$23+
INDEX($A231:$BM231,,$BV$25)*$BW$25+
INDEX($A231:$BM231,,$BV$26)*$BW$26+
INDEX($A231:$BM231,,$BV$27)*$BW$27+
$BN231)),
$BN231-100)</f>
        <v>-100</v>
      </c>
      <c r="AT231" t="str">
        <f t="shared" si="44"/>
        <v>Darrel Williams</v>
      </c>
      <c r="AU231" t="str">
        <f t="shared" si="45"/>
        <v>NO</v>
      </c>
      <c r="AV231" s="430">
        <f>IFERROR(
IF(AT231="",-100,
IF($BV$2&gt;0, INDEX(Beersheet!$A:$U,MATCH(AT231,INDEX(Beersheet!$A:$U,0,FFARawStatProjections!$BV$2),0),$BV$3)+$BN231,
INDEX($A231:$BM231,,$BV$12)*$BW$12+
INDEX($A231:$BM231,,$BV$15)*$BW$15+
INDEX($A231:$BM231,,$BV$16)*$BW$16+
INDEX($A231:$BM231,,$BV$17)*$BW$17+
INDEX($A231:$BM231,,$BV$18)*$BW$18+
INDEX($A231:$BM231,,$BV$19)*$BW$19+
INDEX($A231:$BM231,,$BV$20)*$BW$20+
INDEX($A231:$BM231,,$BV$21)*$BW$21+
INDEX($A231:$BM231,,$BV$22)*$BW$22+
INDEX($A231:$BM231,,$BV$23)*$BW$23+
INDEX($A231:$BM231,,$BV$25)*$BW$25+
INDEX($A231:$BM231,,$BV$26)*$BW$26+
INDEX($A231:$BM231,,$BV$27)*$BW$27+
$BN231)),
$BN231-100)</f>
        <v>18.972300000000001</v>
      </c>
      <c r="AX231" t="str">
        <f t="shared" si="46"/>
        <v/>
      </c>
      <c r="AY231" t="str">
        <f t="shared" si="47"/>
        <v/>
      </c>
      <c r="AZ231" s="430">
        <f>IFERROR(
IF(AX231="",-100,
IF($BV$2&gt;0, INDEX(Beersheet!$A:$U,MATCH(AX231,INDEX(Beersheet!$A:$U,0,FFARawStatProjections!$BV$2),0),$BV$3)+$BN231,
INDEX($A231:$BM231,,$BV$12)*$BW$12+
INDEX($A231:$BM231,,$BV$15)*$BW$15+
INDEX($A231:$BM231,,$BV$16)*$BW$16+
INDEX($A231:$BM231,,$BV$17)*$BW$17+
INDEX($A231:$BM231,,$BV$18)*$BW$18+
INDEX($A231:$BM231,,$BV$19)*$BW$19+
INDEX($A231:$BM231,,$BV$20)*$BW$20+
INDEX($A231:$BM231,,$BV$21)*$BW$21+
INDEX($A231:$BM231,,$BV$22)*$BW$22+
INDEX($A231:$BM231,,$BV$23)*$BW$23+
INDEX($A231:$BM231,,$BV$25)*$BW$25+
INDEX($A231:$BM231,,$BV$26)*$BW$26+
INDEX($A231:$BM231,,$BV$27)*$BW$27+
$BN231)),
$BN231-100)</f>
        <v>-100</v>
      </c>
      <c r="BB231" t="str">
        <f t="shared" si="48"/>
        <v/>
      </c>
      <c r="BC231" t="str">
        <f t="shared" si="42"/>
        <v/>
      </c>
      <c r="BD231" s="430">
        <f>IFERROR(
IF(BB231="",-100,
IF($BV$2&gt;0, INDEX(Beersheet!$A:$U,MATCH(BB231,INDEX(Beersheet!$A:$U,0,FFARawStatProjections!$BV$2),0),$BV$3)+$BN231,
INDEX($A231:$BM231,,$BV$12)*$BW$12+
INDEX($A231:$BM231,,$BV$15)*$BW$15+
INDEX($A231:$BM231,,$BV$16)*$BW$16+
INDEX($A231:$BM231,,$BV$17)*$BW$17+
INDEX($A231:$BM231,,$BV$18)*$BW$18+
INDEX($A231:$BM231,,$BV$19)*$BW$19+
INDEX($A231:$BM231,,$BV$20)*$BW$20+
INDEX($A231:$BM231,,$BV$21)*$BW$21+
INDEX($A231:$BM231,,$BV$22)*$BW$22+
INDEX($A231:$BM231,,$BV$23)*$BW$23+
INDEX($A231:$BM231,,$BV$25)*$BW$25+
INDEX($A231:$BM231,,$BV$26)*$BW$26+
INDEX($A231:$BM231,,$BV$27)*$BW$27+
$BN231)),
$BN231-100)</f>
        <v>-100</v>
      </c>
      <c r="BF231" t="str">
        <f t="shared" si="49"/>
        <v/>
      </c>
      <c r="BG231" t="str">
        <f t="shared" si="50"/>
        <v/>
      </c>
      <c r="BH231">
        <f t="shared" si="51"/>
        <v>0</v>
      </c>
      <c r="BJ231" t="str">
        <f t="shared" si="52"/>
        <v/>
      </c>
      <c r="BL231">
        <f t="shared" si="54"/>
        <v>0</v>
      </c>
      <c r="BN231">
        <v>2.3E-3</v>
      </c>
      <c r="BS231" s="4" t="s">
        <v>2243</v>
      </c>
    </row>
    <row r="232" spans="1:71" ht="15.75" thickBot="1" x14ac:dyDescent="0.3">
      <c r="A232" s="569" t="s">
        <v>2302</v>
      </c>
      <c r="B232" s="569" t="s">
        <v>144</v>
      </c>
      <c r="C232" s="569" t="s">
        <v>3</v>
      </c>
      <c r="D232" s="574">
        <v>9</v>
      </c>
      <c r="E232" s="569"/>
      <c r="F232" s="569"/>
      <c r="G232" s="569"/>
      <c r="H232" s="569"/>
      <c r="I232" s="574">
        <v>0</v>
      </c>
      <c r="J232" s="574">
        <v>0</v>
      </c>
      <c r="K232" s="574">
        <v>0</v>
      </c>
      <c r="L232" s="574">
        <v>9.5</v>
      </c>
      <c r="M232" s="574">
        <v>0.2</v>
      </c>
      <c r="N232" s="574">
        <v>56.7</v>
      </c>
      <c r="O232" s="574">
        <v>17.2</v>
      </c>
      <c r="P232" s="574">
        <v>0.4</v>
      </c>
      <c r="Q232" s="574">
        <v>88.7</v>
      </c>
      <c r="R232" s="569"/>
      <c r="S232" s="569"/>
      <c r="T232" s="569"/>
      <c r="U232" s="569"/>
      <c r="V232" s="569"/>
      <c r="W232" s="569"/>
      <c r="X232" s="569"/>
      <c r="Y232" s="569"/>
      <c r="Z232" s="569"/>
      <c r="AA232" s="569"/>
      <c r="AB232" s="569"/>
      <c r="AC232" s="569"/>
      <c r="AD232" s="569"/>
      <c r="AE232" s="569"/>
      <c r="AF232" s="569"/>
      <c r="AG232" s="569"/>
      <c r="AH232" s="569"/>
      <c r="AI232" s="569"/>
      <c r="AJ232" s="569"/>
      <c r="AK232" s="569"/>
      <c r="AL232" s="569"/>
      <c r="AM232" s="569"/>
      <c r="AN232" s="574">
        <v>18.2</v>
      </c>
      <c r="AO232">
        <v>231</v>
      </c>
      <c r="AP232" t="str">
        <f t="shared" si="53"/>
        <v/>
      </c>
      <c r="AQ232" t="str">
        <f t="shared" si="43"/>
        <v/>
      </c>
      <c r="AR232" s="430">
        <f>IFERROR(
IF(AP232="",-100,
IF($BV$2&gt;0, INDEX(Beersheet!$A:$U,MATCH(AP232,INDEX(Beersheet!$A:$U,0,FFARawStatProjections!$BV$2),0),$BV$3)+$BN232,
INDEX($A232:$BM232,,$BV$12)*$BW$12+
INDEX($A232:$BM232,,$BV$15)*$BW$15+
INDEX($A232:$BM232,,$BV$16)*$BW$16+
INDEX($A232:$BM232,,$BV$17)*$BW$17+
INDEX($A232:$BM232,,$BV$18)*$BW$18+
INDEX($A232:$BM232,,$BV$19)*$BW$19+
INDEX($A232:$BM232,,$BV$20)*$BW$20+
INDEX($A232:$BM232,,$BV$21)*$BW$21+
INDEX($A232:$BM232,,$BV$22)*$BW$22+
INDEX($A232:$BM232,,$BV$23)*$BW$23+
INDEX($A232:$BM232,,$BV$25)*$BW$25+
INDEX($A232:$BM232,,$BV$26)*$BW$26+
INDEX($A232:$BM232,,$BV$27)*$BW$27+
$BN232)),
$BN232-100)</f>
        <v>-100</v>
      </c>
      <c r="AT232" t="str">
        <f t="shared" si="44"/>
        <v>Tyler Badie</v>
      </c>
      <c r="AU232" t="str">
        <f t="shared" si="45"/>
        <v>DEN</v>
      </c>
      <c r="AV232" s="430">
        <f>IFERROR(
IF(AT232="",-100,
IF($BV$2&gt;0, INDEX(Beersheet!$A:$U,MATCH(AT232,INDEX(Beersheet!$A:$U,0,FFARawStatProjections!$BV$2),0),$BV$3)+$BN232,
INDEX($A232:$BM232,,$BV$12)*$BW$12+
INDEX($A232:$BM232,,$BV$15)*$BW$15+
INDEX($A232:$BM232,,$BV$16)*$BW$16+
INDEX($A232:$BM232,,$BV$17)*$BW$17+
INDEX($A232:$BM232,,$BV$18)*$BW$18+
INDEX($A232:$BM232,,$BV$19)*$BW$19+
INDEX($A232:$BM232,,$BV$20)*$BW$20+
INDEX($A232:$BM232,,$BV$21)*$BW$21+
INDEX($A232:$BM232,,$BV$22)*$BW$22+
INDEX($A232:$BM232,,$BV$23)*$BW$23+
INDEX($A232:$BM232,,$BV$25)*$BW$25+
INDEX($A232:$BM232,,$BV$26)*$BW$26+
INDEX($A232:$BM232,,$BV$27)*$BW$27+
$BN232)),
$BN232-100)</f>
        <v>27.642310000000005</v>
      </c>
      <c r="AX232" t="str">
        <f t="shared" si="46"/>
        <v/>
      </c>
      <c r="AY232" t="str">
        <f t="shared" si="47"/>
        <v/>
      </c>
      <c r="AZ232" s="430">
        <f>IFERROR(
IF(AX232="",-100,
IF($BV$2&gt;0, INDEX(Beersheet!$A:$U,MATCH(AX232,INDEX(Beersheet!$A:$U,0,FFARawStatProjections!$BV$2),0),$BV$3)+$BN232,
INDEX($A232:$BM232,,$BV$12)*$BW$12+
INDEX($A232:$BM232,,$BV$15)*$BW$15+
INDEX($A232:$BM232,,$BV$16)*$BW$16+
INDEX($A232:$BM232,,$BV$17)*$BW$17+
INDEX($A232:$BM232,,$BV$18)*$BW$18+
INDEX($A232:$BM232,,$BV$19)*$BW$19+
INDEX($A232:$BM232,,$BV$20)*$BW$20+
INDEX($A232:$BM232,,$BV$21)*$BW$21+
INDEX($A232:$BM232,,$BV$22)*$BW$22+
INDEX($A232:$BM232,,$BV$23)*$BW$23+
INDEX($A232:$BM232,,$BV$25)*$BW$25+
INDEX($A232:$BM232,,$BV$26)*$BW$26+
INDEX($A232:$BM232,,$BV$27)*$BW$27+
$BN232)),
$BN232-100)</f>
        <v>-100</v>
      </c>
      <c r="BB232" t="str">
        <f t="shared" si="48"/>
        <v/>
      </c>
      <c r="BC232" t="str">
        <f t="shared" si="42"/>
        <v/>
      </c>
      <c r="BD232" s="430">
        <f>IFERROR(
IF(BB232="",-100,
IF($BV$2&gt;0, INDEX(Beersheet!$A:$U,MATCH(BB232,INDEX(Beersheet!$A:$U,0,FFARawStatProjections!$BV$2),0),$BV$3)+$BN232,
INDEX($A232:$BM232,,$BV$12)*$BW$12+
INDEX($A232:$BM232,,$BV$15)*$BW$15+
INDEX($A232:$BM232,,$BV$16)*$BW$16+
INDEX($A232:$BM232,,$BV$17)*$BW$17+
INDEX($A232:$BM232,,$BV$18)*$BW$18+
INDEX($A232:$BM232,,$BV$19)*$BW$19+
INDEX($A232:$BM232,,$BV$20)*$BW$20+
INDEX($A232:$BM232,,$BV$21)*$BW$21+
INDEX($A232:$BM232,,$BV$22)*$BW$22+
INDEX($A232:$BM232,,$BV$23)*$BW$23+
INDEX($A232:$BM232,,$BV$25)*$BW$25+
INDEX($A232:$BM232,,$BV$26)*$BW$26+
INDEX($A232:$BM232,,$BV$27)*$BW$27+
$BN232)),
$BN232-100)</f>
        <v>-100</v>
      </c>
      <c r="BF232" t="str">
        <f t="shared" si="49"/>
        <v/>
      </c>
      <c r="BG232" t="str">
        <f t="shared" si="50"/>
        <v/>
      </c>
      <c r="BH232">
        <f t="shared" si="51"/>
        <v>0</v>
      </c>
      <c r="BJ232" t="str">
        <f t="shared" si="52"/>
        <v/>
      </c>
      <c r="BL232">
        <f t="shared" si="54"/>
        <v>0</v>
      </c>
      <c r="BN232">
        <v>2.31E-3</v>
      </c>
      <c r="BS232" s="4" t="s">
        <v>701</v>
      </c>
    </row>
    <row r="233" spans="1:71" ht="15.75" thickBot="1" x14ac:dyDescent="0.3">
      <c r="A233" s="569" t="s">
        <v>1959</v>
      </c>
      <c r="B233" s="569" t="s">
        <v>151</v>
      </c>
      <c r="C233" s="569" t="s">
        <v>3</v>
      </c>
      <c r="D233" s="574">
        <v>7</v>
      </c>
      <c r="E233" s="569"/>
      <c r="F233" s="569"/>
      <c r="G233" s="569"/>
      <c r="H233" s="569"/>
      <c r="I233" s="574">
        <v>0</v>
      </c>
      <c r="J233" s="574">
        <v>0</v>
      </c>
      <c r="K233" s="574">
        <v>0</v>
      </c>
      <c r="L233" s="574">
        <v>9.4</v>
      </c>
      <c r="M233" s="574">
        <v>0.2</v>
      </c>
      <c r="N233" s="574">
        <v>60.5</v>
      </c>
      <c r="O233" s="574">
        <v>17.7</v>
      </c>
      <c r="P233" s="574">
        <v>0.5</v>
      </c>
      <c r="Q233" s="574">
        <v>76.599999999999994</v>
      </c>
      <c r="R233" s="569"/>
      <c r="S233" s="569"/>
      <c r="T233" s="569"/>
      <c r="U233" s="569"/>
      <c r="V233" s="569"/>
      <c r="W233" s="569"/>
      <c r="X233" s="569"/>
      <c r="Y233" s="569"/>
      <c r="Z233" s="569"/>
      <c r="AA233" s="569"/>
      <c r="AB233" s="569"/>
      <c r="AC233" s="569"/>
      <c r="AD233" s="569"/>
      <c r="AE233" s="569"/>
      <c r="AF233" s="569"/>
      <c r="AG233" s="569"/>
      <c r="AH233" s="569"/>
      <c r="AI233" s="569"/>
      <c r="AJ233" s="569"/>
      <c r="AK233" s="569"/>
      <c r="AL233" s="569"/>
      <c r="AM233" s="569"/>
      <c r="AN233" s="574">
        <v>17.600000000000001</v>
      </c>
      <c r="AO233">
        <v>232</v>
      </c>
      <c r="AP233" t="str">
        <f t="shared" si="53"/>
        <v/>
      </c>
      <c r="AQ233" t="str">
        <f t="shared" si="43"/>
        <v/>
      </c>
      <c r="AR233" s="430">
        <f>IFERROR(
IF(AP233="",-100,
IF($BV$2&gt;0, INDEX(Beersheet!$A:$U,MATCH(AP233,INDEX(Beersheet!$A:$U,0,FFARawStatProjections!$BV$2),0),$BV$3)+$BN233,
INDEX($A233:$BM233,,$BV$12)*$BW$12+
INDEX($A233:$BM233,,$BV$15)*$BW$15+
INDEX($A233:$BM233,,$BV$16)*$BW$16+
INDEX($A233:$BM233,,$BV$17)*$BW$17+
INDEX($A233:$BM233,,$BV$18)*$BW$18+
INDEX($A233:$BM233,,$BV$19)*$BW$19+
INDEX($A233:$BM233,,$BV$20)*$BW$20+
INDEX($A233:$BM233,,$BV$21)*$BW$21+
INDEX($A233:$BM233,,$BV$22)*$BW$22+
INDEX($A233:$BM233,,$BV$23)*$BW$23+
INDEX($A233:$BM233,,$BV$25)*$BW$25+
INDEX($A233:$BM233,,$BV$26)*$BW$26+
INDEX($A233:$BM233,,$BV$27)*$BW$27+
$BN233)),
$BN233-100)</f>
        <v>-100</v>
      </c>
      <c r="AT233" t="str">
        <f t="shared" si="44"/>
        <v>Dare Ogunbowale</v>
      </c>
      <c r="AU233" t="str">
        <f t="shared" si="45"/>
        <v>HOU</v>
      </c>
      <c r="AV233" s="430">
        <f>IFERROR(
IF(AT233="",-100,
IF($BV$2&gt;0, INDEX(Beersheet!$A:$U,MATCH(AT233,INDEX(Beersheet!$A:$U,0,FFARawStatProjections!$BV$2),0),$BV$3)+$BN233,
INDEX($A233:$BM233,,$BV$12)*$BW$12+
INDEX($A233:$BM233,,$BV$15)*$BW$15+
INDEX($A233:$BM233,,$BV$16)*$BW$16+
INDEX($A233:$BM233,,$BV$17)*$BW$17+
INDEX($A233:$BM233,,$BV$18)*$BW$18+
INDEX($A233:$BM233,,$BV$19)*$BW$19+
INDEX($A233:$BM233,,$BV$20)*$BW$20+
INDEX($A233:$BM233,,$BV$21)*$BW$21+
INDEX($A233:$BM233,,$BV$22)*$BW$22+
INDEX($A233:$BM233,,$BV$23)*$BW$23+
INDEX($A233:$BM233,,$BV$25)*$BW$25+
INDEX($A233:$BM233,,$BV$26)*$BW$26+
INDEX($A233:$BM233,,$BV$27)*$BW$27+
$BN233)),
$BN233-100)</f>
        <v>27.312320000000003</v>
      </c>
      <c r="AX233" t="str">
        <f t="shared" si="46"/>
        <v/>
      </c>
      <c r="AY233" t="str">
        <f t="shared" si="47"/>
        <v/>
      </c>
      <c r="AZ233" s="430">
        <f>IFERROR(
IF(AX233="",-100,
IF($BV$2&gt;0, INDEX(Beersheet!$A:$U,MATCH(AX233,INDEX(Beersheet!$A:$U,0,FFARawStatProjections!$BV$2),0),$BV$3)+$BN233,
INDEX($A233:$BM233,,$BV$12)*$BW$12+
INDEX($A233:$BM233,,$BV$15)*$BW$15+
INDEX($A233:$BM233,,$BV$16)*$BW$16+
INDEX($A233:$BM233,,$BV$17)*$BW$17+
INDEX($A233:$BM233,,$BV$18)*$BW$18+
INDEX($A233:$BM233,,$BV$19)*$BW$19+
INDEX($A233:$BM233,,$BV$20)*$BW$20+
INDEX($A233:$BM233,,$BV$21)*$BW$21+
INDEX($A233:$BM233,,$BV$22)*$BW$22+
INDEX($A233:$BM233,,$BV$23)*$BW$23+
INDEX($A233:$BM233,,$BV$25)*$BW$25+
INDEX($A233:$BM233,,$BV$26)*$BW$26+
INDEX($A233:$BM233,,$BV$27)*$BW$27+
$BN233)),
$BN233-100)</f>
        <v>-100</v>
      </c>
      <c r="BB233" t="str">
        <f t="shared" si="48"/>
        <v/>
      </c>
      <c r="BC233" t="str">
        <f t="shared" si="42"/>
        <v/>
      </c>
      <c r="BD233" s="430">
        <f>IFERROR(
IF(BB233="",-100,
IF($BV$2&gt;0, INDEX(Beersheet!$A:$U,MATCH(BB233,INDEX(Beersheet!$A:$U,0,FFARawStatProjections!$BV$2),0),$BV$3)+$BN233,
INDEX($A233:$BM233,,$BV$12)*$BW$12+
INDEX($A233:$BM233,,$BV$15)*$BW$15+
INDEX($A233:$BM233,,$BV$16)*$BW$16+
INDEX($A233:$BM233,,$BV$17)*$BW$17+
INDEX($A233:$BM233,,$BV$18)*$BW$18+
INDEX($A233:$BM233,,$BV$19)*$BW$19+
INDEX($A233:$BM233,,$BV$20)*$BW$20+
INDEX($A233:$BM233,,$BV$21)*$BW$21+
INDEX($A233:$BM233,,$BV$22)*$BW$22+
INDEX($A233:$BM233,,$BV$23)*$BW$23+
INDEX($A233:$BM233,,$BV$25)*$BW$25+
INDEX($A233:$BM233,,$BV$26)*$BW$26+
INDEX($A233:$BM233,,$BV$27)*$BW$27+
$BN233)),
$BN233-100)</f>
        <v>-100</v>
      </c>
      <c r="BF233" t="str">
        <f t="shared" si="49"/>
        <v/>
      </c>
      <c r="BG233" t="str">
        <f t="shared" si="50"/>
        <v/>
      </c>
      <c r="BH233">
        <f t="shared" si="51"/>
        <v>0</v>
      </c>
      <c r="BJ233" t="str">
        <f t="shared" si="52"/>
        <v/>
      </c>
      <c r="BL233">
        <f t="shared" si="54"/>
        <v>0</v>
      </c>
      <c r="BN233">
        <v>2.32E-3</v>
      </c>
      <c r="BS233" s="4" t="s">
        <v>2206</v>
      </c>
    </row>
    <row r="234" spans="1:71" ht="15.75" thickBot="1" x14ac:dyDescent="0.3">
      <c r="A234" s="569" t="s">
        <v>2189</v>
      </c>
      <c r="B234" s="569" t="s">
        <v>161</v>
      </c>
      <c r="C234" s="569" t="s">
        <v>3</v>
      </c>
      <c r="D234" s="574">
        <v>5</v>
      </c>
      <c r="E234" s="569"/>
      <c r="F234" s="569"/>
      <c r="G234" s="569"/>
      <c r="H234" s="569"/>
      <c r="I234" s="574">
        <v>0</v>
      </c>
      <c r="J234" s="574">
        <v>0</v>
      </c>
      <c r="K234" s="574">
        <v>0</v>
      </c>
      <c r="L234" s="574">
        <v>10.1</v>
      </c>
      <c r="M234" s="574">
        <v>0.2</v>
      </c>
      <c r="N234" s="574">
        <v>70.099999999999994</v>
      </c>
      <c r="O234" s="574">
        <v>20.2</v>
      </c>
      <c r="P234" s="574">
        <v>0.2</v>
      </c>
      <c r="Q234" s="574">
        <v>79.400000000000006</v>
      </c>
      <c r="R234" s="569"/>
      <c r="S234" s="569"/>
      <c r="T234" s="569"/>
      <c r="U234" s="569"/>
      <c r="V234" s="569"/>
      <c r="W234" s="569"/>
      <c r="X234" s="569"/>
      <c r="Y234" s="569"/>
      <c r="Z234" s="569"/>
      <c r="AA234" s="569"/>
      <c r="AB234" s="569"/>
      <c r="AC234" s="569"/>
      <c r="AD234" s="569"/>
      <c r="AE234" s="569"/>
      <c r="AF234" s="569"/>
      <c r="AG234" s="569"/>
      <c r="AH234" s="569"/>
      <c r="AI234" s="569"/>
      <c r="AJ234" s="569"/>
      <c r="AK234" s="569"/>
      <c r="AL234" s="569"/>
      <c r="AM234" s="569"/>
      <c r="AN234" s="574">
        <v>17.5</v>
      </c>
      <c r="AO234">
        <v>233</v>
      </c>
      <c r="AP234" t="str">
        <f t="shared" si="53"/>
        <v/>
      </c>
      <c r="AQ234" t="str">
        <f t="shared" si="43"/>
        <v/>
      </c>
      <c r="AR234" s="430">
        <f>IFERROR(
IF(AP234="",-100,
IF($BV$2&gt;0, INDEX(Beersheet!$A:$U,MATCH(AP234,INDEX(Beersheet!$A:$U,0,FFARawStatProjections!$BV$2),0),$BV$3)+$BN234,
INDEX($A234:$BM234,,$BV$12)*$BW$12+
INDEX($A234:$BM234,,$BV$15)*$BW$15+
INDEX($A234:$BM234,,$BV$16)*$BW$16+
INDEX($A234:$BM234,,$BV$17)*$BW$17+
INDEX($A234:$BM234,,$BV$18)*$BW$18+
INDEX($A234:$BM234,,$BV$19)*$BW$19+
INDEX($A234:$BM234,,$BV$20)*$BW$20+
INDEX($A234:$BM234,,$BV$21)*$BW$21+
INDEX($A234:$BM234,,$BV$22)*$BW$22+
INDEX($A234:$BM234,,$BV$23)*$BW$23+
INDEX($A234:$BM234,,$BV$25)*$BW$25+
INDEX($A234:$BM234,,$BV$26)*$BW$26+
INDEX($A234:$BM234,,$BV$27)*$BW$27+
$BN234)),
$BN234-100)</f>
        <v>-100</v>
      </c>
      <c r="AT234" t="str">
        <f t="shared" si="44"/>
        <v>Demetric Felton</v>
      </c>
      <c r="AU234" t="str">
        <f t="shared" si="45"/>
        <v>CLE</v>
      </c>
      <c r="AV234" s="430">
        <f>IFERROR(
IF(AT234="",-100,
IF($BV$2&gt;0, INDEX(Beersheet!$A:$U,MATCH(AT234,INDEX(Beersheet!$A:$U,0,FFARawStatProjections!$BV$2),0),$BV$3)+$BN234,
INDEX($A234:$BM234,,$BV$12)*$BW$12+
INDEX($A234:$BM234,,$BV$15)*$BW$15+
INDEX($A234:$BM234,,$BV$16)*$BW$16+
INDEX($A234:$BM234,,$BV$17)*$BW$17+
INDEX($A234:$BM234,,$BV$18)*$BW$18+
INDEX($A234:$BM234,,$BV$19)*$BW$19+
INDEX($A234:$BM234,,$BV$20)*$BW$20+
INDEX($A234:$BM234,,$BV$21)*$BW$21+
INDEX($A234:$BM234,,$BV$22)*$BW$22+
INDEX($A234:$BM234,,$BV$23)*$BW$23+
INDEX($A234:$BM234,,$BV$25)*$BW$25+
INDEX($A234:$BM234,,$BV$26)*$BW$26+
INDEX($A234:$BM234,,$BV$27)*$BW$27+
$BN234)),
$BN234-100)</f>
        <v>27.452330000000003</v>
      </c>
      <c r="AX234" t="str">
        <f t="shared" si="46"/>
        <v/>
      </c>
      <c r="AY234" t="str">
        <f t="shared" si="47"/>
        <v/>
      </c>
      <c r="AZ234" s="430">
        <f>IFERROR(
IF(AX234="",-100,
IF($BV$2&gt;0, INDEX(Beersheet!$A:$U,MATCH(AX234,INDEX(Beersheet!$A:$U,0,FFARawStatProjections!$BV$2),0),$BV$3)+$BN234,
INDEX($A234:$BM234,,$BV$12)*$BW$12+
INDEX($A234:$BM234,,$BV$15)*$BW$15+
INDEX($A234:$BM234,,$BV$16)*$BW$16+
INDEX($A234:$BM234,,$BV$17)*$BW$17+
INDEX($A234:$BM234,,$BV$18)*$BW$18+
INDEX($A234:$BM234,,$BV$19)*$BW$19+
INDEX($A234:$BM234,,$BV$20)*$BW$20+
INDEX($A234:$BM234,,$BV$21)*$BW$21+
INDEX($A234:$BM234,,$BV$22)*$BW$22+
INDEX($A234:$BM234,,$BV$23)*$BW$23+
INDEX($A234:$BM234,,$BV$25)*$BW$25+
INDEX($A234:$BM234,,$BV$26)*$BW$26+
INDEX($A234:$BM234,,$BV$27)*$BW$27+
$BN234)),
$BN234-100)</f>
        <v>-100</v>
      </c>
      <c r="BB234" t="str">
        <f t="shared" si="48"/>
        <v/>
      </c>
      <c r="BC234" t="str">
        <f t="shared" si="42"/>
        <v/>
      </c>
      <c r="BD234" s="430">
        <f>IFERROR(
IF(BB234="",-100,
IF($BV$2&gt;0, INDEX(Beersheet!$A:$U,MATCH(BB234,INDEX(Beersheet!$A:$U,0,FFARawStatProjections!$BV$2),0),$BV$3)+$BN234,
INDEX($A234:$BM234,,$BV$12)*$BW$12+
INDEX($A234:$BM234,,$BV$15)*$BW$15+
INDEX($A234:$BM234,,$BV$16)*$BW$16+
INDEX($A234:$BM234,,$BV$17)*$BW$17+
INDEX($A234:$BM234,,$BV$18)*$BW$18+
INDEX($A234:$BM234,,$BV$19)*$BW$19+
INDEX($A234:$BM234,,$BV$20)*$BW$20+
INDEX($A234:$BM234,,$BV$21)*$BW$21+
INDEX($A234:$BM234,,$BV$22)*$BW$22+
INDEX($A234:$BM234,,$BV$23)*$BW$23+
INDEX($A234:$BM234,,$BV$25)*$BW$25+
INDEX($A234:$BM234,,$BV$26)*$BW$26+
INDEX($A234:$BM234,,$BV$27)*$BW$27+
$BN234)),
$BN234-100)</f>
        <v>-100</v>
      </c>
      <c r="BF234" t="str">
        <f t="shared" si="49"/>
        <v/>
      </c>
      <c r="BG234" t="str">
        <f t="shared" si="50"/>
        <v/>
      </c>
      <c r="BH234">
        <f t="shared" si="51"/>
        <v>0</v>
      </c>
      <c r="BJ234" t="str">
        <f t="shared" si="52"/>
        <v/>
      </c>
      <c r="BL234">
        <f t="shared" si="54"/>
        <v>0</v>
      </c>
      <c r="BN234">
        <v>2.33E-3</v>
      </c>
      <c r="BS234" s="4" t="s">
        <v>2490</v>
      </c>
    </row>
    <row r="235" spans="1:71" ht="15.75" thickBot="1" x14ac:dyDescent="0.3">
      <c r="A235" s="569" t="s">
        <v>2300</v>
      </c>
      <c r="B235" s="569" t="s">
        <v>155</v>
      </c>
      <c r="C235" s="569" t="s">
        <v>3</v>
      </c>
      <c r="D235" s="574">
        <v>9</v>
      </c>
      <c r="E235" s="569"/>
      <c r="F235" s="569"/>
      <c r="G235" s="569"/>
      <c r="H235" s="569"/>
      <c r="I235" s="574">
        <v>0</v>
      </c>
      <c r="J235" s="574">
        <v>0</v>
      </c>
      <c r="K235" s="574">
        <v>0</v>
      </c>
      <c r="L235" s="574">
        <v>2.5</v>
      </c>
      <c r="M235" s="574">
        <v>0.1</v>
      </c>
      <c r="N235" s="574">
        <v>34.5</v>
      </c>
      <c r="O235" s="574">
        <v>36.299999999999997</v>
      </c>
      <c r="P235" s="574">
        <v>0.4</v>
      </c>
      <c r="Q235" s="574">
        <v>110.4</v>
      </c>
      <c r="R235" s="569"/>
      <c r="S235" s="569"/>
      <c r="T235" s="569"/>
      <c r="U235" s="569"/>
      <c r="V235" s="569"/>
      <c r="W235" s="569"/>
      <c r="X235" s="569"/>
      <c r="Y235" s="569"/>
      <c r="Z235" s="569"/>
      <c r="AA235" s="569"/>
      <c r="AB235" s="569"/>
      <c r="AC235" s="569"/>
      <c r="AD235" s="569"/>
      <c r="AE235" s="569"/>
      <c r="AF235" s="569"/>
      <c r="AG235" s="569"/>
      <c r="AH235" s="569"/>
      <c r="AI235" s="569"/>
      <c r="AJ235" s="569"/>
      <c r="AK235" s="569"/>
      <c r="AL235" s="569"/>
      <c r="AM235" s="569"/>
      <c r="AN235" s="574">
        <v>17</v>
      </c>
      <c r="AO235">
        <v>234</v>
      </c>
      <c r="AP235" t="str">
        <f t="shared" si="53"/>
        <v/>
      </c>
      <c r="AQ235" t="str">
        <f t="shared" si="43"/>
        <v/>
      </c>
      <c r="AR235" s="430">
        <f>IFERROR(
IF(AP235="",-100,
IF($BV$2&gt;0, INDEX(Beersheet!$A:$U,MATCH(AP235,INDEX(Beersheet!$A:$U,0,FFARawStatProjections!$BV$2),0),$BV$3)+$BN235,
INDEX($A235:$BM235,,$BV$12)*$BW$12+
INDEX($A235:$BM235,,$BV$15)*$BW$15+
INDEX($A235:$BM235,,$BV$16)*$BW$16+
INDEX($A235:$BM235,,$BV$17)*$BW$17+
INDEX($A235:$BM235,,$BV$18)*$BW$18+
INDEX($A235:$BM235,,$BV$19)*$BW$19+
INDEX($A235:$BM235,,$BV$20)*$BW$20+
INDEX($A235:$BM235,,$BV$21)*$BW$21+
INDEX($A235:$BM235,,$BV$22)*$BW$22+
INDEX($A235:$BM235,,$BV$23)*$BW$23+
INDEX($A235:$BM235,,$BV$25)*$BW$25+
INDEX($A235:$BM235,,$BV$26)*$BW$26+
INDEX($A235:$BM235,,$BV$27)*$BW$27+
$BN235)),
$BN235-100)</f>
        <v>-100</v>
      </c>
      <c r="AT235" t="str">
        <f t="shared" si="44"/>
        <v>Tyrion Davis-Price</v>
      </c>
      <c r="AU235" t="str">
        <f t="shared" si="45"/>
        <v>SF</v>
      </c>
      <c r="AV235" s="430">
        <f>IFERROR(
IF(AT235="",-100,
IF($BV$2&gt;0, INDEX(Beersheet!$A:$U,MATCH(AT235,INDEX(Beersheet!$A:$U,0,FFARawStatProjections!$BV$2),0),$BV$3)+$BN235,
INDEX($A235:$BM235,,$BV$12)*$BW$12+
INDEX($A235:$BM235,,$BV$15)*$BW$15+
INDEX($A235:$BM235,,$BV$16)*$BW$16+
INDEX($A235:$BM235,,$BV$17)*$BW$17+
INDEX($A235:$BM235,,$BV$18)*$BW$18+
INDEX($A235:$BM235,,$BV$19)*$BW$19+
INDEX($A235:$BM235,,$BV$20)*$BW$20+
INDEX($A235:$BM235,,$BV$21)*$BW$21+
INDEX($A235:$BM235,,$BV$22)*$BW$22+
INDEX($A235:$BM235,,$BV$23)*$BW$23+
INDEX($A235:$BM235,,$BV$25)*$BW$25+
INDEX($A235:$BM235,,$BV$26)*$BW$26+
INDEX($A235:$BM235,,$BV$27)*$BW$27+
$BN235)),
$BN235-100)</f>
        <v>19.992340000000002</v>
      </c>
      <c r="AX235" t="str">
        <f t="shared" si="46"/>
        <v/>
      </c>
      <c r="AY235" t="str">
        <f t="shared" si="47"/>
        <v/>
      </c>
      <c r="AZ235" s="430">
        <f>IFERROR(
IF(AX235="",-100,
IF($BV$2&gt;0, INDEX(Beersheet!$A:$U,MATCH(AX235,INDEX(Beersheet!$A:$U,0,FFARawStatProjections!$BV$2),0),$BV$3)+$BN235,
INDEX($A235:$BM235,,$BV$12)*$BW$12+
INDEX($A235:$BM235,,$BV$15)*$BW$15+
INDEX($A235:$BM235,,$BV$16)*$BW$16+
INDEX($A235:$BM235,,$BV$17)*$BW$17+
INDEX($A235:$BM235,,$BV$18)*$BW$18+
INDEX($A235:$BM235,,$BV$19)*$BW$19+
INDEX($A235:$BM235,,$BV$20)*$BW$20+
INDEX($A235:$BM235,,$BV$21)*$BW$21+
INDEX($A235:$BM235,,$BV$22)*$BW$22+
INDEX($A235:$BM235,,$BV$23)*$BW$23+
INDEX($A235:$BM235,,$BV$25)*$BW$25+
INDEX($A235:$BM235,,$BV$26)*$BW$26+
INDEX($A235:$BM235,,$BV$27)*$BW$27+
$BN235)),
$BN235-100)</f>
        <v>-100</v>
      </c>
      <c r="BB235" t="str">
        <f t="shared" si="48"/>
        <v/>
      </c>
      <c r="BC235" t="str">
        <f t="shared" si="42"/>
        <v/>
      </c>
      <c r="BD235" s="430">
        <f>IFERROR(
IF(BB235="",-100,
IF($BV$2&gt;0, INDEX(Beersheet!$A:$U,MATCH(BB235,INDEX(Beersheet!$A:$U,0,FFARawStatProjections!$BV$2),0),$BV$3)+$BN235,
INDEX($A235:$BM235,,$BV$12)*$BW$12+
INDEX($A235:$BM235,,$BV$15)*$BW$15+
INDEX($A235:$BM235,,$BV$16)*$BW$16+
INDEX($A235:$BM235,,$BV$17)*$BW$17+
INDEX($A235:$BM235,,$BV$18)*$BW$18+
INDEX($A235:$BM235,,$BV$19)*$BW$19+
INDEX($A235:$BM235,,$BV$20)*$BW$20+
INDEX($A235:$BM235,,$BV$21)*$BW$21+
INDEX($A235:$BM235,,$BV$22)*$BW$22+
INDEX($A235:$BM235,,$BV$23)*$BW$23+
INDEX($A235:$BM235,,$BV$25)*$BW$25+
INDEX($A235:$BM235,,$BV$26)*$BW$26+
INDEX($A235:$BM235,,$BV$27)*$BW$27+
$BN235)),
$BN235-100)</f>
        <v>-100</v>
      </c>
      <c r="BF235" t="str">
        <f t="shared" si="49"/>
        <v/>
      </c>
      <c r="BG235" t="str">
        <f t="shared" si="50"/>
        <v/>
      </c>
      <c r="BH235">
        <f t="shared" si="51"/>
        <v>0</v>
      </c>
      <c r="BJ235" t="str">
        <f t="shared" si="52"/>
        <v/>
      </c>
      <c r="BL235">
        <f t="shared" si="54"/>
        <v>0</v>
      </c>
      <c r="BN235">
        <v>2.3400000000000001E-3</v>
      </c>
      <c r="BS235" s="4" t="s">
        <v>2168</v>
      </c>
    </row>
    <row r="236" spans="1:71" ht="15.75" thickBot="1" x14ac:dyDescent="0.3">
      <c r="A236" s="569" t="s">
        <v>1778</v>
      </c>
      <c r="B236" s="569" t="s">
        <v>161</v>
      </c>
      <c r="C236" s="569" t="s">
        <v>3</v>
      </c>
      <c r="D236" s="574">
        <v>5</v>
      </c>
      <c r="E236" s="569"/>
      <c r="F236" s="569"/>
      <c r="G236" s="569"/>
      <c r="H236" s="569"/>
      <c r="I236" s="574">
        <v>0</v>
      </c>
      <c r="J236" s="574">
        <v>0</v>
      </c>
      <c r="K236" s="574">
        <v>0</v>
      </c>
      <c r="L236" s="574">
        <v>5.8</v>
      </c>
      <c r="M236" s="574">
        <v>0.3</v>
      </c>
      <c r="N236" s="574">
        <v>43.3</v>
      </c>
      <c r="O236" s="574">
        <v>19</v>
      </c>
      <c r="P236" s="574">
        <v>0.5</v>
      </c>
      <c r="Q236" s="574">
        <v>81.5</v>
      </c>
      <c r="R236" s="569"/>
      <c r="S236" s="569"/>
      <c r="T236" s="569"/>
      <c r="U236" s="569"/>
      <c r="V236" s="569"/>
      <c r="W236" s="569"/>
      <c r="X236" s="569"/>
      <c r="Y236" s="569"/>
      <c r="Z236" s="569"/>
      <c r="AA236" s="569"/>
      <c r="AB236" s="569"/>
      <c r="AC236" s="569"/>
      <c r="AD236" s="569"/>
      <c r="AE236" s="569"/>
      <c r="AF236" s="569"/>
      <c r="AG236" s="569"/>
      <c r="AH236" s="569"/>
      <c r="AI236" s="569"/>
      <c r="AJ236" s="569"/>
      <c r="AK236" s="569"/>
      <c r="AL236" s="569"/>
      <c r="AM236" s="569"/>
      <c r="AN236" s="574">
        <v>16.8</v>
      </c>
      <c r="AO236">
        <v>235</v>
      </c>
      <c r="AP236" t="str">
        <f t="shared" si="53"/>
        <v/>
      </c>
      <c r="AQ236" t="str">
        <f t="shared" si="43"/>
        <v/>
      </c>
      <c r="AR236" s="430">
        <f>IFERROR(
IF(AP236="",-100,
IF($BV$2&gt;0, INDEX(Beersheet!$A:$U,MATCH(AP236,INDEX(Beersheet!$A:$U,0,FFARawStatProjections!$BV$2),0),$BV$3)+$BN236,
INDEX($A236:$BM236,,$BV$12)*$BW$12+
INDEX($A236:$BM236,,$BV$15)*$BW$15+
INDEX($A236:$BM236,,$BV$16)*$BW$16+
INDEX($A236:$BM236,,$BV$17)*$BW$17+
INDEX($A236:$BM236,,$BV$18)*$BW$18+
INDEX($A236:$BM236,,$BV$19)*$BW$19+
INDEX($A236:$BM236,,$BV$20)*$BW$20+
INDEX($A236:$BM236,,$BV$21)*$BW$21+
INDEX($A236:$BM236,,$BV$22)*$BW$22+
INDEX($A236:$BM236,,$BV$23)*$BW$23+
INDEX($A236:$BM236,,$BV$25)*$BW$25+
INDEX($A236:$BM236,,$BV$26)*$BW$26+
INDEX($A236:$BM236,,$BV$27)*$BW$27+
$BN236)),
$BN236-100)</f>
        <v>-100</v>
      </c>
      <c r="AT236" t="str">
        <f t="shared" si="44"/>
        <v>John Kelly</v>
      </c>
      <c r="AU236" t="str">
        <f t="shared" si="45"/>
        <v>CLE</v>
      </c>
      <c r="AV236" s="430">
        <f>IFERROR(
IF(AT236="",-100,
IF($BV$2&gt;0, INDEX(Beersheet!$A:$U,MATCH(AT236,INDEX(Beersheet!$A:$U,0,FFARawStatProjections!$BV$2),0),$BV$3)+$BN236,
INDEX($A236:$BM236,,$BV$12)*$BW$12+
INDEX($A236:$BM236,,$BV$15)*$BW$15+
INDEX($A236:$BM236,,$BV$16)*$BW$16+
INDEX($A236:$BM236,,$BV$17)*$BW$17+
INDEX($A236:$BM236,,$BV$18)*$BW$18+
INDEX($A236:$BM236,,$BV$19)*$BW$19+
INDEX($A236:$BM236,,$BV$20)*$BW$20+
INDEX($A236:$BM236,,$BV$21)*$BW$21+
INDEX($A236:$BM236,,$BV$22)*$BW$22+
INDEX($A236:$BM236,,$BV$23)*$BW$23+
INDEX($A236:$BM236,,$BV$25)*$BW$25+
INDEX($A236:$BM236,,$BV$26)*$BW$26+
INDEX($A236:$BM236,,$BV$27)*$BW$27+
$BN236)),
$BN236-100)</f>
        <v>23.082349999999998</v>
      </c>
      <c r="AX236" t="str">
        <f t="shared" si="46"/>
        <v/>
      </c>
      <c r="AY236" t="str">
        <f t="shared" si="47"/>
        <v/>
      </c>
      <c r="AZ236" s="430">
        <f>IFERROR(
IF(AX236="",-100,
IF($BV$2&gt;0, INDEX(Beersheet!$A:$U,MATCH(AX236,INDEX(Beersheet!$A:$U,0,FFARawStatProjections!$BV$2),0),$BV$3)+$BN236,
INDEX($A236:$BM236,,$BV$12)*$BW$12+
INDEX($A236:$BM236,,$BV$15)*$BW$15+
INDEX($A236:$BM236,,$BV$16)*$BW$16+
INDEX($A236:$BM236,,$BV$17)*$BW$17+
INDEX($A236:$BM236,,$BV$18)*$BW$18+
INDEX($A236:$BM236,,$BV$19)*$BW$19+
INDEX($A236:$BM236,,$BV$20)*$BW$20+
INDEX($A236:$BM236,,$BV$21)*$BW$21+
INDEX($A236:$BM236,,$BV$22)*$BW$22+
INDEX($A236:$BM236,,$BV$23)*$BW$23+
INDEX($A236:$BM236,,$BV$25)*$BW$25+
INDEX($A236:$BM236,,$BV$26)*$BW$26+
INDEX($A236:$BM236,,$BV$27)*$BW$27+
$BN236)),
$BN236-100)</f>
        <v>-100</v>
      </c>
      <c r="BB236" t="str">
        <f t="shared" si="48"/>
        <v/>
      </c>
      <c r="BC236" t="str">
        <f t="shared" si="42"/>
        <v/>
      </c>
      <c r="BD236" s="430">
        <f>IFERROR(
IF(BB236="",-100,
IF($BV$2&gt;0, INDEX(Beersheet!$A:$U,MATCH(BB236,INDEX(Beersheet!$A:$U,0,FFARawStatProjections!$BV$2),0),$BV$3)+$BN236,
INDEX($A236:$BM236,,$BV$12)*$BW$12+
INDEX($A236:$BM236,,$BV$15)*$BW$15+
INDEX($A236:$BM236,,$BV$16)*$BW$16+
INDEX($A236:$BM236,,$BV$17)*$BW$17+
INDEX($A236:$BM236,,$BV$18)*$BW$18+
INDEX($A236:$BM236,,$BV$19)*$BW$19+
INDEX($A236:$BM236,,$BV$20)*$BW$20+
INDEX($A236:$BM236,,$BV$21)*$BW$21+
INDEX($A236:$BM236,,$BV$22)*$BW$22+
INDEX($A236:$BM236,,$BV$23)*$BW$23+
INDEX($A236:$BM236,,$BV$25)*$BW$25+
INDEX($A236:$BM236,,$BV$26)*$BW$26+
INDEX($A236:$BM236,,$BV$27)*$BW$27+
$BN236)),
$BN236-100)</f>
        <v>-100</v>
      </c>
      <c r="BF236" t="str">
        <f t="shared" si="49"/>
        <v/>
      </c>
      <c r="BG236" t="str">
        <f t="shared" si="50"/>
        <v/>
      </c>
      <c r="BH236">
        <f t="shared" si="51"/>
        <v>0</v>
      </c>
      <c r="BJ236" t="str">
        <f t="shared" si="52"/>
        <v/>
      </c>
      <c r="BL236">
        <f t="shared" si="54"/>
        <v>0</v>
      </c>
      <c r="BN236">
        <v>2.3500000000000001E-3</v>
      </c>
      <c r="BS236" s="4" t="s">
        <v>2384</v>
      </c>
    </row>
    <row r="237" spans="1:71" ht="15.75" thickBot="1" x14ac:dyDescent="0.3">
      <c r="A237" s="569" t="s">
        <v>2194</v>
      </c>
      <c r="B237" s="569" t="s">
        <v>144</v>
      </c>
      <c r="C237" s="569" t="s">
        <v>3</v>
      </c>
      <c r="D237" s="574">
        <v>9</v>
      </c>
      <c r="E237" s="569"/>
      <c r="F237" s="569"/>
      <c r="G237" s="569"/>
      <c r="H237" s="569"/>
      <c r="I237" s="574">
        <v>0</v>
      </c>
      <c r="J237" s="574">
        <v>0</v>
      </c>
      <c r="K237" s="574">
        <v>0</v>
      </c>
      <c r="L237" s="574">
        <v>6</v>
      </c>
      <c r="M237" s="574">
        <v>0.2</v>
      </c>
      <c r="N237" s="574">
        <v>36.299999999999997</v>
      </c>
      <c r="O237" s="574">
        <v>23.6</v>
      </c>
      <c r="P237" s="574">
        <v>0.5</v>
      </c>
      <c r="Q237" s="574">
        <v>89.4</v>
      </c>
      <c r="R237" s="569"/>
      <c r="S237" s="569"/>
      <c r="T237" s="569"/>
      <c r="U237" s="569"/>
      <c r="V237" s="569"/>
      <c r="W237" s="569"/>
      <c r="X237" s="569"/>
      <c r="Y237" s="569"/>
      <c r="Z237" s="569"/>
      <c r="AA237" s="569"/>
      <c r="AB237" s="569"/>
      <c r="AC237" s="569"/>
      <c r="AD237" s="569"/>
      <c r="AE237" s="569"/>
      <c r="AF237" s="569"/>
      <c r="AG237" s="569"/>
      <c r="AH237" s="569"/>
      <c r="AI237" s="569"/>
      <c r="AJ237" s="569"/>
      <c r="AK237" s="569"/>
      <c r="AL237" s="569"/>
      <c r="AM237" s="569"/>
      <c r="AN237" s="574">
        <v>16.5</v>
      </c>
      <c r="AO237">
        <v>236</v>
      </c>
      <c r="AP237" t="str">
        <f t="shared" si="53"/>
        <v/>
      </c>
      <c r="AQ237" t="str">
        <f t="shared" si="43"/>
        <v/>
      </c>
      <c r="AR237" s="430">
        <f>IFERROR(
IF(AP237="",-100,
IF($BV$2&gt;0, INDEX(Beersheet!$A:$U,MATCH(AP237,INDEX(Beersheet!$A:$U,0,FFARawStatProjections!$BV$2),0),$BV$3)+$BN237,
INDEX($A237:$BM237,,$BV$12)*$BW$12+
INDEX($A237:$BM237,,$BV$15)*$BW$15+
INDEX($A237:$BM237,,$BV$16)*$BW$16+
INDEX($A237:$BM237,,$BV$17)*$BW$17+
INDEX($A237:$BM237,,$BV$18)*$BW$18+
INDEX($A237:$BM237,,$BV$19)*$BW$19+
INDEX($A237:$BM237,,$BV$20)*$BW$20+
INDEX($A237:$BM237,,$BV$21)*$BW$21+
INDEX($A237:$BM237,,$BV$22)*$BW$22+
INDEX($A237:$BM237,,$BV$23)*$BW$23+
INDEX($A237:$BM237,,$BV$25)*$BW$25+
INDEX($A237:$BM237,,$BV$26)*$BW$26+
INDEX($A237:$BM237,,$BV$27)*$BW$27+
$BN237)),
$BN237-100)</f>
        <v>-100</v>
      </c>
      <c r="AT237" t="str">
        <f t="shared" si="44"/>
        <v>Tony Jones</v>
      </c>
      <c r="AU237" t="str">
        <f t="shared" si="45"/>
        <v>DEN</v>
      </c>
      <c r="AV237" s="430">
        <f>IFERROR(
IF(AT237="",-100,
IF($BV$2&gt;0, INDEX(Beersheet!$A:$U,MATCH(AT237,INDEX(Beersheet!$A:$U,0,FFARawStatProjections!$BV$2),0),$BV$3)+$BN237,
INDEX($A237:$BM237,,$BV$12)*$BW$12+
INDEX($A237:$BM237,,$BV$15)*$BW$15+
INDEX($A237:$BM237,,$BV$16)*$BW$16+
INDEX($A237:$BM237,,$BV$17)*$BW$17+
INDEX($A237:$BM237,,$BV$18)*$BW$18+
INDEX($A237:$BM237,,$BV$19)*$BW$19+
INDEX($A237:$BM237,,$BV$20)*$BW$20+
INDEX($A237:$BM237,,$BV$21)*$BW$21+
INDEX($A237:$BM237,,$BV$22)*$BW$22+
INDEX($A237:$BM237,,$BV$23)*$BW$23+
INDEX($A237:$BM237,,$BV$25)*$BW$25+
INDEX($A237:$BM237,,$BV$26)*$BW$26+
INDEX($A237:$BM237,,$BV$27)*$BW$27+
$BN237)),
$BN237-100)</f>
        <v>22.772360000000003</v>
      </c>
      <c r="AX237" t="str">
        <f t="shared" si="46"/>
        <v/>
      </c>
      <c r="AY237" t="str">
        <f t="shared" si="47"/>
        <v/>
      </c>
      <c r="AZ237" s="430">
        <f>IFERROR(
IF(AX237="",-100,
IF($BV$2&gt;0, INDEX(Beersheet!$A:$U,MATCH(AX237,INDEX(Beersheet!$A:$U,0,FFARawStatProjections!$BV$2),0),$BV$3)+$BN237,
INDEX($A237:$BM237,,$BV$12)*$BW$12+
INDEX($A237:$BM237,,$BV$15)*$BW$15+
INDEX($A237:$BM237,,$BV$16)*$BW$16+
INDEX($A237:$BM237,,$BV$17)*$BW$17+
INDEX($A237:$BM237,,$BV$18)*$BW$18+
INDEX($A237:$BM237,,$BV$19)*$BW$19+
INDEX($A237:$BM237,,$BV$20)*$BW$20+
INDEX($A237:$BM237,,$BV$21)*$BW$21+
INDEX($A237:$BM237,,$BV$22)*$BW$22+
INDEX($A237:$BM237,,$BV$23)*$BW$23+
INDEX($A237:$BM237,,$BV$25)*$BW$25+
INDEX($A237:$BM237,,$BV$26)*$BW$26+
INDEX($A237:$BM237,,$BV$27)*$BW$27+
$BN237)),
$BN237-100)</f>
        <v>-100</v>
      </c>
      <c r="BB237" t="str">
        <f t="shared" si="48"/>
        <v/>
      </c>
      <c r="BC237" t="str">
        <f t="shared" si="42"/>
        <v/>
      </c>
      <c r="BD237" s="430">
        <f>IFERROR(
IF(BB237="",-100,
IF($BV$2&gt;0, INDEX(Beersheet!$A:$U,MATCH(BB237,INDEX(Beersheet!$A:$U,0,FFARawStatProjections!$BV$2),0),$BV$3)+$BN237,
INDEX($A237:$BM237,,$BV$12)*$BW$12+
INDEX($A237:$BM237,,$BV$15)*$BW$15+
INDEX($A237:$BM237,,$BV$16)*$BW$16+
INDEX($A237:$BM237,,$BV$17)*$BW$17+
INDEX($A237:$BM237,,$BV$18)*$BW$18+
INDEX($A237:$BM237,,$BV$19)*$BW$19+
INDEX($A237:$BM237,,$BV$20)*$BW$20+
INDEX($A237:$BM237,,$BV$21)*$BW$21+
INDEX($A237:$BM237,,$BV$22)*$BW$22+
INDEX($A237:$BM237,,$BV$23)*$BW$23+
INDEX($A237:$BM237,,$BV$25)*$BW$25+
INDEX($A237:$BM237,,$BV$26)*$BW$26+
INDEX($A237:$BM237,,$BV$27)*$BW$27+
$BN237)),
$BN237-100)</f>
        <v>-100</v>
      </c>
      <c r="BF237" t="str">
        <f t="shared" si="49"/>
        <v/>
      </c>
      <c r="BG237" t="str">
        <f t="shared" si="50"/>
        <v/>
      </c>
      <c r="BH237">
        <f t="shared" si="51"/>
        <v>0</v>
      </c>
      <c r="BJ237" t="str">
        <f t="shared" si="52"/>
        <v/>
      </c>
      <c r="BL237">
        <f t="shared" si="54"/>
        <v>0</v>
      </c>
      <c r="BN237">
        <v>2.3600000000000001E-3</v>
      </c>
      <c r="BS237" s="4" t="s">
        <v>2489</v>
      </c>
    </row>
    <row r="238" spans="1:71" ht="15.75" thickBot="1" x14ac:dyDescent="0.3">
      <c r="A238" s="569" t="s">
        <v>1149</v>
      </c>
      <c r="B238" s="569" t="s">
        <v>2073</v>
      </c>
      <c r="C238" s="569" t="s">
        <v>3</v>
      </c>
      <c r="D238" s="574">
        <v>13</v>
      </c>
      <c r="E238" s="569"/>
      <c r="F238" s="569"/>
      <c r="G238" s="569"/>
      <c r="H238" s="569"/>
      <c r="I238" s="574">
        <v>0</v>
      </c>
      <c r="J238" s="574">
        <v>0</v>
      </c>
      <c r="K238" s="574">
        <v>0</v>
      </c>
      <c r="L238" s="574">
        <v>7</v>
      </c>
      <c r="M238" s="574">
        <v>0.5</v>
      </c>
      <c r="N238" s="574">
        <v>34.1</v>
      </c>
      <c r="O238" s="574">
        <v>22.9</v>
      </c>
      <c r="P238" s="574">
        <v>0.5</v>
      </c>
      <c r="Q238" s="574">
        <v>70.7</v>
      </c>
      <c r="R238" s="569"/>
      <c r="S238" s="569"/>
      <c r="T238" s="569"/>
      <c r="U238" s="569"/>
      <c r="V238" s="569"/>
      <c r="W238" s="569"/>
      <c r="X238" s="569"/>
      <c r="Y238" s="569"/>
      <c r="Z238" s="569"/>
      <c r="AA238" s="569"/>
      <c r="AB238" s="569"/>
      <c r="AC238" s="569"/>
      <c r="AD238" s="569"/>
      <c r="AE238" s="569"/>
      <c r="AF238" s="569"/>
      <c r="AG238" s="569"/>
      <c r="AH238" s="569"/>
      <c r="AI238" s="569"/>
      <c r="AJ238" s="569"/>
      <c r="AK238" s="569"/>
      <c r="AL238" s="569"/>
      <c r="AM238" s="569"/>
      <c r="AN238" s="574">
        <v>16.399999999999999</v>
      </c>
      <c r="AO238">
        <v>237</v>
      </c>
      <c r="AP238" t="str">
        <f t="shared" si="53"/>
        <v/>
      </c>
      <c r="AQ238" t="str">
        <f t="shared" si="43"/>
        <v/>
      </c>
      <c r="AR238" s="430">
        <f>IFERROR(
IF(AP238="",-100,
IF($BV$2&gt;0, INDEX(Beersheet!$A:$U,MATCH(AP238,INDEX(Beersheet!$A:$U,0,FFARawStatProjections!$BV$2),0),$BV$3)+$BN238,
INDEX($A238:$BM238,,$BV$12)*$BW$12+
INDEX($A238:$BM238,,$BV$15)*$BW$15+
INDEX($A238:$BM238,,$BV$16)*$BW$16+
INDEX($A238:$BM238,,$BV$17)*$BW$17+
INDEX($A238:$BM238,,$BV$18)*$BW$18+
INDEX($A238:$BM238,,$BV$19)*$BW$19+
INDEX($A238:$BM238,,$BV$20)*$BW$20+
INDEX($A238:$BM238,,$BV$21)*$BW$21+
INDEX($A238:$BM238,,$BV$22)*$BW$22+
INDEX($A238:$BM238,,$BV$23)*$BW$23+
INDEX($A238:$BM238,,$BV$25)*$BW$25+
INDEX($A238:$BM238,,$BV$26)*$BW$26+
INDEX($A238:$BM238,,$BV$27)*$BW$27+
$BN238)),
$BN238-100)</f>
        <v>-100</v>
      </c>
      <c r="AT238" t="str">
        <f t="shared" si="44"/>
        <v>Damien Williams</v>
      </c>
      <c r="AU238" t="str">
        <f t="shared" si="45"/>
        <v>LV</v>
      </c>
      <c r="AV238" s="430">
        <f>IFERROR(
IF(AT238="",-100,
IF($BV$2&gt;0, INDEX(Beersheet!$A:$U,MATCH(AT238,INDEX(Beersheet!$A:$U,0,FFARawStatProjections!$BV$2),0),$BV$3)+$BN238,
INDEX($A238:$BM238,,$BV$12)*$BW$12+
INDEX($A238:$BM238,,$BV$15)*$BW$15+
INDEX($A238:$BM238,,$BV$16)*$BW$16+
INDEX($A238:$BM238,,$BV$17)*$BW$17+
INDEX($A238:$BM238,,$BV$18)*$BW$18+
INDEX($A238:$BM238,,$BV$19)*$BW$19+
INDEX($A238:$BM238,,$BV$20)*$BW$20+
INDEX($A238:$BM238,,$BV$21)*$BW$21+
INDEX($A238:$BM238,,$BV$22)*$BW$22+
INDEX($A238:$BM238,,$BV$23)*$BW$23+
INDEX($A238:$BM238,,$BV$25)*$BW$25+
INDEX($A238:$BM238,,$BV$26)*$BW$26+
INDEX($A238:$BM238,,$BV$27)*$BW$27+
$BN238)),
$BN238-100)</f>
        <v>23.48237</v>
      </c>
      <c r="AX238" t="str">
        <f t="shared" si="46"/>
        <v/>
      </c>
      <c r="AY238" t="str">
        <f t="shared" si="47"/>
        <v/>
      </c>
      <c r="AZ238" s="430">
        <f>IFERROR(
IF(AX238="",-100,
IF($BV$2&gt;0, INDEX(Beersheet!$A:$U,MATCH(AX238,INDEX(Beersheet!$A:$U,0,FFARawStatProjections!$BV$2),0),$BV$3)+$BN238,
INDEX($A238:$BM238,,$BV$12)*$BW$12+
INDEX($A238:$BM238,,$BV$15)*$BW$15+
INDEX($A238:$BM238,,$BV$16)*$BW$16+
INDEX($A238:$BM238,,$BV$17)*$BW$17+
INDEX($A238:$BM238,,$BV$18)*$BW$18+
INDEX($A238:$BM238,,$BV$19)*$BW$19+
INDEX($A238:$BM238,,$BV$20)*$BW$20+
INDEX($A238:$BM238,,$BV$21)*$BW$21+
INDEX($A238:$BM238,,$BV$22)*$BW$22+
INDEX($A238:$BM238,,$BV$23)*$BW$23+
INDEX($A238:$BM238,,$BV$25)*$BW$25+
INDEX($A238:$BM238,,$BV$26)*$BW$26+
INDEX($A238:$BM238,,$BV$27)*$BW$27+
$BN238)),
$BN238-100)</f>
        <v>-100</v>
      </c>
      <c r="BB238" t="str">
        <f t="shared" si="48"/>
        <v/>
      </c>
      <c r="BC238" t="str">
        <f t="shared" si="42"/>
        <v/>
      </c>
      <c r="BD238" s="430">
        <f>IFERROR(
IF(BB238="",-100,
IF($BV$2&gt;0, INDEX(Beersheet!$A:$U,MATCH(BB238,INDEX(Beersheet!$A:$U,0,FFARawStatProjections!$BV$2),0),$BV$3)+$BN238,
INDEX($A238:$BM238,,$BV$12)*$BW$12+
INDEX($A238:$BM238,,$BV$15)*$BW$15+
INDEX($A238:$BM238,,$BV$16)*$BW$16+
INDEX($A238:$BM238,,$BV$17)*$BW$17+
INDEX($A238:$BM238,,$BV$18)*$BW$18+
INDEX($A238:$BM238,,$BV$19)*$BW$19+
INDEX($A238:$BM238,,$BV$20)*$BW$20+
INDEX($A238:$BM238,,$BV$21)*$BW$21+
INDEX($A238:$BM238,,$BV$22)*$BW$22+
INDEX($A238:$BM238,,$BV$23)*$BW$23+
INDEX($A238:$BM238,,$BV$25)*$BW$25+
INDEX($A238:$BM238,,$BV$26)*$BW$26+
INDEX($A238:$BM238,,$BV$27)*$BW$27+
$BN238)),
$BN238-100)</f>
        <v>-100</v>
      </c>
      <c r="BF238" t="str">
        <f t="shared" si="49"/>
        <v/>
      </c>
      <c r="BG238" t="str">
        <f t="shared" si="50"/>
        <v/>
      </c>
      <c r="BH238">
        <f t="shared" si="51"/>
        <v>0</v>
      </c>
      <c r="BJ238" t="str">
        <f t="shared" si="52"/>
        <v/>
      </c>
      <c r="BL238">
        <f t="shared" si="54"/>
        <v>0</v>
      </c>
      <c r="BN238">
        <v>2.3700000000000001E-3</v>
      </c>
      <c r="BS238" s="4" t="s">
        <v>2182</v>
      </c>
    </row>
    <row r="239" spans="1:71" ht="15.75" thickBot="1" x14ac:dyDescent="0.3">
      <c r="A239" s="569" t="s">
        <v>2177</v>
      </c>
      <c r="B239" s="569" t="s">
        <v>166</v>
      </c>
      <c r="C239" s="569" t="s">
        <v>3</v>
      </c>
      <c r="D239" s="574">
        <v>10</v>
      </c>
      <c r="E239" s="569"/>
      <c r="F239" s="569"/>
      <c r="G239" s="569"/>
      <c r="H239" s="569"/>
      <c r="I239" s="574">
        <v>0</v>
      </c>
      <c r="J239" s="574">
        <v>0</v>
      </c>
      <c r="K239" s="574">
        <v>0</v>
      </c>
      <c r="L239" s="574">
        <v>4.3</v>
      </c>
      <c r="M239" s="574">
        <v>0.1</v>
      </c>
      <c r="N239" s="574">
        <v>52.1</v>
      </c>
      <c r="O239" s="574">
        <v>31.7</v>
      </c>
      <c r="P239" s="574">
        <v>0.1</v>
      </c>
      <c r="Q239" s="574">
        <v>97.1</v>
      </c>
      <c r="R239" s="569"/>
      <c r="S239" s="569"/>
      <c r="T239" s="569"/>
      <c r="U239" s="569"/>
      <c r="V239" s="569"/>
      <c r="W239" s="569"/>
      <c r="X239" s="569"/>
      <c r="Y239" s="569"/>
      <c r="Z239" s="569"/>
      <c r="AA239" s="569"/>
      <c r="AB239" s="569"/>
      <c r="AC239" s="569"/>
      <c r="AD239" s="569"/>
      <c r="AE239" s="569"/>
      <c r="AF239" s="569"/>
      <c r="AG239" s="569"/>
      <c r="AH239" s="569"/>
      <c r="AI239" s="569"/>
      <c r="AJ239" s="569"/>
      <c r="AK239" s="569"/>
      <c r="AL239" s="569"/>
      <c r="AM239" s="569"/>
      <c r="AN239" s="574">
        <v>15.9</v>
      </c>
      <c r="AO239">
        <v>238</v>
      </c>
      <c r="AP239" t="str">
        <f t="shared" si="53"/>
        <v/>
      </c>
      <c r="AQ239" t="str">
        <f t="shared" si="43"/>
        <v/>
      </c>
      <c r="AR239" s="430">
        <f>IFERROR(
IF(AP239="",-100,
IF($BV$2&gt;0, INDEX(Beersheet!$A:$U,MATCH(AP239,INDEX(Beersheet!$A:$U,0,FFARawStatProjections!$BV$2),0),$BV$3)+$BN239,
INDEX($A239:$BM239,,$BV$12)*$BW$12+
INDEX($A239:$BM239,,$BV$15)*$BW$15+
INDEX($A239:$BM239,,$BV$16)*$BW$16+
INDEX($A239:$BM239,,$BV$17)*$BW$17+
INDEX($A239:$BM239,,$BV$18)*$BW$18+
INDEX($A239:$BM239,,$BV$19)*$BW$19+
INDEX($A239:$BM239,,$BV$20)*$BW$20+
INDEX($A239:$BM239,,$BV$21)*$BW$21+
INDEX($A239:$BM239,,$BV$22)*$BW$22+
INDEX($A239:$BM239,,$BV$23)*$BW$23+
INDEX($A239:$BM239,,$BV$25)*$BW$25+
INDEX($A239:$BM239,,$BV$26)*$BW$26+
INDEX($A239:$BM239,,$BV$27)*$BW$27+
$BN239)),
$BN239-100)</f>
        <v>-100</v>
      </c>
      <c r="AT239" t="str">
        <f t="shared" si="44"/>
        <v>Salvon Ahmed</v>
      </c>
      <c r="AU239" t="str">
        <f t="shared" si="45"/>
        <v>MIA</v>
      </c>
      <c r="AV239" s="430">
        <f>IFERROR(
IF(AT239="",-100,
IF($BV$2&gt;0, INDEX(Beersheet!$A:$U,MATCH(AT239,INDEX(Beersheet!$A:$U,0,FFARawStatProjections!$BV$2),0),$BV$3)+$BN239,
INDEX($A239:$BM239,,$BV$12)*$BW$12+
INDEX($A239:$BM239,,$BV$15)*$BW$15+
INDEX($A239:$BM239,,$BV$16)*$BW$16+
INDEX($A239:$BM239,,$BV$17)*$BW$17+
INDEX($A239:$BM239,,$BV$18)*$BW$18+
INDEX($A239:$BM239,,$BV$19)*$BW$19+
INDEX($A239:$BM239,,$BV$20)*$BW$20+
INDEX($A239:$BM239,,$BV$21)*$BW$21+
INDEX($A239:$BM239,,$BV$22)*$BW$22+
INDEX($A239:$BM239,,$BV$23)*$BW$23+
INDEX($A239:$BM239,,$BV$25)*$BW$25+
INDEX($A239:$BM239,,$BV$26)*$BW$26+
INDEX($A239:$BM239,,$BV$27)*$BW$27+
$BN239)),
$BN239-100)</f>
        <v>20.42238</v>
      </c>
      <c r="AX239" t="str">
        <f t="shared" si="46"/>
        <v/>
      </c>
      <c r="AY239" t="str">
        <f t="shared" si="47"/>
        <v/>
      </c>
      <c r="AZ239" s="430">
        <f>IFERROR(
IF(AX239="",-100,
IF($BV$2&gt;0, INDEX(Beersheet!$A:$U,MATCH(AX239,INDEX(Beersheet!$A:$U,0,FFARawStatProjections!$BV$2),0),$BV$3)+$BN239,
INDEX($A239:$BM239,,$BV$12)*$BW$12+
INDEX($A239:$BM239,,$BV$15)*$BW$15+
INDEX($A239:$BM239,,$BV$16)*$BW$16+
INDEX($A239:$BM239,,$BV$17)*$BW$17+
INDEX($A239:$BM239,,$BV$18)*$BW$18+
INDEX($A239:$BM239,,$BV$19)*$BW$19+
INDEX($A239:$BM239,,$BV$20)*$BW$20+
INDEX($A239:$BM239,,$BV$21)*$BW$21+
INDEX($A239:$BM239,,$BV$22)*$BW$22+
INDEX($A239:$BM239,,$BV$23)*$BW$23+
INDEX($A239:$BM239,,$BV$25)*$BW$25+
INDEX($A239:$BM239,,$BV$26)*$BW$26+
INDEX($A239:$BM239,,$BV$27)*$BW$27+
$BN239)),
$BN239-100)</f>
        <v>-100</v>
      </c>
      <c r="BB239" t="str">
        <f t="shared" si="48"/>
        <v/>
      </c>
      <c r="BC239" t="str">
        <f t="shared" si="42"/>
        <v/>
      </c>
      <c r="BD239" s="430">
        <f>IFERROR(
IF(BB239="",-100,
IF($BV$2&gt;0, INDEX(Beersheet!$A:$U,MATCH(BB239,INDEX(Beersheet!$A:$U,0,FFARawStatProjections!$BV$2),0),$BV$3)+$BN239,
INDEX($A239:$BM239,,$BV$12)*$BW$12+
INDEX($A239:$BM239,,$BV$15)*$BW$15+
INDEX($A239:$BM239,,$BV$16)*$BW$16+
INDEX($A239:$BM239,,$BV$17)*$BW$17+
INDEX($A239:$BM239,,$BV$18)*$BW$18+
INDEX($A239:$BM239,,$BV$19)*$BW$19+
INDEX($A239:$BM239,,$BV$20)*$BW$20+
INDEX($A239:$BM239,,$BV$21)*$BW$21+
INDEX($A239:$BM239,,$BV$22)*$BW$22+
INDEX($A239:$BM239,,$BV$23)*$BW$23+
INDEX($A239:$BM239,,$BV$25)*$BW$25+
INDEX($A239:$BM239,,$BV$26)*$BW$26+
INDEX($A239:$BM239,,$BV$27)*$BW$27+
$BN239)),
$BN239-100)</f>
        <v>-100</v>
      </c>
      <c r="BF239" t="str">
        <f t="shared" si="49"/>
        <v/>
      </c>
      <c r="BG239" t="str">
        <f t="shared" si="50"/>
        <v/>
      </c>
      <c r="BH239">
        <f t="shared" si="51"/>
        <v>0</v>
      </c>
      <c r="BJ239" t="str">
        <f t="shared" si="52"/>
        <v/>
      </c>
      <c r="BL239">
        <f t="shared" si="54"/>
        <v>0</v>
      </c>
      <c r="BN239">
        <v>2.3800000000000002E-3</v>
      </c>
      <c r="BS239" s="4" t="s">
        <v>2199</v>
      </c>
    </row>
    <row r="240" spans="1:71" ht="15.75" thickBot="1" x14ac:dyDescent="0.3">
      <c r="A240" s="569" t="s">
        <v>1879</v>
      </c>
      <c r="B240" s="569" t="s">
        <v>166</v>
      </c>
      <c r="C240" s="569" t="s">
        <v>3</v>
      </c>
      <c r="D240" s="574">
        <v>10</v>
      </c>
      <c r="E240" s="569"/>
      <c r="F240" s="569"/>
      <c r="G240" s="569"/>
      <c r="H240" s="569"/>
      <c r="I240" s="574">
        <v>0</v>
      </c>
      <c r="J240" s="574">
        <v>0</v>
      </c>
      <c r="K240" s="574">
        <v>0</v>
      </c>
      <c r="L240" s="574">
        <v>4.4000000000000004</v>
      </c>
      <c r="M240" s="574">
        <v>0.1</v>
      </c>
      <c r="N240" s="574">
        <v>56.2</v>
      </c>
      <c r="O240" s="574">
        <v>32.4</v>
      </c>
      <c r="P240" s="574">
        <v>0.1</v>
      </c>
      <c r="Q240" s="574">
        <v>98.1</v>
      </c>
      <c r="R240" s="569"/>
      <c r="S240" s="569"/>
      <c r="T240" s="569"/>
      <c r="U240" s="569"/>
      <c r="V240" s="569"/>
      <c r="W240" s="569"/>
      <c r="X240" s="569"/>
      <c r="Y240" s="569"/>
      <c r="Z240" s="569"/>
      <c r="AA240" s="569"/>
      <c r="AB240" s="569"/>
      <c r="AC240" s="569"/>
      <c r="AD240" s="569"/>
      <c r="AE240" s="569"/>
      <c r="AF240" s="569"/>
      <c r="AG240" s="569"/>
      <c r="AH240" s="569"/>
      <c r="AI240" s="569"/>
      <c r="AJ240" s="569"/>
      <c r="AK240" s="569"/>
      <c r="AL240" s="569"/>
      <c r="AM240" s="569"/>
      <c r="AN240" s="574">
        <v>15.7</v>
      </c>
      <c r="AO240">
        <v>239</v>
      </c>
      <c r="AP240" t="str">
        <f t="shared" si="53"/>
        <v/>
      </c>
      <c r="AQ240" t="str">
        <f t="shared" si="43"/>
        <v/>
      </c>
      <c r="AR240" s="430">
        <f>IFERROR(
IF(AP240="",-100,
IF($BV$2&gt;0, INDEX(Beersheet!$A:$U,MATCH(AP240,INDEX(Beersheet!$A:$U,0,FFARawStatProjections!$BV$2),0),$BV$3)+$BN240,
INDEX($A240:$BM240,,$BV$12)*$BW$12+
INDEX($A240:$BM240,,$BV$15)*$BW$15+
INDEX($A240:$BM240,,$BV$16)*$BW$16+
INDEX($A240:$BM240,,$BV$17)*$BW$17+
INDEX($A240:$BM240,,$BV$18)*$BW$18+
INDEX($A240:$BM240,,$BV$19)*$BW$19+
INDEX($A240:$BM240,,$BV$20)*$BW$20+
INDEX($A240:$BM240,,$BV$21)*$BW$21+
INDEX($A240:$BM240,,$BV$22)*$BW$22+
INDEX($A240:$BM240,,$BV$23)*$BW$23+
INDEX($A240:$BM240,,$BV$25)*$BW$25+
INDEX($A240:$BM240,,$BV$26)*$BW$26+
INDEX($A240:$BM240,,$BV$27)*$BW$27+
$BN240)),
$BN240-100)</f>
        <v>-100</v>
      </c>
      <c r="AT240" t="str">
        <f t="shared" si="44"/>
        <v>Myles Gaskin</v>
      </c>
      <c r="AU240" t="str">
        <f t="shared" si="45"/>
        <v>MIA</v>
      </c>
      <c r="AV240" s="430">
        <f>IFERROR(
IF(AT240="",-100,
IF($BV$2&gt;0, INDEX(Beersheet!$A:$U,MATCH(AT240,INDEX(Beersheet!$A:$U,0,FFARawStatProjections!$BV$2),0),$BV$3)+$BN240,
INDEX($A240:$BM240,,$BV$12)*$BW$12+
INDEX($A240:$BM240,,$BV$15)*$BW$15+
INDEX($A240:$BM240,,$BV$16)*$BW$16+
INDEX($A240:$BM240,,$BV$17)*$BW$17+
INDEX($A240:$BM240,,$BV$18)*$BW$18+
INDEX($A240:$BM240,,$BV$19)*$BW$19+
INDEX($A240:$BM240,,$BV$20)*$BW$20+
INDEX($A240:$BM240,,$BV$21)*$BW$21+
INDEX($A240:$BM240,,$BV$22)*$BW$22+
INDEX($A240:$BM240,,$BV$23)*$BW$23+
INDEX($A240:$BM240,,$BV$25)*$BW$25+
INDEX($A240:$BM240,,$BV$26)*$BW$26+
INDEX($A240:$BM240,,$BV$27)*$BW$27+
$BN240)),
$BN240-100)</f>
        <v>21.032389999999999</v>
      </c>
      <c r="AX240" t="str">
        <f t="shared" si="46"/>
        <v/>
      </c>
      <c r="AY240" t="str">
        <f t="shared" si="47"/>
        <v/>
      </c>
      <c r="AZ240" s="430">
        <f>IFERROR(
IF(AX240="",-100,
IF($BV$2&gt;0, INDEX(Beersheet!$A:$U,MATCH(AX240,INDEX(Beersheet!$A:$U,0,FFARawStatProjections!$BV$2),0),$BV$3)+$BN240,
INDEX($A240:$BM240,,$BV$12)*$BW$12+
INDEX($A240:$BM240,,$BV$15)*$BW$15+
INDEX($A240:$BM240,,$BV$16)*$BW$16+
INDEX($A240:$BM240,,$BV$17)*$BW$17+
INDEX($A240:$BM240,,$BV$18)*$BW$18+
INDEX($A240:$BM240,,$BV$19)*$BW$19+
INDEX($A240:$BM240,,$BV$20)*$BW$20+
INDEX($A240:$BM240,,$BV$21)*$BW$21+
INDEX($A240:$BM240,,$BV$22)*$BW$22+
INDEX($A240:$BM240,,$BV$23)*$BW$23+
INDEX($A240:$BM240,,$BV$25)*$BW$25+
INDEX($A240:$BM240,,$BV$26)*$BW$26+
INDEX($A240:$BM240,,$BV$27)*$BW$27+
$BN240)),
$BN240-100)</f>
        <v>-100</v>
      </c>
      <c r="BB240" t="str">
        <f t="shared" si="48"/>
        <v/>
      </c>
      <c r="BC240" t="str">
        <f t="shared" si="42"/>
        <v/>
      </c>
      <c r="BD240" s="430">
        <f>IFERROR(
IF(BB240="",-100,
IF($BV$2&gt;0, INDEX(Beersheet!$A:$U,MATCH(BB240,INDEX(Beersheet!$A:$U,0,FFARawStatProjections!$BV$2),0),$BV$3)+$BN240,
INDEX($A240:$BM240,,$BV$12)*$BW$12+
INDEX($A240:$BM240,,$BV$15)*$BW$15+
INDEX($A240:$BM240,,$BV$16)*$BW$16+
INDEX($A240:$BM240,,$BV$17)*$BW$17+
INDEX($A240:$BM240,,$BV$18)*$BW$18+
INDEX($A240:$BM240,,$BV$19)*$BW$19+
INDEX($A240:$BM240,,$BV$20)*$BW$20+
INDEX($A240:$BM240,,$BV$21)*$BW$21+
INDEX($A240:$BM240,,$BV$22)*$BW$22+
INDEX($A240:$BM240,,$BV$23)*$BW$23+
INDEX($A240:$BM240,,$BV$25)*$BW$25+
INDEX($A240:$BM240,,$BV$26)*$BW$26+
INDEX($A240:$BM240,,$BV$27)*$BW$27+
$BN240)),
$BN240-100)</f>
        <v>-100</v>
      </c>
      <c r="BF240" t="str">
        <f t="shared" si="49"/>
        <v/>
      </c>
      <c r="BG240" t="str">
        <f t="shared" si="50"/>
        <v/>
      </c>
      <c r="BH240">
        <f t="shared" si="51"/>
        <v>0</v>
      </c>
      <c r="BJ240" t="str">
        <f t="shared" si="52"/>
        <v/>
      </c>
      <c r="BL240">
        <f t="shared" si="54"/>
        <v>0</v>
      </c>
      <c r="BN240">
        <v>2.3900000000000002E-3</v>
      </c>
      <c r="BS240" s="4" t="s">
        <v>2543</v>
      </c>
    </row>
    <row r="241" spans="1:71" ht="15.75" thickBot="1" x14ac:dyDescent="0.3">
      <c r="A241" s="569" t="s">
        <v>1216</v>
      </c>
      <c r="B241" s="569" t="s">
        <v>152</v>
      </c>
      <c r="C241" s="569" t="s">
        <v>3</v>
      </c>
      <c r="D241" s="574">
        <v>14</v>
      </c>
      <c r="E241" s="569"/>
      <c r="F241" s="569"/>
      <c r="G241" s="569"/>
      <c r="H241" s="569"/>
      <c r="I241" s="574">
        <v>0</v>
      </c>
      <c r="J241" s="574">
        <v>0</v>
      </c>
      <c r="K241" s="574">
        <v>0</v>
      </c>
      <c r="L241" s="574">
        <v>3.4</v>
      </c>
      <c r="M241" s="574">
        <v>0.2</v>
      </c>
      <c r="N241" s="574">
        <v>24</v>
      </c>
      <c r="O241" s="574">
        <v>40.200000000000003</v>
      </c>
      <c r="P241" s="574">
        <v>0.5</v>
      </c>
      <c r="Q241" s="574">
        <v>89.9</v>
      </c>
      <c r="R241" s="569"/>
      <c r="S241" s="569"/>
      <c r="T241" s="569"/>
      <c r="U241" s="569"/>
      <c r="V241" s="569"/>
      <c r="W241" s="569"/>
      <c r="X241" s="569"/>
      <c r="Y241" s="569"/>
      <c r="Z241" s="569"/>
      <c r="AA241" s="569"/>
      <c r="AB241" s="569"/>
      <c r="AC241" s="569"/>
      <c r="AD241" s="569"/>
      <c r="AE241" s="569"/>
      <c r="AF241" s="569"/>
      <c r="AG241" s="569"/>
      <c r="AH241" s="569"/>
      <c r="AI241" s="569"/>
      <c r="AJ241" s="569"/>
      <c r="AK241" s="569"/>
      <c r="AL241" s="569"/>
      <c r="AM241" s="569"/>
      <c r="AN241" s="574">
        <v>15.4</v>
      </c>
      <c r="AO241">
        <v>240</v>
      </c>
      <c r="AP241" t="str">
        <f t="shared" si="53"/>
        <v/>
      </c>
      <c r="AQ241" t="str">
        <f t="shared" si="43"/>
        <v/>
      </c>
      <c r="AR241" s="430">
        <f>IFERROR(
IF(AP241="",-100,
IF($BV$2&gt;0, INDEX(Beersheet!$A:$U,MATCH(AP241,INDEX(Beersheet!$A:$U,0,FFARawStatProjections!$BV$2),0),$BV$3)+$BN241,
INDEX($A241:$BM241,,$BV$12)*$BW$12+
INDEX($A241:$BM241,,$BV$15)*$BW$15+
INDEX($A241:$BM241,,$BV$16)*$BW$16+
INDEX($A241:$BM241,,$BV$17)*$BW$17+
INDEX($A241:$BM241,,$BV$18)*$BW$18+
INDEX($A241:$BM241,,$BV$19)*$BW$19+
INDEX($A241:$BM241,,$BV$20)*$BW$20+
INDEX($A241:$BM241,,$BV$21)*$BW$21+
INDEX($A241:$BM241,,$BV$22)*$BW$22+
INDEX($A241:$BM241,,$BV$23)*$BW$23+
INDEX($A241:$BM241,,$BV$25)*$BW$25+
INDEX($A241:$BM241,,$BV$26)*$BW$26+
INDEX($A241:$BM241,,$BV$27)*$BW$27+
$BN241)),
$BN241-100)</f>
        <v>-100</v>
      </c>
      <c r="AT241" t="str">
        <f t="shared" si="44"/>
        <v>Jonathan Williams</v>
      </c>
      <c r="AU241" t="str">
        <f t="shared" si="45"/>
        <v>WAS</v>
      </c>
      <c r="AV241" s="430">
        <f>IFERROR(
IF(AT241="",-100,
IF($BV$2&gt;0, INDEX(Beersheet!$A:$U,MATCH(AT241,INDEX(Beersheet!$A:$U,0,FFARawStatProjections!$BV$2),0),$BV$3)+$BN241,
INDEX($A241:$BM241,,$BV$12)*$BW$12+
INDEX($A241:$BM241,,$BV$15)*$BW$15+
INDEX($A241:$BM241,,$BV$16)*$BW$16+
INDEX($A241:$BM241,,$BV$17)*$BW$17+
INDEX($A241:$BM241,,$BV$18)*$BW$18+
INDEX($A241:$BM241,,$BV$19)*$BW$19+
INDEX($A241:$BM241,,$BV$20)*$BW$20+
INDEX($A241:$BM241,,$BV$21)*$BW$21+
INDEX($A241:$BM241,,$BV$22)*$BW$22+
INDEX($A241:$BM241,,$BV$23)*$BW$23+
INDEX($A241:$BM241,,$BV$25)*$BW$25+
INDEX($A241:$BM241,,$BV$26)*$BW$26+
INDEX($A241:$BM241,,$BV$27)*$BW$27+
$BN241)),
$BN241-100)</f>
        <v>18.992400000000004</v>
      </c>
      <c r="AX241" t="str">
        <f t="shared" si="46"/>
        <v/>
      </c>
      <c r="AY241" t="str">
        <f t="shared" si="47"/>
        <v/>
      </c>
      <c r="AZ241" s="430">
        <f>IFERROR(
IF(AX241="",-100,
IF($BV$2&gt;0, INDEX(Beersheet!$A:$U,MATCH(AX241,INDEX(Beersheet!$A:$U,0,FFARawStatProjections!$BV$2),0),$BV$3)+$BN241,
INDEX($A241:$BM241,,$BV$12)*$BW$12+
INDEX($A241:$BM241,,$BV$15)*$BW$15+
INDEX($A241:$BM241,,$BV$16)*$BW$16+
INDEX($A241:$BM241,,$BV$17)*$BW$17+
INDEX($A241:$BM241,,$BV$18)*$BW$18+
INDEX($A241:$BM241,,$BV$19)*$BW$19+
INDEX($A241:$BM241,,$BV$20)*$BW$20+
INDEX($A241:$BM241,,$BV$21)*$BW$21+
INDEX($A241:$BM241,,$BV$22)*$BW$22+
INDEX($A241:$BM241,,$BV$23)*$BW$23+
INDEX($A241:$BM241,,$BV$25)*$BW$25+
INDEX($A241:$BM241,,$BV$26)*$BW$26+
INDEX($A241:$BM241,,$BV$27)*$BW$27+
$BN241)),
$BN241-100)</f>
        <v>-100</v>
      </c>
      <c r="BB241" t="str">
        <f t="shared" si="48"/>
        <v/>
      </c>
      <c r="BC241" t="str">
        <f t="shared" si="42"/>
        <v/>
      </c>
      <c r="BD241" s="430">
        <f>IFERROR(
IF(BB241="",-100,
IF($BV$2&gt;0, INDEX(Beersheet!$A:$U,MATCH(BB241,INDEX(Beersheet!$A:$U,0,FFARawStatProjections!$BV$2),0),$BV$3)+$BN241,
INDEX($A241:$BM241,,$BV$12)*$BW$12+
INDEX($A241:$BM241,,$BV$15)*$BW$15+
INDEX($A241:$BM241,,$BV$16)*$BW$16+
INDEX($A241:$BM241,,$BV$17)*$BW$17+
INDEX($A241:$BM241,,$BV$18)*$BW$18+
INDEX($A241:$BM241,,$BV$19)*$BW$19+
INDEX($A241:$BM241,,$BV$20)*$BW$20+
INDEX($A241:$BM241,,$BV$21)*$BW$21+
INDEX($A241:$BM241,,$BV$22)*$BW$22+
INDEX($A241:$BM241,,$BV$23)*$BW$23+
INDEX($A241:$BM241,,$BV$25)*$BW$25+
INDEX($A241:$BM241,,$BV$26)*$BW$26+
INDEX($A241:$BM241,,$BV$27)*$BW$27+
$BN241)),
$BN241-100)</f>
        <v>-100</v>
      </c>
      <c r="BF241" t="str">
        <f t="shared" si="49"/>
        <v/>
      </c>
      <c r="BG241" t="str">
        <f t="shared" si="50"/>
        <v/>
      </c>
      <c r="BH241">
        <f t="shared" si="51"/>
        <v>0</v>
      </c>
      <c r="BJ241" t="str">
        <f t="shared" si="52"/>
        <v/>
      </c>
      <c r="BL241">
        <f t="shared" si="54"/>
        <v>0</v>
      </c>
      <c r="BN241">
        <v>2.3999999999999998E-3</v>
      </c>
      <c r="BS241" s="4" t="s">
        <v>2146</v>
      </c>
    </row>
    <row r="242" spans="1:71" ht="15.75" thickBot="1" x14ac:dyDescent="0.3">
      <c r="A242" s="569" t="s">
        <v>2446</v>
      </c>
      <c r="B242" s="569" t="s">
        <v>139</v>
      </c>
      <c r="C242" s="569" t="s">
        <v>3</v>
      </c>
      <c r="D242" s="574">
        <v>6</v>
      </c>
      <c r="E242" s="569"/>
      <c r="F242" s="569"/>
      <c r="G242" s="569"/>
      <c r="H242" s="569"/>
      <c r="I242" s="574">
        <v>0</v>
      </c>
      <c r="J242" s="574">
        <v>0</v>
      </c>
      <c r="K242" s="574">
        <v>0</v>
      </c>
      <c r="L242" s="574">
        <v>4</v>
      </c>
      <c r="M242" s="574">
        <v>0</v>
      </c>
      <c r="N242" s="574">
        <v>25.4</v>
      </c>
      <c r="O242" s="574">
        <v>24</v>
      </c>
      <c r="P242" s="574">
        <v>0.5</v>
      </c>
      <c r="Q242" s="574">
        <v>97</v>
      </c>
      <c r="R242" s="569"/>
      <c r="S242" s="569"/>
      <c r="T242" s="569"/>
      <c r="U242" s="569"/>
      <c r="V242" s="569"/>
      <c r="W242" s="569"/>
      <c r="X242" s="569"/>
      <c r="Y242" s="569"/>
      <c r="Z242" s="569"/>
      <c r="AA242" s="569"/>
      <c r="AB242" s="569"/>
      <c r="AC242" s="569"/>
      <c r="AD242" s="569"/>
      <c r="AE242" s="569"/>
      <c r="AF242" s="569"/>
      <c r="AG242" s="569"/>
      <c r="AH242" s="569"/>
      <c r="AI242" s="569"/>
      <c r="AJ242" s="569"/>
      <c r="AK242" s="569"/>
      <c r="AL242" s="569"/>
      <c r="AM242" s="569"/>
      <c r="AN242" s="574">
        <v>15.1</v>
      </c>
      <c r="AO242">
        <v>241</v>
      </c>
      <c r="AP242" t="str">
        <f t="shared" si="53"/>
        <v/>
      </c>
      <c r="AQ242" t="str">
        <f t="shared" si="43"/>
        <v/>
      </c>
      <c r="AR242" s="430">
        <f>IFERROR(
IF(AP242="",-100,
IF($BV$2&gt;0, INDEX(Beersheet!$A:$U,MATCH(AP242,INDEX(Beersheet!$A:$U,0,FFARawStatProjections!$BV$2),0),$BV$3)+$BN242,
INDEX($A242:$BM242,,$BV$12)*$BW$12+
INDEX($A242:$BM242,,$BV$15)*$BW$15+
INDEX($A242:$BM242,,$BV$16)*$BW$16+
INDEX($A242:$BM242,,$BV$17)*$BW$17+
INDEX($A242:$BM242,,$BV$18)*$BW$18+
INDEX($A242:$BM242,,$BV$19)*$BW$19+
INDEX($A242:$BM242,,$BV$20)*$BW$20+
INDEX($A242:$BM242,,$BV$21)*$BW$21+
INDEX($A242:$BM242,,$BV$22)*$BW$22+
INDEX($A242:$BM242,,$BV$23)*$BW$23+
INDEX($A242:$BM242,,$BV$25)*$BW$25+
INDEX($A242:$BM242,,$BV$26)*$BW$26+
INDEX($A242:$BM242,,$BV$27)*$BW$27+
$BN242)),
$BN242-100)</f>
        <v>-100</v>
      </c>
      <c r="AT242" t="str">
        <f t="shared" si="44"/>
        <v>Lew Nichols</v>
      </c>
      <c r="AU242" t="str">
        <f t="shared" si="45"/>
        <v>GB</v>
      </c>
      <c r="AV242" s="430">
        <f>IFERROR(
IF(AT242="",-100,
IF($BV$2&gt;0, INDEX(Beersheet!$A:$U,MATCH(AT242,INDEX(Beersheet!$A:$U,0,FFARawStatProjections!$BV$2),0),$BV$3)+$BN242,
INDEX($A242:$BM242,,$BV$12)*$BW$12+
INDEX($A242:$BM242,,$BV$15)*$BW$15+
INDEX($A242:$BM242,,$BV$16)*$BW$16+
INDEX($A242:$BM242,,$BV$17)*$BW$17+
INDEX($A242:$BM242,,$BV$18)*$BW$18+
INDEX($A242:$BM242,,$BV$19)*$BW$19+
INDEX($A242:$BM242,,$BV$20)*$BW$20+
INDEX($A242:$BM242,,$BV$21)*$BW$21+
INDEX($A242:$BM242,,$BV$22)*$BW$22+
INDEX($A242:$BM242,,$BV$23)*$BW$23+
INDEX($A242:$BM242,,$BV$25)*$BW$25+
INDEX($A242:$BM242,,$BV$26)*$BW$26+
INDEX($A242:$BM242,,$BV$27)*$BW$27+
$BN242)),
$BN242-100)</f>
        <v>19.242410000000003</v>
      </c>
      <c r="AX242" t="str">
        <f t="shared" si="46"/>
        <v/>
      </c>
      <c r="AY242" t="str">
        <f t="shared" si="47"/>
        <v/>
      </c>
      <c r="AZ242" s="430">
        <f>IFERROR(
IF(AX242="",-100,
IF($BV$2&gt;0, INDEX(Beersheet!$A:$U,MATCH(AX242,INDEX(Beersheet!$A:$U,0,FFARawStatProjections!$BV$2),0),$BV$3)+$BN242,
INDEX($A242:$BM242,,$BV$12)*$BW$12+
INDEX($A242:$BM242,,$BV$15)*$BW$15+
INDEX($A242:$BM242,,$BV$16)*$BW$16+
INDEX($A242:$BM242,,$BV$17)*$BW$17+
INDEX($A242:$BM242,,$BV$18)*$BW$18+
INDEX($A242:$BM242,,$BV$19)*$BW$19+
INDEX($A242:$BM242,,$BV$20)*$BW$20+
INDEX($A242:$BM242,,$BV$21)*$BW$21+
INDEX($A242:$BM242,,$BV$22)*$BW$22+
INDEX($A242:$BM242,,$BV$23)*$BW$23+
INDEX($A242:$BM242,,$BV$25)*$BW$25+
INDEX($A242:$BM242,,$BV$26)*$BW$26+
INDEX($A242:$BM242,,$BV$27)*$BW$27+
$BN242)),
$BN242-100)</f>
        <v>-100</v>
      </c>
      <c r="BB242" t="str">
        <f t="shared" si="48"/>
        <v/>
      </c>
      <c r="BC242" t="str">
        <f t="shared" si="42"/>
        <v/>
      </c>
      <c r="BD242" s="430">
        <f>IFERROR(
IF(BB242="",-100,
IF($BV$2&gt;0, INDEX(Beersheet!$A:$U,MATCH(BB242,INDEX(Beersheet!$A:$U,0,FFARawStatProjections!$BV$2),0),$BV$3)+$BN242,
INDEX($A242:$BM242,,$BV$12)*$BW$12+
INDEX($A242:$BM242,,$BV$15)*$BW$15+
INDEX($A242:$BM242,,$BV$16)*$BW$16+
INDEX($A242:$BM242,,$BV$17)*$BW$17+
INDEX($A242:$BM242,,$BV$18)*$BW$18+
INDEX($A242:$BM242,,$BV$19)*$BW$19+
INDEX($A242:$BM242,,$BV$20)*$BW$20+
INDEX($A242:$BM242,,$BV$21)*$BW$21+
INDEX($A242:$BM242,,$BV$22)*$BW$22+
INDEX($A242:$BM242,,$BV$23)*$BW$23+
INDEX($A242:$BM242,,$BV$25)*$BW$25+
INDEX($A242:$BM242,,$BV$26)*$BW$26+
INDEX($A242:$BM242,,$BV$27)*$BW$27+
$BN242)),
$BN242-100)</f>
        <v>-100</v>
      </c>
      <c r="BF242" t="str">
        <f t="shared" si="49"/>
        <v/>
      </c>
      <c r="BG242" t="str">
        <f t="shared" si="50"/>
        <v/>
      </c>
      <c r="BH242">
        <f t="shared" si="51"/>
        <v>0</v>
      </c>
      <c r="BJ242" t="str">
        <f t="shared" si="52"/>
        <v/>
      </c>
      <c r="BL242">
        <f t="shared" si="54"/>
        <v>0</v>
      </c>
      <c r="BN242">
        <v>2.4099999999999998E-3</v>
      </c>
      <c r="BS242" s="4" t="s">
        <v>2488</v>
      </c>
    </row>
    <row r="243" spans="1:71" ht="15.75" thickBot="1" x14ac:dyDescent="0.3">
      <c r="A243" s="569" t="s">
        <v>980</v>
      </c>
      <c r="B243" s="569" t="s">
        <v>2073</v>
      </c>
      <c r="C243" s="569" t="s">
        <v>3</v>
      </c>
      <c r="D243" s="574">
        <v>13</v>
      </c>
      <c r="E243" s="569"/>
      <c r="F243" s="569"/>
      <c r="G243" s="569"/>
      <c r="H243" s="569"/>
      <c r="I243" s="574">
        <v>0</v>
      </c>
      <c r="J243" s="574">
        <v>0</v>
      </c>
      <c r="K243" s="574">
        <v>0</v>
      </c>
      <c r="L243" s="574">
        <v>5.0999999999999996</v>
      </c>
      <c r="M243" s="574">
        <v>0.2</v>
      </c>
      <c r="N243" s="574">
        <v>45</v>
      </c>
      <c r="O243" s="574">
        <v>19.8</v>
      </c>
      <c r="P243" s="574">
        <v>0.5</v>
      </c>
      <c r="Q243" s="574">
        <v>66.599999999999994</v>
      </c>
      <c r="R243" s="569"/>
      <c r="S243" s="569"/>
      <c r="T243" s="569"/>
      <c r="U243" s="569"/>
      <c r="V243" s="569"/>
      <c r="W243" s="569"/>
      <c r="X243" s="569"/>
      <c r="Y243" s="569"/>
      <c r="Z243" s="569"/>
      <c r="AA243" s="569"/>
      <c r="AB243" s="569"/>
      <c r="AC243" s="569"/>
      <c r="AD243" s="569"/>
      <c r="AE243" s="569"/>
      <c r="AF243" s="569"/>
      <c r="AG243" s="569"/>
      <c r="AH243" s="569"/>
      <c r="AI243" s="569"/>
      <c r="AJ243" s="569"/>
      <c r="AK243" s="569"/>
      <c r="AL243" s="569"/>
      <c r="AM243" s="569"/>
      <c r="AN243" s="574">
        <v>14.9</v>
      </c>
      <c r="AO243">
        <v>242</v>
      </c>
      <c r="AP243" t="str">
        <f t="shared" si="53"/>
        <v/>
      </c>
      <c r="AQ243" t="str">
        <f t="shared" si="43"/>
        <v/>
      </c>
      <c r="AR243" s="430">
        <f>IFERROR(
IF(AP243="",-100,
IF($BV$2&gt;0, INDEX(Beersheet!$A:$U,MATCH(AP243,INDEX(Beersheet!$A:$U,0,FFARawStatProjections!$BV$2),0),$BV$3)+$BN243,
INDEX($A243:$BM243,,$BV$12)*$BW$12+
INDEX($A243:$BM243,,$BV$15)*$BW$15+
INDEX($A243:$BM243,,$BV$16)*$BW$16+
INDEX($A243:$BM243,,$BV$17)*$BW$17+
INDEX($A243:$BM243,,$BV$18)*$BW$18+
INDEX($A243:$BM243,,$BV$19)*$BW$19+
INDEX($A243:$BM243,,$BV$20)*$BW$20+
INDEX($A243:$BM243,,$BV$21)*$BW$21+
INDEX($A243:$BM243,,$BV$22)*$BW$22+
INDEX($A243:$BM243,,$BV$23)*$BW$23+
INDEX($A243:$BM243,,$BV$25)*$BW$25+
INDEX($A243:$BM243,,$BV$26)*$BW$26+
INDEX($A243:$BM243,,$BV$27)*$BW$27+
$BN243)),
$BN243-100)</f>
        <v>-100</v>
      </c>
      <c r="AT243" t="str">
        <f t="shared" si="44"/>
        <v>Brandon Bolden</v>
      </c>
      <c r="AU243" t="str">
        <f t="shared" si="45"/>
        <v>LV</v>
      </c>
      <c r="AV243" s="430">
        <f>IFERROR(
IF(AT243="",-100,
IF($BV$2&gt;0, INDEX(Beersheet!$A:$U,MATCH(AT243,INDEX(Beersheet!$A:$U,0,FFARawStatProjections!$BV$2),0),$BV$3)+$BN243,
INDEX($A243:$BM243,,$BV$12)*$BW$12+
INDEX($A243:$BM243,,$BV$15)*$BW$15+
INDEX($A243:$BM243,,$BV$16)*$BW$16+
INDEX($A243:$BM243,,$BV$17)*$BW$17+
INDEX($A243:$BM243,,$BV$18)*$BW$18+
INDEX($A243:$BM243,,$BV$19)*$BW$19+
INDEX($A243:$BM243,,$BV$20)*$BW$20+
INDEX($A243:$BM243,,$BV$21)*$BW$21+
INDEX($A243:$BM243,,$BV$22)*$BW$22+
INDEX($A243:$BM243,,$BV$23)*$BW$23+
INDEX($A243:$BM243,,$BV$25)*$BW$25+
INDEX($A243:$BM243,,$BV$26)*$BW$26+
INDEX($A243:$BM243,,$BV$27)*$BW$27+
$BN243)),
$BN243-100)</f>
        <v>20.462420000000002</v>
      </c>
      <c r="AX243" t="str">
        <f t="shared" si="46"/>
        <v/>
      </c>
      <c r="AY243" t="str">
        <f t="shared" si="47"/>
        <v/>
      </c>
      <c r="AZ243" s="430">
        <f>IFERROR(
IF(AX243="",-100,
IF($BV$2&gt;0, INDEX(Beersheet!$A:$U,MATCH(AX243,INDEX(Beersheet!$A:$U,0,FFARawStatProjections!$BV$2),0),$BV$3)+$BN243,
INDEX($A243:$BM243,,$BV$12)*$BW$12+
INDEX($A243:$BM243,,$BV$15)*$BW$15+
INDEX($A243:$BM243,,$BV$16)*$BW$16+
INDEX($A243:$BM243,,$BV$17)*$BW$17+
INDEX($A243:$BM243,,$BV$18)*$BW$18+
INDEX($A243:$BM243,,$BV$19)*$BW$19+
INDEX($A243:$BM243,,$BV$20)*$BW$20+
INDEX($A243:$BM243,,$BV$21)*$BW$21+
INDEX($A243:$BM243,,$BV$22)*$BW$22+
INDEX($A243:$BM243,,$BV$23)*$BW$23+
INDEX($A243:$BM243,,$BV$25)*$BW$25+
INDEX($A243:$BM243,,$BV$26)*$BW$26+
INDEX($A243:$BM243,,$BV$27)*$BW$27+
$BN243)),
$BN243-100)</f>
        <v>-100</v>
      </c>
      <c r="BB243" t="str">
        <f t="shared" si="48"/>
        <v/>
      </c>
      <c r="BC243" t="str">
        <f t="shared" si="42"/>
        <v/>
      </c>
      <c r="BD243" s="430">
        <f>IFERROR(
IF(BB243="",-100,
IF($BV$2&gt;0, INDEX(Beersheet!$A:$U,MATCH(BB243,INDEX(Beersheet!$A:$U,0,FFARawStatProjections!$BV$2),0),$BV$3)+$BN243,
INDEX($A243:$BM243,,$BV$12)*$BW$12+
INDEX($A243:$BM243,,$BV$15)*$BW$15+
INDEX($A243:$BM243,,$BV$16)*$BW$16+
INDEX($A243:$BM243,,$BV$17)*$BW$17+
INDEX($A243:$BM243,,$BV$18)*$BW$18+
INDEX($A243:$BM243,,$BV$19)*$BW$19+
INDEX($A243:$BM243,,$BV$20)*$BW$20+
INDEX($A243:$BM243,,$BV$21)*$BW$21+
INDEX($A243:$BM243,,$BV$22)*$BW$22+
INDEX($A243:$BM243,,$BV$23)*$BW$23+
INDEX($A243:$BM243,,$BV$25)*$BW$25+
INDEX($A243:$BM243,,$BV$26)*$BW$26+
INDEX($A243:$BM243,,$BV$27)*$BW$27+
$BN243)),
$BN243-100)</f>
        <v>-100</v>
      </c>
      <c r="BF243" t="str">
        <f t="shared" si="49"/>
        <v/>
      </c>
      <c r="BG243" t="str">
        <f t="shared" si="50"/>
        <v/>
      </c>
      <c r="BH243">
        <f t="shared" si="51"/>
        <v>0</v>
      </c>
      <c r="BJ243" t="str">
        <f t="shared" si="52"/>
        <v/>
      </c>
      <c r="BL243">
        <f t="shared" si="54"/>
        <v>0</v>
      </c>
      <c r="BN243">
        <v>2.4199999999999998E-3</v>
      </c>
      <c r="BS243" s="4" t="s">
        <v>2262</v>
      </c>
    </row>
    <row r="244" spans="1:71" ht="15.75" thickBot="1" x14ac:dyDescent="0.3">
      <c r="A244" s="569" t="s">
        <v>2564</v>
      </c>
      <c r="B244" s="569" t="s">
        <v>1388</v>
      </c>
      <c r="C244" s="569" t="s">
        <v>3</v>
      </c>
      <c r="D244" s="574">
        <v>5</v>
      </c>
      <c r="E244" s="569"/>
      <c r="F244" s="569"/>
      <c r="G244" s="569"/>
      <c r="H244" s="569"/>
      <c r="I244" s="574">
        <v>0</v>
      </c>
      <c r="J244" s="574">
        <v>0</v>
      </c>
      <c r="K244" s="574">
        <v>0</v>
      </c>
      <c r="L244" s="574">
        <v>4.5</v>
      </c>
      <c r="M244" s="574">
        <v>0.2</v>
      </c>
      <c r="N244" s="574">
        <v>32</v>
      </c>
      <c r="O244" s="574">
        <v>15.7</v>
      </c>
      <c r="P244" s="574">
        <v>0.6</v>
      </c>
      <c r="Q244" s="574">
        <v>65.8</v>
      </c>
      <c r="R244" s="569"/>
      <c r="S244" s="569"/>
      <c r="T244" s="569"/>
      <c r="U244" s="569"/>
      <c r="V244" s="569"/>
      <c r="W244" s="569"/>
      <c r="X244" s="569"/>
      <c r="Y244" s="569"/>
      <c r="Z244" s="569"/>
      <c r="AA244" s="569"/>
      <c r="AB244" s="569"/>
      <c r="AC244" s="569"/>
      <c r="AD244" s="569"/>
      <c r="AE244" s="569"/>
      <c r="AF244" s="569"/>
      <c r="AG244" s="569"/>
      <c r="AH244" s="569"/>
      <c r="AI244" s="569"/>
      <c r="AJ244" s="569"/>
      <c r="AK244" s="569"/>
      <c r="AL244" s="569"/>
      <c r="AM244" s="569"/>
      <c r="AN244" s="574">
        <v>14.1</v>
      </c>
      <c r="AO244">
        <v>243</v>
      </c>
      <c r="AP244" t="str">
        <f t="shared" si="53"/>
        <v/>
      </c>
      <c r="AQ244" t="str">
        <f t="shared" si="43"/>
        <v/>
      </c>
      <c r="AR244" s="430">
        <f>IFERROR(
IF(AP244="",-100,
IF($BV$2&gt;0, INDEX(Beersheet!$A:$U,MATCH(AP244,INDEX(Beersheet!$A:$U,0,FFARawStatProjections!$BV$2),0),$BV$3)+$BN244,
INDEX($A244:$BM244,,$BV$12)*$BW$12+
INDEX($A244:$BM244,,$BV$15)*$BW$15+
INDEX($A244:$BM244,,$BV$16)*$BW$16+
INDEX($A244:$BM244,,$BV$17)*$BW$17+
INDEX($A244:$BM244,,$BV$18)*$BW$18+
INDEX($A244:$BM244,,$BV$19)*$BW$19+
INDEX($A244:$BM244,,$BV$20)*$BW$20+
INDEX($A244:$BM244,,$BV$21)*$BW$21+
INDEX($A244:$BM244,,$BV$22)*$BW$22+
INDEX($A244:$BM244,,$BV$23)*$BW$23+
INDEX($A244:$BM244,,$BV$25)*$BW$25+
INDEX($A244:$BM244,,$BV$26)*$BW$26+
INDEX($A244:$BM244,,$BV$27)*$BW$27+
$BN244)),
$BN244-100)</f>
        <v>-100</v>
      </c>
      <c r="AT244" t="str">
        <f t="shared" si="44"/>
        <v>Elijah Dotson</v>
      </c>
      <c r="AU244" t="str">
        <f t="shared" si="45"/>
        <v>LAC</v>
      </c>
      <c r="AV244" s="430">
        <f>IFERROR(
IF(AT244="",-100,
IF($BV$2&gt;0, INDEX(Beersheet!$A:$U,MATCH(AT244,INDEX(Beersheet!$A:$U,0,FFARawStatProjections!$BV$2),0),$BV$3)+$BN244,
INDEX($A244:$BM244,,$BV$12)*$BW$12+
INDEX($A244:$BM244,,$BV$15)*$BW$15+
INDEX($A244:$BM244,,$BV$16)*$BW$16+
INDEX($A244:$BM244,,$BV$17)*$BW$17+
INDEX($A244:$BM244,,$BV$18)*$BW$18+
INDEX($A244:$BM244,,$BV$19)*$BW$19+
INDEX($A244:$BM244,,$BV$20)*$BW$20+
INDEX($A244:$BM244,,$BV$21)*$BW$21+
INDEX($A244:$BM244,,$BV$22)*$BW$22+
INDEX($A244:$BM244,,$BV$23)*$BW$23+
INDEX($A244:$BM244,,$BV$25)*$BW$25+
INDEX($A244:$BM244,,$BV$26)*$BW$26+
INDEX($A244:$BM244,,$BV$27)*$BW$27+
$BN244)),
$BN244-100)</f>
        <v>19.082429999999999</v>
      </c>
      <c r="AX244" t="str">
        <f t="shared" si="46"/>
        <v/>
      </c>
      <c r="AY244" t="str">
        <f t="shared" si="47"/>
        <v/>
      </c>
      <c r="AZ244" s="430">
        <f>IFERROR(
IF(AX244="",-100,
IF($BV$2&gt;0, INDEX(Beersheet!$A:$U,MATCH(AX244,INDEX(Beersheet!$A:$U,0,FFARawStatProjections!$BV$2),0),$BV$3)+$BN244,
INDEX($A244:$BM244,,$BV$12)*$BW$12+
INDEX($A244:$BM244,,$BV$15)*$BW$15+
INDEX($A244:$BM244,,$BV$16)*$BW$16+
INDEX($A244:$BM244,,$BV$17)*$BW$17+
INDEX($A244:$BM244,,$BV$18)*$BW$18+
INDEX($A244:$BM244,,$BV$19)*$BW$19+
INDEX($A244:$BM244,,$BV$20)*$BW$20+
INDEX($A244:$BM244,,$BV$21)*$BW$21+
INDEX($A244:$BM244,,$BV$22)*$BW$22+
INDEX($A244:$BM244,,$BV$23)*$BW$23+
INDEX($A244:$BM244,,$BV$25)*$BW$25+
INDEX($A244:$BM244,,$BV$26)*$BW$26+
INDEX($A244:$BM244,,$BV$27)*$BW$27+
$BN244)),
$BN244-100)</f>
        <v>-100</v>
      </c>
      <c r="BB244" t="str">
        <f t="shared" si="48"/>
        <v/>
      </c>
      <c r="BC244" t="str">
        <f t="shared" si="42"/>
        <v/>
      </c>
      <c r="BD244" s="430">
        <f>IFERROR(
IF(BB244="",-100,
IF($BV$2&gt;0, INDEX(Beersheet!$A:$U,MATCH(BB244,INDEX(Beersheet!$A:$U,0,FFARawStatProjections!$BV$2),0),$BV$3)+$BN244,
INDEX($A244:$BM244,,$BV$12)*$BW$12+
INDEX($A244:$BM244,,$BV$15)*$BW$15+
INDEX($A244:$BM244,,$BV$16)*$BW$16+
INDEX($A244:$BM244,,$BV$17)*$BW$17+
INDEX($A244:$BM244,,$BV$18)*$BW$18+
INDEX($A244:$BM244,,$BV$19)*$BW$19+
INDEX($A244:$BM244,,$BV$20)*$BW$20+
INDEX($A244:$BM244,,$BV$21)*$BW$21+
INDEX($A244:$BM244,,$BV$22)*$BW$22+
INDEX($A244:$BM244,,$BV$23)*$BW$23+
INDEX($A244:$BM244,,$BV$25)*$BW$25+
INDEX($A244:$BM244,,$BV$26)*$BW$26+
INDEX($A244:$BM244,,$BV$27)*$BW$27+
$BN244)),
$BN244-100)</f>
        <v>-100</v>
      </c>
      <c r="BF244" t="str">
        <f t="shared" si="49"/>
        <v/>
      </c>
      <c r="BG244" t="str">
        <f t="shared" si="50"/>
        <v/>
      </c>
      <c r="BH244">
        <f t="shared" si="51"/>
        <v>0</v>
      </c>
      <c r="BJ244" t="str">
        <f t="shared" si="52"/>
        <v/>
      </c>
      <c r="BL244">
        <f t="shared" si="54"/>
        <v>0</v>
      </c>
      <c r="BN244">
        <v>2.4299999999999999E-3</v>
      </c>
      <c r="BS244" s="4" t="s">
        <v>2265</v>
      </c>
    </row>
    <row r="245" spans="1:71" ht="15.75" thickBot="1" x14ac:dyDescent="0.3">
      <c r="A245" s="569" t="s">
        <v>1869</v>
      </c>
      <c r="B245" s="569" t="s">
        <v>162</v>
      </c>
      <c r="C245" s="569" t="s">
        <v>3</v>
      </c>
      <c r="D245" s="574">
        <v>13</v>
      </c>
      <c r="E245" s="569"/>
      <c r="F245" s="569"/>
      <c r="G245" s="569"/>
      <c r="H245" s="569"/>
      <c r="I245" s="574">
        <v>0</v>
      </c>
      <c r="J245" s="574">
        <v>0</v>
      </c>
      <c r="K245" s="574">
        <v>0</v>
      </c>
      <c r="L245" s="574">
        <v>6.4</v>
      </c>
      <c r="M245" s="574">
        <v>0.2</v>
      </c>
      <c r="N245" s="574">
        <v>39.700000000000003</v>
      </c>
      <c r="O245" s="574">
        <v>18.5</v>
      </c>
      <c r="P245" s="574">
        <v>0.3</v>
      </c>
      <c r="Q245" s="574">
        <v>79</v>
      </c>
      <c r="R245" s="569"/>
      <c r="S245" s="569"/>
      <c r="T245" s="569"/>
      <c r="U245" s="569"/>
      <c r="V245" s="569"/>
      <c r="W245" s="569"/>
      <c r="X245" s="569"/>
      <c r="Y245" s="569"/>
      <c r="Z245" s="569"/>
      <c r="AA245" s="569"/>
      <c r="AB245" s="569"/>
      <c r="AC245" s="569"/>
      <c r="AD245" s="569"/>
      <c r="AE245" s="569"/>
      <c r="AF245" s="569"/>
      <c r="AG245" s="569"/>
      <c r="AH245" s="569"/>
      <c r="AI245" s="569"/>
      <c r="AJ245" s="569"/>
      <c r="AK245" s="569"/>
      <c r="AL245" s="569"/>
      <c r="AM245" s="569"/>
      <c r="AN245" s="574">
        <v>14</v>
      </c>
      <c r="AO245">
        <v>244</v>
      </c>
      <c r="AP245" t="str">
        <f t="shared" si="53"/>
        <v/>
      </c>
      <c r="AQ245" t="str">
        <f t="shared" si="43"/>
        <v/>
      </c>
      <c r="AR245" s="430">
        <f>IFERROR(
IF(AP245="",-100,
IF($BV$2&gt;0, INDEX(Beersheet!$A:$U,MATCH(AP245,INDEX(Beersheet!$A:$U,0,FFARawStatProjections!$BV$2),0),$BV$3)+$BN245,
INDEX($A245:$BM245,,$BV$12)*$BW$12+
INDEX($A245:$BM245,,$BV$15)*$BW$15+
INDEX($A245:$BM245,,$BV$16)*$BW$16+
INDEX($A245:$BM245,,$BV$17)*$BW$17+
INDEX($A245:$BM245,,$BV$18)*$BW$18+
INDEX($A245:$BM245,,$BV$19)*$BW$19+
INDEX($A245:$BM245,,$BV$20)*$BW$20+
INDEX($A245:$BM245,,$BV$21)*$BW$21+
INDEX($A245:$BM245,,$BV$22)*$BW$22+
INDEX($A245:$BM245,,$BV$23)*$BW$23+
INDEX($A245:$BM245,,$BV$25)*$BW$25+
INDEX($A245:$BM245,,$BV$26)*$BW$26+
INDEX($A245:$BM245,,$BV$27)*$BW$27+
$BN245)),
$BN245-100)</f>
        <v>-100</v>
      </c>
      <c r="AT245" t="str">
        <f t="shared" si="44"/>
        <v>Justice Hill</v>
      </c>
      <c r="AU245" t="str">
        <f t="shared" si="45"/>
        <v>BAL</v>
      </c>
      <c r="AV245" s="430">
        <f>IFERROR(
IF(AT245="",-100,
IF($BV$2&gt;0, INDEX(Beersheet!$A:$U,MATCH(AT245,INDEX(Beersheet!$A:$U,0,FFARawStatProjections!$BV$2),0),$BV$3)+$BN245,
INDEX($A245:$BM245,,$BV$12)*$BW$12+
INDEX($A245:$BM245,,$BV$15)*$BW$15+
INDEX($A245:$BM245,,$BV$16)*$BW$16+
INDEX($A245:$BM245,,$BV$17)*$BW$17+
INDEX($A245:$BM245,,$BV$18)*$BW$18+
INDEX($A245:$BM245,,$BV$19)*$BW$19+
INDEX($A245:$BM245,,$BV$20)*$BW$20+
INDEX($A245:$BM245,,$BV$21)*$BW$21+
INDEX($A245:$BM245,,$BV$22)*$BW$22+
INDEX($A245:$BM245,,$BV$23)*$BW$23+
INDEX($A245:$BM245,,$BV$25)*$BW$25+
INDEX($A245:$BM245,,$BV$26)*$BW$26+
INDEX($A245:$BM245,,$BV$27)*$BW$27+
$BN245)),
$BN245-100)</f>
        <v>21.272440000000003</v>
      </c>
      <c r="AX245" t="str">
        <f t="shared" si="46"/>
        <v/>
      </c>
      <c r="AY245" t="str">
        <f t="shared" si="47"/>
        <v/>
      </c>
      <c r="AZ245" s="430">
        <f>IFERROR(
IF(AX245="",-100,
IF($BV$2&gt;0, INDEX(Beersheet!$A:$U,MATCH(AX245,INDEX(Beersheet!$A:$U,0,FFARawStatProjections!$BV$2),0),$BV$3)+$BN245,
INDEX($A245:$BM245,,$BV$12)*$BW$12+
INDEX($A245:$BM245,,$BV$15)*$BW$15+
INDEX($A245:$BM245,,$BV$16)*$BW$16+
INDEX($A245:$BM245,,$BV$17)*$BW$17+
INDEX($A245:$BM245,,$BV$18)*$BW$18+
INDEX($A245:$BM245,,$BV$19)*$BW$19+
INDEX($A245:$BM245,,$BV$20)*$BW$20+
INDEX($A245:$BM245,,$BV$21)*$BW$21+
INDEX($A245:$BM245,,$BV$22)*$BW$22+
INDEX($A245:$BM245,,$BV$23)*$BW$23+
INDEX($A245:$BM245,,$BV$25)*$BW$25+
INDEX($A245:$BM245,,$BV$26)*$BW$26+
INDEX($A245:$BM245,,$BV$27)*$BW$27+
$BN245)),
$BN245-100)</f>
        <v>-100</v>
      </c>
      <c r="BB245" t="str">
        <f t="shared" si="48"/>
        <v/>
      </c>
      <c r="BC245" t="str">
        <f t="shared" si="42"/>
        <v/>
      </c>
      <c r="BD245" s="430">
        <f>IFERROR(
IF(BB245="",-100,
IF($BV$2&gt;0, INDEX(Beersheet!$A:$U,MATCH(BB245,INDEX(Beersheet!$A:$U,0,FFARawStatProjections!$BV$2),0),$BV$3)+$BN245,
INDEX($A245:$BM245,,$BV$12)*$BW$12+
INDEX($A245:$BM245,,$BV$15)*$BW$15+
INDEX($A245:$BM245,,$BV$16)*$BW$16+
INDEX($A245:$BM245,,$BV$17)*$BW$17+
INDEX($A245:$BM245,,$BV$18)*$BW$18+
INDEX($A245:$BM245,,$BV$19)*$BW$19+
INDEX($A245:$BM245,,$BV$20)*$BW$20+
INDEX($A245:$BM245,,$BV$21)*$BW$21+
INDEX($A245:$BM245,,$BV$22)*$BW$22+
INDEX($A245:$BM245,,$BV$23)*$BW$23+
INDEX($A245:$BM245,,$BV$25)*$BW$25+
INDEX($A245:$BM245,,$BV$26)*$BW$26+
INDEX($A245:$BM245,,$BV$27)*$BW$27+
$BN245)),
$BN245-100)</f>
        <v>-100</v>
      </c>
      <c r="BF245" t="str">
        <f t="shared" si="49"/>
        <v/>
      </c>
      <c r="BG245" t="str">
        <f t="shared" si="50"/>
        <v/>
      </c>
      <c r="BH245">
        <f t="shared" si="51"/>
        <v>0</v>
      </c>
      <c r="BJ245" t="str">
        <f t="shared" si="52"/>
        <v/>
      </c>
      <c r="BL245">
        <f t="shared" si="54"/>
        <v>0</v>
      </c>
      <c r="BN245">
        <v>2.4399999999999999E-3</v>
      </c>
      <c r="BS245" s="4" t="s">
        <v>2341</v>
      </c>
    </row>
    <row r="246" spans="1:71" ht="15.75" thickBot="1" x14ac:dyDescent="0.3">
      <c r="A246" s="569" t="s">
        <v>2452</v>
      </c>
      <c r="B246" s="569" t="s">
        <v>162</v>
      </c>
      <c r="C246" s="569" t="s">
        <v>3</v>
      </c>
      <c r="D246" s="574">
        <v>13</v>
      </c>
      <c r="E246" s="569"/>
      <c r="F246" s="569"/>
      <c r="G246" s="569"/>
      <c r="H246" s="569"/>
      <c r="I246" s="574">
        <v>0</v>
      </c>
      <c r="J246" s="574">
        <v>0</v>
      </c>
      <c r="K246" s="574">
        <v>0</v>
      </c>
      <c r="L246" s="574">
        <v>0</v>
      </c>
      <c r="M246" s="574">
        <v>0</v>
      </c>
      <c r="N246" s="574">
        <v>38.4</v>
      </c>
      <c r="O246" s="574">
        <v>32.299999999999997</v>
      </c>
      <c r="P246" s="574">
        <v>0</v>
      </c>
      <c r="Q246" s="574">
        <v>103.5</v>
      </c>
      <c r="R246" s="569"/>
      <c r="S246" s="569"/>
      <c r="T246" s="569"/>
      <c r="U246" s="569"/>
      <c r="V246" s="569"/>
      <c r="W246" s="569"/>
      <c r="X246" s="569"/>
      <c r="Y246" s="569"/>
      <c r="Z246" s="569"/>
      <c r="AA246" s="569"/>
      <c r="AB246" s="569"/>
      <c r="AC246" s="569"/>
      <c r="AD246" s="569"/>
      <c r="AE246" s="569"/>
      <c r="AF246" s="569"/>
      <c r="AG246" s="569"/>
      <c r="AH246" s="569"/>
      <c r="AI246" s="569"/>
      <c r="AJ246" s="569"/>
      <c r="AK246" s="569"/>
      <c r="AL246" s="569"/>
      <c r="AM246" s="569"/>
      <c r="AN246" s="574">
        <v>13.8</v>
      </c>
      <c r="AO246">
        <v>245</v>
      </c>
      <c r="AP246" t="str">
        <f t="shared" si="53"/>
        <v/>
      </c>
      <c r="AQ246" t="str">
        <f t="shared" si="43"/>
        <v/>
      </c>
      <c r="AR246" s="430">
        <f>IFERROR(
IF(AP246="",-100,
IF($BV$2&gt;0, INDEX(Beersheet!$A:$U,MATCH(AP246,INDEX(Beersheet!$A:$U,0,FFARawStatProjections!$BV$2),0),$BV$3)+$BN246,
INDEX($A246:$BM246,,$BV$12)*$BW$12+
INDEX($A246:$BM246,,$BV$15)*$BW$15+
INDEX($A246:$BM246,,$BV$16)*$BW$16+
INDEX($A246:$BM246,,$BV$17)*$BW$17+
INDEX($A246:$BM246,,$BV$18)*$BW$18+
INDEX($A246:$BM246,,$BV$19)*$BW$19+
INDEX($A246:$BM246,,$BV$20)*$BW$20+
INDEX($A246:$BM246,,$BV$21)*$BW$21+
INDEX($A246:$BM246,,$BV$22)*$BW$22+
INDEX($A246:$BM246,,$BV$23)*$BW$23+
INDEX($A246:$BM246,,$BV$25)*$BW$25+
INDEX($A246:$BM246,,$BV$26)*$BW$26+
INDEX($A246:$BM246,,$BV$27)*$BW$27+
$BN246)),
$BN246-100)</f>
        <v>-100</v>
      </c>
      <c r="AT246" t="str">
        <f t="shared" si="44"/>
        <v>Keaton Mitchell</v>
      </c>
      <c r="AU246" t="str">
        <f t="shared" si="45"/>
        <v>BAL</v>
      </c>
      <c r="AV246" s="430">
        <f>IFERROR(
IF(AT246="",-100,
IF($BV$2&gt;0, INDEX(Beersheet!$A:$U,MATCH(AT246,INDEX(Beersheet!$A:$U,0,FFARawStatProjections!$BV$2),0),$BV$3)+$BN246,
INDEX($A246:$BM246,,$BV$12)*$BW$12+
INDEX($A246:$BM246,,$BV$15)*$BW$15+
INDEX($A246:$BM246,,$BV$16)*$BW$16+
INDEX($A246:$BM246,,$BV$17)*$BW$17+
INDEX($A246:$BM246,,$BV$18)*$BW$18+
INDEX($A246:$BM246,,$BV$19)*$BW$19+
INDEX($A246:$BM246,,$BV$20)*$BW$20+
INDEX($A246:$BM246,,$BV$21)*$BW$21+
INDEX($A246:$BM246,,$BV$22)*$BW$22+
INDEX($A246:$BM246,,$BV$23)*$BW$23+
INDEX($A246:$BM246,,$BV$25)*$BW$25+
INDEX($A246:$BM246,,$BV$26)*$BW$26+
INDEX($A246:$BM246,,$BV$27)*$BW$27+
$BN246)),
$BN246-100)</f>
        <v>14.192450000000001</v>
      </c>
      <c r="AX246" t="str">
        <f t="shared" si="46"/>
        <v/>
      </c>
      <c r="AY246" t="str">
        <f t="shared" si="47"/>
        <v/>
      </c>
      <c r="AZ246" s="430">
        <f>IFERROR(
IF(AX246="",-100,
IF($BV$2&gt;0, INDEX(Beersheet!$A:$U,MATCH(AX246,INDEX(Beersheet!$A:$U,0,FFARawStatProjections!$BV$2),0),$BV$3)+$BN246,
INDEX($A246:$BM246,,$BV$12)*$BW$12+
INDEX($A246:$BM246,,$BV$15)*$BW$15+
INDEX($A246:$BM246,,$BV$16)*$BW$16+
INDEX($A246:$BM246,,$BV$17)*$BW$17+
INDEX($A246:$BM246,,$BV$18)*$BW$18+
INDEX($A246:$BM246,,$BV$19)*$BW$19+
INDEX($A246:$BM246,,$BV$20)*$BW$20+
INDEX($A246:$BM246,,$BV$21)*$BW$21+
INDEX($A246:$BM246,,$BV$22)*$BW$22+
INDEX($A246:$BM246,,$BV$23)*$BW$23+
INDEX($A246:$BM246,,$BV$25)*$BW$25+
INDEX($A246:$BM246,,$BV$26)*$BW$26+
INDEX($A246:$BM246,,$BV$27)*$BW$27+
$BN246)),
$BN246-100)</f>
        <v>-100</v>
      </c>
      <c r="BB246" t="str">
        <f t="shared" si="48"/>
        <v/>
      </c>
      <c r="BC246" t="str">
        <f t="shared" si="42"/>
        <v/>
      </c>
      <c r="BD246" s="430">
        <f>IFERROR(
IF(BB246="",-100,
IF($BV$2&gt;0, INDEX(Beersheet!$A:$U,MATCH(BB246,INDEX(Beersheet!$A:$U,0,FFARawStatProjections!$BV$2),0),$BV$3)+$BN246,
INDEX($A246:$BM246,,$BV$12)*$BW$12+
INDEX($A246:$BM246,,$BV$15)*$BW$15+
INDEX($A246:$BM246,,$BV$16)*$BW$16+
INDEX($A246:$BM246,,$BV$17)*$BW$17+
INDEX($A246:$BM246,,$BV$18)*$BW$18+
INDEX($A246:$BM246,,$BV$19)*$BW$19+
INDEX($A246:$BM246,,$BV$20)*$BW$20+
INDEX($A246:$BM246,,$BV$21)*$BW$21+
INDEX($A246:$BM246,,$BV$22)*$BW$22+
INDEX($A246:$BM246,,$BV$23)*$BW$23+
INDEX($A246:$BM246,,$BV$25)*$BW$25+
INDEX($A246:$BM246,,$BV$26)*$BW$26+
INDEX($A246:$BM246,,$BV$27)*$BW$27+
$BN246)),
$BN246-100)</f>
        <v>-100</v>
      </c>
      <c r="BF246" t="str">
        <f t="shared" si="49"/>
        <v/>
      </c>
      <c r="BG246" t="str">
        <f t="shared" si="50"/>
        <v/>
      </c>
      <c r="BH246">
        <f t="shared" si="51"/>
        <v>0</v>
      </c>
      <c r="BJ246" t="str">
        <f t="shared" si="52"/>
        <v/>
      </c>
      <c r="BL246">
        <f t="shared" si="54"/>
        <v>0</v>
      </c>
      <c r="BN246">
        <v>2.4499999999999999E-3</v>
      </c>
      <c r="BS246" s="4" t="s">
        <v>1412</v>
      </c>
    </row>
    <row r="247" spans="1:71" ht="15.75" thickBot="1" x14ac:dyDescent="0.3">
      <c r="A247" s="569" t="s">
        <v>2301</v>
      </c>
      <c r="B247" s="569" t="s">
        <v>165</v>
      </c>
      <c r="C247" s="569" t="s">
        <v>3</v>
      </c>
      <c r="D247" s="574">
        <v>9</v>
      </c>
      <c r="E247" s="569"/>
      <c r="F247" s="569"/>
      <c r="G247" s="569"/>
      <c r="H247" s="569"/>
      <c r="I247" s="574">
        <v>0</v>
      </c>
      <c r="J247" s="574">
        <v>0</v>
      </c>
      <c r="K247" s="574">
        <v>0</v>
      </c>
      <c r="L247" s="574">
        <v>3.2</v>
      </c>
      <c r="M247" s="574">
        <v>0.1</v>
      </c>
      <c r="N247" s="574">
        <v>21.7</v>
      </c>
      <c r="O247" s="574">
        <v>22.7</v>
      </c>
      <c r="P247" s="574">
        <v>0.6</v>
      </c>
      <c r="Q247" s="574">
        <v>73.5</v>
      </c>
      <c r="R247" s="569"/>
      <c r="S247" s="569"/>
      <c r="T247" s="569"/>
      <c r="U247" s="569"/>
      <c r="V247" s="569"/>
      <c r="W247" s="569"/>
      <c r="X247" s="569"/>
      <c r="Y247" s="569"/>
      <c r="Z247" s="569"/>
      <c r="AA247" s="569"/>
      <c r="AB247" s="569"/>
      <c r="AC247" s="569"/>
      <c r="AD247" s="569"/>
      <c r="AE247" s="569"/>
      <c r="AF247" s="569"/>
      <c r="AG247" s="569"/>
      <c r="AH247" s="569"/>
      <c r="AI247" s="569"/>
      <c r="AJ247" s="569"/>
      <c r="AK247" s="569"/>
      <c r="AL247" s="569"/>
      <c r="AM247" s="569"/>
      <c r="AN247" s="574">
        <v>13.6</v>
      </c>
      <c r="AO247">
        <v>246</v>
      </c>
      <c r="AP247" t="str">
        <f t="shared" si="53"/>
        <v/>
      </c>
      <c r="AQ247" t="str">
        <f t="shared" si="43"/>
        <v/>
      </c>
      <c r="AR247" s="430">
        <f>IFERROR(
IF(AP247="",-100,
IF($BV$2&gt;0, INDEX(Beersheet!$A:$U,MATCH(AP247,INDEX(Beersheet!$A:$U,0,FFARawStatProjections!$BV$2),0),$BV$3)+$BN247,
INDEX($A247:$BM247,,$BV$12)*$BW$12+
INDEX($A247:$BM247,,$BV$15)*$BW$15+
INDEX($A247:$BM247,,$BV$16)*$BW$16+
INDEX($A247:$BM247,,$BV$17)*$BW$17+
INDEX($A247:$BM247,,$BV$18)*$BW$18+
INDEX($A247:$BM247,,$BV$19)*$BW$19+
INDEX($A247:$BM247,,$BV$20)*$BW$20+
INDEX($A247:$BM247,,$BV$21)*$BW$21+
INDEX($A247:$BM247,,$BV$22)*$BW$22+
INDEX($A247:$BM247,,$BV$23)*$BW$23+
INDEX($A247:$BM247,,$BV$25)*$BW$25+
INDEX($A247:$BM247,,$BV$26)*$BW$26+
INDEX($A247:$BM247,,$BV$27)*$BW$27+
$BN247)),
$BN247-100)</f>
        <v>-100</v>
      </c>
      <c r="AT247" t="str">
        <f t="shared" si="44"/>
        <v>Snoop Conner</v>
      </c>
      <c r="AU247" t="str">
        <f t="shared" si="45"/>
        <v>JAC</v>
      </c>
      <c r="AV247" s="430">
        <f>IFERROR(
IF(AT247="",-100,
IF($BV$2&gt;0, INDEX(Beersheet!$A:$U,MATCH(AT247,INDEX(Beersheet!$A:$U,0,FFARawStatProjections!$BV$2),0),$BV$3)+$BN247,
INDEX($A247:$BM247,,$BV$12)*$BW$12+
INDEX($A247:$BM247,,$BV$15)*$BW$15+
INDEX($A247:$BM247,,$BV$16)*$BW$16+
INDEX($A247:$BM247,,$BV$17)*$BW$17+
INDEX($A247:$BM247,,$BV$18)*$BW$18+
INDEX($A247:$BM247,,$BV$19)*$BW$19+
INDEX($A247:$BM247,,$BV$20)*$BW$20+
INDEX($A247:$BM247,,$BV$21)*$BW$21+
INDEX($A247:$BM247,,$BV$22)*$BW$22+
INDEX($A247:$BM247,,$BV$23)*$BW$23+
INDEX($A247:$BM247,,$BV$25)*$BW$25+
INDEX($A247:$BM247,,$BV$26)*$BW$26+
INDEX($A247:$BM247,,$BV$27)*$BW$27+
$BN247)),
$BN247-100)</f>
        <v>16.922460000000001</v>
      </c>
      <c r="AX247" t="str">
        <f t="shared" si="46"/>
        <v/>
      </c>
      <c r="AY247" t="str">
        <f t="shared" si="47"/>
        <v/>
      </c>
      <c r="AZ247" s="430">
        <f>IFERROR(
IF(AX247="",-100,
IF($BV$2&gt;0, INDEX(Beersheet!$A:$U,MATCH(AX247,INDEX(Beersheet!$A:$U,0,FFARawStatProjections!$BV$2),0),$BV$3)+$BN247,
INDEX($A247:$BM247,,$BV$12)*$BW$12+
INDEX($A247:$BM247,,$BV$15)*$BW$15+
INDEX($A247:$BM247,,$BV$16)*$BW$16+
INDEX($A247:$BM247,,$BV$17)*$BW$17+
INDEX($A247:$BM247,,$BV$18)*$BW$18+
INDEX($A247:$BM247,,$BV$19)*$BW$19+
INDEX($A247:$BM247,,$BV$20)*$BW$20+
INDEX($A247:$BM247,,$BV$21)*$BW$21+
INDEX($A247:$BM247,,$BV$22)*$BW$22+
INDEX($A247:$BM247,,$BV$23)*$BW$23+
INDEX($A247:$BM247,,$BV$25)*$BW$25+
INDEX($A247:$BM247,,$BV$26)*$BW$26+
INDEX($A247:$BM247,,$BV$27)*$BW$27+
$BN247)),
$BN247-100)</f>
        <v>-100</v>
      </c>
      <c r="BB247" t="str">
        <f t="shared" si="48"/>
        <v/>
      </c>
      <c r="BC247" t="str">
        <f t="shared" si="42"/>
        <v/>
      </c>
      <c r="BD247" s="430">
        <f>IFERROR(
IF(BB247="",-100,
IF($BV$2&gt;0, INDEX(Beersheet!$A:$U,MATCH(BB247,INDEX(Beersheet!$A:$U,0,FFARawStatProjections!$BV$2),0),$BV$3)+$BN247,
INDEX($A247:$BM247,,$BV$12)*$BW$12+
INDEX($A247:$BM247,,$BV$15)*$BW$15+
INDEX($A247:$BM247,,$BV$16)*$BW$16+
INDEX($A247:$BM247,,$BV$17)*$BW$17+
INDEX($A247:$BM247,,$BV$18)*$BW$18+
INDEX($A247:$BM247,,$BV$19)*$BW$19+
INDEX($A247:$BM247,,$BV$20)*$BW$20+
INDEX($A247:$BM247,,$BV$21)*$BW$21+
INDEX($A247:$BM247,,$BV$22)*$BW$22+
INDEX($A247:$BM247,,$BV$23)*$BW$23+
INDEX($A247:$BM247,,$BV$25)*$BW$25+
INDEX($A247:$BM247,,$BV$26)*$BW$26+
INDEX($A247:$BM247,,$BV$27)*$BW$27+
$BN247)),
$BN247-100)</f>
        <v>-100</v>
      </c>
      <c r="BF247" t="str">
        <f t="shared" si="49"/>
        <v/>
      </c>
      <c r="BG247" t="str">
        <f t="shared" si="50"/>
        <v/>
      </c>
      <c r="BH247">
        <f t="shared" si="51"/>
        <v>0</v>
      </c>
      <c r="BJ247" t="str">
        <f t="shared" si="52"/>
        <v/>
      </c>
      <c r="BL247">
        <f t="shared" si="54"/>
        <v>0</v>
      </c>
      <c r="BN247">
        <v>2.4599999999999999E-3</v>
      </c>
      <c r="BS247" s="4" t="s">
        <v>2487</v>
      </c>
    </row>
    <row r="248" spans="1:71" ht="15.75" thickBot="1" x14ac:dyDescent="0.3">
      <c r="A248" s="569" t="s">
        <v>2433</v>
      </c>
      <c r="B248" s="569" t="s">
        <v>142</v>
      </c>
      <c r="C248" s="569" t="s">
        <v>3</v>
      </c>
      <c r="D248" s="574">
        <v>9</v>
      </c>
      <c r="E248" s="569"/>
      <c r="F248" s="569"/>
      <c r="G248" s="569"/>
      <c r="H248" s="569"/>
      <c r="I248" s="574">
        <v>0</v>
      </c>
      <c r="J248" s="574">
        <v>0</v>
      </c>
      <c r="K248" s="574">
        <v>0</v>
      </c>
      <c r="L248" s="574">
        <v>6</v>
      </c>
      <c r="M248" s="574">
        <v>0.1</v>
      </c>
      <c r="N248" s="574">
        <v>40.200000000000003</v>
      </c>
      <c r="O248" s="574">
        <v>21.1</v>
      </c>
      <c r="P248" s="574">
        <v>0.3</v>
      </c>
      <c r="Q248" s="574">
        <v>73.8</v>
      </c>
      <c r="R248" s="569"/>
      <c r="S248" s="569"/>
      <c r="T248" s="569"/>
      <c r="U248" s="569"/>
      <c r="V248" s="569"/>
      <c r="W248" s="569"/>
      <c r="X248" s="569"/>
      <c r="Y248" s="569"/>
      <c r="Z248" s="569"/>
      <c r="AA248" s="569"/>
      <c r="AB248" s="569"/>
      <c r="AC248" s="569"/>
      <c r="AD248" s="569"/>
      <c r="AE248" s="569"/>
      <c r="AF248" s="569"/>
      <c r="AG248" s="569"/>
      <c r="AH248" s="569"/>
      <c r="AI248" s="569"/>
      <c r="AJ248" s="569"/>
      <c r="AK248" s="569"/>
      <c r="AL248" s="569"/>
      <c r="AM248" s="569"/>
      <c r="AN248" s="574">
        <v>13.6</v>
      </c>
      <c r="AO248">
        <v>247</v>
      </c>
      <c r="AP248" t="str">
        <f t="shared" si="53"/>
        <v/>
      </c>
      <c r="AQ248" t="str">
        <f t="shared" si="43"/>
        <v/>
      </c>
      <c r="AR248" s="430">
        <f>IFERROR(
IF(AP248="",-100,
IF($BV$2&gt;0, INDEX(Beersheet!$A:$U,MATCH(AP248,INDEX(Beersheet!$A:$U,0,FFARawStatProjections!$BV$2),0),$BV$3)+$BN248,
INDEX($A248:$BM248,,$BV$12)*$BW$12+
INDEX($A248:$BM248,,$BV$15)*$BW$15+
INDEX($A248:$BM248,,$BV$16)*$BW$16+
INDEX($A248:$BM248,,$BV$17)*$BW$17+
INDEX($A248:$BM248,,$BV$18)*$BW$18+
INDEX($A248:$BM248,,$BV$19)*$BW$19+
INDEX($A248:$BM248,,$BV$20)*$BW$20+
INDEX($A248:$BM248,,$BV$21)*$BW$21+
INDEX($A248:$BM248,,$BV$22)*$BW$22+
INDEX($A248:$BM248,,$BV$23)*$BW$23+
INDEX($A248:$BM248,,$BV$25)*$BW$25+
INDEX($A248:$BM248,,$BV$26)*$BW$26+
INDEX($A248:$BM248,,$BV$27)*$BW$27+
$BN248)),
$BN248-100)</f>
        <v>-100</v>
      </c>
      <c r="AT248" t="str">
        <f t="shared" si="44"/>
        <v>Mohamed Ibrahim</v>
      </c>
      <c r="AU248" t="str">
        <f t="shared" si="45"/>
        <v>DET</v>
      </c>
      <c r="AV248" s="430">
        <f>IFERROR(
IF(AT248="",-100,
IF($BV$2&gt;0, INDEX(Beersheet!$A:$U,MATCH(AT248,INDEX(Beersheet!$A:$U,0,FFARawStatProjections!$BV$2),0),$BV$3)+$BN248,
INDEX($A248:$BM248,,$BV$12)*$BW$12+
INDEX($A248:$BM248,,$BV$15)*$BW$15+
INDEX($A248:$BM248,,$BV$16)*$BW$16+
INDEX($A248:$BM248,,$BV$17)*$BW$17+
INDEX($A248:$BM248,,$BV$18)*$BW$18+
INDEX($A248:$BM248,,$BV$19)*$BW$19+
INDEX($A248:$BM248,,$BV$20)*$BW$20+
INDEX($A248:$BM248,,$BV$21)*$BW$21+
INDEX($A248:$BM248,,$BV$22)*$BW$22+
INDEX($A248:$BM248,,$BV$23)*$BW$23+
INDEX($A248:$BM248,,$BV$25)*$BW$25+
INDEX($A248:$BM248,,$BV$26)*$BW$26+
INDEX($A248:$BM248,,$BV$27)*$BW$27+
$BN248)),
$BN248-100)</f>
        <v>19.80247</v>
      </c>
      <c r="AX248" t="str">
        <f t="shared" si="46"/>
        <v/>
      </c>
      <c r="AY248" t="str">
        <f t="shared" si="47"/>
        <v/>
      </c>
      <c r="AZ248" s="430">
        <f>IFERROR(
IF(AX248="",-100,
IF($BV$2&gt;0, INDEX(Beersheet!$A:$U,MATCH(AX248,INDEX(Beersheet!$A:$U,0,FFARawStatProjections!$BV$2),0),$BV$3)+$BN248,
INDEX($A248:$BM248,,$BV$12)*$BW$12+
INDEX($A248:$BM248,,$BV$15)*$BW$15+
INDEX($A248:$BM248,,$BV$16)*$BW$16+
INDEX($A248:$BM248,,$BV$17)*$BW$17+
INDEX($A248:$BM248,,$BV$18)*$BW$18+
INDEX($A248:$BM248,,$BV$19)*$BW$19+
INDEX($A248:$BM248,,$BV$20)*$BW$20+
INDEX($A248:$BM248,,$BV$21)*$BW$21+
INDEX($A248:$BM248,,$BV$22)*$BW$22+
INDEX($A248:$BM248,,$BV$23)*$BW$23+
INDEX($A248:$BM248,,$BV$25)*$BW$25+
INDEX($A248:$BM248,,$BV$26)*$BW$26+
INDEX($A248:$BM248,,$BV$27)*$BW$27+
$BN248)),
$BN248-100)</f>
        <v>-100</v>
      </c>
      <c r="BB248" t="str">
        <f t="shared" si="48"/>
        <v/>
      </c>
      <c r="BC248" t="str">
        <f t="shared" si="42"/>
        <v/>
      </c>
      <c r="BD248" s="430">
        <f>IFERROR(
IF(BB248="",-100,
IF($BV$2&gt;0, INDEX(Beersheet!$A:$U,MATCH(BB248,INDEX(Beersheet!$A:$U,0,FFARawStatProjections!$BV$2),0),$BV$3)+$BN248,
INDEX($A248:$BM248,,$BV$12)*$BW$12+
INDEX($A248:$BM248,,$BV$15)*$BW$15+
INDEX($A248:$BM248,,$BV$16)*$BW$16+
INDEX($A248:$BM248,,$BV$17)*$BW$17+
INDEX($A248:$BM248,,$BV$18)*$BW$18+
INDEX($A248:$BM248,,$BV$19)*$BW$19+
INDEX($A248:$BM248,,$BV$20)*$BW$20+
INDEX($A248:$BM248,,$BV$21)*$BW$21+
INDEX($A248:$BM248,,$BV$22)*$BW$22+
INDEX($A248:$BM248,,$BV$23)*$BW$23+
INDEX($A248:$BM248,,$BV$25)*$BW$25+
INDEX($A248:$BM248,,$BV$26)*$BW$26+
INDEX($A248:$BM248,,$BV$27)*$BW$27+
$BN248)),
$BN248-100)</f>
        <v>-100</v>
      </c>
      <c r="BF248" t="str">
        <f t="shared" si="49"/>
        <v/>
      </c>
      <c r="BG248" t="str">
        <f t="shared" si="50"/>
        <v/>
      </c>
      <c r="BH248">
        <f t="shared" si="51"/>
        <v>0</v>
      </c>
      <c r="BJ248" t="str">
        <f t="shared" si="52"/>
        <v/>
      </c>
      <c r="BL248">
        <f t="shared" si="54"/>
        <v>0</v>
      </c>
      <c r="BN248">
        <v>2.47E-3</v>
      </c>
      <c r="BS248" s="4" t="s">
        <v>2269</v>
      </c>
    </row>
    <row r="249" spans="1:71" ht="15.75" thickBot="1" x14ac:dyDescent="0.3">
      <c r="A249" s="569" t="s">
        <v>2116</v>
      </c>
      <c r="B249" s="569" t="s">
        <v>157</v>
      </c>
      <c r="C249" s="569" t="s">
        <v>3</v>
      </c>
      <c r="D249" s="574">
        <v>11</v>
      </c>
      <c r="E249" s="569"/>
      <c r="F249" s="569"/>
      <c r="G249" s="569"/>
      <c r="H249" s="569"/>
      <c r="I249" s="574">
        <v>0</v>
      </c>
      <c r="J249" s="574">
        <v>0</v>
      </c>
      <c r="K249" s="574">
        <v>0</v>
      </c>
      <c r="L249" s="574">
        <v>4.3</v>
      </c>
      <c r="M249" s="574">
        <v>0.2</v>
      </c>
      <c r="N249" s="574">
        <v>29.1</v>
      </c>
      <c r="O249" s="574">
        <v>4.4000000000000004</v>
      </c>
      <c r="P249" s="574">
        <v>0.5</v>
      </c>
      <c r="Q249" s="574">
        <v>67.7</v>
      </c>
      <c r="R249" s="569"/>
      <c r="S249" s="569"/>
      <c r="T249" s="569"/>
      <c r="U249" s="569"/>
      <c r="V249" s="569"/>
      <c r="W249" s="569"/>
      <c r="X249" s="569"/>
      <c r="Y249" s="569"/>
      <c r="Z249" s="569"/>
      <c r="AA249" s="569"/>
      <c r="AB249" s="569"/>
      <c r="AC249" s="569"/>
      <c r="AD249" s="569"/>
      <c r="AE249" s="569"/>
      <c r="AF249" s="569"/>
      <c r="AG249" s="569"/>
      <c r="AH249" s="569"/>
      <c r="AI249" s="569"/>
      <c r="AJ249" s="569"/>
      <c r="AK249" s="569"/>
      <c r="AL249" s="569"/>
      <c r="AM249" s="569"/>
      <c r="AN249" s="574">
        <v>13.6</v>
      </c>
      <c r="AO249">
        <v>248</v>
      </c>
      <c r="AP249" t="str">
        <f t="shared" si="53"/>
        <v/>
      </c>
      <c r="AQ249" t="str">
        <f t="shared" si="43"/>
        <v/>
      </c>
      <c r="AR249" s="430">
        <f>IFERROR(
IF(AP249="",-100,
IF($BV$2&gt;0, INDEX(Beersheet!$A:$U,MATCH(AP249,INDEX(Beersheet!$A:$U,0,FFARawStatProjections!$BV$2),0),$BV$3)+$BN249,
INDEX($A249:$BM249,,$BV$12)*$BW$12+
INDEX($A249:$BM249,,$BV$15)*$BW$15+
INDEX($A249:$BM249,,$BV$16)*$BW$16+
INDEX($A249:$BM249,,$BV$17)*$BW$17+
INDEX($A249:$BM249,,$BV$18)*$BW$18+
INDEX($A249:$BM249,,$BV$19)*$BW$19+
INDEX($A249:$BM249,,$BV$20)*$BW$20+
INDEX($A249:$BM249,,$BV$21)*$BW$21+
INDEX($A249:$BM249,,$BV$22)*$BW$22+
INDEX($A249:$BM249,,$BV$23)*$BW$23+
INDEX($A249:$BM249,,$BV$25)*$BW$25+
INDEX($A249:$BM249,,$BV$26)*$BW$26+
INDEX($A249:$BM249,,$BV$27)*$BW$27+
$BN249)),
$BN249-100)</f>
        <v>-100</v>
      </c>
      <c r="AT249" t="str">
        <f t="shared" si="44"/>
        <v>JJ Taylor</v>
      </c>
      <c r="AU249" t="str">
        <f t="shared" si="45"/>
        <v>NE</v>
      </c>
      <c r="AV249" s="430">
        <f>IFERROR(
IF(AT249="",-100,
IF($BV$2&gt;0, INDEX(Beersheet!$A:$U,MATCH(AT249,INDEX(Beersheet!$A:$U,0,FFARawStatProjections!$BV$2),0),$BV$3)+$BN249,
INDEX($A249:$BM249,,$BV$12)*$BW$12+
INDEX($A249:$BM249,,$BV$15)*$BW$15+
INDEX($A249:$BM249,,$BV$16)*$BW$16+
INDEX($A249:$BM249,,$BV$17)*$BW$17+
INDEX($A249:$BM249,,$BV$18)*$BW$18+
INDEX($A249:$BM249,,$BV$19)*$BW$19+
INDEX($A249:$BM249,,$BV$20)*$BW$20+
INDEX($A249:$BM249,,$BV$21)*$BW$21+
INDEX($A249:$BM249,,$BV$22)*$BW$22+
INDEX($A249:$BM249,,$BV$23)*$BW$23+
INDEX($A249:$BM249,,$BV$25)*$BW$25+
INDEX($A249:$BM249,,$BV$26)*$BW$26+
INDEX($A249:$BM249,,$BV$27)*$BW$27+
$BN249)),
$BN249-100)</f>
        <v>18.182479999999998</v>
      </c>
      <c r="AX249" t="str">
        <f t="shared" si="46"/>
        <v/>
      </c>
      <c r="AY249" t="str">
        <f t="shared" si="47"/>
        <v/>
      </c>
      <c r="AZ249" s="430">
        <f>IFERROR(
IF(AX249="",-100,
IF($BV$2&gt;0, INDEX(Beersheet!$A:$U,MATCH(AX249,INDEX(Beersheet!$A:$U,0,FFARawStatProjections!$BV$2),0),$BV$3)+$BN249,
INDEX($A249:$BM249,,$BV$12)*$BW$12+
INDEX($A249:$BM249,,$BV$15)*$BW$15+
INDEX($A249:$BM249,,$BV$16)*$BW$16+
INDEX($A249:$BM249,,$BV$17)*$BW$17+
INDEX($A249:$BM249,,$BV$18)*$BW$18+
INDEX($A249:$BM249,,$BV$19)*$BW$19+
INDEX($A249:$BM249,,$BV$20)*$BW$20+
INDEX($A249:$BM249,,$BV$21)*$BW$21+
INDEX($A249:$BM249,,$BV$22)*$BW$22+
INDEX($A249:$BM249,,$BV$23)*$BW$23+
INDEX($A249:$BM249,,$BV$25)*$BW$25+
INDEX($A249:$BM249,,$BV$26)*$BW$26+
INDEX($A249:$BM249,,$BV$27)*$BW$27+
$BN249)),
$BN249-100)</f>
        <v>-100</v>
      </c>
      <c r="BB249" t="str">
        <f t="shared" si="48"/>
        <v/>
      </c>
      <c r="BC249" t="str">
        <f t="shared" si="42"/>
        <v/>
      </c>
      <c r="BD249" s="430">
        <f>IFERROR(
IF(BB249="",-100,
IF($BV$2&gt;0, INDEX(Beersheet!$A:$U,MATCH(BB249,INDEX(Beersheet!$A:$U,0,FFARawStatProjections!$BV$2),0),$BV$3)+$BN249,
INDEX($A249:$BM249,,$BV$12)*$BW$12+
INDEX($A249:$BM249,,$BV$15)*$BW$15+
INDEX($A249:$BM249,,$BV$16)*$BW$16+
INDEX($A249:$BM249,,$BV$17)*$BW$17+
INDEX($A249:$BM249,,$BV$18)*$BW$18+
INDEX($A249:$BM249,,$BV$19)*$BW$19+
INDEX($A249:$BM249,,$BV$20)*$BW$20+
INDEX($A249:$BM249,,$BV$21)*$BW$21+
INDEX($A249:$BM249,,$BV$22)*$BW$22+
INDEX($A249:$BM249,,$BV$23)*$BW$23+
INDEX($A249:$BM249,,$BV$25)*$BW$25+
INDEX($A249:$BM249,,$BV$26)*$BW$26+
INDEX($A249:$BM249,,$BV$27)*$BW$27+
$BN249)),
$BN249-100)</f>
        <v>-100</v>
      </c>
      <c r="BF249" t="str">
        <f t="shared" si="49"/>
        <v/>
      </c>
      <c r="BG249" t="str">
        <f t="shared" si="50"/>
        <v/>
      </c>
      <c r="BH249">
        <f t="shared" si="51"/>
        <v>0</v>
      </c>
      <c r="BJ249" t="str">
        <f t="shared" si="52"/>
        <v/>
      </c>
      <c r="BL249">
        <f t="shared" si="54"/>
        <v>0</v>
      </c>
      <c r="BN249">
        <v>2.48E-3</v>
      </c>
      <c r="BS249" s="4" t="s">
        <v>1179</v>
      </c>
    </row>
    <row r="250" spans="1:71" ht="15.75" thickBot="1" x14ac:dyDescent="0.3">
      <c r="A250" s="569" t="s">
        <v>2555</v>
      </c>
      <c r="B250" s="569" t="s">
        <v>143</v>
      </c>
      <c r="C250" s="569" t="s">
        <v>3</v>
      </c>
      <c r="D250" s="574">
        <v>11</v>
      </c>
      <c r="E250" s="569"/>
      <c r="F250" s="569"/>
      <c r="G250" s="569"/>
      <c r="H250" s="569"/>
      <c r="I250" s="574">
        <v>0</v>
      </c>
      <c r="J250" s="574">
        <v>0</v>
      </c>
      <c r="K250" s="574">
        <v>0</v>
      </c>
      <c r="L250" s="574">
        <v>7.4</v>
      </c>
      <c r="M250" s="574">
        <v>0.3</v>
      </c>
      <c r="N250" s="574">
        <v>58.1</v>
      </c>
      <c r="O250" s="574">
        <v>9.1</v>
      </c>
      <c r="P250" s="574">
        <v>0.3</v>
      </c>
      <c r="Q250" s="574">
        <v>38.700000000000003</v>
      </c>
      <c r="R250" s="569"/>
      <c r="S250" s="569"/>
      <c r="T250" s="569"/>
      <c r="U250" s="569"/>
      <c r="V250" s="569"/>
      <c r="W250" s="569"/>
      <c r="X250" s="569"/>
      <c r="Y250" s="569"/>
      <c r="Z250" s="569"/>
      <c r="AA250" s="569"/>
      <c r="AB250" s="569"/>
      <c r="AC250" s="569"/>
      <c r="AD250" s="569"/>
      <c r="AE250" s="569"/>
      <c r="AF250" s="569"/>
      <c r="AG250" s="569"/>
      <c r="AH250" s="569"/>
      <c r="AI250" s="569"/>
      <c r="AJ250" s="569"/>
      <c r="AK250" s="569"/>
      <c r="AL250" s="569"/>
      <c r="AM250" s="569"/>
      <c r="AN250" s="574">
        <v>13.1</v>
      </c>
      <c r="AO250">
        <v>249</v>
      </c>
      <c r="AP250" t="str">
        <f t="shared" si="53"/>
        <v/>
      </c>
      <c r="AQ250" t="str">
        <f t="shared" si="43"/>
        <v/>
      </c>
      <c r="AR250" s="430">
        <f>IFERROR(
IF(AP250="",-100,
IF($BV$2&gt;0, INDEX(Beersheet!$A:$U,MATCH(AP250,INDEX(Beersheet!$A:$U,0,FFARawStatProjections!$BV$2),0),$BV$3)+$BN250,
INDEX($A250:$BM250,,$BV$12)*$BW$12+
INDEX($A250:$BM250,,$BV$15)*$BW$15+
INDEX($A250:$BM250,,$BV$16)*$BW$16+
INDEX($A250:$BM250,,$BV$17)*$BW$17+
INDEX($A250:$BM250,,$BV$18)*$BW$18+
INDEX($A250:$BM250,,$BV$19)*$BW$19+
INDEX($A250:$BM250,,$BV$20)*$BW$20+
INDEX($A250:$BM250,,$BV$21)*$BW$21+
INDEX($A250:$BM250,,$BV$22)*$BW$22+
INDEX($A250:$BM250,,$BV$23)*$BW$23+
INDEX($A250:$BM250,,$BV$25)*$BW$25+
INDEX($A250:$BM250,,$BV$26)*$BW$26+
INDEX($A250:$BM250,,$BV$27)*$BW$27+
$BN250)),
$BN250-100)</f>
        <v>-100</v>
      </c>
      <c r="AT250" t="str">
        <f t="shared" si="44"/>
        <v>Kirk Merritt</v>
      </c>
      <c r="AU250" t="str">
        <f t="shared" si="45"/>
        <v>NO</v>
      </c>
      <c r="AV250" s="430">
        <f>IFERROR(
IF(AT250="",-100,
IF($BV$2&gt;0, INDEX(Beersheet!$A:$U,MATCH(AT250,INDEX(Beersheet!$A:$U,0,FFARawStatProjections!$BV$2),0),$BV$3)+$BN250,
INDEX($A250:$BM250,,$BV$12)*$BW$12+
INDEX($A250:$BM250,,$BV$15)*$BW$15+
INDEX($A250:$BM250,,$BV$16)*$BW$16+
INDEX($A250:$BM250,,$BV$17)*$BW$17+
INDEX($A250:$BM250,,$BV$18)*$BW$18+
INDEX($A250:$BM250,,$BV$19)*$BW$19+
INDEX($A250:$BM250,,$BV$20)*$BW$20+
INDEX($A250:$BM250,,$BV$21)*$BW$21+
INDEX($A250:$BM250,,$BV$22)*$BW$22+
INDEX($A250:$BM250,,$BV$23)*$BW$23+
INDEX($A250:$BM250,,$BV$25)*$BW$25+
INDEX($A250:$BM250,,$BV$26)*$BW$26+
INDEX($A250:$BM250,,$BV$27)*$BW$27+
$BN250)),
$BN250-100)</f>
        <v>20.682490000000001</v>
      </c>
      <c r="AX250" t="str">
        <f t="shared" si="46"/>
        <v/>
      </c>
      <c r="AY250" t="str">
        <f t="shared" si="47"/>
        <v/>
      </c>
      <c r="AZ250" s="430">
        <f>IFERROR(
IF(AX250="",-100,
IF($BV$2&gt;0, INDEX(Beersheet!$A:$U,MATCH(AX250,INDEX(Beersheet!$A:$U,0,FFARawStatProjections!$BV$2),0),$BV$3)+$BN250,
INDEX($A250:$BM250,,$BV$12)*$BW$12+
INDEX($A250:$BM250,,$BV$15)*$BW$15+
INDEX($A250:$BM250,,$BV$16)*$BW$16+
INDEX($A250:$BM250,,$BV$17)*$BW$17+
INDEX($A250:$BM250,,$BV$18)*$BW$18+
INDEX($A250:$BM250,,$BV$19)*$BW$19+
INDEX($A250:$BM250,,$BV$20)*$BW$20+
INDEX($A250:$BM250,,$BV$21)*$BW$21+
INDEX($A250:$BM250,,$BV$22)*$BW$22+
INDEX($A250:$BM250,,$BV$23)*$BW$23+
INDEX($A250:$BM250,,$BV$25)*$BW$25+
INDEX($A250:$BM250,,$BV$26)*$BW$26+
INDEX($A250:$BM250,,$BV$27)*$BW$27+
$BN250)),
$BN250-100)</f>
        <v>-100</v>
      </c>
      <c r="BB250" t="str">
        <f t="shared" si="48"/>
        <v/>
      </c>
      <c r="BC250" t="str">
        <f t="shared" si="42"/>
        <v/>
      </c>
      <c r="BD250" s="430">
        <f>IFERROR(
IF(BB250="",-100,
IF($BV$2&gt;0, INDEX(Beersheet!$A:$U,MATCH(BB250,INDEX(Beersheet!$A:$U,0,FFARawStatProjections!$BV$2),0),$BV$3)+$BN250,
INDEX($A250:$BM250,,$BV$12)*$BW$12+
INDEX($A250:$BM250,,$BV$15)*$BW$15+
INDEX($A250:$BM250,,$BV$16)*$BW$16+
INDEX($A250:$BM250,,$BV$17)*$BW$17+
INDEX($A250:$BM250,,$BV$18)*$BW$18+
INDEX($A250:$BM250,,$BV$19)*$BW$19+
INDEX($A250:$BM250,,$BV$20)*$BW$20+
INDEX($A250:$BM250,,$BV$21)*$BW$21+
INDEX($A250:$BM250,,$BV$22)*$BW$22+
INDEX($A250:$BM250,,$BV$23)*$BW$23+
INDEX($A250:$BM250,,$BV$25)*$BW$25+
INDEX($A250:$BM250,,$BV$26)*$BW$26+
INDEX($A250:$BM250,,$BV$27)*$BW$27+
$BN250)),
$BN250-100)</f>
        <v>-100</v>
      </c>
      <c r="BF250" t="str">
        <f t="shared" si="49"/>
        <v/>
      </c>
      <c r="BG250" t="str">
        <f t="shared" si="50"/>
        <v/>
      </c>
      <c r="BH250">
        <f t="shared" si="51"/>
        <v>0</v>
      </c>
      <c r="BJ250" t="str">
        <f t="shared" si="52"/>
        <v/>
      </c>
      <c r="BL250">
        <f t="shared" si="54"/>
        <v>0</v>
      </c>
      <c r="BN250">
        <v>2.49E-3</v>
      </c>
      <c r="BS250" s="4" t="s">
        <v>2288</v>
      </c>
    </row>
    <row r="251" spans="1:71" ht="15.75" thickBot="1" x14ac:dyDescent="0.3">
      <c r="A251" s="569" t="s">
        <v>2242</v>
      </c>
      <c r="B251" s="569" t="s">
        <v>156</v>
      </c>
      <c r="C251" s="569" t="s">
        <v>3</v>
      </c>
      <c r="D251" s="574">
        <v>13</v>
      </c>
      <c r="E251" s="569"/>
      <c r="F251" s="569"/>
      <c r="G251" s="569"/>
      <c r="H251" s="569"/>
      <c r="I251" s="574">
        <v>0</v>
      </c>
      <c r="J251" s="574">
        <v>0</v>
      </c>
      <c r="K251" s="574">
        <v>0</v>
      </c>
      <c r="L251" s="574">
        <v>9</v>
      </c>
      <c r="M251" s="574">
        <v>0.5</v>
      </c>
      <c r="N251" s="574">
        <v>65.900000000000006</v>
      </c>
      <c r="O251" s="574">
        <v>4.4000000000000004</v>
      </c>
      <c r="P251" s="574">
        <v>0.2</v>
      </c>
      <c r="Q251" s="574">
        <v>18.5</v>
      </c>
      <c r="R251" s="569"/>
      <c r="S251" s="569"/>
      <c r="T251" s="569"/>
      <c r="U251" s="569"/>
      <c r="V251" s="569"/>
      <c r="W251" s="569"/>
      <c r="X251" s="569"/>
      <c r="Y251" s="569"/>
      <c r="Z251" s="569"/>
      <c r="AA251" s="569"/>
      <c r="AB251" s="569"/>
      <c r="AC251" s="569"/>
      <c r="AD251" s="569"/>
      <c r="AE251" s="569"/>
      <c r="AF251" s="569"/>
      <c r="AG251" s="569"/>
      <c r="AH251" s="569"/>
      <c r="AI251" s="569"/>
      <c r="AJ251" s="569"/>
      <c r="AK251" s="569"/>
      <c r="AL251" s="569"/>
      <c r="AM251" s="569"/>
      <c r="AN251" s="574">
        <v>12.5</v>
      </c>
      <c r="AO251">
        <v>250</v>
      </c>
      <c r="AP251" t="str">
        <f t="shared" si="53"/>
        <v/>
      </c>
      <c r="AQ251" t="str">
        <f t="shared" si="43"/>
        <v/>
      </c>
      <c r="AR251" s="430">
        <f>IFERROR(
IF(AP251="",-100,
IF($BV$2&gt;0, INDEX(Beersheet!$A:$U,MATCH(AP251,INDEX(Beersheet!$A:$U,0,FFARawStatProjections!$BV$2),0),$BV$3)+$BN251,
INDEX($A251:$BM251,,$BV$12)*$BW$12+
INDEX($A251:$BM251,,$BV$15)*$BW$15+
INDEX($A251:$BM251,,$BV$16)*$BW$16+
INDEX($A251:$BM251,,$BV$17)*$BW$17+
INDEX($A251:$BM251,,$BV$18)*$BW$18+
INDEX($A251:$BM251,,$BV$19)*$BW$19+
INDEX($A251:$BM251,,$BV$20)*$BW$20+
INDEX($A251:$BM251,,$BV$21)*$BW$21+
INDEX($A251:$BM251,,$BV$22)*$BW$22+
INDEX($A251:$BM251,,$BV$23)*$BW$23+
INDEX($A251:$BM251,,$BV$25)*$BW$25+
INDEX($A251:$BM251,,$BV$26)*$BW$26+
INDEX($A251:$BM251,,$BV$27)*$BW$27+
$BN251)),
$BN251-100)</f>
        <v>-100</v>
      </c>
      <c r="AT251" t="str">
        <f t="shared" si="44"/>
        <v>Reggie Gilliam</v>
      </c>
      <c r="AU251" t="str">
        <f t="shared" si="45"/>
        <v>BUF</v>
      </c>
      <c r="AV251" s="430">
        <f>IFERROR(
IF(AT251="",-100,
IF($BV$2&gt;0, INDEX(Beersheet!$A:$U,MATCH(AT251,INDEX(Beersheet!$A:$U,0,FFARawStatProjections!$BV$2),0),$BV$3)+$BN251,
INDEX($A251:$BM251,,$BV$12)*$BW$12+
INDEX($A251:$BM251,,$BV$15)*$BW$15+
INDEX($A251:$BM251,,$BV$16)*$BW$16+
INDEX($A251:$BM251,,$BV$17)*$BW$17+
INDEX($A251:$BM251,,$BV$18)*$BW$18+
INDEX($A251:$BM251,,$BV$19)*$BW$19+
INDEX($A251:$BM251,,$BV$20)*$BW$20+
INDEX($A251:$BM251,,$BV$21)*$BW$21+
INDEX($A251:$BM251,,$BV$22)*$BW$22+
INDEX($A251:$BM251,,$BV$23)*$BW$23+
INDEX($A251:$BM251,,$BV$25)*$BW$25+
INDEX($A251:$BM251,,$BV$26)*$BW$26+
INDEX($A251:$BM251,,$BV$27)*$BW$27+
$BN251)),
$BN251-100)</f>
        <v>21.642500000000002</v>
      </c>
      <c r="AX251" t="str">
        <f t="shared" si="46"/>
        <v/>
      </c>
      <c r="AY251" t="str">
        <f t="shared" si="47"/>
        <v/>
      </c>
      <c r="AZ251" s="430">
        <f>IFERROR(
IF(AX251="",-100,
IF($BV$2&gt;0, INDEX(Beersheet!$A:$U,MATCH(AX251,INDEX(Beersheet!$A:$U,0,FFARawStatProjections!$BV$2),0),$BV$3)+$BN251,
INDEX($A251:$BM251,,$BV$12)*$BW$12+
INDEX($A251:$BM251,,$BV$15)*$BW$15+
INDEX($A251:$BM251,,$BV$16)*$BW$16+
INDEX($A251:$BM251,,$BV$17)*$BW$17+
INDEX($A251:$BM251,,$BV$18)*$BW$18+
INDEX($A251:$BM251,,$BV$19)*$BW$19+
INDEX($A251:$BM251,,$BV$20)*$BW$20+
INDEX($A251:$BM251,,$BV$21)*$BW$21+
INDEX($A251:$BM251,,$BV$22)*$BW$22+
INDEX($A251:$BM251,,$BV$23)*$BW$23+
INDEX($A251:$BM251,,$BV$25)*$BW$25+
INDEX($A251:$BM251,,$BV$26)*$BW$26+
INDEX($A251:$BM251,,$BV$27)*$BW$27+
$BN251)),
$BN251-100)</f>
        <v>-100</v>
      </c>
      <c r="BB251" t="str">
        <f t="shared" si="48"/>
        <v/>
      </c>
      <c r="BC251" t="str">
        <f t="shared" si="42"/>
        <v/>
      </c>
      <c r="BD251" s="430">
        <f>IFERROR(
IF(BB251="",-100,
IF($BV$2&gt;0, INDEX(Beersheet!$A:$U,MATCH(BB251,INDEX(Beersheet!$A:$U,0,FFARawStatProjections!$BV$2),0),$BV$3)+$BN251,
INDEX($A251:$BM251,,$BV$12)*$BW$12+
INDEX($A251:$BM251,,$BV$15)*$BW$15+
INDEX($A251:$BM251,,$BV$16)*$BW$16+
INDEX($A251:$BM251,,$BV$17)*$BW$17+
INDEX($A251:$BM251,,$BV$18)*$BW$18+
INDEX($A251:$BM251,,$BV$19)*$BW$19+
INDEX($A251:$BM251,,$BV$20)*$BW$20+
INDEX($A251:$BM251,,$BV$21)*$BW$21+
INDEX($A251:$BM251,,$BV$22)*$BW$22+
INDEX($A251:$BM251,,$BV$23)*$BW$23+
INDEX($A251:$BM251,,$BV$25)*$BW$25+
INDEX($A251:$BM251,,$BV$26)*$BW$26+
INDEX($A251:$BM251,,$BV$27)*$BW$27+
$BN251)),
$BN251-100)</f>
        <v>-100</v>
      </c>
      <c r="BF251" t="str">
        <f t="shared" si="49"/>
        <v/>
      </c>
      <c r="BG251" t="str">
        <f t="shared" si="50"/>
        <v/>
      </c>
      <c r="BH251">
        <f t="shared" si="51"/>
        <v>0</v>
      </c>
      <c r="BJ251" t="str">
        <f t="shared" si="52"/>
        <v/>
      </c>
      <c r="BL251">
        <f t="shared" si="54"/>
        <v>0</v>
      </c>
      <c r="BN251">
        <v>2.5000000000000001E-3</v>
      </c>
      <c r="BS251" s="4" t="s">
        <v>1891</v>
      </c>
    </row>
    <row r="252" spans="1:71" ht="15.75" thickBot="1" x14ac:dyDescent="0.3">
      <c r="A252" s="569" t="s">
        <v>2175</v>
      </c>
      <c r="B252" s="569" t="s">
        <v>137</v>
      </c>
      <c r="C252" s="569" t="s">
        <v>3</v>
      </c>
      <c r="D252" s="574">
        <v>10</v>
      </c>
      <c r="E252" s="569"/>
      <c r="F252" s="569"/>
      <c r="G252" s="569"/>
      <c r="H252" s="569"/>
      <c r="I252" s="574">
        <v>0</v>
      </c>
      <c r="J252" s="574">
        <v>0</v>
      </c>
      <c r="K252" s="574">
        <v>0</v>
      </c>
      <c r="L252" s="574">
        <v>3.8</v>
      </c>
      <c r="M252" s="574">
        <v>0.1</v>
      </c>
      <c r="N252" s="574">
        <v>36.9</v>
      </c>
      <c r="O252" s="574">
        <v>23</v>
      </c>
      <c r="P252" s="574">
        <v>0.1</v>
      </c>
      <c r="Q252" s="574">
        <v>79.900000000000006</v>
      </c>
      <c r="R252" s="569"/>
      <c r="S252" s="569"/>
      <c r="T252" s="569"/>
      <c r="U252" s="569"/>
      <c r="V252" s="569"/>
      <c r="W252" s="569"/>
      <c r="X252" s="569"/>
      <c r="Y252" s="569"/>
      <c r="Z252" s="569"/>
      <c r="AA252" s="569"/>
      <c r="AB252" s="569"/>
      <c r="AC252" s="569"/>
      <c r="AD252" s="569"/>
      <c r="AE252" s="569"/>
      <c r="AF252" s="569"/>
      <c r="AG252" s="569"/>
      <c r="AH252" s="569"/>
      <c r="AI252" s="569"/>
      <c r="AJ252" s="569"/>
      <c r="AK252" s="569"/>
      <c r="AL252" s="569"/>
      <c r="AM252" s="569"/>
      <c r="AN252" s="574">
        <v>12.3</v>
      </c>
      <c r="AO252">
        <v>251</v>
      </c>
      <c r="AP252" t="str">
        <f t="shared" si="53"/>
        <v/>
      </c>
      <c r="AQ252" t="str">
        <f t="shared" si="43"/>
        <v/>
      </c>
      <c r="AR252" s="430">
        <f>IFERROR(
IF(AP252="",-100,
IF($BV$2&gt;0, INDEX(Beersheet!$A:$U,MATCH(AP252,INDEX(Beersheet!$A:$U,0,FFARawStatProjections!$BV$2),0),$BV$3)+$BN252,
INDEX($A252:$BM252,,$BV$12)*$BW$12+
INDEX($A252:$BM252,,$BV$15)*$BW$15+
INDEX($A252:$BM252,,$BV$16)*$BW$16+
INDEX($A252:$BM252,,$BV$17)*$BW$17+
INDEX($A252:$BM252,,$BV$18)*$BW$18+
INDEX($A252:$BM252,,$BV$19)*$BW$19+
INDEX($A252:$BM252,,$BV$20)*$BW$20+
INDEX($A252:$BM252,,$BV$21)*$BW$21+
INDEX($A252:$BM252,,$BV$22)*$BW$22+
INDEX($A252:$BM252,,$BV$23)*$BW$23+
INDEX($A252:$BM252,,$BV$25)*$BW$25+
INDEX($A252:$BM252,,$BV$26)*$BW$26+
INDEX($A252:$BM252,,$BV$27)*$BW$27+
$BN252)),
$BN252-100)</f>
        <v>-100</v>
      </c>
      <c r="AT252" t="str">
        <f t="shared" si="44"/>
        <v>Trey Sermon</v>
      </c>
      <c r="AU252" t="str">
        <f t="shared" si="45"/>
        <v>PHI</v>
      </c>
      <c r="AV252" s="430">
        <f>IFERROR(
IF(AT252="",-100,
IF($BV$2&gt;0, INDEX(Beersheet!$A:$U,MATCH(AT252,INDEX(Beersheet!$A:$U,0,FFARawStatProjections!$BV$2),0),$BV$3)+$BN252,
INDEX($A252:$BM252,,$BV$12)*$BW$12+
INDEX($A252:$BM252,,$BV$15)*$BW$15+
INDEX($A252:$BM252,,$BV$16)*$BW$16+
INDEX($A252:$BM252,,$BV$17)*$BW$17+
INDEX($A252:$BM252,,$BV$18)*$BW$18+
INDEX($A252:$BM252,,$BV$19)*$BW$19+
INDEX($A252:$BM252,,$BV$20)*$BW$20+
INDEX($A252:$BM252,,$BV$21)*$BW$21+
INDEX($A252:$BM252,,$BV$22)*$BW$22+
INDEX($A252:$BM252,,$BV$23)*$BW$23+
INDEX($A252:$BM252,,$BV$25)*$BW$25+
INDEX($A252:$BM252,,$BV$26)*$BW$26+
INDEX($A252:$BM252,,$BV$27)*$BW$27+
$BN252)),
$BN252-100)</f>
        <v>16.682510000000001</v>
      </c>
      <c r="AX252" t="str">
        <f t="shared" si="46"/>
        <v/>
      </c>
      <c r="AY252" t="str">
        <f t="shared" si="47"/>
        <v/>
      </c>
      <c r="AZ252" s="430">
        <f>IFERROR(
IF(AX252="",-100,
IF($BV$2&gt;0, INDEX(Beersheet!$A:$U,MATCH(AX252,INDEX(Beersheet!$A:$U,0,FFARawStatProjections!$BV$2),0),$BV$3)+$BN252,
INDEX($A252:$BM252,,$BV$12)*$BW$12+
INDEX($A252:$BM252,,$BV$15)*$BW$15+
INDEX($A252:$BM252,,$BV$16)*$BW$16+
INDEX($A252:$BM252,,$BV$17)*$BW$17+
INDEX($A252:$BM252,,$BV$18)*$BW$18+
INDEX($A252:$BM252,,$BV$19)*$BW$19+
INDEX($A252:$BM252,,$BV$20)*$BW$20+
INDEX($A252:$BM252,,$BV$21)*$BW$21+
INDEX($A252:$BM252,,$BV$22)*$BW$22+
INDEX($A252:$BM252,,$BV$23)*$BW$23+
INDEX($A252:$BM252,,$BV$25)*$BW$25+
INDEX($A252:$BM252,,$BV$26)*$BW$26+
INDEX($A252:$BM252,,$BV$27)*$BW$27+
$BN252)),
$BN252-100)</f>
        <v>-100</v>
      </c>
      <c r="BB252" t="str">
        <f t="shared" si="48"/>
        <v/>
      </c>
      <c r="BC252" t="str">
        <f t="shared" si="42"/>
        <v/>
      </c>
      <c r="BD252" s="430">
        <f>IFERROR(
IF(BB252="",-100,
IF($BV$2&gt;0, INDEX(Beersheet!$A:$U,MATCH(BB252,INDEX(Beersheet!$A:$U,0,FFARawStatProjections!$BV$2),0),$BV$3)+$BN252,
INDEX($A252:$BM252,,$BV$12)*$BW$12+
INDEX($A252:$BM252,,$BV$15)*$BW$15+
INDEX($A252:$BM252,,$BV$16)*$BW$16+
INDEX($A252:$BM252,,$BV$17)*$BW$17+
INDEX($A252:$BM252,,$BV$18)*$BW$18+
INDEX($A252:$BM252,,$BV$19)*$BW$19+
INDEX($A252:$BM252,,$BV$20)*$BW$20+
INDEX($A252:$BM252,,$BV$21)*$BW$21+
INDEX($A252:$BM252,,$BV$22)*$BW$22+
INDEX($A252:$BM252,,$BV$23)*$BW$23+
INDEX($A252:$BM252,,$BV$25)*$BW$25+
INDEX($A252:$BM252,,$BV$26)*$BW$26+
INDEX($A252:$BM252,,$BV$27)*$BW$27+
$BN252)),
$BN252-100)</f>
        <v>-100</v>
      </c>
      <c r="BF252" t="str">
        <f t="shared" si="49"/>
        <v/>
      </c>
      <c r="BG252" t="str">
        <f t="shared" si="50"/>
        <v/>
      </c>
      <c r="BH252">
        <f t="shared" si="51"/>
        <v>0</v>
      </c>
      <c r="BJ252" t="str">
        <f t="shared" si="52"/>
        <v/>
      </c>
      <c r="BL252">
        <f t="shared" si="54"/>
        <v>0</v>
      </c>
      <c r="BN252">
        <v>2.5100000000000001E-3</v>
      </c>
      <c r="BS252" s="4" t="s">
        <v>2486</v>
      </c>
    </row>
    <row r="253" spans="1:71" ht="15.75" thickBot="1" x14ac:dyDescent="0.3">
      <c r="A253" s="569" t="s">
        <v>1835</v>
      </c>
      <c r="B253" s="569" t="s">
        <v>151</v>
      </c>
      <c r="C253" s="569" t="s">
        <v>3</v>
      </c>
      <c r="D253" s="574">
        <v>7</v>
      </c>
      <c r="E253" s="569"/>
      <c r="F253" s="569"/>
      <c r="G253" s="569"/>
      <c r="H253" s="569"/>
      <c r="I253" s="574">
        <v>0</v>
      </c>
      <c r="J253" s="574">
        <v>0</v>
      </c>
      <c r="K253" s="574">
        <v>0</v>
      </c>
      <c r="L253" s="574">
        <v>2.8</v>
      </c>
      <c r="M253" s="574">
        <v>0.1</v>
      </c>
      <c r="N253" s="574">
        <v>26.5</v>
      </c>
      <c r="O253" s="574">
        <v>21</v>
      </c>
      <c r="P253" s="574">
        <v>0.2</v>
      </c>
      <c r="Q253" s="574">
        <v>70.2</v>
      </c>
      <c r="R253" s="569"/>
      <c r="S253" s="569"/>
      <c r="T253" s="569"/>
      <c r="U253" s="569"/>
      <c r="V253" s="569"/>
      <c r="W253" s="569"/>
      <c r="X253" s="569"/>
      <c r="Y253" s="569"/>
      <c r="Z253" s="569"/>
      <c r="AA253" s="569"/>
      <c r="AB253" s="569"/>
      <c r="AC253" s="569"/>
      <c r="AD253" s="569"/>
      <c r="AE253" s="569"/>
      <c r="AF253" s="569"/>
      <c r="AG253" s="569"/>
      <c r="AH253" s="569"/>
      <c r="AI253" s="569"/>
      <c r="AJ253" s="569"/>
      <c r="AK253" s="569"/>
      <c r="AL253" s="569"/>
      <c r="AM253" s="569"/>
      <c r="AN253" s="574">
        <v>11.5</v>
      </c>
      <c r="AO253">
        <v>252</v>
      </c>
      <c r="AP253" t="str">
        <f t="shared" si="53"/>
        <v/>
      </c>
      <c r="AQ253" t="str">
        <f t="shared" si="43"/>
        <v/>
      </c>
      <c r="AR253" s="430">
        <f>IFERROR(
IF(AP253="",-100,
IF($BV$2&gt;0, INDEX(Beersheet!$A:$U,MATCH(AP253,INDEX(Beersheet!$A:$U,0,FFARawStatProjections!$BV$2),0),$BV$3)+$BN253,
INDEX($A253:$BM253,,$BV$12)*$BW$12+
INDEX($A253:$BM253,,$BV$15)*$BW$15+
INDEX($A253:$BM253,,$BV$16)*$BW$16+
INDEX($A253:$BM253,,$BV$17)*$BW$17+
INDEX($A253:$BM253,,$BV$18)*$BW$18+
INDEX($A253:$BM253,,$BV$19)*$BW$19+
INDEX($A253:$BM253,,$BV$20)*$BW$20+
INDEX($A253:$BM253,,$BV$21)*$BW$21+
INDEX($A253:$BM253,,$BV$22)*$BW$22+
INDEX($A253:$BM253,,$BV$23)*$BW$23+
INDEX($A253:$BM253,,$BV$25)*$BW$25+
INDEX($A253:$BM253,,$BV$26)*$BW$26+
INDEX($A253:$BM253,,$BV$27)*$BW$27+
$BN253)),
$BN253-100)</f>
        <v>-100</v>
      </c>
      <c r="AT253" t="str">
        <f t="shared" si="44"/>
        <v>Mike Boone</v>
      </c>
      <c r="AU253" t="str">
        <f t="shared" si="45"/>
        <v>HOU</v>
      </c>
      <c r="AV253" s="430">
        <f>IFERROR(
IF(AT253="",-100,
IF($BV$2&gt;0, INDEX(Beersheet!$A:$U,MATCH(AT253,INDEX(Beersheet!$A:$U,0,FFARawStatProjections!$BV$2),0),$BV$3)+$BN253,
INDEX($A253:$BM253,,$BV$12)*$BW$12+
INDEX($A253:$BM253,,$BV$15)*$BW$15+
INDEX($A253:$BM253,,$BV$16)*$BW$16+
INDEX($A253:$BM253,,$BV$17)*$BW$17+
INDEX($A253:$BM253,,$BV$18)*$BW$18+
INDEX($A253:$BM253,,$BV$19)*$BW$19+
INDEX($A253:$BM253,,$BV$20)*$BW$20+
INDEX($A253:$BM253,,$BV$21)*$BW$21+
INDEX($A253:$BM253,,$BV$22)*$BW$22+
INDEX($A253:$BM253,,$BV$23)*$BW$23+
INDEX($A253:$BM253,,$BV$25)*$BW$25+
INDEX($A253:$BM253,,$BV$26)*$BW$26+
INDEX($A253:$BM253,,$BV$27)*$BW$27+
$BN253)),
$BN253-100)</f>
        <v>14.272520000000002</v>
      </c>
      <c r="AX253" t="str">
        <f t="shared" si="46"/>
        <v/>
      </c>
      <c r="AY253" t="str">
        <f t="shared" si="47"/>
        <v/>
      </c>
      <c r="AZ253" s="430">
        <f>IFERROR(
IF(AX253="",-100,
IF($BV$2&gt;0, INDEX(Beersheet!$A:$U,MATCH(AX253,INDEX(Beersheet!$A:$U,0,FFARawStatProjections!$BV$2),0),$BV$3)+$BN253,
INDEX($A253:$BM253,,$BV$12)*$BW$12+
INDEX($A253:$BM253,,$BV$15)*$BW$15+
INDEX($A253:$BM253,,$BV$16)*$BW$16+
INDEX($A253:$BM253,,$BV$17)*$BW$17+
INDEX($A253:$BM253,,$BV$18)*$BW$18+
INDEX($A253:$BM253,,$BV$19)*$BW$19+
INDEX($A253:$BM253,,$BV$20)*$BW$20+
INDEX($A253:$BM253,,$BV$21)*$BW$21+
INDEX($A253:$BM253,,$BV$22)*$BW$22+
INDEX($A253:$BM253,,$BV$23)*$BW$23+
INDEX($A253:$BM253,,$BV$25)*$BW$25+
INDEX($A253:$BM253,,$BV$26)*$BW$26+
INDEX($A253:$BM253,,$BV$27)*$BW$27+
$BN253)),
$BN253-100)</f>
        <v>-100</v>
      </c>
      <c r="BB253" t="str">
        <f t="shared" si="48"/>
        <v/>
      </c>
      <c r="BC253" t="str">
        <f t="shared" si="42"/>
        <v/>
      </c>
      <c r="BD253" s="430">
        <f>IFERROR(
IF(BB253="",-100,
IF($BV$2&gt;0, INDEX(Beersheet!$A:$U,MATCH(BB253,INDEX(Beersheet!$A:$U,0,FFARawStatProjections!$BV$2),0),$BV$3)+$BN253,
INDEX($A253:$BM253,,$BV$12)*$BW$12+
INDEX($A253:$BM253,,$BV$15)*$BW$15+
INDEX($A253:$BM253,,$BV$16)*$BW$16+
INDEX($A253:$BM253,,$BV$17)*$BW$17+
INDEX($A253:$BM253,,$BV$18)*$BW$18+
INDEX($A253:$BM253,,$BV$19)*$BW$19+
INDEX($A253:$BM253,,$BV$20)*$BW$20+
INDEX($A253:$BM253,,$BV$21)*$BW$21+
INDEX($A253:$BM253,,$BV$22)*$BW$22+
INDEX($A253:$BM253,,$BV$23)*$BW$23+
INDEX($A253:$BM253,,$BV$25)*$BW$25+
INDEX($A253:$BM253,,$BV$26)*$BW$26+
INDEX($A253:$BM253,,$BV$27)*$BW$27+
$BN253)),
$BN253-100)</f>
        <v>-100</v>
      </c>
      <c r="BF253" t="str">
        <f t="shared" si="49"/>
        <v/>
      </c>
      <c r="BG253" t="str">
        <f t="shared" si="50"/>
        <v/>
      </c>
      <c r="BH253">
        <f t="shared" si="51"/>
        <v>0</v>
      </c>
      <c r="BJ253" t="str">
        <f t="shared" si="52"/>
        <v/>
      </c>
      <c r="BL253">
        <f t="shared" si="54"/>
        <v>0</v>
      </c>
      <c r="BN253">
        <v>2.5200000000000001E-3</v>
      </c>
      <c r="BS253" s="4" t="s">
        <v>2061</v>
      </c>
    </row>
    <row r="254" spans="1:71" ht="15.75" thickBot="1" x14ac:dyDescent="0.3">
      <c r="A254" s="569" t="s">
        <v>2303</v>
      </c>
      <c r="B254" s="569" t="s">
        <v>2272</v>
      </c>
      <c r="C254" s="569" t="s">
        <v>3</v>
      </c>
      <c r="D254" s="574">
        <v>14</v>
      </c>
      <c r="E254" s="569"/>
      <c r="F254" s="569"/>
      <c r="G254" s="569"/>
      <c r="H254" s="569"/>
      <c r="I254" s="574">
        <v>0</v>
      </c>
      <c r="J254" s="574">
        <v>0</v>
      </c>
      <c r="K254" s="574">
        <v>0</v>
      </c>
      <c r="L254" s="574">
        <v>3.7</v>
      </c>
      <c r="M254" s="574">
        <v>0.1</v>
      </c>
      <c r="N254" s="574">
        <v>23.5</v>
      </c>
      <c r="O254" s="574">
        <v>17.899999999999999</v>
      </c>
      <c r="P254" s="574">
        <v>0.4</v>
      </c>
      <c r="Q254" s="574">
        <v>65.7</v>
      </c>
      <c r="R254" s="569"/>
      <c r="S254" s="569"/>
      <c r="T254" s="569"/>
      <c r="U254" s="569"/>
      <c r="V254" s="569"/>
      <c r="W254" s="569"/>
      <c r="X254" s="569"/>
      <c r="Y254" s="569"/>
      <c r="Z254" s="569"/>
      <c r="AA254" s="569"/>
      <c r="AB254" s="569"/>
      <c r="AC254" s="569"/>
      <c r="AD254" s="569"/>
      <c r="AE254" s="569"/>
      <c r="AF254" s="569"/>
      <c r="AG254" s="569"/>
      <c r="AH254" s="569"/>
      <c r="AI254" s="569"/>
      <c r="AJ254" s="569"/>
      <c r="AK254" s="569"/>
      <c r="AL254" s="569"/>
      <c r="AM254" s="569"/>
      <c r="AN254" s="574">
        <v>11.5</v>
      </c>
      <c r="AO254">
        <v>253</v>
      </c>
      <c r="AP254" t="str">
        <f t="shared" si="53"/>
        <v/>
      </c>
      <c r="AQ254" t="str">
        <f t="shared" si="43"/>
        <v/>
      </c>
      <c r="AR254" s="430">
        <f>IFERROR(
IF(AP254="",-100,
IF($BV$2&gt;0, INDEX(Beersheet!$A:$U,MATCH(AP254,INDEX(Beersheet!$A:$U,0,FFARawStatProjections!$BV$2),0),$BV$3)+$BN254,
INDEX($A254:$BM254,,$BV$12)*$BW$12+
INDEX($A254:$BM254,,$BV$15)*$BW$15+
INDEX($A254:$BM254,,$BV$16)*$BW$16+
INDEX($A254:$BM254,,$BV$17)*$BW$17+
INDEX($A254:$BM254,,$BV$18)*$BW$18+
INDEX($A254:$BM254,,$BV$19)*$BW$19+
INDEX($A254:$BM254,,$BV$20)*$BW$20+
INDEX($A254:$BM254,,$BV$21)*$BW$21+
INDEX($A254:$BM254,,$BV$22)*$BW$22+
INDEX($A254:$BM254,,$BV$23)*$BW$23+
INDEX($A254:$BM254,,$BV$25)*$BW$25+
INDEX($A254:$BM254,,$BV$26)*$BW$26+
INDEX($A254:$BM254,,$BV$27)*$BW$27+
$BN254)),
$BN254-100)</f>
        <v>-100</v>
      </c>
      <c r="AT254" t="str">
        <f t="shared" si="44"/>
        <v>TySon Williams</v>
      </c>
      <c r="AU254" t="str">
        <f t="shared" si="45"/>
        <v>AZ</v>
      </c>
      <c r="AV254" s="430">
        <f>IFERROR(
IF(AT254="",-100,
IF($BV$2&gt;0, INDEX(Beersheet!$A:$U,MATCH(AT254,INDEX(Beersheet!$A:$U,0,FFARawStatProjections!$BV$2),0),$BV$3)+$BN254,
INDEX($A254:$BM254,,$BV$12)*$BW$12+
INDEX($A254:$BM254,,$BV$15)*$BW$15+
INDEX($A254:$BM254,,$BV$16)*$BW$16+
INDEX($A254:$BM254,,$BV$17)*$BW$17+
INDEX($A254:$BM254,,$BV$18)*$BW$18+
INDEX($A254:$BM254,,$BV$19)*$BW$19+
INDEX($A254:$BM254,,$BV$20)*$BW$20+
INDEX($A254:$BM254,,$BV$21)*$BW$21+
INDEX($A254:$BM254,,$BV$22)*$BW$22+
INDEX($A254:$BM254,,$BV$23)*$BW$23+
INDEX($A254:$BM254,,$BV$25)*$BW$25+
INDEX($A254:$BM254,,$BV$26)*$BW$26+
INDEX($A254:$BM254,,$BV$27)*$BW$27+
$BN254)),
$BN254-100)</f>
        <v>15.622530000000001</v>
      </c>
      <c r="AX254" t="str">
        <f t="shared" si="46"/>
        <v/>
      </c>
      <c r="AY254" t="str">
        <f t="shared" si="47"/>
        <v/>
      </c>
      <c r="AZ254" s="430">
        <f>IFERROR(
IF(AX254="",-100,
IF($BV$2&gt;0, INDEX(Beersheet!$A:$U,MATCH(AX254,INDEX(Beersheet!$A:$U,0,FFARawStatProjections!$BV$2),0),$BV$3)+$BN254,
INDEX($A254:$BM254,,$BV$12)*$BW$12+
INDEX($A254:$BM254,,$BV$15)*$BW$15+
INDEX($A254:$BM254,,$BV$16)*$BW$16+
INDEX($A254:$BM254,,$BV$17)*$BW$17+
INDEX($A254:$BM254,,$BV$18)*$BW$18+
INDEX($A254:$BM254,,$BV$19)*$BW$19+
INDEX($A254:$BM254,,$BV$20)*$BW$20+
INDEX($A254:$BM254,,$BV$21)*$BW$21+
INDEX($A254:$BM254,,$BV$22)*$BW$22+
INDEX($A254:$BM254,,$BV$23)*$BW$23+
INDEX($A254:$BM254,,$BV$25)*$BW$25+
INDEX($A254:$BM254,,$BV$26)*$BW$26+
INDEX($A254:$BM254,,$BV$27)*$BW$27+
$BN254)),
$BN254-100)</f>
        <v>-100</v>
      </c>
      <c r="BB254" t="str">
        <f t="shared" si="48"/>
        <v/>
      </c>
      <c r="BC254" t="str">
        <f t="shared" si="42"/>
        <v/>
      </c>
      <c r="BD254" s="430">
        <f>IFERROR(
IF(BB254="",-100,
IF($BV$2&gt;0, INDEX(Beersheet!$A:$U,MATCH(BB254,INDEX(Beersheet!$A:$U,0,FFARawStatProjections!$BV$2),0),$BV$3)+$BN254,
INDEX($A254:$BM254,,$BV$12)*$BW$12+
INDEX($A254:$BM254,,$BV$15)*$BW$15+
INDEX($A254:$BM254,,$BV$16)*$BW$16+
INDEX($A254:$BM254,,$BV$17)*$BW$17+
INDEX($A254:$BM254,,$BV$18)*$BW$18+
INDEX($A254:$BM254,,$BV$19)*$BW$19+
INDEX($A254:$BM254,,$BV$20)*$BW$20+
INDEX($A254:$BM254,,$BV$21)*$BW$21+
INDEX($A254:$BM254,,$BV$22)*$BW$22+
INDEX($A254:$BM254,,$BV$23)*$BW$23+
INDEX($A254:$BM254,,$BV$25)*$BW$25+
INDEX($A254:$BM254,,$BV$26)*$BW$26+
INDEX($A254:$BM254,,$BV$27)*$BW$27+
$BN254)),
$BN254-100)</f>
        <v>-100</v>
      </c>
      <c r="BF254" t="str">
        <f t="shared" si="49"/>
        <v/>
      </c>
      <c r="BG254" t="str">
        <f t="shared" si="50"/>
        <v/>
      </c>
      <c r="BH254">
        <f t="shared" si="51"/>
        <v>0</v>
      </c>
      <c r="BJ254" t="str">
        <f t="shared" si="52"/>
        <v/>
      </c>
      <c r="BL254">
        <f t="shared" si="54"/>
        <v>0</v>
      </c>
      <c r="BN254">
        <v>2.5300000000000001E-3</v>
      </c>
      <c r="BS254" s="4" t="s">
        <v>2319</v>
      </c>
    </row>
    <row r="255" spans="1:71" ht="15.75" thickBot="1" x14ac:dyDescent="0.3">
      <c r="A255" s="569" t="s">
        <v>1768</v>
      </c>
      <c r="B255" s="569" t="s">
        <v>1389</v>
      </c>
      <c r="C255" s="569" t="s">
        <v>3</v>
      </c>
      <c r="D255" s="574">
        <v>10</v>
      </c>
      <c r="E255" s="569"/>
      <c r="F255" s="569"/>
      <c r="G255" s="569"/>
      <c r="H255" s="569"/>
      <c r="I255" s="574">
        <v>0</v>
      </c>
      <c r="J255" s="574">
        <v>0</v>
      </c>
      <c r="K255" s="574">
        <v>0</v>
      </c>
      <c r="L255" s="574">
        <v>4.2</v>
      </c>
      <c r="M255" s="574">
        <v>0.1</v>
      </c>
      <c r="N255" s="574">
        <v>26.6</v>
      </c>
      <c r="O255" s="574">
        <v>12.8</v>
      </c>
      <c r="P255" s="574">
        <v>0.3</v>
      </c>
      <c r="Q255" s="574">
        <v>67.8</v>
      </c>
      <c r="R255" s="569"/>
      <c r="S255" s="569"/>
      <c r="T255" s="569"/>
      <c r="U255" s="569"/>
      <c r="V255" s="569"/>
      <c r="W255" s="569"/>
      <c r="X255" s="569"/>
      <c r="Y255" s="569"/>
      <c r="Z255" s="569"/>
      <c r="AA255" s="569"/>
      <c r="AB255" s="569"/>
      <c r="AC255" s="569"/>
      <c r="AD255" s="569"/>
      <c r="AE255" s="569"/>
      <c r="AF255" s="569"/>
      <c r="AG255" s="569"/>
      <c r="AH255" s="569"/>
      <c r="AI255" s="569"/>
      <c r="AJ255" s="569"/>
      <c r="AK255" s="569"/>
      <c r="AL255" s="569"/>
      <c r="AM255" s="569"/>
      <c r="AN255" s="574">
        <v>11.4</v>
      </c>
      <c r="AO255">
        <v>254</v>
      </c>
      <c r="AP255" t="str">
        <f t="shared" si="53"/>
        <v/>
      </c>
      <c r="AQ255" t="str">
        <f t="shared" si="43"/>
        <v/>
      </c>
      <c r="AR255" s="430">
        <f>IFERROR(
IF(AP255="",-100,
IF($BV$2&gt;0, INDEX(Beersheet!$A:$U,MATCH(AP255,INDEX(Beersheet!$A:$U,0,FFARawStatProjections!$BV$2),0),$BV$3)+$BN255,
INDEX($A255:$BM255,,$BV$12)*$BW$12+
INDEX($A255:$BM255,,$BV$15)*$BW$15+
INDEX($A255:$BM255,,$BV$16)*$BW$16+
INDEX($A255:$BM255,,$BV$17)*$BW$17+
INDEX($A255:$BM255,,$BV$18)*$BW$18+
INDEX($A255:$BM255,,$BV$19)*$BW$19+
INDEX($A255:$BM255,,$BV$20)*$BW$20+
INDEX($A255:$BM255,,$BV$21)*$BW$21+
INDEX($A255:$BM255,,$BV$22)*$BW$22+
INDEX($A255:$BM255,,$BV$23)*$BW$23+
INDEX($A255:$BM255,,$BV$25)*$BW$25+
INDEX($A255:$BM255,,$BV$26)*$BW$26+
INDEX($A255:$BM255,,$BV$27)*$BW$27+
$BN255)),
$BN255-100)</f>
        <v>-100</v>
      </c>
      <c r="AT255" t="str">
        <f t="shared" si="44"/>
        <v>Royce Freeman</v>
      </c>
      <c r="AU255" t="str">
        <f t="shared" si="45"/>
        <v>LAR</v>
      </c>
      <c r="AV255" s="430">
        <f>IFERROR(
IF(AT255="",-100,
IF($BV$2&gt;0, INDEX(Beersheet!$A:$U,MATCH(AT255,INDEX(Beersheet!$A:$U,0,FFARawStatProjections!$BV$2),0),$BV$3)+$BN255,
INDEX($A255:$BM255,,$BV$12)*$BW$12+
INDEX($A255:$BM255,,$BV$15)*$BW$15+
INDEX($A255:$BM255,,$BV$16)*$BW$16+
INDEX($A255:$BM255,,$BV$17)*$BW$17+
INDEX($A255:$BM255,,$BV$18)*$BW$18+
INDEX($A255:$BM255,,$BV$19)*$BW$19+
INDEX($A255:$BM255,,$BV$20)*$BW$20+
INDEX($A255:$BM255,,$BV$21)*$BW$21+
INDEX($A255:$BM255,,$BV$22)*$BW$22+
INDEX($A255:$BM255,,$BV$23)*$BW$23+
INDEX($A255:$BM255,,$BV$25)*$BW$25+
INDEX($A255:$BM255,,$BV$26)*$BW$26+
INDEX($A255:$BM255,,$BV$27)*$BW$27+
$BN255)),
$BN255-100)</f>
        <v>16.042540000000002</v>
      </c>
      <c r="AX255" t="str">
        <f t="shared" si="46"/>
        <v/>
      </c>
      <c r="AY255" t="str">
        <f t="shared" si="47"/>
        <v/>
      </c>
      <c r="AZ255" s="430">
        <f>IFERROR(
IF(AX255="",-100,
IF($BV$2&gt;0, INDEX(Beersheet!$A:$U,MATCH(AX255,INDEX(Beersheet!$A:$U,0,FFARawStatProjections!$BV$2),0),$BV$3)+$BN255,
INDEX($A255:$BM255,,$BV$12)*$BW$12+
INDEX($A255:$BM255,,$BV$15)*$BW$15+
INDEX($A255:$BM255,,$BV$16)*$BW$16+
INDEX($A255:$BM255,,$BV$17)*$BW$17+
INDEX($A255:$BM255,,$BV$18)*$BW$18+
INDEX($A255:$BM255,,$BV$19)*$BW$19+
INDEX($A255:$BM255,,$BV$20)*$BW$20+
INDEX($A255:$BM255,,$BV$21)*$BW$21+
INDEX($A255:$BM255,,$BV$22)*$BW$22+
INDEX($A255:$BM255,,$BV$23)*$BW$23+
INDEX($A255:$BM255,,$BV$25)*$BW$25+
INDEX($A255:$BM255,,$BV$26)*$BW$26+
INDEX($A255:$BM255,,$BV$27)*$BW$27+
$BN255)),
$BN255-100)</f>
        <v>-100</v>
      </c>
      <c r="BB255" t="str">
        <f t="shared" si="48"/>
        <v/>
      </c>
      <c r="BC255" t="str">
        <f t="shared" si="42"/>
        <v/>
      </c>
      <c r="BD255" s="430">
        <f>IFERROR(
IF(BB255="",-100,
IF($BV$2&gt;0, INDEX(Beersheet!$A:$U,MATCH(BB255,INDEX(Beersheet!$A:$U,0,FFARawStatProjections!$BV$2),0),$BV$3)+$BN255,
INDEX($A255:$BM255,,$BV$12)*$BW$12+
INDEX($A255:$BM255,,$BV$15)*$BW$15+
INDEX($A255:$BM255,,$BV$16)*$BW$16+
INDEX($A255:$BM255,,$BV$17)*$BW$17+
INDEX($A255:$BM255,,$BV$18)*$BW$18+
INDEX($A255:$BM255,,$BV$19)*$BW$19+
INDEX($A255:$BM255,,$BV$20)*$BW$20+
INDEX($A255:$BM255,,$BV$21)*$BW$21+
INDEX($A255:$BM255,,$BV$22)*$BW$22+
INDEX($A255:$BM255,,$BV$23)*$BW$23+
INDEX($A255:$BM255,,$BV$25)*$BW$25+
INDEX($A255:$BM255,,$BV$26)*$BW$26+
INDEX($A255:$BM255,,$BV$27)*$BW$27+
$BN255)),
$BN255-100)</f>
        <v>-100</v>
      </c>
      <c r="BF255" t="str">
        <f t="shared" si="49"/>
        <v/>
      </c>
      <c r="BG255" t="str">
        <f t="shared" si="50"/>
        <v/>
      </c>
      <c r="BH255">
        <f t="shared" si="51"/>
        <v>0</v>
      </c>
      <c r="BJ255" t="str">
        <f t="shared" si="52"/>
        <v/>
      </c>
      <c r="BL255">
        <f t="shared" si="54"/>
        <v>0</v>
      </c>
      <c r="BN255">
        <v>2.5400000000000002E-3</v>
      </c>
      <c r="BS255" s="4" t="s">
        <v>2186</v>
      </c>
    </row>
    <row r="256" spans="1:71" ht="15.75" thickBot="1" x14ac:dyDescent="0.3">
      <c r="A256" s="569" t="s">
        <v>2522</v>
      </c>
      <c r="B256" s="569" t="s">
        <v>2073</v>
      </c>
      <c r="C256" s="569" t="s">
        <v>3</v>
      </c>
      <c r="D256" s="574">
        <v>13</v>
      </c>
      <c r="E256" s="569"/>
      <c r="F256" s="569"/>
      <c r="G256" s="569"/>
      <c r="H256" s="569"/>
      <c r="I256" s="574">
        <v>0</v>
      </c>
      <c r="J256" s="574">
        <v>0</v>
      </c>
      <c r="K256" s="574">
        <v>0</v>
      </c>
      <c r="L256" s="574">
        <v>4.0999999999999996</v>
      </c>
      <c r="M256" s="574">
        <v>0.1</v>
      </c>
      <c r="N256" s="574">
        <v>25.7</v>
      </c>
      <c r="O256" s="574">
        <v>14.5</v>
      </c>
      <c r="P256" s="574">
        <v>0.4</v>
      </c>
      <c r="Q256" s="574">
        <v>60.6</v>
      </c>
      <c r="R256" s="569"/>
      <c r="S256" s="569"/>
      <c r="T256" s="569"/>
      <c r="U256" s="569"/>
      <c r="V256" s="569"/>
      <c r="W256" s="569"/>
      <c r="X256" s="569"/>
      <c r="Y256" s="569"/>
      <c r="Z256" s="569"/>
      <c r="AA256" s="569"/>
      <c r="AB256" s="569"/>
      <c r="AC256" s="569"/>
      <c r="AD256" s="569"/>
      <c r="AE256" s="569"/>
      <c r="AF256" s="569"/>
      <c r="AG256" s="569"/>
      <c r="AH256" s="569"/>
      <c r="AI256" s="569"/>
      <c r="AJ256" s="569"/>
      <c r="AK256" s="569"/>
      <c r="AL256" s="569"/>
      <c r="AM256" s="569"/>
      <c r="AN256" s="574">
        <v>11.3</v>
      </c>
      <c r="AO256">
        <v>255</v>
      </c>
      <c r="AP256" t="str">
        <f t="shared" si="53"/>
        <v/>
      </c>
      <c r="AQ256" t="str">
        <f t="shared" si="43"/>
        <v/>
      </c>
      <c r="AR256" s="430">
        <f>IFERROR(
IF(AP256="",-100,
IF($BV$2&gt;0, INDEX(Beersheet!$A:$U,MATCH(AP256,INDEX(Beersheet!$A:$U,0,FFARawStatProjections!$BV$2),0),$BV$3)+$BN256,
INDEX($A256:$BM256,,$BV$12)*$BW$12+
INDEX($A256:$BM256,,$BV$15)*$BW$15+
INDEX($A256:$BM256,,$BV$16)*$BW$16+
INDEX($A256:$BM256,,$BV$17)*$BW$17+
INDEX($A256:$BM256,,$BV$18)*$BW$18+
INDEX($A256:$BM256,,$BV$19)*$BW$19+
INDEX($A256:$BM256,,$BV$20)*$BW$20+
INDEX($A256:$BM256,,$BV$21)*$BW$21+
INDEX($A256:$BM256,,$BV$22)*$BW$22+
INDEX($A256:$BM256,,$BV$23)*$BW$23+
INDEX($A256:$BM256,,$BV$25)*$BW$25+
INDEX($A256:$BM256,,$BV$26)*$BW$26+
INDEX($A256:$BM256,,$BV$27)*$BW$27+
$BN256)),
$BN256-100)</f>
        <v>-100</v>
      </c>
      <c r="AT256" t="str">
        <f t="shared" si="44"/>
        <v>Brittain Brown</v>
      </c>
      <c r="AU256" t="str">
        <f t="shared" si="45"/>
        <v>LV</v>
      </c>
      <c r="AV256" s="430">
        <f>IFERROR(
IF(AT256="",-100,
IF($BV$2&gt;0, INDEX(Beersheet!$A:$U,MATCH(AT256,INDEX(Beersheet!$A:$U,0,FFARawStatProjections!$BV$2),0),$BV$3)+$BN256,
INDEX($A256:$BM256,,$BV$12)*$BW$12+
INDEX($A256:$BM256,,$BV$15)*$BW$15+
INDEX($A256:$BM256,,$BV$16)*$BW$16+
INDEX($A256:$BM256,,$BV$17)*$BW$17+
INDEX($A256:$BM256,,$BV$18)*$BW$18+
INDEX($A256:$BM256,,$BV$19)*$BW$19+
INDEX($A256:$BM256,,$BV$20)*$BW$20+
INDEX($A256:$BM256,,$BV$21)*$BW$21+
INDEX($A256:$BM256,,$BV$22)*$BW$22+
INDEX($A256:$BM256,,$BV$23)*$BW$23+
INDEX($A256:$BM256,,$BV$25)*$BW$25+
INDEX($A256:$BM256,,$BV$26)*$BW$26+
INDEX($A256:$BM256,,$BV$27)*$BW$27+
$BN256)),
$BN256-100)</f>
        <v>15.73255</v>
      </c>
      <c r="AX256" t="str">
        <f t="shared" si="46"/>
        <v/>
      </c>
      <c r="AY256" t="str">
        <f t="shared" si="47"/>
        <v/>
      </c>
      <c r="AZ256" s="430">
        <f>IFERROR(
IF(AX256="",-100,
IF($BV$2&gt;0, INDEX(Beersheet!$A:$U,MATCH(AX256,INDEX(Beersheet!$A:$U,0,FFARawStatProjections!$BV$2),0),$BV$3)+$BN256,
INDEX($A256:$BM256,,$BV$12)*$BW$12+
INDEX($A256:$BM256,,$BV$15)*$BW$15+
INDEX($A256:$BM256,,$BV$16)*$BW$16+
INDEX($A256:$BM256,,$BV$17)*$BW$17+
INDEX($A256:$BM256,,$BV$18)*$BW$18+
INDEX($A256:$BM256,,$BV$19)*$BW$19+
INDEX($A256:$BM256,,$BV$20)*$BW$20+
INDEX($A256:$BM256,,$BV$21)*$BW$21+
INDEX($A256:$BM256,,$BV$22)*$BW$22+
INDEX($A256:$BM256,,$BV$23)*$BW$23+
INDEX($A256:$BM256,,$BV$25)*$BW$25+
INDEX($A256:$BM256,,$BV$26)*$BW$26+
INDEX($A256:$BM256,,$BV$27)*$BW$27+
$BN256)),
$BN256-100)</f>
        <v>-100</v>
      </c>
      <c r="BB256" t="str">
        <f t="shared" si="48"/>
        <v/>
      </c>
      <c r="BC256" t="str">
        <f t="shared" si="42"/>
        <v/>
      </c>
      <c r="BD256" s="430">
        <f>IFERROR(
IF(BB256="",-100,
IF($BV$2&gt;0, INDEX(Beersheet!$A:$U,MATCH(BB256,INDEX(Beersheet!$A:$U,0,FFARawStatProjections!$BV$2),0),$BV$3)+$BN256,
INDEX($A256:$BM256,,$BV$12)*$BW$12+
INDEX($A256:$BM256,,$BV$15)*$BW$15+
INDEX($A256:$BM256,,$BV$16)*$BW$16+
INDEX($A256:$BM256,,$BV$17)*$BW$17+
INDEX($A256:$BM256,,$BV$18)*$BW$18+
INDEX($A256:$BM256,,$BV$19)*$BW$19+
INDEX($A256:$BM256,,$BV$20)*$BW$20+
INDEX($A256:$BM256,,$BV$21)*$BW$21+
INDEX($A256:$BM256,,$BV$22)*$BW$22+
INDEX($A256:$BM256,,$BV$23)*$BW$23+
INDEX($A256:$BM256,,$BV$25)*$BW$25+
INDEX($A256:$BM256,,$BV$26)*$BW$26+
INDEX($A256:$BM256,,$BV$27)*$BW$27+
$BN256)),
$BN256-100)</f>
        <v>-100</v>
      </c>
      <c r="BF256" t="str">
        <f t="shared" si="49"/>
        <v/>
      </c>
      <c r="BG256" t="str">
        <f t="shared" si="50"/>
        <v/>
      </c>
      <c r="BH256">
        <f t="shared" si="51"/>
        <v>0</v>
      </c>
      <c r="BJ256" t="str">
        <f t="shared" si="52"/>
        <v/>
      </c>
      <c r="BL256">
        <f t="shared" si="54"/>
        <v>0</v>
      </c>
      <c r="BN256">
        <v>2.5500000000000002E-3</v>
      </c>
      <c r="BS256" s="4" t="s">
        <v>139</v>
      </c>
    </row>
    <row r="257" spans="1:71" ht="15.75" thickBot="1" x14ac:dyDescent="0.3">
      <c r="A257" s="569" t="s">
        <v>2120</v>
      </c>
      <c r="B257" s="569" t="s">
        <v>166</v>
      </c>
      <c r="C257" s="569" t="s">
        <v>3</v>
      </c>
      <c r="D257" s="574">
        <v>10</v>
      </c>
      <c r="E257" s="569"/>
      <c r="F257" s="569"/>
      <c r="G257" s="569"/>
      <c r="H257" s="569"/>
      <c r="I257" s="574">
        <v>0</v>
      </c>
      <c r="J257" s="574">
        <v>0</v>
      </c>
      <c r="K257" s="574">
        <v>0</v>
      </c>
      <c r="L257" s="574">
        <v>10.3</v>
      </c>
      <c r="M257" s="574">
        <v>0.4</v>
      </c>
      <c r="N257" s="574">
        <v>70.3</v>
      </c>
      <c r="O257" s="574">
        <v>5</v>
      </c>
      <c r="P257" s="574">
        <v>0.1</v>
      </c>
      <c r="Q257" s="574">
        <v>13.2</v>
      </c>
      <c r="R257" s="569"/>
      <c r="S257" s="569"/>
      <c r="T257" s="569"/>
      <c r="U257" s="569"/>
      <c r="V257" s="569"/>
      <c r="W257" s="569"/>
      <c r="X257" s="569"/>
      <c r="Y257" s="569"/>
      <c r="Z257" s="569"/>
      <c r="AA257" s="569"/>
      <c r="AB257" s="569"/>
      <c r="AC257" s="569"/>
      <c r="AD257" s="569"/>
      <c r="AE257" s="569"/>
      <c r="AF257" s="569"/>
      <c r="AG257" s="569"/>
      <c r="AH257" s="569"/>
      <c r="AI257" s="569"/>
      <c r="AJ257" s="569"/>
      <c r="AK257" s="569"/>
      <c r="AL257" s="569"/>
      <c r="AM257" s="569"/>
      <c r="AN257" s="574">
        <v>11.1</v>
      </c>
      <c r="AO257">
        <v>256</v>
      </c>
      <c r="AP257" t="str">
        <f t="shared" si="53"/>
        <v/>
      </c>
      <c r="AQ257" t="str">
        <f t="shared" si="43"/>
        <v/>
      </c>
      <c r="AR257" s="430">
        <f>IFERROR(
IF(AP257="",-100,
IF($BV$2&gt;0, INDEX(Beersheet!$A:$U,MATCH(AP257,INDEX(Beersheet!$A:$U,0,FFARawStatProjections!$BV$2),0),$BV$3)+$BN257,
INDEX($A257:$BM257,,$BV$12)*$BW$12+
INDEX($A257:$BM257,,$BV$15)*$BW$15+
INDEX($A257:$BM257,,$BV$16)*$BW$16+
INDEX($A257:$BM257,,$BV$17)*$BW$17+
INDEX($A257:$BM257,,$BV$18)*$BW$18+
INDEX($A257:$BM257,,$BV$19)*$BW$19+
INDEX($A257:$BM257,,$BV$20)*$BW$20+
INDEX($A257:$BM257,,$BV$21)*$BW$21+
INDEX($A257:$BM257,,$BV$22)*$BW$22+
INDEX($A257:$BM257,,$BV$23)*$BW$23+
INDEX($A257:$BM257,,$BV$25)*$BW$25+
INDEX($A257:$BM257,,$BV$26)*$BW$26+
INDEX($A257:$BM257,,$BV$27)*$BW$27+
$BN257)),
$BN257-100)</f>
        <v>-100</v>
      </c>
      <c r="AT257" t="str">
        <f t="shared" si="44"/>
        <v>Alec Ingold</v>
      </c>
      <c r="AU257" t="str">
        <f t="shared" si="45"/>
        <v>MIA</v>
      </c>
      <c r="AV257" s="430">
        <f>IFERROR(
IF(AT257="",-100,
IF($BV$2&gt;0, INDEX(Beersheet!$A:$U,MATCH(AT257,INDEX(Beersheet!$A:$U,0,FFARawStatProjections!$BV$2),0),$BV$3)+$BN257,
INDEX($A257:$BM257,,$BV$12)*$BW$12+
INDEX($A257:$BM257,,$BV$15)*$BW$15+
INDEX($A257:$BM257,,$BV$16)*$BW$16+
INDEX($A257:$BM257,,$BV$17)*$BW$17+
INDEX($A257:$BM257,,$BV$18)*$BW$18+
INDEX($A257:$BM257,,$BV$19)*$BW$19+
INDEX($A257:$BM257,,$BV$20)*$BW$20+
INDEX($A257:$BM257,,$BV$21)*$BW$21+
INDEX($A257:$BM257,,$BV$22)*$BW$22+
INDEX($A257:$BM257,,$BV$23)*$BW$23+
INDEX($A257:$BM257,,$BV$25)*$BW$25+
INDEX($A257:$BM257,,$BV$26)*$BW$26+
INDEX($A257:$BM257,,$BV$27)*$BW$27+
$BN257)),
$BN257-100)</f>
        <v>21.652560000000001</v>
      </c>
      <c r="AX257" t="str">
        <f t="shared" si="46"/>
        <v/>
      </c>
      <c r="AY257" t="str">
        <f t="shared" si="47"/>
        <v/>
      </c>
      <c r="AZ257" s="430">
        <f>IFERROR(
IF(AX257="",-100,
IF($BV$2&gt;0, INDEX(Beersheet!$A:$U,MATCH(AX257,INDEX(Beersheet!$A:$U,0,FFARawStatProjections!$BV$2),0),$BV$3)+$BN257,
INDEX($A257:$BM257,,$BV$12)*$BW$12+
INDEX($A257:$BM257,,$BV$15)*$BW$15+
INDEX($A257:$BM257,,$BV$16)*$BW$16+
INDEX($A257:$BM257,,$BV$17)*$BW$17+
INDEX($A257:$BM257,,$BV$18)*$BW$18+
INDEX($A257:$BM257,,$BV$19)*$BW$19+
INDEX($A257:$BM257,,$BV$20)*$BW$20+
INDEX($A257:$BM257,,$BV$21)*$BW$21+
INDEX($A257:$BM257,,$BV$22)*$BW$22+
INDEX($A257:$BM257,,$BV$23)*$BW$23+
INDEX($A257:$BM257,,$BV$25)*$BW$25+
INDEX($A257:$BM257,,$BV$26)*$BW$26+
INDEX($A257:$BM257,,$BV$27)*$BW$27+
$BN257)),
$BN257-100)</f>
        <v>-100</v>
      </c>
      <c r="BB257" t="str">
        <f t="shared" si="48"/>
        <v/>
      </c>
      <c r="BC257" t="str">
        <f t="shared" si="42"/>
        <v/>
      </c>
      <c r="BD257" s="430">
        <f>IFERROR(
IF(BB257="",-100,
IF($BV$2&gt;0, INDEX(Beersheet!$A:$U,MATCH(BB257,INDEX(Beersheet!$A:$U,0,FFARawStatProjections!$BV$2),0),$BV$3)+$BN257,
INDEX($A257:$BM257,,$BV$12)*$BW$12+
INDEX($A257:$BM257,,$BV$15)*$BW$15+
INDEX($A257:$BM257,,$BV$16)*$BW$16+
INDEX($A257:$BM257,,$BV$17)*$BW$17+
INDEX($A257:$BM257,,$BV$18)*$BW$18+
INDEX($A257:$BM257,,$BV$19)*$BW$19+
INDEX($A257:$BM257,,$BV$20)*$BW$20+
INDEX($A257:$BM257,,$BV$21)*$BW$21+
INDEX($A257:$BM257,,$BV$22)*$BW$22+
INDEX($A257:$BM257,,$BV$23)*$BW$23+
INDEX($A257:$BM257,,$BV$25)*$BW$25+
INDEX($A257:$BM257,,$BV$26)*$BW$26+
INDEX($A257:$BM257,,$BV$27)*$BW$27+
$BN257)),
$BN257-100)</f>
        <v>-100</v>
      </c>
      <c r="BF257" t="str">
        <f t="shared" si="49"/>
        <v/>
      </c>
      <c r="BG257" t="str">
        <f t="shared" si="50"/>
        <v/>
      </c>
      <c r="BH257">
        <f t="shared" si="51"/>
        <v>0</v>
      </c>
      <c r="BJ257" t="str">
        <f t="shared" si="52"/>
        <v/>
      </c>
      <c r="BL257">
        <f t="shared" si="54"/>
        <v>0</v>
      </c>
      <c r="BN257">
        <v>2.5600000000000002E-3</v>
      </c>
      <c r="BS257" s="4" t="s">
        <v>173</v>
      </c>
    </row>
    <row r="258" spans="1:71" ht="15.75" thickBot="1" x14ac:dyDescent="0.3">
      <c r="A258" s="569" t="s">
        <v>2090</v>
      </c>
      <c r="B258" s="569" t="s">
        <v>156</v>
      </c>
      <c r="C258" s="569" t="s">
        <v>3</v>
      </c>
      <c r="D258" s="574">
        <v>13</v>
      </c>
      <c r="E258" s="569"/>
      <c r="F258" s="569"/>
      <c r="G258" s="569"/>
      <c r="H258" s="569"/>
      <c r="I258" s="574">
        <v>0</v>
      </c>
      <c r="J258" s="574">
        <v>0</v>
      </c>
      <c r="K258" s="574">
        <v>0</v>
      </c>
      <c r="L258" s="574">
        <v>9</v>
      </c>
      <c r="M258" s="574">
        <v>0.3</v>
      </c>
      <c r="N258" s="574">
        <v>43.3</v>
      </c>
      <c r="O258" s="574">
        <v>13.5</v>
      </c>
      <c r="P258" s="574">
        <v>0.1</v>
      </c>
      <c r="Q258" s="574">
        <v>46</v>
      </c>
      <c r="R258" s="569"/>
      <c r="S258" s="569"/>
      <c r="T258" s="569"/>
      <c r="U258" s="569"/>
      <c r="V258" s="569"/>
      <c r="W258" s="569"/>
      <c r="X258" s="569"/>
      <c r="Y258" s="569"/>
      <c r="Z258" s="569"/>
      <c r="AA258" s="569"/>
      <c r="AB258" s="569"/>
      <c r="AC258" s="569"/>
      <c r="AD258" s="569"/>
      <c r="AE258" s="569"/>
      <c r="AF258" s="569"/>
      <c r="AG258" s="569"/>
      <c r="AH258" s="569"/>
      <c r="AI258" s="569"/>
      <c r="AJ258" s="569"/>
      <c r="AK258" s="569"/>
      <c r="AL258" s="569"/>
      <c r="AM258" s="569"/>
      <c r="AN258" s="574">
        <v>10.8</v>
      </c>
      <c r="AO258">
        <v>257</v>
      </c>
      <c r="AP258" t="str">
        <f t="shared" si="53"/>
        <v/>
      </c>
      <c r="AQ258" t="str">
        <f t="shared" si="43"/>
        <v/>
      </c>
      <c r="AR258" s="430">
        <f>IFERROR(
IF(AP258="",-100,
IF($BV$2&gt;0, INDEX(Beersheet!$A:$U,MATCH(AP258,INDEX(Beersheet!$A:$U,0,FFARawStatProjections!$BV$2),0),$BV$3)+$BN258,
INDEX($A258:$BM258,,$BV$12)*$BW$12+
INDEX($A258:$BM258,,$BV$15)*$BW$15+
INDEX($A258:$BM258,,$BV$16)*$BW$16+
INDEX($A258:$BM258,,$BV$17)*$BW$17+
INDEX($A258:$BM258,,$BV$18)*$BW$18+
INDEX($A258:$BM258,,$BV$19)*$BW$19+
INDEX($A258:$BM258,,$BV$20)*$BW$20+
INDEX($A258:$BM258,,$BV$21)*$BW$21+
INDEX($A258:$BM258,,$BV$22)*$BW$22+
INDEX($A258:$BM258,,$BV$23)*$BW$23+
INDEX($A258:$BM258,,$BV$25)*$BW$25+
INDEX($A258:$BM258,,$BV$26)*$BW$26+
INDEX($A258:$BM258,,$BV$27)*$BW$27+
$BN258)),
$BN258-100)</f>
        <v>-100</v>
      </c>
      <c r="AT258" t="str">
        <f t="shared" si="44"/>
        <v>Darrynton Evans</v>
      </c>
      <c r="AU258" t="str">
        <f t="shared" si="45"/>
        <v>BUF</v>
      </c>
      <c r="AV258" s="430">
        <f>IFERROR(
IF(AT258="",-100,
IF($BV$2&gt;0, INDEX(Beersheet!$A:$U,MATCH(AT258,INDEX(Beersheet!$A:$U,0,FFARawStatProjections!$BV$2),0),$BV$3)+$BN258,
INDEX($A258:$BM258,,$BV$12)*$BW$12+
INDEX($A258:$BM258,,$BV$15)*$BW$15+
INDEX($A258:$BM258,,$BV$16)*$BW$16+
INDEX($A258:$BM258,,$BV$17)*$BW$17+
INDEX($A258:$BM258,,$BV$18)*$BW$18+
INDEX($A258:$BM258,,$BV$19)*$BW$19+
INDEX($A258:$BM258,,$BV$20)*$BW$20+
INDEX($A258:$BM258,,$BV$21)*$BW$21+
INDEX($A258:$BM258,,$BV$22)*$BW$22+
INDEX($A258:$BM258,,$BV$23)*$BW$23+
INDEX($A258:$BM258,,$BV$25)*$BW$25+
INDEX($A258:$BM258,,$BV$26)*$BW$26+
INDEX($A258:$BM258,,$BV$27)*$BW$27+
$BN258)),
$BN258-100)</f>
        <v>20.33257</v>
      </c>
      <c r="AX258" t="str">
        <f t="shared" si="46"/>
        <v/>
      </c>
      <c r="AY258" t="str">
        <f t="shared" si="47"/>
        <v/>
      </c>
      <c r="AZ258" s="430">
        <f>IFERROR(
IF(AX258="",-100,
IF($BV$2&gt;0, INDEX(Beersheet!$A:$U,MATCH(AX258,INDEX(Beersheet!$A:$U,0,FFARawStatProjections!$BV$2),0),$BV$3)+$BN258,
INDEX($A258:$BM258,,$BV$12)*$BW$12+
INDEX($A258:$BM258,,$BV$15)*$BW$15+
INDEX($A258:$BM258,,$BV$16)*$BW$16+
INDEX($A258:$BM258,,$BV$17)*$BW$17+
INDEX($A258:$BM258,,$BV$18)*$BW$18+
INDEX($A258:$BM258,,$BV$19)*$BW$19+
INDEX($A258:$BM258,,$BV$20)*$BW$20+
INDEX($A258:$BM258,,$BV$21)*$BW$21+
INDEX($A258:$BM258,,$BV$22)*$BW$22+
INDEX($A258:$BM258,,$BV$23)*$BW$23+
INDEX($A258:$BM258,,$BV$25)*$BW$25+
INDEX($A258:$BM258,,$BV$26)*$BW$26+
INDEX($A258:$BM258,,$BV$27)*$BW$27+
$BN258)),
$BN258-100)</f>
        <v>-100</v>
      </c>
      <c r="BB258" t="str">
        <f t="shared" si="48"/>
        <v/>
      </c>
      <c r="BC258" t="str">
        <f t="shared" ref="BC258:BC321" si="55">IFERROR(IF(BB258="","",$B258),"")</f>
        <v/>
      </c>
      <c r="BD258" s="430">
        <f>IFERROR(
IF(BB258="",-100,
IF($BV$2&gt;0, INDEX(Beersheet!$A:$U,MATCH(BB258,INDEX(Beersheet!$A:$U,0,FFARawStatProjections!$BV$2),0),$BV$3)+$BN258,
INDEX($A258:$BM258,,$BV$12)*$BW$12+
INDEX($A258:$BM258,,$BV$15)*$BW$15+
INDEX($A258:$BM258,,$BV$16)*$BW$16+
INDEX($A258:$BM258,,$BV$17)*$BW$17+
INDEX($A258:$BM258,,$BV$18)*$BW$18+
INDEX($A258:$BM258,,$BV$19)*$BW$19+
INDEX($A258:$BM258,,$BV$20)*$BW$20+
INDEX($A258:$BM258,,$BV$21)*$BW$21+
INDEX($A258:$BM258,,$BV$22)*$BW$22+
INDEX($A258:$BM258,,$BV$23)*$BW$23+
INDEX($A258:$BM258,,$BV$25)*$BW$25+
INDEX($A258:$BM258,,$BV$26)*$BW$26+
INDEX($A258:$BM258,,$BV$27)*$BW$27+
$BN258)),
$BN258-100)</f>
        <v>-100</v>
      </c>
      <c r="BF258" t="str">
        <f t="shared" si="49"/>
        <v/>
      </c>
      <c r="BG258" t="str">
        <f t="shared" si="50"/>
        <v/>
      </c>
      <c r="BH258">
        <f t="shared" si="51"/>
        <v>0</v>
      </c>
      <c r="BJ258" t="str">
        <f t="shared" si="52"/>
        <v/>
      </c>
      <c r="BL258">
        <f t="shared" si="54"/>
        <v>0</v>
      </c>
      <c r="BN258">
        <v>2.5699999999999998E-3</v>
      </c>
      <c r="BS258" s="4" t="s">
        <v>2235</v>
      </c>
    </row>
    <row r="259" spans="1:71" ht="15.75" thickBot="1" x14ac:dyDescent="0.3">
      <c r="A259" s="569" t="s">
        <v>2388</v>
      </c>
      <c r="B259" s="569" t="s">
        <v>1388</v>
      </c>
      <c r="C259" s="569" t="s">
        <v>3</v>
      </c>
      <c r="D259" s="574">
        <v>5</v>
      </c>
      <c r="E259" s="569"/>
      <c r="F259" s="569"/>
      <c r="G259" s="569"/>
      <c r="H259" s="569"/>
      <c r="I259" s="574">
        <v>0</v>
      </c>
      <c r="J259" s="574">
        <v>0</v>
      </c>
      <c r="K259" s="574">
        <v>0</v>
      </c>
      <c r="L259" s="574">
        <v>5.5</v>
      </c>
      <c r="M259" s="574">
        <v>1.1000000000000001</v>
      </c>
      <c r="N259" s="574">
        <v>25.1</v>
      </c>
      <c r="O259" s="574">
        <v>6.1</v>
      </c>
      <c r="P259" s="574">
        <v>0</v>
      </c>
      <c r="Q259" s="574">
        <v>14.3</v>
      </c>
      <c r="R259" s="569"/>
      <c r="S259" s="569"/>
      <c r="T259" s="569"/>
      <c r="U259" s="569"/>
      <c r="V259" s="569"/>
      <c r="W259" s="569"/>
      <c r="X259" s="569"/>
      <c r="Y259" s="569"/>
      <c r="Z259" s="569"/>
      <c r="AA259" s="569"/>
      <c r="AB259" s="569"/>
      <c r="AC259" s="569"/>
      <c r="AD259" s="569"/>
      <c r="AE259" s="569"/>
      <c r="AF259" s="569"/>
      <c r="AG259" s="569"/>
      <c r="AH259" s="569"/>
      <c r="AI259" s="569"/>
      <c r="AJ259" s="569"/>
      <c r="AK259" s="569"/>
      <c r="AL259" s="569"/>
      <c r="AM259" s="569"/>
      <c r="AN259" s="574">
        <v>10.7</v>
      </c>
      <c r="AO259">
        <v>258</v>
      </c>
      <c r="AP259" t="str">
        <f t="shared" si="53"/>
        <v/>
      </c>
      <c r="AQ259" t="str">
        <f t="shared" ref="AQ259:AQ322" si="56">IFERROR(IF(AP259="","",$B259),"")</f>
        <v/>
      </c>
      <c r="AR259" s="430">
        <f>IFERROR(
IF(AP259="",-100,
IF($BV$2&gt;0, INDEX(Beersheet!$A:$U,MATCH(AP259,INDEX(Beersheet!$A:$U,0,FFARawStatProjections!$BV$2),0),$BV$3)+$BN259,
INDEX($A259:$BM259,,$BV$12)*$BW$12+
INDEX($A259:$BM259,,$BV$15)*$BW$15+
INDEX($A259:$BM259,,$BV$16)*$BW$16+
INDEX($A259:$BM259,,$BV$17)*$BW$17+
INDEX($A259:$BM259,,$BV$18)*$BW$18+
INDEX($A259:$BM259,,$BV$19)*$BW$19+
INDEX($A259:$BM259,,$BV$20)*$BW$20+
INDEX($A259:$BM259,,$BV$21)*$BW$21+
INDEX($A259:$BM259,,$BV$22)*$BW$22+
INDEX($A259:$BM259,,$BV$23)*$BW$23+
INDEX($A259:$BM259,,$BV$25)*$BW$25+
INDEX($A259:$BM259,,$BV$26)*$BW$26+
INDEX($A259:$BM259,,$BV$27)*$BW$27+
$BN259)),
$BN259-100)</f>
        <v>-100</v>
      </c>
      <c r="AT259" t="str">
        <f t="shared" ref="AT259:AT322" si="57">IF($C259 = "RB", $A259, "")</f>
        <v>Zander Horvath</v>
      </c>
      <c r="AU259" t="str">
        <f t="shared" ref="AU259:AU322" si="58">IFERROR(IF(AT259="","",$B259),"")</f>
        <v>LAC</v>
      </c>
      <c r="AV259" s="430">
        <f>IFERROR(
IF(AT259="",-100,
IF($BV$2&gt;0, INDEX(Beersheet!$A:$U,MATCH(AT259,INDEX(Beersheet!$A:$U,0,FFARawStatProjections!$BV$2),0),$BV$3)+$BN259,
INDEX($A259:$BM259,,$BV$12)*$BW$12+
INDEX($A259:$BM259,,$BV$15)*$BW$15+
INDEX($A259:$BM259,,$BV$16)*$BW$16+
INDEX($A259:$BM259,,$BV$17)*$BW$17+
INDEX($A259:$BM259,,$BV$18)*$BW$18+
INDEX($A259:$BM259,,$BV$19)*$BW$19+
INDEX($A259:$BM259,,$BV$20)*$BW$20+
INDEX($A259:$BM259,,$BV$21)*$BW$21+
INDEX($A259:$BM259,,$BV$22)*$BW$22+
INDEX($A259:$BM259,,$BV$23)*$BW$23+
INDEX($A259:$BM259,,$BV$25)*$BW$25+
INDEX($A259:$BM259,,$BV$26)*$BW$26+
INDEX($A259:$BM259,,$BV$27)*$BW$27+
$BN259)),
$BN259-100)</f>
        <v>16.042580000000001</v>
      </c>
      <c r="AX259" t="str">
        <f t="shared" ref="AX259:AX322" si="59">IF($C259 = "WR", $A259, "")</f>
        <v/>
      </c>
      <c r="AY259" t="str">
        <f t="shared" ref="AY259:AY322" si="60">IFERROR(IF(AX259="","",$B259),"")</f>
        <v/>
      </c>
      <c r="AZ259" s="430">
        <f>IFERROR(
IF(AX259="",-100,
IF($BV$2&gt;0, INDEX(Beersheet!$A:$U,MATCH(AX259,INDEX(Beersheet!$A:$U,0,FFARawStatProjections!$BV$2),0),$BV$3)+$BN259,
INDEX($A259:$BM259,,$BV$12)*$BW$12+
INDEX($A259:$BM259,,$BV$15)*$BW$15+
INDEX($A259:$BM259,,$BV$16)*$BW$16+
INDEX($A259:$BM259,,$BV$17)*$BW$17+
INDEX($A259:$BM259,,$BV$18)*$BW$18+
INDEX($A259:$BM259,,$BV$19)*$BW$19+
INDEX($A259:$BM259,,$BV$20)*$BW$20+
INDEX($A259:$BM259,,$BV$21)*$BW$21+
INDEX($A259:$BM259,,$BV$22)*$BW$22+
INDEX($A259:$BM259,,$BV$23)*$BW$23+
INDEX($A259:$BM259,,$BV$25)*$BW$25+
INDEX($A259:$BM259,,$BV$26)*$BW$26+
INDEX($A259:$BM259,,$BV$27)*$BW$27+
$BN259)),
$BN259-100)</f>
        <v>-100</v>
      </c>
      <c r="BB259" t="str">
        <f t="shared" ref="BB259:BB322" si="61">IF($C259 = "TE", $A259, "")</f>
        <v/>
      </c>
      <c r="BC259" t="str">
        <f t="shared" si="55"/>
        <v/>
      </c>
      <c r="BD259" s="430">
        <f>IFERROR(
IF(BB259="",-100,
IF($BV$2&gt;0, INDEX(Beersheet!$A:$U,MATCH(BB259,INDEX(Beersheet!$A:$U,0,FFARawStatProjections!$BV$2),0),$BV$3)+$BN259,
INDEX($A259:$BM259,,$BV$12)*$BW$12+
INDEX($A259:$BM259,,$BV$15)*$BW$15+
INDEX($A259:$BM259,,$BV$16)*$BW$16+
INDEX($A259:$BM259,,$BV$17)*$BW$17+
INDEX($A259:$BM259,,$BV$18)*$BW$18+
INDEX($A259:$BM259,,$BV$19)*$BW$19+
INDEX($A259:$BM259,,$BV$20)*$BW$20+
INDEX($A259:$BM259,,$BV$21)*$BW$21+
INDEX($A259:$BM259,,$BV$22)*$BW$22+
INDEX($A259:$BM259,,$BV$23)*$BW$23+
INDEX($A259:$BM259,,$BV$25)*$BW$25+
INDEX($A259:$BM259,,$BV$26)*$BW$26+
INDEX($A259:$BM259,,$BV$27)*$BW$27+
$BN259)),
$BN259-100)</f>
        <v>-100</v>
      </c>
      <c r="BF259" t="str">
        <f t="shared" ref="BF259:BF322" si="62">IF($C259 = "K", $A259, "")</f>
        <v/>
      </c>
      <c r="BG259" t="str">
        <f t="shared" ref="BG259:BG322" si="63">IFERROR(IF(BF259="","",$B259),"")</f>
        <v/>
      </c>
      <c r="BH259">
        <f t="shared" ref="BH259:BH322" si="64">IFERROR(IF(BF259="",0,
AF259*3
+AG259*3
+AH259*3
+AI259*4
+AJ259*5
+BN259+AN259),"")</f>
        <v>0</v>
      </c>
      <c r="BJ259" t="str">
        <f t="shared" ref="BJ259:BJ322" si="65">IF($C259 = "DST", $A259, "")</f>
        <v/>
      </c>
      <c r="BL259">
        <f t="shared" si="54"/>
        <v>0</v>
      </c>
      <c r="BN259">
        <v>2.5799999999999998E-3</v>
      </c>
      <c r="BS259" s="4" t="s">
        <v>1451</v>
      </c>
    </row>
    <row r="260" spans="1:71" ht="15.75" thickBot="1" x14ac:dyDescent="0.3">
      <c r="A260" s="569" t="s">
        <v>2459</v>
      </c>
      <c r="B260" s="569" t="s">
        <v>163</v>
      </c>
      <c r="C260" s="569" t="s">
        <v>3</v>
      </c>
      <c r="D260" s="574">
        <v>7</v>
      </c>
      <c r="E260" s="569"/>
      <c r="F260" s="569"/>
      <c r="G260" s="569"/>
      <c r="H260" s="569"/>
      <c r="I260" s="574">
        <v>0</v>
      </c>
      <c r="J260" s="574">
        <v>0</v>
      </c>
      <c r="K260" s="574">
        <v>0</v>
      </c>
      <c r="L260" s="574">
        <v>5.7</v>
      </c>
      <c r="M260" s="574">
        <v>0.2</v>
      </c>
      <c r="N260" s="574">
        <v>37.299999999999997</v>
      </c>
      <c r="O260" s="574">
        <v>12.7</v>
      </c>
      <c r="P260" s="574">
        <v>0.1</v>
      </c>
      <c r="Q260" s="574">
        <v>44.9</v>
      </c>
      <c r="R260" s="569"/>
      <c r="S260" s="569"/>
      <c r="T260" s="569"/>
      <c r="U260" s="569"/>
      <c r="V260" s="569"/>
      <c r="W260" s="569"/>
      <c r="X260" s="569"/>
      <c r="Y260" s="569"/>
      <c r="Z260" s="569"/>
      <c r="AA260" s="569"/>
      <c r="AB260" s="569"/>
      <c r="AC260" s="569"/>
      <c r="AD260" s="569"/>
      <c r="AE260" s="569"/>
      <c r="AF260" s="569"/>
      <c r="AG260" s="569"/>
      <c r="AH260" s="569"/>
      <c r="AI260" s="569"/>
      <c r="AJ260" s="569"/>
      <c r="AK260" s="569"/>
      <c r="AL260" s="569"/>
      <c r="AM260" s="569"/>
      <c r="AN260" s="574">
        <v>9.6999999999999993</v>
      </c>
      <c r="AO260">
        <v>259</v>
      </c>
      <c r="AP260" t="str">
        <f t="shared" si="53"/>
        <v/>
      </c>
      <c r="AQ260" t="str">
        <f t="shared" si="56"/>
        <v/>
      </c>
      <c r="AR260" s="430">
        <f>IFERROR(
IF(AP260="",-100,
IF($BV$2&gt;0, INDEX(Beersheet!$A:$U,MATCH(AP260,INDEX(Beersheet!$A:$U,0,FFARawStatProjections!$BV$2),0),$BV$3)+$BN260,
INDEX($A260:$BM260,,$BV$12)*$BW$12+
INDEX($A260:$BM260,,$BV$15)*$BW$15+
INDEX($A260:$BM260,,$BV$16)*$BW$16+
INDEX($A260:$BM260,,$BV$17)*$BW$17+
INDEX($A260:$BM260,,$BV$18)*$BW$18+
INDEX($A260:$BM260,,$BV$19)*$BW$19+
INDEX($A260:$BM260,,$BV$20)*$BW$20+
INDEX($A260:$BM260,,$BV$21)*$BW$21+
INDEX($A260:$BM260,,$BV$22)*$BW$22+
INDEX($A260:$BM260,,$BV$23)*$BW$23+
INDEX($A260:$BM260,,$BV$25)*$BW$25+
INDEX($A260:$BM260,,$BV$26)*$BW$26+
INDEX($A260:$BM260,,$BV$27)*$BW$27+
$BN260)),
$BN260-100)</f>
        <v>-100</v>
      </c>
      <c r="AT260" t="str">
        <f t="shared" si="57"/>
        <v>Julius Chestnut</v>
      </c>
      <c r="AU260" t="str">
        <f t="shared" si="58"/>
        <v>TEN</v>
      </c>
      <c r="AV260" s="430">
        <f>IFERROR(
IF(AT260="",-100,
IF($BV$2&gt;0, INDEX(Beersheet!$A:$U,MATCH(AT260,INDEX(Beersheet!$A:$U,0,FFARawStatProjections!$BV$2),0),$BV$3)+$BN260,
INDEX($A260:$BM260,,$BV$12)*$BW$12+
INDEX($A260:$BM260,,$BV$15)*$BW$15+
INDEX($A260:$BM260,,$BV$16)*$BW$16+
INDEX($A260:$BM260,,$BV$17)*$BW$17+
INDEX($A260:$BM260,,$BV$18)*$BW$18+
INDEX($A260:$BM260,,$BV$19)*$BW$19+
INDEX($A260:$BM260,,$BV$20)*$BW$20+
INDEX($A260:$BM260,,$BV$21)*$BW$21+
INDEX($A260:$BM260,,$BV$22)*$BW$22+
INDEX($A260:$BM260,,$BV$23)*$BW$23+
INDEX($A260:$BM260,,$BV$25)*$BW$25+
INDEX($A260:$BM260,,$BV$26)*$BW$26+
INDEX($A260:$BM260,,$BV$27)*$BW$27+
$BN260)),
$BN260-100)</f>
        <v>15.72259</v>
      </c>
      <c r="AX260" t="str">
        <f t="shared" si="59"/>
        <v/>
      </c>
      <c r="AY260" t="str">
        <f t="shared" si="60"/>
        <v/>
      </c>
      <c r="AZ260" s="430">
        <f>IFERROR(
IF(AX260="",-100,
IF($BV$2&gt;0, INDEX(Beersheet!$A:$U,MATCH(AX260,INDEX(Beersheet!$A:$U,0,FFARawStatProjections!$BV$2),0),$BV$3)+$BN260,
INDEX($A260:$BM260,,$BV$12)*$BW$12+
INDEX($A260:$BM260,,$BV$15)*$BW$15+
INDEX($A260:$BM260,,$BV$16)*$BW$16+
INDEX($A260:$BM260,,$BV$17)*$BW$17+
INDEX($A260:$BM260,,$BV$18)*$BW$18+
INDEX($A260:$BM260,,$BV$19)*$BW$19+
INDEX($A260:$BM260,,$BV$20)*$BW$20+
INDEX($A260:$BM260,,$BV$21)*$BW$21+
INDEX($A260:$BM260,,$BV$22)*$BW$22+
INDEX($A260:$BM260,,$BV$23)*$BW$23+
INDEX($A260:$BM260,,$BV$25)*$BW$25+
INDEX($A260:$BM260,,$BV$26)*$BW$26+
INDEX($A260:$BM260,,$BV$27)*$BW$27+
$BN260)),
$BN260-100)</f>
        <v>-100</v>
      </c>
      <c r="BB260" t="str">
        <f t="shared" si="61"/>
        <v/>
      </c>
      <c r="BC260" t="str">
        <f t="shared" si="55"/>
        <v/>
      </c>
      <c r="BD260" s="430">
        <f>IFERROR(
IF(BB260="",-100,
IF($BV$2&gt;0, INDEX(Beersheet!$A:$U,MATCH(BB260,INDEX(Beersheet!$A:$U,0,FFARawStatProjections!$BV$2),0),$BV$3)+$BN260,
INDEX($A260:$BM260,,$BV$12)*$BW$12+
INDEX($A260:$BM260,,$BV$15)*$BW$15+
INDEX($A260:$BM260,,$BV$16)*$BW$16+
INDEX($A260:$BM260,,$BV$17)*$BW$17+
INDEX($A260:$BM260,,$BV$18)*$BW$18+
INDEX($A260:$BM260,,$BV$19)*$BW$19+
INDEX($A260:$BM260,,$BV$20)*$BW$20+
INDEX($A260:$BM260,,$BV$21)*$BW$21+
INDEX($A260:$BM260,,$BV$22)*$BW$22+
INDEX($A260:$BM260,,$BV$23)*$BW$23+
INDEX($A260:$BM260,,$BV$25)*$BW$25+
INDEX($A260:$BM260,,$BV$26)*$BW$26+
INDEX($A260:$BM260,,$BV$27)*$BW$27+
$BN260)),
$BN260-100)</f>
        <v>-100</v>
      </c>
      <c r="BF260" t="str">
        <f t="shared" si="62"/>
        <v/>
      </c>
      <c r="BG260" t="str">
        <f t="shared" si="63"/>
        <v/>
      </c>
      <c r="BH260">
        <f t="shared" si="64"/>
        <v>0</v>
      </c>
      <c r="BJ260" t="str">
        <f t="shared" si="65"/>
        <v/>
      </c>
      <c r="BL260">
        <f t="shared" si="54"/>
        <v>0</v>
      </c>
      <c r="BN260">
        <v>2.5899999999999999E-3</v>
      </c>
      <c r="BS260" s="4" t="s">
        <v>2326</v>
      </c>
    </row>
    <row r="261" spans="1:71" ht="15.75" thickBot="1" x14ac:dyDescent="0.3">
      <c r="A261" s="569" t="s">
        <v>2565</v>
      </c>
      <c r="B261" s="569" t="s">
        <v>156</v>
      </c>
      <c r="C261" s="569" t="s">
        <v>3</v>
      </c>
      <c r="D261" s="574">
        <v>13</v>
      </c>
      <c r="E261" s="569"/>
      <c r="F261" s="569"/>
      <c r="G261" s="569"/>
      <c r="H261" s="569"/>
      <c r="I261" s="574">
        <v>0</v>
      </c>
      <c r="J261" s="574">
        <v>0</v>
      </c>
      <c r="K261" s="574">
        <v>0</v>
      </c>
      <c r="L261" s="574">
        <v>3.9</v>
      </c>
      <c r="M261" s="574">
        <v>0.1</v>
      </c>
      <c r="N261" s="574">
        <v>40.9</v>
      </c>
      <c r="O261" s="574">
        <v>14.5</v>
      </c>
      <c r="P261" s="574">
        <v>0.1</v>
      </c>
      <c r="Q261" s="574">
        <v>49</v>
      </c>
      <c r="R261" s="569"/>
      <c r="S261" s="569"/>
      <c r="T261" s="569"/>
      <c r="U261" s="569"/>
      <c r="V261" s="569"/>
      <c r="W261" s="569"/>
      <c r="X261" s="569"/>
      <c r="Y261" s="569"/>
      <c r="Z261" s="569"/>
      <c r="AA261" s="569"/>
      <c r="AB261" s="569"/>
      <c r="AC261" s="569"/>
      <c r="AD261" s="569"/>
      <c r="AE261" s="569"/>
      <c r="AF261" s="569"/>
      <c r="AG261" s="569"/>
      <c r="AH261" s="569"/>
      <c r="AI261" s="569"/>
      <c r="AJ261" s="569"/>
      <c r="AK261" s="569"/>
      <c r="AL261" s="569"/>
      <c r="AM261" s="569"/>
      <c r="AN261" s="574">
        <v>9.6999999999999993</v>
      </c>
      <c r="AO261">
        <v>260</v>
      </c>
      <c r="AP261" t="str">
        <f t="shared" si="53"/>
        <v/>
      </c>
      <c r="AQ261" t="str">
        <f t="shared" si="56"/>
        <v/>
      </c>
      <c r="AR261" s="430">
        <f>IFERROR(
IF(AP261="",-100,
IF($BV$2&gt;0, INDEX(Beersheet!$A:$U,MATCH(AP261,INDEX(Beersheet!$A:$U,0,FFARawStatProjections!$BV$2),0),$BV$3)+$BN261,
INDEX($A261:$BM261,,$BV$12)*$BW$12+
INDEX($A261:$BM261,,$BV$15)*$BW$15+
INDEX($A261:$BM261,,$BV$16)*$BW$16+
INDEX($A261:$BM261,,$BV$17)*$BW$17+
INDEX($A261:$BM261,,$BV$18)*$BW$18+
INDEX($A261:$BM261,,$BV$19)*$BW$19+
INDEX($A261:$BM261,,$BV$20)*$BW$20+
INDEX($A261:$BM261,,$BV$21)*$BW$21+
INDEX($A261:$BM261,,$BV$22)*$BW$22+
INDEX($A261:$BM261,,$BV$23)*$BW$23+
INDEX($A261:$BM261,,$BV$25)*$BW$25+
INDEX($A261:$BM261,,$BV$26)*$BW$26+
INDEX($A261:$BM261,,$BV$27)*$BW$27+
$BN261)),
$BN261-100)</f>
        <v>-100</v>
      </c>
      <c r="AT261" t="str">
        <f t="shared" si="57"/>
        <v>Ty Johnson</v>
      </c>
      <c r="AU261" t="str">
        <f t="shared" si="58"/>
        <v>BUF</v>
      </c>
      <c r="AV261" s="430">
        <f>IFERROR(
IF(AT261="",-100,
IF($BV$2&gt;0, INDEX(Beersheet!$A:$U,MATCH(AT261,INDEX(Beersheet!$A:$U,0,FFARawStatProjections!$BV$2),0),$BV$3)+$BN261,
INDEX($A261:$BM261,,$BV$12)*$BW$12+
INDEX($A261:$BM261,,$BV$15)*$BW$15+
INDEX($A261:$BM261,,$BV$16)*$BW$16+
INDEX($A261:$BM261,,$BV$17)*$BW$17+
INDEX($A261:$BM261,,$BV$18)*$BW$18+
INDEX($A261:$BM261,,$BV$19)*$BW$19+
INDEX($A261:$BM261,,$BV$20)*$BW$20+
INDEX($A261:$BM261,,$BV$21)*$BW$21+
INDEX($A261:$BM261,,$BV$22)*$BW$22+
INDEX($A261:$BM261,,$BV$23)*$BW$23+
INDEX($A261:$BM261,,$BV$25)*$BW$25+
INDEX($A261:$BM261,,$BV$26)*$BW$26+
INDEX($A261:$BM261,,$BV$27)*$BW$27+
$BN261)),
$BN261-100)</f>
        <v>14.092599999999999</v>
      </c>
      <c r="AX261" t="str">
        <f t="shared" si="59"/>
        <v/>
      </c>
      <c r="AY261" t="str">
        <f t="shared" si="60"/>
        <v/>
      </c>
      <c r="AZ261" s="430">
        <f>IFERROR(
IF(AX261="",-100,
IF($BV$2&gt;0, INDEX(Beersheet!$A:$U,MATCH(AX261,INDEX(Beersheet!$A:$U,0,FFARawStatProjections!$BV$2),0),$BV$3)+$BN261,
INDEX($A261:$BM261,,$BV$12)*$BW$12+
INDEX($A261:$BM261,,$BV$15)*$BW$15+
INDEX($A261:$BM261,,$BV$16)*$BW$16+
INDEX($A261:$BM261,,$BV$17)*$BW$17+
INDEX($A261:$BM261,,$BV$18)*$BW$18+
INDEX($A261:$BM261,,$BV$19)*$BW$19+
INDEX($A261:$BM261,,$BV$20)*$BW$20+
INDEX($A261:$BM261,,$BV$21)*$BW$21+
INDEX($A261:$BM261,,$BV$22)*$BW$22+
INDEX($A261:$BM261,,$BV$23)*$BW$23+
INDEX($A261:$BM261,,$BV$25)*$BW$25+
INDEX($A261:$BM261,,$BV$26)*$BW$26+
INDEX($A261:$BM261,,$BV$27)*$BW$27+
$BN261)),
$BN261-100)</f>
        <v>-100</v>
      </c>
      <c r="BB261" t="str">
        <f t="shared" si="61"/>
        <v/>
      </c>
      <c r="BC261" t="str">
        <f t="shared" si="55"/>
        <v/>
      </c>
      <c r="BD261" s="430">
        <f>IFERROR(
IF(BB261="",-100,
IF($BV$2&gt;0, INDEX(Beersheet!$A:$U,MATCH(BB261,INDEX(Beersheet!$A:$U,0,FFARawStatProjections!$BV$2),0),$BV$3)+$BN261,
INDEX($A261:$BM261,,$BV$12)*$BW$12+
INDEX($A261:$BM261,,$BV$15)*$BW$15+
INDEX($A261:$BM261,,$BV$16)*$BW$16+
INDEX($A261:$BM261,,$BV$17)*$BW$17+
INDEX($A261:$BM261,,$BV$18)*$BW$18+
INDEX($A261:$BM261,,$BV$19)*$BW$19+
INDEX($A261:$BM261,,$BV$20)*$BW$20+
INDEX($A261:$BM261,,$BV$21)*$BW$21+
INDEX($A261:$BM261,,$BV$22)*$BW$22+
INDEX($A261:$BM261,,$BV$23)*$BW$23+
INDEX($A261:$BM261,,$BV$25)*$BW$25+
INDEX($A261:$BM261,,$BV$26)*$BW$26+
INDEX($A261:$BM261,,$BV$27)*$BW$27+
$BN261)),
$BN261-100)</f>
        <v>-100</v>
      </c>
      <c r="BF261" t="str">
        <f t="shared" si="62"/>
        <v/>
      </c>
      <c r="BG261" t="str">
        <f t="shared" si="63"/>
        <v/>
      </c>
      <c r="BH261">
        <f t="shared" si="64"/>
        <v>0</v>
      </c>
      <c r="BJ261" t="str">
        <f t="shared" si="65"/>
        <v/>
      </c>
      <c r="BL261">
        <f t="shared" si="54"/>
        <v>0</v>
      </c>
      <c r="BN261">
        <v>2.5999999999999999E-3</v>
      </c>
      <c r="BS261" s="4" t="s">
        <v>1415</v>
      </c>
    </row>
    <row r="262" spans="1:71" ht="15.75" thickBot="1" x14ac:dyDescent="0.3">
      <c r="A262" s="569" t="s">
        <v>2306</v>
      </c>
      <c r="B262" s="569" t="s">
        <v>141</v>
      </c>
      <c r="C262" s="569" t="s">
        <v>3</v>
      </c>
      <c r="D262" s="574">
        <v>13</v>
      </c>
      <c r="E262" s="569"/>
      <c r="F262" s="569"/>
      <c r="G262" s="569"/>
      <c r="H262" s="569"/>
      <c r="I262" s="574">
        <v>0</v>
      </c>
      <c r="J262" s="574">
        <v>0</v>
      </c>
      <c r="K262" s="574">
        <v>0</v>
      </c>
      <c r="L262" s="574">
        <v>3</v>
      </c>
      <c r="M262" s="574">
        <v>0.1</v>
      </c>
      <c r="N262" s="574">
        <v>26.7</v>
      </c>
      <c r="O262" s="574">
        <v>17.600000000000001</v>
      </c>
      <c r="P262" s="574">
        <v>0.1</v>
      </c>
      <c r="Q262" s="574">
        <v>59.6</v>
      </c>
      <c r="R262" s="569"/>
      <c r="S262" s="569"/>
      <c r="T262" s="569"/>
      <c r="U262" s="569"/>
      <c r="V262" s="569"/>
      <c r="W262" s="569"/>
      <c r="X262" s="569"/>
      <c r="Y262" s="569"/>
      <c r="Z262" s="569"/>
      <c r="AA262" s="569"/>
      <c r="AB262" s="569"/>
      <c r="AC262" s="569"/>
      <c r="AD262" s="569"/>
      <c r="AE262" s="569"/>
      <c r="AF262" s="569"/>
      <c r="AG262" s="569"/>
      <c r="AH262" s="569"/>
      <c r="AI262" s="569"/>
      <c r="AJ262" s="569"/>
      <c r="AK262" s="569"/>
      <c r="AL262" s="569"/>
      <c r="AM262" s="569"/>
      <c r="AN262" s="574">
        <v>9.5</v>
      </c>
      <c r="AO262">
        <v>261</v>
      </c>
      <c r="AP262" t="str">
        <f t="shared" si="53"/>
        <v/>
      </c>
      <c r="AQ262" t="str">
        <f t="shared" si="56"/>
        <v/>
      </c>
      <c r="AR262" s="430">
        <f>IFERROR(
IF(AP262="",-100,
IF($BV$2&gt;0, INDEX(Beersheet!$A:$U,MATCH(AP262,INDEX(Beersheet!$A:$U,0,FFARawStatProjections!$BV$2),0),$BV$3)+$BN262,
INDEX($A262:$BM262,,$BV$12)*$BW$12+
INDEX($A262:$BM262,,$BV$15)*$BW$15+
INDEX($A262:$BM262,,$BV$16)*$BW$16+
INDEX($A262:$BM262,,$BV$17)*$BW$17+
INDEX($A262:$BM262,,$BV$18)*$BW$18+
INDEX($A262:$BM262,,$BV$19)*$BW$19+
INDEX($A262:$BM262,,$BV$20)*$BW$20+
INDEX($A262:$BM262,,$BV$21)*$BW$21+
INDEX($A262:$BM262,,$BV$22)*$BW$22+
INDEX($A262:$BM262,,$BV$23)*$BW$23+
INDEX($A262:$BM262,,$BV$25)*$BW$25+
INDEX($A262:$BM262,,$BV$26)*$BW$26+
INDEX($A262:$BM262,,$BV$27)*$BW$27+
$BN262)),
$BN262-100)</f>
        <v>-100</v>
      </c>
      <c r="AT262" t="str">
        <f t="shared" si="57"/>
        <v>Trestan Ebner</v>
      </c>
      <c r="AU262" t="str">
        <f t="shared" si="58"/>
        <v>CHI</v>
      </c>
      <c r="AV262" s="430">
        <f>IFERROR(
IF(AT262="",-100,
IF($BV$2&gt;0, INDEX(Beersheet!$A:$U,MATCH(AT262,INDEX(Beersheet!$A:$U,0,FFARawStatProjections!$BV$2),0),$BV$3)+$BN262,
INDEX($A262:$BM262,,$BV$12)*$BW$12+
INDEX($A262:$BM262,,$BV$15)*$BW$15+
INDEX($A262:$BM262,,$BV$16)*$BW$16+
INDEX($A262:$BM262,,$BV$17)*$BW$17+
INDEX($A262:$BM262,,$BV$18)*$BW$18+
INDEX($A262:$BM262,,$BV$19)*$BW$19+
INDEX($A262:$BM262,,$BV$20)*$BW$20+
INDEX($A262:$BM262,,$BV$21)*$BW$21+
INDEX($A262:$BM262,,$BV$22)*$BW$22+
INDEX($A262:$BM262,,$BV$23)*$BW$23+
INDEX($A262:$BM262,,$BV$25)*$BW$25+
INDEX($A262:$BM262,,$BV$26)*$BW$26+
INDEX($A262:$BM262,,$BV$27)*$BW$27+
$BN262)),
$BN262-100)</f>
        <v>12.832610000000001</v>
      </c>
      <c r="AX262" t="str">
        <f t="shared" si="59"/>
        <v/>
      </c>
      <c r="AY262" t="str">
        <f t="shared" si="60"/>
        <v/>
      </c>
      <c r="AZ262" s="430">
        <f>IFERROR(
IF(AX262="",-100,
IF($BV$2&gt;0, INDEX(Beersheet!$A:$U,MATCH(AX262,INDEX(Beersheet!$A:$U,0,FFARawStatProjections!$BV$2),0),$BV$3)+$BN262,
INDEX($A262:$BM262,,$BV$12)*$BW$12+
INDEX($A262:$BM262,,$BV$15)*$BW$15+
INDEX($A262:$BM262,,$BV$16)*$BW$16+
INDEX($A262:$BM262,,$BV$17)*$BW$17+
INDEX($A262:$BM262,,$BV$18)*$BW$18+
INDEX($A262:$BM262,,$BV$19)*$BW$19+
INDEX($A262:$BM262,,$BV$20)*$BW$20+
INDEX($A262:$BM262,,$BV$21)*$BW$21+
INDEX($A262:$BM262,,$BV$22)*$BW$22+
INDEX($A262:$BM262,,$BV$23)*$BW$23+
INDEX($A262:$BM262,,$BV$25)*$BW$25+
INDEX($A262:$BM262,,$BV$26)*$BW$26+
INDEX($A262:$BM262,,$BV$27)*$BW$27+
$BN262)),
$BN262-100)</f>
        <v>-100</v>
      </c>
      <c r="BB262" t="str">
        <f t="shared" si="61"/>
        <v/>
      </c>
      <c r="BC262" t="str">
        <f t="shared" si="55"/>
        <v/>
      </c>
      <c r="BD262" s="430">
        <f>IFERROR(
IF(BB262="",-100,
IF($BV$2&gt;0, INDEX(Beersheet!$A:$U,MATCH(BB262,INDEX(Beersheet!$A:$U,0,FFARawStatProjections!$BV$2),0),$BV$3)+$BN262,
INDEX($A262:$BM262,,$BV$12)*$BW$12+
INDEX($A262:$BM262,,$BV$15)*$BW$15+
INDEX($A262:$BM262,,$BV$16)*$BW$16+
INDEX($A262:$BM262,,$BV$17)*$BW$17+
INDEX($A262:$BM262,,$BV$18)*$BW$18+
INDEX($A262:$BM262,,$BV$19)*$BW$19+
INDEX($A262:$BM262,,$BV$20)*$BW$20+
INDEX($A262:$BM262,,$BV$21)*$BW$21+
INDEX($A262:$BM262,,$BV$22)*$BW$22+
INDEX($A262:$BM262,,$BV$23)*$BW$23+
INDEX($A262:$BM262,,$BV$25)*$BW$25+
INDEX($A262:$BM262,,$BV$26)*$BW$26+
INDEX($A262:$BM262,,$BV$27)*$BW$27+
$BN262)),
$BN262-100)</f>
        <v>-100</v>
      </c>
      <c r="BF262" t="str">
        <f t="shared" si="62"/>
        <v/>
      </c>
      <c r="BG262" t="str">
        <f t="shared" si="63"/>
        <v/>
      </c>
      <c r="BH262">
        <f t="shared" si="64"/>
        <v>0</v>
      </c>
      <c r="BJ262" t="str">
        <f t="shared" si="65"/>
        <v/>
      </c>
      <c r="BL262">
        <f t="shared" si="54"/>
        <v>0</v>
      </c>
      <c r="BN262">
        <v>2.6099999999999999E-3</v>
      </c>
      <c r="BS262" s="4" t="s">
        <v>2271</v>
      </c>
    </row>
    <row r="263" spans="1:71" ht="15.75" thickBot="1" x14ac:dyDescent="0.3">
      <c r="A263" s="569" t="s">
        <v>2542</v>
      </c>
      <c r="B263" s="569" t="s">
        <v>144</v>
      </c>
      <c r="C263" s="569" t="s">
        <v>3</v>
      </c>
      <c r="D263" s="574">
        <v>9</v>
      </c>
      <c r="E263" s="569"/>
      <c r="F263" s="569"/>
      <c r="G263" s="569"/>
      <c r="H263" s="569"/>
      <c r="I263" s="574">
        <v>0</v>
      </c>
      <c r="J263" s="574">
        <v>0</v>
      </c>
      <c r="K263" s="574">
        <v>0</v>
      </c>
      <c r="L263" s="574">
        <v>3.8</v>
      </c>
      <c r="M263" s="574">
        <v>0.1</v>
      </c>
      <c r="N263" s="574">
        <v>24</v>
      </c>
      <c r="O263" s="574">
        <v>15.1</v>
      </c>
      <c r="P263" s="574">
        <v>0.2</v>
      </c>
      <c r="Q263" s="574">
        <v>52.6</v>
      </c>
      <c r="R263" s="569"/>
      <c r="S263" s="569"/>
      <c r="T263" s="569"/>
      <c r="U263" s="569"/>
      <c r="V263" s="569"/>
      <c r="W263" s="569"/>
      <c r="X263" s="569"/>
      <c r="Y263" s="569"/>
      <c r="Z263" s="569"/>
      <c r="AA263" s="569"/>
      <c r="AB263" s="569"/>
      <c r="AC263" s="569"/>
      <c r="AD263" s="569"/>
      <c r="AE263" s="569"/>
      <c r="AF263" s="569"/>
      <c r="AG263" s="569"/>
      <c r="AH263" s="569"/>
      <c r="AI263" s="569"/>
      <c r="AJ263" s="569"/>
      <c r="AK263" s="569"/>
      <c r="AL263" s="569"/>
      <c r="AM263" s="569"/>
      <c r="AN263" s="574">
        <v>9.1999999999999993</v>
      </c>
      <c r="AO263">
        <v>262</v>
      </c>
      <c r="AP263" t="str">
        <f t="shared" si="53"/>
        <v/>
      </c>
      <c r="AQ263" t="str">
        <f t="shared" si="56"/>
        <v/>
      </c>
      <c r="AR263" s="430">
        <f>IFERROR(
IF(AP263="",-100,
IF($BV$2&gt;0, INDEX(Beersheet!$A:$U,MATCH(AP263,INDEX(Beersheet!$A:$U,0,FFARawStatProjections!$BV$2),0),$BV$3)+$BN263,
INDEX($A263:$BM263,,$BV$12)*$BW$12+
INDEX($A263:$BM263,,$BV$15)*$BW$15+
INDEX($A263:$BM263,,$BV$16)*$BW$16+
INDEX($A263:$BM263,,$BV$17)*$BW$17+
INDEX($A263:$BM263,,$BV$18)*$BW$18+
INDEX($A263:$BM263,,$BV$19)*$BW$19+
INDEX($A263:$BM263,,$BV$20)*$BW$20+
INDEX($A263:$BM263,,$BV$21)*$BW$21+
INDEX($A263:$BM263,,$BV$22)*$BW$22+
INDEX($A263:$BM263,,$BV$23)*$BW$23+
INDEX($A263:$BM263,,$BV$25)*$BW$25+
INDEX($A263:$BM263,,$BV$26)*$BW$26+
INDEX($A263:$BM263,,$BV$27)*$BW$27+
$BN263)),
$BN263-100)</f>
        <v>-100</v>
      </c>
      <c r="AT263" t="str">
        <f t="shared" si="57"/>
        <v>Jaleel McLaughlin</v>
      </c>
      <c r="AU263" t="str">
        <f t="shared" si="58"/>
        <v>DEN</v>
      </c>
      <c r="AV263" s="430">
        <f>IFERROR(
IF(AT263="",-100,
IF($BV$2&gt;0, INDEX(Beersheet!$A:$U,MATCH(AT263,INDEX(Beersheet!$A:$U,0,FFARawStatProjections!$BV$2),0),$BV$3)+$BN263,
INDEX($A263:$BM263,,$BV$12)*$BW$12+
INDEX($A263:$BM263,,$BV$15)*$BW$15+
INDEX($A263:$BM263,,$BV$16)*$BW$16+
INDEX($A263:$BM263,,$BV$17)*$BW$17+
INDEX($A263:$BM263,,$BV$18)*$BW$18+
INDEX($A263:$BM263,,$BV$19)*$BW$19+
INDEX($A263:$BM263,,$BV$20)*$BW$20+
INDEX($A263:$BM263,,$BV$21)*$BW$21+
INDEX($A263:$BM263,,$BV$22)*$BW$22+
INDEX($A263:$BM263,,$BV$23)*$BW$23+
INDEX($A263:$BM263,,$BV$25)*$BW$25+
INDEX($A263:$BM263,,$BV$26)*$BW$26+
INDEX($A263:$BM263,,$BV$27)*$BW$27+
$BN263)),
$BN263-100)</f>
        <v>13.262620000000002</v>
      </c>
      <c r="AX263" t="str">
        <f t="shared" si="59"/>
        <v/>
      </c>
      <c r="AY263" t="str">
        <f t="shared" si="60"/>
        <v/>
      </c>
      <c r="AZ263" s="430">
        <f>IFERROR(
IF(AX263="",-100,
IF($BV$2&gt;0, INDEX(Beersheet!$A:$U,MATCH(AX263,INDEX(Beersheet!$A:$U,0,FFARawStatProjections!$BV$2),0),$BV$3)+$BN263,
INDEX($A263:$BM263,,$BV$12)*$BW$12+
INDEX($A263:$BM263,,$BV$15)*$BW$15+
INDEX($A263:$BM263,,$BV$16)*$BW$16+
INDEX($A263:$BM263,,$BV$17)*$BW$17+
INDEX($A263:$BM263,,$BV$18)*$BW$18+
INDEX($A263:$BM263,,$BV$19)*$BW$19+
INDEX($A263:$BM263,,$BV$20)*$BW$20+
INDEX($A263:$BM263,,$BV$21)*$BW$21+
INDEX($A263:$BM263,,$BV$22)*$BW$22+
INDEX($A263:$BM263,,$BV$23)*$BW$23+
INDEX($A263:$BM263,,$BV$25)*$BW$25+
INDEX($A263:$BM263,,$BV$26)*$BW$26+
INDEX($A263:$BM263,,$BV$27)*$BW$27+
$BN263)),
$BN263-100)</f>
        <v>-100</v>
      </c>
      <c r="BB263" t="str">
        <f t="shared" si="61"/>
        <v/>
      </c>
      <c r="BC263" t="str">
        <f t="shared" si="55"/>
        <v/>
      </c>
      <c r="BD263" s="430">
        <f>IFERROR(
IF(BB263="",-100,
IF($BV$2&gt;0, INDEX(Beersheet!$A:$U,MATCH(BB263,INDEX(Beersheet!$A:$U,0,FFARawStatProjections!$BV$2),0),$BV$3)+$BN263,
INDEX($A263:$BM263,,$BV$12)*$BW$12+
INDEX($A263:$BM263,,$BV$15)*$BW$15+
INDEX($A263:$BM263,,$BV$16)*$BW$16+
INDEX($A263:$BM263,,$BV$17)*$BW$17+
INDEX($A263:$BM263,,$BV$18)*$BW$18+
INDEX($A263:$BM263,,$BV$19)*$BW$19+
INDEX($A263:$BM263,,$BV$20)*$BW$20+
INDEX($A263:$BM263,,$BV$21)*$BW$21+
INDEX($A263:$BM263,,$BV$22)*$BW$22+
INDEX($A263:$BM263,,$BV$23)*$BW$23+
INDEX($A263:$BM263,,$BV$25)*$BW$25+
INDEX($A263:$BM263,,$BV$26)*$BW$26+
INDEX($A263:$BM263,,$BV$27)*$BW$27+
$BN263)),
$BN263-100)</f>
        <v>-100</v>
      </c>
      <c r="BF263" t="str">
        <f t="shared" si="62"/>
        <v/>
      </c>
      <c r="BG263" t="str">
        <f t="shared" si="63"/>
        <v/>
      </c>
      <c r="BH263">
        <f t="shared" si="64"/>
        <v>0</v>
      </c>
      <c r="BJ263" t="str">
        <f t="shared" si="65"/>
        <v/>
      </c>
      <c r="BL263">
        <f t="shared" si="54"/>
        <v>0</v>
      </c>
      <c r="BN263">
        <v>2.6199999999999999E-3</v>
      </c>
      <c r="BS263" s="4" t="s">
        <v>2312</v>
      </c>
    </row>
    <row r="264" spans="1:71" ht="15.75" thickBot="1" x14ac:dyDescent="0.3">
      <c r="A264" s="569" t="s">
        <v>2118</v>
      </c>
      <c r="B264" s="569" t="s">
        <v>138</v>
      </c>
      <c r="C264" s="569" t="s">
        <v>3</v>
      </c>
      <c r="D264" s="574">
        <v>13</v>
      </c>
      <c r="E264" s="569"/>
      <c r="F264" s="569"/>
      <c r="G264" s="569"/>
      <c r="H264" s="569"/>
      <c r="I264" s="574">
        <v>0</v>
      </c>
      <c r="J264" s="574">
        <v>0</v>
      </c>
      <c r="K264" s="574">
        <v>0</v>
      </c>
      <c r="L264" s="574">
        <v>8</v>
      </c>
      <c r="M264" s="574">
        <v>0.3</v>
      </c>
      <c r="N264" s="574">
        <v>46.8</v>
      </c>
      <c r="O264" s="574">
        <v>6.4</v>
      </c>
      <c r="P264" s="574">
        <v>0.1</v>
      </c>
      <c r="Q264" s="574">
        <v>18</v>
      </c>
      <c r="R264" s="569"/>
      <c r="S264" s="569"/>
      <c r="T264" s="569"/>
      <c r="U264" s="569"/>
      <c r="V264" s="569"/>
      <c r="W264" s="569"/>
      <c r="X264" s="569"/>
      <c r="Y264" s="569"/>
      <c r="Z264" s="569"/>
      <c r="AA264" s="569"/>
      <c r="AB264" s="569"/>
      <c r="AC264" s="569"/>
      <c r="AD264" s="569"/>
      <c r="AE264" s="569"/>
      <c r="AF264" s="569"/>
      <c r="AG264" s="569"/>
      <c r="AH264" s="569"/>
      <c r="AI264" s="569"/>
      <c r="AJ264" s="569"/>
      <c r="AK264" s="569"/>
      <c r="AL264" s="569"/>
      <c r="AM264" s="569"/>
      <c r="AN264" s="574">
        <v>9.1</v>
      </c>
      <c r="AO264">
        <v>263</v>
      </c>
      <c r="AP264" t="str">
        <f t="shared" si="53"/>
        <v/>
      </c>
      <c r="AQ264" t="str">
        <f t="shared" si="56"/>
        <v/>
      </c>
      <c r="AR264" s="430">
        <f>IFERROR(
IF(AP264="",-100,
IF($BV$2&gt;0, INDEX(Beersheet!$A:$U,MATCH(AP264,INDEX(Beersheet!$A:$U,0,FFARawStatProjections!$BV$2),0),$BV$3)+$BN264,
INDEX($A264:$BM264,,$BV$12)*$BW$12+
INDEX($A264:$BM264,,$BV$15)*$BW$15+
INDEX($A264:$BM264,,$BV$16)*$BW$16+
INDEX($A264:$BM264,,$BV$17)*$BW$17+
INDEX($A264:$BM264,,$BV$18)*$BW$18+
INDEX($A264:$BM264,,$BV$19)*$BW$19+
INDEX($A264:$BM264,,$BV$20)*$BW$20+
INDEX($A264:$BM264,,$BV$21)*$BW$21+
INDEX($A264:$BM264,,$BV$22)*$BW$22+
INDEX($A264:$BM264,,$BV$23)*$BW$23+
INDEX($A264:$BM264,,$BV$25)*$BW$25+
INDEX($A264:$BM264,,$BV$26)*$BW$26+
INDEX($A264:$BM264,,$BV$27)*$BW$27+
$BN264)),
$BN264-100)</f>
        <v>-100</v>
      </c>
      <c r="AT264" t="str">
        <f t="shared" si="57"/>
        <v>CJ Ham</v>
      </c>
      <c r="AU264" t="str">
        <f t="shared" si="58"/>
        <v>MIN</v>
      </c>
      <c r="AV264" s="430">
        <f>IFERROR(
IF(AT264="",-100,
IF($BV$2&gt;0, INDEX(Beersheet!$A:$U,MATCH(AT264,INDEX(Beersheet!$A:$U,0,FFARawStatProjections!$BV$2),0),$BV$3)+$BN264,
INDEX($A264:$BM264,,$BV$12)*$BW$12+
INDEX($A264:$BM264,,$BV$15)*$BW$15+
INDEX($A264:$BM264,,$BV$16)*$BW$16+
INDEX($A264:$BM264,,$BV$17)*$BW$17+
INDEX($A264:$BM264,,$BV$18)*$BW$18+
INDEX($A264:$BM264,,$BV$19)*$BW$19+
INDEX($A264:$BM264,,$BV$20)*$BW$20+
INDEX($A264:$BM264,,$BV$21)*$BW$21+
INDEX($A264:$BM264,,$BV$22)*$BW$22+
INDEX($A264:$BM264,,$BV$23)*$BW$23+
INDEX($A264:$BM264,,$BV$25)*$BW$25+
INDEX($A264:$BM264,,$BV$26)*$BW$26+
INDEX($A264:$BM264,,$BV$27)*$BW$27+
$BN264)),
$BN264-100)</f>
        <v>16.882629999999999</v>
      </c>
      <c r="AX264" t="str">
        <f t="shared" si="59"/>
        <v/>
      </c>
      <c r="AY264" t="str">
        <f t="shared" si="60"/>
        <v/>
      </c>
      <c r="AZ264" s="430">
        <f>IFERROR(
IF(AX264="",-100,
IF($BV$2&gt;0, INDEX(Beersheet!$A:$U,MATCH(AX264,INDEX(Beersheet!$A:$U,0,FFARawStatProjections!$BV$2),0),$BV$3)+$BN264,
INDEX($A264:$BM264,,$BV$12)*$BW$12+
INDEX($A264:$BM264,,$BV$15)*$BW$15+
INDEX($A264:$BM264,,$BV$16)*$BW$16+
INDEX($A264:$BM264,,$BV$17)*$BW$17+
INDEX($A264:$BM264,,$BV$18)*$BW$18+
INDEX($A264:$BM264,,$BV$19)*$BW$19+
INDEX($A264:$BM264,,$BV$20)*$BW$20+
INDEX($A264:$BM264,,$BV$21)*$BW$21+
INDEX($A264:$BM264,,$BV$22)*$BW$22+
INDEX($A264:$BM264,,$BV$23)*$BW$23+
INDEX($A264:$BM264,,$BV$25)*$BW$25+
INDEX($A264:$BM264,,$BV$26)*$BW$26+
INDEX($A264:$BM264,,$BV$27)*$BW$27+
$BN264)),
$BN264-100)</f>
        <v>-100</v>
      </c>
      <c r="BB264" t="str">
        <f t="shared" si="61"/>
        <v/>
      </c>
      <c r="BC264" t="str">
        <f t="shared" si="55"/>
        <v/>
      </c>
      <c r="BD264" s="430">
        <f>IFERROR(
IF(BB264="",-100,
IF($BV$2&gt;0, INDEX(Beersheet!$A:$U,MATCH(BB264,INDEX(Beersheet!$A:$U,0,FFARawStatProjections!$BV$2),0),$BV$3)+$BN264,
INDEX($A264:$BM264,,$BV$12)*$BW$12+
INDEX($A264:$BM264,,$BV$15)*$BW$15+
INDEX($A264:$BM264,,$BV$16)*$BW$16+
INDEX($A264:$BM264,,$BV$17)*$BW$17+
INDEX($A264:$BM264,,$BV$18)*$BW$18+
INDEX($A264:$BM264,,$BV$19)*$BW$19+
INDEX($A264:$BM264,,$BV$20)*$BW$20+
INDEX($A264:$BM264,,$BV$21)*$BW$21+
INDEX($A264:$BM264,,$BV$22)*$BW$22+
INDEX($A264:$BM264,,$BV$23)*$BW$23+
INDEX($A264:$BM264,,$BV$25)*$BW$25+
INDEX($A264:$BM264,,$BV$26)*$BW$26+
INDEX($A264:$BM264,,$BV$27)*$BW$27+
$BN264)),
$BN264-100)</f>
        <v>-100</v>
      </c>
      <c r="BF264" t="str">
        <f t="shared" si="62"/>
        <v/>
      </c>
      <c r="BG264" t="str">
        <f t="shared" si="63"/>
        <v/>
      </c>
      <c r="BH264">
        <f t="shared" si="64"/>
        <v>0</v>
      </c>
      <c r="BJ264" t="str">
        <f t="shared" si="65"/>
        <v/>
      </c>
      <c r="BL264">
        <f t="shared" si="54"/>
        <v>0</v>
      </c>
      <c r="BN264">
        <v>2.63E-3</v>
      </c>
      <c r="BS264" s="4" t="s">
        <v>2541</v>
      </c>
    </row>
    <row r="265" spans="1:71" ht="15.75" thickBot="1" x14ac:dyDescent="0.3">
      <c r="A265" s="569" t="s">
        <v>2181</v>
      </c>
      <c r="B265" s="569" t="s">
        <v>136</v>
      </c>
      <c r="C265" s="569" t="s">
        <v>3</v>
      </c>
      <c r="D265" s="574">
        <v>10</v>
      </c>
      <c r="E265" s="569"/>
      <c r="F265" s="569"/>
      <c r="G265" s="569"/>
      <c r="H265" s="569"/>
      <c r="I265" s="574">
        <v>0</v>
      </c>
      <c r="J265" s="574">
        <v>0</v>
      </c>
      <c r="K265" s="574">
        <v>0</v>
      </c>
      <c r="L265" s="574">
        <v>5</v>
      </c>
      <c r="M265" s="574">
        <v>0.3</v>
      </c>
      <c r="N265" s="574">
        <v>35.6</v>
      </c>
      <c r="O265" s="574">
        <v>4.2</v>
      </c>
      <c r="P265" s="574">
        <v>0.2</v>
      </c>
      <c r="Q265" s="574">
        <v>17.600000000000001</v>
      </c>
      <c r="R265" s="569"/>
      <c r="S265" s="569"/>
      <c r="T265" s="569"/>
      <c r="U265" s="569"/>
      <c r="V265" s="569"/>
      <c r="W265" s="569"/>
      <c r="X265" s="569"/>
      <c r="Y265" s="569"/>
      <c r="Z265" s="569"/>
      <c r="AA265" s="569"/>
      <c r="AB265" s="569"/>
      <c r="AC265" s="569"/>
      <c r="AD265" s="569"/>
      <c r="AE265" s="569"/>
      <c r="AF265" s="569"/>
      <c r="AG265" s="569"/>
      <c r="AH265" s="569"/>
      <c r="AI265" s="569"/>
      <c r="AJ265" s="569"/>
      <c r="AK265" s="569"/>
      <c r="AL265" s="569"/>
      <c r="AM265" s="569"/>
      <c r="AN265" s="574">
        <v>8.4</v>
      </c>
      <c r="AO265">
        <v>264</v>
      </c>
      <c r="AP265" t="str">
        <f t="shared" si="53"/>
        <v/>
      </c>
      <c r="AQ265" t="str">
        <f t="shared" si="56"/>
        <v/>
      </c>
      <c r="AR265" s="430">
        <f>IFERROR(
IF(AP265="",-100,
IF($BV$2&gt;0, INDEX(Beersheet!$A:$U,MATCH(AP265,INDEX(Beersheet!$A:$U,0,FFARawStatProjections!$BV$2),0),$BV$3)+$BN265,
INDEX($A265:$BM265,,$BV$12)*$BW$12+
INDEX($A265:$BM265,,$BV$15)*$BW$15+
INDEX($A265:$BM265,,$BV$16)*$BW$16+
INDEX($A265:$BM265,,$BV$17)*$BW$17+
INDEX($A265:$BM265,,$BV$18)*$BW$18+
INDEX($A265:$BM265,,$BV$19)*$BW$19+
INDEX($A265:$BM265,,$BV$20)*$BW$20+
INDEX($A265:$BM265,,$BV$21)*$BW$21+
INDEX($A265:$BM265,,$BV$22)*$BW$22+
INDEX($A265:$BM265,,$BV$23)*$BW$23+
INDEX($A265:$BM265,,$BV$25)*$BW$25+
INDEX($A265:$BM265,,$BV$26)*$BW$26+
INDEX($A265:$BM265,,$BV$27)*$BW$27+
$BN265)),
$BN265-100)</f>
        <v>-100</v>
      </c>
      <c r="AT265" t="str">
        <f t="shared" si="57"/>
        <v>LaMical Perine</v>
      </c>
      <c r="AU265" t="str">
        <f t="shared" si="58"/>
        <v>KC</v>
      </c>
      <c r="AV265" s="430">
        <f>IFERROR(
IF(AT265="",-100,
IF($BV$2&gt;0, INDEX(Beersheet!$A:$U,MATCH(AT265,INDEX(Beersheet!$A:$U,0,FFARawStatProjections!$BV$2),0),$BV$3)+$BN265,
INDEX($A265:$BM265,,$BV$12)*$BW$12+
INDEX($A265:$BM265,,$BV$15)*$BW$15+
INDEX($A265:$BM265,,$BV$16)*$BW$16+
INDEX($A265:$BM265,,$BV$17)*$BW$17+
INDEX($A265:$BM265,,$BV$18)*$BW$18+
INDEX($A265:$BM265,,$BV$19)*$BW$19+
INDEX($A265:$BM265,,$BV$20)*$BW$20+
INDEX($A265:$BM265,,$BV$21)*$BW$21+
INDEX($A265:$BM265,,$BV$22)*$BW$22+
INDEX($A265:$BM265,,$BV$23)*$BW$23+
INDEX($A265:$BM265,,$BV$25)*$BW$25+
INDEX($A265:$BM265,,$BV$26)*$BW$26+
INDEX($A265:$BM265,,$BV$27)*$BW$27+
$BN265)),
$BN265-100)</f>
        <v>13.322639999999998</v>
      </c>
      <c r="AX265" t="str">
        <f t="shared" si="59"/>
        <v/>
      </c>
      <c r="AY265" t="str">
        <f t="shared" si="60"/>
        <v/>
      </c>
      <c r="AZ265" s="430">
        <f>IFERROR(
IF(AX265="",-100,
IF($BV$2&gt;0, INDEX(Beersheet!$A:$U,MATCH(AX265,INDEX(Beersheet!$A:$U,0,FFARawStatProjections!$BV$2),0),$BV$3)+$BN265,
INDEX($A265:$BM265,,$BV$12)*$BW$12+
INDEX($A265:$BM265,,$BV$15)*$BW$15+
INDEX($A265:$BM265,,$BV$16)*$BW$16+
INDEX($A265:$BM265,,$BV$17)*$BW$17+
INDEX($A265:$BM265,,$BV$18)*$BW$18+
INDEX($A265:$BM265,,$BV$19)*$BW$19+
INDEX($A265:$BM265,,$BV$20)*$BW$20+
INDEX($A265:$BM265,,$BV$21)*$BW$21+
INDEX($A265:$BM265,,$BV$22)*$BW$22+
INDEX($A265:$BM265,,$BV$23)*$BW$23+
INDEX($A265:$BM265,,$BV$25)*$BW$25+
INDEX($A265:$BM265,,$BV$26)*$BW$26+
INDEX($A265:$BM265,,$BV$27)*$BW$27+
$BN265)),
$BN265-100)</f>
        <v>-100</v>
      </c>
      <c r="BB265" t="str">
        <f t="shared" si="61"/>
        <v/>
      </c>
      <c r="BC265" t="str">
        <f t="shared" si="55"/>
        <v/>
      </c>
      <c r="BD265" s="430">
        <f>IFERROR(
IF(BB265="",-100,
IF($BV$2&gt;0, INDEX(Beersheet!$A:$U,MATCH(BB265,INDEX(Beersheet!$A:$U,0,FFARawStatProjections!$BV$2),0),$BV$3)+$BN265,
INDEX($A265:$BM265,,$BV$12)*$BW$12+
INDEX($A265:$BM265,,$BV$15)*$BW$15+
INDEX($A265:$BM265,,$BV$16)*$BW$16+
INDEX($A265:$BM265,,$BV$17)*$BW$17+
INDEX($A265:$BM265,,$BV$18)*$BW$18+
INDEX($A265:$BM265,,$BV$19)*$BW$19+
INDEX($A265:$BM265,,$BV$20)*$BW$20+
INDEX($A265:$BM265,,$BV$21)*$BW$21+
INDEX($A265:$BM265,,$BV$22)*$BW$22+
INDEX($A265:$BM265,,$BV$23)*$BW$23+
INDEX($A265:$BM265,,$BV$25)*$BW$25+
INDEX($A265:$BM265,,$BV$26)*$BW$26+
INDEX($A265:$BM265,,$BV$27)*$BW$27+
$BN265)),
$BN265-100)</f>
        <v>-100</v>
      </c>
      <c r="BF265" t="str">
        <f t="shared" si="62"/>
        <v/>
      </c>
      <c r="BG265" t="str">
        <f t="shared" si="63"/>
        <v/>
      </c>
      <c r="BH265">
        <f t="shared" si="64"/>
        <v>0</v>
      </c>
      <c r="BJ265" t="str">
        <f t="shared" si="65"/>
        <v/>
      </c>
      <c r="BL265">
        <f t="shared" si="54"/>
        <v>0</v>
      </c>
      <c r="BN265">
        <v>2.64E-3</v>
      </c>
      <c r="BS265" s="4" t="s">
        <v>2123</v>
      </c>
    </row>
    <row r="266" spans="1:71" ht="15.75" thickBot="1" x14ac:dyDescent="0.3">
      <c r="A266" s="569" t="s">
        <v>2183</v>
      </c>
      <c r="B266" s="569" t="s">
        <v>142</v>
      </c>
      <c r="C266" s="569" t="s">
        <v>3</v>
      </c>
      <c r="D266" s="574">
        <v>9</v>
      </c>
      <c r="E266" s="569"/>
      <c r="F266" s="569"/>
      <c r="G266" s="569"/>
      <c r="H266" s="569"/>
      <c r="I266" s="574">
        <v>0</v>
      </c>
      <c r="J266" s="574">
        <v>0</v>
      </c>
      <c r="K266" s="574">
        <v>0</v>
      </c>
      <c r="L266" s="574">
        <v>4.4000000000000004</v>
      </c>
      <c r="M266" s="574">
        <v>0.3</v>
      </c>
      <c r="N266" s="574">
        <v>34.4</v>
      </c>
      <c r="O266" s="574">
        <v>4.5999999999999996</v>
      </c>
      <c r="P266" s="574">
        <v>0.2</v>
      </c>
      <c r="Q266" s="574">
        <v>19.399999999999999</v>
      </c>
      <c r="R266" s="569"/>
      <c r="S266" s="569"/>
      <c r="T266" s="569"/>
      <c r="U266" s="569"/>
      <c r="V266" s="569"/>
      <c r="W266" s="569"/>
      <c r="X266" s="569"/>
      <c r="Y266" s="569"/>
      <c r="Z266" s="569"/>
      <c r="AA266" s="569"/>
      <c r="AB266" s="569"/>
      <c r="AC266" s="569"/>
      <c r="AD266" s="569"/>
      <c r="AE266" s="569"/>
      <c r="AF266" s="569"/>
      <c r="AG266" s="569"/>
      <c r="AH266" s="569"/>
      <c r="AI266" s="569"/>
      <c r="AJ266" s="569"/>
      <c r="AK266" s="569"/>
      <c r="AL266" s="569"/>
      <c r="AM266" s="569"/>
      <c r="AN266" s="574">
        <v>8.1</v>
      </c>
      <c r="AO266">
        <v>265</v>
      </c>
      <c r="AP266" t="str">
        <f t="shared" si="53"/>
        <v/>
      </c>
      <c r="AQ266" t="str">
        <f t="shared" si="56"/>
        <v/>
      </c>
      <c r="AR266" s="430">
        <f>IFERROR(
IF(AP266="",-100,
IF($BV$2&gt;0, INDEX(Beersheet!$A:$U,MATCH(AP266,INDEX(Beersheet!$A:$U,0,FFARawStatProjections!$BV$2),0),$BV$3)+$BN266,
INDEX($A266:$BM266,,$BV$12)*$BW$12+
INDEX($A266:$BM266,,$BV$15)*$BW$15+
INDEX($A266:$BM266,,$BV$16)*$BW$16+
INDEX($A266:$BM266,,$BV$17)*$BW$17+
INDEX($A266:$BM266,,$BV$18)*$BW$18+
INDEX($A266:$BM266,,$BV$19)*$BW$19+
INDEX($A266:$BM266,,$BV$20)*$BW$20+
INDEX($A266:$BM266,,$BV$21)*$BW$21+
INDEX($A266:$BM266,,$BV$22)*$BW$22+
INDEX($A266:$BM266,,$BV$23)*$BW$23+
INDEX($A266:$BM266,,$BV$25)*$BW$25+
INDEX($A266:$BM266,,$BV$26)*$BW$26+
INDEX($A266:$BM266,,$BV$27)*$BW$27+
$BN266)),
$BN266-100)</f>
        <v>-100</v>
      </c>
      <c r="AT266" t="str">
        <f t="shared" si="57"/>
        <v>Jermar Jefferson</v>
      </c>
      <c r="AU266" t="str">
        <f t="shared" si="58"/>
        <v>DET</v>
      </c>
      <c r="AV266" s="430">
        <f>IFERROR(
IF(AT266="",-100,
IF($BV$2&gt;0, INDEX(Beersheet!$A:$U,MATCH(AT266,INDEX(Beersheet!$A:$U,0,FFARawStatProjections!$BV$2),0),$BV$3)+$BN266,
INDEX($A266:$BM266,,$BV$12)*$BW$12+
INDEX($A266:$BM266,,$BV$15)*$BW$15+
INDEX($A266:$BM266,,$BV$16)*$BW$16+
INDEX($A266:$BM266,,$BV$17)*$BW$17+
INDEX($A266:$BM266,,$BV$18)*$BW$18+
INDEX($A266:$BM266,,$BV$19)*$BW$19+
INDEX($A266:$BM266,,$BV$20)*$BW$20+
INDEX($A266:$BM266,,$BV$21)*$BW$21+
INDEX($A266:$BM266,,$BV$22)*$BW$22+
INDEX($A266:$BM266,,$BV$23)*$BW$23+
INDEX($A266:$BM266,,$BV$25)*$BW$25+
INDEX($A266:$BM266,,$BV$26)*$BW$26+
INDEX($A266:$BM266,,$BV$27)*$BW$27+
$BN266)),
$BN266-100)</f>
        <v>12.782649999999999</v>
      </c>
      <c r="AX266" t="str">
        <f t="shared" si="59"/>
        <v/>
      </c>
      <c r="AY266" t="str">
        <f t="shared" si="60"/>
        <v/>
      </c>
      <c r="AZ266" s="430">
        <f>IFERROR(
IF(AX266="",-100,
IF($BV$2&gt;0, INDEX(Beersheet!$A:$U,MATCH(AX266,INDEX(Beersheet!$A:$U,0,FFARawStatProjections!$BV$2),0),$BV$3)+$BN266,
INDEX($A266:$BM266,,$BV$12)*$BW$12+
INDEX($A266:$BM266,,$BV$15)*$BW$15+
INDEX($A266:$BM266,,$BV$16)*$BW$16+
INDEX($A266:$BM266,,$BV$17)*$BW$17+
INDEX($A266:$BM266,,$BV$18)*$BW$18+
INDEX($A266:$BM266,,$BV$19)*$BW$19+
INDEX($A266:$BM266,,$BV$20)*$BW$20+
INDEX($A266:$BM266,,$BV$21)*$BW$21+
INDEX($A266:$BM266,,$BV$22)*$BW$22+
INDEX($A266:$BM266,,$BV$23)*$BW$23+
INDEX($A266:$BM266,,$BV$25)*$BW$25+
INDEX($A266:$BM266,,$BV$26)*$BW$26+
INDEX($A266:$BM266,,$BV$27)*$BW$27+
$BN266)),
$BN266-100)</f>
        <v>-100</v>
      </c>
      <c r="BB266" t="str">
        <f t="shared" si="61"/>
        <v/>
      </c>
      <c r="BC266" t="str">
        <f t="shared" si="55"/>
        <v/>
      </c>
      <c r="BD266" s="430">
        <f>IFERROR(
IF(BB266="",-100,
IF($BV$2&gt;0, INDEX(Beersheet!$A:$U,MATCH(BB266,INDEX(Beersheet!$A:$U,0,FFARawStatProjections!$BV$2),0),$BV$3)+$BN266,
INDEX($A266:$BM266,,$BV$12)*$BW$12+
INDEX($A266:$BM266,,$BV$15)*$BW$15+
INDEX($A266:$BM266,,$BV$16)*$BW$16+
INDEX($A266:$BM266,,$BV$17)*$BW$17+
INDEX($A266:$BM266,,$BV$18)*$BW$18+
INDEX($A266:$BM266,,$BV$19)*$BW$19+
INDEX($A266:$BM266,,$BV$20)*$BW$20+
INDEX($A266:$BM266,,$BV$21)*$BW$21+
INDEX($A266:$BM266,,$BV$22)*$BW$22+
INDEX($A266:$BM266,,$BV$23)*$BW$23+
INDEX($A266:$BM266,,$BV$25)*$BW$25+
INDEX($A266:$BM266,,$BV$26)*$BW$26+
INDEX($A266:$BM266,,$BV$27)*$BW$27+
$BN266)),
$BN266-100)</f>
        <v>-100</v>
      </c>
      <c r="BF266" t="str">
        <f t="shared" si="62"/>
        <v/>
      </c>
      <c r="BG266" t="str">
        <f t="shared" si="63"/>
        <v/>
      </c>
      <c r="BH266">
        <f t="shared" si="64"/>
        <v>0</v>
      </c>
      <c r="BJ266" t="str">
        <f t="shared" si="65"/>
        <v/>
      </c>
      <c r="BL266">
        <f t="shared" si="54"/>
        <v>0</v>
      </c>
      <c r="BN266">
        <v>2.65E-3</v>
      </c>
      <c r="BS266" s="4" t="s">
        <v>2369</v>
      </c>
    </row>
    <row r="267" spans="1:71" ht="15.75" thickBot="1" x14ac:dyDescent="0.3">
      <c r="A267" s="569" t="s">
        <v>2419</v>
      </c>
      <c r="B267" s="569" t="s">
        <v>1389</v>
      </c>
      <c r="C267" s="569" t="s">
        <v>3</v>
      </c>
      <c r="D267" s="574">
        <v>10</v>
      </c>
      <c r="E267" s="569"/>
      <c r="F267" s="569"/>
      <c r="G267" s="569"/>
      <c r="H267" s="569"/>
      <c r="I267" s="574">
        <v>0</v>
      </c>
      <c r="J267" s="574">
        <v>0</v>
      </c>
      <c r="K267" s="574">
        <v>0</v>
      </c>
      <c r="L267" s="574">
        <v>4.0999999999999996</v>
      </c>
      <c r="M267" s="574">
        <v>0.1</v>
      </c>
      <c r="N267" s="574">
        <v>28.5</v>
      </c>
      <c r="O267" s="574">
        <v>14.3</v>
      </c>
      <c r="P267" s="574">
        <v>0</v>
      </c>
      <c r="Q267" s="574">
        <v>47</v>
      </c>
      <c r="R267" s="569"/>
      <c r="S267" s="569"/>
      <c r="T267" s="569"/>
      <c r="U267" s="569"/>
      <c r="V267" s="569"/>
      <c r="W267" s="569"/>
      <c r="X267" s="569"/>
      <c r="Y267" s="569"/>
      <c r="Z267" s="569"/>
      <c r="AA267" s="569"/>
      <c r="AB267" s="569"/>
      <c r="AC267" s="569"/>
      <c r="AD267" s="569"/>
      <c r="AE267" s="569"/>
      <c r="AF267" s="569"/>
      <c r="AG267" s="569"/>
      <c r="AH267" s="569"/>
      <c r="AI267" s="569"/>
      <c r="AJ267" s="569"/>
      <c r="AK267" s="569"/>
      <c r="AL267" s="569"/>
      <c r="AM267" s="569"/>
      <c r="AN267" s="574">
        <v>8.1</v>
      </c>
      <c r="AO267">
        <v>266</v>
      </c>
      <c r="AP267" t="str">
        <f t="shared" si="53"/>
        <v/>
      </c>
      <c r="AQ267" t="str">
        <f t="shared" si="56"/>
        <v/>
      </c>
      <c r="AR267" s="430">
        <f>IFERROR(
IF(AP267="",-100,
IF($BV$2&gt;0, INDEX(Beersheet!$A:$U,MATCH(AP267,INDEX(Beersheet!$A:$U,0,FFARawStatProjections!$BV$2),0),$BV$3)+$BN267,
INDEX($A267:$BM267,,$BV$12)*$BW$12+
INDEX($A267:$BM267,,$BV$15)*$BW$15+
INDEX($A267:$BM267,,$BV$16)*$BW$16+
INDEX($A267:$BM267,,$BV$17)*$BW$17+
INDEX($A267:$BM267,,$BV$18)*$BW$18+
INDEX($A267:$BM267,,$BV$19)*$BW$19+
INDEX($A267:$BM267,,$BV$20)*$BW$20+
INDEX($A267:$BM267,,$BV$21)*$BW$21+
INDEX($A267:$BM267,,$BV$22)*$BW$22+
INDEX($A267:$BM267,,$BV$23)*$BW$23+
INDEX($A267:$BM267,,$BV$25)*$BW$25+
INDEX($A267:$BM267,,$BV$26)*$BW$26+
INDEX($A267:$BM267,,$BV$27)*$BW$27+
$BN267)),
$BN267-100)</f>
        <v>-100</v>
      </c>
      <c r="AT267" t="str">
        <f t="shared" si="57"/>
        <v>Ronnie Rivers</v>
      </c>
      <c r="AU267" t="str">
        <f t="shared" si="58"/>
        <v>LAR</v>
      </c>
      <c r="AV267" s="430">
        <f>IFERROR(
IF(AT267="",-100,
IF($BV$2&gt;0, INDEX(Beersheet!$A:$U,MATCH(AT267,INDEX(Beersheet!$A:$U,0,FFARawStatProjections!$BV$2),0),$BV$3)+$BN267,
INDEX($A267:$BM267,,$BV$12)*$BW$12+
INDEX($A267:$BM267,,$BV$15)*$BW$15+
INDEX($A267:$BM267,,$BV$16)*$BW$16+
INDEX($A267:$BM267,,$BV$17)*$BW$17+
INDEX($A267:$BM267,,$BV$18)*$BW$18+
INDEX($A267:$BM267,,$BV$19)*$BW$19+
INDEX($A267:$BM267,,$BV$20)*$BW$20+
INDEX($A267:$BM267,,$BV$21)*$BW$21+
INDEX($A267:$BM267,,$BV$22)*$BW$22+
INDEX($A267:$BM267,,$BV$23)*$BW$23+
INDEX($A267:$BM267,,$BV$25)*$BW$25+
INDEX($A267:$BM267,,$BV$26)*$BW$26+
INDEX($A267:$BM267,,$BV$27)*$BW$27+
$BN267)),
$BN267-100)</f>
        <v>12.252660000000001</v>
      </c>
      <c r="AX267" t="str">
        <f t="shared" si="59"/>
        <v/>
      </c>
      <c r="AY267" t="str">
        <f t="shared" si="60"/>
        <v/>
      </c>
      <c r="AZ267" s="430">
        <f>IFERROR(
IF(AX267="",-100,
IF($BV$2&gt;0, INDEX(Beersheet!$A:$U,MATCH(AX267,INDEX(Beersheet!$A:$U,0,FFARawStatProjections!$BV$2),0),$BV$3)+$BN267,
INDEX($A267:$BM267,,$BV$12)*$BW$12+
INDEX($A267:$BM267,,$BV$15)*$BW$15+
INDEX($A267:$BM267,,$BV$16)*$BW$16+
INDEX($A267:$BM267,,$BV$17)*$BW$17+
INDEX($A267:$BM267,,$BV$18)*$BW$18+
INDEX($A267:$BM267,,$BV$19)*$BW$19+
INDEX($A267:$BM267,,$BV$20)*$BW$20+
INDEX($A267:$BM267,,$BV$21)*$BW$21+
INDEX($A267:$BM267,,$BV$22)*$BW$22+
INDEX($A267:$BM267,,$BV$23)*$BW$23+
INDEX($A267:$BM267,,$BV$25)*$BW$25+
INDEX($A267:$BM267,,$BV$26)*$BW$26+
INDEX($A267:$BM267,,$BV$27)*$BW$27+
$BN267)),
$BN267-100)</f>
        <v>-100</v>
      </c>
      <c r="BB267" t="str">
        <f t="shared" si="61"/>
        <v/>
      </c>
      <c r="BC267" t="str">
        <f t="shared" si="55"/>
        <v/>
      </c>
      <c r="BD267" s="430">
        <f>IFERROR(
IF(BB267="",-100,
IF($BV$2&gt;0, INDEX(Beersheet!$A:$U,MATCH(BB267,INDEX(Beersheet!$A:$U,0,FFARawStatProjections!$BV$2),0),$BV$3)+$BN267,
INDEX($A267:$BM267,,$BV$12)*$BW$12+
INDEX($A267:$BM267,,$BV$15)*$BW$15+
INDEX($A267:$BM267,,$BV$16)*$BW$16+
INDEX($A267:$BM267,,$BV$17)*$BW$17+
INDEX($A267:$BM267,,$BV$18)*$BW$18+
INDEX($A267:$BM267,,$BV$19)*$BW$19+
INDEX($A267:$BM267,,$BV$20)*$BW$20+
INDEX($A267:$BM267,,$BV$21)*$BW$21+
INDEX($A267:$BM267,,$BV$22)*$BW$22+
INDEX($A267:$BM267,,$BV$23)*$BW$23+
INDEX($A267:$BM267,,$BV$25)*$BW$25+
INDEX($A267:$BM267,,$BV$26)*$BW$26+
INDEX($A267:$BM267,,$BV$27)*$BW$27+
$BN267)),
$BN267-100)</f>
        <v>-100</v>
      </c>
      <c r="BF267" t="str">
        <f t="shared" si="62"/>
        <v/>
      </c>
      <c r="BG267" t="str">
        <f t="shared" si="63"/>
        <v/>
      </c>
      <c r="BH267">
        <f t="shared" si="64"/>
        <v>0</v>
      </c>
      <c r="BJ267" t="str">
        <f t="shared" si="65"/>
        <v/>
      </c>
      <c r="BL267">
        <f t="shared" si="54"/>
        <v>0</v>
      </c>
      <c r="BN267">
        <v>2.66E-3</v>
      </c>
      <c r="BS267" s="4" t="s">
        <v>2277</v>
      </c>
    </row>
    <row r="268" spans="1:71" ht="15.75" thickBot="1" x14ac:dyDescent="0.3">
      <c r="A268" s="569" t="s">
        <v>2270</v>
      </c>
      <c r="B268" s="569" t="s">
        <v>158</v>
      </c>
      <c r="C268" s="569" t="s">
        <v>3</v>
      </c>
      <c r="D268" s="574">
        <v>11</v>
      </c>
      <c r="E268" s="569"/>
      <c r="F268" s="569"/>
      <c r="G268" s="569"/>
      <c r="H268" s="569"/>
      <c r="I268" s="574">
        <v>0</v>
      </c>
      <c r="J268" s="574">
        <v>0</v>
      </c>
      <c r="K268" s="574">
        <v>0</v>
      </c>
      <c r="L268" s="574">
        <v>3.5</v>
      </c>
      <c r="M268" s="574">
        <v>0.2</v>
      </c>
      <c r="N268" s="574">
        <v>24.8</v>
      </c>
      <c r="O268" s="574">
        <v>8.4</v>
      </c>
      <c r="P268" s="574">
        <v>0.2</v>
      </c>
      <c r="Q268" s="574">
        <v>35.299999999999997</v>
      </c>
      <c r="R268" s="569"/>
      <c r="S268" s="569"/>
      <c r="T268" s="569"/>
      <c r="U268" s="569"/>
      <c r="V268" s="569"/>
      <c r="W268" s="569"/>
      <c r="X268" s="569"/>
      <c r="Y268" s="569"/>
      <c r="Z268" s="569"/>
      <c r="AA268" s="569"/>
      <c r="AB268" s="569"/>
      <c r="AC268" s="569"/>
      <c r="AD268" s="569"/>
      <c r="AE268" s="569"/>
      <c r="AF268" s="569"/>
      <c r="AG268" s="569"/>
      <c r="AH268" s="569"/>
      <c r="AI268" s="569"/>
      <c r="AJ268" s="569"/>
      <c r="AK268" s="569"/>
      <c r="AL268" s="569"/>
      <c r="AM268" s="569"/>
      <c r="AN268" s="574">
        <v>8.1</v>
      </c>
      <c r="AO268">
        <v>267</v>
      </c>
      <c r="AP268" t="str">
        <f t="shared" si="53"/>
        <v/>
      </c>
      <c r="AQ268" t="str">
        <f t="shared" si="56"/>
        <v/>
      </c>
      <c r="AR268" s="430">
        <f>IFERROR(
IF(AP268="",-100,
IF($BV$2&gt;0, INDEX(Beersheet!$A:$U,MATCH(AP268,INDEX(Beersheet!$A:$U,0,FFARawStatProjections!$BV$2),0),$BV$3)+$BN268,
INDEX($A268:$BM268,,$BV$12)*$BW$12+
INDEX($A268:$BM268,,$BV$15)*$BW$15+
INDEX($A268:$BM268,,$BV$16)*$BW$16+
INDEX($A268:$BM268,,$BV$17)*$BW$17+
INDEX($A268:$BM268,,$BV$18)*$BW$18+
INDEX($A268:$BM268,,$BV$19)*$BW$19+
INDEX($A268:$BM268,,$BV$20)*$BW$20+
INDEX($A268:$BM268,,$BV$21)*$BW$21+
INDEX($A268:$BM268,,$BV$22)*$BW$22+
INDEX($A268:$BM268,,$BV$23)*$BW$23+
INDEX($A268:$BM268,,$BV$25)*$BW$25+
INDEX($A268:$BM268,,$BV$26)*$BW$26+
INDEX($A268:$BM268,,$BV$27)*$BW$27+
$BN268)),
$BN268-100)</f>
        <v>-100</v>
      </c>
      <c r="AT268" t="str">
        <f t="shared" si="57"/>
        <v>Jake Funk</v>
      </c>
      <c r="AU268" t="str">
        <f t="shared" si="58"/>
        <v>IND</v>
      </c>
      <c r="AV268" s="430">
        <f>IFERROR(
IF(AT268="",-100,
IF($BV$2&gt;0, INDEX(Beersheet!$A:$U,MATCH(AT268,INDEX(Beersheet!$A:$U,0,FFARawStatProjections!$BV$2),0),$BV$3)+$BN268,
INDEX($A268:$BM268,,$BV$12)*$BW$12+
INDEX($A268:$BM268,,$BV$15)*$BW$15+
INDEX($A268:$BM268,,$BV$16)*$BW$16+
INDEX($A268:$BM268,,$BV$17)*$BW$17+
INDEX($A268:$BM268,,$BV$18)*$BW$18+
INDEX($A268:$BM268,,$BV$19)*$BW$19+
INDEX($A268:$BM268,,$BV$20)*$BW$20+
INDEX($A268:$BM268,,$BV$21)*$BW$21+
INDEX($A268:$BM268,,$BV$22)*$BW$22+
INDEX($A268:$BM268,,$BV$23)*$BW$23+
INDEX($A268:$BM268,,$BV$25)*$BW$25+
INDEX($A268:$BM268,,$BV$26)*$BW$26+
INDEX($A268:$BM268,,$BV$27)*$BW$27+
$BN268)),
$BN268-100)</f>
        <v>11.91267</v>
      </c>
      <c r="AX268" t="str">
        <f t="shared" si="59"/>
        <v/>
      </c>
      <c r="AY268" t="str">
        <f t="shared" si="60"/>
        <v/>
      </c>
      <c r="AZ268" s="430">
        <f>IFERROR(
IF(AX268="",-100,
IF($BV$2&gt;0, INDEX(Beersheet!$A:$U,MATCH(AX268,INDEX(Beersheet!$A:$U,0,FFARawStatProjections!$BV$2),0),$BV$3)+$BN268,
INDEX($A268:$BM268,,$BV$12)*$BW$12+
INDEX($A268:$BM268,,$BV$15)*$BW$15+
INDEX($A268:$BM268,,$BV$16)*$BW$16+
INDEX($A268:$BM268,,$BV$17)*$BW$17+
INDEX($A268:$BM268,,$BV$18)*$BW$18+
INDEX($A268:$BM268,,$BV$19)*$BW$19+
INDEX($A268:$BM268,,$BV$20)*$BW$20+
INDEX($A268:$BM268,,$BV$21)*$BW$21+
INDEX($A268:$BM268,,$BV$22)*$BW$22+
INDEX($A268:$BM268,,$BV$23)*$BW$23+
INDEX($A268:$BM268,,$BV$25)*$BW$25+
INDEX($A268:$BM268,,$BV$26)*$BW$26+
INDEX($A268:$BM268,,$BV$27)*$BW$27+
$BN268)),
$BN268-100)</f>
        <v>-100</v>
      </c>
      <c r="BB268" t="str">
        <f t="shared" si="61"/>
        <v/>
      </c>
      <c r="BC268" t="str">
        <f t="shared" si="55"/>
        <v/>
      </c>
      <c r="BD268" s="430">
        <f>IFERROR(
IF(BB268="",-100,
IF($BV$2&gt;0, INDEX(Beersheet!$A:$U,MATCH(BB268,INDEX(Beersheet!$A:$U,0,FFARawStatProjections!$BV$2),0),$BV$3)+$BN268,
INDEX($A268:$BM268,,$BV$12)*$BW$12+
INDEX($A268:$BM268,,$BV$15)*$BW$15+
INDEX($A268:$BM268,,$BV$16)*$BW$16+
INDEX($A268:$BM268,,$BV$17)*$BW$17+
INDEX($A268:$BM268,,$BV$18)*$BW$18+
INDEX($A268:$BM268,,$BV$19)*$BW$19+
INDEX($A268:$BM268,,$BV$20)*$BW$20+
INDEX($A268:$BM268,,$BV$21)*$BW$21+
INDEX($A268:$BM268,,$BV$22)*$BW$22+
INDEX($A268:$BM268,,$BV$23)*$BW$23+
INDEX($A268:$BM268,,$BV$25)*$BW$25+
INDEX($A268:$BM268,,$BV$26)*$BW$26+
INDEX($A268:$BM268,,$BV$27)*$BW$27+
$BN268)),
$BN268-100)</f>
        <v>-100</v>
      </c>
      <c r="BF268" t="str">
        <f t="shared" si="62"/>
        <v/>
      </c>
      <c r="BG268" t="str">
        <f t="shared" si="63"/>
        <v/>
      </c>
      <c r="BH268">
        <f t="shared" si="64"/>
        <v>0</v>
      </c>
      <c r="BJ268" t="str">
        <f t="shared" si="65"/>
        <v/>
      </c>
      <c r="BL268">
        <f t="shared" si="54"/>
        <v>0</v>
      </c>
      <c r="BN268">
        <v>2.6700000000000001E-3</v>
      </c>
      <c r="BS268" s="4" t="s">
        <v>2360</v>
      </c>
    </row>
    <row r="269" spans="1:71" ht="15.75" thickBot="1" x14ac:dyDescent="0.3">
      <c r="A269" s="569" t="s">
        <v>2483</v>
      </c>
      <c r="B269" s="569" t="s">
        <v>146</v>
      </c>
      <c r="C269" s="569" t="s">
        <v>3</v>
      </c>
      <c r="D269" s="574">
        <v>7</v>
      </c>
      <c r="E269" s="569"/>
      <c r="F269" s="569"/>
      <c r="G269" s="569"/>
      <c r="H269" s="569"/>
      <c r="I269" s="574">
        <v>0</v>
      </c>
      <c r="J269" s="574">
        <v>0</v>
      </c>
      <c r="K269" s="574">
        <v>0</v>
      </c>
      <c r="L269" s="574">
        <v>4.8</v>
      </c>
      <c r="M269" s="574">
        <v>0.3</v>
      </c>
      <c r="N269" s="574">
        <v>24.9</v>
      </c>
      <c r="O269" s="574">
        <v>0</v>
      </c>
      <c r="P269" s="574">
        <v>0.3</v>
      </c>
      <c r="Q269" s="574">
        <v>23.2</v>
      </c>
      <c r="R269" s="569"/>
      <c r="S269" s="569"/>
      <c r="T269" s="569"/>
      <c r="U269" s="569"/>
      <c r="V269" s="569"/>
      <c r="W269" s="569"/>
      <c r="X269" s="569"/>
      <c r="Y269" s="569"/>
      <c r="Z269" s="569"/>
      <c r="AA269" s="569"/>
      <c r="AB269" s="569"/>
      <c r="AC269" s="569"/>
      <c r="AD269" s="569"/>
      <c r="AE269" s="569"/>
      <c r="AF269" s="569"/>
      <c r="AG269" s="569"/>
      <c r="AH269" s="569"/>
      <c r="AI269" s="569"/>
      <c r="AJ269" s="569"/>
      <c r="AK269" s="569"/>
      <c r="AL269" s="569"/>
      <c r="AM269" s="569"/>
      <c r="AN269" s="574">
        <v>7.9</v>
      </c>
      <c r="AO269">
        <v>268</v>
      </c>
      <c r="AP269" t="str">
        <f t="shared" si="53"/>
        <v/>
      </c>
      <c r="AQ269" t="str">
        <f t="shared" si="56"/>
        <v/>
      </c>
      <c r="AR269" s="430">
        <f>IFERROR(
IF(AP269="",-100,
IF($BV$2&gt;0, INDEX(Beersheet!$A:$U,MATCH(AP269,INDEX(Beersheet!$A:$U,0,FFARawStatProjections!$BV$2),0),$BV$3)+$BN269,
INDEX($A269:$BM269,,$BV$12)*$BW$12+
INDEX($A269:$BM269,,$BV$15)*$BW$15+
INDEX($A269:$BM269,,$BV$16)*$BW$16+
INDEX($A269:$BM269,,$BV$17)*$BW$17+
INDEX($A269:$BM269,,$BV$18)*$BW$18+
INDEX($A269:$BM269,,$BV$19)*$BW$19+
INDEX($A269:$BM269,,$BV$20)*$BW$20+
INDEX($A269:$BM269,,$BV$21)*$BW$21+
INDEX($A269:$BM269,,$BV$22)*$BW$22+
INDEX($A269:$BM269,,$BV$23)*$BW$23+
INDEX($A269:$BM269,,$BV$25)*$BW$25+
INDEX($A269:$BM269,,$BV$26)*$BW$26+
INDEX($A269:$BM269,,$BV$27)*$BW$27+
$BN269)),
$BN269-100)</f>
        <v>-100</v>
      </c>
      <c r="AT269" t="str">
        <f t="shared" si="57"/>
        <v>Hunter Luepke</v>
      </c>
      <c r="AU269" t="str">
        <f t="shared" si="58"/>
        <v>DAL</v>
      </c>
      <c r="AV269" s="430">
        <f>IFERROR(
IF(AT269="",-100,
IF($BV$2&gt;0, INDEX(Beersheet!$A:$U,MATCH(AT269,INDEX(Beersheet!$A:$U,0,FFARawStatProjections!$BV$2),0),$BV$3)+$BN269,
INDEX($A269:$BM269,,$BV$12)*$BW$12+
INDEX($A269:$BM269,,$BV$15)*$BW$15+
INDEX($A269:$BM269,,$BV$16)*$BW$16+
INDEX($A269:$BM269,,$BV$17)*$BW$17+
INDEX($A269:$BM269,,$BV$18)*$BW$18+
INDEX($A269:$BM269,,$BV$19)*$BW$19+
INDEX($A269:$BM269,,$BV$20)*$BW$20+
INDEX($A269:$BM269,,$BV$21)*$BW$21+
INDEX($A269:$BM269,,$BV$22)*$BW$22+
INDEX($A269:$BM269,,$BV$23)*$BW$23+
INDEX($A269:$BM269,,$BV$25)*$BW$25+
INDEX($A269:$BM269,,$BV$26)*$BW$26+
INDEX($A269:$BM269,,$BV$27)*$BW$27+
$BN269)),
$BN269-100)</f>
        <v>13.212680000000001</v>
      </c>
      <c r="AX269" t="str">
        <f t="shared" si="59"/>
        <v/>
      </c>
      <c r="AY269" t="str">
        <f t="shared" si="60"/>
        <v/>
      </c>
      <c r="AZ269" s="430">
        <f>IFERROR(
IF(AX269="",-100,
IF($BV$2&gt;0, INDEX(Beersheet!$A:$U,MATCH(AX269,INDEX(Beersheet!$A:$U,0,FFARawStatProjections!$BV$2),0),$BV$3)+$BN269,
INDEX($A269:$BM269,,$BV$12)*$BW$12+
INDEX($A269:$BM269,,$BV$15)*$BW$15+
INDEX($A269:$BM269,,$BV$16)*$BW$16+
INDEX($A269:$BM269,,$BV$17)*$BW$17+
INDEX($A269:$BM269,,$BV$18)*$BW$18+
INDEX($A269:$BM269,,$BV$19)*$BW$19+
INDEX($A269:$BM269,,$BV$20)*$BW$20+
INDEX($A269:$BM269,,$BV$21)*$BW$21+
INDEX($A269:$BM269,,$BV$22)*$BW$22+
INDEX($A269:$BM269,,$BV$23)*$BW$23+
INDEX($A269:$BM269,,$BV$25)*$BW$25+
INDEX($A269:$BM269,,$BV$26)*$BW$26+
INDEX($A269:$BM269,,$BV$27)*$BW$27+
$BN269)),
$BN269-100)</f>
        <v>-100</v>
      </c>
      <c r="BB269" t="str">
        <f t="shared" si="61"/>
        <v/>
      </c>
      <c r="BC269" t="str">
        <f t="shared" si="55"/>
        <v/>
      </c>
      <c r="BD269" s="430">
        <f>IFERROR(
IF(BB269="",-100,
IF($BV$2&gt;0, INDEX(Beersheet!$A:$U,MATCH(BB269,INDEX(Beersheet!$A:$U,0,FFARawStatProjections!$BV$2),0),$BV$3)+$BN269,
INDEX($A269:$BM269,,$BV$12)*$BW$12+
INDEX($A269:$BM269,,$BV$15)*$BW$15+
INDEX($A269:$BM269,,$BV$16)*$BW$16+
INDEX($A269:$BM269,,$BV$17)*$BW$17+
INDEX($A269:$BM269,,$BV$18)*$BW$18+
INDEX($A269:$BM269,,$BV$19)*$BW$19+
INDEX($A269:$BM269,,$BV$20)*$BW$20+
INDEX($A269:$BM269,,$BV$21)*$BW$21+
INDEX($A269:$BM269,,$BV$22)*$BW$22+
INDEX($A269:$BM269,,$BV$23)*$BW$23+
INDEX($A269:$BM269,,$BV$25)*$BW$25+
INDEX($A269:$BM269,,$BV$26)*$BW$26+
INDEX($A269:$BM269,,$BV$27)*$BW$27+
$BN269)),
$BN269-100)</f>
        <v>-100</v>
      </c>
      <c r="BF269" t="str">
        <f t="shared" si="62"/>
        <v/>
      </c>
      <c r="BG269" t="str">
        <f t="shared" si="63"/>
        <v/>
      </c>
      <c r="BH269">
        <f t="shared" si="64"/>
        <v>0</v>
      </c>
      <c r="BJ269" t="str">
        <f t="shared" si="65"/>
        <v/>
      </c>
      <c r="BL269">
        <f t="shared" si="54"/>
        <v>0</v>
      </c>
      <c r="BN269">
        <v>2.6800000000000001E-3</v>
      </c>
      <c r="BS269" s="4" t="s">
        <v>1872</v>
      </c>
    </row>
    <row r="270" spans="1:71" ht="15.75" thickBot="1" x14ac:dyDescent="0.3">
      <c r="A270" s="569" t="s">
        <v>2187</v>
      </c>
      <c r="B270" s="569" t="s">
        <v>162</v>
      </c>
      <c r="C270" s="569" t="s">
        <v>3</v>
      </c>
      <c r="D270" s="574">
        <v>13</v>
      </c>
      <c r="E270" s="569"/>
      <c r="F270" s="569"/>
      <c r="G270" s="569"/>
      <c r="H270" s="569"/>
      <c r="I270" s="574">
        <v>0</v>
      </c>
      <c r="J270" s="574">
        <v>0</v>
      </c>
      <c r="K270" s="574">
        <v>0</v>
      </c>
      <c r="L270" s="574">
        <v>7.1</v>
      </c>
      <c r="M270" s="574">
        <v>0.3</v>
      </c>
      <c r="N270" s="574">
        <v>48.7</v>
      </c>
      <c r="O270" s="574">
        <v>6.2</v>
      </c>
      <c r="P270" s="574">
        <v>0.1</v>
      </c>
      <c r="Q270" s="574">
        <v>18.8</v>
      </c>
      <c r="R270" s="569"/>
      <c r="S270" s="569"/>
      <c r="T270" s="569"/>
      <c r="U270" s="569"/>
      <c r="V270" s="569"/>
      <c r="W270" s="569"/>
      <c r="X270" s="569"/>
      <c r="Y270" s="569"/>
      <c r="Z270" s="569"/>
      <c r="AA270" s="569"/>
      <c r="AB270" s="569"/>
      <c r="AC270" s="569"/>
      <c r="AD270" s="569"/>
      <c r="AE270" s="569"/>
      <c r="AF270" s="569"/>
      <c r="AG270" s="569"/>
      <c r="AH270" s="569"/>
      <c r="AI270" s="569"/>
      <c r="AJ270" s="569"/>
      <c r="AK270" s="569"/>
      <c r="AL270" s="569"/>
      <c r="AM270" s="569"/>
      <c r="AN270" s="574">
        <v>7.9</v>
      </c>
      <c r="AO270">
        <v>269</v>
      </c>
      <c r="AP270" t="str">
        <f t="shared" si="53"/>
        <v/>
      </c>
      <c r="AQ270" t="str">
        <f t="shared" si="56"/>
        <v/>
      </c>
      <c r="AR270" s="430">
        <f>IFERROR(
IF(AP270="",-100,
IF($BV$2&gt;0, INDEX(Beersheet!$A:$U,MATCH(AP270,INDEX(Beersheet!$A:$U,0,FFARawStatProjections!$BV$2),0),$BV$3)+$BN270,
INDEX($A270:$BM270,,$BV$12)*$BW$12+
INDEX($A270:$BM270,,$BV$15)*$BW$15+
INDEX($A270:$BM270,,$BV$16)*$BW$16+
INDEX($A270:$BM270,,$BV$17)*$BW$17+
INDEX($A270:$BM270,,$BV$18)*$BW$18+
INDEX($A270:$BM270,,$BV$19)*$BW$19+
INDEX($A270:$BM270,,$BV$20)*$BW$20+
INDEX($A270:$BM270,,$BV$21)*$BW$21+
INDEX($A270:$BM270,,$BV$22)*$BW$22+
INDEX($A270:$BM270,,$BV$23)*$BW$23+
INDEX($A270:$BM270,,$BV$25)*$BW$25+
INDEX($A270:$BM270,,$BV$26)*$BW$26+
INDEX($A270:$BM270,,$BV$27)*$BW$27+
$BN270)),
$BN270-100)</f>
        <v>-100</v>
      </c>
      <c r="AT270" t="str">
        <f t="shared" si="57"/>
        <v>Patrick Ricard</v>
      </c>
      <c r="AU270" t="str">
        <f t="shared" si="58"/>
        <v>BAL</v>
      </c>
      <c r="AV270" s="430">
        <f>IFERROR(
IF(AT270="",-100,
IF($BV$2&gt;0, INDEX(Beersheet!$A:$U,MATCH(AT270,INDEX(Beersheet!$A:$U,0,FFARawStatProjections!$BV$2),0),$BV$3)+$BN270,
INDEX($A270:$BM270,,$BV$12)*$BW$12+
INDEX($A270:$BM270,,$BV$15)*$BW$15+
INDEX($A270:$BM270,,$BV$16)*$BW$16+
INDEX($A270:$BM270,,$BV$17)*$BW$17+
INDEX($A270:$BM270,,$BV$18)*$BW$18+
INDEX($A270:$BM270,,$BV$19)*$BW$19+
INDEX($A270:$BM270,,$BV$20)*$BW$20+
INDEX($A270:$BM270,,$BV$21)*$BW$21+
INDEX($A270:$BM270,,$BV$22)*$BW$22+
INDEX($A270:$BM270,,$BV$23)*$BW$23+
INDEX($A270:$BM270,,$BV$25)*$BW$25+
INDEX($A270:$BM270,,$BV$26)*$BW$26+
INDEX($A270:$BM270,,$BV$27)*$BW$27+
$BN270)),
$BN270-100)</f>
        <v>16.252690000000001</v>
      </c>
      <c r="AX270" t="str">
        <f t="shared" si="59"/>
        <v/>
      </c>
      <c r="AY270" t="str">
        <f t="shared" si="60"/>
        <v/>
      </c>
      <c r="AZ270" s="430">
        <f>IFERROR(
IF(AX270="",-100,
IF($BV$2&gt;0, INDEX(Beersheet!$A:$U,MATCH(AX270,INDEX(Beersheet!$A:$U,0,FFARawStatProjections!$BV$2),0),$BV$3)+$BN270,
INDEX($A270:$BM270,,$BV$12)*$BW$12+
INDEX($A270:$BM270,,$BV$15)*$BW$15+
INDEX($A270:$BM270,,$BV$16)*$BW$16+
INDEX($A270:$BM270,,$BV$17)*$BW$17+
INDEX($A270:$BM270,,$BV$18)*$BW$18+
INDEX($A270:$BM270,,$BV$19)*$BW$19+
INDEX($A270:$BM270,,$BV$20)*$BW$20+
INDEX($A270:$BM270,,$BV$21)*$BW$21+
INDEX($A270:$BM270,,$BV$22)*$BW$22+
INDEX($A270:$BM270,,$BV$23)*$BW$23+
INDEX($A270:$BM270,,$BV$25)*$BW$25+
INDEX($A270:$BM270,,$BV$26)*$BW$26+
INDEX($A270:$BM270,,$BV$27)*$BW$27+
$BN270)),
$BN270-100)</f>
        <v>-100</v>
      </c>
      <c r="BB270" t="str">
        <f t="shared" si="61"/>
        <v/>
      </c>
      <c r="BC270" t="str">
        <f t="shared" si="55"/>
        <v/>
      </c>
      <c r="BD270" s="430">
        <f>IFERROR(
IF(BB270="",-100,
IF($BV$2&gt;0, INDEX(Beersheet!$A:$U,MATCH(BB270,INDEX(Beersheet!$A:$U,0,FFARawStatProjections!$BV$2),0),$BV$3)+$BN270,
INDEX($A270:$BM270,,$BV$12)*$BW$12+
INDEX($A270:$BM270,,$BV$15)*$BW$15+
INDEX($A270:$BM270,,$BV$16)*$BW$16+
INDEX($A270:$BM270,,$BV$17)*$BW$17+
INDEX($A270:$BM270,,$BV$18)*$BW$18+
INDEX($A270:$BM270,,$BV$19)*$BW$19+
INDEX($A270:$BM270,,$BV$20)*$BW$20+
INDEX($A270:$BM270,,$BV$21)*$BW$21+
INDEX($A270:$BM270,,$BV$22)*$BW$22+
INDEX($A270:$BM270,,$BV$23)*$BW$23+
INDEX($A270:$BM270,,$BV$25)*$BW$25+
INDEX($A270:$BM270,,$BV$26)*$BW$26+
INDEX($A270:$BM270,,$BV$27)*$BW$27+
$BN270)),
$BN270-100)</f>
        <v>-100</v>
      </c>
      <c r="BF270" t="str">
        <f t="shared" si="62"/>
        <v/>
      </c>
      <c r="BG270" t="str">
        <f t="shared" si="63"/>
        <v/>
      </c>
      <c r="BH270">
        <f t="shared" si="64"/>
        <v>0</v>
      </c>
      <c r="BJ270" t="str">
        <f t="shared" si="65"/>
        <v/>
      </c>
      <c r="BL270">
        <f t="shared" si="54"/>
        <v>0</v>
      </c>
      <c r="BN270">
        <v>2.6900000000000001E-3</v>
      </c>
      <c r="BS270" s="4" t="s">
        <v>2059</v>
      </c>
    </row>
    <row r="271" spans="1:71" ht="15.75" thickBot="1" x14ac:dyDescent="0.3">
      <c r="A271" s="569" t="s">
        <v>2541</v>
      </c>
      <c r="B271" s="569" t="s">
        <v>148</v>
      </c>
      <c r="C271" s="569" t="s">
        <v>3</v>
      </c>
      <c r="D271" s="574">
        <v>11</v>
      </c>
      <c r="E271" s="569"/>
      <c r="F271" s="569"/>
      <c r="G271" s="569"/>
      <c r="H271" s="569"/>
      <c r="I271" s="574">
        <v>0</v>
      </c>
      <c r="J271" s="574">
        <v>0</v>
      </c>
      <c r="K271" s="574">
        <v>0</v>
      </c>
      <c r="L271" s="574">
        <v>6.6</v>
      </c>
      <c r="M271" s="574">
        <v>0.2</v>
      </c>
      <c r="N271" s="574">
        <v>47.3</v>
      </c>
      <c r="O271" s="574">
        <v>0</v>
      </c>
      <c r="P271" s="574">
        <v>0.1</v>
      </c>
      <c r="Q271" s="574">
        <v>7.8</v>
      </c>
      <c r="R271" s="569"/>
      <c r="S271" s="569"/>
      <c r="T271" s="569"/>
      <c r="U271" s="569"/>
      <c r="V271" s="569"/>
      <c r="W271" s="569"/>
      <c r="X271" s="569"/>
      <c r="Y271" s="569"/>
      <c r="Z271" s="569"/>
      <c r="AA271" s="569"/>
      <c r="AB271" s="569"/>
      <c r="AC271" s="569"/>
      <c r="AD271" s="569"/>
      <c r="AE271" s="569"/>
      <c r="AF271" s="569"/>
      <c r="AG271" s="569"/>
      <c r="AH271" s="569"/>
      <c r="AI271" s="569"/>
      <c r="AJ271" s="569"/>
      <c r="AK271" s="569"/>
      <c r="AL271" s="569"/>
      <c r="AM271" s="569"/>
      <c r="AN271" s="574">
        <v>7.4</v>
      </c>
      <c r="AO271">
        <v>270</v>
      </c>
      <c r="AP271" t="str">
        <f t="shared" si="53"/>
        <v/>
      </c>
      <c r="AQ271" t="str">
        <f t="shared" si="56"/>
        <v/>
      </c>
      <c r="AR271" s="430">
        <f>IFERROR(
IF(AP271="",-100,
IF($BV$2&gt;0, INDEX(Beersheet!$A:$U,MATCH(AP271,INDEX(Beersheet!$A:$U,0,FFARawStatProjections!$BV$2),0),$BV$3)+$BN271,
INDEX($A271:$BM271,,$BV$12)*$BW$12+
INDEX($A271:$BM271,,$BV$15)*$BW$15+
INDEX($A271:$BM271,,$BV$16)*$BW$16+
INDEX($A271:$BM271,,$BV$17)*$BW$17+
INDEX($A271:$BM271,,$BV$18)*$BW$18+
INDEX($A271:$BM271,,$BV$19)*$BW$19+
INDEX($A271:$BM271,,$BV$20)*$BW$20+
INDEX($A271:$BM271,,$BV$21)*$BW$21+
INDEX($A271:$BM271,,$BV$22)*$BW$22+
INDEX($A271:$BM271,,$BV$23)*$BW$23+
INDEX($A271:$BM271,,$BV$25)*$BW$25+
INDEX($A271:$BM271,,$BV$26)*$BW$26+
INDEX($A271:$BM271,,$BV$27)*$BW$27+
$BN271)),
$BN271-100)</f>
        <v>-100</v>
      </c>
      <c r="AT271" t="str">
        <f t="shared" si="57"/>
        <v>Godwin Igwebuike</v>
      </c>
      <c r="AU271" t="str">
        <f t="shared" si="58"/>
        <v>ATL</v>
      </c>
      <c r="AV271" s="430">
        <f>IFERROR(
IF(AT271="",-100,
IF($BV$2&gt;0, INDEX(Beersheet!$A:$U,MATCH(AT271,INDEX(Beersheet!$A:$U,0,FFARawStatProjections!$BV$2),0),$BV$3)+$BN271,
INDEX($A271:$BM271,,$BV$12)*$BW$12+
INDEX($A271:$BM271,,$BV$15)*$BW$15+
INDEX($A271:$BM271,,$BV$16)*$BW$16+
INDEX($A271:$BM271,,$BV$17)*$BW$17+
INDEX($A271:$BM271,,$BV$18)*$BW$18+
INDEX($A271:$BM271,,$BV$19)*$BW$19+
INDEX($A271:$BM271,,$BV$20)*$BW$20+
INDEX($A271:$BM271,,$BV$21)*$BW$21+
INDEX($A271:$BM271,,$BV$22)*$BW$22+
INDEX($A271:$BM271,,$BV$23)*$BW$23+
INDEX($A271:$BM271,,$BV$25)*$BW$25+
INDEX($A271:$BM271,,$BV$26)*$BW$26+
INDEX($A271:$BM271,,$BV$27)*$BW$27+
$BN271)),
$BN271-100)</f>
        <v>13.912699999999999</v>
      </c>
      <c r="AX271" t="str">
        <f t="shared" si="59"/>
        <v/>
      </c>
      <c r="AY271" t="str">
        <f t="shared" si="60"/>
        <v/>
      </c>
      <c r="AZ271" s="430">
        <f>IFERROR(
IF(AX271="",-100,
IF($BV$2&gt;0, INDEX(Beersheet!$A:$U,MATCH(AX271,INDEX(Beersheet!$A:$U,0,FFARawStatProjections!$BV$2),0),$BV$3)+$BN271,
INDEX($A271:$BM271,,$BV$12)*$BW$12+
INDEX($A271:$BM271,,$BV$15)*$BW$15+
INDEX($A271:$BM271,,$BV$16)*$BW$16+
INDEX($A271:$BM271,,$BV$17)*$BW$17+
INDEX($A271:$BM271,,$BV$18)*$BW$18+
INDEX($A271:$BM271,,$BV$19)*$BW$19+
INDEX($A271:$BM271,,$BV$20)*$BW$20+
INDEX($A271:$BM271,,$BV$21)*$BW$21+
INDEX($A271:$BM271,,$BV$22)*$BW$22+
INDEX($A271:$BM271,,$BV$23)*$BW$23+
INDEX($A271:$BM271,,$BV$25)*$BW$25+
INDEX($A271:$BM271,,$BV$26)*$BW$26+
INDEX($A271:$BM271,,$BV$27)*$BW$27+
$BN271)),
$BN271-100)</f>
        <v>-100</v>
      </c>
      <c r="BB271" t="str">
        <f t="shared" si="61"/>
        <v/>
      </c>
      <c r="BC271" t="str">
        <f t="shared" si="55"/>
        <v/>
      </c>
      <c r="BD271" s="430">
        <f>IFERROR(
IF(BB271="",-100,
IF($BV$2&gt;0, INDEX(Beersheet!$A:$U,MATCH(BB271,INDEX(Beersheet!$A:$U,0,FFARawStatProjections!$BV$2),0),$BV$3)+$BN271,
INDEX($A271:$BM271,,$BV$12)*$BW$12+
INDEX($A271:$BM271,,$BV$15)*$BW$15+
INDEX($A271:$BM271,,$BV$16)*$BW$16+
INDEX($A271:$BM271,,$BV$17)*$BW$17+
INDEX($A271:$BM271,,$BV$18)*$BW$18+
INDEX($A271:$BM271,,$BV$19)*$BW$19+
INDEX($A271:$BM271,,$BV$20)*$BW$20+
INDEX($A271:$BM271,,$BV$21)*$BW$21+
INDEX($A271:$BM271,,$BV$22)*$BW$22+
INDEX($A271:$BM271,,$BV$23)*$BW$23+
INDEX($A271:$BM271,,$BV$25)*$BW$25+
INDEX($A271:$BM271,,$BV$26)*$BW$26+
INDEX($A271:$BM271,,$BV$27)*$BW$27+
$BN271)),
$BN271-100)</f>
        <v>-100</v>
      </c>
      <c r="BF271" t="str">
        <f t="shared" si="62"/>
        <v/>
      </c>
      <c r="BG271" t="str">
        <f t="shared" si="63"/>
        <v/>
      </c>
      <c r="BH271">
        <f t="shared" si="64"/>
        <v>0</v>
      </c>
      <c r="BJ271" t="str">
        <f t="shared" si="65"/>
        <v/>
      </c>
      <c r="BL271">
        <f t="shared" si="54"/>
        <v>0</v>
      </c>
      <c r="BN271">
        <v>2.7000000000000001E-3</v>
      </c>
      <c r="BS271" s="4" t="s">
        <v>245</v>
      </c>
    </row>
    <row r="272" spans="1:71" ht="15.75" thickBot="1" x14ac:dyDescent="0.3">
      <c r="A272" s="569" t="s">
        <v>2465</v>
      </c>
      <c r="B272" s="569" t="s">
        <v>163</v>
      </c>
      <c r="C272" s="569" t="s">
        <v>3</v>
      </c>
      <c r="D272" s="574">
        <v>7</v>
      </c>
      <c r="E272" s="569"/>
      <c r="F272" s="569"/>
      <c r="G272" s="569"/>
      <c r="H272" s="569"/>
      <c r="I272" s="574">
        <v>0</v>
      </c>
      <c r="J272" s="574">
        <v>0</v>
      </c>
      <c r="K272" s="574">
        <v>0</v>
      </c>
      <c r="L272" s="574">
        <v>1.9</v>
      </c>
      <c r="M272" s="574">
        <v>0.1</v>
      </c>
      <c r="N272" s="574">
        <v>14</v>
      </c>
      <c r="O272" s="574">
        <v>10.1</v>
      </c>
      <c r="P272" s="574">
        <v>0.2</v>
      </c>
      <c r="Q272" s="574">
        <v>42.8</v>
      </c>
      <c r="R272" s="569"/>
      <c r="S272" s="569"/>
      <c r="T272" s="569"/>
      <c r="U272" s="569"/>
      <c r="V272" s="569"/>
      <c r="W272" s="569"/>
      <c r="X272" s="569"/>
      <c r="Y272" s="569"/>
      <c r="Z272" s="569"/>
      <c r="AA272" s="569"/>
      <c r="AB272" s="569"/>
      <c r="AC272" s="569"/>
      <c r="AD272" s="569"/>
      <c r="AE272" s="569"/>
      <c r="AF272" s="569"/>
      <c r="AG272" s="569"/>
      <c r="AH272" s="569"/>
      <c r="AI272" s="569"/>
      <c r="AJ272" s="569"/>
      <c r="AK272" s="569"/>
      <c r="AL272" s="569"/>
      <c r="AM272" s="569"/>
      <c r="AN272" s="574">
        <v>7.4</v>
      </c>
      <c r="AO272">
        <v>271</v>
      </c>
      <c r="AP272" t="str">
        <f t="shared" si="53"/>
        <v/>
      </c>
      <c r="AQ272" t="str">
        <f t="shared" si="56"/>
        <v/>
      </c>
      <c r="AR272" s="430">
        <f>IFERROR(
IF(AP272="",-100,
IF($BV$2&gt;0, INDEX(Beersheet!$A:$U,MATCH(AP272,INDEX(Beersheet!$A:$U,0,FFARawStatProjections!$BV$2),0),$BV$3)+$BN272,
INDEX($A272:$BM272,,$BV$12)*$BW$12+
INDEX($A272:$BM272,,$BV$15)*$BW$15+
INDEX($A272:$BM272,,$BV$16)*$BW$16+
INDEX($A272:$BM272,,$BV$17)*$BW$17+
INDEX($A272:$BM272,,$BV$18)*$BW$18+
INDEX($A272:$BM272,,$BV$19)*$BW$19+
INDEX($A272:$BM272,,$BV$20)*$BW$20+
INDEX($A272:$BM272,,$BV$21)*$BW$21+
INDEX($A272:$BM272,,$BV$22)*$BW$22+
INDEX($A272:$BM272,,$BV$23)*$BW$23+
INDEX($A272:$BM272,,$BV$25)*$BW$25+
INDEX($A272:$BM272,,$BV$26)*$BW$26+
INDEX($A272:$BM272,,$BV$27)*$BW$27+
$BN272)),
$BN272-100)</f>
        <v>-100</v>
      </c>
      <c r="AT272" t="str">
        <f t="shared" si="57"/>
        <v>Jonathan Ward</v>
      </c>
      <c r="AU272" t="str">
        <f t="shared" si="58"/>
        <v>TEN</v>
      </c>
      <c r="AV272" s="430">
        <f>IFERROR(
IF(AT272="",-100,
IF($BV$2&gt;0, INDEX(Beersheet!$A:$U,MATCH(AT272,INDEX(Beersheet!$A:$U,0,FFARawStatProjections!$BV$2),0),$BV$3)+$BN272,
INDEX($A272:$BM272,,$BV$12)*$BW$12+
INDEX($A272:$BM272,,$BV$15)*$BW$15+
INDEX($A272:$BM272,,$BV$16)*$BW$16+
INDEX($A272:$BM272,,$BV$17)*$BW$17+
INDEX($A272:$BM272,,$BV$18)*$BW$18+
INDEX($A272:$BM272,,$BV$19)*$BW$19+
INDEX($A272:$BM272,,$BV$20)*$BW$20+
INDEX($A272:$BM272,,$BV$21)*$BW$21+
INDEX($A272:$BM272,,$BV$22)*$BW$22+
INDEX($A272:$BM272,,$BV$23)*$BW$23+
INDEX($A272:$BM272,,$BV$25)*$BW$25+
INDEX($A272:$BM272,,$BV$26)*$BW$26+
INDEX($A272:$BM272,,$BV$27)*$BW$27+
$BN272)),
$BN272-100)</f>
        <v>9.3827100000000012</v>
      </c>
      <c r="AX272" t="str">
        <f t="shared" si="59"/>
        <v/>
      </c>
      <c r="AY272" t="str">
        <f t="shared" si="60"/>
        <v/>
      </c>
      <c r="AZ272" s="430">
        <f>IFERROR(
IF(AX272="",-100,
IF($BV$2&gt;0, INDEX(Beersheet!$A:$U,MATCH(AX272,INDEX(Beersheet!$A:$U,0,FFARawStatProjections!$BV$2),0),$BV$3)+$BN272,
INDEX($A272:$BM272,,$BV$12)*$BW$12+
INDEX($A272:$BM272,,$BV$15)*$BW$15+
INDEX($A272:$BM272,,$BV$16)*$BW$16+
INDEX($A272:$BM272,,$BV$17)*$BW$17+
INDEX($A272:$BM272,,$BV$18)*$BW$18+
INDEX($A272:$BM272,,$BV$19)*$BW$19+
INDEX($A272:$BM272,,$BV$20)*$BW$20+
INDEX($A272:$BM272,,$BV$21)*$BW$21+
INDEX($A272:$BM272,,$BV$22)*$BW$22+
INDEX($A272:$BM272,,$BV$23)*$BW$23+
INDEX($A272:$BM272,,$BV$25)*$BW$25+
INDEX($A272:$BM272,,$BV$26)*$BW$26+
INDEX($A272:$BM272,,$BV$27)*$BW$27+
$BN272)),
$BN272-100)</f>
        <v>-100</v>
      </c>
      <c r="BB272" t="str">
        <f t="shared" si="61"/>
        <v/>
      </c>
      <c r="BC272" t="str">
        <f t="shared" si="55"/>
        <v/>
      </c>
      <c r="BD272" s="430">
        <f>IFERROR(
IF(BB272="",-100,
IF($BV$2&gt;0, INDEX(Beersheet!$A:$U,MATCH(BB272,INDEX(Beersheet!$A:$U,0,FFARawStatProjections!$BV$2),0),$BV$3)+$BN272,
INDEX($A272:$BM272,,$BV$12)*$BW$12+
INDEX($A272:$BM272,,$BV$15)*$BW$15+
INDEX($A272:$BM272,,$BV$16)*$BW$16+
INDEX($A272:$BM272,,$BV$17)*$BW$17+
INDEX($A272:$BM272,,$BV$18)*$BW$18+
INDEX($A272:$BM272,,$BV$19)*$BW$19+
INDEX($A272:$BM272,,$BV$20)*$BW$20+
INDEX($A272:$BM272,,$BV$21)*$BW$21+
INDEX($A272:$BM272,,$BV$22)*$BW$22+
INDEX($A272:$BM272,,$BV$23)*$BW$23+
INDEX($A272:$BM272,,$BV$25)*$BW$25+
INDEX($A272:$BM272,,$BV$26)*$BW$26+
INDEX($A272:$BM272,,$BV$27)*$BW$27+
$BN272)),
$BN272-100)</f>
        <v>-100</v>
      </c>
      <c r="BF272" t="str">
        <f t="shared" si="62"/>
        <v/>
      </c>
      <c r="BG272" t="str">
        <f t="shared" si="63"/>
        <v/>
      </c>
      <c r="BH272">
        <f t="shared" si="64"/>
        <v>0</v>
      </c>
      <c r="BJ272" t="str">
        <f t="shared" si="65"/>
        <v/>
      </c>
      <c r="BL272">
        <f t="shared" si="54"/>
        <v>0</v>
      </c>
      <c r="BN272">
        <v>2.7100000000000002E-3</v>
      </c>
      <c r="BS272" s="4" t="s">
        <v>2147</v>
      </c>
    </row>
    <row r="273" spans="1:71" ht="15.75" thickBot="1" x14ac:dyDescent="0.3">
      <c r="A273" s="569" t="s">
        <v>1888</v>
      </c>
      <c r="B273" s="569" t="s">
        <v>165</v>
      </c>
      <c r="C273" s="569" t="s">
        <v>3</v>
      </c>
      <c r="D273" s="574">
        <v>9</v>
      </c>
      <c r="E273" s="569"/>
      <c r="F273" s="569"/>
      <c r="G273" s="569"/>
      <c r="H273" s="569"/>
      <c r="I273" s="574">
        <v>0</v>
      </c>
      <c r="J273" s="574">
        <v>0</v>
      </c>
      <c r="K273" s="574">
        <v>0</v>
      </c>
      <c r="L273" s="574">
        <v>4.5</v>
      </c>
      <c r="M273" s="574">
        <v>0.2</v>
      </c>
      <c r="N273" s="574">
        <v>32.1</v>
      </c>
      <c r="O273" s="574">
        <v>4.5</v>
      </c>
      <c r="P273" s="574">
        <v>0.2</v>
      </c>
      <c r="Q273" s="574">
        <v>18.8</v>
      </c>
      <c r="R273" s="569"/>
      <c r="S273" s="569"/>
      <c r="T273" s="569"/>
      <c r="U273" s="569"/>
      <c r="V273" s="569"/>
      <c r="W273" s="569"/>
      <c r="X273" s="569"/>
      <c r="Y273" s="569"/>
      <c r="Z273" s="569"/>
      <c r="AA273" s="569"/>
      <c r="AB273" s="569"/>
      <c r="AC273" s="569"/>
      <c r="AD273" s="569"/>
      <c r="AE273" s="569"/>
      <c r="AF273" s="569"/>
      <c r="AG273" s="569"/>
      <c r="AH273" s="569"/>
      <c r="AI273" s="569"/>
      <c r="AJ273" s="569"/>
      <c r="AK273" s="569"/>
      <c r="AL273" s="569"/>
      <c r="AM273" s="569"/>
      <c r="AN273" s="574">
        <v>7.2</v>
      </c>
      <c r="AO273">
        <v>272</v>
      </c>
      <c r="AP273" t="str">
        <f t="shared" si="53"/>
        <v/>
      </c>
      <c r="AQ273" t="str">
        <f t="shared" si="56"/>
        <v/>
      </c>
      <c r="AR273" s="430">
        <f>IFERROR(
IF(AP273="",-100,
IF($BV$2&gt;0, INDEX(Beersheet!$A:$U,MATCH(AP273,INDEX(Beersheet!$A:$U,0,FFARawStatProjections!$BV$2),0),$BV$3)+$BN273,
INDEX($A273:$BM273,,$BV$12)*$BW$12+
INDEX($A273:$BM273,,$BV$15)*$BW$15+
INDEX($A273:$BM273,,$BV$16)*$BW$16+
INDEX($A273:$BM273,,$BV$17)*$BW$17+
INDEX($A273:$BM273,,$BV$18)*$BW$18+
INDEX($A273:$BM273,,$BV$19)*$BW$19+
INDEX($A273:$BM273,,$BV$20)*$BW$20+
INDEX($A273:$BM273,,$BV$21)*$BW$21+
INDEX($A273:$BM273,,$BV$22)*$BW$22+
INDEX($A273:$BM273,,$BV$23)*$BW$23+
INDEX($A273:$BM273,,$BV$25)*$BW$25+
INDEX($A273:$BM273,,$BV$26)*$BW$26+
INDEX($A273:$BM273,,$BV$27)*$BW$27+
$BN273)),
$BN273-100)</f>
        <v>-100</v>
      </c>
      <c r="AT273" t="str">
        <f t="shared" si="57"/>
        <v>Qadree Ollison</v>
      </c>
      <c r="AU273" t="str">
        <f t="shared" si="58"/>
        <v>JAC</v>
      </c>
      <c r="AV273" s="430">
        <f>IFERROR(
IF(AT273="",-100,
IF($BV$2&gt;0, INDEX(Beersheet!$A:$U,MATCH(AT273,INDEX(Beersheet!$A:$U,0,FFARawStatProjections!$BV$2),0),$BV$3)+$BN273,
INDEX($A273:$BM273,,$BV$12)*$BW$12+
INDEX($A273:$BM273,,$BV$15)*$BW$15+
INDEX($A273:$BM273,,$BV$16)*$BW$16+
INDEX($A273:$BM273,,$BV$17)*$BW$17+
INDEX($A273:$BM273,,$BV$18)*$BW$18+
INDEX($A273:$BM273,,$BV$19)*$BW$19+
INDEX($A273:$BM273,,$BV$20)*$BW$20+
INDEX($A273:$BM273,,$BV$21)*$BW$21+
INDEX($A273:$BM273,,$BV$22)*$BW$22+
INDEX($A273:$BM273,,$BV$23)*$BW$23+
INDEX($A273:$BM273,,$BV$25)*$BW$25+
INDEX($A273:$BM273,,$BV$26)*$BW$26+
INDEX($A273:$BM273,,$BV$27)*$BW$27+
$BN273)),
$BN273-100)</f>
        <v>11.99272</v>
      </c>
      <c r="AX273" t="str">
        <f t="shared" si="59"/>
        <v/>
      </c>
      <c r="AY273" t="str">
        <f t="shared" si="60"/>
        <v/>
      </c>
      <c r="AZ273" s="430">
        <f>IFERROR(
IF(AX273="",-100,
IF($BV$2&gt;0, INDEX(Beersheet!$A:$U,MATCH(AX273,INDEX(Beersheet!$A:$U,0,FFARawStatProjections!$BV$2),0),$BV$3)+$BN273,
INDEX($A273:$BM273,,$BV$12)*$BW$12+
INDEX($A273:$BM273,,$BV$15)*$BW$15+
INDEX($A273:$BM273,,$BV$16)*$BW$16+
INDEX($A273:$BM273,,$BV$17)*$BW$17+
INDEX($A273:$BM273,,$BV$18)*$BW$18+
INDEX($A273:$BM273,,$BV$19)*$BW$19+
INDEX($A273:$BM273,,$BV$20)*$BW$20+
INDEX($A273:$BM273,,$BV$21)*$BW$21+
INDEX($A273:$BM273,,$BV$22)*$BW$22+
INDEX($A273:$BM273,,$BV$23)*$BW$23+
INDEX($A273:$BM273,,$BV$25)*$BW$25+
INDEX($A273:$BM273,,$BV$26)*$BW$26+
INDEX($A273:$BM273,,$BV$27)*$BW$27+
$BN273)),
$BN273-100)</f>
        <v>-100</v>
      </c>
      <c r="BB273" t="str">
        <f t="shared" si="61"/>
        <v/>
      </c>
      <c r="BC273" t="str">
        <f t="shared" si="55"/>
        <v/>
      </c>
      <c r="BD273" s="430">
        <f>IFERROR(
IF(BB273="",-100,
IF($BV$2&gt;0, INDEX(Beersheet!$A:$U,MATCH(BB273,INDEX(Beersheet!$A:$U,0,FFARawStatProjections!$BV$2),0),$BV$3)+$BN273,
INDEX($A273:$BM273,,$BV$12)*$BW$12+
INDEX($A273:$BM273,,$BV$15)*$BW$15+
INDEX($A273:$BM273,,$BV$16)*$BW$16+
INDEX($A273:$BM273,,$BV$17)*$BW$17+
INDEX($A273:$BM273,,$BV$18)*$BW$18+
INDEX($A273:$BM273,,$BV$19)*$BW$19+
INDEX($A273:$BM273,,$BV$20)*$BW$20+
INDEX($A273:$BM273,,$BV$21)*$BW$21+
INDEX($A273:$BM273,,$BV$22)*$BW$22+
INDEX($A273:$BM273,,$BV$23)*$BW$23+
INDEX($A273:$BM273,,$BV$25)*$BW$25+
INDEX($A273:$BM273,,$BV$26)*$BW$26+
INDEX($A273:$BM273,,$BV$27)*$BW$27+
$BN273)),
$BN273-100)</f>
        <v>-100</v>
      </c>
      <c r="BF273" t="str">
        <f t="shared" si="62"/>
        <v/>
      </c>
      <c r="BG273" t="str">
        <f t="shared" si="63"/>
        <v/>
      </c>
      <c r="BH273">
        <f t="shared" si="64"/>
        <v>0</v>
      </c>
      <c r="BJ273" t="str">
        <f t="shared" si="65"/>
        <v/>
      </c>
      <c r="BL273">
        <f t="shared" si="54"/>
        <v>0</v>
      </c>
      <c r="BN273">
        <v>2.7200000000000002E-3</v>
      </c>
      <c r="BS273" s="4" t="s">
        <v>1829</v>
      </c>
    </row>
    <row r="274" spans="1:71" ht="15.75" thickBot="1" x14ac:dyDescent="0.3">
      <c r="A274" s="569" t="s">
        <v>2312</v>
      </c>
      <c r="B274" s="569" t="s">
        <v>159</v>
      </c>
      <c r="C274" s="569" t="s">
        <v>3</v>
      </c>
      <c r="D274" s="574">
        <v>7</v>
      </c>
      <c r="E274" s="569"/>
      <c r="F274" s="569"/>
      <c r="G274" s="569"/>
      <c r="H274" s="569"/>
      <c r="I274" s="574">
        <v>0</v>
      </c>
      <c r="J274" s="574">
        <v>0</v>
      </c>
      <c r="K274" s="574">
        <v>0</v>
      </c>
      <c r="L274" s="574">
        <v>4.0999999999999996</v>
      </c>
      <c r="M274" s="574">
        <v>0.2</v>
      </c>
      <c r="N274" s="574">
        <v>30</v>
      </c>
      <c r="O274" s="574">
        <v>4.7</v>
      </c>
      <c r="P274" s="574">
        <v>0.2</v>
      </c>
      <c r="Q274" s="574">
        <v>19.600000000000001</v>
      </c>
      <c r="R274" s="569"/>
      <c r="S274" s="569"/>
      <c r="T274" s="569"/>
      <c r="U274" s="569"/>
      <c r="V274" s="569"/>
      <c r="W274" s="569"/>
      <c r="X274" s="569"/>
      <c r="Y274" s="569"/>
      <c r="Z274" s="569"/>
      <c r="AA274" s="569"/>
      <c r="AB274" s="569"/>
      <c r="AC274" s="569"/>
      <c r="AD274" s="569"/>
      <c r="AE274" s="569"/>
      <c r="AF274" s="569"/>
      <c r="AG274" s="569"/>
      <c r="AH274" s="569"/>
      <c r="AI274" s="569"/>
      <c r="AJ274" s="569"/>
      <c r="AK274" s="569"/>
      <c r="AL274" s="569"/>
      <c r="AM274" s="569"/>
      <c r="AN274" s="574">
        <v>7</v>
      </c>
      <c r="AO274">
        <v>273</v>
      </c>
      <c r="AP274" t="str">
        <f t="shared" si="53"/>
        <v/>
      </c>
      <c r="AQ274" t="str">
        <f t="shared" si="56"/>
        <v/>
      </c>
      <c r="AR274" s="430">
        <f>IFERROR(
IF(AP274="",-100,
IF($BV$2&gt;0, INDEX(Beersheet!$A:$U,MATCH(AP274,INDEX(Beersheet!$A:$U,0,FFARawStatProjections!$BV$2),0),$BV$3)+$BN274,
INDEX($A274:$BM274,,$BV$12)*$BW$12+
INDEX($A274:$BM274,,$BV$15)*$BW$15+
INDEX($A274:$BM274,,$BV$16)*$BW$16+
INDEX($A274:$BM274,,$BV$17)*$BW$17+
INDEX($A274:$BM274,,$BV$18)*$BW$18+
INDEX($A274:$BM274,,$BV$19)*$BW$19+
INDEX($A274:$BM274,,$BV$20)*$BW$20+
INDEX($A274:$BM274,,$BV$21)*$BW$21+
INDEX($A274:$BM274,,$BV$22)*$BW$22+
INDEX($A274:$BM274,,$BV$23)*$BW$23+
INDEX($A274:$BM274,,$BV$25)*$BW$25+
INDEX($A274:$BM274,,$BV$26)*$BW$26+
INDEX($A274:$BM274,,$BV$27)*$BW$27+
$BN274)),
$BN274-100)</f>
        <v>-100</v>
      </c>
      <c r="AT274" t="str">
        <f t="shared" si="57"/>
        <v>Giovanni Ricci</v>
      </c>
      <c r="AU274" t="str">
        <f t="shared" si="58"/>
        <v>CAR</v>
      </c>
      <c r="AV274" s="430">
        <f>IFERROR(
IF(AT274="",-100,
IF($BV$2&gt;0, INDEX(Beersheet!$A:$U,MATCH(AT274,INDEX(Beersheet!$A:$U,0,FFARawStatProjections!$BV$2),0),$BV$3)+$BN274,
INDEX($A274:$BM274,,$BV$12)*$BW$12+
INDEX($A274:$BM274,,$BV$15)*$BW$15+
INDEX($A274:$BM274,,$BV$16)*$BW$16+
INDEX($A274:$BM274,,$BV$17)*$BW$17+
INDEX($A274:$BM274,,$BV$18)*$BW$18+
INDEX($A274:$BM274,,$BV$19)*$BW$19+
INDEX($A274:$BM274,,$BV$20)*$BW$20+
INDEX($A274:$BM274,,$BV$21)*$BW$21+
INDEX($A274:$BM274,,$BV$22)*$BW$22+
INDEX($A274:$BM274,,$BV$23)*$BW$23+
INDEX($A274:$BM274,,$BV$25)*$BW$25+
INDEX($A274:$BM274,,$BV$26)*$BW$26+
INDEX($A274:$BM274,,$BV$27)*$BW$27+
$BN274)),
$BN274-100)</f>
        <v>11.462730000000001</v>
      </c>
      <c r="AX274" t="str">
        <f t="shared" si="59"/>
        <v/>
      </c>
      <c r="AY274" t="str">
        <f t="shared" si="60"/>
        <v/>
      </c>
      <c r="AZ274" s="430">
        <f>IFERROR(
IF(AX274="",-100,
IF($BV$2&gt;0, INDEX(Beersheet!$A:$U,MATCH(AX274,INDEX(Beersheet!$A:$U,0,FFARawStatProjections!$BV$2),0),$BV$3)+$BN274,
INDEX($A274:$BM274,,$BV$12)*$BW$12+
INDEX($A274:$BM274,,$BV$15)*$BW$15+
INDEX($A274:$BM274,,$BV$16)*$BW$16+
INDEX($A274:$BM274,,$BV$17)*$BW$17+
INDEX($A274:$BM274,,$BV$18)*$BW$18+
INDEX($A274:$BM274,,$BV$19)*$BW$19+
INDEX($A274:$BM274,,$BV$20)*$BW$20+
INDEX($A274:$BM274,,$BV$21)*$BW$21+
INDEX($A274:$BM274,,$BV$22)*$BW$22+
INDEX($A274:$BM274,,$BV$23)*$BW$23+
INDEX($A274:$BM274,,$BV$25)*$BW$25+
INDEX($A274:$BM274,,$BV$26)*$BW$26+
INDEX($A274:$BM274,,$BV$27)*$BW$27+
$BN274)),
$BN274-100)</f>
        <v>-100</v>
      </c>
      <c r="BB274" t="str">
        <f t="shared" si="61"/>
        <v/>
      </c>
      <c r="BC274" t="str">
        <f t="shared" si="55"/>
        <v/>
      </c>
      <c r="BD274" s="430">
        <f>IFERROR(
IF(BB274="",-100,
IF($BV$2&gt;0, INDEX(Beersheet!$A:$U,MATCH(BB274,INDEX(Beersheet!$A:$U,0,FFARawStatProjections!$BV$2),0),$BV$3)+$BN274,
INDEX($A274:$BM274,,$BV$12)*$BW$12+
INDEX($A274:$BM274,,$BV$15)*$BW$15+
INDEX($A274:$BM274,,$BV$16)*$BW$16+
INDEX($A274:$BM274,,$BV$17)*$BW$17+
INDEX($A274:$BM274,,$BV$18)*$BW$18+
INDEX($A274:$BM274,,$BV$19)*$BW$19+
INDEX($A274:$BM274,,$BV$20)*$BW$20+
INDEX($A274:$BM274,,$BV$21)*$BW$21+
INDEX($A274:$BM274,,$BV$22)*$BW$22+
INDEX($A274:$BM274,,$BV$23)*$BW$23+
INDEX($A274:$BM274,,$BV$25)*$BW$25+
INDEX($A274:$BM274,,$BV$26)*$BW$26+
INDEX($A274:$BM274,,$BV$27)*$BW$27+
$BN274)),
$BN274-100)</f>
        <v>-100</v>
      </c>
      <c r="BF274" t="str">
        <f t="shared" si="62"/>
        <v/>
      </c>
      <c r="BG274" t="str">
        <f t="shared" si="63"/>
        <v/>
      </c>
      <c r="BH274">
        <f t="shared" si="64"/>
        <v>0</v>
      </c>
      <c r="BJ274" t="str">
        <f t="shared" si="65"/>
        <v/>
      </c>
      <c r="BL274">
        <f t="shared" si="54"/>
        <v>0</v>
      </c>
      <c r="BN274">
        <v>2.7299999999999998E-3</v>
      </c>
      <c r="BS274" s="4" t="s">
        <v>2125</v>
      </c>
    </row>
    <row r="275" spans="1:71" ht="15.75" thickBot="1" x14ac:dyDescent="0.3">
      <c r="A275" s="569" t="s">
        <v>2429</v>
      </c>
      <c r="B275" s="569" t="s">
        <v>149</v>
      </c>
      <c r="C275" s="569" t="s">
        <v>3</v>
      </c>
      <c r="D275" s="574">
        <v>5</v>
      </c>
      <c r="E275" s="569"/>
      <c r="F275" s="569"/>
      <c r="G275" s="569"/>
      <c r="H275" s="569"/>
      <c r="I275" s="574">
        <v>0</v>
      </c>
      <c r="J275" s="574">
        <v>0</v>
      </c>
      <c r="K275" s="574">
        <v>0</v>
      </c>
      <c r="L275" s="574">
        <v>4.4000000000000004</v>
      </c>
      <c r="M275" s="574">
        <v>0.2</v>
      </c>
      <c r="N275" s="574">
        <v>31.7</v>
      </c>
      <c r="O275" s="574">
        <v>4.3</v>
      </c>
      <c r="P275" s="574">
        <v>0.2</v>
      </c>
      <c r="Q275" s="574">
        <v>18</v>
      </c>
      <c r="R275" s="569"/>
      <c r="S275" s="569"/>
      <c r="T275" s="569"/>
      <c r="U275" s="569"/>
      <c r="V275" s="569"/>
      <c r="W275" s="569"/>
      <c r="X275" s="569"/>
      <c r="Y275" s="569"/>
      <c r="Z275" s="569"/>
      <c r="AA275" s="569"/>
      <c r="AB275" s="569"/>
      <c r="AC275" s="569"/>
      <c r="AD275" s="569"/>
      <c r="AE275" s="569"/>
      <c r="AF275" s="569"/>
      <c r="AG275" s="569"/>
      <c r="AH275" s="569"/>
      <c r="AI275" s="569"/>
      <c r="AJ275" s="569"/>
      <c r="AK275" s="569"/>
      <c r="AL275" s="569"/>
      <c r="AM275" s="569"/>
      <c r="AN275" s="574">
        <v>6.9</v>
      </c>
      <c r="AO275">
        <v>274</v>
      </c>
      <c r="AP275" t="str">
        <f t="shared" si="53"/>
        <v/>
      </c>
      <c r="AQ275" t="str">
        <f t="shared" si="56"/>
        <v/>
      </c>
      <c r="AR275" s="430">
        <f>IFERROR(
IF(AP275="",-100,
IF($BV$2&gt;0, INDEX(Beersheet!$A:$U,MATCH(AP275,INDEX(Beersheet!$A:$U,0,FFARawStatProjections!$BV$2),0),$BV$3)+$BN275,
INDEX($A275:$BM275,,$BV$12)*$BW$12+
INDEX($A275:$BM275,,$BV$15)*$BW$15+
INDEX($A275:$BM275,,$BV$16)*$BW$16+
INDEX($A275:$BM275,,$BV$17)*$BW$17+
INDEX($A275:$BM275,,$BV$18)*$BW$18+
INDEX($A275:$BM275,,$BV$19)*$BW$19+
INDEX($A275:$BM275,,$BV$20)*$BW$20+
INDEX($A275:$BM275,,$BV$21)*$BW$21+
INDEX($A275:$BM275,,$BV$22)*$BW$22+
INDEX($A275:$BM275,,$BV$23)*$BW$23+
INDEX($A275:$BM275,,$BV$25)*$BW$25+
INDEX($A275:$BM275,,$BV$26)*$BW$26+
INDEX($A275:$BM275,,$BV$27)*$BW$27+
$BN275)),
$BN275-100)</f>
        <v>-100</v>
      </c>
      <c r="AT275" t="str">
        <f t="shared" si="57"/>
        <v>Patrick Laird</v>
      </c>
      <c r="AU275" t="str">
        <f t="shared" si="58"/>
        <v>TB</v>
      </c>
      <c r="AV275" s="430">
        <f>IFERROR(
IF(AT275="",-100,
IF($BV$2&gt;0, INDEX(Beersheet!$A:$U,MATCH(AT275,INDEX(Beersheet!$A:$U,0,FFARawStatProjections!$BV$2),0),$BV$3)+$BN275,
INDEX($A275:$BM275,,$BV$12)*$BW$12+
INDEX($A275:$BM275,,$BV$15)*$BW$15+
INDEX($A275:$BM275,,$BV$16)*$BW$16+
INDEX($A275:$BM275,,$BV$17)*$BW$17+
INDEX($A275:$BM275,,$BV$18)*$BW$18+
INDEX($A275:$BM275,,$BV$19)*$BW$19+
INDEX($A275:$BM275,,$BV$20)*$BW$20+
INDEX($A275:$BM275,,$BV$21)*$BW$21+
INDEX($A275:$BM275,,$BV$22)*$BW$22+
INDEX($A275:$BM275,,$BV$23)*$BW$23+
INDEX($A275:$BM275,,$BV$25)*$BW$25+
INDEX($A275:$BM275,,$BV$26)*$BW$26+
INDEX($A275:$BM275,,$BV$27)*$BW$27+
$BN275)),
$BN275-100)</f>
        <v>11.772739999999999</v>
      </c>
      <c r="AX275" t="str">
        <f t="shared" si="59"/>
        <v/>
      </c>
      <c r="AY275" t="str">
        <f t="shared" si="60"/>
        <v/>
      </c>
      <c r="AZ275" s="430">
        <f>IFERROR(
IF(AX275="",-100,
IF($BV$2&gt;0, INDEX(Beersheet!$A:$U,MATCH(AX275,INDEX(Beersheet!$A:$U,0,FFARawStatProjections!$BV$2),0),$BV$3)+$BN275,
INDEX($A275:$BM275,,$BV$12)*$BW$12+
INDEX($A275:$BM275,,$BV$15)*$BW$15+
INDEX($A275:$BM275,,$BV$16)*$BW$16+
INDEX($A275:$BM275,,$BV$17)*$BW$17+
INDEX($A275:$BM275,,$BV$18)*$BW$18+
INDEX($A275:$BM275,,$BV$19)*$BW$19+
INDEX($A275:$BM275,,$BV$20)*$BW$20+
INDEX($A275:$BM275,,$BV$21)*$BW$21+
INDEX($A275:$BM275,,$BV$22)*$BW$22+
INDEX($A275:$BM275,,$BV$23)*$BW$23+
INDEX($A275:$BM275,,$BV$25)*$BW$25+
INDEX($A275:$BM275,,$BV$26)*$BW$26+
INDEX($A275:$BM275,,$BV$27)*$BW$27+
$BN275)),
$BN275-100)</f>
        <v>-100</v>
      </c>
      <c r="BB275" t="str">
        <f t="shared" si="61"/>
        <v/>
      </c>
      <c r="BC275" t="str">
        <f t="shared" si="55"/>
        <v/>
      </c>
      <c r="BD275" s="430">
        <f>IFERROR(
IF(BB275="",-100,
IF($BV$2&gt;0, INDEX(Beersheet!$A:$U,MATCH(BB275,INDEX(Beersheet!$A:$U,0,FFARawStatProjections!$BV$2),0),$BV$3)+$BN275,
INDEX($A275:$BM275,,$BV$12)*$BW$12+
INDEX($A275:$BM275,,$BV$15)*$BW$15+
INDEX($A275:$BM275,,$BV$16)*$BW$16+
INDEX($A275:$BM275,,$BV$17)*$BW$17+
INDEX($A275:$BM275,,$BV$18)*$BW$18+
INDEX($A275:$BM275,,$BV$19)*$BW$19+
INDEX($A275:$BM275,,$BV$20)*$BW$20+
INDEX($A275:$BM275,,$BV$21)*$BW$21+
INDEX($A275:$BM275,,$BV$22)*$BW$22+
INDEX($A275:$BM275,,$BV$23)*$BW$23+
INDEX($A275:$BM275,,$BV$25)*$BW$25+
INDEX($A275:$BM275,,$BV$26)*$BW$26+
INDEX($A275:$BM275,,$BV$27)*$BW$27+
$BN275)),
$BN275-100)</f>
        <v>-100</v>
      </c>
      <c r="BF275" t="str">
        <f t="shared" si="62"/>
        <v/>
      </c>
      <c r="BG275" t="str">
        <f t="shared" si="63"/>
        <v/>
      </c>
      <c r="BH275">
        <f t="shared" si="64"/>
        <v>0</v>
      </c>
      <c r="BJ275" t="str">
        <f t="shared" si="65"/>
        <v/>
      </c>
      <c r="BL275">
        <f t="shared" si="54"/>
        <v>0</v>
      </c>
      <c r="BN275">
        <v>2.7399999999999998E-3</v>
      </c>
      <c r="BS275" s="4" t="s">
        <v>1754</v>
      </c>
    </row>
    <row r="276" spans="1:71" ht="15.75" thickBot="1" x14ac:dyDescent="0.3">
      <c r="A276" s="569" t="s">
        <v>2315</v>
      </c>
      <c r="B276" s="569" t="s">
        <v>159</v>
      </c>
      <c r="C276" s="569" t="s">
        <v>3</v>
      </c>
      <c r="D276" s="574">
        <v>7</v>
      </c>
      <c r="E276" s="569"/>
      <c r="F276" s="569"/>
      <c r="G276" s="569"/>
      <c r="H276" s="569"/>
      <c r="I276" s="574">
        <v>0</v>
      </c>
      <c r="J276" s="574">
        <v>0</v>
      </c>
      <c r="K276" s="574">
        <v>0</v>
      </c>
      <c r="L276" s="574">
        <v>4.0999999999999996</v>
      </c>
      <c r="M276" s="574">
        <v>0.2</v>
      </c>
      <c r="N276" s="574">
        <v>28.6</v>
      </c>
      <c r="O276" s="574">
        <v>4.7</v>
      </c>
      <c r="P276" s="574">
        <v>0.2</v>
      </c>
      <c r="Q276" s="574">
        <v>19.7</v>
      </c>
      <c r="R276" s="569"/>
      <c r="S276" s="569"/>
      <c r="T276" s="569"/>
      <c r="U276" s="569"/>
      <c r="V276" s="569"/>
      <c r="W276" s="569"/>
      <c r="X276" s="569"/>
      <c r="Y276" s="569"/>
      <c r="Z276" s="569"/>
      <c r="AA276" s="569"/>
      <c r="AB276" s="569"/>
      <c r="AC276" s="569"/>
      <c r="AD276" s="569"/>
      <c r="AE276" s="569"/>
      <c r="AF276" s="569"/>
      <c r="AG276" s="569"/>
      <c r="AH276" s="569"/>
      <c r="AI276" s="569"/>
      <c r="AJ276" s="569"/>
      <c r="AK276" s="569"/>
      <c r="AL276" s="569"/>
      <c r="AM276" s="569"/>
      <c r="AN276" s="574">
        <v>6.9</v>
      </c>
      <c r="AO276">
        <v>275</v>
      </c>
      <c r="AP276" t="str">
        <f t="shared" ref="AP276:AP339" si="66">IF($C276="QB",A276,"")</f>
        <v/>
      </c>
      <c r="AQ276" t="str">
        <f t="shared" si="56"/>
        <v/>
      </c>
      <c r="AR276" s="430">
        <f>IFERROR(
IF(AP276="",-100,
IF($BV$2&gt;0, INDEX(Beersheet!$A:$U,MATCH(AP276,INDEX(Beersheet!$A:$U,0,FFARawStatProjections!$BV$2),0),$BV$3)+$BN276,
INDEX($A276:$BM276,,$BV$12)*$BW$12+
INDEX($A276:$BM276,,$BV$15)*$BW$15+
INDEX($A276:$BM276,,$BV$16)*$BW$16+
INDEX($A276:$BM276,,$BV$17)*$BW$17+
INDEX($A276:$BM276,,$BV$18)*$BW$18+
INDEX($A276:$BM276,,$BV$19)*$BW$19+
INDEX($A276:$BM276,,$BV$20)*$BW$20+
INDEX($A276:$BM276,,$BV$21)*$BW$21+
INDEX($A276:$BM276,,$BV$22)*$BW$22+
INDEX($A276:$BM276,,$BV$23)*$BW$23+
INDEX($A276:$BM276,,$BV$25)*$BW$25+
INDEX($A276:$BM276,,$BV$26)*$BW$26+
INDEX($A276:$BM276,,$BV$27)*$BW$27+
$BN276)),
$BN276-100)</f>
        <v>-100</v>
      </c>
      <c r="AT276" t="str">
        <f t="shared" si="57"/>
        <v>Spencer Brown</v>
      </c>
      <c r="AU276" t="str">
        <f t="shared" si="58"/>
        <v>CAR</v>
      </c>
      <c r="AV276" s="430">
        <f>IFERROR(
IF(AT276="",-100,
IF($BV$2&gt;0, INDEX(Beersheet!$A:$U,MATCH(AT276,INDEX(Beersheet!$A:$U,0,FFARawStatProjections!$BV$2),0),$BV$3)+$BN276,
INDEX($A276:$BM276,,$BV$12)*$BW$12+
INDEX($A276:$BM276,,$BV$15)*$BW$15+
INDEX($A276:$BM276,,$BV$16)*$BW$16+
INDEX($A276:$BM276,,$BV$17)*$BW$17+
INDEX($A276:$BM276,,$BV$18)*$BW$18+
INDEX($A276:$BM276,,$BV$19)*$BW$19+
INDEX($A276:$BM276,,$BV$20)*$BW$20+
INDEX($A276:$BM276,,$BV$21)*$BW$21+
INDEX($A276:$BM276,,$BV$22)*$BW$22+
INDEX($A276:$BM276,,$BV$23)*$BW$23+
INDEX($A276:$BM276,,$BV$25)*$BW$25+
INDEX($A276:$BM276,,$BV$26)*$BW$26+
INDEX($A276:$BM276,,$BV$27)*$BW$27+
$BN276)),
$BN276-100)</f>
        <v>11.332750000000001</v>
      </c>
      <c r="AX276" t="str">
        <f t="shared" si="59"/>
        <v/>
      </c>
      <c r="AY276" t="str">
        <f t="shared" si="60"/>
        <v/>
      </c>
      <c r="AZ276" s="430">
        <f>IFERROR(
IF(AX276="",-100,
IF($BV$2&gt;0, INDEX(Beersheet!$A:$U,MATCH(AX276,INDEX(Beersheet!$A:$U,0,FFARawStatProjections!$BV$2),0),$BV$3)+$BN276,
INDEX($A276:$BM276,,$BV$12)*$BW$12+
INDEX($A276:$BM276,,$BV$15)*$BW$15+
INDEX($A276:$BM276,,$BV$16)*$BW$16+
INDEX($A276:$BM276,,$BV$17)*$BW$17+
INDEX($A276:$BM276,,$BV$18)*$BW$18+
INDEX($A276:$BM276,,$BV$19)*$BW$19+
INDEX($A276:$BM276,,$BV$20)*$BW$20+
INDEX($A276:$BM276,,$BV$21)*$BW$21+
INDEX($A276:$BM276,,$BV$22)*$BW$22+
INDEX($A276:$BM276,,$BV$23)*$BW$23+
INDEX($A276:$BM276,,$BV$25)*$BW$25+
INDEX($A276:$BM276,,$BV$26)*$BW$26+
INDEX($A276:$BM276,,$BV$27)*$BW$27+
$BN276)),
$BN276-100)</f>
        <v>-100</v>
      </c>
      <c r="BB276" t="str">
        <f t="shared" si="61"/>
        <v/>
      </c>
      <c r="BC276" t="str">
        <f t="shared" si="55"/>
        <v/>
      </c>
      <c r="BD276" s="430">
        <f>IFERROR(
IF(BB276="",-100,
IF($BV$2&gt;0, INDEX(Beersheet!$A:$U,MATCH(BB276,INDEX(Beersheet!$A:$U,0,FFARawStatProjections!$BV$2),0),$BV$3)+$BN276,
INDEX($A276:$BM276,,$BV$12)*$BW$12+
INDEX($A276:$BM276,,$BV$15)*$BW$15+
INDEX($A276:$BM276,,$BV$16)*$BW$16+
INDEX($A276:$BM276,,$BV$17)*$BW$17+
INDEX($A276:$BM276,,$BV$18)*$BW$18+
INDEX($A276:$BM276,,$BV$19)*$BW$19+
INDEX($A276:$BM276,,$BV$20)*$BW$20+
INDEX($A276:$BM276,,$BV$21)*$BW$21+
INDEX($A276:$BM276,,$BV$22)*$BW$22+
INDEX($A276:$BM276,,$BV$23)*$BW$23+
INDEX($A276:$BM276,,$BV$25)*$BW$25+
INDEX($A276:$BM276,,$BV$26)*$BW$26+
INDEX($A276:$BM276,,$BV$27)*$BW$27+
$BN276)),
$BN276-100)</f>
        <v>-100</v>
      </c>
      <c r="BF276" t="str">
        <f t="shared" si="62"/>
        <v/>
      </c>
      <c r="BG276" t="str">
        <f t="shared" si="63"/>
        <v/>
      </c>
      <c r="BH276">
        <f t="shared" si="64"/>
        <v>0</v>
      </c>
      <c r="BJ276" t="str">
        <f t="shared" si="65"/>
        <v/>
      </c>
      <c r="BL276">
        <f t="shared" si="54"/>
        <v>0</v>
      </c>
      <c r="BN276">
        <v>2.7499999999999998E-3</v>
      </c>
      <c r="BS276" s="4" t="s">
        <v>2298</v>
      </c>
    </row>
    <row r="277" spans="1:71" ht="15.75" thickBot="1" x14ac:dyDescent="0.3">
      <c r="A277" s="569" t="s">
        <v>2193</v>
      </c>
      <c r="B277" s="569" t="s">
        <v>142</v>
      </c>
      <c r="C277" s="569" t="s">
        <v>3</v>
      </c>
      <c r="D277" s="574">
        <v>9</v>
      </c>
      <c r="E277" s="569"/>
      <c r="F277" s="569"/>
      <c r="G277" s="569"/>
      <c r="H277" s="569"/>
      <c r="I277" s="574">
        <v>0</v>
      </c>
      <c r="J277" s="574">
        <v>0</v>
      </c>
      <c r="K277" s="574">
        <v>0</v>
      </c>
      <c r="L277" s="574">
        <v>4.4000000000000004</v>
      </c>
      <c r="M277" s="574">
        <v>0.3</v>
      </c>
      <c r="N277" s="574">
        <v>33.200000000000003</v>
      </c>
      <c r="O277" s="574">
        <v>4.5999999999999996</v>
      </c>
      <c r="P277" s="574">
        <v>0.1</v>
      </c>
      <c r="Q277" s="574">
        <v>12.5</v>
      </c>
      <c r="R277" s="569"/>
      <c r="S277" s="569"/>
      <c r="T277" s="569"/>
      <c r="U277" s="569"/>
      <c r="V277" s="569"/>
      <c r="W277" s="569"/>
      <c r="X277" s="569"/>
      <c r="Y277" s="569"/>
      <c r="Z277" s="569"/>
      <c r="AA277" s="569"/>
      <c r="AB277" s="569"/>
      <c r="AC277" s="569"/>
      <c r="AD277" s="569"/>
      <c r="AE277" s="569"/>
      <c r="AF277" s="569"/>
      <c r="AG277" s="569"/>
      <c r="AH277" s="569"/>
      <c r="AI277" s="569"/>
      <c r="AJ277" s="569"/>
      <c r="AK277" s="569"/>
      <c r="AL277" s="569"/>
      <c r="AM277" s="569"/>
      <c r="AN277" s="574">
        <v>6.9</v>
      </c>
      <c r="AO277">
        <v>276</v>
      </c>
      <c r="AP277" t="str">
        <f t="shared" si="66"/>
        <v/>
      </c>
      <c r="AQ277" t="str">
        <f t="shared" si="56"/>
        <v/>
      </c>
      <c r="AR277" s="430">
        <f>IFERROR(
IF(AP277="",-100,
IF($BV$2&gt;0, INDEX(Beersheet!$A:$U,MATCH(AP277,INDEX(Beersheet!$A:$U,0,FFARawStatProjections!$BV$2),0),$BV$3)+$BN277,
INDEX($A277:$BM277,,$BV$12)*$BW$12+
INDEX($A277:$BM277,,$BV$15)*$BW$15+
INDEX($A277:$BM277,,$BV$16)*$BW$16+
INDEX($A277:$BM277,,$BV$17)*$BW$17+
INDEX($A277:$BM277,,$BV$18)*$BW$18+
INDEX($A277:$BM277,,$BV$19)*$BW$19+
INDEX($A277:$BM277,,$BV$20)*$BW$20+
INDEX($A277:$BM277,,$BV$21)*$BW$21+
INDEX($A277:$BM277,,$BV$22)*$BW$22+
INDEX($A277:$BM277,,$BV$23)*$BW$23+
INDEX($A277:$BM277,,$BV$25)*$BW$25+
INDEX($A277:$BM277,,$BV$26)*$BW$26+
INDEX($A277:$BM277,,$BV$27)*$BW$27+
$BN277)),
$BN277-100)</f>
        <v>-100</v>
      </c>
      <c r="AT277" t="str">
        <f t="shared" si="57"/>
        <v>Jason Cabinda</v>
      </c>
      <c r="AU277" t="str">
        <f t="shared" si="58"/>
        <v>DET</v>
      </c>
      <c r="AV277" s="430">
        <f>IFERROR(
IF(AT277="",-100,
IF($BV$2&gt;0, INDEX(Beersheet!$A:$U,MATCH(AT277,INDEX(Beersheet!$A:$U,0,FFARawStatProjections!$BV$2),0),$BV$3)+$BN277,
INDEX($A277:$BM277,,$BV$12)*$BW$12+
INDEX($A277:$BM277,,$BV$15)*$BW$15+
INDEX($A277:$BM277,,$BV$16)*$BW$16+
INDEX($A277:$BM277,,$BV$17)*$BW$17+
INDEX($A277:$BM277,,$BV$18)*$BW$18+
INDEX($A277:$BM277,,$BV$19)*$BW$19+
INDEX($A277:$BM277,,$BV$20)*$BW$20+
INDEX($A277:$BM277,,$BV$21)*$BW$21+
INDEX($A277:$BM277,,$BV$22)*$BW$22+
INDEX($A277:$BM277,,$BV$23)*$BW$23+
INDEX($A277:$BM277,,$BV$25)*$BW$25+
INDEX($A277:$BM277,,$BV$26)*$BW$26+
INDEX($A277:$BM277,,$BV$27)*$BW$27+
$BN277)),
$BN277-100)</f>
        <v>11.37276</v>
      </c>
      <c r="AX277" t="str">
        <f t="shared" si="59"/>
        <v/>
      </c>
      <c r="AY277" t="str">
        <f t="shared" si="60"/>
        <v/>
      </c>
      <c r="AZ277" s="430">
        <f>IFERROR(
IF(AX277="",-100,
IF($BV$2&gt;0, INDEX(Beersheet!$A:$U,MATCH(AX277,INDEX(Beersheet!$A:$U,0,FFARawStatProjections!$BV$2),0),$BV$3)+$BN277,
INDEX($A277:$BM277,,$BV$12)*$BW$12+
INDEX($A277:$BM277,,$BV$15)*$BW$15+
INDEX($A277:$BM277,,$BV$16)*$BW$16+
INDEX($A277:$BM277,,$BV$17)*$BW$17+
INDEX($A277:$BM277,,$BV$18)*$BW$18+
INDEX($A277:$BM277,,$BV$19)*$BW$19+
INDEX($A277:$BM277,,$BV$20)*$BW$20+
INDEX($A277:$BM277,,$BV$21)*$BW$21+
INDEX($A277:$BM277,,$BV$22)*$BW$22+
INDEX($A277:$BM277,,$BV$23)*$BW$23+
INDEX($A277:$BM277,,$BV$25)*$BW$25+
INDEX($A277:$BM277,,$BV$26)*$BW$26+
INDEX($A277:$BM277,,$BV$27)*$BW$27+
$BN277)),
$BN277-100)</f>
        <v>-100</v>
      </c>
      <c r="BB277" t="str">
        <f t="shared" si="61"/>
        <v/>
      </c>
      <c r="BC277" t="str">
        <f t="shared" si="55"/>
        <v/>
      </c>
      <c r="BD277" s="430">
        <f>IFERROR(
IF(BB277="",-100,
IF($BV$2&gt;0, INDEX(Beersheet!$A:$U,MATCH(BB277,INDEX(Beersheet!$A:$U,0,FFARawStatProjections!$BV$2),0),$BV$3)+$BN277,
INDEX($A277:$BM277,,$BV$12)*$BW$12+
INDEX($A277:$BM277,,$BV$15)*$BW$15+
INDEX($A277:$BM277,,$BV$16)*$BW$16+
INDEX($A277:$BM277,,$BV$17)*$BW$17+
INDEX($A277:$BM277,,$BV$18)*$BW$18+
INDEX($A277:$BM277,,$BV$19)*$BW$19+
INDEX($A277:$BM277,,$BV$20)*$BW$20+
INDEX($A277:$BM277,,$BV$21)*$BW$21+
INDEX($A277:$BM277,,$BV$22)*$BW$22+
INDEX($A277:$BM277,,$BV$23)*$BW$23+
INDEX($A277:$BM277,,$BV$25)*$BW$25+
INDEX($A277:$BM277,,$BV$26)*$BW$26+
INDEX($A277:$BM277,,$BV$27)*$BW$27+
$BN277)),
$BN277-100)</f>
        <v>-100</v>
      </c>
      <c r="BF277" t="str">
        <f t="shared" si="62"/>
        <v/>
      </c>
      <c r="BG277" t="str">
        <f t="shared" si="63"/>
        <v/>
      </c>
      <c r="BH277">
        <f t="shared" si="64"/>
        <v>0</v>
      </c>
      <c r="BJ277" t="str">
        <f t="shared" si="65"/>
        <v/>
      </c>
      <c r="BL277">
        <f t="shared" si="54"/>
        <v>0</v>
      </c>
      <c r="BN277">
        <v>2.7599999999999999E-3</v>
      </c>
      <c r="BS277" s="4" t="s">
        <v>1810</v>
      </c>
    </row>
    <row r="278" spans="1:71" ht="15.75" thickBot="1" x14ac:dyDescent="0.3">
      <c r="A278" s="569" t="s">
        <v>2280</v>
      </c>
      <c r="B278" s="569" t="s">
        <v>152</v>
      </c>
      <c r="C278" s="569" t="s">
        <v>3</v>
      </c>
      <c r="D278" s="574">
        <v>14</v>
      </c>
      <c r="E278" s="569"/>
      <c r="F278" s="569"/>
      <c r="G278" s="569"/>
      <c r="H278" s="569"/>
      <c r="I278" s="574">
        <v>0</v>
      </c>
      <c r="J278" s="574">
        <v>0</v>
      </c>
      <c r="K278" s="574">
        <v>0</v>
      </c>
      <c r="L278" s="574">
        <v>2.4</v>
      </c>
      <c r="M278" s="574">
        <v>0.1</v>
      </c>
      <c r="N278" s="574">
        <v>16.2</v>
      </c>
      <c r="O278" s="574">
        <v>10.1</v>
      </c>
      <c r="P278" s="574">
        <v>0.2</v>
      </c>
      <c r="Q278" s="574">
        <v>33.6</v>
      </c>
      <c r="R278" s="569"/>
      <c r="S278" s="569"/>
      <c r="T278" s="569"/>
      <c r="U278" s="569"/>
      <c r="V278" s="569"/>
      <c r="W278" s="569"/>
      <c r="X278" s="569"/>
      <c r="Y278" s="569"/>
      <c r="Z278" s="569"/>
      <c r="AA278" s="569"/>
      <c r="AB278" s="569"/>
      <c r="AC278" s="569"/>
      <c r="AD278" s="569"/>
      <c r="AE278" s="569"/>
      <c r="AF278" s="569"/>
      <c r="AG278" s="569"/>
      <c r="AH278" s="569"/>
      <c r="AI278" s="569"/>
      <c r="AJ278" s="569"/>
      <c r="AK278" s="569"/>
      <c r="AL278" s="569"/>
      <c r="AM278" s="569"/>
      <c r="AN278" s="574">
        <v>6.8</v>
      </c>
      <c r="AO278">
        <v>277</v>
      </c>
      <c r="AP278" t="str">
        <f t="shared" si="66"/>
        <v/>
      </c>
      <c r="AQ278" t="str">
        <f t="shared" si="56"/>
        <v/>
      </c>
      <c r="AR278" s="430">
        <f>IFERROR(
IF(AP278="",-100,
IF($BV$2&gt;0, INDEX(Beersheet!$A:$U,MATCH(AP278,INDEX(Beersheet!$A:$U,0,FFARawStatProjections!$BV$2),0),$BV$3)+$BN278,
INDEX($A278:$BM278,,$BV$12)*$BW$12+
INDEX($A278:$BM278,,$BV$15)*$BW$15+
INDEX($A278:$BM278,,$BV$16)*$BW$16+
INDEX($A278:$BM278,,$BV$17)*$BW$17+
INDEX($A278:$BM278,,$BV$18)*$BW$18+
INDEX($A278:$BM278,,$BV$19)*$BW$19+
INDEX($A278:$BM278,,$BV$20)*$BW$20+
INDEX($A278:$BM278,,$BV$21)*$BW$21+
INDEX($A278:$BM278,,$BV$22)*$BW$22+
INDEX($A278:$BM278,,$BV$23)*$BW$23+
INDEX($A278:$BM278,,$BV$25)*$BW$25+
INDEX($A278:$BM278,,$BV$26)*$BW$26+
INDEX($A278:$BM278,,$BV$27)*$BW$27+
$BN278)),
$BN278-100)</f>
        <v>-100</v>
      </c>
      <c r="AT278" t="str">
        <f t="shared" si="57"/>
        <v>Jaret Patterson</v>
      </c>
      <c r="AU278" t="str">
        <f t="shared" si="58"/>
        <v>WAS</v>
      </c>
      <c r="AV278" s="430">
        <f>IFERROR(
IF(AT278="",-100,
IF($BV$2&gt;0, INDEX(Beersheet!$A:$U,MATCH(AT278,INDEX(Beersheet!$A:$U,0,FFARawStatProjections!$BV$2),0),$BV$3)+$BN278,
INDEX($A278:$BM278,,$BV$12)*$BW$12+
INDEX($A278:$BM278,,$BV$15)*$BW$15+
INDEX($A278:$BM278,,$BV$16)*$BW$16+
INDEX($A278:$BM278,,$BV$17)*$BW$17+
INDEX($A278:$BM278,,$BV$18)*$BW$18+
INDEX($A278:$BM278,,$BV$19)*$BW$19+
INDEX($A278:$BM278,,$BV$20)*$BW$20+
INDEX($A278:$BM278,,$BV$21)*$BW$21+
INDEX($A278:$BM278,,$BV$22)*$BW$22+
INDEX($A278:$BM278,,$BV$23)*$BW$23+
INDEX($A278:$BM278,,$BV$25)*$BW$25+
INDEX($A278:$BM278,,$BV$26)*$BW$26+
INDEX($A278:$BM278,,$BV$27)*$BW$27+
$BN278)),
$BN278-100)</f>
        <v>9.1827699999999997</v>
      </c>
      <c r="AX278" t="str">
        <f t="shared" si="59"/>
        <v/>
      </c>
      <c r="AY278" t="str">
        <f t="shared" si="60"/>
        <v/>
      </c>
      <c r="AZ278" s="430">
        <f>IFERROR(
IF(AX278="",-100,
IF($BV$2&gt;0, INDEX(Beersheet!$A:$U,MATCH(AX278,INDEX(Beersheet!$A:$U,0,FFARawStatProjections!$BV$2),0),$BV$3)+$BN278,
INDEX($A278:$BM278,,$BV$12)*$BW$12+
INDEX($A278:$BM278,,$BV$15)*$BW$15+
INDEX($A278:$BM278,,$BV$16)*$BW$16+
INDEX($A278:$BM278,,$BV$17)*$BW$17+
INDEX($A278:$BM278,,$BV$18)*$BW$18+
INDEX($A278:$BM278,,$BV$19)*$BW$19+
INDEX($A278:$BM278,,$BV$20)*$BW$20+
INDEX($A278:$BM278,,$BV$21)*$BW$21+
INDEX($A278:$BM278,,$BV$22)*$BW$22+
INDEX($A278:$BM278,,$BV$23)*$BW$23+
INDEX($A278:$BM278,,$BV$25)*$BW$25+
INDEX($A278:$BM278,,$BV$26)*$BW$26+
INDEX($A278:$BM278,,$BV$27)*$BW$27+
$BN278)),
$BN278-100)</f>
        <v>-100</v>
      </c>
      <c r="BB278" t="str">
        <f t="shared" si="61"/>
        <v/>
      </c>
      <c r="BC278" t="str">
        <f t="shared" si="55"/>
        <v/>
      </c>
      <c r="BD278" s="430">
        <f>IFERROR(
IF(BB278="",-100,
IF($BV$2&gt;0, INDEX(Beersheet!$A:$U,MATCH(BB278,INDEX(Beersheet!$A:$U,0,FFARawStatProjections!$BV$2),0),$BV$3)+$BN278,
INDEX($A278:$BM278,,$BV$12)*$BW$12+
INDEX($A278:$BM278,,$BV$15)*$BW$15+
INDEX($A278:$BM278,,$BV$16)*$BW$16+
INDEX($A278:$BM278,,$BV$17)*$BW$17+
INDEX($A278:$BM278,,$BV$18)*$BW$18+
INDEX($A278:$BM278,,$BV$19)*$BW$19+
INDEX($A278:$BM278,,$BV$20)*$BW$20+
INDEX($A278:$BM278,,$BV$21)*$BW$21+
INDEX($A278:$BM278,,$BV$22)*$BW$22+
INDEX($A278:$BM278,,$BV$23)*$BW$23+
INDEX($A278:$BM278,,$BV$25)*$BW$25+
INDEX($A278:$BM278,,$BV$26)*$BW$26+
INDEX($A278:$BM278,,$BV$27)*$BW$27+
$BN278)),
$BN278-100)</f>
        <v>-100</v>
      </c>
      <c r="BF278" t="str">
        <f t="shared" si="62"/>
        <v/>
      </c>
      <c r="BG278" t="str">
        <f t="shared" si="63"/>
        <v/>
      </c>
      <c r="BH278">
        <f t="shared" si="64"/>
        <v>0</v>
      </c>
      <c r="BJ278" t="str">
        <f t="shared" si="65"/>
        <v/>
      </c>
      <c r="BL278">
        <f t="shared" si="54"/>
        <v>0</v>
      </c>
      <c r="BN278">
        <v>2.7699999999999999E-3</v>
      </c>
      <c r="BS278" s="4" t="s">
        <v>2485</v>
      </c>
    </row>
    <row r="279" spans="1:71" ht="15.75" thickBot="1" x14ac:dyDescent="0.3">
      <c r="A279" s="569" t="s">
        <v>2316</v>
      </c>
      <c r="B279" s="569" t="s">
        <v>139</v>
      </c>
      <c r="C279" s="569" t="s">
        <v>3</v>
      </c>
      <c r="D279" s="574">
        <v>6</v>
      </c>
      <c r="E279" s="569"/>
      <c r="F279" s="569"/>
      <c r="G279" s="569"/>
      <c r="H279" s="569"/>
      <c r="I279" s="574">
        <v>0</v>
      </c>
      <c r="J279" s="574">
        <v>0</v>
      </c>
      <c r="K279" s="574">
        <v>0</v>
      </c>
      <c r="L279" s="574">
        <v>3.8</v>
      </c>
      <c r="M279" s="574">
        <v>0.2</v>
      </c>
      <c r="N279" s="574">
        <v>28.5</v>
      </c>
      <c r="O279" s="574">
        <v>5.4</v>
      </c>
      <c r="P279" s="574">
        <v>0.1</v>
      </c>
      <c r="Q279" s="574">
        <v>22.6</v>
      </c>
      <c r="R279" s="569"/>
      <c r="S279" s="569"/>
      <c r="T279" s="569"/>
      <c r="U279" s="569"/>
      <c r="V279" s="569"/>
      <c r="W279" s="569"/>
      <c r="X279" s="569"/>
      <c r="Y279" s="569"/>
      <c r="Z279" s="569"/>
      <c r="AA279" s="569"/>
      <c r="AB279" s="569"/>
      <c r="AC279" s="569"/>
      <c r="AD279" s="569"/>
      <c r="AE279" s="569"/>
      <c r="AF279" s="569"/>
      <c r="AG279" s="569"/>
      <c r="AH279" s="569"/>
      <c r="AI279" s="569"/>
      <c r="AJ279" s="569"/>
      <c r="AK279" s="569"/>
      <c r="AL279" s="569"/>
      <c r="AM279" s="569"/>
      <c r="AN279" s="574">
        <v>6.8</v>
      </c>
      <c r="AO279">
        <v>278</v>
      </c>
      <c r="AP279" t="str">
        <f t="shared" si="66"/>
        <v/>
      </c>
      <c r="AQ279" t="str">
        <f t="shared" si="56"/>
        <v/>
      </c>
      <c r="AR279" s="430">
        <f>IFERROR(
IF(AP279="",-100,
IF($BV$2&gt;0, INDEX(Beersheet!$A:$U,MATCH(AP279,INDEX(Beersheet!$A:$U,0,FFARawStatProjections!$BV$2),0),$BV$3)+$BN279,
INDEX($A279:$BM279,,$BV$12)*$BW$12+
INDEX($A279:$BM279,,$BV$15)*$BW$15+
INDEX($A279:$BM279,,$BV$16)*$BW$16+
INDEX($A279:$BM279,,$BV$17)*$BW$17+
INDEX($A279:$BM279,,$BV$18)*$BW$18+
INDEX($A279:$BM279,,$BV$19)*$BW$19+
INDEX($A279:$BM279,,$BV$20)*$BW$20+
INDEX($A279:$BM279,,$BV$21)*$BW$21+
INDEX($A279:$BM279,,$BV$22)*$BW$22+
INDEX($A279:$BM279,,$BV$23)*$BW$23+
INDEX($A279:$BM279,,$BV$25)*$BW$25+
INDEX($A279:$BM279,,$BV$26)*$BW$26+
INDEX($A279:$BM279,,$BV$27)*$BW$27+
$BN279)),
$BN279-100)</f>
        <v>-100</v>
      </c>
      <c r="AT279" t="str">
        <f t="shared" si="57"/>
        <v>Nate McCrary</v>
      </c>
      <c r="AU279" t="str">
        <f t="shared" si="58"/>
        <v>GB</v>
      </c>
      <c r="AV279" s="430">
        <f>IFERROR(
IF(AT279="",-100,
IF($BV$2&gt;0, INDEX(Beersheet!$A:$U,MATCH(AT279,INDEX(Beersheet!$A:$U,0,FFARawStatProjections!$BV$2),0),$BV$3)+$BN279,
INDEX($A279:$BM279,,$BV$12)*$BW$12+
INDEX($A279:$BM279,,$BV$15)*$BW$15+
INDEX($A279:$BM279,,$BV$16)*$BW$16+
INDEX($A279:$BM279,,$BV$17)*$BW$17+
INDEX($A279:$BM279,,$BV$18)*$BW$18+
INDEX($A279:$BM279,,$BV$19)*$BW$19+
INDEX($A279:$BM279,,$BV$20)*$BW$20+
INDEX($A279:$BM279,,$BV$21)*$BW$21+
INDEX($A279:$BM279,,$BV$22)*$BW$22+
INDEX($A279:$BM279,,$BV$23)*$BW$23+
INDEX($A279:$BM279,,$BV$25)*$BW$25+
INDEX($A279:$BM279,,$BV$26)*$BW$26+
INDEX($A279:$BM279,,$BV$27)*$BW$27+
$BN279)),
$BN279-100)</f>
        <v>10.712779999999999</v>
      </c>
      <c r="AX279" t="str">
        <f t="shared" si="59"/>
        <v/>
      </c>
      <c r="AY279" t="str">
        <f t="shared" si="60"/>
        <v/>
      </c>
      <c r="AZ279" s="430">
        <f>IFERROR(
IF(AX279="",-100,
IF($BV$2&gt;0, INDEX(Beersheet!$A:$U,MATCH(AX279,INDEX(Beersheet!$A:$U,0,FFARawStatProjections!$BV$2),0),$BV$3)+$BN279,
INDEX($A279:$BM279,,$BV$12)*$BW$12+
INDEX($A279:$BM279,,$BV$15)*$BW$15+
INDEX($A279:$BM279,,$BV$16)*$BW$16+
INDEX($A279:$BM279,,$BV$17)*$BW$17+
INDEX($A279:$BM279,,$BV$18)*$BW$18+
INDEX($A279:$BM279,,$BV$19)*$BW$19+
INDEX($A279:$BM279,,$BV$20)*$BW$20+
INDEX($A279:$BM279,,$BV$21)*$BW$21+
INDEX($A279:$BM279,,$BV$22)*$BW$22+
INDEX($A279:$BM279,,$BV$23)*$BW$23+
INDEX($A279:$BM279,,$BV$25)*$BW$25+
INDEX($A279:$BM279,,$BV$26)*$BW$26+
INDEX($A279:$BM279,,$BV$27)*$BW$27+
$BN279)),
$BN279-100)</f>
        <v>-100</v>
      </c>
      <c r="BB279" t="str">
        <f t="shared" si="61"/>
        <v/>
      </c>
      <c r="BC279" t="str">
        <f t="shared" si="55"/>
        <v/>
      </c>
      <c r="BD279" s="430">
        <f>IFERROR(
IF(BB279="",-100,
IF($BV$2&gt;0, INDEX(Beersheet!$A:$U,MATCH(BB279,INDEX(Beersheet!$A:$U,0,FFARawStatProjections!$BV$2),0),$BV$3)+$BN279,
INDEX($A279:$BM279,,$BV$12)*$BW$12+
INDEX($A279:$BM279,,$BV$15)*$BW$15+
INDEX($A279:$BM279,,$BV$16)*$BW$16+
INDEX($A279:$BM279,,$BV$17)*$BW$17+
INDEX($A279:$BM279,,$BV$18)*$BW$18+
INDEX($A279:$BM279,,$BV$19)*$BW$19+
INDEX($A279:$BM279,,$BV$20)*$BW$20+
INDEX($A279:$BM279,,$BV$21)*$BW$21+
INDEX($A279:$BM279,,$BV$22)*$BW$22+
INDEX($A279:$BM279,,$BV$23)*$BW$23+
INDEX($A279:$BM279,,$BV$25)*$BW$25+
INDEX($A279:$BM279,,$BV$26)*$BW$26+
INDEX($A279:$BM279,,$BV$27)*$BW$27+
$BN279)),
$BN279-100)</f>
        <v>-100</v>
      </c>
      <c r="BF279" t="str">
        <f t="shared" si="62"/>
        <v/>
      </c>
      <c r="BG279" t="str">
        <f t="shared" si="63"/>
        <v/>
      </c>
      <c r="BH279">
        <f t="shared" si="64"/>
        <v>0</v>
      </c>
      <c r="BJ279" t="str">
        <f t="shared" si="65"/>
        <v/>
      </c>
      <c r="BL279">
        <f t="shared" si="54"/>
        <v>0</v>
      </c>
      <c r="BN279">
        <v>2.7799999999999999E-3</v>
      </c>
      <c r="BS279" s="4" t="s">
        <v>2484</v>
      </c>
    </row>
    <row r="280" spans="1:71" ht="15.75" thickBot="1" x14ac:dyDescent="0.3">
      <c r="A280" s="569" t="s">
        <v>2531</v>
      </c>
      <c r="B280" s="569" t="s">
        <v>148</v>
      </c>
      <c r="C280" s="569" t="s">
        <v>3</v>
      </c>
      <c r="D280" s="574">
        <v>11</v>
      </c>
      <c r="E280" s="569"/>
      <c r="F280" s="569"/>
      <c r="G280" s="569"/>
      <c r="H280" s="569"/>
      <c r="I280" s="574">
        <v>0</v>
      </c>
      <c r="J280" s="574">
        <v>0</v>
      </c>
      <c r="K280" s="574">
        <v>0</v>
      </c>
      <c r="L280" s="574">
        <v>3.4</v>
      </c>
      <c r="M280" s="574">
        <v>0.2</v>
      </c>
      <c r="N280" s="574">
        <v>22.1</v>
      </c>
      <c r="O280" s="574">
        <v>5.4</v>
      </c>
      <c r="P280" s="574">
        <v>0.2</v>
      </c>
      <c r="Q280" s="574">
        <v>23.1</v>
      </c>
      <c r="R280" s="569"/>
      <c r="S280" s="569"/>
      <c r="T280" s="569"/>
      <c r="U280" s="569"/>
      <c r="V280" s="569"/>
      <c r="W280" s="569"/>
      <c r="X280" s="569"/>
      <c r="Y280" s="569"/>
      <c r="Z280" s="569"/>
      <c r="AA280" s="569"/>
      <c r="AB280" s="569"/>
      <c r="AC280" s="569"/>
      <c r="AD280" s="569"/>
      <c r="AE280" s="569"/>
      <c r="AF280" s="569"/>
      <c r="AG280" s="569"/>
      <c r="AH280" s="569"/>
      <c r="AI280" s="569"/>
      <c r="AJ280" s="569"/>
      <c r="AK280" s="569"/>
      <c r="AL280" s="569"/>
      <c r="AM280" s="569"/>
      <c r="AN280" s="574">
        <v>6.6</v>
      </c>
      <c r="AO280">
        <v>279</v>
      </c>
      <c r="AP280" t="str">
        <f t="shared" si="66"/>
        <v/>
      </c>
      <c r="AQ280" t="str">
        <f t="shared" si="56"/>
        <v/>
      </c>
      <c r="AR280" s="430">
        <f>IFERROR(
IF(AP280="",-100,
IF($BV$2&gt;0, INDEX(Beersheet!$A:$U,MATCH(AP280,INDEX(Beersheet!$A:$U,0,FFARawStatProjections!$BV$2),0),$BV$3)+$BN280,
INDEX($A280:$BM280,,$BV$12)*$BW$12+
INDEX($A280:$BM280,,$BV$15)*$BW$15+
INDEX($A280:$BM280,,$BV$16)*$BW$16+
INDEX($A280:$BM280,,$BV$17)*$BW$17+
INDEX($A280:$BM280,,$BV$18)*$BW$18+
INDEX($A280:$BM280,,$BV$19)*$BW$19+
INDEX($A280:$BM280,,$BV$20)*$BW$20+
INDEX($A280:$BM280,,$BV$21)*$BW$21+
INDEX($A280:$BM280,,$BV$22)*$BW$22+
INDEX($A280:$BM280,,$BV$23)*$BW$23+
INDEX($A280:$BM280,,$BV$25)*$BW$25+
INDEX($A280:$BM280,,$BV$26)*$BW$26+
INDEX($A280:$BM280,,$BV$27)*$BW$27+
$BN280)),
$BN280-100)</f>
        <v>-100</v>
      </c>
      <c r="AT280" t="str">
        <f t="shared" si="57"/>
        <v>Avery Williams</v>
      </c>
      <c r="AU280" t="str">
        <f t="shared" si="58"/>
        <v>ATL</v>
      </c>
      <c r="AV280" s="430">
        <f>IFERROR(
IF(AT280="",-100,
IF($BV$2&gt;0, INDEX(Beersheet!$A:$U,MATCH(AT280,INDEX(Beersheet!$A:$U,0,FFARawStatProjections!$BV$2),0),$BV$3)+$BN280,
INDEX($A280:$BM280,,$BV$12)*$BW$12+
INDEX($A280:$BM280,,$BV$15)*$BW$15+
INDEX($A280:$BM280,,$BV$16)*$BW$16+
INDEX($A280:$BM280,,$BV$17)*$BW$17+
INDEX($A280:$BM280,,$BV$18)*$BW$18+
INDEX($A280:$BM280,,$BV$19)*$BW$19+
INDEX($A280:$BM280,,$BV$20)*$BW$20+
INDEX($A280:$BM280,,$BV$21)*$BW$21+
INDEX($A280:$BM280,,$BV$22)*$BW$22+
INDEX($A280:$BM280,,$BV$23)*$BW$23+
INDEX($A280:$BM280,,$BV$25)*$BW$25+
INDEX($A280:$BM280,,$BV$26)*$BW$26+
INDEX($A280:$BM280,,$BV$27)*$BW$27+
$BN280)),
$BN280-100)</f>
        <v>10.322790000000001</v>
      </c>
      <c r="AX280" t="str">
        <f t="shared" si="59"/>
        <v/>
      </c>
      <c r="AY280" t="str">
        <f t="shared" si="60"/>
        <v/>
      </c>
      <c r="AZ280" s="430">
        <f>IFERROR(
IF(AX280="",-100,
IF($BV$2&gt;0, INDEX(Beersheet!$A:$U,MATCH(AX280,INDEX(Beersheet!$A:$U,0,FFARawStatProjections!$BV$2),0),$BV$3)+$BN280,
INDEX($A280:$BM280,,$BV$12)*$BW$12+
INDEX($A280:$BM280,,$BV$15)*$BW$15+
INDEX($A280:$BM280,,$BV$16)*$BW$16+
INDEX($A280:$BM280,,$BV$17)*$BW$17+
INDEX($A280:$BM280,,$BV$18)*$BW$18+
INDEX($A280:$BM280,,$BV$19)*$BW$19+
INDEX($A280:$BM280,,$BV$20)*$BW$20+
INDEX($A280:$BM280,,$BV$21)*$BW$21+
INDEX($A280:$BM280,,$BV$22)*$BW$22+
INDEX($A280:$BM280,,$BV$23)*$BW$23+
INDEX($A280:$BM280,,$BV$25)*$BW$25+
INDEX($A280:$BM280,,$BV$26)*$BW$26+
INDEX($A280:$BM280,,$BV$27)*$BW$27+
$BN280)),
$BN280-100)</f>
        <v>-100</v>
      </c>
      <c r="BB280" t="str">
        <f t="shared" si="61"/>
        <v/>
      </c>
      <c r="BC280" t="str">
        <f t="shared" si="55"/>
        <v/>
      </c>
      <c r="BD280" s="430">
        <f>IFERROR(
IF(BB280="",-100,
IF($BV$2&gt;0, INDEX(Beersheet!$A:$U,MATCH(BB280,INDEX(Beersheet!$A:$U,0,FFARawStatProjections!$BV$2),0),$BV$3)+$BN280,
INDEX($A280:$BM280,,$BV$12)*$BW$12+
INDEX($A280:$BM280,,$BV$15)*$BW$15+
INDEX($A280:$BM280,,$BV$16)*$BW$16+
INDEX($A280:$BM280,,$BV$17)*$BW$17+
INDEX($A280:$BM280,,$BV$18)*$BW$18+
INDEX($A280:$BM280,,$BV$19)*$BW$19+
INDEX($A280:$BM280,,$BV$20)*$BW$20+
INDEX($A280:$BM280,,$BV$21)*$BW$21+
INDEX($A280:$BM280,,$BV$22)*$BW$22+
INDEX($A280:$BM280,,$BV$23)*$BW$23+
INDEX($A280:$BM280,,$BV$25)*$BW$25+
INDEX($A280:$BM280,,$BV$26)*$BW$26+
INDEX($A280:$BM280,,$BV$27)*$BW$27+
$BN280)),
$BN280-100)</f>
        <v>-100</v>
      </c>
      <c r="BF280" t="str">
        <f t="shared" si="62"/>
        <v/>
      </c>
      <c r="BG280" t="str">
        <f t="shared" si="63"/>
        <v/>
      </c>
      <c r="BH280">
        <f t="shared" si="64"/>
        <v>0</v>
      </c>
      <c r="BJ280" t="str">
        <f t="shared" si="65"/>
        <v/>
      </c>
      <c r="BL280">
        <f t="shared" si="54"/>
        <v>0</v>
      </c>
      <c r="BN280">
        <v>2.7899999999999999E-3</v>
      </c>
      <c r="BS280" s="4" t="s">
        <v>151</v>
      </c>
    </row>
    <row r="281" spans="1:71" ht="15.75" thickBot="1" x14ac:dyDescent="0.3">
      <c r="A281" s="569" t="s">
        <v>2566</v>
      </c>
      <c r="B281" s="569" t="s">
        <v>151</v>
      </c>
      <c r="C281" s="569" t="s">
        <v>3</v>
      </c>
      <c r="D281" s="574">
        <v>7</v>
      </c>
      <c r="E281" s="569"/>
      <c r="F281" s="569"/>
      <c r="G281" s="569"/>
      <c r="H281" s="569"/>
      <c r="I281" s="574">
        <v>0</v>
      </c>
      <c r="J281" s="574">
        <v>0</v>
      </c>
      <c r="K281" s="574">
        <v>0</v>
      </c>
      <c r="L281" s="574">
        <v>4.8</v>
      </c>
      <c r="M281" s="574">
        <v>0.2</v>
      </c>
      <c r="N281" s="574">
        <v>36</v>
      </c>
      <c r="O281" s="574">
        <v>4.3</v>
      </c>
      <c r="P281" s="574">
        <v>0</v>
      </c>
      <c r="Q281" s="574">
        <v>17.600000000000001</v>
      </c>
      <c r="R281" s="569"/>
      <c r="S281" s="569"/>
      <c r="T281" s="569"/>
      <c r="U281" s="569"/>
      <c r="V281" s="569"/>
      <c r="W281" s="569"/>
      <c r="X281" s="569"/>
      <c r="Y281" s="569"/>
      <c r="Z281" s="569"/>
      <c r="AA281" s="569"/>
      <c r="AB281" s="569"/>
      <c r="AC281" s="569"/>
      <c r="AD281" s="569"/>
      <c r="AE281" s="569"/>
      <c r="AF281" s="569"/>
      <c r="AG281" s="569"/>
      <c r="AH281" s="569"/>
      <c r="AI281" s="569"/>
      <c r="AJ281" s="569"/>
      <c r="AK281" s="569"/>
      <c r="AL281" s="569"/>
      <c r="AM281" s="569"/>
      <c r="AN281" s="574">
        <v>6.4</v>
      </c>
      <c r="AO281">
        <v>280</v>
      </c>
      <c r="AP281" t="str">
        <f t="shared" si="66"/>
        <v/>
      </c>
      <c r="AQ281" t="str">
        <f t="shared" si="56"/>
        <v/>
      </c>
      <c r="AR281" s="430">
        <f>IFERROR(
IF(AP281="",-100,
IF($BV$2&gt;0, INDEX(Beersheet!$A:$U,MATCH(AP281,INDEX(Beersheet!$A:$U,0,FFARawStatProjections!$BV$2),0),$BV$3)+$BN281,
INDEX($A281:$BM281,,$BV$12)*$BW$12+
INDEX($A281:$BM281,,$BV$15)*$BW$15+
INDEX($A281:$BM281,,$BV$16)*$BW$16+
INDEX($A281:$BM281,,$BV$17)*$BW$17+
INDEX($A281:$BM281,,$BV$18)*$BW$18+
INDEX($A281:$BM281,,$BV$19)*$BW$19+
INDEX($A281:$BM281,,$BV$20)*$BW$20+
INDEX($A281:$BM281,,$BV$21)*$BW$21+
INDEX($A281:$BM281,,$BV$22)*$BW$22+
INDEX($A281:$BM281,,$BV$23)*$BW$23+
INDEX($A281:$BM281,,$BV$25)*$BW$25+
INDEX($A281:$BM281,,$BV$26)*$BW$26+
INDEX($A281:$BM281,,$BV$27)*$BW$27+
$BN281)),
$BN281-100)</f>
        <v>-100</v>
      </c>
      <c r="AT281" t="str">
        <f t="shared" si="57"/>
        <v>Larry Rountree</v>
      </c>
      <c r="AU281" t="str">
        <f t="shared" si="58"/>
        <v>HOU</v>
      </c>
      <c r="AV281" s="430">
        <f>IFERROR(
IF(AT281="",-100,
IF($BV$2&gt;0, INDEX(Beersheet!$A:$U,MATCH(AT281,INDEX(Beersheet!$A:$U,0,FFARawStatProjections!$BV$2),0),$BV$3)+$BN281,
INDEX($A281:$BM281,,$BV$12)*$BW$12+
INDEX($A281:$BM281,,$BV$15)*$BW$15+
INDEX($A281:$BM281,,$BV$16)*$BW$16+
INDEX($A281:$BM281,,$BV$17)*$BW$17+
INDEX($A281:$BM281,,$BV$18)*$BW$18+
INDEX($A281:$BM281,,$BV$19)*$BW$19+
INDEX($A281:$BM281,,$BV$20)*$BW$20+
INDEX($A281:$BM281,,$BV$21)*$BW$21+
INDEX($A281:$BM281,,$BV$22)*$BW$22+
INDEX($A281:$BM281,,$BV$23)*$BW$23+
INDEX($A281:$BM281,,$BV$25)*$BW$25+
INDEX($A281:$BM281,,$BV$26)*$BW$26+
INDEX($A281:$BM281,,$BV$27)*$BW$27+
$BN281)),
$BN281-100)</f>
        <v>11.3628</v>
      </c>
      <c r="AX281" t="str">
        <f t="shared" si="59"/>
        <v/>
      </c>
      <c r="AY281" t="str">
        <f t="shared" si="60"/>
        <v/>
      </c>
      <c r="AZ281" s="430">
        <f>IFERROR(
IF(AX281="",-100,
IF($BV$2&gt;0, INDEX(Beersheet!$A:$U,MATCH(AX281,INDEX(Beersheet!$A:$U,0,FFARawStatProjections!$BV$2),0),$BV$3)+$BN281,
INDEX($A281:$BM281,,$BV$12)*$BW$12+
INDEX($A281:$BM281,,$BV$15)*$BW$15+
INDEX($A281:$BM281,,$BV$16)*$BW$16+
INDEX($A281:$BM281,,$BV$17)*$BW$17+
INDEX($A281:$BM281,,$BV$18)*$BW$18+
INDEX($A281:$BM281,,$BV$19)*$BW$19+
INDEX($A281:$BM281,,$BV$20)*$BW$20+
INDEX($A281:$BM281,,$BV$21)*$BW$21+
INDEX($A281:$BM281,,$BV$22)*$BW$22+
INDEX($A281:$BM281,,$BV$23)*$BW$23+
INDEX($A281:$BM281,,$BV$25)*$BW$25+
INDEX($A281:$BM281,,$BV$26)*$BW$26+
INDEX($A281:$BM281,,$BV$27)*$BW$27+
$BN281)),
$BN281-100)</f>
        <v>-100</v>
      </c>
      <c r="BB281" t="str">
        <f t="shared" si="61"/>
        <v/>
      </c>
      <c r="BC281" t="str">
        <f t="shared" si="55"/>
        <v/>
      </c>
      <c r="BD281" s="430">
        <f>IFERROR(
IF(BB281="",-100,
IF($BV$2&gt;0, INDEX(Beersheet!$A:$U,MATCH(BB281,INDEX(Beersheet!$A:$U,0,FFARawStatProjections!$BV$2),0),$BV$3)+$BN281,
INDEX($A281:$BM281,,$BV$12)*$BW$12+
INDEX($A281:$BM281,,$BV$15)*$BW$15+
INDEX($A281:$BM281,,$BV$16)*$BW$16+
INDEX($A281:$BM281,,$BV$17)*$BW$17+
INDEX($A281:$BM281,,$BV$18)*$BW$18+
INDEX($A281:$BM281,,$BV$19)*$BW$19+
INDEX($A281:$BM281,,$BV$20)*$BW$20+
INDEX($A281:$BM281,,$BV$21)*$BW$21+
INDEX($A281:$BM281,,$BV$22)*$BW$22+
INDEX($A281:$BM281,,$BV$23)*$BW$23+
INDEX($A281:$BM281,,$BV$25)*$BW$25+
INDEX($A281:$BM281,,$BV$26)*$BW$26+
INDEX($A281:$BM281,,$BV$27)*$BW$27+
$BN281)),
$BN281-100)</f>
        <v>-100</v>
      </c>
      <c r="BF281" t="str">
        <f t="shared" si="62"/>
        <v/>
      </c>
      <c r="BG281" t="str">
        <f t="shared" si="63"/>
        <v/>
      </c>
      <c r="BH281">
        <f t="shared" si="64"/>
        <v>0</v>
      </c>
      <c r="BJ281" t="str">
        <f t="shared" si="65"/>
        <v/>
      </c>
      <c r="BL281">
        <f t="shared" ref="BL281:BL344" si="67">IFERROR(IF(BJ281="",0,
V281*2+W281*2+X281*2+Z281*6+AA281*1+AB281*2+AC281*6
+AN281+BN281),"")</f>
        <v>0</v>
      </c>
      <c r="BN281">
        <v>2.8E-3</v>
      </c>
      <c r="BS281" s="4" t="s">
        <v>1202</v>
      </c>
    </row>
    <row r="282" spans="1:71" ht="15.75" thickBot="1" x14ac:dyDescent="0.3">
      <c r="A282" s="569" t="s">
        <v>2271</v>
      </c>
      <c r="B282" s="569" t="s">
        <v>151</v>
      </c>
      <c r="C282" s="569" t="s">
        <v>3</v>
      </c>
      <c r="D282" s="574">
        <v>7</v>
      </c>
      <c r="E282" s="569"/>
      <c r="F282" s="569"/>
      <c r="G282" s="569"/>
      <c r="H282" s="569"/>
      <c r="I282" s="574">
        <v>0</v>
      </c>
      <c r="J282" s="574">
        <v>0</v>
      </c>
      <c r="K282" s="574">
        <v>0</v>
      </c>
      <c r="L282" s="574">
        <v>4</v>
      </c>
      <c r="M282" s="574">
        <v>0.2</v>
      </c>
      <c r="N282" s="574">
        <v>27.8</v>
      </c>
      <c r="O282" s="574">
        <v>4.7</v>
      </c>
      <c r="P282" s="574">
        <v>0.1</v>
      </c>
      <c r="Q282" s="574">
        <v>19.7</v>
      </c>
      <c r="R282" s="569"/>
      <c r="S282" s="569"/>
      <c r="T282" s="569"/>
      <c r="U282" s="569"/>
      <c r="V282" s="569"/>
      <c r="W282" s="569"/>
      <c r="X282" s="569"/>
      <c r="Y282" s="569"/>
      <c r="Z282" s="569"/>
      <c r="AA282" s="569"/>
      <c r="AB282" s="569"/>
      <c r="AC282" s="569"/>
      <c r="AD282" s="569"/>
      <c r="AE282" s="569"/>
      <c r="AF282" s="569"/>
      <c r="AG282" s="569"/>
      <c r="AH282" s="569"/>
      <c r="AI282" s="569"/>
      <c r="AJ282" s="569"/>
      <c r="AK282" s="569"/>
      <c r="AL282" s="569"/>
      <c r="AM282" s="569"/>
      <c r="AN282" s="574">
        <v>6.3</v>
      </c>
      <c r="AO282">
        <v>281</v>
      </c>
      <c r="AP282" t="str">
        <f t="shared" si="66"/>
        <v/>
      </c>
      <c r="AQ282" t="str">
        <f t="shared" si="56"/>
        <v/>
      </c>
      <c r="AR282" s="430">
        <f>IFERROR(
IF(AP282="",-100,
IF($BV$2&gt;0, INDEX(Beersheet!$A:$U,MATCH(AP282,INDEX(Beersheet!$A:$U,0,FFARawStatProjections!$BV$2),0),$BV$3)+$BN282,
INDEX($A282:$BM282,,$BV$12)*$BW$12+
INDEX($A282:$BM282,,$BV$15)*$BW$15+
INDEX($A282:$BM282,,$BV$16)*$BW$16+
INDEX($A282:$BM282,,$BV$17)*$BW$17+
INDEX($A282:$BM282,,$BV$18)*$BW$18+
INDEX($A282:$BM282,,$BV$19)*$BW$19+
INDEX($A282:$BM282,,$BV$20)*$BW$20+
INDEX($A282:$BM282,,$BV$21)*$BW$21+
INDEX($A282:$BM282,,$BV$22)*$BW$22+
INDEX($A282:$BM282,,$BV$23)*$BW$23+
INDEX($A282:$BM282,,$BV$25)*$BW$25+
INDEX($A282:$BM282,,$BV$26)*$BW$26+
INDEX($A282:$BM282,,$BV$27)*$BW$27+
$BN282)),
$BN282-100)</f>
        <v>-100</v>
      </c>
      <c r="AT282" t="str">
        <f t="shared" si="57"/>
        <v>Gerrid Doaks</v>
      </c>
      <c r="AU282" t="str">
        <f t="shared" si="58"/>
        <v>HOU</v>
      </c>
      <c r="AV282" s="430">
        <f>IFERROR(
IF(AT282="",-100,
IF($BV$2&gt;0, INDEX(Beersheet!$A:$U,MATCH(AT282,INDEX(Beersheet!$A:$U,0,FFARawStatProjections!$BV$2),0),$BV$3)+$BN282,
INDEX($A282:$BM282,,$BV$12)*$BW$12+
INDEX($A282:$BM282,,$BV$15)*$BW$15+
INDEX($A282:$BM282,,$BV$16)*$BW$16+
INDEX($A282:$BM282,,$BV$17)*$BW$17+
INDEX($A282:$BM282,,$BV$18)*$BW$18+
INDEX($A282:$BM282,,$BV$19)*$BW$19+
INDEX($A282:$BM282,,$BV$20)*$BW$20+
INDEX($A282:$BM282,,$BV$21)*$BW$21+
INDEX($A282:$BM282,,$BV$22)*$BW$22+
INDEX($A282:$BM282,,$BV$23)*$BW$23+
INDEX($A282:$BM282,,$BV$25)*$BW$25+
INDEX($A282:$BM282,,$BV$26)*$BW$26+
INDEX($A282:$BM282,,$BV$27)*$BW$27+
$BN282)),
$BN282-100)</f>
        <v>10.552810000000001</v>
      </c>
      <c r="AX282" t="str">
        <f t="shared" si="59"/>
        <v/>
      </c>
      <c r="AY282" t="str">
        <f t="shared" si="60"/>
        <v/>
      </c>
      <c r="AZ282" s="430">
        <f>IFERROR(
IF(AX282="",-100,
IF($BV$2&gt;0, INDEX(Beersheet!$A:$U,MATCH(AX282,INDEX(Beersheet!$A:$U,0,FFARawStatProjections!$BV$2),0),$BV$3)+$BN282,
INDEX($A282:$BM282,,$BV$12)*$BW$12+
INDEX($A282:$BM282,,$BV$15)*$BW$15+
INDEX($A282:$BM282,,$BV$16)*$BW$16+
INDEX($A282:$BM282,,$BV$17)*$BW$17+
INDEX($A282:$BM282,,$BV$18)*$BW$18+
INDEX($A282:$BM282,,$BV$19)*$BW$19+
INDEX($A282:$BM282,,$BV$20)*$BW$20+
INDEX($A282:$BM282,,$BV$21)*$BW$21+
INDEX($A282:$BM282,,$BV$22)*$BW$22+
INDEX($A282:$BM282,,$BV$23)*$BW$23+
INDEX($A282:$BM282,,$BV$25)*$BW$25+
INDEX($A282:$BM282,,$BV$26)*$BW$26+
INDEX($A282:$BM282,,$BV$27)*$BW$27+
$BN282)),
$BN282-100)</f>
        <v>-100</v>
      </c>
      <c r="BB282" t="str">
        <f t="shared" si="61"/>
        <v/>
      </c>
      <c r="BC282" t="str">
        <f t="shared" si="55"/>
        <v/>
      </c>
      <c r="BD282" s="430">
        <f>IFERROR(
IF(BB282="",-100,
IF($BV$2&gt;0, INDEX(Beersheet!$A:$U,MATCH(BB282,INDEX(Beersheet!$A:$U,0,FFARawStatProjections!$BV$2),0),$BV$3)+$BN282,
INDEX($A282:$BM282,,$BV$12)*$BW$12+
INDEX($A282:$BM282,,$BV$15)*$BW$15+
INDEX($A282:$BM282,,$BV$16)*$BW$16+
INDEX($A282:$BM282,,$BV$17)*$BW$17+
INDEX($A282:$BM282,,$BV$18)*$BW$18+
INDEX($A282:$BM282,,$BV$19)*$BW$19+
INDEX($A282:$BM282,,$BV$20)*$BW$20+
INDEX($A282:$BM282,,$BV$21)*$BW$21+
INDEX($A282:$BM282,,$BV$22)*$BW$22+
INDEX($A282:$BM282,,$BV$23)*$BW$23+
INDEX($A282:$BM282,,$BV$25)*$BW$25+
INDEX($A282:$BM282,,$BV$26)*$BW$26+
INDEX($A282:$BM282,,$BV$27)*$BW$27+
$BN282)),
$BN282-100)</f>
        <v>-100</v>
      </c>
      <c r="BF282" t="str">
        <f t="shared" si="62"/>
        <v/>
      </c>
      <c r="BG282" t="str">
        <f t="shared" si="63"/>
        <v/>
      </c>
      <c r="BH282">
        <f t="shared" si="64"/>
        <v>0</v>
      </c>
      <c r="BJ282" t="str">
        <f t="shared" si="65"/>
        <v/>
      </c>
      <c r="BL282">
        <f t="shared" si="67"/>
        <v>0</v>
      </c>
      <c r="BN282">
        <v>2.81E-3</v>
      </c>
      <c r="BS282" s="4" t="s">
        <v>2372</v>
      </c>
    </row>
    <row r="283" spans="1:71" ht="15.75" thickBot="1" x14ac:dyDescent="0.3">
      <c r="A283" s="569" t="s">
        <v>1287</v>
      </c>
      <c r="B283" s="569" t="s">
        <v>144</v>
      </c>
      <c r="C283" s="569" t="s">
        <v>3</v>
      </c>
      <c r="D283" s="574">
        <v>9</v>
      </c>
      <c r="E283" s="569"/>
      <c r="F283" s="569"/>
      <c r="G283" s="569"/>
      <c r="H283" s="569"/>
      <c r="I283" s="574">
        <v>0</v>
      </c>
      <c r="J283" s="574">
        <v>0</v>
      </c>
      <c r="K283" s="574">
        <v>0</v>
      </c>
      <c r="L283" s="574">
        <v>3.3</v>
      </c>
      <c r="M283" s="574">
        <v>0.2</v>
      </c>
      <c r="N283" s="574">
        <v>19.2</v>
      </c>
      <c r="O283" s="574">
        <v>4.7</v>
      </c>
      <c r="P283" s="574">
        <v>0.1</v>
      </c>
      <c r="Q283" s="574">
        <v>12.1</v>
      </c>
      <c r="R283" s="569"/>
      <c r="S283" s="569"/>
      <c r="T283" s="569"/>
      <c r="U283" s="569"/>
      <c r="V283" s="569"/>
      <c r="W283" s="569"/>
      <c r="X283" s="569"/>
      <c r="Y283" s="569"/>
      <c r="Z283" s="569"/>
      <c r="AA283" s="569"/>
      <c r="AB283" s="569"/>
      <c r="AC283" s="569"/>
      <c r="AD283" s="569"/>
      <c r="AE283" s="569"/>
      <c r="AF283" s="569"/>
      <c r="AG283" s="569"/>
      <c r="AH283" s="569"/>
      <c r="AI283" s="569"/>
      <c r="AJ283" s="569"/>
      <c r="AK283" s="569"/>
      <c r="AL283" s="569"/>
      <c r="AM283" s="569"/>
      <c r="AN283" s="574">
        <v>5</v>
      </c>
      <c r="AO283">
        <v>282</v>
      </c>
      <c r="AP283" t="str">
        <f t="shared" si="66"/>
        <v/>
      </c>
      <c r="AQ283" t="str">
        <f t="shared" si="56"/>
        <v/>
      </c>
      <c r="AR283" s="430">
        <f>IFERROR(
IF(AP283="",-100,
IF($BV$2&gt;0, INDEX(Beersheet!$A:$U,MATCH(AP283,INDEX(Beersheet!$A:$U,0,FFARawStatProjections!$BV$2),0),$BV$3)+$BN283,
INDEX($A283:$BM283,,$BV$12)*$BW$12+
INDEX($A283:$BM283,,$BV$15)*$BW$15+
INDEX($A283:$BM283,,$BV$16)*$BW$16+
INDEX($A283:$BM283,,$BV$17)*$BW$17+
INDEX($A283:$BM283,,$BV$18)*$BW$18+
INDEX($A283:$BM283,,$BV$19)*$BW$19+
INDEX($A283:$BM283,,$BV$20)*$BW$20+
INDEX($A283:$BM283,,$BV$21)*$BW$21+
INDEX($A283:$BM283,,$BV$22)*$BW$22+
INDEX($A283:$BM283,,$BV$23)*$BW$23+
INDEX($A283:$BM283,,$BV$25)*$BW$25+
INDEX($A283:$BM283,,$BV$26)*$BW$26+
INDEX($A283:$BM283,,$BV$27)*$BW$27+
$BN283)),
$BN283-100)</f>
        <v>-100</v>
      </c>
      <c r="AT283" t="str">
        <f t="shared" si="57"/>
        <v>Michael Burton</v>
      </c>
      <c r="AU283" t="str">
        <f t="shared" si="58"/>
        <v>DEN</v>
      </c>
      <c r="AV283" s="430">
        <f>IFERROR(
IF(AT283="",-100,
IF($BV$2&gt;0, INDEX(Beersheet!$A:$U,MATCH(AT283,INDEX(Beersheet!$A:$U,0,FFARawStatProjections!$BV$2),0),$BV$3)+$BN283,
INDEX($A283:$BM283,,$BV$12)*$BW$12+
INDEX($A283:$BM283,,$BV$15)*$BW$15+
INDEX($A283:$BM283,,$BV$16)*$BW$16+
INDEX($A283:$BM283,,$BV$17)*$BW$17+
INDEX($A283:$BM283,,$BV$18)*$BW$18+
INDEX($A283:$BM283,,$BV$19)*$BW$19+
INDEX($A283:$BM283,,$BV$20)*$BW$20+
INDEX($A283:$BM283,,$BV$21)*$BW$21+
INDEX($A283:$BM283,,$BV$22)*$BW$22+
INDEX($A283:$BM283,,$BV$23)*$BW$23+
INDEX($A283:$BM283,,$BV$25)*$BW$25+
INDEX($A283:$BM283,,$BV$26)*$BW$26+
INDEX($A283:$BM283,,$BV$27)*$BW$27+
$BN283)),
$BN283-100)</f>
        <v>8.2328200000000002</v>
      </c>
      <c r="AX283" t="str">
        <f t="shared" si="59"/>
        <v/>
      </c>
      <c r="AY283" t="str">
        <f t="shared" si="60"/>
        <v/>
      </c>
      <c r="AZ283" s="430">
        <f>IFERROR(
IF(AX283="",-100,
IF($BV$2&gt;0, INDEX(Beersheet!$A:$U,MATCH(AX283,INDEX(Beersheet!$A:$U,0,FFARawStatProjections!$BV$2),0),$BV$3)+$BN283,
INDEX($A283:$BM283,,$BV$12)*$BW$12+
INDEX($A283:$BM283,,$BV$15)*$BW$15+
INDEX($A283:$BM283,,$BV$16)*$BW$16+
INDEX($A283:$BM283,,$BV$17)*$BW$17+
INDEX($A283:$BM283,,$BV$18)*$BW$18+
INDEX($A283:$BM283,,$BV$19)*$BW$19+
INDEX($A283:$BM283,,$BV$20)*$BW$20+
INDEX($A283:$BM283,,$BV$21)*$BW$21+
INDEX($A283:$BM283,,$BV$22)*$BW$22+
INDEX($A283:$BM283,,$BV$23)*$BW$23+
INDEX($A283:$BM283,,$BV$25)*$BW$25+
INDEX($A283:$BM283,,$BV$26)*$BW$26+
INDEX($A283:$BM283,,$BV$27)*$BW$27+
$BN283)),
$BN283-100)</f>
        <v>-100</v>
      </c>
      <c r="BB283" t="str">
        <f t="shared" si="61"/>
        <v/>
      </c>
      <c r="BC283" t="str">
        <f t="shared" si="55"/>
        <v/>
      </c>
      <c r="BD283" s="430">
        <f>IFERROR(
IF(BB283="",-100,
IF($BV$2&gt;0, INDEX(Beersheet!$A:$U,MATCH(BB283,INDEX(Beersheet!$A:$U,0,FFARawStatProjections!$BV$2),0),$BV$3)+$BN283,
INDEX($A283:$BM283,,$BV$12)*$BW$12+
INDEX($A283:$BM283,,$BV$15)*$BW$15+
INDEX($A283:$BM283,,$BV$16)*$BW$16+
INDEX($A283:$BM283,,$BV$17)*$BW$17+
INDEX($A283:$BM283,,$BV$18)*$BW$18+
INDEX($A283:$BM283,,$BV$19)*$BW$19+
INDEX($A283:$BM283,,$BV$20)*$BW$20+
INDEX($A283:$BM283,,$BV$21)*$BW$21+
INDEX($A283:$BM283,,$BV$22)*$BW$22+
INDEX($A283:$BM283,,$BV$23)*$BW$23+
INDEX($A283:$BM283,,$BV$25)*$BW$25+
INDEX($A283:$BM283,,$BV$26)*$BW$26+
INDEX($A283:$BM283,,$BV$27)*$BW$27+
$BN283)),
$BN283-100)</f>
        <v>-100</v>
      </c>
      <c r="BF283" t="str">
        <f t="shared" si="62"/>
        <v/>
      </c>
      <c r="BG283" t="str">
        <f t="shared" si="63"/>
        <v/>
      </c>
      <c r="BH283">
        <f t="shared" si="64"/>
        <v>0</v>
      </c>
      <c r="BJ283" t="str">
        <f t="shared" si="65"/>
        <v/>
      </c>
      <c r="BL283">
        <f t="shared" si="67"/>
        <v>0</v>
      </c>
      <c r="BN283">
        <v>2.82E-3</v>
      </c>
      <c r="BS283" s="4" t="s">
        <v>2238</v>
      </c>
    </row>
    <row r="284" spans="1:71" ht="15.75" thickBot="1" x14ac:dyDescent="0.3">
      <c r="A284" s="569" t="s">
        <v>2314</v>
      </c>
      <c r="B284" s="569" t="s">
        <v>143</v>
      </c>
      <c r="C284" s="569" t="s">
        <v>3</v>
      </c>
      <c r="D284" s="574">
        <v>11</v>
      </c>
      <c r="E284" s="569"/>
      <c r="F284" s="569"/>
      <c r="G284" s="569"/>
      <c r="H284" s="569"/>
      <c r="I284" s="574">
        <v>0</v>
      </c>
      <c r="J284" s="574">
        <v>0</v>
      </c>
      <c r="K284" s="574">
        <v>0</v>
      </c>
      <c r="L284" s="574">
        <v>4</v>
      </c>
      <c r="M284" s="574">
        <v>0.2</v>
      </c>
      <c r="N284" s="574">
        <v>19.100000000000001</v>
      </c>
      <c r="O284" s="574">
        <v>0</v>
      </c>
      <c r="P284" s="574">
        <v>0.1</v>
      </c>
      <c r="Q284" s="574">
        <v>12.1</v>
      </c>
      <c r="R284" s="569"/>
      <c r="S284" s="569"/>
      <c r="T284" s="569"/>
      <c r="U284" s="569"/>
      <c r="V284" s="569"/>
      <c r="W284" s="569"/>
      <c r="X284" s="569"/>
      <c r="Y284" s="569"/>
      <c r="Z284" s="569"/>
      <c r="AA284" s="569"/>
      <c r="AB284" s="569"/>
      <c r="AC284" s="569"/>
      <c r="AD284" s="569"/>
      <c r="AE284" s="569"/>
      <c r="AF284" s="569"/>
      <c r="AG284" s="569"/>
      <c r="AH284" s="569"/>
      <c r="AI284" s="569"/>
      <c r="AJ284" s="569"/>
      <c r="AK284" s="569"/>
      <c r="AL284" s="569"/>
      <c r="AM284" s="569"/>
      <c r="AN284" s="574">
        <v>4.9000000000000004</v>
      </c>
      <c r="AO284">
        <v>283</v>
      </c>
      <c r="AP284" t="str">
        <f t="shared" si="66"/>
        <v/>
      </c>
      <c r="AQ284" t="str">
        <f t="shared" si="56"/>
        <v/>
      </c>
      <c r="AR284" s="430">
        <f>IFERROR(
IF(AP284="",-100,
IF($BV$2&gt;0, INDEX(Beersheet!$A:$U,MATCH(AP284,INDEX(Beersheet!$A:$U,0,FFARawStatProjections!$BV$2),0),$BV$3)+$BN284,
INDEX($A284:$BM284,,$BV$12)*$BW$12+
INDEX($A284:$BM284,,$BV$15)*$BW$15+
INDEX($A284:$BM284,,$BV$16)*$BW$16+
INDEX($A284:$BM284,,$BV$17)*$BW$17+
INDEX($A284:$BM284,,$BV$18)*$BW$18+
INDEX($A284:$BM284,,$BV$19)*$BW$19+
INDEX($A284:$BM284,,$BV$20)*$BW$20+
INDEX($A284:$BM284,,$BV$21)*$BW$21+
INDEX($A284:$BM284,,$BV$22)*$BW$22+
INDEX($A284:$BM284,,$BV$23)*$BW$23+
INDEX($A284:$BM284,,$BV$25)*$BW$25+
INDEX($A284:$BM284,,$BV$26)*$BW$26+
INDEX($A284:$BM284,,$BV$27)*$BW$27+
$BN284)),
$BN284-100)</f>
        <v>-100</v>
      </c>
      <c r="AT284" t="str">
        <f t="shared" si="57"/>
        <v>Adam Prentice</v>
      </c>
      <c r="AU284" t="str">
        <f t="shared" si="58"/>
        <v>NO</v>
      </c>
      <c r="AV284" s="430">
        <f>IFERROR(
IF(AT284="",-100,
IF($BV$2&gt;0, INDEX(Beersheet!$A:$U,MATCH(AT284,INDEX(Beersheet!$A:$U,0,FFARawStatProjections!$BV$2),0),$BV$3)+$BN284,
INDEX($A284:$BM284,,$BV$12)*$BW$12+
INDEX($A284:$BM284,,$BV$15)*$BW$15+
INDEX($A284:$BM284,,$BV$16)*$BW$16+
INDEX($A284:$BM284,,$BV$17)*$BW$17+
INDEX($A284:$BM284,,$BV$18)*$BW$18+
INDEX($A284:$BM284,,$BV$19)*$BW$19+
INDEX($A284:$BM284,,$BV$20)*$BW$20+
INDEX($A284:$BM284,,$BV$21)*$BW$21+
INDEX($A284:$BM284,,$BV$22)*$BW$22+
INDEX($A284:$BM284,,$BV$23)*$BW$23+
INDEX($A284:$BM284,,$BV$25)*$BW$25+
INDEX($A284:$BM284,,$BV$26)*$BW$26+
INDEX($A284:$BM284,,$BV$27)*$BW$27+
$BN284)),
$BN284-100)</f>
        <v>8.9228300000000011</v>
      </c>
      <c r="AX284" t="str">
        <f t="shared" si="59"/>
        <v/>
      </c>
      <c r="AY284" t="str">
        <f t="shared" si="60"/>
        <v/>
      </c>
      <c r="AZ284" s="430">
        <f>IFERROR(
IF(AX284="",-100,
IF($BV$2&gt;0, INDEX(Beersheet!$A:$U,MATCH(AX284,INDEX(Beersheet!$A:$U,0,FFARawStatProjections!$BV$2),0),$BV$3)+$BN284,
INDEX($A284:$BM284,,$BV$12)*$BW$12+
INDEX($A284:$BM284,,$BV$15)*$BW$15+
INDEX($A284:$BM284,,$BV$16)*$BW$16+
INDEX($A284:$BM284,,$BV$17)*$BW$17+
INDEX($A284:$BM284,,$BV$18)*$BW$18+
INDEX($A284:$BM284,,$BV$19)*$BW$19+
INDEX($A284:$BM284,,$BV$20)*$BW$20+
INDEX($A284:$BM284,,$BV$21)*$BW$21+
INDEX($A284:$BM284,,$BV$22)*$BW$22+
INDEX($A284:$BM284,,$BV$23)*$BW$23+
INDEX($A284:$BM284,,$BV$25)*$BW$25+
INDEX($A284:$BM284,,$BV$26)*$BW$26+
INDEX($A284:$BM284,,$BV$27)*$BW$27+
$BN284)),
$BN284-100)</f>
        <v>-100</v>
      </c>
      <c r="BB284" t="str">
        <f t="shared" si="61"/>
        <v/>
      </c>
      <c r="BC284" t="str">
        <f t="shared" si="55"/>
        <v/>
      </c>
      <c r="BD284" s="430">
        <f>IFERROR(
IF(BB284="",-100,
IF($BV$2&gt;0, INDEX(Beersheet!$A:$U,MATCH(BB284,INDEX(Beersheet!$A:$U,0,FFARawStatProjections!$BV$2),0),$BV$3)+$BN284,
INDEX($A284:$BM284,,$BV$12)*$BW$12+
INDEX($A284:$BM284,,$BV$15)*$BW$15+
INDEX($A284:$BM284,,$BV$16)*$BW$16+
INDEX($A284:$BM284,,$BV$17)*$BW$17+
INDEX($A284:$BM284,,$BV$18)*$BW$18+
INDEX($A284:$BM284,,$BV$19)*$BW$19+
INDEX($A284:$BM284,,$BV$20)*$BW$20+
INDEX($A284:$BM284,,$BV$21)*$BW$21+
INDEX($A284:$BM284,,$BV$22)*$BW$22+
INDEX($A284:$BM284,,$BV$23)*$BW$23+
INDEX($A284:$BM284,,$BV$25)*$BW$25+
INDEX($A284:$BM284,,$BV$26)*$BW$26+
INDEX($A284:$BM284,,$BV$27)*$BW$27+
$BN284)),
$BN284-100)</f>
        <v>-100</v>
      </c>
      <c r="BF284" t="str">
        <f t="shared" si="62"/>
        <v/>
      </c>
      <c r="BG284" t="str">
        <f t="shared" si="63"/>
        <v/>
      </c>
      <c r="BH284">
        <f t="shared" si="64"/>
        <v>0</v>
      </c>
      <c r="BJ284" t="str">
        <f t="shared" si="65"/>
        <v/>
      </c>
      <c r="BL284">
        <f t="shared" si="67"/>
        <v>0</v>
      </c>
      <c r="BN284">
        <v>2.8300000000000001E-3</v>
      </c>
      <c r="BS284" s="4" t="s">
        <v>2483</v>
      </c>
    </row>
    <row r="285" spans="1:71" ht="15.75" thickBot="1" x14ac:dyDescent="0.3">
      <c r="A285" s="569" t="s">
        <v>2484</v>
      </c>
      <c r="B285" s="569" t="s">
        <v>139</v>
      </c>
      <c r="C285" s="569" t="s">
        <v>3</v>
      </c>
      <c r="D285" s="574">
        <v>6</v>
      </c>
      <c r="E285" s="569"/>
      <c r="F285" s="569"/>
      <c r="G285" s="569"/>
      <c r="H285" s="569"/>
      <c r="I285" s="574">
        <v>0</v>
      </c>
      <c r="J285" s="574">
        <v>0</v>
      </c>
      <c r="K285" s="574">
        <v>0</v>
      </c>
      <c r="L285" s="574">
        <v>3.7</v>
      </c>
      <c r="M285" s="574">
        <v>0.2</v>
      </c>
      <c r="N285" s="574">
        <v>16.399999999999999</v>
      </c>
      <c r="O285" s="574">
        <v>0</v>
      </c>
      <c r="P285" s="574">
        <v>0.1</v>
      </c>
      <c r="Q285" s="574">
        <v>13.1</v>
      </c>
      <c r="R285" s="569"/>
      <c r="S285" s="569"/>
      <c r="T285" s="569"/>
      <c r="U285" s="569"/>
      <c r="V285" s="569"/>
      <c r="W285" s="569"/>
      <c r="X285" s="569"/>
      <c r="Y285" s="569"/>
      <c r="Z285" s="569"/>
      <c r="AA285" s="569"/>
      <c r="AB285" s="569"/>
      <c r="AC285" s="569"/>
      <c r="AD285" s="569"/>
      <c r="AE285" s="569"/>
      <c r="AF285" s="569"/>
      <c r="AG285" s="569"/>
      <c r="AH285" s="569"/>
      <c r="AI285" s="569"/>
      <c r="AJ285" s="569"/>
      <c r="AK285" s="569"/>
      <c r="AL285" s="569"/>
      <c r="AM285" s="569"/>
      <c r="AN285" s="574">
        <v>4.9000000000000004</v>
      </c>
      <c r="AO285">
        <v>284</v>
      </c>
      <c r="AP285" t="str">
        <f t="shared" si="66"/>
        <v/>
      </c>
      <c r="AQ285" t="str">
        <f t="shared" si="56"/>
        <v/>
      </c>
      <c r="AR285" s="430">
        <f>IFERROR(
IF(AP285="",-100,
IF($BV$2&gt;0, INDEX(Beersheet!$A:$U,MATCH(AP285,INDEX(Beersheet!$A:$U,0,FFARawStatProjections!$BV$2),0),$BV$3)+$BN285,
INDEX($A285:$BM285,,$BV$12)*$BW$12+
INDEX($A285:$BM285,,$BV$15)*$BW$15+
INDEX($A285:$BM285,,$BV$16)*$BW$16+
INDEX($A285:$BM285,,$BV$17)*$BW$17+
INDEX($A285:$BM285,,$BV$18)*$BW$18+
INDEX($A285:$BM285,,$BV$19)*$BW$19+
INDEX($A285:$BM285,,$BV$20)*$BW$20+
INDEX($A285:$BM285,,$BV$21)*$BW$21+
INDEX($A285:$BM285,,$BV$22)*$BW$22+
INDEX($A285:$BM285,,$BV$23)*$BW$23+
INDEX($A285:$BM285,,$BV$25)*$BW$25+
INDEX($A285:$BM285,,$BV$26)*$BW$26+
INDEX($A285:$BM285,,$BV$27)*$BW$27+
$BN285)),
$BN285-100)</f>
        <v>-100</v>
      </c>
      <c r="AT285" t="str">
        <f t="shared" si="57"/>
        <v>Henry Pearson</v>
      </c>
      <c r="AU285" t="str">
        <f t="shared" si="58"/>
        <v>GB</v>
      </c>
      <c r="AV285" s="430">
        <f>IFERROR(
IF(AT285="",-100,
IF($BV$2&gt;0, INDEX(Beersheet!$A:$U,MATCH(AT285,INDEX(Beersheet!$A:$U,0,FFARawStatProjections!$BV$2),0),$BV$3)+$BN285,
INDEX($A285:$BM285,,$BV$12)*$BW$12+
INDEX($A285:$BM285,,$BV$15)*$BW$15+
INDEX($A285:$BM285,,$BV$16)*$BW$16+
INDEX($A285:$BM285,,$BV$17)*$BW$17+
INDEX($A285:$BM285,,$BV$18)*$BW$18+
INDEX($A285:$BM285,,$BV$19)*$BW$19+
INDEX($A285:$BM285,,$BV$20)*$BW$20+
INDEX($A285:$BM285,,$BV$21)*$BW$21+
INDEX($A285:$BM285,,$BV$22)*$BW$22+
INDEX($A285:$BM285,,$BV$23)*$BW$23+
INDEX($A285:$BM285,,$BV$25)*$BW$25+
INDEX($A285:$BM285,,$BV$26)*$BW$26+
INDEX($A285:$BM285,,$BV$27)*$BW$27+
$BN285)),
$BN285-100)</f>
        <v>8.4528400000000019</v>
      </c>
      <c r="AX285" t="str">
        <f t="shared" si="59"/>
        <v/>
      </c>
      <c r="AY285" t="str">
        <f t="shared" si="60"/>
        <v/>
      </c>
      <c r="AZ285" s="430">
        <f>IFERROR(
IF(AX285="",-100,
IF($BV$2&gt;0, INDEX(Beersheet!$A:$U,MATCH(AX285,INDEX(Beersheet!$A:$U,0,FFARawStatProjections!$BV$2),0),$BV$3)+$BN285,
INDEX($A285:$BM285,,$BV$12)*$BW$12+
INDEX($A285:$BM285,,$BV$15)*$BW$15+
INDEX($A285:$BM285,,$BV$16)*$BW$16+
INDEX($A285:$BM285,,$BV$17)*$BW$17+
INDEX($A285:$BM285,,$BV$18)*$BW$18+
INDEX($A285:$BM285,,$BV$19)*$BW$19+
INDEX($A285:$BM285,,$BV$20)*$BW$20+
INDEX($A285:$BM285,,$BV$21)*$BW$21+
INDEX($A285:$BM285,,$BV$22)*$BW$22+
INDEX($A285:$BM285,,$BV$23)*$BW$23+
INDEX($A285:$BM285,,$BV$25)*$BW$25+
INDEX($A285:$BM285,,$BV$26)*$BW$26+
INDEX($A285:$BM285,,$BV$27)*$BW$27+
$BN285)),
$BN285-100)</f>
        <v>-100</v>
      </c>
      <c r="BB285" t="str">
        <f t="shared" si="61"/>
        <v/>
      </c>
      <c r="BC285" t="str">
        <f t="shared" si="55"/>
        <v/>
      </c>
      <c r="BD285" s="430">
        <f>IFERROR(
IF(BB285="",-100,
IF($BV$2&gt;0, INDEX(Beersheet!$A:$U,MATCH(BB285,INDEX(Beersheet!$A:$U,0,FFARawStatProjections!$BV$2),0),$BV$3)+$BN285,
INDEX($A285:$BM285,,$BV$12)*$BW$12+
INDEX($A285:$BM285,,$BV$15)*$BW$15+
INDEX($A285:$BM285,,$BV$16)*$BW$16+
INDEX($A285:$BM285,,$BV$17)*$BW$17+
INDEX($A285:$BM285,,$BV$18)*$BW$18+
INDEX($A285:$BM285,,$BV$19)*$BW$19+
INDEX($A285:$BM285,,$BV$20)*$BW$20+
INDEX($A285:$BM285,,$BV$21)*$BW$21+
INDEX($A285:$BM285,,$BV$22)*$BW$22+
INDEX($A285:$BM285,,$BV$23)*$BW$23+
INDEX($A285:$BM285,,$BV$25)*$BW$25+
INDEX($A285:$BM285,,$BV$26)*$BW$26+
INDEX($A285:$BM285,,$BV$27)*$BW$27+
$BN285)),
$BN285-100)</f>
        <v>-100</v>
      </c>
      <c r="BF285" t="str">
        <f t="shared" si="62"/>
        <v/>
      </c>
      <c r="BG285" t="str">
        <f t="shared" si="63"/>
        <v/>
      </c>
      <c r="BH285">
        <f t="shared" si="64"/>
        <v>0</v>
      </c>
      <c r="BJ285" t="str">
        <f t="shared" si="65"/>
        <v/>
      </c>
      <c r="BL285">
        <f t="shared" si="67"/>
        <v>0</v>
      </c>
      <c r="BN285">
        <v>2.8400000000000001E-3</v>
      </c>
      <c r="BS285" s="4" t="s">
        <v>1884</v>
      </c>
    </row>
    <row r="286" spans="1:71" ht="15.75" thickBot="1" x14ac:dyDescent="0.3">
      <c r="A286" s="569" t="s">
        <v>2141</v>
      </c>
      <c r="B286" s="569" t="s">
        <v>158</v>
      </c>
      <c r="C286" s="569" t="s">
        <v>3</v>
      </c>
      <c r="D286" s="574">
        <v>11</v>
      </c>
      <c r="E286" s="569"/>
      <c r="F286" s="569"/>
      <c r="G286" s="569"/>
      <c r="H286" s="569"/>
      <c r="I286" s="574">
        <v>0</v>
      </c>
      <c r="J286" s="574">
        <v>0</v>
      </c>
      <c r="K286" s="574">
        <v>0</v>
      </c>
      <c r="L286" s="574">
        <v>2.2000000000000002</v>
      </c>
      <c r="M286" s="574">
        <v>0.1</v>
      </c>
      <c r="N286" s="574">
        <v>17.5</v>
      </c>
      <c r="O286" s="574">
        <v>5</v>
      </c>
      <c r="P286" s="574">
        <v>0.1</v>
      </c>
      <c r="Q286" s="574">
        <v>14.6</v>
      </c>
      <c r="R286" s="569"/>
      <c r="S286" s="569"/>
      <c r="T286" s="569"/>
      <c r="U286" s="569"/>
      <c r="V286" s="569"/>
      <c r="W286" s="569"/>
      <c r="X286" s="569"/>
      <c r="Y286" s="569"/>
      <c r="Z286" s="569"/>
      <c r="AA286" s="569"/>
      <c r="AB286" s="569"/>
      <c r="AC286" s="569"/>
      <c r="AD286" s="569"/>
      <c r="AE286" s="569"/>
      <c r="AF286" s="569"/>
      <c r="AG286" s="569"/>
      <c r="AH286" s="569"/>
      <c r="AI286" s="569"/>
      <c r="AJ286" s="569"/>
      <c r="AK286" s="569"/>
      <c r="AL286" s="569"/>
      <c r="AM286" s="569"/>
      <c r="AN286" s="574">
        <v>4.4000000000000004</v>
      </c>
      <c r="AO286">
        <v>285</v>
      </c>
      <c r="AP286" t="str">
        <f t="shared" si="66"/>
        <v/>
      </c>
      <c r="AQ286" t="str">
        <f t="shared" si="56"/>
        <v/>
      </c>
      <c r="AR286" s="430">
        <f>IFERROR(
IF(AP286="",-100,
IF($BV$2&gt;0, INDEX(Beersheet!$A:$U,MATCH(AP286,INDEX(Beersheet!$A:$U,0,FFARawStatProjections!$BV$2),0),$BV$3)+$BN286,
INDEX($A286:$BM286,,$BV$12)*$BW$12+
INDEX($A286:$BM286,,$BV$15)*$BW$15+
INDEX($A286:$BM286,,$BV$16)*$BW$16+
INDEX($A286:$BM286,,$BV$17)*$BW$17+
INDEX($A286:$BM286,,$BV$18)*$BW$18+
INDEX($A286:$BM286,,$BV$19)*$BW$19+
INDEX($A286:$BM286,,$BV$20)*$BW$20+
INDEX($A286:$BM286,,$BV$21)*$BW$21+
INDEX($A286:$BM286,,$BV$22)*$BW$22+
INDEX($A286:$BM286,,$BV$23)*$BW$23+
INDEX($A286:$BM286,,$BV$25)*$BW$25+
INDEX($A286:$BM286,,$BV$26)*$BW$26+
INDEX($A286:$BM286,,$BV$27)*$BW$27+
$BN286)),
$BN286-100)</f>
        <v>-100</v>
      </c>
      <c r="AT286" t="str">
        <f t="shared" si="57"/>
        <v>Jason Huntley</v>
      </c>
      <c r="AU286" t="str">
        <f t="shared" si="58"/>
        <v>IND</v>
      </c>
      <c r="AV286" s="430">
        <f>IFERROR(
IF(AT286="",-100,
IF($BV$2&gt;0, INDEX(Beersheet!$A:$U,MATCH(AT286,INDEX(Beersheet!$A:$U,0,FFARawStatProjections!$BV$2),0),$BV$3)+$BN286,
INDEX($A286:$BM286,,$BV$12)*$BW$12+
INDEX($A286:$BM286,,$BV$15)*$BW$15+
INDEX($A286:$BM286,,$BV$16)*$BW$16+
INDEX($A286:$BM286,,$BV$17)*$BW$17+
INDEX($A286:$BM286,,$BV$18)*$BW$18+
INDEX($A286:$BM286,,$BV$19)*$BW$19+
INDEX($A286:$BM286,,$BV$20)*$BW$20+
INDEX($A286:$BM286,,$BV$21)*$BW$21+
INDEX($A286:$BM286,,$BV$22)*$BW$22+
INDEX($A286:$BM286,,$BV$23)*$BW$23+
INDEX($A286:$BM286,,$BV$25)*$BW$25+
INDEX($A286:$BM286,,$BV$26)*$BW$26+
INDEX($A286:$BM286,,$BV$27)*$BW$27+
$BN286)),
$BN286-100)</f>
        <v>6.6128499999999999</v>
      </c>
      <c r="AX286" t="str">
        <f t="shared" si="59"/>
        <v/>
      </c>
      <c r="AY286" t="str">
        <f t="shared" si="60"/>
        <v/>
      </c>
      <c r="AZ286" s="430">
        <f>IFERROR(
IF(AX286="",-100,
IF($BV$2&gt;0, INDEX(Beersheet!$A:$U,MATCH(AX286,INDEX(Beersheet!$A:$U,0,FFARawStatProjections!$BV$2),0),$BV$3)+$BN286,
INDEX($A286:$BM286,,$BV$12)*$BW$12+
INDEX($A286:$BM286,,$BV$15)*$BW$15+
INDEX($A286:$BM286,,$BV$16)*$BW$16+
INDEX($A286:$BM286,,$BV$17)*$BW$17+
INDEX($A286:$BM286,,$BV$18)*$BW$18+
INDEX($A286:$BM286,,$BV$19)*$BW$19+
INDEX($A286:$BM286,,$BV$20)*$BW$20+
INDEX($A286:$BM286,,$BV$21)*$BW$21+
INDEX($A286:$BM286,,$BV$22)*$BW$22+
INDEX($A286:$BM286,,$BV$23)*$BW$23+
INDEX($A286:$BM286,,$BV$25)*$BW$25+
INDEX($A286:$BM286,,$BV$26)*$BW$26+
INDEX($A286:$BM286,,$BV$27)*$BW$27+
$BN286)),
$BN286-100)</f>
        <v>-100</v>
      </c>
      <c r="BB286" t="str">
        <f t="shared" si="61"/>
        <v/>
      </c>
      <c r="BC286" t="str">
        <f t="shared" si="55"/>
        <v/>
      </c>
      <c r="BD286" s="430">
        <f>IFERROR(
IF(BB286="",-100,
IF($BV$2&gt;0, INDEX(Beersheet!$A:$U,MATCH(BB286,INDEX(Beersheet!$A:$U,0,FFARawStatProjections!$BV$2),0),$BV$3)+$BN286,
INDEX($A286:$BM286,,$BV$12)*$BW$12+
INDEX($A286:$BM286,,$BV$15)*$BW$15+
INDEX($A286:$BM286,,$BV$16)*$BW$16+
INDEX($A286:$BM286,,$BV$17)*$BW$17+
INDEX($A286:$BM286,,$BV$18)*$BW$18+
INDEX($A286:$BM286,,$BV$19)*$BW$19+
INDEX($A286:$BM286,,$BV$20)*$BW$20+
INDEX($A286:$BM286,,$BV$21)*$BW$21+
INDEX($A286:$BM286,,$BV$22)*$BW$22+
INDEX($A286:$BM286,,$BV$23)*$BW$23+
INDEX($A286:$BM286,,$BV$25)*$BW$25+
INDEX($A286:$BM286,,$BV$26)*$BW$26+
INDEX($A286:$BM286,,$BV$27)*$BW$27+
$BN286)),
$BN286-100)</f>
        <v>-100</v>
      </c>
      <c r="BF286" t="str">
        <f t="shared" si="62"/>
        <v/>
      </c>
      <c r="BG286" t="str">
        <f t="shared" si="63"/>
        <v/>
      </c>
      <c r="BH286">
        <f t="shared" si="64"/>
        <v>0</v>
      </c>
      <c r="BJ286" t="str">
        <f t="shared" si="65"/>
        <v/>
      </c>
      <c r="BL286">
        <f t="shared" si="67"/>
        <v>0</v>
      </c>
      <c r="BN286">
        <v>2.8500000000000001E-3</v>
      </c>
      <c r="BS286" s="4" t="s">
        <v>1817</v>
      </c>
    </row>
    <row r="287" spans="1:71" ht="15.75" thickBot="1" x14ac:dyDescent="0.3">
      <c r="A287" s="569" t="s">
        <v>2113</v>
      </c>
      <c r="B287" s="569" t="s">
        <v>141</v>
      </c>
      <c r="C287" s="569" t="s">
        <v>3</v>
      </c>
      <c r="D287" s="574">
        <v>13</v>
      </c>
      <c r="E287" s="569"/>
      <c r="F287" s="569"/>
      <c r="G287" s="569"/>
      <c r="H287" s="569"/>
      <c r="I287" s="574">
        <v>0</v>
      </c>
      <c r="J287" s="574">
        <v>0</v>
      </c>
      <c r="K287" s="574">
        <v>0</v>
      </c>
      <c r="L287" s="574">
        <v>2.7</v>
      </c>
      <c r="M287" s="574">
        <v>0.1</v>
      </c>
      <c r="N287" s="574">
        <v>12.3</v>
      </c>
      <c r="O287" s="574">
        <v>5.7</v>
      </c>
      <c r="P287" s="574">
        <v>0.1</v>
      </c>
      <c r="Q287" s="574">
        <v>13.5</v>
      </c>
      <c r="R287" s="569"/>
      <c r="S287" s="569"/>
      <c r="T287" s="569"/>
      <c r="U287" s="569"/>
      <c r="V287" s="569"/>
      <c r="W287" s="569"/>
      <c r="X287" s="569"/>
      <c r="Y287" s="569"/>
      <c r="Z287" s="569"/>
      <c r="AA287" s="569"/>
      <c r="AB287" s="569"/>
      <c r="AC287" s="569"/>
      <c r="AD287" s="569"/>
      <c r="AE287" s="569"/>
      <c r="AF287" s="569"/>
      <c r="AG287" s="569"/>
      <c r="AH287" s="569"/>
      <c r="AI287" s="569"/>
      <c r="AJ287" s="569"/>
      <c r="AK287" s="569"/>
      <c r="AL287" s="569"/>
      <c r="AM287" s="569"/>
      <c r="AN287" s="574">
        <v>4</v>
      </c>
      <c r="AO287">
        <v>286</v>
      </c>
      <c r="AP287" t="str">
        <f t="shared" si="66"/>
        <v/>
      </c>
      <c r="AQ287" t="str">
        <f t="shared" si="56"/>
        <v/>
      </c>
      <c r="AR287" s="430">
        <f>IFERROR(
IF(AP287="",-100,
IF($BV$2&gt;0, INDEX(Beersheet!$A:$U,MATCH(AP287,INDEX(Beersheet!$A:$U,0,FFARawStatProjections!$BV$2),0),$BV$3)+$BN287,
INDEX($A287:$BM287,,$BV$12)*$BW$12+
INDEX($A287:$BM287,,$BV$15)*$BW$15+
INDEX($A287:$BM287,,$BV$16)*$BW$16+
INDEX($A287:$BM287,,$BV$17)*$BW$17+
INDEX($A287:$BM287,,$BV$18)*$BW$18+
INDEX($A287:$BM287,,$BV$19)*$BW$19+
INDEX($A287:$BM287,,$BV$20)*$BW$20+
INDEX($A287:$BM287,,$BV$21)*$BW$21+
INDEX($A287:$BM287,,$BV$22)*$BW$22+
INDEX($A287:$BM287,,$BV$23)*$BW$23+
INDEX($A287:$BM287,,$BV$25)*$BW$25+
INDEX($A287:$BM287,,$BV$26)*$BW$26+
INDEX($A287:$BM287,,$BV$27)*$BW$27+
$BN287)),
$BN287-100)</f>
        <v>-100</v>
      </c>
      <c r="AT287" t="str">
        <f t="shared" si="57"/>
        <v>Khari Blasingame</v>
      </c>
      <c r="AU287" t="str">
        <f t="shared" si="58"/>
        <v>CHI</v>
      </c>
      <c r="AV287" s="430">
        <f>IFERROR(
IF(AT287="",-100,
IF($BV$2&gt;0, INDEX(Beersheet!$A:$U,MATCH(AT287,INDEX(Beersheet!$A:$U,0,FFARawStatProjections!$BV$2),0),$BV$3)+$BN287,
INDEX($A287:$BM287,,$BV$12)*$BW$12+
INDEX($A287:$BM287,,$BV$15)*$BW$15+
INDEX($A287:$BM287,,$BV$16)*$BW$16+
INDEX($A287:$BM287,,$BV$17)*$BW$17+
INDEX($A287:$BM287,,$BV$18)*$BW$18+
INDEX($A287:$BM287,,$BV$19)*$BW$19+
INDEX($A287:$BM287,,$BV$20)*$BW$20+
INDEX($A287:$BM287,,$BV$21)*$BW$21+
INDEX($A287:$BM287,,$BV$22)*$BW$22+
INDEX($A287:$BM287,,$BV$23)*$BW$23+
INDEX($A287:$BM287,,$BV$25)*$BW$25+
INDEX($A287:$BM287,,$BV$26)*$BW$26+
INDEX($A287:$BM287,,$BV$27)*$BW$27+
$BN287)),
$BN287-100)</f>
        <v>6.4828600000000005</v>
      </c>
      <c r="AX287" t="str">
        <f t="shared" si="59"/>
        <v/>
      </c>
      <c r="AY287" t="str">
        <f t="shared" si="60"/>
        <v/>
      </c>
      <c r="AZ287" s="430">
        <f>IFERROR(
IF(AX287="",-100,
IF($BV$2&gt;0, INDEX(Beersheet!$A:$U,MATCH(AX287,INDEX(Beersheet!$A:$U,0,FFARawStatProjections!$BV$2),0),$BV$3)+$BN287,
INDEX($A287:$BM287,,$BV$12)*$BW$12+
INDEX($A287:$BM287,,$BV$15)*$BW$15+
INDEX($A287:$BM287,,$BV$16)*$BW$16+
INDEX($A287:$BM287,,$BV$17)*$BW$17+
INDEX($A287:$BM287,,$BV$18)*$BW$18+
INDEX($A287:$BM287,,$BV$19)*$BW$19+
INDEX($A287:$BM287,,$BV$20)*$BW$20+
INDEX($A287:$BM287,,$BV$21)*$BW$21+
INDEX($A287:$BM287,,$BV$22)*$BW$22+
INDEX($A287:$BM287,,$BV$23)*$BW$23+
INDEX($A287:$BM287,,$BV$25)*$BW$25+
INDEX($A287:$BM287,,$BV$26)*$BW$26+
INDEX($A287:$BM287,,$BV$27)*$BW$27+
$BN287)),
$BN287-100)</f>
        <v>-100</v>
      </c>
      <c r="BB287" t="str">
        <f t="shared" si="61"/>
        <v/>
      </c>
      <c r="BC287" t="str">
        <f t="shared" si="55"/>
        <v/>
      </c>
      <c r="BD287" s="430">
        <f>IFERROR(
IF(BB287="",-100,
IF($BV$2&gt;0, INDEX(Beersheet!$A:$U,MATCH(BB287,INDEX(Beersheet!$A:$U,0,FFARawStatProjections!$BV$2),0),$BV$3)+$BN287,
INDEX($A287:$BM287,,$BV$12)*$BW$12+
INDEX($A287:$BM287,,$BV$15)*$BW$15+
INDEX($A287:$BM287,,$BV$16)*$BW$16+
INDEX($A287:$BM287,,$BV$17)*$BW$17+
INDEX($A287:$BM287,,$BV$18)*$BW$18+
INDEX($A287:$BM287,,$BV$19)*$BW$19+
INDEX($A287:$BM287,,$BV$20)*$BW$20+
INDEX($A287:$BM287,,$BV$21)*$BW$21+
INDEX($A287:$BM287,,$BV$22)*$BW$22+
INDEX($A287:$BM287,,$BV$23)*$BW$23+
INDEX($A287:$BM287,,$BV$25)*$BW$25+
INDEX($A287:$BM287,,$BV$26)*$BW$26+
INDEX($A287:$BM287,,$BV$27)*$BW$27+
$BN287)),
$BN287-100)</f>
        <v>-100</v>
      </c>
      <c r="BF287" t="str">
        <f t="shared" si="62"/>
        <v/>
      </c>
      <c r="BG287" t="str">
        <f t="shared" si="63"/>
        <v/>
      </c>
      <c r="BH287">
        <f t="shared" si="64"/>
        <v>0</v>
      </c>
      <c r="BJ287" t="str">
        <f t="shared" si="65"/>
        <v/>
      </c>
      <c r="BL287">
        <f t="shared" si="67"/>
        <v>0</v>
      </c>
      <c r="BN287">
        <v>2.8600000000000001E-3</v>
      </c>
      <c r="BS287" s="4" t="s">
        <v>158</v>
      </c>
    </row>
    <row r="288" spans="1:71" ht="15.75" thickBot="1" x14ac:dyDescent="0.3">
      <c r="A288" s="569" t="s">
        <v>2479</v>
      </c>
      <c r="B288" s="569" t="s">
        <v>155</v>
      </c>
      <c r="C288" s="569" t="s">
        <v>3</v>
      </c>
      <c r="D288" s="574">
        <v>9</v>
      </c>
      <c r="E288" s="569"/>
      <c r="F288" s="569"/>
      <c r="G288" s="569"/>
      <c r="H288" s="569"/>
      <c r="I288" s="574">
        <v>0</v>
      </c>
      <c r="J288" s="574">
        <v>0</v>
      </c>
      <c r="K288" s="574">
        <v>0</v>
      </c>
      <c r="L288" s="574">
        <v>3.6</v>
      </c>
      <c r="M288" s="574">
        <v>0.2</v>
      </c>
      <c r="N288" s="574">
        <v>16.3</v>
      </c>
      <c r="O288" s="574">
        <v>0</v>
      </c>
      <c r="P288" s="574">
        <v>0.1</v>
      </c>
      <c r="Q288" s="574">
        <v>7.3</v>
      </c>
      <c r="R288" s="569"/>
      <c r="S288" s="569"/>
      <c r="T288" s="569"/>
      <c r="U288" s="569"/>
      <c r="V288" s="569"/>
      <c r="W288" s="569"/>
      <c r="X288" s="569"/>
      <c r="Y288" s="569"/>
      <c r="Z288" s="569"/>
      <c r="AA288" s="569"/>
      <c r="AB288" s="569"/>
      <c r="AC288" s="569"/>
      <c r="AD288" s="569"/>
      <c r="AE288" s="569"/>
      <c r="AF288" s="569"/>
      <c r="AG288" s="569"/>
      <c r="AH288" s="569"/>
      <c r="AI288" s="569"/>
      <c r="AJ288" s="569"/>
      <c r="AK288" s="569"/>
      <c r="AL288" s="569"/>
      <c r="AM288" s="569"/>
      <c r="AN288" s="574">
        <v>3.9</v>
      </c>
      <c r="AO288">
        <v>287</v>
      </c>
      <c r="AP288" t="str">
        <f t="shared" si="66"/>
        <v/>
      </c>
      <c r="AQ288" t="str">
        <f t="shared" si="56"/>
        <v/>
      </c>
      <c r="AR288" s="430">
        <f>IFERROR(
IF(AP288="",-100,
IF($BV$2&gt;0, INDEX(Beersheet!$A:$U,MATCH(AP288,INDEX(Beersheet!$A:$U,0,FFARawStatProjections!$BV$2),0),$BV$3)+$BN288,
INDEX($A288:$BM288,,$BV$12)*$BW$12+
INDEX($A288:$BM288,,$BV$15)*$BW$15+
INDEX($A288:$BM288,,$BV$16)*$BW$16+
INDEX($A288:$BM288,,$BV$17)*$BW$17+
INDEX($A288:$BM288,,$BV$18)*$BW$18+
INDEX($A288:$BM288,,$BV$19)*$BW$19+
INDEX($A288:$BM288,,$BV$20)*$BW$20+
INDEX($A288:$BM288,,$BV$21)*$BW$21+
INDEX($A288:$BM288,,$BV$22)*$BW$22+
INDEX($A288:$BM288,,$BV$23)*$BW$23+
INDEX($A288:$BM288,,$BV$25)*$BW$25+
INDEX($A288:$BM288,,$BV$26)*$BW$26+
INDEX($A288:$BM288,,$BV$27)*$BW$27+
$BN288)),
$BN288-100)</f>
        <v>-100</v>
      </c>
      <c r="AT288" t="str">
        <f t="shared" si="57"/>
        <v>Jack Colletto</v>
      </c>
      <c r="AU288" t="str">
        <f t="shared" si="58"/>
        <v>SF</v>
      </c>
      <c r="AV288" s="430">
        <f>IFERROR(
IF(AT288="",-100,
IF($BV$2&gt;0, INDEX(Beersheet!$A:$U,MATCH(AT288,INDEX(Beersheet!$A:$U,0,FFARawStatProjections!$BV$2),0),$BV$3)+$BN288,
INDEX($A288:$BM288,,$BV$12)*$BW$12+
INDEX($A288:$BM288,,$BV$15)*$BW$15+
INDEX($A288:$BM288,,$BV$16)*$BW$16+
INDEX($A288:$BM288,,$BV$17)*$BW$17+
INDEX($A288:$BM288,,$BV$18)*$BW$18+
INDEX($A288:$BM288,,$BV$19)*$BW$19+
INDEX($A288:$BM288,,$BV$20)*$BW$20+
INDEX($A288:$BM288,,$BV$21)*$BW$21+
INDEX($A288:$BM288,,$BV$22)*$BW$22+
INDEX($A288:$BM288,,$BV$23)*$BW$23+
INDEX($A288:$BM288,,$BV$25)*$BW$25+
INDEX($A288:$BM288,,$BV$26)*$BW$26+
INDEX($A288:$BM288,,$BV$27)*$BW$27+
$BN288)),
$BN288-100)</f>
        <v>7.7628700000000013</v>
      </c>
      <c r="AX288" t="str">
        <f t="shared" si="59"/>
        <v/>
      </c>
      <c r="AY288" t="str">
        <f t="shared" si="60"/>
        <v/>
      </c>
      <c r="AZ288" s="430">
        <f>IFERROR(
IF(AX288="",-100,
IF($BV$2&gt;0, INDEX(Beersheet!$A:$U,MATCH(AX288,INDEX(Beersheet!$A:$U,0,FFARawStatProjections!$BV$2),0),$BV$3)+$BN288,
INDEX($A288:$BM288,,$BV$12)*$BW$12+
INDEX($A288:$BM288,,$BV$15)*$BW$15+
INDEX($A288:$BM288,,$BV$16)*$BW$16+
INDEX($A288:$BM288,,$BV$17)*$BW$17+
INDEX($A288:$BM288,,$BV$18)*$BW$18+
INDEX($A288:$BM288,,$BV$19)*$BW$19+
INDEX($A288:$BM288,,$BV$20)*$BW$20+
INDEX($A288:$BM288,,$BV$21)*$BW$21+
INDEX($A288:$BM288,,$BV$22)*$BW$22+
INDEX($A288:$BM288,,$BV$23)*$BW$23+
INDEX($A288:$BM288,,$BV$25)*$BW$25+
INDEX($A288:$BM288,,$BV$26)*$BW$26+
INDEX($A288:$BM288,,$BV$27)*$BW$27+
$BN288)),
$BN288-100)</f>
        <v>-100</v>
      </c>
      <c r="BB288" t="str">
        <f t="shared" si="61"/>
        <v/>
      </c>
      <c r="BC288" t="str">
        <f t="shared" si="55"/>
        <v/>
      </c>
      <c r="BD288" s="430">
        <f>IFERROR(
IF(BB288="",-100,
IF($BV$2&gt;0, INDEX(Beersheet!$A:$U,MATCH(BB288,INDEX(Beersheet!$A:$U,0,FFARawStatProjections!$BV$2),0),$BV$3)+$BN288,
INDEX($A288:$BM288,,$BV$12)*$BW$12+
INDEX($A288:$BM288,,$BV$15)*$BW$15+
INDEX($A288:$BM288,,$BV$16)*$BW$16+
INDEX($A288:$BM288,,$BV$17)*$BW$17+
INDEX($A288:$BM288,,$BV$18)*$BW$18+
INDEX($A288:$BM288,,$BV$19)*$BW$19+
INDEX($A288:$BM288,,$BV$20)*$BW$20+
INDEX($A288:$BM288,,$BV$21)*$BW$21+
INDEX($A288:$BM288,,$BV$22)*$BW$22+
INDEX($A288:$BM288,,$BV$23)*$BW$23+
INDEX($A288:$BM288,,$BV$25)*$BW$25+
INDEX($A288:$BM288,,$BV$26)*$BW$26+
INDEX($A288:$BM288,,$BV$27)*$BW$27+
$BN288)),
$BN288-100)</f>
        <v>-100</v>
      </c>
      <c r="BF288" t="str">
        <f t="shared" si="62"/>
        <v/>
      </c>
      <c r="BG288" t="str">
        <f t="shared" si="63"/>
        <v/>
      </c>
      <c r="BH288">
        <f t="shared" si="64"/>
        <v>0</v>
      </c>
      <c r="BJ288" t="str">
        <f t="shared" si="65"/>
        <v/>
      </c>
      <c r="BL288">
        <f t="shared" si="67"/>
        <v>0</v>
      </c>
      <c r="BN288">
        <v>2.8700000000000002E-3</v>
      </c>
      <c r="BS288" s="4" t="s">
        <v>1873</v>
      </c>
    </row>
    <row r="289" spans="1:71" ht="15.75" thickBot="1" x14ac:dyDescent="0.3">
      <c r="A289" s="569" t="s">
        <v>1390</v>
      </c>
      <c r="B289" s="569" t="s">
        <v>148</v>
      </c>
      <c r="C289" s="569" t="s">
        <v>3</v>
      </c>
      <c r="D289" s="574">
        <v>11</v>
      </c>
      <c r="E289" s="569"/>
      <c r="F289" s="569"/>
      <c r="G289" s="569"/>
      <c r="H289" s="569"/>
      <c r="I289" s="574">
        <v>0</v>
      </c>
      <c r="J289" s="574">
        <v>0</v>
      </c>
      <c r="K289" s="574">
        <v>0</v>
      </c>
      <c r="L289" s="574">
        <v>2.8</v>
      </c>
      <c r="M289" s="574">
        <v>0.1</v>
      </c>
      <c r="N289" s="574">
        <v>11.4</v>
      </c>
      <c r="O289" s="574">
        <v>5.4</v>
      </c>
      <c r="P289" s="574">
        <v>0.1</v>
      </c>
      <c r="Q289" s="574">
        <v>12.4</v>
      </c>
      <c r="R289" s="569"/>
      <c r="S289" s="569"/>
      <c r="T289" s="569"/>
      <c r="U289" s="569"/>
      <c r="V289" s="569"/>
      <c r="W289" s="569"/>
      <c r="X289" s="569"/>
      <c r="Y289" s="569"/>
      <c r="Z289" s="569"/>
      <c r="AA289" s="569"/>
      <c r="AB289" s="569"/>
      <c r="AC289" s="569"/>
      <c r="AD289" s="569"/>
      <c r="AE289" s="569"/>
      <c r="AF289" s="569"/>
      <c r="AG289" s="569"/>
      <c r="AH289" s="569"/>
      <c r="AI289" s="569"/>
      <c r="AJ289" s="569"/>
      <c r="AK289" s="569"/>
      <c r="AL289" s="569"/>
      <c r="AM289" s="569"/>
      <c r="AN289" s="574">
        <v>3.8</v>
      </c>
      <c r="AO289">
        <v>288</v>
      </c>
      <c r="AP289" t="str">
        <f t="shared" si="66"/>
        <v/>
      </c>
      <c r="AQ289" t="str">
        <f t="shared" si="56"/>
        <v/>
      </c>
      <c r="AR289" s="430">
        <f>IFERROR(
IF(AP289="",-100,
IF($BV$2&gt;0, INDEX(Beersheet!$A:$U,MATCH(AP289,INDEX(Beersheet!$A:$U,0,FFARawStatProjections!$BV$2),0),$BV$3)+$BN289,
INDEX($A289:$BM289,,$BV$12)*$BW$12+
INDEX($A289:$BM289,,$BV$15)*$BW$15+
INDEX($A289:$BM289,,$BV$16)*$BW$16+
INDEX($A289:$BM289,,$BV$17)*$BW$17+
INDEX($A289:$BM289,,$BV$18)*$BW$18+
INDEX($A289:$BM289,,$BV$19)*$BW$19+
INDEX($A289:$BM289,,$BV$20)*$BW$20+
INDEX($A289:$BM289,,$BV$21)*$BW$21+
INDEX($A289:$BM289,,$BV$22)*$BW$22+
INDEX($A289:$BM289,,$BV$23)*$BW$23+
INDEX($A289:$BM289,,$BV$25)*$BW$25+
INDEX($A289:$BM289,,$BV$26)*$BW$26+
INDEX($A289:$BM289,,$BV$27)*$BW$27+
$BN289)),
$BN289-100)</f>
        <v>-100</v>
      </c>
      <c r="AT289" t="str">
        <f t="shared" si="57"/>
        <v>Keith Smith</v>
      </c>
      <c r="AU289" t="str">
        <f t="shared" si="58"/>
        <v>ATL</v>
      </c>
      <c r="AV289" s="430">
        <f>IFERROR(
IF(AT289="",-100,
IF($BV$2&gt;0, INDEX(Beersheet!$A:$U,MATCH(AT289,INDEX(Beersheet!$A:$U,0,FFARawStatProjections!$BV$2),0),$BV$3)+$BN289,
INDEX($A289:$BM289,,$BV$12)*$BW$12+
INDEX($A289:$BM289,,$BV$15)*$BW$15+
INDEX($A289:$BM289,,$BV$16)*$BW$16+
INDEX($A289:$BM289,,$BV$17)*$BW$17+
INDEX($A289:$BM289,,$BV$18)*$BW$18+
INDEX($A289:$BM289,,$BV$19)*$BW$19+
INDEX($A289:$BM289,,$BV$20)*$BW$20+
INDEX($A289:$BM289,,$BV$21)*$BW$21+
INDEX($A289:$BM289,,$BV$22)*$BW$22+
INDEX($A289:$BM289,,$BV$23)*$BW$23+
INDEX($A289:$BM289,,$BV$25)*$BW$25+
INDEX($A289:$BM289,,$BV$26)*$BW$26+
INDEX($A289:$BM289,,$BV$27)*$BW$27+
$BN289)),
$BN289-100)</f>
        <v>6.382880000000001</v>
      </c>
      <c r="AX289" t="str">
        <f t="shared" si="59"/>
        <v/>
      </c>
      <c r="AY289" t="str">
        <f t="shared" si="60"/>
        <v/>
      </c>
      <c r="AZ289" s="430">
        <f>IFERROR(
IF(AX289="",-100,
IF($BV$2&gt;0, INDEX(Beersheet!$A:$U,MATCH(AX289,INDEX(Beersheet!$A:$U,0,FFARawStatProjections!$BV$2),0),$BV$3)+$BN289,
INDEX($A289:$BM289,,$BV$12)*$BW$12+
INDEX($A289:$BM289,,$BV$15)*$BW$15+
INDEX($A289:$BM289,,$BV$16)*$BW$16+
INDEX($A289:$BM289,,$BV$17)*$BW$17+
INDEX($A289:$BM289,,$BV$18)*$BW$18+
INDEX($A289:$BM289,,$BV$19)*$BW$19+
INDEX($A289:$BM289,,$BV$20)*$BW$20+
INDEX($A289:$BM289,,$BV$21)*$BW$21+
INDEX($A289:$BM289,,$BV$22)*$BW$22+
INDEX($A289:$BM289,,$BV$23)*$BW$23+
INDEX($A289:$BM289,,$BV$25)*$BW$25+
INDEX($A289:$BM289,,$BV$26)*$BW$26+
INDEX($A289:$BM289,,$BV$27)*$BW$27+
$BN289)),
$BN289-100)</f>
        <v>-100</v>
      </c>
      <c r="BB289" t="str">
        <f t="shared" si="61"/>
        <v/>
      </c>
      <c r="BC289" t="str">
        <f t="shared" si="55"/>
        <v/>
      </c>
      <c r="BD289" s="430">
        <f>IFERROR(
IF(BB289="",-100,
IF($BV$2&gt;0, INDEX(Beersheet!$A:$U,MATCH(BB289,INDEX(Beersheet!$A:$U,0,FFARawStatProjections!$BV$2),0),$BV$3)+$BN289,
INDEX($A289:$BM289,,$BV$12)*$BW$12+
INDEX($A289:$BM289,,$BV$15)*$BW$15+
INDEX($A289:$BM289,,$BV$16)*$BW$16+
INDEX($A289:$BM289,,$BV$17)*$BW$17+
INDEX($A289:$BM289,,$BV$18)*$BW$18+
INDEX($A289:$BM289,,$BV$19)*$BW$19+
INDEX($A289:$BM289,,$BV$20)*$BW$20+
INDEX($A289:$BM289,,$BV$21)*$BW$21+
INDEX($A289:$BM289,,$BV$22)*$BW$22+
INDEX($A289:$BM289,,$BV$23)*$BW$23+
INDEX($A289:$BM289,,$BV$25)*$BW$25+
INDEX($A289:$BM289,,$BV$26)*$BW$26+
INDEX($A289:$BM289,,$BV$27)*$BW$27+
$BN289)),
$BN289-100)</f>
        <v>-100</v>
      </c>
      <c r="BF289" t="str">
        <f t="shared" si="62"/>
        <v/>
      </c>
      <c r="BG289" t="str">
        <f t="shared" si="63"/>
        <v/>
      </c>
      <c r="BH289">
        <f t="shared" si="64"/>
        <v>0</v>
      </c>
      <c r="BJ289" t="str">
        <f t="shared" si="65"/>
        <v/>
      </c>
      <c r="BL289">
        <f t="shared" si="67"/>
        <v>0</v>
      </c>
      <c r="BN289">
        <v>2.8800000000000002E-3</v>
      </c>
      <c r="BS289" s="4" t="s">
        <v>2208</v>
      </c>
    </row>
    <row r="290" spans="1:71" ht="15.75" thickBot="1" x14ac:dyDescent="0.3">
      <c r="A290" s="569" t="s">
        <v>2142</v>
      </c>
      <c r="B290" s="569" t="s">
        <v>2073</v>
      </c>
      <c r="C290" s="569" t="s">
        <v>3</v>
      </c>
      <c r="D290" s="574">
        <v>13</v>
      </c>
      <c r="E290" s="569"/>
      <c r="F290" s="569"/>
      <c r="G290" s="569"/>
      <c r="H290" s="569"/>
      <c r="I290" s="574">
        <v>0</v>
      </c>
      <c r="J290" s="574">
        <v>0</v>
      </c>
      <c r="K290" s="574">
        <v>0</v>
      </c>
      <c r="L290" s="574">
        <v>4.5</v>
      </c>
      <c r="M290" s="574">
        <v>0.2</v>
      </c>
      <c r="N290" s="574">
        <v>16</v>
      </c>
      <c r="O290" s="574">
        <v>0</v>
      </c>
      <c r="P290" s="574">
        <v>0</v>
      </c>
      <c r="Q290" s="574">
        <v>2</v>
      </c>
      <c r="R290" s="569"/>
      <c r="S290" s="569"/>
      <c r="T290" s="569"/>
      <c r="U290" s="569"/>
      <c r="V290" s="569"/>
      <c r="W290" s="569"/>
      <c r="X290" s="569"/>
      <c r="Y290" s="569"/>
      <c r="Z290" s="569"/>
      <c r="AA290" s="569"/>
      <c r="AB290" s="569"/>
      <c r="AC290" s="569"/>
      <c r="AD290" s="569"/>
      <c r="AE290" s="569"/>
      <c r="AF290" s="569"/>
      <c r="AG290" s="569"/>
      <c r="AH290" s="569"/>
      <c r="AI290" s="569"/>
      <c r="AJ290" s="569"/>
      <c r="AK290" s="569"/>
      <c r="AL290" s="569"/>
      <c r="AM290" s="569"/>
      <c r="AN290" s="574">
        <v>2.9</v>
      </c>
      <c r="AO290">
        <v>289</v>
      </c>
      <c r="AP290" t="str">
        <f t="shared" si="66"/>
        <v/>
      </c>
      <c r="AQ290" t="str">
        <f t="shared" si="56"/>
        <v/>
      </c>
      <c r="AR290" s="430">
        <f>IFERROR(
IF(AP290="",-100,
IF($BV$2&gt;0, INDEX(Beersheet!$A:$U,MATCH(AP290,INDEX(Beersheet!$A:$U,0,FFARawStatProjections!$BV$2),0),$BV$3)+$BN290,
INDEX($A290:$BM290,,$BV$12)*$BW$12+
INDEX($A290:$BM290,,$BV$15)*$BW$15+
INDEX($A290:$BM290,,$BV$16)*$BW$16+
INDEX($A290:$BM290,,$BV$17)*$BW$17+
INDEX($A290:$BM290,,$BV$18)*$BW$18+
INDEX($A290:$BM290,,$BV$19)*$BW$19+
INDEX($A290:$BM290,,$BV$20)*$BW$20+
INDEX($A290:$BM290,,$BV$21)*$BW$21+
INDEX($A290:$BM290,,$BV$22)*$BW$22+
INDEX($A290:$BM290,,$BV$23)*$BW$23+
INDEX($A290:$BM290,,$BV$25)*$BW$25+
INDEX($A290:$BM290,,$BV$26)*$BW$26+
INDEX($A290:$BM290,,$BV$27)*$BW$27+
$BN290)),
$BN290-100)</f>
        <v>-100</v>
      </c>
      <c r="AT290" t="str">
        <f t="shared" si="57"/>
        <v>Jakob Johnson</v>
      </c>
      <c r="AU290" t="str">
        <f t="shared" si="58"/>
        <v>LV</v>
      </c>
      <c r="AV290" s="430">
        <f>IFERROR(
IF(AT290="",-100,
IF($BV$2&gt;0, INDEX(Beersheet!$A:$U,MATCH(AT290,INDEX(Beersheet!$A:$U,0,FFARawStatProjections!$BV$2),0),$BV$3)+$BN290,
INDEX($A290:$BM290,,$BV$12)*$BW$12+
INDEX($A290:$BM290,,$BV$15)*$BW$15+
INDEX($A290:$BM290,,$BV$16)*$BW$16+
INDEX($A290:$BM290,,$BV$17)*$BW$17+
INDEX($A290:$BM290,,$BV$18)*$BW$18+
INDEX($A290:$BM290,,$BV$19)*$BW$19+
INDEX($A290:$BM290,,$BV$20)*$BW$20+
INDEX($A290:$BM290,,$BV$21)*$BW$21+
INDEX($A290:$BM290,,$BV$22)*$BW$22+
INDEX($A290:$BM290,,$BV$23)*$BW$23+
INDEX($A290:$BM290,,$BV$25)*$BW$25+
INDEX($A290:$BM290,,$BV$26)*$BW$26+
INDEX($A290:$BM290,,$BV$27)*$BW$27+
$BN290)),
$BN290-100)</f>
        <v>7.5028900000000007</v>
      </c>
      <c r="AX290" t="str">
        <f t="shared" si="59"/>
        <v/>
      </c>
      <c r="AY290" t="str">
        <f t="shared" si="60"/>
        <v/>
      </c>
      <c r="AZ290" s="430">
        <f>IFERROR(
IF(AX290="",-100,
IF($BV$2&gt;0, INDEX(Beersheet!$A:$U,MATCH(AX290,INDEX(Beersheet!$A:$U,0,FFARawStatProjections!$BV$2),0),$BV$3)+$BN290,
INDEX($A290:$BM290,,$BV$12)*$BW$12+
INDEX($A290:$BM290,,$BV$15)*$BW$15+
INDEX($A290:$BM290,,$BV$16)*$BW$16+
INDEX($A290:$BM290,,$BV$17)*$BW$17+
INDEX($A290:$BM290,,$BV$18)*$BW$18+
INDEX($A290:$BM290,,$BV$19)*$BW$19+
INDEX($A290:$BM290,,$BV$20)*$BW$20+
INDEX($A290:$BM290,,$BV$21)*$BW$21+
INDEX($A290:$BM290,,$BV$22)*$BW$22+
INDEX($A290:$BM290,,$BV$23)*$BW$23+
INDEX($A290:$BM290,,$BV$25)*$BW$25+
INDEX($A290:$BM290,,$BV$26)*$BW$26+
INDEX($A290:$BM290,,$BV$27)*$BW$27+
$BN290)),
$BN290-100)</f>
        <v>-100</v>
      </c>
      <c r="BB290" t="str">
        <f t="shared" si="61"/>
        <v/>
      </c>
      <c r="BC290" t="str">
        <f t="shared" si="55"/>
        <v/>
      </c>
      <c r="BD290" s="430">
        <f>IFERROR(
IF(BB290="",-100,
IF($BV$2&gt;0, INDEX(Beersheet!$A:$U,MATCH(BB290,INDEX(Beersheet!$A:$U,0,FFARawStatProjections!$BV$2),0),$BV$3)+$BN290,
INDEX($A290:$BM290,,$BV$12)*$BW$12+
INDEX($A290:$BM290,,$BV$15)*$BW$15+
INDEX($A290:$BM290,,$BV$16)*$BW$16+
INDEX($A290:$BM290,,$BV$17)*$BW$17+
INDEX($A290:$BM290,,$BV$18)*$BW$18+
INDEX($A290:$BM290,,$BV$19)*$BW$19+
INDEX($A290:$BM290,,$BV$20)*$BW$20+
INDEX($A290:$BM290,,$BV$21)*$BW$21+
INDEX($A290:$BM290,,$BV$22)*$BW$22+
INDEX($A290:$BM290,,$BV$23)*$BW$23+
INDEX($A290:$BM290,,$BV$25)*$BW$25+
INDEX($A290:$BM290,,$BV$26)*$BW$26+
INDEX($A290:$BM290,,$BV$27)*$BW$27+
$BN290)),
$BN290-100)</f>
        <v>-100</v>
      </c>
      <c r="BF290" t="str">
        <f t="shared" si="62"/>
        <v/>
      </c>
      <c r="BG290" t="str">
        <f t="shared" si="63"/>
        <v/>
      </c>
      <c r="BH290">
        <f t="shared" si="64"/>
        <v>0</v>
      </c>
      <c r="BJ290" t="str">
        <f t="shared" si="65"/>
        <v/>
      </c>
      <c r="BL290">
        <f t="shared" si="67"/>
        <v>0</v>
      </c>
      <c r="BN290">
        <v>2.8900000000000002E-3</v>
      </c>
      <c r="BS290" s="4" t="s">
        <v>2482</v>
      </c>
    </row>
    <row r="291" spans="1:71" ht="15.75" thickBot="1" x14ac:dyDescent="0.3">
      <c r="A291" s="569" t="s">
        <v>2543</v>
      </c>
      <c r="B291" s="569" t="s">
        <v>143</v>
      </c>
      <c r="C291" s="569" t="s">
        <v>3</v>
      </c>
      <c r="D291" s="574">
        <v>11</v>
      </c>
      <c r="E291" s="569"/>
      <c r="F291" s="569"/>
      <c r="G291" s="569"/>
      <c r="H291" s="569"/>
      <c r="I291" s="574">
        <v>0</v>
      </c>
      <c r="J291" s="574">
        <v>0</v>
      </c>
      <c r="K291" s="574">
        <v>0</v>
      </c>
      <c r="L291" s="574">
        <v>0.5</v>
      </c>
      <c r="M291" s="574">
        <v>0</v>
      </c>
      <c r="N291" s="574">
        <v>3.7</v>
      </c>
      <c r="O291" s="574">
        <v>0</v>
      </c>
      <c r="P291" s="574">
        <v>0.1</v>
      </c>
      <c r="Q291" s="574">
        <v>10.199999999999999</v>
      </c>
      <c r="R291" s="569"/>
      <c r="S291" s="569"/>
      <c r="T291" s="569"/>
      <c r="U291" s="569"/>
      <c r="V291" s="569"/>
      <c r="W291" s="569"/>
      <c r="X291" s="569"/>
      <c r="Y291" s="569"/>
      <c r="Z291" s="569"/>
      <c r="AA291" s="569"/>
      <c r="AB291" s="569"/>
      <c r="AC291" s="569"/>
      <c r="AD291" s="569"/>
      <c r="AE291" s="569"/>
      <c r="AF291" s="569"/>
      <c r="AG291" s="569"/>
      <c r="AH291" s="569"/>
      <c r="AI291" s="569"/>
      <c r="AJ291" s="569"/>
      <c r="AK291" s="569"/>
      <c r="AL291" s="569"/>
      <c r="AM291" s="569"/>
      <c r="AN291" s="574">
        <v>2</v>
      </c>
      <c r="AO291">
        <v>290</v>
      </c>
      <c r="AP291" t="str">
        <f t="shared" si="66"/>
        <v/>
      </c>
      <c r="AQ291" t="str">
        <f t="shared" si="56"/>
        <v/>
      </c>
      <c r="AR291" s="430">
        <f>IFERROR(
IF(AP291="",-100,
IF($BV$2&gt;0, INDEX(Beersheet!$A:$U,MATCH(AP291,INDEX(Beersheet!$A:$U,0,FFARawStatProjections!$BV$2),0),$BV$3)+$BN291,
INDEX($A291:$BM291,,$BV$12)*$BW$12+
INDEX($A291:$BM291,,$BV$15)*$BW$15+
INDEX($A291:$BM291,,$BV$16)*$BW$16+
INDEX($A291:$BM291,,$BV$17)*$BW$17+
INDEX($A291:$BM291,,$BV$18)*$BW$18+
INDEX($A291:$BM291,,$BV$19)*$BW$19+
INDEX($A291:$BM291,,$BV$20)*$BW$20+
INDEX($A291:$BM291,,$BV$21)*$BW$21+
INDEX($A291:$BM291,,$BV$22)*$BW$22+
INDEX($A291:$BM291,,$BV$23)*$BW$23+
INDEX($A291:$BM291,,$BV$25)*$BW$25+
INDEX($A291:$BM291,,$BV$26)*$BW$26+
INDEX($A291:$BM291,,$BV$27)*$BW$27+
$BN291)),
$BN291-100)</f>
        <v>-100</v>
      </c>
      <c r="AT291" t="str">
        <f t="shared" si="57"/>
        <v>Ellis Merriweather</v>
      </c>
      <c r="AU291" t="str">
        <f t="shared" si="58"/>
        <v>NO</v>
      </c>
      <c r="AV291" s="430">
        <f>IFERROR(
IF(AT291="",-100,
IF($BV$2&gt;0, INDEX(Beersheet!$A:$U,MATCH(AT291,INDEX(Beersheet!$A:$U,0,FFARawStatProjections!$BV$2),0),$BV$3)+$BN291,
INDEX($A291:$BM291,,$BV$12)*$BW$12+
INDEX($A291:$BM291,,$BV$15)*$BW$15+
INDEX($A291:$BM291,,$BV$16)*$BW$16+
INDEX($A291:$BM291,,$BV$17)*$BW$17+
INDEX($A291:$BM291,,$BV$18)*$BW$18+
INDEX($A291:$BM291,,$BV$19)*$BW$19+
INDEX($A291:$BM291,,$BV$20)*$BW$20+
INDEX($A291:$BM291,,$BV$21)*$BW$21+
INDEX($A291:$BM291,,$BV$22)*$BW$22+
INDEX($A291:$BM291,,$BV$23)*$BW$23+
INDEX($A291:$BM291,,$BV$25)*$BW$25+
INDEX($A291:$BM291,,$BV$26)*$BW$26+
INDEX($A291:$BM291,,$BV$27)*$BW$27+
$BN291)),
$BN291-100)</f>
        <v>2.4929000000000001</v>
      </c>
      <c r="AX291" t="str">
        <f t="shared" si="59"/>
        <v/>
      </c>
      <c r="AY291" t="str">
        <f t="shared" si="60"/>
        <v/>
      </c>
      <c r="AZ291" s="430">
        <f>IFERROR(
IF(AX291="",-100,
IF($BV$2&gt;0, INDEX(Beersheet!$A:$U,MATCH(AX291,INDEX(Beersheet!$A:$U,0,FFARawStatProjections!$BV$2),0),$BV$3)+$BN291,
INDEX($A291:$BM291,,$BV$12)*$BW$12+
INDEX($A291:$BM291,,$BV$15)*$BW$15+
INDEX($A291:$BM291,,$BV$16)*$BW$16+
INDEX($A291:$BM291,,$BV$17)*$BW$17+
INDEX($A291:$BM291,,$BV$18)*$BW$18+
INDEX($A291:$BM291,,$BV$19)*$BW$19+
INDEX($A291:$BM291,,$BV$20)*$BW$20+
INDEX($A291:$BM291,,$BV$21)*$BW$21+
INDEX($A291:$BM291,,$BV$22)*$BW$22+
INDEX($A291:$BM291,,$BV$23)*$BW$23+
INDEX($A291:$BM291,,$BV$25)*$BW$25+
INDEX($A291:$BM291,,$BV$26)*$BW$26+
INDEX($A291:$BM291,,$BV$27)*$BW$27+
$BN291)),
$BN291-100)</f>
        <v>-100</v>
      </c>
      <c r="BB291" t="str">
        <f t="shared" si="61"/>
        <v/>
      </c>
      <c r="BC291" t="str">
        <f t="shared" si="55"/>
        <v/>
      </c>
      <c r="BD291" s="430">
        <f>IFERROR(
IF(BB291="",-100,
IF($BV$2&gt;0, INDEX(Beersheet!$A:$U,MATCH(BB291,INDEX(Beersheet!$A:$U,0,FFARawStatProjections!$BV$2),0),$BV$3)+$BN291,
INDEX($A291:$BM291,,$BV$12)*$BW$12+
INDEX($A291:$BM291,,$BV$15)*$BW$15+
INDEX($A291:$BM291,,$BV$16)*$BW$16+
INDEX($A291:$BM291,,$BV$17)*$BW$17+
INDEX($A291:$BM291,,$BV$18)*$BW$18+
INDEX($A291:$BM291,,$BV$19)*$BW$19+
INDEX($A291:$BM291,,$BV$20)*$BW$20+
INDEX($A291:$BM291,,$BV$21)*$BW$21+
INDEX($A291:$BM291,,$BV$22)*$BW$22+
INDEX($A291:$BM291,,$BV$23)*$BW$23+
INDEX($A291:$BM291,,$BV$25)*$BW$25+
INDEX($A291:$BM291,,$BV$26)*$BW$26+
INDEX($A291:$BM291,,$BV$27)*$BW$27+
$BN291)),
$BN291-100)</f>
        <v>-100</v>
      </c>
      <c r="BF291" t="str">
        <f t="shared" si="62"/>
        <v/>
      </c>
      <c r="BG291" t="str">
        <f t="shared" si="63"/>
        <v/>
      </c>
      <c r="BH291">
        <f t="shared" si="64"/>
        <v>0</v>
      </c>
      <c r="BJ291" t="str">
        <f t="shared" si="65"/>
        <v/>
      </c>
      <c r="BL291">
        <f t="shared" si="67"/>
        <v>0</v>
      </c>
      <c r="BN291">
        <v>2.8999999999999998E-3</v>
      </c>
      <c r="BS291" s="4" t="s">
        <v>2364</v>
      </c>
    </row>
    <row r="292" spans="1:71" ht="15.75" thickBot="1" x14ac:dyDescent="0.3">
      <c r="A292" s="569" t="s">
        <v>2556</v>
      </c>
      <c r="B292" s="569" t="s">
        <v>139</v>
      </c>
      <c r="C292" s="569" t="s">
        <v>3</v>
      </c>
      <c r="D292" s="574">
        <v>6</v>
      </c>
      <c r="E292" s="569"/>
      <c r="F292" s="569"/>
      <c r="G292" s="569"/>
      <c r="H292" s="569"/>
      <c r="I292" s="574">
        <v>0</v>
      </c>
      <c r="J292" s="574">
        <v>0</v>
      </c>
      <c r="K292" s="574">
        <v>0</v>
      </c>
      <c r="L292" s="574">
        <v>0.5</v>
      </c>
      <c r="M292" s="574">
        <v>0</v>
      </c>
      <c r="N292" s="574">
        <v>2.6</v>
      </c>
      <c r="O292" s="574">
        <v>0</v>
      </c>
      <c r="P292" s="574">
        <v>0.1</v>
      </c>
      <c r="Q292" s="574">
        <v>10.199999999999999</v>
      </c>
      <c r="R292" s="569"/>
      <c r="S292" s="569"/>
      <c r="T292" s="569"/>
      <c r="U292" s="569"/>
      <c r="V292" s="569"/>
      <c r="W292" s="569"/>
      <c r="X292" s="569"/>
      <c r="Y292" s="569"/>
      <c r="Z292" s="569"/>
      <c r="AA292" s="569"/>
      <c r="AB292" s="569"/>
      <c r="AC292" s="569"/>
      <c r="AD292" s="569"/>
      <c r="AE292" s="569"/>
      <c r="AF292" s="569"/>
      <c r="AG292" s="569"/>
      <c r="AH292" s="569"/>
      <c r="AI292" s="569"/>
      <c r="AJ292" s="569"/>
      <c r="AK292" s="569"/>
      <c r="AL292" s="569"/>
      <c r="AM292" s="569"/>
      <c r="AN292" s="574">
        <v>1.9</v>
      </c>
      <c r="AO292">
        <v>291</v>
      </c>
      <c r="AP292" t="str">
        <f t="shared" si="66"/>
        <v/>
      </c>
      <c r="AQ292" t="str">
        <f t="shared" si="56"/>
        <v/>
      </c>
      <c r="AR292" s="430">
        <f>IFERROR(
IF(AP292="",-100,
IF($BV$2&gt;0, INDEX(Beersheet!$A:$U,MATCH(AP292,INDEX(Beersheet!$A:$U,0,FFARawStatProjections!$BV$2),0),$BV$3)+$BN292,
INDEX($A292:$BM292,,$BV$12)*$BW$12+
INDEX($A292:$BM292,,$BV$15)*$BW$15+
INDEX($A292:$BM292,,$BV$16)*$BW$16+
INDEX($A292:$BM292,,$BV$17)*$BW$17+
INDEX($A292:$BM292,,$BV$18)*$BW$18+
INDEX($A292:$BM292,,$BV$19)*$BW$19+
INDEX($A292:$BM292,,$BV$20)*$BW$20+
INDEX($A292:$BM292,,$BV$21)*$BW$21+
INDEX($A292:$BM292,,$BV$22)*$BW$22+
INDEX($A292:$BM292,,$BV$23)*$BW$23+
INDEX($A292:$BM292,,$BV$25)*$BW$25+
INDEX($A292:$BM292,,$BV$26)*$BW$26+
INDEX($A292:$BM292,,$BV$27)*$BW$27+
$BN292)),
$BN292-100)</f>
        <v>-100</v>
      </c>
      <c r="AT292" t="str">
        <f t="shared" si="57"/>
        <v>Tyler Goodson</v>
      </c>
      <c r="AU292" t="str">
        <f t="shared" si="58"/>
        <v>GB</v>
      </c>
      <c r="AV292" s="430">
        <f>IFERROR(
IF(AT292="",-100,
IF($BV$2&gt;0, INDEX(Beersheet!$A:$U,MATCH(AT292,INDEX(Beersheet!$A:$U,0,FFARawStatProjections!$BV$2),0),$BV$3)+$BN292,
INDEX($A292:$BM292,,$BV$12)*$BW$12+
INDEX($A292:$BM292,,$BV$15)*$BW$15+
INDEX($A292:$BM292,,$BV$16)*$BW$16+
INDEX($A292:$BM292,,$BV$17)*$BW$17+
INDEX($A292:$BM292,,$BV$18)*$BW$18+
INDEX($A292:$BM292,,$BV$19)*$BW$19+
INDEX($A292:$BM292,,$BV$20)*$BW$20+
INDEX($A292:$BM292,,$BV$21)*$BW$21+
INDEX($A292:$BM292,,$BV$22)*$BW$22+
INDEX($A292:$BM292,,$BV$23)*$BW$23+
INDEX($A292:$BM292,,$BV$25)*$BW$25+
INDEX($A292:$BM292,,$BV$26)*$BW$26+
INDEX($A292:$BM292,,$BV$27)*$BW$27+
$BN292)),
$BN292-100)</f>
        <v>2.3829099999999999</v>
      </c>
      <c r="AX292" t="str">
        <f t="shared" si="59"/>
        <v/>
      </c>
      <c r="AY292" t="str">
        <f t="shared" si="60"/>
        <v/>
      </c>
      <c r="AZ292" s="430">
        <f>IFERROR(
IF(AX292="",-100,
IF($BV$2&gt;0, INDEX(Beersheet!$A:$U,MATCH(AX292,INDEX(Beersheet!$A:$U,0,FFARawStatProjections!$BV$2),0),$BV$3)+$BN292,
INDEX($A292:$BM292,,$BV$12)*$BW$12+
INDEX($A292:$BM292,,$BV$15)*$BW$15+
INDEX($A292:$BM292,,$BV$16)*$BW$16+
INDEX($A292:$BM292,,$BV$17)*$BW$17+
INDEX($A292:$BM292,,$BV$18)*$BW$18+
INDEX($A292:$BM292,,$BV$19)*$BW$19+
INDEX($A292:$BM292,,$BV$20)*$BW$20+
INDEX($A292:$BM292,,$BV$21)*$BW$21+
INDEX($A292:$BM292,,$BV$22)*$BW$22+
INDEX($A292:$BM292,,$BV$23)*$BW$23+
INDEX($A292:$BM292,,$BV$25)*$BW$25+
INDEX($A292:$BM292,,$BV$26)*$BW$26+
INDEX($A292:$BM292,,$BV$27)*$BW$27+
$BN292)),
$BN292-100)</f>
        <v>-100</v>
      </c>
      <c r="BB292" t="str">
        <f t="shared" si="61"/>
        <v/>
      </c>
      <c r="BC292" t="str">
        <f t="shared" si="55"/>
        <v/>
      </c>
      <c r="BD292" s="430">
        <f>IFERROR(
IF(BB292="",-100,
IF($BV$2&gt;0, INDEX(Beersheet!$A:$U,MATCH(BB292,INDEX(Beersheet!$A:$U,0,FFARawStatProjections!$BV$2),0),$BV$3)+$BN292,
INDEX($A292:$BM292,,$BV$12)*$BW$12+
INDEX($A292:$BM292,,$BV$15)*$BW$15+
INDEX($A292:$BM292,,$BV$16)*$BW$16+
INDEX($A292:$BM292,,$BV$17)*$BW$17+
INDEX($A292:$BM292,,$BV$18)*$BW$18+
INDEX($A292:$BM292,,$BV$19)*$BW$19+
INDEX($A292:$BM292,,$BV$20)*$BW$20+
INDEX($A292:$BM292,,$BV$21)*$BW$21+
INDEX($A292:$BM292,,$BV$22)*$BW$22+
INDEX($A292:$BM292,,$BV$23)*$BW$23+
INDEX($A292:$BM292,,$BV$25)*$BW$25+
INDEX($A292:$BM292,,$BV$26)*$BW$26+
INDEX($A292:$BM292,,$BV$27)*$BW$27+
$BN292)),
$BN292-100)</f>
        <v>-100</v>
      </c>
      <c r="BF292" t="str">
        <f t="shared" si="62"/>
        <v/>
      </c>
      <c r="BG292" t="str">
        <f t="shared" si="63"/>
        <v/>
      </c>
      <c r="BH292">
        <f t="shared" si="64"/>
        <v>0</v>
      </c>
      <c r="BJ292" t="str">
        <f t="shared" si="65"/>
        <v/>
      </c>
      <c r="BL292">
        <f t="shared" si="67"/>
        <v>0</v>
      </c>
      <c r="BN292">
        <v>2.9099999999999998E-3</v>
      </c>
      <c r="BS292" s="4" t="s">
        <v>1439</v>
      </c>
    </row>
    <row r="293" spans="1:71" ht="15.75" thickBot="1" x14ac:dyDescent="0.3">
      <c r="A293" s="569" t="s">
        <v>1345</v>
      </c>
      <c r="B293" s="569" t="s">
        <v>144</v>
      </c>
      <c r="C293" s="569" t="s">
        <v>3</v>
      </c>
      <c r="D293" s="569">
        <v>9</v>
      </c>
      <c r="E293" s="569"/>
      <c r="F293" s="569"/>
      <c r="G293" s="569"/>
      <c r="H293" s="569"/>
      <c r="I293" s="574">
        <v>0</v>
      </c>
      <c r="J293" s="574">
        <v>0</v>
      </c>
      <c r="K293" s="574">
        <v>0</v>
      </c>
      <c r="L293" s="569">
        <v>0.5</v>
      </c>
      <c r="M293" s="569">
        <v>0</v>
      </c>
      <c r="N293" s="569">
        <v>4.4000000000000004</v>
      </c>
      <c r="O293" s="569">
        <v>0</v>
      </c>
      <c r="P293" s="569">
        <v>0</v>
      </c>
      <c r="Q293" s="569">
        <v>3.6</v>
      </c>
      <c r="R293" s="569"/>
      <c r="S293" s="569"/>
      <c r="T293" s="569"/>
      <c r="U293" s="569"/>
      <c r="V293" s="569"/>
      <c r="W293" s="569"/>
      <c r="X293" s="569"/>
      <c r="Y293" s="569"/>
      <c r="Z293" s="569"/>
      <c r="AA293" s="569"/>
      <c r="AB293" s="569"/>
      <c r="AC293" s="569"/>
      <c r="AD293" s="569"/>
      <c r="AE293" s="569"/>
      <c r="AF293" s="569"/>
      <c r="AG293" s="569"/>
      <c r="AH293" s="569"/>
      <c r="AI293" s="569"/>
      <c r="AJ293" s="569"/>
      <c r="AK293" s="569"/>
      <c r="AL293" s="569"/>
      <c r="AM293" s="569"/>
      <c r="AN293" s="569">
        <v>0.9</v>
      </c>
      <c r="AO293">
        <v>292</v>
      </c>
      <c r="AP293" t="str">
        <f t="shared" si="66"/>
        <v/>
      </c>
      <c r="AQ293" t="str">
        <f t="shared" si="56"/>
        <v/>
      </c>
      <c r="AR293" s="430">
        <f>IFERROR(
IF(AP293="",-100,
IF($BV$2&gt;0, INDEX(Beersheet!$A:$U,MATCH(AP293,INDEX(Beersheet!$A:$U,0,FFARawStatProjections!$BV$2),0),$BV$3)+$BN293,
INDEX($A293:$BM293,,$BV$12)*$BW$12+
INDEX($A293:$BM293,,$BV$15)*$BW$15+
INDEX($A293:$BM293,,$BV$16)*$BW$16+
INDEX($A293:$BM293,,$BV$17)*$BW$17+
INDEX($A293:$BM293,,$BV$18)*$BW$18+
INDEX($A293:$BM293,,$BV$19)*$BW$19+
INDEX($A293:$BM293,,$BV$20)*$BW$20+
INDEX($A293:$BM293,,$BV$21)*$BW$21+
INDEX($A293:$BM293,,$BV$22)*$BW$22+
INDEX($A293:$BM293,,$BV$23)*$BW$23+
INDEX($A293:$BM293,,$BV$25)*$BW$25+
INDEX($A293:$BM293,,$BV$26)*$BW$26+
INDEX($A293:$BM293,,$BV$27)*$BW$27+
$BN293)),
$BN293-100)</f>
        <v>-100</v>
      </c>
      <c r="AT293" t="str">
        <f t="shared" si="57"/>
        <v>Dwayne Washington</v>
      </c>
      <c r="AU293" t="str">
        <f t="shared" si="58"/>
        <v>DEN</v>
      </c>
      <c r="AV293" s="430">
        <f>IFERROR(
IF(AT293="",-100,
IF($BV$2&gt;0, INDEX(Beersheet!$A:$U,MATCH(AT293,INDEX(Beersheet!$A:$U,0,FFARawStatProjections!$BV$2),0),$BV$3)+$BN293,
INDEX($A293:$BM293,,$BV$12)*$BW$12+
INDEX($A293:$BM293,,$BV$15)*$BW$15+
INDEX($A293:$BM293,,$BV$16)*$BW$16+
INDEX($A293:$BM293,,$BV$17)*$BW$17+
INDEX($A293:$BM293,,$BV$18)*$BW$18+
INDEX($A293:$BM293,,$BV$19)*$BW$19+
INDEX($A293:$BM293,,$BV$20)*$BW$20+
INDEX($A293:$BM293,,$BV$21)*$BW$21+
INDEX($A293:$BM293,,$BV$22)*$BW$22+
INDEX($A293:$BM293,,$BV$23)*$BW$23+
INDEX($A293:$BM293,,$BV$25)*$BW$25+
INDEX($A293:$BM293,,$BV$26)*$BW$26+
INDEX($A293:$BM293,,$BV$27)*$BW$27+
$BN293)),
$BN293-100)</f>
        <v>1.3029200000000001</v>
      </c>
      <c r="AX293" t="str">
        <f t="shared" si="59"/>
        <v/>
      </c>
      <c r="AY293" t="str">
        <f t="shared" si="60"/>
        <v/>
      </c>
      <c r="AZ293" s="430">
        <f>IFERROR(
IF(AX293="",-100,
IF($BV$2&gt;0, INDEX(Beersheet!$A:$U,MATCH(AX293,INDEX(Beersheet!$A:$U,0,FFARawStatProjections!$BV$2),0),$BV$3)+$BN293,
INDEX($A293:$BM293,,$BV$12)*$BW$12+
INDEX($A293:$BM293,,$BV$15)*$BW$15+
INDEX($A293:$BM293,,$BV$16)*$BW$16+
INDEX($A293:$BM293,,$BV$17)*$BW$17+
INDEX($A293:$BM293,,$BV$18)*$BW$18+
INDEX($A293:$BM293,,$BV$19)*$BW$19+
INDEX($A293:$BM293,,$BV$20)*$BW$20+
INDEX($A293:$BM293,,$BV$21)*$BW$21+
INDEX($A293:$BM293,,$BV$22)*$BW$22+
INDEX($A293:$BM293,,$BV$23)*$BW$23+
INDEX($A293:$BM293,,$BV$25)*$BW$25+
INDEX($A293:$BM293,,$BV$26)*$BW$26+
INDEX($A293:$BM293,,$BV$27)*$BW$27+
$BN293)),
$BN293-100)</f>
        <v>-100</v>
      </c>
      <c r="BB293" t="str">
        <f t="shared" si="61"/>
        <v/>
      </c>
      <c r="BC293" t="str">
        <f t="shared" si="55"/>
        <v/>
      </c>
      <c r="BD293" s="430">
        <f>IFERROR(
IF(BB293="",-100,
IF($BV$2&gt;0, INDEX(Beersheet!$A:$U,MATCH(BB293,INDEX(Beersheet!$A:$U,0,FFARawStatProjections!$BV$2),0),$BV$3)+$BN293,
INDEX($A293:$BM293,,$BV$12)*$BW$12+
INDEX($A293:$BM293,,$BV$15)*$BW$15+
INDEX($A293:$BM293,,$BV$16)*$BW$16+
INDEX($A293:$BM293,,$BV$17)*$BW$17+
INDEX($A293:$BM293,,$BV$18)*$BW$18+
INDEX($A293:$BM293,,$BV$19)*$BW$19+
INDEX($A293:$BM293,,$BV$20)*$BW$20+
INDEX($A293:$BM293,,$BV$21)*$BW$21+
INDEX($A293:$BM293,,$BV$22)*$BW$22+
INDEX($A293:$BM293,,$BV$23)*$BW$23+
INDEX($A293:$BM293,,$BV$25)*$BW$25+
INDEX($A293:$BM293,,$BV$26)*$BW$26+
INDEX($A293:$BM293,,$BV$27)*$BW$27+
$BN293)),
$BN293-100)</f>
        <v>-100</v>
      </c>
      <c r="BF293" t="str">
        <f t="shared" si="62"/>
        <v/>
      </c>
      <c r="BG293" t="str">
        <f t="shared" si="63"/>
        <v/>
      </c>
      <c r="BH293">
        <f t="shared" si="64"/>
        <v>0</v>
      </c>
      <c r="BJ293" t="str">
        <f t="shared" si="65"/>
        <v/>
      </c>
      <c r="BL293">
        <f t="shared" si="67"/>
        <v>0</v>
      </c>
      <c r="BN293">
        <v>2.9199999999999999E-3</v>
      </c>
      <c r="BS293" s="4" t="s">
        <v>2294</v>
      </c>
    </row>
    <row r="294" spans="1:71" ht="15.75" thickBot="1" x14ac:dyDescent="0.3">
      <c r="A294" s="569" t="s">
        <v>2567</v>
      </c>
      <c r="B294" s="569" t="s">
        <v>148</v>
      </c>
      <c r="C294" s="569" t="s">
        <v>3</v>
      </c>
      <c r="D294" s="569">
        <v>11</v>
      </c>
      <c r="E294" s="569"/>
      <c r="F294" s="569"/>
      <c r="G294" s="569"/>
      <c r="H294" s="569"/>
      <c r="I294" s="574">
        <v>0</v>
      </c>
      <c r="J294" s="574">
        <v>0</v>
      </c>
      <c r="K294" s="574">
        <v>0</v>
      </c>
      <c r="L294" s="569">
        <v>0.2</v>
      </c>
      <c r="M294" s="569">
        <v>0</v>
      </c>
      <c r="N294" s="569">
        <v>1.4</v>
      </c>
      <c r="O294" s="569">
        <v>0</v>
      </c>
      <c r="P294" s="569">
        <v>0</v>
      </c>
      <c r="Q294" s="569">
        <v>0</v>
      </c>
      <c r="R294" s="569"/>
      <c r="S294" s="569"/>
      <c r="T294" s="569"/>
      <c r="U294" s="569"/>
      <c r="V294" s="569"/>
      <c r="W294" s="569"/>
      <c r="X294" s="569"/>
      <c r="Y294" s="569"/>
      <c r="Z294" s="569"/>
      <c r="AA294" s="569"/>
      <c r="AB294" s="569"/>
      <c r="AC294" s="569"/>
      <c r="AD294" s="569"/>
      <c r="AE294" s="569"/>
      <c r="AF294" s="569"/>
      <c r="AG294" s="569"/>
      <c r="AH294" s="569"/>
      <c r="AI294" s="569"/>
      <c r="AJ294" s="569"/>
      <c r="AK294" s="569"/>
      <c r="AL294" s="569"/>
      <c r="AM294" s="569"/>
      <c r="AN294" s="569">
        <v>0.1</v>
      </c>
      <c r="AO294">
        <v>293</v>
      </c>
      <c r="AP294" t="str">
        <f t="shared" si="66"/>
        <v/>
      </c>
      <c r="AQ294" t="str">
        <f t="shared" si="56"/>
        <v/>
      </c>
      <c r="AR294" s="430">
        <f>IFERROR(
IF(AP294="",-100,
IF($BV$2&gt;0, INDEX(Beersheet!$A:$U,MATCH(AP294,INDEX(Beersheet!$A:$U,0,FFARawStatProjections!$BV$2),0),$BV$3)+$BN294,
INDEX($A294:$BM294,,$BV$12)*$BW$12+
INDEX($A294:$BM294,,$BV$15)*$BW$15+
INDEX($A294:$BM294,,$BV$16)*$BW$16+
INDEX($A294:$BM294,,$BV$17)*$BW$17+
INDEX($A294:$BM294,,$BV$18)*$BW$18+
INDEX($A294:$BM294,,$BV$19)*$BW$19+
INDEX($A294:$BM294,,$BV$20)*$BW$20+
INDEX($A294:$BM294,,$BV$21)*$BW$21+
INDEX($A294:$BM294,,$BV$22)*$BW$22+
INDEX($A294:$BM294,,$BV$23)*$BW$23+
INDEX($A294:$BM294,,$BV$25)*$BW$25+
INDEX($A294:$BM294,,$BV$26)*$BW$26+
INDEX($A294:$BM294,,$BV$27)*$BW$27+
$BN294)),
$BN294-100)</f>
        <v>-100</v>
      </c>
      <c r="AT294" t="str">
        <f t="shared" si="57"/>
        <v>Clint Ratkovich</v>
      </c>
      <c r="AU294" t="str">
        <f t="shared" si="58"/>
        <v>ATL</v>
      </c>
      <c r="AV294" s="430">
        <f>IFERROR(
IF(AT294="",-100,
IF($BV$2&gt;0, INDEX(Beersheet!$A:$U,MATCH(AT294,INDEX(Beersheet!$A:$U,0,FFARawStatProjections!$BV$2),0),$BV$3)+$BN294,
INDEX($A294:$BM294,,$BV$12)*$BW$12+
INDEX($A294:$BM294,,$BV$15)*$BW$15+
INDEX($A294:$BM294,,$BV$16)*$BW$16+
INDEX($A294:$BM294,,$BV$17)*$BW$17+
INDEX($A294:$BM294,,$BV$18)*$BW$18+
INDEX($A294:$BM294,,$BV$19)*$BW$19+
INDEX($A294:$BM294,,$BV$20)*$BW$20+
INDEX($A294:$BM294,,$BV$21)*$BW$21+
INDEX($A294:$BM294,,$BV$22)*$BW$22+
INDEX($A294:$BM294,,$BV$23)*$BW$23+
INDEX($A294:$BM294,,$BV$25)*$BW$25+
INDEX($A294:$BM294,,$BV$26)*$BW$26+
INDEX($A294:$BM294,,$BV$27)*$BW$27+
$BN294)),
$BN294-100)</f>
        <v>0.34292999999999996</v>
      </c>
      <c r="AX294" t="str">
        <f t="shared" si="59"/>
        <v/>
      </c>
      <c r="AY294" t="str">
        <f t="shared" si="60"/>
        <v/>
      </c>
      <c r="AZ294" s="430">
        <f>IFERROR(
IF(AX294="",-100,
IF($BV$2&gt;0, INDEX(Beersheet!$A:$U,MATCH(AX294,INDEX(Beersheet!$A:$U,0,FFARawStatProjections!$BV$2),0),$BV$3)+$BN294,
INDEX($A294:$BM294,,$BV$12)*$BW$12+
INDEX($A294:$BM294,,$BV$15)*$BW$15+
INDEX($A294:$BM294,,$BV$16)*$BW$16+
INDEX($A294:$BM294,,$BV$17)*$BW$17+
INDEX($A294:$BM294,,$BV$18)*$BW$18+
INDEX($A294:$BM294,,$BV$19)*$BW$19+
INDEX($A294:$BM294,,$BV$20)*$BW$20+
INDEX($A294:$BM294,,$BV$21)*$BW$21+
INDEX($A294:$BM294,,$BV$22)*$BW$22+
INDEX($A294:$BM294,,$BV$23)*$BW$23+
INDEX($A294:$BM294,,$BV$25)*$BW$25+
INDEX($A294:$BM294,,$BV$26)*$BW$26+
INDEX($A294:$BM294,,$BV$27)*$BW$27+
$BN294)),
$BN294-100)</f>
        <v>-100</v>
      </c>
      <c r="BB294" t="str">
        <f t="shared" si="61"/>
        <v/>
      </c>
      <c r="BC294" t="str">
        <f t="shared" si="55"/>
        <v/>
      </c>
      <c r="BD294" s="430">
        <f>IFERROR(
IF(BB294="",-100,
IF($BV$2&gt;0, INDEX(Beersheet!$A:$U,MATCH(BB294,INDEX(Beersheet!$A:$U,0,FFARawStatProjections!$BV$2),0),$BV$3)+$BN294,
INDEX($A294:$BM294,,$BV$12)*$BW$12+
INDEX($A294:$BM294,,$BV$15)*$BW$15+
INDEX($A294:$BM294,,$BV$16)*$BW$16+
INDEX($A294:$BM294,,$BV$17)*$BW$17+
INDEX($A294:$BM294,,$BV$18)*$BW$18+
INDEX($A294:$BM294,,$BV$19)*$BW$19+
INDEX($A294:$BM294,,$BV$20)*$BW$20+
INDEX($A294:$BM294,,$BV$21)*$BW$21+
INDEX($A294:$BM294,,$BV$22)*$BW$22+
INDEX($A294:$BM294,,$BV$23)*$BW$23+
INDEX($A294:$BM294,,$BV$25)*$BW$25+
INDEX($A294:$BM294,,$BV$26)*$BW$26+
INDEX($A294:$BM294,,$BV$27)*$BW$27+
$BN294)),
$BN294-100)</f>
        <v>-100</v>
      </c>
      <c r="BF294" t="str">
        <f t="shared" si="62"/>
        <v/>
      </c>
      <c r="BG294" t="str">
        <f t="shared" si="63"/>
        <v/>
      </c>
      <c r="BH294">
        <f t="shared" si="64"/>
        <v>0</v>
      </c>
      <c r="BJ294" t="str">
        <f t="shared" si="65"/>
        <v/>
      </c>
      <c r="BL294">
        <f t="shared" si="67"/>
        <v>0</v>
      </c>
      <c r="BN294">
        <v>2.9299999999999999E-3</v>
      </c>
      <c r="BS294" s="4" t="s">
        <v>2481</v>
      </c>
    </row>
    <row r="295" spans="1:71" ht="15.75" thickBot="1" x14ac:dyDescent="0.3">
      <c r="A295" s="569" t="s">
        <v>1963</v>
      </c>
      <c r="B295" s="569" t="s">
        <v>140</v>
      </c>
      <c r="C295" s="569" t="s">
        <v>3</v>
      </c>
      <c r="D295" s="569">
        <v>5</v>
      </c>
      <c r="E295" s="569"/>
      <c r="F295" s="569"/>
      <c r="G295" s="569"/>
      <c r="H295" s="569"/>
      <c r="I295" s="574">
        <v>0</v>
      </c>
      <c r="J295" s="574">
        <v>0</v>
      </c>
      <c r="K295" s="574">
        <v>0</v>
      </c>
      <c r="L295" s="569">
        <v>0</v>
      </c>
      <c r="M295" s="569">
        <v>0</v>
      </c>
      <c r="N295" s="569">
        <v>0</v>
      </c>
      <c r="O295" s="569">
        <v>0</v>
      </c>
      <c r="P295" s="569">
        <v>0</v>
      </c>
      <c r="Q295" s="569">
        <v>0</v>
      </c>
      <c r="R295" s="569"/>
      <c r="S295" s="569"/>
      <c r="T295" s="569"/>
      <c r="U295" s="569"/>
      <c r="V295" s="569"/>
      <c r="W295" s="569"/>
      <c r="X295" s="569"/>
      <c r="Y295" s="569"/>
      <c r="Z295" s="569"/>
      <c r="AA295" s="569"/>
      <c r="AB295" s="569"/>
      <c r="AC295" s="569"/>
      <c r="AD295" s="569"/>
      <c r="AE295" s="569"/>
      <c r="AF295" s="569"/>
      <c r="AG295" s="569"/>
      <c r="AH295" s="569"/>
      <c r="AI295" s="569"/>
      <c r="AJ295" s="569"/>
      <c r="AK295" s="569"/>
      <c r="AL295" s="569"/>
      <c r="AM295" s="569"/>
      <c r="AN295" s="569">
        <v>0</v>
      </c>
      <c r="AO295">
        <v>294</v>
      </c>
      <c r="AP295" t="str">
        <f t="shared" si="66"/>
        <v/>
      </c>
      <c r="AQ295" t="str">
        <f t="shared" si="56"/>
        <v/>
      </c>
      <c r="AR295" s="430">
        <f>IFERROR(
IF(AP295="",-100,
IF($BV$2&gt;0, INDEX(Beersheet!$A:$U,MATCH(AP295,INDEX(Beersheet!$A:$U,0,FFARawStatProjections!$BV$2),0),$BV$3)+$BN295,
INDEX($A295:$BM295,,$BV$12)*$BW$12+
INDEX($A295:$BM295,,$BV$15)*$BW$15+
INDEX($A295:$BM295,,$BV$16)*$BW$16+
INDEX($A295:$BM295,,$BV$17)*$BW$17+
INDEX($A295:$BM295,,$BV$18)*$BW$18+
INDEX($A295:$BM295,,$BV$19)*$BW$19+
INDEX($A295:$BM295,,$BV$20)*$BW$20+
INDEX($A295:$BM295,,$BV$21)*$BW$21+
INDEX($A295:$BM295,,$BV$22)*$BW$22+
INDEX($A295:$BM295,,$BV$23)*$BW$23+
INDEX($A295:$BM295,,$BV$25)*$BW$25+
INDEX($A295:$BM295,,$BV$26)*$BW$26+
INDEX($A295:$BM295,,$BV$27)*$BW$27+
$BN295)),
$BN295-100)</f>
        <v>-100</v>
      </c>
      <c r="AT295" t="str">
        <f t="shared" si="57"/>
        <v>Nick Bellore</v>
      </c>
      <c r="AU295" t="str">
        <f t="shared" si="58"/>
        <v>SEA</v>
      </c>
      <c r="AV295" s="430">
        <f>IFERROR(
IF(AT295="",-100,
IF($BV$2&gt;0, INDEX(Beersheet!$A:$U,MATCH(AT295,INDEX(Beersheet!$A:$U,0,FFARawStatProjections!$BV$2),0),$BV$3)+$BN295,
INDEX($A295:$BM295,,$BV$12)*$BW$12+
INDEX($A295:$BM295,,$BV$15)*$BW$15+
INDEX($A295:$BM295,,$BV$16)*$BW$16+
INDEX($A295:$BM295,,$BV$17)*$BW$17+
INDEX($A295:$BM295,,$BV$18)*$BW$18+
INDEX($A295:$BM295,,$BV$19)*$BW$19+
INDEX($A295:$BM295,,$BV$20)*$BW$20+
INDEX($A295:$BM295,,$BV$21)*$BW$21+
INDEX($A295:$BM295,,$BV$22)*$BW$22+
INDEX($A295:$BM295,,$BV$23)*$BW$23+
INDEX($A295:$BM295,,$BV$25)*$BW$25+
INDEX($A295:$BM295,,$BV$26)*$BW$26+
INDEX($A295:$BM295,,$BV$27)*$BW$27+
$BN295)),
$BN295-100)</f>
        <v>2.9399999999999999E-3</v>
      </c>
      <c r="AX295" t="str">
        <f t="shared" si="59"/>
        <v/>
      </c>
      <c r="AY295" t="str">
        <f t="shared" si="60"/>
        <v/>
      </c>
      <c r="AZ295" s="430">
        <f>IFERROR(
IF(AX295="",-100,
IF($BV$2&gt;0, INDEX(Beersheet!$A:$U,MATCH(AX295,INDEX(Beersheet!$A:$U,0,FFARawStatProjections!$BV$2),0),$BV$3)+$BN295,
INDEX($A295:$BM295,,$BV$12)*$BW$12+
INDEX($A295:$BM295,,$BV$15)*$BW$15+
INDEX($A295:$BM295,,$BV$16)*$BW$16+
INDEX($A295:$BM295,,$BV$17)*$BW$17+
INDEX($A295:$BM295,,$BV$18)*$BW$18+
INDEX($A295:$BM295,,$BV$19)*$BW$19+
INDEX($A295:$BM295,,$BV$20)*$BW$20+
INDEX($A295:$BM295,,$BV$21)*$BW$21+
INDEX($A295:$BM295,,$BV$22)*$BW$22+
INDEX($A295:$BM295,,$BV$23)*$BW$23+
INDEX($A295:$BM295,,$BV$25)*$BW$25+
INDEX($A295:$BM295,,$BV$26)*$BW$26+
INDEX($A295:$BM295,,$BV$27)*$BW$27+
$BN295)),
$BN295-100)</f>
        <v>-100</v>
      </c>
      <c r="BB295" t="str">
        <f t="shared" si="61"/>
        <v/>
      </c>
      <c r="BC295" t="str">
        <f t="shared" si="55"/>
        <v/>
      </c>
      <c r="BD295" s="430">
        <f>IFERROR(
IF(BB295="",-100,
IF($BV$2&gt;0, INDEX(Beersheet!$A:$U,MATCH(BB295,INDEX(Beersheet!$A:$U,0,FFARawStatProjections!$BV$2),0),$BV$3)+$BN295,
INDEX($A295:$BM295,,$BV$12)*$BW$12+
INDEX($A295:$BM295,,$BV$15)*$BW$15+
INDEX($A295:$BM295,,$BV$16)*$BW$16+
INDEX($A295:$BM295,,$BV$17)*$BW$17+
INDEX($A295:$BM295,,$BV$18)*$BW$18+
INDEX($A295:$BM295,,$BV$19)*$BW$19+
INDEX($A295:$BM295,,$BV$20)*$BW$20+
INDEX($A295:$BM295,,$BV$21)*$BW$21+
INDEX($A295:$BM295,,$BV$22)*$BW$22+
INDEX($A295:$BM295,,$BV$23)*$BW$23+
INDEX($A295:$BM295,,$BV$25)*$BW$25+
INDEX($A295:$BM295,,$BV$26)*$BW$26+
INDEX($A295:$BM295,,$BV$27)*$BW$27+
$BN295)),
$BN295-100)</f>
        <v>-100</v>
      </c>
      <c r="BF295" t="str">
        <f t="shared" si="62"/>
        <v/>
      </c>
      <c r="BG295" t="str">
        <f t="shared" si="63"/>
        <v/>
      </c>
      <c r="BH295">
        <f t="shared" si="64"/>
        <v>0</v>
      </c>
      <c r="BJ295" t="str">
        <f t="shared" si="65"/>
        <v/>
      </c>
      <c r="BL295">
        <f t="shared" si="67"/>
        <v>0</v>
      </c>
      <c r="BN295">
        <v>2.9399999999999999E-3</v>
      </c>
      <c r="BS295" s="4" t="s">
        <v>2480</v>
      </c>
    </row>
    <row r="296" spans="1:71" ht="15.75" thickBot="1" x14ac:dyDescent="0.3">
      <c r="A296" s="569"/>
      <c r="B296" s="569"/>
      <c r="C296" s="569" t="s">
        <v>3</v>
      </c>
      <c r="D296" s="569"/>
      <c r="E296" s="569"/>
      <c r="F296" s="569"/>
      <c r="G296" s="569"/>
      <c r="H296" s="569"/>
      <c r="I296" s="574">
        <v>0</v>
      </c>
      <c r="J296" s="574">
        <v>0</v>
      </c>
      <c r="K296" s="574">
        <v>0</v>
      </c>
      <c r="L296" s="569"/>
      <c r="M296" s="569"/>
      <c r="N296" s="569"/>
      <c r="O296" s="569"/>
      <c r="P296" s="569"/>
      <c r="Q296" s="569"/>
      <c r="R296" s="569"/>
      <c r="S296" s="569"/>
      <c r="T296" s="569"/>
      <c r="U296" s="569"/>
      <c r="V296" s="569"/>
      <c r="W296" s="569"/>
      <c r="X296" s="569"/>
      <c r="Y296" s="569"/>
      <c r="Z296" s="569"/>
      <c r="AA296" s="569"/>
      <c r="AB296" s="569"/>
      <c r="AC296" s="569"/>
      <c r="AD296" s="569"/>
      <c r="AE296" s="569"/>
      <c r="AF296" s="569"/>
      <c r="AG296" s="569"/>
      <c r="AH296" s="569"/>
      <c r="AI296" s="569"/>
      <c r="AJ296" s="569"/>
      <c r="AK296" s="569"/>
      <c r="AL296" s="569"/>
      <c r="AM296" s="569"/>
      <c r="AN296" s="569"/>
      <c r="AO296">
        <v>295</v>
      </c>
      <c r="AP296" t="str">
        <f t="shared" si="66"/>
        <v/>
      </c>
      <c r="AQ296" t="str">
        <f t="shared" si="56"/>
        <v/>
      </c>
      <c r="AR296" s="430">
        <f>IFERROR(
IF(AP296="",-100,
IF($BV$2&gt;0, INDEX(Beersheet!$A:$U,MATCH(AP296,INDEX(Beersheet!$A:$U,0,FFARawStatProjections!$BV$2),0),$BV$3)+$BN296,
INDEX($A296:$BM296,,$BV$12)*$BW$12+
INDEX($A296:$BM296,,$BV$15)*$BW$15+
INDEX($A296:$BM296,,$BV$16)*$BW$16+
INDEX($A296:$BM296,,$BV$17)*$BW$17+
INDEX($A296:$BM296,,$BV$18)*$BW$18+
INDEX($A296:$BM296,,$BV$19)*$BW$19+
INDEX($A296:$BM296,,$BV$20)*$BW$20+
INDEX($A296:$BM296,,$BV$21)*$BW$21+
INDEX($A296:$BM296,,$BV$22)*$BW$22+
INDEX($A296:$BM296,,$BV$23)*$BW$23+
INDEX($A296:$BM296,,$BV$25)*$BW$25+
INDEX($A296:$BM296,,$BV$26)*$BW$26+
INDEX($A296:$BM296,,$BV$27)*$BW$27+
$BN296)),
$BN296-100)</f>
        <v>-100</v>
      </c>
      <c r="AT296">
        <f t="shared" si="57"/>
        <v>0</v>
      </c>
      <c r="AU296">
        <f t="shared" si="58"/>
        <v>0</v>
      </c>
      <c r="AV296" s="430">
        <f>IFERROR(
IF(AT296="",-100,
IF($BV$2&gt;0, INDEX(Beersheet!$A:$U,MATCH(AT296,INDEX(Beersheet!$A:$U,0,FFARawStatProjections!$BV$2),0),$BV$3)+$BN296,
INDEX($A296:$BM296,,$BV$12)*$BW$12+
INDEX($A296:$BM296,,$BV$15)*$BW$15+
INDEX($A296:$BM296,,$BV$16)*$BW$16+
INDEX($A296:$BM296,,$BV$17)*$BW$17+
INDEX($A296:$BM296,,$BV$18)*$BW$18+
INDEX($A296:$BM296,,$BV$19)*$BW$19+
INDEX($A296:$BM296,,$BV$20)*$BW$20+
INDEX($A296:$BM296,,$BV$21)*$BW$21+
INDEX($A296:$BM296,,$BV$22)*$BW$22+
INDEX($A296:$BM296,,$BV$23)*$BW$23+
INDEX($A296:$BM296,,$BV$25)*$BW$25+
INDEX($A296:$BM296,,$BV$26)*$BW$26+
INDEX($A296:$BM296,,$BV$27)*$BW$27+
$BN296)),
$BN296-100)</f>
        <v>2.9499999999999999E-3</v>
      </c>
      <c r="AX296" t="str">
        <f t="shared" si="59"/>
        <v/>
      </c>
      <c r="AY296" t="str">
        <f t="shared" si="60"/>
        <v/>
      </c>
      <c r="AZ296" s="430">
        <f>IFERROR(
IF(AX296="",-100,
IF($BV$2&gt;0, INDEX(Beersheet!$A:$U,MATCH(AX296,INDEX(Beersheet!$A:$U,0,FFARawStatProjections!$BV$2),0),$BV$3)+$BN296,
INDEX($A296:$BM296,,$BV$12)*$BW$12+
INDEX($A296:$BM296,,$BV$15)*$BW$15+
INDEX($A296:$BM296,,$BV$16)*$BW$16+
INDEX($A296:$BM296,,$BV$17)*$BW$17+
INDEX($A296:$BM296,,$BV$18)*$BW$18+
INDEX($A296:$BM296,,$BV$19)*$BW$19+
INDEX($A296:$BM296,,$BV$20)*$BW$20+
INDEX($A296:$BM296,,$BV$21)*$BW$21+
INDEX($A296:$BM296,,$BV$22)*$BW$22+
INDEX($A296:$BM296,,$BV$23)*$BW$23+
INDEX($A296:$BM296,,$BV$25)*$BW$25+
INDEX($A296:$BM296,,$BV$26)*$BW$26+
INDEX($A296:$BM296,,$BV$27)*$BW$27+
$BN296)),
$BN296-100)</f>
        <v>-100</v>
      </c>
      <c r="BB296" t="str">
        <f t="shared" si="61"/>
        <v/>
      </c>
      <c r="BC296" t="str">
        <f t="shared" si="55"/>
        <v/>
      </c>
      <c r="BD296" s="430">
        <f>IFERROR(
IF(BB296="",-100,
IF($BV$2&gt;0, INDEX(Beersheet!$A:$U,MATCH(BB296,INDEX(Beersheet!$A:$U,0,FFARawStatProjections!$BV$2),0),$BV$3)+$BN296,
INDEX($A296:$BM296,,$BV$12)*$BW$12+
INDEX($A296:$BM296,,$BV$15)*$BW$15+
INDEX($A296:$BM296,,$BV$16)*$BW$16+
INDEX($A296:$BM296,,$BV$17)*$BW$17+
INDEX($A296:$BM296,,$BV$18)*$BW$18+
INDEX($A296:$BM296,,$BV$19)*$BW$19+
INDEX($A296:$BM296,,$BV$20)*$BW$20+
INDEX($A296:$BM296,,$BV$21)*$BW$21+
INDEX($A296:$BM296,,$BV$22)*$BW$22+
INDEX($A296:$BM296,,$BV$23)*$BW$23+
INDEX($A296:$BM296,,$BV$25)*$BW$25+
INDEX($A296:$BM296,,$BV$26)*$BW$26+
INDEX($A296:$BM296,,$BV$27)*$BW$27+
$BN296)),
$BN296-100)</f>
        <v>-100</v>
      </c>
      <c r="BF296" t="str">
        <f t="shared" si="62"/>
        <v/>
      </c>
      <c r="BG296" t="str">
        <f t="shared" si="63"/>
        <v/>
      </c>
      <c r="BH296">
        <f t="shared" si="64"/>
        <v>0</v>
      </c>
      <c r="BJ296" t="str">
        <f t="shared" si="65"/>
        <v/>
      </c>
      <c r="BL296">
        <f t="shared" si="67"/>
        <v>0</v>
      </c>
      <c r="BN296">
        <v>2.9499999999999999E-3</v>
      </c>
      <c r="BS296" s="4" t="s">
        <v>165</v>
      </c>
    </row>
    <row r="297" spans="1:71" ht="15.75" thickBot="1" x14ac:dyDescent="0.3">
      <c r="A297" s="569"/>
      <c r="B297" s="569"/>
      <c r="C297" s="569" t="s">
        <v>3</v>
      </c>
      <c r="D297" s="569"/>
      <c r="E297" s="569"/>
      <c r="F297" s="569"/>
      <c r="G297" s="569"/>
      <c r="H297" s="569"/>
      <c r="I297" s="574">
        <v>0</v>
      </c>
      <c r="J297" s="574">
        <v>0</v>
      </c>
      <c r="K297" s="574">
        <v>0</v>
      </c>
      <c r="L297" s="569"/>
      <c r="M297" s="569"/>
      <c r="N297" s="569"/>
      <c r="O297" s="569"/>
      <c r="P297" s="569"/>
      <c r="Q297" s="569"/>
      <c r="R297" s="569"/>
      <c r="S297" s="569"/>
      <c r="T297" s="569"/>
      <c r="U297" s="569"/>
      <c r="V297" s="569"/>
      <c r="W297" s="569"/>
      <c r="X297" s="569"/>
      <c r="Y297" s="569"/>
      <c r="Z297" s="569"/>
      <c r="AA297" s="569"/>
      <c r="AB297" s="569"/>
      <c r="AC297" s="569"/>
      <c r="AD297" s="569"/>
      <c r="AE297" s="569"/>
      <c r="AF297" s="569"/>
      <c r="AG297" s="569"/>
      <c r="AH297" s="569"/>
      <c r="AI297" s="569"/>
      <c r="AJ297" s="569"/>
      <c r="AK297" s="569"/>
      <c r="AL297" s="569"/>
      <c r="AM297" s="569"/>
      <c r="AN297" s="569"/>
      <c r="AO297">
        <v>296</v>
      </c>
      <c r="AP297" t="str">
        <f t="shared" si="66"/>
        <v/>
      </c>
      <c r="AQ297" t="str">
        <f t="shared" si="56"/>
        <v/>
      </c>
      <c r="AR297" s="430">
        <f>IFERROR(
IF(AP297="",-100,
IF($BV$2&gt;0, INDEX(Beersheet!$A:$U,MATCH(AP297,INDEX(Beersheet!$A:$U,0,FFARawStatProjections!$BV$2),0),$BV$3)+$BN297,
INDEX($A297:$BM297,,$BV$12)*$BW$12+
INDEX($A297:$BM297,,$BV$15)*$BW$15+
INDEX($A297:$BM297,,$BV$16)*$BW$16+
INDEX($A297:$BM297,,$BV$17)*$BW$17+
INDEX($A297:$BM297,,$BV$18)*$BW$18+
INDEX($A297:$BM297,,$BV$19)*$BW$19+
INDEX($A297:$BM297,,$BV$20)*$BW$20+
INDEX($A297:$BM297,,$BV$21)*$BW$21+
INDEX($A297:$BM297,,$BV$22)*$BW$22+
INDEX($A297:$BM297,,$BV$23)*$BW$23+
INDEX($A297:$BM297,,$BV$25)*$BW$25+
INDEX($A297:$BM297,,$BV$26)*$BW$26+
INDEX($A297:$BM297,,$BV$27)*$BW$27+
$BN297)),
$BN297-100)</f>
        <v>-100</v>
      </c>
      <c r="AT297">
        <f t="shared" si="57"/>
        <v>0</v>
      </c>
      <c r="AU297">
        <f t="shared" si="58"/>
        <v>0</v>
      </c>
      <c r="AV297" s="430">
        <f>IFERROR(
IF(AT297="",-100,
IF($BV$2&gt;0, INDEX(Beersheet!$A:$U,MATCH(AT297,INDEX(Beersheet!$A:$U,0,FFARawStatProjections!$BV$2),0),$BV$3)+$BN297,
INDEX($A297:$BM297,,$BV$12)*$BW$12+
INDEX($A297:$BM297,,$BV$15)*$BW$15+
INDEX($A297:$BM297,,$BV$16)*$BW$16+
INDEX($A297:$BM297,,$BV$17)*$BW$17+
INDEX($A297:$BM297,,$BV$18)*$BW$18+
INDEX($A297:$BM297,,$BV$19)*$BW$19+
INDEX($A297:$BM297,,$BV$20)*$BW$20+
INDEX($A297:$BM297,,$BV$21)*$BW$21+
INDEX($A297:$BM297,,$BV$22)*$BW$22+
INDEX($A297:$BM297,,$BV$23)*$BW$23+
INDEX($A297:$BM297,,$BV$25)*$BW$25+
INDEX($A297:$BM297,,$BV$26)*$BW$26+
INDEX($A297:$BM297,,$BV$27)*$BW$27+
$BN297)),
$BN297-100)</f>
        <v>2.96E-3</v>
      </c>
      <c r="AX297" t="str">
        <f t="shared" si="59"/>
        <v/>
      </c>
      <c r="AY297" t="str">
        <f t="shared" si="60"/>
        <v/>
      </c>
      <c r="AZ297" s="430">
        <f>IFERROR(
IF(AX297="",-100,
IF($BV$2&gt;0, INDEX(Beersheet!$A:$U,MATCH(AX297,INDEX(Beersheet!$A:$U,0,FFARawStatProjections!$BV$2),0),$BV$3)+$BN297,
INDEX($A297:$BM297,,$BV$12)*$BW$12+
INDEX($A297:$BM297,,$BV$15)*$BW$15+
INDEX($A297:$BM297,,$BV$16)*$BW$16+
INDEX($A297:$BM297,,$BV$17)*$BW$17+
INDEX($A297:$BM297,,$BV$18)*$BW$18+
INDEX($A297:$BM297,,$BV$19)*$BW$19+
INDEX($A297:$BM297,,$BV$20)*$BW$20+
INDEX($A297:$BM297,,$BV$21)*$BW$21+
INDEX($A297:$BM297,,$BV$22)*$BW$22+
INDEX($A297:$BM297,,$BV$23)*$BW$23+
INDEX($A297:$BM297,,$BV$25)*$BW$25+
INDEX($A297:$BM297,,$BV$26)*$BW$26+
INDEX($A297:$BM297,,$BV$27)*$BW$27+
$BN297)),
$BN297-100)</f>
        <v>-100</v>
      </c>
      <c r="BB297" t="str">
        <f t="shared" si="61"/>
        <v/>
      </c>
      <c r="BC297" t="str">
        <f t="shared" si="55"/>
        <v/>
      </c>
      <c r="BD297" s="430">
        <f>IFERROR(
IF(BB297="",-100,
IF($BV$2&gt;0, INDEX(Beersheet!$A:$U,MATCH(BB297,INDEX(Beersheet!$A:$U,0,FFARawStatProjections!$BV$2),0),$BV$3)+$BN297,
INDEX($A297:$BM297,,$BV$12)*$BW$12+
INDEX($A297:$BM297,,$BV$15)*$BW$15+
INDEX($A297:$BM297,,$BV$16)*$BW$16+
INDEX($A297:$BM297,,$BV$17)*$BW$17+
INDEX($A297:$BM297,,$BV$18)*$BW$18+
INDEX($A297:$BM297,,$BV$19)*$BW$19+
INDEX($A297:$BM297,,$BV$20)*$BW$20+
INDEX($A297:$BM297,,$BV$21)*$BW$21+
INDEX($A297:$BM297,,$BV$22)*$BW$22+
INDEX($A297:$BM297,,$BV$23)*$BW$23+
INDEX($A297:$BM297,,$BV$25)*$BW$25+
INDEX($A297:$BM297,,$BV$26)*$BW$26+
INDEX($A297:$BM297,,$BV$27)*$BW$27+
$BN297)),
$BN297-100)</f>
        <v>-100</v>
      </c>
      <c r="BF297" t="str">
        <f t="shared" si="62"/>
        <v/>
      </c>
      <c r="BG297" t="str">
        <f t="shared" si="63"/>
        <v/>
      </c>
      <c r="BH297">
        <f t="shared" si="64"/>
        <v>0</v>
      </c>
      <c r="BJ297" t="str">
        <f t="shared" si="65"/>
        <v/>
      </c>
      <c r="BL297">
        <f t="shared" si="67"/>
        <v>0</v>
      </c>
      <c r="BN297">
        <v>2.96E-3</v>
      </c>
      <c r="BS297" s="4" t="s">
        <v>2479</v>
      </c>
    </row>
    <row r="298" spans="1:71" ht="15.75" thickBot="1" x14ac:dyDescent="0.3">
      <c r="A298" s="569"/>
      <c r="B298" s="569"/>
      <c r="C298" s="569" t="s">
        <v>3</v>
      </c>
      <c r="D298" s="569"/>
      <c r="E298" s="569"/>
      <c r="F298" s="569"/>
      <c r="G298" s="569"/>
      <c r="H298" s="569"/>
      <c r="I298" s="574">
        <v>0</v>
      </c>
      <c r="J298" s="574">
        <v>0</v>
      </c>
      <c r="K298" s="574">
        <v>0</v>
      </c>
      <c r="L298" s="569"/>
      <c r="M298" s="569"/>
      <c r="N298" s="569"/>
      <c r="O298" s="569"/>
      <c r="P298" s="569"/>
      <c r="Q298" s="569"/>
      <c r="R298" s="569"/>
      <c r="S298" s="569"/>
      <c r="T298" s="569"/>
      <c r="U298" s="569"/>
      <c r="V298" s="569"/>
      <c r="W298" s="569"/>
      <c r="X298" s="569"/>
      <c r="Y298" s="569"/>
      <c r="Z298" s="569"/>
      <c r="AA298" s="569"/>
      <c r="AB298" s="569"/>
      <c r="AC298" s="569"/>
      <c r="AD298" s="569"/>
      <c r="AE298" s="569"/>
      <c r="AF298" s="569"/>
      <c r="AG298" s="569"/>
      <c r="AH298" s="569"/>
      <c r="AI298" s="569"/>
      <c r="AJ298" s="569"/>
      <c r="AK298" s="569"/>
      <c r="AL298" s="569"/>
      <c r="AM298" s="569"/>
      <c r="AN298" s="569"/>
      <c r="AO298">
        <v>297</v>
      </c>
      <c r="AP298" t="str">
        <f t="shared" si="66"/>
        <v/>
      </c>
      <c r="AQ298" t="str">
        <f t="shared" si="56"/>
        <v/>
      </c>
      <c r="AR298" s="430">
        <f>IFERROR(
IF(AP298="",-100,
IF($BV$2&gt;0, INDEX(Beersheet!$A:$U,MATCH(AP298,INDEX(Beersheet!$A:$U,0,FFARawStatProjections!$BV$2),0),$BV$3)+$BN298,
INDEX($A298:$BM298,,$BV$12)*$BW$12+
INDEX($A298:$BM298,,$BV$15)*$BW$15+
INDEX($A298:$BM298,,$BV$16)*$BW$16+
INDEX($A298:$BM298,,$BV$17)*$BW$17+
INDEX($A298:$BM298,,$BV$18)*$BW$18+
INDEX($A298:$BM298,,$BV$19)*$BW$19+
INDEX($A298:$BM298,,$BV$20)*$BW$20+
INDEX($A298:$BM298,,$BV$21)*$BW$21+
INDEX($A298:$BM298,,$BV$22)*$BW$22+
INDEX($A298:$BM298,,$BV$23)*$BW$23+
INDEX($A298:$BM298,,$BV$25)*$BW$25+
INDEX($A298:$BM298,,$BV$26)*$BW$26+
INDEX($A298:$BM298,,$BV$27)*$BW$27+
$BN298)),
$BN298-100)</f>
        <v>-100</v>
      </c>
      <c r="AT298">
        <f t="shared" si="57"/>
        <v>0</v>
      </c>
      <c r="AU298">
        <f t="shared" si="58"/>
        <v>0</v>
      </c>
      <c r="AV298" s="430">
        <f>IFERROR(
IF(AT298="",-100,
IF($BV$2&gt;0, INDEX(Beersheet!$A:$U,MATCH(AT298,INDEX(Beersheet!$A:$U,0,FFARawStatProjections!$BV$2),0),$BV$3)+$BN298,
INDEX($A298:$BM298,,$BV$12)*$BW$12+
INDEX($A298:$BM298,,$BV$15)*$BW$15+
INDEX($A298:$BM298,,$BV$16)*$BW$16+
INDEX($A298:$BM298,,$BV$17)*$BW$17+
INDEX($A298:$BM298,,$BV$18)*$BW$18+
INDEX($A298:$BM298,,$BV$19)*$BW$19+
INDEX($A298:$BM298,,$BV$20)*$BW$20+
INDEX($A298:$BM298,,$BV$21)*$BW$21+
INDEX($A298:$BM298,,$BV$22)*$BW$22+
INDEX($A298:$BM298,,$BV$23)*$BW$23+
INDEX($A298:$BM298,,$BV$25)*$BW$25+
INDEX($A298:$BM298,,$BV$26)*$BW$26+
INDEX($A298:$BM298,,$BV$27)*$BW$27+
$BN298)),
$BN298-100)</f>
        <v>2.97E-3</v>
      </c>
      <c r="AX298" t="str">
        <f t="shared" si="59"/>
        <v/>
      </c>
      <c r="AY298" t="str">
        <f t="shared" si="60"/>
        <v/>
      </c>
      <c r="AZ298" s="430">
        <f>IFERROR(
IF(AX298="",-100,
IF($BV$2&gt;0, INDEX(Beersheet!$A:$U,MATCH(AX298,INDEX(Beersheet!$A:$U,0,FFARawStatProjections!$BV$2),0),$BV$3)+$BN298,
INDEX($A298:$BM298,,$BV$12)*$BW$12+
INDEX($A298:$BM298,,$BV$15)*$BW$15+
INDEX($A298:$BM298,,$BV$16)*$BW$16+
INDEX($A298:$BM298,,$BV$17)*$BW$17+
INDEX($A298:$BM298,,$BV$18)*$BW$18+
INDEX($A298:$BM298,,$BV$19)*$BW$19+
INDEX($A298:$BM298,,$BV$20)*$BW$20+
INDEX($A298:$BM298,,$BV$21)*$BW$21+
INDEX($A298:$BM298,,$BV$22)*$BW$22+
INDEX($A298:$BM298,,$BV$23)*$BW$23+
INDEX($A298:$BM298,,$BV$25)*$BW$25+
INDEX($A298:$BM298,,$BV$26)*$BW$26+
INDEX($A298:$BM298,,$BV$27)*$BW$27+
$BN298)),
$BN298-100)</f>
        <v>-100</v>
      </c>
      <c r="BB298" t="str">
        <f t="shared" si="61"/>
        <v/>
      </c>
      <c r="BC298" t="str">
        <f t="shared" si="55"/>
        <v/>
      </c>
      <c r="BD298" s="430">
        <f>IFERROR(
IF(BB298="",-100,
IF($BV$2&gt;0, INDEX(Beersheet!$A:$U,MATCH(BB298,INDEX(Beersheet!$A:$U,0,FFARawStatProjections!$BV$2),0),$BV$3)+$BN298,
INDEX($A298:$BM298,,$BV$12)*$BW$12+
INDEX($A298:$BM298,,$BV$15)*$BW$15+
INDEX($A298:$BM298,,$BV$16)*$BW$16+
INDEX($A298:$BM298,,$BV$17)*$BW$17+
INDEX($A298:$BM298,,$BV$18)*$BW$18+
INDEX($A298:$BM298,,$BV$19)*$BW$19+
INDEX($A298:$BM298,,$BV$20)*$BW$20+
INDEX($A298:$BM298,,$BV$21)*$BW$21+
INDEX($A298:$BM298,,$BV$22)*$BW$22+
INDEX($A298:$BM298,,$BV$23)*$BW$23+
INDEX($A298:$BM298,,$BV$25)*$BW$25+
INDEX($A298:$BM298,,$BV$26)*$BW$26+
INDEX($A298:$BM298,,$BV$27)*$BW$27+
$BN298)),
$BN298-100)</f>
        <v>-100</v>
      </c>
      <c r="BF298" t="str">
        <f t="shared" si="62"/>
        <v/>
      </c>
      <c r="BG298" t="str">
        <f t="shared" si="63"/>
        <v/>
      </c>
      <c r="BH298">
        <f t="shared" si="64"/>
        <v>0</v>
      </c>
      <c r="BJ298" t="str">
        <f t="shared" si="65"/>
        <v/>
      </c>
      <c r="BL298">
        <f t="shared" si="67"/>
        <v>0</v>
      </c>
      <c r="BN298">
        <v>2.97E-3</v>
      </c>
      <c r="BS298" s="4" t="s">
        <v>2378</v>
      </c>
    </row>
    <row r="299" spans="1:71" ht="15.75" thickBot="1" x14ac:dyDescent="0.3">
      <c r="A299" s="569"/>
      <c r="B299" s="569"/>
      <c r="C299" s="569" t="s">
        <v>3</v>
      </c>
      <c r="D299" s="569"/>
      <c r="E299" s="569"/>
      <c r="F299" s="569"/>
      <c r="G299" s="569"/>
      <c r="H299" s="569"/>
      <c r="I299" s="574">
        <v>0</v>
      </c>
      <c r="J299" s="574">
        <v>0</v>
      </c>
      <c r="K299" s="574">
        <v>0</v>
      </c>
      <c r="L299" s="569"/>
      <c r="M299" s="569"/>
      <c r="N299" s="569"/>
      <c r="O299" s="569"/>
      <c r="P299" s="569"/>
      <c r="Q299" s="569"/>
      <c r="R299" s="569"/>
      <c r="S299" s="569"/>
      <c r="T299" s="569"/>
      <c r="U299" s="569"/>
      <c r="V299" s="569"/>
      <c r="W299" s="569"/>
      <c r="X299" s="569"/>
      <c r="Y299" s="569"/>
      <c r="Z299" s="569"/>
      <c r="AA299" s="569"/>
      <c r="AB299" s="569"/>
      <c r="AC299" s="569"/>
      <c r="AD299" s="569"/>
      <c r="AE299" s="569"/>
      <c r="AF299" s="569"/>
      <c r="AG299" s="569"/>
      <c r="AH299" s="569"/>
      <c r="AI299" s="569"/>
      <c r="AJ299" s="569"/>
      <c r="AK299" s="569"/>
      <c r="AL299" s="569"/>
      <c r="AM299" s="569"/>
      <c r="AN299" s="569"/>
      <c r="AO299">
        <v>298</v>
      </c>
      <c r="AP299" t="str">
        <f t="shared" si="66"/>
        <v/>
      </c>
      <c r="AQ299" t="str">
        <f t="shared" si="56"/>
        <v/>
      </c>
      <c r="AR299" s="430">
        <f>IFERROR(
IF(AP299="",-100,
IF($BV$2&gt;0, INDEX(Beersheet!$A:$U,MATCH(AP299,INDEX(Beersheet!$A:$U,0,FFARawStatProjections!$BV$2),0),$BV$3)+$BN299,
INDEX($A299:$BM299,,$BV$12)*$BW$12+
INDEX($A299:$BM299,,$BV$15)*$BW$15+
INDEX($A299:$BM299,,$BV$16)*$BW$16+
INDEX($A299:$BM299,,$BV$17)*$BW$17+
INDEX($A299:$BM299,,$BV$18)*$BW$18+
INDEX($A299:$BM299,,$BV$19)*$BW$19+
INDEX($A299:$BM299,,$BV$20)*$BW$20+
INDEX($A299:$BM299,,$BV$21)*$BW$21+
INDEX($A299:$BM299,,$BV$22)*$BW$22+
INDEX($A299:$BM299,,$BV$23)*$BW$23+
INDEX($A299:$BM299,,$BV$25)*$BW$25+
INDEX($A299:$BM299,,$BV$26)*$BW$26+
INDEX($A299:$BM299,,$BV$27)*$BW$27+
$BN299)),
$BN299-100)</f>
        <v>-100</v>
      </c>
      <c r="AT299">
        <f t="shared" si="57"/>
        <v>0</v>
      </c>
      <c r="AU299">
        <f t="shared" si="58"/>
        <v>0</v>
      </c>
      <c r="AV299" s="430">
        <f>IFERROR(
IF(AT299="",-100,
IF($BV$2&gt;0, INDEX(Beersheet!$A:$U,MATCH(AT299,INDEX(Beersheet!$A:$U,0,FFARawStatProjections!$BV$2),0),$BV$3)+$BN299,
INDEX($A299:$BM299,,$BV$12)*$BW$12+
INDEX($A299:$BM299,,$BV$15)*$BW$15+
INDEX($A299:$BM299,,$BV$16)*$BW$16+
INDEX($A299:$BM299,,$BV$17)*$BW$17+
INDEX($A299:$BM299,,$BV$18)*$BW$18+
INDEX($A299:$BM299,,$BV$19)*$BW$19+
INDEX($A299:$BM299,,$BV$20)*$BW$20+
INDEX($A299:$BM299,,$BV$21)*$BW$21+
INDEX($A299:$BM299,,$BV$22)*$BW$22+
INDEX($A299:$BM299,,$BV$23)*$BW$23+
INDEX($A299:$BM299,,$BV$25)*$BW$25+
INDEX($A299:$BM299,,$BV$26)*$BW$26+
INDEX($A299:$BM299,,$BV$27)*$BW$27+
$BN299)),
$BN299-100)</f>
        <v>2.98E-3</v>
      </c>
      <c r="AX299" t="str">
        <f t="shared" si="59"/>
        <v/>
      </c>
      <c r="AY299" t="str">
        <f t="shared" si="60"/>
        <v/>
      </c>
      <c r="AZ299" s="430">
        <f>IFERROR(
IF(AX299="",-100,
IF($BV$2&gt;0, INDEX(Beersheet!$A:$U,MATCH(AX299,INDEX(Beersheet!$A:$U,0,FFARawStatProjections!$BV$2),0),$BV$3)+$BN299,
INDEX($A299:$BM299,,$BV$12)*$BW$12+
INDEX($A299:$BM299,,$BV$15)*$BW$15+
INDEX($A299:$BM299,,$BV$16)*$BW$16+
INDEX($A299:$BM299,,$BV$17)*$BW$17+
INDEX($A299:$BM299,,$BV$18)*$BW$18+
INDEX($A299:$BM299,,$BV$19)*$BW$19+
INDEX($A299:$BM299,,$BV$20)*$BW$20+
INDEX($A299:$BM299,,$BV$21)*$BW$21+
INDEX($A299:$BM299,,$BV$22)*$BW$22+
INDEX($A299:$BM299,,$BV$23)*$BW$23+
INDEX($A299:$BM299,,$BV$25)*$BW$25+
INDEX($A299:$BM299,,$BV$26)*$BW$26+
INDEX($A299:$BM299,,$BV$27)*$BW$27+
$BN299)),
$BN299-100)</f>
        <v>-100</v>
      </c>
      <c r="BB299" t="str">
        <f t="shared" si="61"/>
        <v/>
      </c>
      <c r="BC299" t="str">
        <f t="shared" si="55"/>
        <v/>
      </c>
      <c r="BD299" s="430">
        <f>IFERROR(
IF(BB299="",-100,
IF($BV$2&gt;0, INDEX(Beersheet!$A:$U,MATCH(BB299,INDEX(Beersheet!$A:$U,0,FFARawStatProjections!$BV$2),0),$BV$3)+$BN299,
INDEX($A299:$BM299,,$BV$12)*$BW$12+
INDEX($A299:$BM299,,$BV$15)*$BW$15+
INDEX($A299:$BM299,,$BV$16)*$BW$16+
INDEX($A299:$BM299,,$BV$17)*$BW$17+
INDEX($A299:$BM299,,$BV$18)*$BW$18+
INDEX($A299:$BM299,,$BV$19)*$BW$19+
INDEX($A299:$BM299,,$BV$20)*$BW$20+
INDEX($A299:$BM299,,$BV$21)*$BW$21+
INDEX($A299:$BM299,,$BV$22)*$BW$22+
INDEX($A299:$BM299,,$BV$23)*$BW$23+
INDEX($A299:$BM299,,$BV$25)*$BW$25+
INDEX($A299:$BM299,,$BV$26)*$BW$26+
INDEX($A299:$BM299,,$BV$27)*$BW$27+
$BN299)),
$BN299-100)</f>
        <v>-100</v>
      </c>
      <c r="BF299" t="str">
        <f t="shared" si="62"/>
        <v/>
      </c>
      <c r="BG299" t="str">
        <f t="shared" si="63"/>
        <v/>
      </c>
      <c r="BH299">
        <f t="shared" si="64"/>
        <v>0</v>
      </c>
      <c r="BJ299" t="str">
        <f t="shared" si="65"/>
        <v/>
      </c>
      <c r="BL299">
        <f t="shared" si="67"/>
        <v>0</v>
      </c>
      <c r="BN299">
        <v>2.98E-3</v>
      </c>
      <c r="BS299" s="4" t="s">
        <v>2239</v>
      </c>
    </row>
    <row r="300" spans="1:71" ht="15.75" thickBot="1" x14ac:dyDescent="0.3">
      <c r="A300" s="569"/>
      <c r="B300" s="569"/>
      <c r="C300" s="569" t="s">
        <v>3</v>
      </c>
      <c r="D300" s="569"/>
      <c r="E300" s="569"/>
      <c r="F300" s="569"/>
      <c r="G300" s="569"/>
      <c r="H300" s="569"/>
      <c r="I300" s="574">
        <v>0</v>
      </c>
      <c r="J300" s="574">
        <v>0</v>
      </c>
      <c r="K300" s="574">
        <v>0</v>
      </c>
      <c r="L300" s="569"/>
      <c r="M300" s="569"/>
      <c r="N300" s="569"/>
      <c r="O300" s="569"/>
      <c r="P300" s="569"/>
      <c r="Q300" s="569"/>
      <c r="R300" s="569"/>
      <c r="S300" s="569"/>
      <c r="T300" s="569"/>
      <c r="U300" s="569"/>
      <c r="V300" s="569"/>
      <c r="W300" s="569"/>
      <c r="X300" s="569"/>
      <c r="Y300" s="569"/>
      <c r="Z300" s="569"/>
      <c r="AA300" s="569"/>
      <c r="AB300" s="569"/>
      <c r="AC300" s="569"/>
      <c r="AD300" s="569"/>
      <c r="AE300" s="569"/>
      <c r="AF300" s="569"/>
      <c r="AG300" s="569"/>
      <c r="AH300" s="569"/>
      <c r="AI300" s="569"/>
      <c r="AJ300" s="569"/>
      <c r="AK300" s="569"/>
      <c r="AL300" s="569"/>
      <c r="AM300" s="569"/>
      <c r="AN300" s="569"/>
      <c r="AO300">
        <v>299</v>
      </c>
      <c r="AP300" t="str">
        <f t="shared" si="66"/>
        <v/>
      </c>
      <c r="AQ300" t="str">
        <f t="shared" si="56"/>
        <v/>
      </c>
      <c r="AR300" s="430">
        <f>IFERROR(
IF(AP300="",-100,
IF($BV$2&gt;0, INDEX(Beersheet!$A:$U,MATCH(AP300,INDEX(Beersheet!$A:$U,0,FFARawStatProjections!$BV$2),0),$BV$3)+$BN300,
INDEX($A300:$BM300,,$BV$12)*$BW$12+
INDEX($A300:$BM300,,$BV$15)*$BW$15+
INDEX($A300:$BM300,,$BV$16)*$BW$16+
INDEX($A300:$BM300,,$BV$17)*$BW$17+
INDEX($A300:$BM300,,$BV$18)*$BW$18+
INDEX($A300:$BM300,,$BV$19)*$BW$19+
INDEX($A300:$BM300,,$BV$20)*$BW$20+
INDEX($A300:$BM300,,$BV$21)*$BW$21+
INDEX($A300:$BM300,,$BV$22)*$BW$22+
INDEX($A300:$BM300,,$BV$23)*$BW$23+
INDEX($A300:$BM300,,$BV$25)*$BW$25+
INDEX($A300:$BM300,,$BV$26)*$BW$26+
INDEX($A300:$BM300,,$BV$27)*$BW$27+
$BN300)),
$BN300-100)</f>
        <v>-100</v>
      </c>
      <c r="AT300">
        <f t="shared" si="57"/>
        <v>0</v>
      </c>
      <c r="AU300">
        <f t="shared" si="58"/>
        <v>0</v>
      </c>
      <c r="AV300" s="430">
        <f>IFERROR(
IF(AT300="",-100,
IF($BV$2&gt;0, INDEX(Beersheet!$A:$U,MATCH(AT300,INDEX(Beersheet!$A:$U,0,FFARawStatProjections!$BV$2),0),$BV$3)+$BN300,
INDEX($A300:$BM300,,$BV$12)*$BW$12+
INDEX($A300:$BM300,,$BV$15)*$BW$15+
INDEX($A300:$BM300,,$BV$16)*$BW$16+
INDEX($A300:$BM300,,$BV$17)*$BW$17+
INDEX($A300:$BM300,,$BV$18)*$BW$18+
INDEX($A300:$BM300,,$BV$19)*$BW$19+
INDEX($A300:$BM300,,$BV$20)*$BW$20+
INDEX($A300:$BM300,,$BV$21)*$BW$21+
INDEX($A300:$BM300,,$BV$22)*$BW$22+
INDEX($A300:$BM300,,$BV$23)*$BW$23+
INDEX($A300:$BM300,,$BV$25)*$BW$25+
INDEX($A300:$BM300,,$BV$26)*$BW$26+
INDEX($A300:$BM300,,$BV$27)*$BW$27+
$BN300)),
$BN300-100)</f>
        <v>2.99E-3</v>
      </c>
      <c r="AX300" t="str">
        <f t="shared" si="59"/>
        <v/>
      </c>
      <c r="AY300" t="str">
        <f t="shared" si="60"/>
        <v/>
      </c>
      <c r="AZ300" s="430">
        <f>IFERROR(
IF(AX300="",-100,
IF($BV$2&gt;0, INDEX(Beersheet!$A:$U,MATCH(AX300,INDEX(Beersheet!$A:$U,0,FFARawStatProjections!$BV$2),0),$BV$3)+$BN300,
INDEX($A300:$BM300,,$BV$12)*$BW$12+
INDEX($A300:$BM300,,$BV$15)*$BW$15+
INDEX($A300:$BM300,,$BV$16)*$BW$16+
INDEX($A300:$BM300,,$BV$17)*$BW$17+
INDEX($A300:$BM300,,$BV$18)*$BW$18+
INDEX($A300:$BM300,,$BV$19)*$BW$19+
INDEX($A300:$BM300,,$BV$20)*$BW$20+
INDEX($A300:$BM300,,$BV$21)*$BW$21+
INDEX($A300:$BM300,,$BV$22)*$BW$22+
INDEX($A300:$BM300,,$BV$23)*$BW$23+
INDEX($A300:$BM300,,$BV$25)*$BW$25+
INDEX($A300:$BM300,,$BV$26)*$BW$26+
INDEX($A300:$BM300,,$BV$27)*$BW$27+
$BN300)),
$BN300-100)</f>
        <v>-100</v>
      </c>
      <c r="BB300" t="str">
        <f t="shared" si="61"/>
        <v/>
      </c>
      <c r="BC300" t="str">
        <f t="shared" si="55"/>
        <v/>
      </c>
      <c r="BD300" s="430">
        <f>IFERROR(
IF(BB300="",-100,
IF($BV$2&gt;0, INDEX(Beersheet!$A:$U,MATCH(BB300,INDEX(Beersheet!$A:$U,0,FFARawStatProjections!$BV$2),0),$BV$3)+$BN300,
INDEX($A300:$BM300,,$BV$12)*$BW$12+
INDEX($A300:$BM300,,$BV$15)*$BW$15+
INDEX($A300:$BM300,,$BV$16)*$BW$16+
INDEX($A300:$BM300,,$BV$17)*$BW$17+
INDEX($A300:$BM300,,$BV$18)*$BW$18+
INDEX($A300:$BM300,,$BV$19)*$BW$19+
INDEX($A300:$BM300,,$BV$20)*$BW$20+
INDEX($A300:$BM300,,$BV$21)*$BW$21+
INDEX($A300:$BM300,,$BV$22)*$BW$22+
INDEX($A300:$BM300,,$BV$23)*$BW$23+
INDEX($A300:$BM300,,$BV$25)*$BW$25+
INDEX($A300:$BM300,,$BV$26)*$BW$26+
INDEX($A300:$BM300,,$BV$27)*$BW$27+
$BN300)),
$BN300-100)</f>
        <v>-100</v>
      </c>
      <c r="BF300" t="str">
        <f t="shared" si="62"/>
        <v/>
      </c>
      <c r="BG300" t="str">
        <f t="shared" si="63"/>
        <v/>
      </c>
      <c r="BH300">
        <f t="shared" si="64"/>
        <v>0</v>
      </c>
      <c r="BJ300" t="str">
        <f t="shared" si="65"/>
        <v/>
      </c>
      <c r="BL300">
        <f t="shared" si="67"/>
        <v>0</v>
      </c>
      <c r="BN300">
        <v>2.99E-3</v>
      </c>
      <c r="BS300" s="4" t="s">
        <v>2560</v>
      </c>
    </row>
    <row r="301" spans="1:71" ht="15.75" thickBot="1" x14ac:dyDescent="0.3">
      <c r="A301" s="569"/>
      <c r="B301" s="569"/>
      <c r="C301" s="569" t="s">
        <v>3</v>
      </c>
      <c r="D301" s="569"/>
      <c r="E301" s="569"/>
      <c r="F301" s="569"/>
      <c r="G301" s="569"/>
      <c r="H301" s="569"/>
      <c r="I301" s="574">
        <v>0</v>
      </c>
      <c r="J301" s="574">
        <v>0</v>
      </c>
      <c r="K301" s="574">
        <v>0</v>
      </c>
      <c r="L301" s="569"/>
      <c r="M301" s="569"/>
      <c r="N301" s="569"/>
      <c r="O301" s="569"/>
      <c r="P301" s="569"/>
      <c r="Q301" s="569"/>
      <c r="R301" s="569"/>
      <c r="S301" s="569"/>
      <c r="T301" s="569"/>
      <c r="U301" s="569"/>
      <c r="V301" s="569"/>
      <c r="W301" s="569"/>
      <c r="X301" s="569"/>
      <c r="Y301" s="569"/>
      <c r="Z301" s="569"/>
      <c r="AA301" s="569"/>
      <c r="AB301" s="569"/>
      <c r="AC301" s="569"/>
      <c r="AD301" s="569"/>
      <c r="AE301" s="569"/>
      <c r="AF301" s="569"/>
      <c r="AG301" s="569"/>
      <c r="AH301" s="569"/>
      <c r="AI301" s="569"/>
      <c r="AJ301" s="569"/>
      <c r="AK301" s="569"/>
      <c r="AL301" s="569"/>
      <c r="AM301" s="569"/>
      <c r="AN301" s="569"/>
      <c r="AO301">
        <v>300</v>
      </c>
      <c r="AP301" t="str">
        <f t="shared" si="66"/>
        <v/>
      </c>
      <c r="AQ301" t="str">
        <f t="shared" si="56"/>
        <v/>
      </c>
      <c r="AR301" s="430">
        <f>IFERROR(
IF(AP301="",-100,
IF($BV$2&gt;0, INDEX(Beersheet!$A:$U,MATCH(AP301,INDEX(Beersheet!$A:$U,0,FFARawStatProjections!$BV$2),0),$BV$3)+$BN301,
INDEX($A301:$BM301,,$BV$12)*$BW$12+
INDEX($A301:$BM301,,$BV$15)*$BW$15+
INDEX($A301:$BM301,,$BV$16)*$BW$16+
INDEX($A301:$BM301,,$BV$17)*$BW$17+
INDEX($A301:$BM301,,$BV$18)*$BW$18+
INDEX($A301:$BM301,,$BV$19)*$BW$19+
INDEX($A301:$BM301,,$BV$20)*$BW$20+
INDEX($A301:$BM301,,$BV$21)*$BW$21+
INDEX($A301:$BM301,,$BV$22)*$BW$22+
INDEX($A301:$BM301,,$BV$23)*$BW$23+
INDEX($A301:$BM301,,$BV$25)*$BW$25+
INDEX($A301:$BM301,,$BV$26)*$BW$26+
INDEX($A301:$BM301,,$BV$27)*$BW$27+
$BN301)),
$BN301-100)</f>
        <v>-100</v>
      </c>
      <c r="AT301">
        <f t="shared" si="57"/>
        <v>0</v>
      </c>
      <c r="AU301">
        <f t="shared" si="58"/>
        <v>0</v>
      </c>
      <c r="AV301" s="430">
        <f>IFERROR(
IF(AT301="",-100,
IF($BV$2&gt;0, INDEX(Beersheet!$A:$U,MATCH(AT301,INDEX(Beersheet!$A:$U,0,FFARawStatProjections!$BV$2),0),$BV$3)+$BN301,
INDEX($A301:$BM301,,$BV$12)*$BW$12+
INDEX($A301:$BM301,,$BV$15)*$BW$15+
INDEX($A301:$BM301,,$BV$16)*$BW$16+
INDEX($A301:$BM301,,$BV$17)*$BW$17+
INDEX($A301:$BM301,,$BV$18)*$BW$18+
INDEX($A301:$BM301,,$BV$19)*$BW$19+
INDEX($A301:$BM301,,$BV$20)*$BW$20+
INDEX($A301:$BM301,,$BV$21)*$BW$21+
INDEX($A301:$BM301,,$BV$22)*$BW$22+
INDEX($A301:$BM301,,$BV$23)*$BW$23+
INDEX($A301:$BM301,,$BV$25)*$BW$25+
INDEX($A301:$BM301,,$BV$26)*$BW$26+
INDEX($A301:$BM301,,$BV$27)*$BW$27+
$BN301)),
$BN301-100)</f>
        <v>3.0000000000000001E-3</v>
      </c>
      <c r="AX301" t="str">
        <f t="shared" si="59"/>
        <v/>
      </c>
      <c r="AY301" t="str">
        <f t="shared" si="60"/>
        <v/>
      </c>
      <c r="AZ301" s="430">
        <f>IFERROR(
IF(AX301="",-100,
IF($BV$2&gt;0, INDEX(Beersheet!$A:$U,MATCH(AX301,INDEX(Beersheet!$A:$U,0,FFARawStatProjections!$BV$2),0),$BV$3)+$BN301,
INDEX($A301:$BM301,,$BV$12)*$BW$12+
INDEX($A301:$BM301,,$BV$15)*$BW$15+
INDEX($A301:$BM301,,$BV$16)*$BW$16+
INDEX($A301:$BM301,,$BV$17)*$BW$17+
INDEX($A301:$BM301,,$BV$18)*$BW$18+
INDEX($A301:$BM301,,$BV$19)*$BW$19+
INDEX($A301:$BM301,,$BV$20)*$BW$20+
INDEX($A301:$BM301,,$BV$21)*$BW$21+
INDEX($A301:$BM301,,$BV$22)*$BW$22+
INDEX($A301:$BM301,,$BV$23)*$BW$23+
INDEX($A301:$BM301,,$BV$25)*$BW$25+
INDEX($A301:$BM301,,$BV$26)*$BW$26+
INDEX($A301:$BM301,,$BV$27)*$BW$27+
$BN301)),
$BN301-100)</f>
        <v>-100</v>
      </c>
      <c r="BB301" t="str">
        <f t="shared" si="61"/>
        <v/>
      </c>
      <c r="BC301" t="str">
        <f t="shared" si="55"/>
        <v/>
      </c>
      <c r="BD301" s="430">
        <f>IFERROR(
IF(BB301="",-100,
IF($BV$2&gt;0, INDEX(Beersheet!$A:$U,MATCH(BB301,INDEX(Beersheet!$A:$U,0,FFARawStatProjections!$BV$2),0),$BV$3)+$BN301,
INDEX($A301:$BM301,,$BV$12)*$BW$12+
INDEX($A301:$BM301,,$BV$15)*$BW$15+
INDEX($A301:$BM301,,$BV$16)*$BW$16+
INDEX($A301:$BM301,,$BV$17)*$BW$17+
INDEX($A301:$BM301,,$BV$18)*$BW$18+
INDEX($A301:$BM301,,$BV$19)*$BW$19+
INDEX($A301:$BM301,,$BV$20)*$BW$20+
INDEX($A301:$BM301,,$BV$21)*$BW$21+
INDEX($A301:$BM301,,$BV$22)*$BW$22+
INDEX($A301:$BM301,,$BV$23)*$BW$23+
INDEX($A301:$BM301,,$BV$25)*$BW$25+
INDEX($A301:$BM301,,$BV$26)*$BW$26+
INDEX($A301:$BM301,,$BV$27)*$BW$27+
$BN301)),
$BN301-100)</f>
        <v>-100</v>
      </c>
      <c r="BF301" t="str">
        <f t="shared" si="62"/>
        <v/>
      </c>
      <c r="BG301" t="str">
        <f t="shared" si="63"/>
        <v/>
      </c>
      <c r="BH301">
        <f t="shared" si="64"/>
        <v>0</v>
      </c>
      <c r="BJ301" t="str">
        <f t="shared" si="65"/>
        <v/>
      </c>
      <c r="BL301">
        <f t="shared" si="67"/>
        <v>0</v>
      </c>
      <c r="BN301">
        <v>3.0000000000000001E-3</v>
      </c>
      <c r="BS301" s="4" t="s">
        <v>1302</v>
      </c>
    </row>
    <row r="302" spans="1:71" ht="15.75" thickBot="1" x14ac:dyDescent="0.3">
      <c r="A302" s="569"/>
      <c r="B302" s="569"/>
      <c r="C302" s="569" t="s">
        <v>3</v>
      </c>
      <c r="D302" s="569"/>
      <c r="E302" s="569"/>
      <c r="F302" s="569"/>
      <c r="G302" s="569"/>
      <c r="H302" s="569"/>
      <c r="I302" s="574">
        <v>0</v>
      </c>
      <c r="J302" s="574">
        <v>0</v>
      </c>
      <c r="K302" s="574">
        <v>0</v>
      </c>
      <c r="L302" s="569"/>
      <c r="M302" s="569"/>
      <c r="N302" s="569"/>
      <c r="O302" s="569"/>
      <c r="P302" s="569"/>
      <c r="Q302" s="569"/>
      <c r="R302" s="569"/>
      <c r="S302" s="569"/>
      <c r="T302" s="569"/>
      <c r="U302" s="569"/>
      <c r="V302" s="569"/>
      <c r="W302" s="569"/>
      <c r="X302" s="569"/>
      <c r="Y302" s="569"/>
      <c r="Z302" s="569"/>
      <c r="AA302" s="569"/>
      <c r="AB302" s="569"/>
      <c r="AC302" s="569"/>
      <c r="AD302" s="569"/>
      <c r="AE302" s="569"/>
      <c r="AF302" s="569"/>
      <c r="AG302" s="569"/>
      <c r="AH302" s="569"/>
      <c r="AI302" s="569"/>
      <c r="AJ302" s="569"/>
      <c r="AK302" s="569"/>
      <c r="AL302" s="569"/>
      <c r="AM302" s="569"/>
      <c r="AN302" s="569"/>
      <c r="AO302">
        <v>301</v>
      </c>
      <c r="AP302" t="str">
        <f t="shared" si="66"/>
        <v/>
      </c>
      <c r="AQ302" t="str">
        <f t="shared" si="56"/>
        <v/>
      </c>
      <c r="AR302" s="430">
        <f>IFERROR(
IF(AP302="",-100,
IF($BV$2&gt;0, INDEX(Beersheet!$A:$U,MATCH(AP302,INDEX(Beersheet!$A:$U,0,FFARawStatProjections!$BV$2),0),$BV$3)+$BN302,
INDEX($A302:$BM302,,$BV$12)*$BW$12+
INDEX($A302:$BM302,,$BV$15)*$BW$15+
INDEX($A302:$BM302,,$BV$16)*$BW$16+
INDEX($A302:$BM302,,$BV$17)*$BW$17+
INDEX($A302:$BM302,,$BV$18)*$BW$18+
INDEX($A302:$BM302,,$BV$19)*$BW$19+
INDEX($A302:$BM302,,$BV$20)*$BW$20+
INDEX($A302:$BM302,,$BV$21)*$BW$21+
INDEX($A302:$BM302,,$BV$22)*$BW$22+
INDEX($A302:$BM302,,$BV$23)*$BW$23+
INDEX($A302:$BM302,,$BV$25)*$BW$25+
INDEX($A302:$BM302,,$BV$26)*$BW$26+
INDEX($A302:$BM302,,$BV$27)*$BW$27+
$BN302)),
$BN302-100)</f>
        <v>-100</v>
      </c>
      <c r="AT302">
        <f t="shared" si="57"/>
        <v>0</v>
      </c>
      <c r="AU302">
        <f t="shared" si="58"/>
        <v>0</v>
      </c>
      <c r="AV302" s="430">
        <f>IFERROR(
IF(AT302="",-100,
IF($BV$2&gt;0, INDEX(Beersheet!$A:$U,MATCH(AT302,INDEX(Beersheet!$A:$U,0,FFARawStatProjections!$BV$2),0),$BV$3)+$BN302,
INDEX($A302:$BM302,,$BV$12)*$BW$12+
INDEX($A302:$BM302,,$BV$15)*$BW$15+
INDEX($A302:$BM302,,$BV$16)*$BW$16+
INDEX($A302:$BM302,,$BV$17)*$BW$17+
INDEX($A302:$BM302,,$BV$18)*$BW$18+
INDEX($A302:$BM302,,$BV$19)*$BW$19+
INDEX($A302:$BM302,,$BV$20)*$BW$20+
INDEX($A302:$BM302,,$BV$21)*$BW$21+
INDEX($A302:$BM302,,$BV$22)*$BW$22+
INDEX($A302:$BM302,,$BV$23)*$BW$23+
INDEX($A302:$BM302,,$BV$25)*$BW$25+
INDEX($A302:$BM302,,$BV$26)*$BW$26+
INDEX($A302:$BM302,,$BV$27)*$BW$27+
$BN302)),
$BN302-100)</f>
        <v>3.0100000000000001E-3</v>
      </c>
      <c r="AX302" t="str">
        <f t="shared" si="59"/>
        <v/>
      </c>
      <c r="AY302" t="str">
        <f t="shared" si="60"/>
        <v/>
      </c>
      <c r="AZ302" s="430">
        <f>IFERROR(
IF(AX302="",-100,
IF($BV$2&gt;0, INDEX(Beersheet!$A:$U,MATCH(AX302,INDEX(Beersheet!$A:$U,0,FFARawStatProjections!$BV$2),0),$BV$3)+$BN302,
INDEX($A302:$BM302,,$BV$12)*$BW$12+
INDEX($A302:$BM302,,$BV$15)*$BW$15+
INDEX($A302:$BM302,,$BV$16)*$BW$16+
INDEX($A302:$BM302,,$BV$17)*$BW$17+
INDEX($A302:$BM302,,$BV$18)*$BW$18+
INDEX($A302:$BM302,,$BV$19)*$BW$19+
INDEX($A302:$BM302,,$BV$20)*$BW$20+
INDEX($A302:$BM302,,$BV$21)*$BW$21+
INDEX($A302:$BM302,,$BV$22)*$BW$22+
INDEX($A302:$BM302,,$BV$23)*$BW$23+
INDEX($A302:$BM302,,$BV$25)*$BW$25+
INDEX($A302:$BM302,,$BV$26)*$BW$26+
INDEX($A302:$BM302,,$BV$27)*$BW$27+
$BN302)),
$BN302-100)</f>
        <v>-100</v>
      </c>
      <c r="BB302" t="str">
        <f t="shared" si="61"/>
        <v/>
      </c>
      <c r="BC302" t="str">
        <f t="shared" si="55"/>
        <v/>
      </c>
      <c r="BD302" s="430">
        <f>IFERROR(
IF(BB302="",-100,
IF($BV$2&gt;0, INDEX(Beersheet!$A:$U,MATCH(BB302,INDEX(Beersheet!$A:$U,0,FFARawStatProjections!$BV$2),0),$BV$3)+$BN302,
INDEX($A302:$BM302,,$BV$12)*$BW$12+
INDEX($A302:$BM302,,$BV$15)*$BW$15+
INDEX($A302:$BM302,,$BV$16)*$BW$16+
INDEX($A302:$BM302,,$BV$17)*$BW$17+
INDEX($A302:$BM302,,$BV$18)*$BW$18+
INDEX($A302:$BM302,,$BV$19)*$BW$19+
INDEX($A302:$BM302,,$BV$20)*$BW$20+
INDEX($A302:$BM302,,$BV$21)*$BW$21+
INDEX($A302:$BM302,,$BV$22)*$BW$22+
INDEX($A302:$BM302,,$BV$23)*$BW$23+
INDEX($A302:$BM302,,$BV$25)*$BW$25+
INDEX($A302:$BM302,,$BV$26)*$BW$26+
INDEX($A302:$BM302,,$BV$27)*$BW$27+
$BN302)),
$BN302-100)</f>
        <v>-100</v>
      </c>
      <c r="BF302" t="str">
        <f t="shared" si="62"/>
        <v/>
      </c>
      <c r="BG302" t="str">
        <f t="shared" si="63"/>
        <v/>
      </c>
      <c r="BH302">
        <f t="shared" si="64"/>
        <v>0</v>
      </c>
      <c r="BJ302" t="str">
        <f t="shared" si="65"/>
        <v/>
      </c>
      <c r="BL302">
        <f t="shared" si="67"/>
        <v>0</v>
      </c>
      <c r="BN302">
        <v>3.0100000000000001E-3</v>
      </c>
      <c r="BS302" s="4" t="s">
        <v>2217</v>
      </c>
    </row>
    <row r="303" spans="1:71" ht="15.75" thickBot="1" x14ac:dyDescent="0.3">
      <c r="A303" s="569"/>
      <c r="B303" s="569"/>
      <c r="C303" s="569" t="s">
        <v>3</v>
      </c>
      <c r="D303" s="569"/>
      <c r="E303" s="569"/>
      <c r="F303" s="569"/>
      <c r="G303" s="569"/>
      <c r="H303" s="569"/>
      <c r="I303" s="574">
        <v>0</v>
      </c>
      <c r="J303" s="574">
        <v>0</v>
      </c>
      <c r="K303" s="574">
        <v>0</v>
      </c>
      <c r="L303" s="569"/>
      <c r="M303" s="569"/>
      <c r="N303" s="569"/>
      <c r="O303" s="569"/>
      <c r="P303" s="569"/>
      <c r="Q303" s="569"/>
      <c r="R303" s="569"/>
      <c r="S303" s="569"/>
      <c r="T303" s="569"/>
      <c r="U303" s="569"/>
      <c r="V303" s="569"/>
      <c r="W303" s="569"/>
      <c r="X303" s="569"/>
      <c r="Y303" s="569"/>
      <c r="Z303" s="569"/>
      <c r="AA303" s="569"/>
      <c r="AB303" s="569"/>
      <c r="AC303" s="569"/>
      <c r="AD303" s="569"/>
      <c r="AE303" s="569"/>
      <c r="AF303" s="569"/>
      <c r="AG303" s="569"/>
      <c r="AH303" s="569"/>
      <c r="AI303" s="569"/>
      <c r="AJ303" s="569"/>
      <c r="AK303" s="569"/>
      <c r="AL303" s="569"/>
      <c r="AM303" s="569"/>
      <c r="AN303" s="569"/>
      <c r="AO303">
        <v>302</v>
      </c>
      <c r="AP303" t="str">
        <f t="shared" si="66"/>
        <v/>
      </c>
      <c r="AQ303" t="str">
        <f t="shared" si="56"/>
        <v/>
      </c>
      <c r="AR303" s="430">
        <f>IFERROR(
IF(AP303="",-100,
IF($BV$2&gt;0, INDEX(Beersheet!$A:$U,MATCH(AP303,INDEX(Beersheet!$A:$U,0,FFARawStatProjections!$BV$2),0),$BV$3)+$BN303,
INDEX($A303:$BM303,,$BV$12)*$BW$12+
INDEX($A303:$BM303,,$BV$15)*$BW$15+
INDEX($A303:$BM303,,$BV$16)*$BW$16+
INDEX($A303:$BM303,,$BV$17)*$BW$17+
INDEX($A303:$BM303,,$BV$18)*$BW$18+
INDEX($A303:$BM303,,$BV$19)*$BW$19+
INDEX($A303:$BM303,,$BV$20)*$BW$20+
INDEX($A303:$BM303,,$BV$21)*$BW$21+
INDEX($A303:$BM303,,$BV$22)*$BW$22+
INDEX($A303:$BM303,,$BV$23)*$BW$23+
INDEX($A303:$BM303,,$BV$25)*$BW$25+
INDEX($A303:$BM303,,$BV$26)*$BW$26+
INDEX($A303:$BM303,,$BV$27)*$BW$27+
$BN303)),
$BN303-100)</f>
        <v>-100</v>
      </c>
      <c r="AT303">
        <f t="shared" si="57"/>
        <v>0</v>
      </c>
      <c r="AU303">
        <f t="shared" si="58"/>
        <v>0</v>
      </c>
      <c r="AV303" s="430">
        <f>IFERROR(
IF(AT303="",-100,
IF($BV$2&gt;0, INDEX(Beersheet!$A:$U,MATCH(AT303,INDEX(Beersheet!$A:$U,0,FFARawStatProjections!$BV$2),0),$BV$3)+$BN303,
INDEX($A303:$BM303,,$BV$12)*$BW$12+
INDEX($A303:$BM303,,$BV$15)*$BW$15+
INDEX($A303:$BM303,,$BV$16)*$BW$16+
INDEX($A303:$BM303,,$BV$17)*$BW$17+
INDEX($A303:$BM303,,$BV$18)*$BW$18+
INDEX($A303:$BM303,,$BV$19)*$BW$19+
INDEX($A303:$BM303,,$BV$20)*$BW$20+
INDEX($A303:$BM303,,$BV$21)*$BW$21+
INDEX($A303:$BM303,,$BV$22)*$BW$22+
INDEX($A303:$BM303,,$BV$23)*$BW$23+
INDEX($A303:$BM303,,$BV$25)*$BW$25+
INDEX($A303:$BM303,,$BV$26)*$BW$26+
INDEX($A303:$BM303,,$BV$27)*$BW$27+
$BN303)),
$BN303-100)</f>
        <v>3.0200000000000001E-3</v>
      </c>
      <c r="AX303" t="str">
        <f t="shared" si="59"/>
        <v/>
      </c>
      <c r="AY303" t="str">
        <f t="shared" si="60"/>
        <v/>
      </c>
      <c r="AZ303" s="430">
        <f>IFERROR(
IF(AX303="",-100,
IF($BV$2&gt;0, INDEX(Beersheet!$A:$U,MATCH(AX303,INDEX(Beersheet!$A:$U,0,FFARawStatProjections!$BV$2),0),$BV$3)+$BN303,
INDEX($A303:$BM303,,$BV$12)*$BW$12+
INDEX($A303:$BM303,,$BV$15)*$BW$15+
INDEX($A303:$BM303,,$BV$16)*$BW$16+
INDEX($A303:$BM303,,$BV$17)*$BW$17+
INDEX($A303:$BM303,,$BV$18)*$BW$18+
INDEX($A303:$BM303,,$BV$19)*$BW$19+
INDEX($A303:$BM303,,$BV$20)*$BW$20+
INDEX($A303:$BM303,,$BV$21)*$BW$21+
INDEX($A303:$BM303,,$BV$22)*$BW$22+
INDEX($A303:$BM303,,$BV$23)*$BW$23+
INDEX($A303:$BM303,,$BV$25)*$BW$25+
INDEX($A303:$BM303,,$BV$26)*$BW$26+
INDEX($A303:$BM303,,$BV$27)*$BW$27+
$BN303)),
$BN303-100)</f>
        <v>-100</v>
      </c>
      <c r="BB303" t="str">
        <f t="shared" si="61"/>
        <v/>
      </c>
      <c r="BC303" t="str">
        <f t="shared" si="55"/>
        <v/>
      </c>
      <c r="BD303" s="430">
        <f>IFERROR(
IF(BB303="",-100,
IF($BV$2&gt;0, INDEX(Beersheet!$A:$U,MATCH(BB303,INDEX(Beersheet!$A:$U,0,FFARawStatProjections!$BV$2),0),$BV$3)+$BN303,
INDEX($A303:$BM303,,$BV$12)*$BW$12+
INDEX($A303:$BM303,,$BV$15)*$BW$15+
INDEX($A303:$BM303,,$BV$16)*$BW$16+
INDEX($A303:$BM303,,$BV$17)*$BW$17+
INDEX($A303:$BM303,,$BV$18)*$BW$18+
INDEX($A303:$BM303,,$BV$19)*$BW$19+
INDEX($A303:$BM303,,$BV$20)*$BW$20+
INDEX($A303:$BM303,,$BV$21)*$BW$21+
INDEX($A303:$BM303,,$BV$22)*$BW$22+
INDEX($A303:$BM303,,$BV$23)*$BW$23+
INDEX($A303:$BM303,,$BV$25)*$BW$25+
INDEX($A303:$BM303,,$BV$26)*$BW$26+
INDEX($A303:$BM303,,$BV$27)*$BW$27+
$BN303)),
$BN303-100)</f>
        <v>-100</v>
      </c>
      <c r="BF303" t="str">
        <f t="shared" si="62"/>
        <v/>
      </c>
      <c r="BG303" t="str">
        <f t="shared" si="63"/>
        <v/>
      </c>
      <c r="BH303">
        <f t="shared" si="64"/>
        <v>0</v>
      </c>
      <c r="BJ303" t="str">
        <f t="shared" si="65"/>
        <v/>
      </c>
      <c r="BL303">
        <f t="shared" si="67"/>
        <v>0</v>
      </c>
      <c r="BN303">
        <v>3.0200000000000001E-3</v>
      </c>
      <c r="BS303" s="4" t="s">
        <v>2323</v>
      </c>
    </row>
    <row r="304" spans="1:71" ht="15.75" thickBot="1" x14ac:dyDescent="0.3">
      <c r="A304" s="569"/>
      <c r="B304" s="569"/>
      <c r="C304" s="569" t="s">
        <v>3</v>
      </c>
      <c r="D304" s="569"/>
      <c r="E304" s="569"/>
      <c r="F304" s="569"/>
      <c r="G304" s="569"/>
      <c r="H304" s="569"/>
      <c r="I304" s="574">
        <v>0</v>
      </c>
      <c r="J304" s="574">
        <v>0</v>
      </c>
      <c r="K304" s="574">
        <v>0</v>
      </c>
      <c r="L304" s="569"/>
      <c r="M304" s="569"/>
      <c r="N304" s="569"/>
      <c r="O304" s="569"/>
      <c r="P304" s="569"/>
      <c r="Q304" s="569"/>
      <c r="R304" s="569"/>
      <c r="S304" s="569"/>
      <c r="T304" s="569"/>
      <c r="U304" s="569"/>
      <c r="V304" s="569"/>
      <c r="W304" s="569"/>
      <c r="X304" s="569"/>
      <c r="Y304" s="569"/>
      <c r="Z304" s="569"/>
      <c r="AA304" s="569"/>
      <c r="AB304" s="569"/>
      <c r="AC304" s="569"/>
      <c r="AD304" s="569"/>
      <c r="AE304" s="569"/>
      <c r="AF304" s="569"/>
      <c r="AG304" s="569"/>
      <c r="AH304" s="569"/>
      <c r="AI304" s="569"/>
      <c r="AJ304" s="569"/>
      <c r="AK304" s="569"/>
      <c r="AL304" s="569"/>
      <c r="AM304" s="569"/>
      <c r="AN304" s="569"/>
      <c r="AO304">
        <v>303</v>
      </c>
      <c r="AP304" t="str">
        <f t="shared" si="66"/>
        <v/>
      </c>
      <c r="AQ304" t="str">
        <f t="shared" si="56"/>
        <v/>
      </c>
      <c r="AR304" s="430">
        <f>IFERROR(
IF(AP304="",-100,
IF($BV$2&gt;0, INDEX(Beersheet!$A:$U,MATCH(AP304,INDEX(Beersheet!$A:$U,0,FFARawStatProjections!$BV$2),0),$BV$3)+$BN304,
INDEX($A304:$BM304,,$BV$12)*$BW$12+
INDEX($A304:$BM304,,$BV$15)*$BW$15+
INDEX($A304:$BM304,,$BV$16)*$BW$16+
INDEX($A304:$BM304,,$BV$17)*$BW$17+
INDEX($A304:$BM304,,$BV$18)*$BW$18+
INDEX($A304:$BM304,,$BV$19)*$BW$19+
INDEX($A304:$BM304,,$BV$20)*$BW$20+
INDEX($A304:$BM304,,$BV$21)*$BW$21+
INDEX($A304:$BM304,,$BV$22)*$BW$22+
INDEX($A304:$BM304,,$BV$23)*$BW$23+
INDEX($A304:$BM304,,$BV$25)*$BW$25+
INDEX($A304:$BM304,,$BV$26)*$BW$26+
INDEX($A304:$BM304,,$BV$27)*$BW$27+
$BN304)),
$BN304-100)</f>
        <v>-100</v>
      </c>
      <c r="AT304">
        <f t="shared" si="57"/>
        <v>0</v>
      </c>
      <c r="AU304">
        <f t="shared" si="58"/>
        <v>0</v>
      </c>
      <c r="AV304" s="430">
        <f>IFERROR(
IF(AT304="",-100,
IF($BV$2&gt;0, INDEX(Beersheet!$A:$U,MATCH(AT304,INDEX(Beersheet!$A:$U,0,FFARawStatProjections!$BV$2),0),$BV$3)+$BN304,
INDEX($A304:$BM304,,$BV$12)*$BW$12+
INDEX($A304:$BM304,,$BV$15)*$BW$15+
INDEX($A304:$BM304,,$BV$16)*$BW$16+
INDEX($A304:$BM304,,$BV$17)*$BW$17+
INDEX($A304:$BM304,,$BV$18)*$BW$18+
INDEX($A304:$BM304,,$BV$19)*$BW$19+
INDEX($A304:$BM304,,$BV$20)*$BW$20+
INDEX($A304:$BM304,,$BV$21)*$BW$21+
INDEX($A304:$BM304,,$BV$22)*$BW$22+
INDEX($A304:$BM304,,$BV$23)*$BW$23+
INDEX($A304:$BM304,,$BV$25)*$BW$25+
INDEX($A304:$BM304,,$BV$26)*$BW$26+
INDEX($A304:$BM304,,$BV$27)*$BW$27+
$BN304)),
$BN304-100)</f>
        <v>3.0300000000000001E-3</v>
      </c>
      <c r="AX304" t="str">
        <f t="shared" si="59"/>
        <v/>
      </c>
      <c r="AY304" t="str">
        <f t="shared" si="60"/>
        <v/>
      </c>
      <c r="AZ304" s="430">
        <f>IFERROR(
IF(AX304="",-100,
IF($BV$2&gt;0, INDEX(Beersheet!$A:$U,MATCH(AX304,INDEX(Beersheet!$A:$U,0,FFARawStatProjections!$BV$2),0),$BV$3)+$BN304,
INDEX($A304:$BM304,,$BV$12)*$BW$12+
INDEX($A304:$BM304,,$BV$15)*$BW$15+
INDEX($A304:$BM304,,$BV$16)*$BW$16+
INDEX($A304:$BM304,,$BV$17)*$BW$17+
INDEX($A304:$BM304,,$BV$18)*$BW$18+
INDEX($A304:$BM304,,$BV$19)*$BW$19+
INDEX($A304:$BM304,,$BV$20)*$BW$20+
INDEX($A304:$BM304,,$BV$21)*$BW$21+
INDEX($A304:$BM304,,$BV$22)*$BW$22+
INDEX($A304:$BM304,,$BV$23)*$BW$23+
INDEX($A304:$BM304,,$BV$25)*$BW$25+
INDEX($A304:$BM304,,$BV$26)*$BW$26+
INDEX($A304:$BM304,,$BV$27)*$BW$27+
$BN304)),
$BN304-100)</f>
        <v>-100</v>
      </c>
      <c r="BB304" t="str">
        <f t="shared" si="61"/>
        <v/>
      </c>
      <c r="BC304" t="str">
        <f t="shared" si="55"/>
        <v/>
      </c>
      <c r="BD304" s="430">
        <f>IFERROR(
IF(BB304="",-100,
IF($BV$2&gt;0, INDEX(Beersheet!$A:$U,MATCH(BB304,INDEX(Beersheet!$A:$U,0,FFARawStatProjections!$BV$2),0),$BV$3)+$BN304,
INDEX($A304:$BM304,,$BV$12)*$BW$12+
INDEX($A304:$BM304,,$BV$15)*$BW$15+
INDEX($A304:$BM304,,$BV$16)*$BW$16+
INDEX($A304:$BM304,,$BV$17)*$BW$17+
INDEX($A304:$BM304,,$BV$18)*$BW$18+
INDEX($A304:$BM304,,$BV$19)*$BW$19+
INDEX($A304:$BM304,,$BV$20)*$BW$20+
INDEX($A304:$BM304,,$BV$21)*$BW$21+
INDEX($A304:$BM304,,$BV$22)*$BW$22+
INDEX($A304:$BM304,,$BV$23)*$BW$23+
INDEX($A304:$BM304,,$BV$25)*$BW$25+
INDEX($A304:$BM304,,$BV$26)*$BW$26+
INDEX($A304:$BM304,,$BV$27)*$BW$27+
$BN304)),
$BN304-100)</f>
        <v>-100</v>
      </c>
      <c r="BF304" t="str">
        <f t="shared" si="62"/>
        <v/>
      </c>
      <c r="BG304" t="str">
        <f t="shared" si="63"/>
        <v/>
      </c>
      <c r="BH304">
        <f t="shared" si="64"/>
        <v>0</v>
      </c>
      <c r="BJ304" t="str">
        <f t="shared" si="65"/>
        <v/>
      </c>
      <c r="BL304">
        <f t="shared" si="67"/>
        <v>0</v>
      </c>
      <c r="BN304">
        <v>3.0300000000000001E-3</v>
      </c>
      <c r="BS304" s="4" t="s">
        <v>2478</v>
      </c>
    </row>
    <row r="305" spans="1:71" ht="15.75" thickBot="1" x14ac:dyDescent="0.3">
      <c r="A305" s="569"/>
      <c r="B305" s="569"/>
      <c r="C305" s="569" t="s">
        <v>3</v>
      </c>
      <c r="D305" s="569"/>
      <c r="E305" s="569"/>
      <c r="F305" s="569"/>
      <c r="G305" s="569"/>
      <c r="H305" s="569"/>
      <c r="I305" s="574">
        <v>0</v>
      </c>
      <c r="J305" s="574">
        <v>0</v>
      </c>
      <c r="K305" s="574">
        <v>0</v>
      </c>
      <c r="L305" s="569"/>
      <c r="M305" s="569"/>
      <c r="N305" s="569"/>
      <c r="O305" s="569"/>
      <c r="P305" s="569"/>
      <c r="Q305" s="569"/>
      <c r="R305" s="569"/>
      <c r="S305" s="569"/>
      <c r="T305" s="569"/>
      <c r="U305" s="569"/>
      <c r="V305" s="569"/>
      <c r="W305" s="569"/>
      <c r="X305" s="569"/>
      <c r="Y305" s="569"/>
      <c r="Z305" s="569"/>
      <c r="AA305" s="569"/>
      <c r="AB305" s="569"/>
      <c r="AC305" s="569"/>
      <c r="AD305" s="569"/>
      <c r="AE305" s="569"/>
      <c r="AF305" s="569"/>
      <c r="AG305" s="569"/>
      <c r="AH305" s="569"/>
      <c r="AI305" s="569"/>
      <c r="AJ305" s="569"/>
      <c r="AK305" s="569"/>
      <c r="AL305" s="569"/>
      <c r="AM305" s="569"/>
      <c r="AN305" s="569"/>
      <c r="AO305">
        <v>304</v>
      </c>
      <c r="AP305" t="str">
        <f t="shared" si="66"/>
        <v/>
      </c>
      <c r="AQ305" t="str">
        <f t="shared" si="56"/>
        <v/>
      </c>
      <c r="AR305" s="430">
        <f>IFERROR(
IF(AP305="",-100,
IF($BV$2&gt;0, INDEX(Beersheet!$A:$U,MATCH(AP305,INDEX(Beersheet!$A:$U,0,FFARawStatProjections!$BV$2),0),$BV$3)+$BN305,
INDEX($A305:$BM305,,$BV$12)*$BW$12+
INDEX($A305:$BM305,,$BV$15)*$BW$15+
INDEX($A305:$BM305,,$BV$16)*$BW$16+
INDEX($A305:$BM305,,$BV$17)*$BW$17+
INDEX($A305:$BM305,,$BV$18)*$BW$18+
INDEX($A305:$BM305,,$BV$19)*$BW$19+
INDEX($A305:$BM305,,$BV$20)*$BW$20+
INDEX($A305:$BM305,,$BV$21)*$BW$21+
INDEX($A305:$BM305,,$BV$22)*$BW$22+
INDEX($A305:$BM305,,$BV$23)*$BW$23+
INDEX($A305:$BM305,,$BV$25)*$BW$25+
INDEX($A305:$BM305,,$BV$26)*$BW$26+
INDEX($A305:$BM305,,$BV$27)*$BW$27+
$BN305)),
$BN305-100)</f>
        <v>-100</v>
      </c>
      <c r="AT305">
        <f t="shared" si="57"/>
        <v>0</v>
      </c>
      <c r="AU305">
        <f t="shared" si="58"/>
        <v>0</v>
      </c>
      <c r="AV305" s="430">
        <f>IFERROR(
IF(AT305="",-100,
IF($BV$2&gt;0, INDEX(Beersheet!$A:$U,MATCH(AT305,INDEX(Beersheet!$A:$U,0,FFARawStatProjections!$BV$2),0),$BV$3)+$BN305,
INDEX($A305:$BM305,,$BV$12)*$BW$12+
INDEX($A305:$BM305,,$BV$15)*$BW$15+
INDEX($A305:$BM305,,$BV$16)*$BW$16+
INDEX($A305:$BM305,,$BV$17)*$BW$17+
INDEX($A305:$BM305,,$BV$18)*$BW$18+
INDEX($A305:$BM305,,$BV$19)*$BW$19+
INDEX($A305:$BM305,,$BV$20)*$BW$20+
INDEX($A305:$BM305,,$BV$21)*$BW$21+
INDEX($A305:$BM305,,$BV$22)*$BW$22+
INDEX($A305:$BM305,,$BV$23)*$BW$23+
INDEX($A305:$BM305,,$BV$25)*$BW$25+
INDEX($A305:$BM305,,$BV$26)*$BW$26+
INDEX($A305:$BM305,,$BV$27)*$BW$27+
$BN305)),
$BN305-100)</f>
        <v>3.0400000000000002E-3</v>
      </c>
      <c r="AX305" t="str">
        <f t="shared" si="59"/>
        <v/>
      </c>
      <c r="AY305" t="str">
        <f t="shared" si="60"/>
        <v/>
      </c>
      <c r="AZ305" s="430">
        <f>IFERROR(
IF(AX305="",-100,
IF($BV$2&gt;0, INDEX(Beersheet!$A:$U,MATCH(AX305,INDEX(Beersheet!$A:$U,0,FFARawStatProjections!$BV$2),0),$BV$3)+$BN305,
INDEX($A305:$BM305,,$BV$12)*$BW$12+
INDEX($A305:$BM305,,$BV$15)*$BW$15+
INDEX($A305:$BM305,,$BV$16)*$BW$16+
INDEX($A305:$BM305,,$BV$17)*$BW$17+
INDEX($A305:$BM305,,$BV$18)*$BW$18+
INDEX($A305:$BM305,,$BV$19)*$BW$19+
INDEX($A305:$BM305,,$BV$20)*$BW$20+
INDEX($A305:$BM305,,$BV$21)*$BW$21+
INDEX($A305:$BM305,,$BV$22)*$BW$22+
INDEX($A305:$BM305,,$BV$23)*$BW$23+
INDEX($A305:$BM305,,$BV$25)*$BW$25+
INDEX($A305:$BM305,,$BV$26)*$BW$26+
INDEX($A305:$BM305,,$BV$27)*$BW$27+
$BN305)),
$BN305-100)</f>
        <v>-100</v>
      </c>
      <c r="BB305" t="str">
        <f t="shared" si="61"/>
        <v/>
      </c>
      <c r="BC305" t="str">
        <f t="shared" si="55"/>
        <v/>
      </c>
      <c r="BD305" s="430">
        <f>IFERROR(
IF(BB305="",-100,
IF($BV$2&gt;0, INDEX(Beersheet!$A:$U,MATCH(BB305,INDEX(Beersheet!$A:$U,0,FFARawStatProjections!$BV$2),0),$BV$3)+$BN305,
INDEX($A305:$BM305,,$BV$12)*$BW$12+
INDEX($A305:$BM305,,$BV$15)*$BW$15+
INDEX($A305:$BM305,,$BV$16)*$BW$16+
INDEX($A305:$BM305,,$BV$17)*$BW$17+
INDEX($A305:$BM305,,$BV$18)*$BW$18+
INDEX($A305:$BM305,,$BV$19)*$BW$19+
INDEX($A305:$BM305,,$BV$20)*$BW$20+
INDEX($A305:$BM305,,$BV$21)*$BW$21+
INDEX($A305:$BM305,,$BV$22)*$BW$22+
INDEX($A305:$BM305,,$BV$23)*$BW$23+
INDEX($A305:$BM305,,$BV$25)*$BW$25+
INDEX($A305:$BM305,,$BV$26)*$BW$26+
INDEX($A305:$BM305,,$BV$27)*$BW$27+
$BN305)),
$BN305-100)</f>
        <v>-100</v>
      </c>
      <c r="BF305" t="str">
        <f t="shared" si="62"/>
        <v/>
      </c>
      <c r="BG305" t="str">
        <f t="shared" si="63"/>
        <v/>
      </c>
      <c r="BH305">
        <f t="shared" si="64"/>
        <v>0</v>
      </c>
      <c r="BJ305" t="str">
        <f t="shared" si="65"/>
        <v/>
      </c>
      <c r="BL305">
        <f t="shared" si="67"/>
        <v>0</v>
      </c>
      <c r="BN305">
        <v>3.0400000000000002E-3</v>
      </c>
      <c r="BS305" s="4" t="s">
        <v>1443</v>
      </c>
    </row>
    <row r="306" spans="1:71" ht="15.75" thickBot="1" x14ac:dyDescent="0.3">
      <c r="A306" s="569"/>
      <c r="B306" s="569"/>
      <c r="C306" s="569" t="s">
        <v>3</v>
      </c>
      <c r="D306" s="569"/>
      <c r="E306" s="569"/>
      <c r="F306" s="569"/>
      <c r="G306" s="569"/>
      <c r="H306" s="569"/>
      <c r="I306" s="574">
        <v>0</v>
      </c>
      <c r="J306" s="574">
        <v>0</v>
      </c>
      <c r="K306" s="574">
        <v>0</v>
      </c>
      <c r="L306" s="569"/>
      <c r="M306" s="569"/>
      <c r="N306" s="569"/>
      <c r="O306" s="569"/>
      <c r="P306" s="569"/>
      <c r="Q306" s="569"/>
      <c r="R306" s="569"/>
      <c r="S306" s="569"/>
      <c r="T306" s="569"/>
      <c r="U306" s="569"/>
      <c r="V306" s="569"/>
      <c r="W306" s="569"/>
      <c r="X306" s="569"/>
      <c r="Y306" s="569"/>
      <c r="Z306" s="569"/>
      <c r="AA306" s="569"/>
      <c r="AB306" s="569"/>
      <c r="AC306" s="569"/>
      <c r="AD306" s="569"/>
      <c r="AE306" s="569"/>
      <c r="AF306" s="569"/>
      <c r="AG306" s="569"/>
      <c r="AH306" s="569"/>
      <c r="AI306" s="569"/>
      <c r="AJ306" s="569"/>
      <c r="AK306" s="569"/>
      <c r="AL306" s="569"/>
      <c r="AM306" s="569"/>
      <c r="AN306" s="569"/>
      <c r="AO306">
        <v>305</v>
      </c>
      <c r="AP306" t="str">
        <f t="shared" si="66"/>
        <v/>
      </c>
      <c r="AQ306" t="str">
        <f t="shared" si="56"/>
        <v/>
      </c>
      <c r="AR306" s="430">
        <f>IFERROR(
IF(AP306="",-100,
IF($BV$2&gt;0, INDEX(Beersheet!$A:$U,MATCH(AP306,INDEX(Beersheet!$A:$U,0,FFARawStatProjections!$BV$2),0),$BV$3)+$BN306,
INDEX($A306:$BM306,,$BV$12)*$BW$12+
INDEX($A306:$BM306,,$BV$15)*$BW$15+
INDEX($A306:$BM306,,$BV$16)*$BW$16+
INDEX($A306:$BM306,,$BV$17)*$BW$17+
INDEX($A306:$BM306,,$BV$18)*$BW$18+
INDEX($A306:$BM306,,$BV$19)*$BW$19+
INDEX($A306:$BM306,,$BV$20)*$BW$20+
INDEX($A306:$BM306,,$BV$21)*$BW$21+
INDEX($A306:$BM306,,$BV$22)*$BW$22+
INDEX($A306:$BM306,,$BV$23)*$BW$23+
INDEX($A306:$BM306,,$BV$25)*$BW$25+
INDEX($A306:$BM306,,$BV$26)*$BW$26+
INDEX($A306:$BM306,,$BV$27)*$BW$27+
$BN306)),
$BN306-100)</f>
        <v>-100</v>
      </c>
      <c r="AT306">
        <f t="shared" si="57"/>
        <v>0</v>
      </c>
      <c r="AU306">
        <f t="shared" si="58"/>
        <v>0</v>
      </c>
      <c r="AV306" s="430">
        <f>IFERROR(
IF(AT306="",-100,
IF($BV$2&gt;0, INDEX(Beersheet!$A:$U,MATCH(AT306,INDEX(Beersheet!$A:$U,0,FFARawStatProjections!$BV$2),0),$BV$3)+$BN306,
INDEX($A306:$BM306,,$BV$12)*$BW$12+
INDEX($A306:$BM306,,$BV$15)*$BW$15+
INDEX($A306:$BM306,,$BV$16)*$BW$16+
INDEX($A306:$BM306,,$BV$17)*$BW$17+
INDEX($A306:$BM306,,$BV$18)*$BW$18+
INDEX($A306:$BM306,,$BV$19)*$BW$19+
INDEX($A306:$BM306,,$BV$20)*$BW$20+
INDEX($A306:$BM306,,$BV$21)*$BW$21+
INDEX($A306:$BM306,,$BV$22)*$BW$22+
INDEX($A306:$BM306,,$BV$23)*$BW$23+
INDEX($A306:$BM306,,$BV$25)*$BW$25+
INDEX($A306:$BM306,,$BV$26)*$BW$26+
INDEX($A306:$BM306,,$BV$27)*$BW$27+
$BN306)),
$BN306-100)</f>
        <v>3.0500000000000002E-3</v>
      </c>
      <c r="AX306" t="str">
        <f t="shared" si="59"/>
        <v/>
      </c>
      <c r="AY306" t="str">
        <f t="shared" si="60"/>
        <v/>
      </c>
      <c r="AZ306" s="430">
        <f>IFERROR(
IF(AX306="",-100,
IF($BV$2&gt;0, INDEX(Beersheet!$A:$U,MATCH(AX306,INDEX(Beersheet!$A:$U,0,FFARawStatProjections!$BV$2),0),$BV$3)+$BN306,
INDEX($A306:$BM306,,$BV$12)*$BW$12+
INDEX($A306:$BM306,,$BV$15)*$BW$15+
INDEX($A306:$BM306,,$BV$16)*$BW$16+
INDEX($A306:$BM306,,$BV$17)*$BW$17+
INDEX($A306:$BM306,,$BV$18)*$BW$18+
INDEX($A306:$BM306,,$BV$19)*$BW$19+
INDEX($A306:$BM306,,$BV$20)*$BW$20+
INDEX($A306:$BM306,,$BV$21)*$BW$21+
INDEX($A306:$BM306,,$BV$22)*$BW$22+
INDEX($A306:$BM306,,$BV$23)*$BW$23+
INDEX($A306:$BM306,,$BV$25)*$BW$25+
INDEX($A306:$BM306,,$BV$26)*$BW$26+
INDEX($A306:$BM306,,$BV$27)*$BW$27+
$BN306)),
$BN306-100)</f>
        <v>-100</v>
      </c>
      <c r="BB306" t="str">
        <f t="shared" si="61"/>
        <v/>
      </c>
      <c r="BC306" t="str">
        <f t="shared" si="55"/>
        <v/>
      </c>
      <c r="BD306" s="430">
        <f>IFERROR(
IF(BB306="",-100,
IF($BV$2&gt;0, INDEX(Beersheet!$A:$U,MATCH(BB306,INDEX(Beersheet!$A:$U,0,FFARawStatProjections!$BV$2),0),$BV$3)+$BN306,
INDEX($A306:$BM306,,$BV$12)*$BW$12+
INDEX($A306:$BM306,,$BV$15)*$BW$15+
INDEX($A306:$BM306,,$BV$16)*$BW$16+
INDEX($A306:$BM306,,$BV$17)*$BW$17+
INDEX($A306:$BM306,,$BV$18)*$BW$18+
INDEX($A306:$BM306,,$BV$19)*$BW$19+
INDEX($A306:$BM306,,$BV$20)*$BW$20+
INDEX($A306:$BM306,,$BV$21)*$BW$21+
INDEX($A306:$BM306,,$BV$22)*$BW$22+
INDEX($A306:$BM306,,$BV$23)*$BW$23+
INDEX($A306:$BM306,,$BV$25)*$BW$25+
INDEX($A306:$BM306,,$BV$26)*$BW$26+
INDEX($A306:$BM306,,$BV$27)*$BW$27+
$BN306)),
$BN306-100)</f>
        <v>-100</v>
      </c>
      <c r="BF306" t="str">
        <f t="shared" si="62"/>
        <v/>
      </c>
      <c r="BG306" t="str">
        <f t="shared" si="63"/>
        <v/>
      </c>
      <c r="BH306">
        <f t="shared" si="64"/>
        <v>0</v>
      </c>
      <c r="BJ306" t="str">
        <f t="shared" si="65"/>
        <v/>
      </c>
      <c r="BL306">
        <f t="shared" si="67"/>
        <v>0</v>
      </c>
      <c r="BN306">
        <v>3.0500000000000002E-3</v>
      </c>
      <c r="BS306" s="4" t="s">
        <v>2363</v>
      </c>
    </row>
    <row r="307" spans="1:71" ht="15.75" thickBot="1" x14ac:dyDescent="0.3">
      <c r="A307" s="569"/>
      <c r="B307" s="569"/>
      <c r="C307" s="569" t="s">
        <v>3</v>
      </c>
      <c r="D307" s="569"/>
      <c r="E307" s="569"/>
      <c r="F307" s="569"/>
      <c r="G307" s="569"/>
      <c r="H307" s="569"/>
      <c r="I307" s="574">
        <v>0</v>
      </c>
      <c r="J307" s="574">
        <v>0</v>
      </c>
      <c r="K307" s="574">
        <v>0</v>
      </c>
      <c r="L307" s="569"/>
      <c r="M307" s="569"/>
      <c r="N307" s="569"/>
      <c r="O307" s="569"/>
      <c r="P307" s="569"/>
      <c r="Q307" s="569"/>
      <c r="R307" s="569"/>
      <c r="S307" s="569"/>
      <c r="T307" s="569"/>
      <c r="U307" s="569"/>
      <c r="V307" s="569"/>
      <c r="W307" s="569"/>
      <c r="X307" s="569"/>
      <c r="Y307" s="569"/>
      <c r="Z307" s="569"/>
      <c r="AA307" s="569"/>
      <c r="AB307" s="569"/>
      <c r="AC307" s="569"/>
      <c r="AD307" s="569"/>
      <c r="AE307" s="569"/>
      <c r="AF307" s="569"/>
      <c r="AG307" s="569"/>
      <c r="AH307" s="569"/>
      <c r="AI307" s="569"/>
      <c r="AJ307" s="569"/>
      <c r="AK307" s="569"/>
      <c r="AL307" s="569"/>
      <c r="AM307" s="569"/>
      <c r="AN307" s="569"/>
      <c r="AO307">
        <v>306</v>
      </c>
      <c r="AP307" t="str">
        <f t="shared" si="66"/>
        <v/>
      </c>
      <c r="AQ307" t="str">
        <f t="shared" si="56"/>
        <v/>
      </c>
      <c r="AR307" s="430">
        <f>IFERROR(
IF(AP307="",-100,
IF($BV$2&gt;0, INDEX(Beersheet!$A:$U,MATCH(AP307,INDEX(Beersheet!$A:$U,0,FFARawStatProjections!$BV$2),0),$BV$3)+$BN307,
INDEX($A307:$BM307,,$BV$12)*$BW$12+
INDEX($A307:$BM307,,$BV$15)*$BW$15+
INDEX($A307:$BM307,,$BV$16)*$BW$16+
INDEX($A307:$BM307,,$BV$17)*$BW$17+
INDEX($A307:$BM307,,$BV$18)*$BW$18+
INDEX($A307:$BM307,,$BV$19)*$BW$19+
INDEX($A307:$BM307,,$BV$20)*$BW$20+
INDEX($A307:$BM307,,$BV$21)*$BW$21+
INDEX($A307:$BM307,,$BV$22)*$BW$22+
INDEX($A307:$BM307,,$BV$23)*$BW$23+
INDEX($A307:$BM307,,$BV$25)*$BW$25+
INDEX($A307:$BM307,,$BV$26)*$BW$26+
INDEX($A307:$BM307,,$BV$27)*$BW$27+
$BN307)),
$BN307-100)</f>
        <v>-100</v>
      </c>
      <c r="AT307">
        <f t="shared" si="57"/>
        <v>0</v>
      </c>
      <c r="AU307">
        <f t="shared" si="58"/>
        <v>0</v>
      </c>
      <c r="AV307" s="430">
        <f>IFERROR(
IF(AT307="",-100,
IF($BV$2&gt;0, INDEX(Beersheet!$A:$U,MATCH(AT307,INDEX(Beersheet!$A:$U,0,FFARawStatProjections!$BV$2),0),$BV$3)+$BN307,
INDEX($A307:$BM307,,$BV$12)*$BW$12+
INDEX($A307:$BM307,,$BV$15)*$BW$15+
INDEX($A307:$BM307,,$BV$16)*$BW$16+
INDEX($A307:$BM307,,$BV$17)*$BW$17+
INDEX($A307:$BM307,,$BV$18)*$BW$18+
INDEX($A307:$BM307,,$BV$19)*$BW$19+
INDEX($A307:$BM307,,$BV$20)*$BW$20+
INDEX($A307:$BM307,,$BV$21)*$BW$21+
INDEX($A307:$BM307,,$BV$22)*$BW$22+
INDEX($A307:$BM307,,$BV$23)*$BW$23+
INDEX($A307:$BM307,,$BV$25)*$BW$25+
INDEX($A307:$BM307,,$BV$26)*$BW$26+
INDEX($A307:$BM307,,$BV$27)*$BW$27+
$BN307)),
$BN307-100)</f>
        <v>3.0599999999999998E-3</v>
      </c>
      <c r="AX307" t="str">
        <f t="shared" si="59"/>
        <v/>
      </c>
      <c r="AY307" t="str">
        <f t="shared" si="60"/>
        <v/>
      </c>
      <c r="AZ307" s="430">
        <f>IFERROR(
IF(AX307="",-100,
IF($BV$2&gt;0, INDEX(Beersheet!$A:$U,MATCH(AX307,INDEX(Beersheet!$A:$U,0,FFARawStatProjections!$BV$2),0),$BV$3)+$BN307,
INDEX($A307:$BM307,,$BV$12)*$BW$12+
INDEX($A307:$BM307,,$BV$15)*$BW$15+
INDEX($A307:$BM307,,$BV$16)*$BW$16+
INDEX($A307:$BM307,,$BV$17)*$BW$17+
INDEX($A307:$BM307,,$BV$18)*$BW$18+
INDEX($A307:$BM307,,$BV$19)*$BW$19+
INDEX($A307:$BM307,,$BV$20)*$BW$20+
INDEX($A307:$BM307,,$BV$21)*$BW$21+
INDEX($A307:$BM307,,$BV$22)*$BW$22+
INDEX($A307:$BM307,,$BV$23)*$BW$23+
INDEX($A307:$BM307,,$BV$25)*$BW$25+
INDEX($A307:$BM307,,$BV$26)*$BW$26+
INDEX($A307:$BM307,,$BV$27)*$BW$27+
$BN307)),
$BN307-100)</f>
        <v>-100</v>
      </c>
      <c r="BB307" t="str">
        <f t="shared" si="61"/>
        <v/>
      </c>
      <c r="BC307" t="str">
        <f t="shared" si="55"/>
        <v/>
      </c>
      <c r="BD307" s="430">
        <f>IFERROR(
IF(BB307="",-100,
IF($BV$2&gt;0, INDEX(Beersheet!$A:$U,MATCH(BB307,INDEX(Beersheet!$A:$U,0,FFARawStatProjections!$BV$2),0),$BV$3)+$BN307,
INDEX($A307:$BM307,,$BV$12)*$BW$12+
INDEX($A307:$BM307,,$BV$15)*$BW$15+
INDEX($A307:$BM307,,$BV$16)*$BW$16+
INDEX($A307:$BM307,,$BV$17)*$BW$17+
INDEX($A307:$BM307,,$BV$18)*$BW$18+
INDEX($A307:$BM307,,$BV$19)*$BW$19+
INDEX($A307:$BM307,,$BV$20)*$BW$20+
INDEX($A307:$BM307,,$BV$21)*$BW$21+
INDEX($A307:$BM307,,$BV$22)*$BW$22+
INDEX($A307:$BM307,,$BV$23)*$BW$23+
INDEX($A307:$BM307,,$BV$25)*$BW$25+
INDEX($A307:$BM307,,$BV$26)*$BW$26+
INDEX($A307:$BM307,,$BV$27)*$BW$27+
$BN307)),
$BN307-100)</f>
        <v>-100</v>
      </c>
      <c r="BF307" t="str">
        <f t="shared" si="62"/>
        <v/>
      </c>
      <c r="BG307" t="str">
        <f t="shared" si="63"/>
        <v/>
      </c>
      <c r="BH307">
        <f t="shared" si="64"/>
        <v>0</v>
      </c>
      <c r="BJ307" t="str">
        <f t="shared" si="65"/>
        <v/>
      </c>
      <c r="BL307">
        <f t="shared" si="67"/>
        <v>0</v>
      </c>
      <c r="BN307">
        <v>3.0599999999999998E-3</v>
      </c>
      <c r="BS307" s="4" t="s">
        <v>2270</v>
      </c>
    </row>
    <row r="308" spans="1:71" ht="15.75" thickBot="1" x14ac:dyDescent="0.3">
      <c r="A308" s="569"/>
      <c r="B308" s="569"/>
      <c r="C308" s="569" t="s">
        <v>3</v>
      </c>
      <c r="D308" s="569"/>
      <c r="E308" s="569"/>
      <c r="F308" s="569"/>
      <c r="G308" s="569"/>
      <c r="H308" s="569"/>
      <c r="I308" s="574">
        <v>0</v>
      </c>
      <c r="J308" s="574">
        <v>0</v>
      </c>
      <c r="K308" s="574">
        <v>0</v>
      </c>
      <c r="L308" s="569"/>
      <c r="M308" s="569"/>
      <c r="N308" s="569"/>
      <c r="O308" s="569"/>
      <c r="P308" s="569"/>
      <c r="Q308" s="569"/>
      <c r="R308" s="569"/>
      <c r="S308" s="569"/>
      <c r="T308" s="569"/>
      <c r="U308" s="569"/>
      <c r="V308" s="569"/>
      <c r="W308" s="569"/>
      <c r="X308" s="569"/>
      <c r="Y308" s="569"/>
      <c r="Z308" s="569"/>
      <c r="AA308" s="569"/>
      <c r="AB308" s="569"/>
      <c r="AC308" s="569"/>
      <c r="AD308" s="569"/>
      <c r="AE308" s="569"/>
      <c r="AF308" s="569"/>
      <c r="AG308" s="569"/>
      <c r="AH308" s="569"/>
      <c r="AI308" s="569"/>
      <c r="AJ308" s="569"/>
      <c r="AK308" s="569"/>
      <c r="AL308" s="569"/>
      <c r="AM308" s="569"/>
      <c r="AN308" s="569"/>
      <c r="AO308">
        <v>307</v>
      </c>
      <c r="AP308" t="str">
        <f t="shared" si="66"/>
        <v/>
      </c>
      <c r="AQ308" t="str">
        <f t="shared" si="56"/>
        <v/>
      </c>
      <c r="AR308" s="430">
        <f>IFERROR(
IF(AP308="",-100,
IF($BV$2&gt;0, INDEX(Beersheet!$A:$U,MATCH(AP308,INDEX(Beersheet!$A:$U,0,FFARawStatProjections!$BV$2),0),$BV$3)+$BN308,
INDEX($A308:$BM308,,$BV$12)*$BW$12+
INDEX($A308:$BM308,,$BV$15)*$BW$15+
INDEX($A308:$BM308,,$BV$16)*$BW$16+
INDEX($A308:$BM308,,$BV$17)*$BW$17+
INDEX($A308:$BM308,,$BV$18)*$BW$18+
INDEX($A308:$BM308,,$BV$19)*$BW$19+
INDEX($A308:$BM308,,$BV$20)*$BW$20+
INDEX($A308:$BM308,,$BV$21)*$BW$21+
INDEX($A308:$BM308,,$BV$22)*$BW$22+
INDEX($A308:$BM308,,$BV$23)*$BW$23+
INDEX($A308:$BM308,,$BV$25)*$BW$25+
INDEX($A308:$BM308,,$BV$26)*$BW$26+
INDEX($A308:$BM308,,$BV$27)*$BW$27+
$BN308)),
$BN308-100)</f>
        <v>-100</v>
      </c>
      <c r="AT308">
        <f t="shared" si="57"/>
        <v>0</v>
      </c>
      <c r="AU308">
        <f t="shared" si="58"/>
        <v>0</v>
      </c>
      <c r="AV308" s="430">
        <f>IFERROR(
IF(AT308="",-100,
IF($BV$2&gt;0, INDEX(Beersheet!$A:$U,MATCH(AT308,INDEX(Beersheet!$A:$U,0,FFARawStatProjections!$BV$2),0),$BV$3)+$BN308,
INDEX($A308:$BM308,,$BV$12)*$BW$12+
INDEX($A308:$BM308,,$BV$15)*$BW$15+
INDEX($A308:$BM308,,$BV$16)*$BW$16+
INDEX($A308:$BM308,,$BV$17)*$BW$17+
INDEX($A308:$BM308,,$BV$18)*$BW$18+
INDEX($A308:$BM308,,$BV$19)*$BW$19+
INDEX($A308:$BM308,,$BV$20)*$BW$20+
INDEX($A308:$BM308,,$BV$21)*$BW$21+
INDEX($A308:$BM308,,$BV$22)*$BW$22+
INDEX($A308:$BM308,,$BV$23)*$BW$23+
INDEX($A308:$BM308,,$BV$25)*$BW$25+
INDEX($A308:$BM308,,$BV$26)*$BW$26+
INDEX($A308:$BM308,,$BV$27)*$BW$27+
$BN308)),
$BN308-100)</f>
        <v>3.0699999999999998E-3</v>
      </c>
      <c r="AX308" t="str">
        <f t="shared" si="59"/>
        <v/>
      </c>
      <c r="AY308" t="str">
        <f t="shared" si="60"/>
        <v/>
      </c>
      <c r="AZ308" s="430">
        <f>IFERROR(
IF(AX308="",-100,
IF($BV$2&gt;0, INDEX(Beersheet!$A:$U,MATCH(AX308,INDEX(Beersheet!$A:$U,0,FFARawStatProjections!$BV$2),0),$BV$3)+$BN308,
INDEX($A308:$BM308,,$BV$12)*$BW$12+
INDEX($A308:$BM308,,$BV$15)*$BW$15+
INDEX($A308:$BM308,,$BV$16)*$BW$16+
INDEX($A308:$BM308,,$BV$17)*$BW$17+
INDEX($A308:$BM308,,$BV$18)*$BW$18+
INDEX($A308:$BM308,,$BV$19)*$BW$19+
INDEX($A308:$BM308,,$BV$20)*$BW$20+
INDEX($A308:$BM308,,$BV$21)*$BW$21+
INDEX($A308:$BM308,,$BV$22)*$BW$22+
INDEX($A308:$BM308,,$BV$23)*$BW$23+
INDEX($A308:$BM308,,$BV$25)*$BW$25+
INDEX($A308:$BM308,,$BV$26)*$BW$26+
INDEX($A308:$BM308,,$BV$27)*$BW$27+
$BN308)),
$BN308-100)</f>
        <v>-100</v>
      </c>
      <c r="BB308" t="str">
        <f t="shared" si="61"/>
        <v/>
      </c>
      <c r="BC308" t="str">
        <f t="shared" si="55"/>
        <v/>
      </c>
      <c r="BD308" s="430">
        <f>IFERROR(
IF(BB308="",-100,
IF($BV$2&gt;0, INDEX(Beersheet!$A:$U,MATCH(BB308,INDEX(Beersheet!$A:$U,0,FFARawStatProjections!$BV$2),0),$BV$3)+$BN308,
INDEX($A308:$BM308,,$BV$12)*$BW$12+
INDEX($A308:$BM308,,$BV$15)*$BW$15+
INDEX($A308:$BM308,,$BV$16)*$BW$16+
INDEX($A308:$BM308,,$BV$17)*$BW$17+
INDEX($A308:$BM308,,$BV$18)*$BW$18+
INDEX($A308:$BM308,,$BV$19)*$BW$19+
INDEX($A308:$BM308,,$BV$20)*$BW$20+
INDEX($A308:$BM308,,$BV$21)*$BW$21+
INDEX($A308:$BM308,,$BV$22)*$BW$22+
INDEX($A308:$BM308,,$BV$23)*$BW$23+
INDEX($A308:$BM308,,$BV$25)*$BW$25+
INDEX($A308:$BM308,,$BV$26)*$BW$26+
INDEX($A308:$BM308,,$BV$27)*$BW$27+
$BN308)),
$BN308-100)</f>
        <v>-100</v>
      </c>
      <c r="BF308" t="str">
        <f t="shared" si="62"/>
        <v/>
      </c>
      <c r="BG308" t="str">
        <f t="shared" si="63"/>
        <v/>
      </c>
      <c r="BH308">
        <f t="shared" si="64"/>
        <v>0</v>
      </c>
      <c r="BJ308" t="str">
        <f t="shared" si="65"/>
        <v/>
      </c>
      <c r="BL308">
        <f t="shared" si="67"/>
        <v>0</v>
      </c>
      <c r="BN308">
        <v>3.0699999999999998E-3</v>
      </c>
      <c r="BS308" s="4" t="s">
        <v>2477</v>
      </c>
    </row>
    <row r="309" spans="1:71" ht="15.75" thickBot="1" x14ac:dyDescent="0.3">
      <c r="A309" s="569"/>
      <c r="B309" s="569"/>
      <c r="C309" s="569" t="s">
        <v>3</v>
      </c>
      <c r="D309" s="569"/>
      <c r="E309" s="569"/>
      <c r="F309" s="569"/>
      <c r="G309" s="569"/>
      <c r="H309" s="569"/>
      <c r="I309" s="574">
        <v>0</v>
      </c>
      <c r="J309" s="574">
        <v>0</v>
      </c>
      <c r="K309" s="574">
        <v>0</v>
      </c>
      <c r="L309" s="569"/>
      <c r="M309" s="569"/>
      <c r="N309" s="569"/>
      <c r="O309" s="569"/>
      <c r="P309" s="569"/>
      <c r="Q309" s="569"/>
      <c r="R309" s="569"/>
      <c r="S309" s="569"/>
      <c r="T309" s="569"/>
      <c r="U309" s="569"/>
      <c r="V309" s="569"/>
      <c r="W309" s="569"/>
      <c r="X309" s="569"/>
      <c r="Y309" s="569"/>
      <c r="Z309" s="569"/>
      <c r="AA309" s="569"/>
      <c r="AB309" s="569"/>
      <c r="AC309" s="569"/>
      <c r="AD309" s="569"/>
      <c r="AE309" s="569"/>
      <c r="AF309" s="569"/>
      <c r="AG309" s="569"/>
      <c r="AH309" s="569"/>
      <c r="AI309" s="569"/>
      <c r="AJ309" s="569"/>
      <c r="AK309" s="569"/>
      <c r="AL309" s="569"/>
      <c r="AM309" s="569"/>
      <c r="AN309" s="569"/>
      <c r="AO309">
        <v>308</v>
      </c>
      <c r="AP309" t="str">
        <f t="shared" si="66"/>
        <v/>
      </c>
      <c r="AQ309" t="str">
        <f t="shared" si="56"/>
        <v/>
      </c>
      <c r="AR309" s="430">
        <f>IFERROR(
IF(AP309="",-100,
IF($BV$2&gt;0, INDEX(Beersheet!$A:$U,MATCH(AP309,INDEX(Beersheet!$A:$U,0,FFARawStatProjections!$BV$2),0),$BV$3)+$BN309,
INDEX($A309:$BM309,,$BV$12)*$BW$12+
INDEX($A309:$BM309,,$BV$15)*$BW$15+
INDEX($A309:$BM309,,$BV$16)*$BW$16+
INDEX($A309:$BM309,,$BV$17)*$BW$17+
INDEX($A309:$BM309,,$BV$18)*$BW$18+
INDEX($A309:$BM309,,$BV$19)*$BW$19+
INDEX($A309:$BM309,,$BV$20)*$BW$20+
INDEX($A309:$BM309,,$BV$21)*$BW$21+
INDEX($A309:$BM309,,$BV$22)*$BW$22+
INDEX($A309:$BM309,,$BV$23)*$BW$23+
INDEX($A309:$BM309,,$BV$25)*$BW$25+
INDEX($A309:$BM309,,$BV$26)*$BW$26+
INDEX($A309:$BM309,,$BV$27)*$BW$27+
$BN309)),
$BN309-100)</f>
        <v>-100</v>
      </c>
      <c r="AT309">
        <f t="shared" si="57"/>
        <v>0</v>
      </c>
      <c r="AU309">
        <f t="shared" si="58"/>
        <v>0</v>
      </c>
      <c r="AV309" s="430">
        <f>IFERROR(
IF(AT309="",-100,
IF($BV$2&gt;0, INDEX(Beersheet!$A:$U,MATCH(AT309,INDEX(Beersheet!$A:$U,0,FFARawStatProjections!$BV$2),0),$BV$3)+$BN309,
INDEX($A309:$BM309,,$BV$12)*$BW$12+
INDEX($A309:$BM309,,$BV$15)*$BW$15+
INDEX($A309:$BM309,,$BV$16)*$BW$16+
INDEX($A309:$BM309,,$BV$17)*$BW$17+
INDEX($A309:$BM309,,$BV$18)*$BW$18+
INDEX($A309:$BM309,,$BV$19)*$BW$19+
INDEX($A309:$BM309,,$BV$20)*$BW$20+
INDEX($A309:$BM309,,$BV$21)*$BW$21+
INDEX($A309:$BM309,,$BV$22)*$BW$22+
INDEX($A309:$BM309,,$BV$23)*$BW$23+
INDEX($A309:$BM309,,$BV$25)*$BW$25+
INDEX($A309:$BM309,,$BV$26)*$BW$26+
INDEX($A309:$BM309,,$BV$27)*$BW$27+
$BN309)),
$BN309-100)</f>
        <v>3.0799999999999998E-3</v>
      </c>
      <c r="AX309" t="str">
        <f t="shared" si="59"/>
        <v/>
      </c>
      <c r="AY309" t="str">
        <f t="shared" si="60"/>
        <v/>
      </c>
      <c r="AZ309" s="430">
        <f>IFERROR(
IF(AX309="",-100,
IF($BV$2&gt;0, INDEX(Beersheet!$A:$U,MATCH(AX309,INDEX(Beersheet!$A:$U,0,FFARawStatProjections!$BV$2),0),$BV$3)+$BN309,
INDEX($A309:$BM309,,$BV$12)*$BW$12+
INDEX($A309:$BM309,,$BV$15)*$BW$15+
INDEX($A309:$BM309,,$BV$16)*$BW$16+
INDEX($A309:$BM309,,$BV$17)*$BW$17+
INDEX($A309:$BM309,,$BV$18)*$BW$18+
INDEX($A309:$BM309,,$BV$19)*$BW$19+
INDEX($A309:$BM309,,$BV$20)*$BW$20+
INDEX($A309:$BM309,,$BV$21)*$BW$21+
INDEX($A309:$BM309,,$BV$22)*$BW$22+
INDEX($A309:$BM309,,$BV$23)*$BW$23+
INDEX($A309:$BM309,,$BV$25)*$BW$25+
INDEX($A309:$BM309,,$BV$26)*$BW$26+
INDEX($A309:$BM309,,$BV$27)*$BW$27+
$BN309)),
$BN309-100)</f>
        <v>-100</v>
      </c>
      <c r="BB309" t="str">
        <f t="shared" si="61"/>
        <v/>
      </c>
      <c r="BC309" t="str">
        <f t="shared" si="55"/>
        <v/>
      </c>
      <c r="BD309" s="430">
        <f>IFERROR(
IF(BB309="",-100,
IF($BV$2&gt;0, INDEX(Beersheet!$A:$U,MATCH(BB309,INDEX(Beersheet!$A:$U,0,FFARawStatProjections!$BV$2),0),$BV$3)+$BN309,
INDEX($A309:$BM309,,$BV$12)*$BW$12+
INDEX($A309:$BM309,,$BV$15)*$BW$15+
INDEX($A309:$BM309,,$BV$16)*$BW$16+
INDEX($A309:$BM309,,$BV$17)*$BW$17+
INDEX($A309:$BM309,,$BV$18)*$BW$18+
INDEX($A309:$BM309,,$BV$19)*$BW$19+
INDEX($A309:$BM309,,$BV$20)*$BW$20+
INDEX($A309:$BM309,,$BV$21)*$BW$21+
INDEX($A309:$BM309,,$BV$22)*$BW$22+
INDEX($A309:$BM309,,$BV$23)*$BW$23+
INDEX($A309:$BM309,,$BV$25)*$BW$25+
INDEX($A309:$BM309,,$BV$26)*$BW$26+
INDEX($A309:$BM309,,$BV$27)*$BW$27+
$BN309)),
$BN309-100)</f>
        <v>-100</v>
      </c>
      <c r="BF309" t="str">
        <f t="shared" si="62"/>
        <v/>
      </c>
      <c r="BG309" t="str">
        <f t="shared" si="63"/>
        <v/>
      </c>
      <c r="BH309">
        <f t="shared" si="64"/>
        <v>0</v>
      </c>
      <c r="BJ309" t="str">
        <f t="shared" si="65"/>
        <v/>
      </c>
      <c r="BL309">
        <f t="shared" si="67"/>
        <v>0</v>
      </c>
      <c r="BN309">
        <v>3.0799999999999998E-3</v>
      </c>
      <c r="BS309" s="4" t="s">
        <v>2476</v>
      </c>
    </row>
    <row r="310" spans="1:71" ht="15.75" thickBot="1" x14ac:dyDescent="0.3">
      <c r="A310" s="569"/>
      <c r="B310" s="569"/>
      <c r="C310" s="569" t="s">
        <v>3</v>
      </c>
      <c r="D310" s="569"/>
      <c r="E310" s="569"/>
      <c r="F310" s="569"/>
      <c r="G310" s="569"/>
      <c r="H310" s="569"/>
      <c r="I310" s="574">
        <v>0</v>
      </c>
      <c r="J310" s="574">
        <v>0</v>
      </c>
      <c r="K310" s="574">
        <v>0</v>
      </c>
      <c r="L310" s="569"/>
      <c r="M310" s="569"/>
      <c r="N310" s="569"/>
      <c r="O310" s="569"/>
      <c r="P310" s="569"/>
      <c r="Q310" s="569"/>
      <c r="R310" s="569"/>
      <c r="S310" s="569"/>
      <c r="T310" s="569"/>
      <c r="U310" s="569"/>
      <c r="V310" s="569"/>
      <c r="W310" s="569"/>
      <c r="X310" s="569"/>
      <c r="Y310" s="569"/>
      <c r="Z310" s="569"/>
      <c r="AA310" s="569"/>
      <c r="AB310" s="569"/>
      <c r="AC310" s="569"/>
      <c r="AD310" s="569"/>
      <c r="AE310" s="569"/>
      <c r="AF310" s="569"/>
      <c r="AG310" s="569"/>
      <c r="AH310" s="569"/>
      <c r="AI310" s="569"/>
      <c r="AJ310" s="569"/>
      <c r="AK310" s="569"/>
      <c r="AL310" s="569"/>
      <c r="AM310" s="569"/>
      <c r="AN310" s="569"/>
      <c r="AO310">
        <v>309</v>
      </c>
      <c r="AP310" t="str">
        <f t="shared" si="66"/>
        <v/>
      </c>
      <c r="AQ310" t="str">
        <f t="shared" si="56"/>
        <v/>
      </c>
      <c r="AR310" s="430">
        <f>IFERROR(
IF(AP310="",-100,
IF($BV$2&gt;0, INDEX(Beersheet!$A:$U,MATCH(AP310,INDEX(Beersheet!$A:$U,0,FFARawStatProjections!$BV$2),0),$BV$3)+$BN310,
INDEX($A310:$BM310,,$BV$12)*$BW$12+
INDEX($A310:$BM310,,$BV$15)*$BW$15+
INDEX($A310:$BM310,,$BV$16)*$BW$16+
INDEX($A310:$BM310,,$BV$17)*$BW$17+
INDEX($A310:$BM310,,$BV$18)*$BW$18+
INDEX($A310:$BM310,,$BV$19)*$BW$19+
INDEX($A310:$BM310,,$BV$20)*$BW$20+
INDEX($A310:$BM310,,$BV$21)*$BW$21+
INDEX($A310:$BM310,,$BV$22)*$BW$22+
INDEX($A310:$BM310,,$BV$23)*$BW$23+
INDEX($A310:$BM310,,$BV$25)*$BW$25+
INDEX($A310:$BM310,,$BV$26)*$BW$26+
INDEX($A310:$BM310,,$BV$27)*$BW$27+
$BN310)),
$BN310-100)</f>
        <v>-100</v>
      </c>
      <c r="AT310">
        <f t="shared" si="57"/>
        <v>0</v>
      </c>
      <c r="AU310">
        <f t="shared" si="58"/>
        <v>0</v>
      </c>
      <c r="AV310" s="430">
        <f>IFERROR(
IF(AT310="",-100,
IF($BV$2&gt;0, INDEX(Beersheet!$A:$U,MATCH(AT310,INDEX(Beersheet!$A:$U,0,FFARawStatProjections!$BV$2),0),$BV$3)+$BN310,
INDEX($A310:$BM310,,$BV$12)*$BW$12+
INDEX($A310:$BM310,,$BV$15)*$BW$15+
INDEX($A310:$BM310,,$BV$16)*$BW$16+
INDEX($A310:$BM310,,$BV$17)*$BW$17+
INDEX($A310:$BM310,,$BV$18)*$BW$18+
INDEX($A310:$BM310,,$BV$19)*$BW$19+
INDEX($A310:$BM310,,$BV$20)*$BW$20+
INDEX($A310:$BM310,,$BV$21)*$BW$21+
INDEX($A310:$BM310,,$BV$22)*$BW$22+
INDEX($A310:$BM310,,$BV$23)*$BW$23+
INDEX($A310:$BM310,,$BV$25)*$BW$25+
INDEX($A310:$BM310,,$BV$26)*$BW$26+
INDEX($A310:$BM310,,$BV$27)*$BW$27+
$BN310)),
$BN310-100)</f>
        <v>3.0899999999999999E-3</v>
      </c>
      <c r="AX310" t="str">
        <f t="shared" si="59"/>
        <v/>
      </c>
      <c r="AY310" t="str">
        <f t="shared" si="60"/>
        <v/>
      </c>
      <c r="AZ310" s="430">
        <f>IFERROR(
IF(AX310="",-100,
IF($BV$2&gt;0, INDEX(Beersheet!$A:$U,MATCH(AX310,INDEX(Beersheet!$A:$U,0,FFARawStatProjections!$BV$2),0),$BV$3)+$BN310,
INDEX($A310:$BM310,,$BV$12)*$BW$12+
INDEX($A310:$BM310,,$BV$15)*$BW$15+
INDEX($A310:$BM310,,$BV$16)*$BW$16+
INDEX($A310:$BM310,,$BV$17)*$BW$17+
INDEX($A310:$BM310,,$BV$18)*$BW$18+
INDEX($A310:$BM310,,$BV$19)*$BW$19+
INDEX($A310:$BM310,,$BV$20)*$BW$20+
INDEX($A310:$BM310,,$BV$21)*$BW$21+
INDEX($A310:$BM310,,$BV$22)*$BW$22+
INDEX($A310:$BM310,,$BV$23)*$BW$23+
INDEX($A310:$BM310,,$BV$25)*$BW$25+
INDEX($A310:$BM310,,$BV$26)*$BW$26+
INDEX($A310:$BM310,,$BV$27)*$BW$27+
$BN310)),
$BN310-100)</f>
        <v>-100</v>
      </c>
      <c r="BB310" t="str">
        <f t="shared" si="61"/>
        <v/>
      </c>
      <c r="BC310" t="str">
        <f t="shared" si="55"/>
        <v/>
      </c>
      <c r="BD310" s="430">
        <f>IFERROR(
IF(BB310="",-100,
IF($BV$2&gt;0, INDEX(Beersheet!$A:$U,MATCH(BB310,INDEX(Beersheet!$A:$U,0,FFARawStatProjections!$BV$2),0),$BV$3)+$BN310,
INDEX($A310:$BM310,,$BV$12)*$BW$12+
INDEX($A310:$BM310,,$BV$15)*$BW$15+
INDEX($A310:$BM310,,$BV$16)*$BW$16+
INDEX($A310:$BM310,,$BV$17)*$BW$17+
INDEX($A310:$BM310,,$BV$18)*$BW$18+
INDEX($A310:$BM310,,$BV$19)*$BW$19+
INDEX($A310:$BM310,,$BV$20)*$BW$20+
INDEX($A310:$BM310,,$BV$21)*$BW$21+
INDEX($A310:$BM310,,$BV$22)*$BW$22+
INDEX($A310:$BM310,,$BV$23)*$BW$23+
INDEX($A310:$BM310,,$BV$25)*$BW$25+
INDEX($A310:$BM310,,$BV$26)*$BW$26+
INDEX($A310:$BM310,,$BV$27)*$BW$27+
$BN310)),
$BN310-100)</f>
        <v>-100</v>
      </c>
      <c r="BF310" t="str">
        <f t="shared" si="62"/>
        <v/>
      </c>
      <c r="BG310" t="str">
        <f t="shared" si="63"/>
        <v/>
      </c>
      <c r="BH310">
        <f t="shared" si="64"/>
        <v>0</v>
      </c>
      <c r="BJ310" t="str">
        <f t="shared" si="65"/>
        <v/>
      </c>
      <c r="BL310">
        <f t="shared" si="67"/>
        <v>0</v>
      </c>
      <c r="BN310">
        <v>3.0899999999999999E-3</v>
      </c>
      <c r="BS310" s="4" t="s">
        <v>2475</v>
      </c>
    </row>
    <row r="311" spans="1:71" ht="15.75" thickBot="1" x14ac:dyDescent="0.3">
      <c r="A311" s="569"/>
      <c r="B311" s="569"/>
      <c r="C311" s="569" t="s">
        <v>3</v>
      </c>
      <c r="D311" s="569"/>
      <c r="E311" s="569"/>
      <c r="F311" s="569"/>
      <c r="G311" s="569"/>
      <c r="H311" s="569"/>
      <c r="I311" s="574">
        <v>0</v>
      </c>
      <c r="J311" s="574">
        <v>0</v>
      </c>
      <c r="K311" s="574">
        <v>0</v>
      </c>
      <c r="L311" s="569"/>
      <c r="M311" s="569"/>
      <c r="N311" s="569"/>
      <c r="O311" s="569"/>
      <c r="P311" s="569"/>
      <c r="Q311" s="569"/>
      <c r="R311" s="569"/>
      <c r="S311" s="569"/>
      <c r="T311" s="569"/>
      <c r="U311" s="569"/>
      <c r="V311" s="569"/>
      <c r="W311" s="569"/>
      <c r="X311" s="569"/>
      <c r="Y311" s="569"/>
      <c r="Z311" s="569"/>
      <c r="AA311" s="569"/>
      <c r="AB311" s="569"/>
      <c r="AC311" s="569"/>
      <c r="AD311" s="569"/>
      <c r="AE311" s="569"/>
      <c r="AF311" s="569"/>
      <c r="AG311" s="569"/>
      <c r="AH311" s="569"/>
      <c r="AI311" s="569"/>
      <c r="AJ311" s="569"/>
      <c r="AK311" s="569"/>
      <c r="AL311" s="569"/>
      <c r="AM311" s="569"/>
      <c r="AN311" s="569"/>
      <c r="AO311">
        <v>310</v>
      </c>
      <c r="AP311" t="str">
        <f t="shared" si="66"/>
        <v/>
      </c>
      <c r="AQ311" t="str">
        <f t="shared" si="56"/>
        <v/>
      </c>
      <c r="AR311" s="430">
        <f>IFERROR(
IF(AP311="",-100,
IF($BV$2&gt;0, INDEX(Beersheet!$A:$U,MATCH(AP311,INDEX(Beersheet!$A:$U,0,FFARawStatProjections!$BV$2),0),$BV$3)+$BN311,
INDEX($A311:$BM311,,$BV$12)*$BW$12+
INDEX($A311:$BM311,,$BV$15)*$BW$15+
INDEX($A311:$BM311,,$BV$16)*$BW$16+
INDEX($A311:$BM311,,$BV$17)*$BW$17+
INDEX($A311:$BM311,,$BV$18)*$BW$18+
INDEX($A311:$BM311,,$BV$19)*$BW$19+
INDEX($A311:$BM311,,$BV$20)*$BW$20+
INDEX($A311:$BM311,,$BV$21)*$BW$21+
INDEX($A311:$BM311,,$BV$22)*$BW$22+
INDEX($A311:$BM311,,$BV$23)*$BW$23+
INDEX($A311:$BM311,,$BV$25)*$BW$25+
INDEX($A311:$BM311,,$BV$26)*$BW$26+
INDEX($A311:$BM311,,$BV$27)*$BW$27+
$BN311)),
$BN311-100)</f>
        <v>-100</v>
      </c>
      <c r="AT311">
        <f t="shared" si="57"/>
        <v>0</v>
      </c>
      <c r="AU311">
        <f t="shared" si="58"/>
        <v>0</v>
      </c>
      <c r="AV311" s="430">
        <f>IFERROR(
IF(AT311="",-100,
IF($BV$2&gt;0, INDEX(Beersheet!$A:$U,MATCH(AT311,INDEX(Beersheet!$A:$U,0,FFARawStatProjections!$BV$2),0),$BV$3)+$BN311,
INDEX($A311:$BM311,,$BV$12)*$BW$12+
INDEX($A311:$BM311,,$BV$15)*$BW$15+
INDEX($A311:$BM311,,$BV$16)*$BW$16+
INDEX($A311:$BM311,,$BV$17)*$BW$17+
INDEX($A311:$BM311,,$BV$18)*$BW$18+
INDEX($A311:$BM311,,$BV$19)*$BW$19+
INDEX($A311:$BM311,,$BV$20)*$BW$20+
INDEX($A311:$BM311,,$BV$21)*$BW$21+
INDEX($A311:$BM311,,$BV$22)*$BW$22+
INDEX($A311:$BM311,,$BV$23)*$BW$23+
INDEX($A311:$BM311,,$BV$25)*$BW$25+
INDEX($A311:$BM311,,$BV$26)*$BW$26+
INDEX($A311:$BM311,,$BV$27)*$BW$27+
$BN311)),
$BN311-100)</f>
        <v>3.0999999999999999E-3</v>
      </c>
      <c r="AX311" t="str">
        <f t="shared" si="59"/>
        <v/>
      </c>
      <c r="AY311" t="str">
        <f t="shared" si="60"/>
        <v/>
      </c>
      <c r="AZ311" s="430">
        <f>IFERROR(
IF(AX311="",-100,
IF($BV$2&gt;0, INDEX(Beersheet!$A:$U,MATCH(AX311,INDEX(Beersheet!$A:$U,0,FFARawStatProjections!$BV$2),0),$BV$3)+$BN311,
INDEX($A311:$BM311,,$BV$12)*$BW$12+
INDEX($A311:$BM311,,$BV$15)*$BW$15+
INDEX($A311:$BM311,,$BV$16)*$BW$16+
INDEX($A311:$BM311,,$BV$17)*$BW$17+
INDEX($A311:$BM311,,$BV$18)*$BW$18+
INDEX($A311:$BM311,,$BV$19)*$BW$19+
INDEX($A311:$BM311,,$BV$20)*$BW$20+
INDEX($A311:$BM311,,$BV$21)*$BW$21+
INDEX($A311:$BM311,,$BV$22)*$BW$22+
INDEX($A311:$BM311,,$BV$23)*$BW$23+
INDEX($A311:$BM311,,$BV$25)*$BW$25+
INDEX($A311:$BM311,,$BV$26)*$BW$26+
INDEX($A311:$BM311,,$BV$27)*$BW$27+
$BN311)),
$BN311-100)</f>
        <v>-100</v>
      </c>
      <c r="BB311" t="str">
        <f t="shared" si="61"/>
        <v/>
      </c>
      <c r="BC311" t="str">
        <f t="shared" si="55"/>
        <v/>
      </c>
      <c r="BD311" s="430">
        <f>IFERROR(
IF(BB311="",-100,
IF($BV$2&gt;0, INDEX(Beersheet!$A:$U,MATCH(BB311,INDEX(Beersheet!$A:$U,0,FFARawStatProjections!$BV$2),0),$BV$3)+$BN311,
INDEX($A311:$BM311,,$BV$12)*$BW$12+
INDEX($A311:$BM311,,$BV$15)*$BW$15+
INDEX($A311:$BM311,,$BV$16)*$BW$16+
INDEX($A311:$BM311,,$BV$17)*$BW$17+
INDEX($A311:$BM311,,$BV$18)*$BW$18+
INDEX($A311:$BM311,,$BV$19)*$BW$19+
INDEX($A311:$BM311,,$BV$20)*$BW$20+
INDEX($A311:$BM311,,$BV$21)*$BW$21+
INDEX($A311:$BM311,,$BV$22)*$BW$22+
INDEX($A311:$BM311,,$BV$23)*$BW$23+
INDEX($A311:$BM311,,$BV$25)*$BW$25+
INDEX($A311:$BM311,,$BV$26)*$BW$26+
INDEX($A311:$BM311,,$BV$27)*$BW$27+
$BN311)),
$BN311-100)</f>
        <v>-100</v>
      </c>
      <c r="BF311" t="str">
        <f t="shared" si="62"/>
        <v/>
      </c>
      <c r="BG311" t="str">
        <f t="shared" si="63"/>
        <v/>
      </c>
      <c r="BH311">
        <f t="shared" si="64"/>
        <v>0</v>
      </c>
      <c r="BJ311" t="str">
        <f t="shared" si="65"/>
        <v/>
      </c>
      <c r="BL311">
        <f t="shared" si="67"/>
        <v>0</v>
      </c>
      <c r="BN311">
        <v>3.0999999999999999E-3</v>
      </c>
      <c r="BS311" s="4" t="s">
        <v>1346</v>
      </c>
    </row>
    <row r="312" spans="1:71" ht="15.75" thickBot="1" x14ac:dyDescent="0.3">
      <c r="A312" s="569"/>
      <c r="B312" s="569"/>
      <c r="C312" s="569" t="s">
        <v>3</v>
      </c>
      <c r="D312" s="569"/>
      <c r="E312" s="569"/>
      <c r="F312" s="569"/>
      <c r="G312" s="569"/>
      <c r="H312" s="569"/>
      <c r="I312" s="574">
        <v>0</v>
      </c>
      <c r="J312" s="574">
        <v>0</v>
      </c>
      <c r="K312" s="574">
        <v>0</v>
      </c>
      <c r="L312" s="569"/>
      <c r="M312" s="569"/>
      <c r="N312" s="569"/>
      <c r="O312" s="569"/>
      <c r="P312" s="569"/>
      <c r="Q312" s="569"/>
      <c r="R312" s="569"/>
      <c r="S312" s="569"/>
      <c r="T312" s="569"/>
      <c r="U312" s="569"/>
      <c r="V312" s="569"/>
      <c r="W312" s="569"/>
      <c r="X312" s="569"/>
      <c r="Y312" s="569"/>
      <c r="Z312" s="569"/>
      <c r="AA312" s="569"/>
      <c r="AB312" s="569"/>
      <c r="AC312" s="569"/>
      <c r="AD312" s="569"/>
      <c r="AE312" s="569"/>
      <c r="AF312" s="569"/>
      <c r="AG312" s="569"/>
      <c r="AH312" s="569"/>
      <c r="AI312" s="569"/>
      <c r="AJ312" s="569"/>
      <c r="AK312" s="569"/>
      <c r="AL312" s="569"/>
      <c r="AM312" s="569"/>
      <c r="AN312" s="569"/>
      <c r="AO312">
        <v>311</v>
      </c>
      <c r="AP312" t="str">
        <f t="shared" si="66"/>
        <v/>
      </c>
      <c r="AQ312" t="str">
        <f t="shared" si="56"/>
        <v/>
      </c>
      <c r="AR312" s="430">
        <f>IFERROR(
IF(AP312="",-100,
IF($BV$2&gt;0, INDEX(Beersheet!$A:$U,MATCH(AP312,INDEX(Beersheet!$A:$U,0,FFARawStatProjections!$BV$2),0),$BV$3)+$BN312,
INDEX($A312:$BM312,,$BV$12)*$BW$12+
INDEX($A312:$BM312,,$BV$15)*$BW$15+
INDEX($A312:$BM312,,$BV$16)*$BW$16+
INDEX($A312:$BM312,,$BV$17)*$BW$17+
INDEX($A312:$BM312,,$BV$18)*$BW$18+
INDEX($A312:$BM312,,$BV$19)*$BW$19+
INDEX($A312:$BM312,,$BV$20)*$BW$20+
INDEX($A312:$BM312,,$BV$21)*$BW$21+
INDEX($A312:$BM312,,$BV$22)*$BW$22+
INDEX($A312:$BM312,,$BV$23)*$BW$23+
INDEX($A312:$BM312,,$BV$25)*$BW$25+
INDEX($A312:$BM312,,$BV$26)*$BW$26+
INDEX($A312:$BM312,,$BV$27)*$BW$27+
$BN312)),
$BN312-100)</f>
        <v>-100</v>
      </c>
      <c r="AT312">
        <f t="shared" si="57"/>
        <v>0</v>
      </c>
      <c r="AU312">
        <f t="shared" si="58"/>
        <v>0</v>
      </c>
      <c r="AV312" s="430">
        <f>IFERROR(
IF(AT312="",-100,
IF($BV$2&gt;0, INDEX(Beersheet!$A:$U,MATCH(AT312,INDEX(Beersheet!$A:$U,0,FFARawStatProjections!$BV$2),0),$BV$3)+$BN312,
INDEX($A312:$BM312,,$BV$12)*$BW$12+
INDEX($A312:$BM312,,$BV$15)*$BW$15+
INDEX($A312:$BM312,,$BV$16)*$BW$16+
INDEX($A312:$BM312,,$BV$17)*$BW$17+
INDEX($A312:$BM312,,$BV$18)*$BW$18+
INDEX($A312:$BM312,,$BV$19)*$BW$19+
INDEX($A312:$BM312,,$BV$20)*$BW$20+
INDEX($A312:$BM312,,$BV$21)*$BW$21+
INDEX($A312:$BM312,,$BV$22)*$BW$22+
INDEX($A312:$BM312,,$BV$23)*$BW$23+
INDEX($A312:$BM312,,$BV$25)*$BW$25+
INDEX($A312:$BM312,,$BV$26)*$BW$26+
INDEX($A312:$BM312,,$BV$27)*$BW$27+
$BN312)),
$BN312-100)</f>
        <v>3.1099999999999999E-3</v>
      </c>
      <c r="AX312" t="str">
        <f t="shared" si="59"/>
        <v/>
      </c>
      <c r="AY312" t="str">
        <f t="shared" si="60"/>
        <v/>
      </c>
      <c r="AZ312" s="430">
        <f>IFERROR(
IF(AX312="",-100,
IF($BV$2&gt;0, INDEX(Beersheet!$A:$U,MATCH(AX312,INDEX(Beersheet!$A:$U,0,FFARawStatProjections!$BV$2),0),$BV$3)+$BN312,
INDEX($A312:$BM312,,$BV$12)*$BW$12+
INDEX($A312:$BM312,,$BV$15)*$BW$15+
INDEX($A312:$BM312,,$BV$16)*$BW$16+
INDEX($A312:$BM312,,$BV$17)*$BW$17+
INDEX($A312:$BM312,,$BV$18)*$BW$18+
INDEX($A312:$BM312,,$BV$19)*$BW$19+
INDEX($A312:$BM312,,$BV$20)*$BW$20+
INDEX($A312:$BM312,,$BV$21)*$BW$21+
INDEX($A312:$BM312,,$BV$22)*$BW$22+
INDEX($A312:$BM312,,$BV$23)*$BW$23+
INDEX($A312:$BM312,,$BV$25)*$BW$25+
INDEX($A312:$BM312,,$BV$26)*$BW$26+
INDEX($A312:$BM312,,$BV$27)*$BW$27+
$BN312)),
$BN312-100)</f>
        <v>-100</v>
      </c>
      <c r="BB312" t="str">
        <f t="shared" si="61"/>
        <v/>
      </c>
      <c r="BC312" t="str">
        <f t="shared" si="55"/>
        <v/>
      </c>
      <c r="BD312" s="430">
        <f>IFERROR(
IF(BB312="",-100,
IF($BV$2&gt;0, INDEX(Beersheet!$A:$U,MATCH(BB312,INDEX(Beersheet!$A:$U,0,FFARawStatProjections!$BV$2),0),$BV$3)+$BN312,
INDEX($A312:$BM312,,$BV$12)*$BW$12+
INDEX($A312:$BM312,,$BV$15)*$BW$15+
INDEX($A312:$BM312,,$BV$16)*$BW$16+
INDEX($A312:$BM312,,$BV$17)*$BW$17+
INDEX($A312:$BM312,,$BV$18)*$BW$18+
INDEX($A312:$BM312,,$BV$19)*$BW$19+
INDEX($A312:$BM312,,$BV$20)*$BW$20+
INDEX($A312:$BM312,,$BV$21)*$BW$21+
INDEX($A312:$BM312,,$BV$22)*$BW$22+
INDEX($A312:$BM312,,$BV$23)*$BW$23+
INDEX($A312:$BM312,,$BV$25)*$BW$25+
INDEX($A312:$BM312,,$BV$26)*$BW$26+
INDEX($A312:$BM312,,$BV$27)*$BW$27+
$BN312)),
$BN312-100)</f>
        <v>-100</v>
      </c>
      <c r="BF312" t="str">
        <f t="shared" si="62"/>
        <v/>
      </c>
      <c r="BG312" t="str">
        <f t="shared" si="63"/>
        <v/>
      </c>
      <c r="BH312">
        <f t="shared" si="64"/>
        <v>0</v>
      </c>
      <c r="BJ312" t="str">
        <f t="shared" si="65"/>
        <v/>
      </c>
      <c r="BL312">
        <f t="shared" si="67"/>
        <v>0</v>
      </c>
      <c r="BN312">
        <v>3.1099999999999999E-3</v>
      </c>
      <c r="BS312" s="4" t="s">
        <v>2142</v>
      </c>
    </row>
    <row r="313" spans="1:71" ht="15.75" thickBot="1" x14ac:dyDescent="0.3">
      <c r="A313" s="569"/>
      <c r="B313" s="569"/>
      <c r="C313" s="569" t="s">
        <v>3</v>
      </c>
      <c r="D313" s="569"/>
      <c r="E313" s="569"/>
      <c r="F313" s="569"/>
      <c r="G313" s="569"/>
      <c r="H313" s="569"/>
      <c r="I313" s="574">
        <v>0</v>
      </c>
      <c r="J313" s="574">
        <v>0</v>
      </c>
      <c r="K313" s="574">
        <v>0</v>
      </c>
      <c r="L313" s="569"/>
      <c r="M313" s="569"/>
      <c r="N313" s="569"/>
      <c r="O313" s="569"/>
      <c r="P313" s="569"/>
      <c r="Q313" s="569"/>
      <c r="R313" s="569"/>
      <c r="S313" s="569"/>
      <c r="T313" s="569"/>
      <c r="U313" s="569"/>
      <c r="V313" s="569"/>
      <c r="W313" s="569"/>
      <c r="X313" s="569"/>
      <c r="Y313" s="569"/>
      <c r="Z313" s="569"/>
      <c r="AA313" s="569"/>
      <c r="AB313" s="569"/>
      <c r="AC313" s="569"/>
      <c r="AD313" s="569"/>
      <c r="AE313" s="569"/>
      <c r="AF313" s="569"/>
      <c r="AG313" s="569"/>
      <c r="AH313" s="569"/>
      <c r="AI313" s="569"/>
      <c r="AJ313" s="569"/>
      <c r="AK313" s="569"/>
      <c r="AL313" s="569"/>
      <c r="AM313" s="569"/>
      <c r="AN313" s="569"/>
      <c r="AO313">
        <v>312</v>
      </c>
      <c r="AP313" t="str">
        <f t="shared" si="66"/>
        <v/>
      </c>
      <c r="AQ313" t="str">
        <f t="shared" si="56"/>
        <v/>
      </c>
      <c r="AR313" s="430">
        <f>IFERROR(
IF(AP313="",-100,
IF($BV$2&gt;0, INDEX(Beersheet!$A:$U,MATCH(AP313,INDEX(Beersheet!$A:$U,0,FFARawStatProjections!$BV$2),0),$BV$3)+$BN313,
INDEX($A313:$BM313,,$BV$12)*$BW$12+
INDEX($A313:$BM313,,$BV$15)*$BW$15+
INDEX($A313:$BM313,,$BV$16)*$BW$16+
INDEX($A313:$BM313,,$BV$17)*$BW$17+
INDEX($A313:$BM313,,$BV$18)*$BW$18+
INDEX($A313:$BM313,,$BV$19)*$BW$19+
INDEX($A313:$BM313,,$BV$20)*$BW$20+
INDEX($A313:$BM313,,$BV$21)*$BW$21+
INDEX($A313:$BM313,,$BV$22)*$BW$22+
INDEX($A313:$BM313,,$BV$23)*$BW$23+
INDEX($A313:$BM313,,$BV$25)*$BW$25+
INDEX($A313:$BM313,,$BV$26)*$BW$26+
INDEX($A313:$BM313,,$BV$27)*$BW$27+
$BN313)),
$BN313-100)</f>
        <v>-100</v>
      </c>
      <c r="AT313">
        <f t="shared" si="57"/>
        <v>0</v>
      </c>
      <c r="AU313">
        <f t="shared" si="58"/>
        <v>0</v>
      </c>
      <c r="AV313" s="430">
        <f>IFERROR(
IF(AT313="",-100,
IF($BV$2&gt;0, INDEX(Beersheet!$A:$U,MATCH(AT313,INDEX(Beersheet!$A:$U,0,FFARawStatProjections!$BV$2),0),$BV$3)+$BN313,
INDEX($A313:$BM313,,$BV$12)*$BW$12+
INDEX($A313:$BM313,,$BV$15)*$BW$15+
INDEX($A313:$BM313,,$BV$16)*$BW$16+
INDEX($A313:$BM313,,$BV$17)*$BW$17+
INDEX($A313:$BM313,,$BV$18)*$BW$18+
INDEX($A313:$BM313,,$BV$19)*$BW$19+
INDEX($A313:$BM313,,$BV$20)*$BW$20+
INDEX($A313:$BM313,,$BV$21)*$BW$21+
INDEX($A313:$BM313,,$BV$22)*$BW$22+
INDEX($A313:$BM313,,$BV$23)*$BW$23+
INDEX($A313:$BM313,,$BV$25)*$BW$25+
INDEX($A313:$BM313,,$BV$26)*$BW$26+
INDEX($A313:$BM313,,$BV$27)*$BW$27+
$BN313)),
$BN313-100)</f>
        <v>3.1199999999999999E-3</v>
      </c>
      <c r="AX313" t="str">
        <f t="shared" si="59"/>
        <v/>
      </c>
      <c r="AY313" t="str">
        <f t="shared" si="60"/>
        <v/>
      </c>
      <c r="AZ313" s="430">
        <f>IFERROR(
IF(AX313="",-100,
IF($BV$2&gt;0, INDEX(Beersheet!$A:$U,MATCH(AX313,INDEX(Beersheet!$A:$U,0,FFARawStatProjections!$BV$2),0),$BV$3)+$BN313,
INDEX($A313:$BM313,,$BV$12)*$BW$12+
INDEX($A313:$BM313,,$BV$15)*$BW$15+
INDEX($A313:$BM313,,$BV$16)*$BW$16+
INDEX($A313:$BM313,,$BV$17)*$BW$17+
INDEX($A313:$BM313,,$BV$18)*$BW$18+
INDEX($A313:$BM313,,$BV$19)*$BW$19+
INDEX($A313:$BM313,,$BV$20)*$BW$20+
INDEX($A313:$BM313,,$BV$21)*$BW$21+
INDEX($A313:$BM313,,$BV$22)*$BW$22+
INDEX($A313:$BM313,,$BV$23)*$BW$23+
INDEX($A313:$BM313,,$BV$25)*$BW$25+
INDEX($A313:$BM313,,$BV$26)*$BW$26+
INDEX($A313:$BM313,,$BV$27)*$BW$27+
$BN313)),
$BN313-100)</f>
        <v>-100</v>
      </c>
      <c r="BB313" t="str">
        <f t="shared" si="61"/>
        <v/>
      </c>
      <c r="BC313" t="str">
        <f t="shared" si="55"/>
        <v/>
      </c>
      <c r="BD313" s="430">
        <f>IFERROR(
IF(BB313="",-100,
IF($BV$2&gt;0, INDEX(Beersheet!$A:$U,MATCH(BB313,INDEX(Beersheet!$A:$U,0,FFARawStatProjections!$BV$2),0),$BV$3)+$BN313,
INDEX($A313:$BM313,,$BV$12)*$BW$12+
INDEX($A313:$BM313,,$BV$15)*$BW$15+
INDEX($A313:$BM313,,$BV$16)*$BW$16+
INDEX($A313:$BM313,,$BV$17)*$BW$17+
INDEX($A313:$BM313,,$BV$18)*$BW$18+
INDEX($A313:$BM313,,$BV$19)*$BW$19+
INDEX($A313:$BM313,,$BV$20)*$BW$20+
INDEX($A313:$BM313,,$BV$21)*$BW$21+
INDEX($A313:$BM313,,$BV$22)*$BW$22+
INDEX($A313:$BM313,,$BV$23)*$BW$23+
INDEX($A313:$BM313,,$BV$25)*$BW$25+
INDEX($A313:$BM313,,$BV$26)*$BW$26+
INDEX($A313:$BM313,,$BV$27)*$BW$27+
$BN313)),
$BN313-100)</f>
        <v>-100</v>
      </c>
      <c r="BF313" t="str">
        <f t="shared" si="62"/>
        <v/>
      </c>
      <c r="BG313" t="str">
        <f t="shared" si="63"/>
        <v/>
      </c>
      <c r="BH313">
        <f t="shared" si="64"/>
        <v>0</v>
      </c>
      <c r="BJ313" t="str">
        <f t="shared" si="65"/>
        <v/>
      </c>
      <c r="BL313">
        <f t="shared" si="67"/>
        <v>0</v>
      </c>
      <c r="BN313">
        <v>3.1199999999999999E-3</v>
      </c>
      <c r="BS313" s="4" t="s">
        <v>2066</v>
      </c>
    </row>
    <row r="314" spans="1:71" ht="15.75" thickBot="1" x14ac:dyDescent="0.3">
      <c r="A314" s="569"/>
      <c r="B314" s="569"/>
      <c r="C314" s="569"/>
      <c r="D314" s="569"/>
      <c r="E314" s="569"/>
      <c r="F314" s="569"/>
      <c r="G314" s="569"/>
      <c r="H314" s="569"/>
      <c r="I314" s="574">
        <v>0</v>
      </c>
      <c r="J314" s="574">
        <v>0</v>
      </c>
      <c r="K314" s="574">
        <v>0</v>
      </c>
      <c r="L314" s="574">
        <v>0</v>
      </c>
      <c r="M314" s="574">
        <v>0</v>
      </c>
      <c r="N314" s="574">
        <v>0</v>
      </c>
      <c r="O314" s="574">
        <v>0</v>
      </c>
      <c r="P314" s="574">
        <v>0</v>
      </c>
      <c r="Q314" s="574">
        <v>0</v>
      </c>
      <c r="R314" s="569"/>
      <c r="S314" s="569"/>
      <c r="T314" s="569"/>
      <c r="U314" s="569"/>
      <c r="V314" s="569"/>
      <c r="W314" s="569"/>
      <c r="X314" s="569"/>
      <c r="Y314" s="569"/>
      <c r="Z314" s="569"/>
      <c r="AA314" s="569"/>
      <c r="AB314" s="569"/>
      <c r="AC314" s="569"/>
      <c r="AD314" s="569"/>
      <c r="AE314" s="569"/>
      <c r="AF314" s="569"/>
      <c r="AG314" s="569"/>
      <c r="AH314" s="569"/>
      <c r="AI314" s="569"/>
      <c r="AJ314" s="569"/>
      <c r="AK314" s="569"/>
      <c r="AL314" s="569"/>
      <c r="AM314" s="569"/>
      <c r="AN314" s="569"/>
      <c r="AO314">
        <v>313</v>
      </c>
      <c r="AP314" t="str">
        <f t="shared" si="66"/>
        <v/>
      </c>
      <c r="AQ314" t="str">
        <f t="shared" si="56"/>
        <v/>
      </c>
      <c r="AR314" s="430">
        <f>IFERROR(
IF(AP314="",-100,
IF($BV$2&gt;0, INDEX(Beersheet!$A:$U,MATCH(AP314,INDEX(Beersheet!$A:$U,0,FFARawStatProjections!$BV$2),0),$BV$3)+$BN314,
INDEX($A314:$BM314,,$BV$12)*$BW$12+
INDEX($A314:$BM314,,$BV$15)*$BW$15+
INDEX($A314:$BM314,,$BV$16)*$BW$16+
INDEX($A314:$BM314,,$BV$17)*$BW$17+
INDEX($A314:$BM314,,$BV$18)*$BW$18+
INDEX($A314:$BM314,,$BV$19)*$BW$19+
INDEX($A314:$BM314,,$BV$20)*$BW$20+
INDEX($A314:$BM314,,$BV$21)*$BW$21+
INDEX($A314:$BM314,,$BV$22)*$BW$22+
INDEX($A314:$BM314,,$BV$23)*$BW$23+
INDEX($A314:$BM314,,$BV$25)*$BW$25+
INDEX($A314:$BM314,,$BV$26)*$BW$26+
INDEX($A314:$BM314,,$BV$27)*$BW$27+
$BN314)),
$BN314-100)</f>
        <v>-100</v>
      </c>
      <c r="AT314" t="str">
        <f t="shared" si="57"/>
        <v/>
      </c>
      <c r="AU314" t="str">
        <f t="shared" si="58"/>
        <v/>
      </c>
      <c r="AV314" s="430">
        <f>IFERROR(
IF(AT314="",-100,
IF($BV$2&gt;0, INDEX(Beersheet!$A:$U,MATCH(AT314,INDEX(Beersheet!$A:$U,0,FFARawStatProjections!$BV$2),0),$BV$3)+$BN314,
INDEX($A314:$BM314,,$BV$12)*$BW$12+
INDEX($A314:$BM314,,$BV$15)*$BW$15+
INDEX($A314:$BM314,,$BV$16)*$BW$16+
INDEX($A314:$BM314,,$BV$17)*$BW$17+
INDEX($A314:$BM314,,$BV$18)*$BW$18+
INDEX($A314:$BM314,,$BV$19)*$BW$19+
INDEX($A314:$BM314,,$BV$20)*$BW$20+
INDEX($A314:$BM314,,$BV$21)*$BW$21+
INDEX($A314:$BM314,,$BV$22)*$BW$22+
INDEX($A314:$BM314,,$BV$23)*$BW$23+
INDEX($A314:$BM314,,$BV$25)*$BW$25+
INDEX($A314:$BM314,,$BV$26)*$BW$26+
INDEX($A314:$BM314,,$BV$27)*$BW$27+
$BN314)),
$BN314-100)</f>
        <v>-100</v>
      </c>
      <c r="AX314" t="str">
        <f t="shared" si="59"/>
        <v/>
      </c>
      <c r="AY314" t="str">
        <f t="shared" si="60"/>
        <v/>
      </c>
      <c r="AZ314" s="430">
        <f>IFERROR(
IF(AX314="",-100,
IF($BV$2&gt;0, INDEX(Beersheet!$A:$U,MATCH(AX314,INDEX(Beersheet!$A:$U,0,FFARawStatProjections!$BV$2),0),$BV$3)+$BN314,
INDEX($A314:$BM314,,$BV$12)*$BW$12+
INDEX($A314:$BM314,,$BV$15)*$BW$15+
INDEX($A314:$BM314,,$BV$16)*$BW$16+
INDEX($A314:$BM314,,$BV$17)*$BW$17+
INDEX($A314:$BM314,,$BV$18)*$BW$18+
INDEX($A314:$BM314,,$BV$19)*$BW$19+
INDEX($A314:$BM314,,$BV$20)*$BW$20+
INDEX($A314:$BM314,,$BV$21)*$BW$21+
INDEX($A314:$BM314,,$BV$22)*$BW$22+
INDEX($A314:$BM314,,$BV$23)*$BW$23+
INDEX($A314:$BM314,,$BV$25)*$BW$25+
INDEX($A314:$BM314,,$BV$26)*$BW$26+
INDEX($A314:$BM314,,$BV$27)*$BW$27+
$BN314)),
$BN314-100)</f>
        <v>-100</v>
      </c>
      <c r="BB314" t="str">
        <f t="shared" si="61"/>
        <v/>
      </c>
      <c r="BC314" t="str">
        <f t="shared" si="55"/>
        <v/>
      </c>
      <c r="BD314" s="430">
        <f>IFERROR(
IF(BB314="",-100,
IF($BV$2&gt;0, INDEX(Beersheet!$A:$U,MATCH(BB314,INDEX(Beersheet!$A:$U,0,FFARawStatProjections!$BV$2),0),$BV$3)+$BN314,
INDEX($A314:$BM314,,$BV$12)*$BW$12+
INDEX($A314:$BM314,,$BV$15)*$BW$15+
INDEX($A314:$BM314,,$BV$16)*$BW$16+
INDEX($A314:$BM314,,$BV$17)*$BW$17+
INDEX($A314:$BM314,,$BV$18)*$BW$18+
INDEX($A314:$BM314,,$BV$19)*$BW$19+
INDEX($A314:$BM314,,$BV$20)*$BW$20+
INDEX($A314:$BM314,,$BV$21)*$BW$21+
INDEX($A314:$BM314,,$BV$22)*$BW$22+
INDEX($A314:$BM314,,$BV$23)*$BW$23+
INDEX($A314:$BM314,,$BV$25)*$BW$25+
INDEX($A314:$BM314,,$BV$26)*$BW$26+
INDEX($A314:$BM314,,$BV$27)*$BW$27+
$BN314)),
$BN314-100)</f>
        <v>-100</v>
      </c>
      <c r="BF314" t="str">
        <f t="shared" si="62"/>
        <v/>
      </c>
      <c r="BG314" t="str">
        <f t="shared" si="63"/>
        <v/>
      </c>
      <c r="BH314">
        <f t="shared" si="64"/>
        <v>0</v>
      </c>
      <c r="BJ314" t="str">
        <f t="shared" si="65"/>
        <v/>
      </c>
      <c r="BL314">
        <f t="shared" si="67"/>
        <v>0</v>
      </c>
      <c r="BN314">
        <v>3.13E-3</v>
      </c>
      <c r="BS314" s="4" t="s">
        <v>2542</v>
      </c>
    </row>
    <row r="315" spans="1:71" ht="15.75" thickBot="1" x14ac:dyDescent="0.3">
      <c r="A315" s="569" t="s">
        <v>2274</v>
      </c>
      <c r="B315" s="569"/>
      <c r="C315" s="569"/>
      <c r="D315" s="569"/>
      <c r="E315" s="569"/>
      <c r="F315" s="569"/>
      <c r="G315" s="569"/>
      <c r="H315" s="569"/>
      <c r="I315" s="574">
        <v>0</v>
      </c>
      <c r="J315" s="574">
        <v>0</v>
      </c>
      <c r="K315" s="574">
        <v>0</v>
      </c>
      <c r="L315" s="574">
        <v>0</v>
      </c>
      <c r="M315" s="574">
        <v>0</v>
      </c>
      <c r="N315" s="574">
        <v>0</v>
      </c>
      <c r="O315" s="574">
        <v>0</v>
      </c>
      <c r="P315" s="574">
        <v>0</v>
      </c>
      <c r="Q315" s="574">
        <v>0</v>
      </c>
      <c r="R315" s="569"/>
      <c r="S315" s="569"/>
      <c r="T315" s="569"/>
      <c r="U315" s="569"/>
      <c r="V315" s="569"/>
      <c r="W315" s="569"/>
      <c r="X315" s="569"/>
      <c r="Y315" s="569"/>
      <c r="Z315" s="569"/>
      <c r="AA315" s="569"/>
      <c r="AB315" s="569"/>
      <c r="AC315" s="569"/>
      <c r="AD315" s="569"/>
      <c r="AE315" s="569"/>
      <c r="AF315" s="569"/>
      <c r="AG315" s="569"/>
      <c r="AH315" s="569"/>
      <c r="AI315" s="569"/>
      <c r="AJ315" s="569"/>
      <c r="AK315" s="569"/>
      <c r="AL315" s="569"/>
      <c r="AM315" s="569"/>
      <c r="AN315" s="569" t="s">
        <v>2278</v>
      </c>
      <c r="AO315">
        <v>314</v>
      </c>
      <c r="AP315" t="str">
        <f t="shared" si="66"/>
        <v/>
      </c>
      <c r="AQ315" t="str">
        <f t="shared" si="56"/>
        <v/>
      </c>
      <c r="AR315" s="430">
        <f>IFERROR(
IF(AP315="",-100,
IF($BV$2&gt;0, INDEX(Beersheet!$A:$U,MATCH(AP315,INDEX(Beersheet!$A:$U,0,FFARawStatProjections!$BV$2),0),$BV$3)+$BN315,
INDEX($A315:$BM315,,$BV$12)*$BW$12+
INDEX($A315:$BM315,,$BV$15)*$BW$15+
INDEX($A315:$BM315,,$BV$16)*$BW$16+
INDEX($A315:$BM315,,$BV$17)*$BW$17+
INDEX($A315:$BM315,,$BV$18)*$BW$18+
INDEX($A315:$BM315,,$BV$19)*$BW$19+
INDEX($A315:$BM315,,$BV$20)*$BW$20+
INDEX($A315:$BM315,,$BV$21)*$BW$21+
INDEX($A315:$BM315,,$BV$22)*$BW$22+
INDEX($A315:$BM315,,$BV$23)*$BW$23+
INDEX($A315:$BM315,,$BV$25)*$BW$25+
INDEX($A315:$BM315,,$BV$26)*$BW$26+
INDEX($A315:$BM315,,$BV$27)*$BW$27+
$BN315)),
$BN315-100)</f>
        <v>-100</v>
      </c>
      <c r="AT315" t="str">
        <f t="shared" si="57"/>
        <v/>
      </c>
      <c r="AU315" t="str">
        <f t="shared" si="58"/>
        <v/>
      </c>
      <c r="AV315" s="430">
        <f>IFERROR(
IF(AT315="",-100,
IF($BV$2&gt;0, INDEX(Beersheet!$A:$U,MATCH(AT315,INDEX(Beersheet!$A:$U,0,FFARawStatProjections!$BV$2),0),$BV$3)+$BN315,
INDEX($A315:$BM315,,$BV$12)*$BW$12+
INDEX($A315:$BM315,,$BV$15)*$BW$15+
INDEX($A315:$BM315,,$BV$16)*$BW$16+
INDEX($A315:$BM315,,$BV$17)*$BW$17+
INDEX($A315:$BM315,,$BV$18)*$BW$18+
INDEX($A315:$BM315,,$BV$19)*$BW$19+
INDEX($A315:$BM315,,$BV$20)*$BW$20+
INDEX($A315:$BM315,,$BV$21)*$BW$21+
INDEX($A315:$BM315,,$BV$22)*$BW$22+
INDEX($A315:$BM315,,$BV$23)*$BW$23+
INDEX($A315:$BM315,,$BV$25)*$BW$25+
INDEX($A315:$BM315,,$BV$26)*$BW$26+
INDEX($A315:$BM315,,$BV$27)*$BW$27+
$BN315)),
$BN315-100)</f>
        <v>-100</v>
      </c>
      <c r="AX315" t="str">
        <f t="shared" si="59"/>
        <v/>
      </c>
      <c r="AY315" t="str">
        <f t="shared" si="60"/>
        <v/>
      </c>
      <c r="AZ315" s="430">
        <f>IFERROR(
IF(AX315="",-100,
IF($BV$2&gt;0, INDEX(Beersheet!$A:$U,MATCH(AX315,INDEX(Beersheet!$A:$U,0,FFARawStatProjections!$BV$2),0),$BV$3)+$BN315,
INDEX($A315:$BM315,,$BV$12)*$BW$12+
INDEX($A315:$BM315,,$BV$15)*$BW$15+
INDEX($A315:$BM315,,$BV$16)*$BW$16+
INDEX($A315:$BM315,,$BV$17)*$BW$17+
INDEX($A315:$BM315,,$BV$18)*$BW$18+
INDEX($A315:$BM315,,$BV$19)*$BW$19+
INDEX($A315:$BM315,,$BV$20)*$BW$20+
INDEX($A315:$BM315,,$BV$21)*$BW$21+
INDEX($A315:$BM315,,$BV$22)*$BW$22+
INDEX($A315:$BM315,,$BV$23)*$BW$23+
INDEX($A315:$BM315,,$BV$25)*$BW$25+
INDEX($A315:$BM315,,$BV$26)*$BW$26+
INDEX($A315:$BM315,,$BV$27)*$BW$27+
$BN315)),
$BN315-100)</f>
        <v>-100</v>
      </c>
      <c r="BB315" t="str">
        <f t="shared" si="61"/>
        <v/>
      </c>
      <c r="BC315" t="str">
        <f t="shared" si="55"/>
        <v/>
      </c>
      <c r="BD315" s="430">
        <f>IFERROR(
IF(BB315="",-100,
IF($BV$2&gt;0, INDEX(Beersheet!$A:$U,MATCH(BB315,INDEX(Beersheet!$A:$U,0,FFARawStatProjections!$BV$2),0),$BV$3)+$BN315,
INDEX($A315:$BM315,,$BV$12)*$BW$12+
INDEX($A315:$BM315,,$BV$15)*$BW$15+
INDEX($A315:$BM315,,$BV$16)*$BW$16+
INDEX($A315:$BM315,,$BV$17)*$BW$17+
INDEX($A315:$BM315,,$BV$18)*$BW$18+
INDEX($A315:$BM315,,$BV$19)*$BW$19+
INDEX($A315:$BM315,,$BV$20)*$BW$20+
INDEX($A315:$BM315,,$BV$21)*$BW$21+
INDEX($A315:$BM315,,$BV$22)*$BW$22+
INDEX($A315:$BM315,,$BV$23)*$BW$23+
INDEX($A315:$BM315,,$BV$25)*$BW$25+
INDEX($A315:$BM315,,$BV$26)*$BW$26+
INDEX($A315:$BM315,,$BV$27)*$BW$27+
$BN315)),
$BN315-100)</f>
        <v>-100</v>
      </c>
      <c r="BF315" t="str">
        <f t="shared" si="62"/>
        <v/>
      </c>
      <c r="BG315" t="str">
        <f t="shared" si="63"/>
        <v/>
      </c>
      <c r="BH315">
        <f t="shared" si="64"/>
        <v>0</v>
      </c>
      <c r="BJ315" t="str">
        <f t="shared" si="65"/>
        <v/>
      </c>
      <c r="BL315">
        <f t="shared" si="67"/>
        <v>0</v>
      </c>
      <c r="BN315">
        <v>3.14E-3</v>
      </c>
      <c r="BS315" s="4" t="s">
        <v>2474</v>
      </c>
    </row>
    <row r="316" spans="1:71" ht="15.75" thickBot="1" x14ac:dyDescent="0.3">
      <c r="A316" s="569" t="s">
        <v>2081</v>
      </c>
      <c r="B316" s="569" t="s">
        <v>138</v>
      </c>
      <c r="C316" s="569" t="s">
        <v>6</v>
      </c>
      <c r="D316" s="574">
        <v>13</v>
      </c>
      <c r="E316" s="569"/>
      <c r="F316" s="569"/>
      <c r="G316" s="569"/>
      <c r="H316" s="569"/>
      <c r="I316" s="574">
        <v>0</v>
      </c>
      <c r="J316" s="574">
        <v>0</v>
      </c>
      <c r="K316" s="574">
        <v>0</v>
      </c>
      <c r="L316" s="574">
        <v>110.9</v>
      </c>
      <c r="M316" s="574">
        <v>8.1</v>
      </c>
      <c r="N316" s="574">
        <v>1523.9</v>
      </c>
      <c r="O316" s="574">
        <v>3.7</v>
      </c>
      <c r="P316" s="574">
        <v>0.3</v>
      </c>
      <c r="Q316" s="574">
        <v>19</v>
      </c>
      <c r="R316" s="569"/>
      <c r="S316" s="569"/>
      <c r="T316" s="569"/>
      <c r="U316" s="569"/>
      <c r="V316" s="569"/>
      <c r="W316" s="569"/>
      <c r="X316" s="569"/>
      <c r="Y316" s="569"/>
      <c r="Z316" s="569"/>
      <c r="AA316" s="569"/>
      <c r="AB316" s="569"/>
      <c r="AC316" s="569"/>
      <c r="AD316" s="569"/>
      <c r="AE316" s="569"/>
      <c r="AF316" s="569"/>
      <c r="AG316" s="569"/>
      <c r="AH316" s="569"/>
      <c r="AI316" s="569"/>
      <c r="AJ316" s="569"/>
      <c r="AK316" s="569"/>
      <c r="AL316" s="569"/>
      <c r="AM316" s="569"/>
      <c r="AN316" s="574">
        <v>204.3</v>
      </c>
      <c r="AO316">
        <v>315</v>
      </c>
      <c r="AP316" t="str">
        <f t="shared" si="66"/>
        <v/>
      </c>
      <c r="AQ316" t="str">
        <f t="shared" si="56"/>
        <v/>
      </c>
      <c r="AR316" s="430">
        <f>IFERROR(
IF(AP316="",-100,
IF($BV$2&gt;0, INDEX(Beersheet!$A:$U,MATCH(AP316,INDEX(Beersheet!$A:$U,0,FFARawStatProjections!$BV$2),0),$BV$3)+$BN316,
INDEX($A316:$BM316,,$BV$12)*$BW$12+
INDEX($A316:$BM316,,$BV$15)*$BW$15+
INDEX($A316:$BM316,,$BV$16)*$BW$16+
INDEX($A316:$BM316,,$BV$17)*$BW$17+
INDEX($A316:$BM316,,$BV$18)*$BW$18+
INDEX($A316:$BM316,,$BV$19)*$BW$19+
INDEX($A316:$BM316,,$BV$20)*$BW$20+
INDEX($A316:$BM316,,$BV$21)*$BW$21+
INDEX($A316:$BM316,,$BV$22)*$BW$22+
INDEX($A316:$BM316,,$BV$23)*$BW$23+
INDEX($A316:$BM316,,$BV$25)*$BW$25+
INDEX($A316:$BM316,,$BV$26)*$BW$26+
INDEX($A316:$BM316,,$BV$27)*$BW$27+
$BN316)),
$BN316-100)</f>
        <v>-100</v>
      </c>
      <c r="AT316" t="str">
        <f t="shared" si="57"/>
        <v/>
      </c>
      <c r="AU316" t="str">
        <f t="shared" si="58"/>
        <v/>
      </c>
      <c r="AV316" s="430">
        <f>IFERROR(
IF(AT316="",-100,
IF($BV$2&gt;0, INDEX(Beersheet!$A:$U,MATCH(AT316,INDEX(Beersheet!$A:$U,0,FFARawStatProjections!$BV$2),0),$BV$3)+$BN316,
INDEX($A316:$BM316,,$BV$12)*$BW$12+
INDEX($A316:$BM316,,$BV$15)*$BW$15+
INDEX($A316:$BM316,,$BV$16)*$BW$16+
INDEX($A316:$BM316,,$BV$17)*$BW$17+
INDEX($A316:$BM316,,$BV$18)*$BW$18+
INDEX($A316:$BM316,,$BV$19)*$BW$19+
INDEX($A316:$BM316,,$BV$20)*$BW$20+
INDEX($A316:$BM316,,$BV$21)*$BW$21+
INDEX($A316:$BM316,,$BV$22)*$BW$22+
INDEX($A316:$BM316,,$BV$23)*$BW$23+
INDEX($A316:$BM316,,$BV$25)*$BW$25+
INDEX($A316:$BM316,,$BV$26)*$BW$26+
INDEX($A316:$BM316,,$BV$27)*$BW$27+
$BN316)),
$BN316-100)</f>
        <v>-100</v>
      </c>
      <c r="AX316" t="str">
        <f t="shared" si="59"/>
        <v>Justin Jefferson</v>
      </c>
      <c r="AY316" t="str">
        <f t="shared" si="60"/>
        <v>MIN</v>
      </c>
      <c r="AZ316" s="430">
        <f>IFERROR(
IF(AX316="",-100,
IF($BV$2&gt;0, INDEX(Beersheet!$A:$U,MATCH(AX316,INDEX(Beersheet!$A:$U,0,FFARawStatProjections!$BV$2),0),$BV$3)+$BN316,
INDEX($A316:$BM316,,$BV$12)*$BW$12+
INDEX($A316:$BM316,,$BV$15)*$BW$15+
INDEX($A316:$BM316,,$BV$16)*$BW$16+
INDEX($A316:$BM316,,$BV$17)*$BW$17+
INDEX($A316:$BM316,,$BV$18)*$BW$18+
INDEX($A316:$BM316,,$BV$19)*$BW$19+
INDEX($A316:$BM316,,$BV$20)*$BW$20+
INDEX($A316:$BM316,,$BV$21)*$BW$21+
INDEX($A316:$BM316,,$BV$22)*$BW$22+
INDEX($A316:$BM316,,$BV$23)*$BW$23+
INDEX($A316:$BM316,,$BV$25)*$BW$25+
INDEX($A316:$BM316,,$BV$26)*$BW$26+
INDEX($A316:$BM316,,$BV$27)*$BW$27+
$BN316)),
$BN316-100)</f>
        <v>315.59314999999998</v>
      </c>
      <c r="BB316" t="str">
        <f t="shared" si="61"/>
        <v/>
      </c>
      <c r="BC316" t="str">
        <f t="shared" si="55"/>
        <v/>
      </c>
      <c r="BD316" s="430">
        <f>IFERROR(
IF(BB316="",-100,
IF($BV$2&gt;0, INDEX(Beersheet!$A:$U,MATCH(BB316,INDEX(Beersheet!$A:$U,0,FFARawStatProjections!$BV$2),0),$BV$3)+$BN316,
INDEX($A316:$BM316,,$BV$12)*$BW$12+
INDEX($A316:$BM316,,$BV$15)*$BW$15+
INDEX($A316:$BM316,,$BV$16)*$BW$16+
INDEX($A316:$BM316,,$BV$17)*$BW$17+
INDEX($A316:$BM316,,$BV$18)*$BW$18+
INDEX($A316:$BM316,,$BV$19)*$BW$19+
INDEX($A316:$BM316,,$BV$20)*$BW$20+
INDEX($A316:$BM316,,$BV$21)*$BW$21+
INDEX($A316:$BM316,,$BV$22)*$BW$22+
INDEX($A316:$BM316,,$BV$23)*$BW$23+
INDEX($A316:$BM316,,$BV$25)*$BW$25+
INDEX($A316:$BM316,,$BV$26)*$BW$26+
INDEX($A316:$BM316,,$BV$27)*$BW$27+
$BN316)),
$BN316-100)</f>
        <v>-100</v>
      </c>
      <c r="BF316" t="str">
        <f t="shared" si="62"/>
        <v/>
      </c>
      <c r="BG316" t="str">
        <f t="shared" si="63"/>
        <v/>
      </c>
      <c r="BH316">
        <f t="shared" si="64"/>
        <v>0</v>
      </c>
      <c r="BJ316" t="str">
        <f t="shared" si="65"/>
        <v/>
      </c>
      <c r="BL316">
        <f t="shared" si="67"/>
        <v>0</v>
      </c>
      <c r="BN316">
        <v>3.15E-3</v>
      </c>
      <c r="BS316" s="4" t="s">
        <v>2143</v>
      </c>
    </row>
    <row r="317" spans="1:71" ht="15.75" thickBot="1" x14ac:dyDescent="0.3">
      <c r="A317" s="569" t="s">
        <v>2195</v>
      </c>
      <c r="B317" s="569" t="s">
        <v>145</v>
      </c>
      <c r="C317" s="569" t="s">
        <v>6</v>
      </c>
      <c r="D317" s="574">
        <v>7</v>
      </c>
      <c r="E317" s="569"/>
      <c r="F317" s="569"/>
      <c r="G317" s="569"/>
      <c r="H317" s="569"/>
      <c r="I317" s="574">
        <v>0</v>
      </c>
      <c r="J317" s="574">
        <v>0</v>
      </c>
      <c r="K317" s="574">
        <v>0</v>
      </c>
      <c r="L317" s="574">
        <v>105.9</v>
      </c>
      <c r="M317" s="574">
        <v>10.3</v>
      </c>
      <c r="N317" s="574">
        <v>1389.9</v>
      </c>
      <c r="O317" s="574">
        <v>4.9000000000000004</v>
      </c>
      <c r="P317" s="574">
        <v>0.1</v>
      </c>
      <c r="Q317" s="574">
        <v>24</v>
      </c>
      <c r="R317" s="569"/>
      <c r="S317" s="569"/>
      <c r="T317" s="569"/>
      <c r="U317" s="569"/>
      <c r="V317" s="569"/>
      <c r="W317" s="569"/>
      <c r="X317" s="569"/>
      <c r="Y317" s="569"/>
      <c r="Z317" s="569"/>
      <c r="AA317" s="569"/>
      <c r="AB317" s="569"/>
      <c r="AC317" s="569"/>
      <c r="AD317" s="569"/>
      <c r="AE317" s="569"/>
      <c r="AF317" s="569"/>
      <c r="AG317" s="569"/>
      <c r="AH317" s="569"/>
      <c r="AI317" s="569"/>
      <c r="AJ317" s="569"/>
      <c r="AK317" s="569"/>
      <c r="AL317" s="569"/>
      <c r="AM317" s="569"/>
      <c r="AN317" s="574">
        <v>201.7</v>
      </c>
      <c r="AO317">
        <v>316</v>
      </c>
      <c r="AP317" t="str">
        <f t="shared" si="66"/>
        <v/>
      </c>
      <c r="AQ317" t="str">
        <f t="shared" si="56"/>
        <v/>
      </c>
      <c r="AR317" s="430">
        <f>IFERROR(
IF(AP317="",-100,
IF($BV$2&gt;0, INDEX(Beersheet!$A:$U,MATCH(AP317,INDEX(Beersheet!$A:$U,0,FFARawStatProjections!$BV$2),0),$BV$3)+$BN317,
INDEX($A317:$BM317,,$BV$12)*$BW$12+
INDEX($A317:$BM317,,$BV$15)*$BW$15+
INDEX($A317:$BM317,,$BV$16)*$BW$16+
INDEX($A317:$BM317,,$BV$17)*$BW$17+
INDEX($A317:$BM317,,$BV$18)*$BW$18+
INDEX($A317:$BM317,,$BV$19)*$BW$19+
INDEX($A317:$BM317,,$BV$20)*$BW$20+
INDEX($A317:$BM317,,$BV$21)*$BW$21+
INDEX($A317:$BM317,,$BV$22)*$BW$22+
INDEX($A317:$BM317,,$BV$23)*$BW$23+
INDEX($A317:$BM317,,$BV$25)*$BW$25+
INDEX($A317:$BM317,,$BV$26)*$BW$26+
INDEX($A317:$BM317,,$BV$27)*$BW$27+
$BN317)),
$BN317-100)</f>
        <v>-100</v>
      </c>
      <c r="AT317" t="str">
        <f t="shared" si="57"/>
        <v/>
      </c>
      <c r="AU317" t="str">
        <f t="shared" si="58"/>
        <v/>
      </c>
      <c r="AV317" s="430">
        <f>IFERROR(
IF(AT317="",-100,
IF($BV$2&gt;0, INDEX(Beersheet!$A:$U,MATCH(AT317,INDEX(Beersheet!$A:$U,0,FFARawStatProjections!$BV$2),0),$BV$3)+$BN317,
INDEX($A317:$BM317,,$BV$12)*$BW$12+
INDEX($A317:$BM317,,$BV$15)*$BW$15+
INDEX($A317:$BM317,,$BV$16)*$BW$16+
INDEX($A317:$BM317,,$BV$17)*$BW$17+
INDEX($A317:$BM317,,$BV$18)*$BW$18+
INDEX($A317:$BM317,,$BV$19)*$BW$19+
INDEX($A317:$BM317,,$BV$20)*$BW$20+
INDEX($A317:$BM317,,$BV$21)*$BW$21+
INDEX($A317:$BM317,,$BV$22)*$BW$22+
INDEX($A317:$BM317,,$BV$23)*$BW$23+
INDEX($A317:$BM317,,$BV$25)*$BW$25+
INDEX($A317:$BM317,,$BV$26)*$BW$26+
INDEX($A317:$BM317,,$BV$27)*$BW$27+
$BN317)),
$BN317-100)</f>
        <v>-100</v>
      </c>
      <c r="AX317" t="str">
        <f t="shared" si="59"/>
        <v>JaMarr Chase</v>
      </c>
      <c r="AY317" t="str">
        <f t="shared" si="60"/>
        <v>CIN</v>
      </c>
      <c r="AZ317" s="430">
        <f>IFERROR(
IF(AX317="",-100,
IF($BV$2&gt;0, INDEX(Beersheet!$A:$U,MATCH(AX317,INDEX(Beersheet!$A:$U,0,FFARawStatProjections!$BV$2),0),$BV$3)+$BN317,
INDEX($A317:$BM317,,$BV$12)*$BW$12+
INDEX($A317:$BM317,,$BV$15)*$BW$15+
INDEX($A317:$BM317,,$BV$16)*$BW$16+
INDEX($A317:$BM317,,$BV$17)*$BW$17+
INDEX($A317:$BM317,,$BV$18)*$BW$18+
INDEX($A317:$BM317,,$BV$19)*$BW$19+
INDEX($A317:$BM317,,$BV$20)*$BW$20+
INDEX($A317:$BM317,,$BV$21)*$BW$21+
INDEX($A317:$BM317,,$BV$22)*$BW$22+
INDEX($A317:$BM317,,$BV$23)*$BW$23+
INDEX($A317:$BM317,,$BV$25)*$BW$25+
INDEX($A317:$BM317,,$BV$26)*$BW$26+
INDEX($A317:$BM317,,$BV$27)*$BW$27+
$BN317)),
$BN317-100)</f>
        <v>309.69316000000003</v>
      </c>
      <c r="BB317" t="str">
        <f t="shared" si="61"/>
        <v/>
      </c>
      <c r="BC317" t="str">
        <f t="shared" si="55"/>
        <v/>
      </c>
      <c r="BD317" s="430">
        <f>IFERROR(
IF(BB317="",-100,
IF($BV$2&gt;0, INDEX(Beersheet!$A:$U,MATCH(BB317,INDEX(Beersheet!$A:$U,0,FFARawStatProjections!$BV$2),0),$BV$3)+$BN317,
INDEX($A317:$BM317,,$BV$12)*$BW$12+
INDEX($A317:$BM317,,$BV$15)*$BW$15+
INDEX($A317:$BM317,,$BV$16)*$BW$16+
INDEX($A317:$BM317,,$BV$17)*$BW$17+
INDEX($A317:$BM317,,$BV$18)*$BW$18+
INDEX($A317:$BM317,,$BV$19)*$BW$19+
INDEX($A317:$BM317,,$BV$20)*$BW$20+
INDEX($A317:$BM317,,$BV$21)*$BW$21+
INDEX($A317:$BM317,,$BV$22)*$BW$22+
INDEX($A317:$BM317,,$BV$23)*$BW$23+
INDEX($A317:$BM317,,$BV$25)*$BW$25+
INDEX($A317:$BM317,,$BV$26)*$BW$26+
INDEX($A317:$BM317,,$BV$27)*$BW$27+
$BN317)),
$BN317-100)</f>
        <v>-100</v>
      </c>
      <c r="BF317" t="str">
        <f t="shared" si="62"/>
        <v/>
      </c>
      <c r="BG317" t="str">
        <f t="shared" si="63"/>
        <v/>
      </c>
      <c r="BH317">
        <f t="shared" si="64"/>
        <v>0</v>
      </c>
      <c r="BJ317" t="str">
        <f t="shared" si="65"/>
        <v/>
      </c>
      <c r="BL317">
        <f t="shared" si="67"/>
        <v>0</v>
      </c>
      <c r="BN317">
        <v>3.16E-3</v>
      </c>
      <c r="BS317" s="4" t="s">
        <v>2108</v>
      </c>
    </row>
    <row r="318" spans="1:71" ht="15.75" thickBot="1" x14ac:dyDescent="0.3">
      <c r="A318" s="569" t="s">
        <v>1416</v>
      </c>
      <c r="B318" s="569" t="s">
        <v>1389</v>
      </c>
      <c r="C318" s="569" t="s">
        <v>6</v>
      </c>
      <c r="D318" s="574">
        <v>10</v>
      </c>
      <c r="E318" s="569"/>
      <c r="F318" s="569"/>
      <c r="G318" s="569"/>
      <c r="H318" s="569"/>
      <c r="I318" s="574">
        <v>0</v>
      </c>
      <c r="J318" s="574">
        <v>0</v>
      </c>
      <c r="K318" s="574">
        <v>0</v>
      </c>
      <c r="L318" s="574">
        <v>108</v>
      </c>
      <c r="M318" s="574">
        <v>8.3000000000000007</v>
      </c>
      <c r="N318" s="574">
        <v>1345.7</v>
      </c>
      <c r="O318" s="574">
        <v>7.9</v>
      </c>
      <c r="P318" s="574">
        <v>0.8</v>
      </c>
      <c r="Q318" s="574">
        <v>73.2</v>
      </c>
      <c r="R318" s="569"/>
      <c r="S318" s="569"/>
      <c r="T318" s="569"/>
      <c r="U318" s="569"/>
      <c r="V318" s="569"/>
      <c r="W318" s="569"/>
      <c r="X318" s="569"/>
      <c r="Y318" s="569"/>
      <c r="Z318" s="569"/>
      <c r="AA318" s="569"/>
      <c r="AB318" s="569"/>
      <c r="AC318" s="569"/>
      <c r="AD318" s="569"/>
      <c r="AE318" s="569"/>
      <c r="AF318" s="569"/>
      <c r="AG318" s="569"/>
      <c r="AH318" s="569"/>
      <c r="AI318" s="569"/>
      <c r="AJ318" s="569"/>
      <c r="AK318" s="569"/>
      <c r="AL318" s="569"/>
      <c r="AM318" s="569"/>
      <c r="AN318" s="574">
        <v>194.8</v>
      </c>
      <c r="AO318">
        <v>317</v>
      </c>
      <c r="AP318" t="str">
        <f t="shared" si="66"/>
        <v/>
      </c>
      <c r="AQ318" t="str">
        <f t="shared" si="56"/>
        <v/>
      </c>
      <c r="AR318" s="430">
        <f>IFERROR(
IF(AP318="",-100,
IF($BV$2&gt;0, INDEX(Beersheet!$A:$U,MATCH(AP318,INDEX(Beersheet!$A:$U,0,FFARawStatProjections!$BV$2),0),$BV$3)+$BN318,
INDEX($A318:$BM318,,$BV$12)*$BW$12+
INDEX($A318:$BM318,,$BV$15)*$BW$15+
INDEX($A318:$BM318,,$BV$16)*$BW$16+
INDEX($A318:$BM318,,$BV$17)*$BW$17+
INDEX($A318:$BM318,,$BV$18)*$BW$18+
INDEX($A318:$BM318,,$BV$19)*$BW$19+
INDEX($A318:$BM318,,$BV$20)*$BW$20+
INDEX($A318:$BM318,,$BV$21)*$BW$21+
INDEX($A318:$BM318,,$BV$22)*$BW$22+
INDEX($A318:$BM318,,$BV$23)*$BW$23+
INDEX($A318:$BM318,,$BV$25)*$BW$25+
INDEX($A318:$BM318,,$BV$26)*$BW$26+
INDEX($A318:$BM318,,$BV$27)*$BW$27+
$BN318)),
$BN318-100)</f>
        <v>-100</v>
      </c>
      <c r="AT318" t="str">
        <f t="shared" si="57"/>
        <v/>
      </c>
      <c r="AU318" t="str">
        <f t="shared" si="58"/>
        <v/>
      </c>
      <c r="AV318" s="430">
        <f>IFERROR(
IF(AT318="",-100,
IF($BV$2&gt;0, INDEX(Beersheet!$A:$U,MATCH(AT318,INDEX(Beersheet!$A:$U,0,FFARawStatProjections!$BV$2),0),$BV$3)+$BN318,
INDEX($A318:$BM318,,$BV$12)*$BW$12+
INDEX($A318:$BM318,,$BV$15)*$BW$15+
INDEX($A318:$BM318,,$BV$16)*$BW$16+
INDEX($A318:$BM318,,$BV$17)*$BW$17+
INDEX($A318:$BM318,,$BV$18)*$BW$18+
INDEX($A318:$BM318,,$BV$19)*$BW$19+
INDEX($A318:$BM318,,$BV$20)*$BW$20+
INDEX($A318:$BM318,,$BV$21)*$BW$21+
INDEX($A318:$BM318,,$BV$22)*$BW$22+
INDEX($A318:$BM318,,$BV$23)*$BW$23+
INDEX($A318:$BM318,,$BV$25)*$BW$25+
INDEX($A318:$BM318,,$BV$26)*$BW$26+
INDEX($A318:$BM318,,$BV$27)*$BW$27+
$BN318)),
$BN318-100)</f>
        <v>-100</v>
      </c>
      <c r="AX318" t="str">
        <f t="shared" si="59"/>
        <v>Cooper Kupp</v>
      </c>
      <c r="AY318" t="str">
        <f t="shared" si="60"/>
        <v>LAR</v>
      </c>
      <c r="AZ318" s="430">
        <f>IFERROR(
IF(AX318="",-100,
IF($BV$2&gt;0, INDEX(Beersheet!$A:$U,MATCH(AX318,INDEX(Beersheet!$A:$U,0,FFARawStatProjections!$BV$2),0),$BV$3)+$BN318,
INDEX($A318:$BM318,,$BV$12)*$BW$12+
INDEX($A318:$BM318,,$BV$15)*$BW$15+
INDEX($A318:$BM318,,$BV$16)*$BW$16+
INDEX($A318:$BM318,,$BV$17)*$BW$17+
INDEX($A318:$BM318,,$BV$18)*$BW$18+
INDEX($A318:$BM318,,$BV$19)*$BW$19+
INDEX($A318:$BM318,,$BV$20)*$BW$20+
INDEX($A318:$BM318,,$BV$21)*$BW$21+
INDEX($A318:$BM318,,$BV$22)*$BW$22+
INDEX($A318:$BM318,,$BV$23)*$BW$23+
INDEX($A318:$BM318,,$BV$25)*$BW$25+
INDEX($A318:$BM318,,$BV$26)*$BW$26+
INDEX($A318:$BM318,,$BV$27)*$BW$27+
$BN318)),
$BN318-100)</f>
        <v>304.49317000000002</v>
      </c>
      <c r="BB318" t="str">
        <f t="shared" si="61"/>
        <v/>
      </c>
      <c r="BC318" t="str">
        <f t="shared" si="55"/>
        <v/>
      </c>
      <c r="BD318" s="430">
        <f>IFERROR(
IF(BB318="",-100,
IF($BV$2&gt;0, INDEX(Beersheet!$A:$U,MATCH(BB318,INDEX(Beersheet!$A:$U,0,FFARawStatProjections!$BV$2),0),$BV$3)+$BN318,
INDEX($A318:$BM318,,$BV$12)*$BW$12+
INDEX($A318:$BM318,,$BV$15)*$BW$15+
INDEX($A318:$BM318,,$BV$16)*$BW$16+
INDEX($A318:$BM318,,$BV$17)*$BW$17+
INDEX($A318:$BM318,,$BV$18)*$BW$18+
INDEX($A318:$BM318,,$BV$19)*$BW$19+
INDEX($A318:$BM318,,$BV$20)*$BW$20+
INDEX($A318:$BM318,,$BV$21)*$BW$21+
INDEX($A318:$BM318,,$BV$22)*$BW$22+
INDEX($A318:$BM318,,$BV$23)*$BW$23+
INDEX($A318:$BM318,,$BV$25)*$BW$25+
INDEX($A318:$BM318,,$BV$26)*$BW$26+
INDEX($A318:$BM318,,$BV$27)*$BW$27+
$BN318)),
$BN318-100)</f>
        <v>-100</v>
      </c>
      <c r="BF318" t="str">
        <f t="shared" si="62"/>
        <v/>
      </c>
      <c r="BG318" t="str">
        <f t="shared" si="63"/>
        <v/>
      </c>
      <c r="BH318">
        <f t="shared" si="64"/>
        <v>0</v>
      </c>
      <c r="BJ318" t="str">
        <f t="shared" si="65"/>
        <v/>
      </c>
      <c r="BL318">
        <f t="shared" si="67"/>
        <v>0</v>
      </c>
      <c r="BN318">
        <v>3.1700000000000001E-3</v>
      </c>
      <c r="BS318" s="4" t="s">
        <v>2345</v>
      </c>
    </row>
    <row r="319" spans="1:71" ht="15.75" thickBot="1" x14ac:dyDescent="0.3">
      <c r="A319" s="569" t="s">
        <v>1267</v>
      </c>
      <c r="B319" s="569" t="s">
        <v>166</v>
      </c>
      <c r="C319" s="569" t="s">
        <v>6</v>
      </c>
      <c r="D319" s="574">
        <v>10</v>
      </c>
      <c r="E319" s="569"/>
      <c r="F319" s="569"/>
      <c r="G319" s="569"/>
      <c r="H319" s="569"/>
      <c r="I319" s="574">
        <v>0</v>
      </c>
      <c r="J319" s="574">
        <v>0</v>
      </c>
      <c r="K319" s="574">
        <v>0</v>
      </c>
      <c r="L319" s="574">
        <v>105.5</v>
      </c>
      <c r="M319" s="574">
        <v>7.8</v>
      </c>
      <c r="N319" s="574">
        <v>1395.5</v>
      </c>
      <c r="O319" s="574">
        <v>9.1999999999999993</v>
      </c>
      <c r="P319" s="574">
        <v>0.6</v>
      </c>
      <c r="Q319" s="574">
        <v>55.7</v>
      </c>
      <c r="R319" s="569"/>
      <c r="S319" s="569"/>
      <c r="T319" s="569"/>
      <c r="U319" s="569"/>
      <c r="V319" s="569"/>
      <c r="W319" s="569"/>
      <c r="X319" s="569"/>
      <c r="Y319" s="569"/>
      <c r="Z319" s="569"/>
      <c r="AA319" s="569"/>
      <c r="AB319" s="569"/>
      <c r="AC319" s="569"/>
      <c r="AD319" s="569"/>
      <c r="AE319" s="569"/>
      <c r="AF319" s="569"/>
      <c r="AG319" s="569"/>
      <c r="AH319" s="569"/>
      <c r="AI319" s="569"/>
      <c r="AJ319" s="569"/>
      <c r="AK319" s="569"/>
      <c r="AL319" s="569"/>
      <c r="AM319" s="569"/>
      <c r="AN319" s="574">
        <v>194.6</v>
      </c>
      <c r="AO319">
        <v>318</v>
      </c>
      <c r="AP319" t="str">
        <f t="shared" si="66"/>
        <v/>
      </c>
      <c r="AQ319" t="str">
        <f t="shared" si="56"/>
        <v/>
      </c>
      <c r="AR319" s="430">
        <f>IFERROR(
IF(AP319="",-100,
IF($BV$2&gt;0, INDEX(Beersheet!$A:$U,MATCH(AP319,INDEX(Beersheet!$A:$U,0,FFARawStatProjections!$BV$2),0),$BV$3)+$BN319,
INDEX($A319:$BM319,,$BV$12)*$BW$12+
INDEX($A319:$BM319,,$BV$15)*$BW$15+
INDEX($A319:$BM319,,$BV$16)*$BW$16+
INDEX($A319:$BM319,,$BV$17)*$BW$17+
INDEX($A319:$BM319,,$BV$18)*$BW$18+
INDEX($A319:$BM319,,$BV$19)*$BW$19+
INDEX($A319:$BM319,,$BV$20)*$BW$20+
INDEX($A319:$BM319,,$BV$21)*$BW$21+
INDEX($A319:$BM319,,$BV$22)*$BW$22+
INDEX($A319:$BM319,,$BV$23)*$BW$23+
INDEX($A319:$BM319,,$BV$25)*$BW$25+
INDEX($A319:$BM319,,$BV$26)*$BW$26+
INDEX($A319:$BM319,,$BV$27)*$BW$27+
$BN319)),
$BN319-100)</f>
        <v>-100</v>
      </c>
      <c r="AT319" t="str">
        <f t="shared" si="57"/>
        <v/>
      </c>
      <c r="AU319" t="str">
        <f t="shared" si="58"/>
        <v/>
      </c>
      <c r="AV319" s="430">
        <f>IFERROR(
IF(AT319="",-100,
IF($BV$2&gt;0, INDEX(Beersheet!$A:$U,MATCH(AT319,INDEX(Beersheet!$A:$U,0,FFARawStatProjections!$BV$2),0),$BV$3)+$BN319,
INDEX($A319:$BM319,,$BV$12)*$BW$12+
INDEX($A319:$BM319,,$BV$15)*$BW$15+
INDEX($A319:$BM319,,$BV$16)*$BW$16+
INDEX($A319:$BM319,,$BV$17)*$BW$17+
INDEX($A319:$BM319,,$BV$18)*$BW$18+
INDEX($A319:$BM319,,$BV$19)*$BW$19+
INDEX($A319:$BM319,,$BV$20)*$BW$20+
INDEX($A319:$BM319,,$BV$21)*$BW$21+
INDEX($A319:$BM319,,$BV$22)*$BW$22+
INDEX($A319:$BM319,,$BV$23)*$BW$23+
INDEX($A319:$BM319,,$BV$25)*$BW$25+
INDEX($A319:$BM319,,$BV$26)*$BW$26+
INDEX($A319:$BM319,,$BV$27)*$BW$27+
$BN319)),
$BN319-100)</f>
        <v>-100</v>
      </c>
      <c r="AX319" t="str">
        <f t="shared" si="59"/>
        <v>Tyreek Hill</v>
      </c>
      <c r="AY319" t="str">
        <f t="shared" si="60"/>
        <v>MIA</v>
      </c>
      <c r="AZ319" s="430">
        <f>IFERROR(
IF(AX319="",-100,
IF($BV$2&gt;0, INDEX(Beersheet!$A:$U,MATCH(AX319,INDEX(Beersheet!$A:$U,0,FFARawStatProjections!$BV$2),0),$BV$3)+$BN319,
INDEX($A319:$BM319,,$BV$12)*$BW$12+
INDEX($A319:$BM319,,$BV$15)*$BW$15+
INDEX($A319:$BM319,,$BV$16)*$BW$16+
INDEX($A319:$BM319,,$BV$17)*$BW$17+
INDEX($A319:$BM319,,$BV$18)*$BW$18+
INDEX($A319:$BM319,,$BV$19)*$BW$19+
INDEX($A319:$BM319,,$BV$20)*$BW$20+
INDEX($A319:$BM319,,$BV$21)*$BW$21+
INDEX($A319:$BM319,,$BV$22)*$BW$22+
INDEX($A319:$BM319,,$BV$23)*$BW$23+
INDEX($A319:$BM319,,$BV$25)*$BW$25+
INDEX($A319:$BM319,,$BV$26)*$BW$26+
INDEX($A319:$BM319,,$BV$27)*$BW$27+
$BN319)),
$BN319-100)</f>
        <v>301.02318000000002</v>
      </c>
      <c r="BB319" t="str">
        <f t="shared" si="61"/>
        <v/>
      </c>
      <c r="BC319" t="str">
        <f t="shared" si="55"/>
        <v/>
      </c>
      <c r="BD319" s="430">
        <f>IFERROR(
IF(BB319="",-100,
IF($BV$2&gt;0, INDEX(Beersheet!$A:$U,MATCH(BB319,INDEX(Beersheet!$A:$U,0,FFARawStatProjections!$BV$2),0),$BV$3)+$BN319,
INDEX($A319:$BM319,,$BV$12)*$BW$12+
INDEX($A319:$BM319,,$BV$15)*$BW$15+
INDEX($A319:$BM319,,$BV$16)*$BW$16+
INDEX($A319:$BM319,,$BV$17)*$BW$17+
INDEX($A319:$BM319,,$BV$18)*$BW$18+
INDEX($A319:$BM319,,$BV$19)*$BW$19+
INDEX($A319:$BM319,,$BV$20)*$BW$20+
INDEX($A319:$BM319,,$BV$21)*$BW$21+
INDEX($A319:$BM319,,$BV$22)*$BW$22+
INDEX($A319:$BM319,,$BV$23)*$BW$23+
INDEX($A319:$BM319,,$BV$25)*$BW$25+
INDEX($A319:$BM319,,$BV$26)*$BW$26+
INDEX($A319:$BM319,,$BV$27)*$BW$27+
$BN319)),
$BN319-100)</f>
        <v>-100</v>
      </c>
      <c r="BF319" t="str">
        <f t="shared" si="62"/>
        <v/>
      </c>
      <c r="BG319" t="str">
        <f t="shared" si="63"/>
        <v/>
      </c>
      <c r="BH319">
        <f t="shared" si="64"/>
        <v>0</v>
      </c>
      <c r="BJ319" t="str">
        <f t="shared" si="65"/>
        <v/>
      </c>
      <c r="BL319">
        <f t="shared" si="67"/>
        <v>0</v>
      </c>
      <c r="BN319">
        <v>3.1800000000000001E-3</v>
      </c>
      <c r="BS319" s="4" t="s">
        <v>2084</v>
      </c>
    </row>
    <row r="320" spans="1:71" ht="15.75" thickBot="1" x14ac:dyDescent="0.3">
      <c r="A320" s="569" t="s">
        <v>2079</v>
      </c>
      <c r="B320" s="569" t="s">
        <v>146</v>
      </c>
      <c r="C320" s="569" t="s">
        <v>6</v>
      </c>
      <c r="D320" s="574">
        <v>7</v>
      </c>
      <c r="E320" s="569"/>
      <c r="F320" s="569"/>
      <c r="G320" s="569"/>
      <c r="H320" s="569"/>
      <c r="I320" s="574">
        <v>0</v>
      </c>
      <c r="J320" s="574">
        <v>0</v>
      </c>
      <c r="K320" s="574">
        <v>0</v>
      </c>
      <c r="L320" s="574">
        <v>99</v>
      </c>
      <c r="M320" s="574">
        <v>7.7</v>
      </c>
      <c r="N320" s="574">
        <v>1294.4000000000001</v>
      </c>
      <c r="O320" s="574">
        <v>8.6999999999999993</v>
      </c>
      <c r="P320" s="574">
        <v>0.3</v>
      </c>
      <c r="Q320" s="574">
        <v>55.8</v>
      </c>
      <c r="R320" s="569"/>
      <c r="S320" s="569"/>
      <c r="T320" s="569"/>
      <c r="U320" s="569"/>
      <c r="V320" s="569"/>
      <c r="W320" s="569"/>
      <c r="X320" s="569"/>
      <c r="Y320" s="569"/>
      <c r="Z320" s="569"/>
      <c r="AA320" s="569"/>
      <c r="AB320" s="569"/>
      <c r="AC320" s="569"/>
      <c r="AD320" s="569"/>
      <c r="AE320" s="569"/>
      <c r="AF320" s="569"/>
      <c r="AG320" s="569"/>
      <c r="AH320" s="569"/>
      <c r="AI320" s="569"/>
      <c r="AJ320" s="569"/>
      <c r="AK320" s="569"/>
      <c r="AL320" s="569"/>
      <c r="AM320" s="569"/>
      <c r="AN320" s="574">
        <v>182</v>
      </c>
      <c r="AO320">
        <v>319</v>
      </c>
      <c r="AP320" t="str">
        <f t="shared" si="66"/>
        <v/>
      </c>
      <c r="AQ320" t="str">
        <f t="shared" si="56"/>
        <v/>
      </c>
      <c r="AR320" s="430">
        <f>IFERROR(
IF(AP320="",-100,
IF($BV$2&gt;0, INDEX(Beersheet!$A:$U,MATCH(AP320,INDEX(Beersheet!$A:$U,0,FFARawStatProjections!$BV$2),0),$BV$3)+$BN320,
INDEX($A320:$BM320,,$BV$12)*$BW$12+
INDEX($A320:$BM320,,$BV$15)*$BW$15+
INDEX($A320:$BM320,,$BV$16)*$BW$16+
INDEX($A320:$BM320,,$BV$17)*$BW$17+
INDEX($A320:$BM320,,$BV$18)*$BW$18+
INDEX($A320:$BM320,,$BV$19)*$BW$19+
INDEX($A320:$BM320,,$BV$20)*$BW$20+
INDEX($A320:$BM320,,$BV$21)*$BW$21+
INDEX($A320:$BM320,,$BV$22)*$BW$22+
INDEX($A320:$BM320,,$BV$23)*$BW$23+
INDEX($A320:$BM320,,$BV$25)*$BW$25+
INDEX($A320:$BM320,,$BV$26)*$BW$26+
INDEX($A320:$BM320,,$BV$27)*$BW$27+
$BN320)),
$BN320-100)</f>
        <v>-100</v>
      </c>
      <c r="AT320" t="str">
        <f t="shared" si="57"/>
        <v/>
      </c>
      <c r="AU320" t="str">
        <f t="shared" si="58"/>
        <v/>
      </c>
      <c r="AV320" s="430">
        <f>IFERROR(
IF(AT320="",-100,
IF($BV$2&gt;0, INDEX(Beersheet!$A:$U,MATCH(AT320,INDEX(Beersheet!$A:$U,0,FFARawStatProjections!$BV$2),0),$BV$3)+$BN320,
INDEX($A320:$BM320,,$BV$12)*$BW$12+
INDEX($A320:$BM320,,$BV$15)*$BW$15+
INDEX($A320:$BM320,,$BV$16)*$BW$16+
INDEX($A320:$BM320,,$BV$17)*$BW$17+
INDEX($A320:$BM320,,$BV$18)*$BW$18+
INDEX($A320:$BM320,,$BV$19)*$BW$19+
INDEX($A320:$BM320,,$BV$20)*$BW$20+
INDEX($A320:$BM320,,$BV$21)*$BW$21+
INDEX($A320:$BM320,,$BV$22)*$BW$22+
INDEX($A320:$BM320,,$BV$23)*$BW$23+
INDEX($A320:$BM320,,$BV$25)*$BW$25+
INDEX($A320:$BM320,,$BV$26)*$BW$26+
INDEX($A320:$BM320,,$BV$27)*$BW$27+
$BN320)),
$BN320-100)</f>
        <v>-100</v>
      </c>
      <c r="AX320" t="str">
        <f t="shared" si="59"/>
        <v>CeeDee Lamb</v>
      </c>
      <c r="AY320" t="str">
        <f t="shared" si="60"/>
        <v>DAL</v>
      </c>
      <c r="AZ320" s="430">
        <f>IFERROR(
IF(AX320="",-100,
IF($BV$2&gt;0, INDEX(Beersheet!$A:$U,MATCH(AX320,INDEX(Beersheet!$A:$U,0,FFARawStatProjections!$BV$2),0),$BV$3)+$BN320,
INDEX($A320:$BM320,,$BV$12)*$BW$12+
INDEX($A320:$BM320,,$BV$15)*$BW$15+
INDEX($A320:$BM320,,$BV$16)*$BW$16+
INDEX($A320:$BM320,,$BV$17)*$BW$17+
INDEX($A320:$BM320,,$BV$18)*$BW$18+
INDEX($A320:$BM320,,$BV$19)*$BW$19+
INDEX($A320:$BM320,,$BV$20)*$BW$20+
INDEX($A320:$BM320,,$BV$21)*$BW$21+
INDEX($A320:$BM320,,$BV$22)*$BW$22+
INDEX($A320:$BM320,,$BV$23)*$BW$23+
INDEX($A320:$BM320,,$BV$25)*$BW$25+
INDEX($A320:$BM320,,$BV$26)*$BW$26+
INDEX($A320:$BM320,,$BV$27)*$BW$27+
$BN320)),
$BN320-100)</f>
        <v>282.02319</v>
      </c>
      <c r="BB320" t="str">
        <f t="shared" si="61"/>
        <v/>
      </c>
      <c r="BC320" t="str">
        <f t="shared" si="55"/>
        <v/>
      </c>
      <c r="BD320" s="430">
        <f>IFERROR(
IF(BB320="",-100,
IF($BV$2&gt;0, INDEX(Beersheet!$A:$U,MATCH(BB320,INDEX(Beersheet!$A:$U,0,FFARawStatProjections!$BV$2),0),$BV$3)+$BN320,
INDEX($A320:$BM320,,$BV$12)*$BW$12+
INDEX($A320:$BM320,,$BV$15)*$BW$15+
INDEX($A320:$BM320,,$BV$16)*$BW$16+
INDEX($A320:$BM320,,$BV$17)*$BW$17+
INDEX($A320:$BM320,,$BV$18)*$BW$18+
INDEX($A320:$BM320,,$BV$19)*$BW$19+
INDEX($A320:$BM320,,$BV$20)*$BW$20+
INDEX($A320:$BM320,,$BV$21)*$BW$21+
INDEX($A320:$BM320,,$BV$22)*$BW$22+
INDEX($A320:$BM320,,$BV$23)*$BW$23+
INDEX($A320:$BM320,,$BV$25)*$BW$25+
INDEX($A320:$BM320,,$BV$26)*$BW$26+
INDEX($A320:$BM320,,$BV$27)*$BW$27+
$BN320)),
$BN320-100)</f>
        <v>-100</v>
      </c>
      <c r="BF320" t="str">
        <f t="shared" si="62"/>
        <v/>
      </c>
      <c r="BG320" t="str">
        <f t="shared" si="63"/>
        <v/>
      </c>
      <c r="BH320">
        <f t="shared" si="64"/>
        <v>0</v>
      </c>
      <c r="BJ320" t="str">
        <f t="shared" si="65"/>
        <v/>
      </c>
      <c r="BL320">
        <f t="shared" si="67"/>
        <v>0</v>
      </c>
      <c r="BN320">
        <v>3.1900000000000001E-3</v>
      </c>
      <c r="BS320" s="4" t="s">
        <v>2324</v>
      </c>
    </row>
    <row r="321" spans="1:71" ht="15.75" thickBot="1" x14ac:dyDescent="0.3">
      <c r="A321" s="569" t="s">
        <v>193</v>
      </c>
      <c r="B321" s="569" t="s">
        <v>2073</v>
      </c>
      <c r="C321" s="569" t="s">
        <v>6</v>
      </c>
      <c r="D321" s="574">
        <v>13</v>
      </c>
      <c r="E321" s="569"/>
      <c r="F321" s="569"/>
      <c r="G321" s="569"/>
      <c r="H321" s="569"/>
      <c r="I321" s="574">
        <v>0</v>
      </c>
      <c r="J321" s="574">
        <v>0</v>
      </c>
      <c r="K321" s="574">
        <v>0</v>
      </c>
      <c r="L321" s="574">
        <v>93.6</v>
      </c>
      <c r="M321" s="574">
        <v>8.4</v>
      </c>
      <c r="N321" s="574">
        <v>1260.4000000000001</v>
      </c>
      <c r="O321" s="574">
        <v>1.8</v>
      </c>
      <c r="P321" s="574">
        <v>0.1</v>
      </c>
      <c r="Q321" s="574">
        <v>7.6</v>
      </c>
      <c r="R321" s="569"/>
      <c r="S321" s="569"/>
      <c r="T321" s="569"/>
      <c r="U321" s="569"/>
      <c r="V321" s="569"/>
      <c r="W321" s="569"/>
      <c r="X321" s="569"/>
      <c r="Y321" s="569"/>
      <c r="Z321" s="569"/>
      <c r="AA321" s="569"/>
      <c r="AB321" s="569"/>
      <c r="AC321" s="569"/>
      <c r="AD321" s="569"/>
      <c r="AE321" s="569"/>
      <c r="AF321" s="569"/>
      <c r="AG321" s="569"/>
      <c r="AH321" s="569"/>
      <c r="AI321" s="569"/>
      <c r="AJ321" s="569"/>
      <c r="AK321" s="569"/>
      <c r="AL321" s="569"/>
      <c r="AM321" s="569"/>
      <c r="AN321" s="574">
        <v>177.3</v>
      </c>
      <c r="AO321">
        <v>320</v>
      </c>
      <c r="AP321" t="str">
        <f t="shared" si="66"/>
        <v/>
      </c>
      <c r="AQ321" t="str">
        <f t="shared" si="56"/>
        <v/>
      </c>
      <c r="AR321" s="430">
        <f>IFERROR(
IF(AP321="",-100,
IF($BV$2&gt;0, INDEX(Beersheet!$A:$U,MATCH(AP321,INDEX(Beersheet!$A:$U,0,FFARawStatProjections!$BV$2),0),$BV$3)+$BN321,
INDEX($A321:$BM321,,$BV$12)*$BW$12+
INDEX($A321:$BM321,,$BV$15)*$BW$15+
INDEX($A321:$BM321,,$BV$16)*$BW$16+
INDEX($A321:$BM321,,$BV$17)*$BW$17+
INDEX($A321:$BM321,,$BV$18)*$BW$18+
INDEX($A321:$BM321,,$BV$19)*$BW$19+
INDEX($A321:$BM321,,$BV$20)*$BW$20+
INDEX($A321:$BM321,,$BV$21)*$BW$21+
INDEX($A321:$BM321,,$BV$22)*$BW$22+
INDEX($A321:$BM321,,$BV$23)*$BW$23+
INDEX($A321:$BM321,,$BV$25)*$BW$25+
INDEX($A321:$BM321,,$BV$26)*$BW$26+
INDEX($A321:$BM321,,$BV$27)*$BW$27+
$BN321)),
$BN321-100)</f>
        <v>-100</v>
      </c>
      <c r="AT321" t="str">
        <f t="shared" si="57"/>
        <v/>
      </c>
      <c r="AU321" t="str">
        <f t="shared" si="58"/>
        <v/>
      </c>
      <c r="AV321" s="430">
        <f>IFERROR(
IF(AT321="",-100,
IF($BV$2&gt;0, INDEX(Beersheet!$A:$U,MATCH(AT321,INDEX(Beersheet!$A:$U,0,FFARawStatProjections!$BV$2),0),$BV$3)+$BN321,
INDEX($A321:$BM321,,$BV$12)*$BW$12+
INDEX($A321:$BM321,,$BV$15)*$BW$15+
INDEX($A321:$BM321,,$BV$16)*$BW$16+
INDEX($A321:$BM321,,$BV$17)*$BW$17+
INDEX($A321:$BM321,,$BV$18)*$BW$18+
INDEX($A321:$BM321,,$BV$19)*$BW$19+
INDEX($A321:$BM321,,$BV$20)*$BW$20+
INDEX($A321:$BM321,,$BV$21)*$BW$21+
INDEX($A321:$BM321,,$BV$22)*$BW$22+
INDEX($A321:$BM321,,$BV$23)*$BW$23+
INDEX($A321:$BM321,,$BV$25)*$BW$25+
INDEX($A321:$BM321,,$BV$26)*$BW$26+
INDEX($A321:$BM321,,$BV$27)*$BW$27+
$BN321)),
$BN321-100)</f>
        <v>-100</v>
      </c>
      <c r="AX321" t="str">
        <f t="shared" si="59"/>
        <v>Davante Adams</v>
      </c>
      <c r="AY321" t="str">
        <f t="shared" si="60"/>
        <v>LV</v>
      </c>
      <c r="AZ321" s="430">
        <f>IFERROR(
IF(AX321="",-100,
IF($BV$2&gt;0, INDEX(Beersheet!$A:$U,MATCH(AX321,INDEX(Beersheet!$A:$U,0,FFARawStatProjections!$BV$2),0),$BV$3)+$BN321,
INDEX($A321:$BM321,,$BV$12)*$BW$12+
INDEX($A321:$BM321,,$BV$15)*$BW$15+
INDEX($A321:$BM321,,$BV$16)*$BW$16+
INDEX($A321:$BM321,,$BV$17)*$BW$17+
INDEX($A321:$BM321,,$BV$18)*$BW$18+
INDEX($A321:$BM321,,$BV$19)*$BW$19+
INDEX($A321:$BM321,,$BV$20)*$BW$20+
INDEX($A321:$BM321,,$BV$21)*$BW$21+
INDEX($A321:$BM321,,$BV$22)*$BW$22+
INDEX($A321:$BM321,,$BV$23)*$BW$23+
INDEX($A321:$BM321,,$BV$25)*$BW$25+
INDEX($A321:$BM321,,$BV$26)*$BW$26+
INDEX($A321:$BM321,,$BV$27)*$BW$27+
$BN321)),
$BN321-100)</f>
        <v>271.40320000000003</v>
      </c>
      <c r="BB321" t="str">
        <f t="shared" si="61"/>
        <v/>
      </c>
      <c r="BC321" t="str">
        <f t="shared" si="55"/>
        <v/>
      </c>
      <c r="BD321" s="430">
        <f>IFERROR(
IF(BB321="",-100,
IF($BV$2&gt;0, INDEX(Beersheet!$A:$U,MATCH(BB321,INDEX(Beersheet!$A:$U,0,FFARawStatProjections!$BV$2),0),$BV$3)+$BN321,
INDEX($A321:$BM321,,$BV$12)*$BW$12+
INDEX($A321:$BM321,,$BV$15)*$BW$15+
INDEX($A321:$BM321,,$BV$16)*$BW$16+
INDEX($A321:$BM321,,$BV$17)*$BW$17+
INDEX($A321:$BM321,,$BV$18)*$BW$18+
INDEX($A321:$BM321,,$BV$19)*$BW$19+
INDEX($A321:$BM321,,$BV$20)*$BW$20+
INDEX($A321:$BM321,,$BV$21)*$BW$21+
INDEX($A321:$BM321,,$BV$22)*$BW$22+
INDEX($A321:$BM321,,$BV$23)*$BW$23+
INDEX($A321:$BM321,,$BV$25)*$BW$25+
INDEX($A321:$BM321,,$BV$26)*$BW$26+
INDEX($A321:$BM321,,$BV$27)*$BW$27+
$BN321)),
$BN321-100)</f>
        <v>-100</v>
      </c>
      <c r="BF321" t="str">
        <f t="shared" si="62"/>
        <v/>
      </c>
      <c r="BG321" t="str">
        <f t="shared" si="63"/>
        <v/>
      </c>
      <c r="BH321">
        <f t="shared" si="64"/>
        <v>0</v>
      </c>
      <c r="BJ321" t="str">
        <f t="shared" si="65"/>
        <v/>
      </c>
      <c r="BL321">
        <f t="shared" si="67"/>
        <v>0</v>
      </c>
      <c r="BN321">
        <v>3.2000000000000002E-3</v>
      </c>
      <c r="BS321" s="4" t="s">
        <v>2473</v>
      </c>
    </row>
    <row r="322" spans="1:71" ht="15.75" thickBot="1" x14ac:dyDescent="0.3">
      <c r="A322" s="569" t="s">
        <v>1124</v>
      </c>
      <c r="B322" s="569" t="s">
        <v>156</v>
      </c>
      <c r="C322" s="569" t="s">
        <v>6</v>
      </c>
      <c r="D322" s="574">
        <v>13</v>
      </c>
      <c r="E322" s="569"/>
      <c r="F322" s="569"/>
      <c r="G322" s="569"/>
      <c r="H322" s="569"/>
      <c r="I322" s="574">
        <v>0</v>
      </c>
      <c r="J322" s="574">
        <v>0</v>
      </c>
      <c r="K322" s="574">
        <v>0</v>
      </c>
      <c r="L322" s="574">
        <v>97.2</v>
      </c>
      <c r="M322" s="574">
        <v>8.4</v>
      </c>
      <c r="N322" s="574">
        <v>1273.8</v>
      </c>
      <c r="O322" s="574">
        <v>0.6</v>
      </c>
      <c r="P322" s="574">
        <v>0</v>
      </c>
      <c r="Q322" s="574">
        <v>3.2</v>
      </c>
      <c r="R322" s="569"/>
      <c r="S322" s="569"/>
      <c r="T322" s="569"/>
      <c r="U322" s="569"/>
      <c r="V322" s="569"/>
      <c r="W322" s="569"/>
      <c r="X322" s="569"/>
      <c r="Y322" s="569"/>
      <c r="Z322" s="569"/>
      <c r="AA322" s="569"/>
      <c r="AB322" s="569"/>
      <c r="AC322" s="569"/>
      <c r="AD322" s="569"/>
      <c r="AE322" s="569"/>
      <c r="AF322" s="569"/>
      <c r="AG322" s="569"/>
      <c r="AH322" s="569"/>
      <c r="AI322" s="569"/>
      <c r="AJ322" s="569"/>
      <c r="AK322" s="569"/>
      <c r="AL322" s="569"/>
      <c r="AM322" s="569"/>
      <c r="AN322" s="574">
        <v>177.2</v>
      </c>
      <c r="AO322">
        <v>321</v>
      </c>
      <c r="AP322" t="str">
        <f t="shared" si="66"/>
        <v/>
      </c>
      <c r="AQ322" t="str">
        <f t="shared" si="56"/>
        <v/>
      </c>
      <c r="AR322" s="430">
        <f>IFERROR(
IF(AP322="",-100,
IF($BV$2&gt;0, INDEX(Beersheet!$A:$U,MATCH(AP322,INDEX(Beersheet!$A:$U,0,FFARawStatProjections!$BV$2),0),$BV$3)+$BN322,
INDEX($A322:$BM322,,$BV$12)*$BW$12+
INDEX($A322:$BM322,,$BV$15)*$BW$15+
INDEX($A322:$BM322,,$BV$16)*$BW$16+
INDEX($A322:$BM322,,$BV$17)*$BW$17+
INDEX($A322:$BM322,,$BV$18)*$BW$18+
INDEX($A322:$BM322,,$BV$19)*$BW$19+
INDEX($A322:$BM322,,$BV$20)*$BW$20+
INDEX($A322:$BM322,,$BV$21)*$BW$21+
INDEX($A322:$BM322,,$BV$22)*$BW$22+
INDEX($A322:$BM322,,$BV$23)*$BW$23+
INDEX($A322:$BM322,,$BV$25)*$BW$25+
INDEX($A322:$BM322,,$BV$26)*$BW$26+
INDEX($A322:$BM322,,$BV$27)*$BW$27+
$BN322)),
$BN322-100)</f>
        <v>-100</v>
      </c>
      <c r="AT322" t="str">
        <f t="shared" si="57"/>
        <v/>
      </c>
      <c r="AU322" t="str">
        <f t="shared" si="58"/>
        <v/>
      </c>
      <c r="AV322" s="430">
        <f>IFERROR(
IF(AT322="",-100,
IF($BV$2&gt;0, INDEX(Beersheet!$A:$U,MATCH(AT322,INDEX(Beersheet!$A:$U,0,FFARawStatProjections!$BV$2),0),$BV$3)+$BN322,
INDEX($A322:$BM322,,$BV$12)*$BW$12+
INDEX($A322:$BM322,,$BV$15)*$BW$15+
INDEX($A322:$BM322,,$BV$16)*$BW$16+
INDEX($A322:$BM322,,$BV$17)*$BW$17+
INDEX($A322:$BM322,,$BV$18)*$BW$18+
INDEX($A322:$BM322,,$BV$19)*$BW$19+
INDEX($A322:$BM322,,$BV$20)*$BW$20+
INDEX($A322:$BM322,,$BV$21)*$BW$21+
INDEX($A322:$BM322,,$BV$22)*$BW$22+
INDEX($A322:$BM322,,$BV$23)*$BW$23+
INDEX($A322:$BM322,,$BV$25)*$BW$25+
INDEX($A322:$BM322,,$BV$26)*$BW$26+
INDEX($A322:$BM322,,$BV$27)*$BW$27+
$BN322)),
$BN322-100)</f>
        <v>-100</v>
      </c>
      <c r="AX322" t="str">
        <f t="shared" si="59"/>
        <v>Stefon Diggs</v>
      </c>
      <c r="AY322" t="str">
        <f t="shared" si="60"/>
        <v>BUF</v>
      </c>
      <c r="AZ322" s="430">
        <f>IFERROR(
IF(AX322="",-100,
IF($BV$2&gt;0, INDEX(Beersheet!$A:$U,MATCH(AX322,INDEX(Beersheet!$A:$U,0,FFARawStatProjections!$BV$2),0),$BV$3)+$BN322,
INDEX($A322:$BM322,,$BV$12)*$BW$12+
INDEX($A322:$BM322,,$BV$15)*$BW$15+
INDEX($A322:$BM322,,$BV$16)*$BW$16+
INDEX($A322:$BM322,,$BV$17)*$BW$17+
INDEX($A322:$BM322,,$BV$18)*$BW$18+
INDEX($A322:$BM322,,$BV$19)*$BW$19+
INDEX($A322:$BM322,,$BV$20)*$BW$20+
INDEX($A322:$BM322,,$BV$21)*$BW$21+
INDEX($A322:$BM322,,$BV$22)*$BW$22+
INDEX($A322:$BM322,,$BV$23)*$BW$23+
INDEX($A322:$BM322,,$BV$25)*$BW$25+
INDEX($A322:$BM322,,$BV$26)*$BW$26+
INDEX($A322:$BM322,,$BV$27)*$BW$27+
$BN322)),
$BN322-100)</f>
        <v>275.30321000000004</v>
      </c>
      <c r="BB322" t="str">
        <f t="shared" si="61"/>
        <v/>
      </c>
      <c r="BC322" t="str">
        <f t="shared" ref="BC322:BC385" si="68">IFERROR(IF(BB322="","",$B322),"")</f>
        <v/>
      </c>
      <c r="BD322" s="430">
        <f>IFERROR(
IF(BB322="",-100,
IF($BV$2&gt;0, INDEX(Beersheet!$A:$U,MATCH(BB322,INDEX(Beersheet!$A:$U,0,FFARawStatProjections!$BV$2),0),$BV$3)+$BN322,
INDEX($A322:$BM322,,$BV$12)*$BW$12+
INDEX($A322:$BM322,,$BV$15)*$BW$15+
INDEX($A322:$BM322,,$BV$16)*$BW$16+
INDEX($A322:$BM322,,$BV$17)*$BW$17+
INDEX($A322:$BM322,,$BV$18)*$BW$18+
INDEX($A322:$BM322,,$BV$19)*$BW$19+
INDEX($A322:$BM322,,$BV$20)*$BW$20+
INDEX($A322:$BM322,,$BV$21)*$BW$21+
INDEX($A322:$BM322,,$BV$22)*$BW$22+
INDEX($A322:$BM322,,$BV$23)*$BW$23+
INDEX($A322:$BM322,,$BV$25)*$BW$25+
INDEX($A322:$BM322,,$BV$26)*$BW$26+
INDEX($A322:$BM322,,$BV$27)*$BW$27+
$BN322)),
$BN322-100)</f>
        <v>-100</v>
      </c>
      <c r="BF322" t="str">
        <f t="shared" si="62"/>
        <v/>
      </c>
      <c r="BG322" t="str">
        <f t="shared" si="63"/>
        <v/>
      </c>
      <c r="BH322">
        <f t="shared" si="64"/>
        <v>0</v>
      </c>
      <c r="BJ322" t="str">
        <f t="shared" si="65"/>
        <v/>
      </c>
      <c r="BL322">
        <f t="shared" si="67"/>
        <v>0</v>
      </c>
      <c r="BN322">
        <v>3.2100000000000002E-3</v>
      </c>
      <c r="BS322" s="4" t="s">
        <v>2472</v>
      </c>
    </row>
    <row r="323" spans="1:71" ht="15.75" thickBot="1" x14ac:dyDescent="0.3">
      <c r="A323" s="569" t="s">
        <v>1861</v>
      </c>
      <c r="B323" s="569" t="s">
        <v>137</v>
      </c>
      <c r="C323" s="569" t="s">
        <v>6</v>
      </c>
      <c r="D323" s="574">
        <v>10</v>
      </c>
      <c r="E323" s="569"/>
      <c r="F323" s="569"/>
      <c r="G323" s="569"/>
      <c r="H323" s="569"/>
      <c r="I323" s="574">
        <v>0</v>
      </c>
      <c r="J323" s="574">
        <v>0</v>
      </c>
      <c r="K323" s="574">
        <v>0</v>
      </c>
      <c r="L323" s="574">
        <v>77.8</v>
      </c>
      <c r="M323" s="574">
        <v>8.3000000000000007</v>
      </c>
      <c r="N323" s="574">
        <v>1195</v>
      </c>
      <c r="O323" s="574">
        <v>0.3</v>
      </c>
      <c r="P323" s="574">
        <v>0</v>
      </c>
      <c r="Q323" s="574">
        <v>3.8</v>
      </c>
      <c r="R323" s="569"/>
      <c r="S323" s="569"/>
      <c r="T323" s="569"/>
      <c r="U323" s="569"/>
      <c r="V323" s="569"/>
      <c r="W323" s="569"/>
      <c r="X323" s="569"/>
      <c r="Y323" s="569"/>
      <c r="Z323" s="569"/>
      <c r="AA323" s="569"/>
      <c r="AB323" s="569"/>
      <c r="AC323" s="569"/>
      <c r="AD323" s="569"/>
      <c r="AE323" s="569"/>
      <c r="AF323" s="569"/>
      <c r="AG323" s="569"/>
      <c r="AH323" s="569"/>
      <c r="AI323" s="569"/>
      <c r="AJ323" s="569"/>
      <c r="AK323" s="569"/>
      <c r="AL323" s="569"/>
      <c r="AM323" s="569"/>
      <c r="AN323" s="574">
        <v>168.8</v>
      </c>
      <c r="AO323">
        <v>322</v>
      </c>
      <c r="AP323" t="str">
        <f t="shared" si="66"/>
        <v/>
      </c>
      <c r="AQ323" t="str">
        <f t="shared" ref="AQ323:AQ386" si="69">IFERROR(IF(AP323="","",$B323),"")</f>
        <v/>
      </c>
      <c r="AR323" s="430">
        <f>IFERROR(
IF(AP323="",-100,
IF($BV$2&gt;0, INDEX(Beersheet!$A:$U,MATCH(AP323,INDEX(Beersheet!$A:$U,0,FFARawStatProjections!$BV$2),0),$BV$3)+$BN323,
INDEX($A323:$BM323,,$BV$12)*$BW$12+
INDEX($A323:$BM323,,$BV$15)*$BW$15+
INDEX($A323:$BM323,,$BV$16)*$BW$16+
INDEX($A323:$BM323,,$BV$17)*$BW$17+
INDEX($A323:$BM323,,$BV$18)*$BW$18+
INDEX($A323:$BM323,,$BV$19)*$BW$19+
INDEX($A323:$BM323,,$BV$20)*$BW$20+
INDEX($A323:$BM323,,$BV$21)*$BW$21+
INDEX($A323:$BM323,,$BV$22)*$BW$22+
INDEX($A323:$BM323,,$BV$23)*$BW$23+
INDEX($A323:$BM323,,$BV$25)*$BW$25+
INDEX($A323:$BM323,,$BV$26)*$BW$26+
INDEX($A323:$BM323,,$BV$27)*$BW$27+
$BN323)),
$BN323-100)</f>
        <v>-100</v>
      </c>
      <c r="AT323" t="str">
        <f t="shared" ref="AT323:AT386" si="70">IF($C323 = "RB", $A323, "")</f>
        <v/>
      </c>
      <c r="AU323" t="str">
        <f t="shared" ref="AU323:AU386" si="71">IFERROR(IF(AT323="","",$B323),"")</f>
        <v/>
      </c>
      <c r="AV323" s="430">
        <f>IFERROR(
IF(AT323="",-100,
IF($BV$2&gt;0, INDEX(Beersheet!$A:$U,MATCH(AT323,INDEX(Beersheet!$A:$U,0,FFARawStatProjections!$BV$2),0),$BV$3)+$BN323,
INDEX($A323:$BM323,,$BV$12)*$BW$12+
INDEX($A323:$BM323,,$BV$15)*$BW$15+
INDEX($A323:$BM323,,$BV$16)*$BW$16+
INDEX($A323:$BM323,,$BV$17)*$BW$17+
INDEX($A323:$BM323,,$BV$18)*$BW$18+
INDEX($A323:$BM323,,$BV$19)*$BW$19+
INDEX($A323:$BM323,,$BV$20)*$BW$20+
INDEX($A323:$BM323,,$BV$21)*$BW$21+
INDEX($A323:$BM323,,$BV$22)*$BW$22+
INDEX($A323:$BM323,,$BV$23)*$BW$23+
INDEX($A323:$BM323,,$BV$25)*$BW$25+
INDEX($A323:$BM323,,$BV$26)*$BW$26+
INDEX($A323:$BM323,,$BV$27)*$BW$27+
$BN323)),
$BN323-100)</f>
        <v>-100</v>
      </c>
      <c r="AX323" t="str">
        <f t="shared" ref="AX323:AX386" si="72">IF($C323 = "WR", $A323, "")</f>
        <v>AJ Brown</v>
      </c>
      <c r="AY323" t="str">
        <f t="shared" ref="AY323:AY386" si="73">IFERROR(IF(AX323="","",$B323),"")</f>
        <v>PHI</v>
      </c>
      <c r="AZ323" s="430">
        <f>IFERROR(
IF(AX323="",-100,
IF($BV$2&gt;0, INDEX(Beersheet!$A:$U,MATCH(AX323,INDEX(Beersheet!$A:$U,0,FFARawStatProjections!$BV$2),0),$BV$3)+$BN323,
INDEX($A323:$BM323,,$BV$12)*$BW$12+
INDEX($A323:$BM323,,$BV$15)*$BW$15+
INDEX($A323:$BM323,,$BV$16)*$BW$16+
INDEX($A323:$BM323,,$BV$17)*$BW$17+
INDEX($A323:$BM323,,$BV$18)*$BW$18+
INDEX($A323:$BM323,,$BV$19)*$BW$19+
INDEX($A323:$BM323,,$BV$20)*$BW$20+
INDEX($A323:$BM323,,$BV$21)*$BW$21+
INDEX($A323:$BM323,,$BV$22)*$BW$22+
INDEX($A323:$BM323,,$BV$23)*$BW$23+
INDEX($A323:$BM323,,$BV$25)*$BW$25+
INDEX($A323:$BM323,,$BV$26)*$BW$26+
INDEX($A323:$BM323,,$BV$27)*$BW$27+
$BN323)),
$BN323-100)</f>
        <v>247.48321999999999</v>
      </c>
      <c r="BB323" t="str">
        <f t="shared" ref="BB323:BB386" si="74">IF($C323 = "TE", $A323, "")</f>
        <v/>
      </c>
      <c r="BC323" t="str">
        <f t="shared" si="68"/>
        <v/>
      </c>
      <c r="BD323" s="430">
        <f>IFERROR(
IF(BB323="",-100,
IF($BV$2&gt;0, INDEX(Beersheet!$A:$U,MATCH(BB323,INDEX(Beersheet!$A:$U,0,FFARawStatProjections!$BV$2),0),$BV$3)+$BN323,
INDEX($A323:$BM323,,$BV$12)*$BW$12+
INDEX($A323:$BM323,,$BV$15)*$BW$15+
INDEX($A323:$BM323,,$BV$16)*$BW$16+
INDEX($A323:$BM323,,$BV$17)*$BW$17+
INDEX($A323:$BM323,,$BV$18)*$BW$18+
INDEX($A323:$BM323,,$BV$19)*$BW$19+
INDEX($A323:$BM323,,$BV$20)*$BW$20+
INDEX($A323:$BM323,,$BV$21)*$BW$21+
INDEX($A323:$BM323,,$BV$22)*$BW$22+
INDEX($A323:$BM323,,$BV$23)*$BW$23+
INDEX($A323:$BM323,,$BV$25)*$BW$25+
INDEX($A323:$BM323,,$BV$26)*$BW$26+
INDEX($A323:$BM323,,$BV$27)*$BW$27+
$BN323)),
$BN323-100)</f>
        <v>-100</v>
      </c>
      <c r="BF323" t="str">
        <f t="shared" ref="BF323:BF386" si="75">IF($C323 = "K", $A323, "")</f>
        <v/>
      </c>
      <c r="BG323" t="str">
        <f t="shared" ref="BG323:BG386" si="76">IFERROR(IF(BF323="","",$B323),"")</f>
        <v/>
      </c>
      <c r="BH323">
        <f t="shared" ref="BH323:BH386" si="77">IFERROR(IF(BF323="",0,
AF323*3
+AG323*3
+AH323*3
+AI323*4
+AJ323*5
+BN323+AN323),"")</f>
        <v>0</v>
      </c>
      <c r="BJ323" t="str">
        <f t="shared" ref="BJ323:BJ386" si="78">IF($C323 = "DST", $A323, "")</f>
        <v/>
      </c>
      <c r="BL323">
        <f t="shared" si="67"/>
        <v>0</v>
      </c>
      <c r="BN323">
        <v>3.2200000000000002E-3</v>
      </c>
      <c r="BS323" s="4" t="s">
        <v>1446</v>
      </c>
    </row>
    <row r="324" spans="1:71" ht="15.75" thickBot="1" x14ac:dyDescent="0.3">
      <c r="A324" s="569" t="s">
        <v>2202</v>
      </c>
      <c r="B324" s="569" t="s">
        <v>142</v>
      </c>
      <c r="C324" s="569" t="s">
        <v>6</v>
      </c>
      <c r="D324" s="574">
        <v>9</v>
      </c>
      <c r="E324" s="569"/>
      <c r="F324" s="569"/>
      <c r="G324" s="569"/>
      <c r="H324" s="569"/>
      <c r="I324" s="574">
        <v>0</v>
      </c>
      <c r="J324" s="574">
        <v>0</v>
      </c>
      <c r="K324" s="574">
        <v>0</v>
      </c>
      <c r="L324" s="574">
        <v>101</v>
      </c>
      <c r="M324" s="574">
        <v>5.8</v>
      </c>
      <c r="N324" s="574">
        <v>1144.0999999999999</v>
      </c>
      <c r="O324" s="574">
        <v>8.1</v>
      </c>
      <c r="P324" s="574">
        <v>0.5</v>
      </c>
      <c r="Q324" s="574">
        <v>63</v>
      </c>
      <c r="R324" s="569"/>
      <c r="S324" s="569"/>
      <c r="T324" s="569"/>
      <c r="U324" s="569"/>
      <c r="V324" s="569"/>
      <c r="W324" s="569"/>
      <c r="X324" s="569"/>
      <c r="Y324" s="569"/>
      <c r="Z324" s="569"/>
      <c r="AA324" s="569"/>
      <c r="AB324" s="569"/>
      <c r="AC324" s="569"/>
      <c r="AD324" s="569"/>
      <c r="AE324" s="569"/>
      <c r="AF324" s="569"/>
      <c r="AG324" s="569"/>
      <c r="AH324" s="569"/>
      <c r="AI324" s="569"/>
      <c r="AJ324" s="569"/>
      <c r="AK324" s="569"/>
      <c r="AL324" s="569"/>
      <c r="AM324" s="569"/>
      <c r="AN324" s="574">
        <v>157.80000000000001</v>
      </c>
      <c r="AO324">
        <v>323</v>
      </c>
      <c r="AP324" t="str">
        <f t="shared" si="66"/>
        <v/>
      </c>
      <c r="AQ324" t="str">
        <f t="shared" si="69"/>
        <v/>
      </c>
      <c r="AR324" s="430">
        <f>IFERROR(
IF(AP324="",-100,
IF($BV$2&gt;0, INDEX(Beersheet!$A:$U,MATCH(AP324,INDEX(Beersheet!$A:$U,0,FFARawStatProjections!$BV$2),0),$BV$3)+$BN324,
INDEX($A324:$BM324,,$BV$12)*$BW$12+
INDEX($A324:$BM324,,$BV$15)*$BW$15+
INDEX($A324:$BM324,,$BV$16)*$BW$16+
INDEX($A324:$BM324,,$BV$17)*$BW$17+
INDEX($A324:$BM324,,$BV$18)*$BW$18+
INDEX($A324:$BM324,,$BV$19)*$BW$19+
INDEX($A324:$BM324,,$BV$20)*$BW$20+
INDEX($A324:$BM324,,$BV$21)*$BW$21+
INDEX($A324:$BM324,,$BV$22)*$BW$22+
INDEX($A324:$BM324,,$BV$23)*$BW$23+
INDEX($A324:$BM324,,$BV$25)*$BW$25+
INDEX($A324:$BM324,,$BV$26)*$BW$26+
INDEX($A324:$BM324,,$BV$27)*$BW$27+
$BN324)),
$BN324-100)</f>
        <v>-100</v>
      </c>
      <c r="AT324" t="str">
        <f t="shared" si="70"/>
        <v/>
      </c>
      <c r="AU324" t="str">
        <f t="shared" si="71"/>
        <v/>
      </c>
      <c r="AV324" s="430">
        <f>IFERROR(
IF(AT324="",-100,
IF($BV$2&gt;0, INDEX(Beersheet!$A:$U,MATCH(AT324,INDEX(Beersheet!$A:$U,0,FFARawStatProjections!$BV$2),0),$BV$3)+$BN324,
INDEX($A324:$BM324,,$BV$12)*$BW$12+
INDEX($A324:$BM324,,$BV$15)*$BW$15+
INDEX($A324:$BM324,,$BV$16)*$BW$16+
INDEX($A324:$BM324,,$BV$17)*$BW$17+
INDEX($A324:$BM324,,$BV$18)*$BW$18+
INDEX($A324:$BM324,,$BV$19)*$BW$19+
INDEX($A324:$BM324,,$BV$20)*$BW$20+
INDEX($A324:$BM324,,$BV$21)*$BW$21+
INDEX($A324:$BM324,,$BV$22)*$BW$22+
INDEX($A324:$BM324,,$BV$23)*$BW$23+
INDEX($A324:$BM324,,$BV$25)*$BW$25+
INDEX($A324:$BM324,,$BV$26)*$BW$26+
INDEX($A324:$BM324,,$BV$27)*$BW$27+
$BN324)),
$BN324-100)</f>
        <v>-100</v>
      </c>
      <c r="AX324" t="str">
        <f t="shared" si="72"/>
        <v>Amon-Ra St Brown</v>
      </c>
      <c r="AY324" t="str">
        <f t="shared" si="73"/>
        <v>DET</v>
      </c>
      <c r="AZ324" s="430">
        <f>IFERROR(
IF(AX324="",-100,
IF($BV$2&gt;0, INDEX(Beersheet!$A:$U,MATCH(AX324,INDEX(Beersheet!$A:$U,0,FFARawStatProjections!$BV$2),0),$BV$3)+$BN324,
INDEX($A324:$BM324,,$BV$12)*$BW$12+
INDEX($A324:$BM324,,$BV$15)*$BW$15+
INDEX($A324:$BM324,,$BV$16)*$BW$16+
INDEX($A324:$BM324,,$BV$17)*$BW$17+
INDEX($A324:$BM324,,$BV$18)*$BW$18+
INDEX($A324:$BM324,,$BV$19)*$BW$19+
INDEX($A324:$BM324,,$BV$20)*$BW$20+
INDEX($A324:$BM324,,$BV$21)*$BW$21+
INDEX($A324:$BM324,,$BV$22)*$BW$22+
INDEX($A324:$BM324,,$BV$23)*$BW$23+
INDEX($A324:$BM324,,$BV$25)*$BW$25+
INDEX($A324:$BM324,,$BV$26)*$BW$26+
INDEX($A324:$BM324,,$BV$27)*$BW$27+
$BN324)),
$BN324-100)</f>
        <v>259.51322999999996</v>
      </c>
      <c r="BB324" t="str">
        <f t="shared" si="74"/>
        <v/>
      </c>
      <c r="BC324" t="str">
        <f t="shared" si="68"/>
        <v/>
      </c>
      <c r="BD324" s="430">
        <f>IFERROR(
IF(BB324="",-100,
IF($BV$2&gt;0, INDEX(Beersheet!$A:$U,MATCH(BB324,INDEX(Beersheet!$A:$U,0,FFARawStatProjections!$BV$2),0),$BV$3)+$BN324,
INDEX($A324:$BM324,,$BV$12)*$BW$12+
INDEX($A324:$BM324,,$BV$15)*$BW$15+
INDEX($A324:$BM324,,$BV$16)*$BW$16+
INDEX($A324:$BM324,,$BV$17)*$BW$17+
INDEX($A324:$BM324,,$BV$18)*$BW$18+
INDEX($A324:$BM324,,$BV$19)*$BW$19+
INDEX($A324:$BM324,,$BV$20)*$BW$20+
INDEX($A324:$BM324,,$BV$21)*$BW$21+
INDEX($A324:$BM324,,$BV$22)*$BW$22+
INDEX($A324:$BM324,,$BV$23)*$BW$23+
INDEX($A324:$BM324,,$BV$25)*$BW$25+
INDEX($A324:$BM324,,$BV$26)*$BW$26+
INDEX($A324:$BM324,,$BV$27)*$BW$27+
$BN324)),
$BN324-100)</f>
        <v>-100</v>
      </c>
      <c r="BF324" t="str">
        <f t="shared" si="75"/>
        <v/>
      </c>
      <c r="BG324" t="str">
        <f t="shared" si="76"/>
        <v/>
      </c>
      <c r="BH324">
        <f t="shared" si="77"/>
        <v>0</v>
      </c>
      <c r="BJ324" t="str">
        <f t="shared" si="78"/>
        <v/>
      </c>
      <c r="BL324">
        <f t="shared" si="67"/>
        <v>0</v>
      </c>
      <c r="BN324">
        <v>3.2299999999999998E-3</v>
      </c>
      <c r="BS324" s="4" t="s">
        <v>2212</v>
      </c>
    </row>
    <row r="325" spans="1:71" ht="15.75" thickBot="1" x14ac:dyDescent="0.3">
      <c r="A325" s="569" t="s">
        <v>2197</v>
      </c>
      <c r="B325" s="569" t="s">
        <v>166</v>
      </c>
      <c r="C325" s="569" t="s">
        <v>6</v>
      </c>
      <c r="D325" s="574">
        <v>10</v>
      </c>
      <c r="E325" s="569"/>
      <c r="F325" s="569"/>
      <c r="G325" s="569"/>
      <c r="H325" s="569"/>
      <c r="I325" s="574">
        <v>0</v>
      </c>
      <c r="J325" s="574">
        <v>0</v>
      </c>
      <c r="K325" s="574">
        <v>0</v>
      </c>
      <c r="L325" s="574">
        <v>79.599999999999994</v>
      </c>
      <c r="M325" s="574">
        <v>6.4</v>
      </c>
      <c r="N325" s="574">
        <v>1155.5</v>
      </c>
      <c r="O325" s="574">
        <v>4.0999999999999996</v>
      </c>
      <c r="P325" s="574">
        <v>0.3</v>
      </c>
      <c r="Q325" s="574">
        <v>34</v>
      </c>
      <c r="R325" s="569"/>
      <c r="S325" s="569"/>
      <c r="T325" s="569"/>
      <c r="U325" s="569"/>
      <c r="V325" s="569"/>
      <c r="W325" s="569"/>
      <c r="X325" s="569"/>
      <c r="Y325" s="569"/>
      <c r="Z325" s="569"/>
      <c r="AA325" s="569"/>
      <c r="AB325" s="569"/>
      <c r="AC325" s="569"/>
      <c r="AD325" s="569"/>
      <c r="AE325" s="569"/>
      <c r="AF325" s="569"/>
      <c r="AG325" s="569"/>
      <c r="AH325" s="569"/>
      <c r="AI325" s="569"/>
      <c r="AJ325" s="569"/>
      <c r="AK325" s="569"/>
      <c r="AL325" s="569"/>
      <c r="AM325" s="569"/>
      <c r="AN325" s="574">
        <v>157.6</v>
      </c>
      <c r="AO325">
        <v>324</v>
      </c>
      <c r="AP325" t="str">
        <f t="shared" si="66"/>
        <v/>
      </c>
      <c r="AQ325" t="str">
        <f t="shared" si="69"/>
        <v/>
      </c>
      <c r="AR325" s="430">
        <f>IFERROR(
IF(AP325="",-100,
IF($BV$2&gt;0, INDEX(Beersheet!$A:$U,MATCH(AP325,INDEX(Beersheet!$A:$U,0,FFARawStatProjections!$BV$2),0),$BV$3)+$BN325,
INDEX($A325:$BM325,,$BV$12)*$BW$12+
INDEX($A325:$BM325,,$BV$15)*$BW$15+
INDEX($A325:$BM325,,$BV$16)*$BW$16+
INDEX($A325:$BM325,,$BV$17)*$BW$17+
INDEX($A325:$BM325,,$BV$18)*$BW$18+
INDEX($A325:$BM325,,$BV$19)*$BW$19+
INDEX($A325:$BM325,,$BV$20)*$BW$20+
INDEX($A325:$BM325,,$BV$21)*$BW$21+
INDEX($A325:$BM325,,$BV$22)*$BW$22+
INDEX($A325:$BM325,,$BV$23)*$BW$23+
INDEX($A325:$BM325,,$BV$25)*$BW$25+
INDEX($A325:$BM325,,$BV$26)*$BW$26+
INDEX($A325:$BM325,,$BV$27)*$BW$27+
$BN325)),
$BN325-100)</f>
        <v>-100</v>
      </c>
      <c r="AT325" t="str">
        <f t="shared" si="70"/>
        <v/>
      </c>
      <c r="AU325" t="str">
        <f t="shared" si="71"/>
        <v/>
      </c>
      <c r="AV325" s="430">
        <f>IFERROR(
IF(AT325="",-100,
IF($BV$2&gt;0, INDEX(Beersheet!$A:$U,MATCH(AT325,INDEX(Beersheet!$A:$U,0,FFARawStatProjections!$BV$2),0),$BV$3)+$BN325,
INDEX($A325:$BM325,,$BV$12)*$BW$12+
INDEX($A325:$BM325,,$BV$15)*$BW$15+
INDEX($A325:$BM325,,$BV$16)*$BW$16+
INDEX($A325:$BM325,,$BV$17)*$BW$17+
INDEX($A325:$BM325,,$BV$18)*$BW$18+
INDEX($A325:$BM325,,$BV$19)*$BW$19+
INDEX($A325:$BM325,,$BV$20)*$BW$20+
INDEX($A325:$BM325,,$BV$21)*$BW$21+
INDEX($A325:$BM325,,$BV$22)*$BW$22+
INDEX($A325:$BM325,,$BV$23)*$BW$23+
INDEX($A325:$BM325,,$BV$25)*$BW$25+
INDEX($A325:$BM325,,$BV$26)*$BW$26+
INDEX($A325:$BM325,,$BV$27)*$BW$27+
$BN325)),
$BN325-100)</f>
        <v>-100</v>
      </c>
      <c r="AX325" t="str">
        <f t="shared" si="72"/>
        <v>Jaylen Waddle</v>
      </c>
      <c r="AY325" t="str">
        <f t="shared" si="73"/>
        <v>MIA</v>
      </c>
      <c r="AZ325" s="430">
        <f>IFERROR(
IF(AX325="",-100,
IF($BV$2&gt;0, INDEX(Beersheet!$A:$U,MATCH(AX325,INDEX(Beersheet!$A:$U,0,FFARawStatProjections!$BV$2),0),$BV$3)+$BN325,
INDEX($A325:$BM325,,$BV$12)*$BW$12+
INDEX($A325:$BM325,,$BV$15)*$BW$15+
INDEX($A325:$BM325,,$BV$16)*$BW$16+
INDEX($A325:$BM325,,$BV$17)*$BW$17+
INDEX($A325:$BM325,,$BV$18)*$BW$18+
INDEX($A325:$BM325,,$BV$19)*$BW$19+
INDEX($A325:$BM325,,$BV$20)*$BW$20+
INDEX($A325:$BM325,,$BV$21)*$BW$21+
INDEX($A325:$BM325,,$BV$22)*$BW$22+
INDEX($A325:$BM325,,$BV$23)*$BW$23+
INDEX($A325:$BM325,,$BV$25)*$BW$25+
INDEX($A325:$BM325,,$BV$26)*$BW$26+
INDEX($A325:$BM325,,$BV$27)*$BW$27+
$BN325)),
$BN325-100)</f>
        <v>238.75324000000003</v>
      </c>
      <c r="BB325" t="str">
        <f t="shared" si="74"/>
        <v/>
      </c>
      <c r="BC325" t="str">
        <f t="shared" si="68"/>
        <v/>
      </c>
      <c r="BD325" s="430">
        <f>IFERROR(
IF(BB325="",-100,
IF($BV$2&gt;0, INDEX(Beersheet!$A:$U,MATCH(BB325,INDEX(Beersheet!$A:$U,0,FFARawStatProjections!$BV$2),0),$BV$3)+$BN325,
INDEX($A325:$BM325,,$BV$12)*$BW$12+
INDEX($A325:$BM325,,$BV$15)*$BW$15+
INDEX($A325:$BM325,,$BV$16)*$BW$16+
INDEX($A325:$BM325,,$BV$17)*$BW$17+
INDEX($A325:$BM325,,$BV$18)*$BW$18+
INDEX($A325:$BM325,,$BV$19)*$BW$19+
INDEX($A325:$BM325,,$BV$20)*$BW$20+
INDEX($A325:$BM325,,$BV$21)*$BW$21+
INDEX($A325:$BM325,,$BV$22)*$BW$22+
INDEX($A325:$BM325,,$BV$23)*$BW$23+
INDEX($A325:$BM325,,$BV$25)*$BW$25+
INDEX($A325:$BM325,,$BV$26)*$BW$26+
INDEX($A325:$BM325,,$BV$27)*$BW$27+
$BN325)),
$BN325-100)</f>
        <v>-100</v>
      </c>
      <c r="BF325" t="str">
        <f t="shared" si="75"/>
        <v/>
      </c>
      <c r="BG325" t="str">
        <f t="shared" si="76"/>
        <v/>
      </c>
      <c r="BH325">
        <f t="shared" si="77"/>
        <v>0</v>
      </c>
      <c r="BJ325" t="str">
        <f t="shared" si="78"/>
        <v/>
      </c>
      <c r="BL325">
        <f t="shared" si="67"/>
        <v>0</v>
      </c>
      <c r="BN325">
        <v>3.2399999999999998E-3</v>
      </c>
      <c r="BS325" s="4" t="s">
        <v>2195</v>
      </c>
    </row>
    <row r="326" spans="1:71" ht="15.75" thickBot="1" x14ac:dyDescent="0.3">
      <c r="A326" s="569" t="s">
        <v>2319</v>
      </c>
      <c r="B326" s="569" t="s">
        <v>164</v>
      </c>
      <c r="C326" s="569" t="s">
        <v>6</v>
      </c>
      <c r="D326" s="574">
        <v>7</v>
      </c>
      <c r="E326" s="569"/>
      <c r="F326" s="569"/>
      <c r="G326" s="569"/>
      <c r="H326" s="569"/>
      <c r="I326" s="574">
        <v>0</v>
      </c>
      <c r="J326" s="574">
        <v>0</v>
      </c>
      <c r="K326" s="574">
        <v>0</v>
      </c>
      <c r="L326" s="574">
        <v>83.5</v>
      </c>
      <c r="M326" s="574">
        <v>6.4</v>
      </c>
      <c r="N326" s="574">
        <v>1132.5999999999999</v>
      </c>
      <c r="O326" s="574">
        <v>2.4</v>
      </c>
      <c r="P326" s="574">
        <v>0</v>
      </c>
      <c r="Q326" s="574">
        <v>6.3</v>
      </c>
      <c r="R326" s="569"/>
      <c r="S326" s="569"/>
      <c r="T326" s="569"/>
      <c r="U326" s="569"/>
      <c r="V326" s="569"/>
      <c r="W326" s="569"/>
      <c r="X326" s="569"/>
      <c r="Y326" s="569"/>
      <c r="Z326" s="569"/>
      <c r="AA326" s="569"/>
      <c r="AB326" s="569"/>
      <c r="AC326" s="569"/>
      <c r="AD326" s="569"/>
      <c r="AE326" s="569"/>
      <c r="AF326" s="569"/>
      <c r="AG326" s="569"/>
      <c r="AH326" s="569"/>
      <c r="AI326" s="569"/>
      <c r="AJ326" s="569"/>
      <c r="AK326" s="569"/>
      <c r="AL326" s="569"/>
      <c r="AM326" s="569"/>
      <c r="AN326" s="574">
        <v>150.9</v>
      </c>
      <c r="AO326">
        <v>325</v>
      </c>
      <c r="AP326" t="str">
        <f t="shared" si="66"/>
        <v/>
      </c>
      <c r="AQ326" t="str">
        <f t="shared" si="69"/>
        <v/>
      </c>
      <c r="AR326" s="430">
        <f>IFERROR(
IF(AP326="",-100,
IF($BV$2&gt;0, INDEX(Beersheet!$A:$U,MATCH(AP326,INDEX(Beersheet!$A:$U,0,FFARawStatProjections!$BV$2),0),$BV$3)+$BN326,
INDEX($A326:$BM326,,$BV$12)*$BW$12+
INDEX($A326:$BM326,,$BV$15)*$BW$15+
INDEX($A326:$BM326,,$BV$16)*$BW$16+
INDEX($A326:$BM326,,$BV$17)*$BW$17+
INDEX($A326:$BM326,,$BV$18)*$BW$18+
INDEX($A326:$BM326,,$BV$19)*$BW$19+
INDEX($A326:$BM326,,$BV$20)*$BW$20+
INDEX($A326:$BM326,,$BV$21)*$BW$21+
INDEX($A326:$BM326,,$BV$22)*$BW$22+
INDEX($A326:$BM326,,$BV$23)*$BW$23+
INDEX($A326:$BM326,,$BV$25)*$BW$25+
INDEX($A326:$BM326,,$BV$26)*$BW$26+
INDEX($A326:$BM326,,$BV$27)*$BW$27+
$BN326)),
$BN326-100)</f>
        <v>-100</v>
      </c>
      <c r="AT326" t="str">
        <f t="shared" si="70"/>
        <v/>
      </c>
      <c r="AU326" t="str">
        <f t="shared" si="71"/>
        <v/>
      </c>
      <c r="AV326" s="430">
        <f>IFERROR(
IF(AT326="",-100,
IF($BV$2&gt;0, INDEX(Beersheet!$A:$U,MATCH(AT326,INDEX(Beersheet!$A:$U,0,FFARawStatProjections!$BV$2),0),$BV$3)+$BN326,
INDEX($A326:$BM326,,$BV$12)*$BW$12+
INDEX($A326:$BM326,,$BV$15)*$BW$15+
INDEX($A326:$BM326,,$BV$16)*$BW$16+
INDEX($A326:$BM326,,$BV$17)*$BW$17+
INDEX($A326:$BM326,,$BV$18)*$BW$18+
INDEX($A326:$BM326,,$BV$19)*$BW$19+
INDEX($A326:$BM326,,$BV$20)*$BW$20+
INDEX($A326:$BM326,,$BV$21)*$BW$21+
INDEX($A326:$BM326,,$BV$22)*$BW$22+
INDEX($A326:$BM326,,$BV$23)*$BW$23+
INDEX($A326:$BM326,,$BV$25)*$BW$25+
INDEX($A326:$BM326,,$BV$26)*$BW$26+
INDEX($A326:$BM326,,$BV$27)*$BW$27+
$BN326)),
$BN326-100)</f>
        <v>-100</v>
      </c>
      <c r="AX326" t="str">
        <f t="shared" si="72"/>
        <v>Garrett Wilson</v>
      </c>
      <c r="AY326" t="str">
        <f t="shared" si="73"/>
        <v>NYJ</v>
      </c>
      <c r="AZ326" s="430">
        <f>IFERROR(
IF(AX326="",-100,
IF($BV$2&gt;0, INDEX(Beersheet!$A:$U,MATCH(AX326,INDEX(Beersheet!$A:$U,0,FFARawStatProjections!$BV$2),0),$BV$3)+$BN326,
INDEX($A326:$BM326,,$BV$12)*$BW$12+
INDEX($A326:$BM326,,$BV$15)*$BW$15+
INDEX($A326:$BM326,,$BV$16)*$BW$16+
INDEX($A326:$BM326,,$BV$17)*$BW$17+
INDEX($A326:$BM326,,$BV$18)*$BW$18+
INDEX($A326:$BM326,,$BV$19)*$BW$19+
INDEX($A326:$BM326,,$BV$20)*$BW$20+
INDEX($A326:$BM326,,$BV$21)*$BW$21+
INDEX($A326:$BM326,,$BV$22)*$BW$22+
INDEX($A326:$BM326,,$BV$23)*$BW$23+
INDEX($A326:$BM326,,$BV$25)*$BW$25+
INDEX($A326:$BM326,,$BV$26)*$BW$26+
INDEX($A326:$BM326,,$BV$27)*$BW$27+
$BN326)),
$BN326-100)</f>
        <v>235.79325</v>
      </c>
      <c r="BB326" t="str">
        <f t="shared" si="74"/>
        <v/>
      </c>
      <c r="BC326" t="str">
        <f t="shared" si="68"/>
        <v/>
      </c>
      <c r="BD326" s="430">
        <f>IFERROR(
IF(BB326="",-100,
IF($BV$2&gt;0, INDEX(Beersheet!$A:$U,MATCH(BB326,INDEX(Beersheet!$A:$U,0,FFARawStatProjections!$BV$2),0),$BV$3)+$BN326,
INDEX($A326:$BM326,,$BV$12)*$BW$12+
INDEX($A326:$BM326,,$BV$15)*$BW$15+
INDEX($A326:$BM326,,$BV$16)*$BW$16+
INDEX($A326:$BM326,,$BV$17)*$BW$17+
INDEX($A326:$BM326,,$BV$18)*$BW$18+
INDEX($A326:$BM326,,$BV$19)*$BW$19+
INDEX($A326:$BM326,,$BV$20)*$BW$20+
INDEX($A326:$BM326,,$BV$21)*$BW$21+
INDEX($A326:$BM326,,$BV$22)*$BW$22+
INDEX($A326:$BM326,,$BV$23)*$BW$23+
INDEX($A326:$BM326,,$BV$25)*$BW$25+
INDEX($A326:$BM326,,$BV$26)*$BW$26+
INDEX($A326:$BM326,,$BV$27)*$BW$27+
$BN326)),
$BN326-100)</f>
        <v>-100</v>
      </c>
      <c r="BF326" t="str">
        <f t="shared" si="75"/>
        <v/>
      </c>
      <c r="BG326" t="str">
        <f t="shared" si="76"/>
        <v/>
      </c>
      <c r="BH326">
        <f t="shared" si="77"/>
        <v>0</v>
      </c>
      <c r="BJ326" t="str">
        <f t="shared" si="78"/>
        <v/>
      </c>
      <c r="BL326">
        <f t="shared" si="67"/>
        <v>0</v>
      </c>
      <c r="BN326">
        <v>3.2499999999999999E-3</v>
      </c>
      <c r="BS326" s="4" t="s">
        <v>1131</v>
      </c>
    </row>
    <row r="327" spans="1:71" ht="15.75" thickBot="1" x14ac:dyDescent="0.3">
      <c r="A327" s="569" t="s">
        <v>1865</v>
      </c>
      <c r="B327" s="569" t="s">
        <v>155</v>
      </c>
      <c r="C327" s="569" t="s">
        <v>6</v>
      </c>
      <c r="D327" s="574">
        <v>9</v>
      </c>
      <c r="E327" s="569"/>
      <c r="F327" s="569"/>
      <c r="G327" s="569"/>
      <c r="H327" s="569"/>
      <c r="I327" s="574">
        <v>0</v>
      </c>
      <c r="J327" s="574">
        <v>0</v>
      </c>
      <c r="K327" s="574">
        <v>0</v>
      </c>
      <c r="L327" s="574">
        <v>68.900000000000006</v>
      </c>
      <c r="M327" s="574">
        <v>4.0999999999999996</v>
      </c>
      <c r="N327" s="574">
        <v>892.5</v>
      </c>
      <c r="O327" s="574">
        <v>42.3</v>
      </c>
      <c r="P327" s="574">
        <v>2.4</v>
      </c>
      <c r="Q327" s="574">
        <v>252.4</v>
      </c>
      <c r="R327" s="569"/>
      <c r="S327" s="569"/>
      <c r="T327" s="569"/>
      <c r="U327" s="569"/>
      <c r="V327" s="569"/>
      <c r="W327" s="569"/>
      <c r="X327" s="569"/>
      <c r="Y327" s="569"/>
      <c r="Z327" s="569"/>
      <c r="AA327" s="569"/>
      <c r="AB327" s="569"/>
      <c r="AC327" s="569"/>
      <c r="AD327" s="569"/>
      <c r="AE327" s="569"/>
      <c r="AF327" s="569"/>
      <c r="AG327" s="569"/>
      <c r="AH327" s="569"/>
      <c r="AI327" s="569"/>
      <c r="AJ327" s="569"/>
      <c r="AK327" s="569"/>
      <c r="AL327" s="569"/>
      <c r="AM327" s="569"/>
      <c r="AN327" s="574">
        <v>150.6</v>
      </c>
      <c r="AO327">
        <v>326</v>
      </c>
      <c r="AP327" t="str">
        <f t="shared" si="66"/>
        <v/>
      </c>
      <c r="AQ327" t="str">
        <f t="shared" si="69"/>
        <v/>
      </c>
      <c r="AR327" s="430">
        <f>IFERROR(
IF(AP327="",-100,
IF($BV$2&gt;0, INDEX(Beersheet!$A:$U,MATCH(AP327,INDEX(Beersheet!$A:$U,0,FFARawStatProjections!$BV$2),0),$BV$3)+$BN327,
INDEX($A327:$BM327,,$BV$12)*$BW$12+
INDEX($A327:$BM327,,$BV$15)*$BW$15+
INDEX($A327:$BM327,,$BV$16)*$BW$16+
INDEX($A327:$BM327,,$BV$17)*$BW$17+
INDEX($A327:$BM327,,$BV$18)*$BW$18+
INDEX($A327:$BM327,,$BV$19)*$BW$19+
INDEX($A327:$BM327,,$BV$20)*$BW$20+
INDEX($A327:$BM327,,$BV$21)*$BW$21+
INDEX($A327:$BM327,,$BV$22)*$BW$22+
INDEX($A327:$BM327,,$BV$23)*$BW$23+
INDEX($A327:$BM327,,$BV$25)*$BW$25+
INDEX($A327:$BM327,,$BV$26)*$BW$26+
INDEX($A327:$BM327,,$BV$27)*$BW$27+
$BN327)),
$BN327-100)</f>
        <v>-100</v>
      </c>
      <c r="AT327" t="str">
        <f t="shared" si="70"/>
        <v/>
      </c>
      <c r="AU327" t="str">
        <f t="shared" si="71"/>
        <v/>
      </c>
      <c r="AV327" s="430">
        <f>IFERROR(
IF(AT327="",-100,
IF($BV$2&gt;0, INDEX(Beersheet!$A:$U,MATCH(AT327,INDEX(Beersheet!$A:$U,0,FFARawStatProjections!$BV$2),0),$BV$3)+$BN327,
INDEX($A327:$BM327,,$BV$12)*$BW$12+
INDEX($A327:$BM327,,$BV$15)*$BW$15+
INDEX($A327:$BM327,,$BV$16)*$BW$16+
INDEX($A327:$BM327,,$BV$17)*$BW$17+
INDEX($A327:$BM327,,$BV$18)*$BW$18+
INDEX($A327:$BM327,,$BV$19)*$BW$19+
INDEX($A327:$BM327,,$BV$20)*$BW$20+
INDEX($A327:$BM327,,$BV$21)*$BW$21+
INDEX($A327:$BM327,,$BV$22)*$BW$22+
INDEX($A327:$BM327,,$BV$23)*$BW$23+
INDEX($A327:$BM327,,$BV$25)*$BW$25+
INDEX($A327:$BM327,,$BV$26)*$BW$26+
INDEX($A327:$BM327,,$BV$27)*$BW$27+
$BN327)),
$BN327-100)</f>
        <v>-100</v>
      </c>
      <c r="AX327" t="str">
        <f t="shared" si="72"/>
        <v>Deebo Samuel</v>
      </c>
      <c r="AY327" t="str">
        <f t="shared" si="73"/>
        <v>SF</v>
      </c>
      <c r="AZ327" s="430">
        <f>IFERROR(
IF(AX327="",-100,
IF($BV$2&gt;0, INDEX(Beersheet!$A:$U,MATCH(AX327,INDEX(Beersheet!$A:$U,0,FFARawStatProjections!$BV$2),0),$BV$3)+$BN327,
INDEX($A327:$BM327,,$BV$12)*$BW$12+
INDEX($A327:$BM327,,$BV$15)*$BW$15+
INDEX($A327:$BM327,,$BV$16)*$BW$16+
INDEX($A327:$BM327,,$BV$17)*$BW$17+
INDEX($A327:$BM327,,$BV$18)*$BW$18+
INDEX($A327:$BM327,,$BV$19)*$BW$19+
INDEX($A327:$BM327,,$BV$20)*$BW$20+
INDEX($A327:$BM327,,$BV$21)*$BW$21+
INDEX($A327:$BM327,,$BV$22)*$BW$22+
INDEX($A327:$BM327,,$BV$23)*$BW$23+
INDEX($A327:$BM327,,$BV$25)*$BW$25+
INDEX($A327:$BM327,,$BV$26)*$BW$26+
INDEX($A327:$BM327,,$BV$27)*$BW$27+
$BN327)),
$BN327-100)</f>
        <v>222.39326000000003</v>
      </c>
      <c r="BB327" t="str">
        <f t="shared" si="74"/>
        <v/>
      </c>
      <c r="BC327" t="str">
        <f t="shared" si="68"/>
        <v/>
      </c>
      <c r="BD327" s="430">
        <f>IFERROR(
IF(BB327="",-100,
IF($BV$2&gt;0, INDEX(Beersheet!$A:$U,MATCH(BB327,INDEX(Beersheet!$A:$U,0,FFARawStatProjections!$BV$2),0),$BV$3)+$BN327,
INDEX($A327:$BM327,,$BV$12)*$BW$12+
INDEX($A327:$BM327,,$BV$15)*$BW$15+
INDEX($A327:$BM327,,$BV$16)*$BW$16+
INDEX($A327:$BM327,,$BV$17)*$BW$17+
INDEX($A327:$BM327,,$BV$18)*$BW$18+
INDEX($A327:$BM327,,$BV$19)*$BW$19+
INDEX($A327:$BM327,,$BV$20)*$BW$20+
INDEX($A327:$BM327,,$BV$21)*$BW$21+
INDEX($A327:$BM327,,$BV$22)*$BW$22+
INDEX($A327:$BM327,,$BV$23)*$BW$23+
INDEX($A327:$BM327,,$BV$25)*$BW$25+
INDEX($A327:$BM327,,$BV$26)*$BW$26+
INDEX($A327:$BM327,,$BV$27)*$BW$27+
$BN327)),
$BN327-100)</f>
        <v>-100</v>
      </c>
      <c r="BF327" t="str">
        <f t="shared" si="75"/>
        <v/>
      </c>
      <c r="BG327" t="str">
        <f t="shared" si="76"/>
        <v/>
      </c>
      <c r="BH327">
        <f t="shared" si="77"/>
        <v>0</v>
      </c>
      <c r="BJ327" t="str">
        <f t="shared" si="78"/>
        <v/>
      </c>
      <c r="BL327">
        <f t="shared" si="67"/>
        <v>0</v>
      </c>
      <c r="BN327">
        <v>3.2599999999999999E-3</v>
      </c>
      <c r="BS327" s="4" t="s">
        <v>1422</v>
      </c>
    </row>
    <row r="328" spans="1:71" ht="15.75" thickBot="1" x14ac:dyDescent="0.3">
      <c r="A328" s="569" t="s">
        <v>2092</v>
      </c>
      <c r="B328" s="569" t="s">
        <v>145</v>
      </c>
      <c r="C328" s="569" t="s">
        <v>6</v>
      </c>
      <c r="D328" s="574">
        <v>7</v>
      </c>
      <c r="E328" s="569"/>
      <c r="F328" s="569"/>
      <c r="G328" s="569"/>
      <c r="H328" s="569"/>
      <c r="I328" s="574">
        <v>0</v>
      </c>
      <c r="J328" s="574">
        <v>0</v>
      </c>
      <c r="K328" s="574">
        <v>0</v>
      </c>
      <c r="L328" s="574">
        <v>80.5</v>
      </c>
      <c r="M328" s="574">
        <v>6.7</v>
      </c>
      <c r="N328" s="574">
        <v>1081.5</v>
      </c>
      <c r="O328" s="574">
        <v>0.5</v>
      </c>
      <c r="P328" s="574">
        <v>0</v>
      </c>
      <c r="Q328" s="574">
        <v>2.4</v>
      </c>
      <c r="R328" s="569"/>
      <c r="S328" s="569"/>
      <c r="T328" s="569"/>
      <c r="U328" s="569"/>
      <c r="V328" s="569"/>
      <c r="W328" s="569"/>
      <c r="X328" s="569"/>
      <c r="Y328" s="569"/>
      <c r="Z328" s="569"/>
      <c r="AA328" s="569"/>
      <c r="AB328" s="569"/>
      <c r="AC328" s="569"/>
      <c r="AD328" s="569"/>
      <c r="AE328" s="569"/>
      <c r="AF328" s="569"/>
      <c r="AG328" s="569"/>
      <c r="AH328" s="569"/>
      <c r="AI328" s="569"/>
      <c r="AJ328" s="569"/>
      <c r="AK328" s="569"/>
      <c r="AL328" s="569"/>
      <c r="AM328" s="569"/>
      <c r="AN328" s="574">
        <v>147.80000000000001</v>
      </c>
      <c r="AO328">
        <v>327</v>
      </c>
      <c r="AP328" t="str">
        <f t="shared" si="66"/>
        <v/>
      </c>
      <c r="AQ328" t="str">
        <f t="shared" si="69"/>
        <v/>
      </c>
      <c r="AR328" s="430">
        <f>IFERROR(
IF(AP328="",-100,
IF($BV$2&gt;0, INDEX(Beersheet!$A:$U,MATCH(AP328,INDEX(Beersheet!$A:$U,0,FFARawStatProjections!$BV$2),0),$BV$3)+$BN328,
INDEX($A328:$BM328,,$BV$12)*$BW$12+
INDEX($A328:$BM328,,$BV$15)*$BW$15+
INDEX($A328:$BM328,,$BV$16)*$BW$16+
INDEX($A328:$BM328,,$BV$17)*$BW$17+
INDEX($A328:$BM328,,$BV$18)*$BW$18+
INDEX($A328:$BM328,,$BV$19)*$BW$19+
INDEX($A328:$BM328,,$BV$20)*$BW$20+
INDEX($A328:$BM328,,$BV$21)*$BW$21+
INDEX($A328:$BM328,,$BV$22)*$BW$22+
INDEX($A328:$BM328,,$BV$23)*$BW$23+
INDEX($A328:$BM328,,$BV$25)*$BW$25+
INDEX($A328:$BM328,,$BV$26)*$BW$26+
INDEX($A328:$BM328,,$BV$27)*$BW$27+
$BN328)),
$BN328-100)</f>
        <v>-100</v>
      </c>
      <c r="AT328" t="str">
        <f t="shared" si="70"/>
        <v/>
      </c>
      <c r="AU328" t="str">
        <f t="shared" si="71"/>
        <v/>
      </c>
      <c r="AV328" s="430">
        <f>IFERROR(
IF(AT328="",-100,
IF($BV$2&gt;0, INDEX(Beersheet!$A:$U,MATCH(AT328,INDEX(Beersheet!$A:$U,0,FFARawStatProjections!$BV$2),0),$BV$3)+$BN328,
INDEX($A328:$BM328,,$BV$12)*$BW$12+
INDEX($A328:$BM328,,$BV$15)*$BW$15+
INDEX($A328:$BM328,,$BV$16)*$BW$16+
INDEX($A328:$BM328,,$BV$17)*$BW$17+
INDEX($A328:$BM328,,$BV$18)*$BW$18+
INDEX($A328:$BM328,,$BV$19)*$BW$19+
INDEX($A328:$BM328,,$BV$20)*$BW$20+
INDEX($A328:$BM328,,$BV$21)*$BW$21+
INDEX($A328:$BM328,,$BV$22)*$BW$22+
INDEX($A328:$BM328,,$BV$23)*$BW$23+
INDEX($A328:$BM328,,$BV$25)*$BW$25+
INDEX($A328:$BM328,,$BV$26)*$BW$26+
INDEX($A328:$BM328,,$BV$27)*$BW$27+
$BN328)),
$BN328-100)</f>
        <v>-100</v>
      </c>
      <c r="AX328" t="str">
        <f t="shared" si="72"/>
        <v>Tee Higgins</v>
      </c>
      <c r="AY328" t="str">
        <f t="shared" si="73"/>
        <v>CIN</v>
      </c>
      <c r="AZ328" s="430">
        <f>IFERROR(
IF(AX328="",-100,
IF($BV$2&gt;0, INDEX(Beersheet!$A:$U,MATCH(AX328,INDEX(Beersheet!$A:$U,0,FFARawStatProjections!$BV$2),0),$BV$3)+$BN328,
INDEX($A328:$BM328,,$BV$12)*$BW$12+
INDEX($A328:$BM328,,$BV$15)*$BW$15+
INDEX($A328:$BM328,,$BV$16)*$BW$16+
INDEX($A328:$BM328,,$BV$17)*$BW$17+
INDEX($A328:$BM328,,$BV$18)*$BW$18+
INDEX($A328:$BM328,,$BV$19)*$BW$19+
INDEX($A328:$BM328,,$BV$20)*$BW$20+
INDEX($A328:$BM328,,$BV$21)*$BW$21+
INDEX($A328:$BM328,,$BV$22)*$BW$22+
INDEX($A328:$BM328,,$BV$23)*$BW$23+
INDEX($A328:$BM328,,$BV$25)*$BW$25+
INDEX($A328:$BM328,,$BV$26)*$BW$26+
INDEX($A328:$BM328,,$BV$27)*$BW$27+
$BN328)),
$BN328-100)</f>
        <v>229.09327000000002</v>
      </c>
      <c r="BB328" t="str">
        <f t="shared" si="74"/>
        <v/>
      </c>
      <c r="BC328" t="str">
        <f t="shared" si="68"/>
        <v/>
      </c>
      <c r="BD328" s="430">
        <f>IFERROR(
IF(BB328="",-100,
IF($BV$2&gt;0, INDEX(Beersheet!$A:$U,MATCH(BB328,INDEX(Beersheet!$A:$U,0,FFARawStatProjections!$BV$2),0),$BV$3)+$BN328,
INDEX($A328:$BM328,,$BV$12)*$BW$12+
INDEX($A328:$BM328,,$BV$15)*$BW$15+
INDEX($A328:$BM328,,$BV$16)*$BW$16+
INDEX($A328:$BM328,,$BV$17)*$BW$17+
INDEX($A328:$BM328,,$BV$18)*$BW$18+
INDEX($A328:$BM328,,$BV$19)*$BW$19+
INDEX($A328:$BM328,,$BV$20)*$BW$20+
INDEX($A328:$BM328,,$BV$21)*$BW$21+
INDEX($A328:$BM328,,$BV$22)*$BW$22+
INDEX($A328:$BM328,,$BV$23)*$BW$23+
INDEX($A328:$BM328,,$BV$25)*$BW$25+
INDEX($A328:$BM328,,$BV$26)*$BW$26+
INDEX($A328:$BM328,,$BV$27)*$BW$27+
$BN328)),
$BN328-100)</f>
        <v>-100</v>
      </c>
      <c r="BF328" t="str">
        <f t="shared" si="75"/>
        <v/>
      </c>
      <c r="BG328" t="str">
        <f t="shared" si="76"/>
        <v/>
      </c>
      <c r="BH328">
        <f t="shared" si="77"/>
        <v>0</v>
      </c>
      <c r="BJ328" t="str">
        <f t="shared" si="78"/>
        <v/>
      </c>
      <c r="BL328">
        <f t="shared" si="67"/>
        <v>0</v>
      </c>
      <c r="BN328">
        <v>3.2699999999999999E-3</v>
      </c>
      <c r="BS328" s="4" t="s">
        <v>2291</v>
      </c>
    </row>
    <row r="329" spans="1:71" ht="15.75" thickBot="1" x14ac:dyDescent="0.3">
      <c r="A329" s="569" t="s">
        <v>2320</v>
      </c>
      <c r="B329" s="569" t="s">
        <v>143</v>
      </c>
      <c r="C329" s="569" t="s">
        <v>6</v>
      </c>
      <c r="D329" s="574">
        <v>11</v>
      </c>
      <c r="E329" s="569"/>
      <c r="F329" s="569"/>
      <c r="G329" s="569"/>
      <c r="H329" s="569"/>
      <c r="I329" s="574">
        <v>0</v>
      </c>
      <c r="J329" s="574">
        <v>0</v>
      </c>
      <c r="K329" s="574">
        <v>0</v>
      </c>
      <c r="L329" s="574">
        <v>81.900000000000006</v>
      </c>
      <c r="M329" s="574">
        <v>5.6</v>
      </c>
      <c r="N329" s="574">
        <v>1147</v>
      </c>
      <c r="O329" s="574">
        <v>0</v>
      </c>
      <c r="P329" s="574">
        <v>0</v>
      </c>
      <c r="Q329" s="574">
        <v>0.1</v>
      </c>
      <c r="R329" s="569"/>
      <c r="S329" s="569"/>
      <c r="T329" s="569"/>
      <c r="U329" s="569"/>
      <c r="V329" s="569"/>
      <c r="W329" s="569"/>
      <c r="X329" s="569"/>
      <c r="Y329" s="569"/>
      <c r="Z329" s="569"/>
      <c r="AA329" s="569"/>
      <c r="AB329" s="569"/>
      <c r="AC329" s="569"/>
      <c r="AD329" s="569"/>
      <c r="AE329" s="569"/>
      <c r="AF329" s="569"/>
      <c r="AG329" s="569"/>
      <c r="AH329" s="569"/>
      <c r="AI329" s="569"/>
      <c r="AJ329" s="569"/>
      <c r="AK329" s="569"/>
      <c r="AL329" s="569"/>
      <c r="AM329" s="569"/>
      <c r="AN329" s="574">
        <v>146.1</v>
      </c>
      <c r="AO329">
        <v>328</v>
      </c>
      <c r="AP329" t="str">
        <f t="shared" si="66"/>
        <v/>
      </c>
      <c r="AQ329" t="str">
        <f t="shared" si="69"/>
        <v/>
      </c>
      <c r="AR329" s="430">
        <f>IFERROR(
IF(AP329="",-100,
IF($BV$2&gt;0, INDEX(Beersheet!$A:$U,MATCH(AP329,INDEX(Beersheet!$A:$U,0,FFARawStatProjections!$BV$2),0),$BV$3)+$BN329,
INDEX($A329:$BM329,,$BV$12)*$BW$12+
INDEX($A329:$BM329,,$BV$15)*$BW$15+
INDEX($A329:$BM329,,$BV$16)*$BW$16+
INDEX($A329:$BM329,,$BV$17)*$BW$17+
INDEX($A329:$BM329,,$BV$18)*$BW$18+
INDEX($A329:$BM329,,$BV$19)*$BW$19+
INDEX($A329:$BM329,,$BV$20)*$BW$20+
INDEX($A329:$BM329,,$BV$21)*$BW$21+
INDEX($A329:$BM329,,$BV$22)*$BW$22+
INDEX($A329:$BM329,,$BV$23)*$BW$23+
INDEX($A329:$BM329,,$BV$25)*$BW$25+
INDEX($A329:$BM329,,$BV$26)*$BW$26+
INDEX($A329:$BM329,,$BV$27)*$BW$27+
$BN329)),
$BN329-100)</f>
        <v>-100</v>
      </c>
      <c r="AT329" t="str">
        <f t="shared" si="70"/>
        <v/>
      </c>
      <c r="AU329" t="str">
        <f t="shared" si="71"/>
        <v/>
      </c>
      <c r="AV329" s="430">
        <f>IFERROR(
IF(AT329="",-100,
IF($BV$2&gt;0, INDEX(Beersheet!$A:$U,MATCH(AT329,INDEX(Beersheet!$A:$U,0,FFARawStatProjections!$BV$2),0),$BV$3)+$BN329,
INDEX($A329:$BM329,,$BV$12)*$BW$12+
INDEX($A329:$BM329,,$BV$15)*$BW$15+
INDEX($A329:$BM329,,$BV$16)*$BW$16+
INDEX($A329:$BM329,,$BV$17)*$BW$17+
INDEX($A329:$BM329,,$BV$18)*$BW$18+
INDEX($A329:$BM329,,$BV$19)*$BW$19+
INDEX($A329:$BM329,,$BV$20)*$BW$20+
INDEX($A329:$BM329,,$BV$21)*$BW$21+
INDEX($A329:$BM329,,$BV$22)*$BW$22+
INDEX($A329:$BM329,,$BV$23)*$BW$23+
INDEX($A329:$BM329,,$BV$25)*$BW$25+
INDEX($A329:$BM329,,$BV$26)*$BW$26+
INDEX($A329:$BM329,,$BV$27)*$BW$27+
$BN329)),
$BN329-100)</f>
        <v>-100</v>
      </c>
      <c r="AX329" t="str">
        <f t="shared" si="72"/>
        <v>Chris Olave</v>
      </c>
      <c r="AY329" t="str">
        <f t="shared" si="73"/>
        <v>NO</v>
      </c>
      <c r="AZ329" s="430">
        <f>IFERROR(
IF(AX329="",-100,
IF($BV$2&gt;0, INDEX(Beersheet!$A:$U,MATCH(AX329,INDEX(Beersheet!$A:$U,0,FFARawStatProjections!$BV$2),0),$BV$3)+$BN329,
INDEX($A329:$BM329,,$BV$12)*$BW$12+
INDEX($A329:$BM329,,$BV$15)*$BW$15+
INDEX($A329:$BM329,,$BV$16)*$BW$16+
INDEX($A329:$BM329,,$BV$17)*$BW$17+
INDEX($A329:$BM329,,$BV$18)*$BW$18+
INDEX($A329:$BM329,,$BV$19)*$BW$19+
INDEX($A329:$BM329,,$BV$20)*$BW$20+
INDEX($A329:$BM329,,$BV$21)*$BW$21+
INDEX($A329:$BM329,,$BV$22)*$BW$22+
INDEX($A329:$BM329,,$BV$23)*$BW$23+
INDEX($A329:$BM329,,$BV$25)*$BW$25+
INDEX($A329:$BM329,,$BV$26)*$BW$26+
INDEX($A329:$BM329,,$BV$27)*$BW$27+
$BN329)),
$BN329-100)</f>
        <v>230.21327999999997</v>
      </c>
      <c r="BB329" t="str">
        <f t="shared" si="74"/>
        <v/>
      </c>
      <c r="BC329" t="str">
        <f t="shared" si="68"/>
        <v/>
      </c>
      <c r="BD329" s="430">
        <f>IFERROR(
IF(BB329="",-100,
IF($BV$2&gt;0, INDEX(Beersheet!$A:$U,MATCH(BB329,INDEX(Beersheet!$A:$U,0,FFARawStatProjections!$BV$2),0),$BV$3)+$BN329,
INDEX($A329:$BM329,,$BV$12)*$BW$12+
INDEX($A329:$BM329,,$BV$15)*$BW$15+
INDEX($A329:$BM329,,$BV$16)*$BW$16+
INDEX($A329:$BM329,,$BV$17)*$BW$17+
INDEX($A329:$BM329,,$BV$18)*$BW$18+
INDEX($A329:$BM329,,$BV$19)*$BW$19+
INDEX($A329:$BM329,,$BV$20)*$BW$20+
INDEX($A329:$BM329,,$BV$21)*$BW$21+
INDEX($A329:$BM329,,$BV$22)*$BW$22+
INDEX($A329:$BM329,,$BV$23)*$BW$23+
INDEX($A329:$BM329,,$BV$25)*$BW$25+
INDEX($A329:$BM329,,$BV$26)*$BW$26+
INDEX($A329:$BM329,,$BV$27)*$BW$27+
$BN329)),
$BN329-100)</f>
        <v>-100</v>
      </c>
      <c r="BF329" t="str">
        <f t="shared" si="75"/>
        <v/>
      </c>
      <c r="BG329" t="str">
        <f t="shared" si="76"/>
        <v/>
      </c>
      <c r="BH329">
        <f t="shared" si="77"/>
        <v>0</v>
      </c>
      <c r="BJ329" t="str">
        <f t="shared" si="78"/>
        <v/>
      </c>
      <c r="BL329">
        <f t="shared" si="67"/>
        <v>0</v>
      </c>
      <c r="BN329">
        <v>3.2799999999999999E-3</v>
      </c>
      <c r="BS329" s="4" t="s">
        <v>2370</v>
      </c>
    </row>
    <row r="330" spans="1:71" ht="15.75" thickBot="1" x14ac:dyDescent="0.3">
      <c r="A330" s="569" t="s">
        <v>1101</v>
      </c>
      <c r="B330" s="569" t="s">
        <v>161</v>
      </c>
      <c r="C330" s="569" t="s">
        <v>6</v>
      </c>
      <c r="D330" s="574">
        <v>5</v>
      </c>
      <c r="E330" s="569"/>
      <c r="F330" s="569"/>
      <c r="G330" s="569"/>
      <c r="H330" s="569"/>
      <c r="I330" s="574">
        <v>0</v>
      </c>
      <c r="J330" s="574">
        <v>0</v>
      </c>
      <c r="K330" s="574">
        <v>0</v>
      </c>
      <c r="L330" s="574">
        <v>73.5</v>
      </c>
      <c r="M330" s="574">
        <v>7</v>
      </c>
      <c r="N330" s="574">
        <v>1031.7</v>
      </c>
      <c r="O330" s="574">
        <v>0.5</v>
      </c>
      <c r="P330" s="574">
        <v>0</v>
      </c>
      <c r="Q330" s="574">
        <v>1.6</v>
      </c>
      <c r="R330" s="569"/>
      <c r="S330" s="569"/>
      <c r="T330" s="569"/>
      <c r="U330" s="569"/>
      <c r="V330" s="569"/>
      <c r="W330" s="569"/>
      <c r="X330" s="569"/>
      <c r="Y330" s="569"/>
      <c r="Z330" s="569"/>
      <c r="AA330" s="569"/>
      <c r="AB330" s="569"/>
      <c r="AC330" s="569"/>
      <c r="AD330" s="569"/>
      <c r="AE330" s="569"/>
      <c r="AF330" s="569"/>
      <c r="AG330" s="569"/>
      <c r="AH330" s="569"/>
      <c r="AI330" s="569"/>
      <c r="AJ330" s="569"/>
      <c r="AK330" s="569"/>
      <c r="AL330" s="569"/>
      <c r="AM330" s="569"/>
      <c r="AN330" s="574">
        <v>145.19999999999999</v>
      </c>
      <c r="AO330">
        <v>329</v>
      </c>
      <c r="AP330" t="str">
        <f t="shared" si="66"/>
        <v/>
      </c>
      <c r="AQ330" t="str">
        <f t="shared" si="69"/>
        <v/>
      </c>
      <c r="AR330" s="430">
        <f>IFERROR(
IF(AP330="",-100,
IF($BV$2&gt;0, INDEX(Beersheet!$A:$U,MATCH(AP330,INDEX(Beersheet!$A:$U,0,FFARawStatProjections!$BV$2),0),$BV$3)+$BN330,
INDEX($A330:$BM330,,$BV$12)*$BW$12+
INDEX($A330:$BM330,,$BV$15)*$BW$15+
INDEX($A330:$BM330,,$BV$16)*$BW$16+
INDEX($A330:$BM330,,$BV$17)*$BW$17+
INDEX($A330:$BM330,,$BV$18)*$BW$18+
INDEX($A330:$BM330,,$BV$19)*$BW$19+
INDEX($A330:$BM330,,$BV$20)*$BW$20+
INDEX($A330:$BM330,,$BV$21)*$BW$21+
INDEX($A330:$BM330,,$BV$22)*$BW$22+
INDEX($A330:$BM330,,$BV$23)*$BW$23+
INDEX($A330:$BM330,,$BV$25)*$BW$25+
INDEX($A330:$BM330,,$BV$26)*$BW$26+
INDEX($A330:$BM330,,$BV$27)*$BW$27+
$BN330)),
$BN330-100)</f>
        <v>-100</v>
      </c>
      <c r="AT330" t="str">
        <f t="shared" si="70"/>
        <v/>
      </c>
      <c r="AU330" t="str">
        <f t="shared" si="71"/>
        <v/>
      </c>
      <c r="AV330" s="430">
        <f>IFERROR(
IF(AT330="",-100,
IF($BV$2&gt;0, INDEX(Beersheet!$A:$U,MATCH(AT330,INDEX(Beersheet!$A:$U,0,FFARawStatProjections!$BV$2),0),$BV$3)+$BN330,
INDEX($A330:$BM330,,$BV$12)*$BW$12+
INDEX($A330:$BM330,,$BV$15)*$BW$15+
INDEX($A330:$BM330,,$BV$16)*$BW$16+
INDEX($A330:$BM330,,$BV$17)*$BW$17+
INDEX($A330:$BM330,,$BV$18)*$BW$18+
INDEX($A330:$BM330,,$BV$19)*$BW$19+
INDEX($A330:$BM330,,$BV$20)*$BW$20+
INDEX($A330:$BM330,,$BV$21)*$BW$21+
INDEX($A330:$BM330,,$BV$22)*$BW$22+
INDEX($A330:$BM330,,$BV$23)*$BW$23+
INDEX($A330:$BM330,,$BV$25)*$BW$25+
INDEX($A330:$BM330,,$BV$26)*$BW$26+
INDEX($A330:$BM330,,$BV$27)*$BW$27+
$BN330)),
$BN330-100)</f>
        <v>-100</v>
      </c>
      <c r="AX330" t="str">
        <f t="shared" si="72"/>
        <v>Amari Cooper</v>
      </c>
      <c r="AY330" t="str">
        <f t="shared" si="73"/>
        <v>CLE</v>
      </c>
      <c r="AZ330" s="430">
        <f>IFERROR(
IF(AX330="",-100,
IF($BV$2&gt;0, INDEX(Beersheet!$A:$U,MATCH(AX330,INDEX(Beersheet!$A:$U,0,FFARawStatProjections!$BV$2),0),$BV$3)+$BN330,
INDEX($A330:$BM330,,$BV$12)*$BW$12+
INDEX($A330:$BM330,,$BV$15)*$BW$15+
INDEX($A330:$BM330,,$BV$16)*$BW$16+
INDEX($A330:$BM330,,$BV$17)*$BW$17+
INDEX($A330:$BM330,,$BV$18)*$BW$18+
INDEX($A330:$BM330,,$BV$19)*$BW$19+
INDEX($A330:$BM330,,$BV$20)*$BW$20+
INDEX($A330:$BM330,,$BV$21)*$BW$21+
INDEX($A330:$BM330,,$BV$22)*$BW$22+
INDEX($A330:$BM330,,$BV$23)*$BW$23+
INDEX($A330:$BM330,,$BV$25)*$BW$25+
INDEX($A330:$BM330,,$BV$26)*$BW$26+
INDEX($A330:$BM330,,$BV$27)*$BW$27+
$BN330)),
$BN330-100)</f>
        <v>218.83329000000001</v>
      </c>
      <c r="BB330" t="str">
        <f t="shared" si="74"/>
        <v/>
      </c>
      <c r="BC330" t="str">
        <f t="shared" si="68"/>
        <v/>
      </c>
      <c r="BD330" s="430">
        <f>IFERROR(
IF(BB330="",-100,
IF($BV$2&gt;0, INDEX(Beersheet!$A:$U,MATCH(BB330,INDEX(Beersheet!$A:$U,0,FFARawStatProjections!$BV$2),0),$BV$3)+$BN330,
INDEX($A330:$BM330,,$BV$12)*$BW$12+
INDEX($A330:$BM330,,$BV$15)*$BW$15+
INDEX($A330:$BM330,,$BV$16)*$BW$16+
INDEX($A330:$BM330,,$BV$17)*$BW$17+
INDEX($A330:$BM330,,$BV$18)*$BW$18+
INDEX($A330:$BM330,,$BV$19)*$BW$19+
INDEX($A330:$BM330,,$BV$20)*$BW$20+
INDEX($A330:$BM330,,$BV$21)*$BW$21+
INDEX($A330:$BM330,,$BV$22)*$BW$22+
INDEX($A330:$BM330,,$BV$23)*$BW$23+
INDEX($A330:$BM330,,$BV$25)*$BW$25+
INDEX($A330:$BM330,,$BV$26)*$BW$26+
INDEX($A330:$BM330,,$BV$27)*$BW$27+
$BN330)),
$BN330-100)</f>
        <v>-100</v>
      </c>
      <c r="BF330" t="str">
        <f t="shared" si="75"/>
        <v/>
      </c>
      <c r="BG330" t="str">
        <f t="shared" si="76"/>
        <v/>
      </c>
      <c r="BH330">
        <f t="shared" si="77"/>
        <v>0</v>
      </c>
      <c r="BJ330" t="str">
        <f t="shared" si="78"/>
        <v/>
      </c>
      <c r="BL330">
        <f t="shared" si="67"/>
        <v>0</v>
      </c>
      <c r="BN330">
        <v>3.29E-3</v>
      </c>
      <c r="BS330" s="4" t="s">
        <v>2338</v>
      </c>
    </row>
    <row r="331" spans="1:71" ht="15.75" thickBot="1" x14ac:dyDescent="0.3">
      <c r="A331" s="569" t="s">
        <v>2321</v>
      </c>
      <c r="B331" s="569" t="s">
        <v>139</v>
      </c>
      <c r="C331" s="569" t="s">
        <v>6</v>
      </c>
      <c r="D331" s="574">
        <v>6</v>
      </c>
      <c r="E331" s="569"/>
      <c r="F331" s="569"/>
      <c r="G331" s="569"/>
      <c r="H331" s="569"/>
      <c r="I331" s="574">
        <v>0</v>
      </c>
      <c r="J331" s="574">
        <v>0</v>
      </c>
      <c r="K331" s="574">
        <v>0</v>
      </c>
      <c r="L331" s="574">
        <v>69.2</v>
      </c>
      <c r="M331" s="574">
        <v>6</v>
      </c>
      <c r="N331" s="574">
        <v>958.5</v>
      </c>
      <c r="O331" s="574">
        <v>8.6</v>
      </c>
      <c r="P331" s="574">
        <v>1</v>
      </c>
      <c r="Q331" s="574">
        <v>69.8</v>
      </c>
      <c r="R331" s="569"/>
      <c r="S331" s="569"/>
      <c r="T331" s="569"/>
      <c r="U331" s="569"/>
      <c r="V331" s="569"/>
      <c r="W331" s="569"/>
      <c r="X331" s="569"/>
      <c r="Y331" s="569"/>
      <c r="Z331" s="569"/>
      <c r="AA331" s="569"/>
      <c r="AB331" s="569"/>
      <c r="AC331" s="569"/>
      <c r="AD331" s="569"/>
      <c r="AE331" s="569"/>
      <c r="AF331" s="569"/>
      <c r="AG331" s="569"/>
      <c r="AH331" s="569"/>
      <c r="AI331" s="569"/>
      <c r="AJ331" s="569"/>
      <c r="AK331" s="569"/>
      <c r="AL331" s="569"/>
      <c r="AM331" s="569"/>
      <c r="AN331" s="574">
        <v>144.4</v>
      </c>
      <c r="AO331">
        <v>330</v>
      </c>
      <c r="AP331" t="str">
        <f t="shared" si="66"/>
        <v/>
      </c>
      <c r="AQ331" t="str">
        <f t="shared" si="69"/>
        <v/>
      </c>
      <c r="AR331" s="430">
        <f>IFERROR(
IF(AP331="",-100,
IF($BV$2&gt;0, INDEX(Beersheet!$A:$U,MATCH(AP331,INDEX(Beersheet!$A:$U,0,FFARawStatProjections!$BV$2),0),$BV$3)+$BN331,
INDEX($A331:$BM331,,$BV$12)*$BW$12+
INDEX($A331:$BM331,,$BV$15)*$BW$15+
INDEX($A331:$BM331,,$BV$16)*$BW$16+
INDEX($A331:$BM331,,$BV$17)*$BW$17+
INDEX($A331:$BM331,,$BV$18)*$BW$18+
INDEX($A331:$BM331,,$BV$19)*$BW$19+
INDEX($A331:$BM331,,$BV$20)*$BW$20+
INDEX($A331:$BM331,,$BV$21)*$BW$21+
INDEX($A331:$BM331,,$BV$22)*$BW$22+
INDEX($A331:$BM331,,$BV$23)*$BW$23+
INDEX($A331:$BM331,,$BV$25)*$BW$25+
INDEX($A331:$BM331,,$BV$26)*$BW$26+
INDEX($A331:$BM331,,$BV$27)*$BW$27+
$BN331)),
$BN331-100)</f>
        <v>-100</v>
      </c>
      <c r="AT331" t="str">
        <f t="shared" si="70"/>
        <v/>
      </c>
      <c r="AU331" t="str">
        <f t="shared" si="71"/>
        <v/>
      </c>
      <c r="AV331" s="430">
        <f>IFERROR(
IF(AT331="",-100,
IF($BV$2&gt;0, INDEX(Beersheet!$A:$U,MATCH(AT331,INDEX(Beersheet!$A:$U,0,FFARawStatProjections!$BV$2),0),$BV$3)+$BN331,
INDEX($A331:$BM331,,$BV$12)*$BW$12+
INDEX($A331:$BM331,,$BV$15)*$BW$15+
INDEX($A331:$BM331,,$BV$16)*$BW$16+
INDEX($A331:$BM331,,$BV$17)*$BW$17+
INDEX($A331:$BM331,,$BV$18)*$BW$18+
INDEX($A331:$BM331,,$BV$19)*$BW$19+
INDEX($A331:$BM331,,$BV$20)*$BW$20+
INDEX($A331:$BM331,,$BV$21)*$BW$21+
INDEX($A331:$BM331,,$BV$22)*$BW$22+
INDEX($A331:$BM331,,$BV$23)*$BW$23+
INDEX($A331:$BM331,,$BV$25)*$BW$25+
INDEX($A331:$BM331,,$BV$26)*$BW$26+
INDEX($A331:$BM331,,$BV$27)*$BW$27+
$BN331)),
$BN331-100)</f>
        <v>-100</v>
      </c>
      <c r="AX331" t="str">
        <f t="shared" si="72"/>
        <v>Christian Watson</v>
      </c>
      <c r="AY331" t="str">
        <f t="shared" si="73"/>
        <v>GB</v>
      </c>
      <c r="AZ331" s="430">
        <f>IFERROR(
IF(AX331="",-100,
IF($BV$2&gt;0, INDEX(Beersheet!$A:$U,MATCH(AX331,INDEX(Beersheet!$A:$U,0,FFARawStatProjections!$BV$2),0),$BV$3)+$BN331,
INDEX($A331:$BM331,,$BV$12)*$BW$12+
INDEX($A331:$BM331,,$BV$15)*$BW$15+
INDEX($A331:$BM331,,$BV$16)*$BW$16+
INDEX($A331:$BM331,,$BV$17)*$BW$17+
INDEX($A331:$BM331,,$BV$18)*$BW$18+
INDEX($A331:$BM331,,$BV$19)*$BW$19+
INDEX($A331:$BM331,,$BV$20)*$BW$20+
INDEX($A331:$BM331,,$BV$21)*$BW$21+
INDEX($A331:$BM331,,$BV$22)*$BW$22+
INDEX($A331:$BM331,,$BV$23)*$BW$23+
INDEX($A331:$BM331,,$BV$25)*$BW$25+
INDEX($A331:$BM331,,$BV$26)*$BW$26+
INDEX($A331:$BM331,,$BV$27)*$BW$27+
$BN331)),
$BN331-100)</f>
        <v>214.0333</v>
      </c>
      <c r="BB331" t="str">
        <f t="shared" si="74"/>
        <v/>
      </c>
      <c r="BC331" t="str">
        <f t="shared" si="68"/>
        <v/>
      </c>
      <c r="BD331" s="430">
        <f>IFERROR(
IF(BB331="",-100,
IF($BV$2&gt;0, INDEX(Beersheet!$A:$U,MATCH(BB331,INDEX(Beersheet!$A:$U,0,FFARawStatProjections!$BV$2),0),$BV$3)+$BN331,
INDEX($A331:$BM331,,$BV$12)*$BW$12+
INDEX($A331:$BM331,,$BV$15)*$BW$15+
INDEX($A331:$BM331,,$BV$16)*$BW$16+
INDEX($A331:$BM331,,$BV$17)*$BW$17+
INDEX($A331:$BM331,,$BV$18)*$BW$18+
INDEX($A331:$BM331,,$BV$19)*$BW$19+
INDEX($A331:$BM331,,$BV$20)*$BW$20+
INDEX($A331:$BM331,,$BV$21)*$BW$21+
INDEX($A331:$BM331,,$BV$22)*$BW$22+
INDEX($A331:$BM331,,$BV$23)*$BW$23+
INDEX($A331:$BM331,,$BV$25)*$BW$25+
INDEX($A331:$BM331,,$BV$26)*$BW$26+
INDEX($A331:$BM331,,$BV$27)*$BW$27+
$BN331)),
$BN331-100)</f>
        <v>-100</v>
      </c>
      <c r="BF331" t="str">
        <f t="shared" si="75"/>
        <v/>
      </c>
      <c r="BG331" t="str">
        <f t="shared" si="76"/>
        <v/>
      </c>
      <c r="BH331">
        <f t="shared" si="77"/>
        <v>0</v>
      </c>
      <c r="BJ331" t="str">
        <f t="shared" si="78"/>
        <v/>
      </c>
      <c r="BL331">
        <f t="shared" si="67"/>
        <v>0</v>
      </c>
      <c r="BN331">
        <v>3.3E-3</v>
      </c>
      <c r="BS331" s="4" t="s">
        <v>2111</v>
      </c>
    </row>
    <row r="332" spans="1:71" ht="15.75" thickBot="1" x14ac:dyDescent="0.3">
      <c r="A332" s="569" t="s">
        <v>1857</v>
      </c>
      <c r="B332" s="569" t="s">
        <v>140</v>
      </c>
      <c r="C332" s="569" t="s">
        <v>6</v>
      </c>
      <c r="D332" s="574">
        <v>5</v>
      </c>
      <c r="E332" s="569"/>
      <c r="F332" s="569"/>
      <c r="G332" s="569"/>
      <c r="H332" s="569"/>
      <c r="I332" s="574">
        <v>0</v>
      </c>
      <c r="J332" s="574">
        <v>0</v>
      </c>
      <c r="K332" s="574">
        <v>0</v>
      </c>
      <c r="L332" s="574">
        <v>82.3</v>
      </c>
      <c r="M332" s="574">
        <v>7.2</v>
      </c>
      <c r="N332" s="574">
        <v>1021.6</v>
      </c>
      <c r="O332" s="574">
        <v>0.1</v>
      </c>
      <c r="P332" s="574">
        <v>0</v>
      </c>
      <c r="Q332" s="574">
        <v>1.1000000000000001</v>
      </c>
      <c r="R332" s="569"/>
      <c r="S332" s="569"/>
      <c r="T332" s="569"/>
      <c r="U332" s="569"/>
      <c r="V332" s="569"/>
      <c r="W332" s="569"/>
      <c r="X332" s="569"/>
      <c r="Y332" s="569"/>
      <c r="Z332" s="569"/>
      <c r="AA332" s="569"/>
      <c r="AB332" s="569"/>
      <c r="AC332" s="569"/>
      <c r="AD332" s="569"/>
      <c r="AE332" s="569"/>
      <c r="AF332" s="569"/>
      <c r="AG332" s="569"/>
      <c r="AH332" s="569"/>
      <c r="AI332" s="569"/>
      <c r="AJ332" s="569"/>
      <c r="AK332" s="569"/>
      <c r="AL332" s="569"/>
      <c r="AM332" s="569"/>
      <c r="AN332" s="574">
        <v>143.9</v>
      </c>
      <c r="AO332">
        <v>331</v>
      </c>
      <c r="AP332" t="str">
        <f t="shared" si="66"/>
        <v/>
      </c>
      <c r="AQ332" t="str">
        <f t="shared" si="69"/>
        <v/>
      </c>
      <c r="AR332" s="430">
        <f>IFERROR(
IF(AP332="",-100,
IF($BV$2&gt;0, INDEX(Beersheet!$A:$U,MATCH(AP332,INDEX(Beersheet!$A:$U,0,FFARawStatProjections!$BV$2),0),$BV$3)+$BN332,
INDEX($A332:$BM332,,$BV$12)*$BW$12+
INDEX($A332:$BM332,,$BV$15)*$BW$15+
INDEX($A332:$BM332,,$BV$16)*$BW$16+
INDEX($A332:$BM332,,$BV$17)*$BW$17+
INDEX($A332:$BM332,,$BV$18)*$BW$18+
INDEX($A332:$BM332,,$BV$19)*$BW$19+
INDEX($A332:$BM332,,$BV$20)*$BW$20+
INDEX($A332:$BM332,,$BV$21)*$BW$21+
INDEX($A332:$BM332,,$BV$22)*$BW$22+
INDEX($A332:$BM332,,$BV$23)*$BW$23+
INDEX($A332:$BM332,,$BV$25)*$BW$25+
INDEX($A332:$BM332,,$BV$26)*$BW$26+
INDEX($A332:$BM332,,$BV$27)*$BW$27+
$BN332)),
$BN332-100)</f>
        <v>-100</v>
      </c>
      <c r="AT332" t="str">
        <f t="shared" si="70"/>
        <v/>
      </c>
      <c r="AU332" t="str">
        <f t="shared" si="71"/>
        <v/>
      </c>
      <c r="AV332" s="430">
        <f>IFERROR(
IF(AT332="",-100,
IF($BV$2&gt;0, INDEX(Beersheet!$A:$U,MATCH(AT332,INDEX(Beersheet!$A:$U,0,FFARawStatProjections!$BV$2),0),$BV$3)+$BN332,
INDEX($A332:$BM332,,$BV$12)*$BW$12+
INDEX($A332:$BM332,,$BV$15)*$BW$15+
INDEX($A332:$BM332,,$BV$16)*$BW$16+
INDEX($A332:$BM332,,$BV$17)*$BW$17+
INDEX($A332:$BM332,,$BV$18)*$BW$18+
INDEX($A332:$BM332,,$BV$19)*$BW$19+
INDEX($A332:$BM332,,$BV$20)*$BW$20+
INDEX($A332:$BM332,,$BV$21)*$BW$21+
INDEX($A332:$BM332,,$BV$22)*$BW$22+
INDEX($A332:$BM332,,$BV$23)*$BW$23+
INDEX($A332:$BM332,,$BV$25)*$BW$25+
INDEX($A332:$BM332,,$BV$26)*$BW$26+
INDEX($A332:$BM332,,$BV$27)*$BW$27+
$BN332)),
$BN332-100)</f>
        <v>-100</v>
      </c>
      <c r="AX332" t="str">
        <f t="shared" si="72"/>
        <v>DK Metcalf</v>
      </c>
      <c r="AY332" t="str">
        <f t="shared" si="73"/>
        <v>SEA</v>
      </c>
      <c r="AZ332" s="430">
        <f>IFERROR(
IF(AX332="",-100,
IF($BV$2&gt;0, INDEX(Beersheet!$A:$U,MATCH(AX332,INDEX(Beersheet!$A:$U,0,FFARawStatProjections!$BV$2),0),$BV$3)+$BN332,
INDEX($A332:$BM332,,$BV$12)*$BW$12+
INDEX($A332:$BM332,,$BV$15)*$BW$15+
INDEX($A332:$BM332,,$BV$16)*$BW$16+
INDEX($A332:$BM332,,$BV$17)*$BW$17+
INDEX($A332:$BM332,,$BV$18)*$BW$18+
INDEX($A332:$BM332,,$BV$19)*$BW$19+
INDEX($A332:$BM332,,$BV$20)*$BW$20+
INDEX($A332:$BM332,,$BV$21)*$BW$21+
INDEX($A332:$BM332,,$BV$22)*$BW$22+
INDEX($A332:$BM332,,$BV$23)*$BW$23+
INDEX($A332:$BM332,,$BV$25)*$BW$25+
INDEX($A332:$BM332,,$BV$26)*$BW$26+
INDEX($A332:$BM332,,$BV$27)*$BW$27+
$BN332)),
$BN332-100)</f>
        <v>227.77331000000004</v>
      </c>
      <c r="BB332" t="str">
        <f t="shared" si="74"/>
        <v/>
      </c>
      <c r="BC332" t="str">
        <f t="shared" si="68"/>
        <v/>
      </c>
      <c r="BD332" s="430">
        <f>IFERROR(
IF(BB332="",-100,
IF($BV$2&gt;0, INDEX(Beersheet!$A:$U,MATCH(BB332,INDEX(Beersheet!$A:$U,0,FFARawStatProjections!$BV$2),0),$BV$3)+$BN332,
INDEX($A332:$BM332,,$BV$12)*$BW$12+
INDEX($A332:$BM332,,$BV$15)*$BW$15+
INDEX($A332:$BM332,,$BV$16)*$BW$16+
INDEX($A332:$BM332,,$BV$17)*$BW$17+
INDEX($A332:$BM332,,$BV$18)*$BW$18+
INDEX($A332:$BM332,,$BV$19)*$BW$19+
INDEX($A332:$BM332,,$BV$20)*$BW$20+
INDEX($A332:$BM332,,$BV$21)*$BW$21+
INDEX($A332:$BM332,,$BV$22)*$BW$22+
INDEX($A332:$BM332,,$BV$23)*$BW$23+
INDEX($A332:$BM332,,$BV$25)*$BW$25+
INDEX($A332:$BM332,,$BV$26)*$BW$26+
INDEX($A332:$BM332,,$BV$27)*$BW$27+
$BN332)),
$BN332-100)</f>
        <v>-100</v>
      </c>
      <c r="BF332" t="str">
        <f t="shared" si="75"/>
        <v/>
      </c>
      <c r="BG332" t="str">
        <f t="shared" si="76"/>
        <v/>
      </c>
      <c r="BH332">
        <f t="shared" si="77"/>
        <v>0</v>
      </c>
      <c r="BJ332" t="str">
        <f t="shared" si="78"/>
        <v/>
      </c>
      <c r="BL332">
        <f t="shared" si="67"/>
        <v>0</v>
      </c>
      <c r="BN332">
        <v>3.31E-3</v>
      </c>
      <c r="BS332" s="4" t="s">
        <v>1793</v>
      </c>
    </row>
    <row r="333" spans="1:71" ht="15.75" thickBot="1" x14ac:dyDescent="0.3">
      <c r="A333" s="569" t="s">
        <v>2196</v>
      </c>
      <c r="B333" s="569" t="s">
        <v>137</v>
      </c>
      <c r="C333" s="569" t="s">
        <v>6</v>
      </c>
      <c r="D333" s="574">
        <v>10</v>
      </c>
      <c r="E333" s="569"/>
      <c r="F333" s="569"/>
      <c r="G333" s="569"/>
      <c r="H333" s="569"/>
      <c r="I333" s="574">
        <v>0</v>
      </c>
      <c r="J333" s="574">
        <v>0</v>
      </c>
      <c r="K333" s="574">
        <v>0</v>
      </c>
      <c r="L333" s="574">
        <v>82.9</v>
      </c>
      <c r="M333" s="574">
        <v>6.4</v>
      </c>
      <c r="N333" s="574">
        <v>1049.8</v>
      </c>
      <c r="O333" s="574">
        <v>0</v>
      </c>
      <c r="P333" s="574">
        <v>0</v>
      </c>
      <c r="Q333" s="574">
        <v>0.1</v>
      </c>
      <c r="R333" s="569"/>
      <c r="S333" s="569"/>
      <c r="T333" s="569"/>
      <c r="U333" s="569"/>
      <c r="V333" s="569"/>
      <c r="W333" s="569"/>
      <c r="X333" s="569"/>
      <c r="Y333" s="569"/>
      <c r="Z333" s="569"/>
      <c r="AA333" s="569"/>
      <c r="AB333" s="569"/>
      <c r="AC333" s="569"/>
      <c r="AD333" s="569"/>
      <c r="AE333" s="569"/>
      <c r="AF333" s="569"/>
      <c r="AG333" s="569"/>
      <c r="AH333" s="569"/>
      <c r="AI333" s="569"/>
      <c r="AJ333" s="569"/>
      <c r="AK333" s="569"/>
      <c r="AL333" s="569"/>
      <c r="AM333" s="569"/>
      <c r="AN333" s="574">
        <v>141.9</v>
      </c>
      <c r="AO333">
        <v>332</v>
      </c>
      <c r="AP333" t="str">
        <f t="shared" si="66"/>
        <v/>
      </c>
      <c r="AQ333" t="str">
        <f t="shared" si="69"/>
        <v/>
      </c>
      <c r="AR333" s="430">
        <f>IFERROR(
IF(AP333="",-100,
IF($BV$2&gt;0, INDEX(Beersheet!$A:$U,MATCH(AP333,INDEX(Beersheet!$A:$U,0,FFARawStatProjections!$BV$2),0),$BV$3)+$BN333,
INDEX($A333:$BM333,,$BV$12)*$BW$12+
INDEX($A333:$BM333,,$BV$15)*$BW$15+
INDEX($A333:$BM333,,$BV$16)*$BW$16+
INDEX($A333:$BM333,,$BV$17)*$BW$17+
INDEX($A333:$BM333,,$BV$18)*$BW$18+
INDEX($A333:$BM333,,$BV$19)*$BW$19+
INDEX($A333:$BM333,,$BV$20)*$BW$20+
INDEX($A333:$BM333,,$BV$21)*$BW$21+
INDEX($A333:$BM333,,$BV$22)*$BW$22+
INDEX($A333:$BM333,,$BV$23)*$BW$23+
INDEX($A333:$BM333,,$BV$25)*$BW$25+
INDEX($A333:$BM333,,$BV$26)*$BW$26+
INDEX($A333:$BM333,,$BV$27)*$BW$27+
$BN333)),
$BN333-100)</f>
        <v>-100</v>
      </c>
      <c r="AT333" t="str">
        <f t="shared" si="70"/>
        <v/>
      </c>
      <c r="AU333" t="str">
        <f t="shared" si="71"/>
        <v/>
      </c>
      <c r="AV333" s="430">
        <f>IFERROR(
IF(AT333="",-100,
IF($BV$2&gt;0, INDEX(Beersheet!$A:$U,MATCH(AT333,INDEX(Beersheet!$A:$U,0,FFARawStatProjections!$BV$2),0),$BV$3)+$BN333,
INDEX($A333:$BM333,,$BV$12)*$BW$12+
INDEX($A333:$BM333,,$BV$15)*$BW$15+
INDEX($A333:$BM333,,$BV$16)*$BW$16+
INDEX($A333:$BM333,,$BV$17)*$BW$17+
INDEX($A333:$BM333,,$BV$18)*$BW$18+
INDEX($A333:$BM333,,$BV$19)*$BW$19+
INDEX($A333:$BM333,,$BV$20)*$BW$20+
INDEX($A333:$BM333,,$BV$21)*$BW$21+
INDEX($A333:$BM333,,$BV$22)*$BW$22+
INDEX($A333:$BM333,,$BV$23)*$BW$23+
INDEX($A333:$BM333,,$BV$25)*$BW$25+
INDEX($A333:$BM333,,$BV$26)*$BW$26+
INDEX($A333:$BM333,,$BV$27)*$BW$27+
$BN333)),
$BN333-100)</f>
        <v>-100</v>
      </c>
      <c r="AX333" t="str">
        <f t="shared" si="72"/>
        <v>DeVonta Smith</v>
      </c>
      <c r="AY333" t="str">
        <f t="shared" si="73"/>
        <v>PHI</v>
      </c>
      <c r="AZ333" s="430">
        <f>IFERROR(
IF(AX333="",-100,
IF($BV$2&gt;0, INDEX(Beersheet!$A:$U,MATCH(AX333,INDEX(Beersheet!$A:$U,0,FFARawStatProjections!$BV$2),0),$BV$3)+$BN333,
INDEX($A333:$BM333,,$BV$12)*$BW$12+
INDEX($A333:$BM333,,$BV$15)*$BW$15+
INDEX($A333:$BM333,,$BV$16)*$BW$16+
INDEX($A333:$BM333,,$BV$17)*$BW$17+
INDEX($A333:$BM333,,$BV$18)*$BW$18+
INDEX($A333:$BM333,,$BV$19)*$BW$19+
INDEX($A333:$BM333,,$BV$20)*$BW$20+
INDEX($A333:$BM333,,$BV$21)*$BW$21+
INDEX($A333:$BM333,,$BV$22)*$BW$22+
INDEX($A333:$BM333,,$BV$23)*$BW$23+
INDEX($A333:$BM333,,$BV$25)*$BW$25+
INDEX($A333:$BM333,,$BV$26)*$BW$26+
INDEX($A333:$BM333,,$BV$27)*$BW$27+
$BN333)),
$BN333-100)</f>
        <v>226.29332000000002</v>
      </c>
      <c r="BB333" t="str">
        <f t="shared" si="74"/>
        <v/>
      </c>
      <c r="BC333" t="str">
        <f t="shared" si="68"/>
        <v/>
      </c>
      <c r="BD333" s="430">
        <f>IFERROR(
IF(BB333="",-100,
IF($BV$2&gt;0, INDEX(Beersheet!$A:$U,MATCH(BB333,INDEX(Beersheet!$A:$U,0,FFARawStatProjections!$BV$2),0),$BV$3)+$BN333,
INDEX($A333:$BM333,,$BV$12)*$BW$12+
INDEX($A333:$BM333,,$BV$15)*$BW$15+
INDEX($A333:$BM333,,$BV$16)*$BW$16+
INDEX($A333:$BM333,,$BV$17)*$BW$17+
INDEX($A333:$BM333,,$BV$18)*$BW$18+
INDEX($A333:$BM333,,$BV$19)*$BW$19+
INDEX($A333:$BM333,,$BV$20)*$BW$20+
INDEX($A333:$BM333,,$BV$21)*$BW$21+
INDEX($A333:$BM333,,$BV$22)*$BW$22+
INDEX($A333:$BM333,,$BV$23)*$BW$23+
INDEX($A333:$BM333,,$BV$25)*$BW$25+
INDEX($A333:$BM333,,$BV$26)*$BW$26+
INDEX($A333:$BM333,,$BV$27)*$BW$27+
$BN333)),
$BN333-100)</f>
        <v>-100</v>
      </c>
      <c r="BF333" t="str">
        <f t="shared" si="75"/>
        <v/>
      </c>
      <c r="BG333" t="str">
        <f t="shared" si="76"/>
        <v/>
      </c>
      <c r="BH333">
        <f t="shared" si="77"/>
        <v>0</v>
      </c>
      <c r="BJ333" t="str">
        <f t="shared" si="78"/>
        <v/>
      </c>
      <c r="BL333">
        <f t="shared" si="67"/>
        <v>0</v>
      </c>
      <c r="BN333">
        <v>3.32E-3</v>
      </c>
      <c r="BS333" s="4" t="s">
        <v>2325</v>
      </c>
    </row>
    <row r="334" spans="1:71" ht="15.75" thickBot="1" x14ac:dyDescent="0.3">
      <c r="A334" s="569" t="s">
        <v>1787</v>
      </c>
      <c r="B334" s="569" t="s">
        <v>165</v>
      </c>
      <c r="C334" s="569" t="s">
        <v>6</v>
      </c>
      <c r="D334" s="574">
        <v>9</v>
      </c>
      <c r="E334" s="569"/>
      <c r="F334" s="569"/>
      <c r="G334" s="569"/>
      <c r="H334" s="569"/>
      <c r="I334" s="574">
        <v>0</v>
      </c>
      <c r="J334" s="574">
        <v>0</v>
      </c>
      <c r="K334" s="574">
        <v>0</v>
      </c>
      <c r="L334" s="574">
        <v>80.400000000000006</v>
      </c>
      <c r="M334" s="574">
        <v>6.5</v>
      </c>
      <c r="N334" s="574">
        <v>1021.3</v>
      </c>
      <c r="O334" s="574">
        <v>2.2000000000000002</v>
      </c>
      <c r="P334" s="574">
        <v>0</v>
      </c>
      <c r="Q334" s="574">
        <v>7.7</v>
      </c>
      <c r="R334" s="569"/>
      <c r="S334" s="569"/>
      <c r="T334" s="569"/>
      <c r="U334" s="569"/>
      <c r="V334" s="569"/>
      <c r="W334" s="569"/>
      <c r="X334" s="569"/>
      <c r="Y334" s="569"/>
      <c r="Z334" s="569"/>
      <c r="AA334" s="569"/>
      <c r="AB334" s="569"/>
      <c r="AC334" s="569"/>
      <c r="AD334" s="569"/>
      <c r="AE334" s="569"/>
      <c r="AF334" s="569"/>
      <c r="AG334" s="569"/>
      <c r="AH334" s="569"/>
      <c r="AI334" s="569"/>
      <c r="AJ334" s="569"/>
      <c r="AK334" s="569"/>
      <c r="AL334" s="569"/>
      <c r="AM334" s="569"/>
      <c r="AN334" s="574">
        <v>141.30000000000001</v>
      </c>
      <c r="AO334">
        <v>333</v>
      </c>
      <c r="AP334" t="str">
        <f t="shared" si="66"/>
        <v/>
      </c>
      <c r="AQ334" t="str">
        <f t="shared" si="69"/>
        <v/>
      </c>
      <c r="AR334" s="430">
        <f>IFERROR(
IF(AP334="",-100,
IF($BV$2&gt;0, INDEX(Beersheet!$A:$U,MATCH(AP334,INDEX(Beersheet!$A:$U,0,FFARawStatProjections!$BV$2),0),$BV$3)+$BN334,
INDEX($A334:$BM334,,$BV$12)*$BW$12+
INDEX($A334:$BM334,,$BV$15)*$BW$15+
INDEX($A334:$BM334,,$BV$16)*$BW$16+
INDEX($A334:$BM334,,$BV$17)*$BW$17+
INDEX($A334:$BM334,,$BV$18)*$BW$18+
INDEX($A334:$BM334,,$BV$19)*$BW$19+
INDEX($A334:$BM334,,$BV$20)*$BW$20+
INDEX($A334:$BM334,,$BV$21)*$BW$21+
INDEX($A334:$BM334,,$BV$22)*$BW$22+
INDEX($A334:$BM334,,$BV$23)*$BW$23+
INDEX($A334:$BM334,,$BV$25)*$BW$25+
INDEX($A334:$BM334,,$BV$26)*$BW$26+
INDEX($A334:$BM334,,$BV$27)*$BW$27+
$BN334)),
$BN334-100)</f>
        <v>-100</v>
      </c>
      <c r="AT334" t="str">
        <f t="shared" si="70"/>
        <v/>
      </c>
      <c r="AU334" t="str">
        <f t="shared" si="71"/>
        <v/>
      </c>
      <c r="AV334" s="430">
        <f>IFERROR(
IF(AT334="",-100,
IF($BV$2&gt;0, INDEX(Beersheet!$A:$U,MATCH(AT334,INDEX(Beersheet!$A:$U,0,FFARawStatProjections!$BV$2),0),$BV$3)+$BN334,
INDEX($A334:$BM334,,$BV$12)*$BW$12+
INDEX($A334:$BM334,,$BV$15)*$BW$15+
INDEX($A334:$BM334,,$BV$16)*$BW$16+
INDEX($A334:$BM334,,$BV$17)*$BW$17+
INDEX($A334:$BM334,,$BV$18)*$BW$18+
INDEX($A334:$BM334,,$BV$19)*$BW$19+
INDEX($A334:$BM334,,$BV$20)*$BW$20+
INDEX($A334:$BM334,,$BV$21)*$BW$21+
INDEX($A334:$BM334,,$BV$22)*$BW$22+
INDEX($A334:$BM334,,$BV$23)*$BW$23+
INDEX($A334:$BM334,,$BV$25)*$BW$25+
INDEX($A334:$BM334,,$BV$26)*$BW$26+
INDEX($A334:$BM334,,$BV$27)*$BW$27+
$BN334)),
$BN334-100)</f>
        <v>-100</v>
      </c>
      <c r="AX334" t="str">
        <f t="shared" si="72"/>
        <v>Calvin Ridley</v>
      </c>
      <c r="AY334" t="str">
        <f t="shared" si="73"/>
        <v>JAC</v>
      </c>
      <c r="AZ334" s="430">
        <f>IFERROR(
IF(AX334="",-100,
IF($BV$2&gt;0, INDEX(Beersheet!$A:$U,MATCH(AX334,INDEX(Beersheet!$A:$U,0,FFARawStatProjections!$BV$2),0),$BV$3)+$BN334,
INDEX($A334:$BM334,,$BV$12)*$BW$12+
INDEX($A334:$BM334,,$BV$15)*$BW$15+
INDEX($A334:$BM334,,$BV$16)*$BW$16+
INDEX($A334:$BM334,,$BV$17)*$BW$17+
INDEX($A334:$BM334,,$BV$18)*$BW$18+
INDEX($A334:$BM334,,$BV$19)*$BW$19+
INDEX($A334:$BM334,,$BV$20)*$BW$20+
INDEX($A334:$BM334,,$BV$21)*$BW$21+
INDEX($A334:$BM334,,$BV$22)*$BW$22+
INDEX($A334:$BM334,,$BV$23)*$BW$23+
INDEX($A334:$BM334,,$BV$25)*$BW$25+
INDEX($A334:$BM334,,$BV$26)*$BW$26+
INDEX($A334:$BM334,,$BV$27)*$BW$27+
$BN334)),
$BN334-100)</f>
        <v>222.30333000000002</v>
      </c>
      <c r="BB334" t="str">
        <f t="shared" si="74"/>
        <v/>
      </c>
      <c r="BC334" t="str">
        <f t="shared" si="68"/>
        <v/>
      </c>
      <c r="BD334" s="430">
        <f>IFERROR(
IF(BB334="",-100,
IF($BV$2&gt;0, INDEX(Beersheet!$A:$U,MATCH(BB334,INDEX(Beersheet!$A:$U,0,FFARawStatProjections!$BV$2),0),$BV$3)+$BN334,
INDEX($A334:$BM334,,$BV$12)*$BW$12+
INDEX($A334:$BM334,,$BV$15)*$BW$15+
INDEX($A334:$BM334,,$BV$16)*$BW$16+
INDEX($A334:$BM334,,$BV$17)*$BW$17+
INDEX($A334:$BM334,,$BV$18)*$BW$18+
INDEX($A334:$BM334,,$BV$19)*$BW$19+
INDEX($A334:$BM334,,$BV$20)*$BW$20+
INDEX($A334:$BM334,,$BV$21)*$BW$21+
INDEX($A334:$BM334,,$BV$22)*$BW$22+
INDEX($A334:$BM334,,$BV$23)*$BW$23+
INDEX($A334:$BM334,,$BV$25)*$BW$25+
INDEX($A334:$BM334,,$BV$26)*$BW$26+
INDEX($A334:$BM334,,$BV$27)*$BW$27+
$BN334)),
$BN334-100)</f>
        <v>-100</v>
      </c>
      <c r="BF334" t="str">
        <f t="shared" si="75"/>
        <v/>
      </c>
      <c r="BG334" t="str">
        <f t="shared" si="76"/>
        <v/>
      </c>
      <c r="BH334">
        <f t="shared" si="77"/>
        <v>0</v>
      </c>
      <c r="BJ334" t="str">
        <f t="shared" si="78"/>
        <v/>
      </c>
      <c r="BL334">
        <f t="shared" si="67"/>
        <v>0</v>
      </c>
      <c r="BN334">
        <v>3.3300000000000001E-3</v>
      </c>
      <c r="BS334" s="4" t="s">
        <v>1122</v>
      </c>
    </row>
    <row r="335" spans="1:71" ht="15.75" thickBot="1" x14ac:dyDescent="0.3">
      <c r="A335" s="569" t="s">
        <v>2080</v>
      </c>
      <c r="B335" s="569" t="s">
        <v>144</v>
      </c>
      <c r="C335" s="569" t="s">
        <v>6</v>
      </c>
      <c r="D335" s="574">
        <v>9</v>
      </c>
      <c r="E335" s="569"/>
      <c r="F335" s="569"/>
      <c r="G335" s="569"/>
      <c r="H335" s="569"/>
      <c r="I335" s="574">
        <v>0</v>
      </c>
      <c r="J335" s="574">
        <v>0</v>
      </c>
      <c r="K335" s="574">
        <v>0</v>
      </c>
      <c r="L335" s="574">
        <v>72.8</v>
      </c>
      <c r="M335" s="574">
        <v>5.6</v>
      </c>
      <c r="N335" s="574">
        <v>1050.3</v>
      </c>
      <c r="O335" s="574">
        <v>1.6</v>
      </c>
      <c r="P335" s="574">
        <v>0</v>
      </c>
      <c r="Q335" s="574">
        <v>15.1</v>
      </c>
      <c r="R335" s="569"/>
      <c r="S335" s="569"/>
      <c r="T335" s="569"/>
      <c r="U335" s="569"/>
      <c r="V335" s="569"/>
      <c r="W335" s="569"/>
      <c r="X335" s="569"/>
      <c r="Y335" s="569"/>
      <c r="Z335" s="569"/>
      <c r="AA335" s="569"/>
      <c r="AB335" s="569"/>
      <c r="AC335" s="569"/>
      <c r="AD335" s="569"/>
      <c r="AE335" s="569"/>
      <c r="AF335" s="569"/>
      <c r="AG335" s="569"/>
      <c r="AH335" s="569"/>
      <c r="AI335" s="569"/>
      <c r="AJ335" s="569"/>
      <c r="AK335" s="569"/>
      <c r="AL335" s="569"/>
      <c r="AM335" s="569"/>
      <c r="AN335" s="574">
        <v>140</v>
      </c>
      <c r="AO335">
        <v>334</v>
      </c>
      <c r="AP335" t="str">
        <f t="shared" si="66"/>
        <v/>
      </c>
      <c r="AQ335" t="str">
        <f t="shared" si="69"/>
        <v/>
      </c>
      <c r="AR335" s="430">
        <f>IFERROR(
IF(AP335="",-100,
IF($BV$2&gt;0, INDEX(Beersheet!$A:$U,MATCH(AP335,INDEX(Beersheet!$A:$U,0,FFARawStatProjections!$BV$2),0),$BV$3)+$BN335,
INDEX($A335:$BM335,,$BV$12)*$BW$12+
INDEX($A335:$BM335,,$BV$15)*$BW$15+
INDEX($A335:$BM335,,$BV$16)*$BW$16+
INDEX($A335:$BM335,,$BV$17)*$BW$17+
INDEX($A335:$BM335,,$BV$18)*$BW$18+
INDEX($A335:$BM335,,$BV$19)*$BW$19+
INDEX($A335:$BM335,,$BV$20)*$BW$20+
INDEX($A335:$BM335,,$BV$21)*$BW$21+
INDEX($A335:$BM335,,$BV$22)*$BW$22+
INDEX($A335:$BM335,,$BV$23)*$BW$23+
INDEX($A335:$BM335,,$BV$25)*$BW$25+
INDEX($A335:$BM335,,$BV$26)*$BW$26+
INDEX($A335:$BM335,,$BV$27)*$BW$27+
$BN335)),
$BN335-100)</f>
        <v>-100</v>
      </c>
      <c r="AT335" t="str">
        <f t="shared" si="70"/>
        <v/>
      </c>
      <c r="AU335" t="str">
        <f t="shared" si="71"/>
        <v/>
      </c>
      <c r="AV335" s="430">
        <f>IFERROR(
IF(AT335="",-100,
IF($BV$2&gt;0, INDEX(Beersheet!$A:$U,MATCH(AT335,INDEX(Beersheet!$A:$U,0,FFARawStatProjections!$BV$2),0),$BV$3)+$BN335,
INDEX($A335:$BM335,,$BV$12)*$BW$12+
INDEX($A335:$BM335,,$BV$15)*$BW$15+
INDEX($A335:$BM335,,$BV$16)*$BW$16+
INDEX($A335:$BM335,,$BV$17)*$BW$17+
INDEX($A335:$BM335,,$BV$18)*$BW$18+
INDEX($A335:$BM335,,$BV$19)*$BW$19+
INDEX($A335:$BM335,,$BV$20)*$BW$20+
INDEX($A335:$BM335,,$BV$21)*$BW$21+
INDEX($A335:$BM335,,$BV$22)*$BW$22+
INDEX($A335:$BM335,,$BV$23)*$BW$23+
INDEX($A335:$BM335,,$BV$25)*$BW$25+
INDEX($A335:$BM335,,$BV$26)*$BW$26+
INDEX($A335:$BM335,,$BV$27)*$BW$27+
$BN335)),
$BN335-100)</f>
        <v>-100</v>
      </c>
      <c r="AX335" t="str">
        <f t="shared" si="72"/>
        <v>Jerry Jeudy</v>
      </c>
      <c r="AY335" t="str">
        <f t="shared" si="73"/>
        <v>DEN</v>
      </c>
      <c r="AZ335" s="430">
        <f>IFERROR(
IF(AX335="",-100,
IF($BV$2&gt;0, INDEX(Beersheet!$A:$U,MATCH(AX335,INDEX(Beersheet!$A:$U,0,FFARawStatProjections!$BV$2),0),$BV$3)+$BN335,
INDEX($A335:$BM335,,$BV$12)*$BW$12+
INDEX($A335:$BM335,,$BV$15)*$BW$15+
INDEX($A335:$BM335,,$BV$16)*$BW$16+
INDEX($A335:$BM335,,$BV$17)*$BW$17+
INDEX($A335:$BM335,,$BV$18)*$BW$18+
INDEX($A335:$BM335,,$BV$19)*$BW$19+
INDEX($A335:$BM335,,$BV$20)*$BW$20+
INDEX($A335:$BM335,,$BV$21)*$BW$21+
INDEX($A335:$BM335,,$BV$22)*$BW$22+
INDEX($A335:$BM335,,$BV$23)*$BW$23+
INDEX($A335:$BM335,,$BV$25)*$BW$25+
INDEX($A335:$BM335,,$BV$26)*$BW$26+
INDEX($A335:$BM335,,$BV$27)*$BW$27+
$BN335)),
$BN335-100)</f>
        <v>212.94334000000001</v>
      </c>
      <c r="BB335" t="str">
        <f t="shared" si="74"/>
        <v/>
      </c>
      <c r="BC335" t="str">
        <f t="shared" si="68"/>
        <v/>
      </c>
      <c r="BD335" s="430">
        <f>IFERROR(
IF(BB335="",-100,
IF($BV$2&gt;0, INDEX(Beersheet!$A:$U,MATCH(BB335,INDEX(Beersheet!$A:$U,0,FFARawStatProjections!$BV$2),0),$BV$3)+$BN335,
INDEX($A335:$BM335,,$BV$12)*$BW$12+
INDEX($A335:$BM335,,$BV$15)*$BW$15+
INDEX($A335:$BM335,,$BV$16)*$BW$16+
INDEX($A335:$BM335,,$BV$17)*$BW$17+
INDEX($A335:$BM335,,$BV$18)*$BW$18+
INDEX($A335:$BM335,,$BV$19)*$BW$19+
INDEX($A335:$BM335,,$BV$20)*$BW$20+
INDEX($A335:$BM335,,$BV$21)*$BW$21+
INDEX($A335:$BM335,,$BV$22)*$BW$22+
INDEX($A335:$BM335,,$BV$23)*$BW$23+
INDEX($A335:$BM335,,$BV$25)*$BW$25+
INDEX($A335:$BM335,,$BV$26)*$BW$26+
INDEX($A335:$BM335,,$BV$27)*$BW$27+
$BN335)),
$BN335-100)</f>
        <v>-100</v>
      </c>
      <c r="BF335" t="str">
        <f t="shared" si="75"/>
        <v/>
      </c>
      <c r="BG335" t="str">
        <f t="shared" si="76"/>
        <v/>
      </c>
      <c r="BH335">
        <f t="shared" si="77"/>
        <v>0</v>
      </c>
      <c r="BJ335" t="str">
        <f t="shared" si="78"/>
        <v/>
      </c>
      <c r="BL335">
        <f t="shared" si="67"/>
        <v>0</v>
      </c>
      <c r="BN335">
        <v>3.3400000000000001E-3</v>
      </c>
      <c r="BS335" s="4" t="s">
        <v>2114</v>
      </c>
    </row>
    <row r="336" spans="1:71" ht="15.75" thickBot="1" x14ac:dyDescent="0.3">
      <c r="A336" s="569" t="s">
        <v>1852</v>
      </c>
      <c r="B336" s="569" t="s">
        <v>141</v>
      </c>
      <c r="C336" s="569" t="s">
        <v>6</v>
      </c>
      <c r="D336" s="574">
        <v>13</v>
      </c>
      <c r="E336" s="569"/>
      <c r="F336" s="569"/>
      <c r="G336" s="569"/>
      <c r="H336" s="569"/>
      <c r="I336" s="574">
        <v>0</v>
      </c>
      <c r="J336" s="574">
        <v>0</v>
      </c>
      <c r="K336" s="574">
        <v>0</v>
      </c>
      <c r="L336" s="574">
        <v>67.2</v>
      </c>
      <c r="M336" s="574">
        <v>6.5</v>
      </c>
      <c r="N336" s="574">
        <v>943.6</v>
      </c>
      <c r="O336" s="574">
        <v>6</v>
      </c>
      <c r="P336" s="574">
        <v>0.1</v>
      </c>
      <c r="Q336" s="574">
        <v>37.1</v>
      </c>
      <c r="R336" s="569"/>
      <c r="S336" s="569"/>
      <c r="T336" s="569"/>
      <c r="U336" s="569"/>
      <c r="V336" s="569"/>
      <c r="W336" s="569"/>
      <c r="X336" s="569"/>
      <c r="Y336" s="569"/>
      <c r="Z336" s="569"/>
      <c r="AA336" s="569"/>
      <c r="AB336" s="569"/>
      <c r="AC336" s="569"/>
      <c r="AD336" s="569"/>
      <c r="AE336" s="569"/>
      <c r="AF336" s="569"/>
      <c r="AG336" s="569"/>
      <c r="AH336" s="569"/>
      <c r="AI336" s="569"/>
      <c r="AJ336" s="569"/>
      <c r="AK336" s="569"/>
      <c r="AL336" s="569"/>
      <c r="AM336" s="569"/>
      <c r="AN336" s="574">
        <v>137.1</v>
      </c>
      <c r="AO336">
        <v>335</v>
      </c>
      <c r="AP336" t="str">
        <f t="shared" si="66"/>
        <v/>
      </c>
      <c r="AQ336" t="str">
        <f t="shared" si="69"/>
        <v/>
      </c>
      <c r="AR336" s="430">
        <f>IFERROR(
IF(AP336="",-100,
IF($BV$2&gt;0, INDEX(Beersheet!$A:$U,MATCH(AP336,INDEX(Beersheet!$A:$U,0,FFARawStatProjections!$BV$2),0),$BV$3)+$BN336,
INDEX($A336:$BM336,,$BV$12)*$BW$12+
INDEX($A336:$BM336,,$BV$15)*$BW$15+
INDEX($A336:$BM336,,$BV$16)*$BW$16+
INDEX($A336:$BM336,,$BV$17)*$BW$17+
INDEX($A336:$BM336,,$BV$18)*$BW$18+
INDEX($A336:$BM336,,$BV$19)*$BW$19+
INDEX($A336:$BM336,,$BV$20)*$BW$20+
INDEX($A336:$BM336,,$BV$21)*$BW$21+
INDEX($A336:$BM336,,$BV$22)*$BW$22+
INDEX($A336:$BM336,,$BV$23)*$BW$23+
INDEX($A336:$BM336,,$BV$25)*$BW$25+
INDEX($A336:$BM336,,$BV$26)*$BW$26+
INDEX($A336:$BM336,,$BV$27)*$BW$27+
$BN336)),
$BN336-100)</f>
        <v>-100</v>
      </c>
      <c r="AT336" t="str">
        <f t="shared" si="70"/>
        <v/>
      </c>
      <c r="AU336" t="str">
        <f t="shared" si="71"/>
        <v/>
      </c>
      <c r="AV336" s="430">
        <f>IFERROR(
IF(AT336="",-100,
IF($BV$2&gt;0, INDEX(Beersheet!$A:$U,MATCH(AT336,INDEX(Beersheet!$A:$U,0,FFARawStatProjections!$BV$2),0),$BV$3)+$BN336,
INDEX($A336:$BM336,,$BV$12)*$BW$12+
INDEX($A336:$BM336,,$BV$15)*$BW$15+
INDEX($A336:$BM336,,$BV$16)*$BW$16+
INDEX($A336:$BM336,,$BV$17)*$BW$17+
INDEX($A336:$BM336,,$BV$18)*$BW$18+
INDEX($A336:$BM336,,$BV$19)*$BW$19+
INDEX($A336:$BM336,,$BV$20)*$BW$20+
INDEX($A336:$BM336,,$BV$21)*$BW$21+
INDEX($A336:$BM336,,$BV$22)*$BW$22+
INDEX($A336:$BM336,,$BV$23)*$BW$23+
INDEX($A336:$BM336,,$BV$25)*$BW$25+
INDEX($A336:$BM336,,$BV$26)*$BW$26+
INDEX($A336:$BM336,,$BV$27)*$BW$27+
$BN336)),
$BN336-100)</f>
        <v>-100</v>
      </c>
      <c r="AX336" t="str">
        <f t="shared" si="72"/>
        <v>DJ Moore</v>
      </c>
      <c r="AY336" t="str">
        <f t="shared" si="73"/>
        <v>CHI</v>
      </c>
      <c r="AZ336" s="430">
        <f>IFERROR(
IF(AX336="",-100,
IF($BV$2&gt;0, INDEX(Beersheet!$A:$U,MATCH(AX336,INDEX(Beersheet!$A:$U,0,FFARawStatProjections!$BV$2),0),$BV$3)+$BN336,
INDEX($A336:$BM336,,$BV$12)*$BW$12+
INDEX($A336:$BM336,,$BV$15)*$BW$15+
INDEX($A336:$BM336,,$BV$16)*$BW$16+
INDEX($A336:$BM336,,$BV$17)*$BW$17+
INDEX($A336:$BM336,,$BV$18)*$BW$18+
INDEX($A336:$BM336,,$BV$19)*$BW$19+
INDEX($A336:$BM336,,$BV$20)*$BW$20+
INDEX($A336:$BM336,,$BV$21)*$BW$21+
INDEX($A336:$BM336,,$BV$22)*$BW$22+
INDEX($A336:$BM336,,$BV$23)*$BW$23+
INDEX($A336:$BM336,,$BV$25)*$BW$25+
INDEX($A336:$BM336,,$BV$26)*$BW$26+
INDEX($A336:$BM336,,$BV$27)*$BW$27+
$BN336)),
$BN336-100)</f>
        <v>204.87335000000002</v>
      </c>
      <c r="BB336" t="str">
        <f t="shared" si="74"/>
        <v/>
      </c>
      <c r="BC336" t="str">
        <f t="shared" si="68"/>
        <v/>
      </c>
      <c r="BD336" s="430">
        <f>IFERROR(
IF(BB336="",-100,
IF($BV$2&gt;0, INDEX(Beersheet!$A:$U,MATCH(BB336,INDEX(Beersheet!$A:$U,0,FFARawStatProjections!$BV$2),0),$BV$3)+$BN336,
INDEX($A336:$BM336,,$BV$12)*$BW$12+
INDEX($A336:$BM336,,$BV$15)*$BW$15+
INDEX($A336:$BM336,,$BV$16)*$BW$16+
INDEX($A336:$BM336,,$BV$17)*$BW$17+
INDEX($A336:$BM336,,$BV$18)*$BW$18+
INDEX($A336:$BM336,,$BV$19)*$BW$19+
INDEX($A336:$BM336,,$BV$20)*$BW$20+
INDEX($A336:$BM336,,$BV$21)*$BW$21+
INDEX($A336:$BM336,,$BV$22)*$BW$22+
INDEX($A336:$BM336,,$BV$23)*$BW$23+
INDEX($A336:$BM336,,$BV$25)*$BW$25+
INDEX($A336:$BM336,,$BV$26)*$BW$26+
INDEX($A336:$BM336,,$BV$27)*$BW$27+
$BN336)),
$BN336-100)</f>
        <v>-100</v>
      </c>
      <c r="BF336" t="str">
        <f t="shared" si="75"/>
        <v/>
      </c>
      <c r="BG336" t="str">
        <f t="shared" si="76"/>
        <v/>
      </c>
      <c r="BH336">
        <f t="shared" si="77"/>
        <v>0</v>
      </c>
      <c r="BJ336" t="str">
        <f t="shared" si="78"/>
        <v/>
      </c>
      <c r="BL336">
        <f t="shared" si="67"/>
        <v>0</v>
      </c>
      <c r="BN336">
        <v>3.3500000000000001E-3</v>
      </c>
      <c r="BS336" s="4" t="s">
        <v>1196</v>
      </c>
    </row>
    <row r="337" spans="1:71" ht="15.75" thickBot="1" x14ac:dyDescent="0.3">
      <c r="A337" s="569" t="s">
        <v>1878</v>
      </c>
      <c r="B337" s="569" t="s">
        <v>152</v>
      </c>
      <c r="C337" s="569" t="s">
        <v>6</v>
      </c>
      <c r="D337" s="574">
        <v>14</v>
      </c>
      <c r="E337" s="569"/>
      <c r="F337" s="569"/>
      <c r="G337" s="569"/>
      <c r="H337" s="569"/>
      <c r="I337" s="574">
        <v>0</v>
      </c>
      <c r="J337" s="574">
        <v>0</v>
      </c>
      <c r="K337" s="574">
        <v>0</v>
      </c>
      <c r="L337" s="574">
        <v>73.8</v>
      </c>
      <c r="M337" s="574">
        <v>5</v>
      </c>
      <c r="N337" s="574">
        <v>1036.5999999999999</v>
      </c>
      <c r="O337" s="574">
        <v>3.3</v>
      </c>
      <c r="P337" s="574">
        <v>0.1</v>
      </c>
      <c r="Q337" s="574">
        <v>20.2</v>
      </c>
      <c r="R337" s="569"/>
      <c r="S337" s="569"/>
      <c r="T337" s="569"/>
      <c r="U337" s="569"/>
      <c r="V337" s="569"/>
      <c r="W337" s="569"/>
      <c r="X337" s="569"/>
      <c r="Y337" s="569"/>
      <c r="Z337" s="569"/>
      <c r="AA337" s="569"/>
      <c r="AB337" s="569"/>
      <c r="AC337" s="569"/>
      <c r="AD337" s="569"/>
      <c r="AE337" s="569"/>
      <c r="AF337" s="569"/>
      <c r="AG337" s="569"/>
      <c r="AH337" s="569"/>
      <c r="AI337" s="569"/>
      <c r="AJ337" s="569"/>
      <c r="AK337" s="569"/>
      <c r="AL337" s="569"/>
      <c r="AM337" s="569"/>
      <c r="AN337" s="574">
        <v>135.6</v>
      </c>
      <c r="AO337">
        <v>336</v>
      </c>
      <c r="AP337" t="str">
        <f t="shared" si="66"/>
        <v/>
      </c>
      <c r="AQ337" t="str">
        <f t="shared" si="69"/>
        <v/>
      </c>
      <c r="AR337" s="430">
        <f>IFERROR(
IF(AP337="",-100,
IF($BV$2&gt;0, INDEX(Beersheet!$A:$U,MATCH(AP337,INDEX(Beersheet!$A:$U,0,FFARawStatProjections!$BV$2),0),$BV$3)+$BN337,
INDEX($A337:$BM337,,$BV$12)*$BW$12+
INDEX($A337:$BM337,,$BV$15)*$BW$15+
INDEX($A337:$BM337,,$BV$16)*$BW$16+
INDEX($A337:$BM337,,$BV$17)*$BW$17+
INDEX($A337:$BM337,,$BV$18)*$BW$18+
INDEX($A337:$BM337,,$BV$19)*$BW$19+
INDEX($A337:$BM337,,$BV$20)*$BW$20+
INDEX($A337:$BM337,,$BV$21)*$BW$21+
INDEX($A337:$BM337,,$BV$22)*$BW$22+
INDEX($A337:$BM337,,$BV$23)*$BW$23+
INDEX($A337:$BM337,,$BV$25)*$BW$25+
INDEX($A337:$BM337,,$BV$26)*$BW$26+
INDEX($A337:$BM337,,$BV$27)*$BW$27+
$BN337)),
$BN337-100)</f>
        <v>-100</v>
      </c>
      <c r="AT337" t="str">
        <f t="shared" si="70"/>
        <v/>
      </c>
      <c r="AU337" t="str">
        <f t="shared" si="71"/>
        <v/>
      </c>
      <c r="AV337" s="430">
        <f>IFERROR(
IF(AT337="",-100,
IF($BV$2&gt;0, INDEX(Beersheet!$A:$U,MATCH(AT337,INDEX(Beersheet!$A:$U,0,FFARawStatProjections!$BV$2),0),$BV$3)+$BN337,
INDEX($A337:$BM337,,$BV$12)*$BW$12+
INDEX($A337:$BM337,,$BV$15)*$BW$15+
INDEX($A337:$BM337,,$BV$16)*$BW$16+
INDEX($A337:$BM337,,$BV$17)*$BW$17+
INDEX($A337:$BM337,,$BV$18)*$BW$18+
INDEX($A337:$BM337,,$BV$19)*$BW$19+
INDEX($A337:$BM337,,$BV$20)*$BW$20+
INDEX($A337:$BM337,,$BV$21)*$BW$21+
INDEX($A337:$BM337,,$BV$22)*$BW$22+
INDEX($A337:$BM337,,$BV$23)*$BW$23+
INDEX($A337:$BM337,,$BV$25)*$BW$25+
INDEX($A337:$BM337,,$BV$26)*$BW$26+
INDEX($A337:$BM337,,$BV$27)*$BW$27+
$BN337)),
$BN337-100)</f>
        <v>-100</v>
      </c>
      <c r="AX337" t="str">
        <f t="shared" si="72"/>
        <v>Terry McLaurin</v>
      </c>
      <c r="AY337" t="str">
        <f t="shared" si="73"/>
        <v>WAS</v>
      </c>
      <c r="AZ337" s="430">
        <f>IFERROR(
IF(AX337="",-100,
IF($BV$2&gt;0, INDEX(Beersheet!$A:$U,MATCH(AX337,INDEX(Beersheet!$A:$U,0,FFARawStatProjections!$BV$2),0),$BV$3)+$BN337,
INDEX($A337:$BM337,,$BV$12)*$BW$12+
INDEX($A337:$BM337,,$BV$15)*$BW$15+
INDEX($A337:$BM337,,$BV$16)*$BW$16+
INDEX($A337:$BM337,,$BV$17)*$BW$17+
INDEX($A337:$BM337,,$BV$18)*$BW$18+
INDEX($A337:$BM337,,$BV$19)*$BW$19+
INDEX($A337:$BM337,,$BV$20)*$BW$20+
INDEX($A337:$BM337,,$BV$21)*$BW$21+
INDEX($A337:$BM337,,$BV$22)*$BW$22+
INDEX($A337:$BM337,,$BV$23)*$BW$23+
INDEX($A337:$BM337,,$BV$25)*$BW$25+
INDEX($A337:$BM337,,$BV$26)*$BW$26+
INDEX($A337:$BM337,,$BV$27)*$BW$27+
$BN337)),
$BN337-100)</f>
        <v>210.08335999999997</v>
      </c>
      <c r="BB337" t="str">
        <f t="shared" si="74"/>
        <v/>
      </c>
      <c r="BC337" t="str">
        <f t="shared" si="68"/>
        <v/>
      </c>
      <c r="BD337" s="430">
        <f>IFERROR(
IF(BB337="",-100,
IF($BV$2&gt;0, INDEX(Beersheet!$A:$U,MATCH(BB337,INDEX(Beersheet!$A:$U,0,FFARawStatProjections!$BV$2),0),$BV$3)+$BN337,
INDEX($A337:$BM337,,$BV$12)*$BW$12+
INDEX($A337:$BM337,,$BV$15)*$BW$15+
INDEX($A337:$BM337,,$BV$16)*$BW$16+
INDEX($A337:$BM337,,$BV$17)*$BW$17+
INDEX($A337:$BM337,,$BV$18)*$BW$18+
INDEX($A337:$BM337,,$BV$19)*$BW$19+
INDEX($A337:$BM337,,$BV$20)*$BW$20+
INDEX($A337:$BM337,,$BV$21)*$BW$21+
INDEX($A337:$BM337,,$BV$22)*$BW$22+
INDEX($A337:$BM337,,$BV$23)*$BW$23+
INDEX($A337:$BM337,,$BV$25)*$BW$25+
INDEX($A337:$BM337,,$BV$26)*$BW$26+
INDEX($A337:$BM337,,$BV$27)*$BW$27+
$BN337)),
$BN337-100)</f>
        <v>-100</v>
      </c>
      <c r="BF337" t="str">
        <f t="shared" si="75"/>
        <v/>
      </c>
      <c r="BG337" t="str">
        <f t="shared" si="76"/>
        <v/>
      </c>
      <c r="BH337">
        <f t="shared" si="77"/>
        <v>0</v>
      </c>
      <c r="BJ337" t="str">
        <f t="shared" si="78"/>
        <v/>
      </c>
      <c r="BL337">
        <f t="shared" si="67"/>
        <v>0</v>
      </c>
      <c r="BN337">
        <v>3.3600000000000001E-3</v>
      </c>
      <c r="BS337" s="4" t="s">
        <v>2471</v>
      </c>
    </row>
    <row r="338" spans="1:71" ht="15.75" thickBot="1" x14ac:dyDescent="0.3">
      <c r="A338" s="569" t="s">
        <v>1164</v>
      </c>
      <c r="B338" s="569" t="s">
        <v>1388</v>
      </c>
      <c r="C338" s="569" t="s">
        <v>6</v>
      </c>
      <c r="D338" s="574">
        <v>5</v>
      </c>
      <c r="E338" s="569"/>
      <c r="F338" s="569"/>
      <c r="G338" s="569"/>
      <c r="H338" s="569"/>
      <c r="I338" s="574">
        <v>0</v>
      </c>
      <c r="J338" s="574">
        <v>0</v>
      </c>
      <c r="K338" s="574">
        <v>0</v>
      </c>
      <c r="L338" s="574">
        <v>70.900000000000006</v>
      </c>
      <c r="M338" s="574">
        <v>6</v>
      </c>
      <c r="N338" s="574">
        <v>988.2</v>
      </c>
      <c r="O338" s="574">
        <v>1</v>
      </c>
      <c r="P338" s="574">
        <v>0</v>
      </c>
      <c r="Q338" s="574">
        <v>4.5</v>
      </c>
      <c r="R338" s="569"/>
      <c r="S338" s="569"/>
      <c r="T338" s="569"/>
      <c r="U338" s="569"/>
      <c r="V338" s="569"/>
      <c r="W338" s="569"/>
      <c r="X338" s="569"/>
      <c r="Y338" s="569"/>
      <c r="Z338" s="569"/>
      <c r="AA338" s="569"/>
      <c r="AB338" s="569"/>
      <c r="AC338" s="569"/>
      <c r="AD338" s="569"/>
      <c r="AE338" s="569"/>
      <c r="AF338" s="569"/>
      <c r="AG338" s="569"/>
      <c r="AH338" s="569"/>
      <c r="AI338" s="569"/>
      <c r="AJ338" s="569"/>
      <c r="AK338" s="569"/>
      <c r="AL338" s="569"/>
      <c r="AM338" s="569"/>
      <c r="AN338" s="574">
        <v>135.5</v>
      </c>
      <c r="AO338">
        <v>337</v>
      </c>
      <c r="AP338" t="str">
        <f t="shared" si="66"/>
        <v/>
      </c>
      <c r="AQ338" t="str">
        <f t="shared" si="69"/>
        <v/>
      </c>
      <c r="AR338" s="430">
        <f>IFERROR(
IF(AP338="",-100,
IF($BV$2&gt;0, INDEX(Beersheet!$A:$U,MATCH(AP338,INDEX(Beersheet!$A:$U,0,FFARawStatProjections!$BV$2),0),$BV$3)+$BN338,
INDEX($A338:$BM338,,$BV$12)*$BW$12+
INDEX($A338:$BM338,,$BV$15)*$BW$15+
INDEX($A338:$BM338,,$BV$16)*$BW$16+
INDEX($A338:$BM338,,$BV$17)*$BW$17+
INDEX($A338:$BM338,,$BV$18)*$BW$18+
INDEX($A338:$BM338,,$BV$19)*$BW$19+
INDEX($A338:$BM338,,$BV$20)*$BW$20+
INDEX($A338:$BM338,,$BV$21)*$BW$21+
INDEX($A338:$BM338,,$BV$22)*$BW$22+
INDEX($A338:$BM338,,$BV$23)*$BW$23+
INDEX($A338:$BM338,,$BV$25)*$BW$25+
INDEX($A338:$BM338,,$BV$26)*$BW$26+
INDEX($A338:$BM338,,$BV$27)*$BW$27+
$BN338)),
$BN338-100)</f>
        <v>-100</v>
      </c>
      <c r="AT338" t="str">
        <f t="shared" si="70"/>
        <v/>
      </c>
      <c r="AU338" t="str">
        <f t="shared" si="71"/>
        <v/>
      </c>
      <c r="AV338" s="430">
        <f>IFERROR(
IF(AT338="",-100,
IF($BV$2&gt;0, INDEX(Beersheet!$A:$U,MATCH(AT338,INDEX(Beersheet!$A:$U,0,FFARawStatProjections!$BV$2),0),$BV$3)+$BN338,
INDEX($A338:$BM338,,$BV$12)*$BW$12+
INDEX($A338:$BM338,,$BV$15)*$BW$15+
INDEX($A338:$BM338,,$BV$16)*$BW$16+
INDEX($A338:$BM338,,$BV$17)*$BW$17+
INDEX($A338:$BM338,,$BV$18)*$BW$18+
INDEX($A338:$BM338,,$BV$19)*$BW$19+
INDEX($A338:$BM338,,$BV$20)*$BW$20+
INDEX($A338:$BM338,,$BV$21)*$BW$21+
INDEX($A338:$BM338,,$BV$22)*$BW$22+
INDEX($A338:$BM338,,$BV$23)*$BW$23+
INDEX($A338:$BM338,,$BV$25)*$BW$25+
INDEX($A338:$BM338,,$BV$26)*$BW$26+
INDEX($A338:$BM338,,$BV$27)*$BW$27+
$BN338)),
$BN338-100)</f>
        <v>-100</v>
      </c>
      <c r="AX338" t="str">
        <f t="shared" si="72"/>
        <v>Mike Williams</v>
      </c>
      <c r="AY338" t="str">
        <f t="shared" si="73"/>
        <v>LAC</v>
      </c>
      <c r="AZ338" s="430">
        <f>IFERROR(
IF(AX338="",-100,
IF($BV$2&gt;0, INDEX(Beersheet!$A:$U,MATCH(AX338,INDEX(Beersheet!$A:$U,0,FFARawStatProjections!$BV$2),0),$BV$3)+$BN338,
INDEX($A338:$BM338,,$BV$12)*$BW$12+
INDEX($A338:$BM338,,$BV$15)*$BW$15+
INDEX($A338:$BM338,,$BV$16)*$BW$16+
INDEX($A338:$BM338,,$BV$17)*$BW$17+
INDEX($A338:$BM338,,$BV$18)*$BW$18+
INDEX($A338:$BM338,,$BV$19)*$BW$19+
INDEX($A338:$BM338,,$BV$20)*$BW$20+
INDEX($A338:$BM338,,$BV$21)*$BW$21+
INDEX($A338:$BM338,,$BV$22)*$BW$22+
INDEX($A338:$BM338,,$BV$23)*$BW$23+
INDEX($A338:$BM338,,$BV$25)*$BW$25+
INDEX($A338:$BM338,,$BV$26)*$BW$26+
INDEX($A338:$BM338,,$BV$27)*$BW$27+
$BN338)),
$BN338-100)</f>
        <v>206.17337000000001</v>
      </c>
      <c r="BB338" t="str">
        <f t="shared" si="74"/>
        <v/>
      </c>
      <c r="BC338" t="str">
        <f t="shared" si="68"/>
        <v/>
      </c>
      <c r="BD338" s="430">
        <f>IFERROR(
IF(BB338="",-100,
IF($BV$2&gt;0, INDEX(Beersheet!$A:$U,MATCH(BB338,INDEX(Beersheet!$A:$U,0,FFARawStatProjections!$BV$2),0),$BV$3)+$BN338,
INDEX($A338:$BM338,,$BV$12)*$BW$12+
INDEX($A338:$BM338,,$BV$15)*$BW$15+
INDEX($A338:$BM338,,$BV$16)*$BW$16+
INDEX($A338:$BM338,,$BV$17)*$BW$17+
INDEX($A338:$BM338,,$BV$18)*$BW$18+
INDEX($A338:$BM338,,$BV$19)*$BW$19+
INDEX($A338:$BM338,,$BV$20)*$BW$20+
INDEX($A338:$BM338,,$BV$21)*$BW$21+
INDEX($A338:$BM338,,$BV$22)*$BW$22+
INDEX($A338:$BM338,,$BV$23)*$BW$23+
INDEX($A338:$BM338,,$BV$25)*$BW$25+
INDEX($A338:$BM338,,$BV$26)*$BW$26+
INDEX($A338:$BM338,,$BV$27)*$BW$27+
$BN338)),
$BN338-100)</f>
        <v>-100</v>
      </c>
      <c r="BF338" t="str">
        <f t="shared" si="75"/>
        <v/>
      </c>
      <c r="BG338" t="str">
        <f t="shared" si="76"/>
        <v/>
      </c>
      <c r="BH338">
        <f t="shared" si="77"/>
        <v>0</v>
      </c>
      <c r="BJ338" t="str">
        <f t="shared" si="78"/>
        <v/>
      </c>
      <c r="BL338">
        <f t="shared" si="67"/>
        <v>0</v>
      </c>
      <c r="BN338">
        <v>3.3700000000000002E-3</v>
      </c>
      <c r="BS338" s="4" t="s">
        <v>2280</v>
      </c>
    </row>
    <row r="339" spans="1:71" ht="15.75" thickBot="1" x14ac:dyDescent="0.3">
      <c r="A339" s="569" t="s">
        <v>104</v>
      </c>
      <c r="B339" s="569" t="s">
        <v>149</v>
      </c>
      <c r="C339" s="569" t="s">
        <v>6</v>
      </c>
      <c r="D339" s="574">
        <v>5</v>
      </c>
      <c r="E339" s="569"/>
      <c r="F339" s="569"/>
      <c r="G339" s="569"/>
      <c r="H339" s="569"/>
      <c r="I339" s="574">
        <v>0</v>
      </c>
      <c r="J339" s="574">
        <v>0</v>
      </c>
      <c r="K339" s="574">
        <v>0</v>
      </c>
      <c r="L339" s="574">
        <v>71.3</v>
      </c>
      <c r="M339" s="574">
        <v>5.8</v>
      </c>
      <c r="N339" s="574">
        <v>991.5</v>
      </c>
      <c r="O339" s="574">
        <v>0</v>
      </c>
      <c r="P339" s="574">
        <v>0</v>
      </c>
      <c r="Q339" s="574">
        <v>6.8</v>
      </c>
      <c r="R339" s="569"/>
      <c r="S339" s="569"/>
      <c r="T339" s="569"/>
      <c r="U339" s="569"/>
      <c r="V339" s="569"/>
      <c r="W339" s="569"/>
      <c r="X339" s="569"/>
      <c r="Y339" s="569"/>
      <c r="Z339" s="569"/>
      <c r="AA339" s="569"/>
      <c r="AB339" s="569"/>
      <c r="AC339" s="569"/>
      <c r="AD339" s="569"/>
      <c r="AE339" s="569"/>
      <c r="AF339" s="569"/>
      <c r="AG339" s="569"/>
      <c r="AH339" s="569"/>
      <c r="AI339" s="569"/>
      <c r="AJ339" s="569"/>
      <c r="AK339" s="569"/>
      <c r="AL339" s="569"/>
      <c r="AM339" s="569"/>
      <c r="AN339" s="574">
        <v>134.30000000000001</v>
      </c>
      <c r="AO339">
        <v>338</v>
      </c>
      <c r="AP339" t="str">
        <f t="shared" si="66"/>
        <v/>
      </c>
      <c r="AQ339" t="str">
        <f t="shared" si="69"/>
        <v/>
      </c>
      <c r="AR339" s="430">
        <f>IFERROR(
IF(AP339="",-100,
IF($BV$2&gt;0, INDEX(Beersheet!$A:$U,MATCH(AP339,INDEX(Beersheet!$A:$U,0,FFARawStatProjections!$BV$2),0),$BV$3)+$BN339,
INDEX($A339:$BM339,,$BV$12)*$BW$12+
INDEX($A339:$BM339,,$BV$15)*$BW$15+
INDEX($A339:$BM339,,$BV$16)*$BW$16+
INDEX($A339:$BM339,,$BV$17)*$BW$17+
INDEX($A339:$BM339,,$BV$18)*$BW$18+
INDEX($A339:$BM339,,$BV$19)*$BW$19+
INDEX($A339:$BM339,,$BV$20)*$BW$20+
INDEX($A339:$BM339,,$BV$21)*$BW$21+
INDEX($A339:$BM339,,$BV$22)*$BW$22+
INDEX($A339:$BM339,,$BV$23)*$BW$23+
INDEX($A339:$BM339,,$BV$25)*$BW$25+
INDEX($A339:$BM339,,$BV$26)*$BW$26+
INDEX($A339:$BM339,,$BV$27)*$BW$27+
$BN339)),
$BN339-100)</f>
        <v>-100</v>
      </c>
      <c r="AT339" t="str">
        <f t="shared" si="70"/>
        <v/>
      </c>
      <c r="AU339" t="str">
        <f t="shared" si="71"/>
        <v/>
      </c>
      <c r="AV339" s="430">
        <f>IFERROR(
IF(AT339="",-100,
IF($BV$2&gt;0, INDEX(Beersheet!$A:$U,MATCH(AT339,INDEX(Beersheet!$A:$U,0,FFARawStatProjections!$BV$2),0),$BV$3)+$BN339,
INDEX($A339:$BM339,,$BV$12)*$BW$12+
INDEX($A339:$BM339,,$BV$15)*$BW$15+
INDEX($A339:$BM339,,$BV$16)*$BW$16+
INDEX($A339:$BM339,,$BV$17)*$BW$17+
INDEX($A339:$BM339,,$BV$18)*$BW$18+
INDEX($A339:$BM339,,$BV$19)*$BW$19+
INDEX($A339:$BM339,,$BV$20)*$BW$20+
INDEX($A339:$BM339,,$BV$21)*$BW$21+
INDEX($A339:$BM339,,$BV$22)*$BW$22+
INDEX($A339:$BM339,,$BV$23)*$BW$23+
INDEX($A339:$BM339,,$BV$25)*$BW$25+
INDEX($A339:$BM339,,$BV$26)*$BW$26+
INDEX($A339:$BM339,,$BV$27)*$BW$27+
$BN339)),
$BN339-100)</f>
        <v>-100</v>
      </c>
      <c r="AX339" t="str">
        <f t="shared" si="72"/>
        <v>Mike Evans</v>
      </c>
      <c r="AY339" t="str">
        <f t="shared" si="73"/>
        <v>TB</v>
      </c>
      <c r="AZ339" s="430">
        <f>IFERROR(
IF(AX339="",-100,
IF($BV$2&gt;0, INDEX(Beersheet!$A:$U,MATCH(AX339,INDEX(Beersheet!$A:$U,0,FFARawStatProjections!$BV$2),0),$BV$3)+$BN339,
INDEX($A339:$BM339,,$BV$12)*$BW$12+
INDEX($A339:$BM339,,$BV$15)*$BW$15+
INDEX($A339:$BM339,,$BV$16)*$BW$16+
INDEX($A339:$BM339,,$BV$17)*$BW$17+
INDEX($A339:$BM339,,$BV$18)*$BW$18+
INDEX($A339:$BM339,,$BV$19)*$BW$19+
INDEX($A339:$BM339,,$BV$20)*$BW$20+
INDEX($A339:$BM339,,$BV$21)*$BW$21+
INDEX($A339:$BM339,,$BV$22)*$BW$22+
INDEX($A339:$BM339,,$BV$23)*$BW$23+
INDEX($A339:$BM339,,$BV$25)*$BW$25+
INDEX($A339:$BM339,,$BV$26)*$BW$26+
INDEX($A339:$BM339,,$BV$27)*$BW$27+
$BN339)),
$BN339-100)</f>
        <v>205.93338</v>
      </c>
      <c r="BB339" t="str">
        <f t="shared" si="74"/>
        <v/>
      </c>
      <c r="BC339" t="str">
        <f t="shared" si="68"/>
        <v/>
      </c>
      <c r="BD339" s="430">
        <f>IFERROR(
IF(BB339="",-100,
IF($BV$2&gt;0, INDEX(Beersheet!$A:$U,MATCH(BB339,INDEX(Beersheet!$A:$U,0,FFARawStatProjections!$BV$2),0),$BV$3)+$BN339,
INDEX($A339:$BM339,,$BV$12)*$BW$12+
INDEX($A339:$BM339,,$BV$15)*$BW$15+
INDEX($A339:$BM339,,$BV$16)*$BW$16+
INDEX($A339:$BM339,,$BV$17)*$BW$17+
INDEX($A339:$BM339,,$BV$18)*$BW$18+
INDEX($A339:$BM339,,$BV$19)*$BW$19+
INDEX($A339:$BM339,,$BV$20)*$BW$20+
INDEX($A339:$BM339,,$BV$21)*$BW$21+
INDEX($A339:$BM339,,$BV$22)*$BW$22+
INDEX($A339:$BM339,,$BV$23)*$BW$23+
INDEX($A339:$BM339,,$BV$25)*$BW$25+
INDEX($A339:$BM339,,$BV$26)*$BW$26+
INDEX($A339:$BM339,,$BV$27)*$BW$27+
$BN339)),
$BN339-100)</f>
        <v>-100</v>
      </c>
      <c r="BF339" t="str">
        <f t="shared" si="75"/>
        <v/>
      </c>
      <c r="BG339" t="str">
        <f t="shared" si="76"/>
        <v/>
      </c>
      <c r="BH339">
        <f t="shared" si="77"/>
        <v>0</v>
      </c>
      <c r="BJ339" t="str">
        <f t="shared" si="78"/>
        <v/>
      </c>
      <c r="BL339">
        <f t="shared" si="67"/>
        <v>0</v>
      </c>
      <c r="BN339">
        <v>3.3800000000000002E-3</v>
      </c>
      <c r="BS339" s="4" t="s">
        <v>2096</v>
      </c>
    </row>
    <row r="340" spans="1:71" ht="15.75" thickBot="1" x14ac:dyDescent="0.3">
      <c r="A340" s="569" t="s">
        <v>53</v>
      </c>
      <c r="B340" s="569" t="s">
        <v>1388</v>
      </c>
      <c r="C340" s="569" t="s">
        <v>6</v>
      </c>
      <c r="D340" s="574">
        <v>5</v>
      </c>
      <c r="E340" s="569"/>
      <c r="F340" s="569"/>
      <c r="G340" s="569"/>
      <c r="H340" s="569"/>
      <c r="I340" s="574">
        <v>0</v>
      </c>
      <c r="J340" s="574">
        <v>0</v>
      </c>
      <c r="K340" s="574">
        <v>0</v>
      </c>
      <c r="L340" s="574">
        <v>89.6</v>
      </c>
      <c r="M340" s="574">
        <v>5.6</v>
      </c>
      <c r="N340" s="574">
        <v>993</v>
      </c>
      <c r="O340" s="574">
        <v>1.3</v>
      </c>
      <c r="P340" s="574">
        <v>0</v>
      </c>
      <c r="Q340" s="574">
        <v>7.4</v>
      </c>
      <c r="R340" s="569"/>
      <c r="S340" s="569"/>
      <c r="T340" s="569"/>
      <c r="U340" s="569"/>
      <c r="V340" s="569"/>
      <c r="W340" s="569"/>
      <c r="X340" s="569"/>
      <c r="Y340" s="569"/>
      <c r="Z340" s="569"/>
      <c r="AA340" s="569"/>
      <c r="AB340" s="569"/>
      <c r="AC340" s="569"/>
      <c r="AD340" s="569"/>
      <c r="AE340" s="569"/>
      <c r="AF340" s="569"/>
      <c r="AG340" s="569"/>
      <c r="AH340" s="569"/>
      <c r="AI340" s="569"/>
      <c r="AJ340" s="569"/>
      <c r="AK340" s="569"/>
      <c r="AL340" s="569"/>
      <c r="AM340" s="569"/>
      <c r="AN340" s="574">
        <v>132.80000000000001</v>
      </c>
      <c r="AO340">
        <v>339</v>
      </c>
      <c r="AP340" t="str">
        <f t="shared" ref="AP340:AP403" si="79">IF($C340="QB",A340,"")</f>
        <v/>
      </c>
      <c r="AQ340" t="str">
        <f t="shared" si="69"/>
        <v/>
      </c>
      <c r="AR340" s="430">
        <f>IFERROR(
IF(AP340="",-100,
IF($BV$2&gt;0, INDEX(Beersheet!$A:$U,MATCH(AP340,INDEX(Beersheet!$A:$U,0,FFARawStatProjections!$BV$2),0),$BV$3)+$BN340,
INDEX($A340:$BM340,,$BV$12)*$BW$12+
INDEX($A340:$BM340,,$BV$15)*$BW$15+
INDEX($A340:$BM340,,$BV$16)*$BW$16+
INDEX($A340:$BM340,,$BV$17)*$BW$17+
INDEX($A340:$BM340,,$BV$18)*$BW$18+
INDEX($A340:$BM340,,$BV$19)*$BW$19+
INDEX($A340:$BM340,,$BV$20)*$BW$20+
INDEX($A340:$BM340,,$BV$21)*$BW$21+
INDEX($A340:$BM340,,$BV$22)*$BW$22+
INDEX($A340:$BM340,,$BV$23)*$BW$23+
INDEX($A340:$BM340,,$BV$25)*$BW$25+
INDEX($A340:$BM340,,$BV$26)*$BW$26+
INDEX($A340:$BM340,,$BV$27)*$BW$27+
$BN340)),
$BN340-100)</f>
        <v>-100</v>
      </c>
      <c r="AT340" t="str">
        <f t="shared" si="70"/>
        <v/>
      </c>
      <c r="AU340" t="str">
        <f t="shared" si="71"/>
        <v/>
      </c>
      <c r="AV340" s="430">
        <f>IFERROR(
IF(AT340="",-100,
IF($BV$2&gt;0, INDEX(Beersheet!$A:$U,MATCH(AT340,INDEX(Beersheet!$A:$U,0,FFARawStatProjections!$BV$2),0),$BV$3)+$BN340,
INDEX($A340:$BM340,,$BV$12)*$BW$12+
INDEX($A340:$BM340,,$BV$15)*$BW$15+
INDEX($A340:$BM340,,$BV$16)*$BW$16+
INDEX($A340:$BM340,,$BV$17)*$BW$17+
INDEX($A340:$BM340,,$BV$18)*$BW$18+
INDEX($A340:$BM340,,$BV$19)*$BW$19+
INDEX($A340:$BM340,,$BV$20)*$BW$20+
INDEX($A340:$BM340,,$BV$21)*$BW$21+
INDEX($A340:$BM340,,$BV$22)*$BW$22+
INDEX($A340:$BM340,,$BV$23)*$BW$23+
INDEX($A340:$BM340,,$BV$25)*$BW$25+
INDEX($A340:$BM340,,$BV$26)*$BW$26+
INDEX($A340:$BM340,,$BV$27)*$BW$27+
$BN340)),
$BN340-100)</f>
        <v>-100</v>
      </c>
      <c r="AX340" t="str">
        <f t="shared" si="72"/>
        <v>Keenan Allen</v>
      </c>
      <c r="AY340" t="str">
        <f t="shared" si="73"/>
        <v>LAC</v>
      </c>
      <c r="AZ340" s="430">
        <f>IFERROR(
IF(AX340="",-100,
IF($BV$2&gt;0, INDEX(Beersheet!$A:$U,MATCH(AX340,INDEX(Beersheet!$A:$U,0,FFARawStatProjections!$BV$2),0),$BV$3)+$BN340,
INDEX($A340:$BM340,,$BV$12)*$BW$12+
INDEX($A340:$BM340,,$BV$15)*$BW$15+
INDEX($A340:$BM340,,$BV$16)*$BW$16+
INDEX($A340:$BM340,,$BV$17)*$BW$17+
INDEX($A340:$BM340,,$BV$18)*$BW$18+
INDEX($A340:$BM340,,$BV$19)*$BW$19+
INDEX($A340:$BM340,,$BV$20)*$BW$20+
INDEX($A340:$BM340,,$BV$21)*$BW$21+
INDEX($A340:$BM340,,$BV$22)*$BW$22+
INDEX($A340:$BM340,,$BV$23)*$BW$23+
INDEX($A340:$BM340,,$BV$25)*$BW$25+
INDEX($A340:$BM340,,$BV$26)*$BW$26+
INDEX($A340:$BM340,,$BV$27)*$BW$27+
$BN340)),
$BN340-100)</f>
        <v>223.24339000000001</v>
      </c>
      <c r="BB340" t="str">
        <f t="shared" si="74"/>
        <v/>
      </c>
      <c r="BC340" t="str">
        <f t="shared" si="68"/>
        <v/>
      </c>
      <c r="BD340" s="430">
        <f>IFERROR(
IF(BB340="",-100,
IF($BV$2&gt;0, INDEX(Beersheet!$A:$U,MATCH(BB340,INDEX(Beersheet!$A:$U,0,FFARawStatProjections!$BV$2),0),$BV$3)+$BN340,
INDEX($A340:$BM340,,$BV$12)*$BW$12+
INDEX($A340:$BM340,,$BV$15)*$BW$15+
INDEX($A340:$BM340,,$BV$16)*$BW$16+
INDEX($A340:$BM340,,$BV$17)*$BW$17+
INDEX($A340:$BM340,,$BV$18)*$BW$18+
INDEX($A340:$BM340,,$BV$19)*$BW$19+
INDEX($A340:$BM340,,$BV$20)*$BW$20+
INDEX($A340:$BM340,,$BV$21)*$BW$21+
INDEX($A340:$BM340,,$BV$22)*$BW$22+
INDEX($A340:$BM340,,$BV$23)*$BW$23+
INDEX($A340:$BM340,,$BV$25)*$BW$25+
INDEX($A340:$BM340,,$BV$26)*$BW$26+
INDEX($A340:$BM340,,$BV$27)*$BW$27+
$BN340)),
$BN340-100)</f>
        <v>-100</v>
      </c>
      <c r="BF340" t="str">
        <f t="shared" si="75"/>
        <v/>
      </c>
      <c r="BG340" t="str">
        <f t="shared" si="76"/>
        <v/>
      </c>
      <c r="BH340">
        <f t="shared" si="77"/>
        <v>0</v>
      </c>
      <c r="BJ340" t="str">
        <f t="shared" si="78"/>
        <v/>
      </c>
      <c r="BL340">
        <f t="shared" si="67"/>
        <v>0</v>
      </c>
      <c r="BN340">
        <v>3.3899999999999998E-3</v>
      </c>
      <c r="BS340" s="4" t="s">
        <v>2470</v>
      </c>
    </row>
    <row r="341" spans="1:71" ht="15.75" thickBot="1" x14ac:dyDescent="0.3">
      <c r="A341" s="569" t="s">
        <v>108</v>
      </c>
      <c r="B341" s="569" t="s">
        <v>163</v>
      </c>
      <c r="C341" s="569" t="s">
        <v>6</v>
      </c>
      <c r="D341" s="574">
        <v>7</v>
      </c>
      <c r="E341" s="569"/>
      <c r="F341" s="569"/>
      <c r="G341" s="569"/>
      <c r="H341" s="569"/>
      <c r="I341" s="574">
        <v>0</v>
      </c>
      <c r="J341" s="574">
        <v>0</v>
      </c>
      <c r="K341" s="574">
        <v>0</v>
      </c>
      <c r="L341" s="574">
        <v>78.099999999999994</v>
      </c>
      <c r="M341" s="574">
        <v>5.3</v>
      </c>
      <c r="N341" s="574">
        <v>991.6</v>
      </c>
      <c r="O341" s="574">
        <v>0.2</v>
      </c>
      <c r="P341" s="574">
        <v>0</v>
      </c>
      <c r="Q341" s="574">
        <v>1.2</v>
      </c>
      <c r="R341" s="569"/>
      <c r="S341" s="569"/>
      <c r="T341" s="569"/>
      <c r="U341" s="569"/>
      <c r="V341" s="569"/>
      <c r="W341" s="569"/>
      <c r="X341" s="569"/>
      <c r="Y341" s="569"/>
      <c r="Z341" s="569"/>
      <c r="AA341" s="569"/>
      <c r="AB341" s="569"/>
      <c r="AC341" s="569"/>
      <c r="AD341" s="569"/>
      <c r="AE341" s="569"/>
      <c r="AF341" s="569"/>
      <c r="AG341" s="569"/>
      <c r="AH341" s="569"/>
      <c r="AI341" s="569"/>
      <c r="AJ341" s="569"/>
      <c r="AK341" s="569"/>
      <c r="AL341" s="569"/>
      <c r="AM341" s="569"/>
      <c r="AN341" s="574">
        <v>129.6</v>
      </c>
      <c r="AO341">
        <v>340</v>
      </c>
      <c r="AP341" t="str">
        <f t="shared" si="79"/>
        <v/>
      </c>
      <c r="AQ341" t="str">
        <f t="shared" si="69"/>
        <v/>
      </c>
      <c r="AR341" s="430">
        <f>IFERROR(
IF(AP341="",-100,
IF($BV$2&gt;0, INDEX(Beersheet!$A:$U,MATCH(AP341,INDEX(Beersheet!$A:$U,0,FFARawStatProjections!$BV$2),0),$BV$3)+$BN341,
INDEX($A341:$BM341,,$BV$12)*$BW$12+
INDEX($A341:$BM341,,$BV$15)*$BW$15+
INDEX($A341:$BM341,,$BV$16)*$BW$16+
INDEX($A341:$BM341,,$BV$17)*$BW$17+
INDEX($A341:$BM341,,$BV$18)*$BW$18+
INDEX($A341:$BM341,,$BV$19)*$BW$19+
INDEX($A341:$BM341,,$BV$20)*$BW$20+
INDEX($A341:$BM341,,$BV$21)*$BW$21+
INDEX($A341:$BM341,,$BV$22)*$BW$22+
INDEX($A341:$BM341,,$BV$23)*$BW$23+
INDEX($A341:$BM341,,$BV$25)*$BW$25+
INDEX($A341:$BM341,,$BV$26)*$BW$26+
INDEX($A341:$BM341,,$BV$27)*$BW$27+
$BN341)),
$BN341-100)</f>
        <v>-100</v>
      </c>
      <c r="AT341" t="str">
        <f t="shared" si="70"/>
        <v/>
      </c>
      <c r="AU341" t="str">
        <f t="shared" si="71"/>
        <v/>
      </c>
      <c r="AV341" s="430">
        <f>IFERROR(
IF(AT341="",-100,
IF($BV$2&gt;0, INDEX(Beersheet!$A:$U,MATCH(AT341,INDEX(Beersheet!$A:$U,0,FFARawStatProjections!$BV$2),0),$BV$3)+$BN341,
INDEX($A341:$BM341,,$BV$12)*$BW$12+
INDEX($A341:$BM341,,$BV$15)*$BW$15+
INDEX($A341:$BM341,,$BV$16)*$BW$16+
INDEX($A341:$BM341,,$BV$17)*$BW$17+
INDEX($A341:$BM341,,$BV$18)*$BW$18+
INDEX($A341:$BM341,,$BV$19)*$BW$19+
INDEX($A341:$BM341,,$BV$20)*$BW$20+
INDEX($A341:$BM341,,$BV$21)*$BW$21+
INDEX($A341:$BM341,,$BV$22)*$BW$22+
INDEX($A341:$BM341,,$BV$23)*$BW$23+
INDEX($A341:$BM341,,$BV$25)*$BW$25+
INDEX($A341:$BM341,,$BV$26)*$BW$26+
INDEX($A341:$BM341,,$BV$27)*$BW$27+
$BN341)),
$BN341-100)</f>
        <v>-100</v>
      </c>
      <c r="AX341" t="str">
        <f t="shared" si="72"/>
        <v>DeAndre Hopkins</v>
      </c>
      <c r="AY341" t="str">
        <f t="shared" si="73"/>
        <v>TEN</v>
      </c>
      <c r="AZ341" s="430">
        <f>IFERROR(
IF(AX341="",-100,
IF($BV$2&gt;0, INDEX(Beersheet!$A:$U,MATCH(AX341,INDEX(Beersheet!$A:$U,0,FFARawStatProjections!$BV$2),0),$BV$3)+$BN341,
INDEX($A341:$BM341,,$BV$12)*$BW$12+
INDEX($A341:$BM341,,$BV$15)*$BW$15+
INDEX($A341:$BM341,,$BV$16)*$BW$16+
INDEX($A341:$BM341,,$BV$17)*$BW$17+
INDEX($A341:$BM341,,$BV$18)*$BW$18+
INDEX($A341:$BM341,,$BV$19)*$BW$19+
INDEX($A341:$BM341,,$BV$20)*$BW$20+
INDEX($A341:$BM341,,$BV$21)*$BW$21+
INDEX($A341:$BM341,,$BV$22)*$BW$22+
INDEX($A341:$BM341,,$BV$23)*$BW$23+
INDEX($A341:$BM341,,$BV$25)*$BW$25+
INDEX($A341:$BM341,,$BV$26)*$BW$26+
INDEX($A341:$BM341,,$BV$27)*$BW$27+
$BN341)),
$BN341-100)</f>
        <v>209.18340000000001</v>
      </c>
      <c r="BB341" t="str">
        <f t="shared" si="74"/>
        <v/>
      </c>
      <c r="BC341" t="str">
        <f t="shared" si="68"/>
        <v/>
      </c>
      <c r="BD341" s="430">
        <f>IFERROR(
IF(BB341="",-100,
IF($BV$2&gt;0, INDEX(Beersheet!$A:$U,MATCH(BB341,INDEX(Beersheet!$A:$U,0,FFARawStatProjections!$BV$2),0),$BV$3)+$BN341,
INDEX($A341:$BM341,,$BV$12)*$BW$12+
INDEX($A341:$BM341,,$BV$15)*$BW$15+
INDEX($A341:$BM341,,$BV$16)*$BW$16+
INDEX($A341:$BM341,,$BV$17)*$BW$17+
INDEX($A341:$BM341,,$BV$18)*$BW$18+
INDEX($A341:$BM341,,$BV$19)*$BW$19+
INDEX($A341:$BM341,,$BV$20)*$BW$20+
INDEX($A341:$BM341,,$BV$21)*$BW$21+
INDEX($A341:$BM341,,$BV$22)*$BW$22+
INDEX($A341:$BM341,,$BV$23)*$BW$23+
INDEX($A341:$BM341,,$BV$25)*$BW$25+
INDEX($A341:$BM341,,$BV$26)*$BW$26+
INDEX($A341:$BM341,,$BV$27)*$BW$27+
$BN341)),
$BN341-100)</f>
        <v>-100</v>
      </c>
      <c r="BF341" t="str">
        <f t="shared" si="75"/>
        <v/>
      </c>
      <c r="BG341" t="str">
        <f t="shared" si="76"/>
        <v/>
      </c>
      <c r="BH341">
        <f t="shared" si="77"/>
        <v>0</v>
      </c>
      <c r="BJ341" t="str">
        <f t="shared" si="78"/>
        <v/>
      </c>
      <c r="BL341">
        <f t="shared" si="67"/>
        <v>0</v>
      </c>
      <c r="BN341">
        <v>3.3999999999999998E-3</v>
      </c>
      <c r="BS341" s="4" t="s">
        <v>2193</v>
      </c>
    </row>
    <row r="342" spans="1:71" ht="15.75" thickBot="1" x14ac:dyDescent="0.3">
      <c r="A342" s="569" t="s">
        <v>1791</v>
      </c>
      <c r="B342" s="569" t="s">
        <v>165</v>
      </c>
      <c r="C342" s="569" t="s">
        <v>6</v>
      </c>
      <c r="D342" s="574">
        <v>9</v>
      </c>
      <c r="E342" s="569"/>
      <c r="F342" s="569"/>
      <c r="G342" s="569"/>
      <c r="H342" s="569"/>
      <c r="I342" s="574">
        <v>0</v>
      </c>
      <c r="J342" s="574">
        <v>0</v>
      </c>
      <c r="K342" s="574">
        <v>0</v>
      </c>
      <c r="L342" s="574">
        <v>74.2</v>
      </c>
      <c r="M342" s="574">
        <v>5.9</v>
      </c>
      <c r="N342" s="574">
        <v>919.1</v>
      </c>
      <c r="O342" s="574">
        <v>3.5</v>
      </c>
      <c r="P342" s="574">
        <v>0.1</v>
      </c>
      <c r="Q342" s="574">
        <v>21</v>
      </c>
      <c r="R342" s="569"/>
      <c r="S342" s="569"/>
      <c r="T342" s="569"/>
      <c r="U342" s="569"/>
      <c r="V342" s="569"/>
      <c r="W342" s="569"/>
      <c r="X342" s="569"/>
      <c r="Y342" s="569"/>
      <c r="Z342" s="569"/>
      <c r="AA342" s="569"/>
      <c r="AB342" s="569"/>
      <c r="AC342" s="569"/>
      <c r="AD342" s="569"/>
      <c r="AE342" s="569"/>
      <c r="AF342" s="569"/>
      <c r="AG342" s="569"/>
      <c r="AH342" s="569"/>
      <c r="AI342" s="569"/>
      <c r="AJ342" s="569"/>
      <c r="AK342" s="569"/>
      <c r="AL342" s="569"/>
      <c r="AM342" s="569"/>
      <c r="AN342" s="574">
        <v>128.80000000000001</v>
      </c>
      <c r="AO342">
        <v>341</v>
      </c>
      <c r="AP342" t="str">
        <f t="shared" si="79"/>
        <v/>
      </c>
      <c r="AQ342" t="str">
        <f t="shared" si="69"/>
        <v/>
      </c>
      <c r="AR342" s="430">
        <f>IFERROR(
IF(AP342="",-100,
IF($BV$2&gt;0, INDEX(Beersheet!$A:$U,MATCH(AP342,INDEX(Beersheet!$A:$U,0,FFARawStatProjections!$BV$2),0),$BV$3)+$BN342,
INDEX($A342:$BM342,,$BV$12)*$BW$12+
INDEX($A342:$BM342,,$BV$15)*$BW$15+
INDEX($A342:$BM342,,$BV$16)*$BW$16+
INDEX($A342:$BM342,,$BV$17)*$BW$17+
INDEX($A342:$BM342,,$BV$18)*$BW$18+
INDEX($A342:$BM342,,$BV$19)*$BW$19+
INDEX($A342:$BM342,,$BV$20)*$BW$20+
INDEX($A342:$BM342,,$BV$21)*$BW$21+
INDEX($A342:$BM342,,$BV$22)*$BW$22+
INDEX($A342:$BM342,,$BV$23)*$BW$23+
INDEX($A342:$BM342,,$BV$25)*$BW$25+
INDEX($A342:$BM342,,$BV$26)*$BW$26+
INDEX($A342:$BM342,,$BV$27)*$BW$27+
$BN342)),
$BN342-100)</f>
        <v>-100</v>
      </c>
      <c r="AT342" t="str">
        <f t="shared" si="70"/>
        <v/>
      </c>
      <c r="AU342" t="str">
        <f t="shared" si="71"/>
        <v/>
      </c>
      <c r="AV342" s="430">
        <f>IFERROR(
IF(AT342="",-100,
IF($BV$2&gt;0, INDEX(Beersheet!$A:$U,MATCH(AT342,INDEX(Beersheet!$A:$U,0,FFARawStatProjections!$BV$2),0),$BV$3)+$BN342,
INDEX($A342:$BM342,,$BV$12)*$BW$12+
INDEX($A342:$BM342,,$BV$15)*$BW$15+
INDEX($A342:$BM342,,$BV$16)*$BW$16+
INDEX($A342:$BM342,,$BV$17)*$BW$17+
INDEX($A342:$BM342,,$BV$18)*$BW$18+
INDEX($A342:$BM342,,$BV$19)*$BW$19+
INDEX($A342:$BM342,,$BV$20)*$BW$20+
INDEX($A342:$BM342,,$BV$21)*$BW$21+
INDEX($A342:$BM342,,$BV$22)*$BW$22+
INDEX($A342:$BM342,,$BV$23)*$BW$23+
INDEX($A342:$BM342,,$BV$25)*$BW$25+
INDEX($A342:$BM342,,$BV$26)*$BW$26+
INDEX($A342:$BM342,,$BV$27)*$BW$27+
$BN342)),
$BN342-100)</f>
        <v>-100</v>
      </c>
      <c r="AX342" t="str">
        <f t="shared" si="72"/>
        <v>Christian Kirk</v>
      </c>
      <c r="AY342" t="str">
        <f t="shared" si="73"/>
        <v>JAC</v>
      </c>
      <c r="AZ342" s="430">
        <f>IFERROR(
IF(AX342="",-100,
IF($BV$2&gt;0, INDEX(Beersheet!$A:$U,MATCH(AX342,INDEX(Beersheet!$A:$U,0,FFARawStatProjections!$BV$2),0),$BV$3)+$BN342,
INDEX($A342:$BM342,,$BV$12)*$BW$12+
INDEX($A342:$BM342,,$BV$15)*$BW$15+
INDEX($A342:$BM342,,$BV$16)*$BW$16+
INDEX($A342:$BM342,,$BV$17)*$BW$17+
INDEX($A342:$BM342,,$BV$18)*$BW$18+
INDEX($A342:$BM342,,$BV$19)*$BW$19+
INDEX($A342:$BM342,,$BV$20)*$BW$20+
INDEX($A342:$BM342,,$BV$21)*$BW$21+
INDEX($A342:$BM342,,$BV$22)*$BW$22+
INDEX($A342:$BM342,,$BV$23)*$BW$23+
INDEX($A342:$BM342,,$BV$25)*$BW$25+
INDEX($A342:$BM342,,$BV$26)*$BW$26+
INDEX($A342:$BM342,,$BV$27)*$BW$27+
$BN342)),
$BN342-100)</f>
        <v>204.21341000000001</v>
      </c>
      <c r="BB342" t="str">
        <f t="shared" si="74"/>
        <v/>
      </c>
      <c r="BC342" t="str">
        <f t="shared" si="68"/>
        <v/>
      </c>
      <c r="BD342" s="430">
        <f>IFERROR(
IF(BB342="",-100,
IF($BV$2&gt;0, INDEX(Beersheet!$A:$U,MATCH(BB342,INDEX(Beersheet!$A:$U,0,FFARawStatProjections!$BV$2),0),$BV$3)+$BN342,
INDEX($A342:$BM342,,$BV$12)*$BW$12+
INDEX($A342:$BM342,,$BV$15)*$BW$15+
INDEX($A342:$BM342,,$BV$16)*$BW$16+
INDEX($A342:$BM342,,$BV$17)*$BW$17+
INDEX($A342:$BM342,,$BV$18)*$BW$18+
INDEX($A342:$BM342,,$BV$19)*$BW$19+
INDEX($A342:$BM342,,$BV$20)*$BW$20+
INDEX($A342:$BM342,,$BV$21)*$BW$21+
INDEX($A342:$BM342,,$BV$22)*$BW$22+
INDEX($A342:$BM342,,$BV$23)*$BW$23+
INDEX($A342:$BM342,,$BV$25)*$BW$25+
INDEX($A342:$BM342,,$BV$26)*$BW$26+
INDEX($A342:$BM342,,$BV$27)*$BW$27+
$BN342)),
$BN342-100)</f>
        <v>-100</v>
      </c>
      <c r="BF342" t="str">
        <f t="shared" si="75"/>
        <v/>
      </c>
      <c r="BG342" t="str">
        <f t="shared" si="76"/>
        <v/>
      </c>
      <c r="BH342">
        <f t="shared" si="77"/>
        <v>0</v>
      </c>
      <c r="BJ342" t="str">
        <f t="shared" si="78"/>
        <v/>
      </c>
      <c r="BL342">
        <f t="shared" si="67"/>
        <v>0</v>
      </c>
      <c r="BN342">
        <v>3.4099999999999998E-3</v>
      </c>
      <c r="BS342" s="4" t="s">
        <v>2141</v>
      </c>
    </row>
    <row r="343" spans="1:71" ht="15.75" thickBot="1" x14ac:dyDescent="0.3">
      <c r="A343" s="569" t="s">
        <v>2087</v>
      </c>
      <c r="B343" s="569" t="s">
        <v>155</v>
      </c>
      <c r="C343" s="569" t="s">
        <v>6</v>
      </c>
      <c r="D343" s="574">
        <v>9</v>
      </c>
      <c r="E343" s="569"/>
      <c r="F343" s="569"/>
      <c r="G343" s="569"/>
      <c r="H343" s="569"/>
      <c r="I343" s="574">
        <v>0</v>
      </c>
      <c r="J343" s="574">
        <v>0</v>
      </c>
      <c r="K343" s="574">
        <v>0</v>
      </c>
      <c r="L343" s="574">
        <v>64.7</v>
      </c>
      <c r="M343" s="574">
        <v>5.4</v>
      </c>
      <c r="N343" s="574">
        <v>891.5</v>
      </c>
      <c r="O343" s="574">
        <v>2.7</v>
      </c>
      <c r="P343" s="574">
        <v>0.2</v>
      </c>
      <c r="Q343" s="574">
        <v>18.3</v>
      </c>
      <c r="R343" s="569"/>
      <c r="S343" s="569"/>
      <c r="T343" s="569"/>
      <c r="U343" s="569"/>
      <c r="V343" s="569"/>
      <c r="W343" s="569"/>
      <c r="X343" s="569"/>
      <c r="Y343" s="569"/>
      <c r="Z343" s="569"/>
      <c r="AA343" s="569"/>
      <c r="AB343" s="569"/>
      <c r="AC343" s="569"/>
      <c r="AD343" s="569"/>
      <c r="AE343" s="569"/>
      <c r="AF343" s="569"/>
      <c r="AG343" s="569"/>
      <c r="AH343" s="569"/>
      <c r="AI343" s="569"/>
      <c r="AJ343" s="569"/>
      <c r="AK343" s="569"/>
      <c r="AL343" s="569"/>
      <c r="AM343" s="569"/>
      <c r="AN343" s="574">
        <v>123.2</v>
      </c>
      <c r="AO343">
        <v>342</v>
      </c>
      <c r="AP343" t="str">
        <f t="shared" si="79"/>
        <v/>
      </c>
      <c r="AQ343" t="str">
        <f t="shared" si="69"/>
        <v/>
      </c>
      <c r="AR343" s="430">
        <f>IFERROR(
IF(AP343="",-100,
IF($BV$2&gt;0, INDEX(Beersheet!$A:$U,MATCH(AP343,INDEX(Beersheet!$A:$U,0,FFARawStatProjections!$BV$2),0),$BV$3)+$BN343,
INDEX($A343:$BM343,,$BV$12)*$BW$12+
INDEX($A343:$BM343,,$BV$15)*$BW$15+
INDEX($A343:$BM343,,$BV$16)*$BW$16+
INDEX($A343:$BM343,,$BV$17)*$BW$17+
INDEX($A343:$BM343,,$BV$18)*$BW$18+
INDEX($A343:$BM343,,$BV$19)*$BW$19+
INDEX($A343:$BM343,,$BV$20)*$BW$20+
INDEX($A343:$BM343,,$BV$21)*$BW$21+
INDEX($A343:$BM343,,$BV$22)*$BW$22+
INDEX($A343:$BM343,,$BV$23)*$BW$23+
INDEX($A343:$BM343,,$BV$25)*$BW$25+
INDEX($A343:$BM343,,$BV$26)*$BW$26+
INDEX($A343:$BM343,,$BV$27)*$BW$27+
$BN343)),
$BN343-100)</f>
        <v>-100</v>
      </c>
      <c r="AT343" t="str">
        <f t="shared" si="70"/>
        <v/>
      </c>
      <c r="AU343" t="str">
        <f t="shared" si="71"/>
        <v/>
      </c>
      <c r="AV343" s="430">
        <f>IFERROR(
IF(AT343="",-100,
IF($BV$2&gt;0, INDEX(Beersheet!$A:$U,MATCH(AT343,INDEX(Beersheet!$A:$U,0,FFARawStatProjections!$BV$2),0),$BV$3)+$BN343,
INDEX($A343:$BM343,,$BV$12)*$BW$12+
INDEX($A343:$BM343,,$BV$15)*$BW$15+
INDEX($A343:$BM343,,$BV$16)*$BW$16+
INDEX($A343:$BM343,,$BV$17)*$BW$17+
INDEX($A343:$BM343,,$BV$18)*$BW$18+
INDEX($A343:$BM343,,$BV$19)*$BW$19+
INDEX($A343:$BM343,,$BV$20)*$BW$20+
INDEX($A343:$BM343,,$BV$21)*$BW$21+
INDEX($A343:$BM343,,$BV$22)*$BW$22+
INDEX($A343:$BM343,,$BV$23)*$BW$23+
INDEX($A343:$BM343,,$BV$25)*$BW$25+
INDEX($A343:$BM343,,$BV$26)*$BW$26+
INDEX($A343:$BM343,,$BV$27)*$BW$27+
$BN343)),
$BN343-100)</f>
        <v>-100</v>
      </c>
      <c r="AX343" t="str">
        <f t="shared" si="72"/>
        <v>Brandon Aiyuk</v>
      </c>
      <c r="AY343" t="str">
        <f t="shared" si="73"/>
        <v>SF</v>
      </c>
      <c r="AZ343" s="430">
        <f>IFERROR(
IF(AX343="",-100,
IF($BV$2&gt;0, INDEX(Beersheet!$A:$U,MATCH(AX343,INDEX(Beersheet!$A:$U,0,FFARawStatProjections!$BV$2),0),$BV$3)+$BN343,
INDEX($A343:$BM343,,$BV$12)*$BW$12+
INDEX($A343:$BM343,,$BV$15)*$BW$15+
INDEX($A343:$BM343,,$BV$16)*$BW$16+
INDEX($A343:$BM343,,$BV$17)*$BW$17+
INDEX($A343:$BM343,,$BV$18)*$BW$18+
INDEX($A343:$BM343,,$BV$19)*$BW$19+
INDEX($A343:$BM343,,$BV$20)*$BW$20+
INDEX($A343:$BM343,,$BV$21)*$BW$21+
INDEX($A343:$BM343,,$BV$22)*$BW$22+
INDEX($A343:$BM343,,$BV$23)*$BW$23+
INDEX($A343:$BM343,,$BV$25)*$BW$25+
INDEX($A343:$BM343,,$BV$26)*$BW$26+
INDEX($A343:$BM343,,$BV$27)*$BW$27+
$BN343)),
$BN343-100)</f>
        <v>189.28342000000001</v>
      </c>
      <c r="BB343" t="str">
        <f t="shared" si="74"/>
        <v/>
      </c>
      <c r="BC343" t="str">
        <f t="shared" si="68"/>
        <v/>
      </c>
      <c r="BD343" s="430">
        <f>IFERROR(
IF(BB343="",-100,
IF($BV$2&gt;0, INDEX(Beersheet!$A:$U,MATCH(BB343,INDEX(Beersheet!$A:$U,0,FFARawStatProjections!$BV$2),0),$BV$3)+$BN343,
INDEX($A343:$BM343,,$BV$12)*$BW$12+
INDEX($A343:$BM343,,$BV$15)*$BW$15+
INDEX($A343:$BM343,,$BV$16)*$BW$16+
INDEX($A343:$BM343,,$BV$17)*$BW$17+
INDEX($A343:$BM343,,$BV$18)*$BW$18+
INDEX($A343:$BM343,,$BV$19)*$BW$19+
INDEX($A343:$BM343,,$BV$20)*$BW$20+
INDEX($A343:$BM343,,$BV$21)*$BW$21+
INDEX($A343:$BM343,,$BV$22)*$BW$22+
INDEX($A343:$BM343,,$BV$23)*$BW$23+
INDEX($A343:$BM343,,$BV$25)*$BW$25+
INDEX($A343:$BM343,,$BV$26)*$BW$26+
INDEX($A343:$BM343,,$BV$27)*$BW$27+
$BN343)),
$BN343-100)</f>
        <v>-100</v>
      </c>
      <c r="BF343" t="str">
        <f t="shared" si="75"/>
        <v/>
      </c>
      <c r="BG343" t="str">
        <f t="shared" si="76"/>
        <v/>
      </c>
      <c r="BH343">
        <f t="shared" si="77"/>
        <v>0</v>
      </c>
      <c r="BJ343" t="str">
        <f t="shared" si="78"/>
        <v/>
      </c>
      <c r="BL343">
        <f t="shared" si="67"/>
        <v>0</v>
      </c>
      <c r="BN343">
        <v>3.4199999999999999E-3</v>
      </c>
      <c r="BS343" s="4" t="s">
        <v>1215</v>
      </c>
    </row>
    <row r="344" spans="1:71" ht="15.75" thickBot="1" x14ac:dyDescent="0.3">
      <c r="A344" s="569" t="s">
        <v>2318</v>
      </c>
      <c r="B344" s="569" t="s">
        <v>148</v>
      </c>
      <c r="C344" s="569" t="s">
        <v>6</v>
      </c>
      <c r="D344" s="574">
        <v>11</v>
      </c>
      <c r="E344" s="569"/>
      <c r="F344" s="569"/>
      <c r="G344" s="569"/>
      <c r="H344" s="569"/>
      <c r="I344" s="574">
        <v>0</v>
      </c>
      <c r="J344" s="574">
        <v>0</v>
      </c>
      <c r="K344" s="574">
        <v>0</v>
      </c>
      <c r="L344" s="574">
        <v>75.900000000000006</v>
      </c>
      <c r="M344" s="574">
        <v>5.5</v>
      </c>
      <c r="N344" s="574">
        <v>937.2</v>
      </c>
      <c r="O344" s="574">
        <v>0</v>
      </c>
      <c r="P344" s="574">
        <v>0</v>
      </c>
      <c r="Q344" s="574">
        <v>0.1</v>
      </c>
      <c r="R344" s="569"/>
      <c r="S344" s="569"/>
      <c r="T344" s="569"/>
      <c r="U344" s="569"/>
      <c r="V344" s="569"/>
      <c r="W344" s="569"/>
      <c r="X344" s="569"/>
      <c r="Y344" s="569"/>
      <c r="Z344" s="569"/>
      <c r="AA344" s="569"/>
      <c r="AB344" s="569"/>
      <c r="AC344" s="569"/>
      <c r="AD344" s="569"/>
      <c r="AE344" s="569"/>
      <c r="AF344" s="569"/>
      <c r="AG344" s="569"/>
      <c r="AH344" s="569"/>
      <c r="AI344" s="569"/>
      <c r="AJ344" s="569"/>
      <c r="AK344" s="569"/>
      <c r="AL344" s="569"/>
      <c r="AM344" s="569"/>
      <c r="AN344" s="574">
        <v>122.8</v>
      </c>
      <c r="AO344">
        <v>343</v>
      </c>
      <c r="AP344" t="str">
        <f t="shared" si="79"/>
        <v/>
      </c>
      <c r="AQ344" t="str">
        <f t="shared" si="69"/>
        <v/>
      </c>
      <c r="AR344" s="430">
        <f>IFERROR(
IF(AP344="",-100,
IF($BV$2&gt;0, INDEX(Beersheet!$A:$U,MATCH(AP344,INDEX(Beersheet!$A:$U,0,FFARawStatProjections!$BV$2),0),$BV$3)+$BN344,
INDEX($A344:$BM344,,$BV$12)*$BW$12+
INDEX($A344:$BM344,,$BV$15)*$BW$15+
INDEX($A344:$BM344,,$BV$16)*$BW$16+
INDEX($A344:$BM344,,$BV$17)*$BW$17+
INDEX($A344:$BM344,,$BV$18)*$BW$18+
INDEX($A344:$BM344,,$BV$19)*$BW$19+
INDEX($A344:$BM344,,$BV$20)*$BW$20+
INDEX($A344:$BM344,,$BV$21)*$BW$21+
INDEX($A344:$BM344,,$BV$22)*$BW$22+
INDEX($A344:$BM344,,$BV$23)*$BW$23+
INDEX($A344:$BM344,,$BV$25)*$BW$25+
INDEX($A344:$BM344,,$BV$26)*$BW$26+
INDEX($A344:$BM344,,$BV$27)*$BW$27+
$BN344)),
$BN344-100)</f>
        <v>-100</v>
      </c>
      <c r="AT344" t="str">
        <f t="shared" si="70"/>
        <v/>
      </c>
      <c r="AU344" t="str">
        <f t="shared" si="71"/>
        <v/>
      </c>
      <c r="AV344" s="430">
        <f>IFERROR(
IF(AT344="",-100,
IF($BV$2&gt;0, INDEX(Beersheet!$A:$U,MATCH(AT344,INDEX(Beersheet!$A:$U,0,FFARawStatProjections!$BV$2),0),$BV$3)+$BN344,
INDEX($A344:$BM344,,$BV$12)*$BW$12+
INDEX($A344:$BM344,,$BV$15)*$BW$15+
INDEX($A344:$BM344,,$BV$16)*$BW$16+
INDEX($A344:$BM344,,$BV$17)*$BW$17+
INDEX($A344:$BM344,,$BV$18)*$BW$18+
INDEX($A344:$BM344,,$BV$19)*$BW$19+
INDEX($A344:$BM344,,$BV$20)*$BW$20+
INDEX($A344:$BM344,,$BV$21)*$BW$21+
INDEX($A344:$BM344,,$BV$22)*$BW$22+
INDEX($A344:$BM344,,$BV$23)*$BW$23+
INDEX($A344:$BM344,,$BV$25)*$BW$25+
INDEX($A344:$BM344,,$BV$26)*$BW$26+
INDEX($A344:$BM344,,$BV$27)*$BW$27+
$BN344)),
$BN344-100)</f>
        <v>-100</v>
      </c>
      <c r="AX344" t="str">
        <f t="shared" si="72"/>
        <v>Drake London</v>
      </c>
      <c r="AY344" t="str">
        <f t="shared" si="73"/>
        <v>ATL</v>
      </c>
      <c r="AZ344" s="430">
        <f>IFERROR(
IF(AX344="",-100,
IF($BV$2&gt;0, INDEX(Beersheet!$A:$U,MATCH(AX344,INDEX(Beersheet!$A:$U,0,FFARawStatProjections!$BV$2),0),$BV$3)+$BN344,
INDEX($A344:$BM344,,$BV$12)*$BW$12+
INDEX($A344:$BM344,,$BV$15)*$BW$15+
INDEX($A344:$BM344,,$BV$16)*$BW$16+
INDEX($A344:$BM344,,$BV$17)*$BW$17+
INDEX($A344:$BM344,,$BV$18)*$BW$18+
INDEX($A344:$BM344,,$BV$19)*$BW$19+
INDEX($A344:$BM344,,$BV$20)*$BW$20+
INDEX($A344:$BM344,,$BV$21)*$BW$21+
INDEX($A344:$BM344,,$BV$22)*$BW$22+
INDEX($A344:$BM344,,$BV$23)*$BW$23+
INDEX($A344:$BM344,,$BV$25)*$BW$25+
INDEX($A344:$BM344,,$BV$26)*$BW$26+
INDEX($A344:$BM344,,$BV$27)*$BW$27+
$BN344)),
$BN344-100)</f>
        <v>202.63343</v>
      </c>
      <c r="BB344" t="str">
        <f t="shared" si="74"/>
        <v/>
      </c>
      <c r="BC344" t="str">
        <f t="shared" si="68"/>
        <v/>
      </c>
      <c r="BD344" s="430">
        <f>IFERROR(
IF(BB344="",-100,
IF($BV$2&gt;0, INDEX(Beersheet!$A:$U,MATCH(BB344,INDEX(Beersheet!$A:$U,0,FFARawStatProjections!$BV$2),0),$BV$3)+$BN344,
INDEX($A344:$BM344,,$BV$12)*$BW$12+
INDEX($A344:$BM344,,$BV$15)*$BW$15+
INDEX($A344:$BM344,,$BV$16)*$BW$16+
INDEX($A344:$BM344,,$BV$17)*$BW$17+
INDEX($A344:$BM344,,$BV$18)*$BW$18+
INDEX($A344:$BM344,,$BV$19)*$BW$19+
INDEX($A344:$BM344,,$BV$20)*$BW$20+
INDEX($A344:$BM344,,$BV$21)*$BW$21+
INDEX($A344:$BM344,,$BV$22)*$BW$22+
INDEX($A344:$BM344,,$BV$23)*$BW$23+
INDEX($A344:$BM344,,$BV$25)*$BW$25+
INDEX($A344:$BM344,,$BV$26)*$BW$26+
INDEX($A344:$BM344,,$BV$27)*$BW$27+
$BN344)),
$BN344-100)</f>
        <v>-100</v>
      </c>
      <c r="BF344" t="str">
        <f t="shared" si="75"/>
        <v/>
      </c>
      <c r="BG344" t="str">
        <f t="shared" si="76"/>
        <v/>
      </c>
      <c r="BH344">
        <f t="shared" si="77"/>
        <v>0</v>
      </c>
      <c r="BJ344" t="str">
        <f t="shared" si="78"/>
        <v/>
      </c>
      <c r="BL344">
        <f t="shared" si="67"/>
        <v>0</v>
      </c>
      <c r="BN344">
        <v>3.4299999999999999E-3</v>
      </c>
      <c r="BS344" s="4" t="s">
        <v>1820</v>
      </c>
    </row>
    <row r="345" spans="1:71" ht="15.75" thickBot="1" x14ac:dyDescent="0.3">
      <c r="A345" s="569" t="s">
        <v>1434</v>
      </c>
      <c r="B345" s="569" t="s">
        <v>149</v>
      </c>
      <c r="C345" s="569" t="s">
        <v>6</v>
      </c>
      <c r="D345" s="574">
        <v>5</v>
      </c>
      <c r="E345" s="569"/>
      <c r="F345" s="569"/>
      <c r="G345" s="569"/>
      <c r="H345" s="569"/>
      <c r="I345" s="574">
        <v>0</v>
      </c>
      <c r="J345" s="574">
        <v>0</v>
      </c>
      <c r="K345" s="574">
        <v>0</v>
      </c>
      <c r="L345" s="574">
        <v>89.7</v>
      </c>
      <c r="M345" s="574">
        <v>4.0999999999999996</v>
      </c>
      <c r="N345" s="574">
        <v>965.4</v>
      </c>
      <c r="O345" s="574">
        <v>2.7</v>
      </c>
      <c r="P345" s="574">
        <v>0.1</v>
      </c>
      <c r="Q345" s="574">
        <v>13.4</v>
      </c>
      <c r="R345" s="569"/>
      <c r="S345" s="569"/>
      <c r="T345" s="569"/>
      <c r="U345" s="569"/>
      <c r="V345" s="569"/>
      <c r="W345" s="569"/>
      <c r="X345" s="569"/>
      <c r="Y345" s="569"/>
      <c r="Z345" s="569"/>
      <c r="AA345" s="569"/>
      <c r="AB345" s="569"/>
      <c r="AC345" s="569"/>
      <c r="AD345" s="569"/>
      <c r="AE345" s="569"/>
      <c r="AF345" s="569"/>
      <c r="AG345" s="569"/>
      <c r="AH345" s="569"/>
      <c r="AI345" s="569"/>
      <c r="AJ345" s="569"/>
      <c r="AK345" s="569"/>
      <c r="AL345" s="569"/>
      <c r="AM345" s="569"/>
      <c r="AN345" s="574">
        <v>121.8</v>
      </c>
      <c r="AO345">
        <v>344</v>
      </c>
      <c r="AP345" t="str">
        <f t="shared" si="79"/>
        <v/>
      </c>
      <c r="AQ345" t="str">
        <f t="shared" si="69"/>
        <v/>
      </c>
      <c r="AR345" s="430">
        <f>IFERROR(
IF(AP345="",-100,
IF($BV$2&gt;0, INDEX(Beersheet!$A:$U,MATCH(AP345,INDEX(Beersheet!$A:$U,0,FFARawStatProjections!$BV$2),0),$BV$3)+$BN345,
INDEX($A345:$BM345,,$BV$12)*$BW$12+
INDEX($A345:$BM345,,$BV$15)*$BW$15+
INDEX($A345:$BM345,,$BV$16)*$BW$16+
INDEX($A345:$BM345,,$BV$17)*$BW$17+
INDEX($A345:$BM345,,$BV$18)*$BW$18+
INDEX($A345:$BM345,,$BV$19)*$BW$19+
INDEX($A345:$BM345,,$BV$20)*$BW$20+
INDEX($A345:$BM345,,$BV$21)*$BW$21+
INDEX($A345:$BM345,,$BV$22)*$BW$22+
INDEX($A345:$BM345,,$BV$23)*$BW$23+
INDEX($A345:$BM345,,$BV$25)*$BW$25+
INDEX($A345:$BM345,,$BV$26)*$BW$26+
INDEX($A345:$BM345,,$BV$27)*$BW$27+
$BN345)),
$BN345-100)</f>
        <v>-100</v>
      </c>
      <c r="AT345" t="str">
        <f t="shared" si="70"/>
        <v/>
      </c>
      <c r="AU345" t="str">
        <f t="shared" si="71"/>
        <v/>
      </c>
      <c r="AV345" s="430">
        <f>IFERROR(
IF(AT345="",-100,
IF($BV$2&gt;0, INDEX(Beersheet!$A:$U,MATCH(AT345,INDEX(Beersheet!$A:$U,0,FFARawStatProjections!$BV$2),0),$BV$3)+$BN345,
INDEX($A345:$BM345,,$BV$12)*$BW$12+
INDEX($A345:$BM345,,$BV$15)*$BW$15+
INDEX($A345:$BM345,,$BV$16)*$BW$16+
INDEX($A345:$BM345,,$BV$17)*$BW$17+
INDEX($A345:$BM345,,$BV$18)*$BW$18+
INDEX($A345:$BM345,,$BV$19)*$BW$19+
INDEX($A345:$BM345,,$BV$20)*$BW$20+
INDEX($A345:$BM345,,$BV$21)*$BW$21+
INDEX($A345:$BM345,,$BV$22)*$BW$22+
INDEX($A345:$BM345,,$BV$23)*$BW$23+
INDEX($A345:$BM345,,$BV$25)*$BW$25+
INDEX($A345:$BM345,,$BV$26)*$BW$26+
INDEX($A345:$BM345,,$BV$27)*$BW$27+
$BN345)),
$BN345-100)</f>
        <v>-100</v>
      </c>
      <c r="AX345" t="str">
        <f t="shared" si="72"/>
        <v>Chris Godwin</v>
      </c>
      <c r="AY345" t="str">
        <f t="shared" si="73"/>
        <v>TB</v>
      </c>
      <c r="AZ345" s="430">
        <f>IFERROR(
IF(AX345="",-100,
IF($BV$2&gt;0, INDEX(Beersheet!$A:$U,MATCH(AX345,INDEX(Beersheet!$A:$U,0,FFARawStatProjections!$BV$2),0),$BV$3)+$BN345,
INDEX($A345:$BM345,,$BV$12)*$BW$12+
INDEX($A345:$BM345,,$BV$15)*$BW$15+
INDEX($A345:$BM345,,$BV$16)*$BW$16+
INDEX($A345:$BM345,,$BV$17)*$BW$17+
INDEX($A345:$BM345,,$BV$18)*$BW$18+
INDEX($A345:$BM345,,$BV$19)*$BW$19+
INDEX($A345:$BM345,,$BV$20)*$BW$20+
INDEX($A345:$BM345,,$BV$21)*$BW$21+
INDEX($A345:$BM345,,$BV$22)*$BW$22+
INDEX($A345:$BM345,,$BV$23)*$BW$23+
INDEX($A345:$BM345,,$BV$25)*$BW$25+
INDEX($A345:$BM345,,$BV$26)*$BW$26+
INDEX($A345:$BM345,,$BV$27)*$BW$27+
$BN345)),
$BN345-100)</f>
        <v>212.78344000000001</v>
      </c>
      <c r="BB345" t="str">
        <f t="shared" si="74"/>
        <v/>
      </c>
      <c r="BC345" t="str">
        <f t="shared" si="68"/>
        <v/>
      </c>
      <c r="BD345" s="430">
        <f>IFERROR(
IF(BB345="",-100,
IF($BV$2&gt;0, INDEX(Beersheet!$A:$U,MATCH(BB345,INDEX(Beersheet!$A:$U,0,FFARawStatProjections!$BV$2),0),$BV$3)+$BN345,
INDEX($A345:$BM345,,$BV$12)*$BW$12+
INDEX($A345:$BM345,,$BV$15)*$BW$15+
INDEX($A345:$BM345,,$BV$16)*$BW$16+
INDEX($A345:$BM345,,$BV$17)*$BW$17+
INDEX($A345:$BM345,,$BV$18)*$BW$18+
INDEX($A345:$BM345,,$BV$19)*$BW$19+
INDEX($A345:$BM345,,$BV$20)*$BW$20+
INDEX($A345:$BM345,,$BV$21)*$BW$21+
INDEX($A345:$BM345,,$BV$22)*$BW$22+
INDEX($A345:$BM345,,$BV$23)*$BW$23+
INDEX($A345:$BM345,,$BV$25)*$BW$25+
INDEX($A345:$BM345,,$BV$26)*$BW$26+
INDEX($A345:$BM345,,$BV$27)*$BW$27+
$BN345)),
$BN345-100)</f>
        <v>-100</v>
      </c>
      <c r="BF345" t="str">
        <f t="shared" si="75"/>
        <v/>
      </c>
      <c r="BG345" t="str">
        <f t="shared" si="76"/>
        <v/>
      </c>
      <c r="BH345">
        <f t="shared" si="77"/>
        <v>0</v>
      </c>
      <c r="BJ345" t="str">
        <f t="shared" si="78"/>
        <v/>
      </c>
      <c r="BL345">
        <f t="shared" ref="BL345:BL408" si="80">IFERROR(IF(BJ345="",0,
V345*2+W345*2+X345*2+Z345*6+AA345*1+AB345*2+AC345*6
+AN345+BN345),"")</f>
        <v>0</v>
      </c>
      <c r="BN345">
        <v>3.4399999999999999E-3</v>
      </c>
      <c r="BS345" s="4" t="s">
        <v>2333</v>
      </c>
    </row>
    <row r="346" spans="1:71" ht="15.75" thickBot="1" x14ac:dyDescent="0.3">
      <c r="A346" s="569" t="s">
        <v>1109</v>
      </c>
      <c r="B346" s="569" t="s">
        <v>140</v>
      </c>
      <c r="C346" s="569" t="s">
        <v>6</v>
      </c>
      <c r="D346" s="574">
        <v>5</v>
      </c>
      <c r="E346" s="569"/>
      <c r="F346" s="569"/>
      <c r="G346" s="569"/>
      <c r="H346" s="569"/>
      <c r="I346" s="574">
        <v>0</v>
      </c>
      <c r="J346" s="574">
        <v>0</v>
      </c>
      <c r="K346" s="574">
        <v>0</v>
      </c>
      <c r="L346" s="574">
        <v>74.5</v>
      </c>
      <c r="M346" s="574">
        <v>5.6</v>
      </c>
      <c r="N346" s="574">
        <v>889.5</v>
      </c>
      <c r="O346" s="574">
        <v>0.2</v>
      </c>
      <c r="P346" s="574">
        <v>0</v>
      </c>
      <c r="Q346" s="574">
        <v>0.7</v>
      </c>
      <c r="R346" s="569"/>
      <c r="S346" s="569"/>
      <c r="T346" s="569"/>
      <c r="U346" s="569"/>
      <c r="V346" s="569"/>
      <c r="W346" s="569"/>
      <c r="X346" s="569"/>
      <c r="Y346" s="569"/>
      <c r="Z346" s="569"/>
      <c r="AA346" s="569"/>
      <c r="AB346" s="569"/>
      <c r="AC346" s="569"/>
      <c r="AD346" s="569"/>
      <c r="AE346" s="569"/>
      <c r="AF346" s="569"/>
      <c r="AG346" s="569"/>
      <c r="AH346" s="569"/>
      <c r="AI346" s="569"/>
      <c r="AJ346" s="569"/>
      <c r="AK346" s="569"/>
      <c r="AL346" s="569"/>
      <c r="AM346" s="569"/>
      <c r="AN346" s="574">
        <v>121.3</v>
      </c>
      <c r="AO346">
        <v>345</v>
      </c>
      <c r="AP346" t="str">
        <f t="shared" si="79"/>
        <v/>
      </c>
      <c r="AQ346" t="str">
        <f t="shared" si="69"/>
        <v/>
      </c>
      <c r="AR346" s="430">
        <f>IFERROR(
IF(AP346="",-100,
IF($BV$2&gt;0, INDEX(Beersheet!$A:$U,MATCH(AP346,INDEX(Beersheet!$A:$U,0,FFARawStatProjections!$BV$2),0),$BV$3)+$BN346,
INDEX($A346:$BM346,,$BV$12)*$BW$12+
INDEX($A346:$BM346,,$BV$15)*$BW$15+
INDEX($A346:$BM346,,$BV$16)*$BW$16+
INDEX($A346:$BM346,,$BV$17)*$BW$17+
INDEX($A346:$BM346,,$BV$18)*$BW$18+
INDEX($A346:$BM346,,$BV$19)*$BW$19+
INDEX($A346:$BM346,,$BV$20)*$BW$20+
INDEX($A346:$BM346,,$BV$21)*$BW$21+
INDEX($A346:$BM346,,$BV$22)*$BW$22+
INDEX($A346:$BM346,,$BV$23)*$BW$23+
INDEX($A346:$BM346,,$BV$25)*$BW$25+
INDEX($A346:$BM346,,$BV$26)*$BW$26+
INDEX($A346:$BM346,,$BV$27)*$BW$27+
$BN346)),
$BN346-100)</f>
        <v>-100</v>
      </c>
      <c r="AT346" t="str">
        <f t="shared" si="70"/>
        <v/>
      </c>
      <c r="AU346" t="str">
        <f t="shared" si="71"/>
        <v/>
      </c>
      <c r="AV346" s="430">
        <f>IFERROR(
IF(AT346="",-100,
IF($BV$2&gt;0, INDEX(Beersheet!$A:$U,MATCH(AT346,INDEX(Beersheet!$A:$U,0,FFARawStatProjections!$BV$2),0),$BV$3)+$BN346,
INDEX($A346:$BM346,,$BV$12)*$BW$12+
INDEX($A346:$BM346,,$BV$15)*$BW$15+
INDEX($A346:$BM346,,$BV$16)*$BW$16+
INDEX($A346:$BM346,,$BV$17)*$BW$17+
INDEX($A346:$BM346,,$BV$18)*$BW$18+
INDEX($A346:$BM346,,$BV$19)*$BW$19+
INDEX($A346:$BM346,,$BV$20)*$BW$20+
INDEX($A346:$BM346,,$BV$21)*$BW$21+
INDEX($A346:$BM346,,$BV$22)*$BW$22+
INDEX($A346:$BM346,,$BV$23)*$BW$23+
INDEX($A346:$BM346,,$BV$25)*$BW$25+
INDEX($A346:$BM346,,$BV$26)*$BW$26+
INDEX($A346:$BM346,,$BV$27)*$BW$27+
$BN346)),
$BN346-100)</f>
        <v>-100</v>
      </c>
      <c r="AX346" t="str">
        <f t="shared" si="72"/>
        <v>Tyler Lockett</v>
      </c>
      <c r="AY346" t="str">
        <f t="shared" si="73"/>
        <v>SEA</v>
      </c>
      <c r="AZ346" s="430">
        <f>IFERROR(
IF(AX346="",-100,
IF($BV$2&gt;0, INDEX(Beersheet!$A:$U,MATCH(AX346,INDEX(Beersheet!$A:$U,0,FFARawStatProjections!$BV$2),0),$BV$3)+$BN346,
INDEX($A346:$BM346,,$BV$12)*$BW$12+
INDEX($A346:$BM346,,$BV$15)*$BW$15+
INDEX($A346:$BM346,,$BV$16)*$BW$16+
INDEX($A346:$BM346,,$BV$17)*$BW$17+
INDEX($A346:$BM346,,$BV$18)*$BW$18+
INDEX($A346:$BM346,,$BV$19)*$BW$19+
INDEX($A346:$BM346,,$BV$20)*$BW$20+
INDEX($A346:$BM346,,$BV$21)*$BW$21+
INDEX($A346:$BM346,,$BV$22)*$BW$22+
INDEX($A346:$BM346,,$BV$23)*$BW$23+
INDEX($A346:$BM346,,$BV$25)*$BW$25+
INDEX($A346:$BM346,,$BV$26)*$BW$26+
INDEX($A346:$BM346,,$BV$27)*$BW$27+
$BN346)),
$BN346-100)</f>
        <v>197.12344999999999</v>
      </c>
      <c r="BB346" t="str">
        <f t="shared" si="74"/>
        <v/>
      </c>
      <c r="BC346" t="str">
        <f t="shared" si="68"/>
        <v/>
      </c>
      <c r="BD346" s="430">
        <f>IFERROR(
IF(BB346="",-100,
IF($BV$2&gt;0, INDEX(Beersheet!$A:$U,MATCH(BB346,INDEX(Beersheet!$A:$U,0,FFARawStatProjections!$BV$2),0),$BV$3)+$BN346,
INDEX($A346:$BM346,,$BV$12)*$BW$12+
INDEX($A346:$BM346,,$BV$15)*$BW$15+
INDEX($A346:$BM346,,$BV$16)*$BW$16+
INDEX($A346:$BM346,,$BV$17)*$BW$17+
INDEX($A346:$BM346,,$BV$18)*$BW$18+
INDEX($A346:$BM346,,$BV$19)*$BW$19+
INDEX($A346:$BM346,,$BV$20)*$BW$20+
INDEX($A346:$BM346,,$BV$21)*$BW$21+
INDEX($A346:$BM346,,$BV$22)*$BW$22+
INDEX($A346:$BM346,,$BV$23)*$BW$23+
INDEX($A346:$BM346,,$BV$25)*$BW$25+
INDEX($A346:$BM346,,$BV$26)*$BW$26+
INDEX($A346:$BM346,,$BV$27)*$BW$27+
$BN346)),
$BN346-100)</f>
        <v>-100</v>
      </c>
      <c r="BF346" t="str">
        <f t="shared" si="75"/>
        <v/>
      </c>
      <c r="BG346" t="str">
        <f t="shared" si="76"/>
        <v/>
      </c>
      <c r="BH346">
        <f t="shared" si="77"/>
        <v>0</v>
      </c>
      <c r="BJ346" t="str">
        <f t="shared" si="78"/>
        <v/>
      </c>
      <c r="BL346">
        <f t="shared" si="80"/>
        <v>0</v>
      </c>
      <c r="BN346">
        <v>3.4499999999999999E-3</v>
      </c>
      <c r="BS346" s="4" t="s">
        <v>2174</v>
      </c>
    </row>
    <row r="347" spans="1:71" ht="15.75" thickBot="1" x14ac:dyDescent="0.3">
      <c r="A347" s="569" t="s">
        <v>1864</v>
      </c>
      <c r="B347" s="569" t="s">
        <v>2272</v>
      </c>
      <c r="C347" s="569" t="s">
        <v>6</v>
      </c>
      <c r="D347" s="574">
        <v>14</v>
      </c>
      <c r="E347" s="569"/>
      <c r="F347" s="569"/>
      <c r="G347" s="569"/>
      <c r="H347" s="569"/>
      <c r="I347" s="574">
        <v>0</v>
      </c>
      <c r="J347" s="574">
        <v>0</v>
      </c>
      <c r="K347" s="574">
        <v>0</v>
      </c>
      <c r="L347" s="574">
        <v>77.8</v>
      </c>
      <c r="M347" s="574">
        <v>4.8</v>
      </c>
      <c r="N347" s="574">
        <v>910.5</v>
      </c>
      <c r="O347" s="574">
        <v>1.4</v>
      </c>
      <c r="P347" s="574">
        <v>0</v>
      </c>
      <c r="Q347" s="574">
        <v>8.3000000000000007</v>
      </c>
      <c r="R347" s="569"/>
      <c r="S347" s="569"/>
      <c r="T347" s="569"/>
      <c r="U347" s="569"/>
      <c r="V347" s="569"/>
      <c r="W347" s="569"/>
      <c r="X347" s="569"/>
      <c r="Y347" s="569"/>
      <c r="Z347" s="569"/>
      <c r="AA347" s="569"/>
      <c r="AB347" s="569"/>
      <c r="AC347" s="569"/>
      <c r="AD347" s="569"/>
      <c r="AE347" s="569"/>
      <c r="AF347" s="569"/>
      <c r="AG347" s="569"/>
      <c r="AH347" s="569"/>
      <c r="AI347" s="569"/>
      <c r="AJ347" s="569"/>
      <c r="AK347" s="569"/>
      <c r="AL347" s="569"/>
      <c r="AM347" s="569"/>
      <c r="AN347" s="574">
        <v>120.6</v>
      </c>
      <c r="AO347">
        <v>346</v>
      </c>
      <c r="AP347" t="str">
        <f t="shared" si="79"/>
        <v/>
      </c>
      <c r="AQ347" t="str">
        <f t="shared" si="69"/>
        <v/>
      </c>
      <c r="AR347" s="430">
        <f>IFERROR(
IF(AP347="",-100,
IF($BV$2&gt;0, INDEX(Beersheet!$A:$U,MATCH(AP347,INDEX(Beersheet!$A:$U,0,FFARawStatProjections!$BV$2),0),$BV$3)+$BN347,
INDEX($A347:$BM347,,$BV$12)*$BW$12+
INDEX($A347:$BM347,,$BV$15)*$BW$15+
INDEX($A347:$BM347,,$BV$16)*$BW$16+
INDEX($A347:$BM347,,$BV$17)*$BW$17+
INDEX($A347:$BM347,,$BV$18)*$BW$18+
INDEX($A347:$BM347,,$BV$19)*$BW$19+
INDEX($A347:$BM347,,$BV$20)*$BW$20+
INDEX($A347:$BM347,,$BV$21)*$BW$21+
INDEX($A347:$BM347,,$BV$22)*$BW$22+
INDEX($A347:$BM347,,$BV$23)*$BW$23+
INDEX($A347:$BM347,,$BV$25)*$BW$25+
INDEX($A347:$BM347,,$BV$26)*$BW$26+
INDEX($A347:$BM347,,$BV$27)*$BW$27+
$BN347)),
$BN347-100)</f>
        <v>-100</v>
      </c>
      <c r="AT347" t="str">
        <f t="shared" si="70"/>
        <v/>
      </c>
      <c r="AU347" t="str">
        <f t="shared" si="71"/>
        <v/>
      </c>
      <c r="AV347" s="430">
        <f>IFERROR(
IF(AT347="",-100,
IF($BV$2&gt;0, INDEX(Beersheet!$A:$U,MATCH(AT347,INDEX(Beersheet!$A:$U,0,FFARawStatProjections!$BV$2),0),$BV$3)+$BN347,
INDEX($A347:$BM347,,$BV$12)*$BW$12+
INDEX($A347:$BM347,,$BV$15)*$BW$15+
INDEX($A347:$BM347,,$BV$16)*$BW$16+
INDEX($A347:$BM347,,$BV$17)*$BW$17+
INDEX($A347:$BM347,,$BV$18)*$BW$18+
INDEX($A347:$BM347,,$BV$19)*$BW$19+
INDEX($A347:$BM347,,$BV$20)*$BW$20+
INDEX($A347:$BM347,,$BV$21)*$BW$21+
INDEX($A347:$BM347,,$BV$22)*$BW$22+
INDEX($A347:$BM347,,$BV$23)*$BW$23+
INDEX($A347:$BM347,,$BV$25)*$BW$25+
INDEX($A347:$BM347,,$BV$26)*$BW$26+
INDEX($A347:$BM347,,$BV$27)*$BW$27+
$BN347)),
$BN347-100)</f>
        <v>-100</v>
      </c>
      <c r="AX347" t="str">
        <f t="shared" si="72"/>
        <v>Marquise Brown</v>
      </c>
      <c r="AY347" t="str">
        <f t="shared" si="73"/>
        <v>AZ</v>
      </c>
      <c r="AZ347" s="430">
        <f>IFERROR(
IF(AX347="",-100,
IF($BV$2&gt;0, INDEX(Beersheet!$A:$U,MATCH(AX347,INDEX(Beersheet!$A:$U,0,FFARawStatProjections!$BV$2),0),$BV$3)+$BN347,
INDEX($A347:$BM347,,$BV$12)*$BW$12+
INDEX($A347:$BM347,,$BV$15)*$BW$15+
INDEX($A347:$BM347,,$BV$16)*$BW$16+
INDEX($A347:$BM347,,$BV$17)*$BW$17+
INDEX($A347:$BM347,,$BV$18)*$BW$18+
INDEX($A347:$BM347,,$BV$19)*$BW$19+
INDEX($A347:$BM347,,$BV$20)*$BW$20+
INDEX($A347:$BM347,,$BV$21)*$BW$21+
INDEX($A347:$BM347,,$BV$22)*$BW$22+
INDEX($A347:$BM347,,$BV$23)*$BW$23+
INDEX($A347:$BM347,,$BV$25)*$BW$25+
INDEX($A347:$BM347,,$BV$26)*$BW$26+
INDEX($A347:$BM347,,$BV$27)*$BW$27+
$BN347)),
$BN347-100)</f>
        <v>198.48346000000001</v>
      </c>
      <c r="BB347" t="str">
        <f t="shared" si="74"/>
        <v/>
      </c>
      <c r="BC347" t="str">
        <f t="shared" si="68"/>
        <v/>
      </c>
      <c r="BD347" s="430">
        <f>IFERROR(
IF(BB347="",-100,
IF($BV$2&gt;0, INDEX(Beersheet!$A:$U,MATCH(BB347,INDEX(Beersheet!$A:$U,0,FFARawStatProjections!$BV$2),0),$BV$3)+$BN347,
INDEX($A347:$BM347,,$BV$12)*$BW$12+
INDEX($A347:$BM347,,$BV$15)*$BW$15+
INDEX($A347:$BM347,,$BV$16)*$BW$16+
INDEX($A347:$BM347,,$BV$17)*$BW$17+
INDEX($A347:$BM347,,$BV$18)*$BW$18+
INDEX($A347:$BM347,,$BV$19)*$BW$19+
INDEX($A347:$BM347,,$BV$20)*$BW$20+
INDEX($A347:$BM347,,$BV$21)*$BW$21+
INDEX($A347:$BM347,,$BV$22)*$BW$22+
INDEX($A347:$BM347,,$BV$23)*$BW$23+
INDEX($A347:$BM347,,$BV$25)*$BW$25+
INDEX($A347:$BM347,,$BV$26)*$BW$26+
INDEX($A347:$BM347,,$BV$27)*$BW$27+
$BN347)),
$BN347-100)</f>
        <v>-100</v>
      </c>
      <c r="BF347" t="str">
        <f t="shared" si="75"/>
        <v/>
      </c>
      <c r="BG347" t="str">
        <f t="shared" si="76"/>
        <v/>
      </c>
      <c r="BH347">
        <f t="shared" si="77"/>
        <v>0</v>
      </c>
      <c r="BJ347" t="str">
        <f t="shared" si="78"/>
        <v/>
      </c>
      <c r="BL347">
        <f t="shared" si="80"/>
        <v>0</v>
      </c>
      <c r="BN347">
        <v>3.46E-3</v>
      </c>
      <c r="BS347" s="4" t="s">
        <v>2469</v>
      </c>
    </row>
    <row r="348" spans="1:71" ht="15.75" thickBot="1" x14ac:dyDescent="0.3">
      <c r="A348" s="569" t="s">
        <v>2486</v>
      </c>
      <c r="B348" s="569" t="s">
        <v>156</v>
      </c>
      <c r="C348" s="569" t="s">
        <v>6</v>
      </c>
      <c r="D348" s="574">
        <v>13</v>
      </c>
      <c r="E348" s="569"/>
      <c r="F348" s="569"/>
      <c r="G348" s="569"/>
      <c r="H348" s="569"/>
      <c r="I348" s="574">
        <v>0</v>
      </c>
      <c r="J348" s="574">
        <v>0</v>
      </c>
      <c r="K348" s="574">
        <v>0</v>
      </c>
      <c r="L348" s="574">
        <v>51.3</v>
      </c>
      <c r="M348" s="574">
        <v>6.4</v>
      </c>
      <c r="N348" s="574">
        <v>819.6</v>
      </c>
      <c r="O348" s="574">
        <v>0.1</v>
      </c>
      <c r="P348" s="574">
        <v>0</v>
      </c>
      <c r="Q348" s="574">
        <v>0.7</v>
      </c>
      <c r="R348" s="569"/>
      <c r="S348" s="569"/>
      <c r="T348" s="569"/>
      <c r="U348" s="569"/>
      <c r="V348" s="569"/>
      <c r="W348" s="569"/>
      <c r="X348" s="569"/>
      <c r="Y348" s="569"/>
      <c r="Z348" s="569"/>
      <c r="AA348" s="569"/>
      <c r="AB348" s="569"/>
      <c r="AC348" s="569"/>
      <c r="AD348" s="569"/>
      <c r="AE348" s="569"/>
      <c r="AF348" s="569"/>
      <c r="AG348" s="569"/>
      <c r="AH348" s="569"/>
      <c r="AI348" s="569"/>
      <c r="AJ348" s="569"/>
      <c r="AK348" s="569"/>
      <c r="AL348" s="569"/>
      <c r="AM348" s="569"/>
      <c r="AN348" s="574">
        <v>119.7</v>
      </c>
      <c r="AO348">
        <v>347</v>
      </c>
      <c r="AP348" t="str">
        <f t="shared" si="79"/>
        <v/>
      </c>
      <c r="AQ348" t="str">
        <f t="shared" si="69"/>
        <v/>
      </c>
      <c r="AR348" s="430">
        <f>IFERROR(
IF(AP348="",-100,
IF($BV$2&gt;0, INDEX(Beersheet!$A:$U,MATCH(AP348,INDEX(Beersheet!$A:$U,0,FFARawStatProjections!$BV$2),0),$BV$3)+$BN348,
INDEX($A348:$BM348,,$BV$12)*$BW$12+
INDEX($A348:$BM348,,$BV$15)*$BW$15+
INDEX($A348:$BM348,,$BV$16)*$BW$16+
INDEX($A348:$BM348,,$BV$17)*$BW$17+
INDEX($A348:$BM348,,$BV$18)*$BW$18+
INDEX($A348:$BM348,,$BV$19)*$BW$19+
INDEX($A348:$BM348,,$BV$20)*$BW$20+
INDEX($A348:$BM348,,$BV$21)*$BW$21+
INDEX($A348:$BM348,,$BV$22)*$BW$22+
INDEX($A348:$BM348,,$BV$23)*$BW$23+
INDEX($A348:$BM348,,$BV$25)*$BW$25+
INDEX($A348:$BM348,,$BV$26)*$BW$26+
INDEX($A348:$BM348,,$BV$27)*$BW$27+
$BN348)),
$BN348-100)</f>
        <v>-100</v>
      </c>
      <c r="AT348" t="str">
        <f t="shared" si="70"/>
        <v/>
      </c>
      <c r="AU348" t="str">
        <f t="shared" si="71"/>
        <v/>
      </c>
      <c r="AV348" s="430">
        <f>IFERROR(
IF(AT348="",-100,
IF($BV$2&gt;0, INDEX(Beersheet!$A:$U,MATCH(AT348,INDEX(Beersheet!$A:$U,0,FFARawStatProjections!$BV$2),0),$BV$3)+$BN348,
INDEX($A348:$BM348,,$BV$12)*$BW$12+
INDEX($A348:$BM348,,$BV$15)*$BW$15+
INDEX($A348:$BM348,,$BV$16)*$BW$16+
INDEX($A348:$BM348,,$BV$17)*$BW$17+
INDEX($A348:$BM348,,$BV$18)*$BW$18+
INDEX($A348:$BM348,,$BV$19)*$BW$19+
INDEX($A348:$BM348,,$BV$20)*$BW$20+
INDEX($A348:$BM348,,$BV$21)*$BW$21+
INDEX($A348:$BM348,,$BV$22)*$BW$22+
INDEX($A348:$BM348,,$BV$23)*$BW$23+
INDEX($A348:$BM348,,$BV$25)*$BW$25+
INDEX($A348:$BM348,,$BV$26)*$BW$26+
INDEX($A348:$BM348,,$BV$27)*$BW$27+
$BN348)),
$BN348-100)</f>
        <v>-100</v>
      </c>
      <c r="AX348" t="str">
        <f t="shared" si="72"/>
        <v>Gabe Davis</v>
      </c>
      <c r="AY348" t="str">
        <f t="shared" si="73"/>
        <v>BUF</v>
      </c>
      <c r="AZ348" s="430">
        <f>IFERROR(
IF(AX348="",-100,
IF($BV$2&gt;0, INDEX(Beersheet!$A:$U,MATCH(AX348,INDEX(Beersheet!$A:$U,0,FFARawStatProjections!$BV$2),0),$BV$3)+$BN348,
INDEX($A348:$BM348,,$BV$12)*$BW$12+
INDEX($A348:$BM348,,$BV$15)*$BW$15+
INDEX($A348:$BM348,,$BV$16)*$BW$16+
INDEX($A348:$BM348,,$BV$17)*$BW$17+
INDEX($A348:$BM348,,$BV$18)*$BW$18+
INDEX($A348:$BM348,,$BV$19)*$BW$19+
INDEX($A348:$BM348,,$BV$20)*$BW$20+
INDEX($A348:$BM348,,$BV$21)*$BW$21+
INDEX($A348:$BM348,,$BV$22)*$BW$22+
INDEX($A348:$BM348,,$BV$23)*$BW$23+
INDEX($A348:$BM348,,$BV$25)*$BW$25+
INDEX($A348:$BM348,,$BV$26)*$BW$26+
INDEX($A348:$BM348,,$BV$27)*$BW$27+
$BN348)),
$BN348-100)</f>
        <v>171.73347000000001</v>
      </c>
      <c r="BB348" t="str">
        <f t="shared" si="74"/>
        <v/>
      </c>
      <c r="BC348" t="str">
        <f t="shared" si="68"/>
        <v/>
      </c>
      <c r="BD348" s="430">
        <f>IFERROR(
IF(BB348="",-100,
IF($BV$2&gt;0, INDEX(Beersheet!$A:$U,MATCH(BB348,INDEX(Beersheet!$A:$U,0,FFARawStatProjections!$BV$2),0),$BV$3)+$BN348,
INDEX($A348:$BM348,,$BV$12)*$BW$12+
INDEX($A348:$BM348,,$BV$15)*$BW$15+
INDEX($A348:$BM348,,$BV$16)*$BW$16+
INDEX($A348:$BM348,,$BV$17)*$BW$17+
INDEX($A348:$BM348,,$BV$18)*$BW$18+
INDEX($A348:$BM348,,$BV$19)*$BW$19+
INDEX($A348:$BM348,,$BV$20)*$BW$20+
INDEX($A348:$BM348,,$BV$21)*$BW$21+
INDEX($A348:$BM348,,$BV$22)*$BW$22+
INDEX($A348:$BM348,,$BV$23)*$BW$23+
INDEX($A348:$BM348,,$BV$25)*$BW$25+
INDEX($A348:$BM348,,$BV$26)*$BW$26+
INDEX($A348:$BM348,,$BV$27)*$BW$27+
$BN348)),
$BN348-100)</f>
        <v>-100</v>
      </c>
      <c r="BF348" t="str">
        <f t="shared" si="75"/>
        <v/>
      </c>
      <c r="BG348" t="str">
        <f t="shared" si="76"/>
        <v/>
      </c>
      <c r="BH348">
        <f t="shared" si="77"/>
        <v>0</v>
      </c>
      <c r="BJ348" t="str">
        <f t="shared" si="78"/>
        <v/>
      </c>
      <c r="BL348">
        <f t="shared" si="80"/>
        <v>0</v>
      </c>
      <c r="BN348">
        <v>3.47E-3</v>
      </c>
      <c r="BS348" s="4" t="s">
        <v>2468</v>
      </c>
    </row>
    <row r="349" spans="1:71" ht="15.75" thickBot="1" x14ac:dyDescent="0.3">
      <c r="A349" s="569" t="s">
        <v>2323</v>
      </c>
      <c r="B349" s="569" t="s">
        <v>152</v>
      </c>
      <c r="C349" s="569" t="s">
        <v>6</v>
      </c>
      <c r="D349" s="574">
        <v>14</v>
      </c>
      <c r="E349" s="569"/>
      <c r="F349" s="569"/>
      <c r="G349" s="569"/>
      <c r="H349" s="569"/>
      <c r="I349" s="574">
        <v>0</v>
      </c>
      <c r="J349" s="574">
        <v>0</v>
      </c>
      <c r="K349" s="574">
        <v>0</v>
      </c>
      <c r="L349" s="574">
        <v>59</v>
      </c>
      <c r="M349" s="574">
        <v>5.8</v>
      </c>
      <c r="N349" s="574">
        <v>829.1</v>
      </c>
      <c r="O349" s="574">
        <v>2.4</v>
      </c>
      <c r="P349" s="574">
        <v>0.1</v>
      </c>
      <c r="Q349" s="574">
        <v>8.3000000000000007</v>
      </c>
      <c r="R349" s="569"/>
      <c r="S349" s="569"/>
      <c r="T349" s="569"/>
      <c r="U349" s="569"/>
      <c r="V349" s="569"/>
      <c r="W349" s="569"/>
      <c r="X349" s="569"/>
      <c r="Y349" s="569"/>
      <c r="Z349" s="569"/>
      <c r="AA349" s="569"/>
      <c r="AB349" s="569"/>
      <c r="AC349" s="569"/>
      <c r="AD349" s="569"/>
      <c r="AE349" s="569"/>
      <c r="AF349" s="569"/>
      <c r="AG349" s="569"/>
      <c r="AH349" s="569"/>
      <c r="AI349" s="569"/>
      <c r="AJ349" s="569"/>
      <c r="AK349" s="569"/>
      <c r="AL349" s="569"/>
      <c r="AM349" s="569"/>
      <c r="AN349" s="574">
        <v>118.7</v>
      </c>
      <c r="AO349">
        <v>348</v>
      </c>
      <c r="AP349" t="str">
        <f t="shared" si="79"/>
        <v/>
      </c>
      <c r="AQ349" t="str">
        <f t="shared" si="69"/>
        <v/>
      </c>
      <c r="AR349" s="430">
        <f>IFERROR(
IF(AP349="",-100,
IF($BV$2&gt;0, INDEX(Beersheet!$A:$U,MATCH(AP349,INDEX(Beersheet!$A:$U,0,FFARawStatProjections!$BV$2),0),$BV$3)+$BN349,
INDEX($A349:$BM349,,$BV$12)*$BW$12+
INDEX($A349:$BM349,,$BV$15)*$BW$15+
INDEX($A349:$BM349,,$BV$16)*$BW$16+
INDEX($A349:$BM349,,$BV$17)*$BW$17+
INDEX($A349:$BM349,,$BV$18)*$BW$18+
INDEX($A349:$BM349,,$BV$19)*$BW$19+
INDEX($A349:$BM349,,$BV$20)*$BW$20+
INDEX($A349:$BM349,,$BV$21)*$BW$21+
INDEX($A349:$BM349,,$BV$22)*$BW$22+
INDEX($A349:$BM349,,$BV$23)*$BW$23+
INDEX($A349:$BM349,,$BV$25)*$BW$25+
INDEX($A349:$BM349,,$BV$26)*$BW$26+
INDEX($A349:$BM349,,$BV$27)*$BW$27+
$BN349)),
$BN349-100)</f>
        <v>-100</v>
      </c>
      <c r="AT349" t="str">
        <f t="shared" si="70"/>
        <v/>
      </c>
      <c r="AU349" t="str">
        <f t="shared" si="71"/>
        <v/>
      </c>
      <c r="AV349" s="430">
        <f>IFERROR(
IF(AT349="",-100,
IF($BV$2&gt;0, INDEX(Beersheet!$A:$U,MATCH(AT349,INDEX(Beersheet!$A:$U,0,FFARawStatProjections!$BV$2),0),$BV$3)+$BN349,
INDEX($A349:$BM349,,$BV$12)*$BW$12+
INDEX($A349:$BM349,,$BV$15)*$BW$15+
INDEX($A349:$BM349,,$BV$16)*$BW$16+
INDEX($A349:$BM349,,$BV$17)*$BW$17+
INDEX($A349:$BM349,,$BV$18)*$BW$18+
INDEX($A349:$BM349,,$BV$19)*$BW$19+
INDEX($A349:$BM349,,$BV$20)*$BW$20+
INDEX($A349:$BM349,,$BV$21)*$BW$21+
INDEX($A349:$BM349,,$BV$22)*$BW$22+
INDEX($A349:$BM349,,$BV$23)*$BW$23+
INDEX($A349:$BM349,,$BV$25)*$BW$25+
INDEX($A349:$BM349,,$BV$26)*$BW$26+
INDEX($A349:$BM349,,$BV$27)*$BW$27+
$BN349)),
$BN349-100)</f>
        <v>-100</v>
      </c>
      <c r="AX349" t="str">
        <f t="shared" si="72"/>
        <v>Jahan Dotson</v>
      </c>
      <c r="AY349" t="str">
        <f t="shared" si="73"/>
        <v>WAS</v>
      </c>
      <c r="AZ349" s="430">
        <f>IFERROR(
IF(AX349="",-100,
IF($BV$2&gt;0, INDEX(Beersheet!$A:$U,MATCH(AX349,INDEX(Beersheet!$A:$U,0,FFARawStatProjections!$BV$2),0),$BV$3)+$BN349,
INDEX($A349:$BM349,,$BV$12)*$BW$12+
INDEX($A349:$BM349,,$BV$15)*$BW$15+
INDEX($A349:$BM349,,$BV$16)*$BW$16+
INDEX($A349:$BM349,,$BV$17)*$BW$17+
INDEX($A349:$BM349,,$BV$18)*$BW$18+
INDEX($A349:$BM349,,$BV$19)*$BW$19+
INDEX($A349:$BM349,,$BV$20)*$BW$20+
INDEX($A349:$BM349,,$BV$21)*$BW$21+
INDEX($A349:$BM349,,$BV$22)*$BW$22+
INDEX($A349:$BM349,,$BV$23)*$BW$23+
INDEX($A349:$BM349,,$BV$25)*$BW$25+
INDEX($A349:$BM349,,$BV$26)*$BW$26+
INDEX($A349:$BM349,,$BV$27)*$BW$27+
$BN349)),
$BN349-100)</f>
        <v>178.14348000000001</v>
      </c>
      <c r="BB349" t="str">
        <f t="shared" si="74"/>
        <v/>
      </c>
      <c r="BC349" t="str">
        <f t="shared" si="68"/>
        <v/>
      </c>
      <c r="BD349" s="430">
        <f>IFERROR(
IF(BB349="",-100,
IF($BV$2&gt;0, INDEX(Beersheet!$A:$U,MATCH(BB349,INDEX(Beersheet!$A:$U,0,FFARawStatProjections!$BV$2),0),$BV$3)+$BN349,
INDEX($A349:$BM349,,$BV$12)*$BW$12+
INDEX($A349:$BM349,,$BV$15)*$BW$15+
INDEX($A349:$BM349,,$BV$16)*$BW$16+
INDEX($A349:$BM349,,$BV$17)*$BW$17+
INDEX($A349:$BM349,,$BV$18)*$BW$18+
INDEX($A349:$BM349,,$BV$19)*$BW$19+
INDEX($A349:$BM349,,$BV$20)*$BW$20+
INDEX($A349:$BM349,,$BV$21)*$BW$21+
INDEX($A349:$BM349,,$BV$22)*$BW$22+
INDEX($A349:$BM349,,$BV$23)*$BW$23+
INDEX($A349:$BM349,,$BV$25)*$BW$25+
INDEX($A349:$BM349,,$BV$26)*$BW$26+
INDEX($A349:$BM349,,$BV$27)*$BW$27+
$BN349)),
$BN349-100)</f>
        <v>-100</v>
      </c>
      <c r="BF349" t="str">
        <f t="shared" si="75"/>
        <v/>
      </c>
      <c r="BG349" t="str">
        <f t="shared" si="76"/>
        <v/>
      </c>
      <c r="BH349">
        <f t="shared" si="77"/>
        <v>0</v>
      </c>
      <c r="BJ349" t="str">
        <f t="shared" si="78"/>
        <v/>
      </c>
      <c r="BL349">
        <f t="shared" si="80"/>
        <v>0</v>
      </c>
      <c r="BN349">
        <v>3.48E-3</v>
      </c>
      <c r="BS349" s="4" t="s">
        <v>2197</v>
      </c>
    </row>
    <row r="350" spans="1:71" ht="15.75" thickBot="1" x14ac:dyDescent="0.3">
      <c r="A350" s="569" t="s">
        <v>1875</v>
      </c>
      <c r="B350" s="569" t="s">
        <v>147</v>
      </c>
      <c r="C350" s="569" t="s">
        <v>6</v>
      </c>
      <c r="D350" s="574">
        <v>6</v>
      </c>
      <c r="E350" s="569"/>
      <c r="F350" s="569"/>
      <c r="G350" s="569"/>
      <c r="H350" s="569"/>
      <c r="I350" s="574">
        <v>0</v>
      </c>
      <c r="J350" s="574">
        <v>0</v>
      </c>
      <c r="K350" s="574">
        <v>0</v>
      </c>
      <c r="L350" s="574">
        <v>80.3</v>
      </c>
      <c r="M350" s="574">
        <v>4.3</v>
      </c>
      <c r="N350" s="574">
        <v>912.8</v>
      </c>
      <c r="O350" s="574">
        <v>4.5999999999999996</v>
      </c>
      <c r="P350" s="574">
        <v>0</v>
      </c>
      <c r="Q350" s="574">
        <v>25.2</v>
      </c>
      <c r="R350" s="569"/>
      <c r="S350" s="569"/>
      <c r="T350" s="569"/>
      <c r="U350" s="569"/>
      <c r="V350" s="569"/>
      <c r="W350" s="569"/>
      <c r="X350" s="569"/>
      <c r="Y350" s="569"/>
      <c r="Z350" s="569"/>
      <c r="AA350" s="569"/>
      <c r="AB350" s="569"/>
      <c r="AC350" s="569"/>
      <c r="AD350" s="569"/>
      <c r="AE350" s="569"/>
      <c r="AF350" s="569"/>
      <c r="AG350" s="569"/>
      <c r="AH350" s="569"/>
      <c r="AI350" s="569"/>
      <c r="AJ350" s="569"/>
      <c r="AK350" s="569"/>
      <c r="AL350" s="569"/>
      <c r="AM350" s="569"/>
      <c r="AN350" s="574">
        <v>118.5</v>
      </c>
      <c r="AO350">
        <v>349</v>
      </c>
      <c r="AP350" t="str">
        <f t="shared" si="79"/>
        <v/>
      </c>
      <c r="AQ350" t="str">
        <f t="shared" si="69"/>
        <v/>
      </c>
      <c r="AR350" s="430">
        <f>IFERROR(
IF(AP350="",-100,
IF($BV$2&gt;0, INDEX(Beersheet!$A:$U,MATCH(AP350,INDEX(Beersheet!$A:$U,0,FFARawStatProjections!$BV$2),0),$BV$3)+$BN350,
INDEX($A350:$BM350,,$BV$12)*$BW$12+
INDEX($A350:$BM350,,$BV$15)*$BW$15+
INDEX($A350:$BM350,,$BV$16)*$BW$16+
INDEX($A350:$BM350,,$BV$17)*$BW$17+
INDEX($A350:$BM350,,$BV$18)*$BW$18+
INDEX($A350:$BM350,,$BV$19)*$BW$19+
INDEX($A350:$BM350,,$BV$20)*$BW$20+
INDEX($A350:$BM350,,$BV$21)*$BW$21+
INDEX($A350:$BM350,,$BV$22)*$BW$22+
INDEX($A350:$BM350,,$BV$23)*$BW$23+
INDEX($A350:$BM350,,$BV$25)*$BW$25+
INDEX($A350:$BM350,,$BV$26)*$BW$26+
INDEX($A350:$BM350,,$BV$27)*$BW$27+
$BN350)),
$BN350-100)</f>
        <v>-100</v>
      </c>
      <c r="AT350" t="str">
        <f t="shared" si="70"/>
        <v/>
      </c>
      <c r="AU350" t="str">
        <f t="shared" si="71"/>
        <v/>
      </c>
      <c r="AV350" s="430">
        <f>IFERROR(
IF(AT350="",-100,
IF($BV$2&gt;0, INDEX(Beersheet!$A:$U,MATCH(AT350,INDEX(Beersheet!$A:$U,0,FFARawStatProjections!$BV$2),0),$BV$3)+$BN350,
INDEX($A350:$BM350,,$BV$12)*$BW$12+
INDEX($A350:$BM350,,$BV$15)*$BW$15+
INDEX($A350:$BM350,,$BV$16)*$BW$16+
INDEX($A350:$BM350,,$BV$17)*$BW$17+
INDEX($A350:$BM350,,$BV$18)*$BW$18+
INDEX($A350:$BM350,,$BV$19)*$BW$19+
INDEX($A350:$BM350,,$BV$20)*$BW$20+
INDEX($A350:$BM350,,$BV$21)*$BW$21+
INDEX($A350:$BM350,,$BV$22)*$BW$22+
INDEX($A350:$BM350,,$BV$23)*$BW$23+
INDEX($A350:$BM350,,$BV$25)*$BW$25+
INDEX($A350:$BM350,,$BV$26)*$BW$26+
INDEX($A350:$BM350,,$BV$27)*$BW$27+
$BN350)),
$BN350-100)</f>
        <v>-100</v>
      </c>
      <c r="AX350" t="str">
        <f t="shared" si="72"/>
        <v>Diontae Johnson</v>
      </c>
      <c r="AY350" t="str">
        <f t="shared" si="73"/>
        <v>PIT</v>
      </c>
      <c r="AZ350" s="430">
        <f>IFERROR(
IF(AX350="",-100,
IF($BV$2&gt;0, INDEX(Beersheet!$A:$U,MATCH(AX350,INDEX(Beersheet!$A:$U,0,FFARawStatProjections!$BV$2),0),$BV$3)+$BN350,
INDEX($A350:$BM350,,$BV$12)*$BW$12+
INDEX($A350:$BM350,,$BV$15)*$BW$15+
INDEX($A350:$BM350,,$BV$16)*$BW$16+
INDEX($A350:$BM350,,$BV$17)*$BW$17+
INDEX($A350:$BM350,,$BV$18)*$BW$18+
INDEX($A350:$BM350,,$BV$19)*$BW$19+
INDEX($A350:$BM350,,$BV$20)*$BW$20+
INDEX($A350:$BM350,,$BV$21)*$BW$21+
INDEX($A350:$BM350,,$BV$22)*$BW$22+
INDEX($A350:$BM350,,$BV$23)*$BW$23+
INDEX($A350:$BM350,,$BV$25)*$BW$25+
INDEX($A350:$BM350,,$BV$26)*$BW$26+
INDEX($A350:$BM350,,$BV$27)*$BW$27+
$BN350)),
$BN350-100)</f>
        <v>199.90349000000001</v>
      </c>
      <c r="BB350" t="str">
        <f t="shared" si="74"/>
        <v/>
      </c>
      <c r="BC350" t="str">
        <f t="shared" si="68"/>
        <v/>
      </c>
      <c r="BD350" s="430">
        <f>IFERROR(
IF(BB350="",-100,
IF($BV$2&gt;0, INDEX(Beersheet!$A:$U,MATCH(BB350,INDEX(Beersheet!$A:$U,0,FFARawStatProjections!$BV$2),0),$BV$3)+$BN350,
INDEX($A350:$BM350,,$BV$12)*$BW$12+
INDEX($A350:$BM350,,$BV$15)*$BW$15+
INDEX($A350:$BM350,,$BV$16)*$BW$16+
INDEX($A350:$BM350,,$BV$17)*$BW$17+
INDEX($A350:$BM350,,$BV$18)*$BW$18+
INDEX($A350:$BM350,,$BV$19)*$BW$19+
INDEX($A350:$BM350,,$BV$20)*$BW$20+
INDEX($A350:$BM350,,$BV$21)*$BW$21+
INDEX($A350:$BM350,,$BV$22)*$BW$22+
INDEX($A350:$BM350,,$BV$23)*$BW$23+
INDEX($A350:$BM350,,$BV$25)*$BW$25+
INDEX($A350:$BM350,,$BV$26)*$BW$26+
INDEX($A350:$BM350,,$BV$27)*$BW$27+
$BN350)),
$BN350-100)</f>
        <v>-100</v>
      </c>
      <c r="BF350" t="str">
        <f t="shared" si="75"/>
        <v/>
      </c>
      <c r="BG350" t="str">
        <f t="shared" si="76"/>
        <v/>
      </c>
      <c r="BH350">
        <f t="shared" si="77"/>
        <v>0</v>
      </c>
      <c r="BJ350" t="str">
        <f t="shared" si="78"/>
        <v/>
      </c>
      <c r="BL350">
        <f t="shared" si="80"/>
        <v>0</v>
      </c>
      <c r="BN350">
        <v>3.49E-3</v>
      </c>
      <c r="BS350" s="4" t="s">
        <v>2467</v>
      </c>
    </row>
    <row r="351" spans="1:71" ht="15.75" thickBot="1" x14ac:dyDescent="0.3">
      <c r="A351" s="569" t="s">
        <v>2326</v>
      </c>
      <c r="B351" s="569" t="s">
        <v>147</v>
      </c>
      <c r="C351" s="569" t="s">
        <v>6</v>
      </c>
      <c r="D351" s="574">
        <v>6</v>
      </c>
      <c r="E351" s="569"/>
      <c r="F351" s="569"/>
      <c r="G351" s="569"/>
      <c r="H351" s="569"/>
      <c r="I351" s="574">
        <v>0</v>
      </c>
      <c r="J351" s="574">
        <v>0</v>
      </c>
      <c r="K351" s="574">
        <v>0</v>
      </c>
      <c r="L351" s="574">
        <v>56.3</v>
      </c>
      <c r="M351" s="574">
        <v>5.0999999999999996</v>
      </c>
      <c r="N351" s="574">
        <v>836.7</v>
      </c>
      <c r="O351" s="574">
        <v>2.8</v>
      </c>
      <c r="P351" s="574">
        <v>0.4</v>
      </c>
      <c r="Q351" s="574">
        <v>18</v>
      </c>
      <c r="R351" s="569"/>
      <c r="S351" s="569"/>
      <c r="T351" s="569"/>
      <c r="U351" s="569"/>
      <c r="V351" s="569"/>
      <c r="W351" s="569"/>
      <c r="X351" s="569"/>
      <c r="Y351" s="569"/>
      <c r="Z351" s="569"/>
      <c r="AA351" s="569"/>
      <c r="AB351" s="569"/>
      <c r="AC351" s="569"/>
      <c r="AD351" s="569"/>
      <c r="AE351" s="569"/>
      <c r="AF351" s="569"/>
      <c r="AG351" s="569"/>
      <c r="AH351" s="569"/>
      <c r="AI351" s="569"/>
      <c r="AJ351" s="569"/>
      <c r="AK351" s="569"/>
      <c r="AL351" s="569"/>
      <c r="AM351" s="569"/>
      <c r="AN351" s="574">
        <v>117.8</v>
      </c>
      <c r="AO351">
        <v>350</v>
      </c>
      <c r="AP351" t="str">
        <f t="shared" si="79"/>
        <v/>
      </c>
      <c r="AQ351" t="str">
        <f t="shared" si="69"/>
        <v/>
      </c>
      <c r="AR351" s="430">
        <f>IFERROR(
IF(AP351="",-100,
IF($BV$2&gt;0, INDEX(Beersheet!$A:$U,MATCH(AP351,INDEX(Beersheet!$A:$U,0,FFARawStatProjections!$BV$2),0),$BV$3)+$BN351,
INDEX($A351:$BM351,,$BV$12)*$BW$12+
INDEX($A351:$BM351,,$BV$15)*$BW$15+
INDEX($A351:$BM351,,$BV$16)*$BW$16+
INDEX($A351:$BM351,,$BV$17)*$BW$17+
INDEX($A351:$BM351,,$BV$18)*$BW$18+
INDEX($A351:$BM351,,$BV$19)*$BW$19+
INDEX($A351:$BM351,,$BV$20)*$BW$20+
INDEX($A351:$BM351,,$BV$21)*$BW$21+
INDEX($A351:$BM351,,$BV$22)*$BW$22+
INDEX($A351:$BM351,,$BV$23)*$BW$23+
INDEX($A351:$BM351,,$BV$25)*$BW$25+
INDEX($A351:$BM351,,$BV$26)*$BW$26+
INDEX($A351:$BM351,,$BV$27)*$BW$27+
$BN351)),
$BN351-100)</f>
        <v>-100</v>
      </c>
      <c r="AT351" t="str">
        <f t="shared" si="70"/>
        <v/>
      </c>
      <c r="AU351" t="str">
        <f t="shared" si="71"/>
        <v/>
      </c>
      <c r="AV351" s="430">
        <f>IFERROR(
IF(AT351="",-100,
IF($BV$2&gt;0, INDEX(Beersheet!$A:$U,MATCH(AT351,INDEX(Beersheet!$A:$U,0,FFARawStatProjections!$BV$2),0),$BV$3)+$BN351,
INDEX($A351:$BM351,,$BV$12)*$BW$12+
INDEX($A351:$BM351,,$BV$15)*$BW$15+
INDEX($A351:$BM351,,$BV$16)*$BW$16+
INDEX($A351:$BM351,,$BV$17)*$BW$17+
INDEX($A351:$BM351,,$BV$18)*$BW$18+
INDEX($A351:$BM351,,$BV$19)*$BW$19+
INDEX($A351:$BM351,,$BV$20)*$BW$20+
INDEX($A351:$BM351,,$BV$21)*$BW$21+
INDEX($A351:$BM351,,$BV$22)*$BW$22+
INDEX($A351:$BM351,,$BV$23)*$BW$23+
INDEX($A351:$BM351,,$BV$25)*$BW$25+
INDEX($A351:$BM351,,$BV$26)*$BW$26+
INDEX($A351:$BM351,,$BV$27)*$BW$27+
$BN351)),
$BN351-100)</f>
        <v>-100</v>
      </c>
      <c r="AX351" t="str">
        <f t="shared" si="72"/>
        <v>George Pickens</v>
      </c>
      <c r="AY351" t="str">
        <f t="shared" si="73"/>
        <v>PIT</v>
      </c>
      <c r="AZ351" s="430">
        <f>IFERROR(
IF(AX351="",-100,
IF($BV$2&gt;0, INDEX(Beersheet!$A:$U,MATCH(AX351,INDEX(Beersheet!$A:$U,0,FFARawStatProjections!$BV$2),0),$BV$3)+$BN351,
INDEX($A351:$BM351,,$BV$12)*$BW$12+
INDEX($A351:$BM351,,$BV$15)*$BW$15+
INDEX($A351:$BM351,,$BV$16)*$BW$16+
INDEX($A351:$BM351,,$BV$17)*$BW$17+
INDEX($A351:$BM351,,$BV$18)*$BW$18+
INDEX($A351:$BM351,,$BV$19)*$BW$19+
INDEX($A351:$BM351,,$BV$20)*$BW$20+
INDEX($A351:$BM351,,$BV$21)*$BW$21+
INDEX($A351:$BM351,,$BV$22)*$BW$22+
INDEX($A351:$BM351,,$BV$23)*$BW$23+
INDEX($A351:$BM351,,$BV$25)*$BW$25+
INDEX($A351:$BM351,,$BV$26)*$BW$26+
INDEX($A351:$BM351,,$BV$27)*$BW$27+
$BN351)),
$BN351-100)</f>
        <v>174.77350000000001</v>
      </c>
      <c r="BB351" t="str">
        <f t="shared" si="74"/>
        <v/>
      </c>
      <c r="BC351" t="str">
        <f t="shared" si="68"/>
        <v/>
      </c>
      <c r="BD351" s="430">
        <f>IFERROR(
IF(BB351="",-100,
IF($BV$2&gt;0, INDEX(Beersheet!$A:$U,MATCH(BB351,INDEX(Beersheet!$A:$U,0,FFARawStatProjections!$BV$2),0),$BV$3)+$BN351,
INDEX($A351:$BM351,,$BV$12)*$BW$12+
INDEX($A351:$BM351,,$BV$15)*$BW$15+
INDEX($A351:$BM351,,$BV$16)*$BW$16+
INDEX($A351:$BM351,,$BV$17)*$BW$17+
INDEX($A351:$BM351,,$BV$18)*$BW$18+
INDEX($A351:$BM351,,$BV$19)*$BW$19+
INDEX($A351:$BM351,,$BV$20)*$BW$20+
INDEX($A351:$BM351,,$BV$21)*$BW$21+
INDEX($A351:$BM351,,$BV$22)*$BW$22+
INDEX($A351:$BM351,,$BV$23)*$BW$23+
INDEX($A351:$BM351,,$BV$25)*$BW$25+
INDEX($A351:$BM351,,$BV$26)*$BW$26+
INDEX($A351:$BM351,,$BV$27)*$BW$27+
$BN351)),
$BN351-100)</f>
        <v>-100</v>
      </c>
      <c r="BF351" t="str">
        <f t="shared" si="75"/>
        <v/>
      </c>
      <c r="BG351" t="str">
        <f t="shared" si="76"/>
        <v/>
      </c>
      <c r="BH351">
        <f t="shared" si="77"/>
        <v>0</v>
      </c>
      <c r="BJ351" t="str">
        <f t="shared" si="78"/>
        <v/>
      </c>
      <c r="BL351">
        <f t="shared" si="80"/>
        <v>0</v>
      </c>
      <c r="BN351">
        <v>3.5000000000000001E-3</v>
      </c>
      <c r="BS351" s="4" t="s">
        <v>1877</v>
      </c>
    </row>
    <row r="352" spans="1:71" ht="15.75" thickBot="1" x14ac:dyDescent="0.3">
      <c r="A352" s="569" t="s">
        <v>107</v>
      </c>
      <c r="B352" s="569" t="s">
        <v>146</v>
      </c>
      <c r="C352" s="569" t="s">
        <v>6</v>
      </c>
      <c r="D352" s="574">
        <v>7</v>
      </c>
      <c r="E352" s="569"/>
      <c r="F352" s="569"/>
      <c r="G352" s="569"/>
      <c r="H352" s="569"/>
      <c r="I352" s="574">
        <v>0</v>
      </c>
      <c r="J352" s="574">
        <v>0</v>
      </c>
      <c r="K352" s="574">
        <v>0</v>
      </c>
      <c r="L352" s="574">
        <v>62</v>
      </c>
      <c r="M352" s="574">
        <v>4.7</v>
      </c>
      <c r="N352" s="574">
        <v>812.1</v>
      </c>
      <c r="O352" s="574">
        <v>3</v>
      </c>
      <c r="P352" s="574">
        <v>0.1</v>
      </c>
      <c r="Q352" s="574">
        <v>19.399999999999999</v>
      </c>
      <c r="R352" s="569"/>
      <c r="S352" s="569"/>
      <c r="T352" s="569"/>
      <c r="U352" s="569"/>
      <c r="V352" s="569"/>
      <c r="W352" s="569"/>
      <c r="X352" s="569"/>
      <c r="Y352" s="569"/>
      <c r="Z352" s="569"/>
      <c r="AA352" s="569"/>
      <c r="AB352" s="569"/>
      <c r="AC352" s="569"/>
      <c r="AD352" s="569"/>
      <c r="AE352" s="569"/>
      <c r="AF352" s="569"/>
      <c r="AG352" s="569"/>
      <c r="AH352" s="569"/>
      <c r="AI352" s="569"/>
      <c r="AJ352" s="569"/>
      <c r="AK352" s="569"/>
      <c r="AL352" s="569"/>
      <c r="AM352" s="569"/>
      <c r="AN352" s="574">
        <v>111.9</v>
      </c>
      <c r="AO352">
        <v>351</v>
      </c>
      <c r="AP352" t="str">
        <f t="shared" si="79"/>
        <v/>
      </c>
      <c r="AQ352" t="str">
        <f t="shared" si="69"/>
        <v/>
      </c>
      <c r="AR352" s="430">
        <f>IFERROR(
IF(AP352="",-100,
IF($BV$2&gt;0, INDEX(Beersheet!$A:$U,MATCH(AP352,INDEX(Beersheet!$A:$U,0,FFARawStatProjections!$BV$2),0),$BV$3)+$BN352,
INDEX($A352:$BM352,,$BV$12)*$BW$12+
INDEX($A352:$BM352,,$BV$15)*$BW$15+
INDEX($A352:$BM352,,$BV$16)*$BW$16+
INDEX($A352:$BM352,,$BV$17)*$BW$17+
INDEX($A352:$BM352,,$BV$18)*$BW$18+
INDEX($A352:$BM352,,$BV$19)*$BW$19+
INDEX($A352:$BM352,,$BV$20)*$BW$20+
INDEX($A352:$BM352,,$BV$21)*$BW$21+
INDEX($A352:$BM352,,$BV$22)*$BW$22+
INDEX($A352:$BM352,,$BV$23)*$BW$23+
INDEX($A352:$BM352,,$BV$25)*$BW$25+
INDEX($A352:$BM352,,$BV$26)*$BW$26+
INDEX($A352:$BM352,,$BV$27)*$BW$27+
$BN352)),
$BN352-100)</f>
        <v>-100</v>
      </c>
      <c r="AT352" t="str">
        <f t="shared" si="70"/>
        <v/>
      </c>
      <c r="AU352" t="str">
        <f t="shared" si="71"/>
        <v/>
      </c>
      <c r="AV352" s="430">
        <f>IFERROR(
IF(AT352="",-100,
IF($BV$2&gt;0, INDEX(Beersheet!$A:$U,MATCH(AT352,INDEX(Beersheet!$A:$U,0,FFARawStatProjections!$BV$2),0),$BV$3)+$BN352,
INDEX($A352:$BM352,,$BV$12)*$BW$12+
INDEX($A352:$BM352,,$BV$15)*$BW$15+
INDEX($A352:$BM352,,$BV$16)*$BW$16+
INDEX($A352:$BM352,,$BV$17)*$BW$17+
INDEX($A352:$BM352,,$BV$18)*$BW$18+
INDEX($A352:$BM352,,$BV$19)*$BW$19+
INDEX($A352:$BM352,,$BV$20)*$BW$20+
INDEX($A352:$BM352,,$BV$21)*$BW$21+
INDEX($A352:$BM352,,$BV$22)*$BW$22+
INDEX($A352:$BM352,,$BV$23)*$BW$23+
INDEX($A352:$BM352,,$BV$25)*$BW$25+
INDEX($A352:$BM352,,$BV$26)*$BW$26+
INDEX($A352:$BM352,,$BV$27)*$BW$27+
$BN352)),
$BN352-100)</f>
        <v>-100</v>
      </c>
      <c r="AX352" t="str">
        <f t="shared" si="72"/>
        <v>Brandin Cooks</v>
      </c>
      <c r="AY352" t="str">
        <f t="shared" si="73"/>
        <v>DAL</v>
      </c>
      <c r="AZ352" s="430">
        <f>IFERROR(
IF(AX352="",-100,
IF($BV$2&gt;0, INDEX(Beersheet!$A:$U,MATCH(AX352,INDEX(Beersheet!$A:$U,0,FFARawStatProjections!$BV$2),0),$BV$3)+$BN352,
INDEX($A352:$BM352,,$BV$12)*$BW$12+
INDEX($A352:$BM352,,$BV$15)*$BW$15+
INDEX($A352:$BM352,,$BV$16)*$BW$16+
INDEX($A352:$BM352,,$BV$17)*$BW$17+
INDEX($A352:$BM352,,$BV$18)*$BW$18+
INDEX($A352:$BM352,,$BV$19)*$BW$19+
INDEX($A352:$BM352,,$BV$20)*$BW$20+
INDEX($A352:$BM352,,$BV$21)*$BW$21+
INDEX($A352:$BM352,,$BV$22)*$BW$22+
INDEX($A352:$BM352,,$BV$23)*$BW$23+
INDEX($A352:$BM352,,$BV$25)*$BW$25+
INDEX($A352:$BM352,,$BV$26)*$BW$26+
INDEX($A352:$BM352,,$BV$27)*$BW$27+
$BN352)),
$BN352-100)</f>
        <v>173.95351000000002</v>
      </c>
      <c r="BB352" t="str">
        <f t="shared" si="74"/>
        <v/>
      </c>
      <c r="BC352" t="str">
        <f t="shared" si="68"/>
        <v/>
      </c>
      <c r="BD352" s="430">
        <f>IFERROR(
IF(BB352="",-100,
IF($BV$2&gt;0, INDEX(Beersheet!$A:$U,MATCH(BB352,INDEX(Beersheet!$A:$U,0,FFARawStatProjections!$BV$2),0),$BV$3)+$BN352,
INDEX($A352:$BM352,,$BV$12)*$BW$12+
INDEX($A352:$BM352,,$BV$15)*$BW$15+
INDEX($A352:$BM352,,$BV$16)*$BW$16+
INDEX($A352:$BM352,,$BV$17)*$BW$17+
INDEX($A352:$BM352,,$BV$18)*$BW$18+
INDEX($A352:$BM352,,$BV$19)*$BW$19+
INDEX($A352:$BM352,,$BV$20)*$BW$20+
INDEX($A352:$BM352,,$BV$21)*$BW$21+
INDEX($A352:$BM352,,$BV$22)*$BW$22+
INDEX($A352:$BM352,,$BV$23)*$BW$23+
INDEX($A352:$BM352,,$BV$25)*$BW$25+
INDEX($A352:$BM352,,$BV$26)*$BW$26+
INDEX($A352:$BM352,,$BV$27)*$BW$27+
$BN352)),
$BN352-100)</f>
        <v>-100</v>
      </c>
      <c r="BF352" t="str">
        <f t="shared" si="75"/>
        <v/>
      </c>
      <c r="BG352" t="str">
        <f t="shared" si="76"/>
        <v/>
      </c>
      <c r="BH352">
        <f t="shared" si="77"/>
        <v>0</v>
      </c>
      <c r="BJ352" t="str">
        <f t="shared" si="78"/>
        <v/>
      </c>
      <c r="BL352">
        <f t="shared" si="80"/>
        <v>0</v>
      </c>
      <c r="BN352">
        <v>3.5100000000000001E-3</v>
      </c>
      <c r="BS352" s="4" t="s">
        <v>2355</v>
      </c>
    </row>
    <row r="353" spans="1:71" ht="15.75" thickBot="1" x14ac:dyDescent="0.3">
      <c r="A353" s="569" t="s">
        <v>2464</v>
      </c>
      <c r="B353" s="569" t="s">
        <v>138</v>
      </c>
      <c r="C353" s="569" t="s">
        <v>6</v>
      </c>
      <c r="D353" s="574">
        <v>13</v>
      </c>
      <c r="E353" s="569"/>
      <c r="F353" s="569"/>
      <c r="G353" s="569"/>
      <c r="H353" s="569"/>
      <c r="I353" s="574">
        <v>0</v>
      </c>
      <c r="J353" s="574">
        <v>0</v>
      </c>
      <c r="K353" s="574">
        <v>0</v>
      </c>
      <c r="L353" s="574">
        <v>61.1</v>
      </c>
      <c r="M353" s="574">
        <v>5</v>
      </c>
      <c r="N353" s="574">
        <v>813.4</v>
      </c>
      <c r="O353" s="574">
        <v>2.5</v>
      </c>
      <c r="P353" s="574">
        <v>0.1</v>
      </c>
      <c r="Q353" s="574">
        <v>14.1</v>
      </c>
      <c r="R353" s="569"/>
      <c r="S353" s="569"/>
      <c r="T353" s="569"/>
      <c r="U353" s="569"/>
      <c r="V353" s="569"/>
      <c r="W353" s="569"/>
      <c r="X353" s="569"/>
      <c r="Y353" s="569"/>
      <c r="Z353" s="569"/>
      <c r="AA353" s="569"/>
      <c r="AB353" s="569"/>
      <c r="AC353" s="569"/>
      <c r="AD353" s="569"/>
      <c r="AE353" s="569"/>
      <c r="AF353" s="569"/>
      <c r="AG353" s="569"/>
      <c r="AH353" s="569"/>
      <c r="AI353" s="569"/>
      <c r="AJ353" s="569"/>
      <c r="AK353" s="569"/>
      <c r="AL353" s="569"/>
      <c r="AM353" s="569"/>
      <c r="AN353" s="574">
        <v>111.7</v>
      </c>
      <c r="AO353">
        <v>352</v>
      </c>
      <c r="AP353" t="str">
        <f t="shared" si="79"/>
        <v/>
      </c>
      <c r="AQ353" t="str">
        <f t="shared" si="69"/>
        <v/>
      </c>
      <c r="AR353" s="430">
        <f>IFERROR(
IF(AP353="",-100,
IF($BV$2&gt;0, INDEX(Beersheet!$A:$U,MATCH(AP353,INDEX(Beersheet!$A:$U,0,FFARawStatProjections!$BV$2),0),$BV$3)+$BN353,
INDEX($A353:$BM353,,$BV$12)*$BW$12+
INDEX($A353:$BM353,,$BV$15)*$BW$15+
INDEX($A353:$BM353,,$BV$16)*$BW$16+
INDEX($A353:$BM353,,$BV$17)*$BW$17+
INDEX($A353:$BM353,,$BV$18)*$BW$18+
INDEX($A353:$BM353,,$BV$19)*$BW$19+
INDEX($A353:$BM353,,$BV$20)*$BW$20+
INDEX($A353:$BM353,,$BV$21)*$BW$21+
INDEX($A353:$BM353,,$BV$22)*$BW$22+
INDEX($A353:$BM353,,$BV$23)*$BW$23+
INDEX($A353:$BM353,,$BV$25)*$BW$25+
INDEX($A353:$BM353,,$BV$26)*$BW$26+
INDEX($A353:$BM353,,$BV$27)*$BW$27+
$BN353)),
$BN353-100)</f>
        <v>-100</v>
      </c>
      <c r="AT353" t="str">
        <f t="shared" si="70"/>
        <v/>
      </c>
      <c r="AU353" t="str">
        <f t="shared" si="71"/>
        <v/>
      </c>
      <c r="AV353" s="430">
        <f>IFERROR(
IF(AT353="",-100,
IF($BV$2&gt;0, INDEX(Beersheet!$A:$U,MATCH(AT353,INDEX(Beersheet!$A:$U,0,FFARawStatProjections!$BV$2),0),$BV$3)+$BN353,
INDEX($A353:$BM353,,$BV$12)*$BW$12+
INDEX($A353:$BM353,,$BV$15)*$BW$15+
INDEX($A353:$BM353,,$BV$16)*$BW$16+
INDEX($A353:$BM353,,$BV$17)*$BW$17+
INDEX($A353:$BM353,,$BV$18)*$BW$18+
INDEX($A353:$BM353,,$BV$19)*$BW$19+
INDEX($A353:$BM353,,$BV$20)*$BW$20+
INDEX($A353:$BM353,,$BV$21)*$BW$21+
INDEX($A353:$BM353,,$BV$22)*$BW$22+
INDEX($A353:$BM353,,$BV$23)*$BW$23+
INDEX($A353:$BM353,,$BV$25)*$BW$25+
INDEX($A353:$BM353,,$BV$26)*$BW$26+
INDEX($A353:$BM353,,$BV$27)*$BW$27+
$BN353)),
$BN353-100)</f>
        <v>-100</v>
      </c>
      <c r="AX353" t="str">
        <f t="shared" si="72"/>
        <v>Jordan Addison</v>
      </c>
      <c r="AY353" t="str">
        <f t="shared" si="73"/>
        <v>MIN</v>
      </c>
      <c r="AZ353" s="430">
        <f>IFERROR(
IF(AX353="",-100,
IF($BV$2&gt;0, INDEX(Beersheet!$A:$U,MATCH(AX353,INDEX(Beersheet!$A:$U,0,FFARawStatProjections!$BV$2),0),$BV$3)+$BN353,
INDEX($A353:$BM353,,$BV$12)*$BW$12+
INDEX($A353:$BM353,,$BV$15)*$BW$15+
INDEX($A353:$BM353,,$BV$16)*$BW$16+
INDEX($A353:$BM353,,$BV$17)*$BW$17+
INDEX($A353:$BM353,,$BV$18)*$BW$18+
INDEX($A353:$BM353,,$BV$19)*$BW$19+
INDEX($A353:$BM353,,$BV$20)*$BW$20+
INDEX($A353:$BM353,,$BV$21)*$BW$21+
INDEX($A353:$BM353,,$BV$22)*$BW$22+
INDEX($A353:$BM353,,$BV$23)*$BW$23+
INDEX($A353:$BM353,,$BV$25)*$BW$25+
INDEX($A353:$BM353,,$BV$26)*$BW$26+
INDEX($A353:$BM353,,$BV$27)*$BW$27+
$BN353)),
$BN353-100)</f>
        <v>174.45352</v>
      </c>
      <c r="BB353" t="str">
        <f t="shared" si="74"/>
        <v/>
      </c>
      <c r="BC353" t="str">
        <f t="shared" si="68"/>
        <v/>
      </c>
      <c r="BD353" s="430">
        <f>IFERROR(
IF(BB353="",-100,
IF($BV$2&gt;0, INDEX(Beersheet!$A:$U,MATCH(BB353,INDEX(Beersheet!$A:$U,0,FFARawStatProjections!$BV$2),0),$BV$3)+$BN353,
INDEX($A353:$BM353,,$BV$12)*$BW$12+
INDEX($A353:$BM353,,$BV$15)*$BW$15+
INDEX($A353:$BM353,,$BV$16)*$BW$16+
INDEX($A353:$BM353,,$BV$17)*$BW$17+
INDEX($A353:$BM353,,$BV$18)*$BW$18+
INDEX($A353:$BM353,,$BV$19)*$BW$19+
INDEX($A353:$BM353,,$BV$20)*$BW$20+
INDEX($A353:$BM353,,$BV$21)*$BW$21+
INDEX($A353:$BM353,,$BV$22)*$BW$22+
INDEX($A353:$BM353,,$BV$23)*$BW$23+
INDEX($A353:$BM353,,$BV$25)*$BW$25+
INDEX($A353:$BM353,,$BV$26)*$BW$26+
INDEX($A353:$BM353,,$BV$27)*$BW$27+
$BN353)),
$BN353-100)</f>
        <v>-100</v>
      </c>
      <c r="BF353" t="str">
        <f t="shared" si="75"/>
        <v/>
      </c>
      <c r="BG353" t="str">
        <f t="shared" si="76"/>
        <v/>
      </c>
      <c r="BH353">
        <f t="shared" si="77"/>
        <v>0</v>
      </c>
      <c r="BJ353" t="str">
        <f t="shared" si="78"/>
        <v/>
      </c>
      <c r="BL353">
        <f t="shared" si="80"/>
        <v>0</v>
      </c>
      <c r="BN353">
        <v>3.5200000000000001E-3</v>
      </c>
      <c r="BS353" s="4" t="s">
        <v>2374</v>
      </c>
    </row>
    <row r="354" spans="1:71" ht="15.75" thickBot="1" x14ac:dyDescent="0.3">
      <c r="A354" s="569" t="s">
        <v>2085</v>
      </c>
      <c r="B354" s="569" t="s">
        <v>158</v>
      </c>
      <c r="C354" s="569" t="s">
        <v>6</v>
      </c>
      <c r="D354" s="574">
        <v>11</v>
      </c>
      <c r="E354" s="569"/>
      <c r="F354" s="569"/>
      <c r="G354" s="569"/>
      <c r="H354" s="569"/>
      <c r="I354" s="574">
        <v>0</v>
      </c>
      <c r="J354" s="574">
        <v>0</v>
      </c>
      <c r="K354" s="574">
        <v>0</v>
      </c>
      <c r="L354" s="574">
        <v>75.8</v>
      </c>
      <c r="M354" s="574">
        <v>4.0999999999999996</v>
      </c>
      <c r="N354" s="574">
        <v>857.9</v>
      </c>
      <c r="O354" s="574">
        <v>2.4</v>
      </c>
      <c r="P354" s="574">
        <v>0</v>
      </c>
      <c r="Q354" s="574">
        <v>20.8</v>
      </c>
      <c r="R354" s="569"/>
      <c r="S354" s="569"/>
      <c r="T354" s="569"/>
      <c r="U354" s="569"/>
      <c r="V354" s="569"/>
      <c r="W354" s="569"/>
      <c r="X354" s="569"/>
      <c r="Y354" s="569"/>
      <c r="Z354" s="569"/>
      <c r="AA354" s="569"/>
      <c r="AB354" s="569"/>
      <c r="AC354" s="569"/>
      <c r="AD354" s="569"/>
      <c r="AE354" s="569"/>
      <c r="AF354" s="569"/>
      <c r="AG354" s="569"/>
      <c r="AH354" s="569"/>
      <c r="AI354" s="569"/>
      <c r="AJ354" s="569"/>
      <c r="AK354" s="569"/>
      <c r="AL354" s="569"/>
      <c r="AM354" s="569"/>
      <c r="AN354" s="574">
        <v>111.5</v>
      </c>
      <c r="AO354">
        <v>353</v>
      </c>
      <c r="AP354" t="str">
        <f t="shared" si="79"/>
        <v/>
      </c>
      <c r="AQ354" t="str">
        <f t="shared" si="69"/>
        <v/>
      </c>
      <c r="AR354" s="430">
        <f>IFERROR(
IF(AP354="",-100,
IF($BV$2&gt;0, INDEX(Beersheet!$A:$U,MATCH(AP354,INDEX(Beersheet!$A:$U,0,FFARawStatProjections!$BV$2),0),$BV$3)+$BN354,
INDEX($A354:$BM354,,$BV$12)*$BW$12+
INDEX($A354:$BM354,,$BV$15)*$BW$15+
INDEX($A354:$BM354,,$BV$16)*$BW$16+
INDEX($A354:$BM354,,$BV$17)*$BW$17+
INDEX($A354:$BM354,,$BV$18)*$BW$18+
INDEX($A354:$BM354,,$BV$19)*$BW$19+
INDEX($A354:$BM354,,$BV$20)*$BW$20+
INDEX($A354:$BM354,,$BV$21)*$BW$21+
INDEX($A354:$BM354,,$BV$22)*$BW$22+
INDEX($A354:$BM354,,$BV$23)*$BW$23+
INDEX($A354:$BM354,,$BV$25)*$BW$25+
INDEX($A354:$BM354,,$BV$26)*$BW$26+
INDEX($A354:$BM354,,$BV$27)*$BW$27+
$BN354)),
$BN354-100)</f>
        <v>-100</v>
      </c>
      <c r="AT354" t="str">
        <f t="shared" si="70"/>
        <v/>
      </c>
      <c r="AU354" t="str">
        <f t="shared" si="71"/>
        <v/>
      </c>
      <c r="AV354" s="430">
        <f>IFERROR(
IF(AT354="",-100,
IF($BV$2&gt;0, INDEX(Beersheet!$A:$U,MATCH(AT354,INDEX(Beersheet!$A:$U,0,FFARawStatProjections!$BV$2),0),$BV$3)+$BN354,
INDEX($A354:$BM354,,$BV$12)*$BW$12+
INDEX($A354:$BM354,,$BV$15)*$BW$15+
INDEX($A354:$BM354,,$BV$16)*$BW$16+
INDEX($A354:$BM354,,$BV$17)*$BW$17+
INDEX($A354:$BM354,,$BV$18)*$BW$18+
INDEX($A354:$BM354,,$BV$19)*$BW$19+
INDEX($A354:$BM354,,$BV$20)*$BW$20+
INDEX($A354:$BM354,,$BV$21)*$BW$21+
INDEX($A354:$BM354,,$BV$22)*$BW$22+
INDEX($A354:$BM354,,$BV$23)*$BW$23+
INDEX($A354:$BM354,,$BV$25)*$BW$25+
INDEX($A354:$BM354,,$BV$26)*$BW$26+
INDEX($A354:$BM354,,$BV$27)*$BW$27+
$BN354)),
$BN354-100)</f>
        <v>-100</v>
      </c>
      <c r="AX354" t="str">
        <f t="shared" si="72"/>
        <v>Michael Pittman</v>
      </c>
      <c r="AY354" t="str">
        <f t="shared" si="73"/>
        <v>IND</v>
      </c>
      <c r="AZ354" s="430">
        <f>IFERROR(
IF(AX354="",-100,
IF($BV$2&gt;0, INDEX(Beersheet!$A:$U,MATCH(AX354,INDEX(Beersheet!$A:$U,0,FFARawStatProjections!$BV$2),0),$BV$3)+$BN354,
INDEX($A354:$BM354,,$BV$12)*$BW$12+
INDEX($A354:$BM354,,$BV$15)*$BW$15+
INDEX($A354:$BM354,,$BV$16)*$BW$16+
INDEX($A354:$BM354,,$BV$17)*$BW$17+
INDEX($A354:$BM354,,$BV$18)*$BW$18+
INDEX($A354:$BM354,,$BV$19)*$BW$19+
INDEX($A354:$BM354,,$BV$20)*$BW$20+
INDEX($A354:$BM354,,$BV$21)*$BW$21+
INDEX($A354:$BM354,,$BV$22)*$BW$22+
INDEX($A354:$BM354,,$BV$23)*$BW$23+
INDEX($A354:$BM354,,$BV$25)*$BW$25+
INDEX($A354:$BM354,,$BV$26)*$BW$26+
INDEX($A354:$BM354,,$BV$27)*$BW$27+
$BN354)),
$BN354-100)</f>
        <v>188.27353000000002</v>
      </c>
      <c r="BB354" t="str">
        <f t="shared" si="74"/>
        <v/>
      </c>
      <c r="BC354" t="str">
        <f t="shared" si="68"/>
        <v/>
      </c>
      <c r="BD354" s="430">
        <f>IFERROR(
IF(BB354="",-100,
IF($BV$2&gt;0, INDEX(Beersheet!$A:$U,MATCH(BB354,INDEX(Beersheet!$A:$U,0,FFARawStatProjections!$BV$2),0),$BV$3)+$BN354,
INDEX($A354:$BM354,,$BV$12)*$BW$12+
INDEX($A354:$BM354,,$BV$15)*$BW$15+
INDEX($A354:$BM354,,$BV$16)*$BW$16+
INDEX($A354:$BM354,,$BV$17)*$BW$17+
INDEX($A354:$BM354,,$BV$18)*$BW$18+
INDEX($A354:$BM354,,$BV$19)*$BW$19+
INDEX($A354:$BM354,,$BV$20)*$BW$20+
INDEX($A354:$BM354,,$BV$21)*$BW$21+
INDEX($A354:$BM354,,$BV$22)*$BW$22+
INDEX($A354:$BM354,,$BV$23)*$BW$23+
INDEX($A354:$BM354,,$BV$25)*$BW$25+
INDEX($A354:$BM354,,$BV$26)*$BW$26+
INDEX($A354:$BM354,,$BV$27)*$BW$27+
$BN354)),
$BN354-100)</f>
        <v>-100</v>
      </c>
      <c r="BF354" t="str">
        <f t="shared" si="75"/>
        <v/>
      </c>
      <c r="BG354" t="str">
        <f t="shared" si="76"/>
        <v/>
      </c>
      <c r="BH354">
        <f t="shared" si="77"/>
        <v>0</v>
      </c>
      <c r="BJ354" t="str">
        <f t="shared" si="78"/>
        <v/>
      </c>
      <c r="BL354">
        <f t="shared" si="80"/>
        <v>0</v>
      </c>
      <c r="BN354">
        <v>3.5300000000000002E-3</v>
      </c>
      <c r="BS354" s="4" t="s">
        <v>986</v>
      </c>
    </row>
    <row r="355" spans="1:71" ht="15.75" thickBot="1" x14ac:dyDescent="0.3">
      <c r="A355" s="569" t="s">
        <v>2317</v>
      </c>
      <c r="B355" s="569" t="s">
        <v>163</v>
      </c>
      <c r="C355" s="569" t="s">
        <v>6</v>
      </c>
      <c r="D355" s="574">
        <v>7</v>
      </c>
      <c r="E355" s="569"/>
      <c r="F355" s="569"/>
      <c r="G355" s="569"/>
      <c r="H355" s="569"/>
      <c r="I355" s="574">
        <v>0</v>
      </c>
      <c r="J355" s="574">
        <v>0</v>
      </c>
      <c r="K355" s="574">
        <v>0</v>
      </c>
      <c r="L355" s="574">
        <v>58</v>
      </c>
      <c r="M355" s="574">
        <v>4</v>
      </c>
      <c r="N355" s="574">
        <v>796.3</v>
      </c>
      <c r="O355" s="574">
        <v>6.9</v>
      </c>
      <c r="P355" s="574">
        <v>0.1</v>
      </c>
      <c r="Q355" s="574">
        <v>52.9</v>
      </c>
      <c r="R355" s="569"/>
      <c r="S355" s="569"/>
      <c r="T355" s="569"/>
      <c r="U355" s="569"/>
      <c r="V355" s="569"/>
      <c r="W355" s="569"/>
      <c r="X355" s="569"/>
      <c r="Y355" s="569"/>
      <c r="Z355" s="569"/>
      <c r="AA355" s="569"/>
      <c r="AB355" s="569"/>
      <c r="AC355" s="569"/>
      <c r="AD355" s="569"/>
      <c r="AE355" s="569"/>
      <c r="AF355" s="569"/>
      <c r="AG355" s="569"/>
      <c r="AH355" s="569"/>
      <c r="AI355" s="569"/>
      <c r="AJ355" s="569"/>
      <c r="AK355" s="569"/>
      <c r="AL355" s="569"/>
      <c r="AM355" s="569"/>
      <c r="AN355" s="574">
        <v>108.9</v>
      </c>
      <c r="AO355">
        <v>354</v>
      </c>
      <c r="AP355" t="str">
        <f t="shared" si="79"/>
        <v/>
      </c>
      <c r="AQ355" t="str">
        <f t="shared" si="69"/>
        <v/>
      </c>
      <c r="AR355" s="430">
        <f>IFERROR(
IF(AP355="",-100,
IF($BV$2&gt;0, INDEX(Beersheet!$A:$U,MATCH(AP355,INDEX(Beersheet!$A:$U,0,FFARawStatProjections!$BV$2),0),$BV$3)+$BN355,
INDEX($A355:$BM355,,$BV$12)*$BW$12+
INDEX($A355:$BM355,,$BV$15)*$BW$15+
INDEX($A355:$BM355,,$BV$16)*$BW$16+
INDEX($A355:$BM355,,$BV$17)*$BW$17+
INDEX($A355:$BM355,,$BV$18)*$BW$18+
INDEX($A355:$BM355,,$BV$19)*$BW$19+
INDEX($A355:$BM355,,$BV$20)*$BW$20+
INDEX($A355:$BM355,,$BV$21)*$BW$21+
INDEX($A355:$BM355,,$BV$22)*$BW$22+
INDEX($A355:$BM355,,$BV$23)*$BW$23+
INDEX($A355:$BM355,,$BV$25)*$BW$25+
INDEX($A355:$BM355,,$BV$26)*$BW$26+
INDEX($A355:$BM355,,$BV$27)*$BW$27+
$BN355)),
$BN355-100)</f>
        <v>-100</v>
      </c>
      <c r="AT355" t="str">
        <f t="shared" si="70"/>
        <v/>
      </c>
      <c r="AU355" t="str">
        <f t="shared" si="71"/>
        <v/>
      </c>
      <c r="AV355" s="430">
        <f>IFERROR(
IF(AT355="",-100,
IF($BV$2&gt;0, INDEX(Beersheet!$A:$U,MATCH(AT355,INDEX(Beersheet!$A:$U,0,FFARawStatProjections!$BV$2),0),$BV$3)+$BN355,
INDEX($A355:$BM355,,$BV$12)*$BW$12+
INDEX($A355:$BM355,,$BV$15)*$BW$15+
INDEX($A355:$BM355,,$BV$16)*$BW$16+
INDEX($A355:$BM355,,$BV$17)*$BW$17+
INDEX($A355:$BM355,,$BV$18)*$BW$18+
INDEX($A355:$BM355,,$BV$19)*$BW$19+
INDEX($A355:$BM355,,$BV$20)*$BW$20+
INDEX($A355:$BM355,,$BV$21)*$BW$21+
INDEX($A355:$BM355,,$BV$22)*$BW$22+
INDEX($A355:$BM355,,$BV$23)*$BW$23+
INDEX($A355:$BM355,,$BV$25)*$BW$25+
INDEX($A355:$BM355,,$BV$26)*$BW$26+
INDEX($A355:$BM355,,$BV$27)*$BW$27+
$BN355)),
$BN355-100)</f>
        <v>-100</v>
      </c>
      <c r="AX355" t="str">
        <f t="shared" si="72"/>
        <v>Treylon Burks</v>
      </c>
      <c r="AY355" t="str">
        <f t="shared" si="73"/>
        <v>TEN</v>
      </c>
      <c r="AZ355" s="430">
        <f>IFERROR(
IF(AX355="",-100,
IF($BV$2&gt;0, INDEX(Beersheet!$A:$U,MATCH(AX355,INDEX(Beersheet!$A:$U,0,FFARawStatProjections!$BV$2),0),$BV$3)+$BN355,
INDEX($A355:$BM355,,$BV$12)*$BW$12+
INDEX($A355:$BM355,,$BV$15)*$BW$15+
INDEX($A355:$BM355,,$BV$16)*$BW$16+
INDEX($A355:$BM355,,$BV$17)*$BW$17+
INDEX($A355:$BM355,,$BV$18)*$BW$18+
INDEX($A355:$BM355,,$BV$19)*$BW$19+
INDEX($A355:$BM355,,$BV$20)*$BW$20+
INDEX($A355:$BM355,,$BV$21)*$BW$21+
INDEX($A355:$BM355,,$BV$22)*$BW$22+
INDEX($A355:$BM355,,$BV$23)*$BW$23+
INDEX($A355:$BM355,,$BV$25)*$BW$25+
INDEX($A355:$BM355,,$BV$26)*$BW$26+
INDEX($A355:$BM355,,$BV$27)*$BW$27+
$BN355)),
$BN355-100)</f>
        <v>167.52353999999997</v>
      </c>
      <c r="BB355" t="str">
        <f t="shared" si="74"/>
        <v/>
      </c>
      <c r="BC355" t="str">
        <f t="shared" si="68"/>
        <v/>
      </c>
      <c r="BD355" s="430">
        <f>IFERROR(
IF(BB355="",-100,
IF($BV$2&gt;0, INDEX(Beersheet!$A:$U,MATCH(BB355,INDEX(Beersheet!$A:$U,0,FFARawStatProjections!$BV$2),0),$BV$3)+$BN355,
INDEX($A355:$BM355,,$BV$12)*$BW$12+
INDEX($A355:$BM355,,$BV$15)*$BW$15+
INDEX($A355:$BM355,,$BV$16)*$BW$16+
INDEX($A355:$BM355,,$BV$17)*$BW$17+
INDEX($A355:$BM355,,$BV$18)*$BW$18+
INDEX($A355:$BM355,,$BV$19)*$BW$19+
INDEX($A355:$BM355,,$BV$20)*$BW$20+
INDEX($A355:$BM355,,$BV$21)*$BW$21+
INDEX($A355:$BM355,,$BV$22)*$BW$22+
INDEX($A355:$BM355,,$BV$23)*$BW$23+
INDEX($A355:$BM355,,$BV$25)*$BW$25+
INDEX($A355:$BM355,,$BV$26)*$BW$26+
INDEX($A355:$BM355,,$BV$27)*$BW$27+
$BN355)),
$BN355-100)</f>
        <v>-100</v>
      </c>
      <c r="BF355" t="str">
        <f t="shared" si="75"/>
        <v/>
      </c>
      <c r="BG355" t="str">
        <f t="shared" si="76"/>
        <v/>
      </c>
      <c r="BH355">
        <f t="shared" si="77"/>
        <v>0</v>
      </c>
      <c r="BJ355" t="str">
        <f t="shared" si="78"/>
        <v/>
      </c>
      <c r="BL355">
        <f t="shared" si="80"/>
        <v>0</v>
      </c>
      <c r="BN355">
        <v>3.5400000000000002E-3</v>
      </c>
      <c r="BS355" s="4" t="s">
        <v>2183</v>
      </c>
    </row>
    <row r="356" spans="1:71" ht="15.75" thickBot="1" x14ac:dyDescent="0.3">
      <c r="A356" s="569" t="s">
        <v>2469</v>
      </c>
      <c r="B356" s="569" t="s">
        <v>140</v>
      </c>
      <c r="C356" s="569" t="s">
        <v>6</v>
      </c>
      <c r="D356" s="574">
        <v>5</v>
      </c>
      <c r="E356" s="569"/>
      <c r="F356" s="569"/>
      <c r="G356" s="569"/>
      <c r="H356" s="569"/>
      <c r="I356" s="574">
        <v>0</v>
      </c>
      <c r="J356" s="574">
        <v>0</v>
      </c>
      <c r="K356" s="574">
        <v>0</v>
      </c>
      <c r="L356" s="574">
        <v>59.7</v>
      </c>
      <c r="M356" s="574">
        <v>4.5999999999999996</v>
      </c>
      <c r="N356" s="574">
        <v>798.3</v>
      </c>
      <c r="O356" s="574">
        <v>1.2</v>
      </c>
      <c r="P356" s="574">
        <v>0</v>
      </c>
      <c r="Q356" s="574">
        <v>8.6</v>
      </c>
      <c r="R356" s="569"/>
      <c r="S356" s="569"/>
      <c r="T356" s="569"/>
      <c r="U356" s="569"/>
      <c r="V356" s="569"/>
      <c r="W356" s="569"/>
      <c r="X356" s="569"/>
      <c r="Y356" s="569"/>
      <c r="Z356" s="569"/>
      <c r="AA356" s="569"/>
      <c r="AB356" s="569"/>
      <c r="AC356" s="569"/>
      <c r="AD356" s="569"/>
      <c r="AE356" s="569"/>
      <c r="AF356" s="569"/>
      <c r="AG356" s="569"/>
      <c r="AH356" s="569"/>
      <c r="AI356" s="569"/>
      <c r="AJ356" s="569"/>
      <c r="AK356" s="569"/>
      <c r="AL356" s="569"/>
      <c r="AM356" s="569"/>
      <c r="AN356" s="574">
        <v>106.8</v>
      </c>
      <c r="AO356">
        <v>355</v>
      </c>
      <c r="AP356" t="str">
        <f t="shared" si="79"/>
        <v/>
      </c>
      <c r="AQ356" t="str">
        <f t="shared" si="69"/>
        <v/>
      </c>
      <c r="AR356" s="430">
        <f>IFERROR(
IF(AP356="",-100,
IF($BV$2&gt;0, INDEX(Beersheet!$A:$U,MATCH(AP356,INDEX(Beersheet!$A:$U,0,FFARawStatProjections!$BV$2),0),$BV$3)+$BN356,
INDEX($A356:$BM356,,$BV$12)*$BW$12+
INDEX($A356:$BM356,,$BV$15)*$BW$15+
INDEX($A356:$BM356,,$BV$16)*$BW$16+
INDEX($A356:$BM356,,$BV$17)*$BW$17+
INDEX($A356:$BM356,,$BV$18)*$BW$18+
INDEX($A356:$BM356,,$BV$19)*$BW$19+
INDEX($A356:$BM356,,$BV$20)*$BW$20+
INDEX($A356:$BM356,,$BV$21)*$BW$21+
INDEX($A356:$BM356,,$BV$22)*$BW$22+
INDEX($A356:$BM356,,$BV$23)*$BW$23+
INDEX($A356:$BM356,,$BV$25)*$BW$25+
INDEX($A356:$BM356,,$BV$26)*$BW$26+
INDEX($A356:$BM356,,$BV$27)*$BW$27+
$BN356)),
$BN356-100)</f>
        <v>-100</v>
      </c>
      <c r="AT356" t="str">
        <f t="shared" si="70"/>
        <v/>
      </c>
      <c r="AU356" t="str">
        <f t="shared" si="71"/>
        <v/>
      </c>
      <c r="AV356" s="430">
        <f>IFERROR(
IF(AT356="",-100,
IF($BV$2&gt;0, INDEX(Beersheet!$A:$U,MATCH(AT356,INDEX(Beersheet!$A:$U,0,FFARawStatProjections!$BV$2),0),$BV$3)+$BN356,
INDEX($A356:$BM356,,$BV$12)*$BW$12+
INDEX($A356:$BM356,,$BV$15)*$BW$15+
INDEX($A356:$BM356,,$BV$16)*$BW$16+
INDEX($A356:$BM356,,$BV$17)*$BW$17+
INDEX($A356:$BM356,,$BV$18)*$BW$18+
INDEX($A356:$BM356,,$BV$19)*$BW$19+
INDEX($A356:$BM356,,$BV$20)*$BW$20+
INDEX($A356:$BM356,,$BV$21)*$BW$21+
INDEX($A356:$BM356,,$BV$22)*$BW$22+
INDEX($A356:$BM356,,$BV$23)*$BW$23+
INDEX($A356:$BM356,,$BV$25)*$BW$25+
INDEX($A356:$BM356,,$BV$26)*$BW$26+
INDEX($A356:$BM356,,$BV$27)*$BW$27+
$BN356)),
$BN356-100)</f>
        <v>-100</v>
      </c>
      <c r="AX356" t="str">
        <f t="shared" si="72"/>
        <v>Jaxon Smith-Njigba</v>
      </c>
      <c r="AY356" t="str">
        <f t="shared" si="73"/>
        <v>SEA</v>
      </c>
      <c r="AZ356" s="430">
        <f>IFERROR(
IF(AX356="",-100,
IF($BV$2&gt;0, INDEX(Beersheet!$A:$U,MATCH(AX356,INDEX(Beersheet!$A:$U,0,FFARawStatProjections!$BV$2),0),$BV$3)+$BN356,
INDEX($A356:$BM356,,$BV$12)*$BW$12+
INDEX($A356:$BM356,,$BV$15)*$BW$15+
INDEX($A356:$BM356,,$BV$16)*$BW$16+
INDEX($A356:$BM356,,$BV$17)*$BW$17+
INDEX($A356:$BM356,,$BV$18)*$BW$18+
INDEX($A356:$BM356,,$BV$19)*$BW$19+
INDEX($A356:$BM356,,$BV$20)*$BW$20+
INDEX($A356:$BM356,,$BV$21)*$BW$21+
INDEX($A356:$BM356,,$BV$22)*$BW$22+
INDEX($A356:$BM356,,$BV$23)*$BW$23+
INDEX($A356:$BM356,,$BV$25)*$BW$25+
INDEX($A356:$BM356,,$BV$26)*$BW$26+
INDEX($A356:$BM356,,$BV$27)*$BW$27+
$BN356)),
$BN356-100)</f>
        <v>167.99355</v>
      </c>
      <c r="BB356" t="str">
        <f t="shared" si="74"/>
        <v/>
      </c>
      <c r="BC356" t="str">
        <f t="shared" si="68"/>
        <v/>
      </c>
      <c r="BD356" s="430">
        <f>IFERROR(
IF(BB356="",-100,
IF($BV$2&gt;0, INDEX(Beersheet!$A:$U,MATCH(BB356,INDEX(Beersheet!$A:$U,0,FFARawStatProjections!$BV$2),0),$BV$3)+$BN356,
INDEX($A356:$BM356,,$BV$12)*$BW$12+
INDEX($A356:$BM356,,$BV$15)*$BW$15+
INDEX($A356:$BM356,,$BV$16)*$BW$16+
INDEX($A356:$BM356,,$BV$17)*$BW$17+
INDEX($A356:$BM356,,$BV$18)*$BW$18+
INDEX($A356:$BM356,,$BV$19)*$BW$19+
INDEX($A356:$BM356,,$BV$20)*$BW$20+
INDEX($A356:$BM356,,$BV$21)*$BW$21+
INDEX($A356:$BM356,,$BV$22)*$BW$22+
INDEX($A356:$BM356,,$BV$23)*$BW$23+
INDEX($A356:$BM356,,$BV$25)*$BW$25+
INDEX($A356:$BM356,,$BV$26)*$BW$26+
INDEX($A356:$BM356,,$BV$27)*$BW$27+
$BN356)),
$BN356-100)</f>
        <v>-100</v>
      </c>
      <c r="BF356" t="str">
        <f t="shared" si="75"/>
        <v/>
      </c>
      <c r="BG356" t="str">
        <f t="shared" si="76"/>
        <v/>
      </c>
      <c r="BH356">
        <f t="shared" si="77"/>
        <v>0</v>
      </c>
      <c r="BJ356" t="str">
        <f t="shared" si="78"/>
        <v/>
      </c>
      <c r="BL356">
        <f t="shared" si="80"/>
        <v>0</v>
      </c>
      <c r="BN356">
        <v>3.5500000000000002E-3</v>
      </c>
      <c r="BS356" s="4" t="s">
        <v>2308</v>
      </c>
    </row>
    <row r="357" spans="1:71" ht="15.75" thickBot="1" x14ac:dyDescent="0.3">
      <c r="A357" s="569" t="s">
        <v>1792</v>
      </c>
      <c r="B357" s="569" t="s">
        <v>144</v>
      </c>
      <c r="C357" s="569" t="s">
        <v>6</v>
      </c>
      <c r="D357" s="574">
        <v>9</v>
      </c>
      <c r="E357" s="569"/>
      <c r="F357" s="569"/>
      <c r="G357" s="569"/>
      <c r="H357" s="569"/>
      <c r="I357" s="574">
        <v>0</v>
      </c>
      <c r="J357" s="574">
        <v>0</v>
      </c>
      <c r="K357" s="574">
        <v>0</v>
      </c>
      <c r="L357" s="574">
        <v>58.1</v>
      </c>
      <c r="M357" s="574">
        <v>4.2</v>
      </c>
      <c r="N357" s="574">
        <v>793</v>
      </c>
      <c r="O357" s="574">
        <v>0.5</v>
      </c>
      <c r="P357" s="574">
        <v>0</v>
      </c>
      <c r="Q357" s="574">
        <v>2.7</v>
      </c>
      <c r="R357" s="569"/>
      <c r="S357" s="569"/>
      <c r="T357" s="569"/>
      <c r="U357" s="569"/>
      <c r="V357" s="569"/>
      <c r="W357" s="569"/>
      <c r="X357" s="569"/>
      <c r="Y357" s="569"/>
      <c r="Z357" s="569"/>
      <c r="AA357" s="569"/>
      <c r="AB357" s="569"/>
      <c r="AC357" s="569"/>
      <c r="AD357" s="569"/>
      <c r="AE357" s="569"/>
      <c r="AF357" s="569"/>
      <c r="AG357" s="569"/>
      <c r="AH357" s="569"/>
      <c r="AI357" s="569"/>
      <c r="AJ357" s="569"/>
      <c r="AK357" s="569"/>
      <c r="AL357" s="569"/>
      <c r="AM357" s="569"/>
      <c r="AN357" s="574">
        <v>104.5</v>
      </c>
      <c r="AO357">
        <v>356</v>
      </c>
      <c r="AP357" t="str">
        <f t="shared" si="79"/>
        <v/>
      </c>
      <c r="AQ357" t="str">
        <f t="shared" si="69"/>
        <v/>
      </c>
      <c r="AR357" s="430">
        <f>IFERROR(
IF(AP357="",-100,
IF($BV$2&gt;0, INDEX(Beersheet!$A:$U,MATCH(AP357,INDEX(Beersheet!$A:$U,0,FFARawStatProjections!$BV$2),0),$BV$3)+$BN357,
INDEX($A357:$BM357,,$BV$12)*$BW$12+
INDEX($A357:$BM357,,$BV$15)*$BW$15+
INDEX($A357:$BM357,,$BV$16)*$BW$16+
INDEX($A357:$BM357,,$BV$17)*$BW$17+
INDEX($A357:$BM357,,$BV$18)*$BW$18+
INDEX($A357:$BM357,,$BV$19)*$BW$19+
INDEX($A357:$BM357,,$BV$20)*$BW$20+
INDEX($A357:$BM357,,$BV$21)*$BW$21+
INDEX($A357:$BM357,,$BV$22)*$BW$22+
INDEX($A357:$BM357,,$BV$23)*$BW$23+
INDEX($A357:$BM357,,$BV$25)*$BW$25+
INDEX($A357:$BM357,,$BV$26)*$BW$26+
INDEX($A357:$BM357,,$BV$27)*$BW$27+
$BN357)),
$BN357-100)</f>
        <v>-100</v>
      </c>
      <c r="AT357" t="str">
        <f t="shared" si="70"/>
        <v/>
      </c>
      <c r="AU357" t="str">
        <f t="shared" si="71"/>
        <v/>
      </c>
      <c r="AV357" s="430">
        <f>IFERROR(
IF(AT357="",-100,
IF($BV$2&gt;0, INDEX(Beersheet!$A:$U,MATCH(AT357,INDEX(Beersheet!$A:$U,0,FFARawStatProjections!$BV$2),0),$BV$3)+$BN357,
INDEX($A357:$BM357,,$BV$12)*$BW$12+
INDEX($A357:$BM357,,$BV$15)*$BW$15+
INDEX($A357:$BM357,,$BV$16)*$BW$16+
INDEX($A357:$BM357,,$BV$17)*$BW$17+
INDEX($A357:$BM357,,$BV$18)*$BW$18+
INDEX($A357:$BM357,,$BV$19)*$BW$19+
INDEX($A357:$BM357,,$BV$20)*$BW$20+
INDEX($A357:$BM357,,$BV$21)*$BW$21+
INDEX($A357:$BM357,,$BV$22)*$BW$22+
INDEX($A357:$BM357,,$BV$23)*$BW$23+
INDEX($A357:$BM357,,$BV$25)*$BW$25+
INDEX($A357:$BM357,,$BV$26)*$BW$26+
INDEX($A357:$BM357,,$BV$27)*$BW$27+
$BN357)),
$BN357-100)</f>
        <v>-100</v>
      </c>
      <c r="AX357" t="str">
        <f t="shared" si="72"/>
        <v>Courtland Sutton</v>
      </c>
      <c r="AY357" t="str">
        <f t="shared" si="73"/>
        <v>DEN</v>
      </c>
      <c r="AZ357" s="430">
        <f>IFERROR(
IF(AX357="",-100,
IF($BV$2&gt;0, INDEX(Beersheet!$A:$U,MATCH(AX357,INDEX(Beersheet!$A:$U,0,FFARawStatProjections!$BV$2),0),$BV$3)+$BN357,
INDEX($A357:$BM357,,$BV$12)*$BW$12+
INDEX($A357:$BM357,,$BV$15)*$BW$15+
INDEX($A357:$BM357,,$BV$16)*$BW$16+
INDEX($A357:$BM357,,$BV$17)*$BW$17+
INDEX($A357:$BM357,,$BV$18)*$BW$18+
INDEX($A357:$BM357,,$BV$19)*$BW$19+
INDEX($A357:$BM357,,$BV$20)*$BW$20+
INDEX($A357:$BM357,,$BV$21)*$BW$21+
INDEX($A357:$BM357,,$BV$22)*$BW$22+
INDEX($A357:$BM357,,$BV$23)*$BW$23+
INDEX($A357:$BM357,,$BV$25)*$BW$25+
INDEX($A357:$BM357,,$BV$26)*$BW$26+
INDEX($A357:$BM357,,$BV$27)*$BW$27+
$BN357)),
$BN357-100)</f>
        <v>162.87356000000003</v>
      </c>
      <c r="BB357" t="str">
        <f t="shared" si="74"/>
        <v/>
      </c>
      <c r="BC357" t="str">
        <f t="shared" si="68"/>
        <v/>
      </c>
      <c r="BD357" s="430">
        <f>IFERROR(
IF(BB357="",-100,
IF($BV$2&gt;0, INDEX(Beersheet!$A:$U,MATCH(BB357,INDEX(Beersheet!$A:$U,0,FFARawStatProjections!$BV$2),0),$BV$3)+$BN357,
INDEX($A357:$BM357,,$BV$12)*$BW$12+
INDEX($A357:$BM357,,$BV$15)*$BW$15+
INDEX($A357:$BM357,,$BV$16)*$BW$16+
INDEX($A357:$BM357,,$BV$17)*$BW$17+
INDEX($A357:$BM357,,$BV$18)*$BW$18+
INDEX($A357:$BM357,,$BV$19)*$BW$19+
INDEX($A357:$BM357,,$BV$20)*$BW$20+
INDEX($A357:$BM357,,$BV$21)*$BW$21+
INDEX($A357:$BM357,,$BV$22)*$BW$22+
INDEX($A357:$BM357,,$BV$23)*$BW$23+
INDEX($A357:$BM357,,$BV$25)*$BW$25+
INDEX($A357:$BM357,,$BV$26)*$BW$26+
INDEX($A357:$BM357,,$BV$27)*$BW$27+
$BN357)),
$BN357-100)</f>
        <v>-100</v>
      </c>
      <c r="BF357" t="str">
        <f t="shared" si="75"/>
        <v/>
      </c>
      <c r="BG357" t="str">
        <f t="shared" si="76"/>
        <v/>
      </c>
      <c r="BH357">
        <f t="shared" si="77"/>
        <v>0</v>
      </c>
      <c r="BJ357" t="str">
        <f t="shared" si="78"/>
        <v/>
      </c>
      <c r="BL357">
        <f t="shared" si="80"/>
        <v>0</v>
      </c>
      <c r="BN357">
        <v>3.5599999999999998E-3</v>
      </c>
      <c r="BS357" s="4" t="s">
        <v>2080</v>
      </c>
    </row>
    <row r="358" spans="1:71" ht="15" customHeight="1" thickBot="1" x14ac:dyDescent="0.3">
      <c r="A358" s="569" t="s">
        <v>1192</v>
      </c>
      <c r="B358" s="569" t="s">
        <v>143</v>
      </c>
      <c r="C358" s="569" t="s">
        <v>6</v>
      </c>
      <c r="D358" s="574">
        <v>11</v>
      </c>
      <c r="E358" s="569"/>
      <c r="F358" s="569"/>
      <c r="G358" s="569"/>
      <c r="H358" s="569"/>
      <c r="I358" s="574">
        <v>0</v>
      </c>
      <c r="J358" s="574">
        <v>0</v>
      </c>
      <c r="K358" s="574">
        <v>0</v>
      </c>
      <c r="L358" s="574">
        <v>67.2</v>
      </c>
      <c r="M358" s="574">
        <v>4.5</v>
      </c>
      <c r="N358" s="574">
        <v>769.3</v>
      </c>
      <c r="O358" s="574">
        <v>0.3</v>
      </c>
      <c r="P358" s="574">
        <v>0</v>
      </c>
      <c r="Q358" s="574">
        <v>1.2</v>
      </c>
      <c r="R358" s="569"/>
      <c r="S358" s="569"/>
      <c r="T358" s="569"/>
      <c r="U358" s="569"/>
      <c r="V358" s="569"/>
      <c r="W358" s="569"/>
      <c r="X358" s="569"/>
      <c r="Y358" s="569"/>
      <c r="Z358" s="569"/>
      <c r="AA358" s="569"/>
      <c r="AB358" s="569"/>
      <c r="AC358" s="569"/>
      <c r="AD358" s="569"/>
      <c r="AE358" s="569"/>
      <c r="AF358" s="569"/>
      <c r="AG358" s="569"/>
      <c r="AH358" s="569"/>
      <c r="AI358" s="569"/>
      <c r="AJ358" s="569"/>
      <c r="AK358" s="569"/>
      <c r="AL358" s="569"/>
      <c r="AM358" s="569"/>
      <c r="AN358" s="574">
        <v>104</v>
      </c>
      <c r="AO358">
        <v>357</v>
      </c>
      <c r="AP358" t="str">
        <f t="shared" si="79"/>
        <v/>
      </c>
      <c r="AQ358" t="str">
        <f t="shared" si="69"/>
        <v/>
      </c>
      <c r="AR358" s="430">
        <f>IFERROR(
IF(AP358="",-100,
IF($BV$2&gt;0, INDEX(Beersheet!$A:$U,MATCH(AP358,INDEX(Beersheet!$A:$U,0,FFARawStatProjections!$BV$2),0),$BV$3)+$BN358,
INDEX($A358:$BM358,,$BV$12)*$BW$12+
INDEX($A358:$BM358,,$BV$15)*$BW$15+
INDEX($A358:$BM358,,$BV$16)*$BW$16+
INDEX($A358:$BM358,,$BV$17)*$BW$17+
INDEX($A358:$BM358,,$BV$18)*$BW$18+
INDEX($A358:$BM358,,$BV$19)*$BW$19+
INDEX($A358:$BM358,,$BV$20)*$BW$20+
INDEX($A358:$BM358,,$BV$21)*$BW$21+
INDEX($A358:$BM358,,$BV$22)*$BW$22+
INDEX($A358:$BM358,,$BV$23)*$BW$23+
INDEX($A358:$BM358,,$BV$25)*$BW$25+
INDEX($A358:$BM358,,$BV$26)*$BW$26+
INDEX($A358:$BM358,,$BV$27)*$BW$27+
$BN358)),
$BN358-100)</f>
        <v>-100</v>
      </c>
      <c r="AT358" t="str">
        <f t="shared" si="70"/>
        <v/>
      </c>
      <c r="AU358" t="str">
        <f t="shared" si="71"/>
        <v/>
      </c>
      <c r="AV358" s="430">
        <f>IFERROR(
IF(AT358="",-100,
IF($BV$2&gt;0, INDEX(Beersheet!$A:$U,MATCH(AT358,INDEX(Beersheet!$A:$U,0,FFARawStatProjections!$BV$2),0),$BV$3)+$BN358,
INDEX($A358:$BM358,,$BV$12)*$BW$12+
INDEX($A358:$BM358,,$BV$15)*$BW$15+
INDEX($A358:$BM358,,$BV$16)*$BW$16+
INDEX($A358:$BM358,,$BV$17)*$BW$17+
INDEX($A358:$BM358,,$BV$18)*$BW$18+
INDEX($A358:$BM358,,$BV$19)*$BW$19+
INDEX($A358:$BM358,,$BV$20)*$BW$20+
INDEX($A358:$BM358,,$BV$21)*$BW$21+
INDEX($A358:$BM358,,$BV$22)*$BW$22+
INDEX($A358:$BM358,,$BV$23)*$BW$23+
INDEX($A358:$BM358,,$BV$25)*$BW$25+
INDEX($A358:$BM358,,$BV$26)*$BW$26+
INDEX($A358:$BM358,,$BV$27)*$BW$27+
$BN358)),
$BN358-100)</f>
        <v>-100</v>
      </c>
      <c r="AX358" t="str">
        <f t="shared" si="72"/>
        <v>Michael Thomas</v>
      </c>
      <c r="AY358" t="str">
        <f t="shared" si="73"/>
        <v>NO</v>
      </c>
      <c r="AZ358" s="430">
        <f>IFERROR(
IF(AX358="",-100,
IF($BV$2&gt;0, INDEX(Beersheet!$A:$U,MATCH(AX358,INDEX(Beersheet!$A:$U,0,FFARawStatProjections!$BV$2),0),$BV$3)+$BN358,
INDEX($A358:$BM358,,$BV$12)*$BW$12+
INDEX($A358:$BM358,,$BV$15)*$BW$15+
INDEX($A358:$BM358,,$BV$16)*$BW$16+
INDEX($A358:$BM358,,$BV$17)*$BW$17+
INDEX($A358:$BM358,,$BV$18)*$BW$18+
INDEX($A358:$BM358,,$BV$19)*$BW$19+
INDEX($A358:$BM358,,$BV$20)*$BW$20+
INDEX($A358:$BM358,,$BV$21)*$BW$21+
INDEX($A358:$BM358,,$BV$22)*$BW$22+
INDEX($A358:$BM358,,$BV$23)*$BW$23+
INDEX($A358:$BM358,,$BV$25)*$BW$25+
INDEX($A358:$BM358,,$BV$26)*$BW$26+
INDEX($A358:$BM358,,$BV$27)*$BW$27+
$BN358)),
$BN358-100)</f>
        <v>171.25357</v>
      </c>
      <c r="BB358" t="str">
        <f t="shared" si="74"/>
        <v/>
      </c>
      <c r="BC358" t="str">
        <f t="shared" si="68"/>
        <v/>
      </c>
      <c r="BD358" s="430">
        <f>IFERROR(
IF(BB358="",-100,
IF($BV$2&gt;0, INDEX(Beersheet!$A:$U,MATCH(BB358,INDEX(Beersheet!$A:$U,0,FFARawStatProjections!$BV$2),0),$BV$3)+$BN358,
INDEX($A358:$BM358,,$BV$12)*$BW$12+
INDEX($A358:$BM358,,$BV$15)*$BW$15+
INDEX($A358:$BM358,,$BV$16)*$BW$16+
INDEX($A358:$BM358,,$BV$17)*$BW$17+
INDEX($A358:$BM358,,$BV$18)*$BW$18+
INDEX($A358:$BM358,,$BV$19)*$BW$19+
INDEX($A358:$BM358,,$BV$20)*$BW$20+
INDEX($A358:$BM358,,$BV$21)*$BW$21+
INDEX($A358:$BM358,,$BV$22)*$BW$22+
INDEX($A358:$BM358,,$BV$23)*$BW$23+
INDEX($A358:$BM358,,$BV$25)*$BW$25+
INDEX($A358:$BM358,,$BV$26)*$BW$26+
INDEX($A358:$BM358,,$BV$27)*$BW$27+
$BN358)),
$BN358-100)</f>
        <v>-100</v>
      </c>
      <c r="BF358" t="str">
        <f t="shared" si="75"/>
        <v/>
      </c>
      <c r="BG358" t="str">
        <f t="shared" si="76"/>
        <v/>
      </c>
      <c r="BH358">
        <f t="shared" si="77"/>
        <v>0</v>
      </c>
      <c r="BJ358" t="str">
        <f t="shared" si="78"/>
        <v/>
      </c>
      <c r="BL358">
        <f t="shared" si="80"/>
        <v>0</v>
      </c>
      <c r="BN358">
        <v>3.5699999999999998E-3</v>
      </c>
      <c r="BS358" s="4" t="s">
        <v>2261</v>
      </c>
    </row>
    <row r="359" spans="1:71" ht="15.75" thickBot="1" x14ac:dyDescent="0.3">
      <c r="A359" s="569" t="s">
        <v>1441</v>
      </c>
      <c r="B359" s="569" t="s">
        <v>157</v>
      </c>
      <c r="C359" s="569" t="s">
        <v>6</v>
      </c>
      <c r="D359" s="574">
        <v>11</v>
      </c>
      <c r="E359" s="569"/>
      <c r="F359" s="569"/>
      <c r="G359" s="569"/>
      <c r="H359" s="569"/>
      <c r="I359" s="574">
        <v>0</v>
      </c>
      <c r="J359" s="574">
        <v>0</v>
      </c>
      <c r="K359" s="574">
        <v>0</v>
      </c>
      <c r="L359" s="574">
        <v>72.5</v>
      </c>
      <c r="M359" s="574">
        <v>3.9</v>
      </c>
      <c r="N359" s="574">
        <v>802.5</v>
      </c>
      <c r="O359" s="574">
        <v>0.2</v>
      </c>
      <c r="P359" s="574">
        <v>0.1</v>
      </c>
      <c r="Q359" s="574">
        <v>1</v>
      </c>
      <c r="R359" s="569"/>
      <c r="S359" s="569"/>
      <c r="T359" s="569"/>
      <c r="U359" s="569"/>
      <c r="V359" s="569"/>
      <c r="W359" s="569"/>
      <c r="X359" s="569"/>
      <c r="Y359" s="569"/>
      <c r="Z359" s="569"/>
      <c r="AA359" s="569"/>
      <c r="AB359" s="569"/>
      <c r="AC359" s="569"/>
      <c r="AD359" s="569"/>
      <c r="AE359" s="569"/>
      <c r="AF359" s="569"/>
      <c r="AG359" s="569"/>
      <c r="AH359" s="569"/>
      <c r="AI359" s="569"/>
      <c r="AJ359" s="569"/>
      <c r="AK359" s="569"/>
      <c r="AL359" s="569"/>
      <c r="AM359" s="569"/>
      <c r="AN359" s="574">
        <v>102.6</v>
      </c>
      <c r="AO359">
        <v>358</v>
      </c>
      <c r="AP359" t="str">
        <f t="shared" si="79"/>
        <v/>
      </c>
      <c r="AQ359" t="str">
        <f t="shared" si="69"/>
        <v/>
      </c>
      <c r="AR359" s="430">
        <f>IFERROR(
IF(AP359="",-100,
IF($BV$2&gt;0, INDEX(Beersheet!$A:$U,MATCH(AP359,INDEX(Beersheet!$A:$U,0,FFARawStatProjections!$BV$2),0),$BV$3)+$BN359,
INDEX($A359:$BM359,,$BV$12)*$BW$12+
INDEX($A359:$BM359,,$BV$15)*$BW$15+
INDEX($A359:$BM359,,$BV$16)*$BW$16+
INDEX($A359:$BM359,,$BV$17)*$BW$17+
INDEX($A359:$BM359,,$BV$18)*$BW$18+
INDEX($A359:$BM359,,$BV$19)*$BW$19+
INDEX($A359:$BM359,,$BV$20)*$BW$20+
INDEX($A359:$BM359,,$BV$21)*$BW$21+
INDEX($A359:$BM359,,$BV$22)*$BW$22+
INDEX($A359:$BM359,,$BV$23)*$BW$23+
INDEX($A359:$BM359,,$BV$25)*$BW$25+
INDEX($A359:$BM359,,$BV$26)*$BW$26+
INDEX($A359:$BM359,,$BV$27)*$BW$27+
$BN359)),
$BN359-100)</f>
        <v>-100</v>
      </c>
      <c r="AT359" t="str">
        <f t="shared" si="70"/>
        <v/>
      </c>
      <c r="AU359" t="str">
        <f t="shared" si="71"/>
        <v/>
      </c>
      <c r="AV359" s="430">
        <f>IFERROR(
IF(AT359="",-100,
IF($BV$2&gt;0, INDEX(Beersheet!$A:$U,MATCH(AT359,INDEX(Beersheet!$A:$U,0,FFARawStatProjections!$BV$2),0),$BV$3)+$BN359,
INDEX($A359:$BM359,,$BV$12)*$BW$12+
INDEX($A359:$BM359,,$BV$15)*$BW$15+
INDEX($A359:$BM359,,$BV$16)*$BW$16+
INDEX($A359:$BM359,,$BV$17)*$BW$17+
INDEX($A359:$BM359,,$BV$18)*$BW$18+
INDEX($A359:$BM359,,$BV$19)*$BW$19+
INDEX($A359:$BM359,,$BV$20)*$BW$20+
INDEX($A359:$BM359,,$BV$21)*$BW$21+
INDEX($A359:$BM359,,$BV$22)*$BW$22+
INDEX($A359:$BM359,,$BV$23)*$BW$23+
INDEX($A359:$BM359,,$BV$25)*$BW$25+
INDEX($A359:$BM359,,$BV$26)*$BW$26+
INDEX($A359:$BM359,,$BV$27)*$BW$27+
$BN359)),
$BN359-100)</f>
        <v>-100</v>
      </c>
      <c r="AX359" t="str">
        <f t="shared" si="72"/>
        <v>JuJu Smith-Schuster</v>
      </c>
      <c r="AY359" t="str">
        <f t="shared" si="73"/>
        <v>NE</v>
      </c>
      <c r="AZ359" s="430">
        <f>IFERROR(
IF(AX359="",-100,
IF($BV$2&gt;0, INDEX(Beersheet!$A:$U,MATCH(AX359,INDEX(Beersheet!$A:$U,0,FFARawStatProjections!$BV$2),0),$BV$3)+$BN359,
INDEX($A359:$BM359,,$BV$12)*$BW$12+
INDEX($A359:$BM359,,$BV$15)*$BW$15+
INDEX($A359:$BM359,,$BV$16)*$BW$16+
INDEX($A359:$BM359,,$BV$17)*$BW$17+
INDEX($A359:$BM359,,$BV$18)*$BW$18+
INDEX($A359:$BM359,,$BV$19)*$BW$19+
INDEX($A359:$BM359,,$BV$20)*$BW$20+
INDEX($A359:$BM359,,$BV$21)*$BW$21+
INDEX($A359:$BM359,,$BV$22)*$BW$22+
INDEX($A359:$BM359,,$BV$23)*$BW$23+
INDEX($A359:$BM359,,$BV$25)*$BW$25+
INDEX($A359:$BM359,,$BV$26)*$BW$26+
INDEX($A359:$BM359,,$BV$27)*$BW$27+
$BN359)),
$BN359-100)</f>
        <v>176.85357999999999</v>
      </c>
      <c r="BB359" t="str">
        <f t="shared" si="74"/>
        <v/>
      </c>
      <c r="BC359" t="str">
        <f t="shared" si="68"/>
        <v/>
      </c>
      <c r="BD359" s="430">
        <f>IFERROR(
IF(BB359="",-100,
IF($BV$2&gt;0, INDEX(Beersheet!$A:$U,MATCH(BB359,INDEX(Beersheet!$A:$U,0,FFARawStatProjections!$BV$2),0),$BV$3)+$BN359,
INDEX($A359:$BM359,,$BV$12)*$BW$12+
INDEX($A359:$BM359,,$BV$15)*$BW$15+
INDEX($A359:$BM359,,$BV$16)*$BW$16+
INDEX($A359:$BM359,,$BV$17)*$BW$17+
INDEX($A359:$BM359,,$BV$18)*$BW$18+
INDEX($A359:$BM359,,$BV$19)*$BW$19+
INDEX($A359:$BM359,,$BV$20)*$BW$20+
INDEX($A359:$BM359,,$BV$21)*$BW$21+
INDEX($A359:$BM359,,$BV$22)*$BW$22+
INDEX($A359:$BM359,,$BV$23)*$BW$23+
INDEX($A359:$BM359,,$BV$25)*$BW$25+
INDEX($A359:$BM359,,$BV$26)*$BW$26+
INDEX($A359:$BM359,,$BV$27)*$BW$27+
$BN359)),
$BN359-100)</f>
        <v>-100</v>
      </c>
      <c r="BF359" t="str">
        <f t="shared" si="75"/>
        <v/>
      </c>
      <c r="BG359" t="str">
        <f t="shared" si="76"/>
        <v/>
      </c>
      <c r="BH359">
        <f t="shared" si="77"/>
        <v>0</v>
      </c>
      <c r="BJ359" t="str">
        <f t="shared" si="78"/>
        <v/>
      </c>
      <c r="BL359">
        <f t="shared" si="80"/>
        <v>0</v>
      </c>
      <c r="BN359">
        <v>3.5799999999999998E-3</v>
      </c>
      <c r="BS359" s="4" t="s">
        <v>1294</v>
      </c>
    </row>
    <row r="360" spans="1:71" ht="15.75" thickBot="1" x14ac:dyDescent="0.3">
      <c r="A360" s="569" t="s">
        <v>2387</v>
      </c>
      <c r="B360" s="569" t="s">
        <v>162</v>
      </c>
      <c r="C360" s="569" t="s">
        <v>6</v>
      </c>
      <c r="D360" s="574">
        <v>13</v>
      </c>
      <c r="E360" s="569"/>
      <c r="F360" s="569"/>
      <c r="G360" s="569"/>
      <c r="H360" s="569"/>
      <c r="I360" s="574">
        <v>0</v>
      </c>
      <c r="J360" s="574">
        <v>0</v>
      </c>
      <c r="K360" s="574">
        <v>0</v>
      </c>
      <c r="L360" s="574">
        <v>53.7</v>
      </c>
      <c r="M360" s="574">
        <v>4.8</v>
      </c>
      <c r="N360" s="574">
        <v>733.2</v>
      </c>
      <c r="O360" s="574">
        <v>2.1</v>
      </c>
      <c r="P360" s="574">
        <v>0.1</v>
      </c>
      <c r="Q360" s="574">
        <v>14.5</v>
      </c>
      <c r="R360" s="569"/>
      <c r="S360" s="569"/>
      <c r="T360" s="569"/>
      <c r="U360" s="569"/>
      <c r="V360" s="569"/>
      <c r="W360" s="569"/>
      <c r="X360" s="569"/>
      <c r="Y360" s="569"/>
      <c r="Z360" s="569"/>
      <c r="AA360" s="569"/>
      <c r="AB360" s="569"/>
      <c r="AC360" s="569"/>
      <c r="AD360" s="569"/>
      <c r="AE360" s="569"/>
      <c r="AF360" s="569"/>
      <c r="AG360" s="569"/>
      <c r="AH360" s="569"/>
      <c r="AI360" s="569"/>
      <c r="AJ360" s="569"/>
      <c r="AK360" s="569"/>
      <c r="AL360" s="569"/>
      <c r="AM360" s="569"/>
      <c r="AN360" s="574">
        <v>102.4</v>
      </c>
      <c r="AO360">
        <v>359</v>
      </c>
      <c r="AP360" t="str">
        <f t="shared" si="79"/>
        <v/>
      </c>
      <c r="AQ360" t="str">
        <f t="shared" si="69"/>
        <v/>
      </c>
      <c r="AR360" s="430">
        <f>IFERROR(
IF(AP360="",-100,
IF($BV$2&gt;0, INDEX(Beersheet!$A:$U,MATCH(AP360,INDEX(Beersheet!$A:$U,0,FFARawStatProjections!$BV$2),0),$BV$3)+$BN360,
INDEX($A360:$BM360,,$BV$12)*$BW$12+
INDEX($A360:$BM360,,$BV$15)*$BW$15+
INDEX($A360:$BM360,,$BV$16)*$BW$16+
INDEX($A360:$BM360,,$BV$17)*$BW$17+
INDEX($A360:$BM360,,$BV$18)*$BW$18+
INDEX($A360:$BM360,,$BV$19)*$BW$19+
INDEX($A360:$BM360,,$BV$20)*$BW$20+
INDEX($A360:$BM360,,$BV$21)*$BW$21+
INDEX($A360:$BM360,,$BV$22)*$BW$22+
INDEX($A360:$BM360,,$BV$23)*$BW$23+
INDEX($A360:$BM360,,$BV$25)*$BW$25+
INDEX($A360:$BM360,,$BV$26)*$BW$26+
INDEX($A360:$BM360,,$BV$27)*$BW$27+
$BN360)),
$BN360-100)</f>
        <v>-100</v>
      </c>
      <c r="AT360" t="str">
        <f t="shared" si="70"/>
        <v/>
      </c>
      <c r="AU360" t="str">
        <f t="shared" si="71"/>
        <v/>
      </c>
      <c r="AV360" s="430">
        <f>IFERROR(
IF(AT360="",-100,
IF($BV$2&gt;0, INDEX(Beersheet!$A:$U,MATCH(AT360,INDEX(Beersheet!$A:$U,0,FFARawStatProjections!$BV$2),0),$BV$3)+$BN360,
INDEX($A360:$BM360,,$BV$12)*$BW$12+
INDEX($A360:$BM360,,$BV$15)*$BW$15+
INDEX($A360:$BM360,,$BV$16)*$BW$16+
INDEX($A360:$BM360,,$BV$17)*$BW$17+
INDEX($A360:$BM360,,$BV$18)*$BW$18+
INDEX($A360:$BM360,,$BV$19)*$BW$19+
INDEX($A360:$BM360,,$BV$20)*$BW$20+
INDEX($A360:$BM360,,$BV$21)*$BW$21+
INDEX($A360:$BM360,,$BV$22)*$BW$22+
INDEX($A360:$BM360,,$BV$23)*$BW$23+
INDEX($A360:$BM360,,$BV$25)*$BW$25+
INDEX($A360:$BM360,,$BV$26)*$BW$26+
INDEX($A360:$BM360,,$BV$27)*$BW$27+
$BN360)),
$BN360-100)</f>
        <v>-100</v>
      </c>
      <c r="AX360" t="str">
        <f t="shared" si="72"/>
        <v>Zay Flowers</v>
      </c>
      <c r="AY360" t="str">
        <f t="shared" si="73"/>
        <v>BAL</v>
      </c>
      <c r="AZ360" s="430">
        <f>IFERROR(
IF(AX360="",-100,
IF($BV$2&gt;0, INDEX(Beersheet!$A:$U,MATCH(AX360,INDEX(Beersheet!$A:$U,0,FFARawStatProjections!$BV$2),0),$BV$3)+$BN360,
INDEX($A360:$BM360,,$BV$12)*$BW$12+
INDEX($A360:$BM360,,$BV$15)*$BW$15+
INDEX($A360:$BM360,,$BV$16)*$BW$16+
INDEX($A360:$BM360,,$BV$17)*$BW$17+
INDEX($A360:$BM360,,$BV$18)*$BW$18+
INDEX($A360:$BM360,,$BV$19)*$BW$19+
INDEX($A360:$BM360,,$BV$20)*$BW$20+
INDEX($A360:$BM360,,$BV$21)*$BW$21+
INDEX($A360:$BM360,,$BV$22)*$BW$22+
INDEX($A360:$BM360,,$BV$23)*$BW$23+
INDEX($A360:$BM360,,$BV$25)*$BW$25+
INDEX($A360:$BM360,,$BV$26)*$BW$26+
INDEX($A360:$BM360,,$BV$27)*$BW$27+
$BN360)),
$BN360-100)</f>
        <v>157.87358999999998</v>
      </c>
      <c r="BB360" t="str">
        <f t="shared" si="74"/>
        <v/>
      </c>
      <c r="BC360" t="str">
        <f t="shared" si="68"/>
        <v/>
      </c>
      <c r="BD360" s="430">
        <f>IFERROR(
IF(BB360="",-100,
IF($BV$2&gt;0, INDEX(Beersheet!$A:$U,MATCH(BB360,INDEX(Beersheet!$A:$U,0,FFARawStatProjections!$BV$2),0),$BV$3)+$BN360,
INDEX($A360:$BM360,,$BV$12)*$BW$12+
INDEX($A360:$BM360,,$BV$15)*$BW$15+
INDEX($A360:$BM360,,$BV$16)*$BW$16+
INDEX($A360:$BM360,,$BV$17)*$BW$17+
INDEX($A360:$BM360,,$BV$18)*$BW$18+
INDEX($A360:$BM360,,$BV$19)*$BW$19+
INDEX($A360:$BM360,,$BV$20)*$BW$20+
INDEX($A360:$BM360,,$BV$21)*$BW$21+
INDEX($A360:$BM360,,$BV$22)*$BW$22+
INDEX($A360:$BM360,,$BV$23)*$BW$23+
INDEX($A360:$BM360,,$BV$25)*$BW$25+
INDEX($A360:$BM360,,$BV$26)*$BW$26+
INDEX($A360:$BM360,,$BV$27)*$BW$27+
$BN360)),
$BN360-100)</f>
        <v>-100</v>
      </c>
      <c r="BF360" t="str">
        <f t="shared" si="75"/>
        <v/>
      </c>
      <c r="BG360" t="str">
        <f t="shared" si="76"/>
        <v/>
      </c>
      <c r="BH360">
        <f t="shared" si="77"/>
        <v>0</v>
      </c>
      <c r="BJ360" t="str">
        <f t="shared" si="78"/>
        <v/>
      </c>
      <c r="BL360">
        <f t="shared" si="80"/>
        <v>0</v>
      </c>
      <c r="BN360">
        <v>3.5899999999999999E-3</v>
      </c>
      <c r="BS360" s="4" t="s">
        <v>8</v>
      </c>
    </row>
    <row r="361" spans="1:71" ht="15.75" thickBot="1" x14ac:dyDescent="0.3">
      <c r="A361" s="569" t="s">
        <v>2203</v>
      </c>
      <c r="B361" s="569" t="s">
        <v>136</v>
      </c>
      <c r="C361" s="569" t="s">
        <v>6</v>
      </c>
      <c r="D361" s="574">
        <v>10</v>
      </c>
      <c r="E361" s="569"/>
      <c r="F361" s="569"/>
      <c r="G361" s="569"/>
      <c r="H361" s="569"/>
      <c r="I361" s="574">
        <v>0</v>
      </c>
      <c r="J361" s="574">
        <v>0</v>
      </c>
      <c r="K361" s="574">
        <v>0</v>
      </c>
      <c r="L361" s="574">
        <v>51.8</v>
      </c>
      <c r="M361" s="574">
        <v>4.0999999999999996</v>
      </c>
      <c r="N361" s="574">
        <v>590.4</v>
      </c>
      <c r="O361" s="574">
        <v>10.199999999999999</v>
      </c>
      <c r="P361" s="574">
        <v>1.3</v>
      </c>
      <c r="Q361" s="574">
        <v>102.3</v>
      </c>
      <c r="R361" s="569"/>
      <c r="S361" s="569"/>
      <c r="T361" s="569"/>
      <c r="U361" s="569"/>
      <c r="V361" s="569"/>
      <c r="W361" s="569"/>
      <c r="X361" s="569"/>
      <c r="Y361" s="569"/>
      <c r="Z361" s="569"/>
      <c r="AA361" s="569"/>
      <c r="AB361" s="569"/>
      <c r="AC361" s="569"/>
      <c r="AD361" s="569"/>
      <c r="AE361" s="569"/>
      <c r="AF361" s="569"/>
      <c r="AG361" s="569"/>
      <c r="AH361" s="569"/>
      <c r="AI361" s="569"/>
      <c r="AJ361" s="569"/>
      <c r="AK361" s="569"/>
      <c r="AL361" s="569"/>
      <c r="AM361" s="569"/>
      <c r="AN361" s="574">
        <v>100.2</v>
      </c>
      <c r="AO361">
        <v>360</v>
      </c>
      <c r="AP361" t="str">
        <f t="shared" si="79"/>
        <v/>
      </c>
      <c r="AQ361" t="str">
        <f t="shared" si="69"/>
        <v/>
      </c>
      <c r="AR361" s="430">
        <f>IFERROR(
IF(AP361="",-100,
IF($BV$2&gt;0, INDEX(Beersheet!$A:$U,MATCH(AP361,INDEX(Beersheet!$A:$U,0,FFARawStatProjections!$BV$2),0),$BV$3)+$BN361,
INDEX($A361:$BM361,,$BV$12)*$BW$12+
INDEX($A361:$BM361,,$BV$15)*$BW$15+
INDEX($A361:$BM361,,$BV$16)*$BW$16+
INDEX($A361:$BM361,,$BV$17)*$BW$17+
INDEX($A361:$BM361,,$BV$18)*$BW$18+
INDEX($A361:$BM361,,$BV$19)*$BW$19+
INDEX($A361:$BM361,,$BV$20)*$BW$20+
INDEX($A361:$BM361,,$BV$21)*$BW$21+
INDEX($A361:$BM361,,$BV$22)*$BW$22+
INDEX($A361:$BM361,,$BV$23)*$BW$23+
INDEX($A361:$BM361,,$BV$25)*$BW$25+
INDEX($A361:$BM361,,$BV$26)*$BW$26+
INDEX($A361:$BM361,,$BV$27)*$BW$27+
$BN361)),
$BN361-100)</f>
        <v>-100</v>
      </c>
      <c r="AT361" t="str">
        <f t="shared" si="70"/>
        <v/>
      </c>
      <c r="AU361" t="str">
        <f t="shared" si="71"/>
        <v/>
      </c>
      <c r="AV361" s="430">
        <f>IFERROR(
IF(AT361="",-100,
IF($BV$2&gt;0, INDEX(Beersheet!$A:$U,MATCH(AT361,INDEX(Beersheet!$A:$U,0,FFARawStatProjections!$BV$2),0),$BV$3)+$BN361,
INDEX($A361:$BM361,,$BV$12)*$BW$12+
INDEX($A361:$BM361,,$BV$15)*$BW$15+
INDEX($A361:$BM361,,$BV$16)*$BW$16+
INDEX($A361:$BM361,,$BV$17)*$BW$17+
INDEX($A361:$BM361,,$BV$18)*$BW$18+
INDEX($A361:$BM361,,$BV$19)*$BW$19+
INDEX($A361:$BM361,,$BV$20)*$BW$20+
INDEX($A361:$BM361,,$BV$21)*$BW$21+
INDEX($A361:$BM361,,$BV$22)*$BW$22+
INDEX($A361:$BM361,,$BV$23)*$BW$23+
INDEX($A361:$BM361,,$BV$25)*$BW$25+
INDEX($A361:$BM361,,$BV$26)*$BW$26+
INDEX($A361:$BM361,,$BV$27)*$BW$27+
$BN361)),
$BN361-100)</f>
        <v>-100</v>
      </c>
      <c r="AX361" t="str">
        <f t="shared" si="72"/>
        <v>Kadarius Toney</v>
      </c>
      <c r="AY361" t="str">
        <f t="shared" si="73"/>
        <v>KC</v>
      </c>
      <c r="AZ361" s="430">
        <f>IFERROR(
IF(AX361="",-100,
IF($BV$2&gt;0, INDEX(Beersheet!$A:$U,MATCH(AX361,INDEX(Beersheet!$A:$U,0,FFARawStatProjections!$BV$2),0),$BV$3)+$BN361,
INDEX($A361:$BM361,,$BV$12)*$BW$12+
INDEX($A361:$BM361,,$BV$15)*$BW$15+
INDEX($A361:$BM361,,$BV$16)*$BW$16+
INDEX($A361:$BM361,,$BV$17)*$BW$17+
INDEX($A361:$BM361,,$BV$18)*$BW$18+
INDEX($A361:$BM361,,$BV$19)*$BW$19+
INDEX($A361:$BM361,,$BV$20)*$BW$20+
INDEX($A361:$BM361,,$BV$21)*$BW$21+
INDEX($A361:$BM361,,$BV$22)*$BW$22+
INDEX($A361:$BM361,,$BV$23)*$BW$23+
INDEX($A361:$BM361,,$BV$25)*$BW$25+
INDEX($A361:$BM361,,$BV$26)*$BW$26+
INDEX($A361:$BM361,,$BV$27)*$BW$27+
$BN361)),
$BN361-100)</f>
        <v>153.4736</v>
      </c>
      <c r="BB361" t="str">
        <f t="shared" si="74"/>
        <v/>
      </c>
      <c r="BC361" t="str">
        <f t="shared" si="68"/>
        <v/>
      </c>
      <c r="BD361" s="430">
        <f>IFERROR(
IF(BB361="",-100,
IF($BV$2&gt;0, INDEX(Beersheet!$A:$U,MATCH(BB361,INDEX(Beersheet!$A:$U,0,FFARawStatProjections!$BV$2),0),$BV$3)+$BN361,
INDEX($A361:$BM361,,$BV$12)*$BW$12+
INDEX($A361:$BM361,,$BV$15)*$BW$15+
INDEX($A361:$BM361,,$BV$16)*$BW$16+
INDEX($A361:$BM361,,$BV$17)*$BW$17+
INDEX($A361:$BM361,,$BV$18)*$BW$18+
INDEX($A361:$BM361,,$BV$19)*$BW$19+
INDEX($A361:$BM361,,$BV$20)*$BW$20+
INDEX($A361:$BM361,,$BV$21)*$BW$21+
INDEX($A361:$BM361,,$BV$22)*$BW$22+
INDEX($A361:$BM361,,$BV$23)*$BW$23+
INDEX($A361:$BM361,,$BV$25)*$BW$25+
INDEX($A361:$BM361,,$BV$26)*$BW$26+
INDEX($A361:$BM361,,$BV$27)*$BW$27+
$BN361)),
$BN361-100)</f>
        <v>-100</v>
      </c>
      <c r="BF361" t="str">
        <f t="shared" si="75"/>
        <v/>
      </c>
      <c r="BG361" t="str">
        <f t="shared" si="76"/>
        <v/>
      </c>
      <c r="BH361">
        <f t="shared" si="77"/>
        <v>0</v>
      </c>
      <c r="BJ361" t="str">
        <f t="shared" si="78"/>
        <v/>
      </c>
      <c r="BL361">
        <f t="shared" si="80"/>
        <v>0</v>
      </c>
      <c r="BN361">
        <v>3.5999999999999999E-3</v>
      </c>
      <c r="BS361" s="4" t="s">
        <v>2116</v>
      </c>
    </row>
    <row r="362" spans="1:71" ht="15.75" thickBot="1" x14ac:dyDescent="0.3">
      <c r="A362" s="569" t="s">
        <v>2205</v>
      </c>
      <c r="B362" s="569" t="s">
        <v>151</v>
      </c>
      <c r="C362" s="569" t="s">
        <v>6</v>
      </c>
      <c r="D362" s="574">
        <v>7</v>
      </c>
      <c r="E362" s="569"/>
      <c r="F362" s="569"/>
      <c r="G362" s="569"/>
      <c r="H362" s="569"/>
      <c r="I362" s="574">
        <v>0</v>
      </c>
      <c r="J362" s="574">
        <v>0</v>
      </c>
      <c r="K362" s="574">
        <v>0</v>
      </c>
      <c r="L362" s="574">
        <v>56.8</v>
      </c>
      <c r="M362" s="574">
        <v>4.4000000000000004</v>
      </c>
      <c r="N362" s="574">
        <v>722</v>
      </c>
      <c r="O362" s="574">
        <v>0</v>
      </c>
      <c r="P362" s="574">
        <v>0</v>
      </c>
      <c r="Q362" s="574">
        <v>0.2</v>
      </c>
      <c r="R362" s="569"/>
      <c r="S362" s="569"/>
      <c r="T362" s="569"/>
      <c r="U362" s="569"/>
      <c r="V362" s="569"/>
      <c r="W362" s="569"/>
      <c r="X362" s="569"/>
      <c r="Y362" s="569"/>
      <c r="Z362" s="569"/>
      <c r="AA362" s="569"/>
      <c r="AB362" s="569"/>
      <c r="AC362" s="569"/>
      <c r="AD362" s="569"/>
      <c r="AE362" s="569"/>
      <c r="AF362" s="569"/>
      <c r="AG362" s="569"/>
      <c r="AH362" s="569"/>
      <c r="AI362" s="569"/>
      <c r="AJ362" s="569"/>
      <c r="AK362" s="569"/>
      <c r="AL362" s="569"/>
      <c r="AM362" s="569"/>
      <c r="AN362" s="574">
        <v>98.1</v>
      </c>
      <c r="AO362">
        <v>361</v>
      </c>
      <c r="AP362" t="str">
        <f t="shared" si="79"/>
        <v/>
      </c>
      <c r="AQ362" t="str">
        <f t="shared" si="69"/>
        <v/>
      </c>
      <c r="AR362" s="430">
        <f>IFERROR(
IF(AP362="",-100,
IF($BV$2&gt;0, INDEX(Beersheet!$A:$U,MATCH(AP362,INDEX(Beersheet!$A:$U,0,FFARawStatProjections!$BV$2),0),$BV$3)+$BN362,
INDEX($A362:$BM362,,$BV$12)*$BW$12+
INDEX($A362:$BM362,,$BV$15)*$BW$15+
INDEX($A362:$BM362,,$BV$16)*$BW$16+
INDEX($A362:$BM362,,$BV$17)*$BW$17+
INDEX($A362:$BM362,,$BV$18)*$BW$18+
INDEX($A362:$BM362,,$BV$19)*$BW$19+
INDEX($A362:$BM362,,$BV$20)*$BW$20+
INDEX($A362:$BM362,,$BV$21)*$BW$21+
INDEX($A362:$BM362,,$BV$22)*$BW$22+
INDEX($A362:$BM362,,$BV$23)*$BW$23+
INDEX($A362:$BM362,,$BV$25)*$BW$25+
INDEX($A362:$BM362,,$BV$26)*$BW$26+
INDEX($A362:$BM362,,$BV$27)*$BW$27+
$BN362)),
$BN362-100)</f>
        <v>-100</v>
      </c>
      <c r="AT362" t="str">
        <f t="shared" si="70"/>
        <v/>
      </c>
      <c r="AU362" t="str">
        <f t="shared" si="71"/>
        <v/>
      </c>
      <c r="AV362" s="430">
        <f>IFERROR(
IF(AT362="",-100,
IF($BV$2&gt;0, INDEX(Beersheet!$A:$U,MATCH(AT362,INDEX(Beersheet!$A:$U,0,FFARawStatProjections!$BV$2),0),$BV$3)+$BN362,
INDEX($A362:$BM362,,$BV$12)*$BW$12+
INDEX($A362:$BM362,,$BV$15)*$BW$15+
INDEX($A362:$BM362,,$BV$16)*$BW$16+
INDEX($A362:$BM362,,$BV$17)*$BW$17+
INDEX($A362:$BM362,,$BV$18)*$BW$18+
INDEX($A362:$BM362,,$BV$19)*$BW$19+
INDEX($A362:$BM362,,$BV$20)*$BW$20+
INDEX($A362:$BM362,,$BV$21)*$BW$21+
INDEX($A362:$BM362,,$BV$22)*$BW$22+
INDEX($A362:$BM362,,$BV$23)*$BW$23+
INDEX($A362:$BM362,,$BV$25)*$BW$25+
INDEX($A362:$BM362,,$BV$26)*$BW$26+
INDEX($A362:$BM362,,$BV$27)*$BW$27+
$BN362)),
$BN362-100)</f>
        <v>-100</v>
      </c>
      <c r="AX362" t="str">
        <f t="shared" si="72"/>
        <v>Nico Collins</v>
      </c>
      <c r="AY362" t="str">
        <f t="shared" si="73"/>
        <v>HOU</v>
      </c>
      <c r="AZ362" s="430">
        <f>IFERROR(
IF(AX362="",-100,
IF($BV$2&gt;0, INDEX(Beersheet!$A:$U,MATCH(AX362,INDEX(Beersheet!$A:$U,0,FFARawStatProjections!$BV$2),0),$BV$3)+$BN362,
INDEX($A362:$BM362,,$BV$12)*$BW$12+
INDEX($A362:$BM362,,$BV$15)*$BW$15+
INDEX($A362:$BM362,,$BV$16)*$BW$16+
INDEX($A362:$BM362,,$BV$17)*$BW$17+
INDEX($A362:$BM362,,$BV$18)*$BW$18+
INDEX($A362:$BM362,,$BV$19)*$BW$19+
INDEX($A362:$BM362,,$BV$20)*$BW$20+
INDEX($A362:$BM362,,$BV$21)*$BW$21+
INDEX($A362:$BM362,,$BV$22)*$BW$22+
INDEX($A362:$BM362,,$BV$23)*$BW$23+
INDEX($A362:$BM362,,$BV$25)*$BW$25+
INDEX($A362:$BM362,,$BV$26)*$BW$26+
INDEX($A362:$BM362,,$BV$27)*$BW$27+
$BN362)),
$BN362-100)</f>
        <v>155.42361000000002</v>
      </c>
      <c r="BB362" t="str">
        <f t="shared" si="74"/>
        <v/>
      </c>
      <c r="BC362" t="str">
        <f t="shared" si="68"/>
        <v/>
      </c>
      <c r="BD362" s="430">
        <f>IFERROR(
IF(BB362="",-100,
IF($BV$2&gt;0, INDEX(Beersheet!$A:$U,MATCH(BB362,INDEX(Beersheet!$A:$U,0,FFARawStatProjections!$BV$2),0),$BV$3)+$BN362,
INDEX($A362:$BM362,,$BV$12)*$BW$12+
INDEX($A362:$BM362,,$BV$15)*$BW$15+
INDEX($A362:$BM362,,$BV$16)*$BW$16+
INDEX($A362:$BM362,,$BV$17)*$BW$17+
INDEX($A362:$BM362,,$BV$18)*$BW$18+
INDEX($A362:$BM362,,$BV$19)*$BW$19+
INDEX($A362:$BM362,,$BV$20)*$BW$20+
INDEX($A362:$BM362,,$BV$21)*$BW$21+
INDEX($A362:$BM362,,$BV$22)*$BW$22+
INDEX($A362:$BM362,,$BV$23)*$BW$23+
INDEX($A362:$BM362,,$BV$25)*$BW$25+
INDEX($A362:$BM362,,$BV$26)*$BW$26+
INDEX($A362:$BM362,,$BV$27)*$BW$27+
$BN362)),
$BN362-100)</f>
        <v>-100</v>
      </c>
      <c r="BF362" t="str">
        <f t="shared" si="75"/>
        <v/>
      </c>
      <c r="BG362" t="str">
        <f t="shared" si="76"/>
        <v/>
      </c>
      <c r="BH362">
        <f t="shared" si="77"/>
        <v>0</v>
      </c>
      <c r="BJ362" t="str">
        <f t="shared" si="78"/>
        <v/>
      </c>
      <c r="BL362">
        <f t="shared" si="80"/>
        <v>0</v>
      </c>
      <c r="BN362">
        <v>3.6099999999999999E-3</v>
      </c>
      <c r="BS362" s="4" t="s">
        <v>2078</v>
      </c>
    </row>
    <row r="363" spans="1:71" ht="15.75" thickBot="1" x14ac:dyDescent="0.3">
      <c r="A363" s="569" t="s">
        <v>2066</v>
      </c>
      <c r="B363" s="569" t="s">
        <v>2073</v>
      </c>
      <c r="C363" s="569" t="s">
        <v>6</v>
      </c>
      <c r="D363" s="574">
        <v>13</v>
      </c>
      <c r="E363" s="569"/>
      <c r="F363" s="569"/>
      <c r="G363" s="569"/>
      <c r="H363" s="569"/>
      <c r="I363" s="574">
        <v>0</v>
      </c>
      <c r="J363" s="574">
        <v>0</v>
      </c>
      <c r="K363" s="574">
        <v>0</v>
      </c>
      <c r="L363" s="574">
        <v>62.5</v>
      </c>
      <c r="M363" s="574">
        <v>3.9</v>
      </c>
      <c r="N363" s="574">
        <v>749.4</v>
      </c>
      <c r="O363" s="574">
        <v>1.1000000000000001</v>
      </c>
      <c r="P363" s="574">
        <v>0</v>
      </c>
      <c r="Q363" s="574">
        <v>3.8</v>
      </c>
      <c r="R363" s="569"/>
      <c r="S363" s="569"/>
      <c r="T363" s="569"/>
      <c r="U363" s="569"/>
      <c r="V363" s="569"/>
      <c r="W363" s="569"/>
      <c r="X363" s="569"/>
      <c r="Y363" s="569"/>
      <c r="Z363" s="569"/>
      <c r="AA363" s="569"/>
      <c r="AB363" s="569"/>
      <c r="AC363" s="569"/>
      <c r="AD363" s="569"/>
      <c r="AE363" s="569"/>
      <c r="AF363" s="569"/>
      <c r="AG363" s="569"/>
      <c r="AH363" s="569"/>
      <c r="AI363" s="569"/>
      <c r="AJ363" s="569"/>
      <c r="AK363" s="569"/>
      <c r="AL363" s="569"/>
      <c r="AM363" s="569"/>
      <c r="AN363" s="574">
        <v>97.4</v>
      </c>
      <c r="AO363">
        <v>362</v>
      </c>
      <c r="AP363" t="str">
        <f t="shared" si="79"/>
        <v/>
      </c>
      <c r="AQ363" t="str">
        <f t="shared" si="69"/>
        <v/>
      </c>
      <c r="AR363" s="430">
        <f>IFERROR(
IF(AP363="",-100,
IF($BV$2&gt;0, INDEX(Beersheet!$A:$U,MATCH(AP363,INDEX(Beersheet!$A:$U,0,FFARawStatProjections!$BV$2),0),$BV$3)+$BN363,
INDEX($A363:$BM363,,$BV$12)*$BW$12+
INDEX($A363:$BM363,,$BV$15)*$BW$15+
INDEX($A363:$BM363,,$BV$16)*$BW$16+
INDEX($A363:$BM363,,$BV$17)*$BW$17+
INDEX($A363:$BM363,,$BV$18)*$BW$18+
INDEX($A363:$BM363,,$BV$19)*$BW$19+
INDEX($A363:$BM363,,$BV$20)*$BW$20+
INDEX($A363:$BM363,,$BV$21)*$BW$21+
INDEX($A363:$BM363,,$BV$22)*$BW$22+
INDEX($A363:$BM363,,$BV$23)*$BW$23+
INDEX($A363:$BM363,,$BV$25)*$BW$25+
INDEX($A363:$BM363,,$BV$26)*$BW$26+
INDEX($A363:$BM363,,$BV$27)*$BW$27+
$BN363)),
$BN363-100)</f>
        <v>-100</v>
      </c>
      <c r="AT363" t="str">
        <f t="shared" si="70"/>
        <v/>
      </c>
      <c r="AU363" t="str">
        <f t="shared" si="71"/>
        <v/>
      </c>
      <c r="AV363" s="430">
        <f>IFERROR(
IF(AT363="",-100,
IF($BV$2&gt;0, INDEX(Beersheet!$A:$U,MATCH(AT363,INDEX(Beersheet!$A:$U,0,FFARawStatProjections!$BV$2),0),$BV$3)+$BN363,
INDEX($A363:$BM363,,$BV$12)*$BW$12+
INDEX($A363:$BM363,,$BV$15)*$BW$15+
INDEX($A363:$BM363,,$BV$16)*$BW$16+
INDEX($A363:$BM363,,$BV$17)*$BW$17+
INDEX($A363:$BM363,,$BV$18)*$BW$18+
INDEX($A363:$BM363,,$BV$19)*$BW$19+
INDEX($A363:$BM363,,$BV$20)*$BW$20+
INDEX($A363:$BM363,,$BV$21)*$BW$21+
INDEX($A363:$BM363,,$BV$22)*$BW$22+
INDEX($A363:$BM363,,$BV$23)*$BW$23+
INDEX($A363:$BM363,,$BV$25)*$BW$25+
INDEX($A363:$BM363,,$BV$26)*$BW$26+
INDEX($A363:$BM363,,$BV$27)*$BW$27+
$BN363)),
$BN363-100)</f>
        <v>-100</v>
      </c>
      <c r="AX363" t="str">
        <f t="shared" si="72"/>
        <v>Jakobi Meyers</v>
      </c>
      <c r="AY363" t="str">
        <f t="shared" si="73"/>
        <v>LV</v>
      </c>
      <c r="AZ363" s="430">
        <f>IFERROR(
IF(AX363="",-100,
IF($BV$2&gt;0, INDEX(Beersheet!$A:$U,MATCH(AX363,INDEX(Beersheet!$A:$U,0,FFARawStatProjections!$BV$2),0),$BV$3)+$BN363,
INDEX($A363:$BM363,,$BV$12)*$BW$12+
INDEX($A363:$BM363,,$BV$15)*$BW$15+
INDEX($A363:$BM363,,$BV$16)*$BW$16+
INDEX($A363:$BM363,,$BV$17)*$BW$17+
INDEX($A363:$BM363,,$BV$18)*$BW$18+
INDEX($A363:$BM363,,$BV$19)*$BW$19+
INDEX($A363:$BM363,,$BV$20)*$BW$20+
INDEX($A363:$BM363,,$BV$21)*$BW$21+
INDEX($A363:$BM363,,$BV$22)*$BW$22+
INDEX($A363:$BM363,,$BV$23)*$BW$23+
INDEX($A363:$BM363,,$BV$25)*$BW$25+
INDEX($A363:$BM363,,$BV$26)*$BW$26+
INDEX($A363:$BM363,,$BV$27)*$BW$27+
$BN363)),
$BN363-100)</f>
        <v>161.22362000000001</v>
      </c>
      <c r="BB363" t="str">
        <f t="shared" si="74"/>
        <v/>
      </c>
      <c r="BC363" t="str">
        <f t="shared" si="68"/>
        <v/>
      </c>
      <c r="BD363" s="430">
        <f>IFERROR(
IF(BB363="",-100,
IF($BV$2&gt;0, INDEX(Beersheet!$A:$U,MATCH(BB363,INDEX(Beersheet!$A:$U,0,FFARawStatProjections!$BV$2),0),$BV$3)+$BN363,
INDEX($A363:$BM363,,$BV$12)*$BW$12+
INDEX($A363:$BM363,,$BV$15)*$BW$15+
INDEX($A363:$BM363,,$BV$16)*$BW$16+
INDEX($A363:$BM363,,$BV$17)*$BW$17+
INDEX($A363:$BM363,,$BV$18)*$BW$18+
INDEX($A363:$BM363,,$BV$19)*$BW$19+
INDEX($A363:$BM363,,$BV$20)*$BW$20+
INDEX($A363:$BM363,,$BV$21)*$BW$21+
INDEX($A363:$BM363,,$BV$22)*$BW$22+
INDEX($A363:$BM363,,$BV$23)*$BW$23+
INDEX($A363:$BM363,,$BV$25)*$BW$25+
INDEX($A363:$BM363,,$BV$26)*$BW$26+
INDEX($A363:$BM363,,$BV$27)*$BW$27+
$BN363)),
$BN363-100)</f>
        <v>-100</v>
      </c>
      <c r="BF363" t="str">
        <f t="shared" si="75"/>
        <v/>
      </c>
      <c r="BG363" t="str">
        <f t="shared" si="76"/>
        <v/>
      </c>
      <c r="BH363">
        <f t="shared" si="77"/>
        <v>0</v>
      </c>
      <c r="BJ363" t="str">
        <f t="shared" si="78"/>
        <v/>
      </c>
      <c r="BL363">
        <f t="shared" si="80"/>
        <v>0</v>
      </c>
      <c r="BN363">
        <v>3.62E-3</v>
      </c>
      <c r="BS363" s="4" t="s">
        <v>2365</v>
      </c>
    </row>
    <row r="364" spans="1:71" ht="15.75" thickBot="1" x14ac:dyDescent="0.3">
      <c r="A364" s="569" t="s">
        <v>1206</v>
      </c>
      <c r="B364" s="569" t="s">
        <v>162</v>
      </c>
      <c r="C364" s="569" t="s">
        <v>6</v>
      </c>
      <c r="D364" s="574">
        <v>13</v>
      </c>
      <c r="E364" s="569"/>
      <c r="F364" s="569"/>
      <c r="G364" s="569"/>
      <c r="H364" s="569"/>
      <c r="I364" s="574">
        <v>0</v>
      </c>
      <c r="J364" s="574">
        <v>0</v>
      </c>
      <c r="K364" s="574">
        <v>0</v>
      </c>
      <c r="L364" s="574">
        <v>51.1</v>
      </c>
      <c r="M364" s="574">
        <v>4.4000000000000004</v>
      </c>
      <c r="N364" s="574">
        <v>676.5</v>
      </c>
      <c r="O364" s="574">
        <v>1.6</v>
      </c>
      <c r="P364" s="574">
        <v>0.2</v>
      </c>
      <c r="Q364" s="574">
        <v>19.2</v>
      </c>
      <c r="R364" s="569"/>
      <c r="S364" s="569"/>
      <c r="T364" s="569"/>
      <c r="U364" s="569"/>
      <c r="V364" s="569"/>
      <c r="W364" s="569"/>
      <c r="X364" s="569"/>
      <c r="Y364" s="569"/>
      <c r="Z364" s="569"/>
      <c r="AA364" s="569"/>
      <c r="AB364" s="569"/>
      <c r="AC364" s="569"/>
      <c r="AD364" s="569"/>
      <c r="AE364" s="569"/>
      <c r="AF364" s="569"/>
      <c r="AG364" s="569"/>
      <c r="AH364" s="569"/>
      <c r="AI364" s="569"/>
      <c r="AJ364" s="569"/>
      <c r="AK364" s="569"/>
      <c r="AL364" s="569"/>
      <c r="AM364" s="569"/>
      <c r="AN364" s="574">
        <v>97.3</v>
      </c>
      <c r="AO364">
        <v>363</v>
      </c>
      <c r="AP364" t="str">
        <f t="shared" si="79"/>
        <v/>
      </c>
      <c r="AQ364" t="str">
        <f t="shared" si="69"/>
        <v/>
      </c>
      <c r="AR364" s="430">
        <f>IFERROR(
IF(AP364="",-100,
IF($BV$2&gt;0, INDEX(Beersheet!$A:$U,MATCH(AP364,INDEX(Beersheet!$A:$U,0,FFARawStatProjections!$BV$2),0),$BV$3)+$BN364,
INDEX($A364:$BM364,,$BV$12)*$BW$12+
INDEX($A364:$BM364,,$BV$15)*$BW$15+
INDEX($A364:$BM364,,$BV$16)*$BW$16+
INDEX($A364:$BM364,,$BV$17)*$BW$17+
INDEX($A364:$BM364,,$BV$18)*$BW$18+
INDEX($A364:$BM364,,$BV$19)*$BW$19+
INDEX($A364:$BM364,,$BV$20)*$BW$20+
INDEX($A364:$BM364,,$BV$21)*$BW$21+
INDEX($A364:$BM364,,$BV$22)*$BW$22+
INDEX($A364:$BM364,,$BV$23)*$BW$23+
INDEX($A364:$BM364,,$BV$25)*$BW$25+
INDEX($A364:$BM364,,$BV$26)*$BW$26+
INDEX($A364:$BM364,,$BV$27)*$BW$27+
$BN364)),
$BN364-100)</f>
        <v>-100</v>
      </c>
      <c r="AT364" t="str">
        <f t="shared" si="70"/>
        <v/>
      </c>
      <c r="AU364" t="str">
        <f t="shared" si="71"/>
        <v/>
      </c>
      <c r="AV364" s="430">
        <f>IFERROR(
IF(AT364="",-100,
IF($BV$2&gt;0, INDEX(Beersheet!$A:$U,MATCH(AT364,INDEX(Beersheet!$A:$U,0,FFARawStatProjections!$BV$2),0),$BV$3)+$BN364,
INDEX($A364:$BM364,,$BV$12)*$BW$12+
INDEX($A364:$BM364,,$BV$15)*$BW$15+
INDEX($A364:$BM364,,$BV$16)*$BW$16+
INDEX($A364:$BM364,,$BV$17)*$BW$17+
INDEX($A364:$BM364,,$BV$18)*$BW$18+
INDEX($A364:$BM364,,$BV$19)*$BW$19+
INDEX($A364:$BM364,,$BV$20)*$BW$20+
INDEX($A364:$BM364,,$BV$21)*$BW$21+
INDEX($A364:$BM364,,$BV$22)*$BW$22+
INDEX($A364:$BM364,,$BV$23)*$BW$23+
INDEX($A364:$BM364,,$BV$25)*$BW$25+
INDEX($A364:$BM364,,$BV$26)*$BW$26+
INDEX($A364:$BM364,,$BV$27)*$BW$27+
$BN364)),
$BN364-100)</f>
        <v>-100</v>
      </c>
      <c r="AX364" t="str">
        <f t="shared" si="72"/>
        <v>Odell Beckham</v>
      </c>
      <c r="AY364" t="str">
        <f t="shared" si="73"/>
        <v>BAL</v>
      </c>
      <c r="AZ364" s="430">
        <f>IFERROR(
IF(AX364="",-100,
IF($BV$2&gt;0, INDEX(Beersheet!$A:$U,MATCH(AX364,INDEX(Beersheet!$A:$U,0,FFARawStatProjections!$BV$2),0),$BV$3)+$BN364,
INDEX($A364:$BM364,,$BV$12)*$BW$12+
INDEX($A364:$BM364,,$BV$15)*$BW$15+
INDEX($A364:$BM364,,$BV$16)*$BW$16+
INDEX($A364:$BM364,,$BV$17)*$BW$17+
INDEX($A364:$BM364,,$BV$18)*$BW$18+
INDEX($A364:$BM364,,$BV$19)*$BW$19+
INDEX($A364:$BM364,,$BV$20)*$BW$20+
INDEX($A364:$BM364,,$BV$21)*$BW$21+
INDEX($A364:$BM364,,$BV$22)*$BW$22+
INDEX($A364:$BM364,,$BV$23)*$BW$23+
INDEX($A364:$BM364,,$BV$25)*$BW$25+
INDEX($A364:$BM364,,$BV$26)*$BW$26+
INDEX($A364:$BM364,,$BV$27)*$BW$27+
$BN364)),
$BN364-100)</f>
        <v>148.27362999999997</v>
      </c>
      <c r="BB364" t="str">
        <f t="shared" si="74"/>
        <v/>
      </c>
      <c r="BC364" t="str">
        <f t="shared" si="68"/>
        <v/>
      </c>
      <c r="BD364" s="430">
        <f>IFERROR(
IF(BB364="",-100,
IF($BV$2&gt;0, INDEX(Beersheet!$A:$U,MATCH(BB364,INDEX(Beersheet!$A:$U,0,FFARawStatProjections!$BV$2),0),$BV$3)+$BN364,
INDEX($A364:$BM364,,$BV$12)*$BW$12+
INDEX($A364:$BM364,,$BV$15)*$BW$15+
INDEX($A364:$BM364,,$BV$16)*$BW$16+
INDEX($A364:$BM364,,$BV$17)*$BW$17+
INDEX($A364:$BM364,,$BV$18)*$BW$18+
INDEX($A364:$BM364,,$BV$19)*$BW$19+
INDEX($A364:$BM364,,$BV$20)*$BW$20+
INDEX($A364:$BM364,,$BV$21)*$BW$21+
INDEX($A364:$BM364,,$BV$22)*$BW$22+
INDEX($A364:$BM364,,$BV$23)*$BW$23+
INDEX($A364:$BM364,,$BV$25)*$BW$25+
INDEX($A364:$BM364,,$BV$26)*$BW$26+
INDEX($A364:$BM364,,$BV$27)*$BW$27+
$BN364)),
$BN364-100)</f>
        <v>-100</v>
      </c>
      <c r="BF364" t="str">
        <f t="shared" si="75"/>
        <v/>
      </c>
      <c r="BG364" t="str">
        <f t="shared" si="76"/>
        <v/>
      </c>
      <c r="BH364">
        <f t="shared" si="77"/>
        <v>0</v>
      </c>
      <c r="BJ364" t="str">
        <f t="shared" si="78"/>
        <v/>
      </c>
      <c r="BL364">
        <f t="shared" si="80"/>
        <v>0</v>
      </c>
      <c r="BN364">
        <v>3.63E-3</v>
      </c>
      <c r="BS364" s="4" t="s">
        <v>2083</v>
      </c>
    </row>
    <row r="365" spans="1:71" ht="15.75" thickBot="1" x14ac:dyDescent="0.3">
      <c r="A365" s="569" t="s">
        <v>1870</v>
      </c>
      <c r="B365" s="569" t="s">
        <v>159</v>
      </c>
      <c r="C365" s="569" t="s">
        <v>6</v>
      </c>
      <c r="D365" s="574">
        <v>7</v>
      </c>
      <c r="E365" s="569"/>
      <c r="F365" s="569"/>
      <c r="G365" s="569"/>
      <c r="H365" s="569"/>
      <c r="I365" s="574">
        <v>0</v>
      </c>
      <c r="J365" s="574">
        <v>0</v>
      </c>
      <c r="K365" s="574">
        <v>0</v>
      </c>
      <c r="L365" s="574">
        <v>46.2</v>
      </c>
      <c r="M365" s="574">
        <v>3.9</v>
      </c>
      <c r="N365" s="574">
        <v>718.2</v>
      </c>
      <c r="O365" s="574">
        <v>0.1</v>
      </c>
      <c r="P365" s="574">
        <v>0</v>
      </c>
      <c r="Q365" s="574">
        <v>1.4</v>
      </c>
      <c r="R365" s="569"/>
      <c r="S365" s="569"/>
      <c r="T365" s="569"/>
      <c r="U365" s="569"/>
      <c r="V365" s="569"/>
      <c r="W365" s="569"/>
      <c r="X365" s="569"/>
      <c r="Y365" s="569"/>
      <c r="Z365" s="569"/>
      <c r="AA365" s="569"/>
      <c r="AB365" s="569"/>
      <c r="AC365" s="569"/>
      <c r="AD365" s="569"/>
      <c r="AE365" s="569"/>
      <c r="AF365" s="569"/>
      <c r="AG365" s="569"/>
      <c r="AH365" s="569"/>
      <c r="AI365" s="569"/>
      <c r="AJ365" s="569"/>
      <c r="AK365" s="569"/>
      <c r="AL365" s="569"/>
      <c r="AM365" s="569"/>
      <c r="AN365" s="574">
        <v>95</v>
      </c>
      <c r="AO365">
        <v>364</v>
      </c>
      <c r="AP365" t="str">
        <f t="shared" si="79"/>
        <v/>
      </c>
      <c r="AQ365" t="str">
        <f t="shared" si="69"/>
        <v/>
      </c>
      <c r="AR365" s="430">
        <f>IFERROR(
IF(AP365="",-100,
IF($BV$2&gt;0, INDEX(Beersheet!$A:$U,MATCH(AP365,INDEX(Beersheet!$A:$U,0,FFARawStatProjections!$BV$2),0),$BV$3)+$BN365,
INDEX($A365:$BM365,,$BV$12)*$BW$12+
INDEX($A365:$BM365,,$BV$15)*$BW$15+
INDEX($A365:$BM365,,$BV$16)*$BW$16+
INDEX($A365:$BM365,,$BV$17)*$BW$17+
INDEX($A365:$BM365,,$BV$18)*$BW$18+
INDEX($A365:$BM365,,$BV$19)*$BW$19+
INDEX($A365:$BM365,,$BV$20)*$BW$20+
INDEX($A365:$BM365,,$BV$21)*$BW$21+
INDEX($A365:$BM365,,$BV$22)*$BW$22+
INDEX($A365:$BM365,,$BV$23)*$BW$23+
INDEX($A365:$BM365,,$BV$25)*$BW$25+
INDEX($A365:$BM365,,$BV$26)*$BW$26+
INDEX($A365:$BM365,,$BV$27)*$BW$27+
$BN365)),
$BN365-100)</f>
        <v>-100</v>
      </c>
      <c r="AT365" t="str">
        <f t="shared" si="70"/>
        <v/>
      </c>
      <c r="AU365" t="str">
        <f t="shared" si="71"/>
        <v/>
      </c>
      <c r="AV365" s="430">
        <f>IFERROR(
IF(AT365="",-100,
IF($BV$2&gt;0, INDEX(Beersheet!$A:$U,MATCH(AT365,INDEX(Beersheet!$A:$U,0,FFARawStatProjections!$BV$2),0),$BV$3)+$BN365,
INDEX($A365:$BM365,,$BV$12)*$BW$12+
INDEX($A365:$BM365,,$BV$15)*$BW$15+
INDEX($A365:$BM365,,$BV$16)*$BW$16+
INDEX($A365:$BM365,,$BV$17)*$BW$17+
INDEX($A365:$BM365,,$BV$18)*$BW$18+
INDEX($A365:$BM365,,$BV$19)*$BW$19+
INDEX($A365:$BM365,,$BV$20)*$BW$20+
INDEX($A365:$BM365,,$BV$21)*$BW$21+
INDEX($A365:$BM365,,$BV$22)*$BW$22+
INDEX($A365:$BM365,,$BV$23)*$BW$23+
INDEX($A365:$BM365,,$BV$25)*$BW$25+
INDEX($A365:$BM365,,$BV$26)*$BW$26+
INDEX($A365:$BM365,,$BV$27)*$BW$27+
$BN365)),
$BN365-100)</f>
        <v>-100</v>
      </c>
      <c r="AX365" t="str">
        <f t="shared" si="72"/>
        <v>DJ Chark</v>
      </c>
      <c r="AY365" t="str">
        <f t="shared" si="73"/>
        <v>CAR</v>
      </c>
      <c r="AZ365" s="430">
        <f>IFERROR(
IF(AX365="",-100,
IF($BV$2&gt;0, INDEX(Beersheet!$A:$U,MATCH(AX365,INDEX(Beersheet!$A:$U,0,FFARawStatProjections!$BV$2),0),$BV$3)+$BN365,
INDEX($A365:$BM365,,$BV$12)*$BW$12+
INDEX($A365:$BM365,,$BV$15)*$BW$15+
INDEX($A365:$BM365,,$BV$16)*$BW$16+
INDEX($A365:$BM365,,$BV$17)*$BW$17+
INDEX($A365:$BM365,,$BV$18)*$BW$18+
INDEX($A365:$BM365,,$BV$19)*$BW$19+
INDEX($A365:$BM365,,$BV$20)*$BW$20+
INDEX($A365:$BM365,,$BV$21)*$BW$21+
INDEX($A365:$BM365,,$BV$22)*$BW$22+
INDEX($A365:$BM365,,$BV$23)*$BW$23+
INDEX($A365:$BM365,,$BV$25)*$BW$25+
INDEX($A365:$BM365,,$BV$26)*$BW$26+
INDEX($A365:$BM365,,$BV$27)*$BW$27+
$BN365)),
$BN365-100)</f>
        <v>141.56363999999999</v>
      </c>
      <c r="BB365" t="str">
        <f t="shared" si="74"/>
        <v/>
      </c>
      <c r="BC365" t="str">
        <f t="shared" si="68"/>
        <v/>
      </c>
      <c r="BD365" s="430">
        <f>IFERROR(
IF(BB365="",-100,
IF($BV$2&gt;0, INDEX(Beersheet!$A:$U,MATCH(BB365,INDEX(Beersheet!$A:$U,0,FFARawStatProjections!$BV$2),0),$BV$3)+$BN365,
INDEX($A365:$BM365,,$BV$12)*$BW$12+
INDEX($A365:$BM365,,$BV$15)*$BW$15+
INDEX($A365:$BM365,,$BV$16)*$BW$16+
INDEX($A365:$BM365,,$BV$17)*$BW$17+
INDEX($A365:$BM365,,$BV$18)*$BW$18+
INDEX($A365:$BM365,,$BV$19)*$BW$19+
INDEX($A365:$BM365,,$BV$20)*$BW$20+
INDEX($A365:$BM365,,$BV$21)*$BW$21+
INDEX($A365:$BM365,,$BV$22)*$BW$22+
INDEX($A365:$BM365,,$BV$23)*$BW$23+
INDEX($A365:$BM365,,$BV$25)*$BW$25+
INDEX($A365:$BM365,,$BV$26)*$BW$26+
INDEX($A365:$BM365,,$BV$27)*$BW$27+
$BN365)),
$BN365-100)</f>
        <v>-100</v>
      </c>
      <c r="BF365" t="str">
        <f t="shared" si="75"/>
        <v/>
      </c>
      <c r="BG365" t="str">
        <f t="shared" si="76"/>
        <v/>
      </c>
      <c r="BH365">
        <f t="shared" si="77"/>
        <v>0</v>
      </c>
      <c r="BJ365" t="str">
        <f t="shared" si="78"/>
        <v/>
      </c>
      <c r="BL365">
        <f t="shared" si="80"/>
        <v>0</v>
      </c>
      <c r="BN365">
        <v>3.64E-3</v>
      </c>
      <c r="BS365" s="4" t="s">
        <v>1421</v>
      </c>
    </row>
    <row r="366" spans="1:71" ht="15.75" thickBot="1" x14ac:dyDescent="0.3">
      <c r="A366" s="569" t="s">
        <v>1198</v>
      </c>
      <c r="B366" s="569" t="s">
        <v>145</v>
      </c>
      <c r="C366" s="569" t="s">
        <v>6</v>
      </c>
      <c r="D366" s="574">
        <v>7</v>
      </c>
      <c r="E366" s="569"/>
      <c r="F366" s="569"/>
      <c r="G366" s="569"/>
      <c r="H366" s="569"/>
      <c r="I366" s="574">
        <v>0</v>
      </c>
      <c r="J366" s="574">
        <v>0</v>
      </c>
      <c r="K366" s="574">
        <v>0</v>
      </c>
      <c r="L366" s="574">
        <v>58.2</v>
      </c>
      <c r="M366" s="574">
        <v>3.9</v>
      </c>
      <c r="N366" s="574">
        <v>710.9</v>
      </c>
      <c r="O366" s="574">
        <v>1.5</v>
      </c>
      <c r="P366" s="574">
        <v>0</v>
      </c>
      <c r="Q366" s="574">
        <v>8.9</v>
      </c>
      <c r="R366" s="569"/>
      <c r="S366" s="569"/>
      <c r="T366" s="569"/>
      <c r="U366" s="569"/>
      <c r="V366" s="569"/>
      <c r="W366" s="569"/>
      <c r="X366" s="569"/>
      <c r="Y366" s="569"/>
      <c r="Z366" s="569"/>
      <c r="AA366" s="569"/>
      <c r="AB366" s="569"/>
      <c r="AC366" s="569"/>
      <c r="AD366" s="569"/>
      <c r="AE366" s="569"/>
      <c r="AF366" s="569"/>
      <c r="AG366" s="569"/>
      <c r="AH366" s="569"/>
      <c r="AI366" s="569"/>
      <c r="AJ366" s="569"/>
      <c r="AK366" s="569"/>
      <c r="AL366" s="569"/>
      <c r="AM366" s="569"/>
      <c r="AN366" s="574">
        <v>95</v>
      </c>
      <c r="AO366">
        <v>365</v>
      </c>
      <c r="AP366" t="str">
        <f t="shared" si="79"/>
        <v/>
      </c>
      <c r="AQ366" t="str">
        <f t="shared" si="69"/>
        <v/>
      </c>
      <c r="AR366" s="430">
        <f>IFERROR(
IF(AP366="",-100,
IF($BV$2&gt;0, INDEX(Beersheet!$A:$U,MATCH(AP366,INDEX(Beersheet!$A:$U,0,FFARawStatProjections!$BV$2),0),$BV$3)+$BN366,
INDEX($A366:$BM366,,$BV$12)*$BW$12+
INDEX($A366:$BM366,,$BV$15)*$BW$15+
INDEX($A366:$BM366,,$BV$16)*$BW$16+
INDEX($A366:$BM366,,$BV$17)*$BW$17+
INDEX($A366:$BM366,,$BV$18)*$BW$18+
INDEX($A366:$BM366,,$BV$19)*$BW$19+
INDEX($A366:$BM366,,$BV$20)*$BW$20+
INDEX($A366:$BM366,,$BV$21)*$BW$21+
INDEX($A366:$BM366,,$BV$22)*$BW$22+
INDEX($A366:$BM366,,$BV$23)*$BW$23+
INDEX($A366:$BM366,,$BV$25)*$BW$25+
INDEX($A366:$BM366,,$BV$26)*$BW$26+
INDEX($A366:$BM366,,$BV$27)*$BW$27+
$BN366)),
$BN366-100)</f>
        <v>-100</v>
      </c>
      <c r="AT366" t="str">
        <f t="shared" si="70"/>
        <v/>
      </c>
      <c r="AU366" t="str">
        <f t="shared" si="71"/>
        <v/>
      </c>
      <c r="AV366" s="430">
        <f>IFERROR(
IF(AT366="",-100,
IF($BV$2&gt;0, INDEX(Beersheet!$A:$U,MATCH(AT366,INDEX(Beersheet!$A:$U,0,FFARawStatProjections!$BV$2),0),$BV$3)+$BN366,
INDEX($A366:$BM366,,$BV$12)*$BW$12+
INDEX($A366:$BM366,,$BV$15)*$BW$15+
INDEX($A366:$BM366,,$BV$16)*$BW$16+
INDEX($A366:$BM366,,$BV$17)*$BW$17+
INDEX($A366:$BM366,,$BV$18)*$BW$18+
INDEX($A366:$BM366,,$BV$19)*$BW$19+
INDEX($A366:$BM366,,$BV$20)*$BW$20+
INDEX($A366:$BM366,,$BV$21)*$BW$21+
INDEX($A366:$BM366,,$BV$22)*$BW$22+
INDEX($A366:$BM366,,$BV$23)*$BW$23+
INDEX($A366:$BM366,,$BV$25)*$BW$25+
INDEX($A366:$BM366,,$BV$26)*$BW$26+
INDEX($A366:$BM366,,$BV$27)*$BW$27+
$BN366)),
$BN366-100)</f>
        <v>-100</v>
      </c>
      <c r="AX366" t="str">
        <f t="shared" si="72"/>
        <v>Tyler Boyd</v>
      </c>
      <c r="AY366" t="str">
        <f t="shared" si="73"/>
        <v>CIN</v>
      </c>
      <c r="AZ366" s="430">
        <f>IFERROR(
IF(AX366="",-100,
IF($BV$2&gt;0, INDEX(Beersheet!$A:$U,MATCH(AX366,INDEX(Beersheet!$A:$U,0,FFARawStatProjections!$BV$2),0),$BV$3)+$BN366,
INDEX($A366:$BM366,,$BV$12)*$BW$12+
INDEX($A366:$BM366,,$BV$15)*$BW$15+
INDEX($A366:$BM366,,$BV$16)*$BW$16+
INDEX($A366:$BM366,,$BV$17)*$BW$17+
INDEX($A366:$BM366,,$BV$18)*$BW$18+
INDEX($A366:$BM366,,$BV$19)*$BW$19+
INDEX($A366:$BM366,,$BV$20)*$BW$20+
INDEX($A366:$BM366,,$BV$21)*$BW$21+
INDEX($A366:$BM366,,$BV$22)*$BW$22+
INDEX($A366:$BM366,,$BV$23)*$BW$23+
INDEX($A366:$BM366,,$BV$25)*$BW$25+
INDEX($A366:$BM366,,$BV$26)*$BW$26+
INDEX($A366:$BM366,,$BV$27)*$BW$27+
$BN366)),
$BN366-100)</f>
        <v>153.58364999999998</v>
      </c>
      <c r="BB366" t="str">
        <f t="shared" si="74"/>
        <v/>
      </c>
      <c r="BC366" t="str">
        <f t="shared" si="68"/>
        <v/>
      </c>
      <c r="BD366" s="430">
        <f>IFERROR(
IF(BB366="",-100,
IF($BV$2&gt;0, INDEX(Beersheet!$A:$U,MATCH(BB366,INDEX(Beersheet!$A:$U,0,FFARawStatProjections!$BV$2),0),$BV$3)+$BN366,
INDEX($A366:$BM366,,$BV$12)*$BW$12+
INDEX($A366:$BM366,,$BV$15)*$BW$15+
INDEX($A366:$BM366,,$BV$16)*$BW$16+
INDEX($A366:$BM366,,$BV$17)*$BW$17+
INDEX($A366:$BM366,,$BV$18)*$BW$18+
INDEX($A366:$BM366,,$BV$19)*$BW$19+
INDEX($A366:$BM366,,$BV$20)*$BW$20+
INDEX($A366:$BM366,,$BV$21)*$BW$21+
INDEX($A366:$BM366,,$BV$22)*$BW$22+
INDEX($A366:$BM366,,$BV$23)*$BW$23+
INDEX($A366:$BM366,,$BV$25)*$BW$25+
INDEX($A366:$BM366,,$BV$26)*$BW$26+
INDEX($A366:$BM366,,$BV$27)*$BW$27+
$BN366)),
$BN366-100)</f>
        <v>-100</v>
      </c>
      <c r="BF366" t="str">
        <f t="shared" si="75"/>
        <v/>
      </c>
      <c r="BG366" t="str">
        <f t="shared" si="76"/>
        <v/>
      </c>
      <c r="BH366">
        <f t="shared" si="77"/>
        <v>0</v>
      </c>
      <c r="BJ366" t="str">
        <f t="shared" si="78"/>
        <v/>
      </c>
      <c r="BL366">
        <f t="shared" si="80"/>
        <v>0</v>
      </c>
      <c r="BN366">
        <v>3.65E-3</v>
      </c>
      <c r="BS366" s="4" t="s">
        <v>2112</v>
      </c>
    </row>
    <row r="367" spans="1:71" ht="15.75" thickBot="1" x14ac:dyDescent="0.3">
      <c r="A367" s="569" t="s">
        <v>1801</v>
      </c>
      <c r="B367" s="569" t="s">
        <v>136</v>
      </c>
      <c r="C367" s="569" t="s">
        <v>6</v>
      </c>
      <c r="D367" s="574">
        <v>10</v>
      </c>
      <c r="E367" s="569"/>
      <c r="F367" s="569"/>
      <c r="G367" s="569"/>
      <c r="H367" s="569"/>
      <c r="I367" s="574">
        <v>0</v>
      </c>
      <c r="J367" s="574">
        <v>0</v>
      </c>
      <c r="K367" s="574">
        <v>0</v>
      </c>
      <c r="L367" s="574">
        <v>42.2</v>
      </c>
      <c r="M367" s="574">
        <v>4.2</v>
      </c>
      <c r="N367" s="574">
        <v>690.1</v>
      </c>
      <c r="O367" s="574">
        <v>0.7</v>
      </c>
      <c r="P367" s="574">
        <v>0</v>
      </c>
      <c r="Q367" s="574">
        <v>1.9</v>
      </c>
      <c r="R367" s="569"/>
      <c r="S367" s="569"/>
      <c r="T367" s="569"/>
      <c r="U367" s="569"/>
      <c r="V367" s="569"/>
      <c r="W367" s="569"/>
      <c r="X367" s="569"/>
      <c r="Y367" s="569"/>
      <c r="Z367" s="569"/>
      <c r="AA367" s="569"/>
      <c r="AB367" s="569"/>
      <c r="AC367" s="569"/>
      <c r="AD367" s="569"/>
      <c r="AE367" s="569"/>
      <c r="AF367" s="569"/>
      <c r="AG367" s="569"/>
      <c r="AH367" s="569"/>
      <c r="AI367" s="569"/>
      <c r="AJ367" s="569"/>
      <c r="AK367" s="569"/>
      <c r="AL367" s="569"/>
      <c r="AM367" s="569"/>
      <c r="AN367" s="574">
        <v>94</v>
      </c>
      <c r="AO367">
        <v>366</v>
      </c>
      <c r="AP367" t="str">
        <f t="shared" si="79"/>
        <v/>
      </c>
      <c r="AQ367" t="str">
        <f t="shared" si="69"/>
        <v/>
      </c>
      <c r="AR367" s="430">
        <f>IFERROR(
IF(AP367="",-100,
IF($BV$2&gt;0, INDEX(Beersheet!$A:$U,MATCH(AP367,INDEX(Beersheet!$A:$U,0,FFARawStatProjections!$BV$2),0),$BV$3)+$BN367,
INDEX($A367:$BM367,,$BV$12)*$BW$12+
INDEX($A367:$BM367,,$BV$15)*$BW$15+
INDEX($A367:$BM367,,$BV$16)*$BW$16+
INDEX($A367:$BM367,,$BV$17)*$BW$17+
INDEX($A367:$BM367,,$BV$18)*$BW$18+
INDEX($A367:$BM367,,$BV$19)*$BW$19+
INDEX($A367:$BM367,,$BV$20)*$BW$20+
INDEX($A367:$BM367,,$BV$21)*$BW$21+
INDEX($A367:$BM367,,$BV$22)*$BW$22+
INDEX($A367:$BM367,,$BV$23)*$BW$23+
INDEX($A367:$BM367,,$BV$25)*$BW$25+
INDEX($A367:$BM367,,$BV$26)*$BW$26+
INDEX($A367:$BM367,,$BV$27)*$BW$27+
$BN367)),
$BN367-100)</f>
        <v>-100</v>
      </c>
      <c r="AT367" t="str">
        <f t="shared" si="70"/>
        <v/>
      </c>
      <c r="AU367" t="str">
        <f t="shared" si="71"/>
        <v/>
      </c>
      <c r="AV367" s="430">
        <f>IFERROR(
IF(AT367="",-100,
IF($BV$2&gt;0, INDEX(Beersheet!$A:$U,MATCH(AT367,INDEX(Beersheet!$A:$U,0,FFARawStatProjections!$BV$2),0),$BV$3)+$BN367,
INDEX($A367:$BM367,,$BV$12)*$BW$12+
INDEX($A367:$BM367,,$BV$15)*$BW$15+
INDEX($A367:$BM367,,$BV$16)*$BW$16+
INDEX($A367:$BM367,,$BV$17)*$BW$17+
INDEX($A367:$BM367,,$BV$18)*$BW$18+
INDEX($A367:$BM367,,$BV$19)*$BW$19+
INDEX($A367:$BM367,,$BV$20)*$BW$20+
INDEX($A367:$BM367,,$BV$21)*$BW$21+
INDEX($A367:$BM367,,$BV$22)*$BW$22+
INDEX($A367:$BM367,,$BV$23)*$BW$23+
INDEX($A367:$BM367,,$BV$25)*$BW$25+
INDEX($A367:$BM367,,$BV$26)*$BW$26+
INDEX($A367:$BM367,,$BV$27)*$BW$27+
$BN367)),
$BN367-100)</f>
        <v>-100</v>
      </c>
      <c r="AX367" t="str">
        <f t="shared" si="72"/>
        <v>Marquez Valdes-Scantling</v>
      </c>
      <c r="AY367" t="str">
        <f t="shared" si="73"/>
        <v>KC</v>
      </c>
      <c r="AZ367" s="430">
        <f>IFERROR(
IF(AX367="",-100,
IF($BV$2&gt;0, INDEX(Beersheet!$A:$U,MATCH(AX367,INDEX(Beersheet!$A:$U,0,FFARawStatProjections!$BV$2),0),$BV$3)+$BN367,
INDEX($A367:$BM367,,$BV$12)*$BW$12+
INDEX($A367:$BM367,,$BV$15)*$BW$15+
INDEX($A367:$BM367,,$BV$16)*$BW$16+
INDEX($A367:$BM367,,$BV$17)*$BW$17+
INDEX($A367:$BM367,,$BV$18)*$BW$18+
INDEX($A367:$BM367,,$BV$19)*$BW$19+
INDEX($A367:$BM367,,$BV$20)*$BW$20+
INDEX($A367:$BM367,,$BV$21)*$BW$21+
INDEX($A367:$BM367,,$BV$22)*$BW$22+
INDEX($A367:$BM367,,$BV$23)*$BW$23+
INDEX($A367:$BM367,,$BV$25)*$BW$25+
INDEX($A367:$BM367,,$BV$26)*$BW$26+
INDEX($A367:$BM367,,$BV$27)*$BW$27+
$BN367)),
$BN367-100)</f>
        <v>136.60366000000002</v>
      </c>
      <c r="BB367" t="str">
        <f t="shared" si="74"/>
        <v/>
      </c>
      <c r="BC367" t="str">
        <f t="shared" si="68"/>
        <v/>
      </c>
      <c r="BD367" s="430">
        <f>IFERROR(
IF(BB367="",-100,
IF($BV$2&gt;0, INDEX(Beersheet!$A:$U,MATCH(BB367,INDEX(Beersheet!$A:$U,0,FFARawStatProjections!$BV$2),0),$BV$3)+$BN367,
INDEX($A367:$BM367,,$BV$12)*$BW$12+
INDEX($A367:$BM367,,$BV$15)*$BW$15+
INDEX($A367:$BM367,,$BV$16)*$BW$16+
INDEX($A367:$BM367,,$BV$17)*$BW$17+
INDEX($A367:$BM367,,$BV$18)*$BW$18+
INDEX($A367:$BM367,,$BV$19)*$BW$19+
INDEX($A367:$BM367,,$BV$20)*$BW$20+
INDEX($A367:$BM367,,$BV$21)*$BW$21+
INDEX($A367:$BM367,,$BV$22)*$BW$22+
INDEX($A367:$BM367,,$BV$23)*$BW$23+
INDEX($A367:$BM367,,$BV$25)*$BW$25+
INDEX($A367:$BM367,,$BV$26)*$BW$26+
INDEX($A367:$BM367,,$BV$27)*$BW$27+
$BN367)),
$BN367-100)</f>
        <v>-100</v>
      </c>
      <c r="BF367" t="str">
        <f t="shared" si="75"/>
        <v/>
      </c>
      <c r="BG367" t="str">
        <f t="shared" si="76"/>
        <v/>
      </c>
      <c r="BH367">
        <f t="shared" si="77"/>
        <v>0</v>
      </c>
      <c r="BJ367" t="str">
        <f t="shared" si="78"/>
        <v/>
      </c>
      <c r="BL367">
        <f t="shared" si="80"/>
        <v>0</v>
      </c>
      <c r="BN367">
        <v>3.6600000000000001E-3</v>
      </c>
      <c r="BS367" s="4" t="s">
        <v>2072</v>
      </c>
    </row>
    <row r="368" spans="1:71" ht="15.75" thickBot="1" x14ac:dyDescent="0.3">
      <c r="A368" s="569" t="s">
        <v>2425</v>
      </c>
      <c r="B368" s="569" t="s">
        <v>1388</v>
      </c>
      <c r="C368" s="569" t="s">
        <v>6</v>
      </c>
      <c r="D368" s="574">
        <v>5</v>
      </c>
      <c r="E368" s="569"/>
      <c r="F368" s="569"/>
      <c r="G368" s="569"/>
      <c r="H368" s="569"/>
      <c r="I368" s="574">
        <v>0</v>
      </c>
      <c r="J368" s="574">
        <v>0</v>
      </c>
      <c r="K368" s="574">
        <v>0</v>
      </c>
      <c r="L368" s="574">
        <v>48.9</v>
      </c>
      <c r="M368" s="574">
        <v>3.9</v>
      </c>
      <c r="N368" s="574">
        <v>696.5</v>
      </c>
      <c r="O368" s="574">
        <v>2.5</v>
      </c>
      <c r="P368" s="574">
        <v>0.1</v>
      </c>
      <c r="Q368" s="574">
        <v>14</v>
      </c>
      <c r="R368" s="569"/>
      <c r="S368" s="569"/>
      <c r="T368" s="569"/>
      <c r="U368" s="569"/>
      <c r="V368" s="569"/>
      <c r="W368" s="569"/>
      <c r="X368" s="569"/>
      <c r="Y368" s="569"/>
      <c r="Z368" s="569"/>
      <c r="AA368" s="569"/>
      <c r="AB368" s="569"/>
      <c r="AC368" s="569"/>
      <c r="AD368" s="569"/>
      <c r="AE368" s="569"/>
      <c r="AF368" s="569"/>
      <c r="AG368" s="569"/>
      <c r="AH368" s="569"/>
      <c r="AI368" s="569"/>
      <c r="AJ368" s="569"/>
      <c r="AK368" s="569"/>
      <c r="AL368" s="569"/>
      <c r="AM368" s="569"/>
      <c r="AN368" s="574">
        <v>93.8</v>
      </c>
      <c r="AO368">
        <v>367</v>
      </c>
      <c r="AP368" t="str">
        <f t="shared" si="79"/>
        <v/>
      </c>
      <c r="AQ368" t="str">
        <f t="shared" si="69"/>
        <v/>
      </c>
      <c r="AR368" s="430">
        <f>IFERROR(
IF(AP368="",-100,
IF($BV$2&gt;0, INDEX(Beersheet!$A:$U,MATCH(AP368,INDEX(Beersheet!$A:$U,0,FFARawStatProjections!$BV$2),0),$BV$3)+$BN368,
INDEX($A368:$BM368,,$BV$12)*$BW$12+
INDEX($A368:$BM368,,$BV$15)*$BW$15+
INDEX($A368:$BM368,,$BV$16)*$BW$16+
INDEX($A368:$BM368,,$BV$17)*$BW$17+
INDEX($A368:$BM368,,$BV$18)*$BW$18+
INDEX($A368:$BM368,,$BV$19)*$BW$19+
INDEX($A368:$BM368,,$BV$20)*$BW$20+
INDEX($A368:$BM368,,$BV$21)*$BW$21+
INDEX($A368:$BM368,,$BV$22)*$BW$22+
INDEX($A368:$BM368,,$BV$23)*$BW$23+
INDEX($A368:$BM368,,$BV$25)*$BW$25+
INDEX($A368:$BM368,,$BV$26)*$BW$26+
INDEX($A368:$BM368,,$BV$27)*$BW$27+
$BN368)),
$BN368-100)</f>
        <v>-100</v>
      </c>
      <c r="AT368" t="str">
        <f t="shared" si="70"/>
        <v/>
      </c>
      <c r="AU368" t="str">
        <f t="shared" si="71"/>
        <v/>
      </c>
      <c r="AV368" s="430">
        <f>IFERROR(
IF(AT368="",-100,
IF($BV$2&gt;0, INDEX(Beersheet!$A:$U,MATCH(AT368,INDEX(Beersheet!$A:$U,0,FFARawStatProjections!$BV$2),0),$BV$3)+$BN368,
INDEX($A368:$BM368,,$BV$12)*$BW$12+
INDEX($A368:$BM368,,$BV$15)*$BW$15+
INDEX($A368:$BM368,,$BV$16)*$BW$16+
INDEX($A368:$BM368,,$BV$17)*$BW$17+
INDEX($A368:$BM368,,$BV$18)*$BW$18+
INDEX($A368:$BM368,,$BV$19)*$BW$19+
INDEX($A368:$BM368,,$BV$20)*$BW$20+
INDEX($A368:$BM368,,$BV$21)*$BW$21+
INDEX($A368:$BM368,,$BV$22)*$BW$22+
INDEX($A368:$BM368,,$BV$23)*$BW$23+
INDEX($A368:$BM368,,$BV$25)*$BW$25+
INDEX($A368:$BM368,,$BV$26)*$BW$26+
INDEX($A368:$BM368,,$BV$27)*$BW$27+
$BN368)),
$BN368-100)</f>
        <v>-100</v>
      </c>
      <c r="AX368" t="str">
        <f t="shared" si="72"/>
        <v>Quentin Johnston</v>
      </c>
      <c r="AY368" t="str">
        <f t="shared" si="73"/>
        <v>LAC</v>
      </c>
      <c r="AZ368" s="430">
        <f>IFERROR(
IF(AX368="",-100,
IF($BV$2&gt;0, INDEX(Beersheet!$A:$U,MATCH(AX368,INDEX(Beersheet!$A:$U,0,FFARawStatProjections!$BV$2),0),$BV$3)+$BN368,
INDEX($A368:$BM368,,$BV$12)*$BW$12+
INDEX($A368:$BM368,,$BV$15)*$BW$15+
INDEX($A368:$BM368,,$BV$16)*$BW$16+
INDEX($A368:$BM368,,$BV$17)*$BW$17+
INDEX($A368:$BM368,,$BV$18)*$BW$18+
INDEX($A368:$BM368,,$BV$19)*$BW$19+
INDEX($A368:$BM368,,$BV$20)*$BW$20+
INDEX($A368:$BM368,,$BV$21)*$BW$21+
INDEX($A368:$BM368,,$BV$22)*$BW$22+
INDEX($A368:$BM368,,$BV$23)*$BW$23+
INDEX($A368:$BM368,,$BV$25)*$BW$25+
INDEX($A368:$BM368,,$BV$26)*$BW$26+
INDEX($A368:$BM368,,$BV$27)*$BW$27+
$BN368)),
$BN368-100)</f>
        <v>143.95366999999999</v>
      </c>
      <c r="BB368" t="str">
        <f t="shared" si="74"/>
        <v/>
      </c>
      <c r="BC368" t="str">
        <f t="shared" si="68"/>
        <v/>
      </c>
      <c r="BD368" s="430">
        <f>IFERROR(
IF(BB368="",-100,
IF($BV$2&gt;0, INDEX(Beersheet!$A:$U,MATCH(BB368,INDEX(Beersheet!$A:$U,0,FFARawStatProjections!$BV$2),0),$BV$3)+$BN368,
INDEX($A368:$BM368,,$BV$12)*$BW$12+
INDEX($A368:$BM368,,$BV$15)*$BW$15+
INDEX($A368:$BM368,,$BV$16)*$BW$16+
INDEX($A368:$BM368,,$BV$17)*$BW$17+
INDEX($A368:$BM368,,$BV$18)*$BW$18+
INDEX($A368:$BM368,,$BV$19)*$BW$19+
INDEX($A368:$BM368,,$BV$20)*$BW$20+
INDEX($A368:$BM368,,$BV$21)*$BW$21+
INDEX($A368:$BM368,,$BV$22)*$BW$22+
INDEX($A368:$BM368,,$BV$23)*$BW$23+
INDEX($A368:$BM368,,$BV$25)*$BW$25+
INDEX($A368:$BM368,,$BV$26)*$BW$26+
INDEX($A368:$BM368,,$BV$27)*$BW$27+
$BN368)),
$BN368-100)</f>
        <v>-100</v>
      </c>
      <c r="BF368" t="str">
        <f t="shared" si="75"/>
        <v/>
      </c>
      <c r="BG368" t="str">
        <f t="shared" si="76"/>
        <v/>
      </c>
      <c r="BH368">
        <f t="shared" si="77"/>
        <v>0</v>
      </c>
      <c r="BJ368" t="str">
        <f t="shared" si="78"/>
        <v/>
      </c>
      <c r="BL368">
        <f t="shared" si="80"/>
        <v>0</v>
      </c>
      <c r="BN368">
        <v>3.6700000000000001E-3</v>
      </c>
      <c r="BS368" s="4" t="s">
        <v>2249</v>
      </c>
    </row>
    <row r="369" spans="1:71" ht="15.75" thickBot="1" x14ac:dyDescent="0.3">
      <c r="A369" s="569" t="s">
        <v>1788</v>
      </c>
      <c r="B369" s="569" t="s">
        <v>146</v>
      </c>
      <c r="C369" s="569" t="s">
        <v>6</v>
      </c>
      <c r="D369" s="574">
        <v>7</v>
      </c>
      <c r="E369" s="569"/>
      <c r="F369" s="569"/>
      <c r="G369" s="569"/>
      <c r="H369" s="569"/>
      <c r="I369" s="574">
        <v>0</v>
      </c>
      <c r="J369" s="574">
        <v>0</v>
      </c>
      <c r="K369" s="574">
        <v>0</v>
      </c>
      <c r="L369" s="574">
        <v>49.8</v>
      </c>
      <c r="M369" s="574">
        <v>4.5999999999999996</v>
      </c>
      <c r="N369" s="574">
        <v>658.8</v>
      </c>
      <c r="O369" s="574">
        <v>0</v>
      </c>
      <c r="P369" s="574">
        <v>0</v>
      </c>
      <c r="Q369" s="574">
        <v>0.2</v>
      </c>
      <c r="R369" s="569"/>
      <c r="S369" s="569"/>
      <c r="T369" s="569"/>
      <c r="U369" s="569"/>
      <c r="V369" s="569"/>
      <c r="W369" s="569"/>
      <c r="X369" s="569"/>
      <c r="Y369" s="569"/>
      <c r="Z369" s="569"/>
      <c r="AA369" s="569"/>
      <c r="AB369" s="569"/>
      <c r="AC369" s="569"/>
      <c r="AD369" s="569"/>
      <c r="AE369" s="569"/>
      <c r="AF369" s="569"/>
      <c r="AG369" s="569"/>
      <c r="AH369" s="569"/>
      <c r="AI369" s="569"/>
      <c r="AJ369" s="569"/>
      <c r="AK369" s="569"/>
      <c r="AL369" s="569"/>
      <c r="AM369" s="569"/>
      <c r="AN369" s="574">
        <v>93.1</v>
      </c>
      <c r="AO369">
        <v>368</v>
      </c>
      <c r="AP369" t="str">
        <f t="shared" si="79"/>
        <v/>
      </c>
      <c r="AQ369" t="str">
        <f t="shared" si="69"/>
        <v/>
      </c>
      <c r="AR369" s="430">
        <f>IFERROR(
IF(AP369="",-100,
IF($BV$2&gt;0, INDEX(Beersheet!$A:$U,MATCH(AP369,INDEX(Beersheet!$A:$U,0,FFARawStatProjections!$BV$2),0),$BV$3)+$BN369,
INDEX($A369:$BM369,,$BV$12)*$BW$12+
INDEX($A369:$BM369,,$BV$15)*$BW$15+
INDEX($A369:$BM369,,$BV$16)*$BW$16+
INDEX($A369:$BM369,,$BV$17)*$BW$17+
INDEX($A369:$BM369,,$BV$18)*$BW$18+
INDEX($A369:$BM369,,$BV$19)*$BW$19+
INDEX($A369:$BM369,,$BV$20)*$BW$20+
INDEX($A369:$BM369,,$BV$21)*$BW$21+
INDEX($A369:$BM369,,$BV$22)*$BW$22+
INDEX($A369:$BM369,,$BV$23)*$BW$23+
INDEX($A369:$BM369,,$BV$25)*$BW$25+
INDEX($A369:$BM369,,$BV$26)*$BW$26+
INDEX($A369:$BM369,,$BV$27)*$BW$27+
$BN369)),
$BN369-100)</f>
        <v>-100</v>
      </c>
      <c r="AT369" t="str">
        <f t="shared" si="70"/>
        <v/>
      </c>
      <c r="AU369" t="str">
        <f t="shared" si="71"/>
        <v/>
      </c>
      <c r="AV369" s="430">
        <f>IFERROR(
IF(AT369="",-100,
IF($BV$2&gt;0, INDEX(Beersheet!$A:$U,MATCH(AT369,INDEX(Beersheet!$A:$U,0,FFARawStatProjections!$BV$2),0),$BV$3)+$BN369,
INDEX($A369:$BM369,,$BV$12)*$BW$12+
INDEX($A369:$BM369,,$BV$15)*$BW$15+
INDEX($A369:$BM369,,$BV$16)*$BW$16+
INDEX($A369:$BM369,,$BV$17)*$BW$17+
INDEX($A369:$BM369,,$BV$18)*$BW$18+
INDEX($A369:$BM369,,$BV$19)*$BW$19+
INDEX($A369:$BM369,,$BV$20)*$BW$20+
INDEX($A369:$BM369,,$BV$21)*$BW$21+
INDEX($A369:$BM369,,$BV$22)*$BW$22+
INDEX($A369:$BM369,,$BV$23)*$BW$23+
INDEX($A369:$BM369,,$BV$25)*$BW$25+
INDEX($A369:$BM369,,$BV$26)*$BW$26+
INDEX($A369:$BM369,,$BV$27)*$BW$27+
$BN369)),
$BN369-100)</f>
        <v>-100</v>
      </c>
      <c r="AX369" t="str">
        <f t="shared" si="72"/>
        <v>Michael Gallup</v>
      </c>
      <c r="AY369" t="str">
        <f t="shared" si="73"/>
        <v>DAL</v>
      </c>
      <c r="AZ369" s="430">
        <f>IFERROR(
IF(AX369="",-100,
IF($BV$2&gt;0, INDEX(Beersheet!$A:$U,MATCH(AX369,INDEX(Beersheet!$A:$U,0,FFARawStatProjections!$BV$2),0),$BV$3)+$BN369,
INDEX($A369:$BM369,,$BV$12)*$BW$12+
INDEX($A369:$BM369,,$BV$15)*$BW$15+
INDEX($A369:$BM369,,$BV$16)*$BW$16+
INDEX($A369:$BM369,,$BV$17)*$BW$17+
INDEX($A369:$BM369,,$BV$18)*$BW$18+
INDEX($A369:$BM369,,$BV$19)*$BW$19+
INDEX($A369:$BM369,,$BV$20)*$BW$20+
INDEX($A369:$BM369,,$BV$21)*$BW$21+
INDEX($A369:$BM369,,$BV$22)*$BW$22+
INDEX($A369:$BM369,,$BV$23)*$BW$23+
INDEX($A369:$BM369,,$BV$25)*$BW$25+
INDEX($A369:$BM369,,$BV$26)*$BW$26+
INDEX($A369:$BM369,,$BV$27)*$BW$27+
$BN369)),
$BN369-100)</f>
        <v>143.30367999999999</v>
      </c>
      <c r="BB369" t="str">
        <f t="shared" si="74"/>
        <v/>
      </c>
      <c r="BC369" t="str">
        <f t="shared" si="68"/>
        <v/>
      </c>
      <c r="BD369" s="430">
        <f>IFERROR(
IF(BB369="",-100,
IF($BV$2&gt;0, INDEX(Beersheet!$A:$U,MATCH(BB369,INDEX(Beersheet!$A:$U,0,FFARawStatProjections!$BV$2),0),$BV$3)+$BN369,
INDEX($A369:$BM369,,$BV$12)*$BW$12+
INDEX($A369:$BM369,,$BV$15)*$BW$15+
INDEX($A369:$BM369,,$BV$16)*$BW$16+
INDEX($A369:$BM369,,$BV$17)*$BW$17+
INDEX($A369:$BM369,,$BV$18)*$BW$18+
INDEX($A369:$BM369,,$BV$19)*$BW$19+
INDEX($A369:$BM369,,$BV$20)*$BW$20+
INDEX($A369:$BM369,,$BV$21)*$BW$21+
INDEX($A369:$BM369,,$BV$22)*$BW$22+
INDEX($A369:$BM369,,$BV$23)*$BW$23+
INDEX($A369:$BM369,,$BV$25)*$BW$25+
INDEX($A369:$BM369,,$BV$26)*$BW$26+
INDEX($A369:$BM369,,$BV$27)*$BW$27+
$BN369)),
$BN369-100)</f>
        <v>-100</v>
      </c>
      <c r="BF369" t="str">
        <f t="shared" si="75"/>
        <v/>
      </c>
      <c r="BG369" t="str">
        <f t="shared" si="76"/>
        <v/>
      </c>
      <c r="BH369">
        <f t="shared" si="77"/>
        <v>0</v>
      </c>
      <c r="BJ369" t="str">
        <f t="shared" si="78"/>
        <v/>
      </c>
      <c r="BL369">
        <f t="shared" si="80"/>
        <v>0</v>
      </c>
      <c r="BN369">
        <v>3.6800000000000001E-3</v>
      </c>
      <c r="BS369" s="4" t="s">
        <v>1778</v>
      </c>
    </row>
    <row r="370" spans="1:71" ht="15.75" thickBot="1" x14ac:dyDescent="0.3">
      <c r="A370" s="569" t="s">
        <v>2064</v>
      </c>
      <c r="B370" s="569" t="s">
        <v>164</v>
      </c>
      <c r="C370" s="569" t="s">
        <v>6</v>
      </c>
      <c r="D370" s="574">
        <v>7</v>
      </c>
      <c r="E370" s="569"/>
      <c r="F370" s="569"/>
      <c r="G370" s="569"/>
      <c r="H370" s="569"/>
      <c r="I370" s="574">
        <v>0</v>
      </c>
      <c r="J370" s="574">
        <v>0</v>
      </c>
      <c r="K370" s="574">
        <v>0</v>
      </c>
      <c r="L370" s="574">
        <v>50.7</v>
      </c>
      <c r="M370" s="574">
        <v>4.5</v>
      </c>
      <c r="N370" s="574">
        <v>646.1</v>
      </c>
      <c r="O370" s="574">
        <v>2.1</v>
      </c>
      <c r="P370" s="574">
        <v>0</v>
      </c>
      <c r="Q370" s="574">
        <v>12.6</v>
      </c>
      <c r="R370" s="569"/>
      <c r="S370" s="569"/>
      <c r="T370" s="569"/>
      <c r="U370" s="569"/>
      <c r="V370" s="569"/>
      <c r="W370" s="569"/>
      <c r="X370" s="569"/>
      <c r="Y370" s="569"/>
      <c r="Z370" s="569"/>
      <c r="AA370" s="569"/>
      <c r="AB370" s="569"/>
      <c r="AC370" s="569"/>
      <c r="AD370" s="569"/>
      <c r="AE370" s="569"/>
      <c r="AF370" s="569"/>
      <c r="AG370" s="569"/>
      <c r="AH370" s="569"/>
      <c r="AI370" s="569"/>
      <c r="AJ370" s="569"/>
      <c r="AK370" s="569"/>
      <c r="AL370" s="569"/>
      <c r="AM370" s="569"/>
      <c r="AN370" s="574">
        <v>92.8</v>
      </c>
      <c r="AO370">
        <v>369</v>
      </c>
      <c r="AP370" t="str">
        <f t="shared" si="79"/>
        <v/>
      </c>
      <c r="AQ370" t="str">
        <f t="shared" si="69"/>
        <v/>
      </c>
      <c r="AR370" s="430">
        <f>IFERROR(
IF(AP370="",-100,
IF($BV$2&gt;0, INDEX(Beersheet!$A:$U,MATCH(AP370,INDEX(Beersheet!$A:$U,0,FFARawStatProjections!$BV$2),0),$BV$3)+$BN370,
INDEX($A370:$BM370,,$BV$12)*$BW$12+
INDEX($A370:$BM370,,$BV$15)*$BW$15+
INDEX($A370:$BM370,,$BV$16)*$BW$16+
INDEX($A370:$BM370,,$BV$17)*$BW$17+
INDEX($A370:$BM370,,$BV$18)*$BW$18+
INDEX($A370:$BM370,,$BV$19)*$BW$19+
INDEX($A370:$BM370,,$BV$20)*$BW$20+
INDEX($A370:$BM370,,$BV$21)*$BW$21+
INDEX($A370:$BM370,,$BV$22)*$BW$22+
INDEX($A370:$BM370,,$BV$23)*$BW$23+
INDEX($A370:$BM370,,$BV$25)*$BW$25+
INDEX($A370:$BM370,,$BV$26)*$BW$26+
INDEX($A370:$BM370,,$BV$27)*$BW$27+
$BN370)),
$BN370-100)</f>
        <v>-100</v>
      </c>
      <c r="AT370" t="str">
        <f t="shared" si="70"/>
        <v/>
      </c>
      <c r="AU370" t="str">
        <f t="shared" si="71"/>
        <v/>
      </c>
      <c r="AV370" s="430">
        <f>IFERROR(
IF(AT370="",-100,
IF($BV$2&gt;0, INDEX(Beersheet!$A:$U,MATCH(AT370,INDEX(Beersheet!$A:$U,0,FFARawStatProjections!$BV$2),0),$BV$3)+$BN370,
INDEX($A370:$BM370,,$BV$12)*$BW$12+
INDEX($A370:$BM370,,$BV$15)*$BW$15+
INDEX($A370:$BM370,,$BV$16)*$BW$16+
INDEX($A370:$BM370,,$BV$17)*$BW$17+
INDEX($A370:$BM370,,$BV$18)*$BW$18+
INDEX($A370:$BM370,,$BV$19)*$BW$19+
INDEX($A370:$BM370,,$BV$20)*$BW$20+
INDEX($A370:$BM370,,$BV$21)*$BW$21+
INDEX($A370:$BM370,,$BV$22)*$BW$22+
INDEX($A370:$BM370,,$BV$23)*$BW$23+
INDEX($A370:$BM370,,$BV$25)*$BW$25+
INDEX($A370:$BM370,,$BV$26)*$BW$26+
INDEX($A370:$BM370,,$BV$27)*$BW$27+
$BN370)),
$BN370-100)</f>
        <v>-100</v>
      </c>
      <c r="AX370" t="str">
        <f t="shared" si="72"/>
        <v>Allen Lazard</v>
      </c>
      <c r="AY370" t="str">
        <f t="shared" si="73"/>
        <v>NYJ</v>
      </c>
      <c r="AZ370" s="430">
        <f>IFERROR(
IF(AX370="",-100,
IF($BV$2&gt;0, INDEX(Beersheet!$A:$U,MATCH(AX370,INDEX(Beersheet!$A:$U,0,FFARawStatProjections!$BV$2),0),$BV$3)+$BN370,
INDEX($A370:$BM370,,$BV$12)*$BW$12+
INDEX($A370:$BM370,,$BV$15)*$BW$15+
INDEX($A370:$BM370,,$BV$16)*$BW$16+
INDEX($A370:$BM370,,$BV$17)*$BW$17+
INDEX($A370:$BM370,,$BV$18)*$BW$18+
INDEX($A370:$BM370,,$BV$19)*$BW$19+
INDEX($A370:$BM370,,$BV$20)*$BW$20+
INDEX($A370:$BM370,,$BV$21)*$BW$21+
INDEX($A370:$BM370,,$BV$22)*$BW$22+
INDEX($A370:$BM370,,$BV$23)*$BW$23+
INDEX($A370:$BM370,,$BV$25)*$BW$25+
INDEX($A370:$BM370,,$BV$26)*$BW$26+
INDEX($A370:$BM370,,$BV$27)*$BW$27+
$BN370)),
$BN370-100)</f>
        <v>143.57369</v>
      </c>
      <c r="BB370" t="str">
        <f t="shared" si="74"/>
        <v/>
      </c>
      <c r="BC370" t="str">
        <f t="shared" si="68"/>
        <v/>
      </c>
      <c r="BD370" s="430">
        <f>IFERROR(
IF(BB370="",-100,
IF($BV$2&gt;0, INDEX(Beersheet!$A:$U,MATCH(BB370,INDEX(Beersheet!$A:$U,0,FFARawStatProjections!$BV$2),0),$BV$3)+$BN370,
INDEX($A370:$BM370,,$BV$12)*$BW$12+
INDEX($A370:$BM370,,$BV$15)*$BW$15+
INDEX($A370:$BM370,,$BV$16)*$BW$16+
INDEX($A370:$BM370,,$BV$17)*$BW$17+
INDEX($A370:$BM370,,$BV$18)*$BW$18+
INDEX($A370:$BM370,,$BV$19)*$BW$19+
INDEX($A370:$BM370,,$BV$20)*$BW$20+
INDEX($A370:$BM370,,$BV$21)*$BW$21+
INDEX($A370:$BM370,,$BV$22)*$BW$22+
INDEX($A370:$BM370,,$BV$23)*$BW$23+
INDEX($A370:$BM370,,$BV$25)*$BW$25+
INDEX($A370:$BM370,,$BV$26)*$BW$26+
INDEX($A370:$BM370,,$BV$27)*$BW$27+
$BN370)),
$BN370-100)</f>
        <v>-100</v>
      </c>
      <c r="BF370" t="str">
        <f t="shared" si="75"/>
        <v/>
      </c>
      <c r="BG370" t="str">
        <f t="shared" si="76"/>
        <v/>
      </c>
      <c r="BH370">
        <f t="shared" si="77"/>
        <v>0</v>
      </c>
      <c r="BJ370" t="str">
        <f t="shared" si="78"/>
        <v/>
      </c>
      <c r="BL370">
        <f t="shared" si="80"/>
        <v>0</v>
      </c>
      <c r="BN370">
        <v>3.6900000000000001E-3</v>
      </c>
      <c r="BS370" s="4" t="s">
        <v>2330</v>
      </c>
    </row>
    <row r="371" spans="1:71" ht="15.75" thickBot="1" x14ac:dyDescent="0.3">
      <c r="A371" s="569" t="s">
        <v>2128</v>
      </c>
      <c r="B371" s="569" t="s">
        <v>141</v>
      </c>
      <c r="C371" s="569" t="s">
        <v>6</v>
      </c>
      <c r="D371" s="574">
        <v>13</v>
      </c>
      <c r="E371" s="569"/>
      <c r="F371" s="569"/>
      <c r="G371" s="569"/>
      <c r="H371" s="569"/>
      <c r="I371" s="574">
        <v>0</v>
      </c>
      <c r="J371" s="574">
        <v>0</v>
      </c>
      <c r="K371" s="574">
        <v>0</v>
      </c>
      <c r="L371" s="574">
        <v>52.4</v>
      </c>
      <c r="M371" s="574">
        <v>4</v>
      </c>
      <c r="N371" s="574">
        <v>668.8</v>
      </c>
      <c r="O371" s="574">
        <v>2</v>
      </c>
      <c r="P371" s="574">
        <v>0.1</v>
      </c>
      <c r="Q371" s="574">
        <v>10</v>
      </c>
      <c r="R371" s="569"/>
      <c r="S371" s="569"/>
      <c r="T371" s="569"/>
      <c r="U371" s="569"/>
      <c r="V371" s="569"/>
      <c r="W371" s="569"/>
      <c r="X371" s="569"/>
      <c r="Y371" s="569"/>
      <c r="Z371" s="569"/>
      <c r="AA371" s="569"/>
      <c r="AB371" s="569"/>
      <c r="AC371" s="569"/>
      <c r="AD371" s="569"/>
      <c r="AE371" s="569"/>
      <c r="AF371" s="569"/>
      <c r="AG371" s="569"/>
      <c r="AH371" s="569"/>
      <c r="AI371" s="569"/>
      <c r="AJ371" s="569"/>
      <c r="AK371" s="569"/>
      <c r="AL371" s="569"/>
      <c r="AM371" s="569"/>
      <c r="AN371" s="574">
        <v>92.2</v>
      </c>
      <c r="AO371">
        <v>370</v>
      </c>
      <c r="AP371" t="str">
        <f t="shared" si="79"/>
        <v/>
      </c>
      <c r="AQ371" t="str">
        <f t="shared" si="69"/>
        <v/>
      </c>
      <c r="AR371" s="430">
        <f>IFERROR(
IF(AP371="",-100,
IF($BV$2&gt;0, INDEX(Beersheet!$A:$U,MATCH(AP371,INDEX(Beersheet!$A:$U,0,FFARawStatProjections!$BV$2),0),$BV$3)+$BN371,
INDEX($A371:$BM371,,$BV$12)*$BW$12+
INDEX($A371:$BM371,,$BV$15)*$BW$15+
INDEX($A371:$BM371,,$BV$16)*$BW$16+
INDEX($A371:$BM371,,$BV$17)*$BW$17+
INDEX($A371:$BM371,,$BV$18)*$BW$18+
INDEX($A371:$BM371,,$BV$19)*$BW$19+
INDEX($A371:$BM371,,$BV$20)*$BW$20+
INDEX($A371:$BM371,,$BV$21)*$BW$21+
INDEX($A371:$BM371,,$BV$22)*$BW$22+
INDEX($A371:$BM371,,$BV$23)*$BW$23+
INDEX($A371:$BM371,,$BV$25)*$BW$25+
INDEX($A371:$BM371,,$BV$26)*$BW$26+
INDEX($A371:$BM371,,$BV$27)*$BW$27+
$BN371)),
$BN371-100)</f>
        <v>-100</v>
      </c>
      <c r="AT371" t="str">
        <f t="shared" si="70"/>
        <v/>
      </c>
      <c r="AU371" t="str">
        <f t="shared" si="71"/>
        <v/>
      </c>
      <c r="AV371" s="430">
        <f>IFERROR(
IF(AT371="",-100,
IF($BV$2&gt;0, INDEX(Beersheet!$A:$U,MATCH(AT371,INDEX(Beersheet!$A:$U,0,FFARawStatProjections!$BV$2),0),$BV$3)+$BN371,
INDEX($A371:$BM371,,$BV$12)*$BW$12+
INDEX($A371:$BM371,,$BV$15)*$BW$15+
INDEX($A371:$BM371,,$BV$16)*$BW$16+
INDEX($A371:$BM371,,$BV$17)*$BW$17+
INDEX($A371:$BM371,,$BV$18)*$BW$18+
INDEX($A371:$BM371,,$BV$19)*$BW$19+
INDEX($A371:$BM371,,$BV$20)*$BW$20+
INDEX($A371:$BM371,,$BV$21)*$BW$21+
INDEX($A371:$BM371,,$BV$22)*$BW$22+
INDEX($A371:$BM371,,$BV$23)*$BW$23+
INDEX($A371:$BM371,,$BV$25)*$BW$25+
INDEX($A371:$BM371,,$BV$26)*$BW$26+
INDEX($A371:$BM371,,$BV$27)*$BW$27+
$BN371)),
$BN371-100)</f>
        <v>-100</v>
      </c>
      <c r="AX371" t="str">
        <f t="shared" si="72"/>
        <v>Darnell Mooney</v>
      </c>
      <c r="AY371" t="str">
        <f t="shared" si="73"/>
        <v>CHI</v>
      </c>
      <c r="AZ371" s="430">
        <f>IFERROR(
IF(AX371="",-100,
IF($BV$2&gt;0, INDEX(Beersheet!$A:$U,MATCH(AX371,INDEX(Beersheet!$A:$U,0,FFARawStatProjections!$BV$2),0),$BV$3)+$BN371,
INDEX($A371:$BM371,,$BV$12)*$BW$12+
INDEX($A371:$BM371,,$BV$15)*$BW$15+
INDEX($A371:$BM371,,$BV$16)*$BW$16+
INDEX($A371:$BM371,,$BV$17)*$BW$17+
INDEX($A371:$BM371,,$BV$18)*$BW$18+
INDEX($A371:$BM371,,$BV$19)*$BW$19+
INDEX($A371:$BM371,,$BV$20)*$BW$20+
INDEX($A371:$BM371,,$BV$21)*$BW$21+
INDEX($A371:$BM371,,$BV$22)*$BW$22+
INDEX($A371:$BM371,,$BV$23)*$BW$23+
INDEX($A371:$BM371,,$BV$25)*$BW$25+
INDEX($A371:$BM371,,$BV$26)*$BW$26+
INDEX($A371:$BM371,,$BV$27)*$BW$27+
$BN371)),
$BN371-100)</f>
        <v>144.8837</v>
      </c>
      <c r="BB371" t="str">
        <f t="shared" si="74"/>
        <v/>
      </c>
      <c r="BC371" t="str">
        <f t="shared" si="68"/>
        <v/>
      </c>
      <c r="BD371" s="430">
        <f>IFERROR(
IF(BB371="",-100,
IF($BV$2&gt;0, INDEX(Beersheet!$A:$U,MATCH(BB371,INDEX(Beersheet!$A:$U,0,FFARawStatProjections!$BV$2),0),$BV$3)+$BN371,
INDEX($A371:$BM371,,$BV$12)*$BW$12+
INDEX($A371:$BM371,,$BV$15)*$BW$15+
INDEX($A371:$BM371,,$BV$16)*$BW$16+
INDEX($A371:$BM371,,$BV$17)*$BW$17+
INDEX($A371:$BM371,,$BV$18)*$BW$18+
INDEX($A371:$BM371,,$BV$19)*$BW$19+
INDEX($A371:$BM371,,$BV$20)*$BW$20+
INDEX($A371:$BM371,,$BV$21)*$BW$21+
INDEX($A371:$BM371,,$BV$22)*$BW$22+
INDEX($A371:$BM371,,$BV$23)*$BW$23+
INDEX($A371:$BM371,,$BV$25)*$BW$25+
INDEX($A371:$BM371,,$BV$26)*$BW$26+
INDEX($A371:$BM371,,$BV$27)*$BW$27+
$BN371)),
$BN371-100)</f>
        <v>-100</v>
      </c>
      <c r="BF371" t="str">
        <f t="shared" si="75"/>
        <v/>
      </c>
      <c r="BG371" t="str">
        <f t="shared" si="76"/>
        <v/>
      </c>
      <c r="BH371">
        <f t="shared" si="77"/>
        <v>0</v>
      </c>
      <c r="BJ371" t="str">
        <f t="shared" si="78"/>
        <v/>
      </c>
      <c r="BL371">
        <f t="shared" si="80"/>
        <v>0</v>
      </c>
      <c r="BN371">
        <v>3.7000000000000002E-3</v>
      </c>
      <c r="BS371" s="4" t="s">
        <v>2248</v>
      </c>
    </row>
    <row r="372" spans="1:71" ht="15.75" thickBot="1" x14ac:dyDescent="0.3">
      <c r="A372" s="569" t="s">
        <v>1413</v>
      </c>
      <c r="B372" s="569" t="s">
        <v>165</v>
      </c>
      <c r="C372" s="569" t="s">
        <v>6</v>
      </c>
      <c r="D372" s="574">
        <v>9</v>
      </c>
      <c r="E372" s="569"/>
      <c r="F372" s="569"/>
      <c r="G372" s="569"/>
      <c r="H372" s="569"/>
      <c r="I372" s="574">
        <v>0</v>
      </c>
      <c r="J372" s="574">
        <v>0</v>
      </c>
      <c r="K372" s="574">
        <v>0</v>
      </c>
      <c r="L372" s="574">
        <v>60.3</v>
      </c>
      <c r="M372" s="574">
        <v>3.9</v>
      </c>
      <c r="N372" s="574">
        <v>660.6</v>
      </c>
      <c r="O372" s="574">
        <v>1.9</v>
      </c>
      <c r="P372" s="574">
        <v>0</v>
      </c>
      <c r="Q372" s="574">
        <v>8.4</v>
      </c>
      <c r="R372" s="569"/>
      <c r="S372" s="569"/>
      <c r="T372" s="569"/>
      <c r="U372" s="569"/>
      <c r="V372" s="569"/>
      <c r="W372" s="569"/>
      <c r="X372" s="569"/>
      <c r="Y372" s="569"/>
      <c r="Z372" s="569"/>
      <c r="AA372" s="569"/>
      <c r="AB372" s="569"/>
      <c r="AC372" s="569"/>
      <c r="AD372" s="569"/>
      <c r="AE372" s="569"/>
      <c r="AF372" s="569"/>
      <c r="AG372" s="569"/>
      <c r="AH372" s="569"/>
      <c r="AI372" s="569"/>
      <c r="AJ372" s="569"/>
      <c r="AK372" s="569"/>
      <c r="AL372" s="569"/>
      <c r="AM372" s="569"/>
      <c r="AN372" s="574">
        <v>90</v>
      </c>
      <c r="AO372">
        <v>371</v>
      </c>
      <c r="AP372" t="str">
        <f t="shared" si="79"/>
        <v/>
      </c>
      <c r="AQ372" t="str">
        <f t="shared" si="69"/>
        <v/>
      </c>
      <c r="AR372" s="430">
        <f>IFERROR(
IF(AP372="",-100,
IF($BV$2&gt;0, INDEX(Beersheet!$A:$U,MATCH(AP372,INDEX(Beersheet!$A:$U,0,FFARawStatProjections!$BV$2),0),$BV$3)+$BN372,
INDEX($A372:$BM372,,$BV$12)*$BW$12+
INDEX($A372:$BM372,,$BV$15)*$BW$15+
INDEX($A372:$BM372,,$BV$16)*$BW$16+
INDEX($A372:$BM372,,$BV$17)*$BW$17+
INDEX($A372:$BM372,,$BV$18)*$BW$18+
INDEX($A372:$BM372,,$BV$19)*$BW$19+
INDEX($A372:$BM372,,$BV$20)*$BW$20+
INDEX($A372:$BM372,,$BV$21)*$BW$21+
INDEX($A372:$BM372,,$BV$22)*$BW$22+
INDEX($A372:$BM372,,$BV$23)*$BW$23+
INDEX($A372:$BM372,,$BV$25)*$BW$25+
INDEX($A372:$BM372,,$BV$26)*$BW$26+
INDEX($A372:$BM372,,$BV$27)*$BW$27+
$BN372)),
$BN372-100)</f>
        <v>-100</v>
      </c>
      <c r="AT372" t="str">
        <f t="shared" si="70"/>
        <v/>
      </c>
      <c r="AU372" t="str">
        <f t="shared" si="71"/>
        <v/>
      </c>
      <c r="AV372" s="430">
        <f>IFERROR(
IF(AT372="",-100,
IF($BV$2&gt;0, INDEX(Beersheet!$A:$U,MATCH(AT372,INDEX(Beersheet!$A:$U,0,FFARawStatProjections!$BV$2),0),$BV$3)+$BN372,
INDEX($A372:$BM372,,$BV$12)*$BW$12+
INDEX($A372:$BM372,,$BV$15)*$BW$15+
INDEX($A372:$BM372,,$BV$16)*$BW$16+
INDEX($A372:$BM372,,$BV$17)*$BW$17+
INDEX($A372:$BM372,,$BV$18)*$BW$18+
INDEX($A372:$BM372,,$BV$19)*$BW$19+
INDEX($A372:$BM372,,$BV$20)*$BW$20+
INDEX($A372:$BM372,,$BV$21)*$BW$21+
INDEX($A372:$BM372,,$BV$22)*$BW$22+
INDEX($A372:$BM372,,$BV$23)*$BW$23+
INDEX($A372:$BM372,,$BV$25)*$BW$25+
INDEX($A372:$BM372,,$BV$26)*$BW$26+
INDEX($A372:$BM372,,$BV$27)*$BW$27+
$BN372)),
$BN372-100)</f>
        <v>-100</v>
      </c>
      <c r="AX372" t="str">
        <f t="shared" si="72"/>
        <v>Zay Jones</v>
      </c>
      <c r="AY372" t="str">
        <f t="shared" si="73"/>
        <v>JAC</v>
      </c>
      <c r="AZ372" s="430">
        <f>IFERROR(
IF(AX372="",-100,
IF($BV$2&gt;0, INDEX(Beersheet!$A:$U,MATCH(AX372,INDEX(Beersheet!$A:$U,0,FFARawStatProjections!$BV$2),0),$BV$3)+$BN372,
INDEX($A372:$BM372,,$BV$12)*$BW$12+
INDEX($A372:$BM372,,$BV$15)*$BW$15+
INDEX($A372:$BM372,,$BV$16)*$BW$16+
INDEX($A372:$BM372,,$BV$17)*$BW$17+
INDEX($A372:$BM372,,$BV$18)*$BW$18+
INDEX($A372:$BM372,,$BV$19)*$BW$19+
INDEX($A372:$BM372,,$BV$20)*$BW$20+
INDEX($A372:$BM372,,$BV$21)*$BW$21+
INDEX($A372:$BM372,,$BV$22)*$BW$22+
INDEX($A372:$BM372,,$BV$23)*$BW$23+
INDEX($A372:$BM372,,$BV$25)*$BW$25+
INDEX($A372:$BM372,,$BV$26)*$BW$26+
INDEX($A372:$BM372,,$BV$27)*$BW$27+
$BN372)),
$BN372-100)</f>
        <v>150.60371000000001</v>
      </c>
      <c r="BB372" t="str">
        <f t="shared" si="74"/>
        <v/>
      </c>
      <c r="BC372" t="str">
        <f t="shared" si="68"/>
        <v/>
      </c>
      <c r="BD372" s="430">
        <f>IFERROR(
IF(BB372="",-100,
IF($BV$2&gt;0, INDEX(Beersheet!$A:$U,MATCH(BB372,INDEX(Beersheet!$A:$U,0,FFARawStatProjections!$BV$2),0),$BV$3)+$BN372,
INDEX($A372:$BM372,,$BV$12)*$BW$12+
INDEX($A372:$BM372,,$BV$15)*$BW$15+
INDEX($A372:$BM372,,$BV$16)*$BW$16+
INDEX($A372:$BM372,,$BV$17)*$BW$17+
INDEX($A372:$BM372,,$BV$18)*$BW$18+
INDEX($A372:$BM372,,$BV$19)*$BW$19+
INDEX($A372:$BM372,,$BV$20)*$BW$20+
INDEX($A372:$BM372,,$BV$21)*$BW$21+
INDEX($A372:$BM372,,$BV$22)*$BW$22+
INDEX($A372:$BM372,,$BV$23)*$BW$23+
INDEX($A372:$BM372,,$BV$25)*$BW$25+
INDEX($A372:$BM372,,$BV$26)*$BW$26+
INDEX($A372:$BM372,,$BV$27)*$BW$27+
$BN372)),
$BN372-100)</f>
        <v>-100</v>
      </c>
      <c r="BF372" t="str">
        <f t="shared" si="75"/>
        <v/>
      </c>
      <c r="BG372" t="str">
        <f t="shared" si="76"/>
        <v/>
      </c>
      <c r="BH372">
        <f t="shared" si="77"/>
        <v>0</v>
      </c>
      <c r="BJ372" t="str">
        <f t="shared" si="78"/>
        <v/>
      </c>
      <c r="BL372">
        <f t="shared" si="80"/>
        <v>0</v>
      </c>
      <c r="BN372">
        <v>3.7100000000000002E-3</v>
      </c>
      <c r="BS372" s="4" t="s">
        <v>2466</v>
      </c>
    </row>
    <row r="373" spans="1:71" ht="15.75" thickBot="1" x14ac:dyDescent="0.3">
      <c r="A373" s="569" t="s">
        <v>1249</v>
      </c>
      <c r="B373" s="569" t="s">
        <v>159</v>
      </c>
      <c r="C373" s="569" t="s">
        <v>6</v>
      </c>
      <c r="D373" s="574">
        <v>7</v>
      </c>
      <c r="E373" s="569"/>
      <c r="F373" s="569"/>
      <c r="G373" s="569"/>
      <c r="H373" s="569"/>
      <c r="I373" s="574">
        <v>0</v>
      </c>
      <c r="J373" s="574">
        <v>0</v>
      </c>
      <c r="K373" s="574">
        <v>0</v>
      </c>
      <c r="L373" s="574">
        <v>55</v>
      </c>
      <c r="M373" s="574">
        <v>4.2</v>
      </c>
      <c r="N373" s="574">
        <v>639</v>
      </c>
      <c r="O373" s="574">
        <v>0.6</v>
      </c>
      <c r="P373" s="574">
        <v>0</v>
      </c>
      <c r="Q373" s="574">
        <v>4.0999999999999996</v>
      </c>
      <c r="R373" s="569"/>
      <c r="S373" s="569"/>
      <c r="T373" s="569"/>
      <c r="U373" s="569"/>
      <c r="V373" s="569"/>
      <c r="W373" s="569"/>
      <c r="X373" s="569"/>
      <c r="Y373" s="569"/>
      <c r="Z373" s="569"/>
      <c r="AA373" s="569"/>
      <c r="AB373" s="569"/>
      <c r="AC373" s="569"/>
      <c r="AD373" s="569"/>
      <c r="AE373" s="569"/>
      <c r="AF373" s="569"/>
      <c r="AG373" s="569"/>
      <c r="AH373" s="569"/>
      <c r="AI373" s="569"/>
      <c r="AJ373" s="569"/>
      <c r="AK373" s="569"/>
      <c r="AL373" s="569"/>
      <c r="AM373" s="569"/>
      <c r="AN373" s="574">
        <v>89.4</v>
      </c>
      <c r="AO373">
        <v>372</v>
      </c>
      <c r="AP373" t="str">
        <f t="shared" si="79"/>
        <v/>
      </c>
      <c r="AQ373" t="str">
        <f t="shared" si="69"/>
        <v/>
      </c>
      <c r="AR373" s="430">
        <f>IFERROR(
IF(AP373="",-100,
IF($BV$2&gt;0, INDEX(Beersheet!$A:$U,MATCH(AP373,INDEX(Beersheet!$A:$U,0,FFARawStatProjections!$BV$2),0),$BV$3)+$BN373,
INDEX($A373:$BM373,,$BV$12)*$BW$12+
INDEX($A373:$BM373,,$BV$15)*$BW$15+
INDEX($A373:$BM373,,$BV$16)*$BW$16+
INDEX($A373:$BM373,,$BV$17)*$BW$17+
INDEX($A373:$BM373,,$BV$18)*$BW$18+
INDEX($A373:$BM373,,$BV$19)*$BW$19+
INDEX($A373:$BM373,,$BV$20)*$BW$20+
INDEX($A373:$BM373,,$BV$21)*$BW$21+
INDEX($A373:$BM373,,$BV$22)*$BW$22+
INDEX($A373:$BM373,,$BV$23)*$BW$23+
INDEX($A373:$BM373,,$BV$25)*$BW$25+
INDEX($A373:$BM373,,$BV$26)*$BW$26+
INDEX($A373:$BM373,,$BV$27)*$BW$27+
$BN373)),
$BN373-100)</f>
        <v>-100</v>
      </c>
      <c r="AT373" t="str">
        <f t="shared" si="70"/>
        <v/>
      </c>
      <c r="AU373" t="str">
        <f t="shared" si="71"/>
        <v/>
      </c>
      <c r="AV373" s="430">
        <f>IFERROR(
IF(AT373="",-100,
IF($BV$2&gt;0, INDEX(Beersheet!$A:$U,MATCH(AT373,INDEX(Beersheet!$A:$U,0,FFARawStatProjections!$BV$2),0),$BV$3)+$BN373,
INDEX($A373:$BM373,,$BV$12)*$BW$12+
INDEX($A373:$BM373,,$BV$15)*$BW$15+
INDEX($A373:$BM373,,$BV$16)*$BW$16+
INDEX($A373:$BM373,,$BV$17)*$BW$17+
INDEX($A373:$BM373,,$BV$18)*$BW$18+
INDEX($A373:$BM373,,$BV$19)*$BW$19+
INDEX($A373:$BM373,,$BV$20)*$BW$20+
INDEX($A373:$BM373,,$BV$21)*$BW$21+
INDEX($A373:$BM373,,$BV$22)*$BW$22+
INDEX($A373:$BM373,,$BV$23)*$BW$23+
INDEX($A373:$BM373,,$BV$25)*$BW$25+
INDEX($A373:$BM373,,$BV$26)*$BW$26+
INDEX($A373:$BM373,,$BV$27)*$BW$27+
$BN373)),
$BN373-100)</f>
        <v>-100</v>
      </c>
      <c r="AX373" t="str">
        <f t="shared" si="72"/>
        <v>Adam Thielen</v>
      </c>
      <c r="AY373" t="str">
        <f t="shared" si="73"/>
        <v>CAR</v>
      </c>
      <c r="AZ373" s="430">
        <f>IFERROR(
IF(AX373="",-100,
IF($BV$2&gt;0, INDEX(Beersheet!$A:$U,MATCH(AX373,INDEX(Beersheet!$A:$U,0,FFARawStatProjections!$BV$2),0),$BV$3)+$BN373,
INDEX($A373:$BM373,,$BV$12)*$BW$12+
INDEX($A373:$BM373,,$BV$15)*$BW$15+
INDEX($A373:$BM373,,$BV$16)*$BW$16+
INDEX($A373:$BM373,,$BV$17)*$BW$17+
INDEX($A373:$BM373,,$BV$18)*$BW$18+
INDEX($A373:$BM373,,$BV$19)*$BW$19+
INDEX($A373:$BM373,,$BV$20)*$BW$20+
INDEX($A373:$BM373,,$BV$21)*$BW$21+
INDEX($A373:$BM373,,$BV$22)*$BW$22+
INDEX($A373:$BM373,,$BV$23)*$BW$23+
INDEX($A373:$BM373,,$BV$25)*$BW$25+
INDEX($A373:$BM373,,$BV$26)*$BW$26+
INDEX($A373:$BM373,,$BV$27)*$BW$27+
$BN373)),
$BN373-100)</f>
        <v>144.51372000000001</v>
      </c>
      <c r="BB373" t="str">
        <f t="shared" si="74"/>
        <v/>
      </c>
      <c r="BC373" t="str">
        <f t="shared" si="68"/>
        <v/>
      </c>
      <c r="BD373" s="430">
        <f>IFERROR(
IF(BB373="",-100,
IF($BV$2&gt;0, INDEX(Beersheet!$A:$U,MATCH(BB373,INDEX(Beersheet!$A:$U,0,FFARawStatProjections!$BV$2),0),$BV$3)+$BN373,
INDEX($A373:$BM373,,$BV$12)*$BW$12+
INDEX($A373:$BM373,,$BV$15)*$BW$15+
INDEX($A373:$BM373,,$BV$16)*$BW$16+
INDEX($A373:$BM373,,$BV$17)*$BW$17+
INDEX($A373:$BM373,,$BV$18)*$BW$18+
INDEX($A373:$BM373,,$BV$19)*$BW$19+
INDEX($A373:$BM373,,$BV$20)*$BW$20+
INDEX($A373:$BM373,,$BV$21)*$BW$21+
INDEX($A373:$BM373,,$BV$22)*$BW$22+
INDEX($A373:$BM373,,$BV$23)*$BW$23+
INDEX($A373:$BM373,,$BV$25)*$BW$25+
INDEX($A373:$BM373,,$BV$26)*$BW$26+
INDEX($A373:$BM373,,$BV$27)*$BW$27+
$BN373)),
$BN373-100)</f>
        <v>-100</v>
      </c>
      <c r="BF373" t="str">
        <f t="shared" si="75"/>
        <v/>
      </c>
      <c r="BG373" t="str">
        <f t="shared" si="76"/>
        <v/>
      </c>
      <c r="BH373">
        <f t="shared" si="77"/>
        <v>0</v>
      </c>
      <c r="BJ373" t="str">
        <f t="shared" si="78"/>
        <v/>
      </c>
      <c r="BL373">
        <f t="shared" si="80"/>
        <v>0</v>
      </c>
      <c r="BN373">
        <v>3.7200000000000002E-3</v>
      </c>
      <c r="BS373" s="4" t="s">
        <v>2075</v>
      </c>
    </row>
    <row r="374" spans="1:71" ht="15.75" thickBot="1" x14ac:dyDescent="0.3">
      <c r="A374" s="569" t="s">
        <v>1208</v>
      </c>
      <c r="B374" s="569" t="s">
        <v>157</v>
      </c>
      <c r="C374" s="569" t="s">
        <v>6</v>
      </c>
      <c r="D374" s="574">
        <v>11</v>
      </c>
      <c r="E374" s="569"/>
      <c r="F374" s="569"/>
      <c r="G374" s="569"/>
      <c r="H374" s="569"/>
      <c r="I374" s="574">
        <v>0</v>
      </c>
      <c r="J374" s="574">
        <v>0</v>
      </c>
      <c r="K374" s="574">
        <v>0</v>
      </c>
      <c r="L374" s="574">
        <v>45.7</v>
      </c>
      <c r="M374" s="574">
        <v>3.7</v>
      </c>
      <c r="N374" s="574">
        <v>665.6</v>
      </c>
      <c r="O374" s="574">
        <v>0</v>
      </c>
      <c r="P374" s="574">
        <v>0</v>
      </c>
      <c r="Q374" s="574">
        <v>0.2</v>
      </c>
      <c r="R374" s="569"/>
      <c r="S374" s="569"/>
      <c r="T374" s="569"/>
      <c r="U374" s="569"/>
      <c r="V374" s="569"/>
      <c r="W374" s="569"/>
      <c r="X374" s="569"/>
      <c r="Y374" s="569"/>
      <c r="Z374" s="569"/>
      <c r="AA374" s="569"/>
      <c r="AB374" s="569"/>
      <c r="AC374" s="569"/>
      <c r="AD374" s="569"/>
      <c r="AE374" s="569"/>
      <c r="AF374" s="569"/>
      <c r="AG374" s="569"/>
      <c r="AH374" s="569"/>
      <c r="AI374" s="569"/>
      <c r="AJ374" s="569"/>
      <c r="AK374" s="569"/>
      <c r="AL374" s="569"/>
      <c r="AM374" s="569"/>
      <c r="AN374" s="574">
        <v>88.4</v>
      </c>
      <c r="AO374">
        <v>373</v>
      </c>
      <c r="AP374" t="str">
        <f t="shared" si="79"/>
        <v/>
      </c>
      <c r="AQ374" t="str">
        <f t="shared" si="69"/>
        <v/>
      </c>
      <c r="AR374" s="430">
        <f>IFERROR(
IF(AP374="",-100,
IF($BV$2&gt;0, INDEX(Beersheet!$A:$U,MATCH(AP374,INDEX(Beersheet!$A:$U,0,FFARawStatProjections!$BV$2),0),$BV$3)+$BN374,
INDEX($A374:$BM374,,$BV$12)*$BW$12+
INDEX($A374:$BM374,,$BV$15)*$BW$15+
INDEX($A374:$BM374,,$BV$16)*$BW$16+
INDEX($A374:$BM374,,$BV$17)*$BW$17+
INDEX($A374:$BM374,,$BV$18)*$BW$18+
INDEX($A374:$BM374,,$BV$19)*$BW$19+
INDEX($A374:$BM374,,$BV$20)*$BW$20+
INDEX($A374:$BM374,,$BV$21)*$BW$21+
INDEX($A374:$BM374,,$BV$22)*$BW$22+
INDEX($A374:$BM374,,$BV$23)*$BW$23+
INDEX($A374:$BM374,,$BV$25)*$BW$25+
INDEX($A374:$BM374,,$BV$26)*$BW$26+
INDEX($A374:$BM374,,$BV$27)*$BW$27+
$BN374)),
$BN374-100)</f>
        <v>-100</v>
      </c>
      <c r="AT374" t="str">
        <f t="shared" si="70"/>
        <v/>
      </c>
      <c r="AU374" t="str">
        <f t="shared" si="71"/>
        <v/>
      </c>
      <c r="AV374" s="430">
        <f>IFERROR(
IF(AT374="",-100,
IF($BV$2&gt;0, INDEX(Beersheet!$A:$U,MATCH(AT374,INDEX(Beersheet!$A:$U,0,FFARawStatProjections!$BV$2),0),$BV$3)+$BN374,
INDEX($A374:$BM374,,$BV$12)*$BW$12+
INDEX($A374:$BM374,,$BV$15)*$BW$15+
INDEX($A374:$BM374,,$BV$16)*$BW$16+
INDEX($A374:$BM374,,$BV$17)*$BW$17+
INDEX($A374:$BM374,,$BV$18)*$BW$18+
INDEX($A374:$BM374,,$BV$19)*$BW$19+
INDEX($A374:$BM374,,$BV$20)*$BW$20+
INDEX($A374:$BM374,,$BV$21)*$BW$21+
INDEX($A374:$BM374,,$BV$22)*$BW$22+
INDEX($A374:$BM374,,$BV$23)*$BW$23+
INDEX($A374:$BM374,,$BV$25)*$BW$25+
INDEX($A374:$BM374,,$BV$26)*$BW$26+
INDEX($A374:$BM374,,$BV$27)*$BW$27+
$BN374)),
$BN374-100)</f>
        <v>-100</v>
      </c>
      <c r="AX374" t="str">
        <f t="shared" si="72"/>
        <v>DeVante Parker</v>
      </c>
      <c r="AY374" t="str">
        <f t="shared" si="73"/>
        <v>NE</v>
      </c>
      <c r="AZ374" s="430">
        <f>IFERROR(
IF(AX374="",-100,
IF($BV$2&gt;0, INDEX(Beersheet!$A:$U,MATCH(AX374,INDEX(Beersheet!$A:$U,0,FFARawStatProjections!$BV$2),0),$BV$3)+$BN374,
INDEX($A374:$BM374,,$BV$12)*$BW$12+
INDEX($A374:$BM374,,$BV$15)*$BW$15+
INDEX($A374:$BM374,,$BV$16)*$BW$16+
INDEX($A374:$BM374,,$BV$17)*$BW$17+
INDEX($A374:$BM374,,$BV$18)*$BW$18+
INDEX($A374:$BM374,,$BV$19)*$BW$19+
INDEX($A374:$BM374,,$BV$20)*$BW$20+
INDEX($A374:$BM374,,$BV$21)*$BW$21+
INDEX($A374:$BM374,,$BV$22)*$BW$22+
INDEX($A374:$BM374,,$BV$23)*$BW$23+
INDEX($A374:$BM374,,$BV$25)*$BW$25+
INDEX($A374:$BM374,,$BV$26)*$BW$26+
INDEX($A374:$BM374,,$BV$27)*$BW$27+
$BN374)),
$BN374-100)</f>
        <v>134.48373000000001</v>
      </c>
      <c r="BB374" t="str">
        <f t="shared" si="74"/>
        <v/>
      </c>
      <c r="BC374" t="str">
        <f t="shared" si="68"/>
        <v/>
      </c>
      <c r="BD374" s="430">
        <f>IFERROR(
IF(BB374="",-100,
IF($BV$2&gt;0, INDEX(Beersheet!$A:$U,MATCH(BB374,INDEX(Beersheet!$A:$U,0,FFARawStatProjections!$BV$2),0),$BV$3)+$BN374,
INDEX($A374:$BM374,,$BV$12)*$BW$12+
INDEX($A374:$BM374,,$BV$15)*$BW$15+
INDEX($A374:$BM374,,$BV$16)*$BW$16+
INDEX($A374:$BM374,,$BV$17)*$BW$17+
INDEX($A374:$BM374,,$BV$18)*$BW$18+
INDEX($A374:$BM374,,$BV$19)*$BW$19+
INDEX($A374:$BM374,,$BV$20)*$BW$20+
INDEX($A374:$BM374,,$BV$21)*$BW$21+
INDEX($A374:$BM374,,$BV$22)*$BW$22+
INDEX($A374:$BM374,,$BV$23)*$BW$23+
INDEX($A374:$BM374,,$BV$25)*$BW$25+
INDEX($A374:$BM374,,$BV$26)*$BW$26+
INDEX($A374:$BM374,,$BV$27)*$BW$27+
$BN374)),
$BN374-100)</f>
        <v>-100</v>
      </c>
      <c r="BF374" t="str">
        <f t="shared" si="75"/>
        <v/>
      </c>
      <c r="BG374" t="str">
        <f t="shared" si="76"/>
        <v/>
      </c>
      <c r="BH374">
        <f t="shared" si="77"/>
        <v>0</v>
      </c>
      <c r="BJ374" t="str">
        <f t="shared" si="78"/>
        <v/>
      </c>
      <c r="BL374">
        <f t="shared" si="80"/>
        <v>0</v>
      </c>
      <c r="BN374">
        <v>3.7299999999999998E-3</v>
      </c>
      <c r="BS374" s="4" t="s">
        <v>2465</v>
      </c>
    </row>
    <row r="375" spans="1:71" ht="15.75" thickBot="1" x14ac:dyDescent="0.3">
      <c r="A375" s="569" t="s">
        <v>2322</v>
      </c>
      <c r="B375" s="569" t="s">
        <v>136</v>
      </c>
      <c r="C375" s="569" t="s">
        <v>6</v>
      </c>
      <c r="D375" s="574">
        <v>10</v>
      </c>
      <c r="E375" s="569"/>
      <c r="F375" s="569"/>
      <c r="G375" s="569"/>
      <c r="H375" s="569"/>
      <c r="I375" s="574">
        <v>0</v>
      </c>
      <c r="J375" s="574">
        <v>0</v>
      </c>
      <c r="K375" s="574">
        <v>0</v>
      </c>
      <c r="L375" s="574">
        <v>49.9</v>
      </c>
      <c r="M375" s="574">
        <v>3.9</v>
      </c>
      <c r="N375" s="574">
        <v>639.9</v>
      </c>
      <c r="O375" s="574">
        <v>5.5</v>
      </c>
      <c r="P375" s="574">
        <v>0.2</v>
      </c>
      <c r="Q375" s="574">
        <v>33.700000000000003</v>
      </c>
      <c r="R375" s="569"/>
      <c r="S375" s="569"/>
      <c r="T375" s="569"/>
      <c r="U375" s="569"/>
      <c r="V375" s="569"/>
      <c r="W375" s="569"/>
      <c r="X375" s="569"/>
      <c r="Y375" s="569"/>
      <c r="Z375" s="569"/>
      <c r="AA375" s="569"/>
      <c r="AB375" s="569"/>
      <c r="AC375" s="569"/>
      <c r="AD375" s="569"/>
      <c r="AE375" s="569"/>
      <c r="AF375" s="569"/>
      <c r="AG375" s="569"/>
      <c r="AH375" s="569"/>
      <c r="AI375" s="569"/>
      <c r="AJ375" s="569"/>
      <c r="AK375" s="569"/>
      <c r="AL375" s="569"/>
      <c r="AM375" s="569"/>
      <c r="AN375" s="574">
        <v>88</v>
      </c>
      <c r="AO375">
        <v>374</v>
      </c>
      <c r="AP375" t="str">
        <f t="shared" si="79"/>
        <v/>
      </c>
      <c r="AQ375" t="str">
        <f t="shared" si="69"/>
        <v/>
      </c>
      <c r="AR375" s="430">
        <f>IFERROR(
IF(AP375="",-100,
IF($BV$2&gt;0, INDEX(Beersheet!$A:$U,MATCH(AP375,INDEX(Beersheet!$A:$U,0,FFARawStatProjections!$BV$2),0),$BV$3)+$BN375,
INDEX($A375:$BM375,,$BV$12)*$BW$12+
INDEX($A375:$BM375,,$BV$15)*$BW$15+
INDEX($A375:$BM375,,$BV$16)*$BW$16+
INDEX($A375:$BM375,,$BV$17)*$BW$17+
INDEX($A375:$BM375,,$BV$18)*$BW$18+
INDEX($A375:$BM375,,$BV$19)*$BW$19+
INDEX($A375:$BM375,,$BV$20)*$BW$20+
INDEX($A375:$BM375,,$BV$21)*$BW$21+
INDEX($A375:$BM375,,$BV$22)*$BW$22+
INDEX($A375:$BM375,,$BV$23)*$BW$23+
INDEX($A375:$BM375,,$BV$25)*$BW$25+
INDEX($A375:$BM375,,$BV$26)*$BW$26+
INDEX($A375:$BM375,,$BV$27)*$BW$27+
$BN375)),
$BN375-100)</f>
        <v>-100</v>
      </c>
      <c r="AT375" t="str">
        <f t="shared" si="70"/>
        <v/>
      </c>
      <c r="AU375" t="str">
        <f t="shared" si="71"/>
        <v/>
      </c>
      <c r="AV375" s="430">
        <f>IFERROR(
IF(AT375="",-100,
IF($BV$2&gt;0, INDEX(Beersheet!$A:$U,MATCH(AT375,INDEX(Beersheet!$A:$U,0,FFARawStatProjections!$BV$2),0),$BV$3)+$BN375,
INDEX($A375:$BM375,,$BV$12)*$BW$12+
INDEX($A375:$BM375,,$BV$15)*$BW$15+
INDEX($A375:$BM375,,$BV$16)*$BW$16+
INDEX($A375:$BM375,,$BV$17)*$BW$17+
INDEX($A375:$BM375,,$BV$18)*$BW$18+
INDEX($A375:$BM375,,$BV$19)*$BW$19+
INDEX($A375:$BM375,,$BV$20)*$BW$20+
INDEX($A375:$BM375,,$BV$21)*$BW$21+
INDEX($A375:$BM375,,$BV$22)*$BW$22+
INDEX($A375:$BM375,,$BV$23)*$BW$23+
INDEX($A375:$BM375,,$BV$25)*$BW$25+
INDEX($A375:$BM375,,$BV$26)*$BW$26+
INDEX($A375:$BM375,,$BV$27)*$BW$27+
$BN375)),
$BN375-100)</f>
        <v>-100</v>
      </c>
      <c r="AX375" t="str">
        <f t="shared" si="72"/>
        <v>Skyy Moore</v>
      </c>
      <c r="AY375" t="str">
        <f t="shared" si="73"/>
        <v>KC</v>
      </c>
      <c r="AZ375" s="430">
        <f>IFERROR(
IF(AX375="",-100,
IF($BV$2&gt;0, INDEX(Beersheet!$A:$U,MATCH(AX375,INDEX(Beersheet!$A:$U,0,FFARawStatProjections!$BV$2),0),$BV$3)+$BN375,
INDEX($A375:$BM375,,$BV$12)*$BW$12+
INDEX($A375:$BM375,,$BV$15)*$BW$15+
INDEX($A375:$BM375,,$BV$16)*$BW$16+
INDEX($A375:$BM375,,$BV$17)*$BW$17+
INDEX($A375:$BM375,,$BV$18)*$BW$18+
INDEX($A375:$BM375,,$BV$19)*$BW$19+
INDEX($A375:$BM375,,$BV$20)*$BW$20+
INDEX($A375:$BM375,,$BV$21)*$BW$21+
INDEX($A375:$BM375,,$BV$22)*$BW$22+
INDEX($A375:$BM375,,$BV$23)*$BW$23+
INDEX($A375:$BM375,,$BV$25)*$BW$25+
INDEX($A375:$BM375,,$BV$26)*$BW$26+
INDEX($A375:$BM375,,$BV$27)*$BW$27+
$BN375)),
$BN375-100)</f>
        <v>141.86373999999998</v>
      </c>
      <c r="BB375" t="str">
        <f t="shared" si="74"/>
        <v/>
      </c>
      <c r="BC375" t="str">
        <f t="shared" si="68"/>
        <v/>
      </c>
      <c r="BD375" s="430">
        <f>IFERROR(
IF(BB375="",-100,
IF($BV$2&gt;0, INDEX(Beersheet!$A:$U,MATCH(BB375,INDEX(Beersheet!$A:$U,0,FFARawStatProjections!$BV$2),0),$BV$3)+$BN375,
INDEX($A375:$BM375,,$BV$12)*$BW$12+
INDEX($A375:$BM375,,$BV$15)*$BW$15+
INDEX($A375:$BM375,,$BV$16)*$BW$16+
INDEX($A375:$BM375,,$BV$17)*$BW$17+
INDEX($A375:$BM375,,$BV$18)*$BW$18+
INDEX($A375:$BM375,,$BV$19)*$BW$19+
INDEX($A375:$BM375,,$BV$20)*$BW$20+
INDEX($A375:$BM375,,$BV$21)*$BW$21+
INDEX($A375:$BM375,,$BV$22)*$BW$22+
INDEX($A375:$BM375,,$BV$23)*$BW$23+
INDEX($A375:$BM375,,$BV$25)*$BW$25+
INDEX($A375:$BM375,,$BV$26)*$BW$26+
INDEX($A375:$BM375,,$BV$27)*$BW$27+
$BN375)),
$BN375-100)</f>
        <v>-100</v>
      </c>
      <c r="BF375" t="str">
        <f t="shared" si="75"/>
        <v/>
      </c>
      <c r="BG375" t="str">
        <f t="shared" si="76"/>
        <v/>
      </c>
      <c r="BH375">
        <f t="shared" si="77"/>
        <v>0</v>
      </c>
      <c r="BJ375" t="str">
        <f t="shared" si="78"/>
        <v/>
      </c>
      <c r="BL375">
        <f t="shared" si="80"/>
        <v>0</v>
      </c>
      <c r="BN375">
        <v>3.7399999999999998E-3</v>
      </c>
      <c r="BS375" s="4" t="s">
        <v>1216</v>
      </c>
    </row>
    <row r="376" spans="1:71" ht="15.75" thickBot="1" x14ac:dyDescent="0.3">
      <c r="A376" s="569" t="s">
        <v>2201</v>
      </c>
      <c r="B376" s="569" t="s">
        <v>2272</v>
      </c>
      <c r="C376" s="569" t="s">
        <v>6</v>
      </c>
      <c r="D376" s="574">
        <v>14</v>
      </c>
      <c r="E376" s="569"/>
      <c r="F376" s="569"/>
      <c r="G376" s="569"/>
      <c r="H376" s="569"/>
      <c r="I376" s="574">
        <v>0</v>
      </c>
      <c r="J376" s="574">
        <v>0</v>
      </c>
      <c r="K376" s="574">
        <v>0</v>
      </c>
      <c r="L376" s="574">
        <v>66.599999999999994</v>
      </c>
      <c r="M376" s="574">
        <v>2.2000000000000002</v>
      </c>
      <c r="N376" s="574">
        <v>685.4</v>
      </c>
      <c r="O376" s="574">
        <v>14.1</v>
      </c>
      <c r="P376" s="574">
        <v>0.2</v>
      </c>
      <c r="Q376" s="574">
        <v>61.4</v>
      </c>
      <c r="R376" s="569"/>
      <c r="S376" s="569"/>
      <c r="T376" s="569"/>
      <c r="U376" s="569"/>
      <c r="V376" s="569"/>
      <c r="W376" s="569"/>
      <c r="X376" s="569"/>
      <c r="Y376" s="569"/>
      <c r="Z376" s="569"/>
      <c r="AA376" s="569"/>
      <c r="AB376" s="569"/>
      <c r="AC376" s="569"/>
      <c r="AD376" s="569"/>
      <c r="AE376" s="569"/>
      <c r="AF376" s="569"/>
      <c r="AG376" s="569"/>
      <c r="AH376" s="569"/>
      <c r="AI376" s="569"/>
      <c r="AJ376" s="569"/>
      <c r="AK376" s="569"/>
      <c r="AL376" s="569"/>
      <c r="AM376" s="569"/>
      <c r="AN376" s="574">
        <v>88</v>
      </c>
      <c r="AO376">
        <v>375</v>
      </c>
      <c r="AP376" t="str">
        <f t="shared" si="79"/>
        <v/>
      </c>
      <c r="AQ376" t="str">
        <f t="shared" si="69"/>
        <v/>
      </c>
      <c r="AR376" s="430">
        <f>IFERROR(
IF(AP376="",-100,
IF($BV$2&gt;0, INDEX(Beersheet!$A:$U,MATCH(AP376,INDEX(Beersheet!$A:$U,0,FFARawStatProjections!$BV$2),0),$BV$3)+$BN376,
INDEX($A376:$BM376,,$BV$12)*$BW$12+
INDEX($A376:$BM376,,$BV$15)*$BW$15+
INDEX($A376:$BM376,,$BV$16)*$BW$16+
INDEX($A376:$BM376,,$BV$17)*$BW$17+
INDEX($A376:$BM376,,$BV$18)*$BW$18+
INDEX($A376:$BM376,,$BV$19)*$BW$19+
INDEX($A376:$BM376,,$BV$20)*$BW$20+
INDEX($A376:$BM376,,$BV$21)*$BW$21+
INDEX($A376:$BM376,,$BV$22)*$BW$22+
INDEX($A376:$BM376,,$BV$23)*$BW$23+
INDEX($A376:$BM376,,$BV$25)*$BW$25+
INDEX($A376:$BM376,,$BV$26)*$BW$26+
INDEX($A376:$BM376,,$BV$27)*$BW$27+
$BN376)),
$BN376-100)</f>
        <v>-100</v>
      </c>
      <c r="AT376" t="str">
        <f t="shared" si="70"/>
        <v/>
      </c>
      <c r="AU376" t="str">
        <f t="shared" si="71"/>
        <v/>
      </c>
      <c r="AV376" s="430">
        <f>IFERROR(
IF(AT376="",-100,
IF($BV$2&gt;0, INDEX(Beersheet!$A:$U,MATCH(AT376,INDEX(Beersheet!$A:$U,0,FFARawStatProjections!$BV$2),0),$BV$3)+$BN376,
INDEX($A376:$BM376,,$BV$12)*$BW$12+
INDEX($A376:$BM376,,$BV$15)*$BW$15+
INDEX($A376:$BM376,,$BV$16)*$BW$16+
INDEX($A376:$BM376,,$BV$17)*$BW$17+
INDEX($A376:$BM376,,$BV$18)*$BW$18+
INDEX($A376:$BM376,,$BV$19)*$BW$19+
INDEX($A376:$BM376,,$BV$20)*$BW$20+
INDEX($A376:$BM376,,$BV$21)*$BW$21+
INDEX($A376:$BM376,,$BV$22)*$BW$22+
INDEX($A376:$BM376,,$BV$23)*$BW$23+
INDEX($A376:$BM376,,$BV$25)*$BW$25+
INDEX($A376:$BM376,,$BV$26)*$BW$26+
INDEX($A376:$BM376,,$BV$27)*$BW$27+
$BN376)),
$BN376-100)</f>
        <v>-100</v>
      </c>
      <c r="AX376" t="str">
        <f t="shared" si="72"/>
        <v>Rondale Moore</v>
      </c>
      <c r="AY376" t="str">
        <f t="shared" si="73"/>
        <v>AZ</v>
      </c>
      <c r="AZ376" s="430">
        <f>IFERROR(
IF(AX376="",-100,
IF($BV$2&gt;0, INDEX(Beersheet!$A:$U,MATCH(AX376,INDEX(Beersheet!$A:$U,0,FFARawStatProjections!$BV$2),0),$BV$3)+$BN376,
INDEX($A376:$BM376,,$BV$12)*$BW$12+
INDEX($A376:$BM376,,$BV$15)*$BW$15+
INDEX($A376:$BM376,,$BV$16)*$BW$16+
INDEX($A376:$BM376,,$BV$17)*$BW$17+
INDEX($A376:$BM376,,$BV$18)*$BW$18+
INDEX($A376:$BM376,,$BV$19)*$BW$19+
INDEX($A376:$BM376,,$BV$20)*$BW$20+
INDEX($A376:$BM376,,$BV$21)*$BW$21+
INDEX($A376:$BM376,,$BV$22)*$BW$22+
INDEX($A376:$BM376,,$BV$23)*$BW$23+
INDEX($A376:$BM376,,$BV$25)*$BW$25+
INDEX($A376:$BM376,,$BV$26)*$BW$26+
INDEX($A376:$BM376,,$BV$27)*$BW$27+
$BN376)),
$BN376-100)</f>
        <v>155.68375</v>
      </c>
      <c r="BB376" t="str">
        <f t="shared" si="74"/>
        <v/>
      </c>
      <c r="BC376" t="str">
        <f t="shared" si="68"/>
        <v/>
      </c>
      <c r="BD376" s="430">
        <f>IFERROR(
IF(BB376="",-100,
IF($BV$2&gt;0, INDEX(Beersheet!$A:$U,MATCH(BB376,INDEX(Beersheet!$A:$U,0,FFARawStatProjections!$BV$2),0),$BV$3)+$BN376,
INDEX($A376:$BM376,,$BV$12)*$BW$12+
INDEX($A376:$BM376,,$BV$15)*$BW$15+
INDEX($A376:$BM376,,$BV$16)*$BW$16+
INDEX($A376:$BM376,,$BV$17)*$BW$17+
INDEX($A376:$BM376,,$BV$18)*$BW$18+
INDEX($A376:$BM376,,$BV$19)*$BW$19+
INDEX($A376:$BM376,,$BV$20)*$BW$20+
INDEX($A376:$BM376,,$BV$21)*$BW$21+
INDEX($A376:$BM376,,$BV$22)*$BW$22+
INDEX($A376:$BM376,,$BV$23)*$BW$23+
INDEX($A376:$BM376,,$BV$25)*$BW$25+
INDEX($A376:$BM376,,$BV$26)*$BW$26+
INDEX($A376:$BM376,,$BV$27)*$BW$27+
$BN376)),
$BN376-100)</f>
        <v>-100</v>
      </c>
      <c r="BF376" t="str">
        <f t="shared" si="75"/>
        <v/>
      </c>
      <c r="BG376" t="str">
        <f t="shared" si="76"/>
        <v/>
      </c>
      <c r="BH376">
        <f t="shared" si="77"/>
        <v>0</v>
      </c>
      <c r="BJ376" t="str">
        <f t="shared" si="78"/>
        <v/>
      </c>
      <c r="BL376">
        <f t="shared" si="80"/>
        <v>0</v>
      </c>
      <c r="BN376">
        <v>3.7499999999999999E-3</v>
      </c>
      <c r="BS376" s="4" t="s">
        <v>1447</v>
      </c>
    </row>
    <row r="377" spans="1:71" ht="15.75" thickBot="1" x14ac:dyDescent="0.3">
      <c r="A377" s="569" t="s">
        <v>2335</v>
      </c>
      <c r="B377" s="569" t="s">
        <v>139</v>
      </c>
      <c r="C377" s="569" t="s">
        <v>6</v>
      </c>
      <c r="D377" s="574">
        <v>6</v>
      </c>
      <c r="E377" s="569"/>
      <c r="F377" s="569"/>
      <c r="G377" s="569"/>
      <c r="H377" s="569"/>
      <c r="I377" s="574">
        <v>0</v>
      </c>
      <c r="J377" s="574">
        <v>0</v>
      </c>
      <c r="K377" s="574">
        <v>0</v>
      </c>
      <c r="L377" s="574">
        <v>54.5</v>
      </c>
      <c r="M377" s="574">
        <v>4</v>
      </c>
      <c r="N377" s="574">
        <v>640.1</v>
      </c>
      <c r="O377" s="574">
        <v>0.6</v>
      </c>
      <c r="P377" s="574">
        <v>0</v>
      </c>
      <c r="Q377" s="574">
        <v>6.3</v>
      </c>
      <c r="R377" s="569"/>
      <c r="S377" s="569"/>
      <c r="T377" s="569"/>
      <c r="U377" s="569"/>
      <c r="V377" s="569"/>
      <c r="W377" s="569"/>
      <c r="X377" s="569"/>
      <c r="Y377" s="569"/>
      <c r="Z377" s="569"/>
      <c r="AA377" s="569"/>
      <c r="AB377" s="569"/>
      <c r="AC377" s="569"/>
      <c r="AD377" s="569"/>
      <c r="AE377" s="569"/>
      <c r="AF377" s="569"/>
      <c r="AG377" s="569"/>
      <c r="AH377" s="569"/>
      <c r="AI377" s="569"/>
      <c r="AJ377" s="569"/>
      <c r="AK377" s="569"/>
      <c r="AL377" s="569"/>
      <c r="AM377" s="569"/>
      <c r="AN377" s="574">
        <v>87.4</v>
      </c>
      <c r="AO377">
        <v>376</v>
      </c>
      <c r="AP377" t="str">
        <f t="shared" si="79"/>
        <v/>
      </c>
      <c r="AQ377" t="str">
        <f t="shared" si="69"/>
        <v/>
      </c>
      <c r="AR377" s="430">
        <f>IFERROR(
IF(AP377="",-100,
IF($BV$2&gt;0, INDEX(Beersheet!$A:$U,MATCH(AP377,INDEX(Beersheet!$A:$U,0,FFARawStatProjections!$BV$2),0),$BV$3)+$BN377,
INDEX($A377:$BM377,,$BV$12)*$BW$12+
INDEX($A377:$BM377,,$BV$15)*$BW$15+
INDEX($A377:$BM377,,$BV$16)*$BW$16+
INDEX($A377:$BM377,,$BV$17)*$BW$17+
INDEX($A377:$BM377,,$BV$18)*$BW$18+
INDEX($A377:$BM377,,$BV$19)*$BW$19+
INDEX($A377:$BM377,,$BV$20)*$BW$20+
INDEX($A377:$BM377,,$BV$21)*$BW$21+
INDEX($A377:$BM377,,$BV$22)*$BW$22+
INDEX($A377:$BM377,,$BV$23)*$BW$23+
INDEX($A377:$BM377,,$BV$25)*$BW$25+
INDEX($A377:$BM377,,$BV$26)*$BW$26+
INDEX($A377:$BM377,,$BV$27)*$BW$27+
$BN377)),
$BN377-100)</f>
        <v>-100</v>
      </c>
      <c r="AT377" t="str">
        <f t="shared" si="70"/>
        <v/>
      </c>
      <c r="AU377" t="str">
        <f t="shared" si="71"/>
        <v/>
      </c>
      <c r="AV377" s="430">
        <f>IFERROR(
IF(AT377="",-100,
IF($BV$2&gt;0, INDEX(Beersheet!$A:$U,MATCH(AT377,INDEX(Beersheet!$A:$U,0,FFARawStatProjections!$BV$2),0),$BV$3)+$BN377,
INDEX($A377:$BM377,,$BV$12)*$BW$12+
INDEX($A377:$BM377,,$BV$15)*$BW$15+
INDEX($A377:$BM377,,$BV$16)*$BW$16+
INDEX($A377:$BM377,,$BV$17)*$BW$17+
INDEX($A377:$BM377,,$BV$18)*$BW$18+
INDEX($A377:$BM377,,$BV$19)*$BW$19+
INDEX($A377:$BM377,,$BV$20)*$BW$20+
INDEX($A377:$BM377,,$BV$21)*$BW$21+
INDEX($A377:$BM377,,$BV$22)*$BW$22+
INDEX($A377:$BM377,,$BV$23)*$BW$23+
INDEX($A377:$BM377,,$BV$25)*$BW$25+
INDEX($A377:$BM377,,$BV$26)*$BW$26+
INDEX($A377:$BM377,,$BV$27)*$BW$27+
$BN377)),
$BN377-100)</f>
        <v>-100</v>
      </c>
      <c r="AX377" t="str">
        <f t="shared" si="72"/>
        <v>Romeo Doubs</v>
      </c>
      <c r="AY377" t="str">
        <f t="shared" si="73"/>
        <v>GB</v>
      </c>
      <c r="AZ377" s="430">
        <f>IFERROR(
IF(AX377="",-100,
IF($BV$2&gt;0, INDEX(Beersheet!$A:$U,MATCH(AX377,INDEX(Beersheet!$A:$U,0,FFARawStatProjections!$BV$2),0),$BV$3)+$BN377,
INDEX($A377:$BM377,,$BV$12)*$BW$12+
INDEX($A377:$BM377,,$BV$15)*$BW$15+
INDEX($A377:$BM377,,$BV$16)*$BW$16+
INDEX($A377:$BM377,,$BV$17)*$BW$17+
INDEX($A377:$BM377,,$BV$18)*$BW$18+
INDEX($A377:$BM377,,$BV$19)*$BW$19+
INDEX($A377:$BM377,,$BV$20)*$BW$20+
INDEX($A377:$BM377,,$BV$21)*$BW$21+
INDEX($A377:$BM377,,$BV$22)*$BW$22+
INDEX($A377:$BM377,,$BV$23)*$BW$23+
INDEX($A377:$BM377,,$BV$25)*$BW$25+
INDEX($A377:$BM377,,$BV$26)*$BW$26+
INDEX($A377:$BM377,,$BV$27)*$BW$27+
$BN377)),
$BN377-100)</f>
        <v>143.14375999999999</v>
      </c>
      <c r="BB377" t="str">
        <f t="shared" si="74"/>
        <v/>
      </c>
      <c r="BC377" t="str">
        <f t="shared" si="68"/>
        <v/>
      </c>
      <c r="BD377" s="430">
        <f>IFERROR(
IF(BB377="",-100,
IF($BV$2&gt;0, INDEX(Beersheet!$A:$U,MATCH(BB377,INDEX(Beersheet!$A:$U,0,FFARawStatProjections!$BV$2),0),$BV$3)+$BN377,
INDEX($A377:$BM377,,$BV$12)*$BW$12+
INDEX($A377:$BM377,,$BV$15)*$BW$15+
INDEX($A377:$BM377,,$BV$16)*$BW$16+
INDEX($A377:$BM377,,$BV$17)*$BW$17+
INDEX($A377:$BM377,,$BV$18)*$BW$18+
INDEX($A377:$BM377,,$BV$19)*$BW$19+
INDEX($A377:$BM377,,$BV$20)*$BW$20+
INDEX($A377:$BM377,,$BV$21)*$BW$21+
INDEX($A377:$BM377,,$BV$22)*$BW$22+
INDEX($A377:$BM377,,$BV$23)*$BW$23+
INDEX($A377:$BM377,,$BV$25)*$BW$25+
INDEX($A377:$BM377,,$BV$26)*$BW$26+
INDEX($A377:$BM377,,$BV$27)*$BW$27+
$BN377)),
$BN377-100)</f>
        <v>-100</v>
      </c>
      <c r="BF377" t="str">
        <f t="shared" si="75"/>
        <v/>
      </c>
      <c r="BG377" t="str">
        <f t="shared" si="76"/>
        <v/>
      </c>
      <c r="BH377">
        <f t="shared" si="77"/>
        <v>0</v>
      </c>
      <c r="BJ377" t="str">
        <f t="shared" si="78"/>
        <v/>
      </c>
      <c r="BL377">
        <f t="shared" si="80"/>
        <v>0</v>
      </c>
      <c r="BN377">
        <v>3.7599999999999999E-3</v>
      </c>
      <c r="BS377" s="4" t="s">
        <v>2464</v>
      </c>
    </row>
    <row r="378" spans="1:71" ht="15.75" thickBot="1" x14ac:dyDescent="0.3">
      <c r="A378" s="569" t="s">
        <v>2466</v>
      </c>
      <c r="B378" s="569" t="s">
        <v>159</v>
      </c>
      <c r="C378" s="569" t="s">
        <v>6</v>
      </c>
      <c r="D378" s="574">
        <v>7</v>
      </c>
      <c r="E378" s="569"/>
      <c r="F378" s="569"/>
      <c r="G378" s="569"/>
      <c r="H378" s="569"/>
      <c r="I378" s="574">
        <v>0</v>
      </c>
      <c r="J378" s="574">
        <v>0</v>
      </c>
      <c r="K378" s="574">
        <v>0</v>
      </c>
      <c r="L378" s="574">
        <v>47.8</v>
      </c>
      <c r="M378" s="574">
        <v>3.3</v>
      </c>
      <c r="N378" s="574">
        <v>655.8</v>
      </c>
      <c r="O378" s="574">
        <v>1.2</v>
      </c>
      <c r="P378" s="574">
        <v>0.1</v>
      </c>
      <c r="Q378" s="574">
        <v>12.9</v>
      </c>
      <c r="R378" s="569"/>
      <c r="S378" s="569"/>
      <c r="T378" s="569"/>
      <c r="U378" s="569"/>
      <c r="V378" s="569"/>
      <c r="W378" s="569"/>
      <c r="X378" s="569"/>
      <c r="Y378" s="569"/>
      <c r="Z378" s="569"/>
      <c r="AA378" s="569"/>
      <c r="AB378" s="569"/>
      <c r="AC378" s="569"/>
      <c r="AD378" s="569"/>
      <c r="AE378" s="569"/>
      <c r="AF378" s="569"/>
      <c r="AG378" s="569"/>
      <c r="AH378" s="569"/>
      <c r="AI378" s="569"/>
      <c r="AJ378" s="569"/>
      <c r="AK378" s="569"/>
      <c r="AL378" s="569"/>
      <c r="AM378" s="569"/>
      <c r="AN378" s="574">
        <v>86</v>
      </c>
      <c r="AO378">
        <v>377</v>
      </c>
      <c r="AP378" t="str">
        <f t="shared" si="79"/>
        <v/>
      </c>
      <c r="AQ378" t="str">
        <f t="shared" si="69"/>
        <v/>
      </c>
      <c r="AR378" s="430">
        <f>IFERROR(
IF(AP378="",-100,
IF($BV$2&gt;0, INDEX(Beersheet!$A:$U,MATCH(AP378,INDEX(Beersheet!$A:$U,0,FFARawStatProjections!$BV$2),0),$BV$3)+$BN378,
INDEX($A378:$BM378,,$BV$12)*$BW$12+
INDEX($A378:$BM378,,$BV$15)*$BW$15+
INDEX($A378:$BM378,,$BV$16)*$BW$16+
INDEX($A378:$BM378,,$BV$17)*$BW$17+
INDEX($A378:$BM378,,$BV$18)*$BW$18+
INDEX($A378:$BM378,,$BV$19)*$BW$19+
INDEX($A378:$BM378,,$BV$20)*$BW$20+
INDEX($A378:$BM378,,$BV$21)*$BW$21+
INDEX($A378:$BM378,,$BV$22)*$BW$22+
INDEX($A378:$BM378,,$BV$23)*$BW$23+
INDEX($A378:$BM378,,$BV$25)*$BW$25+
INDEX($A378:$BM378,,$BV$26)*$BW$26+
INDEX($A378:$BM378,,$BV$27)*$BW$27+
$BN378)),
$BN378-100)</f>
        <v>-100</v>
      </c>
      <c r="AT378" t="str">
        <f t="shared" si="70"/>
        <v/>
      </c>
      <c r="AU378" t="str">
        <f t="shared" si="71"/>
        <v/>
      </c>
      <c r="AV378" s="430">
        <f>IFERROR(
IF(AT378="",-100,
IF($BV$2&gt;0, INDEX(Beersheet!$A:$U,MATCH(AT378,INDEX(Beersheet!$A:$U,0,FFARawStatProjections!$BV$2),0),$BV$3)+$BN378,
INDEX($A378:$BM378,,$BV$12)*$BW$12+
INDEX($A378:$BM378,,$BV$15)*$BW$15+
INDEX($A378:$BM378,,$BV$16)*$BW$16+
INDEX($A378:$BM378,,$BV$17)*$BW$17+
INDEX($A378:$BM378,,$BV$18)*$BW$18+
INDEX($A378:$BM378,,$BV$19)*$BW$19+
INDEX($A378:$BM378,,$BV$20)*$BW$20+
INDEX($A378:$BM378,,$BV$21)*$BW$21+
INDEX($A378:$BM378,,$BV$22)*$BW$22+
INDEX($A378:$BM378,,$BV$23)*$BW$23+
INDEX($A378:$BM378,,$BV$25)*$BW$25+
INDEX($A378:$BM378,,$BV$26)*$BW$26+
INDEX($A378:$BM378,,$BV$27)*$BW$27+
$BN378)),
$BN378-100)</f>
        <v>-100</v>
      </c>
      <c r="AX378" t="str">
        <f t="shared" si="72"/>
        <v>Jonathan Mingo</v>
      </c>
      <c r="AY378" t="str">
        <f t="shared" si="73"/>
        <v>CAR</v>
      </c>
      <c r="AZ378" s="430">
        <f>IFERROR(
IF(AX378="",-100,
IF($BV$2&gt;0, INDEX(Beersheet!$A:$U,MATCH(AX378,INDEX(Beersheet!$A:$U,0,FFARawStatProjections!$BV$2),0),$BV$3)+$BN378,
INDEX($A378:$BM378,,$BV$12)*$BW$12+
INDEX($A378:$BM378,,$BV$15)*$BW$15+
INDEX($A378:$BM378,,$BV$16)*$BW$16+
INDEX($A378:$BM378,,$BV$17)*$BW$17+
INDEX($A378:$BM378,,$BV$18)*$BW$18+
INDEX($A378:$BM378,,$BV$19)*$BW$19+
INDEX($A378:$BM378,,$BV$20)*$BW$20+
INDEX($A378:$BM378,,$BV$21)*$BW$21+
INDEX($A378:$BM378,,$BV$22)*$BW$22+
INDEX($A378:$BM378,,$BV$23)*$BW$23+
INDEX($A378:$BM378,,$BV$25)*$BW$25+
INDEX($A378:$BM378,,$BV$26)*$BW$26+
INDEX($A378:$BM378,,$BV$27)*$BW$27+
$BN378)),
$BN378-100)</f>
        <v>135.07377</v>
      </c>
      <c r="BB378" t="str">
        <f t="shared" si="74"/>
        <v/>
      </c>
      <c r="BC378" t="str">
        <f t="shared" si="68"/>
        <v/>
      </c>
      <c r="BD378" s="430">
        <f>IFERROR(
IF(BB378="",-100,
IF($BV$2&gt;0, INDEX(Beersheet!$A:$U,MATCH(BB378,INDEX(Beersheet!$A:$U,0,FFARawStatProjections!$BV$2),0),$BV$3)+$BN378,
INDEX($A378:$BM378,,$BV$12)*$BW$12+
INDEX($A378:$BM378,,$BV$15)*$BW$15+
INDEX($A378:$BM378,,$BV$16)*$BW$16+
INDEX($A378:$BM378,,$BV$17)*$BW$17+
INDEX($A378:$BM378,,$BV$18)*$BW$18+
INDEX($A378:$BM378,,$BV$19)*$BW$19+
INDEX($A378:$BM378,,$BV$20)*$BW$20+
INDEX($A378:$BM378,,$BV$21)*$BW$21+
INDEX($A378:$BM378,,$BV$22)*$BW$22+
INDEX($A378:$BM378,,$BV$23)*$BW$23+
INDEX($A378:$BM378,,$BV$25)*$BW$25+
INDEX($A378:$BM378,,$BV$26)*$BW$26+
INDEX($A378:$BM378,,$BV$27)*$BW$27+
$BN378)),
$BN378-100)</f>
        <v>-100</v>
      </c>
      <c r="BF378" t="str">
        <f t="shared" si="75"/>
        <v/>
      </c>
      <c r="BG378" t="str">
        <f t="shared" si="76"/>
        <v/>
      </c>
      <c r="BH378">
        <f t="shared" si="77"/>
        <v>0</v>
      </c>
      <c r="BJ378" t="str">
        <f t="shared" si="78"/>
        <v/>
      </c>
      <c r="BL378">
        <f t="shared" si="80"/>
        <v>0</v>
      </c>
      <c r="BN378">
        <v>3.7699999999999999E-3</v>
      </c>
      <c r="BS378" s="4" t="s">
        <v>1815</v>
      </c>
    </row>
    <row r="379" spans="1:71" ht="15.75" thickBot="1" x14ac:dyDescent="0.3">
      <c r="A379" s="569" t="s">
        <v>1432</v>
      </c>
      <c r="B379" s="569" t="s">
        <v>152</v>
      </c>
      <c r="C379" s="569" t="s">
        <v>6</v>
      </c>
      <c r="D379" s="574">
        <v>14</v>
      </c>
      <c r="E379" s="569"/>
      <c r="F379" s="569"/>
      <c r="G379" s="569"/>
      <c r="H379" s="569"/>
      <c r="I379" s="574">
        <v>0</v>
      </c>
      <c r="J379" s="574">
        <v>0</v>
      </c>
      <c r="K379" s="574">
        <v>0</v>
      </c>
      <c r="L379" s="574">
        <v>47.9</v>
      </c>
      <c r="M379" s="574">
        <v>2.6</v>
      </c>
      <c r="N379" s="574">
        <v>521.29999999999995</v>
      </c>
      <c r="O379" s="574">
        <v>25.7</v>
      </c>
      <c r="P379" s="574">
        <v>0.8</v>
      </c>
      <c r="Q379" s="574">
        <v>139.4</v>
      </c>
      <c r="R379" s="569"/>
      <c r="S379" s="569"/>
      <c r="T379" s="569"/>
      <c r="U379" s="569"/>
      <c r="V379" s="569"/>
      <c r="W379" s="569"/>
      <c r="X379" s="569"/>
      <c r="Y379" s="569"/>
      <c r="Z379" s="569"/>
      <c r="AA379" s="569"/>
      <c r="AB379" s="569"/>
      <c r="AC379" s="569"/>
      <c r="AD379" s="569"/>
      <c r="AE379" s="569"/>
      <c r="AF379" s="569"/>
      <c r="AG379" s="569"/>
      <c r="AH379" s="569"/>
      <c r="AI379" s="569"/>
      <c r="AJ379" s="569"/>
      <c r="AK379" s="569"/>
      <c r="AL379" s="569"/>
      <c r="AM379" s="569"/>
      <c r="AN379" s="574">
        <v>85.5</v>
      </c>
      <c r="AO379">
        <v>378</v>
      </c>
      <c r="AP379" t="str">
        <f t="shared" si="79"/>
        <v/>
      </c>
      <c r="AQ379" t="str">
        <f t="shared" si="69"/>
        <v/>
      </c>
      <c r="AR379" s="430">
        <f>IFERROR(
IF(AP379="",-100,
IF($BV$2&gt;0, INDEX(Beersheet!$A:$U,MATCH(AP379,INDEX(Beersheet!$A:$U,0,FFARawStatProjections!$BV$2),0),$BV$3)+$BN379,
INDEX($A379:$BM379,,$BV$12)*$BW$12+
INDEX($A379:$BM379,,$BV$15)*$BW$15+
INDEX($A379:$BM379,,$BV$16)*$BW$16+
INDEX($A379:$BM379,,$BV$17)*$BW$17+
INDEX($A379:$BM379,,$BV$18)*$BW$18+
INDEX($A379:$BM379,,$BV$19)*$BW$19+
INDEX($A379:$BM379,,$BV$20)*$BW$20+
INDEX($A379:$BM379,,$BV$21)*$BW$21+
INDEX($A379:$BM379,,$BV$22)*$BW$22+
INDEX($A379:$BM379,,$BV$23)*$BW$23+
INDEX($A379:$BM379,,$BV$25)*$BW$25+
INDEX($A379:$BM379,,$BV$26)*$BW$26+
INDEX($A379:$BM379,,$BV$27)*$BW$27+
$BN379)),
$BN379-100)</f>
        <v>-100</v>
      </c>
      <c r="AT379" t="str">
        <f t="shared" si="70"/>
        <v/>
      </c>
      <c r="AU379" t="str">
        <f t="shared" si="71"/>
        <v/>
      </c>
      <c r="AV379" s="430">
        <f>IFERROR(
IF(AT379="",-100,
IF($BV$2&gt;0, INDEX(Beersheet!$A:$U,MATCH(AT379,INDEX(Beersheet!$A:$U,0,FFARawStatProjections!$BV$2),0),$BV$3)+$BN379,
INDEX($A379:$BM379,,$BV$12)*$BW$12+
INDEX($A379:$BM379,,$BV$15)*$BW$15+
INDEX($A379:$BM379,,$BV$16)*$BW$16+
INDEX($A379:$BM379,,$BV$17)*$BW$17+
INDEX($A379:$BM379,,$BV$18)*$BW$18+
INDEX($A379:$BM379,,$BV$19)*$BW$19+
INDEX($A379:$BM379,,$BV$20)*$BW$20+
INDEX($A379:$BM379,,$BV$21)*$BW$21+
INDEX($A379:$BM379,,$BV$22)*$BW$22+
INDEX($A379:$BM379,,$BV$23)*$BW$23+
INDEX($A379:$BM379,,$BV$25)*$BW$25+
INDEX($A379:$BM379,,$BV$26)*$BW$26+
INDEX($A379:$BM379,,$BV$27)*$BW$27+
$BN379)),
$BN379-100)</f>
        <v>-100</v>
      </c>
      <c r="AX379" t="str">
        <f t="shared" si="72"/>
        <v>Curtis Samuel</v>
      </c>
      <c r="AY379" t="str">
        <f t="shared" si="73"/>
        <v>WAS</v>
      </c>
      <c r="AZ379" s="430">
        <f>IFERROR(
IF(AX379="",-100,
IF($BV$2&gt;0, INDEX(Beersheet!$A:$U,MATCH(AX379,INDEX(Beersheet!$A:$U,0,FFARawStatProjections!$BV$2),0),$BV$3)+$BN379,
INDEX($A379:$BM379,,$BV$12)*$BW$12+
INDEX($A379:$BM379,,$BV$15)*$BW$15+
INDEX($A379:$BM379,,$BV$16)*$BW$16+
INDEX($A379:$BM379,,$BV$17)*$BW$17+
INDEX($A379:$BM379,,$BV$18)*$BW$18+
INDEX($A379:$BM379,,$BV$19)*$BW$19+
INDEX($A379:$BM379,,$BV$20)*$BW$20+
INDEX($A379:$BM379,,$BV$21)*$BW$21+
INDEX($A379:$BM379,,$BV$22)*$BW$22+
INDEX($A379:$BM379,,$BV$23)*$BW$23+
INDEX($A379:$BM379,,$BV$25)*$BW$25+
INDEX($A379:$BM379,,$BV$26)*$BW$26+
INDEX($A379:$BM379,,$BV$27)*$BW$27+
$BN379)),
$BN379-100)</f>
        <v>134.37378000000001</v>
      </c>
      <c r="BB379" t="str">
        <f t="shared" si="74"/>
        <v/>
      </c>
      <c r="BC379" t="str">
        <f t="shared" si="68"/>
        <v/>
      </c>
      <c r="BD379" s="430">
        <f>IFERROR(
IF(BB379="",-100,
IF($BV$2&gt;0, INDEX(Beersheet!$A:$U,MATCH(BB379,INDEX(Beersheet!$A:$U,0,FFARawStatProjections!$BV$2),0),$BV$3)+$BN379,
INDEX($A379:$BM379,,$BV$12)*$BW$12+
INDEX($A379:$BM379,,$BV$15)*$BW$15+
INDEX($A379:$BM379,,$BV$16)*$BW$16+
INDEX($A379:$BM379,,$BV$17)*$BW$17+
INDEX($A379:$BM379,,$BV$18)*$BW$18+
INDEX($A379:$BM379,,$BV$19)*$BW$19+
INDEX($A379:$BM379,,$BV$20)*$BW$20+
INDEX($A379:$BM379,,$BV$21)*$BW$21+
INDEX($A379:$BM379,,$BV$22)*$BW$22+
INDEX($A379:$BM379,,$BV$23)*$BW$23+
INDEX($A379:$BM379,,$BV$25)*$BW$25+
INDEX($A379:$BM379,,$BV$26)*$BW$26+
INDEX($A379:$BM379,,$BV$27)*$BW$27+
$BN379)),
$BN379-100)</f>
        <v>-100</v>
      </c>
      <c r="BF379" t="str">
        <f t="shared" si="75"/>
        <v/>
      </c>
      <c r="BG379" t="str">
        <f t="shared" si="76"/>
        <v/>
      </c>
      <c r="BH379">
        <f t="shared" si="77"/>
        <v>0</v>
      </c>
      <c r="BJ379" t="str">
        <f t="shared" si="78"/>
        <v/>
      </c>
      <c r="BL379">
        <f t="shared" si="80"/>
        <v>0</v>
      </c>
      <c r="BN379">
        <v>3.7799999999999999E-3</v>
      </c>
      <c r="BS379" s="4" t="s">
        <v>2148</v>
      </c>
    </row>
    <row r="380" spans="1:71" ht="15.75" thickBot="1" x14ac:dyDescent="0.3">
      <c r="A380" s="569" t="s">
        <v>2101</v>
      </c>
      <c r="B380" s="569" t="s">
        <v>1389</v>
      </c>
      <c r="C380" s="569" t="s">
        <v>6</v>
      </c>
      <c r="D380" s="574">
        <v>10</v>
      </c>
      <c r="E380" s="569"/>
      <c r="F380" s="569"/>
      <c r="G380" s="569"/>
      <c r="H380" s="569"/>
      <c r="I380" s="574">
        <v>0</v>
      </c>
      <c r="J380" s="574">
        <v>0</v>
      </c>
      <c r="K380" s="574">
        <v>0</v>
      </c>
      <c r="L380" s="574">
        <v>42.5</v>
      </c>
      <c r="M380" s="574">
        <v>3.9</v>
      </c>
      <c r="N380" s="574">
        <v>613.29999999999995</v>
      </c>
      <c r="O380" s="574">
        <v>0.7</v>
      </c>
      <c r="P380" s="574">
        <v>0</v>
      </c>
      <c r="Q380" s="574">
        <v>5.0999999999999996</v>
      </c>
      <c r="R380" s="569"/>
      <c r="S380" s="569"/>
      <c r="T380" s="569"/>
      <c r="U380" s="569"/>
      <c r="V380" s="569"/>
      <c r="W380" s="569"/>
      <c r="X380" s="569"/>
      <c r="Y380" s="569"/>
      <c r="Z380" s="569"/>
      <c r="AA380" s="569"/>
      <c r="AB380" s="569"/>
      <c r="AC380" s="569"/>
      <c r="AD380" s="569"/>
      <c r="AE380" s="569"/>
      <c r="AF380" s="569"/>
      <c r="AG380" s="569"/>
      <c r="AH380" s="569"/>
      <c r="AI380" s="569"/>
      <c r="AJ380" s="569"/>
      <c r="AK380" s="569"/>
      <c r="AL380" s="569"/>
      <c r="AM380" s="569"/>
      <c r="AN380" s="574">
        <v>85</v>
      </c>
      <c r="AO380">
        <v>379</v>
      </c>
      <c r="AP380" t="str">
        <f t="shared" si="79"/>
        <v/>
      </c>
      <c r="AQ380" t="str">
        <f t="shared" si="69"/>
        <v/>
      </c>
      <c r="AR380" s="430">
        <f>IFERROR(
IF(AP380="",-100,
IF($BV$2&gt;0, INDEX(Beersheet!$A:$U,MATCH(AP380,INDEX(Beersheet!$A:$U,0,FFARawStatProjections!$BV$2),0),$BV$3)+$BN380,
INDEX($A380:$BM380,,$BV$12)*$BW$12+
INDEX($A380:$BM380,,$BV$15)*$BW$15+
INDEX($A380:$BM380,,$BV$16)*$BW$16+
INDEX($A380:$BM380,,$BV$17)*$BW$17+
INDEX($A380:$BM380,,$BV$18)*$BW$18+
INDEX($A380:$BM380,,$BV$19)*$BW$19+
INDEX($A380:$BM380,,$BV$20)*$BW$20+
INDEX($A380:$BM380,,$BV$21)*$BW$21+
INDEX($A380:$BM380,,$BV$22)*$BW$22+
INDEX($A380:$BM380,,$BV$23)*$BW$23+
INDEX($A380:$BM380,,$BV$25)*$BW$25+
INDEX($A380:$BM380,,$BV$26)*$BW$26+
INDEX($A380:$BM380,,$BV$27)*$BW$27+
$BN380)),
$BN380-100)</f>
        <v>-100</v>
      </c>
      <c r="AT380" t="str">
        <f t="shared" si="70"/>
        <v/>
      </c>
      <c r="AU380" t="str">
        <f t="shared" si="71"/>
        <v/>
      </c>
      <c r="AV380" s="430">
        <f>IFERROR(
IF(AT380="",-100,
IF($BV$2&gt;0, INDEX(Beersheet!$A:$U,MATCH(AT380,INDEX(Beersheet!$A:$U,0,FFARawStatProjections!$BV$2),0),$BV$3)+$BN380,
INDEX($A380:$BM380,,$BV$12)*$BW$12+
INDEX($A380:$BM380,,$BV$15)*$BW$15+
INDEX($A380:$BM380,,$BV$16)*$BW$16+
INDEX($A380:$BM380,,$BV$17)*$BW$17+
INDEX($A380:$BM380,,$BV$18)*$BW$18+
INDEX($A380:$BM380,,$BV$19)*$BW$19+
INDEX($A380:$BM380,,$BV$20)*$BW$20+
INDEX($A380:$BM380,,$BV$21)*$BW$21+
INDEX($A380:$BM380,,$BV$22)*$BW$22+
INDEX($A380:$BM380,,$BV$23)*$BW$23+
INDEX($A380:$BM380,,$BV$25)*$BW$25+
INDEX($A380:$BM380,,$BV$26)*$BW$26+
INDEX($A380:$BM380,,$BV$27)*$BW$27+
$BN380)),
$BN380-100)</f>
        <v>-100</v>
      </c>
      <c r="AX380" t="str">
        <f t="shared" si="72"/>
        <v>Van Jefferson</v>
      </c>
      <c r="AY380" t="str">
        <f t="shared" si="73"/>
        <v>LAR</v>
      </c>
      <c r="AZ380" s="430">
        <f>IFERROR(
IF(AX380="",-100,
IF($BV$2&gt;0, INDEX(Beersheet!$A:$U,MATCH(AX380,INDEX(Beersheet!$A:$U,0,FFARawStatProjections!$BV$2),0),$BV$3)+$BN380,
INDEX($A380:$BM380,,$BV$12)*$BW$12+
INDEX($A380:$BM380,,$BV$15)*$BW$15+
INDEX($A380:$BM380,,$BV$16)*$BW$16+
INDEX($A380:$BM380,,$BV$17)*$BW$17+
INDEX($A380:$BM380,,$BV$18)*$BW$18+
INDEX($A380:$BM380,,$BV$19)*$BW$19+
INDEX($A380:$BM380,,$BV$20)*$BW$20+
INDEX($A380:$BM380,,$BV$21)*$BW$21+
INDEX($A380:$BM380,,$BV$22)*$BW$22+
INDEX($A380:$BM380,,$BV$23)*$BW$23+
INDEX($A380:$BM380,,$BV$25)*$BW$25+
INDEX($A380:$BM380,,$BV$26)*$BW$26+
INDEX($A380:$BM380,,$BV$27)*$BW$27+
$BN380)),
$BN380-100)</f>
        <v>127.74379</v>
      </c>
      <c r="BB380" t="str">
        <f t="shared" si="74"/>
        <v/>
      </c>
      <c r="BC380" t="str">
        <f t="shared" si="68"/>
        <v/>
      </c>
      <c r="BD380" s="430">
        <f>IFERROR(
IF(BB380="",-100,
IF($BV$2&gt;0, INDEX(Beersheet!$A:$U,MATCH(BB380,INDEX(Beersheet!$A:$U,0,FFARawStatProjections!$BV$2),0),$BV$3)+$BN380,
INDEX($A380:$BM380,,$BV$12)*$BW$12+
INDEX($A380:$BM380,,$BV$15)*$BW$15+
INDEX($A380:$BM380,,$BV$16)*$BW$16+
INDEX($A380:$BM380,,$BV$17)*$BW$17+
INDEX($A380:$BM380,,$BV$18)*$BW$18+
INDEX($A380:$BM380,,$BV$19)*$BW$19+
INDEX($A380:$BM380,,$BV$20)*$BW$20+
INDEX($A380:$BM380,,$BV$21)*$BW$21+
INDEX($A380:$BM380,,$BV$22)*$BW$22+
INDEX($A380:$BM380,,$BV$23)*$BW$23+
INDEX($A380:$BM380,,$BV$25)*$BW$25+
INDEX($A380:$BM380,,$BV$26)*$BW$26+
INDEX($A380:$BM380,,$BV$27)*$BW$27+
$BN380)),
$BN380-100)</f>
        <v>-100</v>
      </c>
      <c r="BF380" t="str">
        <f t="shared" si="75"/>
        <v/>
      </c>
      <c r="BG380" t="str">
        <f t="shared" si="76"/>
        <v/>
      </c>
      <c r="BH380">
        <f t="shared" si="77"/>
        <v>0</v>
      </c>
      <c r="BJ380" t="str">
        <f t="shared" si="78"/>
        <v/>
      </c>
      <c r="BL380">
        <f t="shared" si="80"/>
        <v>0</v>
      </c>
      <c r="BN380">
        <v>3.79E-3</v>
      </c>
      <c r="BS380" s="4" t="s">
        <v>2463</v>
      </c>
    </row>
    <row r="381" spans="1:71" ht="15.75" thickBot="1" x14ac:dyDescent="0.3">
      <c r="A381" s="569" t="s">
        <v>2199</v>
      </c>
      <c r="B381" s="569" t="s">
        <v>161</v>
      </c>
      <c r="C381" s="569" t="s">
        <v>6</v>
      </c>
      <c r="D381" s="574">
        <v>5</v>
      </c>
      <c r="E381" s="569"/>
      <c r="F381" s="569"/>
      <c r="G381" s="569"/>
      <c r="H381" s="569"/>
      <c r="I381" s="574">
        <v>0</v>
      </c>
      <c r="J381" s="574">
        <v>0</v>
      </c>
      <c r="K381" s="574">
        <v>0</v>
      </c>
      <c r="L381" s="574">
        <v>44.3</v>
      </c>
      <c r="M381" s="574">
        <v>3.3</v>
      </c>
      <c r="N381" s="574">
        <v>601.20000000000005</v>
      </c>
      <c r="O381" s="574">
        <v>4.9000000000000004</v>
      </c>
      <c r="P381" s="574">
        <v>0.2</v>
      </c>
      <c r="Q381" s="574">
        <v>25</v>
      </c>
      <c r="R381" s="569"/>
      <c r="S381" s="569"/>
      <c r="T381" s="569"/>
      <c r="U381" s="569"/>
      <c r="V381" s="569"/>
      <c r="W381" s="569"/>
      <c r="X381" s="569"/>
      <c r="Y381" s="569"/>
      <c r="Z381" s="569"/>
      <c r="AA381" s="569"/>
      <c r="AB381" s="569"/>
      <c r="AC381" s="569"/>
      <c r="AD381" s="569"/>
      <c r="AE381" s="569"/>
      <c r="AF381" s="569"/>
      <c r="AG381" s="569"/>
      <c r="AH381" s="569"/>
      <c r="AI381" s="569"/>
      <c r="AJ381" s="569"/>
      <c r="AK381" s="569"/>
      <c r="AL381" s="569"/>
      <c r="AM381" s="569"/>
      <c r="AN381" s="574">
        <v>83.5</v>
      </c>
      <c r="AO381">
        <v>380</v>
      </c>
      <c r="AP381" t="str">
        <f t="shared" si="79"/>
        <v/>
      </c>
      <c r="AQ381" t="str">
        <f t="shared" si="69"/>
        <v/>
      </c>
      <c r="AR381" s="430">
        <f>IFERROR(
IF(AP381="",-100,
IF($BV$2&gt;0, INDEX(Beersheet!$A:$U,MATCH(AP381,INDEX(Beersheet!$A:$U,0,FFARawStatProjections!$BV$2),0),$BV$3)+$BN381,
INDEX($A381:$BM381,,$BV$12)*$BW$12+
INDEX($A381:$BM381,,$BV$15)*$BW$15+
INDEX($A381:$BM381,,$BV$16)*$BW$16+
INDEX($A381:$BM381,,$BV$17)*$BW$17+
INDEX($A381:$BM381,,$BV$18)*$BW$18+
INDEX($A381:$BM381,,$BV$19)*$BW$19+
INDEX($A381:$BM381,,$BV$20)*$BW$20+
INDEX($A381:$BM381,,$BV$21)*$BW$21+
INDEX($A381:$BM381,,$BV$22)*$BW$22+
INDEX($A381:$BM381,,$BV$23)*$BW$23+
INDEX($A381:$BM381,,$BV$25)*$BW$25+
INDEX($A381:$BM381,,$BV$26)*$BW$26+
INDEX($A381:$BM381,,$BV$27)*$BW$27+
$BN381)),
$BN381-100)</f>
        <v>-100</v>
      </c>
      <c r="AT381" t="str">
        <f t="shared" si="70"/>
        <v/>
      </c>
      <c r="AU381" t="str">
        <f t="shared" si="71"/>
        <v/>
      </c>
      <c r="AV381" s="430">
        <f>IFERROR(
IF(AT381="",-100,
IF($BV$2&gt;0, INDEX(Beersheet!$A:$U,MATCH(AT381,INDEX(Beersheet!$A:$U,0,FFARawStatProjections!$BV$2),0),$BV$3)+$BN381,
INDEX($A381:$BM381,,$BV$12)*$BW$12+
INDEX($A381:$BM381,,$BV$15)*$BW$15+
INDEX($A381:$BM381,,$BV$16)*$BW$16+
INDEX($A381:$BM381,,$BV$17)*$BW$17+
INDEX($A381:$BM381,,$BV$18)*$BW$18+
INDEX($A381:$BM381,,$BV$19)*$BW$19+
INDEX($A381:$BM381,,$BV$20)*$BW$20+
INDEX($A381:$BM381,,$BV$21)*$BW$21+
INDEX($A381:$BM381,,$BV$22)*$BW$22+
INDEX($A381:$BM381,,$BV$23)*$BW$23+
INDEX($A381:$BM381,,$BV$25)*$BW$25+
INDEX($A381:$BM381,,$BV$26)*$BW$26+
INDEX($A381:$BM381,,$BV$27)*$BW$27+
$BN381)),
$BN381-100)</f>
        <v>-100</v>
      </c>
      <c r="AX381" t="str">
        <f t="shared" si="72"/>
        <v>Elijah Moore</v>
      </c>
      <c r="AY381" t="str">
        <f t="shared" si="73"/>
        <v>CLE</v>
      </c>
      <c r="AZ381" s="430">
        <f>IFERROR(
IF(AX381="",-100,
IF($BV$2&gt;0, INDEX(Beersheet!$A:$U,MATCH(AX381,INDEX(Beersheet!$A:$U,0,FFARawStatProjections!$BV$2),0),$BV$3)+$BN381,
INDEX($A381:$BM381,,$BV$12)*$BW$12+
INDEX($A381:$BM381,,$BV$15)*$BW$15+
INDEX($A381:$BM381,,$BV$16)*$BW$16+
INDEX($A381:$BM381,,$BV$17)*$BW$17+
INDEX($A381:$BM381,,$BV$18)*$BW$18+
INDEX($A381:$BM381,,$BV$19)*$BW$19+
INDEX($A381:$BM381,,$BV$20)*$BW$20+
INDEX($A381:$BM381,,$BV$21)*$BW$21+
INDEX($A381:$BM381,,$BV$22)*$BW$22+
INDEX($A381:$BM381,,$BV$23)*$BW$23+
INDEX($A381:$BM381,,$BV$25)*$BW$25+
INDEX($A381:$BM381,,$BV$26)*$BW$26+
INDEX($A381:$BM381,,$BV$27)*$BW$27+
$BN381)),
$BN381-100)</f>
        <v>127.9238</v>
      </c>
      <c r="BB381" t="str">
        <f t="shared" si="74"/>
        <v/>
      </c>
      <c r="BC381" t="str">
        <f t="shared" si="68"/>
        <v/>
      </c>
      <c r="BD381" s="430">
        <f>IFERROR(
IF(BB381="",-100,
IF($BV$2&gt;0, INDEX(Beersheet!$A:$U,MATCH(BB381,INDEX(Beersheet!$A:$U,0,FFARawStatProjections!$BV$2),0),$BV$3)+$BN381,
INDEX($A381:$BM381,,$BV$12)*$BW$12+
INDEX($A381:$BM381,,$BV$15)*$BW$15+
INDEX($A381:$BM381,,$BV$16)*$BW$16+
INDEX($A381:$BM381,,$BV$17)*$BW$17+
INDEX($A381:$BM381,,$BV$18)*$BW$18+
INDEX($A381:$BM381,,$BV$19)*$BW$19+
INDEX($A381:$BM381,,$BV$20)*$BW$20+
INDEX($A381:$BM381,,$BV$21)*$BW$21+
INDEX($A381:$BM381,,$BV$22)*$BW$22+
INDEX($A381:$BM381,,$BV$23)*$BW$23+
INDEX($A381:$BM381,,$BV$25)*$BW$25+
INDEX($A381:$BM381,,$BV$26)*$BW$26+
INDEX($A381:$BM381,,$BV$27)*$BW$27+
$BN381)),
$BN381-100)</f>
        <v>-100</v>
      </c>
      <c r="BF381" t="str">
        <f t="shared" si="75"/>
        <v/>
      </c>
      <c r="BG381" t="str">
        <f t="shared" si="76"/>
        <v/>
      </c>
      <c r="BH381">
        <f t="shared" si="77"/>
        <v>0</v>
      </c>
      <c r="BJ381" t="str">
        <f t="shared" si="78"/>
        <v/>
      </c>
      <c r="BL381">
        <f t="shared" si="80"/>
        <v>0</v>
      </c>
      <c r="BN381">
        <v>3.8E-3</v>
      </c>
      <c r="BS381" s="4" t="s">
        <v>2462</v>
      </c>
    </row>
    <row r="382" spans="1:71" ht="15.75" thickBot="1" x14ac:dyDescent="0.3">
      <c r="A382" s="569" t="s">
        <v>2110</v>
      </c>
      <c r="B382" s="569" t="s">
        <v>161</v>
      </c>
      <c r="C382" s="569" t="s">
        <v>6</v>
      </c>
      <c r="D382" s="574">
        <v>5</v>
      </c>
      <c r="E382" s="569"/>
      <c r="F382" s="569"/>
      <c r="G382" s="569"/>
      <c r="H382" s="569"/>
      <c r="I382" s="574">
        <v>0</v>
      </c>
      <c r="J382" s="574">
        <v>0</v>
      </c>
      <c r="K382" s="574">
        <v>0</v>
      </c>
      <c r="L382" s="574">
        <v>44.2</v>
      </c>
      <c r="M382" s="574">
        <v>3.2</v>
      </c>
      <c r="N382" s="574">
        <v>650.70000000000005</v>
      </c>
      <c r="O382" s="574">
        <v>0.4</v>
      </c>
      <c r="P382" s="574">
        <v>0</v>
      </c>
      <c r="Q382" s="574">
        <v>0.5</v>
      </c>
      <c r="R382" s="569"/>
      <c r="S382" s="569"/>
      <c r="T382" s="569"/>
      <c r="U382" s="569"/>
      <c r="V382" s="569"/>
      <c r="W382" s="569"/>
      <c r="X382" s="569"/>
      <c r="Y382" s="569"/>
      <c r="Z382" s="569"/>
      <c r="AA382" s="569"/>
      <c r="AB382" s="569"/>
      <c r="AC382" s="569"/>
      <c r="AD382" s="569"/>
      <c r="AE382" s="569"/>
      <c r="AF382" s="569"/>
      <c r="AG382" s="569"/>
      <c r="AH382" s="569"/>
      <c r="AI382" s="569"/>
      <c r="AJ382" s="569"/>
      <c r="AK382" s="569"/>
      <c r="AL382" s="569"/>
      <c r="AM382" s="569"/>
      <c r="AN382" s="574">
        <v>82.9</v>
      </c>
      <c r="AO382">
        <v>381</v>
      </c>
      <c r="AP382" t="str">
        <f t="shared" si="79"/>
        <v/>
      </c>
      <c r="AQ382" t="str">
        <f t="shared" si="69"/>
        <v/>
      </c>
      <c r="AR382" s="430">
        <f>IFERROR(
IF(AP382="",-100,
IF($BV$2&gt;0, INDEX(Beersheet!$A:$U,MATCH(AP382,INDEX(Beersheet!$A:$U,0,FFARawStatProjections!$BV$2),0),$BV$3)+$BN382,
INDEX($A382:$BM382,,$BV$12)*$BW$12+
INDEX($A382:$BM382,,$BV$15)*$BW$15+
INDEX($A382:$BM382,,$BV$16)*$BW$16+
INDEX($A382:$BM382,,$BV$17)*$BW$17+
INDEX($A382:$BM382,,$BV$18)*$BW$18+
INDEX($A382:$BM382,,$BV$19)*$BW$19+
INDEX($A382:$BM382,,$BV$20)*$BW$20+
INDEX($A382:$BM382,,$BV$21)*$BW$21+
INDEX($A382:$BM382,,$BV$22)*$BW$22+
INDEX($A382:$BM382,,$BV$23)*$BW$23+
INDEX($A382:$BM382,,$BV$25)*$BW$25+
INDEX($A382:$BM382,,$BV$26)*$BW$26+
INDEX($A382:$BM382,,$BV$27)*$BW$27+
$BN382)),
$BN382-100)</f>
        <v>-100</v>
      </c>
      <c r="AT382" t="str">
        <f t="shared" si="70"/>
        <v/>
      </c>
      <c r="AU382" t="str">
        <f t="shared" si="71"/>
        <v/>
      </c>
      <c r="AV382" s="430">
        <f>IFERROR(
IF(AT382="",-100,
IF($BV$2&gt;0, INDEX(Beersheet!$A:$U,MATCH(AT382,INDEX(Beersheet!$A:$U,0,FFARawStatProjections!$BV$2),0),$BV$3)+$BN382,
INDEX($A382:$BM382,,$BV$12)*$BW$12+
INDEX($A382:$BM382,,$BV$15)*$BW$15+
INDEX($A382:$BM382,,$BV$16)*$BW$16+
INDEX($A382:$BM382,,$BV$17)*$BW$17+
INDEX($A382:$BM382,,$BV$18)*$BW$18+
INDEX($A382:$BM382,,$BV$19)*$BW$19+
INDEX($A382:$BM382,,$BV$20)*$BW$20+
INDEX($A382:$BM382,,$BV$21)*$BW$21+
INDEX($A382:$BM382,,$BV$22)*$BW$22+
INDEX($A382:$BM382,,$BV$23)*$BW$23+
INDEX($A382:$BM382,,$BV$25)*$BW$25+
INDEX($A382:$BM382,,$BV$26)*$BW$26+
INDEX($A382:$BM382,,$BV$27)*$BW$27+
$BN382)),
$BN382-100)</f>
        <v>-100</v>
      </c>
      <c r="AX382" t="str">
        <f t="shared" si="72"/>
        <v>Donovan Peoples-Jones</v>
      </c>
      <c r="AY382" t="str">
        <f t="shared" si="73"/>
        <v>CLE</v>
      </c>
      <c r="AZ382" s="430">
        <f>IFERROR(
IF(AX382="",-100,
IF($BV$2&gt;0, INDEX(Beersheet!$A:$U,MATCH(AX382,INDEX(Beersheet!$A:$U,0,FFARawStatProjections!$BV$2),0),$BV$3)+$BN382,
INDEX($A382:$BM382,,$BV$12)*$BW$12+
INDEX($A382:$BM382,,$BV$15)*$BW$15+
INDEX($A382:$BM382,,$BV$16)*$BW$16+
INDEX($A382:$BM382,,$BV$17)*$BW$17+
INDEX($A382:$BM382,,$BV$18)*$BW$18+
INDEX($A382:$BM382,,$BV$19)*$BW$19+
INDEX($A382:$BM382,,$BV$20)*$BW$20+
INDEX($A382:$BM382,,$BV$21)*$BW$21+
INDEX($A382:$BM382,,$BV$22)*$BW$22+
INDEX($A382:$BM382,,$BV$23)*$BW$23+
INDEX($A382:$BM382,,$BV$25)*$BW$25+
INDEX($A382:$BM382,,$BV$26)*$BW$26+
INDEX($A382:$BM382,,$BV$27)*$BW$27+
$BN382)),
$BN382-100)</f>
        <v>128.52381000000003</v>
      </c>
      <c r="BB382" t="str">
        <f t="shared" si="74"/>
        <v/>
      </c>
      <c r="BC382" t="str">
        <f t="shared" si="68"/>
        <v/>
      </c>
      <c r="BD382" s="430">
        <f>IFERROR(
IF(BB382="",-100,
IF($BV$2&gt;0, INDEX(Beersheet!$A:$U,MATCH(BB382,INDEX(Beersheet!$A:$U,0,FFARawStatProjections!$BV$2),0),$BV$3)+$BN382,
INDEX($A382:$BM382,,$BV$12)*$BW$12+
INDEX($A382:$BM382,,$BV$15)*$BW$15+
INDEX($A382:$BM382,,$BV$16)*$BW$16+
INDEX($A382:$BM382,,$BV$17)*$BW$17+
INDEX($A382:$BM382,,$BV$18)*$BW$18+
INDEX($A382:$BM382,,$BV$19)*$BW$19+
INDEX($A382:$BM382,,$BV$20)*$BW$20+
INDEX($A382:$BM382,,$BV$21)*$BW$21+
INDEX($A382:$BM382,,$BV$22)*$BW$22+
INDEX($A382:$BM382,,$BV$23)*$BW$23+
INDEX($A382:$BM382,,$BV$25)*$BW$25+
INDEX($A382:$BM382,,$BV$26)*$BW$26+
INDEX($A382:$BM382,,$BV$27)*$BW$27+
$BN382)),
$BN382-100)</f>
        <v>-100</v>
      </c>
      <c r="BF382" t="str">
        <f t="shared" si="75"/>
        <v/>
      </c>
      <c r="BG382" t="str">
        <f t="shared" si="76"/>
        <v/>
      </c>
      <c r="BH382">
        <f t="shared" si="77"/>
        <v>0</v>
      </c>
      <c r="BJ382" t="str">
        <f t="shared" si="78"/>
        <v/>
      </c>
      <c r="BL382">
        <f t="shared" si="80"/>
        <v>0</v>
      </c>
      <c r="BN382">
        <v>3.81E-3</v>
      </c>
      <c r="BS382" s="4" t="s">
        <v>1761</v>
      </c>
    </row>
    <row r="383" spans="1:71" ht="15.75" thickBot="1" x14ac:dyDescent="0.3">
      <c r="A383" s="569" t="s">
        <v>2222</v>
      </c>
      <c r="B383" s="569" t="s">
        <v>138</v>
      </c>
      <c r="C383" s="569" t="s">
        <v>6</v>
      </c>
      <c r="D383" s="574">
        <v>13</v>
      </c>
      <c r="E383" s="569"/>
      <c r="F383" s="569"/>
      <c r="G383" s="569"/>
      <c r="H383" s="569"/>
      <c r="I383" s="574">
        <v>0</v>
      </c>
      <c r="J383" s="574">
        <v>0</v>
      </c>
      <c r="K383" s="574">
        <v>0</v>
      </c>
      <c r="L383" s="574">
        <v>48.6</v>
      </c>
      <c r="M383" s="574">
        <v>4.2</v>
      </c>
      <c r="N383" s="574">
        <v>559.20000000000005</v>
      </c>
      <c r="O383" s="574">
        <v>3</v>
      </c>
      <c r="P383" s="574">
        <v>0.1</v>
      </c>
      <c r="Q383" s="574">
        <v>14.5</v>
      </c>
      <c r="R383" s="569"/>
      <c r="S383" s="569"/>
      <c r="T383" s="569"/>
      <c r="U383" s="569"/>
      <c r="V383" s="569"/>
      <c r="W383" s="569"/>
      <c r="X383" s="569"/>
      <c r="Y383" s="569"/>
      <c r="Z383" s="569"/>
      <c r="AA383" s="569"/>
      <c r="AB383" s="569"/>
      <c r="AC383" s="569"/>
      <c r="AD383" s="569"/>
      <c r="AE383" s="569"/>
      <c r="AF383" s="569"/>
      <c r="AG383" s="569"/>
      <c r="AH383" s="569"/>
      <c r="AI383" s="569"/>
      <c r="AJ383" s="569"/>
      <c r="AK383" s="569"/>
      <c r="AL383" s="569"/>
      <c r="AM383" s="569"/>
      <c r="AN383" s="574">
        <v>82.9</v>
      </c>
      <c r="AO383">
        <v>382</v>
      </c>
      <c r="AP383" t="str">
        <f t="shared" si="79"/>
        <v/>
      </c>
      <c r="AQ383" t="str">
        <f t="shared" si="69"/>
        <v/>
      </c>
      <c r="AR383" s="430">
        <f>IFERROR(
IF(AP383="",-100,
IF($BV$2&gt;0, INDEX(Beersheet!$A:$U,MATCH(AP383,INDEX(Beersheet!$A:$U,0,FFARawStatProjections!$BV$2),0),$BV$3)+$BN383,
INDEX($A383:$BM383,,$BV$12)*$BW$12+
INDEX($A383:$BM383,,$BV$15)*$BW$15+
INDEX($A383:$BM383,,$BV$16)*$BW$16+
INDEX($A383:$BM383,,$BV$17)*$BW$17+
INDEX($A383:$BM383,,$BV$18)*$BW$18+
INDEX($A383:$BM383,,$BV$19)*$BW$19+
INDEX($A383:$BM383,,$BV$20)*$BW$20+
INDEX($A383:$BM383,,$BV$21)*$BW$21+
INDEX($A383:$BM383,,$BV$22)*$BW$22+
INDEX($A383:$BM383,,$BV$23)*$BW$23+
INDEX($A383:$BM383,,$BV$25)*$BW$25+
INDEX($A383:$BM383,,$BV$26)*$BW$26+
INDEX($A383:$BM383,,$BV$27)*$BW$27+
$BN383)),
$BN383-100)</f>
        <v>-100</v>
      </c>
      <c r="AT383" t="str">
        <f t="shared" si="70"/>
        <v/>
      </c>
      <c r="AU383" t="str">
        <f t="shared" si="71"/>
        <v/>
      </c>
      <c r="AV383" s="430">
        <f>IFERROR(
IF(AT383="",-100,
IF($BV$2&gt;0, INDEX(Beersheet!$A:$U,MATCH(AT383,INDEX(Beersheet!$A:$U,0,FFARawStatProjections!$BV$2),0),$BV$3)+$BN383,
INDEX($A383:$BM383,,$BV$12)*$BW$12+
INDEX($A383:$BM383,,$BV$15)*$BW$15+
INDEX($A383:$BM383,,$BV$16)*$BW$16+
INDEX($A383:$BM383,,$BV$17)*$BW$17+
INDEX($A383:$BM383,,$BV$18)*$BW$18+
INDEX($A383:$BM383,,$BV$19)*$BW$19+
INDEX($A383:$BM383,,$BV$20)*$BW$20+
INDEX($A383:$BM383,,$BV$21)*$BW$21+
INDEX($A383:$BM383,,$BV$22)*$BW$22+
INDEX($A383:$BM383,,$BV$23)*$BW$23+
INDEX($A383:$BM383,,$BV$25)*$BW$25+
INDEX($A383:$BM383,,$BV$26)*$BW$26+
INDEX($A383:$BM383,,$BV$27)*$BW$27+
$BN383)),
$BN383-100)</f>
        <v>-100</v>
      </c>
      <c r="AX383" t="str">
        <f t="shared" si="72"/>
        <v>KJ Osborn</v>
      </c>
      <c r="AY383" t="str">
        <f t="shared" si="73"/>
        <v>MIN</v>
      </c>
      <c r="AZ383" s="430">
        <f>IFERROR(
IF(AX383="",-100,
IF($BV$2&gt;0, INDEX(Beersheet!$A:$U,MATCH(AX383,INDEX(Beersheet!$A:$U,0,FFARawStatProjections!$BV$2),0),$BV$3)+$BN383,
INDEX($A383:$BM383,,$BV$12)*$BW$12+
INDEX($A383:$BM383,,$BV$15)*$BW$15+
INDEX($A383:$BM383,,$BV$16)*$BW$16+
INDEX($A383:$BM383,,$BV$17)*$BW$17+
INDEX($A383:$BM383,,$BV$18)*$BW$18+
INDEX($A383:$BM383,,$BV$19)*$BW$19+
INDEX($A383:$BM383,,$BV$20)*$BW$20+
INDEX($A383:$BM383,,$BV$21)*$BW$21+
INDEX($A383:$BM383,,$BV$22)*$BW$22+
INDEX($A383:$BM383,,$BV$23)*$BW$23+
INDEX($A383:$BM383,,$BV$25)*$BW$25+
INDEX($A383:$BM383,,$BV$26)*$BW$26+
INDEX($A383:$BM383,,$BV$27)*$BW$27+
$BN383)),
$BN383-100)</f>
        <v>131.77382</v>
      </c>
      <c r="BB383" t="str">
        <f t="shared" si="74"/>
        <v/>
      </c>
      <c r="BC383" t="str">
        <f t="shared" si="68"/>
        <v/>
      </c>
      <c r="BD383" s="430">
        <f>IFERROR(
IF(BB383="",-100,
IF($BV$2&gt;0, INDEX(Beersheet!$A:$U,MATCH(BB383,INDEX(Beersheet!$A:$U,0,FFARawStatProjections!$BV$2),0),$BV$3)+$BN383,
INDEX($A383:$BM383,,$BV$12)*$BW$12+
INDEX($A383:$BM383,,$BV$15)*$BW$15+
INDEX($A383:$BM383,,$BV$16)*$BW$16+
INDEX($A383:$BM383,,$BV$17)*$BW$17+
INDEX($A383:$BM383,,$BV$18)*$BW$18+
INDEX($A383:$BM383,,$BV$19)*$BW$19+
INDEX($A383:$BM383,,$BV$20)*$BW$20+
INDEX($A383:$BM383,,$BV$21)*$BW$21+
INDEX($A383:$BM383,,$BV$22)*$BW$22+
INDEX($A383:$BM383,,$BV$23)*$BW$23+
INDEX($A383:$BM383,,$BV$25)*$BW$25+
INDEX($A383:$BM383,,$BV$26)*$BW$26+
INDEX($A383:$BM383,,$BV$27)*$BW$27+
$BN383)),
$BN383-100)</f>
        <v>-100</v>
      </c>
      <c r="BF383" t="str">
        <f t="shared" si="75"/>
        <v/>
      </c>
      <c r="BG383" t="str">
        <f t="shared" si="76"/>
        <v/>
      </c>
      <c r="BH383">
        <f t="shared" si="77"/>
        <v>0</v>
      </c>
      <c r="BJ383" t="str">
        <f t="shared" si="78"/>
        <v/>
      </c>
      <c r="BL383">
        <f t="shared" si="80"/>
        <v>0</v>
      </c>
      <c r="BN383">
        <v>3.82E-3</v>
      </c>
      <c r="BS383" s="4" t="s">
        <v>2461</v>
      </c>
    </row>
    <row r="384" spans="1:71" ht="15.75" thickBot="1" x14ac:dyDescent="0.3">
      <c r="A384" s="569" t="s">
        <v>1884</v>
      </c>
      <c r="B384" s="569" t="s">
        <v>2073</v>
      </c>
      <c r="C384" s="569" t="s">
        <v>6</v>
      </c>
      <c r="D384" s="574">
        <v>13</v>
      </c>
      <c r="E384" s="569"/>
      <c r="F384" s="569"/>
      <c r="G384" s="569"/>
      <c r="H384" s="569"/>
      <c r="I384" s="574">
        <v>0</v>
      </c>
      <c r="J384" s="574">
        <v>0</v>
      </c>
      <c r="K384" s="574">
        <v>0</v>
      </c>
      <c r="L384" s="574">
        <v>60.6</v>
      </c>
      <c r="M384" s="574">
        <v>3.6</v>
      </c>
      <c r="N384" s="574">
        <v>603.9</v>
      </c>
      <c r="O384" s="574">
        <v>0.4</v>
      </c>
      <c r="P384" s="574">
        <v>0</v>
      </c>
      <c r="Q384" s="574">
        <v>3.8</v>
      </c>
      <c r="R384" s="569"/>
      <c r="S384" s="569"/>
      <c r="T384" s="569"/>
      <c r="U384" s="569"/>
      <c r="V384" s="569"/>
      <c r="W384" s="569"/>
      <c r="X384" s="569"/>
      <c r="Y384" s="569"/>
      <c r="Z384" s="569"/>
      <c r="AA384" s="569"/>
      <c r="AB384" s="569"/>
      <c r="AC384" s="569"/>
      <c r="AD384" s="569"/>
      <c r="AE384" s="569"/>
      <c r="AF384" s="569"/>
      <c r="AG384" s="569"/>
      <c r="AH384" s="569"/>
      <c r="AI384" s="569"/>
      <c r="AJ384" s="569"/>
      <c r="AK384" s="569"/>
      <c r="AL384" s="569"/>
      <c r="AM384" s="569"/>
      <c r="AN384" s="574">
        <v>80.900000000000006</v>
      </c>
      <c r="AO384">
        <v>383</v>
      </c>
      <c r="AP384" t="str">
        <f t="shared" si="79"/>
        <v/>
      </c>
      <c r="AQ384" t="str">
        <f t="shared" si="69"/>
        <v/>
      </c>
      <c r="AR384" s="430">
        <f>IFERROR(
IF(AP384="",-100,
IF($BV$2&gt;0, INDEX(Beersheet!$A:$U,MATCH(AP384,INDEX(Beersheet!$A:$U,0,FFARawStatProjections!$BV$2),0),$BV$3)+$BN384,
INDEX($A384:$BM384,,$BV$12)*$BW$12+
INDEX($A384:$BM384,,$BV$15)*$BW$15+
INDEX($A384:$BM384,,$BV$16)*$BW$16+
INDEX($A384:$BM384,,$BV$17)*$BW$17+
INDEX($A384:$BM384,,$BV$18)*$BW$18+
INDEX($A384:$BM384,,$BV$19)*$BW$19+
INDEX($A384:$BM384,,$BV$20)*$BW$20+
INDEX($A384:$BM384,,$BV$21)*$BW$21+
INDEX($A384:$BM384,,$BV$22)*$BW$22+
INDEX($A384:$BM384,,$BV$23)*$BW$23+
INDEX($A384:$BM384,,$BV$25)*$BW$25+
INDEX($A384:$BM384,,$BV$26)*$BW$26+
INDEX($A384:$BM384,,$BV$27)*$BW$27+
$BN384)),
$BN384-100)</f>
        <v>-100</v>
      </c>
      <c r="AT384" t="str">
        <f t="shared" si="70"/>
        <v/>
      </c>
      <c r="AU384" t="str">
        <f t="shared" si="71"/>
        <v/>
      </c>
      <c r="AV384" s="430">
        <f>IFERROR(
IF(AT384="",-100,
IF($BV$2&gt;0, INDEX(Beersheet!$A:$U,MATCH(AT384,INDEX(Beersheet!$A:$U,0,FFARawStatProjections!$BV$2),0),$BV$3)+$BN384,
INDEX($A384:$BM384,,$BV$12)*$BW$12+
INDEX($A384:$BM384,,$BV$15)*$BW$15+
INDEX($A384:$BM384,,$BV$16)*$BW$16+
INDEX($A384:$BM384,,$BV$17)*$BW$17+
INDEX($A384:$BM384,,$BV$18)*$BW$18+
INDEX($A384:$BM384,,$BV$19)*$BW$19+
INDEX($A384:$BM384,,$BV$20)*$BW$20+
INDEX($A384:$BM384,,$BV$21)*$BW$21+
INDEX($A384:$BM384,,$BV$22)*$BW$22+
INDEX($A384:$BM384,,$BV$23)*$BW$23+
INDEX($A384:$BM384,,$BV$25)*$BW$25+
INDEX($A384:$BM384,,$BV$26)*$BW$26+
INDEX($A384:$BM384,,$BV$27)*$BW$27+
$BN384)),
$BN384-100)</f>
        <v>-100</v>
      </c>
      <c r="AX384" t="str">
        <f t="shared" si="72"/>
        <v>Hunter Renfrow</v>
      </c>
      <c r="AY384" t="str">
        <f t="shared" si="73"/>
        <v>LV</v>
      </c>
      <c r="AZ384" s="430">
        <f>IFERROR(
IF(AX384="",-100,
IF($BV$2&gt;0, INDEX(Beersheet!$A:$U,MATCH(AX384,INDEX(Beersheet!$A:$U,0,FFARawStatProjections!$BV$2),0),$BV$3)+$BN384,
INDEX($A384:$BM384,,$BV$12)*$BW$12+
INDEX($A384:$BM384,,$BV$15)*$BW$15+
INDEX($A384:$BM384,,$BV$16)*$BW$16+
INDEX($A384:$BM384,,$BV$17)*$BW$17+
INDEX($A384:$BM384,,$BV$18)*$BW$18+
INDEX($A384:$BM384,,$BV$19)*$BW$19+
INDEX($A384:$BM384,,$BV$20)*$BW$20+
INDEX($A384:$BM384,,$BV$21)*$BW$21+
INDEX($A384:$BM384,,$BV$22)*$BW$22+
INDEX($A384:$BM384,,$BV$23)*$BW$23+
INDEX($A384:$BM384,,$BV$25)*$BW$25+
INDEX($A384:$BM384,,$BV$26)*$BW$26+
INDEX($A384:$BM384,,$BV$27)*$BW$27+
$BN384)),
$BN384-100)</f>
        <v>142.97382999999999</v>
      </c>
      <c r="BB384" t="str">
        <f t="shared" si="74"/>
        <v/>
      </c>
      <c r="BC384" t="str">
        <f t="shared" si="68"/>
        <v/>
      </c>
      <c r="BD384" s="430">
        <f>IFERROR(
IF(BB384="",-100,
IF($BV$2&gt;0, INDEX(Beersheet!$A:$U,MATCH(BB384,INDEX(Beersheet!$A:$U,0,FFARawStatProjections!$BV$2),0),$BV$3)+$BN384,
INDEX($A384:$BM384,,$BV$12)*$BW$12+
INDEX($A384:$BM384,,$BV$15)*$BW$15+
INDEX($A384:$BM384,,$BV$16)*$BW$16+
INDEX($A384:$BM384,,$BV$17)*$BW$17+
INDEX($A384:$BM384,,$BV$18)*$BW$18+
INDEX($A384:$BM384,,$BV$19)*$BW$19+
INDEX($A384:$BM384,,$BV$20)*$BW$20+
INDEX($A384:$BM384,,$BV$21)*$BW$21+
INDEX($A384:$BM384,,$BV$22)*$BW$22+
INDEX($A384:$BM384,,$BV$23)*$BW$23+
INDEX($A384:$BM384,,$BV$25)*$BW$25+
INDEX($A384:$BM384,,$BV$26)*$BW$26+
INDEX($A384:$BM384,,$BV$27)*$BW$27+
$BN384)),
$BN384-100)</f>
        <v>-100</v>
      </c>
      <c r="BF384" t="str">
        <f t="shared" si="75"/>
        <v/>
      </c>
      <c r="BG384" t="str">
        <f t="shared" si="76"/>
        <v/>
      </c>
      <c r="BH384">
        <f t="shared" si="77"/>
        <v>0</v>
      </c>
      <c r="BJ384" t="str">
        <f t="shared" si="78"/>
        <v/>
      </c>
      <c r="BL384">
        <f t="shared" si="80"/>
        <v>0</v>
      </c>
      <c r="BN384">
        <v>3.8300000000000001E-3</v>
      </c>
      <c r="BS384" s="4" t="s">
        <v>1853</v>
      </c>
    </row>
    <row r="385" spans="1:71" ht="15.75" thickBot="1" x14ac:dyDescent="0.3">
      <c r="A385" s="569" t="s">
        <v>2468</v>
      </c>
      <c r="B385" s="569" t="s">
        <v>139</v>
      </c>
      <c r="C385" s="569" t="s">
        <v>6</v>
      </c>
      <c r="D385" s="574">
        <v>6</v>
      </c>
      <c r="E385" s="569"/>
      <c r="F385" s="569"/>
      <c r="G385" s="569"/>
      <c r="H385" s="569"/>
      <c r="I385" s="574">
        <v>0</v>
      </c>
      <c r="J385" s="574">
        <v>0</v>
      </c>
      <c r="K385" s="574">
        <v>0</v>
      </c>
      <c r="L385" s="574">
        <v>47.9</v>
      </c>
      <c r="M385" s="574">
        <v>3.1</v>
      </c>
      <c r="N385" s="574">
        <v>603.6</v>
      </c>
      <c r="O385" s="574">
        <v>2.4</v>
      </c>
      <c r="P385" s="574">
        <v>0.1</v>
      </c>
      <c r="Q385" s="574">
        <v>16.600000000000001</v>
      </c>
      <c r="R385" s="569"/>
      <c r="S385" s="569"/>
      <c r="T385" s="569"/>
      <c r="U385" s="569"/>
      <c r="V385" s="569"/>
      <c r="W385" s="569"/>
      <c r="X385" s="569"/>
      <c r="Y385" s="569"/>
      <c r="Z385" s="569"/>
      <c r="AA385" s="569"/>
      <c r="AB385" s="569"/>
      <c r="AC385" s="569"/>
      <c r="AD385" s="569"/>
      <c r="AE385" s="569"/>
      <c r="AF385" s="569"/>
      <c r="AG385" s="569"/>
      <c r="AH385" s="569"/>
      <c r="AI385" s="569"/>
      <c r="AJ385" s="569"/>
      <c r="AK385" s="569"/>
      <c r="AL385" s="569"/>
      <c r="AM385" s="569"/>
      <c r="AN385" s="574">
        <v>80.5</v>
      </c>
      <c r="AO385">
        <v>384</v>
      </c>
      <c r="AP385" t="str">
        <f t="shared" si="79"/>
        <v/>
      </c>
      <c r="AQ385" t="str">
        <f t="shared" si="69"/>
        <v/>
      </c>
      <c r="AR385" s="430">
        <f>IFERROR(
IF(AP385="",-100,
IF($BV$2&gt;0, INDEX(Beersheet!$A:$U,MATCH(AP385,INDEX(Beersheet!$A:$U,0,FFARawStatProjections!$BV$2),0),$BV$3)+$BN385,
INDEX($A385:$BM385,,$BV$12)*$BW$12+
INDEX($A385:$BM385,,$BV$15)*$BW$15+
INDEX($A385:$BM385,,$BV$16)*$BW$16+
INDEX($A385:$BM385,,$BV$17)*$BW$17+
INDEX($A385:$BM385,,$BV$18)*$BW$18+
INDEX($A385:$BM385,,$BV$19)*$BW$19+
INDEX($A385:$BM385,,$BV$20)*$BW$20+
INDEX($A385:$BM385,,$BV$21)*$BW$21+
INDEX($A385:$BM385,,$BV$22)*$BW$22+
INDEX($A385:$BM385,,$BV$23)*$BW$23+
INDEX($A385:$BM385,,$BV$25)*$BW$25+
INDEX($A385:$BM385,,$BV$26)*$BW$26+
INDEX($A385:$BM385,,$BV$27)*$BW$27+
$BN385)),
$BN385-100)</f>
        <v>-100</v>
      </c>
      <c r="AT385" t="str">
        <f t="shared" si="70"/>
        <v/>
      </c>
      <c r="AU385" t="str">
        <f t="shared" si="71"/>
        <v/>
      </c>
      <c r="AV385" s="430">
        <f>IFERROR(
IF(AT385="",-100,
IF($BV$2&gt;0, INDEX(Beersheet!$A:$U,MATCH(AT385,INDEX(Beersheet!$A:$U,0,FFARawStatProjections!$BV$2),0),$BV$3)+$BN385,
INDEX($A385:$BM385,,$BV$12)*$BW$12+
INDEX($A385:$BM385,,$BV$15)*$BW$15+
INDEX($A385:$BM385,,$BV$16)*$BW$16+
INDEX($A385:$BM385,,$BV$17)*$BW$17+
INDEX($A385:$BM385,,$BV$18)*$BW$18+
INDEX($A385:$BM385,,$BV$19)*$BW$19+
INDEX($A385:$BM385,,$BV$20)*$BW$20+
INDEX($A385:$BM385,,$BV$21)*$BW$21+
INDEX($A385:$BM385,,$BV$22)*$BW$22+
INDEX($A385:$BM385,,$BV$23)*$BW$23+
INDEX($A385:$BM385,,$BV$25)*$BW$25+
INDEX($A385:$BM385,,$BV$26)*$BW$26+
INDEX($A385:$BM385,,$BV$27)*$BW$27+
$BN385)),
$BN385-100)</f>
        <v>-100</v>
      </c>
      <c r="AX385" t="str">
        <f t="shared" si="72"/>
        <v>Jayden Reed</v>
      </c>
      <c r="AY385" t="str">
        <f t="shared" si="73"/>
        <v>GB</v>
      </c>
      <c r="AZ385" s="430">
        <f>IFERROR(
IF(AX385="",-100,
IF($BV$2&gt;0, INDEX(Beersheet!$A:$U,MATCH(AX385,INDEX(Beersheet!$A:$U,0,FFARawStatProjections!$BV$2),0),$BV$3)+$BN385,
INDEX($A385:$BM385,,$BV$12)*$BW$12+
INDEX($A385:$BM385,,$BV$15)*$BW$15+
INDEX($A385:$BM385,,$BV$16)*$BW$16+
INDEX($A385:$BM385,,$BV$17)*$BW$17+
INDEX($A385:$BM385,,$BV$18)*$BW$18+
INDEX($A385:$BM385,,$BV$19)*$BW$19+
INDEX($A385:$BM385,,$BV$20)*$BW$20+
INDEX($A385:$BM385,,$BV$21)*$BW$21+
INDEX($A385:$BM385,,$BV$22)*$BW$22+
INDEX($A385:$BM385,,$BV$23)*$BW$23+
INDEX($A385:$BM385,,$BV$25)*$BW$25+
INDEX($A385:$BM385,,$BV$26)*$BW$26+
INDEX($A385:$BM385,,$BV$27)*$BW$27+
$BN385)),
$BN385-100)</f>
        <v>129.12384</v>
      </c>
      <c r="BB385" t="str">
        <f t="shared" si="74"/>
        <v/>
      </c>
      <c r="BC385" t="str">
        <f t="shared" si="68"/>
        <v/>
      </c>
      <c r="BD385" s="430">
        <f>IFERROR(
IF(BB385="",-100,
IF($BV$2&gt;0, INDEX(Beersheet!$A:$U,MATCH(BB385,INDEX(Beersheet!$A:$U,0,FFARawStatProjections!$BV$2),0),$BV$3)+$BN385,
INDEX($A385:$BM385,,$BV$12)*$BW$12+
INDEX($A385:$BM385,,$BV$15)*$BW$15+
INDEX($A385:$BM385,,$BV$16)*$BW$16+
INDEX($A385:$BM385,,$BV$17)*$BW$17+
INDEX($A385:$BM385,,$BV$18)*$BW$18+
INDEX($A385:$BM385,,$BV$19)*$BW$19+
INDEX($A385:$BM385,,$BV$20)*$BW$20+
INDEX($A385:$BM385,,$BV$21)*$BW$21+
INDEX($A385:$BM385,,$BV$22)*$BW$22+
INDEX($A385:$BM385,,$BV$23)*$BW$23+
INDEX($A385:$BM385,,$BV$25)*$BW$25+
INDEX($A385:$BM385,,$BV$26)*$BW$26+
INDEX($A385:$BM385,,$BV$27)*$BW$27+
$BN385)),
$BN385-100)</f>
        <v>-100</v>
      </c>
      <c r="BF385" t="str">
        <f t="shared" si="75"/>
        <v/>
      </c>
      <c r="BG385" t="str">
        <f t="shared" si="76"/>
        <v/>
      </c>
      <c r="BH385">
        <f t="shared" si="77"/>
        <v>0</v>
      </c>
      <c r="BJ385" t="str">
        <f t="shared" si="78"/>
        <v/>
      </c>
      <c r="BL385">
        <f t="shared" si="80"/>
        <v>0</v>
      </c>
      <c r="BN385">
        <v>3.8400000000000001E-3</v>
      </c>
      <c r="BS385" s="4" t="s">
        <v>2554</v>
      </c>
    </row>
    <row r="386" spans="1:71" ht="15.75" thickBot="1" x14ac:dyDescent="0.3">
      <c r="A386" s="569" t="s">
        <v>2325</v>
      </c>
      <c r="B386" s="569" t="s">
        <v>142</v>
      </c>
      <c r="C386" s="569" t="s">
        <v>6</v>
      </c>
      <c r="D386" s="574">
        <v>9</v>
      </c>
      <c r="E386" s="569"/>
      <c r="F386" s="569"/>
      <c r="G386" s="569"/>
      <c r="H386" s="569"/>
      <c r="I386" s="574">
        <v>0</v>
      </c>
      <c r="J386" s="574">
        <v>0</v>
      </c>
      <c r="K386" s="574">
        <v>0</v>
      </c>
      <c r="L386" s="574">
        <v>39</v>
      </c>
      <c r="M386" s="574">
        <v>3.1</v>
      </c>
      <c r="N386" s="574">
        <v>583.29999999999995</v>
      </c>
      <c r="O386" s="574">
        <v>1.9</v>
      </c>
      <c r="P386" s="574">
        <v>0.1</v>
      </c>
      <c r="Q386" s="574">
        <v>20.399999999999999</v>
      </c>
      <c r="R386" s="569"/>
      <c r="S386" s="569"/>
      <c r="T386" s="569"/>
      <c r="U386" s="569"/>
      <c r="V386" s="569"/>
      <c r="W386" s="569"/>
      <c r="X386" s="569"/>
      <c r="Y386" s="569"/>
      <c r="Z386" s="569"/>
      <c r="AA386" s="569"/>
      <c r="AB386" s="569"/>
      <c r="AC386" s="569"/>
      <c r="AD386" s="569"/>
      <c r="AE386" s="569"/>
      <c r="AF386" s="569"/>
      <c r="AG386" s="569"/>
      <c r="AH386" s="569"/>
      <c r="AI386" s="569"/>
      <c r="AJ386" s="569"/>
      <c r="AK386" s="569"/>
      <c r="AL386" s="569"/>
      <c r="AM386" s="569"/>
      <c r="AN386" s="574">
        <v>78.8</v>
      </c>
      <c r="AO386">
        <v>385</v>
      </c>
      <c r="AP386" t="str">
        <f t="shared" si="79"/>
        <v/>
      </c>
      <c r="AQ386" t="str">
        <f t="shared" si="69"/>
        <v/>
      </c>
      <c r="AR386" s="430">
        <f>IFERROR(
IF(AP386="",-100,
IF($BV$2&gt;0, INDEX(Beersheet!$A:$U,MATCH(AP386,INDEX(Beersheet!$A:$U,0,FFARawStatProjections!$BV$2),0),$BV$3)+$BN386,
INDEX($A386:$BM386,,$BV$12)*$BW$12+
INDEX($A386:$BM386,,$BV$15)*$BW$15+
INDEX($A386:$BM386,,$BV$16)*$BW$16+
INDEX($A386:$BM386,,$BV$17)*$BW$17+
INDEX($A386:$BM386,,$BV$18)*$BW$18+
INDEX($A386:$BM386,,$BV$19)*$BW$19+
INDEX($A386:$BM386,,$BV$20)*$BW$20+
INDEX($A386:$BM386,,$BV$21)*$BW$21+
INDEX($A386:$BM386,,$BV$22)*$BW$22+
INDEX($A386:$BM386,,$BV$23)*$BW$23+
INDEX($A386:$BM386,,$BV$25)*$BW$25+
INDEX($A386:$BM386,,$BV$26)*$BW$26+
INDEX($A386:$BM386,,$BV$27)*$BW$27+
$BN386)),
$BN386-100)</f>
        <v>-100</v>
      </c>
      <c r="AT386" t="str">
        <f t="shared" si="70"/>
        <v/>
      </c>
      <c r="AU386" t="str">
        <f t="shared" si="71"/>
        <v/>
      </c>
      <c r="AV386" s="430">
        <f>IFERROR(
IF(AT386="",-100,
IF($BV$2&gt;0, INDEX(Beersheet!$A:$U,MATCH(AT386,INDEX(Beersheet!$A:$U,0,FFARawStatProjections!$BV$2),0),$BV$3)+$BN386,
INDEX($A386:$BM386,,$BV$12)*$BW$12+
INDEX($A386:$BM386,,$BV$15)*$BW$15+
INDEX($A386:$BM386,,$BV$16)*$BW$16+
INDEX($A386:$BM386,,$BV$17)*$BW$17+
INDEX($A386:$BM386,,$BV$18)*$BW$18+
INDEX($A386:$BM386,,$BV$19)*$BW$19+
INDEX($A386:$BM386,,$BV$20)*$BW$20+
INDEX($A386:$BM386,,$BV$21)*$BW$21+
INDEX($A386:$BM386,,$BV$22)*$BW$22+
INDEX($A386:$BM386,,$BV$23)*$BW$23+
INDEX($A386:$BM386,,$BV$25)*$BW$25+
INDEX($A386:$BM386,,$BV$26)*$BW$26+
INDEX($A386:$BM386,,$BV$27)*$BW$27+
$BN386)),
$BN386-100)</f>
        <v>-100</v>
      </c>
      <c r="AX386" t="str">
        <f t="shared" si="72"/>
        <v>Jameson Williams</v>
      </c>
      <c r="AY386" t="str">
        <f t="shared" si="73"/>
        <v>DET</v>
      </c>
      <c r="AZ386" s="430">
        <f>IFERROR(
IF(AX386="",-100,
IF($BV$2&gt;0, INDEX(Beersheet!$A:$U,MATCH(AX386,INDEX(Beersheet!$A:$U,0,FFARawStatProjections!$BV$2),0),$BV$3)+$BN386,
INDEX($A386:$BM386,,$BV$12)*$BW$12+
INDEX($A386:$BM386,,$BV$15)*$BW$15+
INDEX($A386:$BM386,,$BV$16)*$BW$16+
INDEX($A386:$BM386,,$BV$17)*$BW$17+
INDEX($A386:$BM386,,$BV$18)*$BW$18+
INDEX($A386:$BM386,,$BV$19)*$BW$19+
INDEX($A386:$BM386,,$BV$20)*$BW$20+
INDEX($A386:$BM386,,$BV$21)*$BW$21+
INDEX($A386:$BM386,,$BV$22)*$BW$22+
INDEX($A386:$BM386,,$BV$23)*$BW$23+
INDEX($A386:$BM386,,$BV$25)*$BW$25+
INDEX($A386:$BM386,,$BV$26)*$BW$26+
INDEX($A386:$BM386,,$BV$27)*$BW$27+
$BN386)),
$BN386-100)</f>
        <v>118.57385000000001</v>
      </c>
      <c r="BB386" t="str">
        <f t="shared" si="74"/>
        <v/>
      </c>
      <c r="BC386" t="str">
        <f t="shared" ref="BC386:BC449" si="81">IFERROR(IF(BB386="","",$B386),"")</f>
        <v/>
      </c>
      <c r="BD386" s="430">
        <f>IFERROR(
IF(BB386="",-100,
IF($BV$2&gt;0, INDEX(Beersheet!$A:$U,MATCH(BB386,INDEX(Beersheet!$A:$U,0,FFARawStatProjections!$BV$2),0),$BV$3)+$BN386,
INDEX($A386:$BM386,,$BV$12)*$BW$12+
INDEX($A386:$BM386,,$BV$15)*$BW$15+
INDEX($A386:$BM386,,$BV$16)*$BW$16+
INDEX($A386:$BM386,,$BV$17)*$BW$17+
INDEX($A386:$BM386,,$BV$18)*$BW$18+
INDEX($A386:$BM386,,$BV$19)*$BW$19+
INDEX($A386:$BM386,,$BV$20)*$BW$20+
INDEX($A386:$BM386,,$BV$21)*$BW$21+
INDEX($A386:$BM386,,$BV$22)*$BW$22+
INDEX($A386:$BM386,,$BV$23)*$BW$23+
INDEX($A386:$BM386,,$BV$25)*$BW$25+
INDEX($A386:$BM386,,$BV$26)*$BW$26+
INDEX($A386:$BM386,,$BV$27)*$BW$27+
$BN386)),
$BN386-100)</f>
        <v>-100</v>
      </c>
      <c r="BF386" t="str">
        <f t="shared" si="75"/>
        <v/>
      </c>
      <c r="BG386" t="str">
        <f t="shared" si="76"/>
        <v/>
      </c>
      <c r="BH386">
        <f t="shared" si="77"/>
        <v>0</v>
      </c>
      <c r="BJ386" t="str">
        <f t="shared" si="78"/>
        <v/>
      </c>
      <c r="BL386">
        <f t="shared" si="80"/>
        <v>0</v>
      </c>
      <c r="BN386">
        <v>3.8500000000000001E-3</v>
      </c>
      <c r="BS386" s="4" t="s">
        <v>2256</v>
      </c>
    </row>
    <row r="387" spans="1:71" ht="15.75" thickBot="1" x14ac:dyDescent="0.3">
      <c r="A387" s="569" t="s">
        <v>2421</v>
      </c>
      <c r="B387" s="569" t="s">
        <v>143</v>
      </c>
      <c r="C387" s="569" t="s">
        <v>6</v>
      </c>
      <c r="D387" s="574">
        <v>11</v>
      </c>
      <c r="E387" s="569"/>
      <c r="F387" s="569"/>
      <c r="G387" s="569"/>
      <c r="H387" s="569"/>
      <c r="I387" s="574">
        <v>0</v>
      </c>
      <c r="J387" s="574">
        <v>0</v>
      </c>
      <c r="K387" s="574">
        <v>0</v>
      </c>
      <c r="L387" s="574">
        <v>37.200000000000003</v>
      </c>
      <c r="M387" s="574">
        <v>2.4</v>
      </c>
      <c r="N387" s="574">
        <v>556.1</v>
      </c>
      <c r="O387" s="574">
        <v>3.6</v>
      </c>
      <c r="P387" s="574">
        <v>0.8</v>
      </c>
      <c r="Q387" s="574">
        <v>42.6</v>
      </c>
      <c r="R387" s="569"/>
      <c r="S387" s="569"/>
      <c r="T387" s="569"/>
      <c r="U387" s="569"/>
      <c r="V387" s="569"/>
      <c r="W387" s="569"/>
      <c r="X387" s="569"/>
      <c r="Y387" s="569"/>
      <c r="Z387" s="569"/>
      <c r="AA387" s="569"/>
      <c r="AB387" s="569"/>
      <c r="AC387" s="569"/>
      <c r="AD387" s="569"/>
      <c r="AE387" s="569"/>
      <c r="AF387" s="569"/>
      <c r="AG387" s="569"/>
      <c r="AH387" s="569"/>
      <c r="AI387" s="569"/>
      <c r="AJ387" s="569"/>
      <c r="AK387" s="569"/>
      <c r="AL387" s="569"/>
      <c r="AM387" s="569"/>
      <c r="AN387" s="574">
        <v>78.599999999999994</v>
      </c>
      <c r="AO387">
        <v>386</v>
      </c>
      <c r="AP387" t="str">
        <f t="shared" si="79"/>
        <v/>
      </c>
      <c r="AQ387" t="str">
        <f t="shared" ref="AQ387:AQ450" si="82">IFERROR(IF(AP387="","",$B387),"")</f>
        <v/>
      </c>
      <c r="AR387" s="430">
        <f>IFERROR(
IF(AP387="",-100,
IF($BV$2&gt;0, INDEX(Beersheet!$A:$U,MATCH(AP387,INDEX(Beersheet!$A:$U,0,FFARawStatProjections!$BV$2),0),$BV$3)+$BN387,
INDEX($A387:$BM387,,$BV$12)*$BW$12+
INDEX($A387:$BM387,,$BV$15)*$BW$15+
INDEX($A387:$BM387,,$BV$16)*$BW$16+
INDEX($A387:$BM387,,$BV$17)*$BW$17+
INDEX($A387:$BM387,,$BV$18)*$BW$18+
INDEX($A387:$BM387,,$BV$19)*$BW$19+
INDEX($A387:$BM387,,$BV$20)*$BW$20+
INDEX($A387:$BM387,,$BV$21)*$BW$21+
INDEX($A387:$BM387,,$BV$22)*$BW$22+
INDEX($A387:$BM387,,$BV$23)*$BW$23+
INDEX($A387:$BM387,,$BV$25)*$BW$25+
INDEX($A387:$BM387,,$BV$26)*$BW$26+
INDEX($A387:$BM387,,$BV$27)*$BW$27+
$BN387)),
$BN387-100)</f>
        <v>-100</v>
      </c>
      <c r="AT387" t="str">
        <f t="shared" ref="AT387:AT450" si="83">IF($C387 = "RB", $A387, "")</f>
        <v/>
      </c>
      <c r="AU387" t="str">
        <f t="shared" ref="AU387:AU450" si="84">IFERROR(IF(AT387="","",$B387),"")</f>
        <v/>
      </c>
      <c r="AV387" s="430">
        <f>IFERROR(
IF(AT387="",-100,
IF($BV$2&gt;0, INDEX(Beersheet!$A:$U,MATCH(AT387,INDEX(Beersheet!$A:$U,0,FFARawStatProjections!$BV$2),0),$BV$3)+$BN387,
INDEX($A387:$BM387,,$BV$12)*$BW$12+
INDEX($A387:$BM387,,$BV$15)*$BW$15+
INDEX($A387:$BM387,,$BV$16)*$BW$16+
INDEX($A387:$BM387,,$BV$17)*$BW$17+
INDEX($A387:$BM387,,$BV$18)*$BW$18+
INDEX($A387:$BM387,,$BV$19)*$BW$19+
INDEX($A387:$BM387,,$BV$20)*$BW$20+
INDEX($A387:$BM387,,$BV$21)*$BW$21+
INDEX($A387:$BM387,,$BV$22)*$BW$22+
INDEX($A387:$BM387,,$BV$23)*$BW$23+
INDEX($A387:$BM387,,$BV$25)*$BW$25+
INDEX($A387:$BM387,,$BV$26)*$BW$26+
INDEX($A387:$BM387,,$BV$27)*$BW$27+
$BN387)),
$BN387-100)</f>
        <v>-100</v>
      </c>
      <c r="AX387" t="str">
        <f t="shared" ref="AX387:AX450" si="85">IF($C387 = "WR", $A387, "")</f>
        <v>Rashid Shaheed</v>
      </c>
      <c r="AY387" t="str">
        <f t="shared" ref="AY387:AY450" si="86">IFERROR(IF(AX387="","",$B387),"")</f>
        <v>NO</v>
      </c>
      <c r="AZ387" s="430">
        <f>IFERROR(
IF(AX387="",-100,
IF($BV$2&gt;0, INDEX(Beersheet!$A:$U,MATCH(AX387,INDEX(Beersheet!$A:$U,0,FFARawStatProjections!$BV$2),0),$BV$3)+$BN387,
INDEX($A387:$BM387,,$BV$12)*$BW$12+
INDEX($A387:$BM387,,$BV$15)*$BW$15+
INDEX($A387:$BM387,,$BV$16)*$BW$16+
INDEX($A387:$BM387,,$BV$17)*$BW$17+
INDEX($A387:$BM387,,$BV$18)*$BW$18+
INDEX($A387:$BM387,,$BV$19)*$BW$19+
INDEX($A387:$BM387,,$BV$20)*$BW$20+
INDEX($A387:$BM387,,$BV$21)*$BW$21+
INDEX($A387:$BM387,,$BV$22)*$BW$22+
INDEX($A387:$BM387,,$BV$23)*$BW$23+
INDEX($A387:$BM387,,$BV$25)*$BW$25+
INDEX($A387:$BM387,,$BV$26)*$BW$26+
INDEX($A387:$BM387,,$BV$27)*$BW$27+
$BN387)),
$BN387-100)</f>
        <v>116.27386000000001</v>
      </c>
      <c r="BB387" t="str">
        <f t="shared" ref="BB387:BB450" si="87">IF($C387 = "TE", $A387, "")</f>
        <v/>
      </c>
      <c r="BC387" t="str">
        <f t="shared" si="81"/>
        <v/>
      </c>
      <c r="BD387" s="430">
        <f>IFERROR(
IF(BB387="",-100,
IF($BV$2&gt;0, INDEX(Beersheet!$A:$U,MATCH(BB387,INDEX(Beersheet!$A:$U,0,FFARawStatProjections!$BV$2),0),$BV$3)+$BN387,
INDEX($A387:$BM387,,$BV$12)*$BW$12+
INDEX($A387:$BM387,,$BV$15)*$BW$15+
INDEX($A387:$BM387,,$BV$16)*$BW$16+
INDEX($A387:$BM387,,$BV$17)*$BW$17+
INDEX($A387:$BM387,,$BV$18)*$BW$18+
INDEX($A387:$BM387,,$BV$19)*$BW$19+
INDEX($A387:$BM387,,$BV$20)*$BW$20+
INDEX($A387:$BM387,,$BV$21)*$BW$21+
INDEX($A387:$BM387,,$BV$22)*$BW$22+
INDEX($A387:$BM387,,$BV$23)*$BW$23+
INDEX($A387:$BM387,,$BV$25)*$BW$25+
INDEX($A387:$BM387,,$BV$26)*$BW$26+
INDEX($A387:$BM387,,$BV$27)*$BW$27+
$BN387)),
$BN387-100)</f>
        <v>-100</v>
      </c>
      <c r="BF387" t="str">
        <f t="shared" ref="BF387:BF450" si="88">IF($C387 = "K", $A387, "")</f>
        <v/>
      </c>
      <c r="BG387" t="str">
        <f t="shared" ref="BG387:BG450" si="89">IFERROR(IF(BF387="","",$B387),"")</f>
        <v/>
      </c>
      <c r="BH387">
        <f t="shared" ref="BH387:BH450" si="90">IFERROR(IF(BF387="",0,
AF387*3
+AG387*3
+AH387*3
+AI387*4
+AJ387*5
+BN387+AN387),"")</f>
        <v>0</v>
      </c>
      <c r="BJ387" t="str">
        <f t="shared" ref="BJ387:BJ450" si="91">IF($C387 = "DST", $A387, "")</f>
        <v/>
      </c>
      <c r="BL387">
        <f t="shared" si="80"/>
        <v>0</v>
      </c>
      <c r="BN387">
        <v>3.8600000000000001E-3</v>
      </c>
      <c r="BS387" s="4" t="s">
        <v>1444</v>
      </c>
    </row>
    <row r="388" spans="1:71" ht="15.75" thickBot="1" x14ac:dyDescent="0.3">
      <c r="A388" s="569" t="s">
        <v>2482</v>
      </c>
      <c r="B388" s="569" t="s">
        <v>154</v>
      </c>
      <c r="C388" s="569" t="s">
        <v>6</v>
      </c>
      <c r="D388" s="574">
        <v>13</v>
      </c>
      <c r="E388" s="569"/>
      <c r="F388" s="569"/>
      <c r="G388" s="569"/>
      <c r="H388" s="569"/>
      <c r="I388" s="574">
        <v>0</v>
      </c>
      <c r="J388" s="574">
        <v>0</v>
      </c>
      <c r="K388" s="574">
        <v>0</v>
      </c>
      <c r="L388" s="574">
        <v>47.3</v>
      </c>
      <c r="M388" s="574">
        <v>4.5999999999999996</v>
      </c>
      <c r="N388" s="574">
        <v>523.1</v>
      </c>
      <c r="O388" s="574">
        <v>0</v>
      </c>
      <c r="P388" s="574">
        <v>0</v>
      </c>
      <c r="Q388" s="574">
        <v>0.6</v>
      </c>
      <c r="R388" s="569"/>
      <c r="S388" s="569"/>
      <c r="T388" s="569"/>
      <c r="U388" s="569"/>
      <c r="V388" s="569"/>
      <c r="W388" s="569"/>
      <c r="X388" s="569"/>
      <c r="Y388" s="569"/>
      <c r="Z388" s="569"/>
      <c r="AA388" s="569"/>
      <c r="AB388" s="569"/>
      <c r="AC388" s="569"/>
      <c r="AD388" s="569"/>
      <c r="AE388" s="569"/>
      <c r="AF388" s="569"/>
      <c r="AG388" s="569"/>
      <c r="AH388" s="569"/>
      <c r="AI388" s="569"/>
      <c r="AJ388" s="569"/>
      <c r="AK388" s="569"/>
      <c r="AL388" s="569"/>
      <c r="AM388" s="569"/>
      <c r="AN388" s="574">
        <v>78.599999999999994</v>
      </c>
      <c r="AO388">
        <v>387</v>
      </c>
      <c r="AP388" t="str">
        <f t="shared" si="79"/>
        <v/>
      </c>
      <c r="AQ388" t="str">
        <f t="shared" si="82"/>
        <v/>
      </c>
      <c r="AR388" s="430">
        <f>IFERROR(
IF(AP388="",-100,
IF($BV$2&gt;0, INDEX(Beersheet!$A:$U,MATCH(AP388,INDEX(Beersheet!$A:$U,0,FFARawStatProjections!$BV$2),0),$BV$3)+$BN388,
INDEX($A388:$BM388,,$BV$12)*$BW$12+
INDEX($A388:$BM388,,$BV$15)*$BW$15+
INDEX($A388:$BM388,,$BV$16)*$BW$16+
INDEX($A388:$BM388,,$BV$17)*$BW$17+
INDEX($A388:$BM388,,$BV$18)*$BW$18+
INDEX($A388:$BM388,,$BV$19)*$BW$19+
INDEX($A388:$BM388,,$BV$20)*$BW$20+
INDEX($A388:$BM388,,$BV$21)*$BW$21+
INDEX($A388:$BM388,,$BV$22)*$BW$22+
INDEX($A388:$BM388,,$BV$23)*$BW$23+
INDEX($A388:$BM388,,$BV$25)*$BW$25+
INDEX($A388:$BM388,,$BV$26)*$BW$26+
INDEX($A388:$BM388,,$BV$27)*$BW$27+
$BN388)),
$BN388-100)</f>
        <v>-100</v>
      </c>
      <c r="AT388" t="str">
        <f t="shared" si="83"/>
        <v/>
      </c>
      <c r="AU388" t="str">
        <f t="shared" si="84"/>
        <v/>
      </c>
      <c r="AV388" s="430">
        <f>IFERROR(
IF(AT388="",-100,
IF($BV$2&gt;0, INDEX(Beersheet!$A:$U,MATCH(AT388,INDEX(Beersheet!$A:$U,0,FFARawStatProjections!$BV$2),0),$BV$3)+$BN388,
INDEX($A388:$BM388,,$BV$12)*$BW$12+
INDEX($A388:$BM388,,$BV$15)*$BW$15+
INDEX($A388:$BM388,,$BV$16)*$BW$16+
INDEX($A388:$BM388,,$BV$17)*$BW$17+
INDEX($A388:$BM388,,$BV$18)*$BW$18+
INDEX($A388:$BM388,,$BV$19)*$BW$19+
INDEX($A388:$BM388,,$BV$20)*$BW$20+
INDEX($A388:$BM388,,$BV$21)*$BW$21+
INDEX($A388:$BM388,,$BV$22)*$BW$22+
INDEX($A388:$BM388,,$BV$23)*$BW$23+
INDEX($A388:$BM388,,$BV$25)*$BW$25+
INDEX($A388:$BM388,,$BV$26)*$BW$26+
INDEX($A388:$BM388,,$BV$27)*$BW$27+
$BN388)),
$BN388-100)</f>
        <v>-100</v>
      </c>
      <c r="AX388" t="str">
        <f t="shared" si="85"/>
        <v>Isaiah Hodgins</v>
      </c>
      <c r="AY388" t="str">
        <f t="shared" si="86"/>
        <v>NYG</v>
      </c>
      <c r="AZ388" s="430">
        <f>IFERROR(
IF(AX388="",-100,
IF($BV$2&gt;0, INDEX(Beersheet!$A:$U,MATCH(AX388,INDEX(Beersheet!$A:$U,0,FFARawStatProjections!$BV$2),0),$BV$3)+$BN388,
INDEX($A388:$BM388,,$BV$12)*$BW$12+
INDEX($A388:$BM388,,$BV$15)*$BW$15+
INDEX($A388:$BM388,,$BV$16)*$BW$16+
INDEX($A388:$BM388,,$BV$17)*$BW$17+
INDEX($A388:$BM388,,$BV$18)*$BW$18+
INDEX($A388:$BM388,,$BV$19)*$BW$19+
INDEX($A388:$BM388,,$BV$20)*$BW$20+
INDEX($A388:$BM388,,$BV$21)*$BW$21+
INDEX($A388:$BM388,,$BV$22)*$BW$22+
INDEX($A388:$BM388,,$BV$23)*$BW$23+
INDEX($A388:$BM388,,$BV$25)*$BW$25+
INDEX($A388:$BM388,,$BV$26)*$BW$26+
INDEX($A388:$BM388,,$BV$27)*$BW$27+
$BN388)),
$BN388-100)</f>
        <v>127.27387</v>
      </c>
      <c r="BB388" t="str">
        <f t="shared" si="87"/>
        <v/>
      </c>
      <c r="BC388" t="str">
        <f t="shared" si="81"/>
        <v/>
      </c>
      <c r="BD388" s="430">
        <f>IFERROR(
IF(BB388="",-100,
IF($BV$2&gt;0, INDEX(Beersheet!$A:$U,MATCH(BB388,INDEX(Beersheet!$A:$U,0,FFARawStatProjections!$BV$2),0),$BV$3)+$BN388,
INDEX($A388:$BM388,,$BV$12)*$BW$12+
INDEX($A388:$BM388,,$BV$15)*$BW$15+
INDEX($A388:$BM388,,$BV$16)*$BW$16+
INDEX($A388:$BM388,,$BV$17)*$BW$17+
INDEX($A388:$BM388,,$BV$18)*$BW$18+
INDEX($A388:$BM388,,$BV$19)*$BW$19+
INDEX($A388:$BM388,,$BV$20)*$BW$20+
INDEX($A388:$BM388,,$BV$21)*$BW$21+
INDEX($A388:$BM388,,$BV$22)*$BW$22+
INDEX($A388:$BM388,,$BV$23)*$BW$23+
INDEX($A388:$BM388,,$BV$25)*$BW$25+
INDEX($A388:$BM388,,$BV$26)*$BW$26+
INDEX($A388:$BM388,,$BV$27)*$BW$27+
$BN388)),
$BN388-100)</f>
        <v>-100</v>
      </c>
      <c r="BF388" t="str">
        <f t="shared" si="88"/>
        <v/>
      </c>
      <c r="BG388" t="str">
        <f t="shared" si="89"/>
        <v/>
      </c>
      <c r="BH388">
        <f t="shared" si="90"/>
        <v>0</v>
      </c>
      <c r="BJ388" t="str">
        <f t="shared" si="91"/>
        <v/>
      </c>
      <c r="BL388">
        <f t="shared" si="80"/>
        <v>0</v>
      </c>
      <c r="BN388">
        <v>3.8700000000000002E-3</v>
      </c>
      <c r="BS388" s="4" t="s">
        <v>2460</v>
      </c>
    </row>
    <row r="389" spans="1:71" ht="15.75" thickBot="1" x14ac:dyDescent="0.3">
      <c r="A389" s="569" t="s">
        <v>2198</v>
      </c>
      <c r="B389" s="569" t="s">
        <v>162</v>
      </c>
      <c r="C389" s="569" t="s">
        <v>6</v>
      </c>
      <c r="D389" s="574">
        <v>13</v>
      </c>
      <c r="E389" s="569"/>
      <c r="F389" s="569"/>
      <c r="G389" s="569"/>
      <c r="H389" s="569"/>
      <c r="I389" s="574">
        <v>0</v>
      </c>
      <c r="J389" s="574">
        <v>0</v>
      </c>
      <c r="K389" s="574">
        <v>0</v>
      </c>
      <c r="L389" s="574">
        <v>40</v>
      </c>
      <c r="M389" s="574">
        <v>3.1</v>
      </c>
      <c r="N389" s="574">
        <v>607.79999999999995</v>
      </c>
      <c r="O389" s="574">
        <v>0</v>
      </c>
      <c r="P389" s="574">
        <v>0</v>
      </c>
      <c r="Q389" s="574">
        <v>0.2</v>
      </c>
      <c r="R389" s="569"/>
      <c r="S389" s="569"/>
      <c r="T389" s="569"/>
      <c r="U389" s="569"/>
      <c r="V389" s="569"/>
      <c r="W389" s="569"/>
      <c r="X389" s="569"/>
      <c r="Y389" s="569"/>
      <c r="Z389" s="569"/>
      <c r="AA389" s="569"/>
      <c r="AB389" s="569"/>
      <c r="AC389" s="569"/>
      <c r="AD389" s="569"/>
      <c r="AE389" s="569"/>
      <c r="AF389" s="569"/>
      <c r="AG389" s="569"/>
      <c r="AH389" s="569"/>
      <c r="AI389" s="569"/>
      <c r="AJ389" s="569"/>
      <c r="AK389" s="569"/>
      <c r="AL389" s="569"/>
      <c r="AM389" s="569"/>
      <c r="AN389" s="574">
        <v>77.5</v>
      </c>
      <c r="AO389">
        <v>388</v>
      </c>
      <c r="AP389" t="str">
        <f t="shared" si="79"/>
        <v/>
      </c>
      <c r="AQ389" t="str">
        <f t="shared" si="82"/>
        <v/>
      </c>
      <c r="AR389" s="430">
        <f>IFERROR(
IF(AP389="",-100,
IF($BV$2&gt;0, INDEX(Beersheet!$A:$U,MATCH(AP389,INDEX(Beersheet!$A:$U,0,FFARawStatProjections!$BV$2),0),$BV$3)+$BN389,
INDEX($A389:$BM389,,$BV$12)*$BW$12+
INDEX($A389:$BM389,,$BV$15)*$BW$15+
INDEX($A389:$BM389,,$BV$16)*$BW$16+
INDEX($A389:$BM389,,$BV$17)*$BW$17+
INDEX($A389:$BM389,,$BV$18)*$BW$18+
INDEX($A389:$BM389,,$BV$19)*$BW$19+
INDEX($A389:$BM389,,$BV$20)*$BW$20+
INDEX($A389:$BM389,,$BV$21)*$BW$21+
INDEX($A389:$BM389,,$BV$22)*$BW$22+
INDEX($A389:$BM389,,$BV$23)*$BW$23+
INDEX($A389:$BM389,,$BV$25)*$BW$25+
INDEX($A389:$BM389,,$BV$26)*$BW$26+
INDEX($A389:$BM389,,$BV$27)*$BW$27+
$BN389)),
$BN389-100)</f>
        <v>-100</v>
      </c>
      <c r="AT389" t="str">
        <f t="shared" si="83"/>
        <v/>
      </c>
      <c r="AU389" t="str">
        <f t="shared" si="84"/>
        <v/>
      </c>
      <c r="AV389" s="430">
        <f>IFERROR(
IF(AT389="",-100,
IF($BV$2&gt;0, INDEX(Beersheet!$A:$U,MATCH(AT389,INDEX(Beersheet!$A:$U,0,FFARawStatProjections!$BV$2),0),$BV$3)+$BN389,
INDEX($A389:$BM389,,$BV$12)*$BW$12+
INDEX($A389:$BM389,,$BV$15)*$BW$15+
INDEX($A389:$BM389,,$BV$16)*$BW$16+
INDEX($A389:$BM389,,$BV$17)*$BW$17+
INDEX($A389:$BM389,,$BV$18)*$BW$18+
INDEX($A389:$BM389,,$BV$19)*$BW$19+
INDEX($A389:$BM389,,$BV$20)*$BW$20+
INDEX($A389:$BM389,,$BV$21)*$BW$21+
INDEX($A389:$BM389,,$BV$22)*$BW$22+
INDEX($A389:$BM389,,$BV$23)*$BW$23+
INDEX($A389:$BM389,,$BV$25)*$BW$25+
INDEX($A389:$BM389,,$BV$26)*$BW$26+
INDEX($A389:$BM389,,$BV$27)*$BW$27+
$BN389)),
$BN389-100)</f>
        <v>-100</v>
      </c>
      <c r="AX389" t="str">
        <f t="shared" si="85"/>
        <v>Rashod Bateman</v>
      </c>
      <c r="AY389" t="str">
        <f t="shared" si="86"/>
        <v>BAL</v>
      </c>
      <c r="AZ389" s="430">
        <f>IFERROR(
IF(AX389="",-100,
IF($BV$2&gt;0, INDEX(Beersheet!$A:$U,MATCH(AX389,INDEX(Beersheet!$A:$U,0,FFARawStatProjections!$BV$2),0),$BV$3)+$BN389,
INDEX($A389:$BM389,,$BV$12)*$BW$12+
INDEX($A389:$BM389,,$BV$15)*$BW$15+
INDEX($A389:$BM389,,$BV$16)*$BW$16+
INDEX($A389:$BM389,,$BV$17)*$BW$17+
INDEX($A389:$BM389,,$BV$18)*$BW$18+
INDEX($A389:$BM389,,$BV$19)*$BW$19+
INDEX($A389:$BM389,,$BV$20)*$BW$20+
INDEX($A389:$BM389,,$BV$21)*$BW$21+
INDEX($A389:$BM389,,$BV$22)*$BW$22+
INDEX($A389:$BM389,,$BV$23)*$BW$23+
INDEX($A389:$BM389,,$BV$25)*$BW$25+
INDEX($A389:$BM389,,$BV$26)*$BW$26+
INDEX($A389:$BM389,,$BV$27)*$BW$27+
$BN389)),
$BN389-100)</f>
        <v>119.40387999999999</v>
      </c>
      <c r="BB389" t="str">
        <f t="shared" si="87"/>
        <v/>
      </c>
      <c r="BC389" t="str">
        <f t="shared" si="81"/>
        <v/>
      </c>
      <c r="BD389" s="430">
        <f>IFERROR(
IF(BB389="",-100,
IF($BV$2&gt;0, INDEX(Beersheet!$A:$U,MATCH(BB389,INDEX(Beersheet!$A:$U,0,FFARawStatProjections!$BV$2),0),$BV$3)+$BN389,
INDEX($A389:$BM389,,$BV$12)*$BW$12+
INDEX($A389:$BM389,,$BV$15)*$BW$15+
INDEX($A389:$BM389,,$BV$16)*$BW$16+
INDEX($A389:$BM389,,$BV$17)*$BW$17+
INDEX($A389:$BM389,,$BV$18)*$BW$18+
INDEX($A389:$BM389,,$BV$19)*$BW$19+
INDEX($A389:$BM389,,$BV$20)*$BW$20+
INDEX($A389:$BM389,,$BV$21)*$BW$21+
INDEX($A389:$BM389,,$BV$22)*$BW$22+
INDEX($A389:$BM389,,$BV$23)*$BW$23+
INDEX($A389:$BM389,,$BV$25)*$BW$25+
INDEX($A389:$BM389,,$BV$26)*$BW$26+
INDEX($A389:$BM389,,$BV$27)*$BW$27+
$BN389)),
$BN389-100)</f>
        <v>-100</v>
      </c>
      <c r="BF389" t="str">
        <f t="shared" si="88"/>
        <v/>
      </c>
      <c r="BG389" t="str">
        <f t="shared" si="89"/>
        <v/>
      </c>
      <c r="BH389">
        <f t="shared" si="90"/>
        <v>0</v>
      </c>
      <c r="BJ389" t="str">
        <f t="shared" si="91"/>
        <v/>
      </c>
      <c r="BL389">
        <f t="shared" si="80"/>
        <v>0</v>
      </c>
      <c r="BN389">
        <v>3.8800000000000002E-3</v>
      </c>
      <c r="BS389" s="4" t="s">
        <v>2169</v>
      </c>
    </row>
    <row r="390" spans="1:71" ht="15.75" thickBot="1" x14ac:dyDescent="0.3">
      <c r="A390" s="569" t="s">
        <v>2327</v>
      </c>
      <c r="B390" s="569" t="s">
        <v>158</v>
      </c>
      <c r="C390" s="569" t="s">
        <v>6</v>
      </c>
      <c r="D390" s="574">
        <v>11</v>
      </c>
      <c r="E390" s="569"/>
      <c r="F390" s="569"/>
      <c r="G390" s="569"/>
      <c r="H390" s="569"/>
      <c r="I390" s="574">
        <v>0</v>
      </c>
      <c r="J390" s="574">
        <v>0</v>
      </c>
      <c r="K390" s="574">
        <v>0</v>
      </c>
      <c r="L390" s="574">
        <v>39.200000000000003</v>
      </c>
      <c r="M390" s="574">
        <v>2.5</v>
      </c>
      <c r="N390" s="574">
        <v>591.4</v>
      </c>
      <c r="O390" s="574">
        <v>0</v>
      </c>
      <c r="P390" s="574">
        <v>0</v>
      </c>
      <c r="Q390" s="574">
        <v>0.2</v>
      </c>
      <c r="R390" s="569"/>
      <c r="S390" s="569"/>
      <c r="T390" s="569"/>
      <c r="U390" s="569"/>
      <c r="V390" s="569"/>
      <c r="W390" s="569"/>
      <c r="X390" s="569"/>
      <c r="Y390" s="569"/>
      <c r="Z390" s="569"/>
      <c r="AA390" s="569"/>
      <c r="AB390" s="569"/>
      <c r="AC390" s="569"/>
      <c r="AD390" s="569"/>
      <c r="AE390" s="569"/>
      <c r="AF390" s="569"/>
      <c r="AG390" s="569"/>
      <c r="AH390" s="569"/>
      <c r="AI390" s="569"/>
      <c r="AJ390" s="569"/>
      <c r="AK390" s="569"/>
      <c r="AL390" s="569"/>
      <c r="AM390" s="569"/>
      <c r="AN390" s="574">
        <v>73.7</v>
      </c>
      <c r="AO390">
        <v>389</v>
      </c>
      <c r="AP390" t="str">
        <f t="shared" si="79"/>
        <v/>
      </c>
      <c r="AQ390" t="str">
        <f t="shared" si="82"/>
        <v/>
      </c>
      <c r="AR390" s="430">
        <f>IFERROR(
IF(AP390="",-100,
IF($BV$2&gt;0, INDEX(Beersheet!$A:$U,MATCH(AP390,INDEX(Beersheet!$A:$U,0,FFARawStatProjections!$BV$2),0),$BV$3)+$BN390,
INDEX($A390:$BM390,,$BV$12)*$BW$12+
INDEX($A390:$BM390,,$BV$15)*$BW$15+
INDEX($A390:$BM390,,$BV$16)*$BW$16+
INDEX($A390:$BM390,,$BV$17)*$BW$17+
INDEX($A390:$BM390,,$BV$18)*$BW$18+
INDEX($A390:$BM390,,$BV$19)*$BW$19+
INDEX($A390:$BM390,,$BV$20)*$BW$20+
INDEX($A390:$BM390,,$BV$21)*$BW$21+
INDEX($A390:$BM390,,$BV$22)*$BW$22+
INDEX($A390:$BM390,,$BV$23)*$BW$23+
INDEX($A390:$BM390,,$BV$25)*$BW$25+
INDEX($A390:$BM390,,$BV$26)*$BW$26+
INDEX($A390:$BM390,,$BV$27)*$BW$27+
$BN390)),
$BN390-100)</f>
        <v>-100</v>
      </c>
      <c r="AT390" t="str">
        <f t="shared" si="83"/>
        <v/>
      </c>
      <c r="AU390" t="str">
        <f t="shared" si="84"/>
        <v/>
      </c>
      <c r="AV390" s="430">
        <f>IFERROR(
IF(AT390="",-100,
IF($BV$2&gt;0, INDEX(Beersheet!$A:$U,MATCH(AT390,INDEX(Beersheet!$A:$U,0,FFARawStatProjections!$BV$2),0),$BV$3)+$BN390,
INDEX($A390:$BM390,,$BV$12)*$BW$12+
INDEX($A390:$BM390,,$BV$15)*$BW$15+
INDEX($A390:$BM390,,$BV$16)*$BW$16+
INDEX($A390:$BM390,,$BV$17)*$BW$17+
INDEX($A390:$BM390,,$BV$18)*$BW$18+
INDEX($A390:$BM390,,$BV$19)*$BW$19+
INDEX($A390:$BM390,,$BV$20)*$BW$20+
INDEX($A390:$BM390,,$BV$21)*$BW$21+
INDEX($A390:$BM390,,$BV$22)*$BW$22+
INDEX($A390:$BM390,,$BV$23)*$BW$23+
INDEX($A390:$BM390,,$BV$25)*$BW$25+
INDEX($A390:$BM390,,$BV$26)*$BW$26+
INDEX($A390:$BM390,,$BV$27)*$BW$27+
$BN390)),
$BN390-100)</f>
        <v>-100</v>
      </c>
      <c r="AX390" t="str">
        <f t="shared" si="85"/>
        <v>Alec Pierce</v>
      </c>
      <c r="AY390" t="str">
        <f t="shared" si="86"/>
        <v>IND</v>
      </c>
      <c r="AZ390" s="430">
        <f>IFERROR(
IF(AX390="",-100,
IF($BV$2&gt;0, INDEX(Beersheet!$A:$U,MATCH(AX390,INDEX(Beersheet!$A:$U,0,FFARawStatProjections!$BV$2),0),$BV$3)+$BN390,
INDEX($A390:$BM390,,$BV$12)*$BW$12+
INDEX($A390:$BM390,,$BV$15)*$BW$15+
INDEX($A390:$BM390,,$BV$16)*$BW$16+
INDEX($A390:$BM390,,$BV$17)*$BW$17+
INDEX($A390:$BM390,,$BV$18)*$BW$18+
INDEX($A390:$BM390,,$BV$19)*$BW$19+
INDEX($A390:$BM390,,$BV$20)*$BW$20+
INDEX($A390:$BM390,,$BV$21)*$BW$21+
INDEX($A390:$BM390,,$BV$22)*$BW$22+
INDEX($A390:$BM390,,$BV$23)*$BW$23+
INDEX($A390:$BM390,,$BV$25)*$BW$25+
INDEX($A390:$BM390,,$BV$26)*$BW$26+
INDEX($A390:$BM390,,$BV$27)*$BW$27+
$BN390)),
$BN390-100)</f>
        <v>113.36389</v>
      </c>
      <c r="BB390" t="str">
        <f t="shared" si="87"/>
        <v/>
      </c>
      <c r="BC390" t="str">
        <f t="shared" si="81"/>
        <v/>
      </c>
      <c r="BD390" s="430">
        <f>IFERROR(
IF(BB390="",-100,
IF($BV$2&gt;0, INDEX(Beersheet!$A:$U,MATCH(BB390,INDEX(Beersheet!$A:$U,0,FFARawStatProjections!$BV$2),0),$BV$3)+$BN390,
INDEX($A390:$BM390,,$BV$12)*$BW$12+
INDEX($A390:$BM390,,$BV$15)*$BW$15+
INDEX($A390:$BM390,,$BV$16)*$BW$16+
INDEX($A390:$BM390,,$BV$17)*$BW$17+
INDEX($A390:$BM390,,$BV$18)*$BW$18+
INDEX($A390:$BM390,,$BV$19)*$BW$19+
INDEX($A390:$BM390,,$BV$20)*$BW$20+
INDEX($A390:$BM390,,$BV$21)*$BW$21+
INDEX($A390:$BM390,,$BV$22)*$BW$22+
INDEX($A390:$BM390,,$BV$23)*$BW$23+
INDEX($A390:$BM390,,$BV$25)*$BW$25+
INDEX($A390:$BM390,,$BV$26)*$BW$26+
INDEX($A390:$BM390,,$BV$27)*$BW$27+
$BN390)),
$BN390-100)</f>
        <v>-100</v>
      </c>
      <c r="BF390" t="str">
        <f t="shared" si="88"/>
        <v/>
      </c>
      <c r="BG390" t="str">
        <f t="shared" si="89"/>
        <v/>
      </c>
      <c r="BH390">
        <f t="shared" si="90"/>
        <v>0</v>
      </c>
      <c r="BJ390" t="str">
        <f t="shared" si="91"/>
        <v/>
      </c>
      <c r="BL390">
        <f t="shared" si="80"/>
        <v>0</v>
      </c>
      <c r="BN390">
        <v>3.8899999999999998E-3</v>
      </c>
      <c r="BS390" s="4" t="s">
        <v>2093</v>
      </c>
    </row>
    <row r="391" spans="1:71" ht="15.75" thickBot="1" x14ac:dyDescent="0.3">
      <c r="A391" s="569" t="s">
        <v>130</v>
      </c>
      <c r="B391" s="569" t="s">
        <v>151</v>
      </c>
      <c r="C391" s="569" t="s">
        <v>6</v>
      </c>
      <c r="D391" s="574">
        <v>7</v>
      </c>
      <c r="E391" s="569"/>
      <c r="F391" s="569"/>
      <c r="G391" s="569"/>
      <c r="H391" s="569"/>
      <c r="I391" s="574">
        <v>0</v>
      </c>
      <c r="J391" s="574">
        <v>0</v>
      </c>
      <c r="K391" s="574">
        <v>0</v>
      </c>
      <c r="L391" s="574">
        <v>52.2</v>
      </c>
      <c r="M391" s="574">
        <v>2.5</v>
      </c>
      <c r="N391" s="574">
        <v>535.5</v>
      </c>
      <c r="O391" s="574">
        <v>4.2</v>
      </c>
      <c r="P391" s="574">
        <v>0.2</v>
      </c>
      <c r="Q391" s="574">
        <v>21.2</v>
      </c>
      <c r="R391" s="569"/>
      <c r="S391" s="569"/>
      <c r="T391" s="569"/>
      <c r="U391" s="569"/>
      <c r="V391" s="569"/>
      <c r="W391" s="569"/>
      <c r="X391" s="569"/>
      <c r="Y391" s="569"/>
      <c r="Z391" s="569"/>
      <c r="AA391" s="569"/>
      <c r="AB391" s="569"/>
      <c r="AC391" s="569"/>
      <c r="AD391" s="569"/>
      <c r="AE391" s="569"/>
      <c r="AF391" s="569"/>
      <c r="AG391" s="569"/>
      <c r="AH391" s="569"/>
      <c r="AI391" s="569"/>
      <c r="AJ391" s="569"/>
      <c r="AK391" s="569"/>
      <c r="AL391" s="569"/>
      <c r="AM391" s="569"/>
      <c r="AN391" s="574">
        <v>71.099999999999994</v>
      </c>
      <c r="AO391">
        <v>390</v>
      </c>
      <c r="AP391" t="str">
        <f t="shared" si="79"/>
        <v/>
      </c>
      <c r="AQ391" t="str">
        <f t="shared" si="82"/>
        <v/>
      </c>
      <c r="AR391" s="430">
        <f>IFERROR(
IF(AP391="",-100,
IF($BV$2&gt;0, INDEX(Beersheet!$A:$U,MATCH(AP391,INDEX(Beersheet!$A:$U,0,FFARawStatProjections!$BV$2),0),$BV$3)+$BN391,
INDEX($A391:$BM391,,$BV$12)*$BW$12+
INDEX($A391:$BM391,,$BV$15)*$BW$15+
INDEX($A391:$BM391,,$BV$16)*$BW$16+
INDEX($A391:$BM391,,$BV$17)*$BW$17+
INDEX($A391:$BM391,,$BV$18)*$BW$18+
INDEX($A391:$BM391,,$BV$19)*$BW$19+
INDEX($A391:$BM391,,$BV$20)*$BW$20+
INDEX($A391:$BM391,,$BV$21)*$BW$21+
INDEX($A391:$BM391,,$BV$22)*$BW$22+
INDEX($A391:$BM391,,$BV$23)*$BW$23+
INDEX($A391:$BM391,,$BV$25)*$BW$25+
INDEX($A391:$BM391,,$BV$26)*$BW$26+
INDEX($A391:$BM391,,$BV$27)*$BW$27+
$BN391)),
$BN391-100)</f>
        <v>-100</v>
      </c>
      <c r="AT391" t="str">
        <f t="shared" si="83"/>
        <v/>
      </c>
      <c r="AU391" t="str">
        <f t="shared" si="84"/>
        <v/>
      </c>
      <c r="AV391" s="430">
        <f>IFERROR(
IF(AT391="",-100,
IF($BV$2&gt;0, INDEX(Beersheet!$A:$U,MATCH(AT391,INDEX(Beersheet!$A:$U,0,FFARawStatProjections!$BV$2),0),$BV$3)+$BN391,
INDEX($A391:$BM391,,$BV$12)*$BW$12+
INDEX($A391:$BM391,,$BV$15)*$BW$15+
INDEX($A391:$BM391,,$BV$16)*$BW$16+
INDEX($A391:$BM391,,$BV$17)*$BW$17+
INDEX($A391:$BM391,,$BV$18)*$BW$18+
INDEX($A391:$BM391,,$BV$19)*$BW$19+
INDEX($A391:$BM391,,$BV$20)*$BW$20+
INDEX($A391:$BM391,,$BV$21)*$BW$21+
INDEX($A391:$BM391,,$BV$22)*$BW$22+
INDEX($A391:$BM391,,$BV$23)*$BW$23+
INDEX($A391:$BM391,,$BV$25)*$BW$25+
INDEX($A391:$BM391,,$BV$26)*$BW$26+
INDEX($A391:$BM391,,$BV$27)*$BW$27+
$BN391)),
$BN391-100)</f>
        <v>-100</v>
      </c>
      <c r="AX391" t="str">
        <f t="shared" si="85"/>
        <v>Robert Woods</v>
      </c>
      <c r="AY391" t="str">
        <f t="shared" si="86"/>
        <v>HOU</v>
      </c>
      <c r="AZ391" s="430">
        <f>IFERROR(
IF(AX391="",-100,
IF($BV$2&gt;0, INDEX(Beersheet!$A:$U,MATCH(AX391,INDEX(Beersheet!$A:$U,0,FFARawStatProjections!$BV$2),0),$BV$3)+$BN391,
INDEX($A391:$BM391,,$BV$12)*$BW$12+
INDEX($A391:$BM391,,$BV$15)*$BW$15+
INDEX($A391:$BM391,,$BV$16)*$BW$16+
INDEX($A391:$BM391,,$BV$17)*$BW$17+
INDEX($A391:$BM391,,$BV$18)*$BW$18+
INDEX($A391:$BM391,,$BV$19)*$BW$19+
INDEX($A391:$BM391,,$BV$20)*$BW$20+
INDEX($A391:$BM391,,$BV$21)*$BW$21+
INDEX($A391:$BM391,,$BV$22)*$BW$22+
INDEX($A391:$BM391,,$BV$23)*$BW$23+
INDEX($A391:$BM391,,$BV$25)*$BW$25+
INDEX($A391:$BM391,,$BV$26)*$BW$26+
INDEX($A391:$BM391,,$BV$27)*$BW$27+
$BN391)),
$BN391-100)</f>
        <v>124.07390000000001</v>
      </c>
      <c r="BB391" t="str">
        <f t="shared" si="87"/>
        <v/>
      </c>
      <c r="BC391" t="str">
        <f t="shared" si="81"/>
        <v/>
      </c>
      <c r="BD391" s="430">
        <f>IFERROR(
IF(BB391="",-100,
IF($BV$2&gt;0, INDEX(Beersheet!$A:$U,MATCH(BB391,INDEX(Beersheet!$A:$U,0,FFARawStatProjections!$BV$2),0),$BV$3)+$BN391,
INDEX($A391:$BM391,,$BV$12)*$BW$12+
INDEX($A391:$BM391,,$BV$15)*$BW$15+
INDEX($A391:$BM391,,$BV$16)*$BW$16+
INDEX($A391:$BM391,,$BV$17)*$BW$17+
INDEX($A391:$BM391,,$BV$18)*$BW$18+
INDEX($A391:$BM391,,$BV$19)*$BW$19+
INDEX($A391:$BM391,,$BV$20)*$BW$20+
INDEX($A391:$BM391,,$BV$21)*$BW$21+
INDEX($A391:$BM391,,$BV$22)*$BW$22+
INDEX($A391:$BM391,,$BV$23)*$BW$23+
INDEX($A391:$BM391,,$BV$25)*$BW$25+
INDEX($A391:$BM391,,$BV$26)*$BW$26+
INDEX($A391:$BM391,,$BV$27)*$BW$27+
$BN391)),
$BN391-100)</f>
        <v>-100</v>
      </c>
      <c r="BF391" t="str">
        <f t="shared" si="88"/>
        <v/>
      </c>
      <c r="BG391" t="str">
        <f t="shared" si="89"/>
        <v/>
      </c>
      <c r="BH391">
        <f t="shared" si="90"/>
        <v>0</v>
      </c>
      <c r="BJ391" t="str">
        <f t="shared" si="91"/>
        <v/>
      </c>
      <c r="BL391">
        <f t="shared" si="80"/>
        <v>0</v>
      </c>
      <c r="BN391">
        <v>3.8999999999999998E-3</v>
      </c>
      <c r="BS391" s="4" t="s">
        <v>2329</v>
      </c>
    </row>
    <row r="392" spans="1:71" ht="15.75" thickBot="1" x14ac:dyDescent="0.3">
      <c r="A392" s="569" t="s">
        <v>2330</v>
      </c>
      <c r="B392" s="569" t="s">
        <v>151</v>
      </c>
      <c r="C392" s="569" t="s">
        <v>6</v>
      </c>
      <c r="D392" s="574">
        <v>7</v>
      </c>
      <c r="E392" s="569"/>
      <c r="F392" s="569"/>
      <c r="G392" s="569"/>
      <c r="H392" s="569"/>
      <c r="I392" s="574">
        <v>0</v>
      </c>
      <c r="J392" s="574">
        <v>0</v>
      </c>
      <c r="K392" s="574">
        <v>0</v>
      </c>
      <c r="L392" s="574">
        <v>41.1</v>
      </c>
      <c r="M392" s="574">
        <v>2.7</v>
      </c>
      <c r="N392" s="574">
        <v>543.29999999999995</v>
      </c>
      <c r="O392" s="574">
        <v>1.2</v>
      </c>
      <c r="P392" s="574">
        <v>0</v>
      </c>
      <c r="Q392" s="574">
        <v>8.4</v>
      </c>
      <c r="R392" s="569"/>
      <c r="S392" s="569"/>
      <c r="T392" s="569"/>
      <c r="U392" s="569"/>
      <c r="V392" s="569"/>
      <c r="W392" s="569"/>
      <c r="X392" s="569"/>
      <c r="Y392" s="569"/>
      <c r="Z392" s="569"/>
      <c r="AA392" s="569"/>
      <c r="AB392" s="569"/>
      <c r="AC392" s="569"/>
      <c r="AD392" s="569"/>
      <c r="AE392" s="569"/>
      <c r="AF392" s="569"/>
      <c r="AG392" s="569"/>
      <c r="AH392" s="569"/>
      <c r="AI392" s="569"/>
      <c r="AJ392" s="569"/>
      <c r="AK392" s="569"/>
      <c r="AL392" s="569"/>
      <c r="AM392" s="569"/>
      <c r="AN392" s="574">
        <v>70.5</v>
      </c>
      <c r="AO392">
        <v>391</v>
      </c>
      <c r="AP392" t="str">
        <f t="shared" si="79"/>
        <v/>
      </c>
      <c r="AQ392" t="str">
        <f t="shared" si="82"/>
        <v/>
      </c>
      <c r="AR392" s="430">
        <f>IFERROR(
IF(AP392="",-100,
IF($BV$2&gt;0, INDEX(Beersheet!$A:$U,MATCH(AP392,INDEX(Beersheet!$A:$U,0,FFARawStatProjections!$BV$2),0),$BV$3)+$BN392,
INDEX($A392:$BM392,,$BV$12)*$BW$12+
INDEX($A392:$BM392,,$BV$15)*$BW$15+
INDEX($A392:$BM392,,$BV$16)*$BW$16+
INDEX($A392:$BM392,,$BV$17)*$BW$17+
INDEX($A392:$BM392,,$BV$18)*$BW$18+
INDEX($A392:$BM392,,$BV$19)*$BW$19+
INDEX($A392:$BM392,,$BV$20)*$BW$20+
INDEX($A392:$BM392,,$BV$21)*$BW$21+
INDEX($A392:$BM392,,$BV$22)*$BW$22+
INDEX($A392:$BM392,,$BV$23)*$BW$23+
INDEX($A392:$BM392,,$BV$25)*$BW$25+
INDEX($A392:$BM392,,$BV$26)*$BW$26+
INDEX($A392:$BM392,,$BV$27)*$BW$27+
$BN392)),
$BN392-100)</f>
        <v>-100</v>
      </c>
      <c r="AT392" t="str">
        <f t="shared" si="83"/>
        <v/>
      </c>
      <c r="AU392" t="str">
        <f t="shared" si="84"/>
        <v/>
      </c>
      <c r="AV392" s="430">
        <f>IFERROR(
IF(AT392="",-100,
IF($BV$2&gt;0, INDEX(Beersheet!$A:$U,MATCH(AT392,INDEX(Beersheet!$A:$U,0,FFARawStatProjections!$BV$2),0),$BV$3)+$BN392,
INDEX($A392:$BM392,,$BV$12)*$BW$12+
INDEX($A392:$BM392,,$BV$15)*$BW$15+
INDEX($A392:$BM392,,$BV$16)*$BW$16+
INDEX($A392:$BM392,,$BV$17)*$BW$17+
INDEX($A392:$BM392,,$BV$18)*$BW$18+
INDEX($A392:$BM392,,$BV$19)*$BW$19+
INDEX($A392:$BM392,,$BV$20)*$BW$20+
INDEX($A392:$BM392,,$BV$21)*$BW$21+
INDEX($A392:$BM392,,$BV$22)*$BW$22+
INDEX($A392:$BM392,,$BV$23)*$BW$23+
INDEX($A392:$BM392,,$BV$25)*$BW$25+
INDEX($A392:$BM392,,$BV$26)*$BW$26+
INDEX($A392:$BM392,,$BV$27)*$BW$27+
$BN392)),
$BN392-100)</f>
        <v>-100</v>
      </c>
      <c r="AX392" t="str">
        <f t="shared" si="85"/>
        <v>John Metchie</v>
      </c>
      <c r="AY392" t="str">
        <f t="shared" si="86"/>
        <v>HOU</v>
      </c>
      <c r="AZ392" s="430">
        <f>IFERROR(
IF(AX392="",-100,
IF($BV$2&gt;0, INDEX(Beersheet!$A:$U,MATCH(AX392,INDEX(Beersheet!$A:$U,0,FFARawStatProjections!$BV$2),0),$BV$3)+$BN392,
INDEX($A392:$BM392,,$BV$12)*$BW$12+
INDEX($A392:$BM392,,$BV$15)*$BW$15+
INDEX($A392:$BM392,,$BV$16)*$BW$16+
INDEX($A392:$BM392,,$BV$17)*$BW$17+
INDEX($A392:$BM392,,$BV$18)*$BW$18+
INDEX($A392:$BM392,,$BV$19)*$BW$19+
INDEX($A392:$BM392,,$BV$20)*$BW$20+
INDEX($A392:$BM392,,$BV$21)*$BW$21+
INDEX($A392:$BM392,,$BV$22)*$BW$22+
INDEX($A392:$BM392,,$BV$23)*$BW$23+
INDEX($A392:$BM392,,$BV$25)*$BW$25+
INDEX($A392:$BM392,,$BV$26)*$BW$26+
INDEX($A392:$BM392,,$BV$27)*$BW$27+
$BN392)),
$BN392-100)</f>
        <v>112.47391</v>
      </c>
      <c r="BB392" t="str">
        <f t="shared" si="87"/>
        <v/>
      </c>
      <c r="BC392" t="str">
        <f t="shared" si="81"/>
        <v/>
      </c>
      <c r="BD392" s="430">
        <f>IFERROR(
IF(BB392="",-100,
IF($BV$2&gt;0, INDEX(Beersheet!$A:$U,MATCH(BB392,INDEX(Beersheet!$A:$U,0,FFARawStatProjections!$BV$2),0),$BV$3)+$BN392,
INDEX($A392:$BM392,,$BV$12)*$BW$12+
INDEX($A392:$BM392,,$BV$15)*$BW$15+
INDEX($A392:$BM392,,$BV$16)*$BW$16+
INDEX($A392:$BM392,,$BV$17)*$BW$17+
INDEX($A392:$BM392,,$BV$18)*$BW$18+
INDEX($A392:$BM392,,$BV$19)*$BW$19+
INDEX($A392:$BM392,,$BV$20)*$BW$20+
INDEX($A392:$BM392,,$BV$21)*$BW$21+
INDEX($A392:$BM392,,$BV$22)*$BW$22+
INDEX($A392:$BM392,,$BV$23)*$BW$23+
INDEX($A392:$BM392,,$BV$25)*$BW$25+
INDEX($A392:$BM392,,$BV$26)*$BW$26+
INDEX($A392:$BM392,,$BV$27)*$BW$27+
$BN392)),
$BN392-100)</f>
        <v>-100</v>
      </c>
      <c r="BF392" t="str">
        <f t="shared" si="88"/>
        <v/>
      </c>
      <c r="BG392" t="str">
        <f t="shared" si="89"/>
        <v/>
      </c>
      <c r="BH392">
        <f t="shared" si="90"/>
        <v>0</v>
      </c>
      <c r="BJ392" t="str">
        <f t="shared" si="91"/>
        <v/>
      </c>
      <c r="BL392">
        <f t="shared" si="80"/>
        <v>0</v>
      </c>
      <c r="BN392">
        <v>3.9100000000000003E-3</v>
      </c>
      <c r="BS392" s="4" t="s">
        <v>2145</v>
      </c>
    </row>
    <row r="393" spans="1:71" ht="15.75" thickBot="1" x14ac:dyDescent="0.3">
      <c r="A393" s="569" t="s">
        <v>2095</v>
      </c>
      <c r="B393" s="569" t="s">
        <v>141</v>
      </c>
      <c r="C393" s="569" t="s">
        <v>6</v>
      </c>
      <c r="D393" s="574">
        <v>13</v>
      </c>
      <c r="E393" s="569"/>
      <c r="F393" s="569"/>
      <c r="G393" s="569"/>
      <c r="H393" s="569"/>
      <c r="I393" s="574">
        <v>0</v>
      </c>
      <c r="J393" s="574">
        <v>0</v>
      </c>
      <c r="K393" s="574">
        <v>0</v>
      </c>
      <c r="L393" s="574">
        <v>35.700000000000003</v>
      </c>
      <c r="M393" s="574">
        <v>2.7</v>
      </c>
      <c r="N393" s="574">
        <v>498.2</v>
      </c>
      <c r="O393" s="574">
        <v>5.6</v>
      </c>
      <c r="P393" s="574">
        <v>0.2</v>
      </c>
      <c r="Q393" s="574">
        <v>37.5</v>
      </c>
      <c r="R393" s="569"/>
      <c r="S393" s="569"/>
      <c r="T393" s="569"/>
      <c r="U393" s="569"/>
      <c r="V393" s="569"/>
      <c r="W393" s="569"/>
      <c r="X393" s="569"/>
      <c r="Y393" s="569"/>
      <c r="Z393" s="569"/>
      <c r="AA393" s="569"/>
      <c r="AB393" s="569"/>
      <c r="AC393" s="569"/>
      <c r="AD393" s="569"/>
      <c r="AE393" s="569"/>
      <c r="AF393" s="569"/>
      <c r="AG393" s="569"/>
      <c r="AH393" s="569"/>
      <c r="AI393" s="569"/>
      <c r="AJ393" s="569"/>
      <c r="AK393" s="569"/>
      <c r="AL393" s="569"/>
      <c r="AM393" s="569"/>
      <c r="AN393" s="574">
        <v>70.099999999999994</v>
      </c>
      <c r="AO393">
        <v>392</v>
      </c>
      <c r="AP393" t="str">
        <f t="shared" si="79"/>
        <v/>
      </c>
      <c r="AQ393" t="str">
        <f t="shared" si="82"/>
        <v/>
      </c>
      <c r="AR393" s="430">
        <f>IFERROR(
IF(AP393="",-100,
IF($BV$2&gt;0, INDEX(Beersheet!$A:$U,MATCH(AP393,INDEX(Beersheet!$A:$U,0,FFARawStatProjections!$BV$2),0),$BV$3)+$BN393,
INDEX($A393:$BM393,,$BV$12)*$BW$12+
INDEX($A393:$BM393,,$BV$15)*$BW$15+
INDEX($A393:$BM393,,$BV$16)*$BW$16+
INDEX($A393:$BM393,,$BV$17)*$BW$17+
INDEX($A393:$BM393,,$BV$18)*$BW$18+
INDEX($A393:$BM393,,$BV$19)*$BW$19+
INDEX($A393:$BM393,,$BV$20)*$BW$20+
INDEX($A393:$BM393,,$BV$21)*$BW$21+
INDEX($A393:$BM393,,$BV$22)*$BW$22+
INDEX($A393:$BM393,,$BV$23)*$BW$23+
INDEX($A393:$BM393,,$BV$25)*$BW$25+
INDEX($A393:$BM393,,$BV$26)*$BW$26+
INDEX($A393:$BM393,,$BV$27)*$BW$27+
$BN393)),
$BN393-100)</f>
        <v>-100</v>
      </c>
      <c r="AT393" t="str">
        <f t="shared" si="83"/>
        <v/>
      </c>
      <c r="AU393" t="str">
        <f t="shared" si="84"/>
        <v/>
      </c>
      <c r="AV393" s="430">
        <f>IFERROR(
IF(AT393="",-100,
IF($BV$2&gt;0, INDEX(Beersheet!$A:$U,MATCH(AT393,INDEX(Beersheet!$A:$U,0,FFARawStatProjections!$BV$2),0),$BV$3)+$BN393,
INDEX($A393:$BM393,,$BV$12)*$BW$12+
INDEX($A393:$BM393,,$BV$15)*$BW$15+
INDEX($A393:$BM393,,$BV$16)*$BW$16+
INDEX($A393:$BM393,,$BV$17)*$BW$17+
INDEX($A393:$BM393,,$BV$18)*$BW$18+
INDEX($A393:$BM393,,$BV$19)*$BW$19+
INDEX($A393:$BM393,,$BV$20)*$BW$20+
INDEX($A393:$BM393,,$BV$21)*$BW$21+
INDEX($A393:$BM393,,$BV$22)*$BW$22+
INDEX($A393:$BM393,,$BV$23)*$BW$23+
INDEX($A393:$BM393,,$BV$25)*$BW$25+
INDEX($A393:$BM393,,$BV$26)*$BW$26+
INDEX($A393:$BM393,,$BV$27)*$BW$27+
$BN393)),
$BN393-100)</f>
        <v>-100</v>
      </c>
      <c r="AX393" t="str">
        <f t="shared" si="85"/>
        <v>Chase Claypool</v>
      </c>
      <c r="AY393" t="str">
        <f t="shared" si="86"/>
        <v>CHI</v>
      </c>
      <c r="AZ393" s="430">
        <f>IFERROR(
IF(AX393="",-100,
IF($BV$2&gt;0, INDEX(Beersheet!$A:$U,MATCH(AX393,INDEX(Beersheet!$A:$U,0,FFARawStatProjections!$BV$2),0),$BV$3)+$BN393,
INDEX($A393:$BM393,,$BV$12)*$BW$12+
INDEX($A393:$BM393,,$BV$15)*$BW$15+
INDEX($A393:$BM393,,$BV$16)*$BW$16+
INDEX($A393:$BM393,,$BV$17)*$BW$17+
INDEX($A393:$BM393,,$BV$18)*$BW$18+
INDEX($A393:$BM393,,$BV$19)*$BW$19+
INDEX($A393:$BM393,,$BV$20)*$BW$20+
INDEX($A393:$BM393,,$BV$21)*$BW$21+
INDEX($A393:$BM393,,$BV$22)*$BW$22+
INDEX($A393:$BM393,,$BV$23)*$BW$23+
INDEX($A393:$BM393,,$BV$25)*$BW$25+
INDEX($A393:$BM393,,$BV$26)*$BW$26+
INDEX($A393:$BM393,,$BV$27)*$BW$27+
$BN393)),
$BN393-100)</f>
        <v>106.67392</v>
      </c>
      <c r="BB393" t="str">
        <f t="shared" si="87"/>
        <v/>
      </c>
      <c r="BC393" t="str">
        <f t="shared" si="81"/>
        <v/>
      </c>
      <c r="BD393" s="430">
        <f>IFERROR(
IF(BB393="",-100,
IF($BV$2&gt;0, INDEX(Beersheet!$A:$U,MATCH(BB393,INDEX(Beersheet!$A:$U,0,FFARawStatProjections!$BV$2),0),$BV$3)+$BN393,
INDEX($A393:$BM393,,$BV$12)*$BW$12+
INDEX($A393:$BM393,,$BV$15)*$BW$15+
INDEX($A393:$BM393,,$BV$16)*$BW$16+
INDEX($A393:$BM393,,$BV$17)*$BW$17+
INDEX($A393:$BM393,,$BV$18)*$BW$18+
INDEX($A393:$BM393,,$BV$19)*$BW$19+
INDEX($A393:$BM393,,$BV$20)*$BW$20+
INDEX($A393:$BM393,,$BV$21)*$BW$21+
INDEX($A393:$BM393,,$BV$22)*$BW$22+
INDEX($A393:$BM393,,$BV$23)*$BW$23+
INDEX($A393:$BM393,,$BV$25)*$BW$25+
INDEX($A393:$BM393,,$BV$26)*$BW$26+
INDEX($A393:$BM393,,$BV$27)*$BW$27+
$BN393)),
$BN393-100)</f>
        <v>-100</v>
      </c>
      <c r="BF393" t="str">
        <f t="shared" si="88"/>
        <v/>
      </c>
      <c r="BG393" t="str">
        <f t="shared" si="89"/>
        <v/>
      </c>
      <c r="BH393">
        <f t="shared" si="90"/>
        <v>0</v>
      </c>
      <c r="BJ393" t="str">
        <f t="shared" si="91"/>
        <v/>
      </c>
      <c r="BL393">
        <f t="shared" si="80"/>
        <v>0</v>
      </c>
      <c r="BN393">
        <v>3.9199999999999999E-3</v>
      </c>
      <c r="BS393" s="4" t="s">
        <v>1441</v>
      </c>
    </row>
    <row r="394" spans="1:71" ht="15.75" thickBot="1" x14ac:dyDescent="0.3">
      <c r="A394" s="569" t="s">
        <v>1858</v>
      </c>
      <c r="B394" s="569" t="s">
        <v>164</v>
      </c>
      <c r="C394" s="569" t="s">
        <v>6</v>
      </c>
      <c r="D394" s="574">
        <v>7</v>
      </c>
      <c r="E394" s="569"/>
      <c r="F394" s="569"/>
      <c r="G394" s="569"/>
      <c r="H394" s="569"/>
      <c r="I394" s="574">
        <v>0</v>
      </c>
      <c r="J394" s="574">
        <v>0</v>
      </c>
      <c r="K394" s="574">
        <v>0</v>
      </c>
      <c r="L394" s="574">
        <v>36.200000000000003</v>
      </c>
      <c r="M394" s="574">
        <v>2.7</v>
      </c>
      <c r="N394" s="574">
        <v>444.4</v>
      </c>
      <c r="O394" s="574">
        <v>7.9</v>
      </c>
      <c r="P394" s="574">
        <v>0.8</v>
      </c>
      <c r="Q394" s="574">
        <v>60.1</v>
      </c>
      <c r="R394" s="569"/>
      <c r="S394" s="569"/>
      <c r="T394" s="569"/>
      <c r="U394" s="569"/>
      <c r="V394" s="569"/>
      <c r="W394" s="569"/>
      <c r="X394" s="569"/>
      <c r="Y394" s="569"/>
      <c r="Z394" s="569"/>
      <c r="AA394" s="569"/>
      <c r="AB394" s="569"/>
      <c r="AC394" s="569"/>
      <c r="AD394" s="569"/>
      <c r="AE394" s="569"/>
      <c r="AF394" s="569"/>
      <c r="AG394" s="569"/>
      <c r="AH394" s="569"/>
      <c r="AI394" s="569"/>
      <c r="AJ394" s="569"/>
      <c r="AK394" s="569"/>
      <c r="AL394" s="569"/>
      <c r="AM394" s="569"/>
      <c r="AN394" s="574">
        <v>69.599999999999994</v>
      </c>
      <c r="AO394">
        <v>393</v>
      </c>
      <c r="AP394" t="str">
        <f t="shared" si="79"/>
        <v/>
      </c>
      <c r="AQ394" t="str">
        <f t="shared" si="82"/>
        <v/>
      </c>
      <c r="AR394" s="430">
        <f>IFERROR(
IF(AP394="",-100,
IF($BV$2&gt;0, INDEX(Beersheet!$A:$U,MATCH(AP394,INDEX(Beersheet!$A:$U,0,FFARawStatProjections!$BV$2),0),$BV$3)+$BN394,
INDEX($A394:$BM394,,$BV$12)*$BW$12+
INDEX($A394:$BM394,,$BV$15)*$BW$15+
INDEX($A394:$BM394,,$BV$16)*$BW$16+
INDEX($A394:$BM394,,$BV$17)*$BW$17+
INDEX($A394:$BM394,,$BV$18)*$BW$18+
INDEX($A394:$BM394,,$BV$19)*$BW$19+
INDEX($A394:$BM394,,$BV$20)*$BW$20+
INDEX($A394:$BM394,,$BV$21)*$BW$21+
INDEX($A394:$BM394,,$BV$22)*$BW$22+
INDEX($A394:$BM394,,$BV$23)*$BW$23+
INDEX($A394:$BM394,,$BV$25)*$BW$25+
INDEX($A394:$BM394,,$BV$26)*$BW$26+
INDEX($A394:$BM394,,$BV$27)*$BW$27+
$BN394)),
$BN394-100)</f>
        <v>-100</v>
      </c>
      <c r="AT394" t="str">
        <f t="shared" si="83"/>
        <v/>
      </c>
      <c r="AU394" t="str">
        <f t="shared" si="84"/>
        <v/>
      </c>
      <c r="AV394" s="430">
        <f>IFERROR(
IF(AT394="",-100,
IF($BV$2&gt;0, INDEX(Beersheet!$A:$U,MATCH(AT394,INDEX(Beersheet!$A:$U,0,FFARawStatProjections!$BV$2),0),$BV$3)+$BN394,
INDEX($A394:$BM394,,$BV$12)*$BW$12+
INDEX($A394:$BM394,,$BV$15)*$BW$15+
INDEX($A394:$BM394,,$BV$16)*$BW$16+
INDEX($A394:$BM394,,$BV$17)*$BW$17+
INDEX($A394:$BM394,,$BV$18)*$BW$18+
INDEX($A394:$BM394,,$BV$19)*$BW$19+
INDEX($A394:$BM394,,$BV$20)*$BW$20+
INDEX($A394:$BM394,,$BV$21)*$BW$21+
INDEX($A394:$BM394,,$BV$22)*$BW$22+
INDEX($A394:$BM394,,$BV$23)*$BW$23+
INDEX($A394:$BM394,,$BV$25)*$BW$25+
INDEX($A394:$BM394,,$BV$26)*$BW$26+
INDEX($A394:$BM394,,$BV$27)*$BW$27+
$BN394)),
$BN394-100)</f>
        <v>-100</v>
      </c>
      <c r="AX394" t="str">
        <f t="shared" si="85"/>
        <v>Mecole Hardman</v>
      </c>
      <c r="AY394" t="str">
        <f t="shared" si="86"/>
        <v>NYJ</v>
      </c>
      <c r="AZ394" s="430">
        <f>IFERROR(
IF(AX394="",-100,
IF($BV$2&gt;0, INDEX(Beersheet!$A:$U,MATCH(AX394,INDEX(Beersheet!$A:$U,0,FFARawStatProjections!$BV$2),0),$BV$3)+$BN394,
INDEX($A394:$BM394,,$BV$12)*$BW$12+
INDEX($A394:$BM394,,$BV$15)*$BW$15+
INDEX($A394:$BM394,,$BV$16)*$BW$16+
INDEX($A394:$BM394,,$BV$17)*$BW$17+
INDEX($A394:$BM394,,$BV$18)*$BW$18+
INDEX($A394:$BM394,,$BV$19)*$BW$19+
INDEX($A394:$BM394,,$BV$20)*$BW$20+
INDEX($A394:$BM394,,$BV$21)*$BW$21+
INDEX($A394:$BM394,,$BV$22)*$BW$22+
INDEX($A394:$BM394,,$BV$23)*$BW$23+
INDEX($A394:$BM394,,$BV$25)*$BW$25+
INDEX($A394:$BM394,,$BV$26)*$BW$26+
INDEX($A394:$BM394,,$BV$27)*$BW$27+
$BN394)),
$BN394-100)</f>
        <v>107.65393</v>
      </c>
      <c r="BB394" t="str">
        <f t="shared" si="87"/>
        <v/>
      </c>
      <c r="BC394" t="str">
        <f t="shared" si="81"/>
        <v/>
      </c>
      <c r="BD394" s="430">
        <f>IFERROR(
IF(BB394="",-100,
IF($BV$2&gt;0, INDEX(Beersheet!$A:$U,MATCH(BB394,INDEX(Beersheet!$A:$U,0,FFARawStatProjections!$BV$2),0),$BV$3)+$BN394,
INDEX($A394:$BM394,,$BV$12)*$BW$12+
INDEX($A394:$BM394,,$BV$15)*$BW$15+
INDEX($A394:$BM394,,$BV$16)*$BW$16+
INDEX($A394:$BM394,,$BV$17)*$BW$17+
INDEX($A394:$BM394,,$BV$18)*$BW$18+
INDEX($A394:$BM394,,$BV$19)*$BW$19+
INDEX($A394:$BM394,,$BV$20)*$BW$20+
INDEX($A394:$BM394,,$BV$21)*$BW$21+
INDEX($A394:$BM394,,$BV$22)*$BW$22+
INDEX($A394:$BM394,,$BV$23)*$BW$23+
INDEX($A394:$BM394,,$BV$25)*$BW$25+
INDEX($A394:$BM394,,$BV$26)*$BW$26+
INDEX($A394:$BM394,,$BV$27)*$BW$27+
$BN394)),
$BN394-100)</f>
        <v>-100</v>
      </c>
      <c r="BF394" t="str">
        <f t="shared" si="88"/>
        <v/>
      </c>
      <c r="BG394" t="str">
        <f t="shared" si="89"/>
        <v/>
      </c>
      <c r="BH394">
        <f t="shared" si="90"/>
        <v>0</v>
      </c>
      <c r="BJ394" t="str">
        <f t="shared" si="91"/>
        <v/>
      </c>
      <c r="BL394">
        <f t="shared" si="80"/>
        <v>0</v>
      </c>
      <c r="BN394">
        <v>3.9300000000000003E-3</v>
      </c>
      <c r="BS394" s="4" t="s">
        <v>2459</v>
      </c>
    </row>
    <row r="395" spans="1:71" ht="15.75" thickBot="1" x14ac:dyDescent="0.3">
      <c r="A395" s="569" t="s">
        <v>1410</v>
      </c>
      <c r="B395" s="569" t="s">
        <v>164</v>
      </c>
      <c r="C395" s="569" t="s">
        <v>6</v>
      </c>
      <c r="D395" s="574">
        <v>7</v>
      </c>
      <c r="E395" s="569"/>
      <c r="F395" s="569"/>
      <c r="G395" s="569"/>
      <c r="H395" s="569"/>
      <c r="I395" s="574">
        <v>0</v>
      </c>
      <c r="J395" s="574">
        <v>0</v>
      </c>
      <c r="K395" s="574">
        <v>0</v>
      </c>
      <c r="L395" s="574">
        <v>35.700000000000003</v>
      </c>
      <c r="M395" s="574">
        <v>2.7</v>
      </c>
      <c r="N395" s="574">
        <v>527.6</v>
      </c>
      <c r="O395" s="574">
        <v>0</v>
      </c>
      <c r="P395" s="574">
        <v>0</v>
      </c>
      <c r="Q395" s="574">
        <v>0.3</v>
      </c>
      <c r="R395" s="569"/>
      <c r="S395" s="569"/>
      <c r="T395" s="569"/>
      <c r="U395" s="569"/>
      <c r="V395" s="569"/>
      <c r="W395" s="569"/>
      <c r="X395" s="569"/>
      <c r="Y395" s="569"/>
      <c r="Z395" s="569"/>
      <c r="AA395" s="569"/>
      <c r="AB395" s="569"/>
      <c r="AC395" s="569"/>
      <c r="AD395" s="569"/>
      <c r="AE395" s="569"/>
      <c r="AF395" s="569"/>
      <c r="AG395" s="569"/>
      <c r="AH395" s="569"/>
      <c r="AI395" s="569"/>
      <c r="AJ395" s="569"/>
      <c r="AK395" s="569"/>
      <c r="AL395" s="569"/>
      <c r="AM395" s="569"/>
      <c r="AN395" s="574">
        <v>68.7</v>
      </c>
      <c r="AO395">
        <v>394</v>
      </c>
      <c r="AP395" t="str">
        <f t="shared" si="79"/>
        <v/>
      </c>
      <c r="AQ395" t="str">
        <f t="shared" si="82"/>
        <v/>
      </c>
      <c r="AR395" s="430">
        <f>IFERROR(
IF(AP395="",-100,
IF($BV$2&gt;0, INDEX(Beersheet!$A:$U,MATCH(AP395,INDEX(Beersheet!$A:$U,0,FFARawStatProjections!$BV$2),0),$BV$3)+$BN395,
INDEX($A395:$BM395,,$BV$12)*$BW$12+
INDEX($A395:$BM395,,$BV$15)*$BW$15+
INDEX($A395:$BM395,,$BV$16)*$BW$16+
INDEX($A395:$BM395,,$BV$17)*$BW$17+
INDEX($A395:$BM395,,$BV$18)*$BW$18+
INDEX($A395:$BM395,,$BV$19)*$BW$19+
INDEX($A395:$BM395,,$BV$20)*$BW$20+
INDEX($A395:$BM395,,$BV$21)*$BW$21+
INDEX($A395:$BM395,,$BV$22)*$BW$22+
INDEX($A395:$BM395,,$BV$23)*$BW$23+
INDEX($A395:$BM395,,$BV$25)*$BW$25+
INDEX($A395:$BM395,,$BV$26)*$BW$26+
INDEX($A395:$BM395,,$BV$27)*$BW$27+
$BN395)),
$BN395-100)</f>
        <v>-100</v>
      </c>
      <c r="AT395" t="str">
        <f t="shared" si="83"/>
        <v/>
      </c>
      <c r="AU395" t="str">
        <f t="shared" si="84"/>
        <v/>
      </c>
      <c r="AV395" s="430">
        <f>IFERROR(
IF(AT395="",-100,
IF($BV$2&gt;0, INDEX(Beersheet!$A:$U,MATCH(AT395,INDEX(Beersheet!$A:$U,0,FFARawStatProjections!$BV$2),0),$BV$3)+$BN395,
INDEX($A395:$BM395,,$BV$12)*$BW$12+
INDEX($A395:$BM395,,$BV$15)*$BW$15+
INDEX($A395:$BM395,,$BV$16)*$BW$16+
INDEX($A395:$BM395,,$BV$17)*$BW$17+
INDEX($A395:$BM395,,$BV$18)*$BW$18+
INDEX($A395:$BM395,,$BV$19)*$BW$19+
INDEX($A395:$BM395,,$BV$20)*$BW$20+
INDEX($A395:$BM395,,$BV$21)*$BW$21+
INDEX($A395:$BM395,,$BV$22)*$BW$22+
INDEX($A395:$BM395,,$BV$23)*$BW$23+
INDEX($A395:$BM395,,$BV$25)*$BW$25+
INDEX($A395:$BM395,,$BV$26)*$BW$26+
INDEX($A395:$BM395,,$BV$27)*$BW$27+
$BN395)),
$BN395-100)</f>
        <v>-100</v>
      </c>
      <c r="AX395" t="str">
        <f t="shared" si="85"/>
        <v>Corey Davis</v>
      </c>
      <c r="AY395" t="str">
        <f t="shared" si="86"/>
        <v>NYJ</v>
      </c>
      <c r="AZ395" s="430">
        <f>IFERROR(
IF(AX395="",-100,
IF($BV$2&gt;0, INDEX(Beersheet!$A:$U,MATCH(AX395,INDEX(Beersheet!$A:$U,0,FFARawStatProjections!$BV$2),0),$BV$3)+$BN395,
INDEX($A395:$BM395,,$BV$12)*$BW$12+
INDEX($A395:$BM395,,$BV$15)*$BW$15+
INDEX($A395:$BM395,,$BV$16)*$BW$16+
INDEX($A395:$BM395,,$BV$17)*$BW$17+
INDEX($A395:$BM395,,$BV$18)*$BW$18+
INDEX($A395:$BM395,,$BV$19)*$BW$19+
INDEX($A395:$BM395,,$BV$20)*$BW$20+
INDEX($A395:$BM395,,$BV$21)*$BW$21+
INDEX($A395:$BM395,,$BV$22)*$BW$22+
INDEX($A395:$BM395,,$BV$23)*$BW$23+
INDEX($A395:$BM395,,$BV$25)*$BW$25+
INDEX($A395:$BM395,,$BV$26)*$BW$26+
INDEX($A395:$BM395,,$BV$27)*$BW$27+
$BN395)),
$BN395-100)</f>
        <v>104.69394000000001</v>
      </c>
      <c r="BB395" t="str">
        <f t="shared" si="87"/>
        <v/>
      </c>
      <c r="BC395" t="str">
        <f t="shared" si="81"/>
        <v/>
      </c>
      <c r="BD395" s="430">
        <f>IFERROR(
IF(BB395="",-100,
IF($BV$2&gt;0, INDEX(Beersheet!$A:$U,MATCH(BB395,INDEX(Beersheet!$A:$U,0,FFARawStatProjections!$BV$2),0),$BV$3)+$BN395,
INDEX($A395:$BM395,,$BV$12)*$BW$12+
INDEX($A395:$BM395,,$BV$15)*$BW$15+
INDEX($A395:$BM395,,$BV$16)*$BW$16+
INDEX($A395:$BM395,,$BV$17)*$BW$17+
INDEX($A395:$BM395,,$BV$18)*$BW$18+
INDEX($A395:$BM395,,$BV$19)*$BW$19+
INDEX($A395:$BM395,,$BV$20)*$BW$20+
INDEX($A395:$BM395,,$BV$21)*$BW$21+
INDEX($A395:$BM395,,$BV$22)*$BW$22+
INDEX($A395:$BM395,,$BV$23)*$BW$23+
INDEX($A395:$BM395,,$BV$25)*$BW$25+
INDEX($A395:$BM395,,$BV$26)*$BW$26+
INDEX($A395:$BM395,,$BV$27)*$BW$27+
$BN395)),
$BN395-100)</f>
        <v>-100</v>
      </c>
      <c r="BF395" t="str">
        <f t="shared" si="88"/>
        <v/>
      </c>
      <c r="BG395" t="str">
        <f t="shared" si="89"/>
        <v/>
      </c>
      <c r="BH395">
        <f t="shared" si="90"/>
        <v>0</v>
      </c>
      <c r="BJ395" t="str">
        <f t="shared" si="91"/>
        <v/>
      </c>
      <c r="BL395">
        <f t="shared" si="80"/>
        <v>0</v>
      </c>
      <c r="BN395">
        <v>3.9399999999999999E-3</v>
      </c>
      <c r="BS395" s="4" t="s">
        <v>1869</v>
      </c>
    </row>
    <row r="396" spans="1:71" ht="15.75" thickBot="1" x14ac:dyDescent="0.3">
      <c r="A396" s="569" t="s">
        <v>118</v>
      </c>
      <c r="B396" s="569" t="s">
        <v>142</v>
      </c>
      <c r="C396" s="569" t="s">
        <v>6</v>
      </c>
      <c r="D396" s="574">
        <v>9</v>
      </c>
      <c r="E396" s="569"/>
      <c r="F396" s="569"/>
      <c r="G396" s="569"/>
      <c r="H396" s="569"/>
      <c r="I396" s="574">
        <v>0</v>
      </c>
      <c r="J396" s="574">
        <v>0</v>
      </c>
      <c r="K396" s="574">
        <v>0</v>
      </c>
      <c r="L396" s="574">
        <v>38.1</v>
      </c>
      <c r="M396" s="574">
        <v>3.2</v>
      </c>
      <c r="N396" s="574">
        <v>496</v>
      </c>
      <c r="O396" s="574">
        <v>0.1</v>
      </c>
      <c r="P396" s="574">
        <v>0</v>
      </c>
      <c r="Q396" s="574">
        <v>0.5</v>
      </c>
      <c r="R396" s="569"/>
      <c r="S396" s="569"/>
      <c r="T396" s="569"/>
      <c r="U396" s="569"/>
      <c r="V396" s="569"/>
      <c r="W396" s="569"/>
      <c r="X396" s="569"/>
      <c r="Y396" s="569"/>
      <c r="Z396" s="569"/>
      <c r="AA396" s="569"/>
      <c r="AB396" s="569"/>
      <c r="AC396" s="569"/>
      <c r="AD396" s="569"/>
      <c r="AE396" s="569"/>
      <c r="AF396" s="569"/>
      <c r="AG396" s="569"/>
      <c r="AH396" s="569"/>
      <c r="AI396" s="569"/>
      <c r="AJ396" s="569"/>
      <c r="AK396" s="569"/>
      <c r="AL396" s="569"/>
      <c r="AM396" s="569"/>
      <c r="AN396" s="574">
        <v>68.599999999999994</v>
      </c>
      <c r="AO396">
        <v>395</v>
      </c>
      <c r="AP396" t="str">
        <f t="shared" si="79"/>
        <v/>
      </c>
      <c r="AQ396" t="str">
        <f t="shared" si="82"/>
        <v/>
      </c>
      <c r="AR396" s="430">
        <f>IFERROR(
IF(AP396="",-100,
IF($BV$2&gt;0, INDEX(Beersheet!$A:$U,MATCH(AP396,INDEX(Beersheet!$A:$U,0,FFARawStatProjections!$BV$2),0),$BV$3)+$BN396,
INDEX($A396:$BM396,,$BV$12)*$BW$12+
INDEX($A396:$BM396,,$BV$15)*$BW$15+
INDEX($A396:$BM396,,$BV$16)*$BW$16+
INDEX($A396:$BM396,,$BV$17)*$BW$17+
INDEX($A396:$BM396,,$BV$18)*$BW$18+
INDEX($A396:$BM396,,$BV$19)*$BW$19+
INDEX($A396:$BM396,,$BV$20)*$BW$20+
INDEX($A396:$BM396,,$BV$21)*$BW$21+
INDEX($A396:$BM396,,$BV$22)*$BW$22+
INDEX($A396:$BM396,,$BV$23)*$BW$23+
INDEX($A396:$BM396,,$BV$25)*$BW$25+
INDEX($A396:$BM396,,$BV$26)*$BW$26+
INDEX($A396:$BM396,,$BV$27)*$BW$27+
$BN396)),
$BN396-100)</f>
        <v>-100</v>
      </c>
      <c r="AT396" t="str">
        <f t="shared" si="83"/>
        <v/>
      </c>
      <c r="AU396" t="str">
        <f t="shared" si="84"/>
        <v/>
      </c>
      <c r="AV396" s="430">
        <f>IFERROR(
IF(AT396="",-100,
IF($BV$2&gt;0, INDEX(Beersheet!$A:$U,MATCH(AT396,INDEX(Beersheet!$A:$U,0,FFARawStatProjections!$BV$2),0),$BV$3)+$BN396,
INDEX($A396:$BM396,,$BV$12)*$BW$12+
INDEX($A396:$BM396,,$BV$15)*$BW$15+
INDEX($A396:$BM396,,$BV$16)*$BW$16+
INDEX($A396:$BM396,,$BV$17)*$BW$17+
INDEX($A396:$BM396,,$BV$18)*$BW$18+
INDEX($A396:$BM396,,$BV$19)*$BW$19+
INDEX($A396:$BM396,,$BV$20)*$BW$20+
INDEX($A396:$BM396,,$BV$21)*$BW$21+
INDEX($A396:$BM396,,$BV$22)*$BW$22+
INDEX($A396:$BM396,,$BV$23)*$BW$23+
INDEX($A396:$BM396,,$BV$25)*$BW$25+
INDEX($A396:$BM396,,$BV$26)*$BW$26+
INDEX($A396:$BM396,,$BV$27)*$BW$27+
$BN396)),
$BN396-100)</f>
        <v>-100</v>
      </c>
      <c r="AX396" t="str">
        <f t="shared" si="85"/>
        <v>Marvin Jones</v>
      </c>
      <c r="AY396" t="str">
        <f t="shared" si="86"/>
        <v>DET</v>
      </c>
      <c r="AZ396" s="430">
        <f>IFERROR(
IF(AX396="",-100,
IF($BV$2&gt;0, INDEX(Beersheet!$A:$U,MATCH(AX396,INDEX(Beersheet!$A:$U,0,FFARawStatProjections!$BV$2),0),$BV$3)+$BN396,
INDEX($A396:$BM396,,$BV$12)*$BW$12+
INDEX($A396:$BM396,,$BV$15)*$BW$15+
INDEX($A396:$BM396,,$BV$16)*$BW$16+
INDEX($A396:$BM396,,$BV$17)*$BW$17+
INDEX($A396:$BM396,,$BV$18)*$BW$18+
INDEX($A396:$BM396,,$BV$19)*$BW$19+
INDEX($A396:$BM396,,$BV$20)*$BW$20+
INDEX($A396:$BM396,,$BV$21)*$BW$21+
INDEX($A396:$BM396,,$BV$22)*$BW$22+
INDEX($A396:$BM396,,$BV$23)*$BW$23+
INDEX($A396:$BM396,,$BV$25)*$BW$25+
INDEX($A396:$BM396,,$BV$26)*$BW$26+
INDEX($A396:$BM396,,$BV$27)*$BW$27+
$BN396)),
$BN396-100)</f>
        <v>106.95395000000001</v>
      </c>
      <c r="BB396" t="str">
        <f t="shared" si="87"/>
        <v/>
      </c>
      <c r="BC396" t="str">
        <f t="shared" si="81"/>
        <v/>
      </c>
      <c r="BD396" s="430">
        <f>IFERROR(
IF(BB396="",-100,
IF($BV$2&gt;0, INDEX(Beersheet!$A:$U,MATCH(BB396,INDEX(Beersheet!$A:$U,0,FFARawStatProjections!$BV$2),0),$BV$3)+$BN396,
INDEX($A396:$BM396,,$BV$12)*$BW$12+
INDEX($A396:$BM396,,$BV$15)*$BW$15+
INDEX($A396:$BM396,,$BV$16)*$BW$16+
INDEX($A396:$BM396,,$BV$17)*$BW$17+
INDEX($A396:$BM396,,$BV$18)*$BW$18+
INDEX($A396:$BM396,,$BV$19)*$BW$19+
INDEX($A396:$BM396,,$BV$20)*$BW$20+
INDEX($A396:$BM396,,$BV$21)*$BW$21+
INDEX($A396:$BM396,,$BV$22)*$BW$22+
INDEX($A396:$BM396,,$BV$23)*$BW$23+
INDEX($A396:$BM396,,$BV$25)*$BW$25+
INDEX($A396:$BM396,,$BV$26)*$BW$26+
INDEX($A396:$BM396,,$BV$27)*$BW$27+
$BN396)),
$BN396-100)</f>
        <v>-100</v>
      </c>
      <c r="BF396" t="str">
        <f t="shared" si="88"/>
        <v/>
      </c>
      <c r="BG396" t="str">
        <f t="shared" si="89"/>
        <v/>
      </c>
      <c r="BH396">
        <f t="shared" si="90"/>
        <v>0</v>
      </c>
      <c r="BJ396" t="str">
        <f t="shared" si="91"/>
        <v/>
      </c>
      <c r="BL396">
        <f t="shared" si="80"/>
        <v>0</v>
      </c>
      <c r="BN396">
        <v>3.9500000000000004E-3</v>
      </c>
      <c r="BS396" s="4" t="s">
        <v>2156</v>
      </c>
    </row>
    <row r="397" spans="1:71" ht="15.75" thickBot="1" x14ac:dyDescent="0.3">
      <c r="A397" s="569" t="s">
        <v>1894</v>
      </c>
      <c r="B397" s="569" t="s">
        <v>154</v>
      </c>
      <c r="C397" s="569" t="s">
        <v>6</v>
      </c>
      <c r="D397" s="574">
        <v>13</v>
      </c>
      <c r="E397" s="569"/>
      <c r="F397" s="569"/>
      <c r="G397" s="569"/>
      <c r="H397" s="569"/>
      <c r="I397" s="574">
        <v>0</v>
      </c>
      <c r="J397" s="574">
        <v>0</v>
      </c>
      <c r="K397" s="574">
        <v>0</v>
      </c>
      <c r="L397" s="574">
        <v>35.799999999999997</v>
      </c>
      <c r="M397" s="574">
        <v>2.4</v>
      </c>
      <c r="N397" s="574">
        <v>548.9</v>
      </c>
      <c r="O397" s="574">
        <v>0.5</v>
      </c>
      <c r="P397" s="574">
        <v>0</v>
      </c>
      <c r="Q397" s="574">
        <v>1.5</v>
      </c>
      <c r="R397" s="569"/>
      <c r="S397" s="569"/>
      <c r="T397" s="569"/>
      <c r="U397" s="569"/>
      <c r="V397" s="569"/>
      <c r="W397" s="569"/>
      <c r="X397" s="569"/>
      <c r="Y397" s="569"/>
      <c r="Z397" s="569"/>
      <c r="AA397" s="569"/>
      <c r="AB397" s="569"/>
      <c r="AC397" s="569"/>
      <c r="AD397" s="569"/>
      <c r="AE397" s="569"/>
      <c r="AF397" s="569"/>
      <c r="AG397" s="569"/>
      <c r="AH397" s="569"/>
      <c r="AI397" s="569"/>
      <c r="AJ397" s="569"/>
      <c r="AK397" s="569"/>
      <c r="AL397" s="569"/>
      <c r="AM397" s="569"/>
      <c r="AN397" s="574">
        <v>68.3</v>
      </c>
      <c r="AO397">
        <v>396</v>
      </c>
      <c r="AP397" t="str">
        <f t="shared" si="79"/>
        <v/>
      </c>
      <c r="AQ397" t="str">
        <f t="shared" si="82"/>
        <v/>
      </c>
      <c r="AR397" s="430">
        <f>IFERROR(
IF(AP397="",-100,
IF($BV$2&gt;0, INDEX(Beersheet!$A:$U,MATCH(AP397,INDEX(Beersheet!$A:$U,0,FFARawStatProjections!$BV$2),0),$BV$3)+$BN397,
INDEX($A397:$BM397,,$BV$12)*$BW$12+
INDEX($A397:$BM397,,$BV$15)*$BW$15+
INDEX($A397:$BM397,,$BV$16)*$BW$16+
INDEX($A397:$BM397,,$BV$17)*$BW$17+
INDEX($A397:$BM397,,$BV$18)*$BW$18+
INDEX($A397:$BM397,,$BV$19)*$BW$19+
INDEX($A397:$BM397,,$BV$20)*$BW$20+
INDEX($A397:$BM397,,$BV$21)*$BW$21+
INDEX($A397:$BM397,,$BV$22)*$BW$22+
INDEX($A397:$BM397,,$BV$23)*$BW$23+
INDEX($A397:$BM397,,$BV$25)*$BW$25+
INDEX($A397:$BM397,,$BV$26)*$BW$26+
INDEX($A397:$BM397,,$BV$27)*$BW$27+
$BN397)),
$BN397-100)</f>
        <v>-100</v>
      </c>
      <c r="AT397" t="str">
        <f t="shared" si="83"/>
        <v/>
      </c>
      <c r="AU397" t="str">
        <f t="shared" si="84"/>
        <v/>
      </c>
      <c r="AV397" s="430">
        <f>IFERROR(
IF(AT397="",-100,
IF($BV$2&gt;0, INDEX(Beersheet!$A:$U,MATCH(AT397,INDEX(Beersheet!$A:$U,0,FFARawStatProjections!$BV$2),0),$BV$3)+$BN397,
INDEX($A397:$BM397,,$BV$12)*$BW$12+
INDEX($A397:$BM397,,$BV$15)*$BW$15+
INDEX($A397:$BM397,,$BV$16)*$BW$16+
INDEX($A397:$BM397,,$BV$17)*$BW$17+
INDEX($A397:$BM397,,$BV$18)*$BW$18+
INDEX($A397:$BM397,,$BV$19)*$BW$19+
INDEX($A397:$BM397,,$BV$20)*$BW$20+
INDEX($A397:$BM397,,$BV$21)*$BW$21+
INDEX($A397:$BM397,,$BV$22)*$BW$22+
INDEX($A397:$BM397,,$BV$23)*$BW$23+
INDEX($A397:$BM397,,$BV$25)*$BW$25+
INDEX($A397:$BM397,,$BV$26)*$BW$26+
INDEX($A397:$BM397,,$BV$27)*$BW$27+
$BN397)),
$BN397-100)</f>
        <v>-100</v>
      </c>
      <c r="AX397" t="str">
        <f t="shared" si="85"/>
        <v>Darius Slayton</v>
      </c>
      <c r="AY397" t="str">
        <f t="shared" si="86"/>
        <v>NYG</v>
      </c>
      <c r="AZ397" s="430">
        <f>IFERROR(
IF(AX397="",-100,
IF($BV$2&gt;0, INDEX(Beersheet!$A:$U,MATCH(AX397,INDEX(Beersheet!$A:$U,0,FFARawStatProjections!$BV$2),0),$BV$3)+$BN397,
INDEX($A397:$BM397,,$BV$12)*$BW$12+
INDEX($A397:$BM397,,$BV$15)*$BW$15+
INDEX($A397:$BM397,,$BV$16)*$BW$16+
INDEX($A397:$BM397,,$BV$17)*$BW$17+
INDEX($A397:$BM397,,$BV$18)*$BW$18+
INDEX($A397:$BM397,,$BV$19)*$BW$19+
INDEX($A397:$BM397,,$BV$20)*$BW$20+
INDEX($A397:$BM397,,$BV$21)*$BW$21+
INDEX($A397:$BM397,,$BV$22)*$BW$22+
INDEX($A397:$BM397,,$BV$23)*$BW$23+
INDEX($A397:$BM397,,$BV$25)*$BW$25+
INDEX($A397:$BM397,,$BV$26)*$BW$26+
INDEX($A397:$BM397,,$BV$27)*$BW$27+
$BN397)),
$BN397-100)</f>
        <v>105.24396000000002</v>
      </c>
      <c r="BB397" t="str">
        <f t="shared" si="87"/>
        <v/>
      </c>
      <c r="BC397" t="str">
        <f t="shared" si="81"/>
        <v/>
      </c>
      <c r="BD397" s="430">
        <f>IFERROR(
IF(BB397="",-100,
IF($BV$2&gt;0, INDEX(Beersheet!$A:$U,MATCH(BB397,INDEX(Beersheet!$A:$U,0,FFARawStatProjections!$BV$2),0),$BV$3)+$BN397,
INDEX($A397:$BM397,,$BV$12)*$BW$12+
INDEX($A397:$BM397,,$BV$15)*$BW$15+
INDEX($A397:$BM397,,$BV$16)*$BW$16+
INDEX($A397:$BM397,,$BV$17)*$BW$17+
INDEX($A397:$BM397,,$BV$18)*$BW$18+
INDEX($A397:$BM397,,$BV$19)*$BW$19+
INDEX($A397:$BM397,,$BV$20)*$BW$20+
INDEX($A397:$BM397,,$BV$21)*$BW$21+
INDEX($A397:$BM397,,$BV$22)*$BW$22+
INDEX($A397:$BM397,,$BV$23)*$BW$23+
INDEX($A397:$BM397,,$BV$25)*$BW$25+
INDEX($A397:$BM397,,$BV$26)*$BW$26+
INDEX($A397:$BM397,,$BV$27)*$BW$27+
$BN397)),
$BN397-100)</f>
        <v>-100</v>
      </c>
      <c r="BF397" t="str">
        <f t="shared" si="88"/>
        <v/>
      </c>
      <c r="BG397" t="str">
        <f t="shared" si="89"/>
        <v/>
      </c>
      <c r="BH397">
        <f t="shared" si="90"/>
        <v>0</v>
      </c>
      <c r="BJ397" t="str">
        <f t="shared" si="91"/>
        <v/>
      </c>
      <c r="BL397">
        <f t="shared" si="80"/>
        <v>0</v>
      </c>
      <c r="BN397">
        <v>3.96E-3</v>
      </c>
      <c r="BS397" s="4" t="s">
        <v>2102</v>
      </c>
    </row>
    <row r="398" spans="1:71" ht="15.75" thickBot="1" x14ac:dyDescent="0.3">
      <c r="A398" s="569" t="s">
        <v>1450</v>
      </c>
      <c r="B398" s="569" t="s">
        <v>148</v>
      </c>
      <c r="C398" s="569" t="s">
        <v>6</v>
      </c>
      <c r="D398" s="574">
        <v>11</v>
      </c>
      <c r="E398" s="569"/>
      <c r="F398" s="569"/>
      <c r="G398" s="569"/>
      <c r="H398" s="569"/>
      <c r="I398" s="574">
        <v>0</v>
      </c>
      <c r="J398" s="574">
        <v>0</v>
      </c>
      <c r="K398" s="574">
        <v>0</v>
      </c>
      <c r="L398" s="574">
        <v>42.1</v>
      </c>
      <c r="M398" s="574">
        <v>2.8</v>
      </c>
      <c r="N398" s="574">
        <v>495</v>
      </c>
      <c r="O398" s="574">
        <v>0.5</v>
      </c>
      <c r="P398" s="574">
        <v>0.1</v>
      </c>
      <c r="Q398" s="574">
        <v>12.1</v>
      </c>
      <c r="R398" s="569"/>
      <c r="S398" s="569"/>
      <c r="T398" s="569"/>
      <c r="U398" s="569"/>
      <c r="V398" s="569"/>
      <c r="W398" s="569"/>
      <c r="X398" s="569"/>
      <c r="Y398" s="569"/>
      <c r="Z398" s="569"/>
      <c r="AA398" s="569"/>
      <c r="AB398" s="569"/>
      <c r="AC398" s="569"/>
      <c r="AD398" s="569"/>
      <c r="AE398" s="569"/>
      <c r="AF398" s="569"/>
      <c r="AG398" s="569"/>
      <c r="AH398" s="569"/>
      <c r="AI398" s="569"/>
      <c r="AJ398" s="569"/>
      <c r="AK398" s="569"/>
      <c r="AL398" s="569"/>
      <c r="AM398" s="569"/>
      <c r="AN398" s="574">
        <v>67.5</v>
      </c>
      <c r="AO398">
        <v>397</v>
      </c>
      <c r="AP398" t="str">
        <f t="shared" si="79"/>
        <v/>
      </c>
      <c r="AQ398" t="str">
        <f t="shared" si="82"/>
        <v/>
      </c>
      <c r="AR398" s="430">
        <f>IFERROR(
IF(AP398="",-100,
IF($BV$2&gt;0, INDEX(Beersheet!$A:$U,MATCH(AP398,INDEX(Beersheet!$A:$U,0,FFARawStatProjections!$BV$2),0),$BV$3)+$BN398,
INDEX($A398:$BM398,,$BV$12)*$BW$12+
INDEX($A398:$BM398,,$BV$15)*$BW$15+
INDEX($A398:$BM398,,$BV$16)*$BW$16+
INDEX($A398:$BM398,,$BV$17)*$BW$17+
INDEX($A398:$BM398,,$BV$18)*$BW$18+
INDEX($A398:$BM398,,$BV$19)*$BW$19+
INDEX($A398:$BM398,,$BV$20)*$BW$20+
INDEX($A398:$BM398,,$BV$21)*$BW$21+
INDEX($A398:$BM398,,$BV$22)*$BW$22+
INDEX($A398:$BM398,,$BV$23)*$BW$23+
INDEX($A398:$BM398,,$BV$25)*$BW$25+
INDEX($A398:$BM398,,$BV$26)*$BW$26+
INDEX($A398:$BM398,,$BV$27)*$BW$27+
$BN398)),
$BN398-100)</f>
        <v>-100</v>
      </c>
      <c r="AT398" t="str">
        <f t="shared" si="83"/>
        <v/>
      </c>
      <c r="AU398" t="str">
        <f t="shared" si="84"/>
        <v/>
      </c>
      <c r="AV398" s="430">
        <f>IFERROR(
IF(AT398="",-100,
IF($BV$2&gt;0, INDEX(Beersheet!$A:$U,MATCH(AT398,INDEX(Beersheet!$A:$U,0,FFARawStatProjections!$BV$2),0),$BV$3)+$BN398,
INDEX($A398:$BM398,,$BV$12)*$BW$12+
INDEX($A398:$BM398,,$BV$15)*$BW$15+
INDEX($A398:$BM398,,$BV$16)*$BW$16+
INDEX($A398:$BM398,,$BV$17)*$BW$17+
INDEX($A398:$BM398,,$BV$18)*$BW$18+
INDEX($A398:$BM398,,$BV$19)*$BW$19+
INDEX($A398:$BM398,,$BV$20)*$BW$20+
INDEX($A398:$BM398,,$BV$21)*$BW$21+
INDEX($A398:$BM398,,$BV$22)*$BW$22+
INDEX($A398:$BM398,,$BV$23)*$BW$23+
INDEX($A398:$BM398,,$BV$25)*$BW$25+
INDEX($A398:$BM398,,$BV$26)*$BW$26+
INDEX($A398:$BM398,,$BV$27)*$BW$27+
$BN398)),
$BN398-100)</f>
        <v>-100</v>
      </c>
      <c r="AX398" t="str">
        <f t="shared" si="85"/>
        <v>Mack Hollins</v>
      </c>
      <c r="AY398" t="str">
        <f t="shared" si="86"/>
        <v>ATL</v>
      </c>
      <c r="AZ398" s="430">
        <f>IFERROR(
IF(AX398="",-100,
IF($BV$2&gt;0, INDEX(Beersheet!$A:$U,MATCH(AX398,INDEX(Beersheet!$A:$U,0,FFARawStatProjections!$BV$2),0),$BV$3)+$BN398,
INDEX($A398:$BM398,,$BV$12)*$BW$12+
INDEX($A398:$BM398,,$BV$15)*$BW$15+
INDEX($A398:$BM398,,$BV$16)*$BW$16+
INDEX($A398:$BM398,,$BV$17)*$BW$17+
INDEX($A398:$BM398,,$BV$18)*$BW$18+
INDEX($A398:$BM398,,$BV$19)*$BW$19+
INDEX($A398:$BM398,,$BV$20)*$BW$20+
INDEX($A398:$BM398,,$BV$21)*$BW$21+
INDEX($A398:$BM398,,$BV$22)*$BW$22+
INDEX($A398:$BM398,,$BV$23)*$BW$23+
INDEX($A398:$BM398,,$BV$25)*$BW$25+
INDEX($A398:$BM398,,$BV$26)*$BW$26+
INDEX($A398:$BM398,,$BV$27)*$BW$27+
$BN398)),
$BN398-100)</f>
        <v>110.21396999999999</v>
      </c>
      <c r="BB398" t="str">
        <f t="shared" si="87"/>
        <v/>
      </c>
      <c r="BC398" t="str">
        <f t="shared" si="81"/>
        <v/>
      </c>
      <c r="BD398" s="430">
        <f>IFERROR(
IF(BB398="",-100,
IF($BV$2&gt;0, INDEX(Beersheet!$A:$U,MATCH(BB398,INDEX(Beersheet!$A:$U,0,FFARawStatProjections!$BV$2),0),$BV$3)+$BN398,
INDEX($A398:$BM398,,$BV$12)*$BW$12+
INDEX($A398:$BM398,,$BV$15)*$BW$15+
INDEX($A398:$BM398,,$BV$16)*$BW$16+
INDEX($A398:$BM398,,$BV$17)*$BW$17+
INDEX($A398:$BM398,,$BV$18)*$BW$18+
INDEX($A398:$BM398,,$BV$19)*$BW$19+
INDEX($A398:$BM398,,$BV$20)*$BW$20+
INDEX($A398:$BM398,,$BV$21)*$BW$21+
INDEX($A398:$BM398,,$BV$22)*$BW$22+
INDEX($A398:$BM398,,$BV$23)*$BW$23+
INDEX($A398:$BM398,,$BV$25)*$BW$25+
INDEX($A398:$BM398,,$BV$26)*$BW$26+
INDEX($A398:$BM398,,$BV$27)*$BW$27+
$BN398)),
$BN398-100)</f>
        <v>-100</v>
      </c>
      <c r="BF398" t="str">
        <f t="shared" si="88"/>
        <v/>
      </c>
      <c r="BG398" t="str">
        <f t="shared" si="89"/>
        <v/>
      </c>
      <c r="BH398">
        <f t="shared" si="90"/>
        <v>0</v>
      </c>
      <c r="BJ398" t="str">
        <f t="shared" si="91"/>
        <v/>
      </c>
      <c r="BL398">
        <f t="shared" si="80"/>
        <v>0</v>
      </c>
      <c r="BN398">
        <v>3.9699999999999996E-3</v>
      </c>
      <c r="BS398" s="4" t="s">
        <v>2081</v>
      </c>
    </row>
    <row r="399" spans="1:71" ht="15.75" thickBot="1" x14ac:dyDescent="0.3">
      <c r="A399" s="569" t="s">
        <v>2422</v>
      </c>
      <c r="B399" s="569" t="s">
        <v>136</v>
      </c>
      <c r="C399" s="569" t="s">
        <v>6</v>
      </c>
      <c r="D399" s="574">
        <v>10</v>
      </c>
      <c r="E399" s="569"/>
      <c r="F399" s="569"/>
      <c r="G399" s="569"/>
      <c r="H399" s="569"/>
      <c r="I399" s="574">
        <v>0</v>
      </c>
      <c r="J399" s="574">
        <v>0</v>
      </c>
      <c r="K399" s="574">
        <v>0</v>
      </c>
      <c r="L399" s="574">
        <v>33.5</v>
      </c>
      <c r="M399" s="574">
        <v>3</v>
      </c>
      <c r="N399" s="574">
        <v>486.5</v>
      </c>
      <c r="O399" s="574">
        <v>1.2</v>
      </c>
      <c r="P399" s="574">
        <v>0</v>
      </c>
      <c r="Q399" s="574">
        <v>8</v>
      </c>
      <c r="R399" s="569"/>
      <c r="S399" s="569"/>
      <c r="T399" s="569"/>
      <c r="U399" s="569"/>
      <c r="V399" s="569"/>
      <c r="W399" s="569"/>
      <c r="X399" s="569"/>
      <c r="Y399" s="569"/>
      <c r="Z399" s="569"/>
      <c r="AA399" s="569"/>
      <c r="AB399" s="569"/>
      <c r="AC399" s="569"/>
      <c r="AD399" s="569"/>
      <c r="AE399" s="569"/>
      <c r="AF399" s="569"/>
      <c r="AG399" s="569"/>
      <c r="AH399" s="569"/>
      <c r="AI399" s="569"/>
      <c r="AJ399" s="569"/>
      <c r="AK399" s="569"/>
      <c r="AL399" s="569"/>
      <c r="AM399" s="569"/>
      <c r="AN399" s="574">
        <v>67.099999999999994</v>
      </c>
      <c r="AO399">
        <v>398</v>
      </c>
      <c r="AP399" t="str">
        <f t="shared" si="79"/>
        <v/>
      </c>
      <c r="AQ399" t="str">
        <f t="shared" si="82"/>
        <v/>
      </c>
      <c r="AR399" s="430">
        <f>IFERROR(
IF(AP399="",-100,
IF($BV$2&gt;0, INDEX(Beersheet!$A:$U,MATCH(AP399,INDEX(Beersheet!$A:$U,0,FFARawStatProjections!$BV$2),0),$BV$3)+$BN399,
INDEX($A399:$BM399,,$BV$12)*$BW$12+
INDEX($A399:$BM399,,$BV$15)*$BW$15+
INDEX($A399:$BM399,,$BV$16)*$BW$16+
INDEX($A399:$BM399,,$BV$17)*$BW$17+
INDEX($A399:$BM399,,$BV$18)*$BW$18+
INDEX($A399:$BM399,,$BV$19)*$BW$19+
INDEX($A399:$BM399,,$BV$20)*$BW$20+
INDEX($A399:$BM399,,$BV$21)*$BW$21+
INDEX($A399:$BM399,,$BV$22)*$BW$22+
INDEX($A399:$BM399,,$BV$23)*$BW$23+
INDEX($A399:$BM399,,$BV$25)*$BW$25+
INDEX($A399:$BM399,,$BV$26)*$BW$26+
INDEX($A399:$BM399,,$BV$27)*$BW$27+
$BN399)),
$BN399-100)</f>
        <v>-100</v>
      </c>
      <c r="AT399" t="str">
        <f t="shared" si="83"/>
        <v/>
      </c>
      <c r="AU399" t="str">
        <f t="shared" si="84"/>
        <v/>
      </c>
      <c r="AV399" s="430">
        <f>IFERROR(
IF(AT399="",-100,
IF($BV$2&gt;0, INDEX(Beersheet!$A:$U,MATCH(AT399,INDEX(Beersheet!$A:$U,0,FFARawStatProjections!$BV$2),0),$BV$3)+$BN399,
INDEX($A399:$BM399,,$BV$12)*$BW$12+
INDEX($A399:$BM399,,$BV$15)*$BW$15+
INDEX($A399:$BM399,,$BV$16)*$BW$16+
INDEX($A399:$BM399,,$BV$17)*$BW$17+
INDEX($A399:$BM399,,$BV$18)*$BW$18+
INDEX($A399:$BM399,,$BV$19)*$BW$19+
INDEX($A399:$BM399,,$BV$20)*$BW$20+
INDEX($A399:$BM399,,$BV$21)*$BW$21+
INDEX($A399:$BM399,,$BV$22)*$BW$22+
INDEX($A399:$BM399,,$BV$23)*$BW$23+
INDEX($A399:$BM399,,$BV$25)*$BW$25+
INDEX($A399:$BM399,,$BV$26)*$BW$26+
INDEX($A399:$BM399,,$BV$27)*$BW$27+
$BN399)),
$BN399-100)</f>
        <v>-100</v>
      </c>
      <c r="AX399" t="str">
        <f t="shared" si="85"/>
        <v>Rashee Rice</v>
      </c>
      <c r="AY399" t="str">
        <f t="shared" si="86"/>
        <v>KC</v>
      </c>
      <c r="AZ399" s="430">
        <f>IFERROR(
IF(AX399="",-100,
IF($BV$2&gt;0, INDEX(Beersheet!$A:$U,MATCH(AX399,INDEX(Beersheet!$A:$U,0,FFARawStatProjections!$BV$2),0),$BV$3)+$BN399,
INDEX($A399:$BM399,,$BV$12)*$BW$12+
INDEX($A399:$BM399,,$BV$15)*$BW$15+
INDEX($A399:$BM399,,$BV$16)*$BW$16+
INDEX($A399:$BM399,,$BV$17)*$BW$17+
INDEX($A399:$BM399,,$BV$18)*$BW$18+
INDEX($A399:$BM399,,$BV$19)*$BW$19+
INDEX($A399:$BM399,,$BV$20)*$BW$20+
INDEX($A399:$BM399,,$BV$21)*$BW$21+
INDEX($A399:$BM399,,$BV$22)*$BW$22+
INDEX($A399:$BM399,,$BV$23)*$BW$23+
INDEX($A399:$BM399,,$BV$25)*$BW$25+
INDEX($A399:$BM399,,$BV$26)*$BW$26+
INDEX($A399:$BM399,,$BV$27)*$BW$27+
$BN399)),
$BN399-100)</f>
        <v>100.95398</v>
      </c>
      <c r="BB399" t="str">
        <f t="shared" si="87"/>
        <v/>
      </c>
      <c r="BC399" t="str">
        <f t="shared" si="81"/>
        <v/>
      </c>
      <c r="BD399" s="430">
        <f>IFERROR(
IF(BB399="",-100,
IF($BV$2&gt;0, INDEX(Beersheet!$A:$U,MATCH(BB399,INDEX(Beersheet!$A:$U,0,FFARawStatProjections!$BV$2),0),$BV$3)+$BN399,
INDEX($A399:$BM399,,$BV$12)*$BW$12+
INDEX($A399:$BM399,,$BV$15)*$BW$15+
INDEX($A399:$BM399,,$BV$16)*$BW$16+
INDEX($A399:$BM399,,$BV$17)*$BW$17+
INDEX($A399:$BM399,,$BV$18)*$BW$18+
INDEX($A399:$BM399,,$BV$19)*$BW$19+
INDEX($A399:$BM399,,$BV$20)*$BW$20+
INDEX($A399:$BM399,,$BV$21)*$BW$21+
INDEX($A399:$BM399,,$BV$22)*$BW$22+
INDEX($A399:$BM399,,$BV$23)*$BW$23+
INDEX($A399:$BM399,,$BV$25)*$BW$25+
INDEX($A399:$BM399,,$BV$26)*$BW$26+
INDEX($A399:$BM399,,$BV$27)*$BW$27+
$BN399)),
$BN399-100)</f>
        <v>-100</v>
      </c>
      <c r="BF399" t="str">
        <f t="shared" si="88"/>
        <v/>
      </c>
      <c r="BG399" t="str">
        <f t="shared" si="89"/>
        <v/>
      </c>
      <c r="BH399">
        <f t="shared" si="90"/>
        <v>0</v>
      </c>
      <c r="BJ399" t="str">
        <f t="shared" si="91"/>
        <v/>
      </c>
      <c r="BL399">
        <f t="shared" si="80"/>
        <v>0</v>
      </c>
      <c r="BN399">
        <v>3.98E-3</v>
      </c>
      <c r="BS399" s="4" t="s">
        <v>2458</v>
      </c>
    </row>
    <row r="400" spans="1:71" ht="15.75" thickBot="1" x14ac:dyDescent="0.3">
      <c r="A400" s="569" t="s">
        <v>190</v>
      </c>
      <c r="B400" s="569" t="s">
        <v>147</v>
      </c>
      <c r="C400" s="569" t="s">
        <v>6</v>
      </c>
      <c r="D400" s="574">
        <v>6</v>
      </c>
      <c r="E400" s="569"/>
      <c r="F400" s="569"/>
      <c r="G400" s="569"/>
      <c r="H400" s="569"/>
      <c r="I400" s="574">
        <v>0</v>
      </c>
      <c r="J400" s="574">
        <v>0</v>
      </c>
      <c r="K400" s="574">
        <v>0</v>
      </c>
      <c r="L400" s="574">
        <v>39.700000000000003</v>
      </c>
      <c r="M400" s="574">
        <v>2.7</v>
      </c>
      <c r="N400" s="574">
        <v>491</v>
      </c>
      <c r="O400" s="574">
        <v>0.1</v>
      </c>
      <c r="P400" s="574">
        <v>0</v>
      </c>
      <c r="Q400" s="574">
        <v>0.4</v>
      </c>
      <c r="R400" s="569"/>
      <c r="S400" s="569"/>
      <c r="T400" s="569"/>
      <c r="U400" s="569"/>
      <c r="V400" s="569"/>
      <c r="W400" s="569"/>
      <c r="X400" s="569"/>
      <c r="Y400" s="569"/>
      <c r="Z400" s="569"/>
      <c r="AA400" s="569"/>
      <c r="AB400" s="569"/>
      <c r="AC400" s="569"/>
      <c r="AD400" s="569"/>
      <c r="AE400" s="569"/>
      <c r="AF400" s="569"/>
      <c r="AG400" s="569"/>
      <c r="AH400" s="569"/>
      <c r="AI400" s="569"/>
      <c r="AJ400" s="569"/>
      <c r="AK400" s="569"/>
      <c r="AL400" s="569"/>
      <c r="AM400" s="569"/>
      <c r="AN400" s="574">
        <v>65.3</v>
      </c>
      <c r="AO400">
        <v>399</v>
      </c>
      <c r="AP400" t="str">
        <f t="shared" si="79"/>
        <v/>
      </c>
      <c r="AQ400" t="str">
        <f t="shared" si="82"/>
        <v/>
      </c>
      <c r="AR400" s="430">
        <f>IFERROR(
IF(AP400="",-100,
IF($BV$2&gt;0, INDEX(Beersheet!$A:$U,MATCH(AP400,INDEX(Beersheet!$A:$U,0,FFARawStatProjections!$BV$2),0),$BV$3)+$BN400,
INDEX($A400:$BM400,,$BV$12)*$BW$12+
INDEX($A400:$BM400,,$BV$15)*$BW$15+
INDEX($A400:$BM400,,$BV$16)*$BW$16+
INDEX($A400:$BM400,,$BV$17)*$BW$17+
INDEX($A400:$BM400,,$BV$18)*$BW$18+
INDEX($A400:$BM400,,$BV$19)*$BW$19+
INDEX($A400:$BM400,,$BV$20)*$BW$20+
INDEX($A400:$BM400,,$BV$21)*$BW$21+
INDEX($A400:$BM400,,$BV$22)*$BW$22+
INDEX($A400:$BM400,,$BV$23)*$BW$23+
INDEX($A400:$BM400,,$BV$25)*$BW$25+
INDEX($A400:$BM400,,$BV$26)*$BW$26+
INDEX($A400:$BM400,,$BV$27)*$BW$27+
$BN400)),
$BN400-100)</f>
        <v>-100</v>
      </c>
      <c r="AT400" t="str">
        <f t="shared" si="83"/>
        <v/>
      </c>
      <c r="AU400" t="str">
        <f t="shared" si="84"/>
        <v/>
      </c>
      <c r="AV400" s="430">
        <f>IFERROR(
IF(AT400="",-100,
IF($BV$2&gt;0, INDEX(Beersheet!$A:$U,MATCH(AT400,INDEX(Beersheet!$A:$U,0,FFARawStatProjections!$BV$2),0),$BV$3)+$BN400,
INDEX($A400:$BM400,,$BV$12)*$BW$12+
INDEX($A400:$BM400,,$BV$15)*$BW$15+
INDEX($A400:$BM400,,$BV$16)*$BW$16+
INDEX($A400:$BM400,,$BV$17)*$BW$17+
INDEX($A400:$BM400,,$BV$18)*$BW$18+
INDEX($A400:$BM400,,$BV$19)*$BW$19+
INDEX($A400:$BM400,,$BV$20)*$BW$20+
INDEX($A400:$BM400,,$BV$21)*$BW$21+
INDEX($A400:$BM400,,$BV$22)*$BW$22+
INDEX($A400:$BM400,,$BV$23)*$BW$23+
INDEX($A400:$BM400,,$BV$25)*$BW$25+
INDEX($A400:$BM400,,$BV$26)*$BW$26+
INDEX($A400:$BM400,,$BV$27)*$BW$27+
$BN400)),
$BN400-100)</f>
        <v>-100</v>
      </c>
      <c r="AX400" t="str">
        <f t="shared" si="85"/>
        <v>Allen Robinson</v>
      </c>
      <c r="AY400" t="str">
        <f t="shared" si="86"/>
        <v>PIT</v>
      </c>
      <c r="AZ400" s="430">
        <f>IFERROR(
IF(AX400="",-100,
IF($BV$2&gt;0, INDEX(Beersheet!$A:$U,MATCH(AX400,INDEX(Beersheet!$A:$U,0,FFARawStatProjections!$BV$2),0),$BV$3)+$BN400,
INDEX($A400:$BM400,,$BV$12)*$BW$12+
INDEX($A400:$BM400,,$BV$15)*$BW$15+
INDEX($A400:$BM400,,$BV$16)*$BW$16+
INDEX($A400:$BM400,,$BV$17)*$BW$17+
INDEX($A400:$BM400,,$BV$18)*$BW$18+
INDEX($A400:$BM400,,$BV$19)*$BW$19+
INDEX($A400:$BM400,,$BV$20)*$BW$20+
INDEX($A400:$BM400,,$BV$21)*$BW$21+
INDEX($A400:$BM400,,$BV$22)*$BW$22+
INDEX($A400:$BM400,,$BV$23)*$BW$23+
INDEX($A400:$BM400,,$BV$25)*$BW$25+
INDEX($A400:$BM400,,$BV$26)*$BW$26+
INDEX($A400:$BM400,,$BV$27)*$BW$27+
$BN400)),
$BN400-100)</f>
        <v>105.04399000000001</v>
      </c>
      <c r="BB400" t="str">
        <f t="shared" si="87"/>
        <v/>
      </c>
      <c r="BC400" t="str">
        <f t="shared" si="81"/>
        <v/>
      </c>
      <c r="BD400" s="430">
        <f>IFERROR(
IF(BB400="",-100,
IF($BV$2&gt;0, INDEX(Beersheet!$A:$U,MATCH(BB400,INDEX(Beersheet!$A:$U,0,FFARawStatProjections!$BV$2),0),$BV$3)+$BN400,
INDEX($A400:$BM400,,$BV$12)*$BW$12+
INDEX($A400:$BM400,,$BV$15)*$BW$15+
INDEX($A400:$BM400,,$BV$16)*$BW$16+
INDEX($A400:$BM400,,$BV$17)*$BW$17+
INDEX($A400:$BM400,,$BV$18)*$BW$18+
INDEX($A400:$BM400,,$BV$19)*$BW$19+
INDEX($A400:$BM400,,$BV$20)*$BW$20+
INDEX($A400:$BM400,,$BV$21)*$BW$21+
INDEX($A400:$BM400,,$BV$22)*$BW$22+
INDEX($A400:$BM400,,$BV$23)*$BW$23+
INDEX($A400:$BM400,,$BV$25)*$BW$25+
INDEX($A400:$BM400,,$BV$26)*$BW$26+
INDEX($A400:$BM400,,$BV$27)*$BW$27+
$BN400)),
$BN400-100)</f>
        <v>-100</v>
      </c>
      <c r="BF400" t="str">
        <f t="shared" si="88"/>
        <v/>
      </c>
      <c r="BG400" t="str">
        <f t="shared" si="89"/>
        <v/>
      </c>
      <c r="BH400">
        <f t="shared" si="90"/>
        <v>0</v>
      </c>
      <c r="BJ400" t="str">
        <f t="shared" si="91"/>
        <v/>
      </c>
      <c r="BL400">
        <f t="shared" si="80"/>
        <v>0</v>
      </c>
      <c r="BN400">
        <v>3.9899999999999996E-3</v>
      </c>
      <c r="BS400" s="4" t="s">
        <v>19</v>
      </c>
    </row>
    <row r="401" spans="1:71" ht="15.75" thickBot="1" x14ac:dyDescent="0.3">
      <c r="A401" s="569" t="s">
        <v>1806</v>
      </c>
      <c r="B401" s="569" t="s">
        <v>149</v>
      </c>
      <c r="C401" s="569" t="s">
        <v>6</v>
      </c>
      <c r="D401" s="574">
        <v>5</v>
      </c>
      <c r="E401" s="569"/>
      <c r="F401" s="569"/>
      <c r="G401" s="569"/>
      <c r="H401" s="569"/>
      <c r="I401" s="574">
        <v>0</v>
      </c>
      <c r="J401" s="574">
        <v>0</v>
      </c>
      <c r="K401" s="574">
        <v>0</v>
      </c>
      <c r="L401" s="574">
        <v>60.5</v>
      </c>
      <c r="M401" s="574">
        <v>1.9</v>
      </c>
      <c r="N401" s="574">
        <v>524.9</v>
      </c>
      <c r="O401" s="574">
        <v>0.8</v>
      </c>
      <c r="P401" s="574">
        <v>0</v>
      </c>
      <c r="Q401" s="574">
        <v>2</v>
      </c>
      <c r="R401" s="569"/>
      <c r="S401" s="569"/>
      <c r="T401" s="569"/>
      <c r="U401" s="569"/>
      <c r="V401" s="569"/>
      <c r="W401" s="569"/>
      <c r="X401" s="569"/>
      <c r="Y401" s="569"/>
      <c r="Z401" s="569"/>
      <c r="AA401" s="569"/>
      <c r="AB401" s="569"/>
      <c r="AC401" s="569"/>
      <c r="AD401" s="569"/>
      <c r="AE401" s="569"/>
      <c r="AF401" s="569"/>
      <c r="AG401" s="569"/>
      <c r="AH401" s="569"/>
      <c r="AI401" s="569"/>
      <c r="AJ401" s="569"/>
      <c r="AK401" s="569"/>
      <c r="AL401" s="569"/>
      <c r="AM401" s="569"/>
      <c r="AN401" s="574">
        <v>63.4</v>
      </c>
      <c r="AO401">
        <v>400</v>
      </c>
      <c r="AP401" t="str">
        <f t="shared" si="79"/>
        <v/>
      </c>
      <c r="AQ401" t="str">
        <f t="shared" si="82"/>
        <v/>
      </c>
      <c r="AR401" s="430">
        <f>IFERROR(
IF(AP401="",-100,
IF($BV$2&gt;0, INDEX(Beersheet!$A:$U,MATCH(AP401,INDEX(Beersheet!$A:$U,0,FFARawStatProjections!$BV$2),0),$BV$3)+$BN401,
INDEX($A401:$BM401,,$BV$12)*$BW$12+
INDEX($A401:$BM401,,$BV$15)*$BW$15+
INDEX($A401:$BM401,,$BV$16)*$BW$16+
INDEX($A401:$BM401,,$BV$17)*$BW$17+
INDEX($A401:$BM401,,$BV$18)*$BW$18+
INDEX($A401:$BM401,,$BV$19)*$BW$19+
INDEX($A401:$BM401,,$BV$20)*$BW$20+
INDEX($A401:$BM401,,$BV$21)*$BW$21+
INDEX($A401:$BM401,,$BV$22)*$BW$22+
INDEX($A401:$BM401,,$BV$23)*$BW$23+
INDEX($A401:$BM401,,$BV$25)*$BW$25+
INDEX($A401:$BM401,,$BV$26)*$BW$26+
INDEX($A401:$BM401,,$BV$27)*$BW$27+
$BN401)),
$BN401-100)</f>
        <v>-100</v>
      </c>
      <c r="AT401" t="str">
        <f t="shared" si="83"/>
        <v/>
      </c>
      <c r="AU401" t="str">
        <f t="shared" si="84"/>
        <v/>
      </c>
      <c r="AV401" s="430">
        <f>IFERROR(
IF(AT401="",-100,
IF($BV$2&gt;0, INDEX(Beersheet!$A:$U,MATCH(AT401,INDEX(Beersheet!$A:$U,0,FFARawStatProjections!$BV$2),0),$BV$3)+$BN401,
INDEX($A401:$BM401,,$BV$12)*$BW$12+
INDEX($A401:$BM401,,$BV$15)*$BW$15+
INDEX($A401:$BM401,,$BV$16)*$BW$16+
INDEX($A401:$BM401,,$BV$17)*$BW$17+
INDEX($A401:$BM401,,$BV$18)*$BW$18+
INDEX($A401:$BM401,,$BV$19)*$BW$19+
INDEX($A401:$BM401,,$BV$20)*$BW$20+
INDEX($A401:$BM401,,$BV$21)*$BW$21+
INDEX($A401:$BM401,,$BV$22)*$BW$22+
INDEX($A401:$BM401,,$BV$23)*$BW$23+
INDEX($A401:$BM401,,$BV$25)*$BW$25+
INDEX($A401:$BM401,,$BV$26)*$BW$26+
INDEX($A401:$BM401,,$BV$27)*$BW$27+
$BN401)),
$BN401-100)</f>
        <v>-100</v>
      </c>
      <c r="AX401" t="str">
        <f t="shared" si="85"/>
        <v>Russell Gage</v>
      </c>
      <c r="AY401" t="str">
        <f t="shared" si="86"/>
        <v>TB</v>
      </c>
      <c r="AZ401" s="430">
        <f>IFERROR(
IF(AX401="",-100,
IF($BV$2&gt;0, INDEX(Beersheet!$A:$U,MATCH(AX401,INDEX(Beersheet!$A:$U,0,FFARawStatProjections!$BV$2),0),$BV$3)+$BN401,
INDEX($A401:$BM401,,$BV$12)*$BW$12+
INDEX($A401:$BM401,,$BV$15)*$BW$15+
INDEX($A401:$BM401,,$BV$16)*$BW$16+
INDEX($A401:$BM401,,$BV$17)*$BW$17+
INDEX($A401:$BM401,,$BV$18)*$BW$18+
INDEX($A401:$BM401,,$BV$19)*$BW$19+
INDEX($A401:$BM401,,$BV$20)*$BW$20+
INDEX($A401:$BM401,,$BV$21)*$BW$21+
INDEX($A401:$BM401,,$BV$22)*$BW$22+
INDEX($A401:$BM401,,$BV$23)*$BW$23+
INDEX($A401:$BM401,,$BV$25)*$BW$25+
INDEX($A401:$BM401,,$BV$26)*$BW$26+
INDEX($A401:$BM401,,$BV$27)*$BW$27+
$BN401)),
$BN401-100)</f>
        <v>124.59400000000002</v>
      </c>
      <c r="BB401" t="str">
        <f t="shared" si="87"/>
        <v/>
      </c>
      <c r="BC401" t="str">
        <f t="shared" si="81"/>
        <v/>
      </c>
      <c r="BD401" s="430">
        <f>IFERROR(
IF(BB401="",-100,
IF($BV$2&gt;0, INDEX(Beersheet!$A:$U,MATCH(BB401,INDEX(Beersheet!$A:$U,0,FFARawStatProjections!$BV$2),0),$BV$3)+$BN401,
INDEX($A401:$BM401,,$BV$12)*$BW$12+
INDEX($A401:$BM401,,$BV$15)*$BW$15+
INDEX($A401:$BM401,,$BV$16)*$BW$16+
INDEX($A401:$BM401,,$BV$17)*$BW$17+
INDEX($A401:$BM401,,$BV$18)*$BW$18+
INDEX($A401:$BM401,,$BV$19)*$BW$19+
INDEX($A401:$BM401,,$BV$20)*$BW$20+
INDEX($A401:$BM401,,$BV$21)*$BW$21+
INDEX($A401:$BM401,,$BV$22)*$BW$22+
INDEX($A401:$BM401,,$BV$23)*$BW$23+
INDEX($A401:$BM401,,$BV$25)*$BW$25+
INDEX($A401:$BM401,,$BV$26)*$BW$26+
INDEX($A401:$BM401,,$BV$27)*$BW$27+
$BN401)),
$BN401-100)</f>
        <v>-100</v>
      </c>
      <c r="BF401" t="str">
        <f t="shared" si="88"/>
        <v/>
      </c>
      <c r="BG401" t="str">
        <f t="shared" si="89"/>
        <v/>
      </c>
      <c r="BH401">
        <f t="shared" si="90"/>
        <v>0</v>
      </c>
      <c r="BJ401" t="str">
        <f t="shared" si="91"/>
        <v/>
      </c>
      <c r="BL401">
        <f t="shared" si="80"/>
        <v>0</v>
      </c>
      <c r="BN401">
        <v>4.0000000000000001E-3</v>
      </c>
      <c r="BS401" s="4" t="s">
        <v>1804</v>
      </c>
    </row>
    <row r="402" spans="1:71" ht="15.75" thickBot="1" x14ac:dyDescent="0.3">
      <c r="A402" s="569" t="s">
        <v>1860</v>
      </c>
      <c r="B402" s="569" t="s">
        <v>154</v>
      </c>
      <c r="C402" s="569" t="s">
        <v>6</v>
      </c>
      <c r="D402" s="574">
        <v>13</v>
      </c>
      <c r="E402" s="569"/>
      <c r="F402" s="569"/>
      <c r="G402" s="569"/>
      <c r="H402" s="569"/>
      <c r="I402" s="574">
        <v>0</v>
      </c>
      <c r="J402" s="574">
        <v>0</v>
      </c>
      <c r="K402" s="574">
        <v>0</v>
      </c>
      <c r="L402" s="574">
        <v>39.700000000000003</v>
      </c>
      <c r="M402" s="574">
        <v>2.2000000000000002</v>
      </c>
      <c r="N402" s="574">
        <v>459.7</v>
      </c>
      <c r="O402" s="574">
        <v>3.6</v>
      </c>
      <c r="P402" s="574">
        <v>0.1</v>
      </c>
      <c r="Q402" s="574">
        <v>35.799999999999997</v>
      </c>
      <c r="R402" s="569"/>
      <c r="S402" s="569"/>
      <c r="T402" s="569"/>
      <c r="U402" s="569"/>
      <c r="V402" s="569"/>
      <c r="W402" s="569"/>
      <c r="X402" s="569"/>
      <c r="Y402" s="569"/>
      <c r="Z402" s="569"/>
      <c r="AA402" s="569"/>
      <c r="AB402" s="569"/>
      <c r="AC402" s="569"/>
      <c r="AD402" s="569"/>
      <c r="AE402" s="569"/>
      <c r="AF402" s="569"/>
      <c r="AG402" s="569"/>
      <c r="AH402" s="569"/>
      <c r="AI402" s="569"/>
      <c r="AJ402" s="569"/>
      <c r="AK402" s="569"/>
      <c r="AL402" s="569"/>
      <c r="AM402" s="569"/>
      <c r="AN402" s="574">
        <v>62.9</v>
      </c>
      <c r="AO402">
        <v>401</v>
      </c>
      <c r="AP402" t="str">
        <f t="shared" si="79"/>
        <v/>
      </c>
      <c r="AQ402" t="str">
        <f t="shared" si="82"/>
        <v/>
      </c>
      <c r="AR402" s="430">
        <f>IFERROR(
IF(AP402="",-100,
IF($BV$2&gt;0, INDEX(Beersheet!$A:$U,MATCH(AP402,INDEX(Beersheet!$A:$U,0,FFARawStatProjections!$BV$2),0),$BV$3)+$BN402,
INDEX($A402:$BM402,,$BV$12)*$BW$12+
INDEX($A402:$BM402,,$BV$15)*$BW$15+
INDEX($A402:$BM402,,$BV$16)*$BW$16+
INDEX($A402:$BM402,,$BV$17)*$BW$17+
INDEX($A402:$BM402,,$BV$18)*$BW$18+
INDEX($A402:$BM402,,$BV$19)*$BW$19+
INDEX($A402:$BM402,,$BV$20)*$BW$20+
INDEX($A402:$BM402,,$BV$21)*$BW$21+
INDEX($A402:$BM402,,$BV$22)*$BW$22+
INDEX($A402:$BM402,,$BV$23)*$BW$23+
INDEX($A402:$BM402,,$BV$25)*$BW$25+
INDEX($A402:$BM402,,$BV$26)*$BW$26+
INDEX($A402:$BM402,,$BV$27)*$BW$27+
$BN402)),
$BN402-100)</f>
        <v>-100</v>
      </c>
      <c r="AT402" t="str">
        <f t="shared" si="83"/>
        <v/>
      </c>
      <c r="AU402" t="str">
        <f t="shared" si="84"/>
        <v/>
      </c>
      <c r="AV402" s="430">
        <f>IFERROR(
IF(AT402="",-100,
IF($BV$2&gt;0, INDEX(Beersheet!$A:$U,MATCH(AT402,INDEX(Beersheet!$A:$U,0,FFARawStatProjections!$BV$2),0),$BV$3)+$BN402,
INDEX($A402:$BM402,,$BV$12)*$BW$12+
INDEX($A402:$BM402,,$BV$15)*$BW$15+
INDEX($A402:$BM402,,$BV$16)*$BW$16+
INDEX($A402:$BM402,,$BV$17)*$BW$17+
INDEX($A402:$BM402,,$BV$18)*$BW$18+
INDEX($A402:$BM402,,$BV$19)*$BW$19+
INDEX($A402:$BM402,,$BV$20)*$BW$20+
INDEX($A402:$BM402,,$BV$21)*$BW$21+
INDEX($A402:$BM402,,$BV$22)*$BW$22+
INDEX($A402:$BM402,,$BV$23)*$BW$23+
INDEX($A402:$BM402,,$BV$25)*$BW$25+
INDEX($A402:$BM402,,$BV$26)*$BW$26+
INDEX($A402:$BM402,,$BV$27)*$BW$27+
$BN402)),
$BN402-100)</f>
        <v>-100</v>
      </c>
      <c r="AX402" t="str">
        <f t="shared" si="85"/>
        <v>Parris Campbell</v>
      </c>
      <c r="AY402" t="str">
        <f t="shared" si="86"/>
        <v>NYG</v>
      </c>
      <c r="AZ402" s="430">
        <f>IFERROR(
IF(AX402="",-100,
IF($BV$2&gt;0, INDEX(Beersheet!$A:$U,MATCH(AX402,INDEX(Beersheet!$A:$U,0,FFARawStatProjections!$BV$2),0),$BV$3)+$BN402,
INDEX($A402:$BM402,,$BV$12)*$BW$12+
INDEX($A402:$BM402,,$BV$15)*$BW$15+
INDEX($A402:$BM402,,$BV$16)*$BW$16+
INDEX($A402:$BM402,,$BV$17)*$BW$17+
INDEX($A402:$BM402,,$BV$18)*$BW$18+
INDEX($A402:$BM402,,$BV$19)*$BW$19+
INDEX($A402:$BM402,,$BV$20)*$BW$20+
INDEX($A402:$BM402,,$BV$21)*$BW$21+
INDEX($A402:$BM402,,$BV$22)*$BW$22+
INDEX($A402:$BM402,,$BV$23)*$BW$23+
INDEX($A402:$BM402,,$BV$25)*$BW$25+
INDEX($A402:$BM402,,$BV$26)*$BW$26+
INDEX($A402:$BM402,,$BV$27)*$BW$27+
$BN402)),
$BN402-100)</f>
        <v>103.05400999999999</v>
      </c>
      <c r="BB402" t="str">
        <f t="shared" si="87"/>
        <v/>
      </c>
      <c r="BC402" t="str">
        <f t="shared" si="81"/>
        <v/>
      </c>
      <c r="BD402" s="430">
        <f>IFERROR(
IF(BB402="",-100,
IF($BV$2&gt;0, INDEX(Beersheet!$A:$U,MATCH(BB402,INDEX(Beersheet!$A:$U,0,FFARawStatProjections!$BV$2),0),$BV$3)+$BN402,
INDEX($A402:$BM402,,$BV$12)*$BW$12+
INDEX($A402:$BM402,,$BV$15)*$BW$15+
INDEX($A402:$BM402,,$BV$16)*$BW$16+
INDEX($A402:$BM402,,$BV$17)*$BW$17+
INDEX($A402:$BM402,,$BV$18)*$BW$18+
INDEX($A402:$BM402,,$BV$19)*$BW$19+
INDEX($A402:$BM402,,$BV$20)*$BW$20+
INDEX($A402:$BM402,,$BV$21)*$BW$21+
INDEX($A402:$BM402,,$BV$22)*$BW$22+
INDEX($A402:$BM402,,$BV$23)*$BW$23+
INDEX($A402:$BM402,,$BV$25)*$BW$25+
INDEX($A402:$BM402,,$BV$26)*$BW$26+
INDEX($A402:$BM402,,$BV$27)*$BW$27+
$BN402)),
$BN402-100)</f>
        <v>-100</v>
      </c>
      <c r="BF402" t="str">
        <f t="shared" si="88"/>
        <v/>
      </c>
      <c r="BG402" t="str">
        <f t="shared" si="89"/>
        <v/>
      </c>
      <c r="BH402">
        <f t="shared" si="90"/>
        <v>0</v>
      </c>
      <c r="BJ402" t="str">
        <f t="shared" si="91"/>
        <v/>
      </c>
      <c r="BL402">
        <f t="shared" si="80"/>
        <v>0</v>
      </c>
      <c r="BN402">
        <v>4.0099999999999997E-3</v>
      </c>
      <c r="BS402" s="4" t="s">
        <v>2350</v>
      </c>
    </row>
    <row r="403" spans="1:71" ht="15.75" thickBot="1" x14ac:dyDescent="0.3">
      <c r="A403" s="569" t="s">
        <v>2342</v>
      </c>
      <c r="B403" s="569" t="s">
        <v>156</v>
      </c>
      <c r="C403" s="569" t="s">
        <v>6</v>
      </c>
      <c r="D403" s="574">
        <v>13</v>
      </c>
      <c r="E403" s="569"/>
      <c r="F403" s="569"/>
      <c r="G403" s="569"/>
      <c r="H403" s="569"/>
      <c r="I403" s="574">
        <v>0</v>
      </c>
      <c r="J403" s="574">
        <v>0</v>
      </c>
      <c r="K403" s="574">
        <v>0</v>
      </c>
      <c r="L403" s="574">
        <v>32</v>
      </c>
      <c r="M403" s="574">
        <v>2.1</v>
      </c>
      <c r="N403" s="574">
        <v>443.8</v>
      </c>
      <c r="O403" s="574">
        <v>1.2</v>
      </c>
      <c r="P403" s="574">
        <v>0.1</v>
      </c>
      <c r="Q403" s="574">
        <v>6.8</v>
      </c>
      <c r="R403" s="569"/>
      <c r="S403" s="569"/>
      <c r="T403" s="569"/>
      <c r="U403" s="569"/>
      <c r="V403" s="569"/>
      <c r="W403" s="569"/>
      <c r="X403" s="569"/>
      <c r="Y403" s="569"/>
      <c r="Z403" s="569"/>
      <c r="AA403" s="569"/>
      <c r="AB403" s="569"/>
      <c r="AC403" s="569"/>
      <c r="AD403" s="569"/>
      <c r="AE403" s="569"/>
      <c r="AF403" s="569"/>
      <c r="AG403" s="569"/>
      <c r="AH403" s="569"/>
      <c r="AI403" s="569"/>
      <c r="AJ403" s="569"/>
      <c r="AK403" s="569"/>
      <c r="AL403" s="569"/>
      <c r="AM403" s="569"/>
      <c r="AN403" s="574">
        <v>57.6</v>
      </c>
      <c r="AO403">
        <v>402</v>
      </c>
      <c r="AP403" t="str">
        <f t="shared" si="79"/>
        <v/>
      </c>
      <c r="AQ403" t="str">
        <f t="shared" si="82"/>
        <v/>
      </c>
      <c r="AR403" s="430">
        <f>IFERROR(
IF(AP403="",-100,
IF($BV$2&gt;0, INDEX(Beersheet!$A:$U,MATCH(AP403,INDEX(Beersheet!$A:$U,0,FFARawStatProjections!$BV$2),0),$BV$3)+$BN403,
INDEX($A403:$BM403,,$BV$12)*$BW$12+
INDEX($A403:$BM403,,$BV$15)*$BW$15+
INDEX($A403:$BM403,,$BV$16)*$BW$16+
INDEX($A403:$BM403,,$BV$17)*$BW$17+
INDEX($A403:$BM403,,$BV$18)*$BW$18+
INDEX($A403:$BM403,,$BV$19)*$BW$19+
INDEX($A403:$BM403,,$BV$20)*$BW$20+
INDEX($A403:$BM403,,$BV$21)*$BW$21+
INDEX($A403:$BM403,,$BV$22)*$BW$22+
INDEX($A403:$BM403,,$BV$23)*$BW$23+
INDEX($A403:$BM403,,$BV$25)*$BW$25+
INDEX($A403:$BM403,,$BV$26)*$BW$26+
INDEX($A403:$BM403,,$BV$27)*$BW$27+
$BN403)),
$BN403-100)</f>
        <v>-100</v>
      </c>
      <c r="AT403" t="str">
        <f t="shared" si="83"/>
        <v/>
      </c>
      <c r="AU403" t="str">
        <f t="shared" si="84"/>
        <v/>
      </c>
      <c r="AV403" s="430">
        <f>IFERROR(
IF(AT403="",-100,
IF($BV$2&gt;0, INDEX(Beersheet!$A:$U,MATCH(AT403,INDEX(Beersheet!$A:$U,0,FFARawStatProjections!$BV$2),0),$BV$3)+$BN403,
INDEX($A403:$BM403,,$BV$12)*$BW$12+
INDEX($A403:$BM403,,$BV$15)*$BW$15+
INDEX($A403:$BM403,,$BV$16)*$BW$16+
INDEX($A403:$BM403,,$BV$17)*$BW$17+
INDEX($A403:$BM403,,$BV$18)*$BW$18+
INDEX($A403:$BM403,,$BV$19)*$BW$19+
INDEX($A403:$BM403,,$BV$20)*$BW$20+
INDEX($A403:$BM403,,$BV$21)*$BW$21+
INDEX($A403:$BM403,,$BV$22)*$BW$22+
INDEX($A403:$BM403,,$BV$23)*$BW$23+
INDEX($A403:$BM403,,$BV$25)*$BW$25+
INDEX($A403:$BM403,,$BV$26)*$BW$26+
INDEX($A403:$BM403,,$BV$27)*$BW$27+
$BN403)),
$BN403-100)</f>
        <v>-100</v>
      </c>
      <c r="AX403" t="str">
        <f t="shared" si="85"/>
        <v>Khalil Shakir</v>
      </c>
      <c r="AY403" t="str">
        <f t="shared" si="86"/>
        <v>BUF</v>
      </c>
      <c r="AZ403" s="430">
        <f>IFERROR(
IF(AX403="",-100,
IF($BV$2&gt;0, INDEX(Beersheet!$A:$U,MATCH(AX403,INDEX(Beersheet!$A:$U,0,FFARawStatProjections!$BV$2),0),$BV$3)+$BN403,
INDEX($A403:$BM403,,$BV$12)*$BW$12+
INDEX($A403:$BM403,,$BV$15)*$BW$15+
INDEX($A403:$BM403,,$BV$16)*$BW$16+
INDEX($A403:$BM403,,$BV$17)*$BW$17+
INDEX($A403:$BM403,,$BV$18)*$BW$18+
INDEX($A403:$BM403,,$BV$19)*$BW$19+
INDEX($A403:$BM403,,$BV$20)*$BW$20+
INDEX($A403:$BM403,,$BV$21)*$BW$21+
INDEX($A403:$BM403,,$BV$22)*$BW$22+
INDEX($A403:$BM403,,$BV$23)*$BW$23+
INDEX($A403:$BM403,,$BV$25)*$BW$25+
INDEX($A403:$BM403,,$BV$26)*$BW$26+
INDEX($A403:$BM403,,$BV$27)*$BW$27+
$BN403)),
$BN403-100)</f>
        <v>90.264020000000002</v>
      </c>
      <c r="BB403" t="str">
        <f t="shared" si="87"/>
        <v/>
      </c>
      <c r="BC403" t="str">
        <f t="shared" si="81"/>
        <v/>
      </c>
      <c r="BD403" s="430">
        <f>IFERROR(
IF(BB403="",-100,
IF($BV$2&gt;0, INDEX(Beersheet!$A:$U,MATCH(BB403,INDEX(Beersheet!$A:$U,0,FFARawStatProjections!$BV$2),0),$BV$3)+$BN403,
INDEX($A403:$BM403,,$BV$12)*$BW$12+
INDEX($A403:$BM403,,$BV$15)*$BW$15+
INDEX($A403:$BM403,,$BV$16)*$BW$16+
INDEX($A403:$BM403,,$BV$17)*$BW$17+
INDEX($A403:$BM403,,$BV$18)*$BW$18+
INDEX($A403:$BM403,,$BV$19)*$BW$19+
INDEX($A403:$BM403,,$BV$20)*$BW$20+
INDEX($A403:$BM403,,$BV$21)*$BW$21+
INDEX($A403:$BM403,,$BV$22)*$BW$22+
INDEX($A403:$BM403,,$BV$23)*$BW$23+
INDEX($A403:$BM403,,$BV$25)*$BW$25+
INDEX($A403:$BM403,,$BV$26)*$BW$26+
INDEX($A403:$BM403,,$BV$27)*$BW$27+
$BN403)),
$BN403-100)</f>
        <v>-100</v>
      </c>
      <c r="BF403" t="str">
        <f t="shared" si="88"/>
        <v/>
      </c>
      <c r="BG403" t="str">
        <f t="shared" si="89"/>
        <v/>
      </c>
      <c r="BH403">
        <f t="shared" si="90"/>
        <v>0</v>
      </c>
      <c r="BJ403" t="str">
        <f t="shared" si="91"/>
        <v/>
      </c>
      <c r="BL403">
        <f t="shared" si="80"/>
        <v>0</v>
      </c>
      <c r="BN403">
        <v>4.0200000000000001E-3</v>
      </c>
      <c r="BS403" s="4" t="s">
        <v>2215</v>
      </c>
    </row>
    <row r="404" spans="1:71" ht="15.75" thickBot="1" x14ac:dyDescent="0.3">
      <c r="A404" s="569" t="s">
        <v>2337</v>
      </c>
      <c r="B404" s="569" t="s">
        <v>157</v>
      </c>
      <c r="C404" s="569" t="s">
        <v>6</v>
      </c>
      <c r="D404" s="574">
        <v>11</v>
      </c>
      <c r="E404" s="569"/>
      <c r="F404" s="569"/>
      <c r="G404" s="569"/>
      <c r="H404" s="569"/>
      <c r="I404" s="574">
        <v>0</v>
      </c>
      <c r="J404" s="574">
        <v>0</v>
      </c>
      <c r="K404" s="574">
        <v>0</v>
      </c>
      <c r="L404" s="574">
        <v>29.3</v>
      </c>
      <c r="M404" s="574">
        <v>2.2999999999999998</v>
      </c>
      <c r="N404" s="574">
        <v>384.9</v>
      </c>
      <c r="O404" s="574">
        <v>3.2</v>
      </c>
      <c r="P404" s="574">
        <v>0.5</v>
      </c>
      <c r="Q404" s="574">
        <v>13.9</v>
      </c>
      <c r="R404" s="569"/>
      <c r="S404" s="569"/>
      <c r="T404" s="569"/>
      <c r="U404" s="569"/>
      <c r="V404" s="569"/>
      <c r="W404" s="569"/>
      <c r="X404" s="569"/>
      <c r="Y404" s="569"/>
      <c r="Z404" s="569"/>
      <c r="AA404" s="569"/>
      <c r="AB404" s="569"/>
      <c r="AC404" s="569"/>
      <c r="AD404" s="569"/>
      <c r="AE404" s="569"/>
      <c r="AF404" s="569"/>
      <c r="AG404" s="569"/>
      <c r="AH404" s="569"/>
      <c r="AI404" s="569"/>
      <c r="AJ404" s="569"/>
      <c r="AK404" s="569"/>
      <c r="AL404" s="569"/>
      <c r="AM404" s="569"/>
      <c r="AN404" s="574">
        <v>56.6</v>
      </c>
      <c r="AO404">
        <v>403</v>
      </c>
      <c r="AP404" t="str">
        <f t="shared" ref="AP404:AP467" si="92">IF($C404="QB",A404,"")</f>
        <v/>
      </c>
      <c r="AQ404" t="str">
        <f t="shared" si="82"/>
        <v/>
      </c>
      <c r="AR404" s="430">
        <f>IFERROR(
IF(AP404="",-100,
IF($BV$2&gt;0, INDEX(Beersheet!$A:$U,MATCH(AP404,INDEX(Beersheet!$A:$U,0,FFARawStatProjections!$BV$2),0),$BV$3)+$BN404,
INDEX($A404:$BM404,,$BV$12)*$BW$12+
INDEX($A404:$BM404,,$BV$15)*$BW$15+
INDEX($A404:$BM404,,$BV$16)*$BW$16+
INDEX($A404:$BM404,,$BV$17)*$BW$17+
INDEX($A404:$BM404,,$BV$18)*$BW$18+
INDEX($A404:$BM404,,$BV$19)*$BW$19+
INDEX($A404:$BM404,,$BV$20)*$BW$20+
INDEX($A404:$BM404,,$BV$21)*$BW$21+
INDEX($A404:$BM404,,$BV$22)*$BW$22+
INDEX($A404:$BM404,,$BV$23)*$BW$23+
INDEX($A404:$BM404,,$BV$25)*$BW$25+
INDEX($A404:$BM404,,$BV$26)*$BW$26+
INDEX($A404:$BM404,,$BV$27)*$BW$27+
$BN404)),
$BN404-100)</f>
        <v>-100</v>
      </c>
      <c r="AT404" t="str">
        <f t="shared" si="83"/>
        <v/>
      </c>
      <c r="AU404" t="str">
        <f t="shared" si="84"/>
        <v/>
      </c>
      <c r="AV404" s="430">
        <f>IFERROR(
IF(AT404="",-100,
IF($BV$2&gt;0, INDEX(Beersheet!$A:$U,MATCH(AT404,INDEX(Beersheet!$A:$U,0,FFARawStatProjections!$BV$2),0),$BV$3)+$BN404,
INDEX($A404:$BM404,,$BV$12)*$BW$12+
INDEX($A404:$BM404,,$BV$15)*$BW$15+
INDEX($A404:$BM404,,$BV$16)*$BW$16+
INDEX($A404:$BM404,,$BV$17)*$BW$17+
INDEX($A404:$BM404,,$BV$18)*$BW$18+
INDEX($A404:$BM404,,$BV$19)*$BW$19+
INDEX($A404:$BM404,,$BV$20)*$BW$20+
INDEX($A404:$BM404,,$BV$21)*$BW$21+
INDEX($A404:$BM404,,$BV$22)*$BW$22+
INDEX($A404:$BM404,,$BV$23)*$BW$23+
INDEX($A404:$BM404,,$BV$25)*$BW$25+
INDEX($A404:$BM404,,$BV$26)*$BW$26+
INDEX($A404:$BM404,,$BV$27)*$BW$27+
$BN404)),
$BN404-100)</f>
        <v>-100</v>
      </c>
      <c r="AX404" t="str">
        <f t="shared" si="85"/>
        <v>Tyquan Thornton</v>
      </c>
      <c r="AY404" t="str">
        <f t="shared" si="86"/>
        <v>NE</v>
      </c>
      <c r="AZ404" s="430">
        <f>IFERROR(
IF(AX404="",-100,
IF($BV$2&gt;0, INDEX(Beersheet!$A:$U,MATCH(AX404,INDEX(Beersheet!$A:$U,0,FFARawStatProjections!$BV$2),0),$BV$3)+$BN404,
INDEX($A404:$BM404,,$BV$12)*$BW$12+
INDEX($A404:$BM404,,$BV$15)*$BW$15+
INDEX($A404:$BM404,,$BV$16)*$BW$16+
INDEX($A404:$BM404,,$BV$17)*$BW$17+
INDEX($A404:$BM404,,$BV$18)*$BW$18+
INDEX($A404:$BM404,,$BV$19)*$BW$19+
INDEX($A404:$BM404,,$BV$20)*$BW$20+
INDEX($A404:$BM404,,$BV$21)*$BW$21+
INDEX($A404:$BM404,,$BV$22)*$BW$22+
INDEX($A404:$BM404,,$BV$23)*$BW$23+
INDEX($A404:$BM404,,$BV$25)*$BW$25+
INDEX($A404:$BM404,,$BV$26)*$BW$26+
INDEX($A404:$BM404,,$BV$27)*$BW$27+
$BN404)),
$BN404-100)</f>
        <v>85.984030000000004</v>
      </c>
      <c r="BB404" t="str">
        <f t="shared" si="87"/>
        <v/>
      </c>
      <c r="BC404" t="str">
        <f t="shared" si="81"/>
        <v/>
      </c>
      <c r="BD404" s="430">
        <f>IFERROR(
IF(BB404="",-100,
IF($BV$2&gt;0, INDEX(Beersheet!$A:$U,MATCH(BB404,INDEX(Beersheet!$A:$U,0,FFARawStatProjections!$BV$2),0),$BV$3)+$BN404,
INDEX($A404:$BM404,,$BV$12)*$BW$12+
INDEX($A404:$BM404,,$BV$15)*$BW$15+
INDEX($A404:$BM404,,$BV$16)*$BW$16+
INDEX($A404:$BM404,,$BV$17)*$BW$17+
INDEX($A404:$BM404,,$BV$18)*$BW$18+
INDEX($A404:$BM404,,$BV$19)*$BW$19+
INDEX($A404:$BM404,,$BV$20)*$BW$20+
INDEX($A404:$BM404,,$BV$21)*$BW$21+
INDEX($A404:$BM404,,$BV$22)*$BW$22+
INDEX($A404:$BM404,,$BV$23)*$BW$23+
INDEX($A404:$BM404,,$BV$25)*$BW$25+
INDEX($A404:$BM404,,$BV$26)*$BW$26+
INDEX($A404:$BM404,,$BV$27)*$BW$27+
$BN404)),
$BN404-100)</f>
        <v>-100</v>
      </c>
      <c r="BF404" t="str">
        <f t="shared" si="88"/>
        <v/>
      </c>
      <c r="BG404" t="str">
        <f t="shared" si="89"/>
        <v/>
      </c>
      <c r="BH404">
        <f t="shared" si="90"/>
        <v>0</v>
      </c>
      <c r="BJ404" t="str">
        <f t="shared" si="91"/>
        <v/>
      </c>
      <c r="BL404">
        <f t="shared" si="80"/>
        <v>0</v>
      </c>
      <c r="BN404">
        <v>4.0299999999999997E-3</v>
      </c>
      <c r="BS404" s="4" t="s">
        <v>2203</v>
      </c>
    </row>
    <row r="405" spans="1:71" ht="15.75" thickBot="1" x14ac:dyDescent="0.3">
      <c r="A405" s="569" t="s">
        <v>1800</v>
      </c>
      <c r="B405" s="569" t="s">
        <v>157</v>
      </c>
      <c r="C405" s="569" t="s">
        <v>6</v>
      </c>
      <c r="D405" s="574">
        <v>11</v>
      </c>
      <c r="E405" s="569"/>
      <c r="F405" s="569"/>
      <c r="G405" s="569"/>
      <c r="H405" s="569"/>
      <c r="I405" s="574">
        <v>0</v>
      </c>
      <c r="J405" s="574">
        <v>0</v>
      </c>
      <c r="K405" s="574">
        <v>0</v>
      </c>
      <c r="L405" s="574">
        <v>31.3</v>
      </c>
      <c r="M405" s="574">
        <v>1.8</v>
      </c>
      <c r="N405" s="574">
        <v>410.5</v>
      </c>
      <c r="O405" s="574">
        <v>5.3</v>
      </c>
      <c r="P405" s="574">
        <v>0.2</v>
      </c>
      <c r="Q405" s="574">
        <v>34.799999999999997</v>
      </c>
      <c r="R405" s="569"/>
      <c r="S405" s="569"/>
      <c r="T405" s="569"/>
      <c r="U405" s="569"/>
      <c r="V405" s="569"/>
      <c r="W405" s="569"/>
      <c r="X405" s="569"/>
      <c r="Y405" s="569"/>
      <c r="Z405" s="569"/>
      <c r="AA405" s="569"/>
      <c r="AB405" s="569"/>
      <c r="AC405" s="569"/>
      <c r="AD405" s="569"/>
      <c r="AE405" s="569"/>
      <c r="AF405" s="569"/>
      <c r="AG405" s="569"/>
      <c r="AH405" s="569"/>
      <c r="AI405" s="569"/>
      <c r="AJ405" s="569"/>
      <c r="AK405" s="569"/>
      <c r="AL405" s="569"/>
      <c r="AM405" s="569"/>
      <c r="AN405" s="574">
        <v>55.6</v>
      </c>
      <c r="AO405">
        <v>404</v>
      </c>
      <c r="AP405" t="str">
        <f t="shared" si="92"/>
        <v/>
      </c>
      <c r="AQ405" t="str">
        <f t="shared" si="82"/>
        <v/>
      </c>
      <c r="AR405" s="430">
        <f>IFERROR(
IF(AP405="",-100,
IF($BV$2&gt;0, INDEX(Beersheet!$A:$U,MATCH(AP405,INDEX(Beersheet!$A:$U,0,FFARawStatProjections!$BV$2),0),$BV$3)+$BN405,
INDEX($A405:$BM405,,$BV$12)*$BW$12+
INDEX($A405:$BM405,,$BV$15)*$BW$15+
INDEX($A405:$BM405,,$BV$16)*$BW$16+
INDEX($A405:$BM405,,$BV$17)*$BW$17+
INDEX($A405:$BM405,,$BV$18)*$BW$18+
INDEX($A405:$BM405,,$BV$19)*$BW$19+
INDEX($A405:$BM405,,$BV$20)*$BW$20+
INDEX($A405:$BM405,,$BV$21)*$BW$21+
INDEX($A405:$BM405,,$BV$22)*$BW$22+
INDEX($A405:$BM405,,$BV$23)*$BW$23+
INDEX($A405:$BM405,,$BV$25)*$BW$25+
INDEX($A405:$BM405,,$BV$26)*$BW$26+
INDEX($A405:$BM405,,$BV$27)*$BW$27+
$BN405)),
$BN405-100)</f>
        <v>-100</v>
      </c>
      <c r="AT405" t="str">
        <f t="shared" si="83"/>
        <v/>
      </c>
      <c r="AU405" t="str">
        <f t="shared" si="84"/>
        <v/>
      </c>
      <c r="AV405" s="430">
        <f>IFERROR(
IF(AT405="",-100,
IF($BV$2&gt;0, INDEX(Beersheet!$A:$U,MATCH(AT405,INDEX(Beersheet!$A:$U,0,FFARawStatProjections!$BV$2),0),$BV$3)+$BN405,
INDEX($A405:$BM405,,$BV$12)*$BW$12+
INDEX($A405:$BM405,,$BV$15)*$BW$15+
INDEX($A405:$BM405,,$BV$16)*$BW$16+
INDEX($A405:$BM405,,$BV$17)*$BW$17+
INDEX($A405:$BM405,,$BV$18)*$BW$18+
INDEX($A405:$BM405,,$BV$19)*$BW$19+
INDEX($A405:$BM405,,$BV$20)*$BW$20+
INDEX($A405:$BM405,,$BV$21)*$BW$21+
INDEX($A405:$BM405,,$BV$22)*$BW$22+
INDEX($A405:$BM405,,$BV$23)*$BW$23+
INDEX($A405:$BM405,,$BV$25)*$BW$25+
INDEX($A405:$BM405,,$BV$26)*$BW$26+
INDEX($A405:$BM405,,$BV$27)*$BW$27+
$BN405)),
$BN405-100)</f>
        <v>-100</v>
      </c>
      <c r="AX405" t="str">
        <f t="shared" si="85"/>
        <v>Kendrick Bourne</v>
      </c>
      <c r="AY405" t="str">
        <f t="shared" si="86"/>
        <v>NE</v>
      </c>
      <c r="AZ405" s="430">
        <f>IFERROR(
IF(AX405="",-100,
IF($BV$2&gt;0, INDEX(Beersheet!$A:$U,MATCH(AX405,INDEX(Beersheet!$A:$U,0,FFARawStatProjections!$BV$2),0),$BV$3)+$BN405,
INDEX($A405:$BM405,,$BV$12)*$BW$12+
INDEX($A405:$BM405,,$BV$15)*$BW$15+
INDEX($A405:$BM405,,$BV$16)*$BW$16+
INDEX($A405:$BM405,,$BV$17)*$BW$17+
INDEX($A405:$BM405,,$BV$18)*$BW$18+
INDEX($A405:$BM405,,$BV$19)*$BW$19+
INDEX($A405:$BM405,,$BV$20)*$BW$20+
INDEX($A405:$BM405,,$BV$21)*$BW$21+
INDEX($A405:$BM405,,$BV$22)*$BW$22+
INDEX($A405:$BM405,,$BV$23)*$BW$23+
INDEX($A405:$BM405,,$BV$25)*$BW$25+
INDEX($A405:$BM405,,$BV$26)*$BW$26+
INDEX($A405:$BM405,,$BV$27)*$BW$27+
$BN405)),
$BN405-100)</f>
        <v>87.834040000000016</v>
      </c>
      <c r="BB405" t="str">
        <f t="shared" si="87"/>
        <v/>
      </c>
      <c r="BC405" t="str">
        <f t="shared" si="81"/>
        <v/>
      </c>
      <c r="BD405" s="430">
        <f>IFERROR(
IF(BB405="",-100,
IF($BV$2&gt;0, INDEX(Beersheet!$A:$U,MATCH(BB405,INDEX(Beersheet!$A:$U,0,FFARawStatProjections!$BV$2),0),$BV$3)+$BN405,
INDEX($A405:$BM405,,$BV$12)*$BW$12+
INDEX($A405:$BM405,,$BV$15)*$BW$15+
INDEX($A405:$BM405,,$BV$16)*$BW$16+
INDEX($A405:$BM405,,$BV$17)*$BW$17+
INDEX($A405:$BM405,,$BV$18)*$BW$18+
INDEX($A405:$BM405,,$BV$19)*$BW$19+
INDEX($A405:$BM405,,$BV$20)*$BW$20+
INDEX($A405:$BM405,,$BV$21)*$BW$21+
INDEX($A405:$BM405,,$BV$22)*$BW$22+
INDEX($A405:$BM405,,$BV$23)*$BW$23+
INDEX($A405:$BM405,,$BV$25)*$BW$25+
INDEX($A405:$BM405,,$BV$26)*$BW$26+
INDEX($A405:$BM405,,$BV$27)*$BW$27+
$BN405)),
$BN405-100)</f>
        <v>-100</v>
      </c>
      <c r="BF405" t="str">
        <f t="shared" si="88"/>
        <v/>
      </c>
      <c r="BG405" t="str">
        <f t="shared" si="89"/>
        <v/>
      </c>
      <c r="BH405">
        <f t="shared" si="90"/>
        <v>0</v>
      </c>
      <c r="BJ405" t="str">
        <f t="shared" si="91"/>
        <v/>
      </c>
      <c r="BL405">
        <f t="shared" si="80"/>
        <v>0</v>
      </c>
      <c r="BN405">
        <v>4.0400000000000002E-3</v>
      </c>
      <c r="BS405" s="4" t="s">
        <v>2457</v>
      </c>
    </row>
    <row r="406" spans="1:71" ht="15.75" thickBot="1" x14ac:dyDescent="0.3">
      <c r="A406" s="569" t="s">
        <v>2329</v>
      </c>
      <c r="B406" s="569" t="s">
        <v>1388</v>
      </c>
      <c r="C406" s="569" t="s">
        <v>6</v>
      </c>
      <c r="D406" s="574">
        <v>5</v>
      </c>
      <c r="E406" s="569"/>
      <c r="F406" s="569"/>
      <c r="G406" s="569"/>
      <c r="H406" s="569"/>
      <c r="I406" s="574">
        <v>0</v>
      </c>
      <c r="J406" s="574">
        <v>0</v>
      </c>
      <c r="K406" s="574">
        <v>0</v>
      </c>
      <c r="L406" s="574">
        <v>34.799999999999997</v>
      </c>
      <c r="M406" s="574">
        <v>2</v>
      </c>
      <c r="N406" s="574">
        <v>425.9</v>
      </c>
      <c r="O406" s="574">
        <v>0.5</v>
      </c>
      <c r="P406" s="574">
        <v>0</v>
      </c>
      <c r="Q406" s="574">
        <v>1.8</v>
      </c>
      <c r="R406" s="569"/>
      <c r="S406" s="569"/>
      <c r="T406" s="569"/>
      <c r="U406" s="569"/>
      <c r="V406" s="569"/>
      <c r="W406" s="569"/>
      <c r="X406" s="569"/>
      <c r="Y406" s="569"/>
      <c r="Z406" s="569"/>
      <c r="AA406" s="569"/>
      <c r="AB406" s="569"/>
      <c r="AC406" s="569"/>
      <c r="AD406" s="569"/>
      <c r="AE406" s="569"/>
      <c r="AF406" s="569"/>
      <c r="AG406" s="569"/>
      <c r="AH406" s="569"/>
      <c r="AI406" s="569"/>
      <c r="AJ406" s="569"/>
      <c r="AK406" s="569"/>
      <c r="AL406" s="569"/>
      <c r="AM406" s="569"/>
      <c r="AN406" s="574">
        <v>54.9</v>
      </c>
      <c r="AO406">
        <v>405</v>
      </c>
      <c r="AP406" t="str">
        <f t="shared" si="92"/>
        <v/>
      </c>
      <c r="AQ406" t="str">
        <f t="shared" si="82"/>
        <v/>
      </c>
      <c r="AR406" s="430">
        <f>IFERROR(
IF(AP406="",-100,
IF($BV$2&gt;0, INDEX(Beersheet!$A:$U,MATCH(AP406,INDEX(Beersheet!$A:$U,0,FFARawStatProjections!$BV$2),0),$BV$3)+$BN406,
INDEX($A406:$BM406,,$BV$12)*$BW$12+
INDEX($A406:$BM406,,$BV$15)*$BW$15+
INDEX($A406:$BM406,,$BV$16)*$BW$16+
INDEX($A406:$BM406,,$BV$17)*$BW$17+
INDEX($A406:$BM406,,$BV$18)*$BW$18+
INDEX($A406:$BM406,,$BV$19)*$BW$19+
INDEX($A406:$BM406,,$BV$20)*$BW$20+
INDEX($A406:$BM406,,$BV$21)*$BW$21+
INDEX($A406:$BM406,,$BV$22)*$BW$22+
INDEX($A406:$BM406,,$BV$23)*$BW$23+
INDEX($A406:$BM406,,$BV$25)*$BW$25+
INDEX($A406:$BM406,,$BV$26)*$BW$26+
INDEX($A406:$BM406,,$BV$27)*$BW$27+
$BN406)),
$BN406-100)</f>
        <v>-100</v>
      </c>
      <c r="AT406" t="str">
        <f t="shared" si="83"/>
        <v/>
      </c>
      <c r="AU406" t="str">
        <f t="shared" si="84"/>
        <v/>
      </c>
      <c r="AV406" s="430">
        <f>IFERROR(
IF(AT406="",-100,
IF($BV$2&gt;0, INDEX(Beersheet!$A:$U,MATCH(AT406,INDEX(Beersheet!$A:$U,0,FFARawStatProjections!$BV$2),0),$BV$3)+$BN406,
INDEX($A406:$BM406,,$BV$12)*$BW$12+
INDEX($A406:$BM406,,$BV$15)*$BW$15+
INDEX($A406:$BM406,,$BV$16)*$BW$16+
INDEX($A406:$BM406,,$BV$17)*$BW$17+
INDEX($A406:$BM406,,$BV$18)*$BW$18+
INDEX($A406:$BM406,,$BV$19)*$BW$19+
INDEX($A406:$BM406,,$BV$20)*$BW$20+
INDEX($A406:$BM406,,$BV$21)*$BW$21+
INDEX($A406:$BM406,,$BV$22)*$BW$22+
INDEX($A406:$BM406,,$BV$23)*$BW$23+
INDEX($A406:$BM406,,$BV$25)*$BW$25+
INDEX($A406:$BM406,,$BV$26)*$BW$26+
INDEX($A406:$BM406,,$BV$27)*$BW$27+
$BN406)),
$BN406-100)</f>
        <v>-100</v>
      </c>
      <c r="AX406" t="str">
        <f t="shared" si="85"/>
        <v>Joshua Palmer</v>
      </c>
      <c r="AY406" t="str">
        <f t="shared" si="86"/>
        <v>LAC</v>
      </c>
      <c r="AZ406" s="430">
        <f>IFERROR(
IF(AX406="",-100,
IF($BV$2&gt;0, INDEX(Beersheet!$A:$U,MATCH(AX406,INDEX(Beersheet!$A:$U,0,FFARawStatProjections!$BV$2),0),$BV$3)+$BN406,
INDEX($A406:$BM406,,$BV$12)*$BW$12+
INDEX($A406:$BM406,,$BV$15)*$BW$15+
INDEX($A406:$BM406,,$BV$16)*$BW$16+
INDEX($A406:$BM406,,$BV$17)*$BW$17+
INDEX($A406:$BM406,,$BV$18)*$BW$18+
INDEX($A406:$BM406,,$BV$19)*$BW$19+
INDEX($A406:$BM406,,$BV$20)*$BW$20+
INDEX($A406:$BM406,,$BV$21)*$BW$21+
INDEX($A406:$BM406,,$BV$22)*$BW$22+
INDEX($A406:$BM406,,$BV$23)*$BW$23+
INDEX($A406:$BM406,,$BV$25)*$BW$25+
INDEX($A406:$BM406,,$BV$26)*$BW$26+
INDEX($A406:$BM406,,$BV$27)*$BW$27+
$BN406)),
$BN406-100)</f>
        <v>89.574050000000014</v>
      </c>
      <c r="BB406" t="str">
        <f t="shared" si="87"/>
        <v/>
      </c>
      <c r="BC406" t="str">
        <f t="shared" si="81"/>
        <v/>
      </c>
      <c r="BD406" s="430">
        <f>IFERROR(
IF(BB406="",-100,
IF($BV$2&gt;0, INDEX(Beersheet!$A:$U,MATCH(BB406,INDEX(Beersheet!$A:$U,0,FFARawStatProjections!$BV$2),0),$BV$3)+$BN406,
INDEX($A406:$BM406,,$BV$12)*$BW$12+
INDEX($A406:$BM406,,$BV$15)*$BW$15+
INDEX($A406:$BM406,,$BV$16)*$BW$16+
INDEX($A406:$BM406,,$BV$17)*$BW$17+
INDEX($A406:$BM406,,$BV$18)*$BW$18+
INDEX($A406:$BM406,,$BV$19)*$BW$19+
INDEX($A406:$BM406,,$BV$20)*$BW$20+
INDEX($A406:$BM406,,$BV$21)*$BW$21+
INDEX($A406:$BM406,,$BV$22)*$BW$22+
INDEX($A406:$BM406,,$BV$23)*$BW$23+
INDEX($A406:$BM406,,$BV$25)*$BW$25+
INDEX($A406:$BM406,,$BV$26)*$BW$26+
INDEX($A406:$BM406,,$BV$27)*$BW$27+
$BN406)),
$BN406-100)</f>
        <v>-100</v>
      </c>
      <c r="BF406" t="str">
        <f t="shared" si="88"/>
        <v/>
      </c>
      <c r="BG406" t="str">
        <f t="shared" si="89"/>
        <v/>
      </c>
      <c r="BH406">
        <f t="shared" si="90"/>
        <v>0</v>
      </c>
      <c r="BJ406" t="str">
        <f t="shared" si="91"/>
        <v/>
      </c>
      <c r="BL406">
        <f t="shared" si="80"/>
        <v>0</v>
      </c>
      <c r="BN406">
        <v>4.0499999999999998E-3</v>
      </c>
      <c r="BS406" s="4" t="s">
        <v>1828</v>
      </c>
    </row>
    <row r="407" spans="1:71" ht="15.75" thickBot="1" x14ac:dyDescent="0.3">
      <c r="A407" s="569" t="s">
        <v>2334</v>
      </c>
      <c r="B407" s="569" t="s">
        <v>154</v>
      </c>
      <c r="C407" s="569" t="s">
        <v>6</v>
      </c>
      <c r="D407" s="574">
        <v>13</v>
      </c>
      <c r="E407" s="569"/>
      <c r="F407" s="569"/>
      <c r="G407" s="569"/>
      <c r="H407" s="569"/>
      <c r="I407" s="574">
        <v>0</v>
      </c>
      <c r="J407" s="574">
        <v>0</v>
      </c>
      <c r="K407" s="574">
        <v>0</v>
      </c>
      <c r="L407" s="574">
        <v>34.9</v>
      </c>
      <c r="M407" s="574">
        <v>1.8</v>
      </c>
      <c r="N407" s="574">
        <v>427.7</v>
      </c>
      <c r="O407" s="574">
        <v>2.6</v>
      </c>
      <c r="P407" s="574">
        <v>0.1</v>
      </c>
      <c r="Q407" s="574">
        <v>11.3</v>
      </c>
      <c r="R407" s="569"/>
      <c r="S407" s="569"/>
      <c r="T407" s="569"/>
      <c r="U407" s="569"/>
      <c r="V407" s="569"/>
      <c r="W407" s="569"/>
      <c r="X407" s="569"/>
      <c r="Y407" s="569"/>
      <c r="Z407" s="569"/>
      <c r="AA407" s="569"/>
      <c r="AB407" s="569"/>
      <c r="AC407" s="569"/>
      <c r="AD407" s="569"/>
      <c r="AE407" s="569"/>
      <c r="AF407" s="569"/>
      <c r="AG407" s="569"/>
      <c r="AH407" s="569"/>
      <c r="AI407" s="569"/>
      <c r="AJ407" s="569"/>
      <c r="AK407" s="569"/>
      <c r="AL407" s="569"/>
      <c r="AM407" s="569"/>
      <c r="AN407" s="574">
        <v>54.4</v>
      </c>
      <c r="AO407">
        <v>406</v>
      </c>
      <c r="AP407" t="str">
        <f t="shared" si="92"/>
        <v/>
      </c>
      <c r="AQ407" t="str">
        <f t="shared" si="82"/>
        <v/>
      </c>
      <c r="AR407" s="430">
        <f>IFERROR(
IF(AP407="",-100,
IF($BV$2&gt;0, INDEX(Beersheet!$A:$U,MATCH(AP407,INDEX(Beersheet!$A:$U,0,FFARawStatProjections!$BV$2),0),$BV$3)+$BN407,
INDEX($A407:$BM407,,$BV$12)*$BW$12+
INDEX($A407:$BM407,,$BV$15)*$BW$15+
INDEX($A407:$BM407,,$BV$16)*$BW$16+
INDEX($A407:$BM407,,$BV$17)*$BW$17+
INDEX($A407:$BM407,,$BV$18)*$BW$18+
INDEX($A407:$BM407,,$BV$19)*$BW$19+
INDEX($A407:$BM407,,$BV$20)*$BW$20+
INDEX($A407:$BM407,,$BV$21)*$BW$21+
INDEX($A407:$BM407,,$BV$22)*$BW$22+
INDEX($A407:$BM407,,$BV$23)*$BW$23+
INDEX($A407:$BM407,,$BV$25)*$BW$25+
INDEX($A407:$BM407,,$BV$26)*$BW$26+
INDEX($A407:$BM407,,$BV$27)*$BW$27+
$BN407)),
$BN407-100)</f>
        <v>-100</v>
      </c>
      <c r="AT407" t="str">
        <f t="shared" si="83"/>
        <v/>
      </c>
      <c r="AU407" t="str">
        <f t="shared" si="84"/>
        <v/>
      </c>
      <c r="AV407" s="430">
        <f>IFERROR(
IF(AT407="",-100,
IF($BV$2&gt;0, INDEX(Beersheet!$A:$U,MATCH(AT407,INDEX(Beersheet!$A:$U,0,FFARawStatProjections!$BV$2),0),$BV$3)+$BN407,
INDEX($A407:$BM407,,$BV$12)*$BW$12+
INDEX($A407:$BM407,,$BV$15)*$BW$15+
INDEX($A407:$BM407,,$BV$16)*$BW$16+
INDEX($A407:$BM407,,$BV$17)*$BW$17+
INDEX($A407:$BM407,,$BV$18)*$BW$18+
INDEX($A407:$BM407,,$BV$19)*$BW$19+
INDEX($A407:$BM407,,$BV$20)*$BW$20+
INDEX($A407:$BM407,,$BV$21)*$BW$21+
INDEX($A407:$BM407,,$BV$22)*$BW$22+
INDEX($A407:$BM407,,$BV$23)*$BW$23+
INDEX($A407:$BM407,,$BV$25)*$BW$25+
INDEX($A407:$BM407,,$BV$26)*$BW$26+
INDEX($A407:$BM407,,$BV$27)*$BW$27+
$BN407)),
$BN407-100)</f>
        <v>-100</v>
      </c>
      <c r="AX407" t="str">
        <f t="shared" si="85"/>
        <v>WanDale Robinson</v>
      </c>
      <c r="AY407" t="str">
        <f t="shared" si="86"/>
        <v>NYG</v>
      </c>
      <c r="AZ407" s="430">
        <f>IFERROR(
IF(AX407="",-100,
IF($BV$2&gt;0, INDEX(Beersheet!$A:$U,MATCH(AX407,INDEX(Beersheet!$A:$U,0,FFARawStatProjections!$BV$2),0),$BV$3)+$BN407,
INDEX($A407:$BM407,,$BV$12)*$BW$12+
INDEX($A407:$BM407,,$BV$15)*$BW$15+
INDEX($A407:$BM407,,$BV$16)*$BW$16+
INDEX($A407:$BM407,,$BV$17)*$BW$17+
INDEX($A407:$BM407,,$BV$18)*$BW$18+
INDEX($A407:$BM407,,$BV$19)*$BW$19+
INDEX($A407:$BM407,,$BV$20)*$BW$20+
INDEX($A407:$BM407,,$BV$21)*$BW$21+
INDEX($A407:$BM407,,$BV$22)*$BW$22+
INDEX($A407:$BM407,,$BV$23)*$BW$23+
INDEX($A407:$BM407,,$BV$25)*$BW$25+
INDEX($A407:$BM407,,$BV$26)*$BW$26+
INDEX($A407:$BM407,,$BV$27)*$BW$27+
$BN407)),
$BN407-100)</f>
        <v>90.204059999999984</v>
      </c>
      <c r="BB407" t="str">
        <f t="shared" si="87"/>
        <v/>
      </c>
      <c r="BC407" t="str">
        <f t="shared" si="81"/>
        <v/>
      </c>
      <c r="BD407" s="430">
        <f>IFERROR(
IF(BB407="",-100,
IF($BV$2&gt;0, INDEX(Beersheet!$A:$U,MATCH(BB407,INDEX(Beersheet!$A:$U,0,FFARawStatProjections!$BV$2),0),$BV$3)+$BN407,
INDEX($A407:$BM407,,$BV$12)*$BW$12+
INDEX($A407:$BM407,,$BV$15)*$BW$15+
INDEX($A407:$BM407,,$BV$16)*$BW$16+
INDEX($A407:$BM407,,$BV$17)*$BW$17+
INDEX($A407:$BM407,,$BV$18)*$BW$18+
INDEX($A407:$BM407,,$BV$19)*$BW$19+
INDEX($A407:$BM407,,$BV$20)*$BW$20+
INDEX($A407:$BM407,,$BV$21)*$BW$21+
INDEX($A407:$BM407,,$BV$22)*$BW$22+
INDEX($A407:$BM407,,$BV$23)*$BW$23+
INDEX($A407:$BM407,,$BV$25)*$BW$25+
INDEX($A407:$BM407,,$BV$26)*$BW$26+
INDEX($A407:$BM407,,$BV$27)*$BW$27+
$BN407)),
$BN407-100)</f>
        <v>-100</v>
      </c>
      <c r="BF407" t="str">
        <f t="shared" si="88"/>
        <v/>
      </c>
      <c r="BG407" t="str">
        <f t="shared" si="89"/>
        <v/>
      </c>
      <c r="BH407">
        <f t="shared" si="90"/>
        <v>0</v>
      </c>
      <c r="BJ407" t="str">
        <f t="shared" si="91"/>
        <v/>
      </c>
      <c r="BL407">
        <f t="shared" si="80"/>
        <v>0</v>
      </c>
      <c r="BN407">
        <v>4.0600000000000002E-3</v>
      </c>
      <c r="BS407" s="4" t="s">
        <v>2063</v>
      </c>
    </row>
    <row r="408" spans="1:71" ht="15.75" thickBot="1" x14ac:dyDescent="0.3">
      <c r="A408" s="569" t="s">
        <v>2216</v>
      </c>
      <c r="B408" s="569" t="s">
        <v>163</v>
      </c>
      <c r="C408" s="569" t="s">
        <v>6</v>
      </c>
      <c r="D408" s="574">
        <v>7</v>
      </c>
      <c r="E408" s="569"/>
      <c r="F408" s="569"/>
      <c r="G408" s="569"/>
      <c r="H408" s="569"/>
      <c r="I408" s="574">
        <v>0</v>
      </c>
      <c r="J408" s="574">
        <v>0</v>
      </c>
      <c r="K408" s="574">
        <v>0</v>
      </c>
      <c r="L408" s="574">
        <v>28.3</v>
      </c>
      <c r="M408" s="574">
        <v>2.4</v>
      </c>
      <c r="N408" s="574">
        <v>394.4</v>
      </c>
      <c r="O408" s="574">
        <v>0</v>
      </c>
      <c r="P408" s="574">
        <v>0</v>
      </c>
      <c r="Q408" s="574">
        <v>0.4</v>
      </c>
      <c r="R408" s="569"/>
      <c r="S408" s="569"/>
      <c r="T408" s="569"/>
      <c r="U408" s="569"/>
      <c r="V408" s="569"/>
      <c r="W408" s="569"/>
      <c r="X408" s="569"/>
      <c r="Y408" s="569"/>
      <c r="Z408" s="569"/>
      <c r="AA408" s="569"/>
      <c r="AB408" s="569"/>
      <c r="AC408" s="569"/>
      <c r="AD408" s="569"/>
      <c r="AE408" s="569"/>
      <c r="AF408" s="569"/>
      <c r="AG408" s="569"/>
      <c r="AH408" s="569"/>
      <c r="AI408" s="569"/>
      <c r="AJ408" s="569"/>
      <c r="AK408" s="569"/>
      <c r="AL408" s="569"/>
      <c r="AM408" s="569"/>
      <c r="AN408" s="574">
        <v>53.5</v>
      </c>
      <c r="AO408">
        <v>407</v>
      </c>
      <c r="AP408" t="str">
        <f t="shared" si="92"/>
        <v/>
      </c>
      <c r="AQ408" t="str">
        <f t="shared" si="82"/>
        <v/>
      </c>
      <c r="AR408" s="430">
        <f>IFERROR(
IF(AP408="",-100,
IF($BV$2&gt;0, INDEX(Beersheet!$A:$U,MATCH(AP408,INDEX(Beersheet!$A:$U,0,FFARawStatProjections!$BV$2),0),$BV$3)+$BN408,
INDEX($A408:$BM408,,$BV$12)*$BW$12+
INDEX($A408:$BM408,,$BV$15)*$BW$15+
INDEX($A408:$BM408,,$BV$16)*$BW$16+
INDEX($A408:$BM408,,$BV$17)*$BW$17+
INDEX($A408:$BM408,,$BV$18)*$BW$18+
INDEX($A408:$BM408,,$BV$19)*$BW$19+
INDEX($A408:$BM408,,$BV$20)*$BW$20+
INDEX($A408:$BM408,,$BV$21)*$BW$21+
INDEX($A408:$BM408,,$BV$22)*$BW$22+
INDEX($A408:$BM408,,$BV$23)*$BW$23+
INDEX($A408:$BM408,,$BV$25)*$BW$25+
INDEX($A408:$BM408,,$BV$26)*$BW$26+
INDEX($A408:$BM408,,$BV$27)*$BW$27+
$BN408)),
$BN408-100)</f>
        <v>-100</v>
      </c>
      <c r="AT408" t="str">
        <f t="shared" si="83"/>
        <v/>
      </c>
      <c r="AU408" t="str">
        <f t="shared" si="84"/>
        <v/>
      </c>
      <c r="AV408" s="430">
        <f>IFERROR(
IF(AT408="",-100,
IF($BV$2&gt;0, INDEX(Beersheet!$A:$U,MATCH(AT408,INDEX(Beersheet!$A:$U,0,FFARawStatProjections!$BV$2),0),$BV$3)+$BN408,
INDEX($A408:$BM408,,$BV$12)*$BW$12+
INDEX($A408:$BM408,,$BV$15)*$BW$15+
INDEX($A408:$BM408,,$BV$16)*$BW$16+
INDEX($A408:$BM408,,$BV$17)*$BW$17+
INDEX($A408:$BM408,,$BV$18)*$BW$18+
INDEX($A408:$BM408,,$BV$19)*$BW$19+
INDEX($A408:$BM408,,$BV$20)*$BW$20+
INDEX($A408:$BM408,,$BV$21)*$BW$21+
INDEX($A408:$BM408,,$BV$22)*$BW$22+
INDEX($A408:$BM408,,$BV$23)*$BW$23+
INDEX($A408:$BM408,,$BV$25)*$BW$25+
INDEX($A408:$BM408,,$BV$26)*$BW$26+
INDEX($A408:$BM408,,$BV$27)*$BW$27+
$BN408)),
$BN408-100)</f>
        <v>-100</v>
      </c>
      <c r="AX408" t="str">
        <f t="shared" si="85"/>
        <v>Nick Westbrook-Ikhine</v>
      </c>
      <c r="AY408" t="str">
        <f t="shared" si="86"/>
        <v>TEN</v>
      </c>
      <c r="AZ408" s="430">
        <f>IFERROR(
IF(AX408="",-100,
IF($BV$2&gt;0, INDEX(Beersheet!$A:$U,MATCH(AX408,INDEX(Beersheet!$A:$U,0,FFARawStatProjections!$BV$2),0),$BV$3)+$BN408,
INDEX($A408:$BM408,,$BV$12)*$BW$12+
INDEX($A408:$BM408,,$BV$15)*$BW$15+
INDEX($A408:$BM408,,$BV$16)*$BW$16+
INDEX($A408:$BM408,,$BV$17)*$BW$17+
INDEX($A408:$BM408,,$BV$18)*$BW$18+
INDEX($A408:$BM408,,$BV$19)*$BW$19+
INDEX($A408:$BM408,,$BV$20)*$BW$20+
INDEX($A408:$BM408,,$BV$21)*$BW$21+
INDEX($A408:$BM408,,$BV$22)*$BW$22+
INDEX($A408:$BM408,,$BV$23)*$BW$23+
INDEX($A408:$BM408,,$BV$25)*$BW$25+
INDEX($A408:$BM408,,$BV$26)*$BW$26+
INDEX($A408:$BM408,,$BV$27)*$BW$27+
$BN408)),
$BN408-100)</f>
        <v>82.184070000000006</v>
      </c>
      <c r="BB408" t="str">
        <f t="shared" si="87"/>
        <v/>
      </c>
      <c r="BC408" t="str">
        <f t="shared" si="81"/>
        <v/>
      </c>
      <c r="BD408" s="430">
        <f>IFERROR(
IF(BB408="",-100,
IF($BV$2&gt;0, INDEX(Beersheet!$A:$U,MATCH(BB408,INDEX(Beersheet!$A:$U,0,FFARawStatProjections!$BV$2),0),$BV$3)+$BN408,
INDEX($A408:$BM408,,$BV$12)*$BW$12+
INDEX($A408:$BM408,,$BV$15)*$BW$15+
INDEX($A408:$BM408,,$BV$16)*$BW$16+
INDEX($A408:$BM408,,$BV$17)*$BW$17+
INDEX($A408:$BM408,,$BV$18)*$BW$18+
INDEX($A408:$BM408,,$BV$19)*$BW$19+
INDEX($A408:$BM408,,$BV$20)*$BW$20+
INDEX($A408:$BM408,,$BV$21)*$BW$21+
INDEX($A408:$BM408,,$BV$22)*$BW$22+
INDEX($A408:$BM408,,$BV$23)*$BW$23+
INDEX($A408:$BM408,,$BV$25)*$BW$25+
INDEX($A408:$BM408,,$BV$26)*$BW$26+
INDEX($A408:$BM408,,$BV$27)*$BW$27+
$BN408)),
$BN408-100)</f>
        <v>-100</v>
      </c>
      <c r="BF408" t="str">
        <f t="shared" si="88"/>
        <v/>
      </c>
      <c r="BG408" t="str">
        <f t="shared" si="89"/>
        <v/>
      </c>
      <c r="BH408">
        <f t="shared" si="90"/>
        <v>0</v>
      </c>
      <c r="BJ408" t="str">
        <f t="shared" si="91"/>
        <v/>
      </c>
      <c r="BL408">
        <f t="shared" si="80"/>
        <v>0</v>
      </c>
      <c r="BN408">
        <v>4.0699999999999998E-3</v>
      </c>
      <c r="BS408" s="4" t="s">
        <v>1417</v>
      </c>
    </row>
    <row r="409" spans="1:71" ht="15.75" thickBot="1" x14ac:dyDescent="0.3">
      <c r="A409" s="569" t="s">
        <v>1444</v>
      </c>
      <c r="B409" s="569" t="s">
        <v>142</v>
      </c>
      <c r="C409" s="569" t="s">
        <v>6</v>
      </c>
      <c r="D409" s="574">
        <v>9</v>
      </c>
      <c r="E409" s="569"/>
      <c r="F409" s="569"/>
      <c r="G409" s="569"/>
      <c r="H409" s="569"/>
      <c r="I409" s="574">
        <v>0</v>
      </c>
      <c r="J409" s="574">
        <v>0</v>
      </c>
      <c r="K409" s="574">
        <v>0</v>
      </c>
      <c r="L409" s="574">
        <v>28.7</v>
      </c>
      <c r="M409" s="574">
        <v>2.2000000000000002</v>
      </c>
      <c r="N409" s="574">
        <v>400.9</v>
      </c>
      <c r="O409" s="574">
        <v>0.2</v>
      </c>
      <c r="P409" s="574">
        <v>0</v>
      </c>
      <c r="Q409" s="574">
        <v>0.4</v>
      </c>
      <c r="R409" s="569"/>
      <c r="S409" s="569"/>
      <c r="T409" s="569"/>
      <c r="U409" s="569"/>
      <c r="V409" s="569"/>
      <c r="W409" s="569"/>
      <c r="X409" s="569"/>
      <c r="Y409" s="569"/>
      <c r="Z409" s="569"/>
      <c r="AA409" s="569"/>
      <c r="AB409" s="569"/>
      <c r="AC409" s="569"/>
      <c r="AD409" s="569"/>
      <c r="AE409" s="569"/>
      <c r="AF409" s="569"/>
      <c r="AG409" s="569"/>
      <c r="AH409" s="569"/>
      <c r="AI409" s="569"/>
      <c r="AJ409" s="569"/>
      <c r="AK409" s="569"/>
      <c r="AL409" s="569"/>
      <c r="AM409" s="569"/>
      <c r="AN409" s="574">
        <v>53.1</v>
      </c>
      <c r="AO409">
        <v>408</v>
      </c>
      <c r="AP409" t="str">
        <f t="shared" si="92"/>
        <v/>
      </c>
      <c r="AQ409" t="str">
        <f t="shared" si="82"/>
        <v/>
      </c>
      <c r="AR409" s="430">
        <f>IFERROR(
IF(AP409="",-100,
IF($BV$2&gt;0, INDEX(Beersheet!$A:$U,MATCH(AP409,INDEX(Beersheet!$A:$U,0,FFARawStatProjections!$BV$2),0),$BV$3)+$BN409,
INDEX($A409:$BM409,,$BV$12)*$BW$12+
INDEX($A409:$BM409,,$BV$15)*$BW$15+
INDEX($A409:$BM409,,$BV$16)*$BW$16+
INDEX($A409:$BM409,,$BV$17)*$BW$17+
INDEX($A409:$BM409,,$BV$18)*$BW$18+
INDEX($A409:$BM409,,$BV$19)*$BW$19+
INDEX($A409:$BM409,,$BV$20)*$BW$20+
INDEX($A409:$BM409,,$BV$21)*$BW$21+
INDEX($A409:$BM409,,$BV$22)*$BW$22+
INDEX($A409:$BM409,,$BV$23)*$BW$23+
INDEX($A409:$BM409,,$BV$25)*$BW$25+
INDEX($A409:$BM409,,$BV$26)*$BW$26+
INDEX($A409:$BM409,,$BV$27)*$BW$27+
$BN409)),
$BN409-100)</f>
        <v>-100</v>
      </c>
      <c r="AT409" t="str">
        <f t="shared" si="83"/>
        <v/>
      </c>
      <c r="AU409" t="str">
        <f t="shared" si="84"/>
        <v/>
      </c>
      <c r="AV409" s="430">
        <f>IFERROR(
IF(AT409="",-100,
IF($BV$2&gt;0, INDEX(Beersheet!$A:$U,MATCH(AT409,INDEX(Beersheet!$A:$U,0,FFARawStatProjections!$BV$2),0),$BV$3)+$BN409,
INDEX($A409:$BM409,,$BV$12)*$BW$12+
INDEX($A409:$BM409,,$BV$15)*$BW$15+
INDEX($A409:$BM409,,$BV$16)*$BW$16+
INDEX($A409:$BM409,,$BV$17)*$BW$17+
INDEX($A409:$BM409,,$BV$18)*$BW$18+
INDEX($A409:$BM409,,$BV$19)*$BW$19+
INDEX($A409:$BM409,,$BV$20)*$BW$20+
INDEX($A409:$BM409,,$BV$21)*$BW$21+
INDEX($A409:$BM409,,$BV$22)*$BW$22+
INDEX($A409:$BM409,,$BV$23)*$BW$23+
INDEX($A409:$BM409,,$BV$25)*$BW$25+
INDEX($A409:$BM409,,$BV$26)*$BW$26+
INDEX($A409:$BM409,,$BV$27)*$BW$27+
$BN409)),
$BN409-100)</f>
        <v>-100</v>
      </c>
      <c r="AX409" t="str">
        <f t="shared" si="85"/>
        <v>Josh Reynolds</v>
      </c>
      <c r="AY409" t="str">
        <f t="shared" si="86"/>
        <v>DET</v>
      </c>
      <c r="AZ409" s="430">
        <f>IFERROR(
IF(AX409="",-100,
IF($BV$2&gt;0, INDEX(Beersheet!$A:$U,MATCH(AX409,INDEX(Beersheet!$A:$U,0,FFARawStatProjections!$BV$2),0),$BV$3)+$BN409,
INDEX($A409:$BM409,,$BV$12)*$BW$12+
INDEX($A409:$BM409,,$BV$15)*$BW$15+
INDEX($A409:$BM409,,$BV$16)*$BW$16+
INDEX($A409:$BM409,,$BV$17)*$BW$17+
INDEX($A409:$BM409,,$BV$18)*$BW$18+
INDEX($A409:$BM409,,$BV$19)*$BW$19+
INDEX($A409:$BM409,,$BV$20)*$BW$20+
INDEX($A409:$BM409,,$BV$21)*$BW$21+
INDEX($A409:$BM409,,$BV$22)*$BW$22+
INDEX($A409:$BM409,,$BV$23)*$BW$23+
INDEX($A409:$BM409,,$BV$25)*$BW$25+
INDEX($A409:$BM409,,$BV$26)*$BW$26+
INDEX($A409:$BM409,,$BV$27)*$BW$27+
$BN409)),
$BN409-100)</f>
        <v>82.034080000000017</v>
      </c>
      <c r="BB409" t="str">
        <f t="shared" si="87"/>
        <v/>
      </c>
      <c r="BC409" t="str">
        <f t="shared" si="81"/>
        <v/>
      </c>
      <c r="BD409" s="430">
        <f>IFERROR(
IF(BB409="",-100,
IF($BV$2&gt;0, INDEX(Beersheet!$A:$U,MATCH(BB409,INDEX(Beersheet!$A:$U,0,FFARawStatProjections!$BV$2),0),$BV$3)+$BN409,
INDEX($A409:$BM409,,$BV$12)*$BW$12+
INDEX($A409:$BM409,,$BV$15)*$BW$15+
INDEX($A409:$BM409,,$BV$16)*$BW$16+
INDEX($A409:$BM409,,$BV$17)*$BW$17+
INDEX($A409:$BM409,,$BV$18)*$BW$18+
INDEX($A409:$BM409,,$BV$19)*$BW$19+
INDEX($A409:$BM409,,$BV$20)*$BW$20+
INDEX($A409:$BM409,,$BV$21)*$BW$21+
INDEX($A409:$BM409,,$BV$22)*$BW$22+
INDEX($A409:$BM409,,$BV$23)*$BW$23+
INDEX($A409:$BM409,,$BV$25)*$BW$25+
INDEX($A409:$BM409,,$BV$26)*$BW$26+
INDEX($A409:$BM409,,$BV$27)*$BW$27+
$BN409)),
$BN409-100)</f>
        <v>-100</v>
      </c>
      <c r="BF409" t="str">
        <f t="shared" si="88"/>
        <v/>
      </c>
      <c r="BG409" t="str">
        <f t="shared" si="89"/>
        <v/>
      </c>
      <c r="BH409">
        <f t="shared" si="90"/>
        <v>0</v>
      </c>
      <c r="BJ409" t="str">
        <f t="shared" si="91"/>
        <v/>
      </c>
      <c r="BL409">
        <f t="shared" ref="BL409:BL472" si="93">IFERROR(IF(BJ409="",0,
V409*2+W409*2+X409*2+Z409*6+AA409*1+AB409*2+AC409*6
+AN409+BN409),"")</f>
        <v>0</v>
      </c>
      <c r="BN409">
        <v>4.0800000000000003E-3</v>
      </c>
      <c r="BS409" s="4" t="s">
        <v>2456</v>
      </c>
    </row>
    <row r="410" spans="1:71" ht="15.75" thickBot="1" x14ac:dyDescent="0.3">
      <c r="A410" s="569" t="s">
        <v>2442</v>
      </c>
      <c r="B410" s="569" t="s">
        <v>144</v>
      </c>
      <c r="C410" s="569" t="s">
        <v>6</v>
      </c>
      <c r="D410" s="574">
        <v>9</v>
      </c>
      <c r="E410" s="569"/>
      <c r="F410" s="569"/>
      <c r="G410" s="569"/>
      <c r="H410" s="569"/>
      <c r="I410" s="574">
        <v>0</v>
      </c>
      <c r="J410" s="574">
        <v>0</v>
      </c>
      <c r="K410" s="574">
        <v>0</v>
      </c>
      <c r="L410" s="574">
        <v>26.8</v>
      </c>
      <c r="M410" s="574">
        <v>2</v>
      </c>
      <c r="N410" s="574">
        <v>397.6</v>
      </c>
      <c r="O410" s="574">
        <v>0.9</v>
      </c>
      <c r="P410" s="574">
        <v>0</v>
      </c>
      <c r="Q410" s="574">
        <v>4.5999999999999996</v>
      </c>
      <c r="R410" s="569"/>
      <c r="S410" s="569"/>
      <c r="T410" s="569"/>
      <c r="U410" s="569"/>
      <c r="V410" s="569"/>
      <c r="W410" s="569"/>
      <c r="X410" s="569"/>
      <c r="Y410" s="569"/>
      <c r="Z410" s="569"/>
      <c r="AA410" s="569"/>
      <c r="AB410" s="569"/>
      <c r="AC410" s="569"/>
      <c r="AD410" s="569"/>
      <c r="AE410" s="569"/>
      <c r="AF410" s="569"/>
      <c r="AG410" s="569"/>
      <c r="AH410" s="569"/>
      <c r="AI410" s="569"/>
      <c r="AJ410" s="569"/>
      <c r="AK410" s="569"/>
      <c r="AL410" s="569"/>
      <c r="AM410" s="569"/>
      <c r="AN410" s="574">
        <v>51.9</v>
      </c>
      <c r="AO410">
        <v>409</v>
      </c>
      <c r="AP410" t="str">
        <f t="shared" si="92"/>
        <v/>
      </c>
      <c r="AQ410" t="str">
        <f t="shared" si="82"/>
        <v/>
      </c>
      <c r="AR410" s="430">
        <f>IFERROR(
IF(AP410="",-100,
IF($BV$2&gt;0, INDEX(Beersheet!$A:$U,MATCH(AP410,INDEX(Beersheet!$A:$U,0,FFARawStatProjections!$BV$2),0),$BV$3)+$BN410,
INDEX($A410:$BM410,,$BV$12)*$BW$12+
INDEX($A410:$BM410,,$BV$15)*$BW$15+
INDEX($A410:$BM410,,$BV$16)*$BW$16+
INDEX($A410:$BM410,,$BV$17)*$BW$17+
INDEX($A410:$BM410,,$BV$18)*$BW$18+
INDEX($A410:$BM410,,$BV$19)*$BW$19+
INDEX($A410:$BM410,,$BV$20)*$BW$20+
INDEX($A410:$BM410,,$BV$21)*$BW$21+
INDEX($A410:$BM410,,$BV$22)*$BW$22+
INDEX($A410:$BM410,,$BV$23)*$BW$23+
INDEX($A410:$BM410,,$BV$25)*$BW$25+
INDEX($A410:$BM410,,$BV$26)*$BW$26+
INDEX($A410:$BM410,,$BV$27)*$BW$27+
$BN410)),
$BN410-100)</f>
        <v>-100</v>
      </c>
      <c r="AT410" t="str">
        <f t="shared" si="83"/>
        <v/>
      </c>
      <c r="AU410" t="str">
        <f t="shared" si="84"/>
        <v/>
      </c>
      <c r="AV410" s="430">
        <f>IFERROR(
IF(AT410="",-100,
IF($BV$2&gt;0, INDEX(Beersheet!$A:$U,MATCH(AT410,INDEX(Beersheet!$A:$U,0,FFARawStatProjections!$BV$2),0),$BV$3)+$BN410,
INDEX($A410:$BM410,,$BV$12)*$BW$12+
INDEX($A410:$BM410,,$BV$15)*$BW$15+
INDEX($A410:$BM410,,$BV$16)*$BW$16+
INDEX($A410:$BM410,,$BV$17)*$BW$17+
INDEX($A410:$BM410,,$BV$18)*$BW$18+
INDEX($A410:$BM410,,$BV$19)*$BW$19+
INDEX($A410:$BM410,,$BV$20)*$BW$20+
INDEX($A410:$BM410,,$BV$21)*$BW$21+
INDEX($A410:$BM410,,$BV$22)*$BW$22+
INDEX($A410:$BM410,,$BV$23)*$BW$23+
INDEX($A410:$BM410,,$BV$25)*$BW$25+
INDEX($A410:$BM410,,$BV$26)*$BW$26+
INDEX($A410:$BM410,,$BV$27)*$BW$27+
$BN410)),
$BN410-100)</f>
        <v>-100</v>
      </c>
      <c r="AX410" t="str">
        <f t="shared" si="85"/>
        <v>Marvin Mims</v>
      </c>
      <c r="AY410" t="str">
        <f t="shared" si="86"/>
        <v>DEN</v>
      </c>
      <c r="AZ410" s="430">
        <f>IFERROR(
IF(AX410="",-100,
IF($BV$2&gt;0, INDEX(Beersheet!$A:$U,MATCH(AX410,INDEX(Beersheet!$A:$U,0,FFARawStatProjections!$BV$2),0),$BV$3)+$BN410,
INDEX($A410:$BM410,,$BV$12)*$BW$12+
INDEX($A410:$BM410,,$BV$15)*$BW$15+
INDEX($A410:$BM410,,$BV$16)*$BW$16+
INDEX($A410:$BM410,,$BV$17)*$BW$17+
INDEX($A410:$BM410,,$BV$18)*$BW$18+
INDEX($A410:$BM410,,$BV$19)*$BW$19+
INDEX($A410:$BM410,,$BV$20)*$BW$20+
INDEX($A410:$BM410,,$BV$21)*$BW$21+
INDEX($A410:$BM410,,$BV$22)*$BW$22+
INDEX($A410:$BM410,,$BV$23)*$BW$23+
INDEX($A410:$BM410,,$BV$25)*$BW$25+
INDEX($A410:$BM410,,$BV$26)*$BW$26+
INDEX($A410:$BM410,,$BV$27)*$BW$27+
$BN410)),
$BN410-100)</f>
        <v>79.024090000000001</v>
      </c>
      <c r="BB410" t="str">
        <f t="shared" si="87"/>
        <v/>
      </c>
      <c r="BC410" t="str">
        <f t="shared" si="81"/>
        <v/>
      </c>
      <c r="BD410" s="430">
        <f>IFERROR(
IF(BB410="",-100,
IF($BV$2&gt;0, INDEX(Beersheet!$A:$U,MATCH(BB410,INDEX(Beersheet!$A:$U,0,FFARawStatProjections!$BV$2),0),$BV$3)+$BN410,
INDEX($A410:$BM410,,$BV$12)*$BW$12+
INDEX($A410:$BM410,,$BV$15)*$BW$15+
INDEX($A410:$BM410,,$BV$16)*$BW$16+
INDEX($A410:$BM410,,$BV$17)*$BW$17+
INDEX($A410:$BM410,,$BV$18)*$BW$18+
INDEX($A410:$BM410,,$BV$19)*$BW$19+
INDEX($A410:$BM410,,$BV$20)*$BW$20+
INDEX($A410:$BM410,,$BV$21)*$BW$21+
INDEX($A410:$BM410,,$BV$22)*$BW$22+
INDEX($A410:$BM410,,$BV$23)*$BW$23+
INDEX($A410:$BM410,,$BV$25)*$BW$25+
INDEX($A410:$BM410,,$BV$26)*$BW$26+
INDEX($A410:$BM410,,$BV$27)*$BW$27+
$BN410)),
$BN410-100)</f>
        <v>-100</v>
      </c>
      <c r="BF410" t="str">
        <f t="shared" si="88"/>
        <v/>
      </c>
      <c r="BG410" t="str">
        <f t="shared" si="89"/>
        <v/>
      </c>
      <c r="BH410">
        <f t="shared" si="90"/>
        <v>0</v>
      </c>
      <c r="BJ410" t="str">
        <f t="shared" si="91"/>
        <v/>
      </c>
      <c r="BL410">
        <f t="shared" si="93"/>
        <v>0</v>
      </c>
      <c r="BN410">
        <v>4.0899999999999999E-3</v>
      </c>
      <c r="BS410" s="4" t="s">
        <v>2455</v>
      </c>
    </row>
    <row r="411" spans="1:71" ht="15.75" thickBot="1" x14ac:dyDescent="0.3">
      <c r="A411" s="569" t="s">
        <v>2472</v>
      </c>
      <c r="B411" s="569" t="s">
        <v>154</v>
      </c>
      <c r="C411" s="569" t="s">
        <v>6</v>
      </c>
      <c r="D411" s="574">
        <v>13</v>
      </c>
      <c r="E411" s="569"/>
      <c r="F411" s="569"/>
      <c r="G411" s="569"/>
      <c r="H411" s="569"/>
      <c r="I411" s="574">
        <v>0</v>
      </c>
      <c r="J411" s="574">
        <v>0</v>
      </c>
      <c r="K411" s="574">
        <v>0</v>
      </c>
      <c r="L411" s="574">
        <v>28.2</v>
      </c>
      <c r="M411" s="574">
        <v>1.9</v>
      </c>
      <c r="N411" s="574">
        <v>400.3</v>
      </c>
      <c r="O411" s="574">
        <v>1.1000000000000001</v>
      </c>
      <c r="P411" s="574">
        <v>0</v>
      </c>
      <c r="Q411" s="574">
        <v>8.1999999999999993</v>
      </c>
      <c r="R411" s="569"/>
      <c r="S411" s="569"/>
      <c r="T411" s="569"/>
      <c r="U411" s="569"/>
      <c r="V411" s="569"/>
      <c r="W411" s="569"/>
      <c r="X411" s="569"/>
      <c r="Y411" s="569"/>
      <c r="Z411" s="569"/>
      <c r="AA411" s="569"/>
      <c r="AB411" s="569"/>
      <c r="AC411" s="569"/>
      <c r="AD411" s="569"/>
      <c r="AE411" s="569"/>
      <c r="AF411" s="569"/>
      <c r="AG411" s="569"/>
      <c r="AH411" s="569"/>
      <c r="AI411" s="569"/>
      <c r="AJ411" s="569"/>
      <c r="AK411" s="569"/>
      <c r="AL411" s="569"/>
      <c r="AM411" s="569"/>
      <c r="AN411" s="574">
        <v>51.9</v>
      </c>
      <c r="AO411">
        <v>410</v>
      </c>
      <c r="AP411" t="str">
        <f t="shared" si="92"/>
        <v/>
      </c>
      <c r="AQ411" t="str">
        <f t="shared" si="82"/>
        <v/>
      </c>
      <c r="AR411" s="430">
        <f>IFERROR(
IF(AP411="",-100,
IF($BV$2&gt;0, INDEX(Beersheet!$A:$U,MATCH(AP411,INDEX(Beersheet!$A:$U,0,FFARawStatProjections!$BV$2),0),$BV$3)+$BN411,
INDEX($A411:$BM411,,$BV$12)*$BW$12+
INDEX($A411:$BM411,,$BV$15)*$BW$15+
INDEX($A411:$BM411,,$BV$16)*$BW$16+
INDEX($A411:$BM411,,$BV$17)*$BW$17+
INDEX($A411:$BM411,,$BV$18)*$BW$18+
INDEX($A411:$BM411,,$BV$19)*$BW$19+
INDEX($A411:$BM411,,$BV$20)*$BW$20+
INDEX($A411:$BM411,,$BV$21)*$BW$21+
INDEX($A411:$BM411,,$BV$22)*$BW$22+
INDEX($A411:$BM411,,$BV$23)*$BW$23+
INDEX($A411:$BM411,,$BV$25)*$BW$25+
INDEX($A411:$BM411,,$BV$26)*$BW$26+
INDEX($A411:$BM411,,$BV$27)*$BW$27+
$BN411)),
$BN411-100)</f>
        <v>-100</v>
      </c>
      <c r="AT411" t="str">
        <f t="shared" si="83"/>
        <v/>
      </c>
      <c r="AU411" t="str">
        <f t="shared" si="84"/>
        <v/>
      </c>
      <c r="AV411" s="430">
        <f>IFERROR(
IF(AT411="",-100,
IF($BV$2&gt;0, INDEX(Beersheet!$A:$U,MATCH(AT411,INDEX(Beersheet!$A:$U,0,FFARawStatProjections!$BV$2),0),$BV$3)+$BN411,
INDEX($A411:$BM411,,$BV$12)*$BW$12+
INDEX($A411:$BM411,,$BV$15)*$BW$15+
INDEX($A411:$BM411,,$BV$16)*$BW$16+
INDEX($A411:$BM411,,$BV$17)*$BW$17+
INDEX($A411:$BM411,,$BV$18)*$BW$18+
INDEX($A411:$BM411,,$BV$19)*$BW$19+
INDEX($A411:$BM411,,$BV$20)*$BW$20+
INDEX($A411:$BM411,,$BV$21)*$BW$21+
INDEX($A411:$BM411,,$BV$22)*$BW$22+
INDEX($A411:$BM411,,$BV$23)*$BW$23+
INDEX($A411:$BM411,,$BV$25)*$BW$25+
INDEX($A411:$BM411,,$BV$26)*$BW$26+
INDEX($A411:$BM411,,$BV$27)*$BW$27+
$BN411)),
$BN411-100)</f>
        <v>-100</v>
      </c>
      <c r="AX411" t="str">
        <f t="shared" si="85"/>
        <v>Jalin Hyatt</v>
      </c>
      <c r="AY411" t="str">
        <f t="shared" si="86"/>
        <v>NYG</v>
      </c>
      <c r="AZ411" s="430">
        <f>IFERROR(
IF(AX411="",-100,
IF($BV$2&gt;0, INDEX(Beersheet!$A:$U,MATCH(AX411,INDEX(Beersheet!$A:$U,0,FFARawStatProjections!$BV$2),0),$BV$3)+$BN411,
INDEX($A411:$BM411,,$BV$12)*$BW$12+
INDEX($A411:$BM411,,$BV$15)*$BW$15+
INDEX($A411:$BM411,,$BV$16)*$BW$16+
INDEX($A411:$BM411,,$BV$17)*$BW$17+
INDEX($A411:$BM411,,$BV$18)*$BW$18+
INDEX($A411:$BM411,,$BV$19)*$BW$19+
INDEX($A411:$BM411,,$BV$20)*$BW$20+
INDEX($A411:$BM411,,$BV$21)*$BW$21+
INDEX($A411:$BM411,,$BV$22)*$BW$22+
INDEX($A411:$BM411,,$BV$23)*$BW$23+
INDEX($A411:$BM411,,$BV$25)*$BW$25+
INDEX($A411:$BM411,,$BV$26)*$BW$26+
INDEX($A411:$BM411,,$BV$27)*$BW$27+
$BN411)),
$BN411-100)</f>
        <v>80.454099999999983</v>
      </c>
      <c r="BB411" t="str">
        <f t="shared" si="87"/>
        <v/>
      </c>
      <c r="BC411" t="str">
        <f t="shared" si="81"/>
        <v/>
      </c>
      <c r="BD411" s="430">
        <f>IFERROR(
IF(BB411="",-100,
IF($BV$2&gt;0, INDEX(Beersheet!$A:$U,MATCH(BB411,INDEX(Beersheet!$A:$U,0,FFARawStatProjections!$BV$2),0),$BV$3)+$BN411,
INDEX($A411:$BM411,,$BV$12)*$BW$12+
INDEX($A411:$BM411,,$BV$15)*$BW$15+
INDEX($A411:$BM411,,$BV$16)*$BW$16+
INDEX($A411:$BM411,,$BV$17)*$BW$17+
INDEX($A411:$BM411,,$BV$18)*$BW$18+
INDEX($A411:$BM411,,$BV$19)*$BW$19+
INDEX($A411:$BM411,,$BV$20)*$BW$20+
INDEX($A411:$BM411,,$BV$21)*$BW$21+
INDEX($A411:$BM411,,$BV$22)*$BW$22+
INDEX($A411:$BM411,,$BV$23)*$BW$23+
INDEX($A411:$BM411,,$BV$25)*$BW$25+
INDEX($A411:$BM411,,$BV$26)*$BW$26+
INDEX($A411:$BM411,,$BV$27)*$BW$27+
$BN411)),
$BN411-100)</f>
        <v>-100</v>
      </c>
      <c r="BF411" t="str">
        <f t="shared" si="88"/>
        <v/>
      </c>
      <c r="BG411" t="str">
        <f t="shared" si="89"/>
        <v/>
      </c>
      <c r="BH411">
        <f t="shared" si="90"/>
        <v>0</v>
      </c>
      <c r="BJ411" t="str">
        <f t="shared" si="91"/>
        <v/>
      </c>
      <c r="BL411">
        <f t="shared" si="93"/>
        <v>0</v>
      </c>
      <c r="BN411">
        <v>4.1000000000000003E-3</v>
      </c>
      <c r="BS411" s="4" t="s">
        <v>2454</v>
      </c>
    </row>
    <row r="412" spans="1:71" ht="15.75" thickBot="1" x14ac:dyDescent="0.3">
      <c r="A412" s="569" t="s">
        <v>2339</v>
      </c>
      <c r="B412" s="569" t="s">
        <v>1389</v>
      </c>
      <c r="C412" s="569" t="s">
        <v>6</v>
      </c>
      <c r="D412" s="574">
        <v>10</v>
      </c>
      <c r="E412" s="569"/>
      <c r="F412" s="569"/>
      <c r="G412" s="569"/>
      <c r="H412" s="569"/>
      <c r="I412" s="574">
        <v>0</v>
      </c>
      <c r="J412" s="574">
        <v>0</v>
      </c>
      <c r="K412" s="574">
        <v>0</v>
      </c>
      <c r="L412" s="574">
        <v>37.6</v>
      </c>
      <c r="M412" s="574">
        <v>1.5</v>
      </c>
      <c r="N412" s="574">
        <v>387.3</v>
      </c>
      <c r="O412" s="574">
        <v>0.4</v>
      </c>
      <c r="P412" s="574">
        <v>0.3</v>
      </c>
      <c r="Q412" s="574">
        <v>4.7</v>
      </c>
      <c r="R412" s="569"/>
      <c r="S412" s="569"/>
      <c r="T412" s="569"/>
      <c r="U412" s="569"/>
      <c r="V412" s="569"/>
      <c r="W412" s="569"/>
      <c r="X412" s="569"/>
      <c r="Y412" s="569"/>
      <c r="Z412" s="569"/>
      <c r="AA412" s="569"/>
      <c r="AB412" s="569"/>
      <c r="AC412" s="569"/>
      <c r="AD412" s="569"/>
      <c r="AE412" s="569"/>
      <c r="AF412" s="569"/>
      <c r="AG412" s="569"/>
      <c r="AH412" s="569"/>
      <c r="AI412" s="569"/>
      <c r="AJ412" s="569"/>
      <c r="AK412" s="569"/>
      <c r="AL412" s="569"/>
      <c r="AM412" s="569"/>
      <c r="AN412" s="574">
        <v>50.1</v>
      </c>
      <c r="AO412">
        <v>411</v>
      </c>
      <c r="AP412" t="str">
        <f t="shared" si="92"/>
        <v/>
      </c>
      <c r="AQ412" t="str">
        <f t="shared" si="82"/>
        <v/>
      </c>
      <c r="AR412" s="430">
        <f>IFERROR(
IF(AP412="",-100,
IF($BV$2&gt;0, INDEX(Beersheet!$A:$U,MATCH(AP412,INDEX(Beersheet!$A:$U,0,FFARawStatProjections!$BV$2),0),$BV$3)+$BN412,
INDEX($A412:$BM412,,$BV$12)*$BW$12+
INDEX($A412:$BM412,,$BV$15)*$BW$15+
INDEX($A412:$BM412,,$BV$16)*$BW$16+
INDEX($A412:$BM412,,$BV$17)*$BW$17+
INDEX($A412:$BM412,,$BV$18)*$BW$18+
INDEX($A412:$BM412,,$BV$19)*$BW$19+
INDEX($A412:$BM412,,$BV$20)*$BW$20+
INDEX($A412:$BM412,,$BV$21)*$BW$21+
INDEX($A412:$BM412,,$BV$22)*$BW$22+
INDEX($A412:$BM412,,$BV$23)*$BW$23+
INDEX($A412:$BM412,,$BV$25)*$BW$25+
INDEX($A412:$BM412,,$BV$26)*$BW$26+
INDEX($A412:$BM412,,$BV$27)*$BW$27+
$BN412)),
$BN412-100)</f>
        <v>-100</v>
      </c>
      <c r="AT412" t="str">
        <f t="shared" si="83"/>
        <v/>
      </c>
      <c r="AU412" t="str">
        <f t="shared" si="84"/>
        <v/>
      </c>
      <c r="AV412" s="430">
        <f>IFERROR(
IF(AT412="",-100,
IF($BV$2&gt;0, INDEX(Beersheet!$A:$U,MATCH(AT412,INDEX(Beersheet!$A:$U,0,FFARawStatProjections!$BV$2),0),$BV$3)+$BN412,
INDEX($A412:$BM412,,$BV$12)*$BW$12+
INDEX($A412:$BM412,,$BV$15)*$BW$15+
INDEX($A412:$BM412,,$BV$16)*$BW$16+
INDEX($A412:$BM412,,$BV$17)*$BW$17+
INDEX($A412:$BM412,,$BV$18)*$BW$18+
INDEX($A412:$BM412,,$BV$19)*$BW$19+
INDEX($A412:$BM412,,$BV$20)*$BW$20+
INDEX($A412:$BM412,,$BV$21)*$BW$21+
INDEX($A412:$BM412,,$BV$22)*$BW$22+
INDEX($A412:$BM412,,$BV$23)*$BW$23+
INDEX($A412:$BM412,,$BV$25)*$BW$25+
INDEX($A412:$BM412,,$BV$26)*$BW$26+
INDEX($A412:$BM412,,$BV$27)*$BW$27+
$BN412)),
$BN412-100)</f>
        <v>-100</v>
      </c>
      <c r="AX412" t="str">
        <f t="shared" si="85"/>
        <v>Ben Skowronek</v>
      </c>
      <c r="AY412" t="str">
        <f t="shared" si="86"/>
        <v>LAR</v>
      </c>
      <c r="AZ412" s="430">
        <f>IFERROR(
IF(AX412="",-100,
IF($BV$2&gt;0, INDEX(Beersheet!$A:$U,MATCH(AX412,INDEX(Beersheet!$A:$U,0,FFARawStatProjections!$BV$2),0),$BV$3)+$BN412,
INDEX($A412:$BM412,,$BV$12)*$BW$12+
INDEX($A412:$BM412,,$BV$15)*$BW$15+
INDEX($A412:$BM412,,$BV$16)*$BW$16+
INDEX($A412:$BM412,,$BV$17)*$BW$17+
INDEX($A412:$BM412,,$BV$18)*$BW$18+
INDEX($A412:$BM412,,$BV$19)*$BW$19+
INDEX($A412:$BM412,,$BV$20)*$BW$20+
INDEX($A412:$BM412,,$BV$21)*$BW$21+
INDEX($A412:$BM412,,$BV$22)*$BW$22+
INDEX($A412:$BM412,,$BV$23)*$BW$23+
INDEX($A412:$BM412,,$BV$25)*$BW$25+
INDEX($A412:$BM412,,$BV$26)*$BW$26+
INDEX($A412:$BM412,,$BV$27)*$BW$27+
$BN412)),
$BN412-100)</f>
        <v>87.604110000000006</v>
      </c>
      <c r="BB412" t="str">
        <f t="shared" si="87"/>
        <v/>
      </c>
      <c r="BC412" t="str">
        <f t="shared" si="81"/>
        <v/>
      </c>
      <c r="BD412" s="430">
        <f>IFERROR(
IF(BB412="",-100,
IF($BV$2&gt;0, INDEX(Beersheet!$A:$U,MATCH(BB412,INDEX(Beersheet!$A:$U,0,FFARawStatProjections!$BV$2),0),$BV$3)+$BN412,
INDEX($A412:$BM412,,$BV$12)*$BW$12+
INDEX($A412:$BM412,,$BV$15)*$BW$15+
INDEX($A412:$BM412,,$BV$16)*$BW$16+
INDEX($A412:$BM412,,$BV$17)*$BW$17+
INDEX($A412:$BM412,,$BV$18)*$BW$18+
INDEX($A412:$BM412,,$BV$19)*$BW$19+
INDEX($A412:$BM412,,$BV$20)*$BW$20+
INDEX($A412:$BM412,,$BV$21)*$BW$21+
INDEX($A412:$BM412,,$BV$22)*$BW$22+
INDEX($A412:$BM412,,$BV$23)*$BW$23+
INDEX($A412:$BM412,,$BV$25)*$BW$25+
INDEX($A412:$BM412,,$BV$26)*$BW$26+
INDEX($A412:$BM412,,$BV$27)*$BW$27+
$BN412)),
$BN412-100)</f>
        <v>-100</v>
      </c>
      <c r="BF412" t="str">
        <f t="shared" si="88"/>
        <v/>
      </c>
      <c r="BG412" t="str">
        <f t="shared" si="89"/>
        <v/>
      </c>
      <c r="BH412">
        <f t="shared" si="90"/>
        <v>0</v>
      </c>
      <c r="BJ412" t="str">
        <f t="shared" si="91"/>
        <v/>
      </c>
      <c r="BL412">
        <f t="shared" si="93"/>
        <v>0</v>
      </c>
      <c r="BN412">
        <v>4.1099999999999999E-3</v>
      </c>
      <c r="BS412" s="4" t="s">
        <v>2453</v>
      </c>
    </row>
    <row r="413" spans="1:71" ht="15.75" thickBot="1" x14ac:dyDescent="0.3">
      <c r="A413" s="569" t="s">
        <v>2200</v>
      </c>
      <c r="B413" s="569" t="s">
        <v>159</v>
      </c>
      <c r="C413" s="569" t="s">
        <v>6</v>
      </c>
      <c r="D413" s="574">
        <v>7</v>
      </c>
      <c r="E413" s="569"/>
      <c r="F413" s="569"/>
      <c r="G413" s="569"/>
      <c r="H413" s="569"/>
      <c r="I413" s="574">
        <v>0</v>
      </c>
      <c r="J413" s="574">
        <v>0</v>
      </c>
      <c r="K413" s="574">
        <v>0</v>
      </c>
      <c r="L413" s="574">
        <v>24.9</v>
      </c>
      <c r="M413" s="574">
        <v>1.5</v>
      </c>
      <c r="N413" s="574">
        <v>400.7</v>
      </c>
      <c r="O413" s="574">
        <v>0</v>
      </c>
      <c r="P413" s="574">
        <v>0</v>
      </c>
      <c r="Q413" s="574">
        <v>0.1</v>
      </c>
      <c r="R413" s="569"/>
      <c r="S413" s="569"/>
      <c r="T413" s="569"/>
      <c r="U413" s="569"/>
      <c r="V413" s="569"/>
      <c r="W413" s="569"/>
      <c r="X413" s="569"/>
      <c r="Y413" s="569"/>
      <c r="Z413" s="569"/>
      <c r="AA413" s="569"/>
      <c r="AB413" s="569"/>
      <c r="AC413" s="569"/>
      <c r="AD413" s="569"/>
      <c r="AE413" s="569"/>
      <c r="AF413" s="569"/>
      <c r="AG413" s="569"/>
      <c r="AH413" s="569"/>
      <c r="AI413" s="569"/>
      <c r="AJ413" s="569"/>
      <c r="AK413" s="569"/>
      <c r="AL413" s="569"/>
      <c r="AM413" s="569"/>
      <c r="AN413" s="574">
        <v>49.1</v>
      </c>
      <c r="AO413">
        <v>412</v>
      </c>
      <c r="AP413" t="str">
        <f t="shared" si="92"/>
        <v/>
      </c>
      <c r="AQ413" t="str">
        <f t="shared" si="82"/>
        <v/>
      </c>
      <c r="AR413" s="430">
        <f>IFERROR(
IF(AP413="",-100,
IF($BV$2&gt;0, INDEX(Beersheet!$A:$U,MATCH(AP413,INDEX(Beersheet!$A:$U,0,FFARawStatProjections!$BV$2),0),$BV$3)+$BN413,
INDEX($A413:$BM413,,$BV$12)*$BW$12+
INDEX($A413:$BM413,,$BV$15)*$BW$15+
INDEX($A413:$BM413,,$BV$16)*$BW$16+
INDEX($A413:$BM413,,$BV$17)*$BW$17+
INDEX($A413:$BM413,,$BV$18)*$BW$18+
INDEX($A413:$BM413,,$BV$19)*$BW$19+
INDEX($A413:$BM413,,$BV$20)*$BW$20+
INDEX($A413:$BM413,,$BV$21)*$BW$21+
INDEX($A413:$BM413,,$BV$22)*$BW$22+
INDEX($A413:$BM413,,$BV$23)*$BW$23+
INDEX($A413:$BM413,,$BV$25)*$BW$25+
INDEX($A413:$BM413,,$BV$26)*$BW$26+
INDEX($A413:$BM413,,$BV$27)*$BW$27+
$BN413)),
$BN413-100)</f>
        <v>-100</v>
      </c>
      <c r="AT413" t="str">
        <f t="shared" si="83"/>
        <v/>
      </c>
      <c r="AU413" t="str">
        <f t="shared" si="84"/>
        <v/>
      </c>
      <c r="AV413" s="430">
        <f>IFERROR(
IF(AT413="",-100,
IF($BV$2&gt;0, INDEX(Beersheet!$A:$U,MATCH(AT413,INDEX(Beersheet!$A:$U,0,FFARawStatProjections!$BV$2),0),$BV$3)+$BN413,
INDEX($A413:$BM413,,$BV$12)*$BW$12+
INDEX($A413:$BM413,,$BV$15)*$BW$15+
INDEX($A413:$BM413,,$BV$16)*$BW$16+
INDEX($A413:$BM413,,$BV$17)*$BW$17+
INDEX($A413:$BM413,,$BV$18)*$BW$18+
INDEX($A413:$BM413,,$BV$19)*$BW$19+
INDEX($A413:$BM413,,$BV$20)*$BW$20+
INDEX($A413:$BM413,,$BV$21)*$BW$21+
INDEX($A413:$BM413,,$BV$22)*$BW$22+
INDEX($A413:$BM413,,$BV$23)*$BW$23+
INDEX($A413:$BM413,,$BV$25)*$BW$25+
INDEX($A413:$BM413,,$BV$26)*$BW$26+
INDEX($A413:$BM413,,$BV$27)*$BW$27+
$BN413)),
$BN413-100)</f>
        <v>-100</v>
      </c>
      <c r="AX413" t="str">
        <f t="shared" si="85"/>
        <v>Terrace Marshall</v>
      </c>
      <c r="AY413" t="str">
        <f t="shared" si="86"/>
        <v>CAR</v>
      </c>
      <c r="AZ413" s="430">
        <f>IFERROR(
IF(AX413="",-100,
IF($BV$2&gt;0, INDEX(Beersheet!$A:$U,MATCH(AX413,INDEX(Beersheet!$A:$U,0,FFARawStatProjections!$BV$2),0),$BV$3)+$BN413,
INDEX($A413:$BM413,,$BV$12)*$BW$12+
INDEX($A413:$BM413,,$BV$15)*$BW$15+
INDEX($A413:$BM413,,$BV$16)*$BW$16+
INDEX($A413:$BM413,,$BV$17)*$BW$17+
INDEX($A413:$BM413,,$BV$18)*$BW$18+
INDEX($A413:$BM413,,$BV$19)*$BW$19+
INDEX($A413:$BM413,,$BV$20)*$BW$20+
INDEX($A413:$BM413,,$BV$21)*$BW$21+
INDEX($A413:$BM413,,$BV$22)*$BW$22+
INDEX($A413:$BM413,,$BV$23)*$BW$23+
INDEX($A413:$BM413,,$BV$25)*$BW$25+
INDEX($A413:$BM413,,$BV$26)*$BW$26+
INDEX($A413:$BM413,,$BV$27)*$BW$27+
$BN413)),
$BN413-100)</f>
        <v>73.984120000000004</v>
      </c>
      <c r="BB413" t="str">
        <f t="shared" si="87"/>
        <v/>
      </c>
      <c r="BC413" t="str">
        <f t="shared" si="81"/>
        <v/>
      </c>
      <c r="BD413" s="430">
        <f>IFERROR(
IF(BB413="",-100,
IF($BV$2&gt;0, INDEX(Beersheet!$A:$U,MATCH(BB413,INDEX(Beersheet!$A:$U,0,FFARawStatProjections!$BV$2),0),$BV$3)+$BN413,
INDEX($A413:$BM413,,$BV$12)*$BW$12+
INDEX($A413:$BM413,,$BV$15)*$BW$15+
INDEX($A413:$BM413,,$BV$16)*$BW$16+
INDEX($A413:$BM413,,$BV$17)*$BW$17+
INDEX($A413:$BM413,,$BV$18)*$BW$18+
INDEX($A413:$BM413,,$BV$19)*$BW$19+
INDEX($A413:$BM413,,$BV$20)*$BW$20+
INDEX($A413:$BM413,,$BV$21)*$BW$21+
INDEX($A413:$BM413,,$BV$22)*$BW$22+
INDEX($A413:$BM413,,$BV$23)*$BW$23+
INDEX($A413:$BM413,,$BV$25)*$BW$25+
INDEX($A413:$BM413,,$BV$26)*$BW$26+
INDEX($A413:$BM413,,$BV$27)*$BW$27+
$BN413)),
$BN413-100)</f>
        <v>-100</v>
      </c>
      <c r="BF413" t="str">
        <f t="shared" si="88"/>
        <v/>
      </c>
      <c r="BG413" t="str">
        <f t="shared" si="89"/>
        <v/>
      </c>
      <c r="BH413">
        <f t="shared" si="90"/>
        <v>0</v>
      </c>
      <c r="BJ413" t="str">
        <f t="shared" si="91"/>
        <v/>
      </c>
      <c r="BL413">
        <f t="shared" si="93"/>
        <v>0</v>
      </c>
      <c r="BN413">
        <v>4.1200000000000004E-3</v>
      </c>
      <c r="BS413" s="4" t="s">
        <v>136</v>
      </c>
    </row>
    <row r="414" spans="1:71" ht="15.75" thickBot="1" x14ac:dyDescent="0.3">
      <c r="A414" s="569" t="s">
        <v>2277</v>
      </c>
      <c r="B414" s="569" t="s">
        <v>2272</v>
      </c>
      <c r="C414" s="569" t="s">
        <v>6</v>
      </c>
      <c r="D414" s="574">
        <v>14</v>
      </c>
      <c r="E414" s="569"/>
      <c r="F414" s="569"/>
      <c r="G414" s="569"/>
      <c r="H414" s="569"/>
      <c r="I414" s="574">
        <v>0</v>
      </c>
      <c r="J414" s="574">
        <v>0</v>
      </c>
      <c r="K414" s="574">
        <v>0</v>
      </c>
      <c r="L414" s="574">
        <v>37.700000000000003</v>
      </c>
      <c r="M414" s="574">
        <v>1.4</v>
      </c>
      <c r="N414" s="574">
        <v>365</v>
      </c>
      <c r="O414" s="574">
        <v>5.8</v>
      </c>
      <c r="P414" s="574">
        <v>0.1</v>
      </c>
      <c r="Q414" s="574">
        <v>42.8</v>
      </c>
      <c r="R414" s="569"/>
      <c r="S414" s="569"/>
      <c r="T414" s="569"/>
      <c r="U414" s="569"/>
      <c r="V414" s="569"/>
      <c r="W414" s="569"/>
      <c r="X414" s="569"/>
      <c r="Y414" s="569"/>
      <c r="Z414" s="569"/>
      <c r="AA414" s="569"/>
      <c r="AB414" s="569"/>
      <c r="AC414" s="569"/>
      <c r="AD414" s="569"/>
      <c r="AE414" s="569"/>
      <c r="AF414" s="569"/>
      <c r="AG414" s="569"/>
      <c r="AH414" s="569"/>
      <c r="AI414" s="569"/>
      <c r="AJ414" s="569"/>
      <c r="AK414" s="569"/>
      <c r="AL414" s="569"/>
      <c r="AM414" s="569"/>
      <c r="AN414" s="574">
        <v>48.7</v>
      </c>
      <c r="AO414">
        <v>413</v>
      </c>
      <c r="AP414" t="str">
        <f t="shared" si="92"/>
        <v/>
      </c>
      <c r="AQ414" t="str">
        <f t="shared" si="82"/>
        <v/>
      </c>
      <c r="AR414" s="430">
        <f>IFERROR(
IF(AP414="",-100,
IF($BV$2&gt;0, INDEX(Beersheet!$A:$U,MATCH(AP414,INDEX(Beersheet!$A:$U,0,FFARawStatProjections!$BV$2),0),$BV$3)+$BN414,
INDEX($A414:$BM414,,$BV$12)*$BW$12+
INDEX($A414:$BM414,,$BV$15)*$BW$15+
INDEX($A414:$BM414,,$BV$16)*$BW$16+
INDEX($A414:$BM414,,$BV$17)*$BW$17+
INDEX($A414:$BM414,,$BV$18)*$BW$18+
INDEX($A414:$BM414,,$BV$19)*$BW$19+
INDEX($A414:$BM414,,$BV$20)*$BW$20+
INDEX($A414:$BM414,,$BV$21)*$BW$21+
INDEX($A414:$BM414,,$BV$22)*$BW$22+
INDEX($A414:$BM414,,$BV$23)*$BW$23+
INDEX($A414:$BM414,,$BV$25)*$BW$25+
INDEX($A414:$BM414,,$BV$26)*$BW$26+
INDEX($A414:$BM414,,$BV$27)*$BW$27+
$BN414)),
$BN414-100)</f>
        <v>-100</v>
      </c>
      <c r="AT414" t="str">
        <f t="shared" si="83"/>
        <v/>
      </c>
      <c r="AU414" t="str">
        <f t="shared" si="84"/>
        <v/>
      </c>
      <c r="AV414" s="430">
        <f>IFERROR(
IF(AT414="",-100,
IF($BV$2&gt;0, INDEX(Beersheet!$A:$U,MATCH(AT414,INDEX(Beersheet!$A:$U,0,FFARawStatProjections!$BV$2),0),$BV$3)+$BN414,
INDEX($A414:$BM414,,$BV$12)*$BW$12+
INDEX($A414:$BM414,,$BV$15)*$BW$15+
INDEX($A414:$BM414,,$BV$16)*$BW$16+
INDEX($A414:$BM414,,$BV$17)*$BW$17+
INDEX($A414:$BM414,,$BV$18)*$BW$18+
INDEX($A414:$BM414,,$BV$19)*$BW$19+
INDEX($A414:$BM414,,$BV$20)*$BW$20+
INDEX($A414:$BM414,,$BV$21)*$BW$21+
INDEX($A414:$BM414,,$BV$22)*$BW$22+
INDEX($A414:$BM414,,$BV$23)*$BW$23+
INDEX($A414:$BM414,,$BV$25)*$BW$25+
INDEX($A414:$BM414,,$BV$26)*$BW$26+
INDEX($A414:$BM414,,$BV$27)*$BW$27+
$BN414)),
$BN414-100)</f>
        <v>-100</v>
      </c>
      <c r="AX414" t="str">
        <f t="shared" si="85"/>
        <v>Greg Dortch</v>
      </c>
      <c r="AY414" t="str">
        <f t="shared" si="86"/>
        <v>AZ</v>
      </c>
      <c r="AZ414" s="430">
        <f>IFERROR(
IF(AX414="",-100,
IF($BV$2&gt;0, INDEX(Beersheet!$A:$U,MATCH(AX414,INDEX(Beersheet!$A:$U,0,FFARawStatProjections!$BV$2),0),$BV$3)+$BN414,
INDEX($A414:$BM414,,$BV$12)*$BW$12+
INDEX($A414:$BM414,,$BV$15)*$BW$15+
INDEX($A414:$BM414,,$BV$16)*$BW$16+
INDEX($A414:$BM414,,$BV$17)*$BW$17+
INDEX($A414:$BM414,,$BV$18)*$BW$18+
INDEX($A414:$BM414,,$BV$19)*$BW$19+
INDEX($A414:$BM414,,$BV$20)*$BW$20+
INDEX($A414:$BM414,,$BV$21)*$BW$21+
INDEX($A414:$BM414,,$BV$22)*$BW$22+
INDEX($A414:$BM414,,$BV$23)*$BW$23+
INDEX($A414:$BM414,,$BV$25)*$BW$25+
INDEX($A414:$BM414,,$BV$26)*$BW$26+
INDEX($A414:$BM414,,$BV$27)*$BW$27+
$BN414)),
$BN414-100)</f>
        <v>87.484129999999993</v>
      </c>
      <c r="BB414" t="str">
        <f t="shared" si="87"/>
        <v/>
      </c>
      <c r="BC414" t="str">
        <f t="shared" si="81"/>
        <v/>
      </c>
      <c r="BD414" s="430">
        <f>IFERROR(
IF(BB414="",-100,
IF($BV$2&gt;0, INDEX(Beersheet!$A:$U,MATCH(BB414,INDEX(Beersheet!$A:$U,0,FFARawStatProjections!$BV$2),0),$BV$3)+$BN414,
INDEX($A414:$BM414,,$BV$12)*$BW$12+
INDEX($A414:$BM414,,$BV$15)*$BW$15+
INDEX($A414:$BM414,,$BV$16)*$BW$16+
INDEX($A414:$BM414,,$BV$17)*$BW$17+
INDEX($A414:$BM414,,$BV$18)*$BW$18+
INDEX($A414:$BM414,,$BV$19)*$BW$19+
INDEX($A414:$BM414,,$BV$20)*$BW$20+
INDEX($A414:$BM414,,$BV$21)*$BW$21+
INDEX($A414:$BM414,,$BV$22)*$BW$22+
INDEX($A414:$BM414,,$BV$23)*$BW$23+
INDEX($A414:$BM414,,$BV$25)*$BW$25+
INDEX($A414:$BM414,,$BV$26)*$BW$26+
INDEX($A414:$BM414,,$BV$27)*$BW$27+
$BN414)),
$BN414-100)</f>
        <v>-100</v>
      </c>
      <c r="BF414" t="str">
        <f t="shared" si="88"/>
        <v/>
      </c>
      <c r="BG414" t="str">
        <f t="shared" si="89"/>
        <v/>
      </c>
      <c r="BH414">
        <f t="shared" si="90"/>
        <v>0</v>
      </c>
      <c r="BJ414" t="str">
        <f t="shared" si="91"/>
        <v/>
      </c>
      <c r="BL414">
        <f t="shared" si="93"/>
        <v>0</v>
      </c>
      <c r="BN414">
        <v>4.13E-3</v>
      </c>
      <c r="BS414" s="4" t="s">
        <v>2304</v>
      </c>
    </row>
    <row r="415" spans="1:71" ht="15.75" thickBot="1" x14ac:dyDescent="0.3">
      <c r="A415" s="569" t="s">
        <v>2436</v>
      </c>
      <c r="B415" s="569" t="s">
        <v>2272</v>
      </c>
      <c r="C415" s="569" t="s">
        <v>6</v>
      </c>
      <c r="D415" s="574">
        <v>14</v>
      </c>
      <c r="E415" s="569"/>
      <c r="F415" s="569"/>
      <c r="G415" s="569"/>
      <c r="H415" s="569"/>
      <c r="I415" s="574">
        <v>0</v>
      </c>
      <c r="J415" s="574">
        <v>0</v>
      </c>
      <c r="K415" s="574">
        <v>0</v>
      </c>
      <c r="L415" s="574">
        <v>32.9</v>
      </c>
      <c r="M415" s="574">
        <v>1.4</v>
      </c>
      <c r="N415" s="574">
        <v>390.7</v>
      </c>
      <c r="O415" s="574">
        <v>0.5</v>
      </c>
      <c r="P415" s="574">
        <v>0</v>
      </c>
      <c r="Q415" s="574">
        <v>5.5</v>
      </c>
      <c r="R415" s="569"/>
      <c r="S415" s="569"/>
      <c r="T415" s="569"/>
      <c r="U415" s="569"/>
      <c r="V415" s="569"/>
      <c r="W415" s="569"/>
      <c r="X415" s="569"/>
      <c r="Y415" s="569"/>
      <c r="Z415" s="569"/>
      <c r="AA415" s="569"/>
      <c r="AB415" s="569"/>
      <c r="AC415" s="569"/>
      <c r="AD415" s="569"/>
      <c r="AE415" s="569"/>
      <c r="AF415" s="569"/>
      <c r="AG415" s="569"/>
      <c r="AH415" s="569"/>
      <c r="AI415" s="569"/>
      <c r="AJ415" s="569"/>
      <c r="AK415" s="569"/>
      <c r="AL415" s="569"/>
      <c r="AM415" s="569"/>
      <c r="AN415" s="574">
        <v>48</v>
      </c>
      <c r="AO415">
        <v>414</v>
      </c>
      <c r="AP415" t="str">
        <f t="shared" si="92"/>
        <v/>
      </c>
      <c r="AQ415" t="str">
        <f t="shared" si="82"/>
        <v/>
      </c>
      <c r="AR415" s="430">
        <f>IFERROR(
IF(AP415="",-100,
IF($BV$2&gt;0, INDEX(Beersheet!$A:$U,MATCH(AP415,INDEX(Beersheet!$A:$U,0,FFARawStatProjections!$BV$2),0),$BV$3)+$BN415,
INDEX($A415:$BM415,,$BV$12)*$BW$12+
INDEX($A415:$BM415,,$BV$15)*$BW$15+
INDEX($A415:$BM415,,$BV$16)*$BW$16+
INDEX($A415:$BM415,,$BV$17)*$BW$17+
INDEX($A415:$BM415,,$BV$18)*$BW$18+
INDEX($A415:$BM415,,$BV$19)*$BW$19+
INDEX($A415:$BM415,,$BV$20)*$BW$20+
INDEX($A415:$BM415,,$BV$21)*$BW$21+
INDEX($A415:$BM415,,$BV$22)*$BW$22+
INDEX($A415:$BM415,,$BV$23)*$BW$23+
INDEX($A415:$BM415,,$BV$25)*$BW$25+
INDEX($A415:$BM415,,$BV$26)*$BW$26+
INDEX($A415:$BM415,,$BV$27)*$BW$27+
$BN415)),
$BN415-100)</f>
        <v>-100</v>
      </c>
      <c r="AT415" t="str">
        <f t="shared" si="83"/>
        <v/>
      </c>
      <c r="AU415" t="str">
        <f t="shared" si="84"/>
        <v/>
      </c>
      <c r="AV415" s="430">
        <f>IFERROR(
IF(AT415="",-100,
IF($BV$2&gt;0, INDEX(Beersheet!$A:$U,MATCH(AT415,INDEX(Beersheet!$A:$U,0,FFARawStatProjections!$BV$2),0),$BV$3)+$BN415,
INDEX($A415:$BM415,,$BV$12)*$BW$12+
INDEX($A415:$BM415,,$BV$15)*$BW$15+
INDEX($A415:$BM415,,$BV$16)*$BW$16+
INDEX($A415:$BM415,,$BV$17)*$BW$17+
INDEX($A415:$BM415,,$BV$18)*$BW$18+
INDEX($A415:$BM415,,$BV$19)*$BW$19+
INDEX($A415:$BM415,,$BV$20)*$BW$20+
INDEX($A415:$BM415,,$BV$21)*$BW$21+
INDEX($A415:$BM415,,$BV$22)*$BW$22+
INDEX($A415:$BM415,,$BV$23)*$BW$23+
INDEX($A415:$BM415,,$BV$25)*$BW$25+
INDEX($A415:$BM415,,$BV$26)*$BW$26+
INDEX($A415:$BM415,,$BV$27)*$BW$27+
$BN415)),
$BN415-100)</f>
        <v>-100</v>
      </c>
      <c r="AX415" t="str">
        <f t="shared" si="85"/>
        <v>Michael Wilson</v>
      </c>
      <c r="AY415" t="str">
        <f t="shared" si="86"/>
        <v>AZ</v>
      </c>
      <c r="AZ415" s="430">
        <f>IFERROR(
IF(AX415="",-100,
IF($BV$2&gt;0, INDEX(Beersheet!$A:$U,MATCH(AX415,INDEX(Beersheet!$A:$U,0,FFARawStatProjections!$BV$2),0),$BV$3)+$BN415,
INDEX($A415:$BM415,,$BV$12)*$BW$12+
INDEX($A415:$BM415,,$BV$15)*$BW$15+
INDEX($A415:$BM415,,$BV$16)*$BW$16+
INDEX($A415:$BM415,,$BV$17)*$BW$17+
INDEX($A415:$BM415,,$BV$18)*$BW$18+
INDEX($A415:$BM415,,$BV$19)*$BW$19+
INDEX($A415:$BM415,,$BV$20)*$BW$20+
INDEX($A415:$BM415,,$BV$21)*$BW$21+
INDEX($A415:$BM415,,$BV$22)*$BW$22+
INDEX($A415:$BM415,,$BV$23)*$BW$23+
INDEX($A415:$BM415,,$BV$25)*$BW$25+
INDEX($A415:$BM415,,$BV$26)*$BW$26+
INDEX($A415:$BM415,,$BV$27)*$BW$27+
$BN415)),
$BN415-100)</f>
        <v>80.924140000000008</v>
      </c>
      <c r="BB415" t="str">
        <f t="shared" si="87"/>
        <v/>
      </c>
      <c r="BC415" t="str">
        <f t="shared" si="81"/>
        <v/>
      </c>
      <c r="BD415" s="430">
        <f>IFERROR(
IF(BB415="",-100,
IF($BV$2&gt;0, INDEX(Beersheet!$A:$U,MATCH(BB415,INDEX(Beersheet!$A:$U,0,FFARawStatProjections!$BV$2),0),$BV$3)+$BN415,
INDEX($A415:$BM415,,$BV$12)*$BW$12+
INDEX($A415:$BM415,,$BV$15)*$BW$15+
INDEX($A415:$BM415,,$BV$16)*$BW$16+
INDEX($A415:$BM415,,$BV$17)*$BW$17+
INDEX($A415:$BM415,,$BV$18)*$BW$18+
INDEX($A415:$BM415,,$BV$19)*$BW$19+
INDEX($A415:$BM415,,$BV$20)*$BW$20+
INDEX($A415:$BM415,,$BV$21)*$BW$21+
INDEX($A415:$BM415,,$BV$22)*$BW$22+
INDEX($A415:$BM415,,$BV$23)*$BW$23+
INDEX($A415:$BM415,,$BV$25)*$BW$25+
INDEX($A415:$BM415,,$BV$26)*$BW$26+
INDEX($A415:$BM415,,$BV$27)*$BW$27+
$BN415)),
$BN415-100)</f>
        <v>-100</v>
      </c>
      <c r="BF415" t="str">
        <f t="shared" si="88"/>
        <v/>
      </c>
      <c r="BG415" t="str">
        <f t="shared" si="89"/>
        <v/>
      </c>
      <c r="BH415">
        <f t="shared" si="90"/>
        <v>0</v>
      </c>
      <c r="BJ415" t="str">
        <f t="shared" si="91"/>
        <v/>
      </c>
      <c r="BL415">
        <f t="shared" si="93"/>
        <v>0</v>
      </c>
      <c r="BN415">
        <v>4.1399999999999996E-3</v>
      </c>
      <c r="BS415" s="4" t="s">
        <v>2452</v>
      </c>
    </row>
    <row r="416" spans="1:71" ht="15.75" thickBot="1" x14ac:dyDescent="0.3">
      <c r="A416" s="569" t="s">
        <v>2207</v>
      </c>
      <c r="B416" s="569" t="s">
        <v>1389</v>
      </c>
      <c r="C416" s="569" t="s">
        <v>6</v>
      </c>
      <c r="D416" s="574">
        <v>10</v>
      </c>
      <c r="E416" s="569"/>
      <c r="F416" s="569"/>
      <c r="G416" s="569"/>
      <c r="H416" s="569"/>
      <c r="I416" s="574">
        <v>0</v>
      </c>
      <c r="J416" s="574">
        <v>0</v>
      </c>
      <c r="K416" s="574">
        <v>0</v>
      </c>
      <c r="L416" s="574">
        <v>23.8</v>
      </c>
      <c r="M416" s="574">
        <v>1.3</v>
      </c>
      <c r="N416" s="574">
        <v>342.1</v>
      </c>
      <c r="O416" s="574">
        <v>7.1</v>
      </c>
      <c r="P416" s="574">
        <v>0.4</v>
      </c>
      <c r="Q416" s="574">
        <v>34.5</v>
      </c>
      <c r="R416" s="569"/>
      <c r="S416" s="569"/>
      <c r="T416" s="569"/>
      <c r="U416" s="569"/>
      <c r="V416" s="569"/>
      <c r="W416" s="569"/>
      <c r="X416" s="569"/>
      <c r="Y416" s="569"/>
      <c r="Z416" s="569"/>
      <c r="AA416" s="569"/>
      <c r="AB416" s="569"/>
      <c r="AC416" s="569"/>
      <c r="AD416" s="569"/>
      <c r="AE416" s="569"/>
      <c r="AF416" s="569"/>
      <c r="AG416" s="569"/>
      <c r="AH416" s="569"/>
      <c r="AI416" s="569"/>
      <c r="AJ416" s="569"/>
      <c r="AK416" s="569"/>
      <c r="AL416" s="569"/>
      <c r="AM416" s="569"/>
      <c r="AN416" s="574">
        <v>47.6</v>
      </c>
      <c r="AO416">
        <v>415</v>
      </c>
      <c r="AP416" t="str">
        <f t="shared" si="92"/>
        <v/>
      </c>
      <c r="AQ416" t="str">
        <f t="shared" si="82"/>
        <v/>
      </c>
      <c r="AR416" s="430">
        <f>IFERROR(
IF(AP416="",-100,
IF($BV$2&gt;0, INDEX(Beersheet!$A:$U,MATCH(AP416,INDEX(Beersheet!$A:$U,0,FFARawStatProjections!$BV$2),0),$BV$3)+$BN416,
INDEX($A416:$BM416,,$BV$12)*$BW$12+
INDEX($A416:$BM416,,$BV$15)*$BW$15+
INDEX($A416:$BM416,,$BV$16)*$BW$16+
INDEX($A416:$BM416,,$BV$17)*$BW$17+
INDEX($A416:$BM416,,$BV$18)*$BW$18+
INDEX($A416:$BM416,,$BV$19)*$BW$19+
INDEX($A416:$BM416,,$BV$20)*$BW$20+
INDEX($A416:$BM416,,$BV$21)*$BW$21+
INDEX($A416:$BM416,,$BV$22)*$BW$22+
INDEX($A416:$BM416,,$BV$23)*$BW$23+
INDEX($A416:$BM416,,$BV$25)*$BW$25+
INDEX($A416:$BM416,,$BV$26)*$BW$26+
INDEX($A416:$BM416,,$BV$27)*$BW$27+
$BN416)),
$BN416-100)</f>
        <v>-100</v>
      </c>
      <c r="AT416" t="str">
        <f t="shared" si="83"/>
        <v/>
      </c>
      <c r="AU416" t="str">
        <f t="shared" si="84"/>
        <v/>
      </c>
      <c r="AV416" s="430">
        <f>IFERROR(
IF(AT416="",-100,
IF($BV$2&gt;0, INDEX(Beersheet!$A:$U,MATCH(AT416,INDEX(Beersheet!$A:$U,0,FFARawStatProjections!$BV$2),0),$BV$3)+$BN416,
INDEX($A416:$BM416,,$BV$12)*$BW$12+
INDEX($A416:$BM416,,$BV$15)*$BW$15+
INDEX($A416:$BM416,,$BV$16)*$BW$16+
INDEX($A416:$BM416,,$BV$17)*$BW$17+
INDEX($A416:$BM416,,$BV$18)*$BW$18+
INDEX($A416:$BM416,,$BV$19)*$BW$19+
INDEX($A416:$BM416,,$BV$20)*$BW$20+
INDEX($A416:$BM416,,$BV$21)*$BW$21+
INDEX($A416:$BM416,,$BV$22)*$BW$22+
INDEX($A416:$BM416,,$BV$23)*$BW$23+
INDEX($A416:$BM416,,$BV$25)*$BW$25+
INDEX($A416:$BM416,,$BV$26)*$BW$26+
INDEX($A416:$BM416,,$BV$27)*$BW$27+
$BN416)),
$BN416-100)</f>
        <v>-100</v>
      </c>
      <c r="AX416" t="str">
        <f t="shared" si="85"/>
        <v>Tutu Atwell</v>
      </c>
      <c r="AY416" t="str">
        <f t="shared" si="86"/>
        <v>LAR</v>
      </c>
      <c r="AZ416" s="430">
        <f>IFERROR(
IF(AX416="",-100,
IF($BV$2&gt;0, INDEX(Beersheet!$A:$U,MATCH(AX416,INDEX(Beersheet!$A:$U,0,FFARawStatProjections!$BV$2),0),$BV$3)+$BN416,
INDEX($A416:$BM416,,$BV$12)*$BW$12+
INDEX($A416:$BM416,,$BV$15)*$BW$15+
INDEX($A416:$BM416,,$BV$16)*$BW$16+
INDEX($A416:$BM416,,$BV$17)*$BW$17+
INDEX($A416:$BM416,,$BV$18)*$BW$18+
INDEX($A416:$BM416,,$BV$19)*$BW$19+
INDEX($A416:$BM416,,$BV$20)*$BW$20+
INDEX($A416:$BM416,,$BV$21)*$BW$21+
INDEX($A416:$BM416,,$BV$22)*$BW$22+
INDEX($A416:$BM416,,$BV$23)*$BW$23+
INDEX($A416:$BM416,,$BV$25)*$BW$25+
INDEX($A416:$BM416,,$BV$26)*$BW$26+
INDEX($A416:$BM416,,$BV$27)*$BW$27+
$BN416)),
$BN416-100)</f>
        <v>71.664150000000006</v>
      </c>
      <c r="BB416" t="str">
        <f t="shared" si="87"/>
        <v/>
      </c>
      <c r="BC416" t="str">
        <f t="shared" si="81"/>
        <v/>
      </c>
      <c r="BD416" s="430">
        <f>IFERROR(
IF(BB416="",-100,
IF($BV$2&gt;0, INDEX(Beersheet!$A:$U,MATCH(BB416,INDEX(Beersheet!$A:$U,0,FFARawStatProjections!$BV$2),0),$BV$3)+$BN416,
INDEX($A416:$BM416,,$BV$12)*$BW$12+
INDEX($A416:$BM416,,$BV$15)*$BW$15+
INDEX($A416:$BM416,,$BV$16)*$BW$16+
INDEX($A416:$BM416,,$BV$17)*$BW$17+
INDEX($A416:$BM416,,$BV$18)*$BW$18+
INDEX($A416:$BM416,,$BV$19)*$BW$19+
INDEX($A416:$BM416,,$BV$20)*$BW$20+
INDEX($A416:$BM416,,$BV$21)*$BW$21+
INDEX($A416:$BM416,,$BV$22)*$BW$22+
INDEX($A416:$BM416,,$BV$23)*$BW$23+
INDEX($A416:$BM416,,$BV$25)*$BW$25+
INDEX($A416:$BM416,,$BV$26)*$BW$26+
INDEX($A416:$BM416,,$BV$27)*$BW$27+
$BN416)),
$BN416-100)</f>
        <v>-100</v>
      </c>
      <c r="BF416" t="str">
        <f t="shared" si="88"/>
        <v/>
      </c>
      <c r="BG416" t="str">
        <f t="shared" si="89"/>
        <v/>
      </c>
      <c r="BH416">
        <f t="shared" si="90"/>
        <v>0</v>
      </c>
      <c r="BJ416" t="str">
        <f t="shared" si="91"/>
        <v/>
      </c>
      <c r="BL416">
        <f t="shared" si="93"/>
        <v>0</v>
      </c>
      <c r="BN416">
        <v>4.15E-3</v>
      </c>
      <c r="BS416" s="4" t="s">
        <v>1790</v>
      </c>
    </row>
    <row r="417" spans="1:71" ht="15.75" thickBot="1" x14ac:dyDescent="0.3">
      <c r="A417" s="569" t="s">
        <v>1183</v>
      </c>
      <c r="B417" s="569" t="s">
        <v>154</v>
      </c>
      <c r="C417" s="569" t="s">
        <v>6</v>
      </c>
      <c r="D417" s="574">
        <v>13</v>
      </c>
      <c r="E417" s="569"/>
      <c r="F417" s="569"/>
      <c r="G417" s="569"/>
      <c r="H417" s="569"/>
      <c r="I417" s="574">
        <v>0</v>
      </c>
      <c r="J417" s="574">
        <v>0</v>
      </c>
      <c r="K417" s="574">
        <v>0</v>
      </c>
      <c r="L417" s="574">
        <v>28.3</v>
      </c>
      <c r="M417" s="574">
        <v>1.6</v>
      </c>
      <c r="N417" s="574">
        <v>335.9</v>
      </c>
      <c r="O417" s="574">
        <v>2.7</v>
      </c>
      <c r="P417" s="574">
        <v>0.1</v>
      </c>
      <c r="Q417" s="574">
        <v>16.399999999999999</v>
      </c>
      <c r="R417" s="569"/>
      <c r="S417" s="569"/>
      <c r="T417" s="569"/>
      <c r="U417" s="569"/>
      <c r="V417" s="569"/>
      <c r="W417" s="569"/>
      <c r="X417" s="569"/>
      <c r="Y417" s="569"/>
      <c r="Z417" s="569"/>
      <c r="AA417" s="569"/>
      <c r="AB417" s="569"/>
      <c r="AC417" s="569"/>
      <c r="AD417" s="569"/>
      <c r="AE417" s="569"/>
      <c r="AF417" s="569"/>
      <c r="AG417" s="569"/>
      <c r="AH417" s="569"/>
      <c r="AI417" s="569"/>
      <c r="AJ417" s="569"/>
      <c r="AK417" s="569"/>
      <c r="AL417" s="569"/>
      <c r="AM417" s="569"/>
      <c r="AN417" s="574">
        <v>45.5</v>
      </c>
      <c r="AO417">
        <v>416</v>
      </c>
      <c r="AP417" t="str">
        <f t="shared" si="92"/>
        <v/>
      </c>
      <c r="AQ417" t="str">
        <f t="shared" si="82"/>
        <v/>
      </c>
      <c r="AR417" s="430">
        <f>IFERROR(
IF(AP417="",-100,
IF($BV$2&gt;0, INDEX(Beersheet!$A:$U,MATCH(AP417,INDEX(Beersheet!$A:$U,0,FFARawStatProjections!$BV$2),0),$BV$3)+$BN417,
INDEX($A417:$BM417,,$BV$12)*$BW$12+
INDEX($A417:$BM417,,$BV$15)*$BW$15+
INDEX($A417:$BM417,,$BV$16)*$BW$16+
INDEX($A417:$BM417,,$BV$17)*$BW$17+
INDEX($A417:$BM417,,$BV$18)*$BW$18+
INDEX($A417:$BM417,,$BV$19)*$BW$19+
INDEX($A417:$BM417,,$BV$20)*$BW$20+
INDEX($A417:$BM417,,$BV$21)*$BW$21+
INDEX($A417:$BM417,,$BV$22)*$BW$22+
INDEX($A417:$BM417,,$BV$23)*$BW$23+
INDEX($A417:$BM417,,$BV$25)*$BW$25+
INDEX($A417:$BM417,,$BV$26)*$BW$26+
INDEX($A417:$BM417,,$BV$27)*$BW$27+
$BN417)),
$BN417-100)</f>
        <v>-100</v>
      </c>
      <c r="AT417" t="str">
        <f t="shared" si="83"/>
        <v/>
      </c>
      <c r="AU417" t="str">
        <f t="shared" si="84"/>
        <v/>
      </c>
      <c r="AV417" s="430">
        <f>IFERROR(
IF(AT417="",-100,
IF($BV$2&gt;0, INDEX(Beersheet!$A:$U,MATCH(AT417,INDEX(Beersheet!$A:$U,0,FFARawStatProjections!$BV$2),0),$BV$3)+$BN417,
INDEX($A417:$BM417,,$BV$12)*$BW$12+
INDEX($A417:$BM417,,$BV$15)*$BW$15+
INDEX($A417:$BM417,,$BV$16)*$BW$16+
INDEX($A417:$BM417,,$BV$17)*$BW$17+
INDEX($A417:$BM417,,$BV$18)*$BW$18+
INDEX($A417:$BM417,,$BV$19)*$BW$19+
INDEX($A417:$BM417,,$BV$20)*$BW$20+
INDEX($A417:$BM417,,$BV$21)*$BW$21+
INDEX($A417:$BM417,,$BV$22)*$BW$22+
INDEX($A417:$BM417,,$BV$23)*$BW$23+
INDEX($A417:$BM417,,$BV$25)*$BW$25+
INDEX($A417:$BM417,,$BV$26)*$BW$26+
INDEX($A417:$BM417,,$BV$27)*$BW$27+
$BN417)),
$BN417-100)</f>
        <v>-100</v>
      </c>
      <c r="AX417" t="str">
        <f t="shared" si="85"/>
        <v>Sterling Shepard</v>
      </c>
      <c r="AY417" t="str">
        <f t="shared" si="86"/>
        <v>NYG</v>
      </c>
      <c r="AZ417" s="430">
        <f>IFERROR(
IF(AX417="",-100,
IF($BV$2&gt;0, INDEX(Beersheet!$A:$U,MATCH(AX417,INDEX(Beersheet!$A:$U,0,FFARawStatProjections!$BV$2),0),$BV$3)+$BN417,
INDEX($A417:$BM417,,$BV$12)*$BW$12+
INDEX($A417:$BM417,,$BV$15)*$BW$15+
INDEX($A417:$BM417,,$BV$16)*$BW$16+
INDEX($A417:$BM417,,$BV$17)*$BW$17+
INDEX($A417:$BM417,,$BV$18)*$BW$18+
INDEX($A417:$BM417,,$BV$19)*$BW$19+
INDEX($A417:$BM417,,$BV$20)*$BW$20+
INDEX($A417:$BM417,,$BV$21)*$BW$21+
INDEX($A417:$BM417,,$BV$22)*$BW$22+
INDEX($A417:$BM417,,$BV$23)*$BW$23+
INDEX($A417:$BM417,,$BV$25)*$BW$25+
INDEX($A417:$BM417,,$BV$26)*$BW$26+
INDEX($A417:$BM417,,$BV$27)*$BW$27+
$BN417)),
$BN417-100)</f>
        <v>73.734160000000003</v>
      </c>
      <c r="BB417" t="str">
        <f t="shared" si="87"/>
        <v/>
      </c>
      <c r="BC417" t="str">
        <f t="shared" si="81"/>
        <v/>
      </c>
      <c r="BD417" s="430">
        <f>IFERROR(
IF(BB417="",-100,
IF($BV$2&gt;0, INDEX(Beersheet!$A:$U,MATCH(BB417,INDEX(Beersheet!$A:$U,0,FFARawStatProjections!$BV$2),0),$BV$3)+$BN417,
INDEX($A417:$BM417,,$BV$12)*$BW$12+
INDEX($A417:$BM417,,$BV$15)*$BW$15+
INDEX($A417:$BM417,,$BV$16)*$BW$16+
INDEX($A417:$BM417,,$BV$17)*$BW$17+
INDEX($A417:$BM417,,$BV$18)*$BW$18+
INDEX($A417:$BM417,,$BV$19)*$BW$19+
INDEX($A417:$BM417,,$BV$20)*$BW$20+
INDEX($A417:$BM417,,$BV$21)*$BW$21+
INDEX($A417:$BM417,,$BV$22)*$BW$22+
INDEX($A417:$BM417,,$BV$23)*$BW$23+
INDEX($A417:$BM417,,$BV$25)*$BW$25+
INDEX($A417:$BM417,,$BV$26)*$BW$26+
INDEX($A417:$BM417,,$BV$27)*$BW$27+
$BN417)),
$BN417-100)</f>
        <v>-100</v>
      </c>
      <c r="BF417" t="str">
        <f t="shared" si="88"/>
        <v/>
      </c>
      <c r="BG417" t="str">
        <f t="shared" si="89"/>
        <v/>
      </c>
      <c r="BH417">
        <f t="shared" si="90"/>
        <v>0</v>
      </c>
      <c r="BJ417" t="str">
        <f t="shared" si="91"/>
        <v/>
      </c>
      <c r="BL417">
        <f t="shared" si="93"/>
        <v>0</v>
      </c>
      <c r="BN417">
        <v>4.1599999999999996E-3</v>
      </c>
      <c r="BS417" s="4" t="s">
        <v>53</v>
      </c>
    </row>
    <row r="418" spans="1:71" ht="15.75" thickBot="1" x14ac:dyDescent="0.3">
      <c r="A418" s="569" t="s">
        <v>2461</v>
      </c>
      <c r="B418" s="569" t="s">
        <v>158</v>
      </c>
      <c r="C418" s="569" t="s">
        <v>6</v>
      </c>
      <c r="D418" s="574">
        <v>11</v>
      </c>
      <c r="E418" s="569"/>
      <c r="F418" s="569"/>
      <c r="G418" s="569"/>
      <c r="H418" s="569"/>
      <c r="I418" s="574">
        <v>0</v>
      </c>
      <c r="J418" s="574">
        <v>0</v>
      </c>
      <c r="K418" s="574">
        <v>0</v>
      </c>
      <c r="L418" s="574">
        <v>23.7</v>
      </c>
      <c r="M418" s="574">
        <v>1.5</v>
      </c>
      <c r="N418" s="574">
        <v>354.8</v>
      </c>
      <c r="O418" s="574">
        <v>0.8</v>
      </c>
      <c r="P418" s="574">
        <v>0</v>
      </c>
      <c r="Q418" s="574">
        <v>6.4</v>
      </c>
      <c r="R418" s="569"/>
      <c r="S418" s="569"/>
      <c r="T418" s="569"/>
      <c r="U418" s="569"/>
      <c r="V418" s="569"/>
      <c r="W418" s="569"/>
      <c r="X418" s="569"/>
      <c r="Y418" s="569"/>
      <c r="Z418" s="569"/>
      <c r="AA418" s="569"/>
      <c r="AB418" s="569"/>
      <c r="AC418" s="569"/>
      <c r="AD418" s="569"/>
      <c r="AE418" s="569"/>
      <c r="AF418" s="569"/>
      <c r="AG418" s="569"/>
      <c r="AH418" s="569"/>
      <c r="AI418" s="569"/>
      <c r="AJ418" s="569"/>
      <c r="AK418" s="569"/>
      <c r="AL418" s="569"/>
      <c r="AM418" s="569"/>
      <c r="AN418" s="574">
        <v>44.8</v>
      </c>
      <c r="AO418">
        <v>417</v>
      </c>
      <c r="AP418" t="str">
        <f t="shared" si="92"/>
        <v/>
      </c>
      <c r="AQ418" t="str">
        <f t="shared" si="82"/>
        <v/>
      </c>
      <c r="AR418" s="430">
        <f>IFERROR(
IF(AP418="",-100,
IF($BV$2&gt;0, INDEX(Beersheet!$A:$U,MATCH(AP418,INDEX(Beersheet!$A:$U,0,FFARawStatProjections!$BV$2),0),$BV$3)+$BN418,
INDEX($A418:$BM418,,$BV$12)*$BW$12+
INDEX($A418:$BM418,,$BV$15)*$BW$15+
INDEX($A418:$BM418,,$BV$16)*$BW$16+
INDEX($A418:$BM418,,$BV$17)*$BW$17+
INDEX($A418:$BM418,,$BV$18)*$BW$18+
INDEX($A418:$BM418,,$BV$19)*$BW$19+
INDEX($A418:$BM418,,$BV$20)*$BW$20+
INDEX($A418:$BM418,,$BV$21)*$BW$21+
INDEX($A418:$BM418,,$BV$22)*$BW$22+
INDEX($A418:$BM418,,$BV$23)*$BW$23+
INDEX($A418:$BM418,,$BV$25)*$BW$25+
INDEX($A418:$BM418,,$BV$26)*$BW$26+
INDEX($A418:$BM418,,$BV$27)*$BW$27+
$BN418)),
$BN418-100)</f>
        <v>-100</v>
      </c>
      <c r="AT418" t="str">
        <f t="shared" si="83"/>
        <v/>
      </c>
      <c r="AU418" t="str">
        <f t="shared" si="84"/>
        <v/>
      </c>
      <c r="AV418" s="430">
        <f>IFERROR(
IF(AT418="",-100,
IF($BV$2&gt;0, INDEX(Beersheet!$A:$U,MATCH(AT418,INDEX(Beersheet!$A:$U,0,FFARawStatProjections!$BV$2),0),$BV$3)+$BN418,
INDEX($A418:$BM418,,$BV$12)*$BW$12+
INDEX($A418:$BM418,,$BV$15)*$BW$15+
INDEX($A418:$BM418,,$BV$16)*$BW$16+
INDEX($A418:$BM418,,$BV$17)*$BW$17+
INDEX($A418:$BM418,,$BV$18)*$BW$18+
INDEX($A418:$BM418,,$BV$19)*$BW$19+
INDEX($A418:$BM418,,$BV$20)*$BW$20+
INDEX($A418:$BM418,,$BV$21)*$BW$21+
INDEX($A418:$BM418,,$BV$22)*$BW$22+
INDEX($A418:$BM418,,$BV$23)*$BW$23+
INDEX($A418:$BM418,,$BV$25)*$BW$25+
INDEX($A418:$BM418,,$BV$26)*$BW$26+
INDEX($A418:$BM418,,$BV$27)*$BW$27+
$BN418)),
$BN418-100)</f>
        <v>-100</v>
      </c>
      <c r="AX418" t="str">
        <f t="shared" si="85"/>
        <v>Josh Downs</v>
      </c>
      <c r="AY418" t="str">
        <f t="shared" si="86"/>
        <v>IND</v>
      </c>
      <c r="AZ418" s="430">
        <f>IFERROR(
IF(AX418="",-100,
IF($BV$2&gt;0, INDEX(Beersheet!$A:$U,MATCH(AX418,INDEX(Beersheet!$A:$U,0,FFARawStatProjections!$BV$2),0),$BV$3)+$BN418,
INDEX($A418:$BM418,,$BV$12)*$BW$12+
INDEX($A418:$BM418,,$BV$15)*$BW$15+
INDEX($A418:$BM418,,$BV$16)*$BW$16+
INDEX($A418:$BM418,,$BV$17)*$BW$17+
INDEX($A418:$BM418,,$BV$18)*$BW$18+
INDEX($A418:$BM418,,$BV$19)*$BW$19+
INDEX($A418:$BM418,,$BV$20)*$BW$20+
INDEX($A418:$BM418,,$BV$21)*$BW$21+
INDEX($A418:$BM418,,$BV$22)*$BW$22+
INDEX($A418:$BM418,,$BV$23)*$BW$23+
INDEX($A418:$BM418,,$BV$25)*$BW$25+
INDEX($A418:$BM418,,$BV$26)*$BW$26+
INDEX($A418:$BM418,,$BV$27)*$BW$27+
$BN418)),
$BN418-100)</f>
        <v>68.824170000000009</v>
      </c>
      <c r="BB418" t="str">
        <f t="shared" si="87"/>
        <v/>
      </c>
      <c r="BC418" t="str">
        <f t="shared" si="81"/>
        <v/>
      </c>
      <c r="BD418" s="430">
        <f>IFERROR(
IF(BB418="",-100,
IF($BV$2&gt;0, INDEX(Beersheet!$A:$U,MATCH(BB418,INDEX(Beersheet!$A:$U,0,FFARawStatProjections!$BV$2),0),$BV$3)+$BN418,
INDEX($A418:$BM418,,$BV$12)*$BW$12+
INDEX($A418:$BM418,,$BV$15)*$BW$15+
INDEX($A418:$BM418,,$BV$16)*$BW$16+
INDEX($A418:$BM418,,$BV$17)*$BW$17+
INDEX($A418:$BM418,,$BV$18)*$BW$18+
INDEX($A418:$BM418,,$BV$19)*$BW$19+
INDEX($A418:$BM418,,$BV$20)*$BW$20+
INDEX($A418:$BM418,,$BV$21)*$BW$21+
INDEX($A418:$BM418,,$BV$22)*$BW$22+
INDEX($A418:$BM418,,$BV$23)*$BW$23+
INDEX($A418:$BM418,,$BV$25)*$BW$25+
INDEX($A418:$BM418,,$BV$26)*$BW$26+
INDEX($A418:$BM418,,$BV$27)*$BW$27+
$BN418)),
$BN418-100)</f>
        <v>-100</v>
      </c>
      <c r="BF418" t="str">
        <f t="shared" si="88"/>
        <v/>
      </c>
      <c r="BG418" t="str">
        <f t="shared" si="89"/>
        <v/>
      </c>
      <c r="BH418">
        <f t="shared" si="90"/>
        <v>0</v>
      </c>
      <c r="BJ418" t="str">
        <f t="shared" si="91"/>
        <v/>
      </c>
      <c r="BL418">
        <f t="shared" si="93"/>
        <v>0</v>
      </c>
      <c r="BN418">
        <v>4.1700000000000001E-3</v>
      </c>
      <c r="BS418" s="4" t="s">
        <v>1886</v>
      </c>
    </row>
    <row r="419" spans="1:71" ht="15.75" thickBot="1" x14ac:dyDescent="0.3">
      <c r="A419" s="569" t="s">
        <v>2406</v>
      </c>
      <c r="B419" s="569" t="s">
        <v>151</v>
      </c>
      <c r="C419" s="569" t="s">
        <v>6</v>
      </c>
      <c r="D419" s="574">
        <v>7</v>
      </c>
      <c r="E419" s="569"/>
      <c r="F419" s="569"/>
      <c r="G419" s="569"/>
      <c r="H419" s="569"/>
      <c r="I419" s="574">
        <v>0</v>
      </c>
      <c r="J419" s="574">
        <v>0</v>
      </c>
      <c r="K419" s="574">
        <v>0</v>
      </c>
      <c r="L419" s="574">
        <v>25</v>
      </c>
      <c r="M419" s="574">
        <v>1.3</v>
      </c>
      <c r="N419" s="574">
        <v>361.8</v>
      </c>
      <c r="O419" s="574">
        <v>0.7</v>
      </c>
      <c r="P419" s="574">
        <v>0</v>
      </c>
      <c r="Q419" s="574">
        <v>4.0999999999999996</v>
      </c>
      <c r="R419" s="569"/>
      <c r="S419" s="569"/>
      <c r="T419" s="569"/>
      <c r="U419" s="569"/>
      <c r="V419" s="569"/>
      <c r="W419" s="569"/>
      <c r="X419" s="569"/>
      <c r="Y419" s="569"/>
      <c r="Z419" s="569"/>
      <c r="AA419" s="569"/>
      <c r="AB419" s="569"/>
      <c r="AC419" s="569"/>
      <c r="AD419" s="569"/>
      <c r="AE419" s="569"/>
      <c r="AF419" s="569"/>
      <c r="AG419" s="569"/>
      <c r="AH419" s="569"/>
      <c r="AI419" s="569"/>
      <c r="AJ419" s="569"/>
      <c r="AK419" s="569"/>
      <c r="AL419" s="569"/>
      <c r="AM419" s="569"/>
      <c r="AN419" s="574">
        <v>43.8</v>
      </c>
      <c r="AO419">
        <v>418</v>
      </c>
      <c r="AP419" t="str">
        <f t="shared" si="92"/>
        <v/>
      </c>
      <c r="AQ419" t="str">
        <f t="shared" si="82"/>
        <v/>
      </c>
      <c r="AR419" s="430">
        <f>IFERROR(
IF(AP419="",-100,
IF($BV$2&gt;0, INDEX(Beersheet!$A:$U,MATCH(AP419,INDEX(Beersheet!$A:$U,0,FFARawStatProjections!$BV$2),0),$BV$3)+$BN419,
INDEX($A419:$BM419,,$BV$12)*$BW$12+
INDEX($A419:$BM419,,$BV$15)*$BW$15+
INDEX($A419:$BM419,,$BV$16)*$BW$16+
INDEX($A419:$BM419,,$BV$17)*$BW$17+
INDEX($A419:$BM419,,$BV$18)*$BW$18+
INDEX($A419:$BM419,,$BV$19)*$BW$19+
INDEX($A419:$BM419,,$BV$20)*$BW$20+
INDEX($A419:$BM419,,$BV$21)*$BW$21+
INDEX($A419:$BM419,,$BV$22)*$BW$22+
INDEX($A419:$BM419,,$BV$23)*$BW$23+
INDEX($A419:$BM419,,$BV$25)*$BW$25+
INDEX($A419:$BM419,,$BV$26)*$BW$26+
INDEX($A419:$BM419,,$BV$27)*$BW$27+
$BN419)),
$BN419-100)</f>
        <v>-100</v>
      </c>
      <c r="AT419" t="str">
        <f t="shared" si="83"/>
        <v/>
      </c>
      <c r="AU419" t="str">
        <f t="shared" si="84"/>
        <v/>
      </c>
      <c r="AV419" s="430">
        <f>IFERROR(
IF(AT419="",-100,
IF($BV$2&gt;0, INDEX(Beersheet!$A:$U,MATCH(AT419,INDEX(Beersheet!$A:$U,0,FFARawStatProjections!$BV$2),0),$BV$3)+$BN419,
INDEX($A419:$BM419,,$BV$12)*$BW$12+
INDEX($A419:$BM419,,$BV$15)*$BW$15+
INDEX($A419:$BM419,,$BV$16)*$BW$16+
INDEX($A419:$BM419,,$BV$17)*$BW$17+
INDEX($A419:$BM419,,$BV$18)*$BW$18+
INDEX($A419:$BM419,,$BV$19)*$BW$19+
INDEX($A419:$BM419,,$BV$20)*$BW$20+
INDEX($A419:$BM419,,$BV$21)*$BW$21+
INDEX($A419:$BM419,,$BV$22)*$BW$22+
INDEX($A419:$BM419,,$BV$23)*$BW$23+
INDEX($A419:$BM419,,$BV$25)*$BW$25+
INDEX($A419:$BM419,,$BV$26)*$BW$26+
INDEX($A419:$BM419,,$BV$27)*$BW$27+
$BN419)),
$BN419-100)</f>
        <v>-100</v>
      </c>
      <c r="AX419" t="str">
        <f t="shared" si="85"/>
        <v>Tank Dell</v>
      </c>
      <c r="AY419" t="str">
        <f t="shared" si="86"/>
        <v>HOU</v>
      </c>
      <c r="AZ419" s="430">
        <f>IFERROR(
IF(AX419="",-100,
IF($BV$2&gt;0, INDEX(Beersheet!$A:$U,MATCH(AX419,INDEX(Beersheet!$A:$U,0,FFARawStatProjections!$BV$2),0),$BV$3)+$BN419,
INDEX($A419:$BM419,,$BV$12)*$BW$12+
INDEX($A419:$BM419,,$BV$15)*$BW$15+
INDEX($A419:$BM419,,$BV$16)*$BW$16+
INDEX($A419:$BM419,,$BV$17)*$BW$17+
INDEX($A419:$BM419,,$BV$18)*$BW$18+
INDEX($A419:$BM419,,$BV$19)*$BW$19+
INDEX($A419:$BM419,,$BV$20)*$BW$20+
INDEX($A419:$BM419,,$BV$21)*$BW$21+
INDEX($A419:$BM419,,$BV$22)*$BW$22+
INDEX($A419:$BM419,,$BV$23)*$BW$23+
INDEX($A419:$BM419,,$BV$25)*$BW$25+
INDEX($A419:$BM419,,$BV$26)*$BW$26+
INDEX($A419:$BM419,,$BV$27)*$BW$27+
$BN419)),
$BN419-100)</f>
        <v>69.394179999999992</v>
      </c>
      <c r="BB419" t="str">
        <f t="shared" si="87"/>
        <v/>
      </c>
      <c r="BC419" t="str">
        <f t="shared" si="81"/>
        <v/>
      </c>
      <c r="BD419" s="430">
        <f>IFERROR(
IF(BB419="",-100,
IF($BV$2&gt;0, INDEX(Beersheet!$A:$U,MATCH(BB419,INDEX(Beersheet!$A:$U,0,FFARawStatProjections!$BV$2),0),$BV$3)+$BN419,
INDEX($A419:$BM419,,$BV$12)*$BW$12+
INDEX($A419:$BM419,,$BV$15)*$BW$15+
INDEX($A419:$BM419,,$BV$16)*$BW$16+
INDEX($A419:$BM419,,$BV$17)*$BW$17+
INDEX($A419:$BM419,,$BV$18)*$BW$18+
INDEX($A419:$BM419,,$BV$19)*$BW$19+
INDEX($A419:$BM419,,$BV$20)*$BW$20+
INDEX($A419:$BM419,,$BV$21)*$BW$21+
INDEX($A419:$BM419,,$BV$22)*$BW$22+
INDEX($A419:$BM419,,$BV$23)*$BW$23+
INDEX($A419:$BM419,,$BV$25)*$BW$25+
INDEX($A419:$BM419,,$BV$26)*$BW$26+
INDEX($A419:$BM419,,$BV$27)*$BW$27+
$BN419)),
$BN419-100)</f>
        <v>-100</v>
      </c>
      <c r="BF419" t="str">
        <f t="shared" si="88"/>
        <v/>
      </c>
      <c r="BG419" t="str">
        <f t="shared" si="89"/>
        <v/>
      </c>
      <c r="BH419">
        <f t="shared" si="90"/>
        <v>0</v>
      </c>
      <c r="BJ419" t="str">
        <f t="shared" si="91"/>
        <v/>
      </c>
      <c r="BL419">
        <f t="shared" si="93"/>
        <v>0</v>
      </c>
      <c r="BN419">
        <v>4.1799999999999997E-3</v>
      </c>
      <c r="BS419" s="4" t="s">
        <v>1874</v>
      </c>
    </row>
    <row r="420" spans="1:71" ht="15.75" thickBot="1" x14ac:dyDescent="0.3">
      <c r="A420" s="569" t="s">
        <v>2420</v>
      </c>
      <c r="B420" s="569" t="s">
        <v>166</v>
      </c>
      <c r="C420" s="569" t="s">
        <v>6</v>
      </c>
      <c r="D420" s="574">
        <v>10</v>
      </c>
      <c r="E420" s="569"/>
      <c r="F420" s="569"/>
      <c r="G420" s="569"/>
      <c r="H420" s="569"/>
      <c r="I420" s="574">
        <v>0</v>
      </c>
      <c r="J420" s="574">
        <v>0</v>
      </c>
      <c r="K420" s="574">
        <v>0</v>
      </c>
      <c r="L420" s="574">
        <v>30.3</v>
      </c>
      <c r="M420" s="574">
        <v>1.7</v>
      </c>
      <c r="N420" s="574">
        <v>336.5</v>
      </c>
      <c r="O420" s="574">
        <v>0.3</v>
      </c>
      <c r="P420" s="574">
        <v>0</v>
      </c>
      <c r="Q420" s="574">
        <v>1.9</v>
      </c>
      <c r="R420" s="569"/>
      <c r="S420" s="569"/>
      <c r="T420" s="569"/>
      <c r="U420" s="569"/>
      <c r="V420" s="569"/>
      <c r="W420" s="569"/>
      <c r="X420" s="569"/>
      <c r="Y420" s="569"/>
      <c r="Z420" s="569"/>
      <c r="AA420" s="569"/>
      <c r="AB420" s="569"/>
      <c r="AC420" s="569"/>
      <c r="AD420" s="569"/>
      <c r="AE420" s="569"/>
      <c r="AF420" s="569"/>
      <c r="AG420" s="569"/>
      <c r="AH420" s="569"/>
      <c r="AI420" s="569"/>
      <c r="AJ420" s="569"/>
      <c r="AK420" s="569"/>
      <c r="AL420" s="569"/>
      <c r="AM420" s="569"/>
      <c r="AN420" s="574">
        <v>43.7</v>
      </c>
      <c r="AO420">
        <v>419</v>
      </c>
      <c r="AP420" t="str">
        <f t="shared" si="92"/>
        <v/>
      </c>
      <c r="AQ420" t="str">
        <f t="shared" si="82"/>
        <v/>
      </c>
      <c r="AR420" s="430">
        <f>IFERROR(
IF(AP420="",-100,
IF($BV$2&gt;0, INDEX(Beersheet!$A:$U,MATCH(AP420,INDEX(Beersheet!$A:$U,0,FFARawStatProjections!$BV$2),0),$BV$3)+$BN420,
INDEX($A420:$BM420,,$BV$12)*$BW$12+
INDEX($A420:$BM420,,$BV$15)*$BW$15+
INDEX($A420:$BM420,,$BV$16)*$BW$16+
INDEX($A420:$BM420,,$BV$17)*$BW$17+
INDEX($A420:$BM420,,$BV$18)*$BW$18+
INDEX($A420:$BM420,,$BV$19)*$BW$19+
INDEX($A420:$BM420,,$BV$20)*$BW$20+
INDEX($A420:$BM420,,$BV$21)*$BW$21+
INDEX($A420:$BM420,,$BV$22)*$BW$22+
INDEX($A420:$BM420,,$BV$23)*$BW$23+
INDEX($A420:$BM420,,$BV$25)*$BW$25+
INDEX($A420:$BM420,,$BV$26)*$BW$26+
INDEX($A420:$BM420,,$BV$27)*$BW$27+
$BN420)),
$BN420-100)</f>
        <v>-100</v>
      </c>
      <c r="AT420" t="str">
        <f t="shared" si="83"/>
        <v/>
      </c>
      <c r="AU420" t="str">
        <f t="shared" si="84"/>
        <v/>
      </c>
      <c r="AV420" s="430">
        <f>IFERROR(
IF(AT420="",-100,
IF($BV$2&gt;0, INDEX(Beersheet!$A:$U,MATCH(AT420,INDEX(Beersheet!$A:$U,0,FFARawStatProjections!$BV$2),0),$BV$3)+$BN420,
INDEX($A420:$BM420,,$BV$12)*$BW$12+
INDEX($A420:$BM420,,$BV$15)*$BW$15+
INDEX($A420:$BM420,,$BV$16)*$BW$16+
INDEX($A420:$BM420,,$BV$17)*$BW$17+
INDEX($A420:$BM420,,$BV$18)*$BW$18+
INDEX($A420:$BM420,,$BV$19)*$BW$19+
INDEX($A420:$BM420,,$BV$20)*$BW$20+
INDEX($A420:$BM420,,$BV$21)*$BW$21+
INDEX($A420:$BM420,,$BV$22)*$BW$22+
INDEX($A420:$BM420,,$BV$23)*$BW$23+
INDEX($A420:$BM420,,$BV$25)*$BW$25+
INDEX($A420:$BM420,,$BV$26)*$BW$26+
INDEX($A420:$BM420,,$BV$27)*$BW$27+
$BN420)),
$BN420-100)</f>
        <v>-100</v>
      </c>
      <c r="AX420" t="str">
        <f t="shared" si="85"/>
        <v>Robbie Chosen</v>
      </c>
      <c r="AY420" t="str">
        <f t="shared" si="86"/>
        <v>MIA</v>
      </c>
      <c r="AZ420" s="430">
        <f>IFERROR(
IF(AX420="",-100,
IF($BV$2&gt;0, INDEX(Beersheet!$A:$U,MATCH(AX420,INDEX(Beersheet!$A:$U,0,FFARawStatProjections!$BV$2),0),$BV$3)+$BN420,
INDEX($A420:$BM420,,$BV$12)*$BW$12+
INDEX($A420:$BM420,,$BV$15)*$BW$15+
INDEX($A420:$BM420,,$BV$16)*$BW$16+
INDEX($A420:$BM420,,$BV$17)*$BW$17+
INDEX($A420:$BM420,,$BV$18)*$BW$18+
INDEX($A420:$BM420,,$BV$19)*$BW$19+
INDEX($A420:$BM420,,$BV$20)*$BW$20+
INDEX($A420:$BM420,,$BV$21)*$BW$21+
INDEX($A420:$BM420,,$BV$22)*$BW$22+
INDEX($A420:$BM420,,$BV$23)*$BW$23+
INDEX($A420:$BM420,,$BV$25)*$BW$25+
INDEX($A420:$BM420,,$BV$26)*$BW$26+
INDEX($A420:$BM420,,$BV$27)*$BW$27+
$BN420)),
$BN420-100)</f>
        <v>74.344189999999998</v>
      </c>
      <c r="BB420" t="str">
        <f t="shared" si="87"/>
        <v/>
      </c>
      <c r="BC420" t="str">
        <f t="shared" si="81"/>
        <v/>
      </c>
      <c r="BD420" s="430">
        <f>IFERROR(
IF(BB420="",-100,
IF($BV$2&gt;0, INDEX(Beersheet!$A:$U,MATCH(BB420,INDEX(Beersheet!$A:$U,0,FFARawStatProjections!$BV$2),0),$BV$3)+$BN420,
INDEX($A420:$BM420,,$BV$12)*$BW$12+
INDEX($A420:$BM420,,$BV$15)*$BW$15+
INDEX($A420:$BM420,,$BV$16)*$BW$16+
INDEX($A420:$BM420,,$BV$17)*$BW$17+
INDEX($A420:$BM420,,$BV$18)*$BW$18+
INDEX($A420:$BM420,,$BV$19)*$BW$19+
INDEX($A420:$BM420,,$BV$20)*$BW$20+
INDEX($A420:$BM420,,$BV$21)*$BW$21+
INDEX($A420:$BM420,,$BV$22)*$BW$22+
INDEX($A420:$BM420,,$BV$23)*$BW$23+
INDEX($A420:$BM420,,$BV$25)*$BW$25+
INDEX($A420:$BM420,,$BV$26)*$BW$26+
INDEX($A420:$BM420,,$BV$27)*$BW$27+
$BN420)),
$BN420-100)</f>
        <v>-100</v>
      </c>
      <c r="BF420" t="str">
        <f t="shared" si="88"/>
        <v/>
      </c>
      <c r="BG420" t="str">
        <f t="shared" si="89"/>
        <v/>
      </c>
      <c r="BH420">
        <f t="shared" si="90"/>
        <v>0</v>
      </c>
      <c r="BJ420" t="str">
        <f t="shared" si="91"/>
        <v/>
      </c>
      <c r="BL420">
        <f t="shared" si="93"/>
        <v>0</v>
      </c>
      <c r="BN420">
        <v>4.1900000000000001E-3</v>
      </c>
      <c r="BS420" s="4" t="s">
        <v>1390</v>
      </c>
    </row>
    <row r="421" spans="1:71" ht="15.75" thickBot="1" x14ac:dyDescent="0.3">
      <c r="A421" s="569" t="s">
        <v>2514</v>
      </c>
      <c r="B421" s="569" t="s">
        <v>161</v>
      </c>
      <c r="C421" s="569" t="s">
        <v>6</v>
      </c>
      <c r="D421" s="574">
        <v>5</v>
      </c>
      <c r="E421" s="569"/>
      <c r="F421" s="569"/>
      <c r="G421" s="569"/>
      <c r="H421" s="569"/>
      <c r="I421" s="574">
        <v>0</v>
      </c>
      <c r="J421" s="574">
        <v>0</v>
      </c>
      <c r="K421" s="574">
        <v>0</v>
      </c>
      <c r="L421" s="574">
        <v>22.3</v>
      </c>
      <c r="M421" s="574">
        <v>1.2</v>
      </c>
      <c r="N421" s="574">
        <v>361</v>
      </c>
      <c r="O421" s="574">
        <v>0.9</v>
      </c>
      <c r="P421" s="574">
        <v>0.1</v>
      </c>
      <c r="Q421" s="574">
        <v>5.7</v>
      </c>
      <c r="R421" s="569"/>
      <c r="S421" s="569"/>
      <c r="T421" s="569"/>
      <c r="U421" s="569"/>
      <c r="V421" s="569"/>
      <c r="W421" s="569"/>
      <c r="X421" s="569"/>
      <c r="Y421" s="569"/>
      <c r="Z421" s="569"/>
      <c r="AA421" s="569"/>
      <c r="AB421" s="569"/>
      <c r="AC421" s="569"/>
      <c r="AD421" s="569"/>
      <c r="AE421" s="569"/>
      <c r="AF421" s="569"/>
      <c r="AG421" s="569"/>
      <c r="AH421" s="569"/>
      <c r="AI421" s="569"/>
      <c r="AJ421" s="569"/>
      <c r="AK421" s="569"/>
      <c r="AL421" s="569"/>
      <c r="AM421" s="569"/>
      <c r="AN421" s="574">
        <v>43.6</v>
      </c>
      <c r="AO421">
        <v>420</v>
      </c>
      <c r="AP421" t="str">
        <f t="shared" si="92"/>
        <v/>
      </c>
      <c r="AQ421" t="str">
        <f t="shared" si="82"/>
        <v/>
      </c>
      <c r="AR421" s="430">
        <f>IFERROR(
IF(AP421="",-100,
IF($BV$2&gt;0, INDEX(Beersheet!$A:$U,MATCH(AP421,INDEX(Beersheet!$A:$U,0,FFARawStatProjections!$BV$2),0),$BV$3)+$BN421,
INDEX($A421:$BM421,,$BV$12)*$BW$12+
INDEX($A421:$BM421,,$BV$15)*$BW$15+
INDEX($A421:$BM421,,$BV$16)*$BW$16+
INDEX($A421:$BM421,,$BV$17)*$BW$17+
INDEX($A421:$BM421,,$BV$18)*$BW$18+
INDEX($A421:$BM421,,$BV$19)*$BW$19+
INDEX($A421:$BM421,,$BV$20)*$BW$20+
INDEX($A421:$BM421,,$BV$21)*$BW$21+
INDEX($A421:$BM421,,$BV$22)*$BW$22+
INDEX($A421:$BM421,,$BV$23)*$BW$23+
INDEX($A421:$BM421,,$BV$25)*$BW$25+
INDEX($A421:$BM421,,$BV$26)*$BW$26+
INDEX($A421:$BM421,,$BV$27)*$BW$27+
$BN421)),
$BN421-100)</f>
        <v>-100</v>
      </c>
      <c r="AT421" t="str">
        <f t="shared" si="83"/>
        <v/>
      </c>
      <c r="AU421" t="str">
        <f t="shared" si="84"/>
        <v/>
      </c>
      <c r="AV421" s="430">
        <f>IFERROR(
IF(AT421="",-100,
IF($BV$2&gt;0, INDEX(Beersheet!$A:$U,MATCH(AT421,INDEX(Beersheet!$A:$U,0,FFARawStatProjections!$BV$2),0),$BV$3)+$BN421,
INDEX($A421:$BM421,,$BV$12)*$BW$12+
INDEX($A421:$BM421,,$BV$15)*$BW$15+
INDEX($A421:$BM421,,$BV$16)*$BW$16+
INDEX($A421:$BM421,,$BV$17)*$BW$17+
INDEX($A421:$BM421,,$BV$18)*$BW$18+
INDEX($A421:$BM421,,$BV$19)*$BW$19+
INDEX($A421:$BM421,,$BV$20)*$BW$20+
INDEX($A421:$BM421,,$BV$21)*$BW$21+
INDEX($A421:$BM421,,$BV$22)*$BW$22+
INDEX($A421:$BM421,,$BV$23)*$BW$23+
INDEX($A421:$BM421,,$BV$25)*$BW$25+
INDEX($A421:$BM421,,$BV$26)*$BW$26+
INDEX($A421:$BM421,,$BV$27)*$BW$27+
$BN421)),
$BN421-100)</f>
        <v>-100</v>
      </c>
      <c r="AX421" t="str">
        <f t="shared" si="85"/>
        <v>Cedric Tillman</v>
      </c>
      <c r="AY421" t="str">
        <f t="shared" si="86"/>
        <v>CLE</v>
      </c>
      <c r="AZ421" s="430">
        <f>IFERROR(
IF(AX421="",-100,
IF($BV$2&gt;0, INDEX(Beersheet!$A:$U,MATCH(AX421,INDEX(Beersheet!$A:$U,0,FFARawStatProjections!$BV$2),0),$BV$3)+$BN421,
INDEX($A421:$BM421,,$BV$12)*$BW$12+
INDEX($A421:$BM421,,$BV$15)*$BW$15+
INDEX($A421:$BM421,,$BV$16)*$BW$16+
INDEX($A421:$BM421,,$BV$17)*$BW$17+
INDEX($A421:$BM421,,$BV$18)*$BW$18+
INDEX($A421:$BM421,,$BV$19)*$BW$19+
INDEX($A421:$BM421,,$BV$20)*$BW$20+
INDEX($A421:$BM421,,$BV$21)*$BW$21+
INDEX($A421:$BM421,,$BV$22)*$BW$22+
INDEX($A421:$BM421,,$BV$23)*$BW$23+
INDEX($A421:$BM421,,$BV$25)*$BW$25+
INDEX($A421:$BM421,,$BV$26)*$BW$26+
INDEX($A421:$BM421,,$BV$27)*$BW$27+
$BN421)),
$BN421-100)</f>
        <v>66.774199999999979</v>
      </c>
      <c r="BB421" t="str">
        <f t="shared" si="87"/>
        <v/>
      </c>
      <c r="BC421" t="str">
        <f t="shared" si="81"/>
        <v/>
      </c>
      <c r="BD421" s="430">
        <f>IFERROR(
IF(BB421="",-100,
IF($BV$2&gt;0, INDEX(Beersheet!$A:$U,MATCH(BB421,INDEX(Beersheet!$A:$U,0,FFARawStatProjections!$BV$2),0),$BV$3)+$BN421,
INDEX($A421:$BM421,,$BV$12)*$BW$12+
INDEX($A421:$BM421,,$BV$15)*$BW$15+
INDEX($A421:$BM421,,$BV$16)*$BW$16+
INDEX($A421:$BM421,,$BV$17)*$BW$17+
INDEX($A421:$BM421,,$BV$18)*$BW$18+
INDEX($A421:$BM421,,$BV$19)*$BW$19+
INDEX($A421:$BM421,,$BV$20)*$BW$20+
INDEX($A421:$BM421,,$BV$21)*$BW$21+
INDEX($A421:$BM421,,$BV$22)*$BW$22+
INDEX($A421:$BM421,,$BV$23)*$BW$23+
INDEX($A421:$BM421,,$BV$25)*$BW$25+
INDEX($A421:$BM421,,$BV$26)*$BW$26+
INDEX($A421:$BM421,,$BV$27)*$BW$27+
$BN421)),
$BN421-100)</f>
        <v>-100</v>
      </c>
      <c r="BF421" t="str">
        <f t="shared" si="88"/>
        <v/>
      </c>
      <c r="BG421" t="str">
        <f t="shared" si="89"/>
        <v/>
      </c>
      <c r="BH421">
        <f t="shared" si="90"/>
        <v>0</v>
      </c>
      <c r="BJ421" t="str">
        <f t="shared" si="91"/>
        <v/>
      </c>
      <c r="BL421">
        <f t="shared" si="93"/>
        <v>0</v>
      </c>
      <c r="BN421">
        <v>4.1999999999999997E-3</v>
      </c>
      <c r="BS421" s="4" t="s">
        <v>1795</v>
      </c>
    </row>
    <row r="422" spans="1:71" ht="15.75" thickBot="1" x14ac:dyDescent="0.3">
      <c r="A422" s="569" t="s">
        <v>1803</v>
      </c>
      <c r="B422" s="569" t="s">
        <v>136</v>
      </c>
      <c r="C422" s="569" t="s">
        <v>6</v>
      </c>
      <c r="D422" s="574">
        <v>10</v>
      </c>
      <c r="E422" s="569"/>
      <c r="F422" s="569"/>
      <c r="G422" s="569"/>
      <c r="H422" s="569"/>
      <c r="I422" s="574">
        <v>0</v>
      </c>
      <c r="J422" s="574">
        <v>0</v>
      </c>
      <c r="K422" s="574">
        <v>0</v>
      </c>
      <c r="L422" s="574">
        <v>24.4</v>
      </c>
      <c r="M422" s="574">
        <v>2</v>
      </c>
      <c r="N422" s="574">
        <v>334</v>
      </c>
      <c r="O422" s="574">
        <v>0.6</v>
      </c>
      <c r="P422" s="574">
        <v>0</v>
      </c>
      <c r="Q422" s="574">
        <v>1.8</v>
      </c>
      <c r="R422" s="569"/>
      <c r="S422" s="569"/>
      <c r="T422" s="569"/>
      <c r="U422" s="569"/>
      <c r="V422" s="569"/>
      <c r="W422" s="569"/>
      <c r="X422" s="569"/>
      <c r="Y422" s="569"/>
      <c r="Z422" s="569"/>
      <c r="AA422" s="569"/>
      <c r="AB422" s="569"/>
      <c r="AC422" s="569"/>
      <c r="AD422" s="569"/>
      <c r="AE422" s="569"/>
      <c r="AF422" s="569"/>
      <c r="AG422" s="569"/>
      <c r="AH422" s="569"/>
      <c r="AI422" s="569"/>
      <c r="AJ422" s="569"/>
      <c r="AK422" s="569"/>
      <c r="AL422" s="569"/>
      <c r="AM422" s="569"/>
      <c r="AN422" s="574">
        <v>42.4</v>
      </c>
      <c r="AO422">
        <v>421</v>
      </c>
      <c r="AP422" t="str">
        <f t="shared" si="92"/>
        <v/>
      </c>
      <c r="AQ422" t="str">
        <f t="shared" si="82"/>
        <v/>
      </c>
      <c r="AR422" s="430">
        <f>IFERROR(
IF(AP422="",-100,
IF($BV$2&gt;0, INDEX(Beersheet!$A:$U,MATCH(AP422,INDEX(Beersheet!$A:$U,0,FFARawStatProjections!$BV$2),0),$BV$3)+$BN422,
INDEX($A422:$BM422,,$BV$12)*$BW$12+
INDEX($A422:$BM422,,$BV$15)*$BW$15+
INDEX($A422:$BM422,,$BV$16)*$BW$16+
INDEX($A422:$BM422,,$BV$17)*$BW$17+
INDEX($A422:$BM422,,$BV$18)*$BW$18+
INDEX($A422:$BM422,,$BV$19)*$BW$19+
INDEX($A422:$BM422,,$BV$20)*$BW$20+
INDEX($A422:$BM422,,$BV$21)*$BW$21+
INDEX($A422:$BM422,,$BV$22)*$BW$22+
INDEX($A422:$BM422,,$BV$23)*$BW$23+
INDEX($A422:$BM422,,$BV$25)*$BW$25+
INDEX($A422:$BM422,,$BV$26)*$BW$26+
INDEX($A422:$BM422,,$BV$27)*$BW$27+
$BN422)),
$BN422-100)</f>
        <v>-100</v>
      </c>
      <c r="AT422" t="str">
        <f t="shared" si="83"/>
        <v/>
      </c>
      <c r="AU422" t="str">
        <f t="shared" si="84"/>
        <v/>
      </c>
      <c r="AV422" s="430">
        <f>IFERROR(
IF(AT422="",-100,
IF($BV$2&gt;0, INDEX(Beersheet!$A:$U,MATCH(AT422,INDEX(Beersheet!$A:$U,0,FFARawStatProjections!$BV$2),0),$BV$3)+$BN422,
INDEX($A422:$BM422,,$BV$12)*$BW$12+
INDEX($A422:$BM422,,$BV$15)*$BW$15+
INDEX($A422:$BM422,,$BV$16)*$BW$16+
INDEX($A422:$BM422,,$BV$17)*$BW$17+
INDEX($A422:$BM422,,$BV$18)*$BW$18+
INDEX($A422:$BM422,,$BV$19)*$BW$19+
INDEX($A422:$BM422,,$BV$20)*$BW$20+
INDEX($A422:$BM422,,$BV$21)*$BW$21+
INDEX($A422:$BM422,,$BV$22)*$BW$22+
INDEX($A422:$BM422,,$BV$23)*$BW$23+
INDEX($A422:$BM422,,$BV$25)*$BW$25+
INDEX($A422:$BM422,,$BV$26)*$BW$26+
INDEX($A422:$BM422,,$BV$27)*$BW$27+
$BN422)),
$BN422-100)</f>
        <v>-100</v>
      </c>
      <c r="AX422" t="str">
        <f t="shared" si="85"/>
        <v>Richie James</v>
      </c>
      <c r="AY422" t="str">
        <f t="shared" si="86"/>
        <v>KC</v>
      </c>
      <c r="AZ422" s="430">
        <f>IFERROR(
IF(AX422="",-100,
IF($BV$2&gt;0, INDEX(Beersheet!$A:$U,MATCH(AX422,INDEX(Beersheet!$A:$U,0,FFARawStatProjections!$BV$2),0),$BV$3)+$BN422,
INDEX($A422:$BM422,,$BV$12)*$BW$12+
INDEX($A422:$BM422,,$BV$15)*$BW$15+
INDEX($A422:$BM422,,$BV$16)*$BW$16+
INDEX($A422:$BM422,,$BV$17)*$BW$17+
INDEX($A422:$BM422,,$BV$18)*$BW$18+
INDEX($A422:$BM422,,$BV$19)*$BW$19+
INDEX($A422:$BM422,,$BV$20)*$BW$20+
INDEX($A422:$BM422,,$BV$21)*$BW$21+
INDEX($A422:$BM422,,$BV$22)*$BW$22+
INDEX($A422:$BM422,,$BV$23)*$BW$23+
INDEX($A422:$BM422,,$BV$25)*$BW$25+
INDEX($A422:$BM422,,$BV$26)*$BW$26+
INDEX($A422:$BM422,,$BV$27)*$BW$27+
$BN422)),
$BN422-100)</f>
        <v>69.984210000000004</v>
      </c>
      <c r="BB422" t="str">
        <f t="shared" si="87"/>
        <v/>
      </c>
      <c r="BC422" t="str">
        <f t="shared" si="81"/>
        <v/>
      </c>
      <c r="BD422" s="430">
        <f>IFERROR(
IF(BB422="",-100,
IF($BV$2&gt;0, INDEX(Beersheet!$A:$U,MATCH(BB422,INDEX(Beersheet!$A:$U,0,FFARawStatProjections!$BV$2),0),$BV$3)+$BN422,
INDEX($A422:$BM422,,$BV$12)*$BW$12+
INDEX($A422:$BM422,,$BV$15)*$BW$15+
INDEX($A422:$BM422,,$BV$16)*$BW$16+
INDEX($A422:$BM422,,$BV$17)*$BW$17+
INDEX($A422:$BM422,,$BV$18)*$BW$18+
INDEX($A422:$BM422,,$BV$19)*$BW$19+
INDEX($A422:$BM422,,$BV$20)*$BW$20+
INDEX($A422:$BM422,,$BV$21)*$BW$21+
INDEX($A422:$BM422,,$BV$22)*$BW$22+
INDEX($A422:$BM422,,$BV$23)*$BW$23+
INDEX($A422:$BM422,,$BV$25)*$BW$25+
INDEX($A422:$BM422,,$BV$26)*$BW$26+
INDEX($A422:$BM422,,$BV$27)*$BW$27+
$BN422)),
$BN422-100)</f>
        <v>-100</v>
      </c>
      <c r="BF422" t="str">
        <f t="shared" si="88"/>
        <v/>
      </c>
      <c r="BG422" t="str">
        <f t="shared" si="89"/>
        <v/>
      </c>
      <c r="BH422">
        <f t="shared" si="90"/>
        <v>0</v>
      </c>
      <c r="BJ422" t="str">
        <f t="shared" si="91"/>
        <v/>
      </c>
      <c r="BL422">
        <f t="shared" si="93"/>
        <v>0</v>
      </c>
      <c r="BN422">
        <v>4.2100000000000002E-3</v>
      </c>
      <c r="BS422" s="4" t="s">
        <v>2357</v>
      </c>
    </row>
    <row r="423" spans="1:71" ht="15.75" thickBot="1" x14ac:dyDescent="0.3">
      <c r="A423" s="569" t="s">
        <v>2094</v>
      </c>
      <c r="B423" s="569" t="s">
        <v>159</v>
      </c>
      <c r="C423" s="569" t="s">
        <v>6</v>
      </c>
      <c r="D423" s="574">
        <v>7</v>
      </c>
      <c r="E423" s="569"/>
      <c r="F423" s="569"/>
      <c r="G423" s="569"/>
      <c r="H423" s="569"/>
      <c r="I423" s="574">
        <v>0</v>
      </c>
      <c r="J423" s="574">
        <v>0</v>
      </c>
      <c r="K423" s="574">
        <v>0</v>
      </c>
      <c r="L423" s="574">
        <v>20</v>
      </c>
      <c r="M423" s="574">
        <v>0.8</v>
      </c>
      <c r="N423" s="574">
        <v>250.1</v>
      </c>
      <c r="O423" s="574">
        <v>16.600000000000001</v>
      </c>
      <c r="P423" s="574">
        <v>0.7</v>
      </c>
      <c r="Q423" s="574">
        <v>83.9</v>
      </c>
      <c r="R423" s="569"/>
      <c r="S423" s="569"/>
      <c r="T423" s="569"/>
      <c r="U423" s="569"/>
      <c r="V423" s="569"/>
      <c r="W423" s="569"/>
      <c r="X423" s="569"/>
      <c r="Y423" s="569"/>
      <c r="Z423" s="569"/>
      <c r="AA423" s="569"/>
      <c r="AB423" s="569"/>
      <c r="AC423" s="569"/>
      <c r="AD423" s="569"/>
      <c r="AE423" s="569"/>
      <c r="AF423" s="569"/>
      <c r="AG423" s="569"/>
      <c r="AH423" s="569"/>
      <c r="AI423" s="569"/>
      <c r="AJ423" s="569"/>
      <c r="AK423" s="569"/>
      <c r="AL423" s="569"/>
      <c r="AM423" s="569"/>
      <c r="AN423" s="574">
        <v>41.9</v>
      </c>
      <c r="AO423">
        <v>422</v>
      </c>
      <c r="AP423" t="str">
        <f t="shared" si="92"/>
        <v/>
      </c>
      <c r="AQ423" t="str">
        <f t="shared" si="82"/>
        <v/>
      </c>
      <c r="AR423" s="430">
        <f>IFERROR(
IF(AP423="",-100,
IF($BV$2&gt;0, INDEX(Beersheet!$A:$U,MATCH(AP423,INDEX(Beersheet!$A:$U,0,FFARawStatProjections!$BV$2),0),$BV$3)+$BN423,
INDEX($A423:$BM423,,$BV$12)*$BW$12+
INDEX($A423:$BM423,,$BV$15)*$BW$15+
INDEX($A423:$BM423,,$BV$16)*$BW$16+
INDEX($A423:$BM423,,$BV$17)*$BW$17+
INDEX($A423:$BM423,,$BV$18)*$BW$18+
INDEX($A423:$BM423,,$BV$19)*$BW$19+
INDEX($A423:$BM423,,$BV$20)*$BW$20+
INDEX($A423:$BM423,,$BV$21)*$BW$21+
INDEX($A423:$BM423,,$BV$22)*$BW$22+
INDEX($A423:$BM423,,$BV$23)*$BW$23+
INDEX($A423:$BM423,,$BV$25)*$BW$25+
INDEX($A423:$BM423,,$BV$26)*$BW$26+
INDEX($A423:$BM423,,$BV$27)*$BW$27+
$BN423)),
$BN423-100)</f>
        <v>-100</v>
      </c>
      <c r="AT423" t="str">
        <f t="shared" si="83"/>
        <v/>
      </c>
      <c r="AU423" t="str">
        <f t="shared" si="84"/>
        <v/>
      </c>
      <c r="AV423" s="430">
        <f>IFERROR(
IF(AT423="",-100,
IF($BV$2&gt;0, INDEX(Beersheet!$A:$U,MATCH(AT423,INDEX(Beersheet!$A:$U,0,FFARawStatProjections!$BV$2),0),$BV$3)+$BN423,
INDEX($A423:$BM423,,$BV$12)*$BW$12+
INDEX($A423:$BM423,,$BV$15)*$BW$15+
INDEX($A423:$BM423,,$BV$16)*$BW$16+
INDEX($A423:$BM423,,$BV$17)*$BW$17+
INDEX($A423:$BM423,,$BV$18)*$BW$18+
INDEX($A423:$BM423,,$BV$19)*$BW$19+
INDEX($A423:$BM423,,$BV$20)*$BW$20+
INDEX($A423:$BM423,,$BV$21)*$BW$21+
INDEX($A423:$BM423,,$BV$22)*$BW$22+
INDEX($A423:$BM423,,$BV$23)*$BW$23+
INDEX($A423:$BM423,,$BV$25)*$BW$25+
INDEX($A423:$BM423,,$BV$26)*$BW$26+
INDEX($A423:$BM423,,$BV$27)*$BW$27+
$BN423)),
$BN423-100)</f>
        <v>-100</v>
      </c>
      <c r="AX423" t="str">
        <f t="shared" si="85"/>
        <v>Laviska Shenault</v>
      </c>
      <c r="AY423" t="str">
        <f t="shared" si="86"/>
        <v>CAR</v>
      </c>
      <c r="AZ423" s="430">
        <f>IFERROR(
IF(AX423="",-100,
IF($BV$2&gt;0, INDEX(Beersheet!$A:$U,MATCH(AX423,INDEX(Beersheet!$A:$U,0,FFARawStatProjections!$BV$2),0),$BV$3)+$BN423,
INDEX($A423:$BM423,,$BV$12)*$BW$12+
INDEX($A423:$BM423,,$BV$15)*$BW$15+
INDEX($A423:$BM423,,$BV$16)*$BW$16+
INDEX($A423:$BM423,,$BV$17)*$BW$17+
INDEX($A423:$BM423,,$BV$18)*$BW$18+
INDEX($A423:$BM423,,$BV$19)*$BW$19+
INDEX($A423:$BM423,,$BV$20)*$BW$20+
INDEX($A423:$BM423,,$BV$21)*$BW$21+
INDEX($A423:$BM423,,$BV$22)*$BW$22+
INDEX($A423:$BM423,,$BV$23)*$BW$23+
INDEX($A423:$BM423,,$BV$25)*$BW$25+
INDEX($A423:$BM423,,$BV$26)*$BW$26+
INDEX($A423:$BM423,,$BV$27)*$BW$27+
$BN423)),
$BN423-100)</f>
        <v>62.404220000000002</v>
      </c>
      <c r="BB423" t="str">
        <f t="shared" si="87"/>
        <v/>
      </c>
      <c r="BC423" t="str">
        <f t="shared" si="81"/>
        <v/>
      </c>
      <c r="BD423" s="430">
        <f>IFERROR(
IF(BB423="",-100,
IF($BV$2&gt;0, INDEX(Beersheet!$A:$U,MATCH(BB423,INDEX(Beersheet!$A:$U,0,FFARawStatProjections!$BV$2),0),$BV$3)+$BN423,
INDEX($A423:$BM423,,$BV$12)*$BW$12+
INDEX($A423:$BM423,,$BV$15)*$BW$15+
INDEX($A423:$BM423,,$BV$16)*$BW$16+
INDEX($A423:$BM423,,$BV$17)*$BW$17+
INDEX($A423:$BM423,,$BV$18)*$BW$18+
INDEX($A423:$BM423,,$BV$19)*$BW$19+
INDEX($A423:$BM423,,$BV$20)*$BW$20+
INDEX($A423:$BM423,,$BV$21)*$BW$21+
INDEX($A423:$BM423,,$BV$22)*$BW$22+
INDEX($A423:$BM423,,$BV$23)*$BW$23+
INDEX($A423:$BM423,,$BV$25)*$BW$25+
INDEX($A423:$BM423,,$BV$26)*$BW$26+
INDEX($A423:$BM423,,$BV$27)*$BW$27+
$BN423)),
$BN423-100)</f>
        <v>-100</v>
      </c>
      <c r="BF423" t="str">
        <f t="shared" si="88"/>
        <v/>
      </c>
      <c r="BG423" t="str">
        <f t="shared" si="89"/>
        <v/>
      </c>
      <c r="BH423">
        <f t="shared" si="90"/>
        <v>0</v>
      </c>
      <c r="BJ423" t="str">
        <f t="shared" si="91"/>
        <v/>
      </c>
      <c r="BL423">
        <f t="shared" si="93"/>
        <v>0</v>
      </c>
      <c r="BN423">
        <v>4.2199999999999998E-3</v>
      </c>
      <c r="BS423" s="4" t="s">
        <v>2226</v>
      </c>
    </row>
    <row r="424" spans="1:71" ht="15.75" thickBot="1" x14ac:dyDescent="0.3">
      <c r="A424" s="569" t="s">
        <v>2545</v>
      </c>
      <c r="B424" s="569" t="s">
        <v>158</v>
      </c>
      <c r="C424" s="569" t="s">
        <v>6</v>
      </c>
      <c r="D424" s="574">
        <v>11</v>
      </c>
      <c r="E424" s="569"/>
      <c r="F424" s="569"/>
      <c r="G424" s="569"/>
      <c r="H424" s="569"/>
      <c r="I424" s="574">
        <v>0</v>
      </c>
      <c r="J424" s="574">
        <v>0</v>
      </c>
      <c r="K424" s="574">
        <v>0</v>
      </c>
      <c r="L424" s="574">
        <v>21</v>
      </c>
      <c r="M424" s="574">
        <v>1.7</v>
      </c>
      <c r="N424" s="574">
        <v>303.7</v>
      </c>
      <c r="O424" s="574">
        <v>0</v>
      </c>
      <c r="P424" s="574">
        <v>0</v>
      </c>
      <c r="Q424" s="574">
        <v>11.1</v>
      </c>
      <c r="R424" s="569"/>
      <c r="S424" s="569"/>
      <c r="T424" s="569"/>
      <c r="U424" s="569"/>
      <c r="V424" s="569"/>
      <c r="W424" s="569"/>
      <c r="X424" s="569"/>
      <c r="Y424" s="569"/>
      <c r="Z424" s="569"/>
      <c r="AA424" s="569"/>
      <c r="AB424" s="569"/>
      <c r="AC424" s="569"/>
      <c r="AD424" s="569"/>
      <c r="AE424" s="569"/>
      <c r="AF424" s="569"/>
      <c r="AG424" s="569"/>
      <c r="AH424" s="569"/>
      <c r="AI424" s="569"/>
      <c r="AJ424" s="569"/>
      <c r="AK424" s="569"/>
      <c r="AL424" s="569"/>
      <c r="AM424" s="569"/>
      <c r="AN424" s="574">
        <v>41.6</v>
      </c>
      <c r="AO424">
        <v>423</v>
      </c>
      <c r="AP424" t="str">
        <f t="shared" si="92"/>
        <v/>
      </c>
      <c r="AQ424" t="str">
        <f t="shared" si="82"/>
        <v/>
      </c>
      <c r="AR424" s="430">
        <f>IFERROR(
IF(AP424="",-100,
IF($BV$2&gt;0, INDEX(Beersheet!$A:$U,MATCH(AP424,INDEX(Beersheet!$A:$U,0,FFARawStatProjections!$BV$2),0),$BV$3)+$BN424,
INDEX($A424:$BM424,,$BV$12)*$BW$12+
INDEX($A424:$BM424,,$BV$15)*$BW$15+
INDEX($A424:$BM424,,$BV$16)*$BW$16+
INDEX($A424:$BM424,,$BV$17)*$BW$17+
INDEX($A424:$BM424,,$BV$18)*$BW$18+
INDEX($A424:$BM424,,$BV$19)*$BW$19+
INDEX($A424:$BM424,,$BV$20)*$BW$20+
INDEX($A424:$BM424,,$BV$21)*$BW$21+
INDEX($A424:$BM424,,$BV$22)*$BW$22+
INDEX($A424:$BM424,,$BV$23)*$BW$23+
INDEX($A424:$BM424,,$BV$25)*$BW$25+
INDEX($A424:$BM424,,$BV$26)*$BW$26+
INDEX($A424:$BM424,,$BV$27)*$BW$27+
$BN424)),
$BN424-100)</f>
        <v>-100</v>
      </c>
      <c r="AT424" t="str">
        <f t="shared" si="83"/>
        <v/>
      </c>
      <c r="AU424" t="str">
        <f t="shared" si="84"/>
        <v/>
      </c>
      <c r="AV424" s="430">
        <f>IFERROR(
IF(AT424="",-100,
IF($BV$2&gt;0, INDEX(Beersheet!$A:$U,MATCH(AT424,INDEX(Beersheet!$A:$U,0,FFARawStatProjections!$BV$2),0),$BV$3)+$BN424,
INDEX($A424:$BM424,,$BV$12)*$BW$12+
INDEX($A424:$BM424,,$BV$15)*$BW$15+
INDEX($A424:$BM424,,$BV$16)*$BW$16+
INDEX($A424:$BM424,,$BV$17)*$BW$17+
INDEX($A424:$BM424,,$BV$18)*$BW$18+
INDEX($A424:$BM424,,$BV$19)*$BW$19+
INDEX($A424:$BM424,,$BV$20)*$BW$20+
INDEX($A424:$BM424,,$BV$21)*$BW$21+
INDEX($A424:$BM424,,$BV$22)*$BW$22+
INDEX($A424:$BM424,,$BV$23)*$BW$23+
INDEX($A424:$BM424,,$BV$25)*$BW$25+
INDEX($A424:$BM424,,$BV$26)*$BW$26+
INDEX($A424:$BM424,,$BV$27)*$BW$27+
$BN424)),
$BN424-100)</f>
        <v>-100</v>
      </c>
      <c r="AX424" t="str">
        <f t="shared" si="85"/>
        <v>Amari Rodgers</v>
      </c>
      <c r="AY424" t="str">
        <f t="shared" si="86"/>
        <v>IND</v>
      </c>
      <c r="AZ424" s="430">
        <f>IFERROR(
IF(AX424="",-100,
IF($BV$2&gt;0, INDEX(Beersheet!$A:$U,MATCH(AX424,INDEX(Beersheet!$A:$U,0,FFARawStatProjections!$BV$2),0),$BV$3)+$BN424,
INDEX($A424:$BM424,,$BV$12)*$BW$12+
INDEX($A424:$BM424,,$BV$15)*$BW$15+
INDEX($A424:$BM424,,$BV$16)*$BW$16+
INDEX($A424:$BM424,,$BV$17)*$BW$17+
INDEX($A424:$BM424,,$BV$18)*$BW$18+
INDEX($A424:$BM424,,$BV$19)*$BW$19+
INDEX($A424:$BM424,,$BV$20)*$BW$20+
INDEX($A424:$BM424,,$BV$21)*$BW$21+
INDEX($A424:$BM424,,$BV$22)*$BW$22+
INDEX($A424:$BM424,,$BV$23)*$BW$23+
INDEX($A424:$BM424,,$BV$25)*$BW$25+
INDEX($A424:$BM424,,$BV$26)*$BW$26+
INDEX($A424:$BM424,,$BV$27)*$BW$27+
$BN424)),
$BN424-100)</f>
        <v>62.684229999999999</v>
      </c>
      <c r="BB424" t="str">
        <f t="shared" si="87"/>
        <v/>
      </c>
      <c r="BC424" t="str">
        <f t="shared" si="81"/>
        <v/>
      </c>
      <c r="BD424" s="430">
        <f>IFERROR(
IF(BB424="",-100,
IF($BV$2&gt;0, INDEX(Beersheet!$A:$U,MATCH(BB424,INDEX(Beersheet!$A:$U,0,FFARawStatProjections!$BV$2),0),$BV$3)+$BN424,
INDEX($A424:$BM424,,$BV$12)*$BW$12+
INDEX($A424:$BM424,,$BV$15)*$BW$15+
INDEX($A424:$BM424,,$BV$16)*$BW$16+
INDEX($A424:$BM424,,$BV$17)*$BW$17+
INDEX($A424:$BM424,,$BV$18)*$BW$18+
INDEX($A424:$BM424,,$BV$19)*$BW$19+
INDEX($A424:$BM424,,$BV$20)*$BW$20+
INDEX($A424:$BM424,,$BV$21)*$BW$21+
INDEX($A424:$BM424,,$BV$22)*$BW$22+
INDEX($A424:$BM424,,$BV$23)*$BW$23+
INDEX($A424:$BM424,,$BV$25)*$BW$25+
INDEX($A424:$BM424,,$BV$26)*$BW$26+
INDEX($A424:$BM424,,$BV$27)*$BW$27+
$BN424)),
$BN424-100)</f>
        <v>-100</v>
      </c>
      <c r="BF424" t="str">
        <f t="shared" si="88"/>
        <v/>
      </c>
      <c r="BG424" t="str">
        <f t="shared" si="89"/>
        <v/>
      </c>
      <c r="BH424">
        <f t="shared" si="90"/>
        <v>0</v>
      </c>
      <c r="BJ424" t="str">
        <f t="shared" si="91"/>
        <v/>
      </c>
      <c r="BL424">
        <f t="shared" si="93"/>
        <v>0</v>
      </c>
      <c r="BN424">
        <v>4.2300000000000003E-3</v>
      </c>
      <c r="BS424" s="4" t="s">
        <v>2451</v>
      </c>
    </row>
    <row r="425" spans="1:71" ht="15.75" thickBot="1" x14ac:dyDescent="0.3">
      <c r="A425" s="569" t="s">
        <v>1439</v>
      </c>
      <c r="B425" s="569" t="s">
        <v>158</v>
      </c>
      <c r="C425" s="569" t="s">
        <v>6</v>
      </c>
      <c r="D425" s="574">
        <v>11</v>
      </c>
      <c r="E425" s="569"/>
      <c r="F425" s="569"/>
      <c r="G425" s="569"/>
      <c r="H425" s="569"/>
      <c r="I425" s="574">
        <v>0</v>
      </c>
      <c r="J425" s="574">
        <v>0</v>
      </c>
      <c r="K425" s="574">
        <v>0</v>
      </c>
      <c r="L425" s="574">
        <v>24.2</v>
      </c>
      <c r="M425" s="574">
        <v>1.3</v>
      </c>
      <c r="N425" s="574">
        <v>281</v>
      </c>
      <c r="O425" s="574">
        <v>8.3000000000000007</v>
      </c>
      <c r="P425" s="574">
        <v>0.3</v>
      </c>
      <c r="Q425" s="574">
        <v>42.3</v>
      </c>
      <c r="R425" s="569"/>
      <c r="S425" s="569"/>
      <c r="T425" s="569"/>
      <c r="U425" s="569"/>
      <c r="V425" s="569"/>
      <c r="W425" s="569"/>
      <c r="X425" s="569"/>
      <c r="Y425" s="569"/>
      <c r="Z425" s="569"/>
      <c r="AA425" s="569"/>
      <c r="AB425" s="569"/>
      <c r="AC425" s="569"/>
      <c r="AD425" s="569"/>
      <c r="AE425" s="569"/>
      <c r="AF425" s="569"/>
      <c r="AG425" s="569"/>
      <c r="AH425" s="569"/>
      <c r="AI425" s="569"/>
      <c r="AJ425" s="569"/>
      <c r="AK425" s="569"/>
      <c r="AL425" s="569"/>
      <c r="AM425" s="569"/>
      <c r="AN425" s="574">
        <v>41.6</v>
      </c>
      <c r="AO425">
        <v>424</v>
      </c>
      <c r="AP425" t="str">
        <f t="shared" si="92"/>
        <v/>
      </c>
      <c r="AQ425" t="str">
        <f t="shared" si="82"/>
        <v/>
      </c>
      <c r="AR425" s="430">
        <f>IFERROR(
IF(AP425="",-100,
IF($BV$2&gt;0, INDEX(Beersheet!$A:$U,MATCH(AP425,INDEX(Beersheet!$A:$U,0,FFARawStatProjections!$BV$2),0),$BV$3)+$BN425,
INDEX($A425:$BM425,,$BV$12)*$BW$12+
INDEX($A425:$BM425,,$BV$15)*$BW$15+
INDEX($A425:$BM425,,$BV$16)*$BW$16+
INDEX($A425:$BM425,,$BV$17)*$BW$17+
INDEX($A425:$BM425,,$BV$18)*$BW$18+
INDEX($A425:$BM425,,$BV$19)*$BW$19+
INDEX($A425:$BM425,,$BV$20)*$BW$20+
INDEX($A425:$BM425,,$BV$21)*$BW$21+
INDEX($A425:$BM425,,$BV$22)*$BW$22+
INDEX($A425:$BM425,,$BV$23)*$BW$23+
INDEX($A425:$BM425,,$BV$25)*$BW$25+
INDEX($A425:$BM425,,$BV$26)*$BW$26+
INDEX($A425:$BM425,,$BV$27)*$BW$27+
$BN425)),
$BN425-100)</f>
        <v>-100</v>
      </c>
      <c r="AT425" t="str">
        <f t="shared" si="83"/>
        <v/>
      </c>
      <c r="AU425" t="str">
        <f t="shared" si="84"/>
        <v/>
      </c>
      <c r="AV425" s="430">
        <f>IFERROR(
IF(AT425="",-100,
IF($BV$2&gt;0, INDEX(Beersheet!$A:$U,MATCH(AT425,INDEX(Beersheet!$A:$U,0,FFARawStatProjections!$BV$2),0),$BV$3)+$BN425,
INDEX($A425:$BM425,,$BV$12)*$BW$12+
INDEX($A425:$BM425,,$BV$15)*$BW$15+
INDEX($A425:$BM425,,$BV$16)*$BW$16+
INDEX($A425:$BM425,,$BV$17)*$BW$17+
INDEX($A425:$BM425,,$BV$18)*$BW$18+
INDEX($A425:$BM425,,$BV$19)*$BW$19+
INDEX($A425:$BM425,,$BV$20)*$BW$20+
INDEX($A425:$BM425,,$BV$21)*$BW$21+
INDEX($A425:$BM425,,$BV$22)*$BW$22+
INDEX($A425:$BM425,,$BV$23)*$BW$23+
INDEX($A425:$BM425,,$BV$25)*$BW$25+
INDEX($A425:$BM425,,$BV$26)*$BW$26+
INDEX($A425:$BM425,,$BV$27)*$BW$27+
$BN425)),
$BN425-100)</f>
        <v>-100</v>
      </c>
      <c r="AX425" t="str">
        <f t="shared" si="85"/>
        <v>Isaiah McKenzie</v>
      </c>
      <c r="AY425" t="str">
        <f t="shared" si="86"/>
        <v>IND</v>
      </c>
      <c r="AZ425" s="430">
        <f>IFERROR(
IF(AX425="",-100,
IF($BV$2&gt;0, INDEX(Beersheet!$A:$U,MATCH(AX425,INDEX(Beersheet!$A:$U,0,FFARawStatProjections!$BV$2),0),$BV$3)+$BN425,
INDEX($A425:$BM425,,$BV$12)*$BW$12+
INDEX($A425:$BM425,,$BV$15)*$BW$15+
INDEX($A425:$BM425,,$BV$16)*$BW$16+
INDEX($A425:$BM425,,$BV$17)*$BW$17+
INDEX($A425:$BM425,,$BV$18)*$BW$18+
INDEX($A425:$BM425,,$BV$19)*$BW$19+
INDEX($A425:$BM425,,$BV$20)*$BW$20+
INDEX($A425:$BM425,,$BV$21)*$BW$21+
INDEX($A425:$BM425,,$BV$22)*$BW$22+
INDEX($A425:$BM425,,$BV$23)*$BW$23+
INDEX($A425:$BM425,,$BV$25)*$BW$25+
INDEX($A425:$BM425,,$BV$26)*$BW$26+
INDEX($A425:$BM425,,$BV$27)*$BW$27+
$BN425)),
$BN425-100)</f>
        <v>66.134239999999991</v>
      </c>
      <c r="BB425" t="str">
        <f t="shared" si="87"/>
        <v/>
      </c>
      <c r="BC425" t="str">
        <f t="shared" si="81"/>
        <v/>
      </c>
      <c r="BD425" s="430">
        <f>IFERROR(
IF(BB425="",-100,
IF($BV$2&gt;0, INDEX(Beersheet!$A:$U,MATCH(BB425,INDEX(Beersheet!$A:$U,0,FFARawStatProjections!$BV$2),0),$BV$3)+$BN425,
INDEX($A425:$BM425,,$BV$12)*$BW$12+
INDEX($A425:$BM425,,$BV$15)*$BW$15+
INDEX($A425:$BM425,,$BV$16)*$BW$16+
INDEX($A425:$BM425,,$BV$17)*$BW$17+
INDEX($A425:$BM425,,$BV$18)*$BW$18+
INDEX($A425:$BM425,,$BV$19)*$BW$19+
INDEX($A425:$BM425,,$BV$20)*$BW$20+
INDEX($A425:$BM425,,$BV$21)*$BW$21+
INDEX($A425:$BM425,,$BV$22)*$BW$22+
INDEX($A425:$BM425,,$BV$23)*$BW$23+
INDEX($A425:$BM425,,$BV$25)*$BW$25+
INDEX($A425:$BM425,,$BV$26)*$BW$26+
INDEX($A425:$BM425,,$BV$27)*$BW$27+
$BN425)),
$BN425-100)</f>
        <v>-100</v>
      </c>
      <c r="BF425" t="str">
        <f t="shared" si="88"/>
        <v/>
      </c>
      <c r="BG425" t="str">
        <f t="shared" si="89"/>
        <v/>
      </c>
      <c r="BH425">
        <f t="shared" si="90"/>
        <v>0</v>
      </c>
      <c r="BJ425" t="str">
        <f t="shared" si="91"/>
        <v/>
      </c>
      <c r="BL425">
        <f t="shared" si="93"/>
        <v>0</v>
      </c>
      <c r="BN425">
        <v>4.2399999999999998E-3</v>
      </c>
      <c r="BS425" s="4" t="s">
        <v>2548</v>
      </c>
    </row>
    <row r="426" spans="1:71" ht="15.75" thickBot="1" x14ac:dyDescent="0.3">
      <c r="A426" s="569" t="s">
        <v>2453</v>
      </c>
      <c r="B426" s="569" t="s">
        <v>157</v>
      </c>
      <c r="C426" s="569" t="s">
        <v>6</v>
      </c>
      <c r="D426" s="574">
        <v>11</v>
      </c>
      <c r="E426" s="569"/>
      <c r="F426" s="569"/>
      <c r="G426" s="569"/>
      <c r="H426" s="569"/>
      <c r="I426" s="574">
        <v>0</v>
      </c>
      <c r="J426" s="574">
        <v>0</v>
      </c>
      <c r="K426" s="574">
        <v>0</v>
      </c>
      <c r="L426" s="574">
        <v>0</v>
      </c>
      <c r="M426" s="574">
        <v>0.3</v>
      </c>
      <c r="N426" s="574">
        <v>388.5</v>
      </c>
      <c r="O426" s="574">
        <v>1.6</v>
      </c>
      <c r="P426" s="574">
        <v>0.1</v>
      </c>
      <c r="Q426" s="574">
        <v>9.8000000000000007</v>
      </c>
      <c r="R426" s="569"/>
      <c r="S426" s="569"/>
      <c r="T426" s="569"/>
      <c r="U426" s="569"/>
      <c r="V426" s="569"/>
      <c r="W426" s="569"/>
      <c r="X426" s="569"/>
      <c r="Y426" s="569"/>
      <c r="Z426" s="569"/>
      <c r="AA426" s="569"/>
      <c r="AB426" s="569"/>
      <c r="AC426" s="569"/>
      <c r="AD426" s="569"/>
      <c r="AE426" s="569"/>
      <c r="AF426" s="569"/>
      <c r="AG426" s="569"/>
      <c r="AH426" s="569"/>
      <c r="AI426" s="569"/>
      <c r="AJ426" s="569"/>
      <c r="AK426" s="569"/>
      <c r="AL426" s="569"/>
      <c r="AM426" s="569"/>
      <c r="AN426" s="574">
        <v>41.6</v>
      </c>
      <c r="AO426">
        <v>425</v>
      </c>
      <c r="AP426" t="str">
        <f t="shared" si="92"/>
        <v/>
      </c>
      <c r="AQ426" t="str">
        <f t="shared" si="82"/>
        <v/>
      </c>
      <c r="AR426" s="430">
        <f>IFERROR(
IF(AP426="",-100,
IF($BV$2&gt;0, INDEX(Beersheet!$A:$U,MATCH(AP426,INDEX(Beersheet!$A:$U,0,FFARawStatProjections!$BV$2),0),$BV$3)+$BN426,
INDEX($A426:$BM426,,$BV$12)*$BW$12+
INDEX($A426:$BM426,,$BV$15)*$BW$15+
INDEX($A426:$BM426,,$BV$16)*$BW$16+
INDEX($A426:$BM426,,$BV$17)*$BW$17+
INDEX($A426:$BM426,,$BV$18)*$BW$18+
INDEX($A426:$BM426,,$BV$19)*$BW$19+
INDEX($A426:$BM426,,$BV$20)*$BW$20+
INDEX($A426:$BM426,,$BV$21)*$BW$21+
INDEX($A426:$BM426,,$BV$22)*$BW$22+
INDEX($A426:$BM426,,$BV$23)*$BW$23+
INDEX($A426:$BM426,,$BV$25)*$BW$25+
INDEX($A426:$BM426,,$BV$26)*$BW$26+
INDEX($A426:$BM426,,$BV$27)*$BW$27+
$BN426)),
$BN426-100)</f>
        <v>-100</v>
      </c>
      <c r="AT426" t="str">
        <f t="shared" si="83"/>
        <v/>
      </c>
      <c r="AU426" t="str">
        <f t="shared" si="84"/>
        <v/>
      </c>
      <c r="AV426" s="430">
        <f>IFERROR(
IF(AT426="",-100,
IF($BV$2&gt;0, INDEX(Beersheet!$A:$U,MATCH(AT426,INDEX(Beersheet!$A:$U,0,FFARawStatProjections!$BV$2),0),$BV$3)+$BN426,
INDEX($A426:$BM426,,$BV$12)*$BW$12+
INDEX($A426:$BM426,,$BV$15)*$BW$15+
INDEX($A426:$BM426,,$BV$16)*$BW$16+
INDEX($A426:$BM426,,$BV$17)*$BW$17+
INDEX($A426:$BM426,,$BV$18)*$BW$18+
INDEX($A426:$BM426,,$BV$19)*$BW$19+
INDEX($A426:$BM426,,$BV$20)*$BW$20+
INDEX($A426:$BM426,,$BV$21)*$BW$21+
INDEX($A426:$BM426,,$BV$22)*$BW$22+
INDEX($A426:$BM426,,$BV$23)*$BW$23+
INDEX($A426:$BM426,,$BV$25)*$BW$25+
INDEX($A426:$BM426,,$BV$26)*$BW$26+
INDEX($A426:$BM426,,$BV$27)*$BW$27+
$BN426)),
$BN426-100)</f>
        <v>-100</v>
      </c>
      <c r="AX426" t="str">
        <f t="shared" si="85"/>
        <v>Kayshon Boutte</v>
      </c>
      <c r="AY426" t="str">
        <f t="shared" si="86"/>
        <v>NE</v>
      </c>
      <c r="AZ426" s="430">
        <f>IFERROR(
IF(AX426="",-100,
IF($BV$2&gt;0, INDEX(Beersheet!$A:$U,MATCH(AX426,INDEX(Beersheet!$A:$U,0,FFARawStatProjections!$BV$2),0),$BV$3)+$BN426,
INDEX($A426:$BM426,,$BV$12)*$BW$12+
INDEX($A426:$BM426,,$BV$15)*$BW$15+
INDEX($A426:$BM426,,$BV$16)*$BW$16+
INDEX($A426:$BM426,,$BV$17)*$BW$17+
INDEX($A426:$BM426,,$BV$18)*$BW$18+
INDEX($A426:$BM426,,$BV$19)*$BW$19+
INDEX($A426:$BM426,,$BV$20)*$BW$20+
INDEX($A426:$BM426,,$BV$21)*$BW$21+
INDEX($A426:$BM426,,$BV$22)*$BW$22+
INDEX($A426:$BM426,,$BV$23)*$BW$23+
INDEX($A426:$BM426,,$BV$25)*$BW$25+
INDEX($A426:$BM426,,$BV$26)*$BW$26+
INDEX($A426:$BM426,,$BV$27)*$BW$27+
$BN426)),
$BN426-100)</f>
        <v>42.234249999999996</v>
      </c>
      <c r="BB426" t="str">
        <f t="shared" si="87"/>
        <v/>
      </c>
      <c r="BC426" t="str">
        <f t="shared" si="81"/>
        <v/>
      </c>
      <c r="BD426" s="430">
        <f>IFERROR(
IF(BB426="",-100,
IF($BV$2&gt;0, INDEX(Beersheet!$A:$U,MATCH(BB426,INDEX(Beersheet!$A:$U,0,FFARawStatProjections!$BV$2),0),$BV$3)+$BN426,
INDEX($A426:$BM426,,$BV$12)*$BW$12+
INDEX($A426:$BM426,,$BV$15)*$BW$15+
INDEX($A426:$BM426,,$BV$16)*$BW$16+
INDEX($A426:$BM426,,$BV$17)*$BW$17+
INDEX($A426:$BM426,,$BV$18)*$BW$18+
INDEX($A426:$BM426,,$BV$19)*$BW$19+
INDEX($A426:$BM426,,$BV$20)*$BW$20+
INDEX($A426:$BM426,,$BV$21)*$BW$21+
INDEX($A426:$BM426,,$BV$22)*$BW$22+
INDEX($A426:$BM426,,$BV$23)*$BW$23+
INDEX($A426:$BM426,,$BV$25)*$BW$25+
INDEX($A426:$BM426,,$BV$26)*$BW$26+
INDEX($A426:$BM426,,$BV$27)*$BW$27+
$BN426)),
$BN426-100)</f>
        <v>-100</v>
      </c>
      <c r="BF426" t="str">
        <f t="shared" si="88"/>
        <v/>
      </c>
      <c r="BG426" t="str">
        <f t="shared" si="89"/>
        <v/>
      </c>
      <c r="BH426">
        <f t="shared" si="90"/>
        <v>0</v>
      </c>
      <c r="BJ426" t="str">
        <f t="shared" si="91"/>
        <v/>
      </c>
      <c r="BL426">
        <f t="shared" si="93"/>
        <v>0</v>
      </c>
      <c r="BN426">
        <v>4.2500000000000003E-3</v>
      </c>
      <c r="BS426" s="4" t="s">
        <v>1800</v>
      </c>
    </row>
    <row r="427" spans="1:71" ht="15.75" thickBot="1" x14ac:dyDescent="0.3">
      <c r="A427" s="569" t="s">
        <v>2399</v>
      </c>
      <c r="B427" s="569" t="s">
        <v>149</v>
      </c>
      <c r="C427" s="569" t="s">
        <v>6</v>
      </c>
      <c r="D427" s="574">
        <v>5</v>
      </c>
      <c r="E427" s="569"/>
      <c r="F427" s="569"/>
      <c r="G427" s="569"/>
      <c r="H427" s="569"/>
      <c r="I427" s="574">
        <v>0</v>
      </c>
      <c r="J427" s="574">
        <v>0</v>
      </c>
      <c r="K427" s="574">
        <v>0</v>
      </c>
      <c r="L427" s="574">
        <v>31.1</v>
      </c>
      <c r="M427" s="574">
        <v>1.5</v>
      </c>
      <c r="N427" s="574">
        <v>321.8</v>
      </c>
      <c r="O427" s="574">
        <v>0.3</v>
      </c>
      <c r="P427" s="574">
        <v>0</v>
      </c>
      <c r="Q427" s="574">
        <v>4.4000000000000004</v>
      </c>
      <c r="R427" s="569"/>
      <c r="S427" s="569"/>
      <c r="T427" s="569"/>
      <c r="U427" s="569"/>
      <c r="V427" s="569"/>
      <c r="W427" s="569"/>
      <c r="X427" s="569"/>
      <c r="Y427" s="569"/>
      <c r="Z427" s="569"/>
      <c r="AA427" s="569"/>
      <c r="AB427" s="569"/>
      <c r="AC427" s="569"/>
      <c r="AD427" s="569"/>
      <c r="AE427" s="569"/>
      <c r="AF427" s="569"/>
      <c r="AG427" s="569"/>
      <c r="AH427" s="569"/>
      <c r="AI427" s="569"/>
      <c r="AJ427" s="569"/>
      <c r="AK427" s="569"/>
      <c r="AL427" s="569"/>
      <c r="AM427" s="569"/>
      <c r="AN427" s="574">
        <v>41.6</v>
      </c>
      <c r="AO427">
        <v>426</v>
      </c>
      <c r="AP427" t="str">
        <f t="shared" si="92"/>
        <v/>
      </c>
      <c r="AQ427" t="str">
        <f t="shared" si="82"/>
        <v/>
      </c>
      <c r="AR427" s="430">
        <f>IFERROR(
IF(AP427="",-100,
IF($BV$2&gt;0, INDEX(Beersheet!$A:$U,MATCH(AP427,INDEX(Beersheet!$A:$U,0,FFARawStatProjections!$BV$2),0),$BV$3)+$BN427,
INDEX($A427:$BM427,,$BV$12)*$BW$12+
INDEX($A427:$BM427,,$BV$15)*$BW$15+
INDEX($A427:$BM427,,$BV$16)*$BW$16+
INDEX($A427:$BM427,,$BV$17)*$BW$17+
INDEX($A427:$BM427,,$BV$18)*$BW$18+
INDEX($A427:$BM427,,$BV$19)*$BW$19+
INDEX($A427:$BM427,,$BV$20)*$BW$20+
INDEX($A427:$BM427,,$BV$21)*$BW$21+
INDEX($A427:$BM427,,$BV$22)*$BW$22+
INDEX($A427:$BM427,,$BV$23)*$BW$23+
INDEX($A427:$BM427,,$BV$25)*$BW$25+
INDEX($A427:$BM427,,$BV$26)*$BW$26+
INDEX($A427:$BM427,,$BV$27)*$BW$27+
$BN427)),
$BN427-100)</f>
        <v>-100</v>
      </c>
      <c r="AT427" t="str">
        <f t="shared" si="83"/>
        <v/>
      </c>
      <c r="AU427" t="str">
        <f t="shared" si="84"/>
        <v/>
      </c>
      <c r="AV427" s="430">
        <f>IFERROR(
IF(AT427="",-100,
IF($BV$2&gt;0, INDEX(Beersheet!$A:$U,MATCH(AT427,INDEX(Beersheet!$A:$U,0,FFARawStatProjections!$BV$2),0),$BV$3)+$BN427,
INDEX($A427:$BM427,,$BV$12)*$BW$12+
INDEX($A427:$BM427,,$BV$15)*$BW$15+
INDEX($A427:$BM427,,$BV$16)*$BW$16+
INDEX($A427:$BM427,,$BV$17)*$BW$17+
INDEX($A427:$BM427,,$BV$18)*$BW$18+
INDEX($A427:$BM427,,$BV$19)*$BW$19+
INDEX($A427:$BM427,,$BV$20)*$BW$20+
INDEX($A427:$BM427,,$BV$21)*$BW$21+
INDEX($A427:$BM427,,$BV$22)*$BW$22+
INDEX($A427:$BM427,,$BV$23)*$BW$23+
INDEX($A427:$BM427,,$BV$25)*$BW$25+
INDEX($A427:$BM427,,$BV$26)*$BW$26+
INDEX($A427:$BM427,,$BV$27)*$BW$27+
$BN427)),
$BN427-100)</f>
        <v>-100</v>
      </c>
      <c r="AX427" t="str">
        <f t="shared" si="85"/>
        <v>Trey Palmer</v>
      </c>
      <c r="AY427" t="str">
        <f t="shared" si="86"/>
        <v>TB</v>
      </c>
      <c r="AZ427" s="430">
        <f>IFERROR(
IF(AX427="",-100,
IF($BV$2&gt;0, INDEX(Beersheet!$A:$U,MATCH(AX427,INDEX(Beersheet!$A:$U,0,FFARawStatProjections!$BV$2),0),$BV$3)+$BN427,
INDEX($A427:$BM427,,$BV$12)*$BW$12+
INDEX($A427:$BM427,,$BV$15)*$BW$15+
INDEX($A427:$BM427,,$BV$16)*$BW$16+
INDEX($A427:$BM427,,$BV$17)*$BW$17+
INDEX($A427:$BM427,,$BV$18)*$BW$18+
INDEX($A427:$BM427,,$BV$19)*$BW$19+
INDEX($A427:$BM427,,$BV$20)*$BW$20+
INDEX($A427:$BM427,,$BV$21)*$BW$21+
INDEX($A427:$BM427,,$BV$22)*$BW$22+
INDEX($A427:$BM427,,$BV$23)*$BW$23+
INDEX($A427:$BM427,,$BV$25)*$BW$25+
INDEX($A427:$BM427,,$BV$26)*$BW$26+
INDEX($A427:$BM427,,$BV$27)*$BW$27+
$BN427)),
$BN427-100)</f>
        <v>72.724260000000001</v>
      </c>
      <c r="BB427" t="str">
        <f t="shared" si="87"/>
        <v/>
      </c>
      <c r="BC427" t="str">
        <f t="shared" si="81"/>
        <v/>
      </c>
      <c r="BD427" s="430">
        <f>IFERROR(
IF(BB427="",-100,
IF($BV$2&gt;0, INDEX(Beersheet!$A:$U,MATCH(BB427,INDEX(Beersheet!$A:$U,0,FFARawStatProjections!$BV$2),0),$BV$3)+$BN427,
INDEX($A427:$BM427,,$BV$12)*$BW$12+
INDEX($A427:$BM427,,$BV$15)*$BW$15+
INDEX($A427:$BM427,,$BV$16)*$BW$16+
INDEX($A427:$BM427,,$BV$17)*$BW$17+
INDEX($A427:$BM427,,$BV$18)*$BW$18+
INDEX($A427:$BM427,,$BV$19)*$BW$19+
INDEX($A427:$BM427,,$BV$20)*$BW$20+
INDEX($A427:$BM427,,$BV$21)*$BW$21+
INDEX($A427:$BM427,,$BV$22)*$BW$22+
INDEX($A427:$BM427,,$BV$23)*$BW$23+
INDEX($A427:$BM427,,$BV$25)*$BW$25+
INDEX($A427:$BM427,,$BV$26)*$BW$26+
INDEX($A427:$BM427,,$BV$27)*$BW$27+
$BN427)),
$BN427-100)</f>
        <v>-100</v>
      </c>
      <c r="BF427" t="str">
        <f t="shared" si="88"/>
        <v/>
      </c>
      <c r="BG427" t="str">
        <f t="shared" si="89"/>
        <v/>
      </c>
      <c r="BH427">
        <f t="shared" si="90"/>
        <v>0</v>
      </c>
      <c r="BJ427" t="str">
        <f t="shared" si="91"/>
        <v/>
      </c>
      <c r="BL427">
        <f t="shared" si="93"/>
        <v>0</v>
      </c>
      <c r="BN427">
        <v>4.2599999999999999E-3</v>
      </c>
      <c r="BS427" s="4" t="s">
        <v>2185</v>
      </c>
    </row>
    <row r="428" spans="1:71" ht="15.75" thickBot="1" x14ac:dyDescent="0.3">
      <c r="A428" s="569" t="s">
        <v>2126</v>
      </c>
      <c r="B428" s="569" t="s">
        <v>166</v>
      </c>
      <c r="C428" s="569" t="s">
        <v>6</v>
      </c>
      <c r="D428" s="574">
        <v>10</v>
      </c>
      <c r="E428" s="569"/>
      <c r="F428" s="569"/>
      <c r="G428" s="569"/>
      <c r="H428" s="569"/>
      <c r="I428" s="574">
        <v>0</v>
      </c>
      <c r="J428" s="574">
        <v>0</v>
      </c>
      <c r="K428" s="574">
        <v>0</v>
      </c>
      <c r="L428" s="574">
        <v>24.6</v>
      </c>
      <c r="M428" s="574">
        <v>1.4</v>
      </c>
      <c r="N428" s="574">
        <v>290.8</v>
      </c>
      <c r="O428" s="574">
        <v>1.7</v>
      </c>
      <c r="P428" s="574">
        <v>0.3</v>
      </c>
      <c r="Q428" s="574">
        <v>20.3</v>
      </c>
      <c r="R428" s="569"/>
      <c r="S428" s="569"/>
      <c r="T428" s="569"/>
      <c r="U428" s="569"/>
      <c r="V428" s="569"/>
      <c r="W428" s="569"/>
      <c r="X428" s="569"/>
      <c r="Y428" s="569"/>
      <c r="Z428" s="569"/>
      <c r="AA428" s="569"/>
      <c r="AB428" s="569"/>
      <c r="AC428" s="569"/>
      <c r="AD428" s="569"/>
      <c r="AE428" s="569"/>
      <c r="AF428" s="569"/>
      <c r="AG428" s="569"/>
      <c r="AH428" s="569"/>
      <c r="AI428" s="569"/>
      <c r="AJ428" s="569"/>
      <c r="AK428" s="569"/>
      <c r="AL428" s="569"/>
      <c r="AM428" s="569"/>
      <c r="AN428" s="574">
        <v>41</v>
      </c>
      <c r="AO428">
        <v>427</v>
      </c>
      <c r="AP428" t="str">
        <f t="shared" si="92"/>
        <v/>
      </c>
      <c r="AQ428" t="str">
        <f t="shared" si="82"/>
        <v/>
      </c>
      <c r="AR428" s="430">
        <f>IFERROR(
IF(AP428="",-100,
IF($BV$2&gt;0, INDEX(Beersheet!$A:$U,MATCH(AP428,INDEX(Beersheet!$A:$U,0,FFARawStatProjections!$BV$2),0),$BV$3)+$BN428,
INDEX($A428:$BM428,,$BV$12)*$BW$12+
INDEX($A428:$BM428,,$BV$15)*$BW$15+
INDEX($A428:$BM428,,$BV$16)*$BW$16+
INDEX($A428:$BM428,,$BV$17)*$BW$17+
INDEX($A428:$BM428,,$BV$18)*$BW$18+
INDEX($A428:$BM428,,$BV$19)*$BW$19+
INDEX($A428:$BM428,,$BV$20)*$BW$20+
INDEX($A428:$BM428,,$BV$21)*$BW$21+
INDEX($A428:$BM428,,$BV$22)*$BW$22+
INDEX($A428:$BM428,,$BV$23)*$BW$23+
INDEX($A428:$BM428,,$BV$25)*$BW$25+
INDEX($A428:$BM428,,$BV$26)*$BW$26+
INDEX($A428:$BM428,,$BV$27)*$BW$27+
$BN428)),
$BN428-100)</f>
        <v>-100</v>
      </c>
      <c r="AT428" t="str">
        <f t="shared" si="83"/>
        <v/>
      </c>
      <c r="AU428" t="str">
        <f t="shared" si="84"/>
        <v/>
      </c>
      <c r="AV428" s="430">
        <f>IFERROR(
IF(AT428="",-100,
IF($BV$2&gt;0, INDEX(Beersheet!$A:$U,MATCH(AT428,INDEX(Beersheet!$A:$U,0,FFARawStatProjections!$BV$2),0),$BV$3)+$BN428,
INDEX($A428:$BM428,,$BV$12)*$BW$12+
INDEX($A428:$BM428,,$BV$15)*$BW$15+
INDEX($A428:$BM428,,$BV$16)*$BW$16+
INDEX($A428:$BM428,,$BV$17)*$BW$17+
INDEX($A428:$BM428,,$BV$18)*$BW$18+
INDEX($A428:$BM428,,$BV$19)*$BW$19+
INDEX($A428:$BM428,,$BV$20)*$BW$20+
INDEX($A428:$BM428,,$BV$21)*$BW$21+
INDEX($A428:$BM428,,$BV$22)*$BW$22+
INDEX($A428:$BM428,,$BV$23)*$BW$23+
INDEX($A428:$BM428,,$BV$25)*$BW$25+
INDEX($A428:$BM428,,$BV$26)*$BW$26+
INDEX($A428:$BM428,,$BV$27)*$BW$27+
$BN428)),
$BN428-100)</f>
        <v>-100</v>
      </c>
      <c r="AX428" t="str">
        <f t="shared" si="85"/>
        <v>Braxton Berrios</v>
      </c>
      <c r="AY428" t="str">
        <f t="shared" si="86"/>
        <v>MIA</v>
      </c>
      <c r="AZ428" s="430">
        <f>IFERROR(
IF(AX428="",-100,
IF($BV$2&gt;0, INDEX(Beersheet!$A:$U,MATCH(AX428,INDEX(Beersheet!$A:$U,0,FFARawStatProjections!$BV$2),0),$BV$3)+$BN428,
INDEX($A428:$BM428,,$BV$12)*$BW$12+
INDEX($A428:$BM428,,$BV$15)*$BW$15+
INDEX($A428:$BM428,,$BV$16)*$BW$16+
INDEX($A428:$BM428,,$BV$17)*$BW$17+
INDEX($A428:$BM428,,$BV$18)*$BW$18+
INDEX($A428:$BM428,,$BV$19)*$BW$19+
INDEX($A428:$BM428,,$BV$20)*$BW$20+
INDEX($A428:$BM428,,$BV$21)*$BW$21+
INDEX($A428:$BM428,,$BV$22)*$BW$22+
INDEX($A428:$BM428,,$BV$23)*$BW$23+
INDEX($A428:$BM428,,$BV$25)*$BW$25+
INDEX($A428:$BM428,,$BV$26)*$BW$26+
INDEX($A428:$BM428,,$BV$27)*$BW$27+
$BN428)),
$BN428-100)</f>
        <v>65.914270000000002</v>
      </c>
      <c r="BB428" t="str">
        <f t="shared" si="87"/>
        <v/>
      </c>
      <c r="BC428" t="str">
        <f t="shared" si="81"/>
        <v/>
      </c>
      <c r="BD428" s="430">
        <f>IFERROR(
IF(BB428="",-100,
IF($BV$2&gt;0, INDEX(Beersheet!$A:$U,MATCH(BB428,INDEX(Beersheet!$A:$U,0,FFARawStatProjections!$BV$2),0),$BV$3)+$BN428,
INDEX($A428:$BM428,,$BV$12)*$BW$12+
INDEX($A428:$BM428,,$BV$15)*$BW$15+
INDEX($A428:$BM428,,$BV$16)*$BW$16+
INDEX($A428:$BM428,,$BV$17)*$BW$17+
INDEX($A428:$BM428,,$BV$18)*$BW$18+
INDEX($A428:$BM428,,$BV$19)*$BW$19+
INDEX($A428:$BM428,,$BV$20)*$BW$20+
INDEX($A428:$BM428,,$BV$21)*$BW$21+
INDEX($A428:$BM428,,$BV$22)*$BW$22+
INDEX($A428:$BM428,,$BV$23)*$BW$23+
INDEX($A428:$BM428,,$BV$25)*$BW$25+
INDEX($A428:$BM428,,$BV$26)*$BW$26+
INDEX($A428:$BM428,,$BV$27)*$BW$27+
$BN428)),
$BN428-100)</f>
        <v>-100</v>
      </c>
      <c r="BF428" t="str">
        <f t="shared" si="88"/>
        <v/>
      </c>
      <c r="BG428" t="str">
        <f t="shared" si="89"/>
        <v/>
      </c>
      <c r="BH428">
        <f t="shared" si="90"/>
        <v>0</v>
      </c>
      <c r="BJ428" t="str">
        <f t="shared" si="91"/>
        <v/>
      </c>
      <c r="BL428">
        <f t="shared" si="93"/>
        <v>0</v>
      </c>
      <c r="BN428">
        <v>4.2700000000000004E-3</v>
      </c>
      <c r="BS428" s="4" t="s">
        <v>2178</v>
      </c>
    </row>
    <row r="429" spans="1:71" ht="15.75" thickBot="1" x14ac:dyDescent="0.3">
      <c r="A429" s="569" t="s">
        <v>2219</v>
      </c>
      <c r="B429" s="569" t="s">
        <v>137</v>
      </c>
      <c r="C429" s="569" t="s">
        <v>6</v>
      </c>
      <c r="D429" s="574">
        <v>10</v>
      </c>
      <c r="E429" s="569"/>
      <c r="F429" s="569"/>
      <c r="G429" s="569"/>
      <c r="H429" s="569"/>
      <c r="I429" s="574">
        <v>0</v>
      </c>
      <c r="J429" s="574">
        <v>0</v>
      </c>
      <c r="K429" s="574">
        <v>0</v>
      </c>
      <c r="L429" s="574">
        <v>20.6</v>
      </c>
      <c r="M429" s="574">
        <v>1.4</v>
      </c>
      <c r="N429" s="574">
        <v>304.2</v>
      </c>
      <c r="O429" s="574">
        <v>0.5</v>
      </c>
      <c r="P429" s="574">
        <v>0</v>
      </c>
      <c r="Q429" s="574">
        <v>0.9</v>
      </c>
      <c r="R429" s="569"/>
      <c r="S429" s="569"/>
      <c r="T429" s="569"/>
      <c r="U429" s="569"/>
      <c r="V429" s="569"/>
      <c r="W429" s="569"/>
      <c r="X429" s="569"/>
      <c r="Y429" s="569"/>
      <c r="Z429" s="569"/>
      <c r="AA429" s="569"/>
      <c r="AB429" s="569"/>
      <c r="AC429" s="569"/>
      <c r="AD429" s="569"/>
      <c r="AE429" s="569"/>
      <c r="AF429" s="569"/>
      <c r="AG429" s="569"/>
      <c r="AH429" s="569"/>
      <c r="AI429" s="569"/>
      <c r="AJ429" s="569"/>
      <c r="AK429" s="569"/>
      <c r="AL429" s="569"/>
      <c r="AM429" s="569"/>
      <c r="AN429" s="574">
        <v>38.799999999999997</v>
      </c>
      <c r="AO429">
        <v>428</v>
      </c>
      <c r="AP429" t="str">
        <f t="shared" si="92"/>
        <v/>
      </c>
      <c r="AQ429" t="str">
        <f t="shared" si="82"/>
        <v/>
      </c>
      <c r="AR429" s="430">
        <f>IFERROR(
IF(AP429="",-100,
IF($BV$2&gt;0, INDEX(Beersheet!$A:$U,MATCH(AP429,INDEX(Beersheet!$A:$U,0,FFARawStatProjections!$BV$2),0),$BV$3)+$BN429,
INDEX($A429:$BM429,,$BV$12)*$BW$12+
INDEX($A429:$BM429,,$BV$15)*$BW$15+
INDEX($A429:$BM429,,$BV$16)*$BW$16+
INDEX($A429:$BM429,,$BV$17)*$BW$17+
INDEX($A429:$BM429,,$BV$18)*$BW$18+
INDEX($A429:$BM429,,$BV$19)*$BW$19+
INDEX($A429:$BM429,,$BV$20)*$BW$20+
INDEX($A429:$BM429,,$BV$21)*$BW$21+
INDEX($A429:$BM429,,$BV$22)*$BW$22+
INDEX($A429:$BM429,,$BV$23)*$BW$23+
INDEX($A429:$BM429,,$BV$25)*$BW$25+
INDEX($A429:$BM429,,$BV$26)*$BW$26+
INDEX($A429:$BM429,,$BV$27)*$BW$27+
$BN429)),
$BN429-100)</f>
        <v>-100</v>
      </c>
      <c r="AT429" t="str">
        <f t="shared" si="83"/>
        <v/>
      </c>
      <c r="AU429" t="str">
        <f t="shared" si="84"/>
        <v/>
      </c>
      <c r="AV429" s="430">
        <f>IFERROR(
IF(AT429="",-100,
IF($BV$2&gt;0, INDEX(Beersheet!$A:$U,MATCH(AT429,INDEX(Beersheet!$A:$U,0,FFARawStatProjections!$BV$2),0),$BV$3)+$BN429,
INDEX($A429:$BM429,,$BV$12)*$BW$12+
INDEX($A429:$BM429,,$BV$15)*$BW$15+
INDEX($A429:$BM429,,$BV$16)*$BW$16+
INDEX($A429:$BM429,,$BV$17)*$BW$17+
INDEX($A429:$BM429,,$BV$18)*$BW$18+
INDEX($A429:$BM429,,$BV$19)*$BW$19+
INDEX($A429:$BM429,,$BV$20)*$BW$20+
INDEX($A429:$BM429,,$BV$21)*$BW$21+
INDEX($A429:$BM429,,$BV$22)*$BW$22+
INDEX($A429:$BM429,,$BV$23)*$BW$23+
INDEX($A429:$BM429,,$BV$25)*$BW$25+
INDEX($A429:$BM429,,$BV$26)*$BW$26+
INDEX($A429:$BM429,,$BV$27)*$BW$27+
$BN429)),
$BN429-100)</f>
        <v>-100</v>
      </c>
      <c r="AX429" t="str">
        <f t="shared" si="85"/>
        <v>Quez Watkins</v>
      </c>
      <c r="AY429" t="str">
        <f t="shared" si="86"/>
        <v>PHI</v>
      </c>
      <c r="AZ429" s="430">
        <f>IFERROR(
IF(AX429="",-100,
IF($BV$2&gt;0, INDEX(Beersheet!$A:$U,MATCH(AX429,INDEX(Beersheet!$A:$U,0,FFARawStatProjections!$BV$2),0),$BV$3)+$BN429,
INDEX($A429:$BM429,,$BV$12)*$BW$12+
INDEX($A429:$BM429,,$BV$15)*$BW$15+
INDEX($A429:$BM429,,$BV$16)*$BW$16+
INDEX($A429:$BM429,,$BV$17)*$BW$17+
INDEX($A429:$BM429,,$BV$18)*$BW$18+
INDEX($A429:$BM429,,$BV$19)*$BW$19+
INDEX($A429:$BM429,,$BV$20)*$BW$20+
INDEX($A429:$BM429,,$BV$21)*$BW$21+
INDEX($A429:$BM429,,$BV$22)*$BW$22+
INDEX($A429:$BM429,,$BV$23)*$BW$23+
INDEX($A429:$BM429,,$BV$25)*$BW$25+
INDEX($A429:$BM429,,$BV$26)*$BW$26+
INDEX($A429:$BM429,,$BV$27)*$BW$27+
$BN429)),
$BN429-100)</f>
        <v>59.514280000000007</v>
      </c>
      <c r="BB429" t="str">
        <f t="shared" si="87"/>
        <v/>
      </c>
      <c r="BC429" t="str">
        <f t="shared" si="81"/>
        <v/>
      </c>
      <c r="BD429" s="430">
        <f>IFERROR(
IF(BB429="",-100,
IF($BV$2&gt;0, INDEX(Beersheet!$A:$U,MATCH(BB429,INDEX(Beersheet!$A:$U,0,FFARawStatProjections!$BV$2),0),$BV$3)+$BN429,
INDEX($A429:$BM429,,$BV$12)*$BW$12+
INDEX($A429:$BM429,,$BV$15)*$BW$15+
INDEX($A429:$BM429,,$BV$16)*$BW$16+
INDEX($A429:$BM429,,$BV$17)*$BW$17+
INDEX($A429:$BM429,,$BV$18)*$BW$18+
INDEX($A429:$BM429,,$BV$19)*$BW$19+
INDEX($A429:$BM429,,$BV$20)*$BW$20+
INDEX($A429:$BM429,,$BV$21)*$BW$21+
INDEX($A429:$BM429,,$BV$22)*$BW$22+
INDEX($A429:$BM429,,$BV$23)*$BW$23+
INDEX($A429:$BM429,,$BV$25)*$BW$25+
INDEX($A429:$BM429,,$BV$26)*$BW$26+
INDEX($A429:$BM429,,$BV$27)*$BW$27+
$BN429)),
$BN429-100)</f>
        <v>-100</v>
      </c>
      <c r="BF429" t="str">
        <f t="shared" si="88"/>
        <v/>
      </c>
      <c r="BG429" t="str">
        <f t="shared" si="89"/>
        <v/>
      </c>
      <c r="BH429">
        <f t="shared" si="90"/>
        <v>0</v>
      </c>
      <c r="BJ429" t="str">
        <f t="shared" si="91"/>
        <v/>
      </c>
      <c r="BL429">
        <f t="shared" si="93"/>
        <v>0</v>
      </c>
      <c r="BN429">
        <v>4.28E-3</v>
      </c>
      <c r="BS429" s="4" t="s">
        <v>2450</v>
      </c>
    </row>
    <row r="430" spans="1:71" ht="15.75" thickBot="1" x14ac:dyDescent="0.3">
      <c r="A430" s="569" t="s">
        <v>2333</v>
      </c>
      <c r="B430" s="569" t="s">
        <v>155</v>
      </c>
      <c r="C430" s="569" t="s">
        <v>6</v>
      </c>
      <c r="D430" s="574">
        <v>9</v>
      </c>
      <c r="E430" s="569"/>
      <c r="F430" s="569"/>
      <c r="G430" s="569"/>
      <c r="H430" s="569"/>
      <c r="I430" s="574">
        <v>0</v>
      </c>
      <c r="J430" s="574">
        <v>0</v>
      </c>
      <c r="K430" s="574">
        <v>0</v>
      </c>
      <c r="L430" s="574">
        <v>21.9</v>
      </c>
      <c r="M430" s="574">
        <v>1.3</v>
      </c>
      <c r="N430" s="574">
        <v>272.39999999999998</v>
      </c>
      <c r="O430" s="574">
        <v>0</v>
      </c>
      <c r="P430" s="574">
        <v>0</v>
      </c>
      <c r="Q430" s="574">
        <v>0.2</v>
      </c>
      <c r="R430" s="569"/>
      <c r="S430" s="569"/>
      <c r="T430" s="569"/>
      <c r="U430" s="569"/>
      <c r="V430" s="569"/>
      <c r="W430" s="569"/>
      <c r="X430" s="569"/>
      <c r="Y430" s="569"/>
      <c r="Z430" s="569"/>
      <c r="AA430" s="569"/>
      <c r="AB430" s="569"/>
      <c r="AC430" s="569"/>
      <c r="AD430" s="569"/>
      <c r="AE430" s="569"/>
      <c r="AF430" s="569"/>
      <c r="AG430" s="569"/>
      <c r="AH430" s="569"/>
      <c r="AI430" s="569"/>
      <c r="AJ430" s="569"/>
      <c r="AK430" s="569"/>
      <c r="AL430" s="569"/>
      <c r="AM430" s="569"/>
      <c r="AN430" s="574">
        <v>34.9</v>
      </c>
      <c r="AO430">
        <v>429</v>
      </c>
      <c r="AP430" t="str">
        <f t="shared" si="92"/>
        <v/>
      </c>
      <c r="AQ430" t="str">
        <f t="shared" si="82"/>
        <v/>
      </c>
      <c r="AR430" s="430">
        <f>IFERROR(
IF(AP430="",-100,
IF($BV$2&gt;0, INDEX(Beersheet!$A:$U,MATCH(AP430,INDEX(Beersheet!$A:$U,0,FFARawStatProjections!$BV$2),0),$BV$3)+$BN430,
INDEX($A430:$BM430,,$BV$12)*$BW$12+
INDEX($A430:$BM430,,$BV$15)*$BW$15+
INDEX($A430:$BM430,,$BV$16)*$BW$16+
INDEX($A430:$BM430,,$BV$17)*$BW$17+
INDEX($A430:$BM430,,$BV$18)*$BW$18+
INDEX($A430:$BM430,,$BV$19)*$BW$19+
INDEX($A430:$BM430,,$BV$20)*$BW$20+
INDEX($A430:$BM430,,$BV$21)*$BW$21+
INDEX($A430:$BM430,,$BV$22)*$BW$22+
INDEX($A430:$BM430,,$BV$23)*$BW$23+
INDEX($A430:$BM430,,$BV$25)*$BW$25+
INDEX($A430:$BM430,,$BV$26)*$BW$26+
INDEX($A430:$BM430,,$BV$27)*$BW$27+
$BN430)),
$BN430-100)</f>
        <v>-100</v>
      </c>
      <c r="AT430" t="str">
        <f t="shared" si="83"/>
        <v/>
      </c>
      <c r="AU430" t="str">
        <f t="shared" si="84"/>
        <v/>
      </c>
      <c r="AV430" s="430">
        <f>IFERROR(
IF(AT430="",-100,
IF($BV$2&gt;0, INDEX(Beersheet!$A:$U,MATCH(AT430,INDEX(Beersheet!$A:$U,0,FFARawStatProjections!$BV$2),0),$BV$3)+$BN430,
INDEX($A430:$BM430,,$BV$12)*$BW$12+
INDEX($A430:$BM430,,$BV$15)*$BW$15+
INDEX($A430:$BM430,,$BV$16)*$BW$16+
INDEX($A430:$BM430,,$BV$17)*$BW$17+
INDEX($A430:$BM430,,$BV$18)*$BW$18+
INDEX($A430:$BM430,,$BV$19)*$BW$19+
INDEX($A430:$BM430,,$BV$20)*$BW$20+
INDEX($A430:$BM430,,$BV$21)*$BW$21+
INDEX($A430:$BM430,,$BV$22)*$BW$22+
INDEX($A430:$BM430,,$BV$23)*$BW$23+
INDEX($A430:$BM430,,$BV$25)*$BW$25+
INDEX($A430:$BM430,,$BV$26)*$BW$26+
INDEX($A430:$BM430,,$BV$27)*$BW$27+
$BN430)),
$BN430-100)</f>
        <v>-100</v>
      </c>
      <c r="AX430" t="str">
        <f t="shared" si="85"/>
        <v>Jauan Jennings</v>
      </c>
      <c r="AY430" t="str">
        <f t="shared" si="86"/>
        <v>SF</v>
      </c>
      <c r="AZ430" s="430">
        <f>IFERROR(
IF(AX430="",-100,
IF($BV$2&gt;0, INDEX(Beersheet!$A:$U,MATCH(AX430,INDEX(Beersheet!$A:$U,0,FFARawStatProjections!$BV$2),0),$BV$3)+$BN430,
INDEX($A430:$BM430,,$BV$12)*$BW$12+
INDEX($A430:$BM430,,$BV$15)*$BW$15+
INDEX($A430:$BM430,,$BV$16)*$BW$16+
INDEX($A430:$BM430,,$BV$17)*$BW$17+
INDEX($A430:$BM430,,$BV$18)*$BW$18+
INDEX($A430:$BM430,,$BV$19)*$BW$19+
INDEX($A430:$BM430,,$BV$20)*$BW$20+
INDEX($A430:$BM430,,$BV$21)*$BW$21+
INDEX($A430:$BM430,,$BV$22)*$BW$22+
INDEX($A430:$BM430,,$BV$23)*$BW$23+
INDEX($A430:$BM430,,$BV$25)*$BW$25+
INDEX($A430:$BM430,,$BV$26)*$BW$26+
INDEX($A430:$BM430,,$BV$27)*$BW$27+
$BN430)),
$BN430-100)</f>
        <v>56.964289999999998</v>
      </c>
      <c r="BB430" t="str">
        <f t="shared" si="87"/>
        <v/>
      </c>
      <c r="BC430" t="str">
        <f t="shared" si="81"/>
        <v/>
      </c>
      <c r="BD430" s="430">
        <f>IFERROR(
IF(BB430="",-100,
IF($BV$2&gt;0, INDEX(Beersheet!$A:$U,MATCH(BB430,INDEX(Beersheet!$A:$U,0,FFARawStatProjections!$BV$2),0),$BV$3)+$BN430,
INDEX($A430:$BM430,,$BV$12)*$BW$12+
INDEX($A430:$BM430,,$BV$15)*$BW$15+
INDEX($A430:$BM430,,$BV$16)*$BW$16+
INDEX($A430:$BM430,,$BV$17)*$BW$17+
INDEX($A430:$BM430,,$BV$18)*$BW$18+
INDEX($A430:$BM430,,$BV$19)*$BW$19+
INDEX($A430:$BM430,,$BV$20)*$BW$20+
INDEX($A430:$BM430,,$BV$21)*$BW$21+
INDEX($A430:$BM430,,$BV$22)*$BW$22+
INDEX($A430:$BM430,,$BV$23)*$BW$23+
INDEX($A430:$BM430,,$BV$25)*$BW$25+
INDEX($A430:$BM430,,$BV$26)*$BW$26+
INDEX($A430:$BM430,,$BV$27)*$BW$27+
$BN430)),
$BN430-100)</f>
        <v>-100</v>
      </c>
      <c r="BF430" t="str">
        <f t="shared" si="88"/>
        <v/>
      </c>
      <c r="BG430" t="str">
        <f t="shared" si="89"/>
        <v/>
      </c>
      <c r="BH430">
        <f t="shared" si="90"/>
        <v>0</v>
      </c>
      <c r="BJ430" t="str">
        <f t="shared" si="91"/>
        <v/>
      </c>
      <c r="BL430">
        <f t="shared" si="93"/>
        <v>0</v>
      </c>
      <c r="BN430">
        <v>4.2900000000000004E-3</v>
      </c>
      <c r="BS430" s="4" t="s">
        <v>2449</v>
      </c>
    </row>
    <row r="431" spans="1:71" ht="15.75" thickBot="1" x14ac:dyDescent="0.3">
      <c r="A431" s="569" t="s">
        <v>2426</v>
      </c>
      <c r="B431" s="569" t="s">
        <v>1389</v>
      </c>
      <c r="C431" s="569" t="s">
        <v>6</v>
      </c>
      <c r="D431" s="574">
        <v>10</v>
      </c>
      <c r="E431" s="569"/>
      <c r="F431" s="569"/>
      <c r="G431" s="569"/>
      <c r="H431" s="569"/>
      <c r="I431" s="574">
        <v>0</v>
      </c>
      <c r="J431" s="574">
        <v>0</v>
      </c>
      <c r="K431" s="574">
        <v>0</v>
      </c>
      <c r="L431" s="574">
        <v>15.3</v>
      </c>
      <c r="M431" s="574">
        <v>0.6</v>
      </c>
      <c r="N431" s="574">
        <v>289.2</v>
      </c>
      <c r="O431" s="574">
        <v>0.8</v>
      </c>
      <c r="P431" s="574">
        <v>0.1</v>
      </c>
      <c r="Q431" s="574">
        <v>4.9000000000000004</v>
      </c>
      <c r="R431" s="569"/>
      <c r="S431" s="569"/>
      <c r="T431" s="569"/>
      <c r="U431" s="569"/>
      <c r="V431" s="569"/>
      <c r="W431" s="569"/>
      <c r="X431" s="569"/>
      <c r="Y431" s="569"/>
      <c r="Z431" s="569"/>
      <c r="AA431" s="569"/>
      <c r="AB431" s="569"/>
      <c r="AC431" s="569"/>
      <c r="AD431" s="569"/>
      <c r="AE431" s="569"/>
      <c r="AF431" s="569"/>
      <c r="AG431" s="569"/>
      <c r="AH431" s="569"/>
      <c r="AI431" s="569"/>
      <c r="AJ431" s="569"/>
      <c r="AK431" s="569"/>
      <c r="AL431" s="569"/>
      <c r="AM431" s="569"/>
      <c r="AN431" s="574">
        <v>33.1</v>
      </c>
      <c r="AO431">
        <v>430</v>
      </c>
      <c r="AP431" t="str">
        <f t="shared" si="92"/>
        <v/>
      </c>
      <c r="AQ431" t="str">
        <f t="shared" si="82"/>
        <v/>
      </c>
      <c r="AR431" s="430">
        <f>IFERROR(
IF(AP431="",-100,
IF($BV$2&gt;0, INDEX(Beersheet!$A:$U,MATCH(AP431,INDEX(Beersheet!$A:$U,0,FFARawStatProjections!$BV$2),0),$BV$3)+$BN431,
INDEX($A431:$BM431,,$BV$12)*$BW$12+
INDEX($A431:$BM431,,$BV$15)*$BW$15+
INDEX($A431:$BM431,,$BV$16)*$BW$16+
INDEX($A431:$BM431,,$BV$17)*$BW$17+
INDEX($A431:$BM431,,$BV$18)*$BW$18+
INDEX($A431:$BM431,,$BV$19)*$BW$19+
INDEX($A431:$BM431,,$BV$20)*$BW$20+
INDEX($A431:$BM431,,$BV$21)*$BW$21+
INDEX($A431:$BM431,,$BV$22)*$BW$22+
INDEX($A431:$BM431,,$BV$23)*$BW$23+
INDEX($A431:$BM431,,$BV$25)*$BW$25+
INDEX($A431:$BM431,,$BV$26)*$BW$26+
INDEX($A431:$BM431,,$BV$27)*$BW$27+
$BN431)),
$BN431-100)</f>
        <v>-100</v>
      </c>
      <c r="AT431" t="str">
        <f t="shared" si="83"/>
        <v/>
      </c>
      <c r="AU431" t="str">
        <f t="shared" si="84"/>
        <v/>
      </c>
      <c r="AV431" s="430">
        <f>IFERROR(
IF(AT431="",-100,
IF($BV$2&gt;0, INDEX(Beersheet!$A:$U,MATCH(AT431,INDEX(Beersheet!$A:$U,0,FFARawStatProjections!$BV$2),0),$BV$3)+$BN431,
INDEX($A431:$BM431,,$BV$12)*$BW$12+
INDEX($A431:$BM431,,$BV$15)*$BW$15+
INDEX($A431:$BM431,,$BV$16)*$BW$16+
INDEX($A431:$BM431,,$BV$17)*$BW$17+
INDEX($A431:$BM431,,$BV$18)*$BW$18+
INDEX($A431:$BM431,,$BV$19)*$BW$19+
INDEX($A431:$BM431,,$BV$20)*$BW$20+
INDEX($A431:$BM431,,$BV$21)*$BW$21+
INDEX($A431:$BM431,,$BV$22)*$BW$22+
INDEX($A431:$BM431,,$BV$23)*$BW$23+
INDEX($A431:$BM431,,$BV$25)*$BW$25+
INDEX($A431:$BM431,,$BV$26)*$BW$26+
INDEX($A431:$BM431,,$BV$27)*$BW$27+
$BN431)),
$BN431-100)</f>
        <v>-100</v>
      </c>
      <c r="AX431" t="str">
        <f t="shared" si="85"/>
        <v>Puka Nacua</v>
      </c>
      <c r="AY431" t="str">
        <f t="shared" si="86"/>
        <v>LAR</v>
      </c>
      <c r="AZ431" s="430">
        <f>IFERROR(
IF(AX431="",-100,
IF($BV$2&gt;0, INDEX(Beersheet!$A:$U,MATCH(AX431,INDEX(Beersheet!$A:$U,0,FFARawStatProjections!$BV$2),0),$BV$3)+$BN431,
INDEX($A431:$BM431,,$BV$12)*$BW$12+
INDEX($A431:$BM431,,$BV$15)*$BW$15+
INDEX($A431:$BM431,,$BV$16)*$BW$16+
INDEX($A431:$BM431,,$BV$17)*$BW$17+
INDEX($A431:$BM431,,$BV$18)*$BW$18+
INDEX($A431:$BM431,,$BV$19)*$BW$19+
INDEX($A431:$BM431,,$BV$20)*$BW$20+
INDEX($A431:$BM431,,$BV$21)*$BW$21+
INDEX($A431:$BM431,,$BV$22)*$BW$22+
INDEX($A431:$BM431,,$BV$23)*$BW$23+
INDEX($A431:$BM431,,$BV$25)*$BW$25+
INDEX($A431:$BM431,,$BV$26)*$BW$26+
INDEX($A431:$BM431,,$BV$27)*$BW$27+
$BN431)),
$BN431-100)</f>
        <v>48.914300000000004</v>
      </c>
      <c r="BB431" t="str">
        <f t="shared" si="87"/>
        <v/>
      </c>
      <c r="BC431" t="str">
        <f t="shared" si="81"/>
        <v/>
      </c>
      <c r="BD431" s="430">
        <f>IFERROR(
IF(BB431="",-100,
IF($BV$2&gt;0, INDEX(Beersheet!$A:$U,MATCH(BB431,INDEX(Beersheet!$A:$U,0,FFARawStatProjections!$BV$2),0),$BV$3)+$BN431,
INDEX($A431:$BM431,,$BV$12)*$BW$12+
INDEX($A431:$BM431,,$BV$15)*$BW$15+
INDEX($A431:$BM431,,$BV$16)*$BW$16+
INDEX($A431:$BM431,,$BV$17)*$BW$17+
INDEX($A431:$BM431,,$BV$18)*$BW$18+
INDEX($A431:$BM431,,$BV$19)*$BW$19+
INDEX($A431:$BM431,,$BV$20)*$BW$20+
INDEX($A431:$BM431,,$BV$21)*$BW$21+
INDEX($A431:$BM431,,$BV$22)*$BW$22+
INDEX($A431:$BM431,,$BV$23)*$BW$23+
INDEX($A431:$BM431,,$BV$25)*$BW$25+
INDEX($A431:$BM431,,$BV$26)*$BW$26+
INDEX($A431:$BM431,,$BV$27)*$BW$27+
$BN431)),
$BN431-100)</f>
        <v>-100</v>
      </c>
      <c r="BF431" t="str">
        <f t="shared" si="88"/>
        <v/>
      </c>
      <c r="BG431" t="str">
        <f t="shared" si="89"/>
        <v/>
      </c>
      <c r="BH431">
        <f t="shared" si="90"/>
        <v>0</v>
      </c>
      <c r="BJ431" t="str">
        <f t="shared" si="91"/>
        <v/>
      </c>
      <c r="BL431">
        <f t="shared" si="93"/>
        <v>0</v>
      </c>
      <c r="BN431">
        <v>4.3E-3</v>
      </c>
      <c r="BS431" s="4" t="s">
        <v>2281</v>
      </c>
    </row>
    <row r="432" spans="1:71" ht="15.75" thickBot="1" x14ac:dyDescent="0.3">
      <c r="A432" s="569" t="s">
        <v>1274</v>
      </c>
      <c r="B432" s="569" t="s">
        <v>163</v>
      </c>
      <c r="C432" s="569" t="s">
        <v>6</v>
      </c>
      <c r="D432" s="574">
        <v>7</v>
      </c>
      <c r="E432" s="569"/>
      <c r="F432" s="569"/>
      <c r="G432" s="569"/>
      <c r="H432" s="569"/>
      <c r="I432" s="574">
        <v>0</v>
      </c>
      <c r="J432" s="574">
        <v>0</v>
      </c>
      <c r="K432" s="574">
        <v>0</v>
      </c>
      <c r="L432" s="574">
        <v>24.3</v>
      </c>
      <c r="M432" s="574">
        <v>1.1000000000000001</v>
      </c>
      <c r="N432" s="574">
        <v>263.3</v>
      </c>
      <c r="O432" s="574">
        <v>1.2</v>
      </c>
      <c r="P432" s="574">
        <v>0</v>
      </c>
      <c r="Q432" s="574">
        <v>3.2</v>
      </c>
      <c r="R432" s="569"/>
      <c r="S432" s="569"/>
      <c r="T432" s="569"/>
      <c r="U432" s="569"/>
      <c r="V432" s="569"/>
      <c r="W432" s="569"/>
      <c r="X432" s="569"/>
      <c r="Y432" s="569"/>
      <c r="Z432" s="569"/>
      <c r="AA432" s="569"/>
      <c r="AB432" s="569"/>
      <c r="AC432" s="569"/>
      <c r="AD432" s="569"/>
      <c r="AE432" s="569"/>
      <c r="AF432" s="569"/>
      <c r="AG432" s="569"/>
      <c r="AH432" s="569"/>
      <c r="AI432" s="569"/>
      <c r="AJ432" s="569"/>
      <c r="AK432" s="569"/>
      <c r="AL432" s="569"/>
      <c r="AM432" s="569"/>
      <c r="AN432" s="574">
        <v>33</v>
      </c>
      <c r="AO432">
        <v>431</v>
      </c>
      <c r="AP432" t="str">
        <f t="shared" si="92"/>
        <v/>
      </c>
      <c r="AQ432" t="str">
        <f t="shared" si="82"/>
        <v/>
      </c>
      <c r="AR432" s="430">
        <f>IFERROR(
IF(AP432="",-100,
IF($BV$2&gt;0, INDEX(Beersheet!$A:$U,MATCH(AP432,INDEX(Beersheet!$A:$U,0,FFARawStatProjections!$BV$2),0),$BV$3)+$BN432,
INDEX($A432:$BM432,,$BV$12)*$BW$12+
INDEX($A432:$BM432,,$BV$15)*$BW$15+
INDEX($A432:$BM432,,$BV$16)*$BW$16+
INDEX($A432:$BM432,,$BV$17)*$BW$17+
INDEX($A432:$BM432,,$BV$18)*$BW$18+
INDEX($A432:$BM432,,$BV$19)*$BW$19+
INDEX($A432:$BM432,,$BV$20)*$BW$20+
INDEX($A432:$BM432,,$BV$21)*$BW$21+
INDEX($A432:$BM432,,$BV$22)*$BW$22+
INDEX($A432:$BM432,,$BV$23)*$BW$23+
INDEX($A432:$BM432,,$BV$25)*$BW$25+
INDEX($A432:$BM432,,$BV$26)*$BW$26+
INDEX($A432:$BM432,,$BV$27)*$BW$27+
$BN432)),
$BN432-100)</f>
        <v>-100</v>
      </c>
      <c r="AT432" t="str">
        <f t="shared" si="83"/>
        <v/>
      </c>
      <c r="AU432" t="str">
        <f t="shared" si="84"/>
        <v/>
      </c>
      <c r="AV432" s="430">
        <f>IFERROR(
IF(AT432="",-100,
IF($BV$2&gt;0, INDEX(Beersheet!$A:$U,MATCH(AT432,INDEX(Beersheet!$A:$U,0,FFARawStatProjections!$BV$2),0),$BV$3)+$BN432,
INDEX($A432:$BM432,,$BV$12)*$BW$12+
INDEX($A432:$BM432,,$BV$15)*$BW$15+
INDEX($A432:$BM432,,$BV$16)*$BW$16+
INDEX($A432:$BM432,,$BV$17)*$BW$17+
INDEX($A432:$BM432,,$BV$18)*$BW$18+
INDEX($A432:$BM432,,$BV$19)*$BW$19+
INDEX($A432:$BM432,,$BV$20)*$BW$20+
INDEX($A432:$BM432,,$BV$21)*$BW$21+
INDEX($A432:$BM432,,$BV$22)*$BW$22+
INDEX($A432:$BM432,,$BV$23)*$BW$23+
INDEX($A432:$BM432,,$BV$25)*$BW$25+
INDEX($A432:$BM432,,$BV$26)*$BW$26+
INDEX($A432:$BM432,,$BV$27)*$BW$27+
$BN432)),
$BN432-100)</f>
        <v>-100</v>
      </c>
      <c r="AX432" t="str">
        <f t="shared" si="85"/>
        <v>Chris Moore</v>
      </c>
      <c r="AY432" t="str">
        <f t="shared" si="86"/>
        <v>TEN</v>
      </c>
      <c r="AZ432" s="430">
        <f>IFERROR(
IF(AX432="",-100,
IF($BV$2&gt;0, INDEX(Beersheet!$A:$U,MATCH(AX432,INDEX(Beersheet!$A:$U,0,FFARawStatProjections!$BV$2),0),$BV$3)+$BN432,
INDEX($A432:$BM432,,$BV$12)*$BW$12+
INDEX($A432:$BM432,,$BV$15)*$BW$15+
INDEX($A432:$BM432,,$BV$16)*$BW$16+
INDEX($A432:$BM432,,$BV$17)*$BW$17+
INDEX($A432:$BM432,,$BV$18)*$BW$18+
INDEX($A432:$BM432,,$BV$19)*$BW$19+
INDEX($A432:$BM432,,$BV$20)*$BW$20+
INDEX($A432:$BM432,,$BV$21)*$BW$21+
INDEX($A432:$BM432,,$BV$22)*$BW$22+
INDEX($A432:$BM432,,$BV$23)*$BW$23+
INDEX($A432:$BM432,,$BV$25)*$BW$25+
INDEX($A432:$BM432,,$BV$26)*$BW$26+
INDEX($A432:$BM432,,$BV$27)*$BW$27+
$BN432)),
$BN432-100)</f>
        <v>57.554310000000001</v>
      </c>
      <c r="BB432" t="str">
        <f t="shared" si="87"/>
        <v/>
      </c>
      <c r="BC432" t="str">
        <f t="shared" si="81"/>
        <v/>
      </c>
      <c r="BD432" s="430">
        <f>IFERROR(
IF(BB432="",-100,
IF($BV$2&gt;0, INDEX(Beersheet!$A:$U,MATCH(BB432,INDEX(Beersheet!$A:$U,0,FFARawStatProjections!$BV$2),0),$BV$3)+$BN432,
INDEX($A432:$BM432,,$BV$12)*$BW$12+
INDEX($A432:$BM432,,$BV$15)*$BW$15+
INDEX($A432:$BM432,,$BV$16)*$BW$16+
INDEX($A432:$BM432,,$BV$17)*$BW$17+
INDEX($A432:$BM432,,$BV$18)*$BW$18+
INDEX($A432:$BM432,,$BV$19)*$BW$19+
INDEX($A432:$BM432,,$BV$20)*$BW$20+
INDEX($A432:$BM432,,$BV$21)*$BW$21+
INDEX($A432:$BM432,,$BV$22)*$BW$22+
INDEX($A432:$BM432,,$BV$23)*$BW$23+
INDEX($A432:$BM432,,$BV$25)*$BW$25+
INDEX($A432:$BM432,,$BV$26)*$BW$26+
INDEX($A432:$BM432,,$BV$27)*$BW$27+
$BN432)),
$BN432-100)</f>
        <v>-100</v>
      </c>
      <c r="BF432" t="str">
        <f t="shared" si="88"/>
        <v/>
      </c>
      <c r="BG432" t="str">
        <f t="shared" si="89"/>
        <v/>
      </c>
      <c r="BH432">
        <f t="shared" si="90"/>
        <v>0</v>
      </c>
      <c r="BJ432" t="str">
        <f t="shared" si="91"/>
        <v/>
      </c>
      <c r="BL432">
        <f t="shared" si="93"/>
        <v>0</v>
      </c>
      <c r="BN432">
        <v>4.3099999999999996E-3</v>
      </c>
      <c r="BS432" s="4" t="s">
        <v>1193</v>
      </c>
    </row>
    <row r="433" spans="1:71" ht="15.75" thickBot="1" x14ac:dyDescent="0.3">
      <c r="A433" s="569" t="s">
        <v>2063</v>
      </c>
      <c r="B433" s="569" t="s">
        <v>142</v>
      </c>
      <c r="C433" s="569" t="s">
        <v>6</v>
      </c>
      <c r="D433" s="574">
        <v>9</v>
      </c>
      <c r="E433" s="569"/>
      <c r="F433" s="569"/>
      <c r="G433" s="569"/>
      <c r="H433" s="569"/>
      <c r="I433" s="574">
        <v>0</v>
      </c>
      <c r="J433" s="574">
        <v>0</v>
      </c>
      <c r="K433" s="574">
        <v>0</v>
      </c>
      <c r="L433" s="574">
        <v>18.3</v>
      </c>
      <c r="M433" s="574">
        <v>1.1000000000000001</v>
      </c>
      <c r="N433" s="574">
        <v>220.8</v>
      </c>
      <c r="O433" s="574">
        <v>2.2999999999999998</v>
      </c>
      <c r="P433" s="574">
        <v>0.2</v>
      </c>
      <c r="Q433" s="574">
        <v>22.6</v>
      </c>
      <c r="R433" s="569"/>
      <c r="S433" s="569"/>
      <c r="T433" s="569"/>
      <c r="U433" s="569"/>
      <c r="V433" s="569"/>
      <c r="W433" s="569"/>
      <c r="X433" s="569"/>
      <c r="Y433" s="569"/>
      <c r="Z433" s="569"/>
      <c r="AA433" s="569"/>
      <c r="AB433" s="569"/>
      <c r="AC433" s="569"/>
      <c r="AD433" s="569"/>
      <c r="AE433" s="569"/>
      <c r="AF433" s="569"/>
      <c r="AG433" s="569"/>
      <c r="AH433" s="569"/>
      <c r="AI433" s="569"/>
      <c r="AJ433" s="569"/>
      <c r="AK433" s="569"/>
      <c r="AL433" s="569"/>
      <c r="AM433" s="569"/>
      <c r="AN433" s="574">
        <v>31.9</v>
      </c>
      <c r="AO433">
        <v>432</v>
      </c>
      <c r="AP433" t="str">
        <f t="shared" si="92"/>
        <v/>
      </c>
      <c r="AQ433" t="str">
        <f t="shared" si="82"/>
        <v/>
      </c>
      <c r="AR433" s="430">
        <f>IFERROR(
IF(AP433="",-100,
IF($BV$2&gt;0, INDEX(Beersheet!$A:$U,MATCH(AP433,INDEX(Beersheet!$A:$U,0,FFARawStatProjections!$BV$2),0),$BV$3)+$BN433,
INDEX($A433:$BM433,,$BV$12)*$BW$12+
INDEX($A433:$BM433,,$BV$15)*$BW$15+
INDEX($A433:$BM433,,$BV$16)*$BW$16+
INDEX($A433:$BM433,,$BV$17)*$BW$17+
INDEX($A433:$BM433,,$BV$18)*$BW$18+
INDEX($A433:$BM433,,$BV$19)*$BW$19+
INDEX($A433:$BM433,,$BV$20)*$BW$20+
INDEX($A433:$BM433,,$BV$21)*$BW$21+
INDEX($A433:$BM433,,$BV$22)*$BW$22+
INDEX($A433:$BM433,,$BV$23)*$BW$23+
INDEX($A433:$BM433,,$BV$25)*$BW$25+
INDEX($A433:$BM433,,$BV$26)*$BW$26+
INDEX($A433:$BM433,,$BV$27)*$BW$27+
$BN433)),
$BN433-100)</f>
        <v>-100</v>
      </c>
      <c r="AT433" t="str">
        <f t="shared" si="83"/>
        <v/>
      </c>
      <c r="AU433" t="str">
        <f t="shared" si="84"/>
        <v/>
      </c>
      <c r="AV433" s="430">
        <f>IFERROR(
IF(AT433="",-100,
IF($BV$2&gt;0, INDEX(Beersheet!$A:$U,MATCH(AT433,INDEX(Beersheet!$A:$U,0,FFARawStatProjections!$BV$2),0),$BV$3)+$BN433,
INDEX($A433:$BM433,,$BV$12)*$BW$12+
INDEX($A433:$BM433,,$BV$15)*$BW$15+
INDEX($A433:$BM433,,$BV$16)*$BW$16+
INDEX($A433:$BM433,,$BV$17)*$BW$17+
INDEX($A433:$BM433,,$BV$18)*$BW$18+
INDEX($A433:$BM433,,$BV$19)*$BW$19+
INDEX($A433:$BM433,,$BV$20)*$BW$20+
INDEX($A433:$BM433,,$BV$21)*$BW$21+
INDEX($A433:$BM433,,$BV$22)*$BW$22+
INDEX($A433:$BM433,,$BV$23)*$BW$23+
INDEX($A433:$BM433,,$BV$25)*$BW$25+
INDEX($A433:$BM433,,$BV$26)*$BW$26+
INDEX($A433:$BM433,,$BV$27)*$BW$27+
$BN433)),
$BN433-100)</f>
        <v>-100</v>
      </c>
      <c r="AX433" t="str">
        <f t="shared" si="85"/>
        <v>Kalif Raymond</v>
      </c>
      <c r="AY433" t="str">
        <f t="shared" si="86"/>
        <v>DET</v>
      </c>
      <c r="AZ433" s="430">
        <f>IFERROR(
IF(AX433="",-100,
IF($BV$2&gt;0, INDEX(Beersheet!$A:$U,MATCH(AX433,INDEX(Beersheet!$A:$U,0,FFARawStatProjections!$BV$2),0),$BV$3)+$BN433,
INDEX($A433:$BM433,,$BV$12)*$BW$12+
INDEX($A433:$BM433,,$BV$15)*$BW$15+
INDEX($A433:$BM433,,$BV$16)*$BW$16+
INDEX($A433:$BM433,,$BV$17)*$BW$17+
INDEX($A433:$BM433,,$BV$18)*$BW$18+
INDEX($A433:$BM433,,$BV$19)*$BW$19+
INDEX($A433:$BM433,,$BV$20)*$BW$20+
INDEX($A433:$BM433,,$BV$21)*$BW$21+
INDEX($A433:$BM433,,$BV$22)*$BW$22+
INDEX($A433:$BM433,,$BV$23)*$BW$23+
INDEX($A433:$BM433,,$BV$25)*$BW$25+
INDEX($A433:$BM433,,$BV$26)*$BW$26+
INDEX($A433:$BM433,,$BV$27)*$BW$27+
$BN433)),
$BN433-100)</f>
        <v>50.444320000000005</v>
      </c>
      <c r="BB433" t="str">
        <f t="shared" si="87"/>
        <v/>
      </c>
      <c r="BC433" t="str">
        <f t="shared" si="81"/>
        <v/>
      </c>
      <c r="BD433" s="430">
        <f>IFERROR(
IF(BB433="",-100,
IF($BV$2&gt;0, INDEX(Beersheet!$A:$U,MATCH(BB433,INDEX(Beersheet!$A:$U,0,FFARawStatProjections!$BV$2),0),$BV$3)+$BN433,
INDEX($A433:$BM433,,$BV$12)*$BW$12+
INDEX($A433:$BM433,,$BV$15)*$BW$15+
INDEX($A433:$BM433,,$BV$16)*$BW$16+
INDEX($A433:$BM433,,$BV$17)*$BW$17+
INDEX($A433:$BM433,,$BV$18)*$BW$18+
INDEX($A433:$BM433,,$BV$19)*$BW$19+
INDEX($A433:$BM433,,$BV$20)*$BW$20+
INDEX($A433:$BM433,,$BV$21)*$BW$21+
INDEX($A433:$BM433,,$BV$22)*$BW$22+
INDEX($A433:$BM433,,$BV$23)*$BW$23+
INDEX($A433:$BM433,,$BV$25)*$BW$25+
INDEX($A433:$BM433,,$BV$26)*$BW$26+
INDEX($A433:$BM433,,$BV$27)*$BW$27+
$BN433)),
$BN433-100)</f>
        <v>-100</v>
      </c>
      <c r="BF433" t="str">
        <f t="shared" si="88"/>
        <v/>
      </c>
      <c r="BG433" t="str">
        <f t="shared" si="89"/>
        <v/>
      </c>
      <c r="BH433">
        <f t="shared" si="90"/>
        <v>0</v>
      </c>
      <c r="BJ433" t="str">
        <f t="shared" si="91"/>
        <v/>
      </c>
      <c r="BL433">
        <f t="shared" si="93"/>
        <v>0</v>
      </c>
      <c r="BN433">
        <v>4.3200000000000001E-3</v>
      </c>
      <c r="BS433" s="4" t="s">
        <v>2077</v>
      </c>
    </row>
    <row r="434" spans="1:71" ht="15.75" thickBot="1" x14ac:dyDescent="0.3">
      <c r="A434" s="569" t="s">
        <v>2204</v>
      </c>
      <c r="B434" s="569" t="s">
        <v>144</v>
      </c>
      <c r="C434" s="569" t="s">
        <v>6</v>
      </c>
      <c r="D434" s="574">
        <v>9</v>
      </c>
      <c r="E434" s="569"/>
      <c r="F434" s="569"/>
      <c r="G434" s="569"/>
      <c r="H434" s="569"/>
      <c r="I434" s="574">
        <v>0</v>
      </c>
      <c r="J434" s="574">
        <v>0</v>
      </c>
      <c r="K434" s="574">
        <v>0</v>
      </c>
      <c r="L434" s="574">
        <v>18.600000000000001</v>
      </c>
      <c r="M434" s="574">
        <v>1.3</v>
      </c>
      <c r="N434" s="574">
        <v>215.2</v>
      </c>
      <c r="O434" s="574">
        <v>0</v>
      </c>
      <c r="P434" s="574">
        <v>0</v>
      </c>
      <c r="Q434" s="574">
        <v>0.2</v>
      </c>
      <c r="R434" s="569"/>
      <c r="S434" s="569"/>
      <c r="T434" s="569"/>
      <c r="U434" s="569"/>
      <c r="V434" s="569"/>
      <c r="W434" s="569"/>
      <c r="X434" s="569"/>
      <c r="Y434" s="569"/>
      <c r="Z434" s="569"/>
      <c r="AA434" s="569"/>
      <c r="AB434" s="569"/>
      <c r="AC434" s="569"/>
      <c r="AD434" s="569"/>
      <c r="AE434" s="569"/>
      <c r="AF434" s="569"/>
      <c r="AG434" s="569"/>
      <c r="AH434" s="569"/>
      <c r="AI434" s="569"/>
      <c r="AJ434" s="569"/>
      <c r="AK434" s="569"/>
      <c r="AL434" s="569"/>
      <c r="AM434" s="569"/>
      <c r="AN434" s="574">
        <v>29.4</v>
      </c>
      <c r="AO434">
        <v>433</v>
      </c>
      <c r="AP434" t="str">
        <f t="shared" si="92"/>
        <v/>
      </c>
      <c r="AQ434" t="str">
        <f t="shared" si="82"/>
        <v/>
      </c>
      <c r="AR434" s="430">
        <f>IFERROR(
IF(AP434="",-100,
IF($BV$2&gt;0, INDEX(Beersheet!$A:$U,MATCH(AP434,INDEX(Beersheet!$A:$U,0,FFARawStatProjections!$BV$2),0),$BV$3)+$BN434,
INDEX($A434:$BM434,,$BV$12)*$BW$12+
INDEX($A434:$BM434,,$BV$15)*$BW$15+
INDEX($A434:$BM434,,$BV$16)*$BW$16+
INDEX($A434:$BM434,,$BV$17)*$BW$17+
INDEX($A434:$BM434,,$BV$18)*$BW$18+
INDEX($A434:$BM434,,$BV$19)*$BW$19+
INDEX($A434:$BM434,,$BV$20)*$BW$20+
INDEX($A434:$BM434,,$BV$21)*$BW$21+
INDEX($A434:$BM434,,$BV$22)*$BW$22+
INDEX($A434:$BM434,,$BV$23)*$BW$23+
INDEX($A434:$BM434,,$BV$25)*$BW$25+
INDEX($A434:$BM434,,$BV$26)*$BW$26+
INDEX($A434:$BM434,,$BV$27)*$BW$27+
$BN434)),
$BN434-100)</f>
        <v>-100</v>
      </c>
      <c r="AT434" t="str">
        <f t="shared" si="83"/>
        <v/>
      </c>
      <c r="AU434" t="str">
        <f t="shared" si="84"/>
        <v/>
      </c>
      <c r="AV434" s="430">
        <f>IFERROR(
IF(AT434="",-100,
IF($BV$2&gt;0, INDEX(Beersheet!$A:$U,MATCH(AT434,INDEX(Beersheet!$A:$U,0,FFARawStatProjections!$BV$2),0),$BV$3)+$BN434,
INDEX($A434:$BM434,,$BV$12)*$BW$12+
INDEX($A434:$BM434,,$BV$15)*$BW$15+
INDEX($A434:$BM434,,$BV$16)*$BW$16+
INDEX($A434:$BM434,,$BV$17)*$BW$17+
INDEX($A434:$BM434,,$BV$18)*$BW$18+
INDEX($A434:$BM434,,$BV$19)*$BW$19+
INDEX($A434:$BM434,,$BV$20)*$BW$20+
INDEX($A434:$BM434,,$BV$21)*$BW$21+
INDEX($A434:$BM434,,$BV$22)*$BW$22+
INDEX($A434:$BM434,,$BV$23)*$BW$23+
INDEX($A434:$BM434,,$BV$25)*$BW$25+
INDEX($A434:$BM434,,$BV$26)*$BW$26+
INDEX($A434:$BM434,,$BV$27)*$BW$27+
$BN434)),
$BN434-100)</f>
        <v>-100</v>
      </c>
      <c r="AX434" t="str">
        <f t="shared" si="85"/>
        <v>Marquez Callaway</v>
      </c>
      <c r="AY434" t="str">
        <f t="shared" si="86"/>
        <v>DEN</v>
      </c>
      <c r="AZ434" s="430">
        <f>IFERROR(
IF(AX434="",-100,
IF($BV$2&gt;0, INDEX(Beersheet!$A:$U,MATCH(AX434,INDEX(Beersheet!$A:$U,0,FFARawStatProjections!$BV$2),0),$BV$3)+$BN434,
INDEX($A434:$BM434,,$BV$12)*$BW$12+
INDEX($A434:$BM434,,$BV$15)*$BW$15+
INDEX($A434:$BM434,,$BV$16)*$BW$16+
INDEX($A434:$BM434,,$BV$17)*$BW$17+
INDEX($A434:$BM434,,$BV$18)*$BW$18+
INDEX($A434:$BM434,,$BV$19)*$BW$19+
INDEX($A434:$BM434,,$BV$20)*$BW$20+
INDEX($A434:$BM434,,$BV$21)*$BW$21+
INDEX($A434:$BM434,,$BV$22)*$BW$22+
INDEX($A434:$BM434,,$BV$23)*$BW$23+
INDEX($A434:$BM434,,$BV$25)*$BW$25+
INDEX($A434:$BM434,,$BV$26)*$BW$26+
INDEX($A434:$BM434,,$BV$27)*$BW$27+
$BN434)),
$BN434-100)</f>
        <v>47.944330000000008</v>
      </c>
      <c r="BB434" t="str">
        <f t="shared" si="87"/>
        <v/>
      </c>
      <c r="BC434" t="str">
        <f t="shared" si="81"/>
        <v/>
      </c>
      <c r="BD434" s="430">
        <f>IFERROR(
IF(BB434="",-100,
IF($BV$2&gt;0, INDEX(Beersheet!$A:$U,MATCH(BB434,INDEX(Beersheet!$A:$U,0,FFARawStatProjections!$BV$2),0),$BV$3)+$BN434,
INDEX($A434:$BM434,,$BV$12)*$BW$12+
INDEX($A434:$BM434,,$BV$15)*$BW$15+
INDEX($A434:$BM434,,$BV$16)*$BW$16+
INDEX($A434:$BM434,,$BV$17)*$BW$17+
INDEX($A434:$BM434,,$BV$18)*$BW$18+
INDEX($A434:$BM434,,$BV$19)*$BW$19+
INDEX($A434:$BM434,,$BV$20)*$BW$20+
INDEX($A434:$BM434,,$BV$21)*$BW$21+
INDEX($A434:$BM434,,$BV$22)*$BW$22+
INDEX($A434:$BM434,,$BV$23)*$BW$23+
INDEX($A434:$BM434,,$BV$25)*$BW$25+
INDEX($A434:$BM434,,$BV$26)*$BW$26+
INDEX($A434:$BM434,,$BV$27)*$BW$27+
$BN434)),
$BN434-100)</f>
        <v>-100</v>
      </c>
      <c r="BF434" t="str">
        <f t="shared" si="88"/>
        <v/>
      </c>
      <c r="BG434" t="str">
        <f t="shared" si="89"/>
        <v/>
      </c>
      <c r="BH434">
        <f t="shared" si="90"/>
        <v>0</v>
      </c>
      <c r="BJ434" t="str">
        <f t="shared" si="91"/>
        <v/>
      </c>
      <c r="BL434">
        <f t="shared" si="93"/>
        <v>0</v>
      </c>
      <c r="BN434">
        <v>4.3299999999999996E-3</v>
      </c>
      <c r="BS434" s="4" t="s">
        <v>2448</v>
      </c>
    </row>
    <row r="435" spans="1:71" ht="15.75" thickBot="1" x14ac:dyDescent="0.3">
      <c r="A435" s="569" t="s">
        <v>1266</v>
      </c>
      <c r="B435" s="569" t="s">
        <v>1389</v>
      </c>
      <c r="C435" s="569" t="s">
        <v>6</v>
      </c>
      <c r="D435" s="574">
        <v>10</v>
      </c>
      <c r="E435" s="569"/>
      <c r="F435" s="569"/>
      <c r="G435" s="569"/>
      <c r="H435" s="569"/>
      <c r="I435" s="574">
        <v>0</v>
      </c>
      <c r="J435" s="574">
        <v>0</v>
      </c>
      <c r="K435" s="574">
        <v>0</v>
      </c>
      <c r="L435" s="574">
        <v>21.6</v>
      </c>
      <c r="M435" s="574">
        <v>1</v>
      </c>
      <c r="N435" s="574">
        <v>231.2</v>
      </c>
      <c r="O435" s="574">
        <v>0</v>
      </c>
      <c r="P435" s="574">
        <v>0</v>
      </c>
      <c r="Q435" s="574">
        <v>0.2</v>
      </c>
      <c r="R435" s="569"/>
      <c r="S435" s="569"/>
      <c r="T435" s="569"/>
      <c r="U435" s="569"/>
      <c r="V435" s="569"/>
      <c r="W435" s="569"/>
      <c r="X435" s="569"/>
      <c r="Y435" s="569"/>
      <c r="Z435" s="569"/>
      <c r="AA435" s="569"/>
      <c r="AB435" s="569"/>
      <c r="AC435" s="569"/>
      <c r="AD435" s="569"/>
      <c r="AE435" s="569"/>
      <c r="AF435" s="569"/>
      <c r="AG435" s="569"/>
      <c r="AH435" s="569"/>
      <c r="AI435" s="569"/>
      <c r="AJ435" s="569"/>
      <c r="AK435" s="569"/>
      <c r="AL435" s="569"/>
      <c r="AM435" s="569"/>
      <c r="AN435" s="574">
        <v>29</v>
      </c>
      <c r="AO435">
        <v>434</v>
      </c>
      <c r="AP435" t="str">
        <f t="shared" si="92"/>
        <v/>
      </c>
      <c r="AQ435" t="str">
        <f t="shared" si="82"/>
        <v/>
      </c>
      <c r="AR435" s="430">
        <f>IFERROR(
IF(AP435="",-100,
IF($BV$2&gt;0, INDEX(Beersheet!$A:$U,MATCH(AP435,INDEX(Beersheet!$A:$U,0,FFARawStatProjections!$BV$2),0),$BV$3)+$BN435,
INDEX($A435:$BM435,,$BV$12)*$BW$12+
INDEX($A435:$BM435,,$BV$15)*$BW$15+
INDEX($A435:$BM435,,$BV$16)*$BW$16+
INDEX($A435:$BM435,,$BV$17)*$BW$17+
INDEX($A435:$BM435,,$BV$18)*$BW$18+
INDEX($A435:$BM435,,$BV$19)*$BW$19+
INDEX($A435:$BM435,,$BV$20)*$BW$20+
INDEX($A435:$BM435,,$BV$21)*$BW$21+
INDEX($A435:$BM435,,$BV$22)*$BW$22+
INDEX($A435:$BM435,,$BV$23)*$BW$23+
INDEX($A435:$BM435,,$BV$25)*$BW$25+
INDEX($A435:$BM435,,$BV$26)*$BW$26+
INDEX($A435:$BM435,,$BV$27)*$BW$27+
$BN435)),
$BN435-100)</f>
        <v>-100</v>
      </c>
      <c r="AT435" t="str">
        <f t="shared" si="83"/>
        <v/>
      </c>
      <c r="AU435" t="str">
        <f t="shared" si="84"/>
        <v/>
      </c>
      <c r="AV435" s="430">
        <f>IFERROR(
IF(AT435="",-100,
IF($BV$2&gt;0, INDEX(Beersheet!$A:$U,MATCH(AT435,INDEX(Beersheet!$A:$U,0,FFARawStatProjections!$BV$2),0),$BV$3)+$BN435,
INDEX($A435:$BM435,,$BV$12)*$BW$12+
INDEX($A435:$BM435,,$BV$15)*$BW$15+
INDEX($A435:$BM435,,$BV$16)*$BW$16+
INDEX($A435:$BM435,,$BV$17)*$BW$17+
INDEX($A435:$BM435,,$BV$18)*$BW$18+
INDEX($A435:$BM435,,$BV$19)*$BW$19+
INDEX($A435:$BM435,,$BV$20)*$BW$20+
INDEX($A435:$BM435,,$BV$21)*$BW$21+
INDEX($A435:$BM435,,$BV$22)*$BW$22+
INDEX($A435:$BM435,,$BV$23)*$BW$23+
INDEX($A435:$BM435,,$BV$25)*$BW$25+
INDEX($A435:$BM435,,$BV$26)*$BW$26+
INDEX($A435:$BM435,,$BV$27)*$BW$27+
$BN435)),
$BN435-100)</f>
        <v>-100</v>
      </c>
      <c r="AX435" t="str">
        <f t="shared" si="85"/>
        <v>Demarcus Robinson</v>
      </c>
      <c r="AY435" t="str">
        <f t="shared" si="86"/>
        <v>LAR</v>
      </c>
      <c r="AZ435" s="430">
        <f>IFERROR(
IF(AX435="",-100,
IF($BV$2&gt;0, INDEX(Beersheet!$A:$U,MATCH(AX435,INDEX(Beersheet!$A:$U,0,FFARawStatProjections!$BV$2),0),$BV$3)+$BN435,
INDEX($A435:$BM435,,$BV$12)*$BW$12+
INDEX($A435:$BM435,,$BV$15)*$BW$15+
INDEX($A435:$BM435,,$BV$16)*$BW$16+
INDEX($A435:$BM435,,$BV$17)*$BW$17+
INDEX($A435:$BM435,,$BV$18)*$BW$18+
INDEX($A435:$BM435,,$BV$19)*$BW$19+
INDEX($A435:$BM435,,$BV$20)*$BW$20+
INDEX($A435:$BM435,,$BV$21)*$BW$21+
INDEX($A435:$BM435,,$BV$22)*$BW$22+
INDEX($A435:$BM435,,$BV$23)*$BW$23+
INDEX($A435:$BM435,,$BV$25)*$BW$25+
INDEX($A435:$BM435,,$BV$26)*$BW$26+
INDEX($A435:$BM435,,$BV$27)*$BW$27+
$BN435)),
$BN435-100)</f>
        <v>50.744340000000001</v>
      </c>
      <c r="BB435" t="str">
        <f t="shared" si="87"/>
        <v/>
      </c>
      <c r="BC435" t="str">
        <f t="shared" si="81"/>
        <v/>
      </c>
      <c r="BD435" s="430">
        <f>IFERROR(
IF(BB435="",-100,
IF($BV$2&gt;0, INDEX(Beersheet!$A:$U,MATCH(BB435,INDEX(Beersheet!$A:$U,0,FFARawStatProjections!$BV$2),0),$BV$3)+$BN435,
INDEX($A435:$BM435,,$BV$12)*$BW$12+
INDEX($A435:$BM435,,$BV$15)*$BW$15+
INDEX($A435:$BM435,,$BV$16)*$BW$16+
INDEX($A435:$BM435,,$BV$17)*$BW$17+
INDEX($A435:$BM435,,$BV$18)*$BW$18+
INDEX($A435:$BM435,,$BV$19)*$BW$19+
INDEX($A435:$BM435,,$BV$20)*$BW$20+
INDEX($A435:$BM435,,$BV$21)*$BW$21+
INDEX($A435:$BM435,,$BV$22)*$BW$22+
INDEX($A435:$BM435,,$BV$23)*$BW$23+
INDEX($A435:$BM435,,$BV$25)*$BW$25+
INDEX($A435:$BM435,,$BV$26)*$BW$26+
INDEX($A435:$BM435,,$BV$27)*$BW$27+
$BN435)),
$BN435-100)</f>
        <v>-100</v>
      </c>
      <c r="BF435" t="str">
        <f t="shared" si="88"/>
        <v/>
      </c>
      <c r="BG435" t="str">
        <f t="shared" si="89"/>
        <v/>
      </c>
      <c r="BH435">
        <f t="shared" si="90"/>
        <v>0</v>
      </c>
      <c r="BJ435" t="str">
        <f t="shared" si="91"/>
        <v/>
      </c>
      <c r="BL435">
        <f t="shared" si="93"/>
        <v>0</v>
      </c>
      <c r="BN435">
        <v>4.3400000000000001E-3</v>
      </c>
      <c r="BS435" s="4" t="s">
        <v>2307</v>
      </c>
    </row>
    <row r="436" spans="1:71" ht="15.75" thickBot="1" x14ac:dyDescent="0.3">
      <c r="A436" s="569" t="s">
        <v>2151</v>
      </c>
      <c r="B436" s="569" t="s">
        <v>137</v>
      </c>
      <c r="C436" s="569" t="s">
        <v>6</v>
      </c>
      <c r="D436" s="574">
        <v>10</v>
      </c>
      <c r="E436" s="569"/>
      <c r="F436" s="569"/>
      <c r="G436" s="569"/>
      <c r="H436" s="569"/>
      <c r="I436" s="574">
        <v>0</v>
      </c>
      <c r="J436" s="574">
        <v>0</v>
      </c>
      <c r="K436" s="574">
        <v>0</v>
      </c>
      <c r="L436" s="574">
        <v>17.7</v>
      </c>
      <c r="M436" s="574">
        <v>1.1000000000000001</v>
      </c>
      <c r="N436" s="574">
        <v>225.9</v>
      </c>
      <c r="O436" s="574">
        <v>0.6</v>
      </c>
      <c r="P436" s="574">
        <v>0</v>
      </c>
      <c r="Q436" s="574">
        <v>1.8</v>
      </c>
      <c r="R436" s="569"/>
      <c r="S436" s="569"/>
      <c r="T436" s="569"/>
      <c r="U436" s="569"/>
      <c r="V436" s="569"/>
      <c r="W436" s="569"/>
      <c r="X436" s="569"/>
      <c r="Y436" s="569"/>
      <c r="Z436" s="569"/>
      <c r="AA436" s="569"/>
      <c r="AB436" s="569"/>
      <c r="AC436" s="569"/>
      <c r="AD436" s="569"/>
      <c r="AE436" s="569"/>
      <c r="AF436" s="569"/>
      <c r="AG436" s="569"/>
      <c r="AH436" s="569"/>
      <c r="AI436" s="569"/>
      <c r="AJ436" s="569"/>
      <c r="AK436" s="569"/>
      <c r="AL436" s="569"/>
      <c r="AM436" s="569"/>
      <c r="AN436" s="574">
        <v>28.4</v>
      </c>
      <c r="AO436">
        <v>435</v>
      </c>
      <c r="AP436" t="str">
        <f t="shared" si="92"/>
        <v/>
      </c>
      <c r="AQ436" t="str">
        <f t="shared" si="82"/>
        <v/>
      </c>
      <c r="AR436" s="430">
        <f>IFERROR(
IF(AP436="",-100,
IF($BV$2&gt;0, INDEX(Beersheet!$A:$U,MATCH(AP436,INDEX(Beersheet!$A:$U,0,FFARawStatProjections!$BV$2),0),$BV$3)+$BN436,
INDEX($A436:$BM436,,$BV$12)*$BW$12+
INDEX($A436:$BM436,,$BV$15)*$BW$15+
INDEX($A436:$BM436,,$BV$16)*$BW$16+
INDEX($A436:$BM436,,$BV$17)*$BW$17+
INDEX($A436:$BM436,,$BV$18)*$BW$18+
INDEX($A436:$BM436,,$BV$19)*$BW$19+
INDEX($A436:$BM436,,$BV$20)*$BW$20+
INDEX($A436:$BM436,,$BV$21)*$BW$21+
INDEX($A436:$BM436,,$BV$22)*$BW$22+
INDEX($A436:$BM436,,$BV$23)*$BW$23+
INDEX($A436:$BM436,,$BV$25)*$BW$25+
INDEX($A436:$BM436,,$BV$26)*$BW$26+
INDEX($A436:$BM436,,$BV$27)*$BW$27+
$BN436)),
$BN436-100)</f>
        <v>-100</v>
      </c>
      <c r="AT436" t="str">
        <f t="shared" si="83"/>
        <v/>
      </c>
      <c r="AU436" t="str">
        <f t="shared" si="84"/>
        <v/>
      </c>
      <c r="AV436" s="430">
        <f>IFERROR(
IF(AT436="",-100,
IF($BV$2&gt;0, INDEX(Beersheet!$A:$U,MATCH(AT436,INDEX(Beersheet!$A:$U,0,FFARawStatProjections!$BV$2),0),$BV$3)+$BN436,
INDEX($A436:$BM436,,$BV$12)*$BW$12+
INDEX($A436:$BM436,,$BV$15)*$BW$15+
INDEX($A436:$BM436,,$BV$16)*$BW$16+
INDEX($A436:$BM436,,$BV$17)*$BW$17+
INDEX($A436:$BM436,,$BV$18)*$BW$18+
INDEX($A436:$BM436,,$BV$19)*$BW$19+
INDEX($A436:$BM436,,$BV$20)*$BW$20+
INDEX($A436:$BM436,,$BV$21)*$BW$21+
INDEX($A436:$BM436,,$BV$22)*$BW$22+
INDEX($A436:$BM436,,$BV$23)*$BW$23+
INDEX($A436:$BM436,,$BV$25)*$BW$25+
INDEX($A436:$BM436,,$BV$26)*$BW$26+
INDEX($A436:$BM436,,$BV$27)*$BW$27+
$BN436)),
$BN436-100)</f>
        <v>-100</v>
      </c>
      <c r="AX436" t="str">
        <f t="shared" si="85"/>
        <v>Olamide Zaccheaus</v>
      </c>
      <c r="AY436" t="str">
        <f t="shared" si="86"/>
        <v>PHI</v>
      </c>
      <c r="AZ436" s="430">
        <f>IFERROR(
IF(AX436="",-100,
IF($BV$2&gt;0, INDEX(Beersheet!$A:$U,MATCH(AX436,INDEX(Beersheet!$A:$U,0,FFARawStatProjections!$BV$2),0),$BV$3)+$BN436,
INDEX($A436:$BM436,,$BV$12)*$BW$12+
INDEX($A436:$BM436,,$BV$15)*$BW$15+
INDEX($A436:$BM436,,$BV$16)*$BW$16+
INDEX($A436:$BM436,,$BV$17)*$BW$17+
INDEX($A436:$BM436,,$BV$18)*$BW$18+
INDEX($A436:$BM436,,$BV$19)*$BW$19+
INDEX($A436:$BM436,,$BV$20)*$BW$20+
INDEX($A436:$BM436,,$BV$21)*$BW$21+
INDEX($A436:$BM436,,$BV$22)*$BW$22+
INDEX($A436:$BM436,,$BV$23)*$BW$23+
INDEX($A436:$BM436,,$BV$25)*$BW$25+
INDEX($A436:$BM436,,$BV$26)*$BW$26+
INDEX($A436:$BM436,,$BV$27)*$BW$27+
$BN436)),
$BN436-100)</f>
        <v>47.074350000000003</v>
      </c>
      <c r="BB436" t="str">
        <f t="shared" si="87"/>
        <v/>
      </c>
      <c r="BC436" t="str">
        <f t="shared" si="81"/>
        <v/>
      </c>
      <c r="BD436" s="430">
        <f>IFERROR(
IF(BB436="",-100,
IF($BV$2&gt;0, INDEX(Beersheet!$A:$U,MATCH(BB436,INDEX(Beersheet!$A:$U,0,FFARawStatProjections!$BV$2),0),$BV$3)+$BN436,
INDEX($A436:$BM436,,$BV$12)*$BW$12+
INDEX($A436:$BM436,,$BV$15)*$BW$15+
INDEX($A436:$BM436,,$BV$16)*$BW$16+
INDEX($A436:$BM436,,$BV$17)*$BW$17+
INDEX($A436:$BM436,,$BV$18)*$BW$18+
INDEX($A436:$BM436,,$BV$19)*$BW$19+
INDEX($A436:$BM436,,$BV$20)*$BW$20+
INDEX($A436:$BM436,,$BV$21)*$BW$21+
INDEX($A436:$BM436,,$BV$22)*$BW$22+
INDEX($A436:$BM436,,$BV$23)*$BW$23+
INDEX($A436:$BM436,,$BV$25)*$BW$25+
INDEX($A436:$BM436,,$BV$26)*$BW$26+
INDEX($A436:$BM436,,$BV$27)*$BW$27+
$BN436)),
$BN436-100)</f>
        <v>-100</v>
      </c>
      <c r="BF436" t="str">
        <f t="shared" si="88"/>
        <v/>
      </c>
      <c r="BG436" t="str">
        <f t="shared" si="89"/>
        <v/>
      </c>
      <c r="BH436">
        <f t="shared" si="90"/>
        <v>0</v>
      </c>
      <c r="BJ436" t="str">
        <f t="shared" si="91"/>
        <v/>
      </c>
      <c r="BL436">
        <f t="shared" si="93"/>
        <v>0</v>
      </c>
      <c r="BN436">
        <v>4.3499999999999997E-3</v>
      </c>
      <c r="BS436" s="4" t="s">
        <v>2266</v>
      </c>
    </row>
    <row r="437" spans="1:71" ht="15.75" thickBot="1" x14ac:dyDescent="0.3">
      <c r="A437" s="569" t="s">
        <v>1970</v>
      </c>
      <c r="B437" s="569" t="s">
        <v>156</v>
      </c>
      <c r="C437" s="569" t="s">
        <v>6</v>
      </c>
      <c r="D437" s="574">
        <v>13</v>
      </c>
      <c r="E437" s="569"/>
      <c r="F437" s="569"/>
      <c r="G437" s="569"/>
      <c r="H437" s="569"/>
      <c r="I437" s="574">
        <v>0</v>
      </c>
      <c r="J437" s="574">
        <v>0</v>
      </c>
      <c r="K437" s="574">
        <v>0</v>
      </c>
      <c r="L437" s="574">
        <v>15.4</v>
      </c>
      <c r="M437" s="574">
        <v>1.1000000000000001</v>
      </c>
      <c r="N437" s="574">
        <v>214.1</v>
      </c>
      <c r="O437" s="574">
        <v>0</v>
      </c>
      <c r="P437" s="574">
        <v>0</v>
      </c>
      <c r="Q437" s="574">
        <v>0.6</v>
      </c>
      <c r="R437" s="569"/>
      <c r="S437" s="569"/>
      <c r="T437" s="569"/>
      <c r="U437" s="569"/>
      <c r="V437" s="569"/>
      <c r="W437" s="569"/>
      <c r="X437" s="569"/>
      <c r="Y437" s="569"/>
      <c r="Z437" s="569"/>
      <c r="AA437" s="569"/>
      <c r="AB437" s="569"/>
      <c r="AC437" s="569"/>
      <c r="AD437" s="569"/>
      <c r="AE437" s="569"/>
      <c r="AF437" s="569"/>
      <c r="AG437" s="569"/>
      <c r="AH437" s="569"/>
      <c r="AI437" s="569"/>
      <c r="AJ437" s="569"/>
      <c r="AK437" s="569"/>
      <c r="AL437" s="569"/>
      <c r="AM437" s="569"/>
      <c r="AN437" s="574">
        <v>27.8</v>
      </c>
      <c r="AO437">
        <v>436</v>
      </c>
      <c r="AP437" t="str">
        <f t="shared" si="92"/>
        <v/>
      </c>
      <c r="AQ437" t="str">
        <f t="shared" si="82"/>
        <v/>
      </c>
      <c r="AR437" s="430">
        <f>IFERROR(
IF(AP437="",-100,
IF($BV$2&gt;0, INDEX(Beersheet!$A:$U,MATCH(AP437,INDEX(Beersheet!$A:$U,0,FFARawStatProjections!$BV$2),0),$BV$3)+$BN437,
INDEX($A437:$BM437,,$BV$12)*$BW$12+
INDEX($A437:$BM437,,$BV$15)*$BW$15+
INDEX($A437:$BM437,,$BV$16)*$BW$16+
INDEX($A437:$BM437,,$BV$17)*$BW$17+
INDEX($A437:$BM437,,$BV$18)*$BW$18+
INDEX($A437:$BM437,,$BV$19)*$BW$19+
INDEX($A437:$BM437,,$BV$20)*$BW$20+
INDEX($A437:$BM437,,$BV$21)*$BW$21+
INDEX($A437:$BM437,,$BV$22)*$BW$22+
INDEX($A437:$BM437,,$BV$23)*$BW$23+
INDEX($A437:$BM437,,$BV$25)*$BW$25+
INDEX($A437:$BM437,,$BV$26)*$BW$26+
INDEX($A437:$BM437,,$BV$27)*$BW$27+
$BN437)),
$BN437-100)</f>
        <v>-100</v>
      </c>
      <c r="AT437" t="str">
        <f t="shared" si="83"/>
        <v/>
      </c>
      <c r="AU437" t="str">
        <f t="shared" si="84"/>
        <v/>
      </c>
      <c r="AV437" s="430">
        <f>IFERROR(
IF(AT437="",-100,
IF($BV$2&gt;0, INDEX(Beersheet!$A:$U,MATCH(AT437,INDEX(Beersheet!$A:$U,0,FFARawStatProjections!$BV$2),0),$BV$3)+$BN437,
INDEX($A437:$BM437,,$BV$12)*$BW$12+
INDEX($A437:$BM437,,$BV$15)*$BW$15+
INDEX($A437:$BM437,,$BV$16)*$BW$16+
INDEX($A437:$BM437,,$BV$17)*$BW$17+
INDEX($A437:$BM437,,$BV$18)*$BW$18+
INDEX($A437:$BM437,,$BV$19)*$BW$19+
INDEX($A437:$BM437,,$BV$20)*$BW$20+
INDEX($A437:$BM437,,$BV$21)*$BW$21+
INDEX($A437:$BM437,,$BV$22)*$BW$22+
INDEX($A437:$BM437,,$BV$23)*$BW$23+
INDEX($A437:$BM437,,$BV$25)*$BW$25+
INDEX($A437:$BM437,,$BV$26)*$BW$26+
INDEX($A437:$BM437,,$BV$27)*$BW$27+
$BN437)),
$BN437-100)</f>
        <v>-100</v>
      </c>
      <c r="AX437" t="str">
        <f t="shared" si="85"/>
        <v>Trent Sherfield</v>
      </c>
      <c r="AY437" t="str">
        <f t="shared" si="86"/>
        <v>BUF</v>
      </c>
      <c r="AZ437" s="430">
        <f>IFERROR(
IF(AX437="",-100,
IF($BV$2&gt;0, INDEX(Beersheet!$A:$U,MATCH(AX437,INDEX(Beersheet!$A:$U,0,FFARawStatProjections!$BV$2),0),$BV$3)+$BN437,
INDEX($A437:$BM437,,$BV$12)*$BW$12+
INDEX($A437:$BM437,,$BV$15)*$BW$15+
INDEX($A437:$BM437,,$BV$16)*$BW$16+
INDEX($A437:$BM437,,$BV$17)*$BW$17+
INDEX($A437:$BM437,,$BV$18)*$BW$18+
INDEX($A437:$BM437,,$BV$19)*$BW$19+
INDEX($A437:$BM437,,$BV$20)*$BW$20+
INDEX($A437:$BM437,,$BV$21)*$BW$21+
INDEX($A437:$BM437,,$BV$22)*$BW$22+
INDEX($A437:$BM437,,$BV$23)*$BW$23+
INDEX($A437:$BM437,,$BV$25)*$BW$25+
INDEX($A437:$BM437,,$BV$26)*$BW$26+
INDEX($A437:$BM437,,$BV$27)*$BW$27+
$BN437)),
$BN437-100)</f>
        <v>43.474359999999997</v>
      </c>
      <c r="BB437" t="str">
        <f t="shared" si="87"/>
        <v/>
      </c>
      <c r="BC437" t="str">
        <f t="shared" si="81"/>
        <v/>
      </c>
      <c r="BD437" s="430">
        <f>IFERROR(
IF(BB437="",-100,
IF($BV$2&gt;0, INDEX(Beersheet!$A:$U,MATCH(BB437,INDEX(Beersheet!$A:$U,0,FFARawStatProjections!$BV$2),0),$BV$3)+$BN437,
INDEX($A437:$BM437,,$BV$12)*$BW$12+
INDEX($A437:$BM437,,$BV$15)*$BW$15+
INDEX($A437:$BM437,,$BV$16)*$BW$16+
INDEX($A437:$BM437,,$BV$17)*$BW$17+
INDEX($A437:$BM437,,$BV$18)*$BW$18+
INDEX($A437:$BM437,,$BV$19)*$BW$19+
INDEX($A437:$BM437,,$BV$20)*$BW$20+
INDEX($A437:$BM437,,$BV$21)*$BW$21+
INDEX($A437:$BM437,,$BV$22)*$BW$22+
INDEX($A437:$BM437,,$BV$23)*$BW$23+
INDEX($A437:$BM437,,$BV$25)*$BW$25+
INDEX($A437:$BM437,,$BV$26)*$BW$26+
INDEX($A437:$BM437,,$BV$27)*$BW$27+
$BN437)),
$BN437-100)</f>
        <v>-100</v>
      </c>
      <c r="BF437" t="str">
        <f t="shared" si="88"/>
        <v/>
      </c>
      <c r="BG437" t="str">
        <f t="shared" si="89"/>
        <v/>
      </c>
      <c r="BH437">
        <f t="shared" si="90"/>
        <v>0</v>
      </c>
      <c r="BJ437" t="str">
        <f t="shared" si="91"/>
        <v/>
      </c>
      <c r="BL437">
        <f t="shared" si="93"/>
        <v>0</v>
      </c>
      <c r="BN437">
        <v>4.3600000000000002E-3</v>
      </c>
      <c r="BS437" s="4" t="s">
        <v>2231</v>
      </c>
    </row>
    <row r="438" spans="1:71" ht="15.75" thickBot="1" x14ac:dyDescent="0.3">
      <c r="A438" s="569" t="s">
        <v>2344</v>
      </c>
      <c r="B438" s="569" t="s">
        <v>163</v>
      </c>
      <c r="C438" s="569" t="s">
        <v>6</v>
      </c>
      <c r="D438" s="574">
        <v>7</v>
      </c>
      <c r="E438" s="569"/>
      <c r="F438" s="569"/>
      <c r="G438" s="569"/>
      <c r="H438" s="569"/>
      <c r="I438" s="574">
        <v>0</v>
      </c>
      <c r="J438" s="574">
        <v>0</v>
      </c>
      <c r="K438" s="574">
        <v>0</v>
      </c>
      <c r="L438" s="574">
        <v>16.3</v>
      </c>
      <c r="M438" s="574">
        <v>0.8</v>
      </c>
      <c r="N438" s="574">
        <v>224.2</v>
      </c>
      <c r="O438" s="574">
        <v>0.7</v>
      </c>
      <c r="P438" s="574">
        <v>0</v>
      </c>
      <c r="Q438" s="574">
        <v>3.8</v>
      </c>
      <c r="R438" s="569"/>
      <c r="S438" s="569"/>
      <c r="T438" s="569"/>
      <c r="U438" s="569"/>
      <c r="V438" s="569"/>
      <c r="W438" s="569"/>
      <c r="X438" s="569"/>
      <c r="Y438" s="569"/>
      <c r="Z438" s="569"/>
      <c r="AA438" s="569"/>
      <c r="AB438" s="569"/>
      <c r="AC438" s="569"/>
      <c r="AD438" s="569"/>
      <c r="AE438" s="569"/>
      <c r="AF438" s="569"/>
      <c r="AG438" s="569"/>
      <c r="AH438" s="569"/>
      <c r="AI438" s="569"/>
      <c r="AJ438" s="569"/>
      <c r="AK438" s="569"/>
      <c r="AL438" s="569"/>
      <c r="AM438" s="569"/>
      <c r="AN438" s="574">
        <v>27.4</v>
      </c>
      <c r="AO438">
        <v>437</v>
      </c>
      <c r="AP438" t="str">
        <f t="shared" si="92"/>
        <v/>
      </c>
      <c r="AQ438" t="str">
        <f t="shared" si="82"/>
        <v/>
      </c>
      <c r="AR438" s="430">
        <f>IFERROR(
IF(AP438="",-100,
IF($BV$2&gt;0, INDEX(Beersheet!$A:$U,MATCH(AP438,INDEX(Beersheet!$A:$U,0,FFARawStatProjections!$BV$2),0),$BV$3)+$BN438,
INDEX($A438:$BM438,,$BV$12)*$BW$12+
INDEX($A438:$BM438,,$BV$15)*$BW$15+
INDEX($A438:$BM438,,$BV$16)*$BW$16+
INDEX($A438:$BM438,,$BV$17)*$BW$17+
INDEX($A438:$BM438,,$BV$18)*$BW$18+
INDEX($A438:$BM438,,$BV$19)*$BW$19+
INDEX($A438:$BM438,,$BV$20)*$BW$20+
INDEX($A438:$BM438,,$BV$21)*$BW$21+
INDEX($A438:$BM438,,$BV$22)*$BW$22+
INDEX($A438:$BM438,,$BV$23)*$BW$23+
INDEX($A438:$BM438,,$BV$25)*$BW$25+
INDEX($A438:$BM438,,$BV$26)*$BW$26+
INDEX($A438:$BM438,,$BV$27)*$BW$27+
$BN438)),
$BN438-100)</f>
        <v>-100</v>
      </c>
      <c r="AT438" t="str">
        <f t="shared" si="83"/>
        <v/>
      </c>
      <c r="AU438" t="str">
        <f t="shared" si="84"/>
        <v/>
      </c>
      <c r="AV438" s="430">
        <f>IFERROR(
IF(AT438="",-100,
IF($BV$2&gt;0, INDEX(Beersheet!$A:$U,MATCH(AT438,INDEX(Beersheet!$A:$U,0,FFARawStatProjections!$BV$2),0),$BV$3)+$BN438,
INDEX($A438:$BM438,,$BV$12)*$BW$12+
INDEX($A438:$BM438,,$BV$15)*$BW$15+
INDEX($A438:$BM438,,$BV$16)*$BW$16+
INDEX($A438:$BM438,,$BV$17)*$BW$17+
INDEX($A438:$BM438,,$BV$18)*$BW$18+
INDEX($A438:$BM438,,$BV$19)*$BW$19+
INDEX($A438:$BM438,,$BV$20)*$BW$20+
INDEX($A438:$BM438,,$BV$21)*$BW$21+
INDEX($A438:$BM438,,$BV$22)*$BW$22+
INDEX($A438:$BM438,,$BV$23)*$BW$23+
INDEX($A438:$BM438,,$BV$25)*$BW$25+
INDEX($A438:$BM438,,$BV$26)*$BW$26+
INDEX($A438:$BM438,,$BV$27)*$BW$27+
$BN438)),
$BN438-100)</f>
        <v>-100</v>
      </c>
      <c r="AX438" t="str">
        <f t="shared" si="85"/>
        <v>Kyle Philips</v>
      </c>
      <c r="AY438" t="str">
        <f t="shared" si="86"/>
        <v>TEN</v>
      </c>
      <c r="AZ438" s="430">
        <f>IFERROR(
IF(AX438="",-100,
IF($BV$2&gt;0, INDEX(Beersheet!$A:$U,MATCH(AX438,INDEX(Beersheet!$A:$U,0,FFARawStatProjections!$BV$2),0),$BV$3)+$BN438,
INDEX($A438:$BM438,,$BV$12)*$BW$12+
INDEX($A438:$BM438,,$BV$15)*$BW$15+
INDEX($A438:$BM438,,$BV$16)*$BW$16+
INDEX($A438:$BM438,,$BV$17)*$BW$17+
INDEX($A438:$BM438,,$BV$18)*$BW$18+
INDEX($A438:$BM438,,$BV$19)*$BW$19+
INDEX($A438:$BM438,,$BV$20)*$BW$20+
INDEX($A438:$BM438,,$BV$21)*$BW$21+
INDEX($A438:$BM438,,$BV$22)*$BW$22+
INDEX($A438:$BM438,,$BV$23)*$BW$23+
INDEX($A438:$BM438,,$BV$25)*$BW$25+
INDEX($A438:$BM438,,$BV$26)*$BW$26+
INDEX($A438:$BM438,,$BV$27)*$BW$27+
$BN438)),
$BN438-100)</f>
        <v>43.904370000000007</v>
      </c>
      <c r="BB438" t="str">
        <f t="shared" si="87"/>
        <v/>
      </c>
      <c r="BC438" t="str">
        <f t="shared" si="81"/>
        <v/>
      </c>
      <c r="BD438" s="430">
        <f>IFERROR(
IF(BB438="",-100,
IF($BV$2&gt;0, INDEX(Beersheet!$A:$U,MATCH(BB438,INDEX(Beersheet!$A:$U,0,FFARawStatProjections!$BV$2),0),$BV$3)+$BN438,
INDEX($A438:$BM438,,$BV$12)*$BW$12+
INDEX($A438:$BM438,,$BV$15)*$BW$15+
INDEX($A438:$BM438,,$BV$16)*$BW$16+
INDEX($A438:$BM438,,$BV$17)*$BW$17+
INDEX($A438:$BM438,,$BV$18)*$BW$18+
INDEX($A438:$BM438,,$BV$19)*$BW$19+
INDEX($A438:$BM438,,$BV$20)*$BW$20+
INDEX($A438:$BM438,,$BV$21)*$BW$21+
INDEX($A438:$BM438,,$BV$22)*$BW$22+
INDEX($A438:$BM438,,$BV$23)*$BW$23+
INDEX($A438:$BM438,,$BV$25)*$BW$25+
INDEX($A438:$BM438,,$BV$26)*$BW$26+
INDEX($A438:$BM438,,$BV$27)*$BW$27+
$BN438)),
$BN438-100)</f>
        <v>-100</v>
      </c>
      <c r="BF438" t="str">
        <f t="shared" si="88"/>
        <v/>
      </c>
      <c r="BG438" t="str">
        <f t="shared" si="89"/>
        <v/>
      </c>
      <c r="BH438">
        <f t="shared" si="90"/>
        <v>0</v>
      </c>
      <c r="BJ438" t="str">
        <f t="shared" si="91"/>
        <v/>
      </c>
      <c r="BL438">
        <f t="shared" si="93"/>
        <v>0</v>
      </c>
      <c r="BN438">
        <v>4.3699999999999998E-3</v>
      </c>
      <c r="BS438" s="4" t="s">
        <v>2191</v>
      </c>
    </row>
    <row r="439" spans="1:71" ht="15.75" thickBot="1" x14ac:dyDescent="0.3">
      <c r="A439" s="569" t="s">
        <v>40</v>
      </c>
      <c r="B439" s="569" t="s">
        <v>164</v>
      </c>
      <c r="C439" s="569" t="s">
        <v>6</v>
      </c>
      <c r="D439" s="574">
        <v>7</v>
      </c>
      <c r="E439" s="569"/>
      <c r="F439" s="569"/>
      <c r="G439" s="569"/>
      <c r="H439" s="569"/>
      <c r="I439" s="574">
        <v>0</v>
      </c>
      <c r="J439" s="574">
        <v>0</v>
      </c>
      <c r="K439" s="574">
        <v>0</v>
      </c>
      <c r="L439" s="574">
        <v>17.100000000000001</v>
      </c>
      <c r="M439" s="574">
        <v>1.1000000000000001</v>
      </c>
      <c r="N439" s="574">
        <v>197.7</v>
      </c>
      <c r="O439" s="574">
        <v>0.1</v>
      </c>
      <c r="P439" s="574">
        <v>0</v>
      </c>
      <c r="Q439" s="574">
        <v>0.5</v>
      </c>
      <c r="R439" s="569"/>
      <c r="S439" s="569"/>
      <c r="T439" s="569"/>
      <c r="U439" s="569"/>
      <c r="V439" s="569"/>
      <c r="W439" s="569"/>
      <c r="X439" s="569"/>
      <c r="Y439" s="569"/>
      <c r="Z439" s="569"/>
      <c r="AA439" s="569"/>
      <c r="AB439" s="569"/>
      <c r="AC439" s="569"/>
      <c r="AD439" s="569"/>
      <c r="AE439" s="569"/>
      <c r="AF439" s="569"/>
      <c r="AG439" s="569"/>
      <c r="AH439" s="569"/>
      <c r="AI439" s="569"/>
      <c r="AJ439" s="569"/>
      <c r="AK439" s="569"/>
      <c r="AL439" s="569"/>
      <c r="AM439" s="569"/>
      <c r="AN439" s="574">
        <v>26.1</v>
      </c>
      <c r="AO439">
        <v>438</v>
      </c>
      <c r="AP439" t="str">
        <f t="shared" si="92"/>
        <v/>
      </c>
      <c r="AQ439" t="str">
        <f t="shared" si="82"/>
        <v/>
      </c>
      <c r="AR439" s="430">
        <f>IFERROR(
IF(AP439="",-100,
IF($BV$2&gt;0, INDEX(Beersheet!$A:$U,MATCH(AP439,INDEX(Beersheet!$A:$U,0,FFARawStatProjections!$BV$2),0),$BV$3)+$BN439,
INDEX($A439:$BM439,,$BV$12)*$BW$12+
INDEX($A439:$BM439,,$BV$15)*$BW$15+
INDEX($A439:$BM439,,$BV$16)*$BW$16+
INDEX($A439:$BM439,,$BV$17)*$BW$17+
INDEX($A439:$BM439,,$BV$18)*$BW$18+
INDEX($A439:$BM439,,$BV$19)*$BW$19+
INDEX($A439:$BM439,,$BV$20)*$BW$20+
INDEX($A439:$BM439,,$BV$21)*$BW$21+
INDEX($A439:$BM439,,$BV$22)*$BW$22+
INDEX($A439:$BM439,,$BV$23)*$BW$23+
INDEX($A439:$BM439,,$BV$25)*$BW$25+
INDEX($A439:$BM439,,$BV$26)*$BW$26+
INDEX($A439:$BM439,,$BV$27)*$BW$27+
$BN439)),
$BN439-100)</f>
        <v>-100</v>
      </c>
      <c r="AT439" t="str">
        <f t="shared" si="83"/>
        <v/>
      </c>
      <c r="AU439" t="str">
        <f t="shared" si="84"/>
        <v/>
      </c>
      <c r="AV439" s="430">
        <f>IFERROR(
IF(AT439="",-100,
IF($BV$2&gt;0, INDEX(Beersheet!$A:$U,MATCH(AT439,INDEX(Beersheet!$A:$U,0,FFARawStatProjections!$BV$2),0),$BV$3)+$BN439,
INDEX($A439:$BM439,,$BV$12)*$BW$12+
INDEX($A439:$BM439,,$BV$15)*$BW$15+
INDEX($A439:$BM439,,$BV$16)*$BW$16+
INDEX($A439:$BM439,,$BV$17)*$BW$17+
INDEX($A439:$BM439,,$BV$18)*$BW$18+
INDEX($A439:$BM439,,$BV$19)*$BW$19+
INDEX($A439:$BM439,,$BV$20)*$BW$20+
INDEX($A439:$BM439,,$BV$21)*$BW$21+
INDEX($A439:$BM439,,$BV$22)*$BW$22+
INDEX($A439:$BM439,,$BV$23)*$BW$23+
INDEX($A439:$BM439,,$BV$25)*$BW$25+
INDEX($A439:$BM439,,$BV$26)*$BW$26+
INDEX($A439:$BM439,,$BV$27)*$BW$27+
$BN439)),
$BN439-100)</f>
        <v>-100</v>
      </c>
      <c r="AX439" t="str">
        <f t="shared" si="85"/>
        <v>Randall Cobb</v>
      </c>
      <c r="AY439" t="str">
        <f t="shared" si="86"/>
        <v>NYJ</v>
      </c>
      <c r="AZ439" s="430">
        <f>IFERROR(
IF(AX439="",-100,
IF($BV$2&gt;0, INDEX(Beersheet!$A:$U,MATCH(AX439,INDEX(Beersheet!$A:$U,0,FFARawStatProjections!$BV$2),0),$BV$3)+$BN439,
INDEX($A439:$BM439,,$BV$12)*$BW$12+
INDEX($A439:$BM439,,$BV$15)*$BW$15+
INDEX($A439:$BM439,,$BV$16)*$BW$16+
INDEX($A439:$BM439,,$BV$17)*$BW$17+
INDEX($A439:$BM439,,$BV$18)*$BW$18+
INDEX($A439:$BM439,,$BV$19)*$BW$19+
INDEX($A439:$BM439,,$BV$20)*$BW$20+
INDEX($A439:$BM439,,$BV$21)*$BW$21+
INDEX($A439:$BM439,,$BV$22)*$BW$22+
INDEX($A439:$BM439,,$BV$23)*$BW$23+
INDEX($A439:$BM439,,$BV$25)*$BW$25+
INDEX($A439:$BM439,,$BV$26)*$BW$26+
INDEX($A439:$BM439,,$BV$27)*$BW$27+
$BN439)),
$BN439-100)</f>
        <v>43.524379999999994</v>
      </c>
      <c r="BB439" t="str">
        <f t="shared" si="87"/>
        <v/>
      </c>
      <c r="BC439" t="str">
        <f t="shared" si="81"/>
        <v/>
      </c>
      <c r="BD439" s="430">
        <f>IFERROR(
IF(BB439="",-100,
IF($BV$2&gt;0, INDEX(Beersheet!$A:$U,MATCH(BB439,INDEX(Beersheet!$A:$U,0,FFARawStatProjections!$BV$2),0),$BV$3)+$BN439,
INDEX($A439:$BM439,,$BV$12)*$BW$12+
INDEX($A439:$BM439,,$BV$15)*$BW$15+
INDEX($A439:$BM439,,$BV$16)*$BW$16+
INDEX($A439:$BM439,,$BV$17)*$BW$17+
INDEX($A439:$BM439,,$BV$18)*$BW$18+
INDEX($A439:$BM439,,$BV$19)*$BW$19+
INDEX($A439:$BM439,,$BV$20)*$BW$20+
INDEX($A439:$BM439,,$BV$21)*$BW$21+
INDEX($A439:$BM439,,$BV$22)*$BW$22+
INDEX($A439:$BM439,,$BV$23)*$BW$23+
INDEX($A439:$BM439,,$BV$25)*$BW$25+
INDEX($A439:$BM439,,$BV$26)*$BW$26+
INDEX($A439:$BM439,,$BV$27)*$BW$27+
$BN439)),
$BN439-100)</f>
        <v>-100</v>
      </c>
      <c r="BF439" t="str">
        <f t="shared" si="88"/>
        <v/>
      </c>
      <c r="BG439" t="str">
        <f t="shared" si="89"/>
        <v/>
      </c>
      <c r="BH439">
        <f t="shared" si="90"/>
        <v>0</v>
      </c>
      <c r="BJ439" t="str">
        <f t="shared" si="91"/>
        <v/>
      </c>
      <c r="BL439">
        <f t="shared" si="93"/>
        <v>0</v>
      </c>
      <c r="BN439">
        <v>4.3800000000000002E-3</v>
      </c>
      <c r="BS439" s="4" t="s">
        <v>2342</v>
      </c>
    </row>
    <row r="440" spans="1:71" ht="15.75" thickBot="1" x14ac:dyDescent="0.3">
      <c r="A440" s="569" t="s">
        <v>2212</v>
      </c>
      <c r="B440" s="569" t="s">
        <v>165</v>
      </c>
      <c r="C440" s="569" t="s">
        <v>6</v>
      </c>
      <c r="D440" s="574">
        <v>9</v>
      </c>
      <c r="E440" s="569"/>
      <c r="F440" s="569"/>
      <c r="G440" s="569"/>
      <c r="H440" s="569"/>
      <c r="I440" s="574">
        <v>0</v>
      </c>
      <c r="J440" s="574">
        <v>0</v>
      </c>
      <c r="K440" s="574">
        <v>0</v>
      </c>
      <c r="L440" s="574">
        <v>15.9</v>
      </c>
      <c r="M440" s="574">
        <v>0.8</v>
      </c>
      <c r="N440" s="574">
        <v>147.5</v>
      </c>
      <c r="O440" s="574">
        <v>5.7</v>
      </c>
      <c r="P440" s="574">
        <v>0.3</v>
      </c>
      <c r="Q440" s="574">
        <v>50.6</v>
      </c>
      <c r="R440" s="569"/>
      <c r="S440" s="569"/>
      <c r="T440" s="569"/>
      <c r="U440" s="569"/>
      <c r="V440" s="569"/>
      <c r="W440" s="569"/>
      <c r="X440" s="569"/>
      <c r="Y440" s="569"/>
      <c r="Z440" s="569"/>
      <c r="AA440" s="569"/>
      <c r="AB440" s="569"/>
      <c r="AC440" s="569"/>
      <c r="AD440" s="569"/>
      <c r="AE440" s="569"/>
      <c r="AF440" s="569"/>
      <c r="AG440" s="569"/>
      <c r="AH440" s="569"/>
      <c r="AI440" s="569"/>
      <c r="AJ440" s="569"/>
      <c r="AK440" s="569"/>
      <c r="AL440" s="569"/>
      <c r="AM440" s="569"/>
      <c r="AN440" s="574">
        <v>26.1</v>
      </c>
      <c r="AO440">
        <v>439</v>
      </c>
      <c r="AP440" t="str">
        <f t="shared" si="92"/>
        <v/>
      </c>
      <c r="AQ440" t="str">
        <f t="shared" si="82"/>
        <v/>
      </c>
      <c r="AR440" s="430">
        <f>IFERROR(
IF(AP440="",-100,
IF($BV$2&gt;0, INDEX(Beersheet!$A:$U,MATCH(AP440,INDEX(Beersheet!$A:$U,0,FFARawStatProjections!$BV$2),0),$BV$3)+$BN440,
INDEX($A440:$BM440,,$BV$12)*$BW$12+
INDEX($A440:$BM440,,$BV$15)*$BW$15+
INDEX($A440:$BM440,,$BV$16)*$BW$16+
INDEX($A440:$BM440,,$BV$17)*$BW$17+
INDEX($A440:$BM440,,$BV$18)*$BW$18+
INDEX($A440:$BM440,,$BV$19)*$BW$19+
INDEX($A440:$BM440,,$BV$20)*$BW$20+
INDEX($A440:$BM440,,$BV$21)*$BW$21+
INDEX($A440:$BM440,,$BV$22)*$BW$22+
INDEX($A440:$BM440,,$BV$23)*$BW$23+
INDEX($A440:$BM440,,$BV$25)*$BW$25+
INDEX($A440:$BM440,,$BV$26)*$BW$26+
INDEX($A440:$BM440,,$BV$27)*$BW$27+
$BN440)),
$BN440-100)</f>
        <v>-100</v>
      </c>
      <c r="AT440" t="str">
        <f t="shared" si="83"/>
        <v/>
      </c>
      <c r="AU440" t="str">
        <f t="shared" si="84"/>
        <v/>
      </c>
      <c r="AV440" s="430">
        <f>IFERROR(
IF(AT440="",-100,
IF($BV$2&gt;0, INDEX(Beersheet!$A:$U,MATCH(AT440,INDEX(Beersheet!$A:$U,0,FFARawStatProjections!$BV$2),0),$BV$3)+$BN440,
INDEX($A440:$BM440,,$BV$12)*$BW$12+
INDEX($A440:$BM440,,$BV$15)*$BW$15+
INDEX($A440:$BM440,,$BV$16)*$BW$16+
INDEX($A440:$BM440,,$BV$17)*$BW$17+
INDEX($A440:$BM440,,$BV$18)*$BW$18+
INDEX($A440:$BM440,,$BV$19)*$BW$19+
INDEX($A440:$BM440,,$BV$20)*$BW$20+
INDEX($A440:$BM440,,$BV$21)*$BW$21+
INDEX($A440:$BM440,,$BV$22)*$BW$22+
INDEX($A440:$BM440,,$BV$23)*$BW$23+
INDEX($A440:$BM440,,$BV$25)*$BW$25+
INDEX($A440:$BM440,,$BV$26)*$BW$26+
INDEX($A440:$BM440,,$BV$27)*$BW$27+
$BN440)),
$BN440-100)</f>
        <v>-100</v>
      </c>
      <c r="AX440" t="str">
        <f t="shared" si="85"/>
        <v>Jamal Agnew</v>
      </c>
      <c r="AY440" t="str">
        <f t="shared" si="86"/>
        <v>JAC</v>
      </c>
      <c r="AZ440" s="430">
        <f>IFERROR(
IF(AX440="",-100,
IF($BV$2&gt;0, INDEX(Beersheet!$A:$U,MATCH(AX440,INDEX(Beersheet!$A:$U,0,FFARawStatProjections!$BV$2),0),$BV$3)+$BN440,
INDEX($A440:$BM440,,$BV$12)*$BW$12+
INDEX($A440:$BM440,,$BV$15)*$BW$15+
INDEX($A440:$BM440,,$BV$16)*$BW$16+
INDEX($A440:$BM440,,$BV$17)*$BW$17+
INDEX($A440:$BM440,,$BV$18)*$BW$18+
INDEX($A440:$BM440,,$BV$19)*$BW$19+
INDEX($A440:$BM440,,$BV$20)*$BW$20+
INDEX($A440:$BM440,,$BV$21)*$BW$21+
INDEX($A440:$BM440,,$BV$22)*$BW$22+
INDEX($A440:$BM440,,$BV$23)*$BW$23+
INDEX($A440:$BM440,,$BV$25)*$BW$25+
INDEX($A440:$BM440,,$BV$26)*$BW$26+
INDEX($A440:$BM440,,$BV$27)*$BW$27+
$BN440)),
$BN440-100)</f>
        <v>42.314390000000003</v>
      </c>
      <c r="BB440" t="str">
        <f t="shared" si="87"/>
        <v/>
      </c>
      <c r="BC440" t="str">
        <f t="shared" si="81"/>
        <v/>
      </c>
      <c r="BD440" s="430">
        <f>IFERROR(
IF(BB440="",-100,
IF($BV$2&gt;0, INDEX(Beersheet!$A:$U,MATCH(BB440,INDEX(Beersheet!$A:$U,0,FFARawStatProjections!$BV$2),0),$BV$3)+$BN440,
INDEX($A440:$BM440,,$BV$12)*$BW$12+
INDEX($A440:$BM440,,$BV$15)*$BW$15+
INDEX($A440:$BM440,,$BV$16)*$BW$16+
INDEX($A440:$BM440,,$BV$17)*$BW$17+
INDEX($A440:$BM440,,$BV$18)*$BW$18+
INDEX($A440:$BM440,,$BV$19)*$BW$19+
INDEX($A440:$BM440,,$BV$20)*$BW$20+
INDEX($A440:$BM440,,$BV$21)*$BW$21+
INDEX($A440:$BM440,,$BV$22)*$BW$22+
INDEX($A440:$BM440,,$BV$23)*$BW$23+
INDEX($A440:$BM440,,$BV$25)*$BW$25+
INDEX($A440:$BM440,,$BV$26)*$BW$26+
INDEX($A440:$BM440,,$BV$27)*$BW$27+
$BN440)),
$BN440-100)</f>
        <v>-100</v>
      </c>
      <c r="BF440" t="str">
        <f t="shared" si="88"/>
        <v/>
      </c>
      <c r="BG440" t="str">
        <f t="shared" si="89"/>
        <v/>
      </c>
      <c r="BH440">
        <f t="shared" si="90"/>
        <v>0</v>
      </c>
      <c r="BJ440" t="str">
        <f t="shared" si="91"/>
        <v/>
      </c>
      <c r="BL440">
        <f t="shared" si="93"/>
        <v>0</v>
      </c>
      <c r="BN440">
        <v>4.3899999999999998E-3</v>
      </c>
      <c r="BS440" s="4" t="s">
        <v>2113</v>
      </c>
    </row>
    <row r="441" spans="1:71" ht="15.75" thickBot="1" x14ac:dyDescent="0.3">
      <c r="A441" s="569" t="s">
        <v>1247</v>
      </c>
      <c r="B441" s="569" t="s">
        <v>161</v>
      </c>
      <c r="C441" s="569" t="s">
        <v>6</v>
      </c>
      <c r="D441" s="574">
        <v>5</v>
      </c>
      <c r="E441" s="569"/>
      <c r="F441" s="569"/>
      <c r="G441" s="569"/>
      <c r="H441" s="569"/>
      <c r="I441" s="574">
        <v>0</v>
      </c>
      <c r="J441" s="574">
        <v>0</v>
      </c>
      <c r="K441" s="574">
        <v>0</v>
      </c>
      <c r="L441" s="574">
        <v>12.8</v>
      </c>
      <c r="M441" s="574">
        <v>1.2</v>
      </c>
      <c r="N441" s="574">
        <v>177.4</v>
      </c>
      <c r="O441" s="574">
        <v>1.5</v>
      </c>
      <c r="P441" s="574">
        <v>0</v>
      </c>
      <c r="Q441" s="574">
        <v>7.9</v>
      </c>
      <c r="R441" s="569"/>
      <c r="S441" s="569"/>
      <c r="T441" s="569"/>
      <c r="U441" s="569"/>
      <c r="V441" s="569"/>
      <c r="W441" s="569"/>
      <c r="X441" s="569"/>
      <c r="Y441" s="569"/>
      <c r="Z441" s="569"/>
      <c r="AA441" s="569"/>
      <c r="AB441" s="569"/>
      <c r="AC441" s="569"/>
      <c r="AD441" s="569"/>
      <c r="AE441" s="569"/>
      <c r="AF441" s="569"/>
      <c r="AG441" s="569"/>
      <c r="AH441" s="569"/>
      <c r="AI441" s="569"/>
      <c r="AJ441" s="569"/>
      <c r="AK441" s="569"/>
      <c r="AL441" s="569"/>
      <c r="AM441" s="569"/>
      <c r="AN441" s="574">
        <v>25.9</v>
      </c>
      <c r="AO441">
        <v>440</v>
      </c>
      <c r="AP441" t="str">
        <f t="shared" si="92"/>
        <v/>
      </c>
      <c r="AQ441" t="str">
        <f t="shared" si="82"/>
        <v/>
      </c>
      <c r="AR441" s="430">
        <f>IFERROR(
IF(AP441="",-100,
IF($BV$2&gt;0, INDEX(Beersheet!$A:$U,MATCH(AP441,INDEX(Beersheet!$A:$U,0,FFARawStatProjections!$BV$2),0),$BV$3)+$BN441,
INDEX($A441:$BM441,,$BV$12)*$BW$12+
INDEX($A441:$BM441,,$BV$15)*$BW$15+
INDEX($A441:$BM441,,$BV$16)*$BW$16+
INDEX($A441:$BM441,,$BV$17)*$BW$17+
INDEX($A441:$BM441,,$BV$18)*$BW$18+
INDEX($A441:$BM441,,$BV$19)*$BW$19+
INDEX($A441:$BM441,,$BV$20)*$BW$20+
INDEX($A441:$BM441,,$BV$21)*$BW$21+
INDEX($A441:$BM441,,$BV$22)*$BW$22+
INDEX($A441:$BM441,,$BV$23)*$BW$23+
INDEX($A441:$BM441,,$BV$25)*$BW$25+
INDEX($A441:$BM441,,$BV$26)*$BW$26+
INDEX($A441:$BM441,,$BV$27)*$BW$27+
$BN441)),
$BN441-100)</f>
        <v>-100</v>
      </c>
      <c r="AT441" t="str">
        <f t="shared" si="83"/>
        <v/>
      </c>
      <c r="AU441" t="str">
        <f t="shared" si="84"/>
        <v/>
      </c>
      <c r="AV441" s="430">
        <f>IFERROR(
IF(AT441="",-100,
IF($BV$2&gt;0, INDEX(Beersheet!$A:$U,MATCH(AT441,INDEX(Beersheet!$A:$U,0,FFARawStatProjections!$BV$2),0),$BV$3)+$BN441,
INDEX($A441:$BM441,,$BV$12)*$BW$12+
INDEX($A441:$BM441,,$BV$15)*$BW$15+
INDEX($A441:$BM441,,$BV$16)*$BW$16+
INDEX($A441:$BM441,,$BV$17)*$BW$17+
INDEX($A441:$BM441,,$BV$18)*$BW$18+
INDEX($A441:$BM441,,$BV$19)*$BW$19+
INDEX($A441:$BM441,,$BV$20)*$BW$20+
INDEX($A441:$BM441,,$BV$21)*$BW$21+
INDEX($A441:$BM441,,$BV$22)*$BW$22+
INDEX($A441:$BM441,,$BV$23)*$BW$23+
INDEX($A441:$BM441,,$BV$25)*$BW$25+
INDEX($A441:$BM441,,$BV$26)*$BW$26+
INDEX($A441:$BM441,,$BV$27)*$BW$27+
$BN441)),
$BN441-100)</f>
        <v>-100</v>
      </c>
      <c r="AX441" t="str">
        <f t="shared" si="85"/>
        <v>Marquise Goodwin</v>
      </c>
      <c r="AY441" t="str">
        <f t="shared" si="86"/>
        <v>CLE</v>
      </c>
      <c r="AZ441" s="430">
        <f>IFERROR(
IF(AX441="",-100,
IF($BV$2&gt;0, INDEX(Beersheet!$A:$U,MATCH(AX441,INDEX(Beersheet!$A:$U,0,FFARawStatProjections!$BV$2),0),$BV$3)+$BN441,
INDEX($A441:$BM441,,$BV$12)*$BW$12+
INDEX($A441:$BM441,,$BV$15)*$BW$15+
INDEX($A441:$BM441,,$BV$16)*$BW$16+
INDEX($A441:$BM441,,$BV$17)*$BW$17+
INDEX($A441:$BM441,,$BV$18)*$BW$18+
INDEX($A441:$BM441,,$BV$19)*$BW$19+
INDEX($A441:$BM441,,$BV$20)*$BW$20+
INDEX($A441:$BM441,,$BV$21)*$BW$21+
INDEX($A441:$BM441,,$BV$22)*$BW$22+
INDEX($A441:$BM441,,$BV$23)*$BW$23+
INDEX($A441:$BM441,,$BV$25)*$BW$25+
INDEX($A441:$BM441,,$BV$26)*$BW$26+
INDEX($A441:$BM441,,$BV$27)*$BW$27+
$BN441)),
$BN441-100)</f>
        <v>38.534399999999998</v>
      </c>
      <c r="BB441" t="str">
        <f t="shared" si="87"/>
        <v/>
      </c>
      <c r="BC441" t="str">
        <f t="shared" si="81"/>
        <v/>
      </c>
      <c r="BD441" s="430">
        <f>IFERROR(
IF(BB441="",-100,
IF($BV$2&gt;0, INDEX(Beersheet!$A:$U,MATCH(BB441,INDEX(Beersheet!$A:$U,0,FFARawStatProjections!$BV$2),0),$BV$3)+$BN441,
INDEX($A441:$BM441,,$BV$12)*$BW$12+
INDEX($A441:$BM441,,$BV$15)*$BW$15+
INDEX($A441:$BM441,,$BV$16)*$BW$16+
INDEX($A441:$BM441,,$BV$17)*$BW$17+
INDEX($A441:$BM441,,$BV$18)*$BW$18+
INDEX($A441:$BM441,,$BV$19)*$BW$19+
INDEX($A441:$BM441,,$BV$20)*$BW$20+
INDEX($A441:$BM441,,$BV$21)*$BW$21+
INDEX($A441:$BM441,,$BV$22)*$BW$22+
INDEX($A441:$BM441,,$BV$23)*$BW$23+
INDEX($A441:$BM441,,$BV$25)*$BW$25+
INDEX($A441:$BM441,,$BV$26)*$BW$26+
INDEX($A441:$BM441,,$BV$27)*$BW$27+
$BN441)),
$BN441-100)</f>
        <v>-100</v>
      </c>
      <c r="BF441" t="str">
        <f t="shared" si="88"/>
        <v/>
      </c>
      <c r="BG441" t="str">
        <f t="shared" si="89"/>
        <v/>
      </c>
      <c r="BH441">
        <f t="shared" si="90"/>
        <v>0</v>
      </c>
      <c r="BJ441" t="str">
        <f t="shared" si="91"/>
        <v/>
      </c>
      <c r="BL441">
        <f t="shared" si="93"/>
        <v>0</v>
      </c>
      <c r="BN441">
        <v>4.4000000000000003E-3</v>
      </c>
      <c r="BS441" s="4" t="s">
        <v>177</v>
      </c>
    </row>
    <row r="442" spans="1:71" ht="15.75" thickBot="1" x14ac:dyDescent="0.3">
      <c r="A442" s="569" t="s">
        <v>1452</v>
      </c>
      <c r="B442" s="569" t="s">
        <v>149</v>
      </c>
      <c r="C442" s="569" t="s">
        <v>6</v>
      </c>
      <c r="D442" s="574">
        <v>5</v>
      </c>
      <c r="E442" s="569"/>
      <c r="F442" s="569"/>
      <c r="G442" s="569"/>
      <c r="H442" s="569"/>
      <c r="I442" s="574">
        <v>0</v>
      </c>
      <c r="J442" s="574">
        <v>0</v>
      </c>
      <c r="K442" s="574">
        <v>0</v>
      </c>
      <c r="L442" s="574">
        <v>19.100000000000001</v>
      </c>
      <c r="M442" s="574">
        <v>1.1000000000000001</v>
      </c>
      <c r="N442" s="574">
        <v>186.8</v>
      </c>
      <c r="O442" s="574">
        <v>0</v>
      </c>
      <c r="P442" s="574">
        <v>0.1</v>
      </c>
      <c r="Q442" s="574">
        <v>5.8</v>
      </c>
      <c r="R442" s="569"/>
      <c r="S442" s="569"/>
      <c r="T442" s="569"/>
      <c r="U442" s="569"/>
      <c r="V442" s="569"/>
      <c r="W442" s="569"/>
      <c r="X442" s="569"/>
      <c r="Y442" s="569"/>
      <c r="Z442" s="569"/>
      <c r="AA442" s="569"/>
      <c r="AB442" s="569"/>
      <c r="AC442" s="569"/>
      <c r="AD442" s="569"/>
      <c r="AE442" s="569"/>
      <c r="AF442" s="569"/>
      <c r="AG442" s="569"/>
      <c r="AH442" s="569"/>
      <c r="AI442" s="569"/>
      <c r="AJ442" s="569"/>
      <c r="AK442" s="569"/>
      <c r="AL442" s="569"/>
      <c r="AM442" s="569"/>
      <c r="AN442" s="574">
        <v>25.9</v>
      </c>
      <c r="AO442">
        <v>441</v>
      </c>
      <c r="AP442" t="str">
        <f t="shared" si="92"/>
        <v/>
      </c>
      <c r="AQ442" t="str">
        <f t="shared" si="82"/>
        <v/>
      </c>
      <c r="AR442" s="430">
        <f>IFERROR(
IF(AP442="",-100,
IF($BV$2&gt;0, INDEX(Beersheet!$A:$U,MATCH(AP442,INDEX(Beersheet!$A:$U,0,FFARawStatProjections!$BV$2),0),$BV$3)+$BN442,
INDEX($A442:$BM442,,$BV$12)*$BW$12+
INDEX($A442:$BM442,,$BV$15)*$BW$15+
INDEX($A442:$BM442,,$BV$16)*$BW$16+
INDEX($A442:$BM442,,$BV$17)*$BW$17+
INDEX($A442:$BM442,,$BV$18)*$BW$18+
INDEX($A442:$BM442,,$BV$19)*$BW$19+
INDEX($A442:$BM442,,$BV$20)*$BW$20+
INDEX($A442:$BM442,,$BV$21)*$BW$21+
INDEX($A442:$BM442,,$BV$22)*$BW$22+
INDEX($A442:$BM442,,$BV$23)*$BW$23+
INDEX($A442:$BM442,,$BV$25)*$BW$25+
INDEX($A442:$BM442,,$BV$26)*$BW$26+
INDEX($A442:$BM442,,$BV$27)*$BW$27+
$BN442)),
$BN442-100)</f>
        <v>-100</v>
      </c>
      <c r="AT442" t="str">
        <f t="shared" si="83"/>
        <v/>
      </c>
      <c r="AU442" t="str">
        <f t="shared" si="84"/>
        <v/>
      </c>
      <c r="AV442" s="430">
        <f>IFERROR(
IF(AT442="",-100,
IF($BV$2&gt;0, INDEX(Beersheet!$A:$U,MATCH(AT442,INDEX(Beersheet!$A:$U,0,FFARawStatProjections!$BV$2),0),$BV$3)+$BN442,
INDEX($A442:$BM442,,$BV$12)*$BW$12+
INDEX($A442:$BM442,,$BV$15)*$BW$15+
INDEX($A442:$BM442,,$BV$16)*$BW$16+
INDEX($A442:$BM442,,$BV$17)*$BW$17+
INDEX($A442:$BM442,,$BV$18)*$BW$18+
INDEX($A442:$BM442,,$BV$19)*$BW$19+
INDEX($A442:$BM442,,$BV$20)*$BW$20+
INDEX($A442:$BM442,,$BV$21)*$BW$21+
INDEX($A442:$BM442,,$BV$22)*$BW$22+
INDEX($A442:$BM442,,$BV$23)*$BW$23+
INDEX($A442:$BM442,,$BV$25)*$BW$25+
INDEX($A442:$BM442,,$BV$26)*$BW$26+
INDEX($A442:$BM442,,$BV$27)*$BW$27+
$BN442)),
$BN442-100)</f>
        <v>-100</v>
      </c>
      <c r="AX442" t="str">
        <f t="shared" si="85"/>
        <v>David Moore</v>
      </c>
      <c r="AY442" t="str">
        <f t="shared" si="86"/>
        <v>TB</v>
      </c>
      <c r="AZ442" s="430">
        <f>IFERROR(
IF(AX442="",-100,
IF($BV$2&gt;0, INDEX(Beersheet!$A:$U,MATCH(AX442,INDEX(Beersheet!$A:$U,0,FFARawStatProjections!$BV$2),0),$BV$3)+$BN442,
INDEX($A442:$BM442,,$BV$12)*$BW$12+
INDEX($A442:$BM442,,$BV$15)*$BW$15+
INDEX($A442:$BM442,,$BV$16)*$BW$16+
INDEX($A442:$BM442,,$BV$17)*$BW$17+
INDEX($A442:$BM442,,$BV$18)*$BW$18+
INDEX($A442:$BM442,,$BV$19)*$BW$19+
INDEX($A442:$BM442,,$BV$20)*$BW$20+
INDEX($A442:$BM442,,$BV$21)*$BW$21+
INDEX($A442:$BM442,,$BV$22)*$BW$22+
INDEX($A442:$BM442,,$BV$23)*$BW$23+
INDEX($A442:$BM442,,$BV$25)*$BW$25+
INDEX($A442:$BM442,,$BV$26)*$BW$26+
INDEX($A442:$BM442,,$BV$27)*$BW$27+
$BN442)),
$BN442-100)</f>
        <v>45.564410000000009</v>
      </c>
      <c r="BB442" t="str">
        <f t="shared" si="87"/>
        <v/>
      </c>
      <c r="BC442" t="str">
        <f t="shared" si="81"/>
        <v/>
      </c>
      <c r="BD442" s="430">
        <f>IFERROR(
IF(BB442="",-100,
IF($BV$2&gt;0, INDEX(Beersheet!$A:$U,MATCH(BB442,INDEX(Beersheet!$A:$U,0,FFARawStatProjections!$BV$2),0),$BV$3)+$BN442,
INDEX($A442:$BM442,,$BV$12)*$BW$12+
INDEX($A442:$BM442,,$BV$15)*$BW$15+
INDEX($A442:$BM442,,$BV$16)*$BW$16+
INDEX($A442:$BM442,,$BV$17)*$BW$17+
INDEX($A442:$BM442,,$BV$18)*$BW$18+
INDEX($A442:$BM442,,$BV$19)*$BW$19+
INDEX($A442:$BM442,,$BV$20)*$BW$20+
INDEX($A442:$BM442,,$BV$21)*$BW$21+
INDEX($A442:$BM442,,$BV$22)*$BW$22+
INDEX($A442:$BM442,,$BV$23)*$BW$23+
INDEX($A442:$BM442,,$BV$25)*$BW$25+
INDEX($A442:$BM442,,$BV$26)*$BW$26+
INDEX($A442:$BM442,,$BV$27)*$BW$27+
$BN442)),
$BN442-100)</f>
        <v>-100</v>
      </c>
      <c r="BF442" t="str">
        <f t="shared" si="88"/>
        <v/>
      </c>
      <c r="BG442" t="str">
        <f t="shared" si="89"/>
        <v/>
      </c>
      <c r="BH442">
        <f t="shared" si="90"/>
        <v>0</v>
      </c>
      <c r="BJ442" t="str">
        <f t="shared" si="91"/>
        <v/>
      </c>
      <c r="BL442">
        <f t="shared" si="93"/>
        <v>0</v>
      </c>
      <c r="BN442">
        <v>4.4099999999999999E-3</v>
      </c>
      <c r="BS442" s="4" t="s">
        <v>2555</v>
      </c>
    </row>
    <row r="443" spans="1:71" ht="15.75" thickBot="1" x14ac:dyDescent="0.3">
      <c r="A443" s="569" t="s">
        <v>2512</v>
      </c>
      <c r="B443" s="569" t="s">
        <v>145</v>
      </c>
      <c r="C443" s="569" t="s">
        <v>6</v>
      </c>
      <c r="D443" s="574">
        <v>7</v>
      </c>
      <c r="E443" s="569"/>
      <c r="F443" s="569"/>
      <c r="G443" s="569"/>
      <c r="H443" s="569"/>
      <c r="I443" s="574">
        <v>0</v>
      </c>
      <c r="J443" s="574">
        <v>0</v>
      </c>
      <c r="K443" s="574">
        <v>0</v>
      </c>
      <c r="L443" s="574">
        <v>15.2</v>
      </c>
      <c r="M443" s="574">
        <v>1</v>
      </c>
      <c r="N443" s="574">
        <v>198.4</v>
      </c>
      <c r="O443" s="574">
        <v>0.7</v>
      </c>
      <c r="P443" s="574">
        <v>0</v>
      </c>
      <c r="Q443" s="574">
        <v>5.6</v>
      </c>
      <c r="R443" s="569"/>
      <c r="S443" s="569"/>
      <c r="T443" s="569"/>
      <c r="U443" s="569"/>
      <c r="V443" s="569"/>
      <c r="W443" s="569"/>
      <c r="X443" s="569"/>
      <c r="Y443" s="569"/>
      <c r="Z443" s="569"/>
      <c r="AA443" s="569"/>
      <c r="AB443" s="569"/>
      <c r="AC443" s="569"/>
      <c r="AD443" s="569"/>
      <c r="AE443" s="569"/>
      <c r="AF443" s="569"/>
      <c r="AG443" s="569"/>
      <c r="AH443" s="569"/>
      <c r="AI443" s="569"/>
      <c r="AJ443" s="569"/>
      <c r="AK443" s="569"/>
      <c r="AL443" s="569"/>
      <c r="AM443" s="569"/>
      <c r="AN443" s="574">
        <v>25.5</v>
      </c>
      <c r="AO443">
        <v>442</v>
      </c>
      <c r="AP443" t="str">
        <f t="shared" si="92"/>
        <v/>
      </c>
      <c r="AQ443" t="str">
        <f t="shared" si="82"/>
        <v/>
      </c>
      <c r="AR443" s="430">
        <f>IFERROR(
IF(AP443="",-100,
IF($BV$2&gt;0, INDEX(Beersheet!$A:$U,MATCH(AP443,INDEX(Beersheet!$A:$U,0,FFARawStatProjections!$BV$2),0),$BV$3)+$BN443,
INDEX($A443:$BM443,,$BV$12)*$BW$12+
INDEX($A443:$BM443,,$BV$15)*$BW$15+
INDEX($A443:$BM443,,$BV$16)*$BW$16+
INDEX($A443:$BM443,,$BV$17)*$BW$17+
INDEX($A443:$BM443,,$BV$18)*$BW$18+
INDEX($A443:$BM443,,$BV$19)*$BW$19+
INDEX($A443:$BM443,,$BV$20)*$BW$20+
INDEX($A443:$BM443,,$BV$21)*$BW$21+
INDEX($A443:$BM443,,$BV$22)*$BW$22+
INDEX($A443:$BM443,,$BV$23)*$BW$23+
INDEX($A443:$BM443,,$BV$25)*$BW$25+
INDEX($A443:$BM443,,$BV$26)*$BW$26+
INDEX($A443:$BM443,,$BV$27)*$BW$27+
$BN443)),
$BN443-100)</f>
        <v>-100</v>
      </c>
      <c r="AT443" t="str">
        <f t="shared" si="83"/>
        <v/>
      </c>
      <c r="AU443" t="str">
        <f t="shared" si="84"/>
        <v/>
      </c>
      <c r="AV443" s="430">
        <f>IFERROR(
IF(AT443="",-100,
IF($BV$2&gt;0, INDEX(Beersheet!$A:$U,MATCH(AT443,INDEX(Beersheet!$A:$U,0,FFARawStatProjections!$BV$2),0),$BV$3)+$BN443,
INDEX($A443:$BM443,,$BV$12)*$BW$12+
INDEX($A443:$BM443,,$BV$15)*$BW$15+
INDEX($A443:$BM443,,$BV$16)*$BW$16+
INDEX($A443:$BM443,,$BV$17)*$BW$17+
INDEX($A443:$BM443,,$BV$18)*$BW$18+
INDEX($A443:$BM443,,$BV$19)*$BW$19+
INDEX($A443:$BM443,,$BV$20)*$BW$20+
INDEX($A443:$BM443,,$BV$21)*$BW$21+
INDEX($A443:$BM443,,$BV$22)*$BW$22+
INDEX($A443:$BM443,,$BV$23)*$BW$23+
INDEX($A443:$BM443,,$BV$25)*$BW$25+
INDEX($A443:$BM443,,$BV$26)*$BW$26+
INDEX($A443:$BM443,,$BV$27)*$BW$27+
$BN443)),
$BN443-100)</f>
        <v>-100</v>
      </c>
      <c r="AX443" t="str">
        <f t="shared" si="85"/>
        <v>Charlie Jones</v>
      </c>
      <c r="AY443" t="str">
        <f t="shared" si="86"/>
        <v>CIN</v>
      </c>
      <c r="AZ443" s="430">
        <f>IFERROR(
IF(AX443="",-100,
IF($BV$2&gt;0, INDEX(Beersheet!$A:$U,MATCH(AX443,INDEX(Beersheet!$A:$U,0,FFARawStatProjections!$BV$2),0),$BV$3)+$BN443,
INDEX($A443:$BM443,,$BV$12)*$BW$12+
INDEX($A443:$BM443,,$BV$15)*$BW$15+
INDEX($A443:$BM443,,$BV$16)*$BW$16+
INDEX($A443:$BM443,,$BV$17)*$BW$17+
INDEX($A443:$BM443,,$BV$18)*$BW$18+
INDEX($A443:$BM443,,$BV$19)*$BW$19+
INDEX($A443:$BM443,,$BV$20)*$BW$20+
INDEX($A443:$BM443,,$BV$21)*$BW$21+
INDEX($A443:$BM443,,$BV$22)*$BW$22+
INDEX($A443:$BM443,,$BV$23)*$BW$23+
INDEX($A443:$BM443,,$BV$25)*$BW$25+
INDEX($A443:$BM443,,$BV$26)*$BW$26+
INDEX($A443:$BM443,,$BV$27)*$BW$27+
$BN443)),
$BN443-100)</f>
        <v>41.604420000000012</v>
      </c>
      <c r="BB443" t="str">
        <f t="shared" si="87"/>
        <v/>
      </c>
      <c r="BC443" t="str">
        <f t="shared" si="81"/>
        <v/>
      </c>
      <c r="BD443" s="430">
        <f>IFERROR(
IF(BB443="",-100,
IF($BV$2&gt;0, INDEX(Beersheet!$A:$U,MATCH(BB443,INDEX(Beersheet!$A:$U,0,FFARawStatProjections!$BV$2),0),$BV$3)+$BN443,
INDEX($A443:$BM443,,$BV$12)*$BW$12+
INDEX($A443:$BM443,,$BV$15)*$BW$15+
INDEX($A443:$BM443,,$BV$16)*$BW$16+
INDEX($A443:$BM443,,$BV$17)*$BW$17+
INDEX($A443:$BM443,,$BV$18)*$BW$18+
INDEX($A443:$BM443,,$BV$19)*$BW$19+
INDEX($A443:$BM443,,$BV$20)*$BW$20+
INDEX($A443:$BM443,,$BV$21)*$BW$21+
INDEX($A443:$BM443,,$BV$22)*$BW$22+
INDEX($A443:$BM443,,$BV$23)*$BW$23+
INDEX($A443:$BM443,,$BV$25)*$BW$25+
INDEX($A443:$BM443,,$BV$26)*$BW$26+
INDEX($A443:$BM443,,$BV$27)*$BW$27+
$BN443)),
$BN443-100)</f>
        <v>-100</v>
      </c>
      <c r="BF443" t="str">
        <f t="shared" si="88"/>
        <v/>
      </c>
      <c r="BG443" t="str">
        <f t="shared" si="89"/>
        <v/>
      </c>
      <c r="BH443">
        <f t="shared" si="90"/>
        <v>0</v>
      </c>
      <c r="BJ443" t="str">
        <f t="shared" si="91"/>
        <v/>
      </c>
      <c r="BL443">
        <f t="shared" si="93"/>
        <v>0</v>
      </c>
      <c r="BN443">
        <v>4.4200000000000003E-3</v>
      </c>
      <c r="BS443" s="4" t="s">
        <v>2222</v>
      </c>
    </row>
    <row r="444" spans="1:71" ht="15.75" thickBot="1" x14ac:dyDescent="0.3">
      <c r="A444" s="569" t="s">
        <v>2533</v>
      </c>
      <c r="B444" s="569" t="s">
        <v>143</v>
      </c>
      <c r="C444" s="569" t="s">
        <v>6</v>
      </c>
      <c r="D444" s="574">
        <v>11</v>
      </c>
      <c r="E444" s="569"/>
      <c r="F444" s="569"/>
      <c r="G444" s="569"/>
      <c r="H444" s="569"/>
      <c r="I444" s="574">
        <v>0</v>
      </c>
      <c r="J444" s="574">
        <v>0</v>
      </c>
      <c r="K444" s="574">
        <v>0</v>
      </c>
      <c r="L444" s="574">
        <v>0</v>
      </c>
      <c r="M444" s="574">
        <v>0</v>
      </c>
      <c r="N444" s="574">
        <v>250.4</v>
      </c>
      <c r="O444" s="574">
        <v>1</v>
      </c>
      <c r="P444" s="574">
        <v>0</v>
      </c>
      <c r="Q444" s="574">
        <v>6.2</v>
      </c>
      <c r="R444" s="569"/>
      <c r="S444" s="569"/>
      <c r="T444" s="569"/>
      <c r="U444" s="569"/>
      <c r="V444" s="569"/>
      <c r="W444" s="569"/>
      <c r="X444" s="569"/>
      <c r="Y444" s="569"/>
      <c r="Z444" s="569"/>
      <c r="AA444" s="569"/>
      <c r="AB444" s="569"/>
      <c r="AC444" s="569"/>
      <c r="AD444" s="569"/>
      <c r="AE444" s="569"/>
      <c r="AF444" s="569"/>
      <c r="AG444" s="569"/>
      <c r="AH444" s="569"/>
      <c r="AI444" s="569"/>
      <c r="AJ444" s="569"/>
      <c r="AK444" s="569"/>
      <c r="AL444" s="569"/>
      <c r="AM444" s="569"/>
      <c r="AN444" s="574">
        <v>25.3</v>
      </c>
      <c r="AO444">
        <v>443</v>
      </c>
      <c r="AP444" t="str">
        <f t="shared" si="92"/>
        <v/>
      </c>
      <c r="AQ444" t="str">
        <f t="shared" si="82"/>
        <v/>
      </c>
      <c r="AR444" s="430">
        <f>IFERROR(
IF(AP444="",-100,
IF($BV$2&gt;0, INDEX(Beersheet!$A:$U,MATCH(AP444,INDEX(Beersheet!$A:$U,0,FFARawStatProjections!$BV$2),0),$BV$3)+$BN444,
INDEX($A444:$BM444,,$BV$12)*$BW$12+
INDEX($A444:$BM444,,$BV$15)*$BW$15+
INDEX($A444:$BM444,,$BV$16)*$BW$16+
INDEX($A444:$BM444,,$BV$17)*$BW$17+
INDEX($A444:$BM444,,$BV$18)*$BW$18+
INDEX($A444:$BM444,,$BV$19)*$BW$19+
INDEX($A444:$BM444,,$BV$20)*$BW$20+
INDEX($A444:$BM444,,$BV$21)*$BW$21+
INDEX($A444:$BM444,,$BV$22)*$BW$22+
INDEX($A444:$BM444,,$BV$23)*$BW$23+
INDEX($A444:$BM444,,$BV$25)*$BW$25+
INDEX($A444:$BM444,,$BV$26)*$BW$26+
INDEX($A444:$BM444,,$BV$27)*$BW$27+
$BN444)),
$BN444-100)</f>
        <v>-100</v>
      </c>
      <c r="AT444" t="str">
        <f t="shared" si="83"/>
        <v/>
      </c>
      <c r="AU444" t="str">
        <f t="shared" si="84"/>
        <v/>
      </c>
      <c r="AV444" s="430">
        <f>IFERROR(
IF(AT444="",-100,
IF($BV$2&gt;0, INDEX(Beersheet!$A:$U,MATCH(AT444,INDEX(Beersheet!$A:$U,0,FFARawStatProjections!$BV$2),0),$BV$3)+$BN444,
INDEX($A444:$BM444,,$BV$12)*$BW$12+
INDEX($A444:$BM444,,$BV$15)*$BW$15+
INDEX($A444:$BM444,,$BV$16)*$BW$16+
INDEX($A444:$BM444,,$BV$17)*$BW$17+
INDEX($A444:$BM444,,$BV$18)*$BW$18+
INDEX($A444:$BM444,,$BV$19)*$BW$19+
INDEX($A444:$BM444,,$BV$20)*$BW$20+
INDEX($A444:$BM444,,$BV$21)*$BW$21+
INDEX($A444:$BM444,,$BV$22)*$BW$22+
INDEX($A444:$BM444,,$BV$23)*$BW$23+
INDEX($A444:$BM444,,$BV$25)*$BW$25+
INDEX($A444:$BM444,,$BV$26)*$BW$26+
INDEX($A444:$BM444,,$BV$27)*$BW$27+
$BN444)),
$BN444-100)</f>
        <v>-100</v>
      </c>
      <c r="AX444" t="str">
        <f t="shared" si="85"/>
        <v>AT Perry</v>
      </c>
      <c r="AY444" t="str">
        <f t="shared" si="86"/>
        <v>NO</v>
      </c>
      <c r="AZ444" s="430">
        <f>IFERROR(
IF(AX444="",-100,
IF($BV$2&gt;0, INDEX(Beersheet!$A:$U,MATCH(AX444,INDEX(Beersheet!$A:$U,0,FFARawStatProjections!$BV$2),0),$BV$3)+$BN444,
INDEX($A444:$BM444,,$BV$12)*$BW$12+
INDEX($A444:$BM444,,$BV$15)*$BW$15+
INDEX($A444:$BM444,,$BV$16)*$BW$16+
INDEX($A444:$BM444,,$BV$17)*$BW$17+
INDEX($A444:$BM444,,$BV$18)*$BW$18+
INDEX($A444:$BM444,,$BV$19)*$BW$19+
INDEX($A444:$BM444,,$BV$20)*$BW$20+
INDEX($A444:$BM444,,$BV$21)*$BW$21+
INDEX($A444:$BM444,,$BV$22)*$BW$22+
INDEX($A444:$BM444,,$BV$23)*$BW$23+
INDEX($A444:$BM444,,$BV$25)*$BW$25+
INDEX($A444:$BM444,,$BV$26)*$BW$26+
INDEX($A444:$BM444,,$BV$27)*$BW$27+
$BN444)),
$BN444-100)</f>
        <v>25.664430000000003</v>
      </c>
      <c r="BB444" t="str">
        <f t="shared" si="87"/>
        <v/>
      </c>
      <c r="BC444" t="str">
        <f t="shared" si="81"/>
        <v/>
      </c>
      <c r="BD444" s="430">
        <f>IFERROR(
IF(BB444="",-100,
IF($BV$2&gt;0, INDEX(Beersheet!$A:$U,MATCH(BB444,INDEX(Beersheet!$A:$U,0,FFARawStatProjections!$BV$2),0),$BV$3)+$BN444,
INDEX($A444:$BM444,,$BV$12)*$BW$12+
INDEX($A444:$BM444,,$BV$15)*$BW$15+
INDEX($A444:$BM444,,$BV$16)*$BW$16+
INDEX($A444:$BM444,,$BV$17)*$BW$17+
INDEX($A444:$BM444,,$BV$18)*$BW$18+
INDEX($A444:$BM444,,$BV$19)*$BW$19+
INDEX($A444:$BM444,,$BV$20)*$BW$20+
INDEX($A444:$BM444,,$BV$21)*$BW$21+
INDEX($A444:$BM444,,$BV$22)*$BW$22+
INDEX($A444:$BM444,,$BV$23)*$BW$23+
INDEX($A444:$BM444,,$BV$25)*$BW$25+
INDEX($A444:$BM444,,$BV$26)*$BW$26+
INDEX($A444:$BM444,,$BV$27)*$BW$27+
$BN444)),
$BN444-100)</f>
        <v>-100</v>
      </c>
      <c r="BF444" t="str">
        <f t="shared" si="88"/>
        <v/>
      </c>
      <c r="BG444" t="str">
        <f t="shared" si="89"/>
        <v/>
      </c>
      <c r="BH444">
        <f t="shared" si="90"/>
        <v>0</v>
      </c>
      <c r="BJ444" t="str">
        <f t="shared" si="91"/>
        <v/>
      </c>
      <c r="BL444">
        <f t="shared" si="93"/>
        <v>0</v>
      </c>
      <c r="BN444">
        <v>4.4299999999999999E-3</v>
      </c>
      <c r="BS444" s="4" t="s">
        <v>2361</v>
      </c>
    </row>
    <row r="445" spans="1:71" ht="15.75" thickBot="1" x14ac:dyDescent="0.3">
      <c r="A445" s="569" t="s">
        <v>2152</v>
      </c>
      <c r="B445" s="569" t="s">
        <v>166</v>
      </c>
      <c r="C445" s="569" t="s">
        <v>6</v>
      </c>
      <c r="D445" s="574">
        <v>10</v>
      </c>
      <c r="E445" s="569"/>
      <c r="F445" s="569"/>
      <c r="G445" s="569"/>
      <c r="H445" s="569"/>
      <c r="I445" s="574">
        <v>0</v>
      </c>
      <c r="J445" s="574">
        <v>0</v>
      </c>
      <c r="K445" s="574">
        <v>0</v>
      </c>
      <c r="L445" s="574">
        <v>16.5</v>
      </c>
      <c r="M445" s="574">
        <v>0.9</v>
      </c>
      <c r="N445" s="574">
        <v>186.6</v>
      </c>
      <c r="O445" s="574">
        <v>0.2</v>
      </c>
      <c r="P445" s="574">
        <v>0</v>
      </c>
      <c r="Q445" s="574">
        <v>0.6</v>
      </c>
      <c r="R445" s="569"/>
      <c r="S445" s="569"/>
      <c r="T445" s="569"/>
      <c r="U445" s="569"/>
      <c r="V445" s="569"/>
      <c r="W445" s="569"/>
      <c r="X445" s="569"/>
      <c r="Y445" s="569"/>
      <c r="Z445" s="569"/>
      <c r="AA445" s="569"/>
      <c r="AB445" s="569"/>
      <c r="AC445" s="569"/>
      <c r="AD445" s="569"/>
      <c r="AE445" s="569"/>
      <c r="AF445" s="569"/>
      <c r="AG445" s="569"/>
      <c r="AH445" s="569"/>
      <c r="AI445" s="569"/>
      <c r="AJ445" s="569"/>
      <c r="AK445" s="569"/>
      <c r="AL445" s="569"/>
      <c r="AM445" s="569"/>
      <c r="AN445" s="574">
        <v>24.3</v>
      </c>
      <c r="AO445">
        <v>444</v>
      </c>
      <c r="AP445" t="str">
        <f t="shared" si="92"/>
        <v/>
      </c>
      <c r="AQ445" t="str">
        <f t="shared" si="82"/>
        <v/>
      </c>
      <c r="AR445" s="430">
        <f>IFERROR(
IF(AP445="",-100,
IF($BV$2&gt;0, INDEX(Beersheet!$A:$U,MATCH(AP445,INDEX(Beersheet!$A:$U,0,FFARawStatProjections!$BV$2),0),$BV$3)+$BN445,
INDEX($A445:$BM445,,$BV$12)*$BW$12+
INDEX($A445:$BM445,,$BV$15)*$BW$15+
INDEX($A445:$BM445,,$BV$16)*$BW$16+
INDEX($A445:$BM445,,$BV$17)*$BW$17+
INDEX($A445:$BM445,,$BV$18)*$BW$18+
INDEX($A445:$BM445,,$BV$19)*$BW$19+
INDEX($A445:$BM445,,$BV$20)*$BW$20+
INDEX($A445:$BM445,,$BV$21)*$BW$21+
INDEX($A445:$BM445,,$BV$22)*$BW$22+
INDEX($A445:$BM445,,$BV$23)*$BW$23+
INDEX($A445:$BM445,,$BV$25)*$BW$25+
INDEX($A445:$BM445,,$BV$26)*$BW$26+
INDEX($A445:$BM445,,$BV$27)*$BW$27+
$BN445)),
$BN445-100)</f>
        <v>-100</v>
      </c>
      <c r="AT445" t="str">
        <f t="shared" si="83"/>
        <v/>
      </c>
      <c r="AU445" t="str">
        <f t="shared" si="84"/>
        <v/>
      </c>
      <c r="AV445" s="430">
        <f>IFERROR(
IF(AT445="",-100,
IF($BV$2&gt;0, INDEX(Beersheet!$A:$U,MATCH(AT445,INDEX(Beersheet!$A:$U,0,FFARawStatProjections!$BV$2),0),$BV$3)+$BN445,
INDEX($A445:$BM445,,$BV$12)*$BW$12+
INDEX($A445:$BM445,,$BV$15)*$BW$15+
INDEX($A445:$BM445,,$BV$16)*$BW$16+
INDEX($A445:$BM445,,$BV$17)*$BW$17+
INDEX($A445:$BM445,,$BV$18)*$BW$18+
INDEX($A445:$BM445,,$BV$19)*$BW$19+
INDEX($A445:$BM445,,$BV$20)*$BW$20+
INDEX($A445:$BM445,,$BV$21)*$BW$21+
INDEX($A445:$BM445,,$BV$22)*$BW$22+
INDEX($A445:$BM445,,$BV$23)*$BW$23+
INDEX($A445:$BM445,,$BV$25)*$BW$25+
INDEX($A445:$BM445,,$BV$26)*$BW$26+
INDEX($A445:$BM445,,$BV$27)*$BW$27+
$BN445)),
$BN445-100)</f>
        <v>-100</v>
      </c>
      <c r="AX445" t="str">
        <f t="shared" si="85"/>
        <v>Cedrick Wilson</v>
      </c>
      <c r="AY445" t="str">
        <f t="shared" si="86"/>
        <v>MIA</v>
      </c>
      <c r="AZ445" s="430">
        <f>IFERROR(
IF(AX445="",-100,
IF($BV$2&gt;0, INDEX(Beersheet!$A:$U,MATCH(AX445,INDEX(Beersheet!$A:$U,0,FFARawStatProjections!$BV$2),0),$BV$3)+$BN445,
INDEX($A445:$BM445,,$BV$12)*$BW$12+
INDEX($A445:$BM445,,$BV$15)*$BW$15+
INDEX($A445:$BM445,,$BV$16)*$BW$16+
INDEX($A445:$BM445,,$BV$17)*$BW$17+
INDEX($A445:$BM445,,$BV$18)*$BW$18+
INDEX($A445:$BM445,,$BV$19)*$BW$19+
INDEX($A445:$BM445,,$BV$20)*$BW$20+
INDEX($A445:$BM445,,$BV$21)*$BW$21+
INDEX($A445:$BM445,,$BV$22)*$BW$22+
INDEX($A445:$BM445,,$BV$23)*$BW$23+
INDEX($A445:$BM445,,$BV$25)*$BW$25+
INDEX($A445:$BM445,,$BV$26)*$BW$26+
INDEX($A445:$BM445,,$BV$27)*$BW$27+
$BN445)),
$BN445-100)</f>
        <v>40.624440000000007</v>
      </c>
      <c r="BB445" t="str">
        <f t="shared" si="87"/>
        <v/>
      </c>
      <c r="BC445" t="str">
        <f t="shared" si="81"/>
        <v/>
      </c>
      <c r="BD445" s="430">
        <f>IFERROR(
IF(BB445="",-100,
IF($BV$2&gt;0, INDEX(Beersheet!$A:$U,MATCH(BB445,INDEX(Beersheet!$A:$U,0,FFARawStatProjections!$BV$2),0),$BV$3)+$BN445,
INDEX($A445:$BM445,,$BV$12)*$BW$12+
INDEX($A445:$BM445,,$BV$15)*$BW$15+
INDEX($A445:$BM445,,$BV$16)*$BW$16+
INDEX($A445:$BM445,,$BV$17)*$BW$17+
INDEX($A445:$BM445,,$BV$18)*$BW$18+
INDEX($A445:$BM445,,$BV$19)*$BW$19+
INDEX($A445:$BM445,,$BV$20)*$BW$20+
INDEX($A445:$BM445,,$BV$21)*$BW$21+
INDEX($A445:$BM445,,$BV$22)*$BW$22+
INDEX($A445:$BM445,,$BV$23)*$BW$23+
INDEX($A445:$BM445,,$BV$25)*$BW$25+
INDEX($A445:$BM445,,$BV$26)*$BW$26+
INDEX($A445:$BM445,,$BV$27)*$BW$27+
$BN445)),
$BN445-100)</f>
        <v>-100</v>
      </c>
      <c r="BF445" t="str">
        <f t="shared" si="88"/>
        <v/>
      </c>
      <c r="BG445" t="str">
        <f t="shared" si="89"/>
        <v/>
      </c>
      <c r="BH445">
        <f t="shared" si="90"/>
        <v>0</v>
      </c>
      <c r="BJ445" t="str">
        <f t="shared" si="91"/>
        <v/>
      </c>
      <c r="BL445">
        <f t="shared" si="93"/>
        <v>0</v>
      </c>
      <c r="BN445">
        <v>4.4400000000000004E-3</v>
      </c>
      <c r="BS445" s="4" t="s">
        <v>2060</v>
      </c>
    </row>
    <row r="446" spans="1:71" ht="15.75" thickBot="1" x14ac:dyDescent="0.3">
      <c r="A446" s="569" t="s">
        <v>2213</v>
      </c>
      <c r="B446" s="569" t="s">
        <v>151</v>
      </c>
      <c r="C446" s="569" t="s">
        <v>6</v>
      </c>
      <c r="D446" s="574">
        <v>7</v>
      </c>
      <c r="E446" s="569"/>
      <c r="F446" s="569"/>
      <c r="G446" s="569"/>
      <c r="H446" s="569"/>
      <c r="I446" s="574">
        <v>0</v>
      </c>
      <c r="J446" s="574">
        <v>0</v>
      </c>
      <c r="K446" s="574">
        <v>0</v>
      </c>
      <c r="L446" s="574">
        <v>15.5</v>
      </c>
      <c r="M446" s="574">
        <v>0.7</v>
      </c>
      <c r="N446" s="574">
        <v>196.4</v>
      </c>
      <c r="O446" s="574">
        <v>0.1</v>
      </c>
      <c r="P446" s="574">
        <v>0</v>
      </c>
      <c r="Q446" s="574">
        <v>0.4</v>
      </c>
      <c r="R446" s="569"/>
      <c r="S446" s="569"/>
      <c r="T446" s="569"/>
      <c r="U446" s="569"/>
      <c r="V446" s="569"/>
      <c r="W446" s="569"/>
      <c r="X446" s="569"/>
      <c r="Y446" s="569"/>
      <c r="Z446" s="569"/>
      <c r="AA446" s="569"/>
      <c r="AB446" s="569"/>
      <c r="AC446" s="569"/>
      <c r="AD446" s="569"/>
      <c r="AE446" s="569"/>
      <c r="AF446" s="569"/>
      <c r="AG446" s="569"/>
      <c r="AH446" s="569"/>
      <c r="AI446" s="569"/>
      <c r="AJ446" s="569"/>
      <c r="AK446" s="569"/>
      <c r="AL446" s="569"/>
      <c r="AM446" s="569"/>
      <c r="AN446" s="574">
        <v>23.8</v>
      </c>
      <c r="AO446">
        <v>445</v>
      </c>
      <c r="AP446" t="str">
        <f t="shared" si="92"/>
        <v/>
      </c>
      <c r="AQ446" t="str">
        <f t="shared" si="82"/>
        <v/>
      </c>
      <c r="AR446" s="430">
        <f>IFERROR(
IF(AP446="",-100,
IF($BV$2&gt;0, INDEX(Beersheet!$A:$U,MATCH(AP446,INDEX(Beersheet!$A:$U,0,FFARawStatProjections!$BV$2),0),$BV$3)+$BN446,
INDEX($A446:$BM446,,$BV$12)*$BW$12+
INDEX($A446:$BM446,,$BV$15)*$BW$15+
INDEX($A446:$BM446,,$BV$16)*$BW$16+
INDEX($A446:$BM446,,$BV$17)*$BW$17+
INDEX($A446:$BM446,,$BV$18)*$BW$18+
INDEX($A446:$BM446,,$BV$19)*$BW$19+
INDEX($A446:$BM446,,$BV$20)*$BW$20+
INDEX($A446:$BM446,,$BV$21)*$BW$21+
INDEX($A446:$BM446,,$BV$22)*$BW$22+
INDEX($A446:$BM446,,$BV$23)*$BW$23+
INDEX($A446:$BM446,,$BV$25)*$BW$25+
INDEX($A446:$BM446,,$BV$26)*$BW$26+
INDEX($A446:$BM446,,$BV$27)*$BW$27+
$BN446)),
$BN446-100)</f>
        <v>-100</v>
      </c>
      <c r="AT446" t="str">
        <f t="shared" si="83"/>
        <v/>
      </c>
      <c r="AU446" t="str">
        <f t="shared" si="84"/>
        <v/>
      </c>
      <c r="AV446" s="430">
        <f>IFERROR(
IF(AT446="",-100,
IF($BV$2&gt;0, INDEX(Beersheet!$A:$U,MATCH(AT446,INDEX(Beersheet!$A:$U,0,FFARawStatProjections!$BV$2),0),$BV$3)+$BN446,
INDEX($A446:$BM446,,$BV$12)*$BW$12+
INDEX($A446:$BM446,,$BV$15)*$BW$15+
INDEX($A446:$BM446,,$BV$16)*$BW$16+
INDEX($A446:$BM446,,$BV$17)*$BW$17+
INDEX($A446:$BM446,,$BV$18)*$BW$18+
INDEX($A446:$BM446,,$BV$19)*$BW$19+
INDEX($A446:$BM446,,$BV$20)*$BW$20+
INDEX($A446:$BM446,,$BV$21)*$BW$21+
INDEX($A446:$BM446,,$BV$22)*$BW$22+
INDEX($A446:$BM446,,$BV$23)*$BW$23+
INDEX($A446:$BM446,,$BV$25)*$BW$25+
INDEX($A446:$BM446,,$BV$26)*$BW$26+
INDEX($A446:$BM446,,$BV$27)*$BW$27+
$BN446)),
$BN446-100)</f>
        <v>-100</v>
      </c>
      <c r="AX446" t="str">
        <f t="shared" si="85"/>
        <v>Noah Brown</v>
      </c>
      <c r="AY446" t="str">
        <f t="shared" si="86"/>
        <v>HOU</v>
      </c>
      <c r="AZ446" s="430">
        <f>IFERROR(
IF(AX446="",-100,
IF($BV$2&gt;0, INDEX(Beersheet!$A:$U,MATCH(AX446,INDEX(Beersheet!$A:$U,0,FFARawStatProjections!$BV$2),0),$BV$3)+$BN446,
INDEX($A446:$BM446,,$BV$12)*$BW$12+
INDEX($A446:$BM446,,$BV$15)*$BW$15+
INDEX($A446:$BM446,,$BV$16)*$BW$16+
INDEX($A446:$BM446,,$BV$17)*$BW$17+
INDEX($A446:$BM446,,$BV$18)*$BW$18+
INDEX($A446:$BM446,,$BV$19)*$BW$19+
INDEX($A446:$BM446,,$BV$20)*$BW$20+
INDEX($A446:$BM446,,$BV$21)*$BW$21+
INDEX($A446:$BM446,,$BV$22)*$BW$22+
INDEX($A446:$BM446,,$BV$23)*$BW$23+
INDEX($A446:$BM446,,$BV$25)*$BW$25+
INDEX($A446:$BM446,,$BV$26)*$BW$26+
INDEX($A446:$BM446,,$BV$27)*$BW$27+
$BN446)),
$BN446-100)</f>
        <v>39.384450000000001</v>
      </c>
      <c r="BB446" t="str">
        <f t="shared" si="87"/>
        <v/>
      </c>
      <c r="BC446" t="str">
        <f t="shared" si="81"/>
        <v/>
      </c>
      <c r="BD446" s="430">
        <f>IFERROR(
IF(BB446="",-100,
IF($BV$2&gt;0, INDEX(Beersheet!$A:$U,MATCH(BB446,INDEX(Beersheet!$A:$U,0,FFARawStatProjections!$BV$2),0),$BV$3)+$BN446,
INDEX($A446:$BM446,,$BV$12)*$BW$12+
INDEX($A446:$BM446,,$BV$15)*$BW$15+
INDEX($A446:$BM446,,$BV$16)*$BW$16+
INDEX($A446:$BM446,,$BV$17)*$BW$17+
INDEX($A446:$BM446,,$BV$18)*$BW$18+
INDEX($A446:$BM446,,$BV$19)*$BW$19+
INDEX($A446:$BM446,,$BV$20)*$BW$20+
INDEX($A446:$BM446,,$BV$21)*$BW$21+
INDEX($A446:$BM446,,$BV$22)*$BW$22+
INDEX($A446:$BM446,,$BV$23)*$BW$23+
INDEX($A446:$BM446,,$BV$25)*$BW$25+
INDEX($A446:$BM446,,$BV$26)*$BW$26+
INDEX($A446:$BM446,,$BV$27)*$BW$27+
$BN446)),
$BN446-100)</f>
        <v>-100</v>
      </c>
      <c r="BF446" t="str">
        <f t="shared" si="88"/>
        <v/>
      </c>
      <c r="BG446" t="str">
        <f t="shared" si="89"/>
        <v/>
      </c>
      <c r="BH446">
        <f t="shared" si="90"/>
        <v>0</v>
      </c>
      <c r="BJ446" t="str">
        <f t="shared" si="91"/>
        <v/>
      </c>
      <c r="BL446">
        <f t="shared" si="93"/>
        <v>0</v>
      </c>
      <c r="BN446">
        <v>4.45E-3</v>
      </c>
      <c r="BS446" s="4" t="s">
        <v>991</v>
      </c>
    </row>
    <row r="447" spans="1:71" ht="15.75" thickBot="1" x14ac:dyDescent="0.3">
      <c r="A447" s="569" t="s">
        <v>2518</v>
      </c>
      <c r="B447" s="569" t="s">
        <v>140</v>
      </c>
      <c r="C447" s="569" t="s">
        <v>6</v>
      </c>
      <c r="D447" s="574">
        <v>5</v>
      </c>
      <c r="E447" s="569"/>
      <c r="F447" s="569"/>
      <c r="G447" s="569"/>
      <c r="H447" s="569"/>
      <c r="I447" s="574">
        <v>0</v>
      </c>
      <c r="J447" s="574">
        <v>0</v>
      </c>
      <c r="K447" s="574">
        <v>0</v>
      </c>
      <c r="L447" s="574">
        <v>14.6</v>
      </c>
      <c r="M447" s="574">
        <v>1.1000000000000001</v>
      </c>
      <c r="N447" s="574">
        <v>168</v>
      </c>
      <c r="O447" s="574">
        <v>0</v>
      </c>
      <c r="P447" s="574">
        <v>0</v>
      </c>
      <c r="Q447" s="574">
        <v>1.7</v>
      </c>
      <c r="R447" s="569"/>
      <c r="S447" s="569"/>
      <c r="T447" s="569"/>
      <c r="U447" s="569"/>
      <c r="V447" s="569"/>
      <c r="W447" s="569"/>
      <c r="X447" s="569"/>
      <c r="Y447" s="569"/>
      <c r="Z447" s="569"/>
      <c r="AA447" s="569"/>
      <c r="AB447" s="569"/>
      <c r="AC447" s="569"/>
      <c r="AD447" s="569"/>
      <c r="AE447" s="569"/>
      <c r="AF447" s="569"/>
      <c r="AG447" s="569"/>
      <c r="AH447" s="569"/>
      <c r="AI447" s="569"/>
      <c r="AJ447" s="569"/>
      <c r="AK447" s="569"/>
      <c r="AL447" s="569"/>
      <c r="AM447" s="569"/>
      <c r="AN447" s="574">
        <v>23.3</v>
      </c>
      <c r="AO447">
        <v>446</v>
      </c>
      <c r="AP447" t="str">
        <f t="shared" si="92"/>
        <v/>
      </c>
      <c r="AQ447" t="str">
        <f t="shared" si="82"/>
        <v/>
      </c>
      <c r="AR447" s="430">
        <f>IFERROR(
IF(AP447="",-100,
IF($BV$2&gt;0, INDEX(Beersheet!$A:$U,MATCH(AP447,INDEX(Beersheet!$A:$U,0,FFARawStatProjections!$BV$2),0),$BV$3)+$BN447,
INDEX($A447:$BM447,,$BV$12)*$BW$12+
INDEX($A447:$BM447,,$BV$15)*$BW$15+
INDEX($A447:$BM447,,$BV$16)*$BW$16+
INDEX($A447:$BM447,,$BV$17)*$BW$17+
INDEX($A447:$BM447,,$BV$18)*$BW$18+
INDEX($A447:$BM447,,$BV$19)*$BW$19+
INDEX($A447:$BM447,,$BV$20)*$BW$20+
INDEX($A447:$BM447,,$BV$21)*$BW$21+
INDEX($A447:$BM447,,$BV$22)*$BW$22+
INDEX($A447:$BM447,,$BV$23)*$BW$23+
INDEX($A447:$BM447,,$BV$25)*$BW$25+
INDEX($A447:$BM447,,$BV$26)*$BW$26+
INDEX($A447:$BM447,,$BV$27)*$BW$27+
$BN447)),
$BN447-100)</f>
        <v>-100</v>
      </c>
      <c r="AT447" t="str">
        <f t="shared" si="83"/>
        <v/>
      </c>
      <c r="AU447" t="str">
        <f t="shared" si="84"/>
        <v/>
      </c>
      <c r="AV447" s="430">
        <f>IFERROR(
IF(AT447="",-100,
IF($BV$2&gt;0, INDEX(Beersheet!$A:$U,MATCH(AT447,INDEX(Beersheet!$A:$U,0,FFARawStatProjections!$BV$2),0),$BV$3)+$BN447,
INDEX($A447:$BM447,,$BV$12)*$BW$12+
INDEX($A447:$BM447,,$BV$15)*$BW$15+
INDEX($A447:$BM447,,$BV$16)*$BW$16+
INDEX($A447:$BM447,,$BV$17)*$BW$17+
INDEX($A447:$BM447,,$BV$18)*$BW$18+
INDEX($A447:$BM447,,$BV$19)*$BW$19+
INDEX($A447:$BM447,,$BV$20)*$BW$20+
INDEX($A447:$BM447,,$BV$21)*$BW$21+
INDEX($A447:$BM447,,$BV$22)*$BW$22+
INDEX($A447:$BM447,,$BV$23)*$BW$23+
INDEX($A447:$BM447,,$BV$25)*$BW$25+
INDEX($A447:$BM447,,$BV$26)*$BW$26+
INDEX($A447:$BM447,,$BV$27)*$BW$27+
$BN447)),
$BN447-100)</f>
        <v>-100</v>
      </c>
      <c r="AX447" t="str">
        <f t="shared" si="85"/>
        <v>Cade Johnson</v>
      </c>
      <c r="AY447" t="str">
        <f t="shared" si="86"/>
        <v>SEA</v>
      </c>
      <c r="AZ447" s="430">
        <f>IFERROR(
IF(AX447="",-100,
IF($BV$2&gt;0, INDEX(Beersheet!$A:$U,MATCH(AX447,INDEX(Beersheet!$A:$U,0,FFARawStatProjections!$BV$2),0),$BV$3)+$BN447,
INDEX($A447:$BM447,,$BV$12)*$BW$12+
INDEX($A447:$BM447,,$BV$15)*$BW$15+
INDEX($A447:$BM447,,$BV$16)*$BW$16+
INDEX($A447:$BM447,,$BV$17)*$BW$17+
INDEX($A447:$BM447,,$BV$18)*$BW$18+
INDEX($A447:$BM447,,$BV$19)*$BW$19+
INDEX($A447:$BM447,,$BV$20)*$BW$20+
INDEX($A447:$BM447,,$BV$21)*$BW$21+
INDEX($A447:$BM447,,$BV$22)*$BW$22+
INDEX($A447:$BM447,,$BV$23)*$BW$23+
INDEX($A447:$BM447,,$BV$25)*$BW$25+
INDEX($A447:$BM447,,$BV$26)*$BW$26+
INDEX($A447:$BM447,,$BV$27)*$BW$27+
$BN447)),
$BN447-100)</f>
        <v>38.174460000000003</v>
      </c>
      <c r="BB447" t="str">
        <f t="shared" si="87"/>
        <v/>
      </c>
      <c r="BC447" t="str">
        <f t="shared" si="81"/>
        <v/>
      </c>
      <c r="BD447" s="430">
        <f>IFERROR(
IF(BB447="",-100,
IF($BV$2&gt;0, INDEX(Beersheet!$A:$U,MATCH(BB447,INDEX(Beersheet!$A:$U,0,FFARawStatProjections!$BV$2),0),$BV$3)+$BN447,
INDEX($A447:$BM447,,$BV$12)*$BW$12+
INDEX($A447:$BM447,,$BV$15)*$BW$15+
INDEX($A447:$BM447,,$BV$16)*$BW$16+
INDEX($A447:$BM447,,$BV$17)*$BW$17+
INDEX($A447:$BM447,,$BV$18)*$BW$18+
INDEX($A447:$BM447,,$BV$19)*$BW$19+
INDEX($A447:$BM447,,$BV$20)*$BW$20+
INDEX($A447:$BM447,,$BV$21)*$BW$21+
INDEX($A447:$BM447,,$BV$22)*$BW$22+
INDEX($A447:$BM447,,$BV$23)*$BW$23+
INDEX($A447:$BM447,,$BV$25)*$BW$25+
INDEX($A447:$BM447,,$BV$26)*$BW$26+
INDEX($A447:$BM447,,$BV$27)*$BW$27+
$BN447)),
$BN447-100)</f>
        <v>-100</v>
      </c>
      <c r="BF447" t="str">
        <f t="shared" si="88"/>
        <v/>
      </c>
      <c r="BG447" t="str">
        <f t="shared" si="89"/>
        <v/>
      </c>
      <c r="BH447">
        <f t="shared" si="90"/>
        <v>0</v>
      </c>
      <c r="BJ447" t="str">
        <f t="shared" si="91"/>
        <v/>
      </c>
      <c r="BL447">
        <f t="shared" si="93"/>
        <v>0</v>
      </c>
      <c r="BN447">
        <v>4.4600000000000004E-3</v>
      </c>
      <c r="BS447" s="4" t="s">
        <v>2344</v>
      </c>
    </row>
    <row r="448" spans="1:71" ht="15.75" thickBot="1" x14ac:dyDescent="0.3">
      <c r="A448" s="569" t="s">
        <v>2343</v>
      </c>
      <c r="B448" s="569" t="s">
        <v>139</v>
      </c>
      <c r="C448" s="569" t="s">
        <v>6</v>
      </c>
      <c r="D448" s="574">
        <v>6</v>
      </c>
      <c r="E448" s="569"/>
      <c r="F448" s="569"/>
      <c r="G448" s="569"/>
      <c r="H448" s="569"/>
      <c r="I448" s="574">
        <v>0</v>
      </c>
      <c r="J448" s="574">
        <v>0</v>
      </c>
      <c r="K448" s="574">
        <v>0</v>
      </c>
      <c r="L448" s="574">
        <v>15</v>
      </c>
      <c r="M448" s="574">
        <v>0.9</v>
      </c>
      <c r="N448" s="574">
        <v>177.5</v>
      </c>
      <c r="O448" s="574">
        <v>0.3</v>
      </c>
      <c r="P448" s="574">
        <v>0</v>
      </c>
      <c r="Q448" s="574">
        <v>2.5</v>
      </c>
      <c r="R448" s="569"/>
      <c r="S448" s="569"/>
      <c r="T448" s="569"/>
      <c r="U448" s="569"/>
      <c r="V448" s="569"/>
      <c r="W448" s="569"/>
      <c r="X448" s="569"/>
      <c r="Y448" s="569"/>
      <c r="Z448" s="569"/>
      <c r="AA448" s="569"/>
      <c r="AB448" s="569"/>
      <c r="AC448" s="569"/>
      <c r="AD448" s="569"/>
      <c r="AE448" s="569"/>
      <c r="AF448" s="569"/>
      <c r="AG448" s="569"/>
      <c r="AH448" s="569"/>
      <c r="AI448" s="569"/>
      <c r="AJ448" s="569"/>
      <c r="AK448" s="569"/>
      <c r="AL448" s="569"/>
      <c r="AM448" s="569"/>
      <c r="AN448" s="574">
        <v>23.2</v>
      </c>
      <c r="AO448">
        <v>447</v>
      </c>
      <c r="AP448" t="str">
        <f t="shared" si="92"/>
        <v/>
      </c>
      <c r="AQ448" t="str">
        <f t="shared" si="82"/>
        <v/>
      </c>
      <c r="AR448" s="430">
        <f>IFERROR(
IF(AP448="",-100,
IF($BV$2&gt;0, INDEX(Beersheet!$A:$U,MATCH(AP448,INDEX(Beersheet!$A:$U,0,FFARawStatProjections!$BV$2),0),$BV$3)+$BN448,
INDEX($A448:$BM448,,$BV$12)*$BW$12+
INDEX($A448:$BM448,,$BV$15)*$BW$15+
INDEX($A448:$BM448,,$BV$16)*$BW$16+
INDEX($A448:$BM448,,$BV$17)*$BW$17+
INDEX($A448:$BM448,,$BV$18)*$BW$18+
INDEX($A448:$BM448,,$BV$19)*$BW$19+
INDEX($A448:$BM448,,$BV$20)*$BW$20+
INDEX($A448:$BM448,,$BV$21)*$BW$21+
INDEX($A448:$BM448,,$BV$22)*$BW$22+
INDEX($A448:$BM448,,$BV$23)*$BW$23+
INDEX($A448:$BM448,,$BV$25)*$BW$25+
INDEX($A448:$BM448,,$BV$26)*$BW$26+
INDEX($A448:$BM448,,$BV$27)*$BW$27+
$BN448)),
$BN448-100)</f>
        <v>-100</v>
      </c>
      <c r="AT448" t="str">
        <f t="shared" si="83"/>
        <v/>
      </c>
      <c r="AU448" t="str">
        <f t="shared" si="84"/>
        <v/>
      </c>
      <c r="AV448" s="430">
        <f>IFERROR(
IF(AT448="",-100,
IF($BV$2&gt;0, INDEX(Beersheet!$A:$U,MATCH(AT448,INDEX(Beersheet!$A:$U,0,FFARawStatProjections!$BV$2),0),$BV$3)+$BN448,
INDEX($A448:$BM448,,$BV$12)*$BW$12+
INDEX($A448:$BM448,,$BV$15)*$BW$15+
INDEX($A448:$BM448,,$BV$16)*$BW$16+
INDEX($A448:$BM448,,$BV$17)*$BW$17+
INDEX($A448:$BM448,,$BV$18)*$BW$18+
INDEX($A448:$BM448,,$BV$19)*$BW$19+
INDEX($A448:$BM448,,$BV$20)*$BW$20+
INDEX($A448:$BM448,,$BV$21)*$BW$21+
INDEX($A448:$BM448,,$BV$22)*$BW$22+
INDEX($A448:$BM448,,$BV$23)*$BW$23+
INDEX($A448:$BM448,,$BV$25)*$BW$25+
INDEX($A448:$BM448,,$BV$26)*$BW$26+
INDEX($A448:$BM448,,$BV$27)*$BW$27+
$BN448)),
$BN448-100)</f>
        <v>-100</v>
      </c>
      <c r="AX448" t="str">
        <f t="shared" si="85"/>
        <v>Samori Toure</v>
      </c>
      <c r="AY448" t="str">
        <f t="shared" si="86"/>
        <v>GB</v>
      </c>
      <c r="AZ448" s="430">
        <f>IFERROR(
IF(AX448="",-100,
IF($BV$2&gt;0, INDEX(Beersheet!$A:$U,MATCH(AX448,INDEX(Beersheet!$A:$U,0,FFARawStatProjections!$BV$2),0),$BV$3)+$BN448,
INDEX($A448:$BM448,,$BV$12)*$BW$12+
INDEX($A448:$BM448,,$BV$15)*$BW$15+
INDEX($A448:$BM448,,$BV$16)*$BW$16+
INDEX($A448:$BM448,,$BV$17)*$BW$17+
INDEX($A448:$BM448,,$BV$18)*$BW$18+
INDEX($A448:$BM448,,$BV$19)*$BW$19+
INDEX($A448:$BM448,,$BV$20)*$BW$20+
INDEX($A448:$BM448,,$BV$21)*$BW$21+
INDEX($A448:$BM448,,$BV$22)*$BW$22+
INDEX($A448:$BM448,,$BV$23)*$BW$23+
INDEX($A448:$BM448,,$BV$25)*$BW$25+
INDEX($A448:$BM448,,$BV$26)*$BW$26+
INDEX($A448:$BM448,,$BV$27)*$BW$27+
$BN448)),
$BN448-100)</f>
        <v>38.404469999999996</v>
      </c>
      <c r="BB448" t="str">
        <f t="shared" si="87"/>
        <v/>
      </c>
      <c r="BC448" t="str">
        <f t="shared" si="81"/>
        <v/>
      </c>
      <c r="BD448" s="430">
        <f>IFERROR(
IF(BB448="",-100,
IF($BV$2&gt;0, INDEX(Beersheet!$A:$U,MATCH(BB448,INDEX(Beersheet!$A:$U,0,FFARawStatProjections!$BV$2),0),$BV$3)+$BN448,
INDEX($A448:$BM448,,$BV$12)*$BW$12+
INDEX($A448:$BM448,,$BV$15)*$BW$15+
INDEX($A448:$BM448,,$BV$16)*$BW$16+
INDEX($A448:$BM448,,$BV$17)*$BW$17+
INDEX($A448:$BM448,,$BV$18)*$BW$18+
INDEX($A448:$BM448,,$BV$19)*$BW$19+
INDEX($A448:$BM448,,$BV$20)*$BW$20+
INDEX($A448:$BM448,,$BV$21)*$BW$21+
INDEX($A448:$BM448,,$BV$22)*$BW$22+
INDEX($A448:$BM448,,$BV$23)*$BW$23+
INDEX($A448:$BM448,,$BV$25)*$BW$25+
INDEX($A448:$BM448,,$BV$26)*$BW$26+
INDEX($A448:$BM448,,$BV$27)*$BW$27+
$BN448)),
$BN448-100)</f>
        <v>-100</v>
      </c>
      <c r="BF448" t="str">
        <f t="shared" si="88"/>
        <v/>
      </c>
      <c r="BG448" t="str">
        <f t="shared" si="89"/>
        <v/>
      </c>
      <c r="BH448">
        <f t="shared" si="90"/>
        <v>0</v>
      </c>
      <c r="BJ448" t="str">
        <f t="shared" si="91"/>
        <v/>
      </c>
      <c r="BL448">
        <f t="shared" si="93"/>
        <v>0</v>
      </c>
      <c r="BN448">
        <v>4.47E-3</v>
      </c>
      <c r="BS448" s="4" t="s">
        <v>2232</v>
      </c>
    </row>
    <row r="449" spans="1:71" ht="15.75" thickBot="1" x14ac:dyDescent="0.3">
      <c r="A449" s="569" t="s">
        <v>2546</v>
      </c>
      <c r="B449" s="569" t="s">
        <v>157</v>
      </c>
      <c r="C449" s="569" t="s">
        <v>6</v>
      </c>
      <c r="D449" s="574">
        <v>11</v>
      </c>
      <c r="E449" s="569"/>
      <c r="F449" s="569"/>
      <c r="G449" s="569"/>
      <c r="H449" s="569"/>
      <c r="I449" s="574">
        <v>0</v>
      </c>
      <c r="J449" s="574">
        <v>0</v>
      </c>
      <c r="K449" s="574">
        <v>0</v>
      </c>
      <c r="L449" s="574">
        <v>21.7</v>
      </c>
      <c r="M449" s="574">
        <v>0.6</v>
      </c>
      <c r="N449" s="574">
        <v>193.4</v>
      </c>
      <c r="O449" s="574">
        <v>0.3</v>
      </c>
      <c r="P449" s="574">
        <v>0</v>
      </c>
      <c r="Q449" s="574">
        <v>1.7</v>
      </c>
      <c r="R449" s="569"/>
      <c r="S449" s="569"/>
      <c r="T449" s="569"/>
      <c r="U449" s="569"/>
      <c r="V449" s="569"/>
      <c r="W449" s="569"/>
      <c r="X449" s="569"/>
      <c r="Y449" s="569"/>
      <c r="Z449" s="569"/>
      <c r="AA449" s="569"/>
      <c r="AB449" s="569"/>
      <c r="AC449" s="569"/>
      <c r="AD449" s="569"/>
      <c r="AE449" s="569"/>
      <c r="AF449" s="569"/>
      <c r="AG449" s="569"/>
      <c r="AH449" s="569"/>
      <c r="AI449" s="569"/>
      <c r="AJ449" s="569"/>
      <c r="AK449" s="569"/>
      <c r="AL449" s="569"/>
      <c r="AM449" s="569"/>
      <c r="AN449" s="574">
        <v>23</v>
      </c>
      <c r="AO449">
        <v>448</v>
      </c>
      <c r="AP449" t="str">
        <f t="shared" si="92"/>
        <v/>
      </c>
      <c r="AQ449" t="str">
        <f t="shared" si="82"/>
        <v/>
      </c>
      <c r="AR449" s="430">
        <f>IFERROR(
IF(AP449="",-100,
IF($BV$2&gt;0, INDEX(Beersheet!$A:$U,MATCH(AP449,INDEX(Beersheet!$A:$U,0,FFARawStatProjections!$BV$2),0),$BV$3)+$BN449,
INDEX($A449:$BM449,,$BV$12)*$BW$12+
INDEX($A449:$BM449,,$BV$15)*$BW$15+
INDEX($A449:$BM449,,$BV$16)*$BW$16+
INDEX($A449:$BM449,,$BV$17)*$BW$17+
INDEX($A449:$BM449,,$BV$18)*$BW$18+
INDEX($A449:$BM449,,$BV$19)*$BW$19+
INDEX($A449:$BM449,,$BV$20)*$BW$20+
INDEX($A449:$BM449,,$BV$21)*$BW$21+
INDEX($A449:$BM449,,$BV$22)*$BW$22+
INDEX($A449:$BM449,,$BV$23)*$BW$23+
INDEX($A449:$BM449,,$BV$25)*$BW$25+
INDEX($A449:$BM449,,$BV$26)*$BW$26+
INDEX($A449:$BM449,,$BV$27)*$BW$27+
$BN449)),
$BN449-100)</f>
        <v>-100</v>
      </c>
      <c r="AT449" t="str">
        <f t="shared" si="83"/>
        <v/>
      </c>
      <c r="AU449" t="str">
        <f t="shared" si="84"/>
        <v/>
      </c>
      <c r="AV449" s="430">
        <f>IFERROR(
IF(AT449="",-100,
IF($BV$2&gt;0, INDEX(Beersheet!$A:$U,MATCH(AT449,INDEX(Beersheet!$A:$U,0,FFARawStatProjections!$BV$2),0),$BV$3)+$BN449,
INDEX($A449:$BM449,,$BV$12)*$BW$12+
INDEX($A449:$BM449,,$BV$15)*$BW$15+
INDEX($A449:$BM449,,$BV$16)*$BW$16+
INDEX($A449:$BM449,,$BV$17)*$BW$17+
INDEX($A449:$BM449,,$BV$18)*$BW$18+
INDEX($A449:$BM449,,$BV$19)*$BW$19+
INDEX($A449:$BM449,,$BV$20)*$BW$20+
INDEX($A449:$BM449,,$BV$21)*$BW$21+
INDEX($A449:$BM449,,$BV$22)*$BW$22+
INDEX($A449:$BM449,,$BV$23)*$BW$23+
INDEX($A449:$BM449,,$BV$25)*$BW$25+
INDEX($A449:$BM449,,$BV$26)*$BW$26+
INDEX($A449:$BM449,,$BV$27)*$BW$27+
$BN449)),
$BN449-100)</f>
        <v>-100</v>
      </c>
      <c r="AX449" t="str">
        <f t="shared" si="85"/>
        <v>Demario Douglas</v>
      </c>
      <c r="AY449" t="str">
        <f t="shared" si="86"/>
        <v>NE</v>
      </c>
      <c r="AZ449" s="430">
        <f>IFERROR(
IF(AX449="",-100,
IF($BV$2&gt;0, INDEX(Beersheet!$A:$U,MATCH(AX449,INDEX(Beersheet!$A:$U,0,FFARawStatProjections!$BV$2),0),$BV$3)+$BN449,
INDEX($A449:$BM449,,$BV$12)*$BW$12+
INDEX($A449:$BM449,,$BV$15)*$BW$15+
INDEX($A449:$BM449,,$BV$16)*$BW$16+
INDEX($A449:$BM449,,$BV$17)*$BW$17+
INDEX($A449:$BM449,,$BV$18)*$BW$18+
INDEX($A449:$BM449,,$BV$19)*$BW$19+
INDEX($A449:$BM449,,$BV$20)*$BW$20+
INDEX($A449:$BM449,,$BV$21)*$BW$21+
INDEX($A449:$BM449,,$BV$22)*$BW$22+
INDEX($A449:$BM449,,$BV$23)*$BW$23+
INDEX($A449:$BM449,,$BV$25)*$BW$25+
INDEX($A449:$BM449,,$BV$26)*$BW$26+
INDEX($A449:$BM449,,$BV$27)*$BW$27+
$BN449)),
$BN449-100)</f>
        <v>44.814480000000003</v>
      </c>
      <c r="BB449" t="str">
        <f t="shared" si="87"/>
        <v/>
      </c>
      <c r="BC449" t="str">
        <f t="shared" si="81"/>
        <v/>
      </c>
      <c r="BD449" s="430">
        <f>IFERROR(
IF(BB449="",-100,
IF($BV$2&gt;0, INDEX(Beersheet!$A:$U,MATCH(BB449,INDEX(Beersheet!$A:$U,0,FFARawStatProjections!$BV$2),0),$BV$3)+$BN449,
INDEX($A449:$BM449,,$BV$12)*$BW$12+
INDEX($A449:$BM449,,$BV$15)*$BW$15+
INDEX($A449:$BM449,,$BV$16)*$BW$16+
INDEX($A449:$BM449,,$BV$17)*$BW$17+
INDEX($A449:$BM449,,$BV$18)*$BW$18+
INDEX($A449:$BM449,,$BV$19)*$BW$19+
INDEX($A449:$BM449,,$BV$20)*$BW$20+
INDEX($A449:$BM449,,$BV$21)*$BW$21+
INDEX($A449:$BM449,,$BV$22)*$BW$22+
INDEX($A449:$BM449,,$BV$23)*$BW$23+
INDEX($A449:$BM449,,$BV$25)*$BW$25+
INDEX($A449:$BM449,,$BV$26)*$BW$26+
INDEX($A449:$BM449,,$BV$27)*$BW$27+
$BN449)),
$BN449-100)</f>
        <v>-100</v>
      </c>
      <c r="BF449" t="str">
        <f t="shared" si="88"/>
        <v/>
      </c>
      <c r="BG449" t="str">
        <f t="shared" si="89"/>
        <v/>
      </c>
      <c r="BH449">
        <f t="shared" si="90"/>
        <v>0</v>
      </c>
      <c r="BJ449" t="str">
        <f t="shared" si="91"/>
        <v/>
      </c>
      <c r="BL449">
        <f t="shared" si="93"/>
        <v>0</v>
      </c>
      <c r="BN449">
        <v>4.4799999999999996E-3</v>
      </c>
      <c r="BS449" s="4" t="s">
        <v>2160</v>
      </c>
    </row>
    <row r="450" spans="1:71" ht="15.75" thickBot="1" x14ac:dyDescent="0.3">
      <c r="A450" s="569" t="s">
        <v>2392</v>
      </c>
      <c r="B450" s="569" t="s">
        <v>151</v>
      </c>
      <c r="C450" s="569" t="s">
        <v>6</v>
      </c>
      <c r="D450" s="574">
        <v>7</v>
      </c>
      <c r="E450" s="569"/>
      <c r="F450" s="569"/>
      <c r="G450" s="569"/>
      <c r="H450" s="569"/>
      <c r="I450" s="574">
        <v>0</v>
      </c>
      <c r="J450" s="574">
        <v>0</v>
      </c>
      <c r="K450" s="574">
        <v>0</v>
      </c>
      <c r="L450" s="574">
        <v>0</v>
      </c>
      <c r="M450" s="574">
        <v>0</v>
      </c>
      <c r="N450" s="574">
        <v>226</v>
      </c>
      <c r="O450" s="574">
        <v>0.9</v>
      </c>
      <c r="P450" s="574">
        <v>0</v>
      </c>
      <c r="Q450" s="574">
        <v>5.6</v>
      </c>
      <c r="R450" s="569"/>
      <c r="S450" s="569"/>
      <c r="T450" s="569"/>
      <c r="U450" s="569"/>
      <c r="V450" s="569"/>
      <c r="W450" s="569"/>
      <c r="X450" s="569"/>
      <c r="Y450" s="569"/>
      <c r="Z450" s="569"/>
      <c r="AA450" s="569"/>
      <c r="AB450" s="569"/>
      <c r="AC450" s="569"/>
      <c r="AD450" s="569"/>
      <c r="AE450" s="569"/>
      <c r="AF450" s="569"/>
      <c r="AG450" s="569"/>
      <c r="AH450" s="569"/>
      <c r="AI450" s="569"/>
      <c r="AJ450" s="569"/>
      <c r="AK450" s="569"/>
      <c r="AL450" s="569"/>
      <c r="AM450" s="569"/>
      <c r="AN450" s="574">
        <v>22.8</v>
      </c>
      <c r="AO450">
        <v>449</v>
      </c>
      <c r="AP450" t="str">
        <f t="shared" si="92"/>
        <v/>
      </c>
      <c r="AQ450" t="str">
        <f t="shared" si="82"/>
        <v/>
      </c>
      <c r="AR450" s="430">
        <f>IFERROR(
IF(AP450="",-100,
IF($BV$2&gt;0, INDEX(Beersheet!$A:$U,MATCH(AP450,INDEX(Beersheet!$A:$U,0,FFARawStatProjections!$BV$2),0),$BV$3)+$BN450,
INDEX($A450:$BM450,,$BV$12)*$BW$12+
INDEX($A450:$BM450,,$BV$15)*$BW$15+
INDEX($A450:$BM450,,$BV$16)*$BW$16+
INDEX($A450:$BM450,,$BV$17)*$BW$17+
INDEX($A450:$BM450,,$BV$18)*$BW$18+
INDEX($A450:$BM450,,$BV$19)*$BW$19+
INDEX($A450:$BM450,,$BV$20)*$BW$20+
INDEX($A450:$BM450,,$BV$21)*$BW$21+
INDEX($A450:$BM450,,$BV$22)*$BW$22+
INDEX($A450:$BM450,,$BV$23)*$BW$23+
INDEX($A450:$BM450,,$BV$25)*$BW$25+
INDEX($A450:$BM450,,$BV$26)*$BW$26+
INDEX($A450:$BM450,,$BV$27)*$BW$27+
$BN450)),
$BN450-100)</f>
        <v>-100</v>
      </c>
      <c r="AT450" t="str">
        <f t="shared" si="83"/>
        <v/>
      </c>
      <c r="AU450" t="str">
        <f t="shared" si="84"/>
        <v/>
      </c>
      <c r="AV450" s="430">
        <f>IFERROR(
IF(AT450="",-100,
IF($BV$2&gt;0, INDEX(Beersheet!$A:$U,MATCH(AT450,INDEX(Beersheet!$A:$U,0,FFARawStatProjections!$BV$2),0),$BV$3)+$BN450,
INDEX($A450:$BM450,,$BV$12)*$BW$12+
INDEX($A450:$BM450,,$BV$15)*$BW$15+
INDEX($A450:$BM450,,$BV$16)*$BW$16+
INDEX($A450:$BM450,,$BV$17)*$BW$17+
INDEX($A450:$BM450,,$BV$18)*$BW$18+
INDEX($A450:$BM450,,$BV$19)*$BW$19+
INDEX($A450:$BM450,,$BV$20)*$BW$20+
INDEX($A450:$BM450,,$BV$21)*$BW$21+
INDEX($A450:$BM450,,$BV$22)*$BW$22+
INDEX($A450:$BM450,,$BV$23)*$BW$23+
INDEX($A450:$BM450,,$BV$25)*$BW$25+
INDEX($A450:$BM450,,$BV$26)*$BW$26+
INDEX($A450:$BM450,,$BV$27)*$BW$27+
$BN450)),
$BN450-100)</f>
        <v>-100</v>
      </c>
      <c r="AX450" t="str">
        <f t="shared" si="85"/>
        <v>Xavier Hutchinson</v>
      </c>
      <c r="AY450" t="str">
        <f t="shared" si="86"/>
        <v>HOU</v>
      </c>
      <c r="AZ450" s="430">
        <f>IFERROR(
IF(AX450="",-100,
IF($BV$2&gt;0, INDEX(Beersheet!$A:$U,MATCH(AX450,INDEX(Beersheet!$A:$U,0,FFARawStatProjections!$BV$2),0),$BV$3)+$BN450,
INDEX($A450:$BM450,,$BV$12)*$BW$12+
INDEX($A450:$BM450,,$BV$15)*$BW$15+
INDEX($A450:$BM450,,$BV$16)*$BW$16+
INDEX($A450:$BM450,,$BV$17)*$BW$17+
INDEX($A450:$BM450,,$BV$18)*$BW$18+
INDEX($A450:$BM450,,$BV$19)*$BW$19+
INDEX($A450:$BM450,,$BV$20)*$BW$20+
INDEX($A450:$BM450,,$BV$21)*$BW$21+
INDEX($A450:$BM450,,$BV$22)*$BW$22+
INDEX($A450:$BM450,,$BV$23)*$BW$23+
INDEX($A450:$BM450,,$BV$25)*$BW$25+
INDEX($A450:$BM450,,$BV$26)*$BW$26+
INDEX($A450:$BM450,,$BV$27)*$BW$27+
$BN450)),
$BN450-100)</f>
        <v>23.164490000000001</v>
      </c>
      <c r="BB450" t="str">
        <f t="shared" si="87"/>
        <v/>
      </c>
      <c r="BC450" t="str">
        <f t="shared" ref="BC450:BC513" si="94">IFERROR(IF(BB450="","",$B450),"")</f>
        <v/>
      </c>
      <c r="BD450" s="430">
        <f>IFERROR(
IF(BB450="",-100,
IF($BV$2&gt;0, INDEX(Beersheet!$A:$U,MATCH(BB450,INDEX(Beersheet!$A:$U,0,FFARawStatProjections!$BV$2),0),$BV$3)+$BN450,
INDEX($A450:$BM450,,$BV$12)*$BW$12+
INDEX($A450:$BM450,,$BV$15)*$BW$15+
INDEX($A450:$BM450,,$BV$16)*$BW$16+
INDEX($A450:$BM450,,$BV$17)*$BW$17+
INDEX($A450:$BM450,,$BV$18)*$BW$18+
INDEX($A450:$BM450,,$BV$19)*$BW$19+
INDEX($A450:$BM450,,$BV$20)*$BW$20+
INDEX($A450:$BM450,,$BV$21)*$BW$21+
INDEX($A450:$BM450,,$BV$22)*$BW$22+
INDEX($A450:$BM450,,$BV$23)*$BW$23+
INDEX($A450:$BM450,,$BV$25)*$BW$25+
INDEX($A450:$BM450,,$BV$26)*$BW$26+
INDEX($A450:$BM450,,$BV$27)*$BW$27+
$BN450)),
$BN450-100)</f>
        <v>-100</v>
      </c>
      <c r="BF450" t="str">
        <f t="shared" si="88"/>
        <v/>
      </c>
      <c r="BG450" t="str">
        <f t="shared" si="89"/>
        <v/>
      </c>
      <c r="BH450">
        <f t="shared" si="90"/>
        <v>0</v>
      </c>
      <c r="BJ450" t="str">
        <f t="shared" si="91"/>
        <v/>
      </c>
      <c r="BL450">
        <f t="shared" si="93"/>
        <v>0</v>
      </c>
      <c r="BN450">
        <v>4.4900000000000001E-3</v>
      </c>
      <c r="BS450" s="4" t="s">
        <v>2257</v>
      </c>
    </row>
    <row r="451" spans="1:71" ht="15.75" thickBot="1" x14ac:dyDescent="0.3">
      <c r="A451" s="569" t="s">
        <v>2492</v>
      </c>
      <c r="B451" s="569" t="s">
        <v>139</v>
      </c>
      <c r="C451" s="569" t="s">
        <v>6</v>
      </c>
      <c r="D451" s="574">
        <v>6</v>
      </c>
      <c r="E451" s="569"/>
      <c r="F451" s="569"/>
      <c r="G451" s="569"/>
      <c r="H451" s="569"/>
      <c r="I451" s="574">
        <v>0</v>
      </c>
      <c r="J451" s="574">
        <v>0</v>
      </c>
      <c r="K451" s="574">
        <v>0</v>
      </c>
      <c r="L451" s="574">
        <v>17.600000000000001</v>
      </c>
      <c r="M451" s="574">
        <v>0.8</v>
      </c>
      <c r="N451" s="574">
        <v>173.2</v>
      </c>
      <c r="O451" s="574">
        <v>0.2</v>
      </c>
      <c r="P451" s="574">
        <v>0</v>
      </c>
      <c r="Q451" s="574">
        <v>3.9</v>
      </c>
      <c r="R451" s="569"/>
      <c r="S451" s="569"/>
      <c r="T451" s="569"/>
      <c r="U451" s="569"/>
      <c r="V451" s="569"/>
      <c r="W451" s="569"/>
      <c r="X451" s="569"/>
      <c r="Y451" s="569"/>
      <c r="Z451" s="569"/>
      <c r="AA451" s="569"/>
      <c r="AB451" s="569"/>
      <c r="AC451" s="569"/>
      <c r="AD451" s="569"/>
      <c r="AE451" s="569"/>
      <c r="AF451" s="569"/>
      <c r="AG451" s="569"/>
      <c r="AH451" s="569"/>
      <c r="AI451" s="569"/>
      <c r="AJ451" s="569"/>
      <c r="AK451" s="569"/>
      <c r="AL451" s="569"/>
      <c r="AM451" s="569"/>
      <c r="AN451" s="574">
        <v>22.7</v>
      </c>
      <c r="AO451">
        <v>450</v>
      </c>
      <c r="AP451" t="str">
        <f t="shared" si="92"/>
        <v/>
      </c>
      <c r="AQ451" t="str">
        <f t="shared" ref="AQ451:AQ514" si="95">IFERROR(IF(AP451="","",$B451),"")</f>
        <v/>
      </c>
      <c r="AR451" s="430">
        <f>IFERROR(
IF(AP451="",-100,
IF($BV$2&gt;0, INDEX(Beersheet!$A:$U,MATCH(AP451,INDEX(Beersheet!$A:$U,0,FFARawStatProjections!$BV$2),0),$BV$3)+$BN451,
INDEX($A451:$BM451,,$BV$12)*$BW$12+
INDEX($A451:$BM451,,$BV$15)*$BW$15+
INDEX($A451:$BM451,,$BV$16)*$BW$16+
INDEX($A451:$BM451,,$BV$17)*$BW$17+
INDEX($A451:$BM451,,$BV$18)*$BW$18+
INDEX($A451:$BM451,,$BV$19)*$BW$19+
INDEX($A451:$BM451,,$BV$20)*$BW$20+
INDEX($A451:$BM451,,$BV$21)*$BW$21+
INDEX($A451:$BM451,,$BV$22)*$BW$22+
INDEX($A451:$BM451,,$BV$23)*$BW$23+
INDEX($A451:$BM451,,$BV$25)*$BW$25+
INDEX($A451:$BM451,,$BV$26)*$BW$26+
INDEX($A451:$BM451,,$BV$27)*$BW$27+
$BN451)),
$BN451-100)</f>
        <v>-100</v>
      </c>
      <c r="AT451" t="str">
        <f t="shared" ref="AT451:AT514" si="96">IF($C451 = "RB", $A451, "")</f>
        <v/>
      </c>
      <c r="AU451" t="str">
        <f t="shared" ref="AU451:AU514" si="97">IFERROR(IF(AT451="","",$B451),"")</f>
        <v/>
      </c>
      <c r="AV451" s="430">
        <f>IFERROR(
IF(AT451="",-100,
IF($BV$2&gt;0, INDEX(Beersheet!$A:$U,MATCH(AT451,INDEX(Beersheet!$A:$U,0,FFARawStatProjections!$BV$2),0),$BV$3)+$BN451,
INDEX($A451:$BM451,,$BV$12)*$BW$12+
INDEX($A451:$BM451,,$BV$15)*$BW$15+
INDEX($A451:$BM451,,$BV$16)*$BW$16+
INDEX($A451:$BM451,,$BV$17)*$BW$17+
INDEX($A451:$BM451,,$BV$18)*$BW$18+
INDEX($A451:$BM451,,$BV$19)*$BW$19+
INDEX($A451:$BM451,,$BV$20)*$BW$20+
INDEX($A451:$BM451,,$BV$21)*$BW$21+
INDEX($A451:$BM451,,$BV$22)*$BW$22+
INDEX($A451:$BM451,,$BV$23)*$BW$23+
INDEX($A451:$BM451,,$BV$25)*$BW$25+
INDEX($A451:$BM451,,$BV$26)*$BW$26+
INDEX($A451:$BM451,,$BV$27)*$BW$27+
$BN451)),
$BN451-100)</f>
        <v>-100</v>
      </c>
      <c r="AX451" t="str">
        <f t="shared" ref="AX451:AX514" si="98">IF($C451 = "WR", $A451, "")</f>
        <v>Dontayvion Wicks</v>
      </c>
      <c r="AY451" t="str">
        <f t="shared" ref="AY451:AY514" si="99">IFERROR(IF(AX451="","",$B451),"")</f>
        <v>GB</v>
      </c>
      <c r="AZ451" s="430">
        <f>IFERROR(
IF(AX451="",-100,
IF($BV$2&gt;0, INDEX(Beersheet!$A:$U,MATCH(AX451,INDEX(Beersheet!$A:$U,0,FFARawStatProjections!$BV$2),0),$BV$3)+$BN451,
INDEX($A451:$BM451,,$BV$12)*$BW$12+
INDEX($A451:$BM451,,$BV$15)*$BW$15+
INDEX($A451:$BM451,,$BV$16)*$BW$16+
INDEX($A451:$BM451,,$BV$17)*$BW$17+
INDEX($A451:$BM451,,$BV$18)*$BW$18+
INDEX($A451:$BM451,,$BV$19)*$BW$19+
INDEX($A451:$BM451,,$BV$20)*$BW$20+
INDEX($A451:$BM451,,$BV$21)*$BW$21+
INDEX($A451:$BM451,,$BV$22)*$BW$22+
INDEX($A451:$BM451,,$BV$23)*$BW$23+
INDEX($A451:$BM451,,$BV$25)*$BW$25+
INDEX($A451:$BM451,,$BV$26)*$BW$26+
INDEX($A451:$BM451,,$BV$27)*$BW$27+
$BN451)),
$BN451-100)</f>
        <v>40.1145</v>
      </c>
      <c r="BB451" t="str">
        <f t="shared" ref="BB451:BB514" si="100">IF($C451 = "TE", $A451, "")</f>
        <v/>
      </c>
      <c r="BC451" t="str">
        <f t="shared" si="94"/>
        <v/>
      </c>
      <c r="BD451" s="430">
        <f>IFERROR(
IF(BB451="",-100,
IF($BV$2&gt;0, INDEX(Beersheet!$A:$U,MATCH(BB451,INDEX(Beersheet!$A:$U,0,FFARawStatProjections!$BV$2),0),$BV$3)+$BN451,
INDEX($A451:$BM451,,$BV$12)*$BW$12+
INDEX($A451:$BM451,,$BV$15)*$BW$15+
INDEX($A451:$BM451,,$BV$16)*$BW$16+
INDEX($A451:$BM451,,$BV$17)*$BW$17+
INDEX($A451:$BM451,,$BV$18)*$BW$18+
INDEX($A451:$BM451,,$BV$19)*$BW$19+
INDEX($A451:$BM451,,$BV$20)*$BW$20+
INDEX($A451:$BM451,,$BV$21)*$BW$21+
INDEX($A451:$BM451,,$BV$22)*$BW$22+
INDEX($A451:$BM451,,$BV$23)*$BW$23+
INDEX($A451:$BM451,,$BV$25)*$BW$25+
INDEX($A451:$BM451,,$BV$26)*$BW$26+
INDEX($A451:$BM451,,$BV$27)*$BW$27+
$BN451)),
$BN451-100)</f>
        <v>-100</v>
      </c>
      <c r="BF451" t="str">
        <f t="shared" ref="BF451:BF514" si="101">IF($C451 = "K", $A451, "")</f>
        <v/>
      </c>
      <c r="BG451" t="str">
        <f t="shared" ref="BG451:BG514" si="102">IFERROR(IF(BF451="","",$B451),"")</f>
        <v/>
      </c>
      <c r="BH451">
        <f t="shared" ref="BH451:BH514" si="103">IFERROR(IF(BF451="",0,
AF451*3
+AG451*3
+AH451*3
+AI451*4
+AJ451*5
+BN451+AN451),"")</f>
        <v>0</v>
      </c>
      <c r="BJ451" t="str">
        <f t="shared" ref="BJ451:BJ514" si="104">IF($C451 = "DST", $A451, "")</f>
        <v/>
      </c>
      <c r="BL451">
        <f t="shared" si="93"/>
        <v>0</v>
      </c>
      <c r="BN451">
        <v>4.4999999999999997E-3</v>
      </c>
      <c r="BS451" s="4" t="s">
        <v>1855</v>
      </c>
    </row>
    <row r="452" spans="1:71" ht="15.75" thickBot="1" x14ac:dyDescent="0.3">
      <c r="A452" s="569" t="s">
        <v>2495</v>
      </c>
      <c r="B452" s="569" t="s">
        <v>149</v>
      </c>
      <c r="C452" s="569" t="s">
        <v>6</v>
      </c>
      <c r="D452" s="574">
        <v>5</v>
      </c>
      <c r="E452" s="569"/>
      <c r="F452" s="569"/>
      <c r="G452" s="569"/>
      <c r="H452" s="569"/>
      <c r="I452" s="574">
        <v>0</v>
      </c>
      <c r="J452" s="574">
        <v>0</v>
      </c>
      <c r="K452" s="574">
        <v>0</v>
      </c>
      <c r="L452" s="574">
        <v>12.1</v>
      </c>
      <c r="M452" s="574">
        <v>0.8</v>
      </c>
      <c r="N452" s="574">
        <v>153.5</v>
      </c>
      <c r="O452" s="574">
        <v>0</v>
      </c>
      <c r="P452" s="574">
        <v>0.2</v>
      </c>
      <c r="Q452" s="574">
        <v>13</v>
      </c>
      <c r="R452" s="569"/>
      <c r="S452" s="569"/>
      <c r="T452" s="569"/>
      <c r="U452" s="569"/>
      <c r="V452" s="569"/>
      <c r="W452" s="569"/>
      <c r="X452" s="569"/>
      <c r="Y452" s="569"/>
      <c r="Z452" s="569"/>
      <c r="AA452" s="569"/>
      <c r="AB452" s="569"/>
      <c r="AC452" s="569"/>
      <c r="AD452" s="569"/>
      <c r="AE452" s="569"/>
      <c r="AF452" s="569"/>
      <c r="AG452" s="569"/>
      <c r="AH452" s="569"/>
      <c r="AI452" s="569"/>
      <c r="AJ452" s="569"/>
      <c r="AK452" s="569"/>
      <c r="AL452" s="569"/>
      <c r="AM452" s="569"/>
      <c r="AN452" s="574">
        <v>22</v>
      </c>
      <c r="AO452">
        <v>451</v>
      </c>
      <c r="AP452" t="str">
        <f t="shared" si="92"/>
        <v/>
      </c>
      <c r="AQ452" t="str">
        <f t="shared" si="95"/>
        <v/>
      </c>
      <c r="AR452" s="430">
        <f>IFERROR(
IF(AP452="",-100,
IF($BV$2&gt;0, INDEX(Beersheet!$A:$U,MATCH(AP452,INDEX(Beersheet!$A:$U,0,FFARawStatProjections!$BV$2),0),$BV$3)+$BN452,
INDEX($A452:$BM452,,$BV$12)*$BW$12+
INDEX($A452:$BM452,,$BV$15)*$BW$15+
INDEX($A452:$BM452,,$BV$16)*$BW$16+
INDEX($A452:$BM452,,$BV$17)*$BW$17+
INDEX($A452:$BM452,,$BV$18)*$BW$18+
INDEX($A452:$BM452,,$BV$19)*$BW$19+
INDEX($A452:$BM452,,$BV$20)*$BW$20+
INDEX($A452:$BM452,,$BV$21)*$BW$21+
INDEX($A452:$BM452,,$BV$22)*$BW$22+
INDEX($A452:$BM452,,$BV$23)*$BW$23+
INDEX($A452:$BM452,,$BV$25)*$BW$25+
INDEX($A452:$BM452,,$BV$26)*$BW$26+
INDEX($A452:$BM452,,$BV$27)*$BW$27+
$BN452)),
$BN452-100)</f>
        <v>-100</v>
      </c>
      <c r="AT452" t="str">
        <f t="shared" si="96"/>
        <v/>
      </c>
      <c r="AU452" t="str">
        <f t="shared" si="97"/>
        <v/>
      </c>
      <c r="AV452" s="430">
        <f>IFERROR(
IF(AT452="",-100,
IF($BV$2&gt;0, INDEX(Beersheet!$A:$U,MATCH(AT452,INDEX(Beersheet!$A:$U,0,FFARawStatProjections!$BV$2),0),$BV$3)+$BN452,
INDEX($A452:$BM452,,$BV$12)*$BW$12+
INDEX($A452:$BM452,,$BV$15)*$BW$15+
INDEX($A452:$BM452,,$BV$16)*$BW$16+
INDEX($A452:$BM452,,$BV$17)*$BW$17+
INDEX($A452:$BM452,,$BV$18)*$BW$18+
INDEX($A452:$BM452,,$BV$19)*$BW$19+
INDEX($A452:$BM452,,$BV$20)*$BW$20+
INDEX($A452:$BM452,,$BV$21)*$BW$21+
INDEX($A452:$BM452,,$BV$22)*$BW$22+
INDEX($A452:$BM452,,$BV$23)*$BW$23+
INDEX($A452:$BM452,,$BV$25)*$BW$25+
INDEX($A452:$BM452,,$BV$26)*$BW$26+
INDEX($A452:$BM452,,$BV$27)*$BW$27+
$BN452)),
$BN452-100)</f>
        <v>-100</v>
      </c>
      <c r="AX452" t="str">
        <f t="shared" si="98"/>
        <v>Deven Thompkins</v>
      </c>
      <c r="AY452" t="str">
        <f t="shared" si="99"/>
        <v>TB</v>
      </c>
      <c r="AZ452" s="430">
        <f>IFERROR(
IF(AX452="",-100,
IF($BV$2&gt;0, INDEX(Beersheet!$A:$U,MATCH(AX452,INDEX(Beersheet!$A:$U,0,FFARawStatProjections!$BV$2),0),$BV$3)+$BN452,
INDEX($A452:$BM452,,$BV$12)*$BW$12+
INDEX($A452:$BM452,,$BV$15)*$BW$15+
INDEX($A452:$BM452,,$BV$16)*$BW$16+
INDEX($A452:$BM452,,$BV$17)*$BW$17+
INDEX($A452:$BM452,,$BV$18)*$BW$18+
INDEX($A452:$BM452,,$BV$19)*$BW$19+
INDEX($A452:$BM452,,$BV$20)*$BW$20+
INDEX($A452:$BM452,,$BV$21)*$BW$21+
INDEX($A452:$BM452,,$BV$22)*$BW$22+
INDEX($A452:$BM452,,$BV$23)*$BW$23+
INDEX($A452:$BM452,,$BV$25)*$BW$25+
INDEX($A452:$BM452,,$BV$26)*$BW$26+
INDEX($A452:$BM452,,$BV$27)*$BW$27+
$BN452)),
$BN452-100)</f>
        <v>34.754510000000003</v>
      </c>
      <c r="BB452" t="str">
        <f t="shared" si="100"/>
        <v/>
      </c>
      <c r="BC452" t="str">
        <f t="shared" si="94"/>
        <v/>
      </c>
      <c r="BD452" s="430">
        <f>IFERROR(
IF(BB452="",-100,
IF($BV$2&gt;0, INDEX(Beersheet!$A:$U,MATCH(BB452,INDEX(Beersheet!$A:$U,0,FFARawStatProjections!$BV$2),0),$BV$3)+$BN452,
INDEX($A452:$BM452,,$BV$12)*$BW$12+
INDEX($A452:$BM452,,$BV$15)*$BW$15+
INDEX($A452:$BM452,,$BV$16)*$BW$16+
INDEX($A452:$BM452,,$BV$17)*$BW$17+
INDEX($A452:$BM452,,$BV$18)*$BW$18+
INDEX($A452:$BM452,,$BV$19)*$BW$19+
INDEX($A452:$BM452,,$BV$20)*$BW$20+
INDEX($A452:$BM452,,$BV$21)*$BW$21+
INDEX($A452:$BM452,,$BV$22)*$BW$22+
INDEX($A452:$BM452,,$BV$23)*$BW$23+
INDEX($A452:$BM452,,$BV$25)*$BW$25+
INDEX($A452:$BM452,,$BV$26)*$BW$26+
INDEX($A452:$BM452,,$BV$27)*$BW$27+
$BN452)),
$BN452-100)</f>
        <v>-100</v>
      </c>
      <c r="BF452" t="str">
        <f t="shared" si="101"/>
        <v/>
      </c>
      <c r="BG452" t="str">
        <f t="shared" si="102"/>
        <v/>
      </c>
      <c r="BH452">
        <f t="shared" si="103"/>
        <v>0</v>
      </c>
      <c r="BJ452" t="str">
        <f t="shared" si="104"/>
        <v/>
      </c>
      <c r="BL452">
        <f t="shared" si="93"/>
        <v>0</v>
      </c>
      <c r="BN452">
        <v>4.5100000000000001E-3</v>
      </c>
      <c r="BS452" s="4" t="s">
        <v>2305</v>
      </c>
    </row>
    <row r="453" spans="1:71" ht="15.75" thickBot="1" x14ac:dyDescent="0.3">
      <c r="A453" s="569" t="s">
        <v>2350</v>
      </c>
      <c r="B453" s="569" t="s">
        <v>136</v>
      </c>
      <c r="C453" s="569" t="s">
        <v>6</v>
      </c>
      <c r="D453" s="574">
        <v>10</v>
      </c>
      <c r="E453" s="569"/>
      <c r="F453" s="569"/>
      <c r="G453" s="569"/>
      <c r="H453" s="569"/>
      <c r="I453" s="574">
        <v>0</v>
      </c>
      <c r="J453" s="574">
        <v>0</v>
      </c>
      <c r="K453" s="574">
        <v>0</v>
      </c>
      <c r="L453" s="574">
        <v>8.5</v>
      </c>
      <c r="M453" s="574">
        <v>0.7</v>
      </c>
      <c r="N453" s="574">
        <v>171</v>
      </c>
      <c r="O453" s="574">
        <v>0.5</v>
      </c>
      <c r="P453" s="574">
        <v>0</v>
      </c>
      <c r="Q453" s="574">
        <v>2.5</v>
      </c>
      <c r="R453" s="569"/>
      <c r="S453" s="569"/>
      <c r="T453" s="569"/>
      <c r="U453" s="569"/>
      <c r="V453" s="569"/>
      <c r="W453" s="569"/>
      <c r="X453" s="569"/>
      <c r="Y453" s="569"/>
      <c r="Z453" s="569"/>
      <c r="AA453" s="569"/>
      <c r="AB453" s="569"/>
      <c r="AC453" s="569"/>
      <c r="AD453" s="569"/>
      <c r="AE453" s="569"/>
      <c r="AF453" s="569"/>
      <c r="AG453" s="569"/>
      <c r="AH453" s="569"/>
      <c r="AI453" s="569"/>
      <c r="AJ453" s="569"/>
      <c r="AK453" s="569"/>
      <c r="AL453" s="569"/>
      <c r="AM453" s="569"/>
      <c r="AN453" s="574">
        <v>21.7</v>
      </c>
      <c r="AO453">
        <v>452</v>
      </c>
      <c r="AP453" t="str">
        <f t="shared" si="92"/>
        <v/>
      </c>
      <c r="AQ453" t="str">
        <f t="shared" si="95"/>
        <v/>
      </c>
      <c r="AR453" s="430">
        <f>IFERROR(
IF(AP453="",-100,
IF($BV$2&gt;0, INDEX(Beersheet!$A:$U,MATCH(AP453,INDEX(Beersheet!$A:$U,0,FFARawStatProjections!$BV$2),0),$BV$3)+$BN453,
INDEX($A453:$BM453,,$BV$12)*$BW$12+
INDEX($A453:$BM453,,$BV$15)*$BW$15+
INDEX($A453:$BM453,,$BV$16)*$BW$16+
INDEX($A453:$BM453,,$BV$17)*$BW$17+
INDEX($A453:$BM453,,$BV$18)*$BW$18+
INDEX($A453:$BM453,,$BV$19)*$BW$19+
INDEX($A453:$BM453,,$BV$20)*$BW$20+
INDEX($A453:$BM453,,$BV$21)*$BW$21+
INDEX($A453:$BM453,,$BV$22)*$BW$22+
INDEX($A453:$BM453,,$BV$23)*$BW$23+
INDEX($A453:$BM453,,$BV$25)*$BW$25+
INDEX($A453:$BM453,,$BV$26)*$BW$26+
INDEX($A453:$BM453,,$BV$27)*$BW$27+
$BN453)),
$BN453-100)</f>
        <v>-100</v>
      </c>
      <c r="AT453" t="str">
        <f t="shared" si="96"/>
        <v/>
      </c>
      <c r="AU453" t="str">
        <f t="shared" si="97"/>
        <v/>
      </c>
      <c r="AV453" s="430">
        <f>IFERROR(
IF(AT453="",-100,
IF($BV$2&gt;0, INDEX(Beersheet!$A:$U,MATCH(AT453,INDEX(Beersheet!$A:$U,0,FFARawStatProjections!$BV$2),0),$BV$3)+$BN453,
INDEX($A453:$BM453,,$BV$12)*$BW$12+
INDEX($A453:$BM453,,$BV$15)*$BW$15+
INDEX($A453:$BM453,,$BV$16)*$BW$16+
INDEX($A453:$BM453,,$BV$17)*$BW$17+
INDEX($A453:$BM453,,$BV$18)*$BW$18+
INDEX($A453:$BM453,,$BV$19)*$BW$19+
INDEX($A453:$BM453,,$BV$20)*$BW$20+
INDEX($A453:$BM453,,$BV$21)*$BW$21+
INDEX($A453:$BM453,,$BV$22)*$BW$22+
INDEX($A453:$BM453,,$BV$23)*$BW$23+
INDEX($A453:$BM453,,$BV$25)*$BW$25+
INDEX($A453:$BM453,,$BV$26)*$BW$26+
INDEX($A453:$BM453,,$BV$27)*$BW$27+
$BN453)),
$BN453-100)</f>
        <v>-100</v>
      </c>
      <c r="AX453" t="str">
        <f t="shared" si="98"/>
        <v>Justyn Ross</v>
      </c>
      <c r="AY453" t="str">
        <f t="shared" si="99"/>
        <v>KC</v>
      </c>
      <c r="AZ453" s="430">
        <f>IFERROR(
IF(AX453="",-100,
IF($BV$2&gt;0, INDEX(Beersheet!$A:$U,MATCH(AX453,INDEX(Beersheet!$A:$U,0,FFARawStatProjections!$BV$2),0),$BV$3)+$BN453,
INDEX($A453:$BM453,,$BV$12)*$BW$12+
INDEX($A453:$BM453,,$BV$15)*$BW$15+
INDEX($A453:$BM453,,$BV$16)*$BW$16+
INDEX($A453:$BM453,,$BV$17)*$BW$17+
INDEX($A453:$BM453,,$BV$18)*$BW$18+
INDEX($A453:$BM453,,$BV$19)*$BW$19+
INDEX($A453:$BM453,,$BV$20)*$BW$20+
INDEX($A453:$BM453,,$BV$21)*$BW$21+
INDEX($A453:$BM453,,$BV$22)*$BW$22+
INDEX($A453:$BM453,,$BV$23)*$BW$23+
INDEX($A453:$BM453,,$BV$25)*$BW$25+
INDEX($A453:$BM453,,$BV$26)*$BW$26+
INDEX($A453:$BM453,,$BV$27)*$BW$27+
$BN453)),
$BN453-100)</f>
        <v>30.05452</v>
      </c>
      <c r="BB453" t="str">
        <f t="shared" si="100"/>
        <v/>
      </c>
      <c r="BC453" t="str">
        <f t="shared" si="94"/>
        <v/>
      </c>
      <c r="BD453" s="430">
        <f>IFERROR(
IF(BB453="",-100,
IF($BV$2&gt;0, INDEX(Beersheet!$A:$U,MATCH(BB453,INDEX(Beersheet!$A:$U,0,FFARawStatProjections!$BV$2),0),$BV$3)+$BN453,
INDEX($A453:$BM453,,$BV$12)*$BW$12+
INDEX($A453:$BM453,,$BV$15)*$BW$15+
INDEX($A453:$BM453,,$BV$16)*$BW$16+
INDEX($A453:$BM453,,$BV$17)*$BW$17+
INDEX($A453:$BM453,,$BV$18)*$BW$18+
INDEX($A453:$BM453,,$BV$19)*$BW$19+
INDEX($A453:$BM453,,$BV$20)*$BW$20+
INDEX($A453:$BM453,,$BV$21)*$BW$21+
INDEX($A453:$BM453,,$BV$22)*$BW$22+
INDEX($A453:$BM453,,$BV$23)*$BW$23+
INDEX($A453:$BM453,,$BV$25)*$BW$25+
INDEX($A453:$BM453,,$BV$26)*$BW$26+
INDEX($A453:$BM453,,$BV$27)*$BW$27+
$BN453)),
$BN453-100)</f>
        <v>-100</v>
      </c>
      <c r="BF453" t="str">
        <f t="shared" si="101"/>
        <v/>
      </c>
      <c r="BG453" t="str">
        <f t="shared" si="102"/>
        <v/>
      </c>
      <c r="BH453">
        <f t="shared" si="103"/>
        <v>0</v>
      </c>
      <c r="BJ453" t="str">
        <f t="shared" si="104"/>
        <v/>
      </c>
      <c r="BL453">
        <f t="shared" si="93"/>
        <v>0</v>
      </c>
      <c r="BN453">
        <v>4.5199999999999997E-3</v>
      </c>
      <c r="BS453" s="4" t="s">
        <v>1388</v>
      </c>
    </row>
    <row r="454" spans="1:71" ht="15.75" thickBot="1" x14ac:dyDescent="0.3">
      <c r="A454" s="569" t="s">
        <v>2395</v>
      </c>
      <c r="B454" s="569" t="s">
        <v>141</v>
      </c>
      <c r="C454" s="569" t="s">
        <v>6</v>
      </c>
      <c r="D454" s="574">
        <v>13</v>
      </c>
      <c r="E454" s="569"/>
      <c r="F454" s="569"/>
      <c r="G454" s="569"/>
      <c r="H454" s="569"/>
      <c r="I454" s="574">
        <v>0</v>
      </c>
      <c r="J454" s="574">
        <v>0</v>
      </c>
      <c r="K454" s="574">
        <v>0</v>
      </c>
      <c r="L454" s="574">
        <v>0</v>
      </c>
      <c r="M454" s="574">
        <v>0</v>
      </c>
      <c r="N454" s="574">
        <v>213.7</v>
      </c>
      <c r="O454" s="574">
        <v>0.9</v>
      </c>
      <c r="P454" s="574">
        <v>0</v>
      </c>
      <c r="Q454" s="574">
        <v>5.3</v>
      </c>
      <c r="R454" s="569"/>
      <c r="S454" s="569"/>
      <c r="T454" s="569"/>
      <c r="U454" s="569"/>
      <c r="V454" s="569"/>
      <c r="W454" s="569"/>
      <c r="X454" s="569"/>
      <c r="Y454" s="569"/>
      <c r="Z454" s="569"/>
      <c r="AA454" s="569"/>
      <c r="AB454" s="569"/>
      <c r="AC454" s="569"/>
      <c r="AD454" s="569"/>
      <c r="AE454" s="569"/>
      <c r="AF454" s="569"/>
      <c r="AG454" s="569"/>
      <c r="AH454" s="569"/>
      <c r="AI454" s="569"/>
      <c r="AJ454" s="569"/>
      <c r="AK454" s="569"/>
      <c r="AL454" s="569"/>
      <c r="AM454" s="569"/>
      <c r="AN454" s="574">
        <v>21.7</v>
      </c>
      <c r="AO454">
        <v>453</v>
      </c>
      <c r="AP454" t="str">
        <f t="shared" si="92"/>
        <v/>
      </c>
      <c r="AQ454" t="str">
        <f t="shared" si="95"/>
        <v/>
      </c>
      <c r="AR454" s="430">
        <f>IFERROR(
IF(AP454="",-100,
IF($BV$2&gt;0, INDEX(Beersheet!$A:$U,MATCH(AP454,INDEX(Beersheet!$A:$U,0,FFARawStatProjections!$BV$2),0),$BV$3)+$BN454,
INDEX($A454:$BM454,,$BV$12)*$BW$12+
INDEX($A454:$BM454,,$BV$15)*$BW$15+
INDEX($A454:$BM454,,$BV$16)*$BW$16+
INDEX($A454:$BM454,,$BV$17)*$BW$17+
INDEX($A454:$BM454,,$BV$18)*$BW$18+
INDEX($A454:$BM454,,$BV$19)*$BW$19+
INDEX($A454:$BM454,,$BV$20)*$BW$20+
INDEX($A454:$BM454,,$BV$21)*$BW$21+
INDEX($A454:$BM454,,$BV$22)*$BW$22+
INDEX($A454:$BM454,,$BV$23)*$BW$23+
INDEX($A454:$BM454,,$BV$25)*$BW$25+
INDEX($A454:$BM454,,$BV$26)*$BW$26+
INDEX($A454:$BM454,,$BV$27)*$BW$27+
$BN454)),
$BN454-100)</f>
        <v>-100</v>
      </c>
      <c r="AT454" t="str">
        <f t="shared" si="96"/>
        <v/>
      </c>
      <c r="AU454" t="str">
        <f t="shared" si="97"/>
        <v/>
      </c>
      <c r="AV454" s="430">
        <f>IFERROR(
IF(AT454="",-100,
IF($BV$2&gt;0, INDEX(Beersheet!$A:$U,MATCH(AT454,INDEX(Beersheet!$A:$U,0,FFARawStatProjections!$BV$2),0),$BV$3)+$BN454,
INDEX($A454:$BM454,,$BV$12)*$BW$12+
INDEX($A454:$BM454,,$BV$15)*$BW$15+
INDEX($A454:$BM454,,$BV$16)*$BW$16+
INDEX($A454:$BM454,,$BV$17)*$BW$17+
INDEX($A454:$BM454,,$BV$18)*$BW$18+
INDEX($A454:$BM454,,$BV$19)*$BW$19+
INDEX($A454:$BM454,,$BV$20)*$BW$20+
INDEX($A454:$BM454,,$BV$21)*$BW$21+
INDEX($A454:$BM454,,$BV$22)*$BW$22+
INDEX($A454:$BM454,,$BV$23)*$BW$23+
INDEX($A454:$BM454,,$BV$25)*$BW$25+
INDEX($A454:$BM454,,$BV$26)*$BW$26+
INDEX($A454:$BM454,,$BV$27)*$BW$27+
$BN454)),
$BN454-100)</f>
        <v>-100</v>
      </c>
      <c r="AX454" t="str">
        <f t="shared" si="98"/>
        <v>Tyler Scott</v>
      </c>
      <c r="AY454" t="str">
        <f t="shared" si="99"/>
        <v>CHI</v>
      </c>
      <c r="AZ454" s="430">
        <f>IFERROR(
IF(AX454="",-100,
IF($BV$2&gt;0, INDEX(Beersheet!$A:$U,MATCH(AX454,INDEX(Beersheet!$A:$U,0,FFARawStatProjections!$BV$2),0),$BV$3)+$BN454,
INDEX($A454:$BM454,,$BV$12)*$BW$12+
INDEX($A454:$BM454,,$BV$15)*$BW$15+
INDEX($A454:$BM454,,$BV$16)*$BW$16+
INDEX($A454:$BM454,,$BV$17)*$BW$17+
INDEX($A454:$BM454,,$BV$18)*$BW$18+
INDEX($A454:$BM454,,$BV$19)*$BW$19+
INDEX($A454:$BM454,,$BV$20)*$BW$20+
INDEX($A454:$BM454,,$BV$21)*$BW$21+
INDEX($A454:$BM454,,$BV$22)*$BW$22+
INDEX($A454:$BM454,,$BV$23)*$BW$23+
INDEX($A454:$BM454,,$BV$25)*$BW$25+
INDEX($A454:$BM454,,$BV$26)*$BW$26+
INDEX($A454:$BM454,,$BV$27)*$BW$27+
$BN454)),
$BN454-100)</f>
        <v>21.904530000000001</v>
      </c>
      <c r="BB454" t="str">
        <f t="shared" si="100"/>
        <v/>
      </c>
      <c r="BC454" t="str">
        <f t="shared" si="94"/>
        <v/>
      </c>
      <c r="BD454" s="430">
        <f>IFERROR(
IF(BB454="",-100,
IF($BV$2&gt;0, INDEX(Beersheet!$A:$U,MATCH(BB454,INDEX(Beersheet!$A:$U,0,FFARawStatProjections!$BV$2),0),$BV$3)+$BN454,
INDEX($A454:$BM454,,$BV$12)*$BW$12+
INDEX($A454:$BM454,,$BV$15)*$BW$15+
INDEX($A454:$BM454,,$BV$16)*$BW$16+
INDEX($A454:$BM454,,$BV$17)*$BW$17+
INDEX($A454:$BM454,,$BV$18)*$BW$18+
INDEX($A454:$BM454,,$BV$19)*$BW$19+
INDEX($A454:$BM454,,$BV$20)*$BW$20+
INDEX($A454:$BM454,,$BV$21)*$BW$21+
INDEX($A454:$BM454,,$BV$22)*$BW$22+
INDEX($A454:$BM454,,$BV$23)*$BW$23+
INDEX($A454:$BM454,,$BV$25)*$BW$25+
INDEX($A454:$BM454,,$BV$26)*$BW$26+
INDEX($A454:$BM454,,$BV$27)*$BW$27+
$BN454)),
$BN454-100)</f>
        <v>-100</v>
      </c>
      <c r="BF454" t="str">
        <f t="shared" si="101"/>
        <v/>
      </c>
      <c r="BG454" t="str">
        <f t="shared" si="102"/>
        <v/>
      </c>
      <c r="BH454">
        <f t="shared" si="103"/>
        <v>0</v>
      </c>
      <c r="BJ454" t="str">
        <f t="shared" si="104"/>
        <v/>
      </c>
      <c r="BL454">
        <f t="shared" si="93"/>
        <v>0</v>
      </c>
      <c r="BN454">
        <v>4.5300000000000002E-3</v>
      </c>
      <c r="BS454" s="4" t="s">
        <v>1764</v>
      </c>
    </row>
    <row r="455" spans="1:71" ht="15.75" thickBot="1" x14ac:dyDescent="0.3">
      <c r="A455" s="569" t="s">
        <v>2100</v>
      </c>
      <c r="B455" s="569" t="s">
        <v>162</v>
      </c>
      <c r="C455" s="569" t="s">
        <v>6</v>
      </c>
      <c r="D455" s="574">
        <v>13</v>
      </c>
      <c r="E455" s="569"/>
      <c r="F455" s="569"/>
      <c r="G455" s="569"/>
      <c r="H455" s="569"/>
      <c r="I455" s="574">
        <v>0</v>
      </c>
      <c r="J455" s="574">
        <v>0</v>
      </c>
      <c r="K455" s="574">
        <v>0</v>
      </c>
      <c r="L455" s="574">
        <v>6.4</v>
      </c>
      <c r="M455" s="574">
        <v>0.4</v>
      </c>
      <c r="N455" s="574">
        <v>135.30000000000001</v>
      </c>
      <c r="O455" s="574">
        <v>4.5999999999999996</v>
      </c>
      <c r="P455" s="574">
        <v>0.2</v>
      </c>
      <c r="Q455" s="574">
        <v>41.6</v>
      </c>
      <c r="R455" s="569"/>
      <c r="S455" s="569"/>
      <c r="T455" s="569"/>
      <c r="U455" s="569"/>
      <c r="V455" s="569"/>
      <c r="W455" s="569"/>
      <c r="X455" s="569"/>
      <c r="Y455" s="569"/>
      <c r="Z455" s="569"/>
      <c r="AA455" s="569"/>
      <c r="AB455" s="569"/>
      <c r="AC455" s="569"/>
      <c r="AD455" s="569"/>
      <c r="AE455" s="569"/>
      <c r="AF455" s="569"/>
      <c r="AG455" s="569"/>
      <c r="AH455" s="569"/>
      <c r="AI455" s="569"/>
      <c r="AJ455" s="569"/>
      <c r="AK455" s="569"/>
      <c r="AL455" s="569"/>
      <c r="AM455" s="569"/>
      <c r="AN455" s="574">
        <v>21.5</v>
      </c>
      <c r="AO455">
        <v>454</v>
      </c>
      <c r="AP455" t="str">
        <f t="shared" si="92"/>
        <v/>
      </c>
      <c r="AQ455" t="str">
        <f t="shared" si="95"/>
        <v/>
      </c>
      <c r="AR455" s="430">
        <f>IFERROR(
IF(AP455="",-100,
IF($BV$2&gt;0, INDEX(Beersheet!$A:$U,MATCH(AP455,INDEX(Beersheet!$A:$U,0,FFARawStatProjections!$BV$2),0),$BV$3)+$BN455,
INDEX($A455:$BM455,,$BV$12)*$BW$12+
INDEX($A455:$BM455,,$BV$15)*$BW$15+
INDEX($A455:$BM455,,$BV$16)*$BW$16+
INDEX($A455:$BM455,,$BV$17)*$BW$17+
INDEX($A455:$BM455,,$BV$18)*$BW$18+
INDEX($A455:$BM455,,$BV$19)*$BW$19+
INDEX($A455:$BM455,,$BV$20)*$BW$20+
INDEX($A455:$BM455,,$BV$21)*$BW$21+
INDEX($A455:$BM455,,$BV$22)*$BW$22+
INDEX($A455:$BM455,,$BV$23)*$BW$23+
INDEX($A455:$BM455,,$BV$25)*$BW$25+
INDEX($A455:$BM455,,$BV$26)*$BW$26+
INDEX($A455:$BM455,,$BV$27)*$BW$27+
$BN455)),
$BN455-100)</f>
        <v>-100</v>
      </c>
      <c r="AT455" t="str">
        <f t="shared" si="96"/>
        <v/>
      </c>
      <c r="AU455" t="str">
        <f t="shared" si="97"/>
        <v/>
      </c>
      <c r="AV455" s="430">
        <f>IFERROR(
IF(AT455="",-100,
IF($BV$2&gt;0, INDEX(Beersheet!$A:$U,MATCH(AT455,INDEX(Beersheet!$A:$U,0,FFARawStatProjections!$BV$2),0),$BV$3)+$BN455,
INDEX($A455:$BM455,,$BV$12)*$BW$12+
INDEX($A455:$BM455,,$BV$15)*$BW$15+
INDEX($A455:$BM455,,$BV$16)*$BW$16+
INDEX($A455:$BM455,,$BV$17)*$BW$17+
INDEX($A455:$BM455,,$BV$18)*$BW$18+
INDEX($A455:$BM455,,$BV$19)*$BW$19+
INDEX($A455:$BM455,,$BV$20)*$BW$20+
INDEX($A455:$BM455,,$BV$21)*$BW$21+
INDEX($A455:$BM455,,$BV$22)*$BW$22+
INDEX($A455:$BM455,,$BV$23)*$BW$23+
INDEX($A455:$BM455,,$BV$25)*$BW$25+
INDEX($A455:$BM455,,$BV$26)*$BW$26+
INDEX($A455:$BM455,,$BV$27)*$BW$27+
$BN455)),
$BN455-100)</f>
        <v>-100</v>
      </c>
      <c r="AX455" t="str">
        <f t="shared" si="98"/>
        <v>Devin Duvernay</v>
      </c>
      <c r="AY455" t="str">
        <f t="shared" si="99"/>
        <v>BAL</v>
      </c>
      <c r="AZ455" s="430">
        <f>IFERROR(
IF(AX455="",-100,
IF($BV$2&gt;0, INDEX(Beersheet!$A:$U,MATCH(AX455,INDEX(Beersheet!$A:$U,0,FFARawStatProjections!$BV$2),0),$BV$3)+$BN455,
INDEX($A455:$BM455,,$BV$12)*$BW$12+
INDEX($A455:$BM455,,$BV$15)*$BW$15+
INDEX($A455:$BM455,,$BV$16)*$BW$16+
INDEX($A455:$BM455,,$BV$17)*$BW$17+
INDEX($A455:$BM455,,$BV$18)*$BW$18+
INDEX($A455:$BM455,,$BV$19)*$BW$19+
INDEX($A455:$BM455,,$BV$20)*$BW$20+
INDEX($A455:$BM455,,$BV$21)*$BW$21+
INDEX($A455:$BM455,,$BV$22)*$BW$22+
INDEX($A455:$BM455,,$BV$23)*$BW$23+
INDEX($A455:$BM455,,$BV$25)*$BW$25+
INDEX($A455:$BM455,,$BV$26)*$BW$26+
INDEX($A455:$BM455,,$BV$27)*$BW$27+
$BN455)),
$BN455-100)</f>
        <v>27.69454</v>
      </c>
      <c r="BB455" t="str">
        <f t="shared" si="100"/>
        <v/>
      </c>
      <c r="BC455" t="str">
        <f t="shared" si="94"/>
        <v/>
      </c>
      <c r="BD455" s="430">
        <f>IFERROR(
IF(BB455="",-100,
IF($BV$2&gt;0, INDEX(Beersheet!$A:$U,MATCH(BB455,INDEX(Beersheet!$A:$U,0,FFARawStatProjections!$BV$2),0),$BV$3)+$BN455,
INDEX($A455:$BM455,,$BV$12)*$BW$12+
INDEX($A455:$BM455,,$BV$15)*$BW$15+
INDEX($A455:$BM455,,$BV$16)*$BW$16+
INDEX($A455:$BM455,,$BV$17)*$BW$17+
INDEX($A455:$BM455,,$BV$18)*$BW$18+
INDEX($A455:$BM455,,$BV$19)*$BW$19+
INDEX($A455:$BM455,,$BV$20)*$BW$20+
INDEX($A455:$BM455,,$BV$21)*$BW$21+
INDEX($A455:$BM455,,$BV$22)*$BW$22+
INDEX($A455:$BM455,,$BV$23)*$BW$23+
INDEX($A455:$BM455,,$BV$25)*$BW$25+
INDEX($A455:$BM455,,$BV$26)*$BW$26+
INDEX($A455:$BM455,,$BV$27)*$BW$27+
$BN455)),
$BN455-100)</f>
        <v>-100</v>
      </c>
      <c r="BF455" t="str">
        <f t="shared" si="101"/>
        <v/>
      </c>
      <c r="BG455" t="str">
        <f t="shared" si="102"/>
        <v/>
      </c>
      <c r="BH455">
        <f t="shared" si="103"/>
        <v>0</v>
      </c>
      <c r="BJ455" t="str">
        <f t="shared" si="104"/>
        <v/>
      </c>
      <c r="BL455">
        <f t="shared" si="93"/>
        <v>0</v>
      </c>
      <c r="BN455">
        <v>4.5399999999999998E-3</v>
      </c>
      <c r="BS455" s="4" t="s">
        <v>2181</v>
      </c>
    </row>
    <row r="456" spans="1:71" ht="15.75" thickBot="1" x14ac:dyDescent="0.3">
      <c r="A456" s="569" t="s">
        <v>2228</v>
      </c>
      <c r="B456" s="569" t="s">
        <v>145</v>
      </c>
      <c r="C456" s="569" t="s">
        <v>6</v>
      </c>
      <c r="D456" s="574">
        <v>7</v>
      </c>
      <c r="E456" s="569"/>
      <c r="F456" s="569"/>
      <c r="G456" s="569"/>
      <c r="H456" s="569"/>
      <c r="I456" s="574">
        <v>0</v>
      </c>
      <c r="J456" s="574">
        <v>0</v>
      </c>
      <c r="K456" s="574">
        <v>0</v>
      </c>
      <c r="L456" s="574">
        <v>15.9</v>
      </c>
      <c r="M456" s="574">
        <v>0.9</v>
      </c>
      <c r="N456" s="574">
        <v>159.80000000000001</v>
      </c>
      <c r="O456" s="574">
        <v>0.1</v>
      </c>
      <c r="P456" s="574">
        <v>0</v>
      </c>
      <c r="Q456" s="574">
        <v>0.5</v>
      </c>
      <c r="R456" s="569"/>
      <c r="S456" s="569"/>
      <c r="T456" s="569"/>
      <c r="U456" s="569"/>
      <c r="V456" s="569"/>
      <c r="W456" s="569"/>
      <c r="X456" s="569"/>
      <c r="Y456" s="569"/>
      <c r="Z456" s="569"/>
      <c r="AA456" s="569"/>
      <c r="AB456" s="569"/>
      <c r="AC456" s="569"/>
      <c r="AD456" s="569"/>
      <c r="AE456" s="569"/>
      <c r="AF456" s="569"/>
      <c r="AG456" s="569"/>
      <c r="AH456" s="569"/>
      <c r="AI456" s="569"/>
      <c r="AJ456" s="569"/>
      <c r="AK456" s="569"/>
      <c r="AL456" s="569"/>
      <c r="AM456" s="569"/>
      <c r="AN456" s="574">
        <v>21.4</v>
      </c>
      <c r="AO456">
        <v>455</v>
      </c>
      <c r="AP456" t="str">
        <f t="shared" si="92"/>
        <v/>
      </c>
      <c r="AQ456" t="str">
        <f t="shared" si="95"/>
        <v/>
      </c>
      <c r="AR456" s="430">
        <f>IFERROR(
IF(AP456="",-100,
IF($BV$2&gt;0, INDEX(Beersheet!$A:$U,MATCH(AP456,INDEX(Beersheet!$A:$U,0,FFARawStatProjections!$BV$2),0),$BV$3)+$BN456,
INDEX($A456:$BM456,,$BV$12)*$BW$12+
INDEX($A456:$BM456,,$BV$15)*$BW$15+
INDEX($A456:$BM456,,$BV$16)*$BW$16+
INDEX($A456:$BM456,,$BV$17)*$BW$17+
INDEX($A456:$BM456,,$BV$18)*$BW$18+
INDEX($A456:$BM456,,$BV$19)*$BW$19+
INDEX($A456:$BM456,,$BV$20)*$BW$20+
INDEX($A456:$BM456,,$BV$21)*$BW$21+
INDEX($A456:$BM456,,$BV$22)*$BW$22+
INDEX($A456:$BM456,,$BV$23)*$BW$23+
INDEX($A456:$BM456,,$BV$25)*$BW$25+
INDEX($A456:$BM456,,$BV$26)*$BW$26+
INDEX($A456:$BM456,,$BV$27)*$BW$27+
$BN456)),
$BN456-100)</f>
        <v>-100</v>
      </c>
      <c r="AT456" t="str">
        <f t="shared" si="96"/>
        <v/>
      </c>
      <c r="AU456" t="str">
        <f t="shared" si="97"/>
        <v/>
      </c>
      <c r="AV456" s="430">
        <f>IFERROR(
IF(AT456="",-100,
IF($BV$2&gt;0, INDEX(Beersheet!$A:$U,MATCH(AT456,INDEX(Beersheet!$A:$U,0,FFARawStatProjections!$BV$2),0),$BV$3)+$BN456,
INDEX($A456:$BM456,,$BV$12)*$BW$12+
INDEX($A456:$BM456,,$BV$15)*$BW$15+
INDEX($A456:$BM456,,$BV$16)*$BW$16+
INDEX($A456:$BM456,,$BV$17)*$BW$17+
INDEX($A456:$BM456,,$BV$18)*$BW$18+
INDEX($A456:$BM456,,$BV$19)*$BW$19+
INDEX($A456:$BM456,,$BV$20)*$BW$20+
INDEX($A456:$BM456,,$BV$21)*$BW$21+
INDEX($A456:$BM456,,$BV$22)*$BW$22+
INDEX($A456:$BM456,,$BV$23)*$BW$23+
INDEX($A456:$BM456,,$BV$25)*$BW$25+
INDEX($A456:$BM456,,$BV$26)*$BW$26+
INDEX($A456:$BM456,,$BV$27)*$BW$27+
$BN456)),
$BN456-100)</f>
        <v>-100</v>
      </c>
      <c r="AX456" t="str">
        <f t="shared" si="98"/>
        <v>Trenton Irwin</v>
      </c>
      <c r="AY456" t="str">
        <f t="shared" si="99"/>
        <v>CIN</v>
      </c>
      <c r="AZ456" s="430">
        <f>IFERROR(
IF(AX456="",-100,
IF($BV$2&gt;0, INDEX(Beersheet!$A:$U,MATCH(AX456,INDEX(Beersheet!$A:$U,0,FFARawStatProjections!$BV$2),0),$BV$3)+$BN456,
INDEX($A456:$BM456,,$BV$12)*$BW$12+
INDEX($A456:$BM456,,$BV$15)*$BW$15+
INDEX($A456:$BM456,,$BV$16)*$BW$16+
INDEX($A456:$BM456,,$BV$17)*$BW$17+
INDEX($A456:$BM456,,$BV$18)*$BW$18+
INDEX($A456:$BM456,,$BV$19)*$BW$19+
INDEX($A456:$BM456,,$BV$20)*$BW$20+
INDEX($A456:$BM456,,$BV$21)*$BW$21+
INDEX($A456:$BM456,,$BV$22)*$BW$22+
INDEX($A456:$BM456,,$BV$23)*$BW$23+
INDEX($A456:$BM456,,$BV$25)*$BW$25+
INDEX($A456:$BM456,,$BV$26)*$BW$26+
INDEX($A456:$BM456,,$BV$27)*$BW$27+
$BN456)),
$BN456-100)</f>
        <v>37.33455</v>
      </c>
      <c r="BB456" t="str">
        <f t="shared" si="100"/>
        <v/>
      </c>
      <c r="BC456" t="str">
        <f t="shared" si="94"/>
        <v/>
      </c>
      <c r="BD456" s="430">
        <f>IFERROR(
IF(BB456="",-100,
IF($BV$2&gt;0, INDEX(Beersheet!$A:$U,MATCH(BB456,INDEX(Beersheet!$A:$U,0,FFARawStatProjections!$BV$2),0),$BV$3)+$BN456,
INDEX($A456:$BM456,,$BV$12)*$BW$12+
INDEX($A456:$BM456,,$BV$15)*$BW$15+
INDEX($A456:$BM456,,$BV$16)*$BW$16+
INDEX($A456:$BM456,,$BV$17)*$BW$17+
INDEX($A456:$BM456,,$BV$18)*$BW$18+
INDEX($A456:$BM456,,$BV$19)*$BW$19+
INDEX($A456:$BM456,,$BV$20)*$BW$20+
INDEX($A456:$BM456,,$BV$21)*$BW$21+
INDEX($A456:$BM456,,$BV$22)*$BW$22+
INDEX($A456:$BM456,,$BV$23)*$BW$23+
INDEX($A456:$BM456,,$BV$25)*$BW$25+
INDEX($A456:$BM456,,$BV$26)*$BW$26+
INDEX($A456:$BM456,,$BV$27)*$BW$27+
$BN456)),
$BN456-100)</f>
        <v>-100</v>
      </c>
      <c r="BF456" t="str">
        <f t="shared" si="101"/>
        <v/>
      </c>
      <c r="BG456" t="str">
        <f t="shared" si="102"/>
        <v/>
      </c>
      <c r="BH456">
        <f t="shared" si="103"/>
        <v>0</v>
      </c>
      <c r="BJ456" t="str">
        <f t="shared" si="104"/>
        <v/>
      </c>
      <c r="BL456">
        <f t="shared" si="93"/>
        <v>0</v>
      </c>
      <c r="BN456">
        <v>4.5500000000000002E-3</v>
      </c>
      <c r="BS456" s="4" t="s">
        <v>2447</v>
      </c>
    </row>
    <row r="457" spans="1:71" ht="15.75" thickBot="1" x14ac:dyDescent="0.3">
      <c r="A457" s="569" t="s">
        <v>1804</v>
      </c>
      <c r="B457" s="569" t="s">
        <v>136</v>
      </c>
      <c r="C457" s="569" t="s">
        <v>6</v>
      </c>
      <c r="D457" s="574">
        <v>10</v>
      </c>
      <c r="E457" s="569"/>
      <c r="F457" s="569"/>
      <c r="G457" s="569"/>
      <c r="H457" s="569"/>
      <c r="I457" s="574">
        <v>0</v>
      </c>
      <c r="J457" s="574">
        <v>0</v>
      </c>
      <c r="K457" s="574">
        <v>0</v>
      </c>
      <c r="L457" s="574">
        <v>11.4</v>
      </c>
      <c r="M457" s="574">
        <v>0.9</v>
      </c>
      <c r="N457" s="574">
        <v>159.4</v>
      </c>
      <c r="O457" s="574">
        <v>0</v>
      </c>
      <c r="P457" s="574">
        <v>0</v>
      </c>
      <c r="Q457" s="574">
        <v>0.2</v>
      </c>
      <c r="R457" s="569"/>
      <c r="S457" s="569"/>
      <c r="T457" s="569"/>
      <c r="U457" s="569"/>
      <c r="V457" s="569"/>
      <c r="W457" s="569"/>
      <c r="X457" s="569"/>
      <c r="Y457" s="569"/>
      <c r="Z457" s="569"/>
      <c r="AA457" s="569"/>
      <c r="AB457" s="569"/>
      <c r="AC457" s="569"/>
      <c r="AD457" s="569"/>
      <c r="AE457" s="569"/>
      <c r="AF457" s="569"/>
      <c r="AG457" s="569"/>
      <c r="AH457" s="569"/>
      <c r="AI457" s="569"/>
      <c r="AJ457" s="569"/>
      <c r="AK457" s="569"/>
      <c r="AL457" s="569"/>
      <c r="AM457" s="569"/>
      <c r="AN457" s="574">
        <v>21.3</v>
      </c>
      <c r="AO457">
        <v>456</v>
      </c>
      <c r="AP457" t="str">
        <f t="shared" si="92"/>
        <v/>
      </c>
      <c r="AQ457" t="str">
        <f t="shared" si="95"/>
        <v/>
      </c>
      <c r="AR457" s="430">
        <f>IFERROR(
IF(AP457="",-100,
IF($BV$2&gt;0, INDEX(Beersheet!$A:$U,MATCH(AP457,INDEX(Beersheet!$A:$U,0,FFARawStatProjections!$BV$2),0),$BV$3)+$BN457,
INDEX($A457:$BM457,,$BV$12)*$BW$12+
INDEX($A457:$BM457,,$BV$15)*$BW$15+
INDEX($A457:$BM457,,$BV$16)*$BW$16+
INDEX($A457:$BM457,,$BV$17)*$BW$17+
INDEX($A457:$BM457,,$BV$18)*$BW$18+
INDEX($A457:$BM457,,$BV$19)*$BW$19+
INDEX($A457:$BM457,,$BV$20)*$BW$20+
INDEX($A457:$BM457,,$BV$21)*$BW$21+
INDEX($A457:$BM457,,$BV$22)*$BW$22+
INDEX($A457:$BM457,,$BV$23)*$BW$23+
INDEX($A457:$BM457,,$BV$25)*$BW$25+
INDEX($A457:$BM457,,$BV$26)*$BW$26+
INDEX($A457:$BM457,,$BV$27)*$BW$27+
$BN457)),
$BN457-100)</f>
        <v>-100</v>
      </c>
      <c r="AT457" t="str">
        <f t="shared" si="96"/>
        <v/>
      </c>
      <c r="AU457" t="str">
        <f t="shared" si="97"/>
        <v/>
      </c>
      <c r="AV457" s="430">
        <f>IFERROR(
IF(AT457="",-100,
IF($BV$2&gt;0, INDEX(Beersheet!$A:$U,MATCH(AT457,INDEX(Beersheet!$A:$U,0,FFARawStatProjections!$BV$2),0),$BV$3)+$BN457,
INDEX($A457:$BM457,,$BV$12)*$BW$12+
INDEX($A457:$BM457,,$BV$15)*$BW$15+
INDEX($A457:$BM457,,$BV$16)*$BW$16+
INDEX($A457:$BM457,,$BV$17)*$BW$17+
INDEX($A457:$BM457,,$BV$18)*$BW$18+
INDEX($A457:$BM457,,$BV$19)*$BW$19+
INDEX($A457:$BM457,,$BV$20)*$BW$20+
INDEX($A457:$BM457,,$BV$21)*$BW$21+
INDEX($A457:$BM457,,$BV$22)*$BW$22+
INDEX($A457:$BM457,,$BV$23)*$BW$23+
INDEX($A457:$BM457,,$BV$25)*$BW$25+
INDEX($A457:$BM457,,$BV$26)*$BW$26+
INDEX($A457:$BM457,,$BV$27)*$BW$27+
$BN457)),
$BN457-100)</f>
        <v>-100</v>
      </c>
      <c r="AX457" t="str">
        <f t="shared" si="98"/>
        <v>Justin Watson</v>
      </c>
      <c r="AY457" t="str">
        <f t="shared" si="99"/>
        <v>KC</v>
      </c>
      <c r="AZ457" s="430">
        <f>IFERROR(
IF(AX457="",-100,
IF($BV$2&gt;0, INDEX(Beersheet!$A:$U,MATCH(AX457,INDEX(Beersheet!$A:$U,0,FFARawStatProjections!$BV$2),0),$BV$3)+$BN457,
INDEX($A457:$BM457,,$BV$12)*$BW$12+
INDEX($A457:$BM457,,$BV$15)*$BW$15+
INDEX($A457:$BM457,,$BV$16)*$BW$16+
INDEX($A457:$BM457,,$BV$17)*$BW$17+
INDEX($A457:$BM457,,$BV$18)*$BW$18+
INDEX($A457:$BM457,,$BV$19)*$BW$19+
INDEX($A457:$BM457,,$BV$20)*$BW$20+
INDEX($A457:$BM457,,$BV$21)*$BW$21+
INDEX($A457:$BM457,,$BV$22)*$BW$22+
INDEX($A457:$BM457,,$BV$23)*$BW$23+
INDEX($A457:$BM457,,$BV$25)*$BW$25+
INDEX($A457:$BM457,,$BV$26)*$BW$26+
INDEX($A457:$BM457,,$BV$27)*$BW$27+
$BN457)),
$BN457-100)</f>
        <v>32.764560000000003</v>
      </c>
      <c r="BB457" t="str">
        <f t="shared" si="100"/>
        <v/>
      </c>
      <c r="BC457" t="str">
        <f t="shared" si="94"/>
        <v/>
      </c>
      <c r="BD457" s="430">
        <f>IFERROR(
IF(BB457="",-100,
IF($BV$2&gt;0, INDEX(Beersheet!$A:$U,MATCH(BB457,INDEX(Beersheet!$A:$U,0,FFARawStatProjections!$BV$2),0),$BV$3)+$BN457,
INDEX($A457:$BM457,,$BV$12)*$BW$12+
INDEX($A457:$BM457,,$BV$15)*$BW$15+
INDEX($A457:$BM457,,$BV$16)*$BW$16+
INDEX($A457:$BM457,,$BV$17)*$BW$17+
INDEX($A457:$BM457,,$BV$18)*$BW$18+
INDEX($A457:$BM457,,$BV$19)*$BW$19+
INDEX($A457:$BM457,,$BV$20)*$BW$20+
INDEX($A457:$BM457,,$BV$21)*$BW$21+
INDEX($A457:$BM457,,$BV$22)*$BW$22+
INDEX($A457:$BM457,,$BV$23)*$BW$23+
INDEX($A457:$BM457,,$BV$25)*$BW$25+
INDEX($A457:$BM457,,$BV$26)*$BW$26+
INDEX($A457:$BM457,,$BV$27)*$BW$27+
$BN457)),
$BN457-100)</f>
        <v>-100</v>
      </c>
      <c r="BF457" t="str">
        <f t="shared" si="101"/>
        <v/>
      </c>
      <c r="BG457" t="str">
        <f t="shared" si="102"/>
        <v/>
      </c>
      <c r="BH457">
        <f t="shared" si="103"/>
        <v>0</v>
      </c>
      <c r="BJ457" t="str">
        <f t="shared" si="104"/>
        <v/>
      </c>
      <c r="BL457">
        <f t="shared" si="93"/>
        <v>0</v>
      </c>
      <c r="BN457">
        <v>4.5599999999999998E-3</v>
      </c>
      <c r="BS457" s="4" t="s">
        <v>1389</v>
      </c>
    </row>
    <row r="458" spans="1:71" ht="15.75" thickBot="1" x14ac:dyDescent="0.3">
      <c r="A458" s="569" t="s">
        <v>1833</v>
      </c>
      <c r="B458" s="569" t="s">
        <v>2272</v>
      </c>
      <c r="C458" s="569" t="s">
        <v>6</v>
      </c>
      <c r="D458" s="574">
        <v>14</v>
      </c>
      <c r="E458" s="569"/>
      <c r="F458" s="569"/>
      <c r="G458" s="569"/>
      <c r="H458" s="569"/>
      <c r="I458" s="574">
        <v>0</v>
      </c>
      <c r="J458" s="574">
        <v>0</v>
      </c>
      <c r="K458" s="574">
        <v>0</v>
      </c>
      <c r="L458" s="574">
        <v>15.4</v>
      </c>
      <c r="M458" s="574">
        <v>0.8</v>
      </c>
      <c r="N458" s="574">
        <v>160</v>
      </c>
      <c r="O458" s="574">
        <v>0.1</v>
      </c>
      <c r="P458" s="574">
        <v>0</v>
      </c>
      <c r="Q458" s="574">
        <v>1.1000000000000001</v>
      </c>
      <c r="R458" s="569"/>
      <c r="S458" s="569"/>
      <c r="T458" s="569"/>
      <c r="U458" s="569"/>
      <c r="V458" s="569"/>
      <c r="W458" s="569"/>
      <c r="X458" s="569"/>
      <c r="Y458" s="569"/>
      <c r="Z458" s="569"/>
      <c r="AA458" s="569"/>
      <c r="AB458" s="569"/>
      <c r="AC458" s="569"/>
      <c r="AD458" s="569"/>
      <c r="AE458" s="569"/>
      <c r="AF458" s="569"/>
      <c r="AG458" s="569"/>
      <c r="AH458" s="569"/>
      <c r="AI458" s="569"/>
      <c r="AJ458" s="569"/>
      <c r="AK458" s="569"/>
      <c r="AL458" s="569"/>
      <c r="AM458" s="569"/>
      <c r="AN458" s="574">
        <v>20.9</v>
      </c>
      <c r="AO458">
        <v>457</v>
      </c>
      <c r="AP458" t="str">
        <f t="shared" si="92"/>
        <v/>
      </c>
      <c r="AQ458" t="str">
        <f t="shared" si="95"/>
        <v/>
      </c>
      <c r="AR458" s="430">
        <f>IFERROR(
IF(AP458="",-100,
IF($BV$2&gt;0, INDEX(Beersheet!$A:$U,MATCH(AP458,INDEX(Beersheet!$A:$U,0,FFARawStatProjections!$BV$2),0),$BV$3)+$BN458,
INDEX($A458:$BM458,,$BV$12)*$BW$12+
INDEX($A458:$BM458,,$BV$15)*$BW$15+
INDEX($A458:$BM458,,$BV$16)*$BW$16+
INDEX($A458:$BM458,,$BV$17)*$BW$17+
INDEX($A458:$BM458,,$BV$18)*$BW$18+
INDEX($A458:$BM458,,$BV$19)*$BW$19+
INDEX($A458:$BM458,,$BV$20)*$BW$20+
INDEX($A458:$BM458,,$BV$21)*$BW$21+
INDEX($A458:$BM458,,$BV$22)*$BW$22+
INDEX($A458:$BM458,,$BV$23)*$BW$23+
INDEX($A458:$BM458,,$BV$25)*$BW$25+
INDEX($A458:$BM458,,$BV$26)*$BW$26+
INDEX($A458:$BM458,,$BV$27)*$BW$27+
$BN458)),
$BN458-100)</f>
        <v>-100</v>
      </c>
      <c r="AT458" t="str">
        <f t="shared" si="96"/>
        <v/>
      </c>
      <c r="AU458" t="str">
        <f t="shared" si="97"/>
        <v/>
      </c>
      <c r="AV458" s="430">
        <f>IFERROR(
IF(AT458="",-100,
IF($BV$2&gt;0, INDEX(Beersheet!$A:$U,MATCH(AT458,INDEX(Beersheet!$A:$U,0,FFARawStatProjections!$BV$2),0),$BV$3)+$BN458,
INDEX($A458:$BM458,,$BV$12)*$BW$12+
INDEX($A458:$BM458,,$BV$15)*$BW$15+
INDEX($A458:$BM458,,$BV$16)*$BW$16+
INDEX($A458:$BM458,,$BV$17)*$BW$17+
INDEX($A458:$BM458,,$BV$18)*$BW$18+
INDEX($A458:$BM458,,$BV$19)*$BW$19+
INDEX($A458:$BM458,,$BV$20)*$BW$20+
INDEX($A458:$BM458,,$BV$21)*$BW$21+
INDEX($A458:$BM458,,$BV$22)*$BW$22+
INDEX($A458:$BM458,,$BV$23)*$BW$23+
INDEX($A458:$BM458,,$BV$25)*$BW$25+
INDEX($A458:$BM458,,$BV$26)*$BW$26+
INDEX($A458:$BM458,,$BV$27)*$BW$27+
$BN458)),
$BN458-100)</f>
        <v>-100</v>
      </c>
      <c r="AX458" t="str">
        <f t="shared" si="98"/>
        <v>Zach Pascal</v>
      </c>
      <c r="AY458" t="str">
        <f t="shared" si="99"/>
        <v>AZ</v>
      </c>
      <c r="AZ458" s="430">
        <f>IFERROR(
IF(AX458="",-100,
IF($BV$2&gt;0, INDEX(Beersheet!$A:$U,MATCH(AX458,INDEX(Beersheet!$A:$U,0,FFARawStatProjections!$BV$2),0),$BV$3)+$BN458,
INDEX($A458:$BM458,,$BV$12)*$BW$12+
INDEX($A458:$BM458,,$BV$15)*$BW$15+
INDEX($A458:$BM458,,$BV$16)*$BW$16+
INDEX($A458:$BM458,,$BV$17)*$BW$17+
INDEX($A458:$BM458,,$BV$18)*$BW$18+
INDEX($A458:$BM458,,$BV$19)*$BW$19+
INDEX($A458:$BM458,,$BV$20)*$BW$20+
INDEX($A458:$BM458,,$BV$21)*$BW$21+
INDEX($A458:$BM458,,$BV$22)*$BW$22+
INDEX($A458:$BM458,,$BV$23)*$BW$23+
INDEX($A458:$BM458,,$BV$25)*$BW$25+
INDEX($A458:$BM458,,$BV$26)*$BW$26+
INDEX($A458:$BM458,,$BV$27)*$BW$27+
$BN458)),
$BN458-100)</f>
        <v>36.314570000000003</v>
      </c>
      <c r="BB458" t="str">
        <f t="shared" si="100"/>
        <v/>
      </c>
      <c r="BC458" t="str">
        <f t="shared" si="94"/>
        <v/>
      </c>
      <c r="BD458" s="430">
        <f>IFERROR(
IF(BB458="",-100,
IF($BV$2&gt;0, INDEX(Beersheet!$A:$U,MATCH(BB458,INDEX(Beersheet!$A:$U,0,FFARawStatProjections!$BV$2),0),$BV$3)+$BN458,
INDEX($A458:$BM458,,$BV$12)*$BW$12+
INDEX($A458:$BM458,,$BV$15)*$BW$15+
INDEX($A458:$BM458,,$BV$16)*$BW$16+
INDEX($A458:$BM458,,$BV$17)*$BW$17+
INDEX($A458:$BM458,,$BV$18)*$BW$18+
INDEX($A458:$BM458,,$BV$19)*$BW$19+
INDEX($A458:$BM458,,$BV$20)*$BW$20+
INDEX($A458:$BM458,,$BV$21)*$BW$21+
INDEX($A458:$BM458,,$BV$22)*$BW$22+
INDEX($A458:$BM458,,$BV$23)*$BW$23+
INDEX($A458:$BM458,,$BV$25)*$BW$25+
INDEX($A458:$BM458,,$BV$26)*$BW$26+
INDEX($A458:$BM458,,$BV$27)*$BW$27+
$BN458)),
$BN458-100)</f>
        <v>-100</v>
      </c>
      <c r="BF458" t="str">
        <f t="shared" si="101"/>
        <v/>
      </c>
      <c r="BG458" t="str">
        <f t="shared" si="102"/>
        <v/>
      </c>
      <c r="BH458">
        <f t="shared" si="103"/>
        <v>0</v>
      </c>
      <c r="BJ458" t="str">
        <f t="shared" si="104"/>
        <v/>
      </c>
      <c r="BL458">
        <f t="shared" si="93"/>
        <v>0</v>
      </c>
      <c r="BN458">
        <v>4.5700000000000003E-3</v>
      </c>
      <c r="BS458" s="4" t="s">
        <v>129</v>
      </c>
    </row>
    <row r="459" spans="1:71" ht="15.75" thickBot="1" x14ac:dyDescent="0.3">
      <c r="A459" s="569" t="s">
        <v>2231</v>
      </c>
      <c r="B459" s="569" t="s">
        <v>148</v>
      </c>
      <c r="C459" s="569" t="s">
        <v>6</v>
      </c>
      <c r="D459" s="574">
        <v>11</v>
      </c>
      <c r="E459" s="569"/>
      <c r="F459" s="569"/>
      <c r="G459" s="569"/>
      <c r="H459" s="569"/>
      <c r="I459" s="574">
        <v>0</v>
      </c>
      <c r="J459" s="574">
        <v>0</v>
      </c>
      <c r="K459" s="574">
        <v>0</v>
      </c>
      <c r="L459" s="574">
        <v>13.2</v>
      </c>
      <c r="M459" s="574">
        <v>0.9</v>
      </c>
      <c r="N459" s="574">
        <v>151.4</v>
      </c>
      <c r="O459" s="574">
        <v>0</v>
      </c>
      <c r="P459" s="574">
        <v>0</v>
      </c>
      <c r="Q459" s="574">
        <v>3</v>
      </c>
      <c r="R459" s="569"/>
      <c r="S459" s="569"/>
      <c r="T459" s="569"/>
      <c r="U459" s="569"/>
      <c r="V459" s="569"/>
      <c r="W459" s="569"/>
      <c r="X459" s="569"/>
      <c r="Y459" s="569"/>
      <c r="Z459" s="569"/>
      <c r="AA459" s="569"/>
      <c r="AB459" s="569"/>
      <c r="AC459" s="569"/>
      <c r="AD459" s="569"/>
      <c r="AE459" s="569"/>
      <c r="AF459" s="569"/>
      <c r="AG459" s="569"/>
      <c r="AH459" s="569"/>
      <c r="AI459" s="569"/>
      <c r="AJ459" s="569"/>
      <c r="AK459" s="569"/>
      <c r="AL459" s="569"/>
      <c r="AM459" s="569"/>
      <c r="AN459" s="574">
        <v>20.9</v>
      </c>
      <c r="AO459">
        <v>458</v>
      </c>
      <c r="AP459" t="str">
        <f t="shared" si="92"/>
        <v/>
      </c>
      <c r="AQ459" t="str">
        <f t="shared" si="95"/>
        <v/>
      </c>
      <c r="AR459" s="430">
        <f>IFERROR(
IF(AP459="",-100,
IF($BV$2&gt;0, INDEX(Beersheet!$A:$U,MATCH(AP459,INDEX(Beersheet!$A:$U,0,FFARawStatProjections!$BV$2),0),$BV$3)+$BN459,
INDEX($A459:$BM459,,$BV$12)*$BW$12+
INDEX($A459:$BM459,,$BV$15)*$BW$15+
INDEX($A459:$BM459,,$BV$16)*$BW$16+
INDEX($A459:$BM459,,$BV$17)*$BW$17+
INDEX($A459:$BM459,,$BV$18)*$BW$18+
INDEX($A459:$BM459,,$BV$19)*$BW$19+
INDEX($A459:$BM459,,$BV$20)*$BW$20+
INDEX($A459:$BM459,,$BV$21)*$BW$21+
INDEX($A459:$BM459,,$BV$22)*$BW$22+
INDEX($A459:$BM459,,$BV$23)*$BW$23+
INDEX($A459:$BM459,,$BV$25)*$BW$25+
INDEX($A459:$BM459,,$BV$26)*$BW$26+
INDEX($A459:$BM459,,$BV$27)*$BW$27+
$BN459)),
$BN459-100)</f>
        <v>-100</v>
      </c>
      <c r="AT459" t="str">
        <f t="shared" si="96"/>
        <v/>
      </c>
      <c r="AU459" t="str">
        <f t="shared" si="97"/>
        <v/>
      </c>
      <c r="AV459" s="430">
        <f>IFERROR(
IF(AT459="",-100,
IF($BV$2&gt;0, INDEX(Beersheet!$A:$U,MATCH(AT459,INDEX(Beersheet!$A:$U,0,FFARawStatProjections!$BV$2),0),$BV$3)+$BN459,
INDEX($A459:$BM459,,$BV$12)*$BW$12+
INDEX($A459:$BM459,,$BV$15)*$BW$15+
INDEX($A459:$BM459,,$BV$16)*$BW$16+
INDEX($A459:$BM459,,$BV$17)*$BW$17+
INDEX($A459:$BM459,,$BV$18)*$BW$18+
INDEX($A459:$BM459,,$BV$19)*$BW$19+
INDEX($A459:$BM459,,$BV$20)*$BW$20+
INDEX($A459:$BM459,,$BV$21)*$BW$21+
INDEX($A459:$BM459,,$BV$22)*$BW$22+
INDEX($A459:$BM459,,$BV$23)*$BW$23+
INDEX($A459:$BM459,,$BV$25)*$BW$25+
INDEX($A459:$BM459,,$BV$26)*$BW$26+
INDEX($A459:$BM459,,$BV$27)*$BW$27+
$BN459)),
$BN459-100)</f>
        <v>-100</v>
      </c>
      <c r="AX459" t="str">
        <f t="shared" si="98"/>
        <v>KhaDarel Hodge</v>
      </c>
      <c r="AY459" t="str">
        <f t="shared" si="99"/>
        <v>ATL</v>
      </c>
      <c r="AZ459" s="430">
        <f>IFERROR(
IF(AX459="",-100,
IF($BV$2&gt;0, INDEX(Beersheet!$A:$U,MATCH(AX459,INDEX(Beersheet!$A:$U,0,FFARawStatProjections!$BV$2),0),$BV$3)+$BN459,
INDEX($A459:$BM459,,$BV$12)*$BW$12+
INDEX($A459:$BM459,,$BV$15)*$BW$15+
INDEX($A459:$BM459,,$BV$16)*$BW$16+
INDEX($A459:$BM459,,$BV$17)*$BW$17+
INDEX($A459:$BM459,,$BV$18)*$BW$18+
INDEX($A459:$BM459,,$BV$19)*$BW$19+
INDEX($A459:$BM459,,$BV$20)*$BW$20+
INDEX($A459:$BM459,,$BV$21)*$BW$21+
INDEX($A459:$BM459,,$BV$22)*$BW$22+
INDEX($A459:$BM459,,$BV$23)*$BW$23+
INDEX($A459:$BM459,,$BV$25)*$BW$25+
INDEX($A459:$BM459,,$BV$26)*$BW$26+
INDEX($A459:$BM459,,$BV$27)*$BW$27+
$BN459)),
$BN459-100)</f>
        <v>34.044579999999996</v>
      </c>
      <c r="BB459" t="str">
        <f t="shared" si="100"/>
        <v/>
      </c>
      <c r="BC459" t="str">
        <f t="shared" si="94"/>
        <v/>
      </c>
      <c r="BD459" s="430">
        <f>IFERROR(
IF(BB459="",-100,
IF($BV$2&gt;0, INDEX(Beersheet!$A:$U,MATCH(BB459,INDEX(Beersheet!$A:$U,0,FFARawStatProjections!$BV$2),0),$BV$3)+$BN459,
INDEX($A459:$BM459,,$BV$12)*$BW$12+
INDEX($A459:$BM459,,$BV$15)*$BW$15+
INDEX($A459:$BM459,,$BV$16)*$BW$16+
INDEX($A459:$BM459,,$BV$17)*$BW$17+
INDEX($A459:$BM459,,$BV$18)*$BW$18+
INDEX($A459:$BM459,,$BV$19)*$BW$19+
INDEX($A459:$BM459,,$BV$20)*$BW$20+
INDEX($A459:$BM459,,$BV$21)*$BW$21+
INDEX($A459:$BM459,,$BV$22)*$BW$22+
INDEX($A459:$BM459,,$BV$23)*$BW$23+
INDEX($A459:$BM459,,$BV$25)*$BW$25+
INDEX($A459:$BM459,,$BV$26)*$BW$26+
INDEX($A459:$BM459,,$BV$27)*$BW$27+
$BN459)),
$BN459-100)</f>
        <v>-100</v>
      </c>
      <c r="BF459" t="str">
        <f t="shared" si="101"/>
        <v/>
      </c>
      <c r="BG459" t="str">
        <f t="shared" si="102"/>
        <v/>
      </c>
      <c r="BH459">
        <f t="shared" si="103"/>
        <v>0</v>
      </c>
      <c r="BJ459" t="str">
        <f t="shared" si="104"/>
        <v/>
      </c>
      <c r="BL459">
        <f t="shared" si="93"/>
        <v>0</v>
      </c>
      <c r="BN459">
        <v>4.5799999999999999E-3</v>
      </c>
      <c r="BS459" s="4" t="s">
        <v>2094</v>
      </c>
    </row>
    <row r="460" spans="1:71" ht="15.75" thickBot="1" x14ac:dyDescent="0.3">
      <c r="A460" s="569" t="s">
        <v>2206</v>
      </c>
      <c r="B460" s="569" t="s">
        <v>152</v>
      </c>
      <c r="C460" s="569" t="s">
        <v>6</v>
      </c>
      <c r="D460" s="574">
        <v>14</v>
      </c>
      <c r="E460" s="569"/>
      <c r="F460" s="569"/>
      <c r="G460" s="569"/>
      <c r="H460" s="569"/>
      <c r="I460" s="574">
        <v>0</v>
      </c>
      <c r="J460" s="574">
        <v>0</v>
      </c>
      <c r="K460" s="574">
        <v>0</v>
      </c>
      <c r="L460" s="574">
        <v>11.1</v>
      </c>
      <c r="M460" s="574">
        <v>0.6</v>
      </c>
      <c r="N460" s="574">
        <v>168.3</v>
      </c>
      <c r="O460" s="574">
        <v>0.3</v>
      </c>
      <c r="P460" s="574">
        <v>0</v>
      </c>
      <c r="Q460" s="574">
        <v>6.1</v>
      </c>
      <c r="R460" s="569"/>
      <c r="S460" s="569"/>
      <c r="T460" s="569"/>
      <c r="U460" s="569"/>
      <c r="V460" s="569"/>
      <c r="W460" s="569"/>
      <c r="X460" s="569"/>
      <c r="Y460" s="569"/>
      <c r="Z460" s="569"/>
      <c r="AA460" s="569"/>
      <c r="AB460" s="569"/>
      <c r="AC460" s="569"/>
      <c r="AD460" s="569"/>
      <c r="AE460" s="569"/>
      <c r="AF460" s="569"/>
      <c r="AG460" s="569"/>
      <c r="AH460" s="569"/>
      <c r="AI460" s="569"/>
      <c r="AJ460" s="569"/>
      <c r="AK460" s="569"/>
      <c r="AL460" s="569"/>
      <c r="AM460" s="569"/>
      <c r="AN460" s="574">
        <v>20.8</v>
      </c>
      <c r="AO460">
        <v>459</v>
      </c>
      <c r="AP460" t="str">
        <f t="shared" si="92"/>
        <v/>
      </c>
      <c r="AQ460" t="str">
        <f t="shared" si="95"/>
        <v/>
      </c>
      <c r="AR460" s="430">
        <f>IFERROR(
IF(AP460="",-100,
IF($BV$2&gt;0, INDEX(Beersheet!$A:$U,MATCH(AP460,INDEX(Beersheet!$A:$U,0,FFARawStatProjections!$BV$2),0),$BV$3)+$BN460,
INDEX($A460:$BM460,,$BV$12)*$BW$12+
INDEX($A460:$BM460,,$BV$15)*$BW$15+
INDEX($A460:$BM460,,$BV$16)*$BW$16+
INDEX($A460:$BM460,,$BV$17)*$BW$17+
INDEX($A460:$BM460,,$BV$18)*$BW$18+
INDEX($A460:$BM460,,$BV$19)*$BW$19+
INDEX($A460:$BM460,,$BV$20)*$BW$20+
INDEX($A460:$BM460,,$BV$21)*$BW$21+
INDEX($A460:$BM460,,$BV$22)*$BW$22+
INDEX($A460:$BM460,,$BV$23)*$BW$23+
INDEX($A460:$BM460,,$BV$25)*$BW$25+
INDEX($A460:$BM460,,$BV$26)*$BW$26+
INDEX($A460:$BM460,,$BV$27)*$BW$27+
$BN460)),
$BN460-100)</f>
        <v>-100</v>
      </c>
      <c r="AT460" t="str">
        <f t="shared" si="96"/>
        <v/>
      </c>
      <c r="AU460" t="str">
        <f t="shared" si="97"/>
        <v/>
      </c>
      <c r="AV460" s="430">
        <f>IFERROR(
IF(AT460="",-100,
IF($BV$2&gt;0, INDEX(Beersheet!$A:$U,MATCH(AT460,INDEX(Beersheet!$A:$U,0,FFARawStatProjections!$BV$2),0),$BV$3)+$BN460,
INDEX($A460:$BM460,,$BV$12)*$BW$12+
INDEX($A460:$BM460,,$BV$15)*$BW$15+
INDEX($A460:$BM460,,$BV$16)*$BW$16+
INDEX($A460:$BM460,,$BV$17)*$BW$17+
INDEX($A460:$BM460,,$BV$18)*$BW$18+
INDEX($A460:$BM460,,$BV$19)*$BW$19+
INDEX($A460:$BM460,,$BV$20)*$BW$20+
INDEX($A460:$BM460,,$BV$21)*$BW$21+
INDEX($A460:$BM460,,$BV$22)*$BW$22+
INDEX($A460:$BM460,,$BV$23)*$BW$23+
INDEX($A460:$BM460,,$BV$25)*$BW$25+
INDEX($A460:$BM460,,$BV$26)*$BW$26+
INDEX($A460:$BM460,,$BV$27)*$BW$27+
$BN460)),
$BN460-100)</f>
        <v>-100</v>
      </c>
      <c r="AX460" t="str">
        <f t="shared" si="98"/>
        <v>Dyami Brown</v>
      </c>
      <c r="AY460" t="str">
        <f t="shared" si="99"/>
        <v>WAS</v>
      </c>
      <c r="AZ460" s="430">
        <f>IFERROR(
IF(AX460="",-100,
IF($BV$2&gt;0, INDEX(Beersheet!$A:$U,MATCH(AX460,INDEX(Beersheet!$A:$U,0,FFARawStatProjections!$BV$2),0),$BV$3)+$BN460,
INDEX($A460:$BM460,,$BV$12)*$BW$12+
INDEX($A460:$BM460,,$BV$15)*$BW$15+
INDEX($A460:$BM460,,$BV$16)*$BW$16+
INDEX($A460:$BM460,,$BV$17)*$BW$17+
INDEX($A460:$BM460,,$BV$18)*$BW$18+
INDEX($A460:$BM460,,$BV$19)*$BW$19+
INDEX($A460:$BM460,,$BV$20)*$BW$20+
INDEX($A460:$BM460,,$BV$21)*$BW$21+
INDEX($A460:$BM460,,$BV$22)*$BW$22+
INDEX($A460:$BM460,,$BV$23)*$BW$23+
INDEX($A460:$BM460,,$BV$25)*$BW$25+
INDEX($A460:$BM460,,$BV$26)*$BW$26+
INDEX($A460:$BM460,,$BV$27)*$BW$27+
$BN460)),
$BN460-100)</f>
        <v>32.144590000000001</v>
      </c>
      <c r="BB460" t="str">
        <f t="shared" si="100"/>
        <v/>
      </c>
      <c r="BC460" t="str">
        <f t="shared" si="94"/>
        <v/>
      </c>
      <c r="BD460" s="430">
        <f>IFERROR(
IF(BB460="",-100,
IF($BV$2&gt;0, INDEX(Beersheet!$A:$U,MATCH(BB460,INDEX(Beersheet!$A:$U,0,FFARawStatProjections!$BV$2),0),$BV$3)+$BN460,
INDEX($A460:$BM460,,$BV$12)*$BW$12+
INDEX($A460:$BM460,,$BV$15)*$BW$15+
INDEX($A460:$BM460,,$BV$16)*$BW$16+
INDEX($A460:$BM460,,$BV$17)*$BW$17+
INDEX($A460:$BM460,,$BV$18)*$BW$18+
INDEX($A460:$BM460,,$BV$19)*$BW$19+
INDEX($A460:$BM460,,$BV$20)*$BW$20+
INDEX($A460:$BM460,,$BV$21)*$BW$21+
INDEX($A460:$BM460,,$BV$22)*$BW$22+
INDEX($A460:$BM460,,$BV$23)*$BW$23+
INDEX($A460:$BM460,,$BV$25)*$BW$25+
INDEX($A460:$BM460,,$BV$26)*$BW$26+
INDEX($A460:$BM460,,$BV$27)*$BW$27+
$BN460)),
$BN460-100)</f>
        <v>-100</v>
      </c>
      <c r="BF460" t="str">
        <f t="shared" si="101"/>
        <v/>
      </c>
      <c r="BG460" t="str">
        <f t="shared" si="102"/>
        <v/>
      </c>
      <c r="BH460">
        <f t="shared" si="103"/>
        <v>0</v>
      </c>
      <c r="BJ460" t="str">
        <f t="shared" si="104"/>
        <v/>
      </c>
      <c r="BL460">
        <f t="shared" si="93"/>
        <v>0</v>
      </c>
      <c r="BN460">
        <v>4.5900000000000003E-3</v>
      </c>
      <c r="BS460" s="4" t="s">
        <v>2230</v>
      </c>
    </row>
    <row r="461" spans="1:71" ht="15.75" thickBot="1" x14ac:dyDescent="0.3">
      <c r="A461" s="569" t="s">
        <v>2332</v>
      </c>
      <c r="B461" s="569" t="s">
        <v>161</v>
      </c>
      <c r="C461" s="569" t="s">
        <v>6</v>
      </c>
      <c r="D461" s="574">
        <v>5</v>
      </c>
      <c r="E461" s="569"/>
      <c r="F461" s="569"/>
      <c r="G461" s="569"/>
      <c r="H461" s="569"/>
      <c r="I461" s="574">
        <v>0</v>
      </c>
      <c r="J461" s="574">
        <v>0</v>
      </c>
      <c r="K461" s="574">
        <v>0</v>
      </c>
      <c r="L461" s="574">
        <v>10.1</v>
      </c>
      <c r="M461" s="574">
        <v>0.4</v>
      </c>
      <c r="N461" s="574">
        <v>174.4</v>
      </c>
      <c r="O461" s="574">
        <v>0</v>
      </c>
      <c r="P461" s="574">
        <v>0</v>
      </c>
      <c r="Q461" s="574">
        <v>0.2</v>
      </c>
      <c r="R461" s="569"/>
      <c r="S461" s="569"/>
      <c r="T461" s="569"/>
      <c r="U461" s="569"/>
      <c r="V461" s="569"/>
      <c r="W461" s="569"/>
      <c r="X461" s="569"/>
      <c r="Y461" s="569"/>
      <c r="Z461" s="569"/>
      <c r="AA461" s="569"/>
      <c r="AB461" s="569"/>
      <c r="AC461" s="569"/>
      <c r="AD461" s="569"/>
      <c r="AE461" s="569"/>
      <c r="AF461" s="569"/>
      <c r="AG461" s="569"/>
      <c r="AH461" s="569"/>
      <c r="AI461" s="569"/>
      <c r="AJ461" s="569"/>
      <c r="AK461" s="569"/>
      <c r="AL461" s="569"/>
      <c r="AM461" s="569"/>
      <c r="AN461" s="574">
        <v>19.899999999999999</v>
      </c>
      <c r="AO461">
        <v>460</v>
      </c>
      <c r="AP461" t="str">
        <f t="shared" si="92"/>
        <v/>
      </c>
      <c r="AQ461" t="str">
        <f t="shared" si="95"/>
        <v/>
      </c>
      <c r="AR461" s="430">
        <f>IFERROR(
IF(AP461="",-100,
IF($BV$2&gt;0, INDEX(Beersheet!$A:$U,MATCH(AP461,INDEX(Beersheet!$A:$U,0,FFARawStatProjections!$BV$2),0),$BV$3)+$BN461,
INDEX($A461:$BM461,,$BV$12)*$BW$12+
INDEX($A461:$BM461,,$BV$15)*$BW$15+
INDEX($A461:$BM461,,$BV$16)*$BW$16+
INDEX($A461:$BM461,,$BV$17)*$BW$17+
INDEX($A461:$BM461,,$BV$18)*$BW$18+
INDEX($A461:$BM461,,$BV$19)*$BW$19+
INDEX($A461:$BM461,,$BV$20)*$BW$20+
INDEX($A461:$BM461,,$BV$21)*$BW$21+
INDEX($A461:$BM461,,$BV$22)*$BW$22+
INDEX($A461:$BM461,,$BV$23)*$BW$23+
INDEX($A461:$BM461,,$BV$25)*$BW$25+
INDEX($A461:$BM461,,$BV$26)*$BW$26+
INDEX($A461:$BM461,,$BV$27)*$BW$27+
$BN461)),
$BN461-100)</f>
        <v>-100</v>
      </c>
      <c r="AT461" t="str">
        <f t="shared" si="96"/>
        <v/>
      </c>
      <c r="AU461" t="str">
        <f t="shared" si="97"/>
        <v/>
      </c>
      <c r="AV461" s="430">
        <f>IFERROR(
IF(AT461="",-100,
IF($BV$2&gt;0, INDEX(Beersheet!$A:$U,MATCH(AT461,INDEX(Beersheet!$A:$U,0,FFARawStatProjections!$BV$2),0),$BV$3)+$BN461,
INDEX($A461:$BM461,,$BV$12)*$BW$12+
INDEX($A461:$BM461,,$BV$15)*$BW$15+
INDEX($A461:$BM461,,$BV$16)*$BW$16+
INDEX($A461:$BM461,,$BV$17)*$BW$17+
INDEX($A461:$BM461,,$BV$18)*$BW$18+
INDEX($A461:$BM461,,$BV$19)*$BW$19+
INDEX($A461:$BM461,,$BV$20)*$BW$20+
INDEX($A461:$BM461,,$BV$21)*$BW$21+
INDEX($A461:$BM461,,$BV$22)*$BW$22+
INDEX($A461:$BM461,,$BV$23)*$BW$23+
INDEX($A461:$BM461,,$BV$25)*$BW$25+
INDEX($A461:$BM461,,$BV$26)*$BW$26+
INDEX($A461:$BM461,,$BV$27)*$BW$27+
$BN461)),
$BN461-100)</f>
        <v>-100</v>
      </c>
      <c r="AX461" t="str">
        <f t="shared" si="98"/>
        <v>David Bell</v>
      </c>
      <c r="AY461" t="str">
        <f t="shared" si="99"/>
        <v>CLE</v>
      </c>
      <c r="AZ461" s="430">
        <f>IFERROR(
IF(AX461="",-100,
IF($BV$2&gt;0, INDEX(Beersheet!$A:$U,MATCH(AX461,INDEX(Beersheet!$A:$U,0,FFARawStatProjections!$BV$2),0),$BV$3)+$BN461,
INDEX($A461:$BM461,,$BV$12)*$BW$12+
INDEX($A461:$BM461,,$BV$15)*$BW$15+
INDEX($A461:$BM461,,$BV$16)*$BW$16+
INDEX($A461:$BM461,,$BV$17)*$BW$17+
INDEX($A461:$BM461,,$BV$18)*$BW$18+
INDEX($A461:$BM461,,$BV$19)*$BW$19+
INDEX($A461:$BM461,,$BV$20)*$BW$20+
INDEX($A461:$BM461,,$BV$21)*$BW$21+
INDEX($A461:$BM461,,$BV$22)*$BW$22+
INDEX($A461:$BM461,,$BV$23)*$BW$23+
INDEX($A461:$BM461,,$BV$25)*$BW$25+
INDEX($A461:$BM461,,$BV$26)*$BW$26+
INDEX($A461:$BM461,,$BV$27)*$BW$27+
$BN461)),
$BN461-100)</f>
        <v>29.964600000000001</v>
      </c>
      <c r="BB461" t="str">
        <f t="shared" si="100"/>
        <v/>
      </c>
      <c r="BC461" t="str">
        <f t="shared" si="94"/>
        <v/>
      </c>
      <c r="BD461" s="430">
        <f>IFERROR(
IF(BB461="",-100,
IF($BV$2&gt;0, INDEX(Beersheet!$A:$U,MATCH(BB461,INDEX(Beersheet!$A:$U,0,FFARawStatProjections!$BV$2),0),$BV$3)+$BN461,
INDEX($A461:$BM461,,$BV$12)*$BW$12+
INDEX($A461:$BM461,,$BV$15)*$BW$15+
INDEX($A461:$BM461,,$BV$16)*$BW$16+
INDEX($A461:$BM461,,$BV$17)*$BW$17+
INDEX($A461:$BM461,,$BV$18)*$BW$18+
INDEX($A461:$BM461,,$BV$19)*$BW$19+
INDEX($A461:$BM461,,$BV$20)*$BW$20+
INDEX($A461:$BM461,,$BV$21)*$BW$21+
INDEX($A461:$BM461,,$BV$22)*$BW$22+
INDEX($A461:$BM461,,$BV$23)*$BW$23+
INDEX($A461:$BM461,,$BV$25)*$BW$25+
INDEX($A461:$BM461,,$BV$26)*$BW$26+
INDEX($A461:$BM461,,$BV$27)*$BW$27+
$BN461)),
$BN461-100)</f>
        <v>-100</v>
      </c>
      <c r="BF461" t="str">
        <f t="shared" si="101"/>
        <v/>
      </c>
      <c r="BG461" t="str">
        <f t="shared" si="102"/>
        <v/>
      </c>
      <c r="BH461">
        <f t="shared" si="103"/>
        <v>0</v>
      </c>
      <c r="BJ461" t="str">
        <f t="shared" si="104"/>
        <v/>
      </c>
      <c r="BL461">
        <f t="shared" si="93"/>
        <v>0</v>
      </c>
      <c r="BN461">
        <v>4.5999999999999999E-3</v>
      </c>
      <c r="BS461" s="4" t="s">
        <v>2446</v>
      </c>
    </row>
    <row r="462" spans="1:71" ht="15.75" thickBot="1" x14ac:dyDescent="0.3">
      <c r="A462" s="569" t="s">
        <v>2336</v>
      </c>
      <c r="B462" s="569" t="s">
        <v>147</v>
      </c>
      <c r="C462" s="569" t="s">
        <v>6</v>
      </c>
      <c r="D462" s="574">
        <v>6</v>
      </c>
      <c r="E462" s="569"/>
      <c r="F462" s="569"/>
      <c r="G462" s="569"/>
      <c r="H462" s="569"/>
      <c r="I462" s="574">
        <v>0</v>
      </c>
      <c r="J462" s="574">
        <v>0</v>
      </c>
      <c r="K462" s="574">
        <v>0</v>
      </c>
      <c r="L462" s="574">
        <v>12</v>
      </c>
      <c r="M462" s="574">
        <v>0.6</v>
      </c>
      <c r="N462" s="574">
        <v>156.5</v>
      </c>
      <c r="O462" s="574">
        <v>0.3</v>
      </c>
      <c r="P462" s="574">
        <v>0</v>
      </c>
      <c r="Q462" s="574">
        <v>3.1</v>
      </c>
      <c r="R462" s="569"/>
      <c r="S462" s="569"/>
      <c r="T462" s="569"/>
      <c r="U462" s="569"/>
      <c r="V462" s="569"/>
      <c r="W462" s="569"/>
      <c r="X462" s="569"/>
      <c r="Y462" s="569"/>
      <c r="Z462" s="569"/>
      <c r="AA462" s="569"/>
      <c r="AB462" s="569"/>
      <c r="AC462" s="569"/>
      <c r="AD462" s="569"/>
      <c r="AE462" s="569"/>
      <c r="AF462" s="569"/>
      <c r="AG462" s="569"/>
      <c r="AH462" s="569"/>
      <c r="AI462" s="569"/>
      <c r="AJ462" s="569"/>
      <c r="AK462" s="569"/>
      <c r="AL462" s="569"/>
      <c r="AM462" s="569"/>
      <c r="AN462" s="574">
        <v>19.399999999999999</v>
      </c>
      <c r="AO462">
        <v>461</v>
      </c>
      <c r="AP462" t="str">
        <f t="shared" si="92"/>
        <v/>
      </c>
      <c r="AQ462" t="str">
        <f t="shared" si="95"/>
        <v/>
      </c>
      <c r="AR462" s="430">
        <f>IFERROR(
IF(AP462="",-100,
IF($BV$2&gt;0, INDEX(Beersheet!$A:$U,MATCH(AP462,INDEX(Beersheet!$A:$U,0,FFARawStatProjections!$BV$2),0),$BV$3)+$BN462,
INDEX($A462:$BM462,,$BV$12)*$BW$12+
INDEX($A462:$BM462,,$BV$15)*$BW$15+
INDEX($A462:$BM462,,$BV$16)*$BW$16+
INDEX($A462:$BM462,,$BV$17)*$BW$17+
INDEX($A462:$BM462,,$BV$18)*$BW$18+
INDEX($A462:$BM462,,$BV$19)*$BW$19+
INDEX($A462:$BM462,,$BV$20)*$BW$20+
INDEX($A462:$BM462,,$BV$21)*$BW$21+
INDEX($A462:$BM462,,$BV$22)*$BW$22+
INDEX($A462:$BM462,,$BV$23)*$BW$23+
INDEX($A462:$BM462,,$BV$25)*$BW$25+
INDEX($A462:$BM462,,$BV$26)*$BW$26+
INDEX($A462:$BM462,,$BV$27)*$BW$27+
$BN462)),
$BN462-100)</f>
        <v>-100</v>
      </c>
      <c r="AT462" t="str">
        <f t="shared" si="96"/>
        <v/>
      </c>
      <c r="AU462" t="str">
        <f t="shared" si="97"/>
        <v/>
      </c>
      <c r="AV462" s="430">
        <f>IFERROR(
IF(AT462="",-100,
IF($BV$2&gt;0, INDEX(Beersheet!$A:$U,MATCH(AT462,INDEX(Beersheet!$A:$U,0,FFARawStatProjections!$BV$2),0),$BV$3)+$BN462,
INDEX($A462:$BM462,,$BV$12)*$BW$12+
INDEX($A462:$BM462,,$BV$15)*$BW$15+
INDEX($A462:$BM462,,$BV$16)*$BW$16+
INDEX($A462:$BM462,,$BV$17)*$BW$17+
INDEX($A462:$BM462,,$BV$18)*$BW$18+
INDEX($A462:$BM462,,$BV$19)*$BW$19+
INDEX($A462:$BM462,,$BV$20)*$BW$20+
INDEX($A462:$BM462,,$BV$21)*$BW$21+
INDEX($A462:$BM462,,$BV$22)*$BW$22+
INDEX($A462:$BM462,,$BV$23)*$BW$23+
INDEX($A462:$BM462,,$BV$25)*$BW$25+
INDEX($A462:$BM462,,$BV$26)*$BW$26+
INDEX($A462:$BM462,,$BV$27)*$BW$27+
$BN462)),
$BN462-100)</f>
        <v>-100</v>
      </c>
      <c r="AX462" t="str">
        <f t="shared" si="98"/>
        <v>Calvin Austin</v>
      </c>
      <c r="AY462" t="str">
        <f t="shared" si="99"/>
        <v>PIT</v>
      </c>
      <c r="AZ462" s="430">
        <f>IFERROR(
IF(AX462="",-100,
IF($BV$2&gt;0, INDEX(Beersheet!$A:$U,MATCH(AX462,INDEX(Beersheet!$A:$U,0,FFARawStatProjections!$BV$2),0),$BV$3)+$BN462,
INDEX($A462:$BM462,,$BV$12)*$BW$12+
INDEX($A462:$BM462,,$BV$15)*$BW$15+
INDEX($A462:$BM462,,$BV$16)*$BW$16+
INDEX($A462:$BM462,,$BV$17)*$BW$17+
INDEX($A462:$BM462,,$BV$18)*$BW$18+
INDEX($A462:$BM462,,$BV$19)*$BW$19+
INDEX($A462:$BM462,,$BV$20)*$BW$20+
INDEX($A462:$BM462,,$BV$21)*$BW$21+
INDEX($A462:$BM462,,$BV$22)*$BW$22+
INDEX($A462:$BM462,,$BV$23)*$BW$23+
INDEX($A462:$BM462,,$BV$25)*$BW$25+
INDEX($A462:$BM462,,$BV$26)*$BW$26+
INDEX($A462:$BM462,,$BV$27)*$BW$27+
$BN462)),
$BN462-100)</f>
        <v>31.564609999999998</v>
      </c>
      <c r="BB462" t="str">
        <f t="shared" si="100"/>
        <v/>
      </c>
      <c r="BC462" t="str">
        <f t="shared" si="94"/>
        <v/>
      </c>
      <c r="BD462" s="430">
        <f>IFERROR(
IF(BB462="",-100,
IF($BV$2&gt;0, INDEX(Beersheet!$A:$U,MATCH(BB462,INDEX(Beersheet!$A:$U,0,FFARawStatProjections!$BV$2),0),$BV$3)+$BN462,
INDEX($A462:$BM462,,$BV$12)*$BW$12+
INDEX($A462:$BM462,,$BV$15)*$BW$15+
INDEX($A462:$BM462,,$BV$16)*$BW$16+
INDEX($A462:$BM462,,$BV$17)*$BW$17+
INDEX($A462:$BM462,,$BV$18)*$BW$18+
INDEX($A462:$BM462,,$BV$19)*$BW$19+
INDEX($A462:$BM462,,$BV$20)*$BW$20+
INDEX($A462:$BM462,,$BV$21)*$BW$21+
INDEX($A462:$BM462,,$BV$22)*$BW$22+
INDEX($A462:$BM462,,$BV$23)*$BW$23+
INDEX($A462:$BM462,,$BV$25)*$BW$25+
INDEX($A462:$BM462,,$BV$26)*$BW$26+
INDEX($A462:$BM462,,$BV$27)*$BW$27+
$BN462)),
$BN462-100)</f>
        <v>-100</v>
      </c>
      <c r="BF462" t="str">
        <f t="shared" si="101"/>
        <v/>
      </c>
      <c r="BG462" t="str">
        <f t="shared" si="102"/>
        <v/>
      </c>
      <c r="BH462">
        <f t="shared" si="103"/>
        <v>0</v>
      </c>
      <c r="BJ462" t="str">
        <f t="shared" si="104"/>
        <v/>
      </c>
      <c r="BL462">
        <f t="shared" si="93"/>
        <v>0</v>
      </c>
      <c r="BN462">
        <v>4.6100000000000004E-3</v>
      </c>
      <c r="BS462" s="4" t="s">
        <v>2062</v>
      </c>
    </row>
    <row r="463" spans="1:71" ht="15.75" thickBot="1" x14ac:dyDescent="0.3">
      <c r="A463" s="569" t="s">
        <v>2351</v>
      </c>
      <c r="B463" s="569" t="s">
        <v>157</v>
      </c>
      <c r="C463" s="569" t="s">
        <v>6</v>
      </c>
      <c r="D463" s="574">
        <v>11</v>
      </c>
      <c r="E463" s="569"/>
      <c r="F463" s="569"/>
      <c r="G463" s="569"/>
      <c r="H463" s="569"/>
      <c r="I463" s="574">
        <v>0</v>
      </c>
      <c r="J463" s="574">
        <v>0</v>
      </c>
      <c r="K463" s="574">
        <v>0</v>
      </c>
      <c r="L463" s="574">
        <v>9.3000000000000007</v>
      </c>
      <c r="M463" s="574">
        <v>0.8</v>
      </c>
      <c r="N463" s="574">
        <v>135.6</v>
      </c>
      <c r="O463" s="574">
        <v>0</v>
      </c>
      <c r="P463" s="574">
        <v>0</v>
      </c>
      <c r="Q463" s="574">
        <v>6.7</v>
      </c>
      <c r="R463" s="569"/>
      <c r="S463" s="569"/>
      <c r="T463" s="569"/>
      <c r="U463" s="569"/>
      <c r="V463" s="569"/>
      <c r="W463" s="569"/>
      <c r="X463" s="569"/>
      <c r="Y463" s="569"/>
      <c r="Z463" s="569"/>
      <c r="AA463" s="569"/>
      <c r="AB463" s="569"/>
      <c r="AC463" s="569"/>
      <c r="AD463" s="569"/>
      <c r="AE463" s="569"/>
      <c r="AF463" s="569"/>
      <c r="AG463" s="569"/>
      <c r="AH463" s="569"/>
      <c r="AI463" s="569"/>
      <c r="AJ463" s="569"/>
      <c r="AK463" s="569"/>
      <c r="AL463" s="569"/>
      <c r="AM463" s="569"/>
      <c r="AN463" s="574">
        <v>19.399999999999999</v>
      </c>
      <c r="AO463">
        <v>462</v>
      </c>
      <c r="AP463" t="str">
        <f t="shared" si="92"/>
        <v/>
      </c>
      <c r="AQ463" t="str">
        <f t="shared" si="95"/>
        <v/>
      </c>
      <c r="AR463" s="430">
        <f>IFERROR(
IF(AP463="",-100,
IF($BV$2&gt;0, INDEX(Beersheet!$A:$U,MATCH(AP463,INDEX(Beersheet!$A:$U,0,FFARawStatProjections!$BV$2),0),$BV$3)+$BN463,
INDEX($A463:$BM463,,$BV$12)*$BW$12+
INDEX($A463:$BM463,,$BV$15)*$BW$15+
INDEX($A463:$BM463,,$BV$16)*$BW$16+
INDEX($A463:$BM463,,$BV$17)*$BW$17+
INDEX($A463:$BM463,,$BV$18)*$BW$18+
INDEX($A463:$BM463,,$BV$19)*$BW$19+
INDEX($A463:$BM463,,$BV$20)*$BW$20+
INDEX($A463:$BM463,,$BV$21)*$BW$21+
INDEX($A463:$BM463,,$BV$22)*$BW$22+
INDEX($A463:$BM463,,$BV$23)*$BW$23+
INDEX($A463:$BM463,,$BV$25)*$BW$25+
INDEX($A463:$BM463,,$BV$26)*$BW$26+
INDEX($A463:$BM463,,$BV$27)*$BW$27+
$BN463)),
$BN463-100)</f>
        <v>-100</v>
      </c>
      <c r="AT463" t="str">
        <f t="shared" si="96"/>
        <v/>
      </c>
      <c r="AU463" t="str">
        <f t="shared" si="97"/>
        <v/>
      </c>
      <c r="AV463" s="430">
        <f>IFERROR(
IF(AT463="",-100,
IF($BV$2&gt;0, INDEX(Beersheet!$A:$U,MATCH(AT463,INDEX(Beersheet!$A:$U,0,FFARawStatProjections!$BV$2),0),$BV$3)+$BN463,
INDEX($A463:$BM463,,$BV$12)*$BW$12+
INDEX($A463:$BM463,,$BV$15)*$BW$15+
INDEX($A463:$BM463,,$BV$16)*$BW$16+
INDEX($A463:$BM463,,$BV$17)*$BW$17+
INDEX($A463:$BM463,,$BV$18)*$BW$18+
INDEX($A463:$BM463,,$BV$19)*$BW$19+
INDEX($A463:$BM463,,$BV$20)*$BW$20+
INDEX($A463:$BM463,,$BV$21)*$BW$21+
INDEX($A463:$BM463,,$BV$22)*$BW$22+
INDEX($A463:$BM463,,$BV$23)*$BW$23+
INDEX($A463:$BM463,,$BV$25)*$BW$25+
INDEX($A463:$BM463,,$BV$26)*$BW$26+
INDEX($A463:$BM463,,$BV$27)*$BW$27+
$BN463)),
$BN463-100)</f>
        <v>-100</v>
      </c>
      <c r="AX463" t="str">
        <f t="shared" si="98"/>
        <v>Tre Nixon</v>
      </c>
      <c r="AY463" t="str">
        <f t="shared" si="99"/>
        <v>NE</v>
      </c>
      <c r="AZ463" s="430">
        <f>IFERROR(
IF(AX463="",-100,
IF($BV$2&gt;0, INDEX(Beersheet!$A:$U,MATCH(AX463,INDEX(Beersheet!$A:$U,0,FFARawStatProjections!$BV$2),0),$BV$3)+$BN463,
INDEX($A463:$BM463,,$BV$12)*$BW$12+
INDEX($A463:$BM463,,$BV$15)*$BW$15+
INDEX($A463:$BM463,,$BV$16)*$BW$16+
INDEX($A463:$BM463,,$BV$17)*$BW$17+
INDEX($A463:$BM463,,$BV$18)*$BW$18+
INDEX($A463:$BM463,,$BV$19)*$BW$19+
INDEX($A463:$BM463,,$BV$20)*$BW$20+
INDEX($A463:$BM463,,$BV$21)*$BW$21+
INDEX($A463:$BM463,,$BV$22)*$BW$22+
INDEX($A463:$BM463,,$BV$23)*$BW$23+
INDEX($A463:$BM463,,$BV$25)*$BW$25+
INDEX($A463:$BM463,,$BV$26)*$BW$26+
INDEX($A463:$BM463,,$BV$27)*$BW$27+
$BN463)),
$BN463-100)</f>
        <v>28.334620000000005</v>
      </c>
      <c r="BB463" t="str">
        <f t="shared" si="100"/>
        <v/>
      </c>
      <c r="BC463" t="str">
        <f t="shared" si="94"/>
        <v/>
      </c>
      <c r="BD463" s="430">
        <f>IFERROR(
IF(BB463="",-100,
IF($BV$2&gt;0, INDEX(Beersheet!$A:$U,MATCH(BB463,INDEX(Beersheet!$A:$U,0,FFARawStatProjections!$BV$2),0),$BV$3)+$BN463,
INDEX($A463:$BM463,,$BV$12)*$BW$12+
INDEX($A463:$BM463,,$BV$15)*$BW$15+
INDEX($A463:$BM463,,$BV$16)*$BW$16+
INDEX($A463:$BM463,,$BV$17)*$BW$17+
INDEX($A463:$BM463,,$BV$18)*$BW$18+
INDEX($A463:$BM463,,$BV$19)*$BW$19+
INDEX($A463:$BM463,,$BV$20)*$BW$20+
INDEX($A463:$BM463,,$BV$21)*$BW$21+
INDEX($A463:$BM463,,$BV$22)*$BW$22+
INDEX($A463:$BM463,,$BV$23)*$BW$23+
INDEX($A463:$BM463,,$BV$25)*$BW$25+
INDEX($A463:$BM463,,$BV$26)*$BW$26+
INDEX($A463:$BM463,,$BV$27)*$BW$27+
$BN463)),
$BN463-100)</f>
        <v>-100</v>
      </c>
      <c r="BF463" t="str">
        <f t="shared" si="101"/>
        <v/>
      </c>
      <c r="BG463" t="str">
        <f t="shared" si="102"/>
        <v/>
      </c>
      <c r="BH463">
        <f t="shared" si="103"/>
        <v>0</v>
      </c>
      <c r="BJ463" t="str">
        <f t="shared" si="104"/>
        <v/>
      </c>
      <c r="BL463">
        <f t="shared" si="93"/>
        <v>0</v>
      </c>
      <c r="BN463">
        <v>4.62E-3</v>
      </c>
      <c r="BS463" s="4" t="s">
        <v>2247</v>
      </c>
    </row>
    <row r="464" spans="1:71" ht="15.75" thickBot="1" x14ac:dyDescent="0.3">
      <c r="A464" s="569" t="s">
        <v>2497</v>
      </c>
      <c r="B464" s="569" t="s">
        <v>156</v>
      </c>
      <c r="C464" s="569" t="s">
        <v>6</v>
      </c>
      <c r="D464" s="574">
        <v>13</v>
      </c>
      <c r="E464" s="569"/>
      <c r="F464" s="569"/>
      <c r="G464" s="569"/>
      <c r="H464" s="569"/>
      <c r="I464" s="574">
        <v>0</v>
      </c>
      <c r="J464" s="574">
        <v>0</v>
      </c>
      <c r="K464" s="574">
        <v>0</v>
      </c>
      <c r="L464" s="574">
        <v>9.6999999999999993</v>
      </c>
      <c r="M464" s="574">
        <v>0.5</v>
      </c>
      <c r="N464" s="574">
        <v>152.5</v>
      </c>
      <c r="O464" s="574">
        <v>2.6</v>
      </c>
      <c r="P464" s="574">
        <v>0</v>
      </c>
      <c r="Q464" s="574">
        <v>13.7</v>
      </c>
      <c r="R464" s="569"/>
      <c r="S464" s="569"/>
      <c r="T464" s="569"/>
      <c r="U464" s="569"/>
      <c r="V464" s="569"/>
      <c r="W464" s="569"/>
      <c r="X464" s="569"/>
      <c r="Y464" s="569"/>
      <c r="Z464" s="569"/>
      <c r="AA464" s="569"/>
      <c r="AB464" s="569"/>
      <c r="AC464" s="569"/>
      <c r="AD464" s="569"/>
      <c r="AE464" s="569"/>
      <c r="AF464" s="569"/>
      <c r="AG464" s="569"/>
      <c r="AH464" s="569"/>
      <c r="AI464" s="569"/>
      <c r="AJ464" s="569"/>
      <c r="AK464" s="569"/>
      <c r="AL464" s="569"/>
      <c r="AM464" s="569"/>
      <c r="AN464" s="574">
        <v>19.100000000000001</v>
      </c>
      <c r="AO464">
        <v>463</v>
      </c>
      <c r="AP464" t="str">
        <f t="shared" si="92"/>
        <v/>
      </c>
      <c r="AQ464" t="str">
        <f t="shared" si="95"/>
        <v/>
      </c>
      <c r="AR464" s="430">
        <f>IFERROR(
IF(AP464="",-100,
IF($BV$2&gt;0, INDEX(Beersheet!$A:$U,MATCH(AP464,INDEX(Beersheet!$A:$U,0,FFARawStatProjections!$BV$2),0),$BV$3)+$BN464,
INDEX($A464:$BM464,,$BV$12)*$BW$12+
INDEX($A464:$BM464,,$BV$15)*$BW$15+
INDEX($A464:$BM464,,$BV$16)*$BW$16+
INDEX($A464:$BM464,,$BV$17)*$BW$17+
INDEX($A464:$BM464,,$BV$18)*$BW$18+
INDEX($A464:$BM464,,$BV$19)*$BW$19+
INDEX($A464:$BM464,,$BV$20)*$BW$20+
INDEX($A464:$BM464,,$BV$21)*$BW$21+
INDEX($A464:$BM464,,$BV$22)*$BW$22+
INDEX($A464:$BM464,,$BV$23)*$BW$23+
INDEX($A464:$BM464,,$BV$25)*$BW$25+
INDEX($A464:$BM464,,$BV$26)*$BW$26+
INDEX($A464:$BM464,,$BV$27)*$BW$27+
$BN464)),
$BN464-100)</f>
        <v>-100</v>
      </c>
      <c r="AT464" t="str">
        <f t="shared" si="96"/>
        <v/>
      </c>
      <c r="AU464" t="str">
        <f t="shared" si="97"/>
        <v/>
      </c>
      <c r="AV464" s="430">
        <f>IFERROR(
IF(AT464="",-100,
IF($BV$2&gt;0, INDEX(Beersheet!$A:$U,MATCH(AT464,INDEX(Beersheet!$A:$U,0,FFARawStatProjections!$BV$2),0),$BV$3)+$BN464,
INDEX($A464:$BM464,,$BV$12)*$BW$12+
INDEX($A464:$BM464,,$BV$15)*$BW$15+
INDEX($A464:$BM464,,$BV$16)*$BW$16+
INDEX($A464:$BM464,,$BV$17)*$BW$17+
INDEX($A464:$BM464,,$BV$18)*$BW$18+
INDEX($A464:$BM464,,$BV$19)*$BW$19+
INDEX($A464:$BM464,,$BV$20)*$BW$20+
INDEX($A464:$BM464,,$BV$21)*$BW$21+
INDEX($A464:$BM464,,$BV$22)*$BW$22+
INDEX($A464:$BM464,,$BV$23)*$BW$23+
INDEX($A464:$BM464,,$BV$25)*$BW$25+
INDEX($A464:$BM464,,$BV$26)*$BW$26+
INDEX($A464:$BM464,,$BV$27)*$BW$27+
$BN464)),
$BN464-100)</f>
        <v>-100</v>
      </c>
      <c r="AX464" t="str">
        <f t="shared" si="98"/>
        <v>Deonte Harty</v>
      </c>
      <c r="AY464" t="str">
        <f t="shared" si="99"/>
        <v>BUF</v>
      </c>
      <c r="AZ464" s="430">
        <f>IFERROR(
IF(AX464="",-100,
IF($BV$2&gt;0, INDEX(Beersheet!$A:$U,MATCH(AX464,INDEX(Beersheet!$A:$U,0,FFARawStatProjections!$BV$2),0),$BV$3)+$BN464,
INDEX($A464:$BM464,,$BV$12)*$BW$12+
INDEX($A464:$BM464,,$BV$15)*$BW$15+
INDEX($A464:$BM464,,$BV$16)*$BW$16+
INDEX($A464:$BM464,,$BV$17)*$BW$17+
INDEX($A464:$BM464,,$BV$18)*$BW$18+
INDEX($A464:$BM464,,$BV$19)*$BW$19+
INDEX($A464:$BM464,,$BV$20)*$BW$20+
INDEX($A464:$BM464,,$BV$21)*$BW$21+
INDEX($A464:$BM464,,$BV$22)*$BW$22+
INDEX($A464:$BM464,,$BV$23)*$BW$23+
INDEX($A464:$BM464,,$BV$25)*$BW$25+
INDEX($A464:$BM464,,$BV$26)*$BW$26+
INDEX($A464:$BM464,,$BV$27)*$BW$27+
$BN464)),
$BN464-100)</f>
        <v>29.324629999999999</v>
      </c>
      <c r="BB464" t="str">
        <f t="shared" si="100"/>
        <v/>
      </c>
      <c r="BC464" t="str">
        <f t="shared" si="94"/>
        <v/>
      </c>
      <c r="BD464" s="430">
        <f>IFERROR(
IF(BB464="",-100,
IF($BV$2&gt;0, INDEX(Beersheet!$A:$U,MATCH(BB464,INDEX(Beersheet!$A:$U,0,FFARawStatProjections!$BV$2),0),$BV$3)+$BN464,
INDEX($A464:$BM464,,$BV$12)*$BW$12+
INDEX($A464:$BM464,,$BV$15)*$BW$15+
INDEX($A464:$BM464,,$BV$16)*$BW$16+
INDEX($A464:$BM464,,$BV$17)*$BW$17+
INDEX($A464:$BM464,,$BV$18)*$BW$18+
INDEX($A464:$BM464,,$BV$19)*$BW$19+
INDEX($A464:$BM464,,$BV$20)*$BW$20+
INDEX($A464:$BM464,,$BV$21)*$BW$21+
INDEX($A464:$BM464,,$BV$22)*$BW$22+
INDEX($A464:$BM464,,$BV$23)*$BW$23+
INDEX($A464:$BM464,,$BV$25)*$BW$25+
INDEX($A464:$BM464,,$BV$26)*$BW$26+
INDEX($A464:$BM464,,$BV$27)*$BW$27+
$BN464)),
$BN464-100)</f>
        <v>-100</v>
      </c>
      <c r="BF464" t="str">
        <f t="shared" si="101"/>
        <v/>
      </c>
      <c r="BG464" t="str">
        <f t="shared" si="102"/>
        <v/>
      </c>
      <c r="BH464">
        <f t="shared" si="103"/>
        <v>0</v>
      </c>
      <c r="BJ464" t="str">
        <f t="shared" si="104"/>
        <v/>
      </c>
      <c r="BL464">
        <f t="shared" si="93"/>
        <v>0</v>
      </c>
      <c r="BN464">
        <v>4.6299999999999996E-3</v>
      </c>
      <c r="BS464" s="4" t="s">
        <v>2445</v>
      </c>
    </row>
    <row r="465" spans="1:71" ht="15.75" thickBot="1" x14ac:dyDescent="0.3">
      <c r="A465" s="569" t="s">
        <v>2523</v>
      </c>
      <c r="B465" s="569" t="s">
        <v>137</v>
      </c>
      <c r="C465" s="569" t="s">
        <v>6</v>
      </c>
      <c r="D465" s="574">
        <v>10</v>
      </c>
      <c r="E465" s="569"/>
      <c r="F465" s="569"/>
      <c r="G465" s="569"/>
      <c r="H465" s="569"/>
      <c r="I465" s="574">
        <v>0</v>
      </c>
      <c r="J465" s="574">
        <v>0</v>
      </c>
      <c r="K465" s="574">
        <v>0</v>
      </c>
      <c r="L465" s="574">
        <v>8.4</v>
      </c>
      <c r="M465" s="574">
        <v>0.8</v>
      </c>
      <c r="N465" s="574">
        <v>130.4</v>
      </c>
      <c r="O465" s="574">
        <v>0</v>
      </c>
      <c r="P465" s="574">
        <v>0.1</v>
      </c>
      <c r="Q465" s="574">
        <v>6.7</v>
      </c>
      <c r="R465" s="569"/>
      <c r="S465" s="569"/>
      <c r="T465" s="569"/>
      <c r="U465" s="569"/>
      <c r="V465" s="569"/>
      <c r="W465" s="569"/>
      <c r="X465" s="569"/>
      <c r="Y465" s="569"/>
      <c r="Z465" s="569"/>
      <c r="AA465" s="569"/>
      <c r="AB465" s="569"/>
      <c r="AC465" s="569"/>
      <c r="AD465" s="569"/>
      <c r="AE465" s="569"/>
      <c r="AF465" s="569"/>
      <c r="AG465" s="569"/>
      <c r="AH465" s="569"/>
      <c r="AI465" s="569"/>
      <c r="AJ465" s="569"/>
      <c r="AK465" s="569"/>
      <c r="AL465" s="569"/>
      <c r="AM465" s="569"/>
      <c r="AN465" s="574">
        <v>18.7</v>
      </c>
      <c r="AO465">
        <v>464</v>
      </c>
      <c r="AP465" t="str">
        <f t="shared" si="92"/>
        <v/>
      </c>
      <c r="AQ465" t="str">
        <f t="shared" si="95"/>
        <v/>
      </c>
      <c r="AR465" s="430">
        <f>IFERROR(
IF(AP465="",-100,
IF($BV$2&gt;0, INDEX(Beersheet!$A:$U,MATCH(AP465,INDEX(Beersheet!$A:$U,0,FFARawStatProjections!$BV$2),0),$BV$3)+$BN465,
INDEX($A465:$BM465,,$BV$12)*$BW$12+
INDEX($A465:$BM465,,$BV$15)*$BW$15+
INDEX($A465:$BM465,,$BV$16)*$BW$16+
INDEX($A465:$BM465,,$BV$17)*$BW$17+
INDEX($A465:$BM465,,$BV$18)*$BW$18+
INDEX($A465:$BM465,,$BV$19)*$BW$19+
INDEX($A465:$BM465,,$BV$20)*$BW$20+
INDEX($A465:$BM465,,$BV$21)*$BW$21+
INDEX($A465:$BM465,,$BV$22)*$BW$22+
INDEX($A465:$BM465,,$BV$23)*$BW$23+
INDEX($A465:$BM465,,$BV$25)*$BW$25+
INDEX($A465:$BM465,,$BV$26)*$BW$26+
INDEX($A465:$BM465,,$BV$27)*$BW$27+
$BN465)),
$BN465-100)</f>
        <v>-100</v>
      </c>
      <c r="AT465" t="str">
        <f t="shared" si="96"/>
        <v/>
      </c>
      <c r="AU465" t="str">
        <f t="shared" si="97"/>
        <v/>
      </c>
      <c r="AV465" s="430">
        <f>IFERROR(
IF(AT465="",-100,
IF($BV$2&gt;0, INDEX(Beersheet!$A:$U,MATCH(AT465,INDEX(Beersheet!$A:$U,0,FFARawStatProjections!$BV$2),0),$BV$3)+$BN465,
INDEX($A465:$BM465,,$BV$12)*$BW$12+
INDEX($A465:$BM465,,$BV$15)*$BW$15+
INDEX($A465:$BM465,,$BV$16)*$BW$16+
INDEX($A465:$BM465,,$BV$17)*$BW$17+
INDEX($A465:$BM465,,$BV$18)*$BW$18+
INDEX($A465:$BM465,,$BV$19)*$BW$19+
INDEX($A465:$BM465,,$BV$20)*$BW$20+
INDEX($A465:$BM465,,$BV$21)*$BW$21+
INDEX($A465:$BM465,,$BV$22)*$BW$22+
INDEX($A465:$BM465,,$BV$23)*$BW$23+
INDEX($A465:$BM465,,$BV$25)*$BW$25+
INDEX($A465:$BM465,,$BV$26)*$BW$26+
INDEX($A465:$BM465,,$BV$27)*$BW$27+
$BN465)),
$BN465-100)</f>
        <v>-100</v>
      </c>
      <c r="AX465" t="str">
        <f t="shared" si="98"/>
        <v>Britain Covey</v>
      </c>
      <c r="AY465" t="str">
        <f t="shared" si="99"/>
        <v>PHI</v>
      </c>
      <c r="AZ465" s="430">
        <f>IFERROR(
IF(AX465="",-100,
IF($BV$2&gt;0, INDEX(Beersheet!$A:$U,MATCH(AX465,INDEX(Beersheet!$A:$U,0,FFARawStatProjections!$BV$2),0),$BV$3)+$BN465,
INDEX($A465:$BM465,,$BV$12)*$BW$12+
INDEX($A465:$BM465,,$BV$15)*$BW$15+
INDEX($A465:$BM465,,$BV$16)*$BW$16+
INDEX($A465:$BM465,,$BV$17)*$BW$17+
INDEX($A465:$BM465,,$BV$18)*$BW$18+
INDEX($A465:$BM465,,$BV$19)*$BW$19+
INDEX($A465:$BM465,,$BV$20)*$BW$20+
INDEX($A465:$BM465,,$BV$21)*$BW$21+
INDEX($A465:$BM465,,$BV$22)*$BW$22+
INDEX($A465:$BM465,,$BV$23)*$BW$23+
INDEX($A465:$BM465,,$BV$25)*$BW$25+
INDEX($A465:$BM465,,$BV$26)*$BW$26+
INDEX($A465:$BM465,,$BV$27)*$BW$27+
$BN465)),
$BN465-100)</f>
        <v>27.514640000000004</v>
      </c>
      <c r="BB465" t="str">
        <f t="shared" si="100"/>
        <v/>
      </c>
      <c r="BC465" t="str">
        <f t="shared" si="94"/>
        <v/>
      </c>
      <c r="BD465" s="430">
        <f>IFERROR(
IF(BB465="",-100,
IF($BV$2&gt;0, INDEX(Beersheet!$A:$U,MATCH(BB465,INDEX(Beersheet!$A:$U,0,FFARawStatProjections!$BV$2),0),$BV$3)+$BN465,
INDEX($A465:$BM465,,$BV$12)*$BW$12+
INDEX($A465:$BM465,,$BV$15)*$BW$15+
INDEX($A465:$BM465,,$BV$16)*$BW$16+
INDEX($A465:$BM465,,$BV$17)*$BW$17+
INDEX($A465:$BM465,,$BV$18)*$BW$18+
INDEX($A465:$BM465,,$BV$19)*$BW$19+
INDEX($A465:$BM465,,$BV$20)*$BW$20+
INDEX($A465:$BM465,,$BV$21)*$BW$21+
INDEX($A465:$BM465,,$BV$22)*$BW$22+
INDEX($A465:$BM465,,$BV$23)*$BW$23+
INDEX($A465:$BM465,,$BV$25)*$BW$25+
INDEX($A465:$BM465,,$BV$26)*$BW$26+
INDEX($A465:$BM465,,$BV$27)*$BW$27+
$BN465)),
$BN465-100)</f>
        <v>-100</v>
      </c>
      <c r="BF465" t="str">
        <f t="shared" si="101"/>
        <v/>
      </c>
      <c r="BG465" t="str">
        <f t="shared" si="102"/>
        <v/>
      </c>
      <c r="BH465">
        <f t="shared" si="103"/>
        <v>0</v>
      </c>
      <c r="BJ465" t="str">
        <f t="shared" si="104"/>
        <v/>
      </c>
      <c r="BL465">
        <f t="shared" si="93"/>
        <v>0</v>
      </c>
      <c r="BN465">
        <v>4.64E-3</v>
      </c>
      <c r="BS465" s="4" t="s">
        <v>2444</v>
      </c>
    </row>
    <row r="466" spans="1:71" ht="15.75" thickBot="1" x14ac:dyDescent="0.3">
      <c r="A466" s="569" t="s">
        <v>2143</v>
      </c>
      <c r="B466" s="569" t="s">
        <v>1388</v>
      </c>
      <c r="C466" s="569" t="s">
        <v>6</v>
      </c>
      <c r="D466" s="574">
        <v>5</v>
      </c>
      <c r="E466" s="569"/>
      <c r="F466" s="569"/>
      <c r="G466" s="569"/>
      <c r="H466" s="569"/>
      <c r="I466" s="574">
        <v>0</v>
      </c>
      <c r="J466" s="574">
        <v>0</v>
      </c>
      <c r="K466" s="574">
        <v>0</v>
      </c>
      <c r="L466" s="574">
        <v>10.3</v>
      </c>
      <c r="M466" s="574">
        <v>0.6</v>
      </c>
      <c r="N466" s="574">
        <v>144.69999999999999</v>
      </c>
      <c r="O466" s="574">
        <v>0.9</v>
      </c>
      <c r="P466" s="574">
        <v>0</v>
      </c>
      <c r="Q466" s="574">
        <v>3</v>
      </c>
      <c r="R466" s="569"/>
      <c r="S466" s="569"/>
      <c r="T466" s="569"/>
      <c r="U466" s="569"/>
      <c r="V466" s="569"/>
      <c r="W466" s="569"/>
      <c r="X466" s="569"/>
      <c r="Y466" s="569"/>
      <c r="Z466" s="569"/>
      <c r="AA466" s="569"/>
      <c r="AB466" s="569"/>
      <c r="AC466" s="569"/>
      <c r="AD466" s="569"/>
      <c r="AE466" s="569"/>
      <c r="AF466" s="569"/>
      <c r="AG466" s="569"/>
      <c r="AH466" s="569"/>
      <c r="AI466" s="569"/>
      <c r="AJ466" s="569"/>
      <c r="AK466" s="569"/>
      <c r="AL466" s="569"/>
      <c r="AM466" s="569"/>
      <c r="AN466" s="574">
        <v>18.5</v>
      </c>
      <c r="AO466">
        <v>465</v>
      </c>
      <c r="AP466" t="str">
        <f t="shared" si="92"/>
        <v/>
      </c>
      <c r="AQ466" t="str">
        <f t="shared" si="95"/>
        <v/>
      </c>
      <c r="AR466" s="430">
        <f>IFERROR(
IF(AP466="",-100,
IF($BV$2&gt;0, INDEX(Beersheet!$A:$U,MATCH(AP466,INDEX(Beersheet!$A:$U,0,FFARawStatProjections!$BV$2),0),$BV$3)+$BN466,
INDEX($A466:$BM466,,$BV$12)*$BW$12+
INDEX($A466:$BM466,,$BV$15)*$BW$15+
INDEX($A466:$BM466,,$BV$16)*$BW$16+
INDEX($A466:$BM466,,$BV$17)*$BW$17+
INDEX($A466:$BM466,,$BV$18)*$BW$18+
INDEX($A466:$BM466,,$BV$19)*$BW$19+
INDEX($A466:$BM466,,$BV$20)*$BW$20+
INDEX($A466:$BM466,,$BV$21)*$BW$21+
INDEX($A466:$BM466,,$BV$22)*$BW$22+
INDEX($A466:$BM466,,$BV$23)*$BW$23+
INDEX($A466:$BM466,,$BV$25)*$BW$25+
INDEX($A466:$BM466,,$BV$26)*$BW$26+
INDEX($A466:$BM466,,$BV$27)*$BW$27+
$BN466)),
$BN466-100)</f>
        <v>-100</v>
      </c>
      <c r="AT466" t="str">
        <f t="shared" si="96"/>
        <v/>
      </c>
      <c r="AU466" t="str">
        <f t="shared" si="97"/>
        <v/>
      </c>
      <c r="AV466" s="430">
        <f>IFERROR(
IF(AT466="",-100,
IF($BV$2&gt;0, INDEX(Beersheet!$A:$U,MATCH(AT466,INDEX(Beersheet!$A:$U,0,FFARawStatProjections!$BV$2),0),$BV$3)+$BN466,
INDEX($A466:$BM466,,$BV$12)*$BW$12+
INDEX($A466:$BM466,,$BV$15)*$BW$15+
INDEX($A466:$BM466,,$BV$16)*$BW$16+
INDEX($A466:$BM466,,$BV$17)*$BW$17+
INDEX($A466:$BM466,,$BV$18)*$BW$18+
INDEX($A466:$BM466,,$BV$19)*$BW$19+
INDEX($A466:$BM466,,$BV$20)*$BW$20+
INDEX($A466:$BM466,,$BV$21)*$BW$21+
INDEX($A466:$BM466,,$BV$22)*$BW$22+
INDEX($A466:$BM466,,$BV$23)*$BW$23+
INDEX($A466:$BM466,,$BV$25)*$BW$25+
INDEX($A466:$BM466,,$BV$26)*$BW$26+
INDEX($A466:$BM466,,$BV$27)*$BW$27+
$BN466)),
$BN466-100)</f>
        <v>-100</v>
      </c>
      <c r="AX466" t="str">
        <f t="shared" si="98"/>
        <v>Jalen Guyton</v>
      </c>
      <c r="AY466" t="str">
        <f t="shared" si="99"/>
        <v>LAC</v>
      </c>
      <c r="AZ466" s="430">
        <f>IFERROR(
IF(AX466="",-100,
IF($BV$2&gt;0, INDEX(Beersheet!$A:$U,MATCH(AX466,INDEX(Beersheet!$A:$U,0,FFARawStatProjections!$BV$2),0),$BV$3)+$BN466,
INDEX($A466:$BM466,,$BV$12)*$BW$12+
INDEX($A466:$BM466,,$BV$15)*$BW$15+
INDEX($A466:$BM466,,$BV$16)*$BW$16+
INDEX($A466:$BM466,,$BV$17)*$BW$17+
INDEX($A466:$BM466,,$BV$18)*$BW$18+
INDEX($A466:$BM466,,$BV$19)*$BW$19+
INDEX($A466:$BM466,,$BV$20)*$BW$20+
INDEX($A466:$BM466,,$BV$21)*$BW$21+
INDEX($A466:$BM466,,$BV$22)*$BW$22+
INDEX($A466:$BM466,,$BV$23)*$BW$23+
INDEX($A466:$BM466,,$BV$25)*$BW$25+
INDEX($A466:$BM466,,$BV$26)*$BW$26+
INDEX($A466:$BM466,,$BV$27)*$BW$27+
$BN466)),
$BN466-100)</f>
        <v>28.67465</v>
      </c>
      <c r="BB466" t="str">
        <f t="shared" si="100"/>
        <v/>
      </c>
      <c r="BC466" t="str">
        <f t="shared" si="94"/>
        <v/>
      </c>
      <c r="BD466" s="430">
        <f>IFERROR(
IF(BB466="",-100,
IF($BV$2&gt;0, INDEX(Beersheet!$A:$U,MATCH(BB466,INDEX(Beersheet!$A:$U,0,FFARawStatProjections!$BV$2),0),$BV$3)+$BN466,
INDEX($A466:$BM466,,$BV$12)*$BW$12+
INDEX($A466:$BM466,,$BV$15)*$BW$15+
INDEX($A466:$BM466,,$BV$16)*$BW$16+
INDEX($A466:$BM466,,$BV$17)*$BW$17+
INDEX($A466:$BM466,,$BV$18)*$BW$18+
INDEX($A466:$BM466,,$BV$19)*$BW$19+
INDEX($A466:$BM466,,$BV$20)*$BW$20+
INDEX($A466:$BM466,,$BV$21)*$BW$21+
INDEX($A466:$BM466,,$BV$22)*$BW$22+
INDEX($A466:$BM466,,$BV$23)*$BW$23+
INDEX($A466:$BM466,,$BV$25)*$BW$25+
INDEX($A466:$BM466,,$BV$26)*$BW$26+
INDEX($A466:$BM466,,$BV$27)*$BW$27+
$BN466)),
$BN466-100)</f>
        <v>-100</v>
      </c>
      <c r="BF466" t="str">
        <f t="shared" si="101"/>
        <v/>
      </c>
      <c r="BG466" t="str">
        <f t="shared" si="102"/>
        <v/>
      </c>
      <c r="BH466">
        <f t="shared" si="103"/>
        <v>0</v>
      </c>
      <c r="BJ466" t="str">
        <f t="shared" si="104"/>
        <v/>
      </c>
      <c r="BL466">
        <f t="shared" si="93"/>
        <v>0</v>
      </c>
      <c r="BN466">
        <v>4.6499999999999996E-3</v>
      </c>
      <c r="BS466" s="4" t="s">
        <v>2073</v>
      </c>
    </row>
    <row r="467" spans="1:71" ht="15.75" thickBot="1" x14ac:dyDescent="0.3">
      <c r="A467" s="569" t="s">
        <v>2430</v>
      </c>
      <c r="B467" s="569" t="s">
        <v>165</v>
      </c>
      <c r="C467" s="569" t="s">
        <v>6</v>
      </c>
      <c r="D467" s="574">
        <v>9</v>
      </c>
      <c r="E467" s="569"/>
      <c r="F467" s="569"/>
      <c r="G467" s="569"/>
      <c r="H467" s="569"/>
      <c r="I467" s="574">
        <v>0</v>
      </c>
      <c r="J467" s="574">
        <v>0</v>
      </c>
      <c r="K467" s="574">
        <v>0</v>
      </c>
      <c r="L467" s="574">
        <v>14</v>
      </c>
      <c r="M467" s="574">
        <v>0.6</v>
      </c>
      <c r="N467" s="574">
        <v>138</v>
      </c>
      <c r="O467" s="574">
        <v>0.3</v>
      </c>
      <c r="P467" s="574">
        <v>0</v>
      </c>
      <c r="Q467" s="574">
        <v>1.5</v>
      </c>
      <c r="R467" s="569"/>
      <c r="S467" s="569"/>
      <c r="T467" s="569"/>
      <c r="U467" s="569"/>
      <c r="V467" s="569"/>
      <c r="W467" s="569"/>
      <c r="X467" s="569"/>
      <c r="Y467" s="569"/>
      <c r="Z467" s="569"/>
      <c r="AA467" s="569"/>
      <c r="AB467" s="569"/>
      <c r="AC467" s="569"/>
      <c r="AD467" s="569"/>
      <c r="AE467" s="569"/>
      <c r="AF467" s="569"/>
      <c r="AG467" s="569"/>
      <c r="AH467" s="569"/>
      <c r="AI467" s="569"/>
      <c r="AJ467" s="569"/>
      <c r="AK467" s="569"/>
      <c r="AL467" s="569"/>
      <c r="AM467" s="569"/>
      <c r="AN467" s="574">
        <v>17.2</v>
      </c>
      <c r="AO467">
        <v>466</v>
      </c>
      <c r="AP467" t="str">
        <f t="shared" si="92"/>
        <v/>
      </c>
      <c r="AQ467" t="str">
        <f t="shared" si="95"/>
        <v/>
      </c>
      <c r="AR467" s="430">
        <f>IFERROR(
IF(AP467="",-100,
IF($BV$2&gt;0, INDEX(Beersheet!$A:$U,MATCH(AP467,INDEX(Beersheet!$A:$U,0,FFARawStatProjections!$BV$2),0),$BV$3)+$BN467,
INDEX($A467:$BM467,,$BV$12)*$BW$12+
INDEX($A467:$BM467,,$BV$15)*$BW$15+
INDEX($A467:$BM467,,$BV$16)*$BW$16+
INDEX($A467:$BM467,,$BV$17)*$BW$17+
INDEX($A467:$BM467,,$BV$18)*$BW$18+
INDEX($A467:$BM467,,$BV$19)*$BW$19+
INDEX($A467:$BM467,,$BV$20)*$BW$20+
INDEX($A467:$BM467,,$BV$21)*$BW$21+
INDEX($A467:$BM467,,$BV$22)*$BW$22+
INDEX($A467:$BM467,,$BV$23)*$BW$23+
INDEX($A467:$BM467,,$BV$25)*$BW$25+
INDEX($A467:$BM467,,$BV$26)*$BW$26+
INDEX($A467:$BM467,,$BV$27)*$BW$27+
$BN467)),
$BN467-100)</f>
        <v>-100</v>
      </c>
      <c r="AT467" t="str">
        <f t="shared" si="96"/>
        <v/>
      </c>
      <c r="AU467" t="str">
        <f t="shared" si="97"/>
        <v/>
      </c>
      <c r="AV467" s="430">
        <f>IFERROR(
IF(AT467="",-100,
IF($BV$2&gt;0, INDEX(Beersheet!$A:$U,MATCH(AT467,INDEX(Beersheet!$A:$U,0,FFARawStatProjections!$BV$2),0),$BV$3)+$BN467,
INDEX($A467:$BM467,,$BV$12)*$BW$12+
INDEX($A467:$BM467,,$BV$15)*$BW$15+
INDEX($A467:$BM467,,$BV$16)*$BW$16+
INDEX($A467:$BM467,,$BV$17)*$BW$17+
INDEX($A467:$BM467,,$BV$18)*$BW$18+
INDEX($A467:$BM467,,$BV$19)*$BW$19+
INDEX($A467:$BM467,,$BV$20)*$BW$20+
INDEX($A467:$BM467,,$BV$21)*$BW$21+
INDEX($A467:$BM467,,$BV$22)*$BW$22+
INDEX($A467:$BM467,,$BV$23)*$BW$23+
INDEX($A467:$BM467,,$BV$25)*$BW$25+
INDEX($A467:$BM467,,$BV$26)*$BW$26+
INDEX($A467:$BM467,,$BV$27)*$BW$27+
$BN467)),
$BN467-100)</f>
        <v>-100</v>
      </c>
      <c r="AX467" t="str">
        <f t="shared" si="98"/>
        <v>Parker Washington</v>
      </c>
      <c r="AY467" t="str">
        <f t="shared" si="99"/>
        <v>JAC</v>
      </c>
      <c r="AZ467" s="430">
        <f>IFERROR(
IF(AX467="",-100,
IF($BV$2&gt;0, INDEX(Beersheet!$A:$U,MATCH(AX467,INDEX(Beersheet!$A:$U,0,FFARawStatProjections!$BV$2),0),$BV$3)+$BN467,
INDEX($A467:$BM467,,$BV$12)*$BW$12+
INDEX($A467:$BM467,,$BV$15)*$BW$15+
INDEX($A467:$BM467,,$BV$16)*$BW$16+
INDEX($A467:$BM467,,$BV$17)*$BW$17+
INDEX($A467:$BM467,,$BV$18)*$BW$18+
INDEX($A467:$BM467,,$BV$19)*$BW$19+
INDEX($A467:$BM467,,$BV$20)*$BW$20+
INDEX($A467:$BM467,,$BV$21)*$BW$21+
INDEX($A467:$BM467,,$BV$22)*$BW$22+
INDEX($A467:$BM467,,$BV$23)*$BW$23+
INDEX($A467:$BM467,,$BV$25)*$BW$25+
INDEX($A467:$BM467,,$BV$26)*$BW$26+
INDEX($A467:$BM467,,$BV$27)*$BW$27+
$BN467)),
$BN467-100)</f>
        <v>31.554660000000002</v>
      </c>
      <c r="BB467" t="str">
        <f t="shared" si="100"/>
        <v/>
      </c>
      <c r="BC467" t="str">
        <f t="shared" si="94"/>
        <v/>
      </c>
      <c r="BD467" s="430">
        <f>IFERROR(
IF(BB467="",-100,
IF($BV$2&gt;0, INDEX(Beersheet!$A:$U,MATCH(BB467,INDEX(Beersheet!$A:$U,0,FFARawStatProjections!$BV$2),0),$BV$3)+$BN467,
INDEX($A467:$BM467,,$BV$12)*$BW$12+
INDEX($A467:$BM467,,$BV$15)*$BW$15+
INDEX($A467:$BM467,,$BV$16)*$BW$16+
INDEX($A467:$BM467,,$BV$17)*$BW$17+
INDEX($A467:$BM467,,$BV$18)*$BW$18+
INDEX($A467:$BM467,,$BV$19)*$BW$19+
INDEX($A467:$BM467,,$BV$20)*$BW$20+
INDEX($A467:$BM467,,$BV$21)*$BW$21+
INDEX($A467:$BM467,,$BV$22)*$BW$22+
INDEX($A467:$BM467,,$BV$23)*$BW$23+
INDEX($A467:$BM467,,$BV$25)*$BW$25+
INDEX($A467:$BM467,,$BV$26)*$BW$26+
INDEX($A467:$BM467,,$BV$27)*$BW$27+
$BN467)),
$BN467-100)</f>
        <v>-100</v>
      </c>
      <c r="BF467" t="str">
        <f t="shared" si="101"/>
        <v/>
      </c>
      <c r="BG467" t="str">
        <f t="shared" si="102"/>
        <v/>
      </c>
      <c r="BH467">
        <f t="shared" si="103"/>
        <v>0</v>
      </c>
      <c r="BJ467" t="str">
        <f t="shared" si="104"/>
        <v/>
      </c>
      <c r="BL467">
        <f t="shared" si="93"/>
        <v>0</v>
      </c>
      <c r="BN467">
        <v>4.6600000000000001E-3</v>
      </c>
      <c r="BS467" s="4" t="s">
        <v>2158</v>
      </c>
    </row>
    <row r="468" spans="1:71" ht="15.75" thickBot="1" x14ac:dyDescent="0.3">
      <c r="A468" s="569" t="s">
        <v>2104</v>
      </c>
      <c r="B468" s="569" t="s">
        <v>143</v>
      </c>
      <c r="C468" s="569" t="s">
        <v>6</v>
      </c>
      <c r="D468" s="574">
        <v>11</v>
      </c>
      <c r="E468" s="569"/>
      <c r="F468" s="569"/>
      <c r="G468" s="569"/>
      <c r="H468" s="569"/>
      <c r="I468" s="574">
        <v>0</v>
      </c>
      <c r="J468" s="574">
        <v>0</v>
      </c>
      <c r="K468" s="574">
        <v>0</v>
      </c>
      <c r="L468" s="574">
        <v>8</v>
      </c>
      <c r="M468" s="574">
        <v>0.8</v>
      </c>
      <c r="N468" s="574">
        <v>117.8</v>
      </c>
      <c r="O468" s="574">
        <v>0</v>
      </c>
      <c r="P468" s="574">
        <v>0</v>
      </c>
      <c r="Q468" s="574">
        <v>1.2</v>
      </c>
      <c r="R468" s="569"/>
      <c r="S468" s="569"/>
      <c r="T468" s="569"/>
      <c r="U468" s="569"/>
      <c r="V468" s="569"/>
      <c r="W468" s="569"/>
      <c r="X468" s="569"/>
      <c r="Y468" s="569"/>
      <c r="Z468" s="569"/>
      <c r="AA468" s="569"/>
      <c r="AB468" s="569"/>
      <c r="AC468" s="569"/>
      <c r="AD468" s="569"/>
      <c r="AE468" s="569"/>
      <c r="AF468" s="569"/>
      <c r="AG468" s="569"/>
      <c r="AH468" s="569"/>
      <c r="AI468" s="569"/>
      <c r="AJ468" s="569"/>
      <c r="AK468" s="569"/>
      <c r="AL468" s="569"/>
      <c r="AM468" s="569"/>
      <c r="AN468" s="574">
        <v>16.399999999999999</v>
      </c>
      <c r="AO468">
        <v>467</v>
      </c>
      <c r="AP468" t="str">
        <f t="shared" ref="AP468:AP531" si="105">IF($C468="QB",A468,"")</f>
        <v/>
      </c>
      <c r="AQ468" t="str">
        <f t="shared" si="95"/>
        <v/>
      </c>
      <c r="AR468" s="430">
        <f>IFERROR(
IF(AP468="",-100,
IF($BV$2&gt;0, INDEX(Beersheet!$A:$U,MATCH(AP468,INDEX(Beersheet!$A:$U,0,FFARawStatProjections!$BV$2),0),$BV$3)+$BN468,
INDEX($A468:$BM468,,$BV$12)*$BW$12+
INDEX($A468:$BM468,,$BV$15)*$BW$15+
INDEX($A468:$BM468,,$BV$16)*$BW$16+
INDEX($A468:$BM468,,$BV$17)*$BW$17+
INDEX($A468:$BM468,,$BV$18)*$BW$18+
INDEX($A468:$BM468,,$BV$19)*$BW$19+
INDEX($A468:$BM468,,$BV$20)*$BW$20+
INDEX($A468:$BM468,,$BV$21)*$BW$21+
INDEX($A468:$BM468,,$BV$22)*$BW$22+
INDEX($A468:$BM468,,$BV$23)*$BW$23+
INDEX($A468:$BM468,,$BV$25)*$BW$25+
INDEX($A468:$BM468,,$BV$26)*$BW$26+
INDEX($A468:$BM468,,$BV$27)*$BW$27+
$BN468)),
$BN468-100)</f>
        <v>-100</v>
      </c>
      <c r="AT468" t="str">
        <f t="shared" si="96"/>
        <v/>
      </c>
      <c r="AU468" t="str">
        <f t="shared" si="97"/>
        <v/>
      </c>
      <c r="AV468" s="430">
        <f>IFERROR(
IF(AT468="",-100,
IF($BV$2&gt;0, INDEX(Beersheet!$A:$U,MATCH(AT468,INDEX(Beersheet!$A:$U,0,FFARawStatProjections!$BV$2),0),$BV$3)+$BN468,
INDEX($A468:$BM468,,$BV$12)*$BW$12+
INDEX($A468:$BM468,,$BV$15)*$BW$15+
INDEX($A468:$BM468,,$BV$16)*$BW$16+
INDEX($A468:$BM468,,$BV$17)*$BW$17+
INDEX($A468:$BM468,,$BV$18)*$BW$18+
INDEX($A468:$BM468,,$BV$19)*$BW$19+
INDEX($A468:$BM468,,$BV$20)*$BW$20+
INDEX($A468:$BM468,,$BV$21)*$BW$21+
INDEX($A468:$BM468,,$BV$22)*$BW$22+
INDEX($A468:$BM468,,$BV$23)*$BW$23+
INDEX($A468:$BM468,,$BV$25)*$BW$25+
INDEX($A468:$BM468,,$BV$26)*$BW$26+
INDEX($A468:$BM468,,$BV$27)*$BW$27+
$BN468)),
$BN468-100)</f>
        <v>-100</v>
      </c>
      <c r="AX468" t="str">
        <f t="shared" si="98"/>
        <v>Bryan Edwards</v>
      </c>
      <c r="AY468" t="str">
        <f t="shared" si="99"/>
        <v>NO</v>
      </c>
      <c r="AZ468" s="430">
        <f>IFERROR(
IF(AX468="",-100,
IF($BV$2&gt;0, INDEX(Beersheet!$A:$U,MATCH(AX468,INDEX(Beersheet!$A:$U,0,FFARawStatProjections!$BV$2),0),$BV$3)+$BN468,
INDEX($A468:$BM468,,$BV$12)*$BW$12+
INDEX($A468:$BM468,,$BV$15)*$BW$15+
INDEX($A468:$BM468,,$BV$16)*$BW$16+
INDEX($A468:$BM468,,$BV$17)*$BW$17+
INDEX($A468:$BM468,,$BV$18)*$BW$18+
INDEX($A468:$BM468,,$BV$19)*$BW$19+
INDEX($A468:$BM468,,$BV$20)*$BW$20+
INDEX($A468:$BM468,,$BV$21)*$BW$21+
INDEX($A468:$BM468,,$BV$22)*$BW$22+
INDEX($A468:$BM468,,$BV$23)*$BW$23+
INDEX($A468:$BM468,,$BV$25)*$BW$25+
INDEX($A468:$BM468,,$BV$26)*$BW$26+
INDEX($A468:$BM468,,$BV$27)*$BW$27+
$BN468)),
$BN468-100)</f>
        <v>24.704670000000004</v>
      </c>
      <c r="BB468" t="str">
        <f t="shared" si="100"/>
        <v/>
      </c>
      <c r="BC468" t="str">
        <f t="shared" si="94"/>
        <v/>
      </c>
      <c r="BD468" s="430">
        <f>IFERROR(
IF(BB468="",-100,
IF($BV$2&gt;0, INDEX(Beersheet!$A:$U,MATCH(BB468,INDEX(Beersheet!$A:$U,0,FFARawStatProjections!$BV$2),0),$BV$3)+$BN468,
INDEX($A468:$BM468,,$BV$12)*$BW$12+
INDEX($A468:$BM468,,$BV$15)*$BW$15+
INDEX($A468:$BM468,,$BV$16)*$BW$16+
INDEX($A468:$BM468,,$BV$17)*$BW$17+
INDEX($A468:$BM468,,$BV$18)*$BW$18+
INDEX($A468:$BM468,,$BV$19)*$BW$19+
INDEX($A468:$BM468,,$BV$20)*$BW$20+
INDEX($A468:$BM468,,$BV$21)*$BW$21+
INDEX($A468:$BM468,,$BV$22)*$BW$22+
INDEX($A468:$BM468,,$BV$23)*$BW$23+
INDEX($A468:$BM468,,$BV$25)*$BW$25+
INDEX($A468:$BM468,,$BV$26)*$BW$26+
INDEX($A468:$BM468,,$BV$27)*$BW$27+
$BN468)),
$BN468-100)</f>
        <v>-100</v>
      </c>
      <c r="BF468" t="str">
        <f t="shared" si="101"/>
        <v/>
      </c>
      <c r="BG468" t="str">
        <f t="shared" si="102"/>
        <v/>
      </c>
      <c r="BH468">
        <f t="shared" si="103"/>
        <v>0</v>
      </c>
      <c r="BJ468" t="str">
        <f t="shared" si="104"/>
        <v/>
      </c>
      <c r="BL468">
        <f t="shared" si="93"/>
        <v>0</v>
      </c>
      <c r="BN468">
        <v>4.6699999999999997E-3</v>
      </c>
      <c r="BS468" s="4" t="s">
        <v>1450</v>
      </c>
    </row>
    <row r="469" spans="1:71" ht="15.75" thickBot="1" x14ac:dyDescent="0.3">
      <c r="A469" s="569" t="s">
        <v>2097</v>
      </c>
      <c r="B469" s="569" t="s">
        <v>151</v>
      </c>
      <c r="C469" s="569" t="s">
        <v>6</v>
      </c>
      <c r="D469" s="574">
        <v>7</v>
      </c>
      <c r="E469" s="569"/>
      <c r="F469" s="569"/>
      <c r="G469" s="569"/>
      <c r="H469" s="569"/>
      <c r="I469" s="574">
        <v>0</v>
      </c>
      <c r="J469" s="574">
        <v>0</v>
      </c>
      <c r="K469" s="574">
        <v>0</v>
      </c>
      <c r="L469" s="574">
        <v>7.7</v>
      </c>
      <c r="M469" s="574">
        <v>0.5</v>
      </c>
      <c r="N469" s="574">
        <v>96.6</v>
      </c>
      <c r="O469" s="574">
        <v>0</v>
      </c>
      <c r="P469" s="574">
        <v>0.2</v>
      </c>
      <c r="Q469" s="574">
        <v>24.7</v>
      </c>
      <c r="R469" s="569"/>
      <c r="S469" s="569"/>
      <c r="T469" s="569"/>
      <c r="U469" s="569"/>
      <c r="V469" s="569"/>
      <c r="W469" s="569"/>
      <c r="X469" s="569"/>
      <c r="Y469" s="569"/>
      <c r="Z469" s="569"/>
      <c r="AA469" s="569"/>
      <c r="AB469" s="569"/>
      <c r="AC469" s="569"/>
      <c r="AD469" s="569"/>
      <c r="AE469" s="569"/>
      <c r="AF469" s="569"/>
      <c r="AG469" s="569"/>
      <c r="AH469" s="569"/>
      <c r="AI469" s="569"/>
      <c r="AJ469" s="569"/>
      <c r="AK469" s="569"/>
      <c r="AL469" s="569"/>
      <c r="AM469" s="569"/>
      <c r="AN469" s="574">
        <v>16.3</v>
      </c>
      <c r="AO469">
        <v>468</v>
      </c>
      <c r="AP469" t="str">
        <f t="shared" si="105"/>
        <v/>
      </c>
      <c r="AQ469" t="str">
        <f t="shared" si="95"/>
        <v/>
      </c>
      <c r="AR469" s="430">
        <f>IFERROR(
IF(AP469="",-100,
IF($BV$2&gt;0, INDEX(Beersheet!$A:$U,MATCH(AP469,INDEX(Beersheet!$A:$U,0,FFARawStatProjections!$BV$2),0),$BV$3)+$BN469,
INDEX($A469:$BM469,,$BV$12)*$BW$12+
INDEX($A469:$BM469,,$BV$15)*$BW$15+
INDEX($A469:$BM469,,$BV$16)*$BW$16+
INDEX($A469:$BM469,,$BV$17)*$BW$17+
INDEX($A469:$BM469,,$BV$18)*$BW$18+
INDEX($A469:$BM469,,$BV$19)*$BW$19+
INDEX($A469:$BM469,,$BV$20)*$BW$20+
INDEX($A469:$BM469,,$BV$21)*$BW$21+
INDEX($A469:$BM469,,$BV$22)*$BW$22+
INDEX($A469:$BM469,,$BV$23)*$BW$23+
INDEX($A469:$BM469,,$BV$25)*$BW$25+
INDEX($A469:$BM469,,$BV$26)*$BW$26+
INDEX($A469:$BM469,,$BV$27)*$BW$27+
$BN469)),
$BN469-100)</f>
        <v>-100</v>
      </c>
      <c r="AT469" t="str">
        <f t="shared" si="96"/>
        <v/>
      </c>
      <c r="AU469" t="str">
        <f t="shared" si="97"/>
        <v/>
      </c>
      <c r="AV469" s="430">
        <f>IFERROR(
IF(AT469="",-100,
IF($BV$2&gt;0, INDEX(Beersheet!$A:$U,MATCH(AT469,INDEX(Beersheet!$A:$U,0,FFARawStatProjections!$BV$2),0),$BV$3)+$BN469,
INDEX($A469:$BM469,,$BV$12)*$BW$12+
INDEX($A469:$BM469,,$BV$15)*$BW$15+
INDEX($A469:$BM469,,$BV$16)*$BW$16+
INDEX($A469:$BM469,,$BV$17)*$BW$17+
INDEX($A469:$BM469,,$BV$18)*$BW$18+
INDEX($A469:$BM469,,$BV$19)*$BW$19+
INDEX($A469:$BM469,,$BV$20)*$BW$20+
INDEX($A469:$BM469,,$BV$21)*$BW$21+
INDEX($A469:$BM469,,$BV$22)*$BW$22+
INDEX($A469:$BM469,,$BV$23)*$BW$23+
INDEX($A469:$BM469,,$BV$25)*$BW$25+
INDEX($A469:$BM469,,$BV$26)*$BW$26+
INDEX($A469:$BM469,,$BV$27)*$BW$27+
$BN469)),
$BN469-100)</f>
        <v>-100</v>
      </c>
      <c r="AX469" t="str">
        <f t="shared" si="98"/>
        <v>Steven Sims</v>
      </c>
      <c r="AY469" t="str">
        <f t="shared" si="99"/>
        <v>HOU</v>
      </c>
      <c r="AZ469" s="430">
        <f>IFERROR(
IF(AX469="",-100,
IF($BV$2&gt;0, INDEX(Beersheet!$A:$U,MATCH(AX469,INDEX(Beersheet!$A:$U,0,FFARawStatProjections!$BV$2),0),$BV$3)+$BN469,
INDEX($A469:$BM469,,$BV$12)*$BW$12+
INDEX($A469:$BM469,,$BV$15)*$BW$15+
INDEX($A469:$BM469,,$BV$16)*$BW$16+
INDEX($A469:$BM469,,$BV$17)*$BW$17+
INDEX($A469:$BM469,,$BV$18)*$BW$18+
INDEX($A469:$BM469,,$BV$19)*$BW$19+
INDEX($A469:$BM469,,$BV$20)*$BW$20+
INDEX($A469:$BM469,,$BV$21)*$BW$21+
INDEX($A469:$BM469,,$BV$22)*$BW$22+
INDEX($A469:$BM469,,$BV$23)*$BW$23+
INDEX($A469:$BM469,,$BV$25)*$BW$25+
INDEX($A469:$BM469,,$BV$26)*$BW$26+
INDEX($A469:$BM469,,$BV$27)*$BW$27+
$BN469)),
$BN469-100)</f>
        <v>24.034679999999998</v>
      </c>
      <c r="BB469" t="str">
        <f t="shared" si="100"/>
        <v/>
      </c>
      <c r="BC469" t="str">
        <f t="shared" si="94"/>
        <v/>
      </c>
      <c r="BD469" s="430">
        <f>IFERROR(
IF(BB469="",-100,
IF($BV$2&gt;0, INDEX(Beersheet!$A:$U,MATCH(BB469,INDEX(Beersheet!$A:$U,0,FFARawStatProjections!$BV$2),0),$BV$3)+$BN469,
INDEX($A469:$BM469,,$BV$12)*$BW$12+
INDEX($A469:$BM469,,$BV$15)*$BW$15+
INDEX($A469:$BM469,,$BV$16)*$BW$16+
INDEX($A469:$BM469,,$BV$17)*$BW$17+
INDEX($A469:$BM469,,$BV$18)*$BW$18+
INDEX($A469:$BM469,,$BV$19)*$BW$19+
INDEX($A469:$BM469,,$BV$20)*$BW$20+
INDEX($A469:$BM469,,$BV$21)*$BW$21+
INDEX($A469:$BM469,,$BV$22)*$BW$22+
INDEX($A469:$BM469,,$BV$23)*$BW$23+
INDEX($A469:$BM469,,$BV$25)*$BW$25+
INDEX($A469:$BM469,,$BV$26)*$BW$26+
INDEX($A469:$BM469,,$BV$27)*$BW$27+
$BN469)),
$BN469-100)</f>
        <v>-100</v>
      </c>
      <c r="BF469" t="str">
        <f t="shared" si="101"/>
        <v/>
      </c>
      <c r="BG469" t="str">
        <f t="shared" si="102"/>
        <v/>
      </c>
      <c r="BH469">
        <f t="shared" si="103"/>
        <v>0</v>
      </c>
      <c r="BJ469" t="str">
        <f t="shared" si="104"/>
        <v/>
      </c>
      <c r="BL469">
        <f t="shared" si="93"/>
        <v>0</v>
      </c>
      <c r="BN469">
        <v>4.6800000000000001E-3</v>
      </c>
      <c r="BS469" s="4" t="s">
        <v>2443</v>
      </c>
    </row>
    <row r="470" spans="1:71" ht="15.75" thickBot="1" x14ac:dyDescent="0.3">
      <c r="A470" s="569" t="s">
        <v>1893</v>
      </c>
      <c r="B470" s="569" t="s">
        <v>138</v>
      </c>
      <c r="C470" s="569" t="s">
        <v>6</v>
      </c>
      <c r="D470" s="574">
        <v>13</v>
      </c>
      <c r="E470" s="569"/>
      <c r="F470" s="569"/>
      <c r="G470" s="569"/>
      <c r="H470" s="569"/>
      <c r="I470" s="574">
        <v>0</v>
      </c>
      <c r="J470" s="574">
        <v>0</v>
      </c>
      <c r="K470" s="574">
        <v>0</v>
      </c>
      <c r="L470" s="574">
        <v>12</v>
      </c>
      <c r="M470" s="574">
        <v>0.5</v>
      </c>
      <c r="N470" s="574">
        <v>104.6</v>
      </c>
      <c r="O470" s="574">
        <v>1.9</v>
      </c>
      <c r="P470" s="574">
        <v>0</v>
      </c>
      <c r="Q470" s="574">
        <v>25.6</v>
      </c>
      <c r="R470" s="569"/>
      <c r="S470" s="569"/>
      <c r="T470" s="569"/>
      <c r="U470" s="569"/>
      <c r="V470" s="569"/>
      <c r="W470" s="569"/>
      <c r="X470" s="569"/>
      <c r="Y470" s="569"/>
      <c r="Z470" s="569"/>
      <c r="AA470" s="569"/>
      <c r="AB470" s="569"/>
      <c r="AC470" s="569"/>
      <c r="AD470" s="569"/>
      <c r="AE470" s="569"/>
      <c r="AF470" s="569"/>
      <c r="AG470" s="569"/>
      <c r="AH470" s="569"/>
      <c r="AI470" s="569"/>
      <c r="AJ470" s="569"/>
      <c r="AK470" s="569"/>
      <c r="AL470" s="569"/>
      <c r="AM470" s="569"/>
      <c r="AN470" s="574">
        <v>16</v>
      </c>
      <c r="AO470">
        <v>469</v>
      </c>
      <c r="AP470" t="str">
        <f t="shared" si="105"/>
        <v/>
      </c>
      <c r="AQ470" t="str">
        <f t="shared" si="95"/>
        <v/>
      </c>
      <c r="AR470" s="430">
        <f>IFERROR(
IF(AP470="",-100,
IF($BV$2&gt;0, INDEX(Beersheet!$A:$U,MATCH(AP470,INDEX(Beersheet!$A:$U,0,FFARawStatProjections!$BV$2),0),$BV$3)+$BN470,
INDEX($A470:$BM470,,$BV$12)*$BW$12+
INDEX($A470:$BM470,,$BV$15)*$BW$15+
INDEX($A470:$BM470,,$BV$16)*$BW$16+
INDEX($A470:$BM470,,$BV$17)*$BW$17+
INDEX($A470:$BM470,,$BV$18)*$BW$18+
INDEX($A470:$BM470,,$BV$19)*$BW$19+
INDEX($A470:$BM470,,$BV$20)*$BW$20+
INDEX($A470:$BM470,,$BV$21)*$BW$21+
INDEX($A470:$BM470,,$BV$22)*$BW$22+
INDEX($A470:$BM470,,$BV$23)*$BW$23+
INDEX($A470:$BM470,,$BV$25)*$BW$25+
INDEX($A470:$BM470,,$BV$26)*$BW$26+
INDEX($A470:$BM470,,$BV$27)*$BW$27+
$BN470)),
$BN470-100)</f>
        <v>-100</v>
      </c>
      <c r="AT470" t="str">
        <f t="shared" si="96"/>
        <v/>
      </c>
      <c r="AU470" t="str">
        <f t="shared" si="97"/>
        <v/>
      </c>
      <c r="AV470" s="430">
        <f>IFERROR(
IF(AT470="",-100,
IF($BV$2&gt;0, INDEX(Beersheet!$A:$U,MATCH(AT470,INDEX(Beersheet!$A:$U,0,FFARawStatProjections!$BV$2),0),$BV$3)+$BN470,
INDEX($A470:$BM470,,$BV$12)*$BW$12+
INDEX($A470:$BM470,,$BV$15)*$BW$15+
INDEX($A470:$BM470,,$BV$16)*$BW$16+
INDEX($A470:$BM470,,$BV$17)*$BW$17+
INDEX($A470:$BM470,,$BV$18)*$BW$18+
INDEX($A470:$BM470,,$BV$19)*$BW$19+
INDEX($A470:$BM470,,$BV$20)*$BW$20+
INDEX($A470:$BM470,,$BV$21)*$BW$21+
INDEX($A470:$BM470,,$BV$22)*$BW$22+
INDEX($A470:$BM470,,$BV$23)*$BW$23+
INDEX($A470:$BM470,,$BV$25)*$BW$25+
INDEX($A470:$BM470,,$BV$26)*$BW$26+
INDEX($A470:$BM470,,$BV$27)*$BW$27+
$BN470)),
$BN470-100)</f>
        <v>-100</v>
      </c>
      <c r="AX470" t="str">
        <f t="shared" si="98"/>
        <v>Brandon Powell</v>
      </c>
      <c r="AY470" t="str">
        <f t="shared" si="99"/>
        <v>MIN</v>
      </c>
      <c r="AZ470" s="430">
        <f>IFERROR(
IF(AX470="",-100,
IF($BV$2&gt;0, INDEX(Beersheet!$A:$U,MATCH(AX470,INDEX(Beersheet!$A:$U,0,FFARawStatProjections!$BV$2),0),$BV$3)+$BN470,
INDEX($A470:$BM470,,$BV$12)*$BW$12+
INDEX($A470:$BM470,,$BV$15)*$BW$15+
INDEX($A470:$BM470,,$BV$16)*$BW$16+
INDEX($A470:$BM470,,$BV$17)*$BW$17+
INDEX($A470:$BM470,,$BV$18)*$BW$18+
INDEX($A470:$BM470,,$BV$19)*$BW$19+
INDEX($A470:$BM470,,$BV$20)*$BW$20+
INDEX($A470:$BM470,,$BV$21)*$BW$21+
INDEX($A470:$BM470,,$BV$22)*$BW$22+
INDEX($A470:$BM470,,$BV$23)*$BW$23+
INDEX($A470:$BM470,,$BV$25)*$BW$25+
INDEX($A470:$BM470,,$BV$26)*$BW$26+
INDEX($A470:$BM470,,$BV$27)*$BW$27+
$BN470)),
$BN470-100)</f>
        <v>28.024690000000003</v>
      </c>
      <c r="BB470" t="str">
        <f t="shared" si="100"/>
        <v/>
      </c>
      <c r="BC470" t="str">
        <f t="shared" si="94"/>
        <v/>
      </c>
      <c r="BD470" s="430">
        <f>IFERROR(
IF(BB470="",-100,
IF($BV$2&gt;0, INDEX(Beersheet!$A:$U,MATCH(BB470,INDEX(Beersheet!$A:$U,0,FFARawStatProjections!$BV$2),0),$BV$3)+$BN470,
INDEX($A470:$BM470,,$BV$12)*$BW$12+
INDEX($A470:$BM470,,$BV$15)*$BW$15+
INDEX($A470:$BM470,,$BV$16)*$BW$16+
INDEX($A470:$BM470,,$BV$17)*$BW$17+
INDEX($A470:$BM470,,$BV$18)*$BW$18+
INDEX($A470:$BM470,,$BV$19)*$BW$19+
INDEX($A470:$BM470,,$BV$20)*$BW$20+
INDEX($A470:$BM470,,$BV$21)*$BW$21+
INDEX($A470:$BM470,,$BV$22)*$BW$22+
INDEX($A470:$BM470,,$BV$23)*$BW$23+
INDEX($A470:$BM470,,$BV$25)*$BW$25+
INDEX($A470:$BM470,,$BV$26)*$BW$26+
INDEX($A470:$BM470,,$BV$27)*$BW$27+
$BN470)),
$BN470-100)</f>
        <v>-100</v>
      </c>
      <c r="BF470" t="str">
        <f t="shared" si="101"/>
        <v/>
      </c>
      <c r="BG470" t="str">
        <f t="shared" si="102"/>
        <v/>
      </c>
      <c r="BH470">
        <f t="shared" si="103"/>
        <v>0</v>
      </c>
      <c r="BJ470" t="str">
        <f t="shared" si="104"/>
        <v/>
      </c>
      <c r="BL470">
        <f t="shared" si="93"/>
        <v>0</v>
      </c>
      <c r="BN470">
        <v>4.6899999999999997E-3</v>
      </c>
      <c r="BS470" s="4" t="s">
        <v>2227</v>
      </c>
    </row>
    <row r="471" spans="1:71" ht="15.75" thickBot="1" x14ac:dyDescent="0.3">
      <c r="A471" s="569" t="s">
        <v>1122</v>
      </c>
      <c r="B471" s="569" t="s">
        <v>154</v>
      </c>
      <c r="C471" s="569" t="s">
        <v>6</v>
      </c>
      <c r="D471" s="574">
        <v>13</v>
      </c>
      <c r="E471" s="569"/>
      <c r="F471" s="569"/>
      <c r="G471" s="569"/>
      <c r="H471" s="569"/>
      <c r="I471" s="574">
        <v>0</v>
      </c>
      <c r="J471" s="574">
        <v>0</v>
      </c>
      <c r="K471" s="574">
        <v>0</v>
      </c>
      <c r="L471" s="574">
        <v>3.4</v>
      </c>
      <c r="M471" s="574">
        <v>0.1</v>
      </c>
      <c r="N471" s="574">
        <v>151.6</v>
      </c>
      <c r="O471" s="574">
        <v>0.1</v>
      </c>
      <c r="P471" s="574">
        <v>0</v>
      </c>
      <c r="Q471" s="574">
        <v>1.1000000000000001</v>
      </c>
      <c r="R471" s="569"/>
      <c r="S471" s="569"/>
      <c r="T471" s="569"/>
      <c r="U471" s="569"/>
      <c r="V471" s="569"/>
      <c r="W471" s="569"/>
      <c r="X471" s="569"/>
      <c r="Y471" s="569"/>
      <c r="Z471" s="569"/>
      <c r="AA471" s="569"/>
      <c r="AB471" s="569"/>
      <c r="AC471" s="569"/>
      <c r="AD471" s="569"/>
      <c r="AE471" s="569"/>
      <c r="AF471" s="569"/>
      <c r="AG471" s="569"/>
      <c r="AH471" s="569"/>
      <c r="AI471" s="569"/>
      <c r="AJ471" s="569"/>
      <c r="AK471" s="569"/>
      <c r="AL471" s="569"/>
      <c r="AM471" s="569"/>
      <c r="AN471" s="574">
        <v>15.6</v>
      </c>
      <c r="AO471">
        <v>470</v>
      </c>
      <c r="AP471" t="str">
        <f t="shared" si="105"/>
        <v/>
      </c>
      <c r="AQ471" t="str">
        <f t="shared" si="95"/>
        <v/>
      </c>
      <c r="AR471" s="430">
        <f>IFERROR(
IF(AP471="",-100,
IF($BV$2&gt;0, INDEX(Beersheet!$A:$U,MATCH(AP471,INDEX(Beersheet!$A:$U,0,FFARawStatProjections!$BV$2),0),$BV$3)+$BN471,
INDEX($A471:$BM471,,$BV$12)*$BW$12+
INDEX($A471:$BM471,,$BV$15)*$BW$15+
INDEX($A471:$BM471,,$BV$16)*$BW$16+
INDEX($A471:$BM471,,$BV$17)*$BW$17+
INDEX($A471:$BM471,,$BV$18)*$BW$18+
INDEX($A471:$BM471,,$BV$19)*$BW$19+
INDEX($A471:$BM471,,$BV$20)*$BW$20+
INDEX($A471:$BM471,,$BV$21)*$BW$21+
INDEX($A471:$BM471,,$BV$22)*$BW$22+
INDEX($A471:$BM471,,$BV$23)*$BW$23+
INDEX($A471:$BM471,,$BV$25)*$BW$25+
INDEX($A471:$BM471,,$BV$26)*$BW$26+
INDEX($A471:$BM471,,$BV$27)*$BW$27+
$BN471)),
$BN471-100)</f>
        <v>-100</v>
      </c>
      <c r="AT471" t="str">
        <f t="shared" si="96"/>
        <v/>
      </c>
      <c r="AU471" t="str">
        <f t="shared" si="97"/>
        <v/>
      </c>
      <c r="AV471" s="430">
        <f>IFERROR(
IF(AT471="",-100,
IF($BV$2&gt;0, INDEX(Beersheet!$A:$U,MATCH(AT471,INDEX(Beersheet!$A:$U,0,FFARawStatProjections!$BV$2),0),$BV$3)+$BN471,
INDEX($A471:$BM471,,$BV$12)*$BW$12+
INDEX($A471:$BM471,,$BV$15)*$BW$15+
INDEX($A471:$BM471,,$BV$16)*$BW$16+
INDEX($A471:$BM471,,$BV$17)*$BW$17+
INDEX($A471:$BM471,,$BV$18)*$BW$18+
INDEX($A471:$BM471,,$BV$19)*$BW$19+
INDEX($A471:$BM471,,$BV$20)*$BW$20+
INDEX($A471:$BM471,,$BV$21)*$BW$21+
INDEX($A471:$BM471,,$BV$22)*$BW$22+
INDEX($A471:$BM471,,$BV$23)*$BW$23+
INDEX($A471:$BM471,,$BV$25)*$BW$25+
INDEX($A471:$BM471,,$BV$26)*$BW$26+
INDEX($A471:$BM471,,$BV$27)*$BW$27+
$BN471)),
$BN471-100)</f>
        <v>-100</v>
      </c>
      <c r="AX471" t="str">
        <f t="shared" si="98"/>
        <v>Jamison Crowder</v>
      </c>
      <c r="AY471" t="str">
        <f t="shared" si="99"/>
        <v>NYG</v>
      </c>
      <c r="AZ471" s="430">
        <f>IFERROR(
IF(AX471="",-100,
IF($BV$2&gt;0, INDEX(Beersheet!$A:$U,MATCH(AX471,INDEX(Beersheet!$A:$U,0,FFARawStatProjections!$BV$2),0),$BV$3)+$BN471,
INDEX($A471:$BM471,,$BV$12)*$BW$12+
INDEX($A471:$BM471,,$BV$15)*$BW$15+
INDEX($A471:$BM471,,$BV$16)*$BW$16+
INDEX($A471:$BM471,,$BV$17)*$BW$17+
INDEX($A471:$BM471,,$BV$18)*$BW$18+
INDEX($A471:$BM471,,$BV$19)*$BW$19+
INDEX($A471:$BM471,,$BV$20)*$BW$20+
INDEX($A471:$BM471,,$BV$21)*$BW$21+
INDEX($A471:$BM471,,$BV$22)*$BW$22+
INDEX($A471:$BM471,,$BV$23)*$BW$23+
INDEX($A471:$BM471,,$BV$25)*$BW$25+
INDEX($A471:$BM471,,$BV$26)*$BW$26+
INDEX($A471:$BM471,,$BV$27)*$BW$27+
$BN471)),
$BN471-100)</f>
        <v>19.274699999999999</v>
      </c>
      <c r="BB471" t="str">
        <f t="shared" si="100"/>
        <v/>
      </c>
      <c r="BC471" t="str">
        <f t="shared" si="94"/>
        <v/>
      </c>
      <c r="BD471" s="430">
        <f>IFERROR(
IF(BB471="",-100,
IF($BV$2&gt;0, INDEX(Beersheet!$A:$U,MATCH(BB471,INDEX(Beersheet!$A:$U,0,FFARawStatProjections!$BV$2),0),$BV$3)+$BN471,
INDEX($A471:$BM471,,$BV$12)*$BW$12+
INDEX($A471:$BM471,,$BV$15)*$BW$15+
INDEX($A471:$BM471,,$BV$16)*$BW$16+
INDEX($A471:$BM471,,$BV$17)*$BW$17+
INDEX($A471:$BM471,,$BV$18)*$BW$18+
INDEX($A471:$BM471,,$BV$19)*$BW$19+
INDEX($A471:$BM471,,$BV$20)*$BW$20+
INDEX($A471:$BM471,,$BV$21)*$BW$21+
INDEX($A471:$BM471,,$BV$22)*$BW$22+
INDEX($A471:$BM471,,$BV$23)*$BW$23+
INDEX($A471:$BM471,,$BV$25)*$BW$25+
INDEX($A471:$BM471,,$BV$26)*$BW$26+
INDEX($A471:$BM471,,$BV$27)*$BW$27+
$BN471)),
$BN471-100)</f>
        <v>-100</v>
      </c>
      <c r="BF471" t="str">
        <f t="shared" si="101"/>
        <v/>
      </c>
      <c r="BG471" t="str">
        <f t="shared" si="102"/>
        <v/>
      </c>
      <c r="BH471">
        <f t="shared" si="103"/>
        <v>0</v>
      </c>
      <c r="BJ471" t="str">
        <f t="shared" si="104"/>
        <v/>
      </c>
      <c r="BL471">
        <f t="shared" si="93"/>
        <v>0</v>
      </c>
      <c r="BN471">
        <v>4.7000000000000002E-3</v>
      </c>
      <c r="BS471" s="4" t="s">
        <v>2283</v>
      </c>
    </row>
    <row r="472" spans="1:71" ht="15.75" thickBot="1" x14ac:dyDescent="0.3">
      <c r="A472" s="569" t="s">
        <v>2324</v>
      </c>
      <c r="B472" s="569" t="s">
        <v>146</v>
      </c>
      <c r="C472" s="569" t="s">
        <v>6</v>
      </c>
      <c r="D472" s="574">
        <v>7</v>
      </c>
      <c r="E472" s="569"/>
      <c r="F472" s="569"/>
      <c r="G472" s="569"/>
      <c r="H472" s="569"/>
      <c r="I472" s="574">
        <v>0</v>
      </c>
      <c r="J472" s="574">
        <v>0</v>
      </c>
      <c r="K472" s="574">
        <v>0</v>
      </c>
      <c r="L472" s="574">
        <v>7.2</v>
      </c>
      <c r="M472" s="574">
        <v>0.5</v>
      </c>
      <c r="N472" s="574">
        <v>123.5</v>
      </c>
      <c r="O472" s="574">
        <v>0.5</v>
      </c>
      <c r="P472" s="574">
        <v>0</v>
      </c>
      <c r="Q472" s="574">
        <v>2.7</v>
      </c>
      <c r="R472" s="569"/>
      <c r="S472" s="569"/>
      <c r="T472" s="569"/>
      <c r="U472" s="569"/>
      <c r="V472" s="569"/>
      <c r="W472" s="569"/>
      <c r="X472" s="569"/>
      <c r="Y472" s="569"/>
      <c r="Z472" s="569"/>
      <c r="AA472" s="569"/>
      <c r="AB472" s="569"/>
      <c r="AC472" s="569"/>
      <c r="AD472" s="569"/>
      <c r="AE472" s="569"/>
      <c r="AF472" s="569"/>
      <c r="AG472" s="569"/>
      <c r="AH472" s="569"/>
      <c r="AI472" s="569"/>
      <c r="AJ472" s="569"/>
      <c r="AK472" s="569"/>
      <c r="AL472" s="569"/>
      <c r="AM472" s="569"/>
      <c r="AN472" s="574">
        <v>15.5</v>
      </c>
      <c r="AO472">
        <v>471</v>
      </c>
      <c r="AP472" t="str">
        <f t="shared" si="105"/>
        <v/>
      </c>
      <c r="AQ472" t="str">
        <f t="shared" si="95"/>
        <v/>
      </c>
      <c r="AR472" s="430">
        <f>IFERROR(
IF(AP472="",-100,
IF($BV$2&gt;0, INDEX(Beersheet!$A:$U,MATCH(AP472,INDEX(Beersheet!$A:$U,0,FFARawStatProjections!$BV$2),0),$BV$3)+$BN472,
INDEX($A472:$BM472,,$BV$12)*$BW$12+
INDEX($A472:$BM472,,$BV$15)*$BW$15+
INDEX($A472:$BM472,,$BV$16)*$BW$16+
INDEX($A472:$BM472,,$BV$17)*$BW$17+
INDEX($A472:$BM472,,$BV$18)*$BW$18+
INDEX($A472:$BM472,,$BV$19)*$BW$19+
INDEX($A472:$BM472,,$BV$20)*$BW$20+
INDEX($A472:$BM472,,$BV$21)*$BW$21+
INDEX($A472:$BM472,,$BV$22)*$BW$22+
INDEX($A472:$BM472,,$BV$23)*$BW$23+
INDEX($A472:$BM472,,$BV$25)*$BW$25+
INDEX($A472:$BM472,,$BV$26)*$BW$26+
INDEX($A472:$BM472,,$BV$27)*$BW$27+
$BN472)),
$BN472-100)</f>
        <v>-100</v>
      </c>
      <c r="AT472" t="str">
        <f t="shared" si="96"/>
        <v/>
      </c>
      <c r="AU472" t="str">
        <f t="shared" si="97"/>
        <v/>
      </c>
      <c r="AV472" s="430">
        <f>IFERROR(
IF(AT472="",-100,
IF($BV$2&gt;0, INDEX(Beersheet!$A:$U,MATCH(AT472,INDEX(Beersheet!$A:$U,0,FFARawStatProjections!$BV$2),0),$BV$3)+$BN472,
INDEX($A472:$BM472,,$BV$12)*$BW$12+
INDEX($A472:$BM472,,$BV$15)*$BW$15+
INDEX($A472:$BM472,,$BV$16)*$BW$16+
INDEX($A472:$BM472,,$BV$17)*$BW$17+
INDEX($A472:$BM472,,$BV$18)*$BW$18+
INDEX($A472:$BM472,,$BV$19)*$BW$19+
INDEX($A472:$BM472,,$BV$20)*$BW$20+
INDEX($A472:$BM472,,$BV$21)*$BW$21+
INDEX($A472:$BM472,,$BV$22)*$BW$22+
INDEX($A472:$BM472,,$BV$23)*$BW$23+
INDEX($A472:$BM472,,$BV$25)*$BW$25+
INDEX($A472:$BM472,,$BV$26)*$BW$26+
INDEX($A472:$BM472,,$BV$27)*$BW$27+
$BN472)),
$BN472-100)</f>
        <v>-100</v>
      </c>
      <c r="AX472" t="str">
        <f t="shared" si="98"/>
        <v>Jalen Tolbert</v>
      </c>
      <c r="AY472" t="str">
        <f t="shared" si="99"/>
        <v>DAL</v>
      </c>
      <c r="AZ472" s="430">
        <f>IFERROR(
IF(AX472="",-100,
IF($BV$2&gt;0, INDEX(Beersheet!$A:$U,MATCH(AX472,INDEX(Beersheet!$A:$U,0,FFARawStatProjections!$BV$2),0),$BV$3)+$BN472,
INDEX($A472:$BM472,,$BV$12)*$BW$12+
INDEX($A472:$BM472,,$BV$15)*$BW$15+
INDEX($A472:$BM472,,$BV$16)*$BW$16+
INDEX($A472:$BM472,,$BV$17)*$BW$17+
INDEX($A472:$BM472,,$BV$18)*$BW$18+
INDEX($A472:$BM472,,$BV$19)*$BW$19+
INDEX($A472:$BM472,,$BV$20)*$BW$20+
INDEX($A472:$BM472,,$BV$21)*$BW$21+
INDEX($A472:$BM472,,$BV$22)*$BW$22+
INDEX($A472:$BM472,,$BV$23)*$BW$23+
INDEX($A472:$BM472,,$BV$25)*$BW$25+
INDEX($A472:$BM472,,$BV$26)*$BW$26+
INDEX($A472:$BM472,,$BV$27)*$BW$27+
$BN472)),
$BN472-100)</f>
        <v>22.82471</v>
      </c>
      <c r="BB472" t="str">
        <f t="shared" si="100"/>
        <v/>
      </c>
      <c r="BC472" t="str">
        <f t="shared" si="94"/>
        <v/>
      </c>
      <c r="BD472" s="430">
        <f>IFERROR(
IF(BB472="",-100,
IF($BV$2&gt;0, INDEX(Beersheet!$A:$U,MATCH(BB472,INDEX(Beersheet!$A:$U,0,FFARawStatProjections!$BV$2),0),$BV$3)+$BN472,
INDEX($A472:$BM472,,$BV$12)*$BW$12+
INDEX($A472:$BM472,,$BV$15)*$BW$15+
INDEX($A472:$BM472,,$BV$16)*$BW$16+
INDEX($A472:$BM472,,$BV$17)*$BW$17+
INDEX($A472:$BM472,,$BV$18)*$BW$18+
INDEX($A472:$BM472,,$BV$19)*$BW$19+
INDEX($A472:$BM472,,$BV$20)*$BW$20+
INDEX($A472:$BM472,,$BV$21)*$BW$21+
INDEX($A472:$BM472,,$BV$22)*$BW$22+
INDEX($A472:$BM472,,$BV$23)*$BW$23+
INDEX($A472:$BM472,,$BV$25)*$BW$25+
INDEX($A472:$BM472,,$BV$26)*$BW$26+
INDEX($A472:$BM472,,$BV$27)*$BW$27+
$BN472)),
$BN472-100)</f>
        <v>-100</v>
      </c>
      <c r="BF472" t="str">
        <f t="shared" si="101"/>
        <v/>
      </c>
      <c r="BG472" t="str">
        <f t="shared" si="102"/>
        <v/>
      </c>
      <c r="BH472">
        <f t="shared" si="103"/>
        <v>0</v>
      </c>
      <c r="BJ472" t="str">
        <f t="shared" si="104"/>
        <v/>
      </c>
      <c r="BL472">
        <f t="shared" si="93"/>
        <v>0</v>
      </c>
      <c r="BN472">
        <v>4.7099999999999998E-3</v>
      </c>
      <c r="BS472" s="4" t="s">
        <v>224</v>
      </c>
    </row>
    <row r="473" spans="1:71" ht="15.75" thickBot="1" x14ac:dyDescent="0.3">
      <c r="A473" s="569" t="s">
        <v>197</v>
      </c>
      <c r="B473" s="569" t="s">
        <v>154</v>
      </c>
      <c r="C473" s="569" t="s">
        <v>6</v>
      </c>
      <c r="D473" s="574">
        <v>13</v>
      </c>
      <c r="E473" s="569"/>
      <c r="F473" s="569"/>
      <c r="G473" s="569"/>
      <c r="H473" s="569"/>
      <c r="I473" s="574">
        <v>0</v>
      </c>
      <c r="J473" s="574">
        <v>0</v>
      </c>
      <c r="K473" s="574">
        <v>0</v>
      </c>
      <c r="L473" s="574">
        <v>10.1</v>
      </c>
      <c r="M473" s="574">
        <v>0.7</v>
      </c>
      <c r="N473" s="574">
        <v>113.1</v>
      </c>
      <c r="O473" s="574">
        <v>0</v>
      </c>
      <c r="P473" s="574">
        <v>0</v>
      </c>
      <c r="Q473" s="574">
        <v>0.3</v>
      </c>
      <c r="R473" s="569"/>
      <c r="S473" s="569"/>
      <c r="T473" s="569"/>
      <c r="U473" s="569"/>
      <c r="V473" s="569"/>
      <c r="W473" s="569"/>
      <c r="X473" s="569"/>
      <c r="Y473" s="569"/>
      <c r="Z473" s="569"/>
      <c r="AA473" s="569"/>
      <c r="AB473" s="569"/>
      <c r="AC473" s="569"/>
      <c r="AD473" s="569"/>
      <c r="AE473" s="569"/>
      <c r="AF473" s="569"/>
      <c r="AG473" s="569"/>
      <c r="AH473" s="569"/>
      <c r="AI473" s="569"/>
      <c r="AJ473" s="569"/>
      <c r="AK473" s="569"/>
      <c r="AL473" s="569"/>
      <c r="AM473" s="569"/>
      <c r="AN473" s="574">
        <v>15.4</v>
      </c>
      <c r="AO473">
        <v>472</v>
      </c>
      <c r="AP473" t="str">
        <f t="shared" si="105"/>
        <v/>
      </c>
      <c r="AQ473" t="str">
        <f t="shared" si="95"/>
        <v/>
      </c>
      <c r="AR473" s="430">
        <f>IFERROR(
IF(AP473="",-100,
IF($BV$2&gt;0, INDEX(Beersheet!$A:$U,MATCH(AP473,INDEX(Beersheet!$A:$U,0,FFARawStatProjections!$BV$2),0),$BV$3)+$BN473,
INDEX($A473:$BM473,,$BV$12)*$BW$12+
INDEX($A473:$BM473,,$BV$15)*$BW$15+
INDEX($A473:$BM473,,$BV$16)*$BW$16+
INDEX($A473:$BM473,,$BV$17)*$BW$17+
INDEX($A473:$BM473,,$BV$18)*$BW$18+
INDEX($A473:$BM473,,$BV$19)*$BW$19+
INDEX($A473:$BM473,,$BV$20)*$BW$20+
INDEX($A473:$BM473,,$BV$21)*$BW$21+
INDEX($A473:$BM473,,$BV$22)*$BW$22+
INDEX($A473:$BM473,,$BV$23)*$BW$23+
INDEX($A473:$BM473,,$BV$25)*$BW$25+
INDEX($A473:$BM473,,$BV$26)*$BW$26+
INDEX($A473:$BM473,,$BV$27)*$BW$27+
$BN473)),
$BN473-100)</f>
        <v>-100</v>
      </c>
      <c r="AT473" t="str">
        <f t="shared" si="96"/>
        <v/>
      </c>
      <c r="AU473" t="str">
        <f t="shared" si="97"/>
        <v/>
      </c>
      <c r="AV473" s="430">
        <f>IFERROR(
IF(AT473="",-100,
IF($BV$2&gt;0, INDEX(Beersheet!$A:$U,MATCH(AT473,INDEX(Beersheet!$A:$U,0,FFARawStatProjections!$BV$2),0),$BV$3)+$BN473,
INDEX($A473:$BM473,,$BV$12)*$BW$12+
INDEX($A473:$BM473,,$BV$15)*$BW$15+
INDEX($A473:$BM473,,$BV$16)*$BW$16+
INDEX($A473:$BM473,,$BV$17)*$BW$17+
INDEX($A473:$BM473,,$BV$18)*$BW$18+
INDEX($A473:$BM473,,$BV$19)*$BW$19+
INDEX($A473:$BM473,,$BV$20)*$BW$20+
INDEX($A473:$BM473,,$BV$21)*$BW$21+
INDEX($A473:$BM473,,$BV$22)*$BW$22+
INDEX($A473:$BM473,,$BV$23)*$BW$23+
INDEX($A473:$BM473,,$BV$25)*$BW$25+
INDEX($A473:$BM473,,$BV$26)*$BW$26+
INDEX($A473:$BM473,,$BV$27)*$BW$27+
$BN473)),
$BN473-100)</f>
        <v>-100</v>
      </c>
      <c r="AX473" t="str">
        <f t="shared" si="98"/>
        <v>Cole Beasley</v>
      </c>
      <c r="AY473" t="str">
        <f t="shared" si="99"/>
        <v>NYG</v>
      </c>
      <c r="AZ473" s="430">
        <f>IFERROR(
IF(AX473="",-100,
IF($BV$2&gt;0, INDEX(Beersheet!$A:$U,MATCH(AX473,INDEX(Beersheet!$A:$U,0,FFARawStatProjections!$BV$2),0),$BV$3)+$BN473,
INDEX($A473:$BM473,,$BV$12)*$BW$12+
INDEX($A473:$BM473,,$BV$15)*$BW$15+
INDEX($A473:$BM473,,$BV$16)*$BW$16+
INDEX($A473:$BM473,,$BV$17)*$BW$17+
INDEX($A473:$BM473,,$BV$18)*$BW$18+
INDEX($A473:$BM473,,$BV$19)*$BW$19+
INDEX($A473:$BM473,,$BV$20)*$BW$20+
INDEX($A473:$BM473,,$BV$21)*$BW$21+
INDEX($A473:$BM473,,$BV$22)*$BW$22+
INDEX($A473:$BM473,,$BV$23)*$BW$23+
INDEX($A473:$BM473,,$BV$25)*$BW$25+
INDEX($A473:$BM473,,$BV$26)*$BW$26+
INDEX($A473:$BM473,,$BV$27)*$BW$27+
$BN473)),
$BN473-100)</f>
        <v>25.64472</v>
      </c>
      <c r="BB473" t="str">
        <f t="shared" si="100"/>
        <v/>
      </c>
      <c r="BC473" t="str">
        <f t="shared" si="94"/>
        <v/>
      </c>
      <c r="BD473" s="430">
        <f>IFERROR(
IF(BB473="",-100,
IF($BV$2&gt;0, INDEX(Beersheet!$A:$U,MATCH(BB473,INDEX(Beersheet!$A:$U,0,FFARawStatProjections!$BV$2),0),$BV$3)+$BN473,
INDEX($A473:$BM473,,$BV$12)*$BW$12+
INDEX($A473:$BM473,,$BV$15)*$BW$15+
INDEX($A473:$BM473,,$BV$16)*$BW$16+
INDEX($A473:$BM473,,$BV$17)*$BW$17+
INDEX($A473:$BM473,,$BV$18)*$BW$18+
INDEX($A473:$BM473,,$BV$19)*$BW$19+
INDEX($A473:$BM473,,$BV$20)*$BW$20+
INDEX($A473:$BM473,,$BV$21)*$BW$21+
INDEX($A473:$BM473,,$BV$22)*$BW$22+
INDEX($A473:$BM473,,$BV$23)*$BW$23+
INDEX($A473:$BM473,,$BV$25)*$BW$25+
INDEX($A473:$BM473,,$BV$26)*$BW$26+
INDEX($A473:$BM473,,$BV$27)*$BW$27+
$BN473)),
$BN473-100)</f>
        <v>-100</v>
      </c>
      <c r="BF473" t="str">
        <f t="shared" si="101"/>
        <v/>
      </c>
      <c r="BG473" t="str">
        <f t="shared" si="102"/>
        <v/>
      </c>
      <c r="BH473">
        <f t="shared" si="103"/>
        <v>0</v>
      </c>
      <c r="BJ473" t="str">
        <f t="shared" si="104"/>
        <v/>
      </c>
      <c r="BL473">
        <f t="shared" ref="BL473:BL536" si="106">IFERROR(IF(BJ473="",0,
V473*2+W473*2+X473*2+Z473*6+AA473*1+AB473*2+AC473*6
+AN473+BN473),"")</f>
        <v>0</v>
      </c>
      <c r="BN473">
        <v>4.7200000000000002E-3</v>
      </c>
      <c r="BS473" s="4" t="s">
        <v>1133</v>
      </c>
    </row>
    <row r="474" spans="1:71" ht="15.75" thickBot="1" x14ac:dyDescent="0.3">
      <c r="A474" s="569" t="s">
        <v>2146</v>
      </c>
      <c r="B474" s="569" t="s">
        <v>141</v>
      </c>
      <c r="C474" s="569" t="s">
        <v>6</v>
      </c>
      <c r="D474" s="574">
        <v>13</v>
      </c>
      <c r="E474" s="569"/>
      <c r="F474" s="569"/>
      <c r="G474" s="569"/>
      <c r="H474" s="569"/>
      <c r="I474" s="574">
        <v>0</v>
      </c>
      <c r="J474" s="574">
        <v>0</v>
      </c>
      <c r="K474" s="574">
        <v>0</v>
      </c>
      <c r="L474" s="574">
        <v>8</v>
      </c>
      <c r="M474" s="574">
        <v>0.5</v>
      </c>
      <c r="N474" s="574">
        <v>109.4</v>
      </c>
      <c r="O474" s="574">
        <v>1.1000000000000001</v>
      </c>
      <c r="P474" s="574">
        <v>0</v>
      </c>
      <c r="Q474" s="574">
        <v>11.2</v>
      </c>
      <c r="R474" s="569"/>
      <c r="S474" s="569"/>
      <c r="T474" s="569"/>
      <c r="U474" s="569"/>
      <c r="V474" s="569"/>
      <c r="W474" s="569"/>
      <c r="X474" s="569"/>
      <c r="Y474" s="569"/>
      <c r="Z474" s="569"/>
      <c r="AA474" s="569"/>
      <c r="AB474" s="569"/>
      <c r="AC474" s="569"/>
      <c r="AD474" s="569"/>
      <c r="AE474" s="569"/>
      <c r="AF474" s="569"/>
      <c r="AG474" s="569"/>
      <c r="AH474" s="569"/>
      <c r="AI474" s="569"/>
      <c r="AJ474" s="569"/>
      <c r="AK474" s="569"/>
      <c r="AL474" s="569"/>
      <c r="AM474" s="569"/>
      <c r="AN474" s="574">
        <v>15.4</v>
      </c>
      <c r="AO474">
        <v>473</v>
      </c>
      <c r="AP474" t="str">
        <f t="shared" si="105"/>
        <v/>
      </c>
      <c r="AQ474" t="str">
        <f t="shared" si="95"/>
        <v/>
      </c>
      <c r="AR474" s="430">
        <f>IFERROR(
IF(AP474="",-100,
IF($BV$2&gt;0, INDEX(Beersheet!$A:$U,MATCH(AP474,INDEX(Beersheet!$A:$U,0,FFARawStatProjections!$BV$2),0),$BV$3)+$BN474,
INDEX($A474:$BM474,,$BV$12)*$BW$12+
INDEX($A474:$BM474,,$BV$15)*$BW$15+
INDEX($A474:$BM474,,$BV$16)*$BW$16+
INDEX($A474:$BM474,,$BV$17)*$BW$17+
INDEX($A474:$BM474,,$BV$18)*$BW$18+
INDEX($A474:$BM474,,$BV$19)*$BW$19+
INDEX($A474:$BM474,,$BV$20)*$BW$20+
INDEX($A474:$BM474,,$BV$21)*$BW$21+
INDEX($A474:$BM474,,$BV$22)*$BW$22+
INDEX($A474:$BM474,,$BV$23)*$BW$23+
INDEX($A474:$BM474,,$BV$25)*$BW$25+
INDEX($A474:$BM474,,$BV$26)*$BW$26+
INDEX($A474:$BM474,,$BV$27)*$BW$27+
$BN474)),
$BN474-100)</f>
        <v>-100</v>
      </c>
      <c r="AT474" t="str">
        <f t="shared" si="96"/>
        <v/>
      </c>
      <c r="AU474" t="str">
        <f t="shared" si="97"/>
        <v/>
      </c>
      <c r="AV474" s="430">
        <f>IFERROR(
IF(AT474="",-100,
IF($BV$2&gt;0, INDEX(Beersheet!$A:$U,MATCH(AT474,INDEX(Beersheet!$A:$U,0,FFARawStatProjections!$BV$2),0),$BV$3)+$BN474,
INDEX($A474:$BM474,,$BV$12)*$BW$12+
INDEX($A474:$BM474,,$BV$15)*$BW$15+
INDEX($A474:$BM474,,$BV$16)*$BW$16+
INDEX($A474:$BM474,,$BV$17)*$BW$17+
INDEX($A474:$BM474,,$BV$18)*$BW$18+
INDEX($A474:$BM474,,$BV$19)*$BW$19+
INDEX($A474:$BM474,,$BV$20)*$BW$20+
INDEX($A474:$BM474,,$BV$21)*$BW$21+
INDEX($A474:$BM474,,$BV$22)*$BW$22+
INDEX($A474:$BM474,,$BV$23)*$BW$23+
INDEX($A474:$BM474,,$BV$25)*$BW$25+
INDEX($A474:$BM474,,$BV$26)*$BW$26+
INDEX($A474:$BM474,,$BV$27)*$BW$27+
$BN474)),
$BN474-100)</f>
        <v>-100</v>
      </c>
      <c r="AX474" t="str">
        <f t="shared" si="98"/>
        <v>Equanimeous St Brown</v>
      </c>
      <c r="AY474" t="str">
        <f t="shared" si="99"/>
        <v>CHI</v>
      </c>
      <c r="AZ474" s="430">
        <f>IFERROR(
IF(AX474="",-100,
IF($BV$2&gt;0, INDEX(Beersheet!$A:$U,MATCH(AX474,INDEX(Beersheet!$A:$U,0,FFARawStatProjections!$BV$2),0),$BV$3)+$BN474,
INDEX($A474:$BM474,,$BV$12)*$BW$12+
INDEX($A474:$BM474,,$BV$15)*$BW$15+
INDEX($A474:$BM474,,$BV$16)*$BW$16+
INDEX($A474:$BM474,,$BV$17)*$BW$17+
INDEX($A474:$BM474,,$BV$18)*$BW$18+
INDEX($A474:$BM474,,$BV$19)*$BW$19+
INDEX($A474:$BM474,,$BV$20)*$BW$20+
INDEX($A474:$BM474,,$BV$21)*$BW$21+
INDEX($A474:$BM474,,$BV$22)*$BW$22+
INDEX($A474:$BM474,,$BV$23)*$BW$23+
INDEX($A474:$BM474,,$BV$25)*$BW$25+
INDEX($A474:$BM474,,$BV$26)*$BW$26+
INDEX($A474:$BM474,,$BV$27)*$BW$27+
$BN474)),
$BN474-100)</f>
        <v>23.064730000000001</v>
      </c>
      <c r="BB474" t="str">
        <f t="shared" si="100"/>
        <v/>
      </c>
      <c r="BC474" t="str">
        <f t="shared" si="94"/>
        <v/>
      </c>
      <c r="BD474" s="430">
        <f>IFERROR(
IF(BB474="",-100,
IF($BV$2&gt;0, INDEX(Beersheet!$A:$U,MATCH(BB474,INDEX(Beersheet!$A:$U,0,FFARawStatProjections!$BV$2),0),$BV$3)+$BN474,
INDEX($A474:$BM474,,$BV$12)*$BW$12+
INDEX($A474:$BM474,,$BV$15)*$BW$15+
INDEX($A474:$BM474,,$BV$16)*$BW$16+
INDEX($A474:$BM474,,$BV$17)*$BW$17+
INDEX($A474:$BM474,,$BV$18)*$BW$18+
INDEX($A474:$BM474,,$BV$19)*$BW$19+
INDEX($A474:$BM474,,$BV$20)*$BW$20+
INDEX($A474:$BM474,,$BV$21)*$BW$21+
INDEX($A474:$BM474,,$BV$22)*$BW$22+
INDEX($A474:$BM474,,$BV$23)*$BW$23+
INDEX($A474:$BM474,,$BV$25)*$BW$25+
INDEX($A474:$BM474,,$BV$26)*$BW$26+
INDEX($A474:$BM474,,$BV$27)*$BW$27+
$BN474)),
$BN474-100)</f>
        <v>-100</v>
      </c>
      <c r="BF474" t="str">
        <f t="shared" si="101"/>
        <v/>
      </c>
      <c r="BG474" t="str">
        <f t="shared" si="102"/>
        <v/>
      </c>
      <c r="BH474">
        <f t="shared" si="103"/>
        <v>0</v>
      </c>
      <c r="BJ474" t="str">
        <f t="shared" si="104"/>
        <v/>
      </c>
      <c r="BL474">
        <f t="shared" si="106"/>
        <v>0</v>
      </c>
      <c r="BN474">
        <v>4.7299999999999998E-3</v>
      </c>
      <c r="BS474" s="4" t="s">
        <v>1811</v>
      </c>
    </row>
    <row r="475" spans="1:71" ht="15.75" thickBot="1" x14ac:dyDescent="0.3">
      <c r="A475" s="569" t="s">
        <v>1103</v>
      </c>
      <c r="B475" s="569" t="s">
        <v>162</v>
      </c>
      <c r="C475" s="569" t="s">
        <v>6</v>
      </c>
      <c r="D475" s="574">
        <v>13</v>
      </c>
      <c r="E475" s="569"/>
      <c r="F475" s="569"/>
      <c r="G475" s="569"/>
      <c r="H475" s="569"/>
      <c r="I475" s="574">
        <v>0</v>
      </c>
      <c r="J475" s="574">
        <v>0</v>
      </c>
      <c r="K475" s="574">
        <v>0</v>
      </c>
      <c r="L475" s="574">
        <v>4.9000000000000004</v>
      </c>
      <c r="M475" s="574">
        <v>0.3</v>
      </c>
      <c r="N475" s="574">
        <v>132.4</v>
      </c>
      <c r="O475" s="574">
        <v>0.2</v>
      </c>
      <c r="P475" s="574">
        <v>0</v>
      </c>
      <c r="Q475" s="574">
        <v>0.9</v>
      </c>
      <c r="R475" s="569"/>
      <c r="S475" s="569"/>
      <c r="T475" s="569"/>
      <c r="U475" s="569"/>
      <c r="V475" s="569"/>
      <c r="W475" s="569"/>
      <c r="X475" s="569"/>
      <c r="Y475" s="569"/>
      <c r="Z475" s="569"/>
      <c r="AA475" s="569"/>
      <c r="AB475" s="569"/>
      <c r="AC475" s="569"/>
      <c r="AD475" s="569"/>
      <c r="AE475" s="569"/>
      <c r="AF475" s="569"/>
      <c r="AG475" s="569"/>
      <c r="AH475" s="569"/>
      <c r="AI475" s="569"/>
      <c r="AJ475" s="569"/>
      <c r="AK475" s="569"/>
      <c r="AL475" s="569"/>
      <c r="AM475" s="569"/>
      <c r="AN475" s="574">
        <v>15</v>
      </c>
      <c r="AO475">
        <v>474</v>
      </c>
      <c r="AP475" t="str">
        <f t="shared" si="105"/>
        <v/>
      </c>
      <c r="AQ475" t="str">
        <f t="shared" si="95"/>
        <v/>
      </c>
      <c r="AR475" s="430">
        <f>IFERROR(
IF(AP475="",-100,
IF($BV$2&gt;0, INDEX(Beersheet!$A:$U,MATCH(AP475,INDEX(Beersheet!$A:$U,0,FFARawStatProjections!$BV$2),0),$BV$3)+$BN475,
INDEX($A475:$BM475,,$BV$12)*$BW$12+
INDEX($A475:$BM475,,$BV$15)*$BW$15+
INDEX($A475:$BM475,,$BV$16)*$BW$16+
INDEX($A475:$BM475,,$BV$17)*$BW$17+
INDEX($A475:$BM475,,$BV$18)*$BW$18+
INDEX($A475:$BM475,,$BV$19)*$BW$19+
INDEX($A475:$BM475,,$BV$20)*$BW$20+
INDEX($A475:$BM475,,$BV$21)*$BW$21+
INDEX($A475:$BM475,,$BV$22)*$BW$22+
INDEX($A475:$BM475,,$BV$23)*$BW$23+
INDEX($A475:$BM475,,$BV$25)*$BW$25+
INDEX($A475:$BM475,,$BV$26)*$BW$26+
INDEX($A475:$BM475,,$BV$27)*$BW$27+
$BN475)),
$BN475-100)</f>
        <v>-100</v>
      </c>
      <c r="AT475" t="str">
        <f t="shared" si="96"/>
        <v/>
      </c>
      <c r="AU475" t="str">
        <f t="shared" si="97"/>
        <v/>
      </c>
      <c r="AV475" s="430">
        <f>IFERROR(
IF(AT475="",-100,
IF($BV$2&gt;0, INDEX(Beersheet!$A:$U,MATCH(AT475,INDEX(Beersheet!$A:$U,0,FFARawStatProjections!$BV$2),0),$BV$3)+$BN475,
INDEX($A475:$BM475,,$BV$12)*$BW$12+
INDEX($A475:$BM475,,$BV$15)*$BW$15+
INDEX($A475:$BM475,,$BV$16)*$BW$16+
INDEX($A475:$BM475,,$BV$17)*$BW$17+
INDEX($A475:$BM475,,$BV$18)*$BW$18+
INDEX($A475:$BM475,,$BV$19)*$BW$19+
INDEX($A475:$BM475,,$BV$20)*$BW$20+
INDEX($A475:$BM475,,$BV$21)*$BW$21+
INDEX($A475:$BM475,,$BV$22)*$BW$22+
INDEX($A475:$BM475,,$BV$23)*$BW$23+
INDEX($A475:$BM475,,$BV$25)*$BW$25+
INDEX($A475:$BM475,,$BV$26)*$BW$26+
INDEX($A475:$BM475,,$BV$27)*$BW$27+
$BN475)),
$BN475-100)</f>
        <v>-100</v>
      </c>
      <c r="AX475" t="str">
        <f t="shared" si="98"/>
        <v>Nelson Agholor</v>
      </c>
      <c r="AY475" t="str">
        <f t="shared" si="99"/>
        <v>BAL</v>
      </c>
      <c r="AZ475" s="430">
        <f>IFERROR(
IF(AX475="",-100,
IF($BV$2&gt;0, INDEX(Beersheet!$A:$U,MATCH(AX475,INDEX(Beersheet!$A:$U,0,FFARawStatProjections!$BV$2),0),$BV$3)+$BN475,
INDEX($A475:$BM475,,$BV$12)*$BW$12+
INDEX($A475:$BM475,,$BV$15)*$BW$15+
INDEX($A475:$BM475,,$BV$16)*$BW$16+
INDEX($A475:$BM475,,$BV$17)*$BW$17+
INDEX($A475:$BM475,,$BV$18)*$BW$18+
INDEX($A475:$BM475,,$BV$19)*$BW$19+
INDEX($A475:$BM475,,$BV$20)*$BW$20+
INDEX($A475:$BM475,,$BV$21)*$BW$21+
INDEX($A475:$BM475,,$BV$22)*$BW$22+
INDEX($A475:$BM475,,$BV$23)*$BW$23+
INDEX($A475:$BM475,,$BV$25)*$BW$25+
INDEX($A475:$BM475,,$BV$26)*$BW$26+
INDEX($A475:$BM475,,$BV$27)*$BW$27+
$BN475)),
$BN475-100)</f>
        <v>20.034740000000003</v>
      </c>
      <c r="BB475" t="str">
        <f t="shared" si="100"/>
        <v/>
      </c>
      <c r="BC475" t="str">
        <f t="shared" si="94"/>
        <v/>
      </c>
      <c r="BD475" s="430">
        <f>IFERROR(
IF(BB475="",-100,
IF($BV$2&gt;0, INDEX(Beersheet!$A:$U,MATCH(BB475,INDEX(Beersheet!$A:$U,0,FFARawStatProjections!$BV$2),0),$BV$3)+$BN475,
INDEX($A475:$BM475,,$BV$12)*$BW$12+
INDEX($A475:$BM475,,$BV$15)*$BW$15+
INDEX($A475:$BM475,,$BV$16)*$BW$16+
INDEX($A475:$BM475,,$BV$17)*$BW$17+
INDEX($A475:$BM475,,$BV$18)*$BW$18+
INDEX($A475:$BM475,,$BV$19)*$BW$19+
INDEX($A475:$BM475,,$BV$20)*$BW$20+
INDEX($A475:$BM475,,$BV$21)*$BW$21+
INDEX($A475:$BM475,,$BV$22)*$BW$22+
INDEX($A475:$BM475,,$BV$23)*$BW$23+
INDEX($A475:$BM475,,$BV$25)*$BW$25+
INDEX($A475:$BM475,,$BV$26)*$BW$26+
INDEX($A475:$BM475,,$BV$27)*$BW$27+
$BN475)),
$BN475-100)</f>
        <v>-100</v>
      </c>
      <c r="BF475" t="str">
        <f t="shared" si="101"/>
        <v/>
      </c>
      <c r="BG475" t="str">
        <f t="shared" si="102"/>
        <v/>
      </c>
      <c r="BH475">
        <f t="shared" si="103"/>
        <v>0</v>
      </c>
      <c r="BJ475" t="str">
        <f t="shared" si="104"/>
        <v/>
      </c>
      <c r="BL475">
        <f t="shared" si="106"/>
        <v>0</v>
      </c>
      <c r="BN475">
        <v>4.7400000000000003E-3</v>
      </c>
      <c r="BS475" s="4" t="s">
        <v>2204</v>
      </c>
    </row>
    <row r="476" spans="1:71" ht="15.75" thickBot="1" x14ac:dyDescent="0.3">
      <c r="A476" s="569" t="s">
        <v>2345</v>
      </c>
      <c r="B476" s="569" t="s">
        <v>138</v>
      </c>
      <c r="C476" s="569" t="s">
        <v>6</v>
      </c>
      <c r="D476" s="574">
        <v>13</v>
      </c>
      <c r="E476" s="569"/>
      <c r="F476" s="569"/>
      <c r="G476" s="569"/>
      <c r="H476" s="569"/>
      <c r="I476" s="574">
        <v>0</v>
      </c>
      <c r="J476" s="574">
        <v>0</v>
      </c>
      <c r="K476" s="574">
        <v>0</v>
      </c>
      <c r="L476" s="574">
        <v>10</v>
      </c>
      <c r="M476" s="574">
        <v>0.7</v>
      </c>
      <c r="N476" s="574">
        <v>105.8</v>
      </c>
      <c r="O476" s="574">
        <v>0.3</v>
      </c>
      <c r="P476" s="574">
        <v>0</v>
      </c>
      <c r="Q476" s="574">
        <v>1.7</v>
      </c>
      <c r="R476" s="569"/>
      <c r="S476" s="569"/>
      <c r="T476" s="569"/>
      <c r="U476" s="569"/>
      <c r="V476" s="569"/>
      <c r="W476" s="569"/>
      <c r="X476" s="569"/>
      <c r="Y476" s="569"/>
      <c r="Z476" s="569"/>
      <c r="AA476" s="569"/>
      <c r="AB476" s="569"/>
      <c r="AC476" s="569"/>
      <c r="AD476" s="569"/>
      <c r="AE476" s="569"/>
      <c r="AF476" s="569"/>
      <c r="AG476" s="569"/>
      <c r="AH476" s="569"/>
      <c r="AI476" s="569"/>
      <c r="AJ476" s="569"/>
      <c r="AK476" s="569"/>
      <c r="AL476" s="569"/>
      <c r="AM476" s="569"/>
      <c r="AN476" s="574">
        <v>14.8</v>
      </c>
      <c r="AO476">
        <v>475</v>
      </c>
      <c r="AP476" t="str">
        <f t="shared" si="105"/>
        <v/>
      </c>
      <c r="AQ476" t="str">
        <f t="shared" si="95"/>
        <v/>
      </c>
      <c r="AR476" s="430">
        <f>IFERROR(
IF(AP476="",-100,
IF($BV$2&gt;0, INDEX(Beersheet!$A:$U,MATCH(AP476,INDEX(Beersheet!$A:$U,0,FFARawStatProjections!$BV$2),0),$BV$3)+$BN476,
INDEX($A476:$BM476,,$BV$12)*$BW$12+
INDEX($A476:$BM476,,$BV$15)*$BW$15+
INDEX($A476:$BM476,,$BV$16)*$BW$16+
INDEX($A476:$BM476,,$BV$17)*$BW$17+
INDEX($A476:$BM476,,$BV$18)*$BW$18+
INDEX($A476:$BM476,,$BV$19)*$BW$19+
INDEX($A476:$BM476,,$BV$20)*$BW$20+
INDEX($A476:$BM476,,$BV$21)*$BW$21+
INDEX($A476:$BM476,,$BV$22)*$BW$22+
INDEX($A476:$BM476,,$BV$23)*$BW$23+
INDEX($A476:$BM476,,$BV$25)*$BW$25+
INDEX($A476:$BM476,,$BV$26)*$BW$26+
INDEX($A476:$BM476,,$BV$27)*$BW$27+
$BN476)),
$BN476-100)</f>
        <v>-100</v>
      </c>
      <c r="AT476" t="str">
        <f t="shared" si="96"/>
        <v/>
      </c>
      <c r="AU476" t="str">
        <f t="shared" si="97"/>
        <v/>
      </c>
      <c r="AV476" s="430">
        <f>IFERROR(
IF(AT476="",-100,
IF($BV$2&gt;0, INDEX(Beersheet!$A:$U,MATCH(AT476,INDEX(Beersheet!$A:$U,0,FFARawStatProjections!$BV$2),0),$BV$3)+$BN476,
INDEX($A476:$BM476,,$BV$12)*$BW$12+
INDEX($A476:$BM476,,$BV$15)*$BW$15+
INDEX($A476:$BM476,,$BV$16)*$BW$16+
INDEX($A476:$BM476,,$BV$17)*$BW$17+
INDEX($A476:$BM476,,$BV$18)*$BW$18+
INDEX($A476:$BM476,,$BV$19)*$BW$19+
INDEX($A476:$BM476,,$BV$20)*$BW$20+
INDEX($A476:$BM476,,$BV$21)*$BW$21+
INDEX($A476:$BM476,,$BV$22)*$BW$22+
INDEX($A476:$BM476,,$BV$23)*$BW$23+
INDEX($A476:$BM476,,$BV$25)*$BW$25+
INDEX($A476:$BM476,,$BV$26)*$BW$26+
INDEX($A476:$BM476,,$BV$27)*$BW$27+
$BN476)),
$BN476-100)</f>
        <v>-100</v>
      </c>
      <c r="AX476" t="str">
        <f t="shared" si="98"/>
        <v>Jalen Nailor</v>
      </c>
      <c r="AY476" t="str">
        <f t="shared" si="99"/>
        <v>MIN</v>
      </c>
      <c r="AZ476" s="430">
        <f>IFERROR(
IF(AX476="",-100,
IF($BV$2&gt;0, INDEX(Beersheet!$A:$U,MATCH(AX476,INDEX(Beersheet!$A:$U,0,FFARawStatProjections!$BV$2),0),$BV$3)+$BN476,
INDEX($A476:$BM476,,$BV$12)*$BW$12+
INDEX($A476:$BM476,,$BV$15)*$BW$15+
INDEX($A476:$BM476,,$BV$16)*$BW$16+
INDEX($A476:$BM476,,$BV$17)*$BW$17+
INDEX($A476:$BM476,,$BV$18)*$BW$18+
INDEX($A476:$BM476,,$BV$19)*$BW$19+
INDEX($A476:$BM476,,$BV$20)*$BW$20+
INDEX($A476:$BM476,,$BV$21)*$BW$21+
INDEX($A476:$BM476,,$BV$22)*$BW$22+
INDEX($A476:$BM476,,$BV$23)*$BW$23+
INDEX($A476:$BM476,,$BV$25)*$BW$25+
INDEX($A476:$BM476,,$BV$26)*$BW$26+
INDEX($A476:$BM476,,$BV$27)*$BW$27+
$BN476)),
$BN476-100)</f>
        <v>24.954750000000004</v>
      </c>
      <c r="BB476" t="str">
        <f t="shared" si="100"/>
        <v/>
      </c>
      <c r="BC476" t="str">
        <f t="shared" si="94"/>
        <v/>
      </c>
      <c r="BD476" s="430">
        <f>IFERROR(
IF(BB476="",-100,
IF($BV$2&gt;0, INDEX(Beersheet!$A:$U,MATCH(BB476,INDEX(Beersheet!$A:$U,0,FFARawStatProjections!$BV$2),0),$BV$3)+$BN476,
INDEX($A476:$BM476,,$BV$12)*$BW$12+
INDEX($A476:$BM476,,$BV$15)*$BW$15+
INDEX($A476:$BM476,,$BV$16)*$BW$16+
INDEX($A476:$BM476,,$BV$17)*$BW$17+
INDEX($A476:$BM476,,$BV$18)*$BW$18+
INDEX($A476:$BM476,,$BV$19)*$BW$19+
INDEX($A476:$BM476,,$BV$20)*$BW$20+
INDEX($A476:$BM476,,$BV$21)*$BW$21+
INDEX($A476:$BM476,,$BV$22)*$BW$22+
INDEX($A476:$BM476,,$BV$23)*$BW$23+
INDEX($A476:$BM476,,$BV$25)*$BW$25+
INDEX($A476:$BM476,,$BV$26)*$BW$26+
INDEX($A476:$BM476,,$BV$27)*$BW$27+
$BN476)),
$BN476-100)</f>
        <v>-100</v>
      </c>
      <c r="BF476" t="str">
        <f t="shared" si="101"/>
        <v/>
      </c>
      <c r="BG476" t="str">
        <f t="shared" si="102"/>
        <v/>
      </c>
      <c r="BH476">
        <f t="shared" si="103"/>
        <v>0</v>
      </c>
      <c r="BJ476" t="str">
        <f t="shared" si="104"/>
        <v/>
      </c>
      <c r="BL476">
        <f t="shared" si="106"/>
        <v>0</v>
      </c>
      <c r="BN476">
        <v>4.7499999999999999E-3</v>
      </c>
      <c r="BS476" s="4" t="s">
        <v>1801</v>
      </c>
    </row>
    <row r="477" spans="1:71" ht="15.75" thickBot="1" x14ac:dyDescent="0.3">
      <c r="A477" s="569" t="s">
        <v>1859</v>
      </c>
      <c r="B477" s="569" t="s">
        <v>143</v>
      </c>
      <c r="C477" s="569" t="s">
        <v>6</v>
      </c>
      <c r="D477" s="574">
        <v>11</v>
      </c>
      <c r="E477" s="569"/>
      <c r="F477" s="569"/>
      <c r="G477" s="569"/>
      <c r="H477" s="569"/>
      <c r="I477" s="574">
        <v>0</v>
      </c>
      <c r="J477" s="574">
        <v>0</v>
      </c>
      <c r="K477" s="574">
        <v>0</v>
      </c>
      <c r="L477" s="574">
        <v>8.3000000000000007</v>
      </c>
      <c r="M477" s="574">
        <v>0.6</v>
      </c>
      <c r="N477" s="574">
        <v>102.5</v>
      </c>
      <c r="O477" s="574">
        <v>0</v>
      </c>
      <c r="P477" s="574">
        <v>0</v>
      </c>
      <c r="Q477" s="574">
        <v>0.3</v>
      </c>
      <c r="R477" s="569"/>
      <c r="S477" s="569"/>
      <c r="T477" s="569"/>
      <c r="U477" s="569"/>
      <c r="V477" s="569"/>
      <c r="W477" s="569"/>
      <c r="X477" s="569"/>
      <c r="Y477" s="569"/>
      <c r="Z477" s="569"/>
      <c r="AA477" s="569"/>
      <c r="AB477" s="569"/>
      <c r="AC477" s="569"/>
      <c r="AD477" s="569"/>
      <c r="AE477" s="569"/>
      <c r="AF477" s="569"/>
      <c r="AG477" s="569"/>
      <c r="AH477" s="569"/>
      <c r="AI477" s="569"/>
      <c r="AJ477" s="569"/>
      <c r="AK477" s="569"/>
      <c r="AL477" s="569"/>
      <c r="AM477" s="569"/>
      <c r="AN477" s="574">
        <v>13.6</v>
      </c>
      <c r="AO477">
        <v>476</v>
      </c>
      <c r="AP477" t="str">
        <f t="shared" si="105"/>
        <v/>
      </c>
      <c r="AQ477" t="str">
        <f t="shared" si="95"/>
        <v/>
      </c>
      <c r="AR477" s="430">
        <f>IFERROR(
IF(AP477="",-100,
IF($BV$2&gt;0, INDEX(Beersheet!$A:$U,MATCH(AP477,INDEX(Beersheet!$A:$U,0,FFARawStatProjections!$BV$2),0),$BV$3)+$BN477,
INDEX($A477:$BM477,,$BV$12)*$BW$12+
INDEX($A477:$BM477,,$BV$15)*$BW$15+
INDEX($A477:$BM477,,$BV$16)*$BW$16+
INDEX($A477:$BM477,,$BV$17)*$BW$17+
INDEX($A477:$BM477,,$BV$18)*$BW$18+
INDEX($A477:$BM477,,$BV$19)*$BW$19+
INDEX($A477:$BM477,,$BV$20)*$BW$20+
INDEX($A477:$BM477,,$BV$21)*$BW$21+
INDEX($A477:$BM477,,$BV$22)*$BW$22+
INDEX($A477:$BM477,,$BV$23)*$BW$23+
INDEX($A477:$BM477,,$BV$25)*$BW$25+
INDEX($A477:$BM477,,$BV$26)*$BW$26+
INDEX($A477:$BM477,,$BV$27)*$BW$27+
$BN477)),
$BN477-100)</f>
        <v>-100</v>
      </c>
      <c r="AT477" t="str">
        <f t="shared" si="96"/>
        <v/>
      </c>
      <c r="AU477" t="str">
        <f t="shared" si="97"/>
        <v/>
      </c>
      <c r="AV477" s="430">
        <f>IFERROR(
IF(AT477="",-100,
IF($BV$2&gt;0, INDEX(Beersheet!$A:$U,MATCH(AT477,INDEX(Beersheet!$A:$U,0,FFARawStatProjections!$BV$2),0),$BV$3)+$BN477,
INDEX($A477:$BM477,,$BV$12)*$BW$12+
INDEX($A477:$BM477,,$BV$15)*$BW$15+
INDEX($A477:$BM477,,$BV$16)*$BW$16+
INDEX($A477:$BM477,,$BV$17)*$BW$17+
INDEX($A477:$BM477,,$BV$18)*$BW$18+
INDEX($A477:$BM477,,$BV$19)*$BW$19+
INDEX($A477:$BM477,,$BV$20)*$BW$20+
INDEX($A477:$BM477,,$BV$21)*$BW$21+
INDEX($A477:$BM477,,$BV$22)*$BW$22+
INDEX($A477:$BM477,,$BV$23)*$BW$23+
INDEX($A477:$BM477,,$BV$25)*$BW$25+
INDEX($A477:$BM477,,$BV$26)*$BW$26+
INDEX($A477:$BM477,,$BV$27)*$BW$27+
$BN477)),
$BN477-100)</f>
        <v>-100</v>
      </c>
      <c r="AX477" t="str">
        <f t="shared" si="98"/>
        <v>TreQuan Smith</v>
      </c>
      <c r="AY477" t="str">
        <f t="shared" si="99"/>
        <v>NO</v>
      </c>
      <c r="AZ477" s="430">
        <f>IFERROR(
IF(AX477="",-100,
IF($BV$2&gt;0, INDEX(Beersheet!$A:$U,MATCH(AX477,INDEX(Beersheet!$A:$U,0,FFARawStatProjections!$BV$2),0),$BV$3)+$BN477,
INDEX($A477:$BM477,,$BV$12)*$BW$12+
INDEX($A477:$BM477,,$BV$15)*$BW$15+
INDEX($A477:$BM477,,$BV$16)*$BW$16+
INDEX($A477:$BM477,,$BV$17)*$BW$17+
INDEX($A477:$BM477,,$BV$18)*$BW$18+
INDEX($A477:$BM477,,$BV$19)*$BW$19+
INDEX($A477:$BM477,,$BV$20)*$BW$20+
INDEX($A477:$BM477,,$BV$21)*$BW$21+
INDEX($A477:$BM477,,$BV$22)*$BW$22+
INDEX($A477:$BM477,,$BV$23)*$BW$23+
INDEX($A477:$BM477,,$BV$25)*$BW$25+
INDEX($A477:$BM477,,$BV$26)*$BW$26+
INDEX($A477:$BM477,,$BV$27)*$BW$27+
$BN477)),
$BN477-100)</f>
        <v>22.184760000000001</v>
      </c>
      <c r="BB477" t="str">
        <f t="shared" si="100"/>
        <v/>
      </c>
      <c r="BC477" t="str">
        <f t="shared" si="94"/>
        <v/>
      </c>
      <c r="BD477" s="430">
        <f>IFERROR(
IF(BB477="",-100,
IF($BV$2&gt;0, INDEX(Beersheet!$A:$U,MATCH(BB477,INDEX(Beersheet!$A:$U,0,FFARawStatProjections!$BV$2),0),$BV$3)+$BN477,
INDEX($A477:$BM477,,$BV$12)*$BW$12+
INDEX($A477:$BM477,,$BV$15)*$BW$15+
INDEX($A477:$BM477,,$BV$16)*$BW$16+
INDEX($A477:$BM477,,$BV$17)*$BW$17+
INDEX($A477:$BM477,,$BV$18)*$BW$18+
INDEX($A477:$BM477,,$BV$19)*$BW$19+
INDEX($A477:$BM477,,$BV$20)*$BW$20+
INDEX($A477:$BM477,,$BV$21)*$BW$21+
INDEX($A477:$BM477,,$BV$22)*$BW$22+
INDEX($A477:$BM477,,$BV$23)*$BW$23+
INDEX($A477:$BM477,,$BV$25)*$BW$25+
INDEX($A477:$BM477,,$BV$26)*$BW$26+
INDEX($A477:$BM477,,$BV$27)*$BW$27+
$BN477)),
$BN477-100)</f>
        <v>-100</v>
      </c>
      <c r="BF477" t="str">
        <f t="shared" si="101"/>
        <v/>
      </c>
      <c r="BG477" t="str">
        <f t="shared" si="102"/>
        <v/>
      </c>
      <c r="BH477">
        <f t="shared" si="103"/>
        <v>0</v>
      </c>
      <c r="BJ477" t="str">
        <f t="shared" si="104"/>
        <v/>
      </c>
      <c r="BL477">
        <f t="shared" si="106"/>
        <v>0</v>
      </c>
      <c r="BN477">
        <v>4.7600000000000003E-3</v>
      </c>
      <c r="BS477" s="4" t="s">
        <v>1864</v>
      </c>
    </row>
    <row r="478" spans="1:71" ht="15.75" thickBot="1" x14ac:dyDescent="0.3">
      <c r="A478" s="569" t="s">
        <v>2328</v>
      </c>
      <c r="B478" s="569" t="s">
        <v>141</v>
      </c>
      <c r="C478" s="569" t="s">
        <v>6</v>
      </c>
      <c r="D478" s="574">
        <v>13</v>
      </c>
      <c r="E478" s="569"/>
      <c r="F478" s="569"/>
      <c r="G478" s="569"/>
      <c r="H478" s="569"/>
      <c r="I478" s="574">
        <v>0</v>
      </c>
      <c r="J478" s="574">
        <v>0</v>
      </c>
      <c r="K478" s="574">
        <v>0</v>
      </c>
      <c r="L478" s="574">
        <v>4.5999999999999996</v>
      </c>
      <c r="M478" s="574">
        <v>0.3</v>
      </c>
      <c r="N478" s="574">
        <v>77.2</v>
      </c>
      <c r="O478" s="574">
        <v>1.8</v>
      </c>
      <c r="P478" s="574">
        <v>0.2</v>
      </c>
      <c r="Q478" s="574">
        <v>33.799999999999997</v>
      </c>
      <c r="R478" s="569"/>
      <c r="S478" s="569"/>
      <c r="T478" s="569"/>
      <c r="U478" s="569"/>
      <c r="V478" s="569"/>
      <c r="W478" s="569"/>
      <c r="X478" s="569"/>
      <c r="Y478" s="569"/>
      <c r="Z478" s="569"/>
      <c r="AA478" s="569"/>
      <c r="AB478" s="569"/>
      <c r="AC478" s="569"/>
      <c r="AD478" s="569"/>
      <c r="AE478" s="569"/>
      <c r="AF478" s="569"/>
      <c r="AG478" s="569"/>
      <c r="AH478" s="569"/>
      <c r="AI478" s="569"/>
      <c r="AJ478" s="569"/>
      <c r="AK478" s="569"/>
      <c r="AL478" s="569"/>
      <c r="AM478" s="569"/>
      <c r="AN478" s="574">
        <v>13.6</v>
      </c>
      <c r="AO478">
        <v>477</v>
      </c>
      <c r="AP478" t="str">
        <f t="shared" si="105"/>
        <v/>
      </c>
      <c r="AQ478" t="str">
        <f t="shared" si="95"/>
        <v/>
      </c>
      <c r="AR478" s="430">
        <f>IFERROR(
IF(AP478="",-100,
IF($BV$2&gt;0, INDEX(Beersheet!$A:$U,MATCH(AP478,INDEX(Beersheet!$A:$U,0,FFARawStatProjections!$BV$2),0),$BV$3)+$BN478,
INDEX($A478:$BM478,,$BV$12)*$BW$12+
INDEX($A478:$BM478,,$BV$15)*$BW$15+
INDEX($A478:$BM478,,$BV$16)*$BW$16+
INDEX($A478:$BM478,,$BV$17)*$BW$17+
INDEX($A478:$BM478,,$BV$18)*$BW$18+
INDEX($A478:$BM478,,$BV$19)*$BW$19+
INDEX($A478:$BM478,,$BV$20)*$BW$20+
INDEX($A478:$BM478,,$BV$21)*$BW$21+
INDEX($A478:$BM478,,$BV$22)*$BW$22+
INDEX($A478:$BM478,,$BV$23)*$BW$23+
INDEX($A478:$BM478,,$BV$25)*$BW$25+
INDEX($A478:$BM478,,$BV$26)*$BW$26+
INDEX($A478:$BM478,,$BV$27)*$BW$27+
$BN478)),
$BN478-100)</f>
        <v>-100</v>
      </c>
      <c r="AT478" t="str">
        <f t="shared" si="96"/>
        <v/>
      </c>
      <c r="AU478" t="str">
        <f t="shared" si="97"/>
        <v/>
      </c>
      <c r="AV478" s="430">
        <f>IFERROR(
IF(AT478="",-100,
IF($BV$2&gt;0, INDEX(Beersheet!$A:$U,MATCH(AT478,INDEX(Beersheet!$A:$U,0,FFARawStatProjections!$BV$2),0),$BV$3)+$BN478,
INDEX($A478:$BM478,,$BV$12)*$BW$12+
INDEX($A478:$BM478,,$BV$15)*$BW$15+
INDEX($A478:$BM478,,$BV$16)*$BW$16+
INDEX($A478:$BM478,,$BV$17)*$BW$17+
INDEX($A478:$BM478,,$BV$18)*$BW$18+
INDEX($A478:$BM478,,$BV$19)*$BW$19+
INDEX($A478:$BM478,,$BV$20)*$BW$20+
INDEX($A478:$BM478,,$BV$21)*$BW$21+
INDEX($A478:$BM478,,$BV$22)*$BW$22+
INDEX($A478:$BM478,,$BV$23)*$BW$23+
INDEX($A478:$BM478,,$BV$25)*$BW$25+
INDEX($A478:$BM478,,$BV$26)*$BW$26+
INDEX($A478:$BM478,,$BV$27)*$BW$27+
$BN478)),
$BN478-100)</f>
        <v>-100</v>
      </c>
      <c r="AX478" t="str">
        <f t="shared" si="98"/>
        <v>Velus Jones</v>
      </c>
      <c r="AY478" t="str">
        <f t="shared" si="99"/>
        <v>CHI</v>
      </c>
      <c r="AZ478" s="430">
        <f>IFERROR(
IF(AX478="",-100,
IF($BV$2&gt;0, INDEX(Beersheet!$A:$U,MATCH(AX478,INDEX(Beersheet!$A:$U,0,FFARawStatProjections!$BV$2),0),$BV$3)+$BN478,
INDEX($A478:$BM478,,$BV$12)*$BW$12+
INDEX($A478:$BM478,,$BV$15)*$BW$15+
INDEX($A478:$BM478,,$BV$16)*$BW$16+
INDEX($A478:$BM478,,$BV$17)*$BW$17+
INDEX($A478:$BM478,,$BV$18)*$BW$18+
INDEX($A478:$BM478,,$BV$19)*$BW$19+
INDEX($A478:$BM478,,$BV$20)*$BW$20+
INDEX($A478:$BM478,,$BV$21)*$BW$21+
INDEX($A478:$BM478,,$BV$22)*$BW$22+
INDEX($A478:$BM478,,$BV$23)*$BW$23+
INDEX($A478:$BM478,,$BV$25)*$BW$25+
INDEX($A478:$BM478,,$BV$26)*$BW$26+
INDEX($A478:$BM478,,$BV$27)*$BW$27+
$BN478)),
$BN478-100)</f>
        <v>18.70477</v>
      </c>
      <c r="BB478" t="str">
        <f t="shared" si="100"/>
        <v/>
      </c>
      <c r="BC478" t="str">
        <f t="shared" si="94"/>
        <v/>
      </c>
      <c r="BD478" s="430">
        <f>IFERROR(
IF(BB478="",-100,
IF($BV$2&gt;0, INDEX(Beersheet!$A:$U,MATCH(BB478,INDEX(Beersheet!$A:$U,0,FFARawStatProjections!$BV$2),0),$BV$3)+$BN478,
INDEX($A478:$BM478,,$BV$12)*$BW$12+
INDEX($A478:$BM478,,$BV$15)*$BW$15+
INDEX($A478:$BM478,,$BV$16)*$BW$16+
INDEX($A478:$BM478,,$BV$17)*$BW$17+
INDEX($A478:$BM478,,$BV$18)*$BW$18+
INDEX($A478:$BM478,,$BV$19)*$BW$19+
INDEX($A478:$BM478,,$BV$20)*$BW$20+
INDEX($A478:$BM478,,$BV$21)*$BW$21+
INDEX($A478:$BM478,,$BV$22)*$BW$22+
INDEX($A478:$BM478,,$BV$23)*$BW$23+
INDEX($A478:$BM478,,$BV$25)*$BW$25+
INDEX($A478:$BM478,,$BV$26)*$BW$26+
INDEX($A478:$BM478,,$BV$27)*$BW$27+
$BN478)),
$BN478-100)</f>
        <v>-100</v>
      </c>
      <c r="BF478" t="str">
        <f t="shared" si="101"/>
        <v/>
      </c>
      <c r="BG478" t="str">
        <f t="shared" si="102"/>
        <v/>
      </c>
      <c r="BH478">
        <f t="shared" si="103"/>
        <v>0</v>
      </c>
      <c r="BJ478" t="str">
        <f t="shared" si="104"/>
        <v/>
      </c>
      <c r="BL478">
        <f t="shared" si="106"/>
        <v>0</v>
      </c>
      <c r="BN478">
        <v>4.7699999999999999E-3</v>
      </c>
      <c r="BS478" s="4" t="s">
        <v>1247</v>
      </c>
    </row>
    <row r="479" spans="1:71" ht="15.75" thickBot="1" x14ac:dyDescent="0.3">
      <c r="A479" s="569" t="s">
        <v>2226</v>
      </c>
      <c r="B479" s="569" t="s">
        <v>144</v>
      </c>
      <c r="C479" s="569" t="s">
        <v>6</v>
      </c>
      <c r="D479" s="574">
        <v>9</v>
      </c>
      <c r="E479" s="569"/>
      <c r="F479" s="569"/>
      <c r="G479" s="569"/>
      <c r="H479" s="569"/>
      <c r="I479" s="574">
        <v>0</v>
      </c>
      <c r="J479" s="574">
        <v>0</v>
      </c>
      <c r="K479" s="574">
        <v>0</v>
      </c>
      <c r="L479" s="574">
        <v>8.5</v>
      </c>
      <c r="M479" s="574">
        <v>0.5</v>
      </c>
      <c r="N479" s="574">
        <v>97.2</v>
      </c>
      <c r="O479" s="574">
        <v>0.8</v>
      </c>
      <c r="P479" s="574">
        <v>0</v>
      </c>
      <c r="Q479" s="574">
        <v>7.3</v>
      </c>
      <c r="R479" s="569"/>
      <c r="S479" s="569"/>
      <c r="T479" s="569"/>
      <c r="U479" s="569"/>
      <c r="V479" s="569"/>
      <c r="W479" s="569"/>
      <c r="X479" s="569"/>
      <c r="Y479" s="569"/>
      <c r="Z479" s="569"/>
      <c r="AA479" s="569"/>
      <c r="AB479" s="569"/>
      <c r="AC479" s="569"/>
      <c r="AD479" s="569"/>
      <c r="AE479" s="569"/>
      <c r="AF479" s="569"/>
      <c r="AG479" s="569"/>
      <c r="AH479" s="569"/>
      <c r="AI479" s="569"/>
      <c r="AJ479" s="569"/>
      <c r="AK479" s="569"/>
      <c r="AL479" s="569"/>
      <c r="AM479" s="569"/>
      <c r="AN479" s="574">
        <v>13.5</v>
      </c>
      <c r="AO479">
        <v>478</v>
      </c>
      <c r="AP479" t="str">
        <f t="shared" si="105"/>
        <v/>
      </c>
      <c r="AQ479" t="str">
        <f t="shared" si="95"/>
        <v/>
      </c>
      <c r="AR479" s="430">
        <f>IFERROR(
IF(AP479="",-100,
IF($BV$2&gt;0, INDEX(Beersheet!$A:$U,MATCH(AP479,INDEX(Beersheet!$A:$U,0,FFARawStatProjections!$BV$2),0),$BV$3)+$BN479,
INDEX($A479:$BM479,,$BV$12)*$BW$12+
INDEX($A479:$BM479,,$BV$15)*$BW$15+
INDEX($A479:$BM479,,$BV$16)*$BW$16+
INDEX($A479:$BM479,,$BV$17)*$BW$17+
INDEX($A479:$BM479,,$BV$18)*$BW$18+
INDEX($A479:$BM479,,$BV$19)*$BW$19+
INDEX($A479:$BM479,,$BV$20)*$BW$20+
INDEX($A479:$BM479,,$BV$21)*$BW$21+
INDEX($A479:$BM479,,$BV$22)*$BW$22+
INDEX($A479:$BM479,,$BV$23)*$BW$23+
INDEX($A479:$BM479,,$BV$25)*$BW$25+
INDEX($A479:$BM479,,$BV$26)*$BW$26+
INDEX($A479:$BM479,,$BV$27)*$BW$27+
$BN479)),
$BN479-100)</f>
        <v>-100</v>
      </c>
      <c r="AT479" t="str">
        <f t="shared" si="96"/>
        <v/>
      </c>
      <c r="AU479" t="str">
        <f t="shared" si="97"/>
        <v/>
      </c>
      <c r="AV479" s="430">
        <f>IFERROR(
IF(AT479="",-100,
IF($BV$2&gt;0, INDEX(Beersheet!$A:$U,MATCH(AT479,INDEX(Beersheet!$A:$U,0,FFARawStatProjections!$BV$2),0),$BV$3)+$BN479,
INDEX($A479:$BM479,,$BV$12)*$BW$12+
INDEX($A479:$BM479,,$BV$15)*$BW$15+
INDEX($A479:$BM479,,$BV$16)*$BW$16+
INDEX($A479:$BM479,,$BV$17)*$BW$17+
INDEX($A479:$BM479,,$BV$18)*$BW$18+
INDEX($A479:$BM479,,$BV$19)*$BW$19+
INDEX($A479:$BM479,,$BV$20)*$BW$20+
INDEX($A479:$BM479,,$BV$21)*$BW$21+
INDEX($A479:$BM479,,$BV$22)*$BW$22+
INDEX($A479:$BM479,,$BV$23)*$BW$23+
INDEX($A479:$BM479,,$BV$25)*$BW$25+
INDEX($A479:$BM479,,$BV$26)*$BW$26+
INDEX($A479:$BM479,,$BV$27)*$BW$27+
$BN479)),
$BN479-100)</f>
        <v>-100</v>
      </c>
      <c r="AX479" t="str">
        <f t="shared" si="98"/>
        <v>Kendall Hinton</v>
      </c>
      <c r="AY479" t="str">
        <f t="shared" si="99"/>
        <v>DEN</v>
      </c>
      <c r="AZ479" s="430">
        <f>IFERROR(
IF(AX479="",-100,
IF($BV$2&gt;0, INDEX(Beersheet!$A:$U,MATCH(AX479,INDEX(Beersheet!$A:$U,0,FFARawStatProjections!$BV$2),0),$BV$3)+$BN479,
INDEX($A479:$BM479,,$BV$12)*$BW$12+
INDEX($A479:$BM479,,$BV$15)*$BW$15+
INDEX($A479:$BM479,,$BV$16)*$BW$16+
INDEX($A479:$BM479,,$BV$17)*$BW$17+
INDEX($A479:$BM479,,$BV$18)*$BW$18+
INDEX($A479:$BM479,,$BV$19)*$BW$19+
INDEX($A479:$BM479,,$BV$20)*$BW$20+
INDEX($A479:$BM479,,$BV$21)*$BW$21+
INDEX($A479:$BM479,,$BV$22)*$BW$22+
INDEX($A479:$BM479,,$BV$23)*$BW$23+
INDEX($A479:$BM479,,$BV$25)*$BW$25+
INDEX($A479:$BM479,,$BV$26)*$BW$26+
INDEX($A479:$BM479,,$BV$27)*$BW$27+
$BN479)),
$BN479-100)</f>
        <v>21.95478</v>
      </c>
      <c r="BB479" t="str">
        <f t="shared" si="100"/>
        <v/>
      </c>
      <c r="BC479" t="str">
        <f t="shared" si="94"/>
        <v/>
      </c>
      <c r="BD479" s="430">
        <f>IFERROR(
IF(BB479="",-100,
IF($BV$2&gt;0, INDEX(Beersheet!$A:$U,MATCH(BB479,INDEX(Beersheet!$A:$U,0,FFARawStatProjections!$BV$2),0),$BV$3)+$BN479,
INDEX($A479:$BM479,,$BV$12)*$BW$12+
INDEX($A479:$BM479,,$BV$15)*$BW$15+
INDEX($A479:$BM479,,$BV$16)*$BW$16+
INDEX($A479:$BM479,,$BV$17)*$BW$17+
INDEX($A479:$BM479,,$BV$18)*$BW$18+
INDEX($A479:$BM479,,$BV$19)*$BW$19+
INDEX($A479:$BM479,,$BV$20)*$BW$20+
INDEX($A479:$BM479,,$BV$21)*$BW$21+
INDEX($A479:$BM479,,$BV$22)*$BW$22+
INDEX($A479:$BM479,,$BV$23)*$BW$23+
INDEX($A479:$BM479,,$BV$25)*$BW$25+
INDEX($A479:$BM479,,$BV$26)*$BW$26+
INDEX($A479:$BM479,,$BV$27)*$BW$27+
$BN479)),
$BN479-100)</f>
        <v>-100</v>
      </c>
      <c r="BF479" t="str">
        <f t="shared" si="101"/>
        <v/>
      </c>
      <c r="BG479" t="str">
        <f t="shared" si="102"/>
        <v/>
      </c>
      <c r="BH479">
        <f t="shared" si="103"/>
        <v>0</v>
      </c>
      <c r="BJ479" t="str">
        <f t="shared" si="104"/>
        <v/>
      </c>
      <c r="BL479">
        <f t="shared" si="106"/>
        <v>0</v>
      </c>
      <c r="BN479">
        <v>4.7800000000000004E-3</v>
      </c>
      <c r="BS479" s="4" t="s">
        <v>118</v>
      </c>
    </row>
    <row r="480" spans="1:71" ht="15.75" thickBot="1" x14ac:dyDescent="0.3">
      <c r="A480" s="569" t="s">
        <v>1336</v>
      </c>
      <c r="B480" s="569" t="s">
        <v>2073</v>
      </c>
      <c r="C480" s="569" t="s">
        <v>6</v>
      </c>
      <c r="D480" s="574">
        <v>13</v>
      </c>
      <c r="E480" s="569"/>
      <c r="F480" s="569"/>
      <c r="G480" s="569"/>
      <c r="H480" s="569"/>
      <c r="I480" s="574">
        <v>0</v>
      </c>
      <c r="J480" s="574">
        <v>0</v>
      </c>
      <c r="K480" s="574">
        <v>0</v>
      </c>
      <c r="L480" s="574">
        <v>9</v>
      </c>
      <c r="M480" s="574">
        <v>0.4</v>
      </c>
      <c r="N480" s="574">
        <v>105.2</v>
      </c>
      <c r="O480" s="574">
        <v>0.5</v>
      </c>
      <c r="P480" s="574">
        <v>0</v>
      </c>
      <c r="Q480" s="574">
        <v>7.2</v>
      </c>
      <c r="R480" s="569"/>
      <c r="S480" s="569"/>
      <c r="T480" s="569"/>
      <c r="U480" s="569"/>
      <c r="V480" s="569"/>
      <c r="W480" s="569"/>
      <c r="X480" s="569"/>
      <c r="Y480" s="569"/>
      <c r="Z480" s="569"/>
      <c r="AA480" s="569"/>
      <c r="AB480" s="569"/>
      <c r="AC480" s="569"/>
      <c r="AD480" s="569"/>
      <c r="AE480" s="569"/>
      <c r="AF480" s="569"/>
      <c r="AG480" s="569"/>
      <c r="AH480" s="569"/>
      <c r="AI480" s="569"/>
      <c r="AJ480" s="569"/>
      <c r="AK480" s="569"/>
      <c r="AL480" s="569"/>
      <c r="AM480" s="569"/>
      <c r="AN480" s="574">
        <v>13.4</v>
      </c>
      <c r="AO480">
        <v>479</v>
      </c>
      <c r="AP480" t="str">
        <f t="shared" si="105"/>
        <v/>
      </c>
      <c r="AQ480" t="str">
        <f t="shared" si="95"/>
        <v/>
      </c>
      <c r="AR480" s="430">
        <f>IFERROR(
IF(AP480="",-100,
IF($BV$2&gt;0, INDEX(Beersheet!$A:$U,MATCH(AP480,INDEX(Beersheet!$A:$U,0,FFARawStatProjections!$BV$2),0),$BV$3)+$BN480,
INDEX($A480:$BM480,,$BV$12)*$BW$12+
INDEX($A480:$BM480,,$BV$15)*$BW$15+
INDEX($A480:$BM480,,$BV$16)*$BW$16+
INDEX($A480:$BM480,,$BV$17)*$BW$17+
INDEX($A480:$BM480,,$BV$18)*$BW$18+
INDEX($A480:$BM480,,$BV$19)*$BW$19+
INDEX($A480:$BM480,,$BV$20)*$BW$20+
INDEX($A480:$BM480,,$BV$21)*$BW$21+
INDEX($A480:$BM480,,$BV$22)*$BW$22+
INDEX($A480:$BM480,,$BV$23)*$BW$23+
INDEX($A480:$BM480,,$BV$25)*$BW$25+
INDEX($A480:$BM480,,$BV$26)*$BW$26+
INDEX($A480:$BM480,,$BV$27)*$BW$27+
$BN480)),
$BN480-100)</f>
        <v>-100</v>
      </c>
      <c r="AT480" t="str">
        <f t="shared" si="96"/>
        <v/>
      </c>
      <c r="AU480" t="str">
        <f t="shared" si="97"/>
        <v/>
      </c>
      <c r="AV480" s="430">
        <f>IFERROR(
IF(AT480="",-100,
IF($BV$2&gt;0, INDEX(Beersheet!$A:$U,MATCH(AT480,INDEX(Beersheet!$A:$U,0,FFARawStatProjections!$BV$2),0),$BV$3)+$BN480,
INDEX($A480:$BM480,,$BV$12)*$BW$12+
INDEX($A480:$BM480,,$BV$15)*$BW$15+
INDEX($A480:$BM480,,$BV$16)*$BW$16+
INDEX($A480:$BM480,,$BV$17)*$BW$17+
INDEX($A480:$BM480,,$BV$18)*$BW$18+
INDEX($A480:$BM480,,$BV$19)*$BW$19+
INDEX($A480:$BM480,,$BV$20)*$BW$20+
INDEX($A480:$BM480,,$BV$21)*$BW$21+
INDEX($A480:$BM480,,$BV$22)*$BW$22+
INDEX($A480:$BM480,,$BV$23)*$BW$23+
INDEX($A480:$BM480,,$BV$25)*$BW$25+
INDEX($A480:$BM480,,$BV$26)*$BW$26+
INDEX($A480:$BM480,,$BV$27)*$BW$27+
$BN480)),
$BN480-100)</f>
        <v>-100</v>
      </c>
      <c r="AX480" t="str">
        <f t="shared" si="98"/>
        <v>DeAndre Carter</v>
      </c>
      <c r="AY480" t="str">
        <f t="shared" si="99"/>
        <v>LV</v>
      </c>
      <c r="AZ480" s="430">
        <f>IFERROR(
IF(AX480="",-100,
IF($BV$2&gt;0, INDEX(Beersheet!$A:$U,MATCH(AX480,INDEX(Beersheet!$A:$U,0,FFARawStatProjections!$BV$2),0),$BV$3)+$BN480,
INDEX($A480:$BM480,,$BV$12)*$BW$12+
INDEX($A480:$BM480,,$BV$15)*$BW$15+
INDEX($A480:$BM480,,$BV$16)*$BW$16+
INDEX($A480:$BM480,,$BV$17)*$BW$17+
INDEX($A480:$BM480,,$BV$18)*$BW$18+
INDEX($A480:$BM480,,$BV$19)*$BW$19+
INDEX($A480:$BM480,,$BV$20)*$BW$20+
INDEX($A480:$BM480,,$BV$21)*$BW$21+
INDEX($A480:$BM480,,$BV$22)*$BW$22+
INDEX($A480:$BM480,,$BV$23)*$BW$23+
INDEX($A480:$BM480,,$BV$25)*$BW$25+
INDEX($A480:$BM480,,$BV$26)*$BW$26+
INDEX($A480:$BM480,,$BV$27)*$BW$27+
$BN480)),
$BN480-100)</f>
        <v>22.64479</v>
      </c>
      <c r="BB480" t="str">
        <f t="shared" si="100"/>
        <v/>
      </c>
      <c r="BC480" t="str">
        <f t="shared" si="94"/>
        <v/>
      </c>
      <c r="BD480" s="430">
        <f>IFERROR(
IF(BB480="",-100,
IF($BV$2&gt;0, INDEX(Beersheet!$A:$U,MATCH(BB480,INDEX(Beersheet!$A:$U,0,FFARawStatProjections!$BV$2),0),$BV$3)+$BN480,
INDEX($A480:$BM480,,$BV$12)*$BW$12+
INDEX($A480:$BM480,,$BV$15)*$BW$15+
INDEX($A480:$BM480,,$BV$16)*$BW$16+
INDEX($A480:$BM480,,$BV$17)*$BW$17+
INDEX($A480:$BM480,,$BV$18)*$BW$18+
INDEX($A480:$BM480,,$BV$19)*$BW$19+
INDEX($A480:$BM480,,$BV$20)*$BW$20+
INDEX($A480:$BM480,,$BV$21)*$BW$21+
INDEX($A480:$BM480,,$BV$22)*$BW$22+
INDEX($A480:$BM480,,$BV$23)*$BW$23+
INDEX($A480:$BM480,,$BV$25)*$BW$25+
INDEX($A480:$BM480,,$BV$26)*$BW$26+
INDEX($A480:$BM480,,$BV$27)*$BW$27+
$BN480)),
$BN480-100)</f>
        <v>-100</v>
      </c>
      <c r="BF480" t="str">
        <f t="shared" si="101"/>
        <v/>
      </c>
      <c r="BG480" t="str">
        <f t="shared" si="102"/>
        <v/>
      </c>
      <c r="BH480">
        <f t="shared" si="103"/>
        <v>0</v>
      </c>
      <c r="BJ480" t="str">
        <f t="shared" si="104"/>
        <v/>
      </c>
      <c r="BL480">
        <f t="shared" si="106"/>
        <v>0</v>
      </c>
      <c r="BN480">
        <v>4.79E-3</v>
      </c>
      <c r="BS480" s="4" t="s">
        <v>2442</v>
      </c>
    </row>
    <row r="481" spans="1:71" ht="15.75" thickBot="1" x14ac:dyDescent="0.3">
      <c r="A481" s="569" t="s">
        <v>2568</v>
      </c>
      <c r="B481" s="569" t="s">
        <v>148</v>
      </c>
      <c r="C481" s="569" t="s">
        <v>6</v>
      </c>
      <c r="D481" s="574">
        <v>11</v>
      </c>
      <c r="E481" s="569"/>
      <c r="F481" s="569"/>
      <c r="G481" s="569"/>
      <c r="H481" s="569"/>
      <c r="I481" s="574">
        <v>0</v>
      </c>
      <c r="J481" s="574">
        <v>0</v>
      </c>
      <c r="K481" s="574">
        <v>0</v>
      </c>
      <c r="L481" s="574">
        <v>8.9</v>
      </c>
      <c r="M481" s="574">
        <v>0.5</v>
      </c>
      <c r="N481" s="574">
        <v>103</v>
      </c>
      <c r="O481" s="574">
        <v>0</v>
      </c>
      <c r="P481" s="574">
        <v>0</v>
      </c>
      <c r="Q481" s="574">
        <v>0</v>
      </c>
      <c r="R481" s="569"/>
      <c r="S481" s="569"/>
      <c r="T481" s="569"/>
      <c r="U481" s="569"/>
      <c r="V481" s="569"/>
      <c r="W481" s="569"/>
      <c r="X481" s="569"/>
      <c r="Y481" s="569"/>
      <c r="Z481" s="569"/>
      <c r="AA481" s="569"/>
      <c r="AB481" s="569"/>
      <c r="AC481" s="569"/>
      <c r="AD481" s="569"/>
      <c r="AE481" s="569"/>
      <c r="AF481" s="569"/>
      <c r="AG481" s="569"/>
      <c r="AH481" s="569"/>
      <c r="AI481" s="569"/>
      <c r="AJ481" s="569"/>
      <c r="AK481" s="569"/>
      <c r="AL481" s="569"/>
      <c r="AM481" s="569"/>
      <c r="AN481" s="574">
        <v>12.9</v>
      </c>
      <c r="AO481">
        <v>480</v>
      </c>
      <c r="AP481" t="str">
        <f t="shared" si="105"/>
        <v/>
      </c>
      <c r="AQ481" t="str">
        <f t="shared" si="95"/>
        <v/>
      </c>
      <c r="AR481" s="430">
        <f>IFERROR(
IF(AP481="",-100,
IF($BV$2&gt;0, INDEX(Beersheet!$A:$U,MATCH(AP481,INDEX(Beersheet!$A:$U,0,FFARawStatProjections!$BV$2),0),$BV$3)+$BN481,
INDEX($A481:$BM481,,$BV$12)*$BW$12+
INDEX($A481:$BM481,,$BV$15)*$BW$15+
INDEX($A481:$BM481,,$BV$16)*$BW$16+
INDEX($A481:$BM481,,$BV$17)*$BW$17+
INDEX($A481:$BM481,,$BV$18)*$BW$18+
INDEX($A481:$BM481,,$BV$19)*$BW$19+
INDEX($A481:$BM481,,$BV$20)*$BW$20+
INDEX($A481:$BM481,,$BV$21)*$BW$21+
INDEX($A481:$BM481,,$BV$22)*$BW$22+
INDEX($A481:$BM481,,$BV$23)*$BW$23+
INDEX($A481:$BM481,,$BV$25)*$BW$25+
INDEX($A481:$BM481,,$BV$26)*$BW$26+
INDEX($A481:$BM481,,$BV$27)*$BW$27+
$BN481)),
$BN481-100)</f>
        <v>-100</v>
      </c>
      <c r="AT481" t="str">
        <f t="shared" si="96"/>
        <v/>
      </c>
      <c r="AU481" t="str">
        <f t="shared" si="97"/>
        <v/>
      </c>
      <c r="AV481" s="430">
        <f>IFERROR(
IF(AT481="",-100,
IF($BV$2&gt;0, INDEX(Beersheet!$A:$U,MATCH(AT481,INDEX(Beersheet!$A:$U,0,FFARawStatProjections!$BV$2),0),$BV$3)+$BN481,
INDEX($A481:$BM481,,$BV$12)*$BW$12+
INDEX($A481:$BM481,,$BV$15)*$BW$15+
INDEX($A481:$BM481,,$BV$16)*$BW$16+
INDEX($A481:$BM481,,$BV$17)*$BW$17+
INDEX($A481:$BM481,,$BV$18)*$BW$18+
INDEX($A481:$BM481,,$BV$19)*$BW$19+
INDEX($A481:$BM481,,$BV$20)*$BW$20+
INDEX($A481:$BM481,,$BV$21)*$BW$21+
INDEX($A481:$BM481,,$BV$22)*$BW$22+
INDEX($A481:$BM481,,$BV$23)*$BW$23+
INDEX($A481:$BM481,,$BV$25)*$BW$25+
INDEX($A481:$BM481,,$BV$26)*$BW$26+
INDEX($A481:$BM481,,$BV$27)*$BW$27+
$BN481)),
$BN481-100)</f>
        <v>-100</v>
      </c>
      <c r="AX481" t="str">
        <f t="shared" si="98"/>
        <v>Penny Hart</v>
      </c>
      <c r="AY481" t="str">
        <f t="shared" si="99"/>
        <v>ATL</v>
      </c>
      <c r="AZ481" s="430">
        <f>IFERROR(
IF(AX481="",-100,
IF($BV$2&gt;0, INDEX(Beersheet!$A:$U,MATCH(AX481,INDEX(Beersheet!$A:$U,0,FFARawStatProjections!$BV$2),0),$BV$3)+$BN481,
INDEX($A481:$BM481,,$BV$12)*$BW$12+
INDEX($A481:$BM481,,$BV$15)*$BW$15+
INDEX($A481:$BM481,,$BV$16)*$BW$16+
INDEX($A481:$BM481,,$BV$17)*$BW$17+
INDEX($A481:$BM481,,$BV$18)*$BW$18+
INDEX($A481:$BM481,,$BV$19)*$BW$19+
INDEX($A481:$BM481,,$BV$20)*$BW$20+
INDEX($A481:$BM481,,$BV$21)*$BW$21+
INDEX($A481:$BM481,,$BV$22)*$BW$22+
INDEX($A481:$BM481,,$BV$23)*$BW$23+
INDEX($A481:$BM481,,$BV$25)*$BW$25+
INDEX($A481:$BM481,,$BV$26)*$BW$26+
INDEX($A481:$BM481,,$BV$27)*$BW$27+
$BN481)),
$BN481-100)</f>
        <v>22.204800000000002</v>
      </c>
      <c r="BB481" t="str">
        <f t="shared" si="100"/>
        <v/>
      </c>
      <c r="BC481" t="str">
        <f t="shared" si="94"/>
        <v/>
      </c>
      <c r="BD481" s="430">
        <f>IFERROR(
IF(BB481="",-100,
IF($BV$2&gt;0, INDEX(Beersheet!$A:$U,MATCH(BB481,INDEX(Beersheet!$A:$U,0,FFARawStatProjections!$BV$2),0),$BV$3)+$BN481,
INDEX($A481:$BM481,,$BV$12)*$BW$12+
INDEX($A481:$BM481,,$BV$15)*$BW$15+
INDEX($A481:$BM481,,$BV$16)*$BW$16+
INDEX($A481:$BM481,,$BV$17)*$BW$17+
INDEX($A481:$BM481,,$BV$18)*$BW$18+
INDEX($A481:$BM481,,$BV$19)*$BW$19+
INDEX($A481:$BM481,,$BV$20)*$BW$20+
INDEX($A481:$BM481,,$BV$21)*$BW$21+
INDEX($A481:$BM481,,$BV$22)*$BW$22+
INDEX($A481:$BM481,,$BV$23)*$BW$23+
INDEX($A481:$BM481,,$BV$25)*$BW$25+
INDEX($A481:$BM481,,$BV$26)*$BW$26+
INDEX($A481:$BM481,,$BV$27)*$BW$27+
$BN481)),
$BN481-100)</f>
        <v>-100</v>
      </c>
      <c r="BF481" t="str">
        <f t="shared" si="101"/>
        <v/>
      </c>
      <c r="BG481" t="str">
        <f t="shared" si="102"/>
        <v/>
      </c>
      <c r="BH481">
        <f t="shared" si="103"/>
        <v>0</v>
      </c>
      <c r="BJ481" t="str">
        <f t="shared" si="104"/>
        <v/>
      </c>
      <c r="BL481">
        <f t="shared" si="106"/>
        <v>0</v>
      </c>
      <c r="BN481">
        <v>4.7999999999999996E-3</v>
      </c>
      <c r="BS481" s="4" t="s">
        <v>2353</v>
      </c>
    </row>
    <row r="482" spans="1:71" ht="15.75" thickBot="1" x14ac:dyDescent="0.3">
      <c r="A482" s="569" t="s">
        <v>2331</v>
      </c>
      <c r="B482" s="569" t="s">
        <v>140</v>
      </c>
      <c r="C482" s="569" t="s">
        <v>6</v>
      </c>
      <c r="D482" s="574">
        <v>5</v>
      </c>
      <c r="E482" s="569"/>
      <c r="F482" s="569"/>
      <c r="G482" s="569"/>
      <c r="H482" s="569"/>
      <c r="I482" s="574">
        <v>0</v>
      </c>
      <c r="J482" s="574">
        <v>0</v>
      </c>
      <c r="K482" s="574">
        <v>0</v>
      </c>
      <c r="L482" s="574">
        <v>8.6999999999999993</v>
      </c>
      <c r="M482" s="574">
        <v>0.4</v>
      </c>
      <c r="N482" s="574">
        <v>82</v>
      </c>
      <c r="O482" s="574">
        <v>2.8</v>
      </c>
      <c r="P482" s="574">
        <v>0.1</v>
      </c>
      <c r="Q482" s="574">
        <v>17.600000000000001</v>
      </c>
      <c r="R482" s="569"/>
      <c r="S482" s="569"/>
      <c r="T482" s="569"/>
      <c r="U482" s="569"/>
      <c r="V482" s="569"/>
      <c r="W482" s="569"/>
      <c r="X482" s="569"/>
      <c r="Y482" s="569"/>
      <c r="Z482" s="569"/>
      <c r="AA482" s="569"/>
      <c r="AB482" s="569"/>
      <c r="AC482" s="569"/>
      <c r="AD482" s="569"/>
      <c r="AE482" s="569"/>
      <c r="AF482" s="569"/>
      <c r="AG482" s="569"/>
      <c r="AH482" s="569"/>
      <c r="AI482" s="569"/>
      <c r="AJ482" s="569"/>
      <c r="AK482" s="569"/>
      <c r="AL482" s="569"/>
      <c r="AM482" s="569"/>
      <c r="AN482" s="574">
        <v>12.8</v>
      </c>
      <c r="AO482">
        <v>481</v>
      </c>
      <c r="AP482" t="str">
        <f t="shared" si="105"/>
        <v/>
      </c>
      <c r="AQ482" t="str">
        <f t="shared" si="95"/>
        <v/>
      </c>
      <c r="AR482" s="430">
        <f>IFERROR(
IF(AP482="",-100,
IF($BV$2&gt;0, INDEX(Beersheet!$A:$U,MATCH(AP482,INDEX(Beersheet!$A:$U,0,FFARawStatProjections!$BV$2),0),$BV$3)+$BN482,
INDEX($A482:$BM482,,$BV$12)*$BW$12+
INDEX($A482:$BM482,,$BV$15)*$BW$15+
INDEX($A482:$BM482,,$BV$16)*$BW$16+
INDEX($A482:$BM482,,$BV$17)*$BW$17+
INDEX($A482:$BM482,,$BV$18)*$BW$18+
INDEX($A482:$BM482,,$BV$19)*$BW$19+
INDEX($A482:$BM482,,$BV$20)*$BW$20+
INDEX($A482:$BM482,,$BV$21)*$BW$21+
INDEX($A482:$BM482,,$BV$22)*$BW$22+
INDEX($A482:$BM482,,$BV$23)*$BW$23+
INDEX($A482:$BM482,,$BV$25)*$BW$25+
INDEX($A482:$BM482,,$BV$26)*$BW$26+
INDEX($A482:$BM482,,$BV$27)*$BW$27+
$BN482)),
$BN482-100)</f>
        <v>-100</v>
      </c>
      <c r="AT482" t="str">
        <f t="shared" si="96"/>
        <v/>
      </c>
      <c r="AU482" t="str">
        <f t="shared" si="97"/>
        <v/>
      </c>
      <c r="AV482" s="430">
        <f>IFERROR(
IF(AT482="",-100,
IF($BV$2&gt;0, INDEX(Beersheet!$A:$U,MATCH(AT482,INDEX(Beersheet!$A:$U,0,FFARawStatProjections!$BV$2),0),$BV$3)+$BN482,
INDEX($A482:$BM482,,$BV$12)*$BW$12+
INDEX($A482:$BM482,,$BV$15)*$BW$15+
INDEX($A482:$BM482,,$BV$16)*$BW$16+
INDEX($A482:$BM482,,$BV$17)*$BW$17+
INDEX($A482:$BM482,,$BV$18)*$BW$18+
INDEX($A482:$BM482,,$BV$19)*$BW$19+
INDEX($A482:$BM482,,$BV$20)*$BW$20+
INDEX($A482:$BM482,,$BV$21)*$BW$21+
INDEX($A482:$BM482,,$BV$22)*$BW$22+
INDEX($A482:$BM482,,$BV$23)*$BW$23+
INDEX($A482:$BM482,,$BV$25)*$BW$25+
INDEX($A482:$BM482,,$BV$26)*$BW$26+
INDEX($A482:$BM482,,$BV$27)*$BW$27+
$BN482)),
$BN482-100)</f>
        <v>-100</v>
      </c>
      <c r="AX482" t="str">
        <f t="shared" si="98"/>
        <v>Dee Eskridge</v>
      </c>
      <c r="AY482" t="str">
        <f t="shared" si="99"/>
        <v>SEA</v>
      </c>
      <c r="AZ482" s="430">
        <f>IFERROR(
IF(AX482="",-100,
IF($BV$2&gt;0, INDEX(Beersheet!$A:$U,MATCH(AX482,INDEX(Beersheet!$A:$U,0,FFARawStatProjections!$BV$2),0),$BV$3)+$BN482,
INDEX($A482:$BM482,,$BV$12)*$BW$12+
INDEX($A482:$BM482,,$BV$15)*$BW$15+
INDEX($A482:$BM482,,$BV$16)*$BW$16+
INDEX($A482:$BM482,,$BV$17)*$BW$17+
INDEX($A482:$BM482,,$BV$18)*$BW$18+
INDEX($A482:$BM482,,$BV$19)*$BW$19+
INDEX($A482:$BM482,,$BV$20)*$BW$20+
INDEX($A482:$BM482,,$BV$21)*$BW$21+
INDEX($A482:$BM482,,$BV$22)*$BW$22+
INDEX($A482:$BM482,,$BV$23)*$BW$23+
INDEX($A482:$BM482,,$BV$25)*$BW$25+
INDEX($A482:$BM482,,$BV$26)*$BW$26+
INDEX($A482:$BM482,,$BV$27)*$BW$27+
$BN482)),
$BN482-100)</f>
        <v>21.664810000000003</v>
      </c>
      <c r="BB482" t="str">
        <f t="shared" si="100"/>
        <v/>
      </c>
      <c r="BC482" t="str">
        <f t="shared" si="94"/>
        <v/>
      </c>
      <c r="BD482" s="430">
        <f>IFERROR(
IF(BB482="",-100,
IF($BV$2&gt;0, INDEX(Beersheet!$A:$U,MATCH(BB482,INDEX(Beersheet!$A:$U,0,FFARawStatProjections!$BV$2),0),$BV$3)+$BN482,
INDEX($A482:$BM482,,$BV$12)*$BW$12+
INDEX($A482:$BM482,,$BV$15)*$BW$15+
INDEX($A482:$BM482,,$BV$16)*$BW$16+
INDEX($A482:$BM482,,$BV$17)*$BW$17+
INDEX($A482:$BM482,,$BV$18)*$BW$18+
INDEX($A482:$BM482,,$BV$19)*$BW$19+
INDEX($A482:$BM482,,$BV$20)*$BW$20+
INDEX($A482:$BM482,,$BV$21)*$BW$21+
INDEX($A482:$BM482,,$BV$22)*$BW$22+
INDEX($A482:$BM482,,$BV$23)*$BW$23+
INDEX($A482:$BM482,,$BV$25)*$BW$25+
INDEX($A482:$BM482,,$BV$26)*$BW$26+
INDEX($A482:$BM482,,$BV$27)*$BW$27+
$BN482)),
$BN482-100)</f>
        <v>-100</v>
      </c>
      <c r="BF482" t="str">
        <f t="shared" si="101"/>
        <v/>
      </c>
      <c r="BG482" t="str">
        <f t="shared" si="102"/>
        <v/>
      </c>
      <c r="BH482">
        <f t="shared" si="103"/>
        <v>0</v>
      </c>
      <c r="BJ482" t="str">
        <f t="shared" si="104"/>
        <v/>
      </c>
      <c r="BL482">
        <f t="shared" si="106"/>
        <v>0</v>
      </c>
      <c r="BN482">
        <v>4.81E-3</v>
      </c>
      <c r="BS482" s="4" t="s">
        <v>2150</v>
      </c>
    </row>
    <row r="483" spans="1:71" ht="15.75" thickBot="1" x14ac:dyDescent="0.3">
      <c r="A483" s="569" t="s">
        <v>1108</v>
      </c>
      <c r="B483" s="569" t="s">
        <v>2073</v>
      </c>
      <c r="C483" s="569" t="s">
        <v>6</v>
      </c>
      <c r="D483" s="574">
        <v>13</v>
      </c>
      <c r="E483" s="569"/>
      <c r="F483" s="569"/>
      <c r="G483" s="569"/>
      <c r="H483" s="569"/>
      <c r="I483" s="574">
        <v>0</v>
      </c>
      <c r="J483" s="574">
        <v>0</v>
      </c>
      <c r="K483" s="574">
        <v>0</v>
      </c>
      <c r="L483" s="574">
        <v>8.9</v>
      </c>
      <c r="M483" s="574">
        <v>0.5</v>
      </c>
      <c r="N483" s="574">
        <v>89.7</v>
      </c>
      <c r="O483" s="574">
        <v>0.1</v>
      </c>
      <c r="P483" s="574">
        <v>0</v>
      </c>
      <c r="Q483" s="574">
        <v>1</v>
      </c>
      <c r="R483" s="569"/>
      <c r="S483" s="569"/>
      <c r="T483" s="569"/>
      <c r="U483" s="569"/>
      <c r="V483" s="569"/>
      <c r="W483" s="569"/>
      <c r="X483" s="569"/>
      <c r="Y483" s="569"/>
      <c r="Z483" s="569"/>
      <c r="AA483" s="569"/>
      <c r="AB483" s="569"/>
      <c r="AC483" s="569"/>
      <c r="AD483" s="569"/>
      <c r="AE483" s="569"/>
      <c r="AF483" s="569"/>
      <c r="AG483" s="569"/>
      <c r="AH483" s="569"/>
      <c r="AI483" s="569"/>
      <c r="AJ483" s="569"/>
      <c r="AK483" s="569"/>
      <c r="AL483" s="569"/>
      <c r="AM483" s="569"/>
      <c r="AN483" s="574">
        <v>12.2</v>
      </c>
      <c r="AO483">
        <v>482</v>
      </c>
      <c r="AP483" t="str">
        <f t="shared" si="105"/>
        <v/>
      </c>
      <c r="AQ483" t="str">
        <f t="shared" si="95"/>
        <v/>
      </c>
      <c r="AR483" s="430">
        <f>IFERROR(
IF(AP483="",-100,
IF($BV$2&gt;0, INDEX(Beersheet!$A:$U,MATCH(AP483,INDEX(Beersheet!$A:$U,0,FFARawStatProjections!$BV$2),0),$BV$3)+$BN483,
INDEX($A483:$BM483,,$BV$12)*$BW$12+
INDEX($A483:$BM483,,$BV$15)*$BW$15+
INDEX($A483:$BM483,,$BV$16)*$BW$16+
INDEX($A483:$BM483,,$BV$17)*$BW$17+
INDEX($A483:$BM483,,$BV$18)*$BW$18+
INDEX($A483:$BM483,,$BV$19)*$BW$19+
INDEX($A483:$BM483,,$BV$20)*$BW$20+
INDEX($A483:$BM483,,$BV$21)*$BW$21+
INDEX($A483:$BM483,,$BV$22)*$BW$22+
INDEX($A483:$BM483,,$BV$23)*$BW$23+
INDEX($A483:$BM483,,$BV$25)*$BW$25+
INDEX($A483:$BM483,,$BV$26)*$BW$26+
INDEX($A483:$BM483,,$BV$27)*$BW$27+
$BN483)),
$BN483-100)</f>
        <v>-100</v>
      </c>
      <c r="AT483" t="str">
        <f t="shared" si="96"/>
        <v/>
      </c>
      <c r="AU483" t="str">
        <f t="shared" si="97"/>
        <v/>
      </c>
      <c r="AV483" s="430">
        <f>IFERROR(
IF(AT483="",-100,
IF($BV$2&gt;0, INDEX(Beersheet!$A:$U,MATCH(AT483,INDEX(Beersheet!$A:$U,0,FFARawStatProjections!$BV$2),0),$BV$3)+$BN483,
INDEX($A483:$BM483,,$BV$12)*$BW$12+
INDEX($A483:$BM483,,$BV$15)*$BW$15+
INDEX($A483:$BM483,,$BV$16)*$BW$16+
INDEX($A483:$BM483,,$BV$17)*$BW$17+
INDEX($A483:$BM483,,$BV$18)*$BW$18+
INDEX($A483:$BM483,,$BV$19)*$BW$19+
INDEX($A483:$BM483,,$BV$20)*$BW$20+
INDEX($A483:$BM483,,$BV$21)*$BW$21+
INDEX($A483:$BM483,,$BV$22)*$BW$22+
INDEX($A483:$BM483,,$BV$23)*$BW$23+
INDEX($A483:$BM483,,$BV$25)*$BW$25+
INDEX($A483:$BM483,,$BV$26)*$BW$26+
INDEX($A483:$BM483,,$BV$27)*$BW$27+
$BN483)),
$BN483-100)</f>
        <v>-100</v>
      </c>
      <c r="AX483" t="str">
        <f t="shared" si="98"/>
        <v>Phillip Dorsett</v>
      </c>
      <c r="AY483" t="str">
        <f t="shared" si="99"/>
        <v>LV</v>
      </c>
      <c r="AZ483" s="430">
        <f>IFERROR(
IF(AX483="",-100,
IF($BV$2&gt;0, INDEX(Beersheet!$A:$U,MATCH(AX483,INDEX(Beersheet!$A:$U,0,FFARawStatProjections!$BV$2),0),$BV$3)+$BN483,
INDEX($A483:$BM483,,$BV$12)*$BW$12+
INDEX($A483:$BM483,,$BV$15)*$BW$15+
INDEX($A483:$BM483,,$BV$16)*$BW$16+
INDEX($A483:$BM483,,$BV$17)*$BW$17+
INDEX($A483:$BM483,,$BV$18)*$BW$18+
INDEX($A483:$BM483,,$BV$19)*$BW$19+
INDEX($A483:$BM483,,$BV$20)*$BW$20+
INDEX($A483:$BM483,,$BV$21)*$BW$21+
INDEX($A483:$BM483,,$BV$22)*$BW$22+
INDEX($A483:$BM483,,$BV$23)*$BW$23+
INDEX($A483:$BM483,,$BV$25)*$BW$25+
INDEX($A483:$BM483,,$BV$26)*$BW$26+
INDEX($A483:$BM483,,$BV$27)*$BW$27+
$BN483)),
$BN483-100)</f>
        <v>20.974820000000001</v>
      </c>
      <c r="BB483" t="str">
        <f t="shared" si="100"/>
        <v/>
      </c>
      <c r="BC483" t="str">
        <f t="shared" si="94"/>
        <v/>
      </c>
      <c r="BD483" s="430">
        <f>IFERROR(
IF(BB483="",-100,
IF($BV$2&gt;0, INDEX(Beersheet!$A:$U,MATCH(BB483,INDEX(Beersheet!$A:$U,0,FFARawStatProjections!$BV$2),0),$BV$3)+$BN483,
INDEX($A483:$BM483,,$BV$12)*$BW$12+
INDEX($A483:$BM483,,$BV$15)*$BW$15+
INDEX($A483:$BM483,,$BV$16)*$BW$16+
INDEX($A483:$BM483,,$BV$17)*$BW$17+
INDEX($A483:$BM483,,$BV$18)*$BW$18+
INDEX($A483:$BM483,,$BV$19)*$BW$19+
INDEX($A483:$BM483,,$BV$20)*$BW$20+
INDEX($A483:$BM483,,$BV$21)*$BW$21+
INDEX($A483:$BM483,,$BV$22)*$BW$22+
INDEX($A483:$BM483,,$BV$23)*$BW$23+
INDEX($A483:$BM483,,$BV$25)*$BW$25+
INDEX($A483:$BM483,,$BV$26)*$BW$26+
INDEX($A483:$BM483,,$BV$27)*$BW$27+
$BN483)),
$BN483-100)</f>
        <v>-100</v>
      </c>
      <c r="BF483" t="str">
        <f t="shared" si="101"/>
        <v/>
      </c>
      <c r="BG483" t="str">
        <f t="shared" si="102"/>
        <v/>
      </c>
      <c r="BH483">
        <f t="shared" si="103"/>
        <v>0</v>
      </c>
      <c r="BJ483" t="str">
        <f t="shared" si="104"/>
        <v/>
      </c>
      <c r="BL483">
        <f t="shared" si="106"/>
        <v>0</v>
      </c>
      <c r="BN483">
        <v>4.8199999999999996E-3</v>
      </c>
      <c r="BS483" s="4" t="s">
        <v>2259</v>
      </c>
    </row>
    <row r="484" spans="1:71" ht="15.75" thickBot="1" x14ac:dyDescent="0.3">
      <c r="A484" s="569" t="s">
        <v>2416</v>
      </c>
      <c r="B484" s="569" t="s">
        <v>148</v>
      </c>
      <c r="C484" s="569" t="s">
        <v>6</v>
      </c>
      <c r="D484" s="574">
        <v>11</v>
      </c>
      <c r="E484" s="569"/>
      <c r="F484" s="569"/>
      <c r="G484" s="569"/>
      <c r="H484" s="569"/>
      <c r="I484" s="574">
        <v>0</v>
      </c>
      <c r="J484" s="574">
        <v>0</v>
      </c>
      <c r="K484" s="574">
        <v>0</v>
      </c>
      <c r="L484" s="574">
        <v>6.8</v>
      </c>
      <c r="M484" s="574">
        <v>0.3</v>
      </c>
      <c r="N484" s="574">
        <v>94.2</v>
      </c>
      <c r="O484" s="574">
        <v>0.4</v>
      </c>
      <c r="P484" s="574">
        <v>0.1</v>
      </c>
      <c r="Q484" s="574">
        <v>5</v>
      </c>
      <c r="R484" s="569"/>
      <c r="S484" s="569"/>
      <c r="T484" s="569"/>
      <c r="U484" s="569"/>
      <c r="V484" s="569"/>
      <c r="W484" s="569"/>
      <c r="X484" s="569"/>
      <c r="Y484" s="569"/>
      <c r="Z484" s="569"/>
      <c r="AA484" s="569"/>
      <c r="AB484" s="569"/>
      <c r="AC484" s="569"/>
      <c r="AD484" s="569"/>
      <c r="AE484" s="569"/>
      <c r="AF484" s="569"/>
      <c r="AG484" s="569"/>
      <c r="AH484" s="569"/>
      <c r="AI484" s="569"/>
      <c r="AJ484" s="569"/>
      <c r="AK484" s="569"/>
      <c r="AL484" s="569"/>
      <c r="AM484" s="569"/>
      <c r="AN484" s="574">
        <v>12.1</v>
      </c>
      <c r="AO484">
        <v>483</v>
      </c>
      <c r="AP484" t="str">
        <f t="shared" si="105"/>
        <v/>
      </c>
      <c r="AQ484" t="str">
        <f t="shared" si="95"/>
        <v/>
      </c>
      <c r="AR484" s="430">
        <f>IFERROR(
IF(AP484="",-100,
IF($BV$2&gt;0, INDEX(Beersheet!$A:$U,MATCH(AP484,INDEX(Beersheet!$A:$U,0,FFARawStatProjections!$BV$2),0),$BV$3)+$BN484,
INDEX($A484:$BM484,,$BV$12)*$BW$12+
INDEX($A484:$BM484,,$BV$15)*$BW$15+
INDEX($A484:$BM484,,$BV$16)*$BW$16+
INDEX($A484:$BM484,,$BV$17)*$BW$17+
INDEX($A484:$BM484,,$BV$18)*$BW$18+
INDEX($A484:$BM484,,$BV$19)*$BW$19+
INDEX($A484:$BM484,,$BV$20)*$BW$20+
INDEX($A484:$BM484,,$BV$21)*$BW$21+
INDEX($A484:$BM484,,$BV$22)*$BW$22+
INDEX($A484:$BM484,,$BV$23)*$BW$23+
INDEX($A484:$BM484,,$BV$25)*$BW$25+
INDEX($A484:$BM484,,$BV$26)*$BW$26+
INDEX($A484:$BM484,,$BV$27)*$BW$27+
$BN484)),
$BN484-100)</f>
        <v>-100</v>
      </c>
      <c r="AT484" t="str">
        <f t="shared" si="96"/>
        <v/>
      </c>
      <c r="AU484" t="str">
        <f t="shared" si="97"/>
        <v/>
      </c>
      <c r="AV484" s="430">
        <f>IFERROR(
IF(AT484="",-100,
IF($BV$2&gt;0, INDEX(Beersheet!$A:$U,MATCH(AT484,INDEX(Beersheet!$A:$U,0,FFARawStatProjections!$BV$2),0),$BV$3)+$BN484,
INDEX($A484:$BM484,,$BV$12)*$BW$12+
INDEX($A484:$BM484,,$BV$15)*$BW$15+
INDEX($A484:$BM484,,$BV$16)*$BW$16+
INDEX($A484:$BM484,,$BV$17)*$BW$17+
INDEX($A484:$BM484,,$BV$18)*$BW$18+
INDEX($A484:$BM484,,$BV$19)*$BW$19+
INDEX($A484:$BM484,,$BV$20)*$BW$20+
INDEX($A484:$BM484,,$BV$21)*$BW$21+
INDEX($A484:$BM484,,$BV$22)*$BW$22+
INDEX($A484:$BM484,,$BV$23)*$BW$23+
INDEX($A484:$BM484,,$BV$25)*$BW$25+
INDEX($A484:$BM484,,$BV$26)*$BW$26+
INDEX($A484:$BM484,,$BV$27)*$BW$27+
$BN484)),
$BN484-100)</f>
        <v>-100</v>
      </c>
      <c r="AX484" t="str">
        <f t="shared" si="98"/>
        <v>Scott Miller</v>
      </c>
      <c r="AY484" t="str">
        <f t="shared" si="99"/>
        <v>ATL</v>
      </c>
      <c r="AZ484" s="430">
        <f>IFERROR(
IF(AX484="",-100,
IF($BV$2&gt;0, INDEX(Beersheet!$A:$U,MATCH(AX484,INDEX(Beersheet!$A:$U,0,FFARawStatProjections!$BV$2),0),$BV$3)+$BN484,
INDEX($A484:$BM484,,$BV$12)*$BW$12+
INDEX($A484:$BM484,,$BV$15)*$BW$15+
INDEX($A484:$BM484,,$BV$16)*$BW$16+
INDEX($A484:$BM484,,$BV$17)*$BW$17+
INDEX($A484:$BM484,,$BV$18)*$BW$18+
INDEX($A484:$BM484,,$BV$19)*$BW$19+
INDEX($A484:$BM484,,$BV$20)*$BW$20+
INDEX($A484:$BM484,,$BV$21)*$BW$21+
INDEX($A484:$BM484,,$BV$22)*$BW$22+
INDEX($A484:$BM484,,$BV$23)*$BW$23+
INDEX($A484:$BM484,,$BV$25)*$BW$25+
INDEX($A484:$BM484,,$BV$26)*$BW$26+
INDEX($A484:$BM484,,$BV$27)*$BW$27+
$BN484)),
$BN484-100)</f>
        <v>19.124829999999999</v>
      </c>
      <c r="BB484" t="str">
        <f t="shared" si="100"/>
        <v/>
      </c>
      <c r="BC484" t="str">
        <f t="shared" si="94"/>
        <v/>
      </c>
      <c r="BD484" s="430">
        <f>IFERROR(
IF(BB484="",-100,
IF($BV$2&gt;0, INDEX(Beersheet!$A:$U,MATCH(BB484,INDEX(Beersheet!$A:$U,0,FFARawStatProjections!$BV$2),0),$BV$3)+$BN484,
INDEX($A484:$BM484,,$BV$12)*$BW$12+
INDEX($A484:$BM484,,$BV$15)*$BW$15+
INDEX($A484:$BM484,,$BV$16)*$BW$16+
INDEX($A484:$BM484,,$BV$17)*$BW$17+
INDEX($A484:$BM484,,$BV$18)*$BW$18+
INDEX($A484:$BM484,,$BV$19)*$BW$19+
INDEX($A484:$BM484,,$BV$20)*$BW$20+
INDEX($A484:$BM484,,$BV$21)*$BW$21+
INDEX($A484:$BM484,,$BV$22)*$BW$22+
INDEX($A484:$BM484,,$BV$23)*$BW$23+
INDEX($A484:$BM484,,$BV$25)*$BW$25+
INDEX($A484:$BM484,,$BV$26)*$BW$26+
INDEX($A484:$BM484,,$BV$27)*$BW$27+
$BN484)),
$BN484-100)</f>
        <v>-100</v>
      </c>
      <c r="BF484" t="str">
        <f t="shared" si="101"/>
        <v/>
      </c>
      <c r="BG484" t="str">
        <f t="shared" si="102"/>
        <v/>
      </c>
      <c r="BH484">
        <f t="shared" si="103"/>
        <v>0</v>
      </c>
      <c r="BJ484" t="str">
        <f t="shared" si="104"/>
        <v/>
      </c>
      <c r="BL484">
        <f t="shared" si="106"/>
        <v>0</v>
      </c>
      <c r="BN484">
        <v>4.8300000000000001E-3</v>
      </c>
      <c r="BS484" s="4" t="s">
        <v>1224</v>
      </c>
    </row>
    <row r="485" spans="1:71" ht="15.75" thickBot="1" x14ac:dyDescent="0.3">
      <c r="A485" s="569" t="s">
        <v>2225</v>
      </c>
      <c r="B485" s="569" t="s">
        <v>159</v>
      </c>
      <c r="C485" s="569" t="s">
        <v>6</v>
      </c>
      <c r="D485" s="574">
        <v>7</v>
      </c>
      <c r="E485" s="569"/>
      <c r="F485" s="569"/>
      <c r="G485" s="569"/>
      <c r="H485" s="569"/>
      <c r="I485" s="574">
        <v>0</v>
      </c>
      <c r="J485" s="574">
        <v>0</v>
      </c>
      <c r="K485" s="574">
        <v>0</v>
      </c>
      <c r="L485" s="574">
        <v>7.1</v>
      </c>
      <c r="M485" s="574">
        <v>0.4</v>
      </c>
      <c r="N485" s="574">
        <v>92.4</v>
      </c>
      <c r="O485" s="574">
        <v>0.1</v>
      </c>
      <c r="P485" s="574">
        <v>0</v>
      </c>
      <c r="Q485" s="574">
        <v>0.1</v>
      </c>
      <c r="R485" s="569"/>
      <c r="S485" s="569"/>
      <c r="T485" s="569"/>
      <c r="U485" s="569"/>
      <c r="V485" s="569"/>
      <c r="W485" s="569"/>
      <c r="X485" s="569"/>
      <c r="Y485" s="569"/>
      <c r="Z485" s="569"/>
      <c r="AA485" s="569"/>
      <c r="AB485" s="569"/>
      <c r="AC485" s="569"/>
      <c r="AD485" s="569"/>
      <c r="AE485" s="569"/>
      <c r="AF485" s="569"/>
      <c r="AG485" s="569"/>
      <c r="AH485" s="569"/>
      <c r="AI485" s="569"/>
      <c r="AJ485" s="569"/>
      <c r="AK485" s="569"/>
      <c r="AL485" s="569"/>
      <c r="AM485" s="569"/>
      <c r="AN485" s="574">
        <v>11.3</v>
      </c>
      <c r="AO485">
        <v>484</v>
      </c>
      <c r="AP485" t="str">
        <f t="shared" si="105"/>
        <v/>
      </c>
      <c r="AQ485" t="str">
        <f t="shared" si="95"/>
        <v/>
      </c>
      <c r="AR485" s="430">
        <f>IFERROR(
IF(AP485="",-100,
IF($BV$2&gt;0, INDEX(Beersheet!$A:$U,MATCH(AP485,INDEX(Beersheet!$A:$U,0,FFARawStatProjections!$BV$2),0),$BV$3)+$BN485,
INDEX($A485:$BM485,,$BV$12)*$BW$12+
INDEX($A485:$BM485,,$BV$15)*$BW$15+
INDEX($A485:$BM485,,$BV$16)*$BW$16+
INDEX($A485:$BM485,,$BV$17)*$BW$17+
INDEX($A485:$BM485,,$BV$18)*$BW$18+
INDEX($A485:$BM485,,$BV$19)*$BW$19+
INDEX($A485:$BM485,,$BV$20)*$BW$20+
INDEX($A485:$BM485,,$BV$21)*$BW$21+
INDEX($A485:$BM485,,$BV$22)*$BW$22+
INDEX($A485:$BM485,,$BV$23)*$BW$23+
INDEX($A485:$BM485,,$BV$25)*$BW$25+
INDEX($A485:$BM485,,$BV$26)*$BW$26+
INDEX($A485:$BM485,,$BV$27)*$BW$27+
$BN485)),
$BN485-100)</f>
        <v>-100</v>
      </c>
      <c r="AT485" t="str">
        <f t="shared" si="96"/>
        <v/>
      </c>
      <c r="AU485" t="str">
        <f t="shared" si="97"/>
        <v/>
      </c>
      <c r="AV485" s="430">
        <f>IFERROR(
IF(AT485="",-100,
IF($BV$2&gt;0, INDEX(Beersheet!$A:$U,MATCH(AT485,INDEX(Beersheet!$A:$U,0,FFARawStatProjections!$BV$2),0),$BV$3)+$BN485,
INDEX($A485:$BM485,,$BV$12)*$BW$12+
INDEX($A485:$BM485,,$BV$15)*$BW$15+
INDEX($A485:$BM485,,$BV$16)*$BW$16+
INDEX($A485:$BM485,,$BV$17)*$BW$17+
INDEX($A485:$BM485,,$BV$18)*$BW$18+
INDEX($A485:$BM485,,$BV$19)*$BW$19+
INDEX($A485:$BM485,,$BV$20)*$BW$20+
INDEX($A485:$BM485,,$BV$21)*$BW$21+
INDEX($A485:$BM485,,$BV$22)*$BW$22+
INDEX($A485:$BM485,,$BV$23)*$BW$23+
INDEX($A485:$BM485,,$BV$25)*$BW$25+
INDEX($A485:$BM485,,$BV$26)*$BW$26+
INDEX($A485:$BM485,,$BV$27)*$BW$27+
$BN485)),
$BN485-100)</f>
        <v>-100</v>
      </c>
      <c r="AX485" t="str">
        <f t="shared" si="98"/>
        <v>Shi Smith</v>
      </c>
      <c r="AY485" t="str">
        <f t="shared" si="99"/>
        <v>CAR</v>
      </c>
      <c r="AZ485" s="430">
        <f>IFERROR(
IF(AX485="",-100,
IF($BV$2&gt;0, INDEX(Beersheet!$A:$U,MATCH(AX485,INDEX(Beersheet!$A:$U,0,FFARawStatProjections!$BV$2),0),$BV$3)+$BN485,
INDEX($A485:$BM485,,$BV$12)*$BW$12+
INDEX($A485:$BM485,,$BV$15)*$BW$15+
INDEX($A485:$BM485,,$BV$16)*$BW$16+
INDEX($A485:$BM485,,$BV$17)*$BW$17+
INDEX($A485:$BM485,,$BV$18)*$BW$18+
INDEX($A485:$BM485,,$BV$19)*$BW$19+
INDEX($A485:$BM485,,$BV$20)*$BW$20+
INDEX($A485:$BM485,,$BV$21)*$BW$21+
INDEX($A485:$BM485,,$BV$22)*$BW$22+
INDEX($A485:$BM485,,$BV$23)*$BW$23+
INDEX($A485:$BM485,,$BV$25)*$BW$25+
INDEX($A485:$BM485,,$BV$26)*$BW$26+
INDEX($A485:$BM485,,$BV$27)*$BW$27+
$BN485)),
$BN485-100)</f>
        <v>18.754840000000005</v>
      </c>
      <c r="BB485" t="str">
        <f t="shared" si="100"/>
        <v/>
      </c>
      <c r="BC485" t="str">
        <f t="shared" si="94"/>
        <v/>
      </c>
      <c r="BD485" s="430">
        <f>IFERROR(
IF(BB485="",-100,
IF($BV$2&gt;0, INDEX(Beersheet!$A:$U,MATCH(BB485,INDEX(Beersheet!$A:$U,0,FFARawStatProjections!$BV$2),0),$BV$3)+$BN485,
INDEX($A485:$BM485,,$BV$12)*$BW$12+
INDEX($A485:$BM485,,$BV$15)*$BW$15+
INDEX($A485:$BM485,,$BV$16)*$BW$16+
INDEX($A485:$BM485,,$BV$17)*$BW$17+
INDEX($A485:$BM485,,$BV$18)*$BW$18+
INDEX($A485:$BM485,,$BV$19)*$BW$19+
INDEX($A485:$BM485,,$BV$20)*$BW$20+
INDEX($A485:$BM485,,$BV$21)*$BW$21+
INDEX($A485:$BM485,,$BV$22)*$BW$22+
INDEX($A485:$BM485,,$BV$23)*$BW$23+
INDEX($A485:$BM485,,$BV$25)*$BW$25+
INDEX($A485:$BM485,,$BV$26)*$BW$26+
INDEX($A485:$BM485,,$BV$27)*$BW$27+
$BN485)),
$BN485-100)</f>
        <v>-100</v>
      </c>
      <c r="BF485" t="str">
        <f t="shared" si="101"/>
        <v/>
      </c>
      <c r="BG485" t="str">
        <f t="shared" si="102"/>
        <v/>
      </c>
      <c r="BH485">
        <f t="shared" si="103"/>
        <v>0</v>
      </c>
      <c r="BJ485" t="str">
        <f t="shared" si="104"/>
        <v/>
      </c>
      <c r="BL485">
        <f t="shared" si="106"/>
        <v>0</v>
      </c>
      <c r="BN485">
        <v>4.8399999999999997E-3</v>
      </c>
      <c r="BS485" s="4" t="s">
        <v>1748</v>
      </c>
    </row>
    <row r="486" spans="1:71" ht="15.75" thickBot="1" x14ac:dyDescent="0.3">
      <c r="A486" s="569" t="s">
        <v>2558</v>
      </c>
      <c r="B486" s="569" t="s">
        <v>1388</v>
      </c>
      <c r="C486" s="569" t="s">
        <v>6</v>
      </c>
      <c r="D486" s="574">
        <v>5</v>
      </c>
      <c r="E486" s="569"/>
      <c r="F486" s="569"/>
      <c r="G486" s="569"/>
      <c r="H486" s="569"/>
      <c r="I486" s="574">
        <v>0</v>
      </c>
      <c r="J486" s="574">
        <v>0</v>
      </c>
      <c r="K486" s="574">
        <v>0</v>
      </c>
      <c r="L486" s="574">
        <v>11.4</v>
      </c>
      <c r="M486" s="574">
        <v>0.4</v>
      </c>
      <c r="N486" s="574">
        <v>80.599999999999994</v>
      </c>
      <c r="O486" s="574">
        <v>0.1</v>
      </c>
      <c r="P486" s="574">
        <v>0</v>
      </c>
      <c r="Q486" s="574">
        <v>4.9000000000000004</v>
      </c>
      <c r="R486" s="569"/>
      <c r="S486" s="569"/>
      <c r="T486" s="569"/>
      <c r="U486" s="569"/>
      <c r="V486" s="569"/>
      <c r="W486" s="569"/>
      <c r="X486" s="569"/>
      <c r="Y486" s="569"/>
      <c r="Z486" s="569"/>
      <c r="AA486" s="569"/>
      <c r="AB486" s="569"/>
      <c r="AC486" s="569"/>
      <c r="AD486" s="569"/>
      <c r="AE486" s="569"/>
      <c r="AF486" s="569"/>
      <c r="AG486" s="569"/>
      <c r="AH486" s="569"/>
      <c r="AI486" s="569"/>
      <c r="AJ486" s="569"/>
      <c r="AK486" s="569"/>
      <c r="AL486" s="569"/>
      <c r="AM486" s="569"/>
      <c r="AN486" s="574">
        <v>11.3</v>
      </c>
      <c r="AO486">
        <v>485</v>
      </c>
      <c r="AP486" t="str">
        <f t="shared" si="105"/>
        <v/>
      </c>
      <c r="AQ486" t="str">
        <f t="shared" si="95"/>
        <v/>
      </c>
      <c r="AR486" s="430">
        <f>IFERROR(
IF(AP486="",-100,
IF($BV$2&gt;0, INDEX(Beersheet!$A:$U,MATCH(AP486,INDEX(Beersheet!$A:$U,0,FFARawStatProjections!$BV$2),0),$BV$3)+$BN486,
INDEX($A486:$BM486,,$BV$12)*$BW$12+
INDEX($A486:$BM486,,$BV$15)*$BW$15+
INDEX($A486:$BM486,,$BV$16)*$BW$16+
INDEX($A486:$BM486,,$BV$17)*$BW$17+
INDEX($A486:$BM486,,$BV$18)*$BW$18+
INDEX($A486:$BM486,,$BV$19)*$BW$19+
INDEX($A486:$BM486,,$BV$20)*$BW$20+
INDEX($A486:$BM486,,$BV$21)*$BW$21+
INDEX($A486:$BM486,,$BV$22)*$BW$22+
INDEX($A486:$BM486,,$BV$23)*$BW$23+
INDEX($A486:$BM486,,$BV$25)*$BW$25+
INDEX($A486:$BM486,,$BV$26)*$BW$26+
INDEX($A486:$BM486,,$BV$27)*$BW$27+
$BN486)),
$BN486-100)</f>
        <v>-100</v>
      </c>
      <c r="AT486" t="str">
        <f t="shared" si="96"/>
        <v/>
      </c>
      <c r="AU486" t="str">
        <f t="shared" si="97"/>
        <v/>
      </c>
      <c r="AV486" s="430">
        <f>IFERROR(
IF(AT486="",-100,
IF($BV$2&gt;0, INDEX(Beersheet!$A:$U,MATCH(AT486,INDEX(Beersheet!$A:$U,0,FFARawStatProjections!$BV$2),0),$BV$3)+$BN486,
INDEX($A486:$BM486,,$BV$12)*$BW$12+
INDEX($A486:$BM486,,$BV$15)*$BW$15+
INDEX($A486:$BM486,,$BV$16)*$BW$16+
INDEX($A486:$BM486,,$BV$17)*$BW$17+
INDEX($A486:$BM486,,$BV$18)*$BW$18+
INDEX($A486:$BM486,,$BV$19)*$BW$19+
INDEX($A486:$BM486,,$BV$20)*$BW$20+
INDEX($A486:$BM486,,$BV$21)*$BW$21+
INDEX($A486:$BM486,,$BV$22)*$BW$22+
INDEX($A486:$BM486,,$BV$23)*$BW$23+
INDEX($A486:$BM486,,$BV$25)*$BW$25+
INDEX($A486:$BM486,,$BV$26)*$BW$26+
INDEX($A486:$BM486,,$BV$27)*$BW$27+
$BN486)),
$BN486-100)</f>
        <v>-100</v>
      </c>
      <c r="AX486" t="str">
        <f t="shared" si="98"/>
        <v>Derius Davis</v>
      </c>
      <c r="AY486" t="str">
        <f t="shared" si="99"/>
        <v>LAC</v>
      </c>
      <c r="AZ486" s="430">
        <f>IFERROR(
IF(AX486="",-100,
IF($BV$2&gt;0, INDEX(Beersheet!$A:$U,MATCH(AX486,INDEX(Beersheet!$A:$U,0,FFARawStatProjections!$BV$2),0),$BV$3)+$BN486,
INDEX($A486:$BM486,,$BV$12)*$BW$12+
INDEX($A486:$BM486,,$BV$15)*$BW$15+
INDEX($A486:$BM486,,$BV$16)*$BW$16+
INDEX($A486:$BM486,,$BV$17)*$BW$17+
INDEX($A486:$BM486,,$BV$18)*$BW$18+
INDEX($A486:$BM486,,$BV$19)*$BW$19+
INDEX($A486:$BM486,,$BV$20)*$BW$20+
INDEX($A486:$BM486,,$BV$21)*$BW$21+
INDEX($A486:$BM486,,$BV$22)*$BW$22+
INDEX($A486:$BM486,,$BV$23)*$BW$23+
INDEX($A486:$BM486,,$BV$25)*$BW$25+
INDEX($A486:$BM486,,$BV$26)*$BW$26+
INDEX($A486:$BM486,,$BV$27)*$BW$27+
$BN486)),
$BN486-100)</f>
        <v>22.354849999999999</v>
      </c>
      <c r="BB486" t="str">
        <f t="shared" si="100"/>
        <v/>
      </c>
      <c r="BC486" t="str">
        <f t="shared" si="94"/>
        <v/>
      </c>
      <c r="BD486" s="430">
        <f>IFERROR(
IF(BB486="",-100,
IF($BV$2&gt;0, INDEX(Beersheet!$A:$U,MATCH(BB486,INDEX(Beersheet!$A:$U,0,FFARawStatProjections!$BV$2),0),$BV$3)+$BN486,
INDEX($A486:$BM486,,$BV$12)*$BW$12+
INDEX($A486:$BM486,,$BV$15)*$BW$15+
INDEX($A486:$BM486,,$BV$16)*$BW$16+
INDEX($A486:$BM486,,$BV$17)*$BW$17+
INDEX($A486:$BM486,,$BV$18)*$BW$18+
INDEX($A486:$BM486,,$BV$19)*$BW$19+
INDEX($A486:$BM486,,$BV$20)*$BW$20+
INDEX($A486:$BM486,,$BV$21)*$BW$21+
INDEX($A486:$BM486,,$BV$22)*$BW$22+
INDEX($A486:$BM486,,$BV$23)*$BW$23+
INDEX($A486:$BM486,,$BV$25)*$BW$25+
INDEX($A486:$BM486,,$BV$26)*$BW$26+
INDEX($A486:$BM486,,$BV$27)*$BW$27+
$BN486)),
$BN486-100)</f>
        <v>-100</v>
      </c>
      <c r="BF486" t="str">
        <f t="shared" si="101"/>
        <v/>
      </c>
      <c r="BG486" t="str">
        <f t="shared" si="102"/>
        <v/>
      </c>
      <c r="BH486">
        <f t="shared" si="103"/>
        <v>0</v>
      </c>
      <c r="BJ486" t="str">
        <f t="shared" si="104"/>
        <v/>
      </c>
      <c r="BL486">
        <f t="shared" si="106"/>
        <v>0</v>
      </c>
      <c r="BN486">
        <v>4.8500000000000001E-3</v>
      </c>
      <c r="BS486" s="4" t="s">
        <v>2284</v>
      </c>
    </row>
    <row r="487" spans="1:71" ht="15.75" thickBot="1" x14ac:dyDescent="0.3">
      <c r="A487" s="569" t="s">
        <v>2088</v>
      </c>
      <c r="B487" s="569" t="s">
        <v>142</v>
      </c>
      <c r="C487" s="569" t="s">
        <v>6</v>
      </c>
      <c r="D487" s="574">
        <v>9</v>
      </c>
      <c r="E487" s="569"/>
      <c r="F487" s="569"/>
      <c r="G487" s="569"/>
      <c r="H487" s="569"/>
      <c r="I487" s="574">
        <v>0</v>
      </c>
      <c r="J487" s="574">
        <v>0</v>
      </c>
      <c r="K487" s="574">
        <v>0</v>
      </c>
      <c r="L487" s="574">
        <v>5.3</v>
      </c>
      <c r="M487" s="574">
        <v>0.3</v>
      </c>
      <c r="N487" s="574">
        <v>89.6</v>
      </c>
      <c r="O487" s="574">
        <v>0</v>
      </c>
      <c r="P487" s="574">
        <v>0</v>
      </c>
      <c r="Q487" s="574">
        <v>0.1</v>
      </c>
      <c r="R487" s="569"/>
      <c r="S487" s="569"/>
      <c r="T487" s="569"/>
      <c r="U487" s="569"/>
      <c r="V487" s="569"/>
      <c r="W487" s="569"/>
      <c r="X487" s="569"/>
      <c r="Y487" s="569"/>
      <c r="Z487" s="569"/>
      <c r="AA487" s="569"/>
      <c r="AB487" s="569"/>
      <c r="AC487" s="569"/>
      <c r="AD487" s="569"/>
      <c r="AE487" s="569"/>
      <c r="AF487" s="569"/>
      <c r="AG487" s="569"/>
      <c r="AH487" s="569"/>
      <c r="AI487" s="569"/>
      <c r="AJ487" s="569"/>
      <c r="AK487" s="569"/>
      <c r="AL487" s="569"/>
      <c r="AM487" s="569"/>
      <c r="AN487" s="574">
        <v>10.7</v>
      </c>
      <c r="AO487">
        <v>486</v>
      </c>
      <c r="AP487" t="str">
        <f t="shared" si="105"/>
        <v/>
      </c>
      <c r="AQ487" t="str">
        <f t="shared" si="95"/>
        <v/>
      </c>
      <c r="AR487" s="430">
        <f>IFERROR(
IF(AP487="",-100,
IF($BV$2&gt;0, INDEX(Beersheet!$A:$U,MATCH(AP487,INDEX(Beersheet!$A:$U,0,FFARawStatProjections!$BV$2),0),$BV$3)+$BN487,
INDEX($A487:$BM487,,$BV$12)*$BW$12+
INDEX($A487:$BM487,,$BV$15)*$BW$15+
INDEX($A487:$BM487,,$BV$16)*$BW$16+
INDEX($A487:$BM487,,$BV$17)*$BW$17+
INDEX($A487:$BM487,,$BV$18)*$BW$18+
INDEX($A487:$BM487,,$BV$19)*$BW$19+
INDEX($A487:$BM487,,$BV$20)*$BW$20+
INDEX($A487:$BM487,,$BV$21)*$BW$21+
INDEX($A487:$BM487,,$BV$22)*$BW$22+
INDEX($A487:$BM487,,$BV$23)*$BW$23+
INDEX($A487:$BM487,,$BV$25)*$BW$25+
INDEX($A487:$BM487,,$BV$26)*$BW$26+
INDEX($A487:$BM487,,$BV$27)*$BW$27+
$BN487)),
$BN487-100)</f>
        <v>-100</v>
      </c>
      <c r="AT487" t="str">
        <f t="shared" si="96"/>
        <v/>
      </c>
      <c r="AU487" t="str">
        <f t="shared" si="97"/>
        <v/>
      </c>
      <c r="AV487" s="430">
        <f>IFERROR(
IF(AT487="",-100,
IF($BV$2&gt;0, INDEX(Beersheet!$A:$U,MATCH(AT487,INDEX(Beersheet!$A:$U,0,FFARawStatProjections!$BV$2),0),$BV$3)+$BN487,
INDEX($A487:$BM487,,$BV$12)*$BW$12+
INDEX($A487:$BM487,,$BV$15)*$BW$15+
INDEX($A487:$BM487,,$BV$16)*$BW$16+
INDEX($A487:$BM487,,$BV$17)*$BW$17+
INDEX($A487:$BM487,,$BV$18)*$BW$18+
INDEX($A487:$BM487,,$BV$19)*$BW$19+
INDEX($A487:$BM487,,$BV$20)*$BW$20+
INDEX($A487:$BM487,,$BV$21)*$BW$21+
INDEX($A487:$BM487,,$BV$22)*$BW$22+
INDEX($A487:$BM487,,$BV$23)*$BW$23+
INDEX($A487:$BM487,,$BV$25)*$BW$25+
INDEX($A487:$BM487,,$BV$26)*$BW$26+
INDEX($A487:$BM487,,$BV$27)*$BW$27+
$BN487)),
$BN487-100)</f>
        <v>-100</v>
      </c>
      <c r="AX487" t="str">
        <f t="shared" si="98"/>
        <v>Denzel Mims</v>
      </c>
      <c r="AY487" t="str">
        <f t="shared" si="99"/>
        <v>DET</v>
      </c>
      <c r="AZ487" s="430">
        <f>IFERROR(
IF(AX487="",-100,
IF($BV$2&gt;0, INDEX(Beersheet!$A:$U,MATCH(AX487,INDEX(Beersheet!$A:$U,0,FFARawStatProjections!$BV$2),0),$BV$3)+$BN487,
INDEX($A487:$BM487,,$BV$12)*$BW$12+
INDEX($A487:$BM487,,$BV$15)*$BW$15+
INDEX($A487:$BM487,,$BV$16)*$BW$16+
INDEX($A487:$BM487,,$BV$17)*$BW$17+
INDEX($A487:$BM487,,$BV$18)*$BW$18+
INDEX($A487:$BM487,,$BV$19)*$BW$19+
INDEX($A487:$BM487,,$BV$20)*$BW$20+
INDEX($A487:$BM487,,$BV$21)*$BW$21+
INDEX($A487:$BM487,,$BV$22)*$BW$22+
INDEX($A487:$BM487,,$BV$23)*$BW$23+
INDEX($A487:$BM487,,$BV$25)*$BW$25+
INDEX($A487:$BM487,,$BV$26)*$BW$26+
INDEX($A487:$BM487,,$BV$27)*$BW$27+
$BN487)),
$BN487-100)</f>
        <v>16.074860000000001</v>
      </c>
      <c r="BB487" t="str">
        <f t="shared" si="100"/>
        <v/>
      </c>
      <c r="BC487" t="str">
        <f t="shared" si="94"/>
        <v/>
      </c>
      <c r="BD487" s="430">
        <f>IFERROR(
IF(BB487="",-100,
IF($BV$2&gt;0, INDEX(Beersheet!$A:$U,MATCH(BB487,INDEX(Beersheet!$A:$U,0,FFARawStatProjections!$BV$2),0),$BV$3)+$BN487,
INDEX($A487:$BM487,,$BV$12)*$BW$12+
INDEX($A487:$BM487,,$BV$15)*$BW$15+
INDEX($A487:$BM487,,$BV$16)*$BW$16+
INDEX($A487:$BM487,,$BV$17)*$BW$17+
INDEX($A487:$BM487,,$BV$18)*$BW$18+
INDEX($A487:$BM487,,$BV$19)*$BW$19+
INDEX($A487:$BM487,,$BV$20)*$BW$20+
INDEX($A487:$BM487,,$BV$21)*$BW$21+
INDEX($A487:$BM487,,$BV$22)*$BW$22+
INDEX($A487:$BM487,,$BV$23)*$BW$23+
INDEX($A487:$BM487,,$BV$25)*$BW$25+
INDEX($A487:$BM487,,$BV$26)*$BW$26+
INDEX($A487:$BM487,,$BV$27)*$BW$27+
$BN487)),
$BN487-100)</f>
        <v>-100</v>
      </c>
      <c r="BF487" t="str">
        <f t="shared" si="101"/>
        <v/>
      </c>
      <c r="BG487" t="str">
        <f t="shared" si="102"/>
        <v/>
      </c>
      <c r="BH487">
        <f t="shared" si="103"/>
        <v>0</v>
      </c>
      <c r="BJ487" t="str">
        <f t="shared" si="104"/>
        <v/>
      </c>
      <c r="BL487">
        <f t="shared" si="106"/>
        <v>0</v>
      </c>
      <c r="BN487">
        <v>4.8599999999999997E-3</v>
      </c>
      <c r="BS487" s="4" t="s">
        <v>1889</v>
      </c>
    </row>
    <row r="488" spans="1:71" ht="15.75" thickBot="1" x14ac:dyDescent="0.3">
      <c r="A488" s="569" t="s">
        <v>2536</v>
      </c>
      <c r="B488" s="569" t="s">
        <v>145</v>
      </c>
      <c r="C488" s="569" t="s">
        <v>6</v>
      </c>
      <c r="D488" s="574">
        <v>7</v>
      </c>
      <c r="E488" s="569"/>
      <c r="F488" s="569"/>
      <c r="G488" s="569"/>
      <c r="H488" s="569"/>
      <c r="I488" s="574">
        <v>0</v>
      </c>
      <c r="J488" s="574">
        <v>0</v>
      </c>
      <c r="K488" s="574">
        <v>0</v>
      </c>
      <c r="L488" s="574">
        <v>0</v>
      </c>
      <c r="M488" s="574">
        <v>0</v>
      </c>
      <c r="N488" s="574">
        <v>105.5</v>
      </c>
      <c r="O488" s="574">
        <v>0.4</v>
      </c>
      <c r="P488" s="574">
        <v>0</v>
      </c>
      <c r="Q488" s="574">
        <v>2.7</v>
      </c>
      <c r="R488" s="569"/>
      <c r="S488" s="569"/>
      <c r="T488" s="569"/>
      <c r="U488" s="569"/>
      <c r="V488" s="569"/>
      <c r="W488" s="569"/>
      <c r="X488" s="569"/>
      <c r="Y488" s="569"/>
      <c r="Z488" s="569"/>
      <c r="AA488" s="569"/>
      <c r="AB488" s="569"/>
      <c r="AC488" s="569"/>
      <c r="AD488" s="569"/>
      <c r="AE488" s="569"/>
      <c r="AF488" s="569"/>
      <c r="AG488" s="569"/>
      <c r="AH488" s="569"/>
      <c r="AI488" s="569"/>
      <c r="AJ488" s="569"/>
      <c r="AK488" s="569"/>
      <c r="AL488" s="569"/>
      <c r="AM488" s="569"/>
      <c r="AN488" s="574">
        <v>10.6</v>
      </c>
      <c r="AO488">
        <v>487</v>
      </c>
      <c r="AP488" t="str">
        <f t="shared" si="105"/>
        <v/>
      </c>
      <c r="AQ488" t="str">
        <f t="shared" si="95"/>
        <v/>
      </c>
      <c r="AR488" s="430">
        <f>IFERROR(
IF(AP488="",-100,
IF($BV$2&gt;0, INDEX(Beersheet!$A:$U,MATCH(AP488,INDEX(Beersheet!$A:$U,0,FFARawStatProjections!$BV$2),0),$BV$3)+$BN488,
INDEX($A488:$BM488,,$BV$12)*$BW$12+
INDEX($A488:$BM488,,$BV$15)*$BW$15+
INDEX($A488:$BM488,,$BV$16)*$BW$16+
INDEX($A488:$BM488,,$BV$17)*$BW$17+
INDEX($A488:$BM488,,$BV$18)*$BW$18+
INDEX($A488:$BM488,,$BV$19)*$BW$19+
INDEX($A488:$BM488,,$BV$20)*$BW$20+
INDEX($A488:$BM488,,$BV$21)*$BW$21+
INDEX($A488:$BM488,,$BV$22)*$BW$22+
INDEX($A488:$BM488,,$BV$23)*$BW$23+
INDEX($A488:$BM488,,$BV$25)*$BW$25+
INDEX($A488:$BM488,,$BV$26)*$BW$26+
INDEX($A488:$BM488,,$BV$27)*$BW$27+
$BN488)),
$BN488-100)</f>
        <v>-100</v>
      </c>
      <c r="AT488" t="str">
        <f t="shared" si="96"/>
        <v/>
      </c>
      <c r="AU488" t="str">
        <f t="shared" si="97"/>
        <v/>
      </c>
      <c r="AV488" s="430">
        <f>IFERROR(
IF(AT488="",-100,
IF($BV$2&gt;0, INDEX(Beersheet!$A:$U,MATCH(AT488,INDEX(Beersheet!$A:$U,0,FFARawStatProjections!$BV$2),0),$BV$3)+$BN488,
INDEX($A488:$BM488,,$BV$12)*$BW$12+
INDEX($A488:$BM488,,$BV$15)*$BW$15+
INDEX($A488:$BM488,,$BV$16)*$BW$16+
INDEX($A488:$BM488,,$BV$17)*$BW$17+
INDEX($A488:$BM488,,$BV$18)*$BW$18+
INDEX($A488:$BM488,,$BV$19)*$BW$19+
INDEX($A488:$BM488,,$BV$20)*$BW$20+
INDEX($A488:$BM488,,$BV$21)*$BW$21+
INDEX($A488:$BM488,,$BV$22)*$BW$22+
INDEX($A488:$BM488,,$BV$23)*$BW$23+
INDEX($A488:$BM488,,$BV$25)*$BW$25+
INDEX($A488:$BM488,,$BV$26)*$BW$26+
INDEX($A488:$BM488,,$BV$27)*$BW$27+
$BN488)),
$BN488-100)</f>
        <v>-100</v>
      </c>
      <c r="AX488" t="str">
        <f t="shared" si="98"/>
        <v>Andrei Iosivas</v>
      </c>
      <c r="AY488" t="str">
        <f t="shared" si="99"/>
        <v>CIN</v>
      </c>
      <c r="AZ488" s="430">
        <f>IFERROR(
IF(AX488="",-100,
IF($BV$2&gt;0, INDEX(Beersheet!$A:$U,MATCH(AX488,INDEX(Beersheet!$A:$U,0,FFARawStatProjections!$BV$2),0),$BV$3)+$BN488,
INDEX($A488:$BM488,,$BV$12)*$BW$12+
INDEX($A488:$BM488,,$BV$15)*$BW$15+
INDEX($A488:$BM488,,$BV$16)*$BW$16+
INDEX($A488:$BM488,,$BV$17)*$BW$17+
INDEX($A488:$BM488,,$BV$18)*$BW$18+
INDEX($A488:$BM488,,$BV$19)*$BW$19+
INDEX($A488:$BM488,,$BV$20)*$BW$20+
INDEX($A488:$BM488,,$BV$21)*$BW$21+
INDEX($A488:$BM488,,$BV$22)*$BW$22+
INDEX($A488:$BM488,,$BV$23)*$BW$23+
INDEX($A488:$BM488,,$BV$25)*$BW$25+
INDEX($A488:$BM488,,$BV$26)*$BW$26+
INDEX($A488:$BM488,,$BV$27)*$BW$27+
$BN488)),
$BN488-100)</f>
        <v>10.824870000000001</v>
      </c>
      <c r="BB488" t="str">
        <f t="shared" si="100"/>
        <v/>
      </c>
      <c r="BC488" t="str">
        <f t="shared" si="94"/>
        <v/>
      </c>
      <c r="BD488" s="430">
        <f>IFERROR(
IF(BB488="",-100,
IF($BV$2&gt;0, INDEX(Beersheet!$A:$U,MATCH(BB488,INDEX(Beersheet!$A:$U,0,FFARawStatProjections!$BV$2),0),$BV$3)+$BN488,
INDEX($A488:$BM488,,$BV$12)*$BW$12+
INDEX($A488:$BM488,,$BV$15)*$BW$15+
INDEX($A488:$BM488,,$BV$16)*$BW$16+
INDEX($A488:$BM488,,$BV$17)*$BW$17+
INDEX($A488:$BM488,,$BV$18)*$BW$18+
INDEX($A488:$BM488,,$BV$19)*$BW$19+
INDEX($A488:$BM488,,$BV$20)*$BW$20+
INDEX($A488:$BM488,,$BV$21)*$BW$21+
INDEX($A488:$BM488,,$BV$22)*$BW$22+
INDEX($A488:$BM488,,$BV$23)*$BW$23+
INDEX($A488:$BM488,,$BV$25)*$BW$25+
INDEX($A488:$BM488,,$BV$26)*$BW$26+
INDEX($A488:$BM488,,$BV$27)*$BW$27+
$BN488)),
$BN488-100)</f>
        <v>-100</v>
      </c>
      <c r="BF488" t="str">
        <f t="shared" si="101"/>
        <v/>
      </c>
      <c r="BG488" t="str">
        <f t="shared" si="102"/>
        <v/>
      </c>
      <c r="BH488">
        <f t="shared" si="103"/>
        <v>0</v>
      </c>
      <c r="BJ488" t="str">
        <f t="shared" si="104"/>
        <v/>
      </c>
      <c r="BL488">
        <f t="shared" si="106"/>
        <v>0</v>
      </c>
      <c r="BN488">
        <v>4.8700000000000002E-3</v>
      </c>
      <c r="BS488" s="4" t="s">
        <v>23</v>
      </c>
    </row>
    <row r="489" spans="1:71" ht="15.75" thickBot="1" x14ac:dyDescent="0.3">
      <c r="A489" s="569" t="s">
        <v>2147</v>
      </c>
      <c r="B489" s="569" t="s">
        <v>147</v>
      </c>
      <c r="C489" s="569" t="s">
        <v>6</v>
      </c>
      <c r="D489" s="574">
        <v>6</v>
      </c>
      <c r="E489" s="569"/>
      <c r="F489" s="569"/>
      <c r="G489" s="569"/>
      <c r="H489" s="569"/>
      <c r="I489" s="574">
        <v>0</v>
      </c>
      <c r="J489" s="574">
        <v>0</v>
      </c>
      <c r="K489" s="574">
        <v>0</v>
      </c>
      <c r="L489" s="574">
        <v>3.7</v>
      </c>
      <c r="M489" s="574">
        <v>0.2</v>
      </c>
      <c r="N489" s="574">
        <v>51.2</v>
      </c>
      <c r="O489" s="574">
        <v>4.5</v>
      </c>
      <c r="P489" s="574">
        <v>0.1</v>
      </c>
      <c r="Q489" s="574">
        <v>33.9</v>
      </c>
      <c r="R489" s="569"/>
      <c r="S489" s="569"/>
      <c r="T489" s="569"/>
      <c r="U489" s="569"/>
      <c r="V489" s="569"/>
      <c r="W489" s="569"/>
      <c r="X489" s="569"/>
      <c r="Y489" s="569"/>
      <c r="Z489" s="569"/>
      <c r="AA489" s="569"/>
      <c r="AB489" s="569"/>
      <c r="AC489" s="569"/>
      <c r="AD489" s="569"/>
      <c r="AE489" s="569"/>
      <c r="AF489" s="569"/>
      <c r="AG489" s="569"/>
      <c r="AH489" s="569"/>
      <c r="AI489" s="569"/>
      <c r="AJ489" s="569"/>
      <c r="AK489" s="569"/>
      <c r="AL489" s="569"/>
      <c r="AM489" s="569"/>
      <c r="AN489" s="574">
        <v>10.5</v>
      </c>
      <c r="AO489">
        <v>488</v>
      </c>
      <c r="AP489" t="str">
        <f t="shared" si="105"/>
        <v/>
      </c>
      <c r="AQ489" t="str">
        <f t="shared" si="95"/>
        <v/>
      </c>
      <c r="AR489" s="430">
        <f>IFERROR(
IF(AP489="",-100,
IF($BV$2&gt;0, INDEX(Beersheet!$A:$U,MATCH(AP489,INDEX(Beersheet!$A:$U,0,FFARawStatProjections!$BV$2),0),$BV$3)+$BN489,
INDEX($A489:$BM489,,$BV$12)*$BW$12+
INDEX($A489:$BM489,,$BV$15)*$BW$15+
INDEX($A489:$BM489,,$BV$16)*$BW$16+
INDEX($A489:$BM489,,$BV$17)*$BW$17+
INDEX($A489:$BM489,,$BV$18)*$BW$18+
INDEX($A489:$BM489,,$BV$19)*$BW$19+
INDEX($A489:$BM489,,$BV$20)*$BW$20+
INDEX($A489:$BM489,,$BV$21)*$BW$21+
INDEX($A489:$BM489,,$BV$22)*$BW$22+
INDEX($A489:$BM489,,$BV$23)*$BW$23+
INDEX($A489:$BM489,,$BV$25)*$BW$25+
INDEX($A489:$BM489,,$BV$26)*$BW$26+
INDEX($A489:$BM489,,$BV$27)*$BW$27+
$BN489)),
$BN489-100)</f>
        <v>-100</v>
      </c>
      <c r="AT489" t="str">
        <f t="shared" si="96"/>
        <v/>
      </c>
      <c r="AU489" t="str">
        <f t="shared" si="97"/>
        <v/>
      </c>
      <c r="AV489" s="430">
        <f>IFERROR(
IF(AT489="",-100,
IF($BV$2&gt;0, INDEX(Beersheet!$A:$U,MATCH(AT489,INDEX(Beersheet!$A:$U,0,FFARawStatProjections!$BV$2),0),$BV$3)+$BN489,
INDEX($A489:$BM489,,$BV$12)*$BW$12+
INDEX($A489:$BM489,,$BV$15)*$BW$15+
INDEX($A489:$BM489,,$BV$16)*$BW$16+
INDEX($A489:$BM489,,$BV$17)*$BW$17+
INDEX($A489:$BM489,,$BV$18)*$BW$18+
INDEX($A489:$BM489,,$BV$19)*$BW$19+
INDEX($A489:$BM489,,$BV$20)*$BW$20+
INDEX($A489:$BM489,,$BV$21)*$BW$21+
INDEX($A489:$BM489,,$BV$22)*$BW$22+
INDEX($A489:$BM489,,$BV$23)*$BW$23+
INDEX($A489:$BM489,,$BV$25)*$BW$25+
INDEX($A489:$BM489,,$BV$26)*$BW$26+
INDEX($A489:$BM489,,$BV$27)*$BW$27+
$BN489)),
$BN489-100)</f>
        <v>-100</v>
      </c>
      <c r="AX489" t="str">
        <f t="shared" si="98"/>
        <v>Gunner Olszewski</v>
      </c>
      <c r="AY489" t="str">
        <f t="shared" si="99"/>
        <v>PIT</v>
      </c>
      <c r="AZ489" s="430">
        <f>IFERROR(
IF(AX489="",-100,
IF($BV$2&gt;0, INDEX(Beersheet!$A:$U,MATCH(AX489,INDEX(Beersheet!$A:$U,0,FFARawStatProjections!$BV$2),0),$BV$3)+$BN489,
INDEX($A489:$BM489,,$BV$12)*$BW$12+
INDEX($A489:$BM489,,$BV$15)*$BW$15+
INDEX($A489:$BM489,,$BV$16)*$BW$16+
INDEX($A489:$BM489,,$BV$17)*$BW$17+
INDEX($A489:$BM489,,$BV$18)*$BW$18+
INDEX($A489:$BM489,,$BV$19)*$BW$19+
INDEX($A489:$BM489,,$BV$20)*$BW$20+
INDEX($A489:$BM489,,$BV$21)*$BW$21+
INDEX($A489:$BM489,,$BV$22)*$BW$22+
INDEX($A489:$BM489,,$BV$23)*$BW$23+
INDEX($A489:$BM489,,$BV$25)*$BW$25+
INDEX($A489:$BM489,,$BV$26)*$BW$26+
INDEX($A489:$BM489,,$BV$27)*$BW$27+
$BN489)),
$BN489-100)</f>
        <v>14.014880000000002</v>
      </c>
      <c r="BB489" t="str">
        <f t="shared" si="100"/>
        <v/>
      </c>
      <c r="BC489" t="str">
        <f t="shared" si="94"/>
        <v/>
      </c>
      <c r="BD489" s="430">
        <f>IFERROR(
IF(BB489="",-100,
IF($BV$2&gt;0, INDEX(Beersheet!$A:$U,MATCH(BB489,INDEX(Beersheet!$A:$U,0,FFARawStatProjections!$BV$2),0),$BV$3)+$BN489,
INDEX($A489:$BM489,,$BV$12)*$BW$12+
INDEX($A489:$BM489,,$BV$15)*$BW$15+
INDEX($A489:$BM489,,$BV$16)*$BW$16+
INDEX($A489:$BM489,,$BV$17)*$BW$17+
INDEX($A489:$BM489,,$BV$18)*$BW$18+
INDEX($A489:$BM489,,$BV$19)*$BW$19+
INDEX($A489:$BM489,,$BV$20)*$BW$20+
INDEX($A489:$BM489,,$BV$21)*$BW$21+
INDEX($A489:$BM489,,$BV$22)*$BW$22+
INDEX($A489:$BM489,,$BV$23)*$BW$23+
INDEX($A489:$BM489,,$BV$25)*$BW$25+
INDEX($A489:$BM489,,$BV$26)*$BW$26+
INDEX($A489:$BM489,,$BV$27)*$BW$27+
$BN489)),
$BN489-100)</f>
        <v>-100</v>
      </c>
      <c r="BF489" t="str">
        <f t="shared" si="101"/>
        <v/>
      </c>
      <c r="BG489" t="str">
        <f t="shared" si="102"/>
        <v/>
      </c>
      <c r="BH489">
        <f t="shared" si="103"/>
        <v>0</v>
      </c>
      <c r="BJ489" t="str">
        <f t="shared" si="104"/>
        <v/>
      </c>
      <c r="BL489">
        <f t="shared" si="106"/>
        <v>0</v>
      </c>
      <c r="BN489">
        <v>4.8799999999999998E-3</v>
      </c>
      <c r="BS489" s="4" t="s">
        <v>2241</v>
      </c>
    </row>
    <row r="490" spans="1:71" ht="15.75" thickBot="1" x14ac:dyDescent="0.3">
      <c r="A490" s="569" t="s">
        <v>2454</v>
      </c>
      <c r="B490" s="569" t="s">
        <v>149</v>
      </c>
      <c r="C490" s="569" t="s">
        <v>6</v>
      </c>
      <c r="D490" s="574">
        <v>5</v>
      </c>
      <c r="E490" s="569"/>
      <c r="F490" s="569"/>
      <c r="G490" s="569"/>
      <c r="H490" s="569"/>
      <c r="I490" s="574">
        <v>0</v>
      </c>
      <c r="J490" s="574">
        <v>0</v>
      </c>
      <c r="K490" s="574">
        <v>0</v>
      </c>
      <c r="L490" s="574">
        <v>5.2</v>
      </c>
      <c r="M490" s="574">
        <v>0.4</v>
      </c>
      <c r="N490" s="574">
        <v>66.5</v>
      </c>
      <c r="O490" s="574">
        <v>0</v>
      </c>
      <c r="P490" s="574">
        <v>0.1</v>
      </c>
      <c r="Q490" s="574">
        <v>5.7</v>
      </c>
      <c r="R490" s="569"/>
      <c r="S490" s="569"/>
      <c r="T490" s="569"/>
      <c r="U490" s="569"/>
      <c r="V490" s="569"/>
      <c r="W490" s="569"/>
      <c r="X490" s="569"/>
      <c r="Y490" s="569"/>
      <c r="Z490" s="569"/>
      <c r="AA490" s="569"/>
      <c r="AB490" s="569"/>
      <c r="AC490" s="569"/>
      <c r="AD490" s="569"/>
      <c r="AE490" s="569"/>
      <c r="AF490" s="569"/>
      <c r="AG490" s="569"/>
      <c r="AH490" s="569"/>
      <c r="AI490" s="569"/>
      <c r="AJ490" s="569"/>
      <c r="AK490" s="569"/>
      <c r="AL490" s="569"/>
      <c r="AM490" s="569"/>
      <c r="AN490" s="574">
        <v>10.1</v>
      </c>
      <c r="AO490">
        <v>489</v>
      </c>
      <c r="AP490" t="str">
        <f t="shared" si="105"/>
        <v/>
      </c>
      <c r="AQ490" t="str">
        <f t="shared" si="95"/>
        <v/>
      </c>
      <c r="AR490" s="430">
        <f>IFERROR(
IF(AP490="",-100,
IF($BV$2&gt;0, INDEX(Beersheet!$A:$U,MATCH(AP490,INDEX(Beersheet!$A:$U,0,FFARawStatProjections!$BV$2),0),$BV$3)+$BN490,
INDEX($A490:$BM490,,$BV$12)*$BW$12+
INDEX($A490:$BM490,,$BV$15)*$BW$15+
INDEX($A490:$BM490,,$BV$16)*$BW$16+
INDEX($A490:$BM490,,$BV$17)*$BW$17+
INDEX($A490:$BM490,,$BV$18)*$BW$18+
INDEX($A490:$BM490,,$BV$19)*$BW$19+
INDEX($A490:$BM490,,$BV$20)*$BW$20+
INDEX($A490:$BM490,,$BV$21)*$BW$21+
INDEX($A490:$BM490,,$BV$22)*$BW$22+
INDEX($A490:$BM490,,$BV$23)*$BW$23+
INDEX($A490:$BM490,,$BV$25)*$BW$25+
INDEX($A490:$BM490,,$BV$26)*$BW$26+
INDEX($A490:$BM490,,$BV$27)*$BW$27+
$BN490)),
$BN490-100)</f>
        <v>-100</v>
      </c>
      <c r="AT490" t="str">
        <f t="shared" si="96"/>
        <v/>
      </c>
      <c r="AU490" t="str">
        <f t="shared" si="97"/>
        <v/>
      </c>
      <c r="AV490" s="430">
        <f>IFERROR(
IF(AT490="",-100,
IF($BV$2&gt;0, INDEX(Beersheet!$A:$U,MATCH(AT490,INDEX(Beersheet!$A:$U,0,FFARawStatProjections!$BV$2),0),$BV$3)+$BN490,
INDEX($A490:$BM490,,$BV$12)*$BW$12+
INDEX($A490:$BM490,,$BV$15)*$BW$15+
INDEX($A490:$BM490,,$BV$16)*$BW$16+
INDEX($A490:$BM490,,$BV$17)*$BW$17+
INDEX($A490:$BM490,,$BV$18)*$BW$18+
INDEX($A490:$BM490,,$BV$19)*$BW$19+
INDEX($A490:$BM490,,$BV$20)*$BW$20+
INDEX($A490:$BM490,,$BV$21)*$BW$21+
INDEX($A490:$BM490,,$BV$22)*$BW$22+
INDEX($A490:$BM490,,$BV$23)*$BW$23+
INDEX($A490:$BM490,,$BV$25)*$BW$25+
INDEX($A490:$BM490,,$BV$26)*$BW$26+
INDEX($A490:$BM490,,$BV$27)*$BW$27+
$BN490)),
$BN490-100)</f>
        <v>-100</v>
      </c>
      <c r="AX490" t="str">
        <f t="shared" si="98"/>
        <v>Kaylon Geiger</v>
      </c>
      <c r="AY490" t="str">
        <f t="shared" si="99"/>
        <v>TB</v>
      </c>
      <c r="AZ490" s="430">
        <f>IFERROR(
IF(AX490="",-100,
IF($BV$2&gt;0, INDEX(Beersheet!$A:$U,MATCH(AX490,INDEX(Beersheet!$A:$U,0,FFARawStatProjections!$BV$2),0),$BV$3)+$BN490,
INDEX($A490:$BM490,,$BV$12)*$BW$12+
INDEX($A490:$BM490,,$BV$15)*$BW$15+
INDEX($A490:$BM490,,$BV$16)*$BW$16+
INDEX($A490:$BM490,,$BV$17)*$BW$17+
INDEX($A490:$BM490,,$BV$18)*$BW$18+
INDEX($A490:$BM490,,$BV$19)*$BW$19+
INDEX($A490:$BM490,,$BV$20)*$BW$20+
INDEX($A490:$BM490,,$BV$21)*$BW$21+
INDEX($A490:$BM490,,$BV$22)*$BW$22+
INDEX($A490:$BM490,,$BV$23)*$BW$23+
INDEX($A490:$BM490,,$BV$25)*$BW$25+
INDEX($A490:$BM490,,$BV$26)*$BW$26+
INDEX($A490:$BM490,,$BV$27)*$BW$27+
$BN490)),
$BN490-100)</f>
        <v>15.42489</v>
      </c>
      <c r="BB490" t="str">
        <f t="shared" si="100"/>
        <v/>
      </c>
      <c r="BC490" t="str">
        <f t="shared" si="94"/>
        <v/>
      </c>
      <c r="BD490" s="430">
        <f>IFERROR(
IF(BB490="",-100,
IF($BV$2&gt;0, INDEX(Beersheet!$A:$U,MATCH(BB490,INDEX(Beersheet!$A:$U,0,FFARawStatProjections!$BV$2),0),$BV$3)+$BN490,
INDEX($A490:$BM490,,$BV$12)*$BW$12+
INDEX($A490:$BM490,,$BV$15)*$BW$15+
INDEX($A490:$BM490,,$BV$16)*$BW$16+
INDEX($A490:$BM490,,$BV$17)*$BW$17+
INDEX($A490:$BM490,,$BV$18)*$BW$18+
INDEX($A490:$BM490,,$BV$19)*$BW$19+
INDEX($A490:$BM490,,$BV$20)*$BW$20+
INDEX($A490:$BM490,,$BV$21)*$BW$21+
INDEX($A490:$BM490,,$BV$22)*$BW$22+
INDEX($A490:$BM490,,$BV$23)*$BW$23+
INDEX($A490:$BM490,,$BV$25)*$BW$25+
INDEX($A490:$BM490,,$BV$26)*$BW$26+
INDEX($A490:$BM490,,$BV$27)*$BW$27+
$BN490)),
$BN490-100)</f>
        <v>-100</v>
      </c>
      <c r="BF490" t="str">
        <f t="shared" si="101"/>
        <v/>
      </c>
      <c r="BG490" t="str">
        <f t="shared" si="102"/>
        <v/>
      </c>
      <c r="BH490">
        <f t="shared" si="103"/>
        <v>0</v>
      </c>
      <c r="BJ490" t="str">
        <f t="shared" si="104"/>
        <v/>
      </c>
      <c r="BL490">
        <f t="shared" si="106"/>
        <v>0</v>
      </c>
      <c r="BN490">
        <v>4.8900000000000002E-3</v>
      </c>
      <c r="BS490" s="4" t="s">
        <v>2441</v>
      </c>
    </row>
    <row r="491" spans="1:71" ht="15.75" thickBot="1" x14ac:dyDescent="0.3">
      <c r="A491" s="569" t="s">
        <v>2458</v>
      </c>
      <c r="B491" s="569" t="s">
        <v>156</v>
      </c>
      <c r="C491" s="569" t="s">
        <v>6</v>
      </c>
      <c r="D491" s="574">
        <v>13</v>
      </c>
      <c r="E491" s="569"/>
      <c r="F491" s="569"/>
      <c r="G491" s="569"/>
      <c r="H491" s="569"/>
      <c r="I491" s="574">
        <v>0</v>
      </c>
      <c r="J491" s="574">
        <v>0</v>
      </c>
      <c r="K491" s="574">
        <v>0</v>
      </c>
      <c r="L491" s="574">
        <v>7.3</v>
      </c>
      <c r="M491" s="574">
        <v>0.3</v>
      </c>
      <c r="N491" s="574">
        <v>77.2</v>
      </c>
      <c r="O491" s="574">
        <v>0.2</v>
      </c>
      <c r="P491" s="574">
        <v>0</v>
      </c>
      <c r="Q491" s="574">
        <v>0.9</v>
      </c>
      <c r="R491" s="569"/>
      <c r="S491" s="569"/>
      <c r="T491" s="569"/>
      <c r="U491" s="569"/>
      <c r="V491" s="569"/>
      <c r="W491" s="569"/>
      <c r="X491" s="569"/>
      <c r="Y491" s="569"/>
      <c r="Z491" s="569"/>
      <c r="AA491" s="569"/>
      <c r="AB491" s="569"/>
      <c r="AC491" s="569"/>
      <c r="AD491" s="569"/>
      <c r="AE491" s="569"/>
      <c r="AF491" s="569"/>
      <c r="AG491" s="569"/>
      <c r="AH491" s="569"/>
      <c r="AI491" s="569"/>
      <c r="AJ491" s="569"/>
      <c r="AK491" s="569"/>
      <c r="AL491" s="569"/>
      <c r="AM491" s="569"/>
      <c r="AN491" s="574">
        <v>9.6999999999999993</v>
      </c>
      <c r="AO491">
        <v>490</v>
      </c>
      <c r="AP491" t="str">
        <f t="shared" si="105"/>
        <v/>
      </c>
      <c r="AQ491" t="str">
        <f t="shared" si="95"/>
        <v/>
      </c>
      <c r="AR491" s="430">
        <f>IFERROR(
IF(AP491="",-100,
IF($BV$2&gt;0, INDEX(Beersheet!$A:$U,MATCH(AP491,INDEX(Beersheet!$A:$U,0,FFARawStatProjections!$BV$2),0),$BV$3)+$BN491,
INDEX($A491:$BM491,,$BV$12)*$BW$12+
INDEX($A491:$BM491,,$BV$15)*$BW$15+
INDEX($A491:$BM491,,$BV$16)*$BW$16+
INDEX($A491:$BM491,,$BV$17)*$BW$17+
INDEX($A491:$BM491,,$BV$18)*$BW$18+
INDEX($A491:$BM491,,$BV$19)*$BW$19+
INDEX($A491:$BM491,,$BV$20)*$BW$20+
INDEX($A491:$BM491,,$BV$21)*$BW$21+
INDEX($A491:$BM491,,$BV$22)*$BW$22+
INDEX($A491:$BM491,,$BV$23)*$BW$23+
INDEX($A491:$BM491,,$BV$25)*$BW$25+
INDEX($A491:$BM491,,$BV$26)*$BW$26+
INDEX($A491:$BM491,,$BV$27)*$BW$27+
$BN491)),
$BN491-100)</f>
        <v>-100</v>
      </c>
      <c r="AT491" t="str">
        <f t="shared" si="96"/>
        <v/>
      </c>
      <c r="AU491" t="str">
        <f t="shared" si="97"/>
        <v/>
      </c>
      <c r="AV491" s="430">
        <f>IFERROR(
IF(AT491="",-100,
IF($BV$2&gt;0, INDEX(Beersheet!$A:$U,MATCH(AT491,INDEX(Beersheet!$A:$U,0,FFARawStatProjections!$BV$2),0),$BV$3)+$BN491,
INDEX($A491:$BM491,,$BV$12)*$BW$12+
INDEX($A491:$BM491,,$BV$15)*$BW$15+
INDEX($A491:$BM491,,$BV$16)*$BW$16+
INDEX($A491:$BM491,,$BV$17)*$BW$17+
INDEX($A491:$BM491,,$BV$18)*$BW$18+
INDEX($A491:$BM491,,$BV$19)*$BW$19+
INDEX($A491:$BM491,,$BV$20)*$BW$20+
INDEX($A491:$BM491,,$BV$21)*$BW$21+
INDEX($A491:$BM491,,$BV$22)*$BW$22+
INDEX($A491:$BM491,,$BV$23)*$BW$23+
INDEX($A491:$BM491,,$BV$25)*$BW$25+
INDEX($A491:$BM491,,$BV$26)*$BW$26+
INDEX($A491:$BM491,,$BV$27)*$BW$27+
$BN491)),
$BN491-100)</f>
        <v>-100</v>
      </c>
      <c r="AX491" t="str">
        <f t="shared" si="98"/>
        <v>Justin Shorter</v>
      </c>
      <c r="AY491" t="str">
        <f t="shared" si="99"/>
        <v>BUF</v>
      </c>
      <c r="AZ491" s="430">
        <f>IFERROR(
IF(AX491="",-100,
IF($BV$2&gt;0, INDEX(Beersheet!$A:$U,MATCH(AX491,INDEX(Beersheet!$A:$U,0,FFARawStatProjections!$BV$2),0),$BV$3)+$BN491,
INDEX($A491:$BM491,,$BV$12)*$BW$12+
INDEX($A491:$BM491,,$BV$15)*$BW$15+
INDEX($A491:$BM491,,$BV$16)*$BW$16+
INDEX($A491:$BM491,,$BV$17)*$BW$17+
INDEX($A491:$BM491,,$BV$18)*$BW$18+
INDEX($A491:$BM491,,$BV$19)*$BW$19+
INDEX($A491:$BM491,,$BV$20)*$BW$20+
INDEX($A491:$BM491,,$BV$21)*$BW$21+
INDEX($A491:$BM491,,$BV$22)*$BW$22+
INDEX($A491:$BM491,,$BV$23)*$BW$23+
INDEX($A491:$BM491,,$BV$25)*$BW$25+
INDEX($A491:$BM491,,$BV$26)*$BW$26+
INDEX($A491:$BM491,,$BV$27)*$BW$27+
$BN491)),
$BN491-100)</f>
        <v>16.914899999999999</v>
      </c>
      <c r="BB491" t="str">
        <f t="shared" si="100"/>
        <v/>
      </c>
      <c r="BC491" t="str">
        <f t="shared" si="94"/>
        <v/>
      </c>
      <c r="BD491" s="430">
        <f>IFERROR(
IF(BB491="",-100,
IF($BV$2&gt;0, INDEX(Beersheet!$A:$U,MATCH(BB491,INDEX(Beersheet!$A:$U,0,FFARawStatProjections!$BV$2),0),$BV$3)+$BN491,
INDEX($A491:$BM491,,$BV$12)*$BW$12+
INDEX($A491:$BM491,,$BV$15)*$BW$15+
INDEX($A491:$BM491,,$BV$16)*$BW$16+
INDEX($A491:$BM491,,$BV$17)*$BW$17+
INDEX($A491:$BM491,,$BV$18)*$BW$18+
INDEX($A491:$BM491,,$BV$19)*$BW$19+
INDEX($A491:$BM491,,$BV$20)*$BW$20+
INDEX($A491:$BM491,,$BV$21)*$BW$21+
INDEX($A491:$BM491,,$BV$22)*$BW$22+
INDEX($A491:$BM491,,$BV$23)*$BW$23+
INDEX($A491:$BM491,,$BV$25)*$BW$25+
INDEX($A491:$BM491,,$BV$26)*$BW$26+
INDEX($A491:$BM491,,$BV$27)*$BW$27+
$BN491)),
$BN491-100)</f>
        <v>-100</v>
      </c>
      <c r="BF491" t="str">
        <f t="shared" si="101"/>
        <v/>
      </c>
      <c r="BG491" t="str">
        <f t="shared" si="102"/>
        <v/>
      </c>
      <c r="BH491">
        <f t="shared" si="103"/>
        <v>0</v>
      </c>
      <c r="BJ491" t="str">
        <f t="shared" si="104"/>
        <v/>
      </c>
      <c r="BL491">
        <f t="shared" si="106"/>
        <v>0</v>
      </c>
      <c r="BN491">
        <v>4.8999999999999998E-3</v>
      </c>
      <c r="BS491" s="4" t="s">
        <v>24</v>
      </c>
    </row>
    <row r="492" spans="1:71" ht="15.75" thickBot="1" x14ac:dyDescent="0.3">
      <c r="A492" s="569" t="s">
        <v>2569</v>
      </c>
      <c r="B492" s="569" t="s">
        <v>137</v>
      </c>
      <c r="C492" s="569" t="s">
        <v>6</v>
      </c>
      <c r="D492" s="574">
        <v>10</v>
      </c>
      <c r="E492" s="569"/>
      <c r="F492" s="569"/>
      <c r="G492" s="569"/>
      <c r="H492" s="569"/>
      <c r="I492" s="574">
        <v>0</v>
      </c>
      <c r="J492" s="574">
        <v>0</v>
      </c>
      <c r="K492" s="574">
        <v>0</v>
      </c>
      <c r="L492" s="574">
        <v>5.9</v>
      </c>
      <c r="M492" s="574">
        <v>0.5</v>
      </c>
      <c r="N492" s="574">
        <v>68.3</v>
      </c>
      <c r="O492" s="574">
        <v>0</v>
      </c>
      <c r="P492" s="574">
        <v>0</v>
      </c>
      <c r="Q492" s="574">
        <v>0</v>
      </c>
      <c r="R492" s="569"/>
      <c r="S492" s="569"/>
      <c r="T492" s="569"/>
      <c r="U492" s="569"/>
      <c r="V492" s="569"/>
      <c r="W492" s="569"/>
      <c r="X492" s="569"/>
      <c r="Y492" s="569"/>
      <c r="Z492" s="569"/>
      <c r="AA492" s="569"/>
      <c r="AB492" s="569"/>
      <c r="AC492" s="569"/>
      <c r="AD492" s="569"/>
      <c r="AE492" s="569"/>
      <c r="AF492" s="569"/>
      <c r="AG492" s="569"/>
      <c r="AH492" s="569"/>
      <c r="AI492" s="569"/>
      <c r="AJ492" s="569"/>
      <c r="AK492" s="569"/>
      <c r="AL492" s="569"/>
      <c r="AM492" s="569"/>
      <c r="AN492" s="574">
        <v>9.6999999999999993</v>
      </c>
      <c r="AO492">
        <v>491</v>
      </c>
      <c r="AP492" t="str">
        <f t="shared" si="105"/>
        <v/>
      </c>
      <c r="AQ492" t="str">
        <f t="shared" si="95"/>
        <v/>
      </c>
      <c r="AR492" s="430">
        <f>IFERROR(
IF(AP492="",-100,
IF($BV$2&gt;0, INDEX(Beersheet!$A:$U,MATCH(AP492,INDEX(Beersheet!$A:$U,0,FFARawStatProjections!$BV$2),0),$BV$3)+$BN492,
INDEX($A492:$BM492,,$BV$12)*$BW$12+
INDEX($A492:$BM492,,$BV$15)*$BW$15+
INDEX($A492:$BM492,,$BV$16)*$BW$16+
INDEX($A492:$BM492,,$BV$17)*$BW$17+
INDEX($A492:$BM492,,$BV$18)*$BW$18+
INDEX($A492:$BM492,,$BV$19)*$BW$19+
INDEX($A492:$BM492,,$BV$20)*$BW$20+
INDEX($A492:$BM492,,$BV$21)*$BW$21+
INDEX($A492:$BM492,,$BV$22)*$BW$22+
INDEX($A492:$BM492,,$BV$23)*$BW$23+
INDEX($A492:$BM492,,$BV$25)*$BW$25+
INDEX($A492:$BM492,,$BV$26)*$BW$26+
INDEX($A492:$BM492,,$BV$27)*$BW$27+
$BN492)),
$BN492-100)</f>
        <v>-100</v>
      </c>
      <c r="AT492" t="str">
        <f t="shared" si="96"/>
        <v/>
      </c>
      <c r="AU492" t="str">
        <f t="shared" si="97"/>
        <v/>
      </c>
      <c r="AV492" s="430">
        <f>IFERROR(
IF(AT492="",-100,
IF($BV$2&gt;0, INDEX(Beersheet!$A:$U,MATCH(AT492,INDEX(Beersheet!$A:$U,0,FFARawStatProjections!$BV$2),0),$BV$3)+$BN492,
INDEX($A492:$BM492,,$BV$12)*$BW$12+
INDEX($A492:$BM492,,$BV$15)*$BW$15+
INDEX($A492:$BM492,,$BV$16)*$BW$16+
INDEX($A492:$BM492,,$BV$17)*$BW$17+
INDEX($A492:$BM492,,$BV$18)*$BW$18+
INDEX($A492:$BM492,,$BV$19)*$BW$19+
INDEX($A492:$BM492,,$BV$20)*$BW$20+
INDEX($A492:$BM492,,$BV$21)*$BW$21+
INDEX($A492:$BM492,,$BV$22)*$BW$22+
INDEX($A492:$BM492,,$BV$23)*$BW$23+
INDEX($A492:$BM492,,$BV$25)*$BW$25+
INDEX($A492:$BM492,,$BV$26)*$BW$26+
INDEX($A492:$BM492,,$BV$27)*$BW$27+
$BN492)),
$BN492-100)</f>
        <v>-100</v>
      </c>
      <c r="AX492" t="str">
        <f t="shared" si="98"/>
        <v>Joseph Ngata</v>
      </c>
      <c r="AY492" t="str">
        <f t="shared" si="99"/>
        <v>PHI</v>
      </c>
      <c r="AZ492" s="430">
        <f>IFERROR(
IF(AX492="",-100,
IF($BV$2&gt;0, INDEX(Beersheet!$A:$U,MATCH(AX492,INDEX(Beersheet!$A:$U,0,FFARawStatProjections!$BV$2),0),$BV$3)+$BN492,
INDEX($A492:$BM492,,$BV$12)*$BW$12+
INDEX($A492:$BM492,,$BV$15)*$BW$15+
INDEX($A492:$BM492,,$BV$16)*$BW$16+
INDEX($A492:$BM492,,$BV$17)*$BW$17+
INDEX($A492:$BM492,,$BV$18)*$BW$18+
INDEX($A492:$BM492,,$BV$19)*$BW$19+
INDEX($A492:$BM492,,$BV$20)*$BW$20+
INDEX($A492:$BM492,,$BV$21)*$BW$21+
INDEX($A492:$BM492,,$BV$22)*$BW$22+
INDEX($A492:$BM492,,$BV$23)*$BW$23+
INDEX($A492:$BM492,,$BV$25)*$BW$25+
INDEX($A492:$BM492,,$BV$26)*$BW$26+
INDEX($A492:$BM492,,$BV$27)*$BW$27+
$BN492)),
$BN492-100)</f>
        <v>15.734910000000001</v>
      </c>
      <c r="BB492" t="str">
        <f t="shared" si="100"/>
        <v/>
      </c>
      <c r="BC492" t="str">
        <f t="shared" si="94"/>
        <v/>
      </c>
      <c r="BD492" s="430">
        <f>IFERROR(
IF(BB492="",-100,
IF($BV$2&gt;0, INDEX(Beersheet!$A:$U,MATCH(BB492,INDEX(Beersheet!$A:$U,0,FFARawStatProjections!$BV$2),0),$BV$3)+$BN492,
INDEX($A492:$BM492,,$BV$12)*$BW$12+
INDEX($A492:$BM492,,$BV$15)*$BW$15+
INDEX($A492:$BM492,,$BV$16)*$BW$16+
INDEX($A492:$BM492,,$BV$17)*$BW$17+
INDEX($A492:$BM492,,$BV$18)*$BW$18+
INDEX($A492:$BM492,,$BV$19)*$BW$19+
INDEX($A492:$BM492,,$BV$20)*$BW$20+
INDEX($A492:$BM492,,$BV$21)*$BW$21+
INDEX($A492:$BM492,,$BV$22)*$BW$22+
INDEX($A492:$BM492,,$BV$23)*$BW$23+
INDEX($A492:$BM492,,$BV$25)*$BW$25+
INDEX($A492:$BM492,,$BV$26)*$BW$26+
INDEX($A492:$BM492,,$BV$27)*$BW$27+
$BN492)),
$BN492-100)</f>
        <v>-100</v>
      </c>
      <c r="BF492" t="str">
        <f t="shared" si="101"/>
        <v/>
      </c>
      <c r="BG492" t="str">
        <f t="shared" si="102"/>
        <v/>
      </c>
      <c r="BH492">
        <f t="shared" si="103"/>
        <v>0</v>
      </c>
      <c r="BJ492" t="str">
        <f t="shared" si="104"/>
        <v/>
      </c>
      <c r="BL492">
        <f t="shared" si="106"/>
        <v>0</v>
      </c>
      <c r="BN492">
        <v>4.9100000000000003E-3</v>
      </c>
      <c r="BS492" s="4" t="s">
        <v>2440</v>
      </c>
    </row>
    <row r="493" spans="1:71" ht="15.75" thickBot="1" x14ac:dyDescent="0.3">
      <c r="A493" s="569" t="s">
        <v>2400</v>
      </c>
      <c r="B493" s="569" t="s">
        <v>2073</v>
      </c>
      <c r="C493" s="569" t="s">
        <v>6</v>
      </c>
      <c r="D493" s="574">
        <v>13</v>
      </c>
      <c r="E493" s="569"/>
      <c r="F493" s="569"/>
      <c r="G493" s="569"/>
      <c r="H493" s="569"/>
      <c r="I493" s="574">
        <v>0</v>
      </c>
      <c r="J493" s="574">
        <v>0</v>
      </c>
      <c r="K493" s="574">
        <v>0</v>
      </c>
      <c r="L493" s="574">
        <v>5.7</v>
      </c>
      <c r="M493" s="574">
        <v>0.3</v>
      </c>
      <c r="N493" s="574">
        <v>77.400000000000006</v>
      </c>
      <c r="O493" s="574">
        <v>0.2</v>
      </c>
      <c r="P493" s="574">
        <v>0</v>
      </c>
      <c r="Q493" s="574">
        <v>2.2999999999999998</v>
      </c>
      <c r="R493" s="569"/>
      <c r="S493" s="569"/>
      <c r="T493" s="569"/>
      <c r="U493" s="569"/>
      <c r="V493" s="569"/>
      <c r="W493" s="569"/>
      <c r="X493" s="569"/>
      <c r="Y493" s="569"/>
      <c r="Z493" s="569"/>
      <c r="AA493" s="569"/>
      <c r="AB493" s="569"/>
      <c r="AC493" s="569"/>
      <c r="AD493" s="569"/>
      <c r="AE493" s="569"/>
      <c r="AF493" s="569"/>
      <c r="AG493" s="569"/>
      <c r="AH493" s="569"/>
      <c r="AI493" s="569"/>
      <c r="AJ493" s="569"/>
      <c r="AK493" s="569"/>
      <c r="AL493" s="569"/>
      <c r="AM493" s="569"/>
      <c r="AN493" s="574">
        <v>9.6999999999999993</v>
      </c>
      <c r="AO493">
        <v>492</v>
      </c>
      <c r="AP493" t="str">
        <f t="shared" si="105"/>
        <v/>
      </c>
      <c r="AQ493" t="str">
        <f t="shared" si="95"/>
        <v/>
      </c>
      <c r="AR493" s="430">
        <f>IFERROR(
IF(AP493="",-100,
IF($BV$2&gt;0, INDEX(Beersheet!$A:$U,MATCH(AP493,INDEX(Beersheet!$A:$U,0,FFARawStatProjections!$BV$2),0),$BV$3)+$BN493,
INDEX($A493:$BM493,,$BV$12)*$BW$12+
INDEX($A493:$BM493,,$BV$15)*$BW$15+
INDEX($A493:$BM493,,$BV$16)*$BW$16+
INDEX($A493:$BM493,,$BV$17)*$BW$17+
INDEX($A493:$BM493,,$BV$18)*$BW$18+
INDEX($A493:$BM493,,$BV$19)*$BW$19+
INDEX($A493:$BM493,,$BV$20)*$BW$20+
INDEX($A493:$BM493,,$BV$21)*$BW$21+
INDEX($A493:$BM493,,$BV$22)*$BW$22+
INDEX($A493:$BM493,,$BV$23)*$BW$23+
INDEX($A493:$BM493,,$BV$25)*$BW$25+
INDEX($A493:$BM493,,$BV$26)*$BW$26+
INDEX($A493:$BM493,,$BV$27)*$BW$27+
$BN493)),
$BN493-100)</f>
        <v>-100</v>
      </c>
      <c r="AT493" t="str">
        <f t="shared" si="96"/>
        <v/>
      </c>
      <c r="AU493" t="str">
        <f t="shared" si="97"/>
        <v/>
      </c>
      <c r="AV493" s="430">
        <f>IFERROR(
IF(AT493="",-100,
IF($BV$2&gt;0, INDEX(Beersheet!$A:$U,MATCH(AT493,INDEX(Beersheet!$A:$U,0,FFARawStatProjections!$BV$2),0),$BV$3)+$BN493,
INDEX($A493:$BM493,,$BV$12)*$BW$12+
INDEX($A493:$BM493,,$BV$15)*$BW$15+
INDEX($A493:$BM493,,$BV$16)*$BW$16+
INDEX($A493:$BM493,,$BV$17)*$BW$17+
INDEX($A493:$BM493,,$BV$18)*$BW$18+
INDEX($A493:$BM493,,$BV$19)*$BW$19+
INDEX($A493:$BM493,,$BV$20)*$BW$20+
INDEX($A493:$BM493,,$BV$21)*$BW$21+
INDEX($A493:$BM493,,$BV$22)*$BW$22+
INDEX($A493:$BM493,,$BV$23)*$BW$23+
INDEX($A493:$BM493,,$BV$25)*$BW$25+
INDEX($A493:$BM493,,$BV$26)*$BW$26+
INDEX($A493:$BM493,,$BV$27)*$BW$27+
$BN493)),
$BN493-100)</f>
        <v>-100</v>
      </c>
      <c r="AX493" t="str">
        <f t="shared" si="98"/>
        <v>Tre Tucker</v>
      </c>
      <c r="AY493" t="str">
        <f t="shared" si="99"/>
        <v>LV</v>
      </c>
      <c r="AZ493" s="430">
        <f>IFERROR(
IF(AX493="",-100,
IF($BV$2&gt;0, INDEX(Beersheet!$A:$U,MATCH(AX493,INDEX(Beersheet!$A:$U,0,FFARawStatProjections!$BV$2),0),$BV$3)+$BN493,
INDEX($A493:$BM493,,$BV$12)*$BW$12+
INDEX($A493:$BM493,,$BV$15)*$BW$15+
INDEX($A493:$BM493,,$BV$16)*$BW$16+
INDEX($A493:$BM493,,$BV$17)*$BW$17+
INDEX($A493:$BM493,,$BV$18)*$BW$18+
INDEX($A493:$BM493,,$BV$19)*$BW$19+
INDEX($A493:$BM493,,$BV$20)*$BW$20+
INDEX($A493:$BM493,,$BV$21)*$BW$21+
INDEX($A493:$BM493,,$BV$22)*$BW$22+
INDEX($A493:$BM493,,$BV$23)*$BW$23+
INDEX($A493:$BM493,,$BV$25)*$BW$25+
INDEX($A493:$BM493,,$BV$26)*$BW$26+
INDEX($A493:$BM493,,$BV$27)*$BW$27+
$BN493)),
$BN493-100)</f>
        <v>15.474920000000003</v>
      </c>
      <c r="BB493" t="str">
        <f t="shared" si="100"/>
        <v/>
      </c>
      <c r="BC493" t="str">
        <f t="shared" si="94"/>
        <v/>
      </c>
      <c r="BD493" s="430">
        <f>IFERROR(
IF(BB493="",-100,
IF($BV$2&gt;0, INDEX(Beersheet!$A:$U,MATCH(BB493,INDEX(Beersheet!$A:$U,0,FFARawStatProjections!$BV$2),0),$BV$3)+$BN493,
INDEX($A493:$BM493,,$BV$12)*$BW$12+
INDEX($A493:$BM493,,$BV$15)*$BW$15+
INDEX($A493:$BM493,,$BV$16)*$BW$16+
INDEX($A493:$BM493,,$BV$17)*$BW$17+
INDEX($A493:$BM493,,$BV$18)*$BW$18+
INDEX($A493:$BM493,,$BV$19)*$BW$19+
INDEX($A493:$BM493,,$BV$20)*$BW$20+
INDEX($A493:$BM493,,$BV$21)*$BW$21+
INDEX($A493:$BM493,,$BV$22)*$BW$22+
INDEX($A493:$BM493,,$BV$23)*$BW$23+
INDEX($A493:$BM493,,$BV$25)*$BW$25+
INDEX($A493:$BM493,,$BV$26)*$BW$26+
INDEX($A493:$BM493,,$BV$27)*$BW$27+
$BN493)),
$BN493-100)</f>
        <v>-100</v>
      </c>
      <c r="BF493" t="str">
        <f t="shared" si="101"/>
        <v/>
      </c>
      <c r="BG493" t="str">
        <f t="shared" si="102"/>
        <v/>
      </c>
      <c r="BH493">
        <f t="shared" si="103"/>
        <v>0</v>
      </c>
      <c r="BJ493" t="str">
        <f t="shared" si="104"/>
        <v/>
      </c>
      <c r="BL493">
        <f t="shared" si="106"/>
        <v>0</v>
      </c>
      <c r="BN493">
        <v>4.9199999999999999E-3</v>
      </c>
      <c r="BS493" s="4" t="s">
        <v>2439</v>
      </c>
    </row>
    <row r="494" spans="1:71" ht="15.75" thickBot="1" x14ac:dyDescent="0.3">
      <c r="A494" s="569" t="s">
        <v>2084</v>
      </c>
      <c r="B494" s="569" t="s">
        <v>138</v>
      </c>
      <c r="C494" s="569" t="s">
        <v>6</v>
      </c>
      <c r="D494" s="574">
        <v>13</v>
      </c>
      <c r="E494" s="569"/>
      <c r="F494" s="569"/>
      <c r="G494" s="569"/>
      <c r="H494" s="569"/>
      <c r="I494" s="574">
        <v>0</v>
      </c>
      <c r="J494" s="574">
        <v>0</v>
      </c>
      <c r="K494" s="574">
        <v>0</v>
      </c>
      <c r="L494" s="574">
        <v>5.4</v>
      </c>
      <c r="M494" s="574">
        <v>0.3</v>
      </c>
      <c r="N494" s="574">
        <v>59.9</v>
      </c>
      <c r="O494" s="574">
        <v>2.5</v>
      </c>
      <c r="P494" s="574">
        <v>0.1</v>
      </c>
      <c r="Q494" s="574">
        <v>13.8</v>
      </c>
      <c r="R494" s="569"/>
      <c r="S494" s="569"/>
      <c r="T494" s="569"/>
      <c r="U494" s="569"/>
      <c r="V494" s="569"/>
      <c r="W494" s="569"/>
      <c r="X494" s="569"/>
      <c r="Y494" s="569"/>
      <c r="Z494" s="569"/>
      <c r="AA494" s="569"/>
      <c r="AB494" s="569"/>
      <c r="AC494" s="569"/>
      <c r="AD494" s="569"/>
      <c r="AE494" s="569"/>
      <c r="AF494" s="569"/>
      <c r="AG494" s="569"/>
      <c r="AH494" s="569"/>
      <c r="AI494" s="569"/>
      <c r="AJ494" s="569"/>
      <c r="AK494" s="569"/>
      <c r="AL494" s="569"/>
      <c r="AM494" s="569"/>
      <c r="AN494" s="574">
        <v>9.5</v>
      </c>
      <c r="AO494">
        <v>493</v>
      </c>
      <c r="AP494" t="str">
        <f t="shared" si="105"/>
        <v/>
      </c>
      <c r="AQ494" t="str">
        <f t="shared" si="95"/>
        <v/>
      </c>
      <c r="AR494" s="430">
        <f>IFERROR(
IF(AP494="",-100,
IF($BV$2&gt;0, INDEX(Beersheet!$A:$U,MATCH(AP494,INDEX(Beersheet!$A:$U,0,FFARawStatProjections!$BV$2),0),$BV$3)+$BN494,
INDEX($A494:$BM494,,$BV$12)*$BW$12+
INDEX($A494:$BM494,,$BV$15)*$BW$15+
INDEX($A494:$BM494,,$BV$16)*$BW$16+
INDEX($A494:$BM494,,$BV$17)*$BW$17+
INDEX($A494:$BM494,,$BV$18)*$BW$18+
INDEX($A494:$BM494,,$BV$19)*$BW$19+
INDEX($A494:$BM494,,$BV$20)*$BW$20+
INDEX($A494:$BM494,,$BV$21)*$BW$21+
INDEX($A494:$BM494,,$BV$22)*$BW$22+
INDEX($A494:$BM494,,$BV$23)*$BW$23+
INDEX($A494:$BM494,,$BV$25)*$BW$25+
INDEX($A494:$BM494,,$BV$26)*$BW$26+
INDEX($A494:$BM494,,$BV$27)*$BW$27+
$BN494)),
$BN494-100)</f>
        <v>-100</v>
      </c>
      <c r="AT494" t="str">
        <f t="shared" si="96"/>
        <v/>
      </c>
      <c r="AU494" t="str">
        <f t="shared" si="97"/>
        <v/>
      </c>
      <c r="AV494" s="430">
        <f>IFERROR(
IF(AT494="",-100,
IF($BV$2&gt;0, INDEX(Beersheet!$A:$U,MATCH(AT494,INDEX(Beersheet!$A:$U,0,FFARawStatProjections!$BV$2),0),$BV$3)+$BN494,
INDEX($A494:$BM494,,$BV$12)*$BW$12+
INDEX($A494:$BM494,,$BV$15)*$BW$15+
INDEX($A494:$BM494,,$BV$16)*$BW$16+
INDEX($A494:$BM494,,$BV$17)*$BW$17+
INDEX($A494:$BM494,,$BV$18)*$BW$18+
INDEX($A494:$BM494,,$BV$19)*$BW$19+
INDEX($A494:$BM494,,$BV$20)*$BW$20+
INDEX($A494:$BM494,,$BV$21)*$BW$21+
INDEX($A494:$BM494,,$BV$22)*$BW$22+
INDEX($A494:$BM494,,$BV$23)*$BW$23+
INDEX($A494:$BM494,,$BV$25)*$BW$25+
INDEX($A494:$BM494,,$BV$26)*$BW$26+
INDEX($A494:$BM494,,$BV$27)*$BW$27+
$BN494)),
$BN494-100)</f>
        <v>-100</v>
      </c>
      <c r="AX494" t="str">
        <f t="shared" si="98"/>
        <v>Jalen Reagor</v>
      </c>
      <c r="AY494" t="str">
        <f t="shared" si="99"/>
        <v>MIN</v>
      </c>
      <c r="AZ494" s="430">
        <f>IFERROR(
IF(AX494="",-100,
IF($BV$2&gt;0, INDEX(Beersheet!$A:$U,MATCH(AX494,INDEX(Beersheet!$A:$U,0,FFARawStatProjections!$BV$2),0),$BV$3)+$BN494,
INDEX($A494:$BM494,,$BV$12)*$BW$12+
INDEX($A494:$BM494,,$BV$15)*$BW$15+
INDEX($A494:$BM494,,$BV$16)*$BW$16+
INDEX($A494:$BM494,,$BV$17)*$BW$17+
INDEX($A494:$BM494,,$BV$18)*$BW$18+
INDEX($A494:$BM494,,$BV$19)*$BW$19+
INDEX($A494:$BM494,,$BV$20)*$BW$20+
INDEX($A494:$BM494,,$BV$21)*$BW$21+
INDEX($A494:$BM494,,$BV$22)*$BW$22+
INDEX($A494:$BM494,,$BV$23)*$BW$23+
INDEX($A494:$BM494,,$BV$25)*$BW$25+
INDEX($A494:$BM494,,$BV$26)*$BW$26+
INDEX($A494:$BM494,,$BV$27)*$BW$27+
$BN494)),
$BN494-100)</f>
        <v>15.174930000000002</v>
      </c>
      <c r="BB494" t="str">
        <f t="shared" si="100"/>
        <v/>
      </c>
      <c r="BC494" t="str">
        <f t="shared" si="94"/>
        <v/>
      </c>
      <c r="BD494" s="430">
        <f>IFERROR(
IF(BB494="",-100,
IF($BV$2&gt;0, INDEX(Beersheet!$A:$U,MATCH(BB494,INDEX(Beersheet!$A:$U,0,FFARawStatProjections!$BV$2),0),$BV$3)+$BN494,
INDEX($A494:$BM494,,$BV$12)*$BW$12+
INDEX($A494:$BM494,,$BV$15)*$BW$15+
INDEX($A494:$BM494,,$BV$16)*$BW$16+
INDEX($A494:$BM494,,$BV$17)*$BW$17+
INDEX($A494:$BM494,,$BV$18)*$BW$18+
INDEX($A494:$BM494,,$BV$19)*$BW$19+
INDEX($A494:$BM494,,$BV$20)*$BW$20+
INDEX($A494:$BM494,,$BV$21)*$BW$21+
INDEX($A494:$BM494,,$BV$22)*$BW$22+
INDEX($A494:$BM494,,$BV$23)*$BW$23+
INDEX($A494:$BM494,,$BV$25)*$BW$25+
INDEX($A494:$BM494,,$BV$26)*$BW$26+
INDEX($A494:$BM494,,$BV$27)*$BW$27+
$BN494)),
$BN494-100)</f>
        <v>-100</v>
      </c>
      <c r="BF494" t="str">
        <f t="shared" si="101"/>
        <v/>
      </c>
      <c r="BG494" t="str">
        <f t="shared" si="102"/>
        <v/>
      </c>
      <c r="BH494">
        <f t="shared" si="103"/>
        <v>0</v>
      </c>
      <c r="BJ494" t="str">
        <f t="shared" si="104"/>
        <v/>
      </c>
      <c r="BL494">
        <f t="shared" si="106"/>
        <v>0</v>
      </c>
      <c r="BN494">
        <v>4.9300000000000004E-3</v>
      </c>
      <c r="BS494" s="4" t="s">
        <v>1858</v>
      </c>
    </row>
    <row r="495" spans="1:71" ht="15.75" thickBot="1" x14ac:dyDescent="0.3">
      <c r="A495" s="569" t="s">
        <v>1346</v>
      </c>
      <c r="B495" s="569" t="s">
        <v>161</v>
      </c>
      <c r="C495" s="569" t="s">
        <v>6</v>
      </c>
      <c r="D495" s="574">
        <v>5</v>
      </c>
      <c r="E495" s="569"/>
      <c r="F495" s="569"/>
      <c r="G495" s="569"/>
      <c r="H495" s="569"/>
      <c r="I495" s="574">
        <v>0</v>
      </c>
      <c r="J495" s="574">
        <v>0</v>
      </c>
      <c r="K495" s="574">
        <v>0</v>
      </c>
      <c r="L495" s="574">
        <v>4.8</v>
      </c>
      <c r="M495" s="574">
        <v>0.2</v>
      </c>
      <c r="N495" s="574">
        <v>51.5</v>
      </c>
      <c r="O495" s="574">
        <v>0</v>
      </c>
      <c r="P495" s="574">
        <v>0.1</v>
      </c>
      <c r="Q495" s="574">
        <v>22.7</v>
      </c>
      <c r="R495" s="569"/>
      <c r="S495" s="569"/>
      <c r="T495" s="569"/>
      <c r="U495" s="569"/>
      <c r="V495" s="569"/>
      <c r="W495" s="569"/>
      <c r="X495" s="569"/>
      <c r="Y495" s="569"/>
      <c r="Z495" s="569"/>
      <c r="AA495" s="569"/>
      <c r="AB495" s="569"/>
      <c r="AC495" s="569"/>
      <c r="AD495" s="569"/>
      <c r="AE495" s="569"/>
      <c r="AF495" s="569"/>
      <c r="AG495" s="569"/>
      <c r="AH495" s="569"/>
      <c r="AI495" s="569"/>
      <c r="AJ495" s="569"/>
      <c r="AK495" s="569"/>
      <c r="AL495" s="569"/>
      <c r="AM495" s="569"/>
      <c r="AN495" s="574">
        <v>9.5</v>
      </c>
      <c r="AO495">
        <v>494</v>
      </c>
      <c r="AP495" t="str">
        <f t="shared" si="105"/>
        <v/>
      </c>
      <c r="AQ495" t="str">
        <f t="shared" si="95"/>
        <v/>
      </c>
      <c r="AR495" s="430">
        <f>IFERROR(
IF(AP495="",-100,
IF($BV$2&gt;0, INDEX(Beersheet!$A:$U,MATCH(AP495,INDEX(Beersheet!$A:$U,0,FFARawStatProjections!$BV$2),0),$BV$3)+$BN495,
INDEX($A495:$BM495,,$BV$12)*$BW$12+
INDEX($A495:$BM495,,$BV$15)*$BW$15+
INDEX($A495:$BM495,,$BV$16)*$BW$16+
INDEX($A495:$BM495,,$BV$17)*$BW$17+
INDEX($A495:$BM495,,$BV$18)*$BW$18+
INDEX($A495:$BM495,,$BV$19)*$BW$19+
INDEX($A495:$BM495,,$BV$20)*$BW$20+
INDEX($A495:$BM495,,$BV$21)*$BW$21+
INDEX($A495:$BM495,,$BV$22)*$BW$22+
INDEX($A495:$BM495,,$BV$23)*$BW$23+
INDEX($A495:$BM495,,$BV$25)*$BW$25+
INDEX($A495:$BM495,,$BV$26)*$BW$26+
INDEX($A495:$BM495,,$BV$27)*$BW$27+
$BN495)),
$BN495-100)</f>
        <v>-100</v>
      </c>
      <c r="AT495" t="str">
        <f t="shared" si="96"/>
        <v/>
      </c>
      <c r="AU495" t="str">
        <f t="shared" si="97"/>
        <v/>
      </c>
      <c r="AV495" s="430">
        <f>IFERROR(
IF(AT495="",-100,
IF($BV$2&gt;0, INDEX(Beersheet!$A:$U,MATCH(AT495,INDEX(Beersheet!$A:$U,0,FFARawStatProjections!$BV$2),0),$BV$3)+$BN495,
INDEX($A495:$BM495,,$BV$12)*$BW$12+
INDEX($A495:$BM495,,$BV$15)*$BW$15+
INDEX($A495:$BM495,,$BV$16)*$BW$16+
INDEX($A495:$BM495,,$BV$17)*$BW$17+
INDEX($A495:$BM495,,$BV$18)*$BW$18+
INDEX($A495:$BM495,,$BV$19)*$BW$19+
INDEX($A495:$BM495,,$BV$20)*$BW$20+
INDEX($A495:$BM495,,$BV$21)*$BW$21+
INDEX($A495:$BM495,,$BV$22)*$BW$22+
INDEX($A495:$BM495,,$BV$23)*$BW$23+
INDEX($A495:$BM495,,$BV$25)*$BW$25+
INDEX($A495:$BM495,,$BV$26)*$BW$26+
INDEX($A495:$BM495,,$BV$27)*$BW$27+
$BN495)),
$BN495-100)</f>
        <v>-100</v>
      </c>
      <c r="AX495" t="str">
        <f t="shared" si="98"/>
        <v>Jakeem Grant</v>
      </c>
      <c r="AY495" t="str">
        <f t="shared" si="99"/>
        <v>CLE</v>
      </c>
      <c r="AZ495" s="430">
        <f>IFERROR(
IF(AX495="",-100,
IF($BV$2&gt;0, INDEX(Beersheet!$A:$U,MATCH(AX495,INDEX(Beersheet!$A:$U,0,FFARawStatProjections!$BV$2),0),$BV$3)+$BN495,
INDEX($A495:$BM495,,$BV$12)*$BW$12+
INDEX($A495:$BM495,,$BV$15)*$BW$15+
INDEX($A495:$BM495,,$BV$16)*$BW$16+
INDEX($A495:$BM495,,$BV$17)*$BW$17+
INDEX($A495:$BM495,,$BV$18)*$BW$18+
INDEX($A495:$BM495,,$BV$19)*$BW$19+
INDEX($A495:$BM495,,$BV$20)*$BW$20+
INDEX($A495:$BM495,,$BV$21)*$BW$21+
INDEX($A495:$BM495,,$BV$22)*$BW$22+
INDEX($A495:$BM495,,$BV$23)*$BW$23+
INDEX($A495:$BM495,,$BV$25)*$BW$25+
INDEX($A495:$BM495,,$BV$26)*$BW$26+
INDEX($A495:$BM495,,$BV$27)*$BW$27+
$BN495)),
$BN495-100)</f>
        <v>14.024939999999999</v>
      </c>
      <c r="BB495" t="str">
        <f t="shared" si="100"/>
        <v/>
      </c>
      <c r="BC495" t="str">
        <f t="shared" si="94"/>
        <v/>
      </c>
      <c r="BD495" s="430">
        <f>IFERROR(
IF(BB495="",-100,
IF($BV$2&gt;0, INDEX(Beersheet!$A:$U,MATCH(BB495,INDEX(Beersheet!$A:$U,0,FFARawStatProjections!$BV$2),0),$BV$3)+$BN495,
INDEX($A495:$BM495,,$BV$12)*$BW$12+
INDEX($A495:$BM495,,$BV$15)*$BW$15+
INDEX($A495:$BM495,,$BV$16)*$BW$16+
INDEX($A495:$BM495,,$BV$17)*$BW$17+
INDEX($A495:$BM495,,$BV$18)*$BW$18+
INDEX($A495:$BM495,,$BV$19)*$BW$19+
INDEX($A495:$BM495,,$BV$20)*$BW$20+
INDEX($A495:$BM495,,$BV$21)*$BW$21+
INDEX($A495:$BM495,,$BV$22)*$BW$22+
INDEX($A495:$BM495,,$BV$23)*$BW$23+
INDEX($A495:$BM495,,$BV$25)*$BW$25+
INDEX($A495:$BM495,,$BV$26)*$BW$26+
INDEX($A495:$BM495,,$BV$27)*$BW$27+
$BN495)),
$BN495-100)</f>
        <v>-100</v>
      </c>
      <c r="BF495" t="str">
        <f t="shared" si="101"/>
        <v/>
      </c>
      <c r="BG495" t="str">
        <f t="shared" si="102"/>
        <v/>
      </c>
      <c r="BH495">
        <f t="shared" si="103"/>
        <v>0</v>
      </c>
      <c r="BJ495" t="str">
        <f t="shared" si="104"/>
        <v/>
      </c>
      <c r="BL495">
        <f t="shared" si="106"/>
        <v>0</v>
      </c>
      <c r="BN495">
        <v>4.9399999999999999E-3</v>
      </c>
      <c r="BS495" s="4" t="s">
        <v>1126</v>
      </c>
    </row>
    <row r="496" spans="1:71" ht="15.75" thickBot="1" x14ac:dyDescent="0.3">
      <c r="A496" s="569" t="s">
        <v>2211</v>
      </c>
      <c r="B496" s="569" t="s">
        <v>155</v>
      </c>
      <c r="C496" s="569" t="s">
        <v>6</v>
      </c>
      <c r="D496" s="574">
        <v>9</v>
      </c>
      <c r="E496" s="569"/>
      <c r="F496" s="569"/>
      <c r="G496" s="569"/>
      <c r="H496" s="569"/>
      <c r="I496" s="574">
        <v>0</v>
      </c>
      <c r="J496" s="574">
        <v>0</v>
      </c>
      <c r="K496" s="574">
        <v>0</v>
      </c>
      <c r="L496" s="574">
        <v>3.8</v>
      </c>
      <c r="M496" s="574">
        <v>0.2</v>
      </c>
      <c r="N496" s="574">
        <v>44.1</v>
      </c>
      <c r="O496" s="574">
        <v>3.1</v>
      </c>
      <c r="P496" s="574">
        <v>0.2</v>
      </c>
      <c r="Q496" s="574">
        <v>25.4</v>
      </c>
      <c r="R496" s="569"/>
      <c r="S496" s="569"/>
      <c r="T496" s="569"/>
      <c r="U496" s="569"/>
      <c r="V496" s="569"/>
      <c r="W496" s="569"/>
      <c r="X496" s="569"/>
      <c r="Y496" s="569"/>
      <c r="Z496" s="569"/>
      <c r="AA496" s="569"/>
      <c r="AB496" s="569"/>
      <c r="AC496" s="569"/>
      <c r="AD496" s="569"/>
      <c r="AE496" s="569"/>
      <c r="AF496" s="569"/>
      <c r="AG496" s="569"/>
      <c r="AH496" s="569"/>
      <c r="AI496" s="569"/>
      <c r="AJ496" s="569"/>
      <c r="AK496" s="569"/>
      <c r="AL496" s="569"/>
      <c r="AM496" s="569"/>
      <c r="AN496" s="574">
        <v>9.1999999999999993</v>
      </c>
      <c r="AO496">
        <v>495</v>
      </c>
      <c r="AP496" t="str">
        <f t="shared" si="105"/>
        <v/>
      </c>
      <c r="AQ496" t="str">
        <f t="shared" si="95"/>
        <v/>
      </c>
      <c r="AR496" s="430">
        <f>IFERROR(
IF(AP496="",-100,
IF($BV$2&gt;0, INDEX(Beersheet!$A:$U,MATCH(AP496,INDEX(Beersheet!$A:$U,0,FFARawStatProjections!$BV$2),0),$BV$3)+$BN496,
INDEX($A496:$BM496,,$BV$12)*$BW$12+
INDEX($A496:$BM496,,$BV$15)*$BW$15+
INDEX($A496:$BM496,,$BV$16)*$BW$16+
INDEX($A496:$BM496,,$BV$17)*$BW$17+
INDEX($A496:$BM496,,$BV$18)*$BW$18+
INDEX($A496:$BM496,,$BV$19)*$BW$19+
INDEX($A496:$BM496,,$BV$20)*$BW$20+
INDEX($A496:$BM496,,$BV$21)*$BW$21+
INDEX($A496:$BM496,,$BV$22)*$BW$22+
INDEX($A496:$BM496,,$BV$23)*$BW$23+
INDEX($A496:$BM496,,$BV$25)*$BW$25+
INDEX($A496:$BM496,,$BV$26)*$BW$26+
INDEX($A496:$BM496,,$BV$27)*$BW$27+
$BN496)),
$BN496-100)</f>
        <v>-100</v>
      </c>
      <c r="AT496" t="str">
        <f t="shared" si="96"/>
        <v/>
      </c>
      <c r="AU496" t="str">
        <f t="shared" si="97"/>
        <v/>
      </c>
      <c r="AV496" s="430">
        <f>IFERROR(
IF(AT496="",-100,
IF($BV$2&gt;0, INDEX(Beersheet!$A:$U,MATCH(AT496,INDEX(Beersheet!$A:$U,0,FFARawStatProjections!$BV$2),0),$BV$3)+$BN496,
INDEX($A496:$BM496,,$BV$12)*$BW$12+
INDEX($A496:$BM496,,$BV$15)*$BW$15+
INDEX($A496:$BM496,,$BV$16)*$BW$16+
INDEX($A496:$BM496,,$BV$17)*$BW$17+
INDEX($A496:$BM496,,$BV$18)*$BW$18+
INDEX($A496:$BM496,,$BV$19)*$BW$19+
INDEX($A496:$BM496,,$BV$20)*$BW$20+
INDEX($A496:$BM496,,$BV$21)*$BW$21+
INDEX($A496:$BM496,,$BV$22)*$BW$22+
INDEX($A496:$BM496,,$BV$23)*$BW$23+
INDEX($A496:$BM496,,$BV$25)*$BW$25+
INDEX($A496:$BM496,,$BV$26)*$BW$26+
INDEX($A496:$BM496,,$BV$27)*$BW$27+
$BN496)),
$BN496-100)</f>
        <v>-100</v>
      </c>
      <c r="AX496" t="str">
        <f t="shared" si="98"/>
        <v>Ray-Ray McCloud</v>
      </c>
      <c r="AY496" t="str">
        <f t="shared" si="99"/>
        <v>SF</v>
      </c>
      <c r="AZ496" s="430">
        <f>IFERROR(
IF(AX496="",-100,
IF($BV$2&gt;0, INDEX(Beersheet!$A:$U,MATCH(AX496,INDEX(Beersheet!$A:$U,0,FFARawStatProjections!$BV$2),0),$BV$3)+$BN496,
INDEX($A496:$BM496,,$BV$12)*$BW$12+
INDEX($A496:$BM496,,$BV$15)*$BW$15+
INDEX($A496:$BM496,,$BV$16)*$BW$16+
INDEX($A496:$BM496,,$BV$17)*$BW$17+
INDEX($A496:$BM496,,$BV$18)*$BW$18+
INDEX($A496:$BM496,,$BV$19)*$BW$19+
INDEX($A496:$BM496,,$BV$20)*$BW$20+
INDEX($A496:$BM496,,$BV$21)*$BW$21+
INDEX($A496:$BM496,,$BV$22)*$BW$22+
INDEX($A496:$BM496,,$BV$23)*$BW$23+
INDEX($A496:$BM496,,$BV$25)*$BW$25+
INDEX($A496:$BM496,,$BV$26)*$BW$26+
INDEX($A496:$BM496,,$BV$27)*$BW$27+
$BN496)),
$BN496-100)</f>
        <v>13.154949999999998</v>
      </c>
      <c r="BB496" t="str">
        <f t="shared" si="100"/>
        <v/>
      </c>
      <c r="BC496" t="str">
        <f t="shared" si="94"/>
        <v/>
      </c>
      <c r="BD496" s="430">
        <f>IFERROR(
IF(BB496="",-100,
IF($BV$2&gt;0, INDEX(Beersheet!$A:$U,MATCH(BB496,INDEX(Beersheet!$A:$U,0,FFARawStatProjections!$BV$2),0),$BV$3)+$BN496,
INDEX($A496:$BM496,,$BV$12)*$BW$12+
INDEX($A496:$BM496,,$BV$15)*$BW$15+
INDEX($A496:$BM496,,$BV$16)*$BW$16+
INDEX($A496:$BM496,,$BV$17)*$BW$17+
INDEX($A496:$BM496,,$BV$18)*$BW$18+
INDEX($A496:$BM496,,$BV$19)*$BW$19+
INDEX($A496:$BM496,,$BV$20)*$BW$20+
INDEX($A496:$BM496,,$BV$21)*$BW$21+
INDEX($A496:$BM496,,$BV$22)*$BW$22+
INDEX($A496:$BM496,,$BV$23)*$BW$23+
INDEX($A496:$BM496,,$BV$25)*$BW$25+
INDEX($A496:$BM496,,$BV$26)*$BW$26+
INDEX($A496:$BM496,,$BV$27)*$BW$27+
$BN496)),
$BN496-100)</f>
        <v>-100</v>
      </c>
      <c r="BF496" t="str">
        <f t="shared" si="101"/>
        <v/>
      </c>
      <c r="BG496" t="str">
        <f t="shared" si="102"/>
        <v/>
      </c>
      <c r="BH496">
        <f t="shared" si="103"/>
        <v>0</v>
      </c>
      <c r="BJ496" t="str">
        <f t="shared" si="104"/>
        <v/>
      </c>
      <c r="BL496">
        <f t="shared" si="106"/>
        <v>0</v>
      </c>
      <c r="BN496">
        <v>4.9500000000000004E-3</v>
      </c>
      <c r="BS496" s="4" t="s">
        <v>166</v>
      </c>
    </row>
    <row r="497" spans="1:71" ht="15.75" thickBot="1" x14ac:dyDescent="0.3">
      <c r="A497" s="569" t="s">
        <v>2456</v>
      </c>
      <c r="B497" s="569" t="s">
        <v>146</v>
      </c>
      <c r="C497" s="569" t="s">
        <v>6</v>
      </c>
      <c r="D497" s="574">
        <v>7</v>
      </c>
      <c r="E497" s="569"/>
      <c r="F497" s="569"/>
      <c r="G497" s="569"/>
      <c r="H497" s="569"/>
      <c r="I497" s="574">
        <v>0</v>
      </c>
      <c r="J497" s="574">
        <v>0</v>
      </c>
      <c r="K497" s="574">
        <v>0</v>
      </c>
      <c r="L497" s="574">
        <v>5.5</v>
      </c>
      <c r="M497" s="574">
        <v>0.3</v>
      </c>
      <c r="N497" s="574">
        <v>56.4</v>
      </c>
      <c r="O497" s="574">
        <v>1.7</v>
      </c>
      <c r="P497" s="574">
        <v>0.1</v>
      </c>
      <c r="Q497" s="574">
        <v>10.199999999999999</v>
      </c>
      <c r="R497" s="569"/>
      <c r="S497" s="569"/>
      <c r="T497" s="569"/>
      <c r="U497" s="569"/>
      <c r="V497" s="569"/>
      <c r="W497" s="569"/>
      <c r="X497" s="569"/>
      <c r="Y497" s="569"/>
      <c r="Z497" s="569"/>
      <c r="AA497" s="569"/>
      <c r="AB497" s="569"/>
      <c r="AC497" s="569"/>
      <c r="AD497" s="569"/>
      <c r="AE497" s="569"/>
      <c r="AF497" s="569"/>
      <c r="AG497" s="569"/>
      <c r="AH497" s="569"/>
      <c r="AI497" s="569"/>
      <c r="AJ497" s="569"/>
      <c r="AK497" s="569"/>
      <c r="AL497" s="569"/>
      <c r="AM497" s="569"/>
      <c r="AN497" s="574">
        <v>9.1</v>
      </c>
      <c r="AO497">
        <v>496</v>
      </c>
      <c r="AP497" t="str">
        <f t="shared" si="105"/>
        <v/>
      </c>
      <c r="AQ497" t="str">
        <f t="shared" si="95"/>
        <v/>
      </c>
      <c r="AR497" s="430">
        <f>IFERROR(
IF(AP497="",-100,
IF($BV$2&gt;0, INDEX(Beersheet!$A:$U,MATCH(AP497,INDEX(Beersheet!$A:$U,0,FFARawStatProjections!$BV$2),0),$BV$3)+$BN497,
INDEX($A497:$BM497,,$BV$12)*$BW$12+
INDEX($A497:$BM497,,$BV$15)*$BW$15+
INDEX($A497:$BM497,,$BV$16)*$BW$16+
INDEX($A497:$BM497,,$BV$17)*$BW$17+
INDEX($A497:$BM497,,$BV$18)*$BW$18+
INDEX($A497:$BM497,,$BV$19)*$BW$19+
INDEX($A497:$BM497,,$BV$20)*$BW$20+
INDEX($A497:$BM497,,$BV$21)*$BW$21+
INDEX($A497:$BM497,,$BV$22)*$BW$22+
INDEX($A497:$BM497,,$BV$23)*$BW$23+
INDEX($A497:$BM497,,$BV$25)*$BW$25+
INDEX($A497:$BM497,,$BV$26)*$BW$26+
INDEX($A497:$BM497,,$BV$27)*$BW$27+
$BN497)),
$BN497-100)</f>
        <v>-100</v>
      </c>
      <c r="AT497" t="str">
        <f t="shared" si="96"/>
        <v/>
      </c>
      <c r="AU497" t="str">
        <f t="shared" si="97"/>
        <v/>
      </c>
      <c r="AV497" s="430">
        <f>IFERROR(
IF(AT497="",-100,
IF($BV$2&gt;0, INDEX(Beersheet!$A:$U,MATCH(AT497,INDEX(Beersheet!$A:$U,0,FFARawStatProjections!$BV$2),0),$BV$3)+$BN497,
INDEX($A497:$BM497,,$BV$12)*$BW$12+
INDEX($A497:$BM497,,$BV$15)*$BW$15+
INDEX($A497:$BM497,,$BV$16)*$BW$16+
INDEX($A497:$BM497,,$BV$17)*$BW$17+
INDEX($A497:$BM497,,$BV$18)*$BW$18+
INDEX($A497:$BM497,,$BV$19)*$BW$19+
INDEX($A497:$BM497,,$BV$20)*$BW$20+
INDEX($A497:$BM497,,$BV$21)*$BW$21+
INDEX($A497:$BM497,,$BV$22)*$BW$22+
INDEX($A497:$BM497,,$BV$23)*$BW$23+
INDEX($A497:$BM497,,$BV$25)*$BW$25+
INDEX($A497:$BM497,,$BV$26)*$BW$26+
INDEX($A497:$BM497,,$BV$27)*$BW$27+
$BN497)),
$BN497-100)</f>
        <v>-100</v>
      </c>
      <c r="AX497" t="str">
        <f t="shared" si="98"/>
        <v>KaVontae Turpin</v>
      </c>
      <c r="AY497" t="str">
        <f t="shared" si="99"/>
        <v>DAL</v>
      </c>
      <c r="AZ497" s="430">
        <f>IFERROR(
IF(AX497="",-100,
IF($BV$2&gt;0, INDEX(Beersheet!$A:$U,MATCH(AX497,INDEX(Beersheet!$A:$U,0,FFARawStatProjections!$BV$2),0),$BV$3)+$BN497,
INDEX($A497:$BM497,,$BV$12)*$BW$12+
INDEX($A497:$BM497,,$BV$15)*$BW$15+
INDEX($A497:$BM497,,$BV$16)*$BW$16+
INDEX($A497:$BM497,,$BV$17)*$BW$17+
INDEX($A497:$BM497,,$BV$18)*$BW$18+
INDEX($A497:$BM497,,$BV$19)*$BW$19+
INDEX($A497:$BM497,,$BV$20)*$BW$20+
INDEX($A497:$BM497,,$BV$21)*$BW$21+
INDEX($A497:$BM497,,$BV$22)*$BW$22+
INDEX($A497:$BM497,,$BV$23)*$BW$23+
INDEX($A497:$BM497,,$BV$25)*$BW$25+
INDEX($A497:$BM497,,$BV$26)*$BW$26+
INDEX($A497:$BM497,,$BV$27)*$BW$27+
$BN497)),
$BN497-100)</f>
        <v>14.564960000000001</v>
      </c>
      <c r="BB497" t="str">
        <f t="shared" si="100"/>
        <v/>
      </c>
      <c r="BC497" t="str">
        <f t="shared" si="94"/>
        <v/>
      </c>
      <c r="BD497" s="430">
        <f>IFERROR(
IF(BB497="",-100,
IF($BV$2&gt;0, INDEX(Beersheet!$A:$U,MATCH(BB497,INDEX(Beersheet!$A:$U,0,FFARawStatProjections!$BV$2),0),$BV$3)+$BN497,
INDEX($A497:$BM497,,$BV$12)*$BW$12+
INDEX($A497:$BM497,,$BV$15)*$BW$15+
INDEX($A497:$BM497,,$BV$16)*$BW$16+
INDEX($A497:$BM497,,$BV$17)*$BW$17+
INDEX($A497:$BM497,,$BV$18)*$BW$18+
INDEX($A497:$BM497,,$BV$19)*$BW$19+
INDEX($A497:$BM497,,$BV$20)*$BW$20+
INDEX($A497:$BM497,,$BV$21)*$BW$21+
INDEX($A497:$BM497,,$BV$22)*$BW$22+
INDEX($A497:$BM497,,$BV$23)*$BW$23+
INDEX($A497:$BM497,,$BV$25)*$BW$25+
INDEX($A497:$BM497,,$BV$26)*$BW$26+
INDEX($A497:$BM497,,$BV$27)*$BW$27+
$BN497)),
$BN497-100)</f>
        <v>-100</v>
      </c>
      <c r="BF497" t="str">
        <f t="shared" si="101"/>
        <v/>
      </c>
      <c r="BG497" t="str">
        <f t="shared" si="102"/>
        <v/>
      </c>
      <c r="BH497">
        <f t="shared" si="103"/>
        <v>0</v>
      </c>
      <c r="BJ497" t="str">
        <f t="shared" si="104"/>
        <v/>
      </c>
      <c r="BL497">
        <f t="shared" si="106"/>
        <v>0</v>
      </c>
      <c r="BN497">
        <v>4.96E-3</v>
      </c>
      <c r="BS497" s="4" t="s">
        <v>2438</v>
      </c>
    </row>
    <row r="498" spans="1:71" ht="15.75" thickBot="1" x14ac:dyDescent="0.3">
      <c r="A498" s="569" t="s">
        <v>2570</v>
      </c>
      <c r="B498" s="569" t="s">
        <v>140</v>
      </c>
      <c r="C498" s="569" t="s">
        <v>6</v>
      </c>
      <c r="D498" s="574">
        <v>5</v>
      </c>
      <c r="E498" s="569"/>
      <c r="F498" s="569"/>
      <c r="G498" s="569"/>
      <c r="H498" s="569"/>
      <c r="I498" s="574">
        <v>0</v>
      </c>
      <c r="J498" s="574">
        <v>0</v>
      </c>
      <c r="K498" s="574">
        <v>0</v>
      </c>
      <c r="L498" s="574">
        <v>8.1</v>
      </c>
      <c r="M498" s="574">
        <v>0.3</v>
      </c>
      <c r="N498" s="574">
        <v>68.900000000000006</v>
      </c>
      <c r="O498" s="574">
        <v>0.2</v>
      </c>
      <c r="P498" s="574">
        <v>0</v>
      </c>
      <c r="Q498" s="574">
        <v>1</v>
      </c>
      <c r="R498" s="569"/>
      <c r="S498" s="569"/>
      <c r="T498" s="569"/>
      <c r="U498" s="569"/>
      <c r="V498" s="569"/>
      <c r="W498" s="569"/>
      <c r="X498" s="569"/>
      <c r="Y498" s="569"/>
      <c r="Z498" s="569"/>
      <c r="AA498" s="569"/>
      <c r="AB498" s="569"/>
      <c r="AC498" s="569"/>
      <c r="AD498" s="569"/>
      <c r="AE498" s="569"/>
      <c r="AF498" s="569"/>
      <c r="AG498" s="569"/>
      <c r="AH498" s="569"/>
      <c r="AI498" s="569"/>
      <c r="AJ498" s="569"/>
      <c r="AK498" s="569"/>
      <c r="AL498" s="569"/>
      <c r="AM498" s="569"/>
      <c r="AN498" s="574">
        <v>8.9</v>
      </c>
      <c r="AO498">
        <v>497</v>
      </c>
      <c r="AP498" t="str">
        <f t="shared" si="105"/>
        <v/>
      </c>
      <c r="AQ498" t="str">
        <f t="shared" si="95"/>
        <v/>
      </c>
      <c r="AR498" s="430">
        <f>IFERROR(
IF(AP498="",-100,
IF($BV$2&gt;0, INDEX(Beersheet!$A:$U,MATCH(AP498,INDEX(Beersheet!$A:$U,0,FFARawStatProjections!$BV$2),0),$BV$3)+$BN498,
INDEX($A498:$BM498,,$BV$12)*$BW$12+
INDEX($A498:$BM498,,$BV$15)*$BW$15+
INDEX($A498:$BM498,,$BV$16)*$BW$16+
INDEX($A498:$BM498,,$BV$17)*$BW$17+
INDEX($A498:$BM498,,$BV$18)*$BW$18+
INDEX($A498:$BM498,,$BV$19)*$BW$19+
INDEX($A498:$BM498,,$BV$20)*$BW$20+
INDEX($A498:$BM498,,$BV$21)*$BW$21+
INDEX($A498:$BM498,,$BV$22)*$BW$22+
INDEX($A498:$BM498,,$BV$23)*$BW$23+
INDEX($A498:$BM498,,$BV$25)*$BW$25+
INDEX($A498:$BM498,,$BV$26)*$BW$26+
INDEX($A498:$BM498,,$BV$27)*$BW$27+
$BN498)),
$BN498-100)</f>
        <v>-100</v>
      </c>
      <c r="AT498" t="str">
        <f t="shared" si="96"/>
        <v/>
      </c>
      <c r="AU498" t="str">
        <f t="shared" si="97"/>
        <v/>
      </c>
      <c r="AV498" s="430">
        <f>IFERROR(
IF(AT498="",-100,
IF($BV$2&gt;0, INDEX(Beersheet!$A:$U,MATCH(AT498,INDEX(Beersheet!$A:$U,0,FFARawStatProjections!$BV$2),0),$BV$3)+$BN498,
INDEX($A498:$BM498,,$BV$12)*$BW$12+
INDEX($A498:$BM498,,$BV$15)*$BW$15+
INDEX($A498:$BM498,,$BV$16)*$BW$16+
INDEX($A498:$BM498,,$BV$17)*$BW$17+
INDEX($A498:$BM498,,$BV$18)*$BW$18+
INDEX($A498:$BM498,,$BV$19)*$BW$19+
INDEX($A498:$BM498,,$BV$20)*$BW$20+
INDEX($A498:$BM498,,$BV$21)*$BW$21+
INDEX($A498:$BM498,,$BV$22)*$BW$22+
INDEX($A498:$BM498,,$BV$23)*$BW$23+
INDEX($A498:$BM498,,$BV$25)*$BW$25+
INDEX($A498:$BM498,,$BV$26)*$BW$26+
INDEX($A498:$BM498,,$BV$27)*$BW$27+
$BN498)),
$BN498-100)</f>
        <v>-100</v>
      </c>
      <c r="AX498" t="str">
        <f t="shared" si="98"/>
        <v>Dareke Young</v>
      </c>
      <c r="AY498" t="str">
        <f t="shared" si="99"/>
        <v>SEA</v>
      </c>
      <c r="AZ498" s="430">
        <f>IFERROR(
IF(AX498="",-100,
IF($BV$2&gt;0, INDEX(Beersheet!$A:$U,MATCH(AX498,INDEX(Beersheet!$A:$U,0,FFARawStatProjections!$BV$2),0),$BV$3)+$BN498,
INDEX($A498:$BM498,,$BV$12)*$BW$12+
INDEX($A498:$BM498,,$BV$15)*$BW$15+
INDEX($A498:$BM498,,$BV$16)*$BW$16+
INDEX($A498:$BM498,,$BV$17)*$BW$17+
INDEX($A498:$BM498,,$BV$18)*$BW$18+
INDEX($A498:$BM498,,$BV$19)*$BW$19+
INDEX($A498:$BM498,,$BV$20)*$BW$20+
INDEX($A498:$BM498,,$BV$21)*$BW$21+
INDEX($A498:$BM498,,$BV$22)*$BW$22+
INDEX($A498:$BM498,,$BV$23)*$BW$23+
INDEX($A498:$BM498,,$BV$25)*$BW$25+
INDEX($A498:$BM498,,$BV$26)*$BW$26+
INDEX($A498:$BM498,,$BV$27)*$BW$27+
$BN498)),
$BN498-100)</f>
        <v>16.894970000000001</v>
      </c>
      <c r="BB498" t="str">
        <f t="shared" si="100"/>
        <v/>
      </c>
      <c r="BC498" t="str">
        <f t="shared" si="94"/>
        <v/>
      </c>
      <c r="BD498" s="430">
        <f>IFERROR(
IF(BB498="",-100,
IF($BV$2&gt;0, INDEX(Beersheet!$A:$U,MATCH(BB498,INDEX(Beersheet!$A:$U,0,FFARawStatProjections!$BV$2),0),$BV$3)+$BN498,
INDEX($A498:$BM498,,$BV$12)*$BW$12+
INDEX($A498:$BM498,,$BV$15)*$BW$15+
INDEX($A498:$BM498,,$BV$16)*$BW$16+
INDEX($A498:$BM498,,$BV$17)*$BW$17+
INDEX($A498:$BM498,,$BV$18)*$BW$18+
INDEX($A498:$BM498,,$BV$19)*$BW$19+
INDEX($A498:$BM498,,$BV$20)*$BW$20+
INDEX($A498:$BM498,,$BV$21)*$BW$21+
INDEX($A498:$BM498,,$BV$22)*$BW$22+
INDEX($A498:$BM498,,$BV$23)*$BW$23+
INDEX($A498:$BM498,,$BV$25)*$BW$25+
INDEX($A498:$BM498,,$BV$26)*$BW$26+
INDEX($A498:$BM498,,$BV$27)*$BW$27+
$BN498)),
$BN498-100)</f>
        <v>-100</v>
      </c>
      <c r="BF498" t="str">
        <f t="shared" si="101"/>
        <v/>
      </c>
      <c r="BG498" t="str">
        <f t="shared" si="102"/>
        <v/>
      </c>
      <c r="BH498">
        <f t="shared" si="103"/>
        <v>0</v>
      </c>
      <c r="BJ498" t="str">
        <f t="shared" si="104"/>
        <v/>
      </c>
      <c r="BL498">
        <f t="shared" si="106"/>
        <v>0</v>
      </c>
      <c r="BN498">
        <v>4.9699999999999996E-3</v>
      </c>
      <c r="BS498" s="4" t="s">
        <v>1287</v>
      </c>
    </row>
    <row r="499" spans="1:71" ht="15.75" thickBot="1" x14ac:dyDescent="0.3">
      <c r="A499" s="569" t="s">
        <v>2223</v>
      </c>
      <c r="B499" s="569" t="s">
        <v>158</v>
      </c>
      <c r="C499" s="569" t="s">
        <v>6</v>
      </c>
      <c r="D499" s="574">
        <v>11</v>
      </c>
      <c r="E499" s="569"/>
      <c r="F499" s="569"/>
      <c r="G499" s="569"/>
      <c r="H499" s="569"/>
      <c r="I499" s="574">
        <v>0</v>
      </c>
      <c r="J499" s="574">
        <v>0</v>
      </c>
      <c r="K499" s="574">
        <v>0</v>
      </c>
      <c r="L499" s="574">
        <v>4.5</v>
      </c>
      <c r="M499" s="574">
        <v>0.3</v>
      </c>
      <c r="N499" s="574">
        <v>67.2</v>
      </c>
      <c r="O499" s="574">
        <v>0.3</v>
      </c>
      <c r="P499" s="574">
        <v>0</v>
      </c>
      <c r="Q499" s="574">
        <v>5.3</v>
      </c>
      <c r="R499" s="569"/>
      <c r="S499" s="569"/>
      <c r="T499" s="569"/>
      <c r="U499" s="569"/>
      <c r="V499" s="569"/>
      <c r="W499" s="569"/>
      <c r="X499" s="569"/>
      <c r="Y499" s="569"/>
      <c r="Z499" s="569"/>
      <c r="AA499" s="569"/>
      <c r="AB499" s="569"/>
      <c r="AC499" s="569"/>
      <c r="AD499" s="569"/>
      <c r="AE499" s="569"/>
      <c r="AF499" s="569"/>
      <c r="AG499" s="569"/>
      <c r="AH499" s="569"/>
      <c r="AI499" s="569"/>
      <c r="AJ499" s="569"/>
      <c r="AK499" s="569"/>
      <c r="AL499" s="569"/>
      <c r="AM499" s="569"/>
      <c r="AN499" s="574">
        <v>8.6999999999999993</v>
      </c>
      <c r="AO499">
        <v>498</v>
      </c>
      <c r="AP499" t="str">
        <f t="shared" si="105"/>
        <v/>
      </c>
      <c r="AQ499" t="str">
        <f t="shared" si="95"/>
        <v/>
      </c>
      <c r="AR499" s="430">
        <f>IFERROR(
IF(AP499="",-100,
IF($BV$2&gt;0, INDEX(Beersheet!$A:$U,MATCH(AP499,INDEX(Beersheet!$A:$U,0,FFARawStatProjections!$BV$2),0),$BV$3)+$BN499,
INDEX($A499:$BM499,,$BV$12)*$BW$12+
INDEX($A499:$BM499,,$BV$15)*$BW$15+
INDEX($A499:$BM499,,$BV$16)*$BW$16+
INDEX($A499:$BM499,,$BV$17)*$BW$17+
INDEX($A499:$BM499,,$BV$18)*$BW$18+
INDEX($A499:$BM499,,$BV$19)*$BW$19+
INDEX($A499:$BM499,,$BV$20)*$BW$20+
INDEX($A499:$BM499,,$BV$21)*$BW$21+
INDEX($A499:$BM499,,$BV$22)*$BW$22+
INDEX($A499:$BM499,,$BV$23)*$BW$23+
INDEX($A499:$BM499,,$BV$25)*$BW$25+
INDEX($A499:$BM499,,$BV$26)*$BW$26+
INDEX($A499:$BM499,,$BV$27)*$BW$27+
$BN499)),
$BN499-100)</f>
        <v>-100</v>
      </c>
      <c r="AT499" t="str">
        <f t="shared" si="96"/>
        <v/>
      </c>
      <c r="AU499" t="str">
        <f t="shared" si="97"/>
        <v/>
      </c>
      <c r="AV499" s="430">
        <f>IFERROR(
IF(AT499="",-100,
IF($BV$2&gt;0, INDEX(Beersheet!$A:$U,MATCH(AT499,INDEX(Beersheet!$A:$U,0,FFARawStatProjections!$BV$2),0),$BV$3)+$BN499,
INDEX($A499:$BM499,,$BV$12)*$BW$12+
INDEX($A499:$BM499,,$BV$15)*$BW$15+
INDEX($A499:$BM499,,$BV$16)*$BW$16+
INDEX($A499:$BM499,,$BV$17)*$BW$17+
INDEX($A499:$BM499,,$BV$18)*$BW$18+
INDEX($A499:$BM499,,$BV$19)*$BW$19+
INDEX($A499:$BM499,,$BV$20)*$BW$20+
INDEX($A499:$BM499,,$BV$21)*$BW$21+
INDEX($A499:$BM499,,$BV$22)*$BW$22+
INDEX($A499:$BM499,,$BV$23)*$BW$23+
INDEX($A499:$BM499,,$BV$25)*$BW$25+
INDEX($A499:$BM499,,$BV$26)*$BW$26+
INDEX($A499:$BM499,,$BV$27)*$BW$27+
$BN499)),
$BN499-100)</f>
        <v>-100</v>
      </c>
      <c r="AX499" t="str">
        <f t="shared" si="98"/>
        <v>Ashton Dulin</v>
      </c>
      <c r="AY499" t="str">
        <f t="shared" si="99"/>
        <v>IND</v>
      </c>
      <c r="AZ499" s="430">
        <f>IFERROR(
IF(AX499="",-100,
IF($BV$2&gt;0, INDEX(Beersheet!$A:$U,MATCH(AX499,INDEX(Beersheet!$A:$U,0,FFARawStatProjections!$BV$2),0),$BV$3)+$BN499,
INDEX($A499:$BM499,,$BV$12)*$BW$12+
INDEX($A499:$BM499,,$BV$15)*$BW$15+
INDEX($A499:$BM499,,$BV$16)*$BW$16+
INDEX($A499:$BM499,,$BV$17)*$BW$17+
INDEX($A499:$BM499,,$BV$18)*$BW$18+
INDEX($A499:$BM499,,$BV$19)*$BW$19+
INDEX($A499:$BM499,,$BV$20)*$BW$20+
INDEX($A499:$BM499,,$BV$21)*$BW$21+
INDEX($A499:$BM499,,$BV$22)*$BW$22+
INDEX($A499:$BM499,,$BV$23)*$BW$23+
INDEX($A499:$BM499,,$BV$25)*$BW$25+
INDEX($A499:$BM499,,$BV$26)*$BW$26+
INDEX($A499:$BM499,,$BV$27)*$BW$27+
$BN499)),
$BN499-100)</f>
        <v>13.554979999999999</v>
      </c>
      <c r="BB499" t="str">
        <f t="shared" si="100"/>
        <v/>
      </c>
      <c r="BC499" t="str">
        <f t="shared" si="94"/>
        <v/>
      </c>
      <c r="BD499" s="430">
        <f>IFERROR(
IF(BB499="",-100,
IF($BV$2&gt;0, INDEX(Beersheet!$A:$U,MATCH(BB499,INDEX(Beersheet!$A:$U,0,FFARawStatProjections!$BV$2),0),$BV$3)+$BN499,
INDEX($A499:$BM499,,$BV$12)*$BW$12+
INDEX($A499:$BM499,,$BV$15)*$BW$15+
INDEX($A499:$BM499,,$BV$16)*$BW$16+
INDEX($A499:$BM499,,$BV$17)*$BW$17+
INDEX($A499:$BM499,,$BV$18)*$BW$18+
INDEX($A499:$BM499,,$BV$19)*$BW$19+
INDEX($A499:$BM499,,$BV$20)*$BW$20+
INDEX($A499:$BM499,,$BV$21)*$BW$21+
INDEX($A499:$BM499,,$BV$22)*$BW$22+
INDEX($A499:$BM499,,$BV$23)*$BW$23+
INDEX($A499:$BM499,,$BV$25)*$BW$25+
INDEX($A499:$BM499,,$BV$26)*$BW$26+
INDEX($A499:$BM499,,$BV$27)*$BW$27+
$BN499)),
$BN499-100)</f>
        <v>-100</v>
      </c>
      <c r="BF499" t="str">
        <f t="shared" si="101"/>
        <v/>
      </c>
      <c r="BG499" t="str">
        <f t="shared" si="102"/>
        <v/>
      </c>
      <c r="BH499">
        <f t="shared" si="103"/>
        <v>0</v>
      </c>
      <c r="BJ499" t="str">
        <f t="shared" si="104"/>
        <v/>
      </c>
      <c r="BL499">
        <f t="shared" si="106"/>
        <v>0</v>
      </c>
      <c r="BN499">
        <v>4.9800000000000001E-3</v>
      </c>
      <c r="BS499" s="4" t="s">
        <v>2176</v>
      </c>
    </row>
    <row r="500" spans="1:71" ht="15.75" thickBot="1" x14ac:dyDescent="0.3">
      <c r="A500" s="569" t="s">
        <v>2557</v>
      </c>
      <c r="B500" s="569" t="s">
        <v>155</v>
      </c>
      <c r="C500" s="569" t="s">
        <v>6</v>
      </c>
      <c r="D500" s="574">
        <v>9</v>
      </c>
      <c r="E500" s="569"/>
      <c r="F500" s="569"/>
      <c r="G500" s="569"/>
      <c r="H500" s="569"/>
      <c r="I500" s="574">
        <v>0</v>
      </c>
      <c r="J500" s="574">
        <v>0</v>
      </c>
      <c r="K500" s="574">
        <v>0</v>
      </c>
      <c r="L500" s="574">
        <v>4.4000000000000004</v>
      </c>
      <c r="M500" s="574">
        <v>0.3</v>
      </c>
      <c r="N500" s="574">
        <v>57.1</v>
      </c>
      <c r="O500" s="574">
        <v>0</v>
      </c>
      <c r="P500" s="574">
        <v>0</v>
      </c>
      <c r="Q500" s="574">
        <v>4.7</v>
      </c>
      <c r="R500" s="569"/>
      <c r="S500" s="569"/>
      <c r="T500" s="569"/>
      <c r="U500" s="569"/>
      <c r="V500" s="569"/>
      <c r="W500" s="569"/>
      <c r="X500" s="569"/>
      <c r="Y500" s="569"/>
      <c r="Z500" s="569"/>
      <c r="AA500" s="569"/>
      <c r="AB500" s="569"/>
      <c r="AC500" s="569"/>
      <c r="AD500" s="569"/>
      <c r="AE500" s="569"/>
      <c r="AF500" s="569"/>
      <c r="AG500" s="569"/>
      <c r="AH500" s="569"/>
      <c r="AI500" s="569"/>
      <c r="AJ500" s="569"/>
      <c r="AK500" s="569"/>
      <c r="AL500" s="569"/>
      <c r="AM500" s="569"/>
      <c r="AN500" s="574">
        <v>8.3000000000000007</v>
      </c>
      <c r="AO500">
        <v>499</v>
      </c>
      <c r="AP500" t="str">
        <f t="shared" si="105"/>
        <v/>
      </c>
      <c r="AQ500" t="str">
        <f t="shared" si="95"/>
        <v/>
      </c>
      <c r="AR500" s="430">
        <f>IFERROR(
IF(AP500="",-100,
IF($BV$2&gt;0, INDEX(Beersheet!$A:$U,MATCH(AP500,INDEX(Beersheet!$A:$U,0,FFARawStatProjections!$BV$2),0),$BV$3)+$BN500,
INDEX($A500:$BM500,,$BV$12)*$BW$12+
INDEX($A500:$BM500,,$BV$15)*$BW$15+
INDEX($A500:$BM500,,$BV$16)*$BW$16+
INDEX($A500:$BM500,,$BV$17)*$BW$17+
INDEX($A500:$BM500,,$BV$18)*$BW$18+
INDEX($A500:$BM500,,$BV$19)*$BW$19+
INDEX($A500:$BM500,,$BV$20)*$BW$20+
INDEX($A500:$BM500,,$BV$21)*$BW$21+
INDEX($A500:$BM500,,$BV$22)*$BW$22+
INDEX($A500:$BM500,,$BV$23)*$BW$23+
INDEX($A500:$BM500,,$BV$25)*$BW$25+
INDEX($A500:$BM500,,$BV$26)*$BW$26+
INDEX($A500:$BM500,,$BV$27)*$BW$27+
$BN500)),
$BN500-100)</f>
        <v>-100</v>
      </c>
      <c r="AT500" t="str">
        <f t="shared" si="96"/>
        <v/>
      </c>
      <c r="AU500" t="str">
        <f t="shared" si="97"/>
        <v/>
      </c>
      <c r="AV500" s="430">
        <f>IFERROR(
IF(AT500="",-100,
IF($BV$2&gt;0, INDEX(Beersheet!$A:$U,MATCH(AT500,INDEX(Beersheet!$A:$U,0,FFARawStatProjections!$BV$2),0),$BV$3)+$BN500,
INDEX($A500:$BM500,,$BV$12)*$BW$12+
INDEX($A500:$BM500,,$BV$15)*$BW$15+
INDEX($A500:$BM500,,$BV$16)*$BW$16+
INDEX($A500:$BM500,,$BV$17)*$BW$17+
INDEX($A500:$BM500,,$BV$18)*$BW$18+
INDEX($A500:$BM500,,$BV$19)*$BW$19+
INDEX($A500:$BM500,,$BV$20)*$BW$20+
INDEX($A500:$BM500,,$BV$21)*$BW$21+
INDEX($A500:$BM500,,$BV$22)*$BW$22+
INDEX($A500:$BM500,,$BV$23)*$BW$23+
INDEX($A500:$BM500,,$BV$25)*$BW$25+
INDEX($A500:$BM500,,$BV$26)*$BW$26+
INDEX($A500:$BM500,,$BV$27)*$BW$27+
$BN500)),
$BN500-100)</f>
        <v>-100</v>
      </c>
      <c r="AX500" t="str">
        <f t="shared" si="98"/>
        <v>Ronnie Bell</v>
      </c>
      <c r="AY500" t="str">
        <f t="shared" si="99"/>
        <v>SF</v>
      </c>
      <c r="AZ500" s="430">
        <f>IFERROR(
IF(AX500="",-100,
IF($BV$2&gt;0, INDEX(Beersheet!$A:$U,MATCH(AX500,INDEX(Beersheet!$A:$U,0,FFARawStatProjections!$BV$2),0),$BV$3)+$BN500,
INDEX($A500:$BM500,,$BV$12)*$BW$12+
INDEX($A500:$BM500,,$BV$15)*$BW$15+
INDEX($A500:$BM500,,$BV$16)*$BW$16+
INDEX($A500:$BM500,,$BV$17)*$BW$17+
INDEX($A500:$BM500,,$BV$18)*$BW$18+
INDEX($A500:$BM500,,$BV$19)*$BW$19+
INDEX($A500:$BM500,,$BV$20)*$BW$20+
INDEX($A500:$BM500,,$BV$21)*$BW$21+
INDEX($A500:$BM500,,$BV$22)*$BW$22+
INDEX($A500:$BM500,,$BV$23)*$BW$23+
INDEX($A500:$BM500,,$BV$25)*$BW$25+
INDEX($A500:$BM500,,$BV$26)*$BW$26+
INDEX($A500:$BM500,,$BV$27)*$BW$27+
$BN500)),
$BN500-100)</f>
        <v>12.38499</v>
      </c>
      <c r="BB500" t="str">
        <f t="shared" si="100"/>
        <v/>
      </c>
      <c r="BC500" t="str">
        <f t="shared" si="94"/>
        <v/>
      </c>
      <c r="BD500" s="430">
        <f>IFERROR(
IF(BB500="",-100,
IF($BV$2&gt;0, INDEX(Beersheet!$A:$U,MATCH(BB500,INDEX(Beersheet!$A:$U,0,FFARawStatProjections!$BV$2),0),$BV$3)+$BN500,
INDEX($A500:$BM500,,$BV$12)*$BW$12+
INDEX($A500:$BM500,,$BV$15)*$BW$15+
INDEX($A500:$BM500,,$BV$16)*$BW$16+
INDEX($A500:$BM500,,$BV$17)*$BW$17+
INDEX($A500:$BM500,,$BV$18)*$BW$18+
INDEX($A500:$BM500,,$BV$19)*$BW$19+
INDEX($A500:$BM500,,$BV$20)*$BW$20+
INDEX($A500:$BM500,,$BV$21)*$BW$21+
INDEX($A500:$BM500,,$BV$22)*$BW$22+
INDEX($A500:$BM500,,$BV$23)*$BW$23+
INDEX($A500:$BM500,,$BV$25)*$BW$25+
INDEX($A500:$BM500,,$BV$26)*$BW$26+
INDEX($A500:$BM500,,$BV$27)*$BW$27+
$BN500)),
$BN500-100)</f>
        <v>-100</v>
      </c>
      <c r="BF500" t="str">
        <f t="shared" si="101"/>
        <v/>
      </c>
      <c r="BG500" t="str">
        <f t="shared" si="102"/>
        <v/>
      </c>
      <c r="BH500">
        <f t="shared" si="103"/>
        <v>0</v>
      </c>
      <c r="BJ500" t="str">
        <f t="shared" si="104"/>
        <v/>
      </c>
      <c r="BL500">
        <f t="shared" si="106"/>
        <v>0</v>
      </c>
      <c r="BN500">
        <v>4.9899999999999996E-3</v>
      </c>
      <c r="BS500" s="4" t="s">
        <v>1788</v>
      </c>
    </row>
    <row r="501" spans="1:71" ht="15.75" thickBot="1" x14ac:dyDescent="0.3">
      <c r="A501" s="569" t="s">
        <v>2189</v>
      </c>
      <c r="B501" s="569" t="s">
        <v>161</v>
      </c>
      <c r="C501" s="569" t="s">
        <v>6</v>
      </c>
      <c r="D501" s="574">
        <v>5</v>
      </c>
      <c r="E501" s="569"/>
      <c r="F501" s="569"/>
      <c r="G501" s="569"/>
      <c r="H501" s="569"/>
      <c r="I501" s="574">
        <v>0</v>
      </c>
      <c r="J501" s="574">
        <v>0</v>
      </c>
      <c r="K501" s="574">
        <v>0</v>
      </c>
      <c r="L501" s="574">
        <v>20.2</v>
      </c>
      <c r="M501" s="574">
        <v>0.2</v>
      </c>
      <c r="N501" s="574">
        <v>79.400000000000006</v>
      </c>
      <c r="O501" s="574">
        <v>10.1</v>
      </c>
      <c r="P501" s="574">
        <v>0.2</v>
      </c>
      <c r="Q501" s="574">
        <v>70.099999999999994</v>
      </c>
      <c r="R501" s="569"/>
      <c r="S501" s="569"/>
      <c r="T501" s="569"/>
      <c r="U501" s="569"/>
      <c r="V501" s="569"/>
      <c r="W501" s="569"/>
      <c r="X501" s="569"/>
      <c r="Y501" s="569"/>
      <c r="Z501" s="569"/>
      <c r="AA501" s="569"/>
      <c r="AB501" s="569"/>
      <c r="AC501" s="569"/>
      <c r="AD501" s="569"/>
      <c r="AE501" s="569"/>
      <c r="AF501" s="569"/>
      <c r="AG501" s="569"/>
      <c r="AH501" s="569"/>
      <c r="AI501" s="569"/>
      <c r="AJ501" s="569"/>
      <c r="AK501" s="569"/>
      <c r="AL501" s="569"/>
      <c r="AM501" s="569"/>
      <c r="AN501" s="574">
        <v>17.5</v>
      </c>
      <c r="AO501">
        <v>500</v>
      </c>
      <c r="AP501" t="str">
        <f t="shared" si="105"/>
        <v/>
      </c>
      <c r="AQ501" t="str">
        <f t="shared" si="95"/>
        <v/>
      </c>
      <c r="AR501" s="430">
        <f>IFERROR(
IF(AP501="",-100,
IF($BV$2&gt;0, INDEX(Beersheet!$A:$U,MATCH(AP501,INDEX(Beersheet!$A:$U,0,FFARawStatProjections!$BV$2),0),$BV$3)+$BN501,
INDEX($A501:$BM501,,$BV$12)*$BW$12+
INDEX($A501:$BM501,,$BV$15)*$BW$15+
INDEX($A501:$BM501,,$BV$16)*$BW$16+
INDEX($A501:$BM501,,$BV$17)*$BW$17+
INDEX($A501:$BM501,,$BV$18)*$BW$18+
INDEX($A501:$BM501,,$BV$19)*$BW$19+
INDEX($A501:$BM501,,$BV$20)*$BW$20+
INDEX($A501:$BM501,,$BV$21)*$BW$21+
INDEX($A501:$BM501,,$BV$22)*$BW$22+
INDEX($A501:$BM501,,$BV$23)*$BW$23+
INDEX($A501:$BM501,,$BV$25)*$BW$25+
INDEX($A501:$BM501,,$BV$26)*$BW$26+
INDEX($A501:$BM501,,$BV$27)*$BW$27+
$BN501)),
$BN501-100)</f>
        <v>-100</v>
      </c>
      <c r="AT501" t="str">
        <f t="shared" si="96"/>
        <v/>
      </c>
      <c r="AU501" t="str">
        <f t="shared" si="97"/>
        <v/>
      </c>
      <c r="AV501" s="430">
        <f>IFERROR(
IF(AT501="",-100,
IF($BV$2&gt;0, INDEX(Beersheet!$A:$U,MATCH(AT501,INDEX(Beersheet!$A:$U,0,FFARawStatProjections!$BV$2),0),$BV$3)+$BN501,
INDEX($A501:$BM501,,$BV$12)*$BW$12+
INDEX($A501:$BM501,,$BV$15)*$BW$15+
INDEX($A501:$BM501,,$BV$16)*$BW$16+
INDEX($A501:$BM501,,$BV$17)*$BW$17+
INDEX($A501:$BM501,,$BV$18)*$BW$18+
INDEX($A501:$BM501,,$BV$19)*$BW$19+
INDEX($A501:$BM501,,$BV$20)*$BW$20+
INDEX($A501:$BM501,,$BV$21)*$BW$21+
INDEX($A501:$BM501,,$BV$22)*$BW$22+
INDEX($A501:$BM501,,$BV$23)*$BW$23+
INDEX($A501:$BM501,,$BV$25)*$BW$25+
INDEX($A501:$BM501,,$BV$26)*$BW$26+
INDEX($A501:$BM501,,$BV$27)*$BW$27+
$BN501)),
$BN501-100)</f>
        <v>-100</v>
      </c>
      <c r="AX501" t="str">
        <f t="shared" si="98"/>
        <v>Demetric Felton</v>
      </c>
      <c r="AY501" t="str">
        <f t="shared" si="99"/>
        <v>CLE</v>
      </c>
      <c r="AZ501" s="430">
        <f>IFERROR(
IF(AX501="",-100,
IF($BV$2&gt;0, INDEX(Beersheet!$A:$U,MATCH(AX501,INDEX(Beersheet!$A:$U,0,FFARawStatProjections!$BV$2),0),$BV$3)+$BN501,
INDEX($A501:$BM501,,$BV$12)*$BW$12+
INDEX($A501:$BM501,,$BV$15)*$BW$15+
INDEX($A501:$BM501,,$BV$16)*$BW$16+
INDEX($A501:$BM501,,$BV$17)*$BW$17+
INDEX($A501:$BM501,,$BV$18)*$BW$18+
INDEX($A501:$BM501,,$BV$19)*$BW$19+
INDEX($A501:$BM501,,$BV$20)*$BW$20+
INDEX($A501:$BM501,,$BV$21)*$BW$21+
INDEX($A501:$BM501,,$BV$22)*$BW$22+
INDEX($A501:$BM501,,$BV$23)*$BW$23+
INDEX($A501:$BM501,,$BV$25)*$BW$25+
INDEX($A501:$BM501,,$BV$26)*$BW$26+
INDEX($A501:$BM501,,$BV$27)*$BW$27+
$BN501)),
$BN501-100)</f>
        <v>37.555</v>
      </c>
      <c r="BB501" t="str">
        <f t="shared" si="100"/>
        <v/>
      </c>
      <c r="BC501" t="str">
        <f t="shared" si="94"/>
        <v/>
      </c>
      <c r="BD501" s="430">
        <f>IFERROR(
IF(BB501="",-100,
IF($BV$2&gt;0, INDEX(Beersheet!$A:$U,MATCH(BB501,INDEX(Beersheet!$A:$U,0,FFARawStatProjections!$BV$2),0),$BV$3)+$BN501,
INDEX($A501:$BM501,,$BV$12)*$BW$12+
INDEX($A501:$BM501,,$BV$15)*$BW$15+
INDEX($A501:$BM501,,$BV$16)*$BW$16+
INDEX($A501:$BM501,,$BV$17)*$BW$17+
INDEX($A501:$BM501,,$BV$18)*$BW$18+
INDEX($A501:$BM501,,$BV$19)*$BW$19+
INDEX($A501:$BM501,,$BV$20)*$BW$20+
INDEX($A501:$BM501,,$BV$21)*$BW$21+
INDEX($A501:$BM501,,$BV$22)*$BW$22+
INDEX($A501:$BM501,,$BV$23)*$BW$23+
INDEX($A501:$BM501,,$BV$25)*$BW$25+
INDEX($A501:$BM501,,$BV$26)*$BW$26+
INDEX($A501:$BM501,,$BV$27)*$BW$27+
$BN501)),
$BN501-100)</f>
        <v>-100</v>
      </c>
      <c r="BF501" t="str">
        <f t="shared" si="101"/>
        <v/>
      </c>
      <c r="BG501" t="str">
        <f t="shared" si="102"/>
        <v/>
      </c>
      <c r="BH501">
        <f t="shared" si="103"/>
        <v>0</v>
      </c>
      <c r="BJ501" t="str">
        <f t="shared" si="104"/>
        <v/>
      </c>
      <c r="BL501">
        <f t="shared" si="106"/>
        <v>0</v>
      </c>
      <c r="BN501">
        <v>5.0000000000000001E-3</v>
      </c>
      <c r="BS501" s="4" t="s">
        <v>2437</v>
      </c>
    </row>
    <row r="502" spans="1:71" ht="15.75" thickBot="1" x14ac:dyDescent="0.3">
      <c r="A502" s="569" t="s">
        <v>2447</v>
      </c>
      <c r="B502" s="569" t="s">
        <v>1389</v>
      </c>
      <c r="C502" s="569" t="s">
        <v>6</v>
      </c>
      <c r="D502" s="574">
        <v>10</v>
      </c>
      <c r="E502" s="569"/>
      <c r="F502" s="569"/>
      <c r="G502" s="569"/>
      <c r="H502" s="569"/>
      <c r="I502" s="574">
        <v>0</v>
      </c>
      <c r="J502" s="574">
        <v>0</v>
      </c>
      <c r="K502" s="574">
        <v>0</v>
      </c>
      <c r="L502" s="574">
        <v>3.9</v>
      </c>
      <c r="M502" s="574">
        <v>0.3</v>
      </c>
      <c r="N502" s="574">
        <v>64</v>
      </c>
      <c r="O502" s="574">
        <v>0</v>
      </c>
      <c r="P502" s="574">
        <v>0</v>
      </c>
      <c r="Q502" s="574">
        <v>0.7</v>
      </c>
      <c r="R502" s="569"/>
      <c r="S502" s="569"/>
      <c r="T502" s="569"/>
      <c r="U502" s="569"/>
      <c r="V502" s="569"/>
      <c r="W502" s="569"/>
      <c r="X502" s="569"/>
      <c r="Y502" s="569"/>
      <c r="Z502" s="569"/>
      <c r="AA502" s="569"/>
      <c r="AB502" s="569"/>
      <c r="AC502" s="569"/>
      <c r="AD502" s="569"/>
      <c r="AE502" s="569"/>
      <c r="AF502" s="569"/>
      <c r="AG502" s="569"/>
      <c r="AH502" s="569"/>
      <c r="AI502" s="569"/>
      <c r="AJ502" s="569"/>
      <c r="AK502" s="569"/>
      <c r="AL502" s="569"/>
      <c r="AM502" s="569"/>
      <c r="AN502" s="574">
        <v>8.1999999999999993</v>
      </c>
      <c r="AO502">
        <v>501</v>
      </c>
      <c r="AP502" t="str">
        <f t="shared" si="105"/>
        <v/>
      </c>
      <c r="AQ502" t="str">
        <f t="shared" si="95"/>
        <v/>
      </c>
      <c r="AR502" s="430">
        <f>IFERROR(
IF(AP502="",-100,
IF($BV$2&gt;0, INDEX(Beersheet!$A:$U,MATCH(AP502,INDEX(Beersheet!$A:$U,0,FFARawStatProjections!$BV$2),0),$BV$3)+$BN502,
INDEX($A502:$BM502,,$BV$12)*$BW$12+
INDEX($A502:$BM502,,$BV$15)*$BW$15+
INDEX($A502:$BM502,,$BV$16)*$BW$16+
INDEX($A502:$BM502,,$BV$17)*$BW$17+
INDEX($A502:$BM502,,$BV$18)*$BW$18+
INDEX($A502:$BM502,,$BV$19)*$BW$19+
INDEX($A502:$BM502,,$BV$20)*$BW$20+
INDEX($A502:$BM502,,$BV$21)*$BW$21+
INDEX($A502:$BM502,,$BV$22)*$BW$22+
INDEX($A502:$BM502,,$BV$23)*$BW$23+
INDEX($A502:$BM502,,$BV$25)*$BW$25+
INDEX($A502:$BM502,,$BV$26)*$BW$26+
INDEX($A502:$BM502,,$BV$27)*$BW$27+
$BN502)),
$BN502-100)</f>
        <v>-100</v>
      </c>
      <c r="AT502" t="str">
        <f t="shared" si="96"/>
        <v/>
      </c>
      <c r="AU502" t="str">
        <f t="shared" si="97"/>
        <v/>
      </c>
      <c r="AV502" s="430">
        <f>IFERROR(
IF(AT502="",-100,
IF($BV$2&gt;0, INDEX(Beersheet!$A:$U,MATCH(AT502,INDEX(Beersheet!$A:$U,0,FFARawStatProjections!$BV$2),0),$BV$3)+$BN502,
INDEX($A502:$BM502,,$BV$12)*$BW$12+
INDEX($A502:$BM502,,$BV$15)*$BW$15+
INDEX($A502:$BM502,,$BV$16)*$BW$16+
INDEX($A502:$BM502,,$BV$17)*$BW$17+
INDEX($A502:$BM502,,$BV$18)*$BW$18+
INDEX($A502:$BM502,,$BV$19)*$BW$19+
INDEX($A502:$BM502,,$BV$20)*$BW$20+
INDEX($A502:$BM502,,$BV$21)*$BW$21+
INDEX($A502:$BM502,,$BV$22)*$BW$22+
INDEX($A502:$BM502,,$BV$23)*$BW$23+
INDEX($A502:$BM502,,$BV$25)*$BW$25+
INDEX($A502:$BM502,,$BV$26)*$BW$26+
INDEX($A502:$BM502,,$BV$27)*$BW$27+
$BN502)),
$BN502-100)</f>
        <v>-100</v>
      </c>
      <c r="AX502" t="str">
        <f t="shared" si="98"/>
        <v>Lance McCutcheon</v>
      </c>
      <c r="AY502" t="str">
        <f t="shared" si="99"/>
        <v>LAR</v>
      </c>
      <c r="AZ502" s="430">
        <f>IFERROR(
IF(AX502="",-100,
IF($BV$2&gt;0, INDEX(Beersheet!$A:$U,MATCH(AX502,INDEX(Beersheet!$A:$U,0,FFARawStatProjections!$BV$2),0),$BV$3)+$BN502,
INDEX($A502:$BM502,,$BV$12)*$BW$12+
INDEX($A502:$BM502,,$BV$15)*$BW$15+
INDEX($A502:$BM502,,$BV$16)*$BW$16+
INDEX($A502:$BM502,,$BV$17)*$BW$17+
INDEX($A502:$BM502,,$BV$18)*$BW$18+
INDEX($A502:$BM502,,$BV$19)*$BW$19+
INDEX($A502:$BM502,,$BV$20)*$BW$20+
INDEX($A502:$BM502,,$BV$21)*$BW$21+
INDEX($A502:$BM502,,$BV$22)*$BW$22+
INDEX($A502:$BM502,,$BV$23)*$BW$23+
INDEX($A502:$BM502,,$BV$25)*$BW$25+
INDEX($A502:$BM502,,$BV$26)*$BW$26+
INDEX($A502:$BM502,,$BV$27)*$BW$27+
$BN502)),
$BN502-100)</f>
        <v>12.17501</v>
      </c>
      <c r="BB502" t="str">
        <f t="shared" si="100"/>
        <v/>
      </c>
      <c r="BC502" t="str">
        <f t="shared" si="94"/>
        <v/>
      </c>
      <c r="BD502" s="430">
        <f>IFERROR(
IF(BB502="",-100,
IF($BV$2&gt;0, INDEX(Beersheet!$A:$U,MATCH(BB502,INDEX(Beersheet!$A:$U,0,FFARawStatProjections!$BV$2),0),$BV$3)+$BN502,
INDEX($A502:$BM502,,$BV$12)*$BW$12+
INDEX($A502:$BM502,,$BV$15)*$BW$15+
INDEX($A502:$BM502,,$BV$16)*$BW$16+
INDEX($A502:$BM502,,$BV$17)*$BW$17+
INDEX($A502:$BM502,,$BV$18)*$BW$18+
INDEX($A502:$BM502,,$BV$19)*$BW$19+
INDEX($A502:$BM502,,$BV$20)*$BW$20+
INDEX($A502:$BM502,,$BV$21)*$BW$21+
INDEX($A502:$BM502,,$BV$22)*$BW$22+
INDEX($A502:$BM502,,$BV$23)*$BW$23+
INDEX($A502:$BM502,,$BV$25)*$BW$25+
INDEX($A502:$BM502,,$BV$26)*$BW$26+
INDEX($A502:$BM502,,$BV$27)*$BW$27+
$BN502)),
$BN502-100)</f>
        <v>-100</v>
      </c>
      <c r="BF502" t="str">
        <f t="shared" si="101"/>
        <v/>
      </c>
      <c r="BG502" t="str">
        <f t="shared" si="102"/>
        <v/>
      </c>
      <c r="BH502">
        <f t="shared" si="103"/>
        <v>0</v>
      </c>
      <c r="BJ502" t="str">
        <f t="shared" si="104"/>
        <v/>
      </c>
      <c r="BL502">
        <f t="shared" si="106"/>
        <v>0</v>
      </c>
      <c r="BN502">
        <v>5.0099999999999997E-3</v>
      </c>
      <c r="BS502" s="4" t="s">
        <v>2085</v>
      </c>
    </row>
    <row r="503" spans="1:71" ht="15.75" thickBot="1" x14ac:dyDescent="0.3">
      <c r="A503" s="569" t="s">
        <v>2547</v>
      </c>
      <c r="B503" s="569" t="s">
        <v>1388</v>
      </c>
      <c r="C503" s="569" t="s">
        <v>6</v>
      </c>
      <c r="D503" s="574">
        <v>5</v>
      </c>
      <c r="E503" s="569"/>
      <c r="F503" s="569"/>
      <c r="G503" s="569"/>
      <c r="H503" s="569"/>
      <c r="I503" s="574">
        <v>0</v>
      </c>
      <c r="J503" s="574">
        <v>0</v>
      </c>
      <c r="K503" s="574">
        <v>0</v>
      </c>
      <c r="L503" s="574">
        <v>4.2</v>
      </c>
      <c r="M503" s="574">
        <v>0.3</v>
      </c>
      <c r="N503" s="574">
        <v>57.2</v>
      </c>
      <c r="O503" s="574">
        <v>0</v>
      </c>
      <c r="P503" s="574">
        <v>0</v>
      </c>
      <c r="Q503" s="574">
        <v>5</v>
      </c>
      <c r="R503" s="569"/>
      <c r="S503" s="569"/>
      <c r="T503" s="569"/>
      <c r="U503" s="569"/>
      <c r="V503" s="569"/>
      <c r="W503" s="569"/>
      <c r="X503" s="569"/>
      <c r="Y503" s="569"/>
      <c r="Z503" s="569"/>
      <c r="AA503" s="569"/>
      <c r="AB503" s="569"/>
      <c r="AC503" s="569"/>
      <c r="AD503" s="569"/>
      <c r="AE503" s="569"/>
      <c r="AF503" s="569"/>
      <c r="AG503" s="569"/>
      <c r="AH503" s="569"/>
      <c r="AI503" s="569"/>
      <c r="AJ503" s="569"/>
      <c r="AK503" s="569"/>
      <c r="AL503" s="569"/>
      <c r="AM503" s="569"/>
      <c r="AN503" s="574">
        <v>8.1</v>
      </c>
      <c r="AO503">
        <v>502</v>
      </c>
      <c r="AP503" t="str">
        <f t="shared" si="105"/>
        <v/>
      </c>
      <c r="AQ503" t="str">
        <f t="shared" si="95"/>
        <v/>
      </c>
      <c r="AR503" s="430">
        <f>IFERROR(
IF(AP503="",-100,
IF($BV$2&gt;0, INDEX(Beersheet!$A:$U,MATCH(AP503,INDEX(Beersheet!$A:$U,0,FFARawStatProjections!$BV$2),0),$BV$3)+$BN503,
INDEX($A503:$BM503,,$BV$12)*$BW$12+
INDEX($A503:$BM503,,$BV$15)*$BW$15+
INDEX($A503:$BM503,,$BV$16)*$BW$16+
INDEX($A503:$BM503,,$BV$17)*$BW$17+
INDEX($A503:$BM503,,$BV$18)*$BW$18+
INDEX($A503:$BM503,,$BV$19)*$BW$19+
INDEX($A503:$BM503,,$BV$20)*$BW$20+
INDEX($A503:$BM503,,$BV$21)*$BW$21+
INDEX($A503:$BM503,,$BV$22)*$BW$22+
INDEX($A503:$BM503,,$BV$23)*$BW$23+
INDEX($A503:$BM503,,$BV$25)*$BW$25+
INDEX($A503:$BM503,,$BV$26)*$BW$26+
INDEX($A503:$BM503,,$BV$27)*$BW$27+
$BN503)),
$BN503-100)</f>
        <v>-100</v>
      </c>
      <c r="AT503" t="str">
        <f t="shared" si="96"/>
        <v/>
      </c>
      <c r="AU503" t="str">
        <f t="shared" si="97"/>
        <v/>
      </c>
      <c r="AV503" s="430">
        <f>IFERROR(
IF(AT503="",-100,
IF($BV$2&gt;0, INDEX(Beersheet!$A:$U,MATCH(AT503,INDEX(Beersheet!$A:$U,0,FFARawStatProjections!$BV$2),0),$BV$3)+$BN503,
INDEX($A503:$BM503,,$BV$12)*$BW$12+
INDEX($A503:$BM503,,$BV$15)*$BW$15+
INDEX($A503:$BM503,,$BV$16)*$BW$16+
INDEX($A503:$BM503,,$BV$17)*$BW$17+
INDEX($A503:$BM503,,$BV$18)*$BW$18+
INDEX($A503:$BM503,,$BV$19)*$BW$19+
INDEX($A503:$BM503,,$BV$20)*$BW$20+
INDEX($A503:$BM503,,$BV$21)*$BW$21+
INDEX($A503:$BM503,,$BV$22)*$BW$22+
INDEX($A503:$BM503,,$BV$23)*$BW$23+
INDEX($A503:$BM503,,$BV$25)*$BW$25+
INDEX($A503:$BM503,,$BV$26)*$BW$26+
INDEX($A503:$BM503,,$BV$27)*$BW$27+
$BN503)),
$BN503-100)</f>
        <v>-100</v>
      </c>
      <c r="AX503" t="str">
        <f t="shared" si="98"/>
        <v>Darrius Shepherd</v>
      </c>
      <c r="AY503" t="str">
        <f t="shared" si="99"/>
        <v>LAC</v>
      </c>
      <c r="AZ503" s="430">
        <f>IFERROR(
IF(AX503="",-100,
IF($BV$2&gt;0, INDEX(Beersheet!$A:$U,MATCH(AX503,INDEX(Beersheet!$A:$U,0,FFARawStatProjections!$BV$2),0),$BV$3)+$BN503,
INDEX($A503:$BM503,,$BV$12)*$BW$12+
INDEX($A503:$BM503,,$BV$15)*$BW$15+
INDEX($A503:$BM503,,$BV$16)*$BW$16+
INDEX($A503:$BM503,,$BV$17)*$BW$17+
INDEX($A503:$BM503,,$BV$18)*$BW$18+
INDEX($A503:$BM503,,$BV$19)*$BW$19+
INDEX($A503:$BM503,,$BV$20)*$BW$20+
INDEX($A503:$BM503,,$BV$21)*$BW$21+
INDEX($A503:$BM503,,$BV$22)*$BW$22+
INDEX($A503:$BM503,,$BV$23)*$BW$23+
INDEX($A503:$BM503,,$BV$25)*$BW$25+
INDEX($A503:$BM503,,$BV$26)*$BW$26+
INDEX($A503:$BM503,,$BV$27)*$BW$27+
$BN503)),
$BN503-100)</f>
        <v>12.225020000000001</v>
      </c>
      <c r="BB503" t="str">
        <f t="shared" si="100"/>
        <v/>
      </c>
      <c r="BC503" t="str">
        <f t="shared" si="94"/>
        <v/>
      </c>
      <c r="BD503" s="430">
        <f>IFERROR(
IF(BB503="",-100,
IF($BV$2&gt;0, INDEX(Beersheet!$A:$U,MATCH(BB503,INDEX(Beersheet!$A:$U,0,FFARawStatProjections!$BV$2),0),$BV$3)+$BN503,
INDEX($A503:$BM503,,$BV$12)*$BW$12+
INDEX($A503:$BM503,,$BV$15)*$BW$15+
INDEX($A503:$BM503,,$BV$16)*$BW$16+
INDEX($A503:$BM503,,$BV$17)*$BW$17+
INDEX($A503:$BM503,,$BV$18)*$BW$18+
INDEX($A503:$BM503,,$BV$19)*$BW$19+
INDEX($A503:$BM503,,$BV$20)*$BW$20+
INDEX($A503:$BM503,,$BV$21)*$BW$21+
INDEX($A503:$BM503,,$BV$22)*$BW$22+
INDEX($A503:$BM503,,$BV$23)*$BW$23+
INDEX($A503:$BM503,,$BV$25)*$BW$25+
INDEX($A503:$BM503,,$BV$26)*$BW$26+
INDEX($A503:$BM503,,$BV$27)*$BW$27+
$BN503)),
$BN503-100)</f>
        <v>-100</v>
      </c>
      <c r="BF503" t="str">
        <f t="shared" si="101"/>
        <v/>
      </c>
      <c r="BG503" t="str">
        <f t="shared" si="102"/>
        <v/>
      </c>
      <c r="BH503">
        <f t="shared" si="103"/>
        <v>0</v>
      </c>
      <c r="BJ503" t="str">
        <f t="shared" si="104"/>
        <v/>
      </c>
      <c r="BL503">
        <f t="shared" si="106"/>
        <v>0</v>
      </c>
      <c r="BN503">
        <v>5.0200000000000002E-3</v>
      </c>
      <c r="BS503" s="4" t="s">
        <v>1192</v>
      </c>
    </row>
    <row r="504" spans="1:71" ht="15.75" thickBot="1" x14ac:dyDescent="0.3">
      <c r="A504" s="569" t="s">
        <v>1794</v>
      </c>
      <c r="B504" s="569" t="s">
        <v>141</v>
      </c>
      <c r="C504" s="569" t="s">
        <v>6</v>
      </c>
      <c r="D504" s="574">
        <v>13</v>
      </c>
      <c r="E504" s="569"/>
      <c r="F504" s="569"/>
      <c r="G504" s="569"/>
      <c r="H504" s="569"/>
      <c r="I504" s="574">
        <v>0</v>
      </c>
      <c r="J504" s="574">
        <v>0</v>
      </c>
      <c r="K504" s="574">
        <v>0</v>
      </c>
      <c r="L504" s="574">
        <v>6.1</v>
      </c>
      <c r="M504" s="574">
        <v>0.2</v>
      </c>
      <c r="N504" s="574">
        <v>64.2</v>
      </c>
      <c r="O504" s="574">
        <v>0.1</v>
      </c>
      <c r="P504" s="574">
        <v>0</v>
      </c>
      <c r="Q504" s="574">
        <v>4.5</v>
      </c>
      <c r="R504" s="569"/>
      <c r="S504" s="569"/>
      <c r="T504" s="569"/>
      <c r="U504" s="569"/>
      <c r="V504" s="569"/>
      <c r="W504" s="569"/>
      <c r="X504" s="569"/>
      <c r="Y504" s="569"/>
      <c r="Z504" s="569"/>
      <c r="AA504" s="569"/>
      <c r="AB504" s="569"/>
      <c r="AC504" s="569"/>
      <c r="AD504" s="569"/>
      <c r="AE504" s="569"/>
      <c r="AF504" s="569"/>
      <c r="AG504" s="569"/>
      <c r="AH504" s="569"/>
      <c r="AI504" s="569"/>
      <c r="AJ504" s="569"/>
      <c r="AK504" s="569"/>
      <c r="AL504" s="569"/>
      <c r="AM504" s="569"/>
      <c r="AN504" s="574">
        <v>8.1</v>
      </c>
      <c r="AO504">
        <v>503</v>
      </c>
      <c r="AP504" t="str">
        <f t="shared" si="105"/>
        <v/>
      </c>
      <c r="AQ504" t="str">
        <f t="shared" si="95"/>
        <v/>
      </c>
      <c r="AR504" s="430">
        <f>IFERROR(
IF(AP504="",-100,
IF($BV$2&gt;0, INDEX(Beersheet!$A:$U,MATCH(AP504,INDEX(Beersheet!$A:$U,0,FFARawStatProjections!$BV$2),0),$BV$3)+$BN504,
INDEX($A504:$BM504,,$BV$12)*$BW$12+
INDEX($A504:$BM504,,$BV$15)*$BW$15+
INDEX($A504:$BM504,,$BV$16)*$BW$16+
INDEX($A504:$BM504,,$BV$17)*$BW$17+
INDEX($A504:$BM504,,$BV$18)*$BW$18+
INDEX($A504:$BM504,,$BV$19)*$BW$19+
INDEX($A504:$BM504,,$BV$20)*$BW$20+
INDEX($A504:$BM504,,$BV$21)*$BW$21+
INDEX($A504:$BM504,,$BV$22)*$BW$22+
INDEX($A504:$BM504,,$BV$23)*$BW$23+
INDEX($A504:$BM504,,$BV$25)*$BW$25+
INDEX($A504:$BM504,,$BV$26)*$BW$26+
INDEX($A504:$BM504,,$BV$27)*$BW$27+
$BN504)),
$BN504-100)</f>
        <v>-100</v>
      </c>
      <c r="AT504" t="str">
        <f t="shared" si="96"/>
        <v/>
      </c>
      <c r="AU504" t="str">
        <f t="shared" si="97"/>
        <v/>
      </c>
      <c r="AV504" s="430">
        <f>IFERROR(
IF(AT504="",-100,
IF($BV$2&gt;0, INDEX(Beersheet!$A:$U,MATCH(AT504,INDEX(Beersheet!$A:$U,0,FFARawStatProjections!$BV$2),0),$BV$3)+$BN504,
INDEX($A504:$BM504,,$BV$12)*$BW$12+
INDEX($A504:$BM504,,$BV$15)*$BW$15+
INDEX($A504:$BM504,,$BV$16)*$BW$16+
INDEX($A504:$BM504,,$BV$17)*$BW$17+
INDEX($A504:$BM504,,$BV$18)*$BW$18+
INDEX($A504:$BM504,,$BV$19)*$BW$19+
INDEX($A504:$BM504,,$BV$20)*$BW$20+
INDEX($A504:$BM504,,$BV$21)*$BW$21+
INDEX($A504:$BM504,,$BV$22)*$BW$22+
INDEX($A504:$BM504,,$BV$23)*$BW$23+
INDEX($A504:$BM504,,$BV$25)*$BW$25+
INDEX($A504:$BM504,,$BV$26)*$BW$26+
INDEX($A504:$BM504,,$BV$27)*$BW$27+
$BN504)),
$BN504-100)</f>
        <v>-100</v>
      </c>
      <c r="AX504" t="str">
        <f t="shared" si="98"/>
        <v>Dante Pettis</v>
      </c>
      <c r="AY504" t="str">
        <f t="shared" si="99"/>
        <v>CHI</v>
      </c>
      <c r="AZ504" s="430">
        <f>IFERROR(
IF(AX504="",-100,
IF($BV$2&gt;0, INDEX(Beersheet!$A:$U,MATCH(AX504,INDEX(Beersheet!$A:$U,0,FFARawStatProjections!$BV$2),0),$BV$3)+$BN504,
INDEX($A504:$BM504,,$BV$12)*$BW$12+
INDEX($A504:$BM504,,$BV$15)*$BW$15+
INDEX($A504:$BM504,,$BV$16)*$BW$16+
INDEX($A504:$BM504,,$BV$17)*$BW$17+
INDEX($A504:$BM504,,$BV$18)*$BW$18+
INDEX($A504:$BM504,,$BV$19)*$BW$19+
INDEX($A504:$BM504,,$BV$20)*$BW$20+
INDEX($A504:$BM504,,$BV$21)*$BW$21+
INDEX($A504:$BM504,,$BV$22)*$BW$22+
INDEX($A504:$BM504,,$BV$23)*$BW$23+
INDEX($A504:$BM504,,$BV$25)*$BW$25+
INDEX($A504:$BM504,,$BV$26)*$BW$26+
INDEX($A504:$BM504,,$BV$27)*$BW$27+
$BN504)),
$BN504-100)</f>
        <v>14.17503</v>
      </c>
      <c r="BB504" t="str">
        <f t="shared" si="100"/>
        <v/>
      </c>
      <c r="BC504" t="str">
        <f t="shared" si="94"/>
        <v/>
      </c>
      <c r="BD504" s="430">
        <f>IFERROR(
IF(BB504="",-100,
IF($BV$2&gt;0, INDEX(Beersheet!$A:$U,MATCH(BB504,INDEX(Beersheet!$A:$U,0,FFARawStatProjections!$BV$2),0),$BV$3)+$BN504,
INDEX($A504:$BM504,,$BV$12)*$BW$12+
INDEX($A504:$BM504,,$BV$15)*$BW$15+
INDEX($A504:$BM504,,$BV$16)*$BW$16+
INDEX($A504:$BM504,,$BV$17)*$BW$17+
INDEX($A504:$BM504,,$BV$18)*$BW$18+
INDEX($A504:$BM504,,$BV$19)*$BW$19+
INDEX($A504:$BM504,,$BV$20)*$BW$20+
INDEX($A504:$BM504,,$BV$21)*$BW$21+
INDEX($A504:$BM504,,$BV$22)*$BW$22+
INDEX($A504:$BM504,,$BV$23)*$BW$23+
INDEX($A504:$BM504,,$BV$25)*$BW$25+
INDEX($A504:$BM504,,$BV$26)*$BW$26+
INDEX($A504:$BM504,,$BV$27)*$BW$27+
$BN504)),
$BN504-100)</f>
        <v>-100</v>
      </c>
      <c r="BF504" t="str">
        <f t="shared" si="101"/>
        <v/>
      </c>
      <c r="BG504" t="str">
        <f t="shared" si="102"/>
        <v/>
      </c>
      <c r="BH504">
        <f t="shared" si="103"/>
        <v>0</v>
      </c>
      <c r="BJ504" t="str">
        <f t="shared" si="104"/>
        <v/>
      </c>
      <c r="BL504">
        <f t="shared" si="106"/>
        <v>0</v>
      </c>
      <c r="BN504">
        <v>5.0299999999999997E-3</v>
      </c>
      <c r="BS504" s="4" t="s">
        <v>2436</v>
      </c>
    </row>
    <row r="505" spans="1:71" ht="15.75" thickBot="1" x14ac:dyDescent="0.3">
      <c r="A505" s="569" t="s">
        <v>2127</v>
      </c>
      <c r="B505" s="569" t="s">
        <v>152</v>
      </c>
      <c r="C505" s="569" t="s">
        <v>6</v>
      </c>
      <c r="D505" s="574">
        <v>14</v>
      </c>
      <c r="E505" s="569"/>
      <c r="F505" s="569"/>
      <c r="G505" s="569"/>
      <c r="H505" s="569"/>
      <c r="I505" s="574">
        <v>0</v>
      </c>
      <c r="J505" s="574">
        <v>0</v>
      </c>
      <c r="K505" s="574">
        <v>0</v>
      </c>
      <c r="L505" s="574">
        <v>7</v>
      </c>
      <c r="M505" s="574">
        <v>0.2</v>
      </c>
      <c r="N505" s="574">
        <v>65.599999999999994</v>
      </c>
      <c r="O505" s="574">
        <v>0</v>
      </c>
      <c r="P505" s="574">
        <v>0</v>
      </c>
      <c r="Q505" s="574">
        <v>0</v>
      </c>
      <c r="R505" s="569"/>
      <c r="S505" s="569"/>
      <c r="T505" s="569"/>
      <c r="U505" s="569"/>
      <c r="V505" s="569"/>
      <c r="W505" s="569"/>
      <c r="X505" s="569"/>
      <c r="Y505" s="569"/>
      <c r="Z505" s="569"/>
      <c r="AA505" s="569"/>
      <c r="AB505" s="569"/>
      <c r="AC505" s="569"/>
      <c r="AD505" s="569"/>
      <c r="AE505" s="569"/>
      <c r="AF505" s="569"/>
      <c r="AG505" s="569"/>
      <c r="AH505" s="569"/>
      <c r="AI505" s="569"/>
      <c r="AJ505" s="569"/>
      <c r="AK505" s="569"/>
      <c r="AL505" s="569"/>
      <c r="AM505" s="569"/>
      <c r="AN505" s="574">
        <v>7.9</v>
      </c>
      <c r="AO505">
        <v>504</v>
      </c>
      <c r="AP505" t="str">
        <f t="shared" si="105"/>
        <v/>
      </c>
      <c r="AQ505" t="str">
        <f t="shared" si="95"/>
        <v/>
      </c>
      <c r="AR505" s="430">
        <f>IFERROR(
IF(AP505="",-100,
IF($BV$2&gt;0, INDEX(Beersheet!$A:$U,MATCH(AP505,INDEX(Beersheet!$A:$U,0,FFARawStatProjections!$BV$2),0),$BV$3)+$BN505,
INDEX($A505:$BM505,,$BV$12)*$BW$12+
INDEX($A505:$BM505,,$BV$15)*$BW$15+
INDEX($A505:$BM505,,$BV$16)*$BW$16+
INDEX($A505:$BM505,,$BV$17)*$BW$17+
INDEX($A505:$BM505,,$BV$18)*$BW$18+
INDEX($A505:$BM505,,$BV$19)*$BW$19+
INDEX($A505:$BM505,,$BV$20)*$BW$20+
INDEX($A505:$BM505,,$BV$21)*$BW$21+
INDEX($A505:$BM505,,$BV$22)*$BW$22+
INDEX($A505:$BM505,,$BV$23)*$BW$23+
INDEX($A505:$BM505,,$BV$25)*$BW$25+
INDEX($A505:$BM505,,$BV$26)*$BW$26+
INDEX($A505:$BM505,,$BV$27)*$BW$27+
$BN505)),
$BN505-100)</f>
        <v>-100</v>
      </c>
      <c r="AT505" t="str">
        <f t="shared" si="96"/>
        <v/>
      </c>
      <c r="AU505" t="str">
        <f t="shared" si="97"/>
        <v/>
      </c>
      <c r="AV505" s="430">
        <f>IFERROR(
IF(AT505="",-100,
IF($BV$2&gt;0, INDEX(Beersheet!$A:$U,MATCH(AT505,INDEX(Beersheet!$A:$U,0,FFARawStatProjections!$BV$2),0),$BV$3)+$BN505,
INDEX($A505:$BM505,,$BV$12)*$BW$12+
INDEX($A505:$BM505,,$BV$15)*$BW$15+
INDEX($A505:$BM505,,$BV$16)*$BW$16+
INDEX($A505:$BM505,,$BV$17)*$BW$17+
INDEX($A505:$BM505,,$BV$18)*$BW$18+
INDEX($A505:$BM505,,$BV$19)*$BW$19+
INDEX($A505:$BM505,,$BV$20)*$BW$20+
INDEX($A505:$BM505,,$BV$21)*$BW$21+
INDEX($A505:$BM505,,$BV$22)*$BW$22+
INDEX($A505:$BM505,,$BV$23)*$BW$23+
INDEX($A505:$BM505,,$BV$25)*$BW$25+
INDEX($A505:$BM505,,$BV$26)*$BW$26+
INDEX($A505:$BM505,,$BV$27)*$BW$27+
$BN505)),
$BN505-100)</f>
        <v>-100</v>
      </c>
      <c r="AX505" t="str">
        <f t="shared" si="98"/>
        <v>Byron Pringle</v>
      </c>
      <c r="AY505" t="str">
        <f t="shared" si="99"/>
        <v>WAS</v>
      </c>
      <c r="AZ505" s="430">
        <f>IFERROR(
IF(AX505="",-100,
IF($BV$2&gt;0, INDEX(Beersheet!$A:$U,MATCH(AX505,INDEX(Beersheet!$A:$U,0,FFARawStatProjections!$BV$2),0),$BV$3)+$BN505,
INDEX($A505:$BM505,,$BV$12)*$BW$12+
INDEX($A505:$BM505,,$BV$15)*$BW$15+
INDEX($A505:$BM505,,$BV$16)*$BW$16+
INDEX($A505:$BM505,,$BV$17)*$BW$17+
INDEX($A505:$BM505,,$BV$18)*$BW$18+
INDEX($A505:$BM505,,$BV$19)*$BW$19+
INDEX($A505:$BM505,,$BV$20)*$BW$20+
INDEX($A505:$BM505,,$BV$21)*$BW$21+
INDEX($A505:$BM505,,$BV$22)*$BW$22+
INDEX($A505:$BM505,,$BV$23)*$BW$23+
INDEX($A505:$BM505,,$BV$25)*$BW$25+
INDEX($A505:$BM505,,$BV$26)*$BW$26+
INDEX($A505:$BM505,,$BV$27)*$BW$27+
$BN505)),
$BN505-100)</f>
        <v>14.765039999999997</v>
      </c>
      <c r="BB505" t="str">
        <f t="shared" si="100"/>
        <v/>
      </c>
      <c r="BC505" t="str">
        <f t="shared" si="94"/>
        <v/>
      </c>
      <c r="BD505" s="430">
        <f>IFERROR(
IF(BB505="",-100,
IF($BV$2&gt;0, INDEX(Beersheet!$A:$U,MATCH(BB505,INDEX(Beersheet!$A:$U,0,FFARawStatProjections!$BV$2),0),$BV$3)+$BN505,
INDEX($A505:$BM505,,$BV$12)*$BW$12+
INDEX($A505:$BM505,,$BV$15)*$BW$15+
INDEX($A505:$BM505,,$BV$16)*$BW$16+
INDEX($A505:$BM505,,$BV$17)*$BW$17+
INDEX($A505:$BM505,,$BV$18)*$BW$18+
INDEX($A505:$BM505,,$BV$19)*$BW$19+
INDEX($A505:$BM505,,$BV$20)*$BW$20+
INDEX($A505:$BM505,,$BV$21)*$BW$21+
INDEX($A505:$BM505,,$BV$22)*$BW$22+
INDEX($A505:$BM505,,$BV$23)*$BW$23+
INDEX($A505:$BM505,,$BV$25)*$BW$25+
INDEX($A505:$BM505,,$BV$26)*$BW$26+
INDEX($A505:$BM505,,$BV$27)*$BW$27+
$BN505)),
$BN505-100)</f>
        <v>-100</v>
      </c>
      <c r="BF505" t="str">
        <f t="shared" si="101"/>
        <v/>
      </c>
      <c r="BG505" t="str">
        <f t="shared" si="102"/>
        <v/>
      </c>
      <c r="BH505">
        <f t="shared" si="103"/>
        <v>0</v>
      </c>
      <c r="BJ505" t="str">
        <f t="shared" si="104"/>
        <v/>
      </c>
      <c r="BL505">
        <f t="shared" si="106"/>
        <v>0</v>
      </c>
      <c r="BN505">
        <v>5.0400000000000002E-3</v>
      </c>
      <c r="BS505" s="4" t="s">
        <v>2435</v>
      </c>
    </row>
    <row r="506" spans="1:71" ht="15.75" thickBot="1" x14ac:dyDescent="0.3">
      <c r="A506" s="569" t="s">
        <v>2559</v>
      </c>
      <c r="B506" s="569" t="s">
        <v>149</v>
      </c>
      <c r="C506" s="569" t="s">
        <v>6</v>
      </c>
      <c r="D506" s="574">
        <v>5</v>
      </c>
      <c r="E506" s="569"/>
      <c r="F506" s="569"/>
      <c r="G506" s="569"/>
      <c r="H506" s="569"/>
      <c r="I506" s="574">
        <v>0</v>
      </c>
      <c r="J506" s="574">
        <v>0</v>
      </c>
      <c r="K506" s="574">
        <v>0</v>
      </c>
      <c r="L506" s="574">
        <v>4.9000000000000004</v>
      </c>
      <c r="M506" s="574">
        <v>0.3</v>
      </c>
      <c r="N506" s="574">
        <v>57</v>
      </c>
      <c r="O506" s="574">
        <v>0</v>
      </c>
      <c r="P506" s="574">
        <v>0</v>
      </c>
      <c r="Q506" s="574">
        <v>1.1000000000000001</v>
      </c>
      <c r="R506" s="569"/>
      <c r="S506" s="569"/>
      <c r="T506" s="569"/>
      <c r="U506" s="569"/>
      <c r="V506" s="569"/>
      <c r="W506" s="569"/>
      <c r="X506" s="569"/>
      <c r="Y506" s="569"/>
      <c r="Z506" s="569"/>
      <c r="AA506" s="569"/>
      <c r="AB506" s="569"/>
      <c r="AC506" s="569"/>
      <c r="AD506" s="569"/>
      <c r="AE506" s="569"/>
      <c r="AF506" s="569"/>
      <c r="AG506" s="569"/>
      <c r="AH506" s="569"/>
      <c r="AI506" s="569"/>
      <c r="AJ506" s="569"/>
      <c r="AK506" s="569"/>
      <c r="AL506" s="569"/>
      <c r="AM506" s="569"/>
      <c r="AN506" s="574">
        <v>7.9</v>
      </c>
      <c r="AO506">
        <v>505</v>
      </c>
      <c r="AP506" t="str">
        <f t="shared" si="105"/>
        <v/>
      </c>
      <c r="AQ506" t="str">
        <f t="shared" si="95"/>
        <v/>
      </c>
      <c r="AR506" s="430">
        <f>IFERROR(
IF(AP506="",-100,
IF($BV$2&gt;0, INDEX(Beersheet!$A:$U,MATCH(AP506,INDEX(Beersheet!$A:$U,0,FFARawStatProjections!$BV$2),0),$BV$3)+$BN506,
INDEX($A506:$BM506,,$BV$12)*$BW$12+
INDEX($A506:$BM506,,$BV$15)*$BW$15+
INDEX($A506:$BM506,,$BV$16)*$BW$16+
INDEX($A506:$BM506,,$BV$17)*$BW$17+
INDEX($A506:$BM506,,$BV$18)*$BW$18+
INDEX($A506:$BM506,,$BV$19)*$BW$19+
INDEX($A506:$BM506,,$BV$20)*$BW$20+
INDEX($A506:$BM506,,$BV$21)*$BW$21+
INDEX($A506:$BM506,,$BV$22)*$BW$22+
INDEX($A506:$BM506,,$BV$23)*$BW$23+
INDEX($A506:$BM506,,$BV$25)*$BW$25+
INDEX($A506:$BM506,,$BV$26)*$BW$26+
INDEX($A506:$BM506,,$BV$27)*$BW$27+
$BN506)),
$BN506-100)</f>
        <v>-100</v>
      </c>
      <c r="AT506" t="str">
        <f t="shared" si="96"/>
        <v/>
      </c>
      <c r="AU506" t="str">
        <f t="shared" si="97"/>
        <v/>
      </c>
      <c r="AV506" s="430">
        <f>IFERROR(
IF(AT506="",-100,
IF($BV$2&gt;0, INDEX(Beersheet!$A:$U,MATCH(AT506,INDEX(Beersheet!$A:$U,0,FFARawStatProjections!$BV$2),0),$BV$3)+$BN506,
INDEX($A506:$BM506,,$BV$12)*$BW$12+
INDEX($A506:$BM506,,$BV$15)*$BW$15+
INDEX($A506:$BM506,,$BV$16)*$BW$16+
INDEX($A506:$BM506,,$BV$17)*$BW$17+
INDEX($A506:$BM506,,$BV$18)*$BW$18+
INDEX($A506:$BM506,,$BV$19)*$BW$19+
INDEX($A506:$BM506,,$BV$20)*$BW$20+
INDEX($A506:$BM506,,$BV$21)*$BW$21+
INDEX($A506:$BM506,,$BV$22)*$BW$22+
INDEX($A506:$BM506,,$BV$23)*$BW$23+
INDEX($A506:$BM506,,$BV$25)*$BW$25+
INDEX($A506:$BM506,,$BV$26)*$BW$26+
INDEX($A506:$BM506,,$BV$27)*$BW$27+
$BN506)),
$BN506-100)</f>
        <v>-100</v>
      </c>
      <c r="AX506" t="str">
        <f t="shared" si="98"/>
        <v>Rakim Jarrett</v>
      </c>
      <c r="AY506" t="str">
        <f t="shared" si="99"/>
        <v>TB</v>
      </c>
      <c r="AZ506" s="430">
        <f>IFERROR(
IF(AX506="",-100,
IF($BV$2&gt;0, INDEX(Beersheet!$A:$U,MATCH(AX506,INDEX(Beersheet!$A:$U,0,FFARawStatProjections!$BV$2),0),$BV$3)+$BN506,
INDEX($A506:$BM506,,$BV$12)*$BW$12+
INDEX($A506:$BM506,,$BV$15)*$BW$15+
INDEX($A506:$BM506,,$BV$16)*$BW$16+
INDEX($A506:$BM506,,$BV$17)*$BW$17+
INDEX($A506:$BM506,,$BV$18)*$BW$18+
INDEX($A506:$BM506,,$BV$19)*$BW$19+
INDEX($A506:$BM506,,$BV$20)*$BW$20+
INDEX($A506:$BM506,,$BV$21)*$BW$21+
INDEX($A506:$BM506,,$BV$22)*$BW$22+
INDEX($A506:$BM506,,$BV$23)*$BW$23+
INDEX($A506:$BM506,,$BV$25)*$BW$25+
INDEX($A506:$BM506,,$BV$26)*$BW$26+
INDEX($A506:$BM506,,$BV$27)*$BW$27+
$BN506)),
$BN506-100)</f>
        <v>12.51505</v>
      </c>
      <c r="BB506" t="str">
        <f t="shared" si="100"/>
        <v/>
      </c>
      <c r="BC506" t="str">
        <f t="shared" si="94"/>
        <v/>
      </c>
      <c r="BD506" s="430">
        <f>IFERROR(
IF(BB506="",-100,
IF($BV$2&gt;0, INDEX(Beersheet!$A:$U,MATCH(BB506,INDEX(Beersheet!$A:$U,0,FFARawStatProjections!$BV$2),0),$BV$3)+$BN506,
INDEX($A506:$BM506,,$BV$12)*$BW$12+
INDEX($A506:$BM506,,$BV$15)*$BW$15+
INDEX($A506:$BM506,,$BV$16)*$BW$16+
INDEX($A506:$BM506,,$BV$17)*$BW$17+
INDEX($A506:$BM506,,$BV$18)*$BW$18+
INDEX($A506:$BM506,,$BV$19)*$BW$19+
INDEX($A506:$BM506,,$BV$20)*$BW$20+
INDEX($A506:$BM506,,$BV$21)*$BW$21+
INDEX($A506:$BM506,,$BV$22)*$BW$22+
INDEX($A506:$BM506,,$BV$23)*$BW$23+
INDEX($A506:$BM506,,$BV$25)*$BW$25+
INDEX($A506:$BM506,,$BV$26)*$BW$26+
INDEX($A506:$BM506,,$BV$27)*$BW$27+
$BN506)),
$BN506-100)</f>
        <v>-100</v>
      </c>
      <c r="BF506" t="str">
        <f t="shared" si="101"/>
        <v/>
      </c>
      <c r="BG506" t="str">
        <f t="shared" si="102"/>
        <v/>
      </c>
      <c r="BH506">
        <f t="shared" si="103"/>
        <v>0</v>
      </c>
      <c r="BJ506" t="str">
        <f t="shared" si="104"/>
        <v/>
      </c>
      <c r="BL506">
        <f t="shared" si="106"/>
        <v>0</v>
      </c>
      <c r="BN506">
        <v>5.0499999999999998E-3</v>
      </c>
      <c r="BS506" s="4" t="s">
        <v>1835</v>
      </c>
    </row>
    <row r="507" spans="1:71" ht="15.75" thickBot="1" x14ac:dyDescent="0.3">
      <c r="A507" s="569" t="s">
        <v>2349</v>
      </c>
      <c r="B507" s="569" t="s">
        <v>140</v>
      </c>
      <c r="C507" s="569" t="s">
        <v>6</v>
      </c>
      <c r="D507" s="574">
        <v>5</v>
      </c>
      <c r="E507" s="569"/>
      <c r="F507" s="569"/>
      <c r="G507" s="569"/>
      <c r="H507" s="569"/>
      <c r="I507" s="574">
        <v>0</v>
      </c>
      <c r="J507" s="574">
        <v>0</v>
      </c>
      <c r="K507" s="574">
        <v>0</v>
      </c>
      <c r="L507" s="574">
        <v>3.9</v>
      </c>
      <c r="M507" s="574">
        <v>0.3</v>
      </c>
      <c r="N507" s="574">
        <v>60.5</v>
      </c>
      <c r="O507" s="574">
        <v>0</v>
      </c>
      <c r="P507" s="574">
        <v>0</v>
      </c>
      <c r="Q507" s="574">
        <v>1.9</v>
      </c>
      <c r="R507" s="569"/>
      <c r="S507" s="569"/>
      <c r="T507" s="569"/>
      <c r="U507" s="569"/>
      <c r="V507" s="569"/>
      <c r="W507" s="569"/>
      <c r="X507" s="569"/>
      <c r="Y507" s="569"/>
      <c r="Z507" s="569"/>
      <c r="AA507" s="569"/>
      <c r="AB507" s="569"/>
      <c r="AC507" s="569"/>
      <c r="AD507" s="569"/>
      <c r="AE507" s="569"/>
      <c r="AF507" s="569"/>
      <c r="AG507" s="569"/>
      <c r="AH507" s="569"/>
      <c r="AI507" s="569"/>
      <c r="AJ507" s="569"/>
      <c r="AK507" s="569"/>
      <c r="AL507" s="569"/>
      <c r="AM507" s="569"/>
      <c r="AN507" s="574">
        <v>7.8</v>
      </c>
      <c r="AO507">
        <v>506</v>
      </c>
      <c r="AP507" t="str">
        <f t="shared" si="105"/>
        <v/>
      </c>
      <c r="AQ507" t="str">
        <f t="shared" si="95"/>
        <v/>
      </c>
      <c r="AR507" s="430">
        <f>IFERROR(
IF(AP507="",-100,
IF($BV$2&gt;0, INDEX(Beersheet!$A:$U,MATCH(AP507,INDEX(Beersheet!$A:$U,0,FFARawStatProjections!$BV$2),0),$BV$3)+$BN507,
INDEX($A507:$BM507,,$BV$12)*$BW$12+
INDEX($A507:$BM507,,$BV$15)*$BW$15+
INDEX($A507:$BM507,,$BV$16)*$BW$16+
INDEX($A507:$BM507,,$BV$17)*$BW$17+
INDEX($A507:$BM507,,$BV$18)*$BW$18+
INDEX($A507:$BM507,,$BV$19)*$BW$19+
INDEX($A507:$BM507,,$BV$20)*$BW$20+
INDEX($A507:$BM507,,$BV$21)*$BW$21+
INDEX($A507:$BM507,,$BV$22)*$BW$22+
INDEX($A507:$BM507,,$BV$23)*$BW$23+
INDEX($A507:$BM507,,$BV$25)*$BW$25+
INDEX($A507:$BM507,,$BV$26)*$BW$26+
INDEX($A507:$BM507,,$BV$27)*$BW$27+
$BN507)),
$BN507-100)</f>
        <v>-100</v>
      </c>
      <c r="AT507" t="str">
        <f t="shared" si="96"/>
        <v/>
      </c>
      <c r="AU507" t="str">
        <f t="shared" si="97"/>
        <v/>
      </c>
      <c r="AV507" s="430">
        <f>IFERROR(
IF(AT507="",-100,
IF($BV$2&gt;0, INDEX(Beersheet!$A:$U,MATCH(AT507,INDEX(Beersheet!$A:$U,0,FFARawStatProjections!$BV$2),0),$BV$3)+$BN507,
INDEX($A507:$BM507,,$BV$12)*$BW$12+
INDEX($A507:$BM507,,$BV$15)*$BW$15+
INDEX($A507:$BM507,,$BV$16)*$BW$16+
INDEX($A507:$BM507,,$BV$17)*$BW$17+
INDEX($A507:$BM507,,$BV$18)*$BW$18+
INDEX($A507:$BM507,,$BV$19)*$BW$19+
INDEX($A507:$BM507,,$BV$20)*$BW$20+
INDEX($A507:$BM507,,$BV$21)*$BW$21+
INDEX($A507:$BM507,,$BV$22)*$BW$22+
INDEX($A507:$BM507,,$BV$23)*$BW$23+
INDEX($A507:$BM507,,$BV$25)*$BW$25+
INDEX($A507:$BM507,,$BV$26)*$BW$26+
INDEX($A507:$BM507,,$BV$27)*$BW$27+
$BN507)),
$BN507-100)</f>
        <v>-100</v>
      </c>
      <c r="AX507" t="str">
        <f t="shared" si="98"/>
        <v>Cody Thompson</v>
      </c>
      <c r="AY507" t="str">
        <f t="shared" si="99"/>
        <v>SEA</v>
      </c>
      <c r="AZ507" s="430">
        <f>IFERROR(
IF(AX507="",-100,
IF($BV$2&gt;0, INDEX(Beersheet!$A:$U,MATCH(AX507,INDEX(Beersheet!$A:$U,0,FFARawStatProjections!$BV$2),0),$BV$3)+$BN507,
INDEX($A507:$BM507,,$BV$12)*$BW$12+
INDEX($A507:$BM507,,$BV$15)*$BW$15+
INDEX($A507:$BM507,,$BV$16)*$BW$16+
INDEX($A507:$BM507,,$BV$17)*$BW$17+
INDEX($A507:$BM507,,$BV$18)*$BW$18+
INDEX($A507:$BM507,,$BV$19)*$BW$19+
INDEX($A507:$BM507,,$BV$20)*$BW$20+
INDEX($A507:$BM507,,$BV$21)*$BW$21+
INDEX($A507:$BM507,,$BV$22)*$BW$22+
INDEX($A507:$BM507,,$BV$23)*$BW$23+
INDEX($A507:$BM507,,$BV$25)*$BW$25+
INDEX($A507:$BM507,,$BV$26)*$BW$26+
INDEX($A507:$BM507,,$BV$27)*$BW$27+
$BN507)),
$BN507-100)</f>
        <v>11.94506</v>
      </c>
      <c r="BB507" t="str">
        <f t="shared" si="100"/>
        <v/>
      </c>
      <c r="BC507" t="str">
        <f t="shared" si="94"/>
        <v/>
      </c>
      <c r="BD507" s="430">
        <f>IFERROR(
IF(BB507="",-100,
IF($BV$2&gt;0, INDEX(Beersheet!$A:$U,MATCH(BB507,INDEX(Beersheet!$A:$U,0,FFARawStatProjections!$BV$2),0),$BV$3)+$BN507,
INDEX($A507:$BM507,,$BV$12)*$BW$12+
INDEX($A507:$BM507,,$BV$15)*$BW$15+
INDEX($A507:$BM507,,$BV$16)*$BW$16+
INDEX($A507:$BM507,,$BV$17)*$BW$17+
INDEX($A507:$BM507,,$BV$18)*$BW$18+
INDEX($A507:$BM507,,$BV$19)*$BW$19+
INDEX($A507:$BM507,,$BV$20)*$BW$20+
INDEX($A507:$BM507,,$BV$21)*$BW$21+
INDEX($A507:$BM507,,$BV$22)*$BW$22+
INDEX($A507:$BM507,,$BV$23)*$BW$23+
INDEX($A507:$BM507,,$BV$25)*$BW$25+
INDEX($A507:$BM507,,$BV$26)*$BW$26+
INDEX($A507:$BM507,,$BV$27)*$BW$27+
$BN507)),
$BN507-100)</f>
        <v>-100</v>
      </c>
      <c r="BF507" t="str">
        <f t="shared" si="101"/>
        <v/>
      </c>
      <c r="BG507" t="str">
        <f t="shared" si="102"/>
        <v/>
      </c>
      <c r="BH507">
        <f t="shared" si="103"/>
        <v>0</v>
      </c>
      <c r="BJ507" t="str">
        <f t="shared" si="104"/>
        <v/>
      </c>
      <c r="BL507">
        <f t="shared" si="106"/>
        <v>0</v>
      </c>
      <c r="BN507">
        <v>5.0600000000000003E-3</v>
      </c>
      <c r="BS507" s="4" t="s">
        <v>104</v>
      </c>
    </row>
    <row r="508" spans="1:71" ht="15.75" thickBot="1" x14ac:dyDescent="0.3">
      <c r="A508" s="569" t="s">
        <v>2448</v>
      </c>
      <c r="B508" s="569" t="s">
        <v>165</v>
      </c>
      <c r="C508" s="569" t="s">
        <v>6</v>
      </c>
      <c r="D508" s="574">
        <v>9</v>
      </c>
      <c r="E508" s="569"/>
      <c r="F508" s="569"/>
      <c r="G508" s="569"/>
      <c r="H508" s="569"/>
      <c r="I508" s="574">
        <v>0</v>
      </c>
      <c r="J508" s="574">
        <v>0</v>
      </c>
      <c r="K508" s="574">
        <v>0</v>
      </c>
      <c r="L508" s="574">
        <v>4.3</v>
      </c>
      <c r="M508" s="574">
        <v>0.3</v>
      </c>
      <c r="N508" s="574">
        <v>53.9</v>
      </c>
      <c r="O508" s="574">
        <v>0</v>
      </c>
      <c r="P508" s="574">
        <v>0</v>
      </c>
      <c r="Q508" s="574">
        <v>1.9</v>
      </c>
      <c r="R508" s="569"/>
      <c r="S508" s="569"/>
      <c r="T508" s="569"/>
      <c r="U508" s="569"/>
      <c r="V508" s="569"/>
      <c r="W508" s="569"/>
      <c r="X508" s="569"/>
      <c r="Y508" s="569"/>
      <c r="Z508" s="569"/>
      <c r="AA508" s="569"/>
      <c r="AB508" s="569"/>
      <c r="AC508" s="569"/>
      <c r="AD508" s="569"/>
      <c r="AE508" s="569"/>
      <c r="AF508" s="569"/>
      <c r="AG508" s="569"/>
      <c r="AH508" s="569"/>
      <c r="AI508" s="569"/>
      <c r="AJ508" s="569"/>
      <c r="AK508" s="569"/>
      <c r="AL508" s="569"/>
      <c r="AM508" s="569"/>
      <c r="AN508" s="574">
        <v>7.6</v>
      </c>
      <c r="AO508">
        <v>507</v>
      </c>
      <c r="AP508" t="str">
        <f t="shared" si="105"/>
        <v/>
      </c>
      <c r="AQ508" t="str">
        <f t="shared" si="95"/>
        <v/>
      </c>
      <c r="AR508" s="430">
        <f>IFERROR(
IF(AP508="",-100,
IF($BV$2&gt;0, INDEX(Beersheet!$A:$U,MATCH(AP508,INDEX(Beersheet!$A:$U,0,FFARawStatProjections!$BV$2),0),$BV$3)+$BN508,
INDEX($A508:$BM508,,$BV$12)*$BW$12+
INDEX($A508:$BM508,,$BV$15)*$BW$15+
INDEX($A508:$BM508,,$BV$16)*$BW$16+
INDEX($A508:$BM508,,$BV$17)*$BW$17+
INDEX($A508:$BM508,,$BV$18)*$BW$18+
INDEX($A508:$BM508,,$BV$19)*$BW$19+
INDEX($A508:$BM508,,$BV$20)*$BW$20+
INDEX($A508:$BM508,,$BV$21)*$BW$21+
INDEX($A508:$BM508,,$BV$22)*$BW$22+
INDEX($A508:$BM508,,$BV$23)*$BW$23+
INDEX($A508:$BM508,,$BV$25)*$BW$25+
INDEX($A508:$BM508,,$BV$26)*$BW$26+
INDEX($A508:$BM508,,$BV$27)*$BW$27+
$BN508)),
$BN508-100)</f>
        <v>-100</v>
      </c>
      <c r="AT508" t="str">
        <f t="shared" si="96"/>
        <v/>
      </c>
      <c r="AU508" t="str">
        <f t="shared" si="97"/>
        <v/>
      </c>
      <c r="AV508" s="430">
        <f>IFERROR(
IF(AT508="",-100,
IF($BV$2&gt;0, INDEX(Beersheet!$A:$U,MATCH(AT508,INDEX(Beersheet!$A:$U,0,FFARawStatProjections!$BV$2),0),$BV$3)+$BN508,
INDEX($A508:$BM508,,$BV$12)*$BW$12+
INDEX($A508:$BM508,,$BV$15)*$BW$15+
INDEX($A508:$BM508,,$BV$16)*$BW$16+
INDEX($A508:$BM508,,$BV$17)*$BW$17+
INDEX($A508:$BM508,,$BV$18)*$BW$18+
INDEX($A508:$BM508,,$BV$19)*$BW$19+
INDEX($A508:$BM508,,$BV$20)*$BW$20+
INDEX($A508:$BM508,,$BV$21)*$BW$21+
INDEX($A508:$BM508,,$BV$22)*$BW$22+
INDEX($A508:$BM508,,$BV$23)*$BW$23+
INDEX($A508:$BM508,,$BV$25)*$BW$25+
INDEX($A508:$BM508,,$BV$26)*$BW$26+
INDEX($A508:$BM508,,$BV$27)*$BW$27+
$BN508)),
$BN508-100)</f>
        <v>-100</v>
      </c>
      <c r="AX508" t="str">
        <f t="shared" si="98"/>
        <v>Kevin Austin</v>
      </c>
      <c r="AY508" t="str">
        <f t="shared" si="99"/>
        <v>JAC</v>
      </c>
      <c r="AZ508" s="430">
        <f>IFERROR(
IF(AX508="",-100,
IF($BV$2&gt;0, INDEX(Beersheet!$A:$U,MATCH(AX508,INDEX(Beersheet!$A:$U,0,FFARawStatProjections!$BV$2),0),$BV$3)+$BN508,
INDEX($A508:$BM508,,$BV$12)*$BW$12+
INDEX($A508:$BM508,,$BV$15)*$BW$15+
INDEX($A508:$BM508,,$BV$16)*$BW$16+
INDEX($A508:$BM508,,$BV$17)*$BW$17+
INDEX($A508:$BM508,,$BV$18)*$BW$18+
INDEX($A508:$BM508,,$BV$19)*$BW$19+
INDEX($A508:$BM508,,$BV$20)*$BW$20+
INDEX($A508:$BM508,,$BV$21)*$BW$21+
INDEX($A508:$BM508,,$BV$22)*$BW$22+
INDEX($A508:$BM508,,$BV$23)*$BW$23+
INDEX($A508:$BM508,,$BV$25)*$BW$25+
INDEX($A508:$BM508,,$BV$26)*$BW$26+
INDEX($A508:$BM508,,$BV$27)*$BW$27+
$BN508)),
$BN508-100)</f>
        <v>11.68507</v>
      </c>
      <c r="BB508" t="str">
        <f t="shared" si="100"/>
        <v/>
      </c>
      <c r="BC508" t="str">
        <f t="shared" si="94"/>
        <v/>
      </c>
      <c r="BD508" s="430">
        <f>IFERROR(
IF(BB508="",-100,
IF($BV$2&gt;0, INDEX(Beersheet!$A:$U,MATCH(BB508,INDEX(Beersheet!$A:$U,0,FFARawStatProjections!$BV$2),0),$BV$3)+$BN508,
INDEX($A508:$BM508,,$BV$12)*$BW$12+
INDEX($A508:$BM508,,$BV$15)*$BW$15+
INDEX($A508:$BM508,,$BV$16)*$BW$16+
INDEX($A508:$BM508,,$BV$17)*$BW$17+
INDEX($A508:$BM508,,$BV$18)*$BW$18+
INDEX($A508:$BM508,,$BV$19)*$BW$19+
INDEX($A508:$BM508,,$BV$20)*$BW$20+
INDEX($A508:$BM508,,$BV$21)*$BW$21+
INDEX($A508:$BM508,,$BV$22)*$BW$22+
INDEX($A508:$BM508,,$BV$23)*$BW$23+
INDEX($A508:$BM508,,$BV$25)*$BW$25+
INDEX($A508:$BM508,,$BV$26)*$BW$26+
INDEX($A508:$BM508,,$BV$27)*$BW$27+
$BN508)),
$BN508-100)</f>
        <v>-100</v>
      </c>
      <c r="BF508" t="str">
        <f t="shared" si="101"/>
        <v/>
      </c>
      <c r="BG508" t="str">
        <f t="shared" si="102"/>
        <v/>
      </c>
      <c r="BH508">
        <f t="shared" si="103"/>
        <v>0</v>
      </c>
      <c r="BJ508" t="str">
        <f t="shared" si="104"/>
        <v/>
      </c>
      <c r="BL508">
        <f t="shared" si="106"/>
        <v>0</v>
      </c>
      <c r="BN508">
        <v>5.0699999999999999E-3</v>
      </c>
      <c r="BS508" s="4" t="s">
        <v>2276</v>
      </c>
    </row>
    <row r="509" spans="1:71" ht="15.75" thickBot="1" x14ac:dyDescent="0.3">
      <c r="A509" s="569" t="s">
        <v>2341</v>
      </c>
      <c r="B509" s="569" t="s">
        <v>166</v>
      </c>
      <c r="C509" s="569" t="s">
        <v>6</v>
      </c>
      <c r="D509" s="574">
        <v>10</v>
      </c>
      <c r="E509" s="569"/>
      <c r="F509" s="569"/>
      <c r="G509" s="569"/>
      <c r="H509" s="569"/>
      <c r="I509" s="574">
        <v>0</v>
      </c>
      <c r="J509" s="574">
        <v>0</v>
      </c>
      <c r="K509" s="574">
        <v>0</v>
      </c>
      <c r="L509" s="574">
        <v>5.3</v>
      </c>
      <c r="M509" s="574">
        <v>0.3</v>
      </c>
      <c r="N509" s="574">
        <v>59.3</v>
      </c>
      <c r="O509" s="574">
        <v>0.1</v>
      </c>
      <c r="P509" s="574">
        <v>0</v>
      </c>
      <c r="Q509" s="574">
        <v>0.8</v>
      </c>
      <c r="R509" s="569"/>
      <c r="S509" s="569"/>
      <c r="T509" s="569"/>
      <c r="U509" s="569"/>
      <c r="V509" s="569"/>
      <c r="W509" s="569"/>
      <c r="X509" s="569"/>
      <c r="Y509" s="569"/>
      <c r="Z509" s="569"/>
      <c r="AA509" s="569"/>
      <c r="AB509" s="569"/>
      <c r="AC509" s="569"/>
      <c r="AD509" s="569"/>
      <c r="AE509" s="569"/>
      <c r="AF509" s="569"/>
      <c r="AG509" s="569"/>
      <c r="AH509" s="569"/>
      <c r="AI509" s="569"/>
      <c r="AJ509" s="569"/>
      <c r="AK509" s="569"/>
      <c r="AL509" s="569"/>
      <c r="AM509" s="569"/>
      <c r="AN509" s="574">
        <v>7.4</v>
      </c>
      <c r="AO509">
        <v>508</v>
      </c>
      <c r="AP509" t="str">
        <f t="shared" si="105"/>
        <v/>
      </c>
      <c r="AQ509" t="str">
        <f t="shared" si="95"/>
        <v/>
      </c>
      <c r="AR509" s="430">
        <f>IFERROR(
IF(AP509="",-100,
IF($BV$2&gt;0, INDEX(Beersheet!$A:$U,MATCH(AP509,INDEX(Beersheet!$A:$U,0,FFARawStatProjections!$BV$2),0),$BV$3)+$BN509,
INDEX($A509:$BM509,,$BV$12)*$BW$12+
INDEX($A509:$BM509,,$BV$15)*$BW$15+
INDEX($A509:$BM509,,$BV$16)*$BW$16+
INDEX($A509:$BM509,,$BV$17)*$BW$17+
INDEX($A509:$BM509,,$BV$18)*$BW$18+
INDEX($A509:$BM509,,$BV$19)*$BW$19+
INDEX($A509:$BM509,,$BV$20)*$BW$20+
INDEX($A509:$BM509,,$BV$21)*$BW$21+
INDEX($A509:$BM509,,$BV$22)*$BW$22+
INDEX($A509:$BM509,,$BV$23)*$BW$23+
INDEX($A509:$BM509,,$BV$25)*$BW$25+
INDEX($A509:$BM509,,$BV$26)*$BW$26+
INDEX($A509:$BM509,,$BV$27)*$BW$27+
$BN509)),
$BN509-100)</f>
        <v>-100</v>
      </c>
      <c r="AT509" t="str">
        <f t="shared" si="96"/>
        <v/>
      </c>
      <c r="AU509" t="str">
        <f t="shared" si="97"/>
        <v/>
      </c>
      <c r="AV509" s="430">
        <f>IFERROR(
IF(AT509="",-100,
IF($BV$2&gt;0, INDEX(Beersheet!$A:$U,MATCH(AT509,INDEX(Beersheet!$A:$U,0,FFARawStatProjections!$BV$2),0),$BV$3)+$BN509,
INDEX($A509:$BM509,,$BV$12)*$BW$12+
INDEX($A509:$BM509,,$BV$15)*$BW$15+
INDEX($A509:$BM509,,$BV$16)*$BW$16+
INDEX($A509:$BM509,,$BV$17)*$BW$17+
INDEX($A509:$BM509,,$BV$18)*$BW$18+
INDEX($A509:$BM509,,$BV$19)*$BW$19+
INDEX($A509:$BM509,,$BV$20)*$BW$20+
INDEX($A509:$BM509,,$BV$21)*$BW$21+
INDEX($A509:$BM509,,$BV$22)*$BW$22+
INDEX($A509:$BM509,,$BV$23)*$BW$23+
INDEX($A509:$BM509,,$BV$25)*$BW$25+
INDEX($A509:$BM509,,$BV$26)*$BW$26+
INDEX($A509:$BM509,,$BV$27)*$BW$27+
$BN509)),
$BN509-100)</f>
        <v>-100</v>
      </c>
      <c r="AX509" t="str">
        <f t="shared" si="98"/>
        <v>Erik Ezukanma</v>
      </c>
      <c r="AY509" t="str">
        <f t="shared" si="99"/>
        <v>MIA</v>
      </c>
      <c r="AZ509" s="430">
        <f>IFERROR(
IF(AX509="",-100,
IF($BV$2&gt;0, INDEX(Beersheet!$A:$U,MATCH(AX509,INDEX(Beersheet!$A:$U,0,FFARawStatProjections!$BV$2),0),$BV$3)+$BN509,
INDEX($A509:$BM509,,$BV$12)*$BW$12+
INDEX($A509:$BM509,,$BV$15)*$BW$15+
INDEX($A509:$BM509,,$BV$16)*$BW$16+
INDEX($A509:$BM509,,$BV$17)*$BW$17+
INDEX($A509:$BM509,,$BV$18)*$BW$18+
INDEX($A509:$BM509,,$BV$19)*$BW$19+
INDEX($A509:$BM509,,$BV$20)*$BW$20+
INDEX($A509:$BM509,,$BV$21)*$BW$21+
INDEX($A509:$BM509,,$BV$22)*$BW$22+
INDEX($A509:$BM509,,$BV$23)*$BW$23+
INDEX($A509:$BM509,,$BV$25)*$BW$25+
INDEX($A509:$BM509,,$BV$26)*$BW$26+
INDEX($A509:$BM509,,$BV$27)*$BW$27+
$BN509)),
$BN509-100)</f>
        <v>13.115079999999999</v>
      </c>
      <c r="BB509" t="str">
        <f t="shared" si="100"/>
        <v/>
      </c>
      <c r="BC509" t="str">
        <f t="shared" si="94"/>
        <v/>
      </c>
      <c r="BD509" s="430">
        <f>IFERROR(
IF(BB509="",-100,
IF($BV$2&gt;0, INDEX(Beersheet!$A:$U,MATCH(BB509,INDEX(Beersheet!$A:$U,0,FFARawStatProjections!$BV$2),0),$BV$3)+$BN509,
INDEX($A509:$BM509,,$BV$12)*$BW$12+
INDEX($A509:$BM509,,$BV$15)*$BW$15+
INDEX($A509:$BM509,,$BV$16)*$BW$16+
INDEX($A509:$BM509,,$BV$17)*$BW$17+
INDEX($A509:$BM509,,$BV$18)*$BW$18+
INDEX($A509:$BM509,,$BV$19)*$BW$19+
INDEX($A509:$BM509,,$BV$20)*$BW$20+
INDEX($A509:$BM509,,$BV$21)*$BW$21+
INDEX($A509:$BM509,,$BV$22)*$BW$22+
INDEX($A509:$BM509,,$BV$23)*$BW$23+
INDEX($A509:$BM509,,$BV$25)*$BW$25+
INDEX($A509:$BM509,,$BV$26)*$BW$26+
INDEX($A509:$BM509,,$BV$27)*$BW$27+
$BN509)),
$BN509-100)</f>
        <v>-100</v>
      </c>
      <c r="BF509" t="str">
        <f t="shared" si="101"/>
        <v/>
      </c>
      <c r="BG509" t="str">
        <f t="shared" si="102"/>
        <v/>
      </c>
      <c r="BH509">
        <f t="shared" si="103"/>
        <v>0</v>
      </c>
      <c r="BJ509" t="str">
        <f t="shared" si="104"/>
        <v/>
      </c>
      <c r="BL509">
        <f t="shared" si="106"/>
        <v>0</v>
      </c>
      <c r="BN509">
        <v>5.0800000000000003E-3</v>
      </c>
      <c r="BS509" s="4" t="s">
        <v>2275</v>
      </c>
    </row>
    <row r="510" spans="1:71" ht="15.75" thickBot="1" x14ac:dyDescent="0.3">
      <c r="A510" s="569" t="s">
        <v>2340</v>
      </c>
      <c r="B510" s="569" t="s">
        <v>155</v>
      </c>
      <c r="C510" s="569" t="s">
        <v>6</v>
      </c>
      <c r="D510" s="574">
        <v>9</v>
      </c>
      <c r="E510" s="569"/>
      <c r="F510" s="569"/>
      <c r="G510" s="569"/>
      <c r="H510" s="569"/>
      <c r="I510" s="574">
        <v>0</v>
      </c>
      <c r="J510" s="574">
        <v>0</v>
      </c>
      <c r="K510" s="574">
        <v>0</v>
      </c>
      <c r="L510" s="574">
        <v>3.1</v>
      </c>
      <c r="M510" s="574">
        <v>0.2</v>
      </c>
      <c r="N510" s="574">
        <v>57.5</v>
      </c>
      <c r="O510" s="574">
        <v>0.2</v>
      </c>
      <c r="P510" s="574">
        <v>0</v>
      </c>
      <c r="Q510" s="574">
        <v>1.6</v>
      </c>
      <c r="R510" s="569"/>
      <c r="S510" s="569"/>
      <c r="T510" s="569"/>
      <c r="U510" s="569"/>
      <c r="V510" s="569"/>
      <c r="W510" s="569"/>
      <c r="X510" s="569"/>
      <c r="Y510" s="569"/>
      <c r="Z510" s="569"/>
      <c r="AA510" s="569"/>
      <c r="AB510" s="569"/>
      <c r="AC510" s="569"/>
      <c r="AD510" s="569"/>
      <c r="AE510" s="569"/>
      <c r="AF510" s="569"/>
      <c r="AG510" s="569"/>
      <c r="AH510" s="569"/>
      <c r="AI510" s="569"/>
      <c r="AJ510" s="569"/>
      <c r="AK510" s="569"/>
      <c r="AL510" s="569"/>
      <c r="AM510" s="569"/>
      <c r="AN510" s="574">
        <v>6.9</v>
      </c>
      <c r="AO510">
        <v>509</v>
      </c>
      <c r="AP510" t="str">
        <f t="shared" si="105"/>
        <v/>
      </c>
      <c r="AQ510" t="str">
        <f t="shared" si="95"/>
        <v/>
      </c>
      <c r="AR510" s="430">
        <f>IFERROR(
IF(AP510="",-100,
IF($BV$2&gt;0, INDEX(Beersheet!$A:$U,MATCH(AP510,INDEX(Beersheet!$A:$U,0,FFARawStatProjections!$BV$2),0),$BV$3)+$BN510,
INDEX($A510:$BM510,,$BV$12)*$BW$12+
INDEX($A510:$BM510,,$BV$15)*$BW$15+
INDEX($A510:$BM510,,$BV$16)*$BW$16+
INDEX($A510:$BM510,,$BV$17)*$BW$17+
INDEX($A510:$BM510,,$BV$18)*$BW$18+
INDEX($A510:$BM510,,$BV$19)*$BW$19+
INDEX($A510:$BM510,,$BV$20)*$BW$20+
INDEX($A510:$BM510,,$BV$21)*$BW$21+
INDEX($A510:$BM510,,$BV$22)*$BW$22+
INDEX($A510:$BM510,,$BV$23)*$BW$23+
INDEX($A510:$BM510,,$BV$25)*$BW$25+
INDEX($A510:$BM510,,$BV$26)*$BW$26+
INDEX($A510:$BM510,,$BV$27)*$BW$27+
$BN510)),
$BN510-100)</f>
        <v>-100</v>
      </c>
      <c r="AT510" t="str">
        <f t="shared" si="96"/>
        <v/>
      </c>
      <c r="AU510" t="str">
        <f t="shared" si="97"/>
        <v/>
      </c>
      <c r="AV510" s="430">
        <f>IFERROR(
IF(AT510="",-100,
IF($BV$2&gt;0, INDEX(Beersheet!$A:$U,MATCH(AT510,INDEX(Beersheet!$A:$U,0,FFARawStatProjections!$BV$2),0),$BV$3)+$BN510,
INDEX($A510:$BM510,,$BV$12)*$BW$12+
INDEX($A510:$BM510,,$BV$15)*$BW$15+
INDEX($A510:$BM510,,$BV$16)*$BW$16+
INDEX($A510:$BM510,,$BV$17)*$BW$17+
INDEX($A510:$BM510,,$BV$18)*$BW$18+
INDEX($A510:$BM510,,$BV$19)*$BW$19+
INDEX($A510:$BM510,,$BV$20)*$BW$20+
INDEX($A510:$BM510,,$BV$21)*$BW$21+
INDEX($A510:$BM510,,$BV$22)*$BW$22+
INDEX($A510:$BM510,,$BV$23)*$BW$23+
INDEX($A510:$BM510,,$BV$25)*$BW$25+
INDEX($A510:$BM510,,$BV$26)*$BW$26+
INDEX($A510:$BM510,,$BV$27)*$BW$27+
$BN510)),
$BN510-100)</f>
        <v>-100</v>
      </c>
      <c r="AX510" t="str">
        <f t="shared" si="98"/>
        <v>Danny Gray</v>
      </c>
      <c r="AY510" t="str">
        <f t="shared" si="99"/>
        <v>SF</v>
      </c>
      <c r="AZ510" s="430">
        <f>IFERROR(
IF(AX510="",-100,
IF($BV$2&gt;0, INDEX(Beersheet!$A:$U,MATCH(AX510,INDEX(Beersheet!$A:$U,0,FFARawStatProjections!$BV$2),0),$BV$3)+$BN510,
INDEX($A510:$BM510,,$BV$12)*$BW$12+
INDEX($A510:$BM510,,$BV$15)*$BW$15+
INDEX($A510:$BM510,,$BV$16)*$BW$16+
INDEX($A510:$BM510,,$BV$17)*$BW$17+
INDEX($A510:$BM510,,$BV$18)*$BW$18+
INDEX($A510:$BM510,,$BV$19)*$BW$19+
INDEX($A510:$BM510,,$BV$20)*$BW$20+
INDEX($A510:$BM510,,$BV$21)*$BW$21+
INDEX($A510:$BM510,,$BV$22)*$BW$22+
INDEX($A510:$BM510,,$BV$23)*$BW$23+
INDEX($A510:$BM510,,$BV$25)*$BW$25+
INDEX($A510:$BM510,,$BV$26)*$BW$26+
INDEX($A510:$BM510,,$BV$27)*$BW$27+
$BN510)),
$BN510-100)</f>
        <v>10.21509</v>
      </c>
      <c r="BB510" t="str">
        <f t="shared" si="100"/>
        <v/>
      </c>
      <c r="BC510" t="str">
        <f t="shared" si="94"/>
        <v/>
      </c>
      <c r="BD510" s="430">
        <f>IFERROR(
IF(BB510="",-100,
IF($BV$2&gt;0, INDEX(Beersheet!$A:$U,MATCH(BB510,INDEX(Beersheet!$A:$U,0,FFARawStatProjections!$BV$2),0),$BV$3)+$BN510,
INDEX($A510:$BM510,,$BV$12)*$BW$12+
INDEX($A510:$BM510,,$BV$15)*$BW$15+
INDEX($A510:$BM510,,$BV$16)*$BW$16+
INDEX($A510:$BM510,,$BV$17)*$BW$17+
INDEX($A510:$BM510,,$BV$18)*$BW$18+
INDEX($A510:$BM510,,$BV$19)*$BW$19+
INDEX($A510:$BM510,,$BV$20)*$BW$20+
INDEX($A510:$BM510,,$BV$21)*$BW$21+
INDEX($A510:$BM510,,$BV$22)*$BW$22+
INDEX($A510:$BM510,,$BV$23)*$BW$23+
INDEX($A510:$BM510,,$BV$25)*$BW$25+
INDEX($A510:$BM510,,$BV$26)*$BW$26+
INDEX($A510:$BM510,,$BV$27)*$BW$27+
$BN510)),
$BN510-100)</f>
        <v>-100</v>
      </c>
      <c r="BF510" t="str">
        <f t="shared" si="101"/>
        <v/>
      </c>
      <c r="BG510" t="str">
        <f t="shared" si="102"/>
        <v/>
      </c>
      <c r="BH510">
        <f t="shared" si="103"/>
        <v>0</v>
      </c>
      <c r="BJ510" t="str">
        <f t="shared" si="104"/>
        <v/>
      </c>
      <c r="BL510">
        <f t="shared" si="106"/>
        <v>0</v>
      </c>
      <c r="BN510">
        <v>5.0899999999999999E-3</v>
      </c>
      <c r="BS510" s="4" t="s">
        <v>2285</v>
      </c>
    </row>
    <row r="511" spans="1:71" ht="15.75" thickBot="1" x14ac:dyDescent="0.3">
      <c r="A511" s="569" t="s">
        <v>2440</v>
      </c>
      <c r="B511" s="569" t="s">
        <v>142</v>
      </c>
      <c r="C511" s="569" t="s">
        <v>6</v>
      </c>
      <c r="D511" s="574">
        <v>9</v>
      </c>
      <c r="E511" s="569"/>
      <c r="F511" s="569"/>
      <c r="G511" s="569"/>
      <c r="H511" s="569"/>
      <c r="I511" s="574">
        <v>0</v>
      </c>
      <c r="J511" s="574">
        <v>0</v>
      </c>
      <c r="K511" s="574">
        <v>0</v>
      </c>
      <c r="L511" s="574">
        <v>3.6</v>
      </c>
      <c r="M511" s="574">
        <v>0.3</v>
      </c>
      <c r="N511" s="574">
        <v>48.2</v>
      </c>
      <c r="O511" s="574">
        <v>0</v>
      </c>
      <c r="P511" s="574">
        <v>0</v>
      </c>
      <c r="Q511" s="574">
        <v>0</v>
      </c>
      <c r="R511" s="569"/>
      <c r="S511" s="569"/>
      <c r="T511" s="569"/>
      <c r="U511" s="569"/>
      <c r="V511" s="569"/>
      <c r="W511" s="569"/>
      <c r="X511" s="569"/>
      <c r="Y511" s="569"/>
      <c r="Z511" s="569"/>
      <c r="AA511" s="569"/>
      <c r="AB511" s="569"/>
      <c r="AC511" s="569"/>
      <c r="AD511" s="569"/>
      <c r="AE511" s="569"/>
      <c r="AF511" s="569"/>
      <c r="AG511" s="569"/>
      <c r="AH511" s="569"/>
      <c r="AI511" s="569"/>
      <c r="AJ511" s="569"/>
      <c r="AK511" s="569"/>
      <c r="AL511" s="569"/>
      <c r="AM511" s="569"/>
      <c r="AN511" s="574">
        <v>6.8</v>
      </c>
      <c r="AO511">
        <v>510</v>
      </c>
      <c r="AP511" t="str">
        <f t="shared" si="105"/>
        <v/>
      </c>
      <c r="AQ511" t="str">
        <f t="shared" si="95"/>
        <v/>
      </c>
      <c r="AR511" s="430">
        <f>IFERROR(
IF(AP511="",-100,
IF($BV$2&gt;0, INDEX(Beersheet!$A:$U,MATCH(AP511,INDEX(Beersheet!$A:$U,0,FFARawStatProjections!$BV$2),0),$BV$3)+$BN511,
INDEX($A511:$BM511,,$BV$12)*$BW$12+
INDEX($A511:$BM511,,$BV$15)*$BW$15+
INDEX($A511:$BM511,,$BV$16)*$BW$16+
INDEX($A511:$BM511,,$BV$17)*$BW$17+
INDEX($A511:$BM511,,$BV$18)*$BW$18+
INDEX($A511:$BM511,,$BV$19)*$BW$19+
INDEX($A511:$BM511,,$BV$20)*$BW$20+
INDEX($A511:$BM511,,$BV$21)*$BW$21+
INDEX($A511:$BM511,,$BV$22)*$BW$22+
INDEX($A511:$BM511,,$BV$23)*$BW$23+
INDEX($A511:$BM511,,$BV$25)*$BW$25+
INDEX($A511:$BM511,,$BV$26)*$BW$26+
INDEX($A511:$BM511,,$BV$27)*$BW$27+
$BN511)),
$BN511-100)</f>
        <v>-100</v>
      </c>
      <c r="AT511" t="str">
        <f t="shared" si="96"/>
        <v/>
      </c>
      <c r="AU511" t="str">
        <f t="shared" si="97"/>
        <v/>
      </c>
      <c r="AV511" s="430">
        <f>IFERROR(
IF(AT511="",-100,
IF($BV$2&gt;0, INDEX(Beersheet!$A:$U,MATCH(AT511,INDEX(Beersheet!$A:$U,0,FFARawStatProjections!$BV$2),0),$BV$3)+$BN511,
INDEX($A511:$BM511,,$BV$12)*$BW$12+
INDEX($A511:$BM511,,$BV$15)*$BW$15+
INDEX($A511:$BM511,,$BV$16)*$BW$16+
INDEX($A511:$BM511,,$BV$17)*$BW$17+
INDEX($A511:$BM511,,$BV$18)*$BW$18+
INDEX($A511:$BM511,,$BV$19)*$BW$19+
INDEX($A511:$BM511,,$BV$20)*$BW$20+
INDEX($A511:$BM511,,$BV$21)*$BW$21+
INDEX($A511:$BM511,,$BV$22)*$BW$22+
INDEX($A511:$BM511,,$BV$23)*$BW$23+
INDEX($A511:$BM511,,$BV$25)*$BW$25+
INDEX($A511:$BM511,,$BV$26)*$BW$26+
INDEX($A511:$BM511,,$BV$27)*$BW$27+
$BN511)),
$BN511-100)</f>
        <v>-100</v>
      </c>
      <c r="AX511" t="str">
        <f t="shared" si="98"/>
        <v>Maurice Alexander</v>
      </c>
      <c r="AY511" t="str">
        <f t="shared" si="99"/>
        <v>DET</v>
      </c>
      <c r="AZ511" s="430">
        <f>IFERROR(
IF(AX511="",-100,
IF($BV$2&gt;0, INDEX(Beersheet!$A:$U,MATCH(AX511,INDEX(Beersheet!$A:$U,0,FFARawStatProjections!$BV$2),0),$BV$3)+$BN511,
INDEX($A511:$BM511,,$BV$12)*$BW$12+
INDEX($A511:$BM511,,$BV$15)*$BW$15+
INDEX($A511:$BM511,,$BV$16)*$BW$16+
INDEX($A511:$BM511,,$BV$17)*$BW$17+
INDEX($A511:$BM511,,$BV$18)*$BW$18+
INDEX($A511:$BM511,,$BV$19)*$BW$19+
INDEX($A511:$BM511,,$BV$20)*$BW$20+
INDEX($A511:$BM511,,$BV$21)*$BW$21+
INDEX($A511:$BM511,,$BV$22)*$BW$22+
INDEX($A511:$BM511,,$BV$23)*$BW$23+
INDEX($A511:$BM511,,$BV$25)*$BW$25+
INDEX($A511:$BM511,,$BV$26)*$BW$26+
INDEX($A511:$BM511,,$BV$27)*$BW$27+
$BN511)),
$BN511-100)</f>
        <v>10.225100000000001</v>
      </c>
      <c r="BB511" t="str">
        <f t="shared" si="100"/>
        <v/>
      </c>
      <c r="BC511" t="str">
        <f t="shared" si="94"/>
        <v/>
      </c>
      <c r="BD511" s="430">
        <f>IFERROR(
IF(BB511="",-100,
IF($BV$2&gt;0, INDEX(Beersheet!$A:$U,MATCH(BB511,INDEX(Beersheet!$A:$U,0,FFARawStatProjections!$BV$2),0),$BV$3)+$BN511,
INDEX($A511:$BM511,,$BV$12)*$BW$12+
INDEX($A511:$BM511,,$BV$15)*$BW$15+
INDEX($A511:$BM511,,$BV$16)*$BW$16+
INDEX($A511:$BM511,,$BV$17)*$BW$17+
INDEX($A511:$BM511,,$BV$18)*$BW$18+
INDEX($A511:$BM511,,$BV$19)*$BW$19+
INDEX($A511:$BM511,,$BV$20)*$BW$20+
INDEX($A511:$BM511,,$BV$21)*$BW$21+
INDEX($A511:$BM511,,$BV$22)*$BW$22+
INDEX($A511:$BM511,,$BV$23)*$BW$23+
INDEX($A511:$BM511,,$BV$25)*$BW$25+
INDEX($A511:$BM511,,$BV$26)*$BW$26+
INDEX($A511:$BM511,,$BV$27)*$BW$27+
$BN511)),
$BN511-100)</f>
        <v>-100</v>
      </c>
      <c r="BF511" t="str">
        <f t="shared" si="101"/>
        <v/>
      </c>
      <c r="BG511" t="str">
        <f t="shared" si="102"/>
        <v/>
      </c>
      <c r="BH511">
        <f t="shared" si="103"/>
        <v>0</v>
      </c>
      <c r="BJ511" t="str">
        <f t="shared" si="104"/>
        <v/>
      </c>
      <c r="BL511">
        <f t="shared" si="106"/>
        <v>0</v>
      </c>
      <c r="BN511">
        <v>5.1000000000000004E-3</v>
      </c>
      <c r="BS511" s="4" t="s">
        <v>1164</v>
      </c>
    </row>
    <row r="512" spans="1:71" ht="15.75" thickBot="1" x14ac:dyDescent="0.3">
      <c r="A512" s="569" t="s">
        <v>2432</v>
      </c>
      <c r="B512" s="569" t="s">
        <v>144</v>
      </c>
      <c r="C512" s="569" t="s">
        <v>6</v>
      </c>
      <c r="D512" s="574">
        <v>9</v>
      </c>
      <c r="E512" s="569"/>
      <c r="F512" s="569"/>
      <c r="G512" s="569"/>
      <c r="H512" s="569"/>
      <c r="I512" s="574">
        <v>0</v>
      </c>
      <c r="J512" s="574">
        <v>0</v>
      </c>
      <c r="K512" s="574">
        <v>0</v>
      </c>
      <c r="L512" s="574">
        <v>2.7</v>
      </c>
      <c r="M512" s="574">
        <v>0.2</v>
      </c>
      <c r="N512" s="574">
        <v>45.7</v>
      </c>
      <c r="O512" s="574">
        <v>0</v>
      </c>
      <c r="P512" s="574">
        <v>0</v>
      </c>
      <c r="Q512" s="574">
        <v>8.8000000000000007</v>
      </c>
      <c r="R512" s="569"/>
      <c r="S512" s="569"/>
      <c r="T512" s="569"/>
      <c r="U512" s="569"/>
      <c r="V512" s="569"/>
      <c r="W512" s="569"/>
      <c r="X512" s="569"/>
      <c r="Y512" s="569"/>
      <c r="Z512" s="569"/>
      <c r="AA512" s="569"/>
      <c r="AB512" s="569"/>
      <c r="AC512" s="569"/>
      <c r="AD512" s="569"/>
      <c r="AE512" s="569"/>
      <c r="AF512" s="569"/>
      <c r="AG512" s="569"/>
      <c r="AH512" s="569"/>
      <c r="AI512" s="569"/>
      <c r="AJ512" s="569"/>
      <c r="AK512" s="569"/>
      <c r="AL512" s="569"/>
      <c r="AM512" s="569"/>
      <c r="AN512" s="574">
        <v>6.7</v>
      </c>
      <c r="AO512">
        <v>511</v>
      </c>
      <c r="AP512" t="str">
        <f t="shared" si="105"/>
        <v/>
      </c>
      <c r="AQ512" t="str">
        <f t="shared" si="95"/>
        <v/>
      </c>
      <c r="AR512" s="430">
        <f>IFERROR(
IF(AP512="",-100,
IF($BV$2&gt;0, INDEX(Beersheet!$A:$U,MATCH(AP512,INDEX(Beersheet!$A:$U,0,FFARawStatProjections!$BV$2),0),$BV$3)+$BN512,
INDEX($A512:$BM512,,$BV$12)*$BW$12+
INDEX($A512:$BM512,,$BV$15)*$BW$15+
INDEX($A512:$BM512,,$BV$16)*$BW$16+
INDEX($A512:$BM512,,$BV$17)*$BW$17+
INDEX($A512:$BM512,,$BV$18)*$BW$18+
INDEX($A512:$BM512,,$BV$19)*$BW$19+
INDEX($A512:$BM512,,$BV$20)*$BW$20+
INDEX($A512:$BM512,,$BV$21)*$BW$21+
INDEX($A512:$BM512,,$BV$22)*$BW$22+
INDEX($A512:$BM512,,$BV$23)*$BW$23+
INDEX($A512:$BM512,,$BV$25)*$BW$25+
INDEX($A512:$BM512,,$BV$26)*$BW$26+
INDEX($A512:$BM512,,$BV$27)*$BW$27+
$BN512)),
$BN512-100)</f>
        <v>-100</v>
      </c>
      <c r="AT512" t="str">
        <f t="shared" si="96"/>
        <v/>
      </c>
      <c r="AU512" t="str">
        <f t="shared" si="97"/>
        <v/>
      </c>
      <c r="AV512" s="430">
        <f>IFERROR(
IF(AT512="",-100,
IF($BV$2&gt;0, INDEX(Beersheet!$A:$U,MATCH(AT512,INDEX(Beersheet!$A:$U,0,FFARawStatProjections!$BV$2),0),$BV$3)+$BN512,
INDEX($A512:$BM512,,$BV$12)*$BW$12+
INDEX($A512:$BM512,,$BV$15)*$BW$15+
INDEX($A512:$BM512,,$BV$16)*$BW$16+
INDEX($A512:$BM512,,$BV$17)*$BW$17+
INDEX($A512:$BM512,,$BV$18)*$BW$18+
INDEX($A512:$BM512,,$BV$19)*$BW$19+
INDEX($A512:$BM512,,$BV$20)*$BW$20+
INDEX($A512:$BM512,,$BV$21)*$BW$21+
INDEX($A512:$BM512,,$BV$22)*$BW$22+
INDEX($A512:$BM512,,$BV$23)*$BW$23+
INDEX($A512:$BM512,,$BV$25)*$BW$25+
INDEX($A512:$BM512,,$BV$26)*$BW$26+
INDEX($A512:$BM512,,$BV$27)*$BW$27+
$BN512)),
$BN512-100)</f>
        <v>-100</v>
      </c>
      <c r="AX512" t="str">
        <f t="shared" si="98"/>
        <v>Montrell Washington</v>
      </c>
      <c r="AY512" t="str">
        <f t="shared" si="99"/>
        <v>DEN</v>
      </c>
      <c r="AZ512" s="430">
        <f>IFERROR(
IF(AX512="",-100,
IF($BV$2&gt;0, INDEX(Beersheet!$A:$U,MATCH(AX512,INDEX(Beersheet!$A:$U,0,FFARawStatProjections!$BV$2),0),$BV$3)+$BN512,
INDEX($A512:$BM512,,$BV$12)*$BW$12+
INDEX($A512:$BM512,,$BV$15)*$BW$15+
INDEX($A512:$BM512,,$BV$16)*$BW$16+
INDEX($A512:$BM512,,$BV$17)*$BW$17+
INDEX($A512:$BM512,,$BV$18)*$BW$18+
INDEX($A512:$BM512,,$BV$19)*$BW$19+
INDEX($A512:$BM512,,$BV$20)*$BW$20+
INDEX($A512:$BM512,,$BV$21)*$BW$21+
INDEX($A512:$BM512,,$BV$22)*$BW$22+
INDEX($A512:$BM512,,$BV$23)*$BW$23+
INDEX($A512:$BM512,,$BV$25)*$BW$25+
INDEX($A512:$BM512,,$BV$26)*$BW$26+
INDEX($A512:$BM512,,$BV$27)*$BW$27+
$BN512)),
$BN512-100)</f>
        <v>9.3551100000000016</v>
      </c>
      <c r="BB512" t="str">
        <f t="shared" si="100"/>
        <v/>
      </c>
      <c r="BC512" t="str">
        <f t="shared" si="94"/>
        <v/>
      </c>
      <c r="BD512" s="430">
        <f>IFERROR(
IF(BB512="",-100,
IF($BV$2&gt;0, INDEX(Beersheet!$A:$U,MATCH(BB512,INDEX(Beersheet!$A:$U,0,FFARawStatProjections!$BV$2),0),$BV$3)+$BN512,
INDEX($A512:$BM512,,$BV$12)*$BW$12+
INDEX($A512:$BM512,,$BV$15)*$BW$15+
INDEX($A512:$BM512,,$BV$16)*$BW$16+
INDEX($A512:$BM512,,$BV$17)*$BW$17+
INDEX($A512:$BM512,,$BV$18)*$BW$18+
INDEX($A512:$BM512,,$BV$19)*$BW$19+
INDEX($A512:$BM512,,$BV$20)*$BW$20+
INDEX($A512:$BM512,,$BV$21)*$BW$21+
INDEX($A512:$BM512,,$BV$22)*$BW$22+
INDEX($A512:$BM512,,$BV$23)*$BW$23+
INDEX($A512:$BM512,,$BV$25)*$BW$25+
INDEX($A512:$BM512,,$BV$26)*$BW$26+
INDEX($A512:$BM512,,$BV$27)*$BW$27+
$BN512)),
$BN512-100)</f>
        <v>-100</v>
      </c>
      <c r="BF512" t="str">
        <f t="shared" si="101"/>
        <v/>
      </c>
      <c r="BG512" t="str">
        <f t="shared" si="102"/>
        <v/>
      </c>
      <c r="BH512">
        <f t="shared" si="103"/>
        <v>0</v>
      </c>
      <c r="BJ512" t="str">
        <f t="shared" si="104"/>
        <v/>
      </c>
      <c r="BL512">
        <f t="shared" si="106"/>
        <v>0</v>
      </c>
      <c r="BN512">
        <v>5.11E-3</v>
      </c>
      <c r="BS512" s="4" t="s">
        <v>1876</v>
      </c>
    </row>
    <row r="513" spans="1:71" ht="15.75" thickBot="1" x14ac:dyDescent="0.3">
      <c r="A513" s="569" t="s">
        <v>2441</v>
      </c>
      <c r="B513" s="569" t="s">
        <v>157</v>
      </c>
      <c r="C513" s="569" t="s">
        <v>6</v>
      </c>
      <c r="D513" s="574">
        <v>11</v>
      </c>
      <c r="E513" s="569"/>
      <c r="F513" s="569"/>
      <c r="G513" s="569"/>
      <c r="H513" s="569"/>
      <c r="I513" s="574">
        <v>0</v>
      </c>
      <c r="J513" s="574">
        <v>0</v>
      </c>
      <c r="K513" s="574">
        <v>0</v>
      </c>
      <c r="L513" s="574">
        <v>2.1</v>
      </c>
      <c r="M513" s="574">
        <v>0.2</v>
      </c>
      <c r="N513" s="574">
        <v>53.8</v>
      </c>
      <c r="O513" s="574">
        <v>0</v>
      </c>
      <c r="P513" s="574">
        <v>0</v>
      </c>
      <c r="Q513" s="574">
        <v>1.2</v>
      </c>
      <c r="R513" s="569"/>
      <c r="S513" s="569"/>
      <c r="T513" s="569"/>
      <c r="U513" s="569"/>
      <c r="V513" s="569"/>
      <c r="W513" s="569"/>
      <c r="X513" s="569"/>
      <c r="Y513" s="569"/>
      <c r="Z513" s="569"/>
      <c r="AA513" s="569"/>
      <c r="AB513" s="569"/>
      <c r="AC513" s="569"/>
      <c r="AD513" s="569"/>
      <c r="AE513" s="569"/>
      <c r="AF513" s="569"/>
      <c r="AG513" s="569"/>
      <c r="AH513" s="569"/>
      <c r="AI513" s="569"/>
      <c r="AJ513" s="569"/>
      <c r="AK513" s="569"/>
      <c r="AL513" s="569"/>
      <c r="AM513" s="569"/>
      <c r="AN513" s="574">
        <v>6.6</v>
      </c>
      <c r="AO513">
        <v>512</v>
      </c>
      <c r="AP513" t="str">
        <f t="shared" si="105"/>
        <v/>
      </c>
      <c r="AQ513" t="str">
        <f t="shared" si="95"/>
        <v/>
      </c>
      <c r="AR513" s="430">
        <f>IFERROR(
IF(AP513="",-100,
IF($BV$2&gt;0, INDEX(Beersheet!$A:$U,MATCH(AP513,INDEX(Beersheet!$A:$U,0,FFARawStatProjections!$BV$2),0),$BV$3)+$BN513,
INDEX($A513:$BM513,,$BV$12)*$BW$12+
INDEX($A513:$BM513,,$BV$15)*$BW$15+
INDEX($A513:$BM513,,$BV$16)*$BW$16+
INDEX($A513:$BM513,,$BV$17)*$BW$17+
INDEX($A513:$BM513,,$BV$18)*$BW$18+
INDEX($A513:$BM513,,$BV$19)*$BW$19+
INDEX($A513:$BM513,,$BV$20)*$BW$20+
INDEX($A513:$BM513,,$BV$21)*$BW$21+
INDEX($A513:$BM513,,$BV$22)*$BW$22+
INDEX($A513:$BM513,,$BV$23)*$BW$23+
INDEX($A513:$BM513,,$BV$25)*$BW$25+
INDEX($A513:$BM513,,$BV$26)*$BW$26+
INDEX($A513:$BM513,,$BV$27)*$BW$27+
$BN513)),
$BN513-100)</f>
        <v>-100</v>
      </c>
      <c r="AT513" t="str">
        <f t="shared" si="96"/>
        <v/>
      </c>
      <c r="AU513" t="str">
        <f t="shared" si="97"/>
        <v/>
      </c>
      <c r="AV513" s="430">
        <f>IFERROR(
IF(AT513="",-100,
IF($BV$2&gt;0, INDEX(Beersheet!$A:$U,MATCH(AT513,INDEX(Beersheet!$A:$U,0,FFARawStatProjections!$BV$2),0),$BV$3)+$BN513,
INDEX($A513:$BM513,,$BV$12)*$BW$12+
INDEX($A513:$BM513,,$BV$15)*$BW$15+
INDEX($A513:$BM513,,$BV$16)*$BW$16+
INDEX($A513:$BM513,,$BV$17)*$BW$17+
INDEX($A513:$BM513,,$BV$18)*$BW$18+
INDEX($A513:$BM513,,$BV$19)*$BW$19+
INDEX($A513:$BM513,,$BV$20)*$BW$20+
INDEX($A513:$BM513,,$BV$21)*$BW$21+
INDEX($A513:$BM513,,$BV$22)*$BW$22+
INDEX($A513:$BM513,,$BV$23)*$BW$23+
INDEX($A513:$BM513,,$BV$25)*$BW$25+
INDEX($A513:$BM513,,$BV$26)*$BW$26+
INDEX($A513:$BM513,,$BV$27)*$BW$27+
$BN513)),
$BN513-100)</f>
        <v>-100</v>
      </c>
      <c r="AX513" t="str">
        <f t="shared" si="98"/>
        <v>Matthew Slater</v>
      </c>
      <c r="AY513" t="str">
        <f t="shared" si="99"/>
        <v>NE</v>
      </c>
      <c r="AZ513" s="430">
        <f>IFERROR(
IF(AX513="",-100,
IF($BV$2&gt;0, INDEX(Beersheet!$A:$U,MATCH(AX513,INDEX(Beersheet!$A:$U,0,FFARawStatProjections!$BV$2),0),$BV$3)+$BN513,
INDEX($A513:$BM513,,$BV$12)*$BW$12+
INDEX($A513:$BM513,,$BV$15)*$BW$15+
INDEX($A513:$BM513,,$BV$16)*$BW$16+
INDEX($A513:$BM513,,$BV$17)*$BW$17+
INDEX($A513:$BM513,,$BV$18)*$BW$18+
INDEX($A513:$BM513,,$BV$19)*$BW$19+
INDEX($A513:$BM513,,$BV$20)*$BW$20+
INDEX($A513:$BM513,,$BV$21)*$BW$21+
INDEX($A513:$BM513,,$BV$22)*$BW$22+
INDEX($A513:$BM513,,$BV$23)*$BW$23+
INDEX($A513:$BM513,,$BV$25)*$BW$25+
INDEX($A513:$BM513,,$BV$26)*$BW$26+
INDEX($A513:$BM513,,$BV$27)*$BW$27+
$BN513)),
$BN513-100)</f>
        <v>8.8051199999999987</v>
      </c>
      <c r="BB513" t="str">
        <f t="shared" si="100"/>
        <v/>
      </c>
      <c r="BC513" t="str">
        <f t="shared" si="94"/>
        <v/>
      </c>
      <c r="BD513" s="430">
        <f>IFERROR(
IF(BB513="",-100,
IF($BV$2&gt;0, INDEX(Beersheet!$A:$U,MATCH(BB513,INDEX(Beersheet!$A:$U,0,FFARawStatProjections!$BV$2),0),$BV$3)+$BN513,
INDEX($A513:$BM513,,$BV$12)*$BW$12+
INDEX($A513:$BM513,,$BV$15)*$BW$15+
INDEX($A513:$BM513,,$BV$16)*$BW$16+
INDEX($A513:$BM513,,$BV$17)*$BW$17+
INDEX($A513:$BM513,,$BV$18)*$BW$18+
INDEX($A513:$BM513,,$BV$19)*$BW$19+
INDEX($A513:$BM513,,$BV$20)*$BW$20+
INDEX($A513:$BM513,,$BV$21)*$BW$21+
INDEX($A513:$BM513,,$BV$22)*$BW$22+
INDEX($A513:$BM513,,$BV$23)*$BW$23+
INDEX($A513:$BM513,,$BV$25)*$BW$25+
INDEX($A513:$BM513,,$BV$26)*$BW$26+
INDEX($A513:$BM513,,$BV$27)*$BW$27+
$BN513)),
$BN513-100)</f>
        <v>-100</v>
      </c>
      <c r="BF513" t="str">
        <f t="shared" si="101"/>
        <v/>
      </c>
      <c r="BG513" t="str">
        <f t="shared" si="102"/>
        <v/>
      </c>
      <c r="BH513">
        <f t="shared" si="103"/>
        <v>0</v>
      </c>
      <c r="BJ513" t="str">
        <f t="shared" si="104"/>
        <v/>
      </c>
      <c r="BL513">
        <f t="shared" si="106"/>
        <v>0</v>
      </c>
      <c r="BN513">
        <v>5.1200000000000004E-3</v>
      </c>
      <c r="BS513" s="4" t="s">
        <v>1856</v>
      </c>
    </row>
    <row r="514" spans="1:71" ht="15.75" thickBot="1" x14ac:dyDescent="0.3">
      <c r="A514" s="569" t="s">
        <v>2112</v>
      </c>
      <c r="B514" s="569" t="s">
        <v>141</v>
      </c>
      <c r="C514" s="569" t="s">
        <v>6</v>
      </c>
      <c r="D514" s="574">
        <v>13</v>
      </c>
      <c r="E514" s="569"/>
      <c r="F514" s="569"/>
      <c r="G514" s="569"/>
      <c r="H514" s="569"/>
      <c r="I514" s="574">
        <v>0</v>
      </c>
      <c r="J514" s="574">
        <v>0</v>
      </c>
      <c r="K514" s="574">
        <v>0</v>
      </c>
      <c r="L514" s="574">
        <v>2.1</v>
      </c>
      <c r="M514" s="574">
        <v>0.2</v>
      </c>
      <c r="N514" s="574">
        <v>45.7</v>
      </c>
      <c r="O514" s="574">
        <v>0</v>
      </c>
      <c r="P514" s="574">
        <v>0</v>
      </c>
      <c r="Q514" s="574">
        <v>7.7</v>
      </c>
      <c r="R514" s="569"/>
      <c r="S514" s="569"/>
      <c r="T514" s="569"/>
      <c r="U514" s="569"/>
      <c r="V514" s="569"/>
      <c r="W514" s="569"/>
      <c r="X514" s="569"/>
      <c r="Y514" s="569"/>
      <c r="Z514" s="569"/>
      <c r="AA514" s="569"/>
      <c r="AB514" s="569"/>
      <c r="AC514" s="569"/>
      <c r="AD514" s="569"/>
      <c r="AE514" s="569"/>
      <c r="AF514" s="569"/>
      <c r="AG514" s="569"/>
      <c r="AH514" s="569"/>
      <c r="AI514" s="569"/>
      <c r="AJ514" s="569"/>
      <c r="AK514" s="569"/>
      <c r="AL514" s="569"/>
      <c r="AM514" s="569"/>
      <c r="AN514" s="574">
        <v>6.6</v>
      </c>
      <c r="AO514">
        <v>513</v>
      </c>
      <c r="AP514" t="str">
        <f t="shared" si="105"/>
        <v/>
      </c>
      <c r="AQ514" t="str">
        <f t="shared" si="95"/>
        <v/>
      </c>
      <c r="AR514" s="430">
        <f>IFERROR(
IF(AP514="",-100,
IF($BV$2&gt;0, INDEX(Beersheet!$A:$U,MATCH(AP514,INDEX(Beersheet!$A:$U,0,FFARawStatProjections!$BV$2),0),$BV$3)+$BN514,
INDEX($A514:$BM514,,$BV$12)*$BW$12+
INDEX($A514:$BM514,,$BV$15)*$BW$15+
INDEX($A514:$BM514,,$BV$16)*$BW$16+
INDEX($A514:$BM514,,$BV$17)*$BW$17+
INDEX($A514:$BM514,,$BV$18)*$BW$18+
INDEX($A514:$BM514,,$BV$19)*$BW$19+
INDEX($A514:$BM514,,$BV$20)*$BW$20+
INDEX($A514:$BM514,,$BV$21)*$BW$21+
INDEX($A514:$BM514,,$BV$22)*$BW$22+
INDEX($A514:$BM514,,$BV$23)*$BW$23+
INDEX($A514:$BM514,,$BV$25)*$BW$25+
INDEX($A514:$BM514,,$BV$26)*$BW$26+
INDEX($A514:$BM514,,$BV$27)*$BW$27+
$BN514)),
$BN514-100)</f>
        <v>-100</v>
      </c>
      <c r="AT514" t="str">
        <f t="shared" si="96"/>
        <v/>
      </c>
      <c r="AU514" t="str">
        <f t="shared" si="97"/>
        <v/>
      </c>
      <c r="AV514" s="430">
        <f>IFERROR(
IF(AT514="",-100,
IF($BV$2&gt;0, INDEX(Beersheet!$A:$U,MATCH(AT514,INDEX(Beersheet!$A:$U,0,FFARawStatProjections!$BV$2),0),$BV$3)+$BN514,
INDEX($A514:$BM514,,$BV$12)*$BW$12+
INDEX($A514:$BM514,,$BV$15)*$BW$15+
INDEX($A514:$BM514,,$BV$16)*$BW$16+
INDEX($A514:$BM514,,$BV$17)*$BW$17+
INDEX($A514:$BM514,,$BV$18)*$BW$18+
INDEX($A514:$BM514,,$BV$19)*$BW$19+
INDEX($A514:$BM514,,$BV$20)*$BW$20+
INDEX($A514:$BM514,,$BV$21)*$BW$21+
INDEX($A514:$BM514,,$BV$22)*$BW$22+
INDEX($A514:$BM514,,$BV$23)*$BW$23+
INDEX($A514:$BM514,,$BV$25)*$BW$25+
INDEX($A514:$BM514,,$BV$26)*$BW$26+
INDEX($A514:$BM514,,$BV$27)*$BW$27+
$BN514)),
$BN514-100)</f>
        <v>-100</v>
      </c>
      <c r="AX514" t="str">
        <f t="shared" si="98"/>
        <v>Joe Reed</v>
      </c>
      <c r="AY514" t="str">
        <f t="shared" si="99"/>
        <v>CHI</v>
      </c>
      <c r="AZ514" s="430">
        <f>IFERROR(
IF(AX514="",-100,
IF($BV$2&gt;0, INDEX(Beersheet!$A:$U,MATCH(AX514,INDEX(Beersheet!$A:$U,0,FFARawStatProjections!$BV$2),0),$BV$3)+$BN514,
INDEX($A514:$BM514,,$BV$12)*$BW$12+
INDEX($A514:$BM514,,$BV$15)*$BW$15+
INDEX($A514:$BM514,,$BV$16)*$BW$16+
INDEX($A514:$BM514,,$BV$17)*$BW$17+
INDEX($A514:$BM514,,$BV$18)*$BW$18+
INDEX($A514:$BM514,,$BV$19)*$BW$19+
INDEX($A514:$BM514,,$BV$20)*$BW$20+
INDEX($A514:$BM514,,$BV$21)*$BW$21+
INDEX($A514:$BM514,,$BV$22)*$BW$22+
INDEX($A514:$BM514,,$BV$23)*$BW$23+
INDEX($A514:$BM514,,$BV$25)*$BW$25+
INDEX($A514:$BM514,,$BV$26)*$BW$26+
INDEX($A514:$BM514,,$BV$27)*$BW$27+
$BN514)),
$BN514-100)</f>
        <v>8.64513</v>
      </c>
      <c r="BB514" t="str">
        <f t="shared" si="100"/>
        <v/>
      </c>
      <c r="BC514" t="str">
        <f t="shared" ref="BC514:BC577" si="107">IFERROR(IF(BB514="","",$B514),"")</f>
        <v/>
      </c>
      <c r="BD514" s="430">
        <f>IFERROR(
IF(BB514="",-100,
IF($BV$2&gt;0, INDEX(Beersheet!$A:$U,MATCH(BB514,INDEX(Beersheet!$A:$U,0,FFARawStatProjections!$BV$2),0),$BV$3)+$BN514,
INDEX($A514:$BM514,,$BV$12)*$BW$12+
INDEX($A514:$BM514,,$BV$15)*$BW$15+
INDEX($A514:$BM514,,$BV$16)*$BW$16+
INDEX($A514:$BM514,,$BV$17)*$BW$17+
INDEX($A514:$BM514,,$BV$18)*$BW$18+
INDEX($A514:$BM514,,$BV$19)*$BW$19+
INDEX($A514:$BM514,,$BV$20)*$BW$20+
INDEX($A514:$BM514,,$BV$21)*$BW$21+
INDEX($A514:$BM514,,$BV$22)*$BW$22+
INDEX($A514:$BM514,,$BV$23)*$BW$23+
INDEX($A514:$BM514,,$BV$25)*$BW$25+
INDEX($A514:$BM514,,$BV$26)*$BW$26+
INDEX($A514:$BM514,,$BV$27)*$BW$27+
$BN514)),
$BN514-100)</f>
        <v>-100</v>
      </c>
      <c r="BF514" t="str">
        <f t="shared" si="101"/>
        <v/>
      </c>
      <c r="BG514" t="str">
        <f t="shared" si="102"/>
        <v/>
      </c>
      <c r="BH514">
        <f t="shared" si="103"/>
        <v>0</v>
      </c>
      <c r="BJ514" t="str">
        <f t="shared" si="104"/>
        <v/>
      </c>
      <c r="BL514">
        <f t="shared" si="106"/>
        <v>0</v>
      </c>
      <c r="BN514">
        <v>5.13E-3</v>
      </c>
      <c r="BS514" s="4" t="s">
        <v>2552</v>
      </c>
    </row>
    <row r="515" spans="1:71" ht="15.75" thickBot="1" x14ac:dyDescent="0.3">
      <c r="A515" s="569" t="s">
        <v>1868</v>
      </c>
      <c r="B515" s="569" t="s">
        <v>156</v>
      </c>
      <c r="C515" s="569" t="s">
        <v>6</v>
      </c>
      <c r="D515" s="574">
        <v>13</v>
      </c>
      <c r="E515" s="569"/>
      <c r="F515" s="569"/>
      <c r="G515" s="569"/>
      <c r="H515" s="569"/>
      <c r="I515" s="574">
        <v>0</v>
      </c>
      <c r="J515" s="574">
        <v>0</v>
      </c>
      <c r="K515" s="574">
        <v>0</v>
      </c>
      <c r="L515" s="574">
        <v>2.5</v>
      </c>
      <c r="M515" s="574">
        <v>0.2</v>
      </c>
      <c r="N515" s="574">
        <v>42.3</v>
      </c>
      <c r="O515" s="574">
        <v>0</v>
      </c>
      <c r="P515" s="574">
        <v>0.1</v>
      </c>
      <c r="Q515" s="574">
        <v>6.8</v>
      </c>
      <c r="R515" s="569"/>
      <c r="S515" s="569"/>
      <c r="T515" s="569"/>
      <c r="U515" s="569"/>
      <c r="V515" s="569"/>
      <c r="W515" s="569"/>
      <c r="X515" s="569"/>
      <c r="Y515" s="569"/>
      <c r="Z515" s="569"/>
      <c r="AA515" s="569"/>
      <c r="AB515" s="569"/>
      <c r="AC515" s="569"/>
      <c r="AD515" s="569"/>
      <c r="AE515" s="569"/>
      <c r="AF515" s="569"/>
      <c r="AG515" s="569"/>
      <c r="AH515" s="569"/>
      <c r="AI515" s="569"/>
      <c r="AJ515" s="569"/>
      <c r="AK515" s="569"/>
      <c r="AL515" s="569"/>
      <c r="AM515" s="569"/>
      <c r="AN515" s="574">
        <v>6.6</v>
      </c>
      <c r="AO515">
        <v>514</v>
      </c>
      <c r="AP515" t="str">
        <f t="shared" si="105"/>
        <v/>
      </c>
      <c r="AQ515" t="str">
        <f t="shared" ref="AQ515:AQ578" si="108">IFERROR(IF(AP515="","",$B515),"")</f>
        <v/>
      </c>
      <c r="AR515" s="430">
        <f>IFERROR(
IF(AP515="",-100,
IF($BV$2&gt;0, INDEX(Beersheet!$A:$U,MATCH(AP515,INDEX(Beersheet!$A:$U,0,FFARawStatProjections!$BV$2),0),$BV$3)+$BN515,
INDEX($A515:$BM515,,$BV$12)*$BW$12+
INDEX($A515:$BM515,,$BV$15)*$BW$15+
INDEX($A515:$BM515,,$BV$16)*$BW$16+
INDEX($A515:$BM515,,$BV$17)*$BW$17+
INDEX($A515:$BM515,,$BV$18)*$BW$18+
INDEX($A515:$BM515,,$BV$19)*$BW$19+
INDEX($A515:$BM515,,$BV$20)*$BW$20+
INDEX($A515:$BM515,,$BV$21)*$BW$21+
INDEX($A515:$BM515,,$BV$22)*$BW$22+
INDEX($A515:$BM515,,$BV$23)*$BW$23+
INDEX($A515:$BM515,,$BV$25)*$BW$25+
INDEX($A515:$BM515,,$BV$26)*$BW$26+
INDEX($A515:$BM515,,$BV$27)*$BW$27+
$BN515)),
$BN515-100)</f>
        <v>-100</v>
      </c>
      <c r="AT515" t="str">
        <f t="shared" ref="AT515:AT578" si="109">IF($C515 = "RB", $A515, "")</f>
        <v/>
      </c>
      <c r="AU515" t="str">
        <f t="shared" ref="AU515:AU578" si="110">IFERROR(IF(AT515="","",$B515),"")</f>
        <v/>
      </c>
      <c r="AV515" s="430">
        <f>IFERROR(
IF(AT515="",-100,
IF($BV$2&gt;0, INDEX(Beersheet!$A:$U,MATCH(AT515,INDEX(Beersheet!$A:$U,0,FFARawStatProjections!$BV$2),0),$BV$3)+$BN515,
INDEX($A515:$BM515,,$BV$12)*$BW$12+
INDEX($A515:$BM515,,$BV$15)*$BW$15+
INDEX($A515:$BM515,,$BV$16)*$BW$16+
INDEX($A515:$BM515,,$BV$17)*$BW$17+
INDEX($A515:$BM515,,$BV$18)*$BW$18+
INDEX($A515:$BM515,,$BV$19)*$BW$19+
INDEX($A515:$BM515,,$BV$20)*$BW$20+
INDEX($A515:$BM515,,$BV$21)*$BW$21+
INDEX($A515:$BM515,,$BV$22)*$BW$22+
INDEX($A515:$BM515,,$BV$23)*$BW$23+
INDEX($A515:$BM515,,$BV$25)*$BW$25+
INDEX($A515:$BM515,,$BV$26)*$BW$26+
INDEX($A515:$BM515,,$BV$27)*$BW$27+
$BN515)),
$BN515-100)</f>
        <v>-100</v>
      </c>
      <c r="AX515" t="str">
        <f t="shared" ref="AX515:AX578" si="111">IF($C515 = "WR", $A515, "")</f>
        <v>Andy Isabella</v>
      </c>
      <c r="AY515" t="str">
        <f t="shared" ref="AY515:AY578" si="112">IFERROR(IF(AX515="","",$B515),"")</f>
        <v>BUF</v>
      </c>
      <c r="AZ515" s="430">
        <f>IFERROR(
IF(AX515="",-100,
IF($BV$2&gt;0, INDEX(Beersheet!$A:$U,MATCH(AX515,INDEX(Beersheet!$A:$U,0,FFARawStatProjections!$BV$2),0),$BV$3)+$BN515,
INDEX($A515:$BM515,,$BV$12)*$BW$12+
INDEX($A515:$BM515,,$BV$15)*$BW$15+
INDEX($A515:$BM515,,$BV$16)*$BW$16+
INDEX($A515:$BM515,,$BV$17)*$BW$17+
INDEX($A515:$BM515,,$BV$18)*$BW$18+
INDEX($A515:$BM515,,$BV$19)*$BW$19+
INDEX($A515:$BM515,,$BV$20)*$BW$20+
INDEX($A515:$BM515,,$BV$21)*$BW$21+
INDEX($A515:$BM515,,$BV$22)*$BW$22+
INDEX($A515:$BM515,,$BV$23)*$BW$23+
INDEX($A515:$BM515,,$BV$25)*$BW$25+
INDEX($A515:$BM515,,$BV$26)*$BW$26+
INDEX($A515:$BM515,,$BV$27)*$BW$27+
$BN515)),
$BN515-100)</f>
        <v>9.2151399999999999</v>
      </c>
      <c r="BB515" t="str">
        <f t="shared" ref="BB515:BB578" si="113">IF($C515 = "TE", $A515, "")</f>
        <v/>
      </c>
      <c r="BC515" t="str">
        <f t="shared" si="107"/>
        <v/>
      </c>
      <c r="BD515" s="430">
        <f>IFERROR(
IF(BB515="",-100,
IF($BV$2&gt;0, INDEX(Beersheet!$A:$U,MATCH(BB515,INDEX(Beersheet!$A:$U,0,FFARawStatProjections!$BV$2),0),$BV$3)+$BN515,
INDEX($A515:$BM515,,$BV$12)*$BW$12+
INDEX($A515:$BM515,,$BV$15)*$BW$15+
INDEX($A515:$BM515,,$BV$16)*$BW$16+
INDEX($A515:$BM515,,$BV$17)*$BW$17+
INDEX($A515:$BM515,,$BV$18)*$BW$18+
INDEX($A515:$BM515,,$BV$19)*$BW$19+
INDEX($A515:$BM515,,$BV$20)*$BW$20+
INDEX($A515:$BM515,,$BV$21)*$BW$21+
INDEX($A515:$BM515,,$BV$22)*$BW$22+
INDEX($A515:$BM515,,$BV$23)*$BW$23+
INDEX($A515:$BM515,,$BV$25)*$BW$25+
INDEX($A515:$BM515,,$BV$26)*$BW$26+
INDEX($A515:$BM515,,$BV$27)*$BW$27+
$BN515)),
$BN515-100)</f>
        <v>-100</v>
      </c>
      <c r="BF515" t="str">
        <f t="shared" ref="BF515:BF578" si="114">IF($C515 = "K", $A515, "")</f>
        <v/>
      </c>
      <c r="BG515" t="str">
        <f t="shared" ref="BG515:BG578" si="115">IFERROR(IF(BF515="","",$B515),"")</f>
        <v/>
      </c>
      <c r="BH515">
        <f t="shared" ref="BH515:BH578" si="116">IFERROR(IF(BF515="",0,
AF515*3
+AG515*3
+AH515*3
+AI515*4
+AJ515*5
+BN515+AN515),"")</f>
        <v>0</v>
      </c>
      <c r="BJ515" t="str">
        <f t="shared" ref="BJ515:BJ578" si="117">IF($C515 = "DST", $A515, "")</f>
        <v/>
      </c>
      <c r="BL515">
        <f t="shared" si="106"/>
        <v>0</v>
      </c>
      <c r="BN515">
        <v>5.1399999999999996E-3</v>
      </c>
      <c r="BS515" s="4" t="s">
        <v>138</v>
      </c>
    </row>
    <row r="516" spans="1:71" ht="15.75" thickBot="1" x14ac:dyDescent="0.3">
      <c r="A516" s="569" t="s">
        <v>2347</v>
      </c>
      <c r="B516" s="569" t="s">
        <v>142</v>
      </c>
      <c r="C516" s="569" t="s">
        <v>6</v>
      </c>
      <c r="D516" s="574">
        <v>9</v>
      </c>
      <c r="E516" s="569"/>
      <c r="F516" s="569"/>
      <c r="G516" s="569"/>
      <c r="H516" s="569"/>
      <c r="I516" s="574">
        <v>0</v>
      </c>
      <c r="J516" s="574">
        <v>0</v>
      </c>
      <c r="K516" s="574">
        <v>0</v>
      </c>
      <c r="L516" s="574">
        <v>3.5</v>
      </c>
      <c r="M516" s="574">
        <v>0.3</v>
      </c>
      <c r="N516" s="574">
        <v>46.8</v>
      </c>
      <c r="O516" s="574">
        <v>0</v>
      </c>
      <c r="P516" s="574">
        <v>0</v>
      </c>
      <c r="Q516" s="574">
        <v>0</v>
      </c>
      <c r="R516" s="569"/>
      <c r="S516" s="569"/>
      <c r="T516" s="569"/>
      <c r="U516" s="569"/>
      <c r="V516" s="569"/>
      <c r="W516" s="569"/>
      <c r="X516" s="569"/>
      <c r="Y516" s="569"/>
      <c r="Z516" s="569"/>
      <c r="AA516" s="569"/>
      <c r="AB516" s="569"/>
      <c r="AC516" s="569"/>
      <c r="AD516" s="569"/>
      <c r="AE516" s="569"/>
      <c r="AF516" s="569"/>
      <c r="AG516" s="569"/>
      <c r="AH516" s="569"/>
      <c r="AI516" s="569"/>
      <c r="AJ516" s="569"/>
      <c r="AK516" s="569"/>
      <c r="AL516" s="569"/>
      <c r="AM516" s="569"/>
      <c r="AN516" s="574">
        <v>6.6</v>
      </c>
      <c r="AO516">
        <v>515</v>
      </c>
      <c r="AP516" t="str">
        <f t="shared" si="105"/>
        <v/>
      </c>
      <c r="AQ516" t="str">
        <f t="shared" si="108"/>
        <v/>
      </c>
      <c r="AR516" s="430">
        <f>IFERROR(
IF(AP516="",-100,
IF($BV$2&gt;0, INDEX(Beersheet!$A:$U,MATCH(AP516,INDEX(Beersheet!$A:$U,0,FFARawStatProjections!$BV$2),0),$BV$3)+$BN516,
INDEX($A516:$BM516,,$BV$12)*$BW$12+
INDEX($A516:$BM516,,$BV$15)*$BW$15+
INDEX($A516:$BM516,,$BV$16)*$BW$16+
INDEX($A516:$BM516,,$BV$17)*$BW$17+
INDEX($A516:$BM516,,$BV$18)*$BW$18+
INDEX($A516:$BM516,,$BV$19)*$BW$19+
INDEX($A516:$BM516,,$BV$20)*$BW$20+
INDEX($A516:$BM516,,$BV$21)*$BW$21+
INDEX($A516:$BM516,,$BV$22)*$BW$22+
INDEX($A516:$BM516,,$BV$23)*$BW$23+
INDEX($A516:$BM516,,$BV$25)*$BW$25+
INDEX($A516:$BM516,,$BV$26)*$BW$26+
INDEX($A516:$BM516,,$BV$27)*$BW$27+
$BN516)),
$BN516-100)</f>
        <v>-100</v>
      </c>
      <c r="AT516" t="str">
        <f t="shared" si="109"/>
        <v/>
      </c>
      <c r="AU516" t="str">
        <f t="shared" si="110"/>
        <v/>
      </c>
      <c r="AV516" s="430">
        <f>IFERROR(
IF(AT516="",-100,
IF($BV$2&gt;0, INDEX(Beersheet!$A:$U,MATCH(AT516,INDEX(Beersheet!$A:$U,0,FFARawStatProjections!$BV$2),0),$BV$3)+$BN516,
INDEX($A516:$BM516,,$BV$12)*$BW$12+
INDEX($A516:$BM516,,$BV$15)*$BW$15+
INDEX($A516:$BM516,,$BV$16)*$BW$16+
INDEX($A516:$BM516,,$BV$17)*$BW$17+
INDEX($A516:$BM516,,$BV$18)*$BW$18+
INDEX($A516:$BM516,,$BV$19)*$BW$19+
INDEX($A516:$BM516,,$BV$20)*$BW$20+
INDEX($A516:$BM516,,$BV$21)*$BW$21+
INDEX($A516:$BM516,,$BV$22)*$BW$22+
INDEX($A516:$BM516,,$BV$23)*$BW$23+
INDEX($A516:$BM516,,$BV$25)*$BW$25+
INDEX($A516:$BM516,,$BV$26)*$BW$26+
INDEX($A516:$BM516,,$BV$27)*$BW$27+
$BN516)),
$BN516-100)</f>
        <v>-100</v>
      </c>
      <c r="AX516" t="str">
        <f t="shared" si="111"/>
        <v>Trinity Benson</v>
      </c>
      <c r="AY516" t="str">
        <f t="shared" si="112"/>
        <v>DET</v>
      </c>
      <c r="AZ516" s="430">
        <f>IFERROR(
IF(AX516="",-100,
IF($BV$2&gt;0, INDEX(Beersheet!$A:$U,MATCH(AX516,INDEX(Beersheet!$A:$U,0,FFARawStatProjections!$BV$2),0),$BV$3)+$BN516,
INDEX($A516:$BM516,,$BV$12)*$BW$12+
INDEX($A516:$BM516,,$BV$15)*$BW$15+
INDEX($A516:$BM516,,$BV$16)*$BW$16+
INDEX($A516:$BM516,,$BV$17)*$BW$17+
INDEX($A516:$BM516,,$BV$18)*$BW$18+
INDEX($A516:$BM516,,$BV$19)*$BW$19+
INDEX($A516:$BM516,,$BV$20)*$BW$20+
INDEX($A516:$BM516,,$BV$21)*$BW$21+
INDEX($A516:$BM516,,$BV$22)*$BW$22+
INDEX($A516:$BM516,,$BV$23)*$BW$23+
INDEX($A516:$BM516,,$BV$25)*$BW$25+
INDEX($A516:$BM516,,$BV$26)*$BW$26+
INDEX($A516:$BM516,,$BV$27)*$BW$27+
$BN516)),
$BN516-100)</f>
        <v>9.9851500000000009</v>
      </c>
      <c r="BB516" t="str">
        <f t="shared" si="113"/>
        <v/>
      </c>
      <c r="BC516" t="str">
        <f t="shared" si="107"/>
        <v/>
      </c>
      <c r="BD516" s="430">
        <f>IFERROR(
IF(BB516="",-100,
IF($BV$2&gt;0, INDEX(Beersheet!$A:$U,MATCH(BB516,INDEX(Beersheet!$A:$U,0,FFARawStatProjections!$BV$2),0),$BV$3)+$BN516,
INDEX($A516:$BM516,,$BV$12)*$BW$12+
INDEX($A516:$BM516,,$BV$15)*$BW$15+
INDEX($A516:$BM516,,$BV$16)*$BW$16+
INDEX($A516:$BM516,,$BV$17)*$BW$17+
INDEX($A516:$BM516,,$BV$18)*$BW$18+
INDEX($A516:$BM516,,$BV$19)*$BW$19+
INDEX($A516:$BM516,,$BV$20)*$BW$20+
INDEX($A516:$BM516,,$BV$21)*$BW$21+
INDEX($A516:$BM516,,$BV$22)*$BW$22+
INDEX($A516:$BM516,,$BV$23)*$BW$23+
INDEX($A516:$BM516,,$BV$25)*$BW$25+
INDEX($A516:$BM516,,$BV$26)*$BW$26+
INDEX($A516:$BM516,,$BV$27)*$BW$27+
$BN516)),
$BN516-100)</f>
        <v>-100</v>
      </c>
      <c r="BF516" t="str">
        <f t="shared" si="114"/>
        <v/>
      </c>
      <c r="BG516" t="str">
        <f t="shared" si="115"/>
        <v/>
      </c>
      <c r="BH516">
        <f t="shared" si="116"/>
        <v>0</v>
      </c>
      <c r="BJ516" t="str">
        <f t="shared" si="117"/>
        <v/>
      </c>
      <c r="BL516">
        <f t="shared" si="106"/>
        <v>0</v>
      </c>
      <c r="BN516">
        <v>5.1500000000000001E-3</v>
      </c>
      <c r="BS516" s="4" t="s">
        <v>2434</v>
      </c>
    </row>
    <row r="517" spans="1:71" ht="15.75" thickBot="1" x14ac:dyDescent="0.3">
      <c r="A517" s="569" t="s">
        <v>1977</v>
      </c>
      <c r="B517" s="569" t="s">
        <v>166</v>
      </c>
      <c r="C517" s="569" t="s">
        <v>6</v>
      </c>
      <c r="D517" s="574">
        <v>10</v>
      </c>
      <c r="E517" s="569"/>
      <c r="F517" s="569"/>
      <c r="G517" s="569"/>
      <c r="H517" s="569"/>
      <c r="I517" s="574">
        <v>0</v>
      </c>
      <c r="J517" s="574">
        <v>0</v>
      </c>
      <c r="K517" s="574">
        <v>0</v>
      </c>
      <c r="L517" s="574">
        <v>4.5999999999999996</v>
      </c>
      <c r="M517" s="574">
        <v>0.2</v>
      </c>
      <c r="N517" s="574">
        <v>51</v>
      </c>
      <c r="O517" s="574">
        <v>0.1</v>
      </c>
      <c r="P517" s="574">
        <v>0</v>
      </c>
      <c r="Q517" s="574">
        <v>0.7</v>
      </c>
      <c r="R517" s="569"/>
      <c r="S517" s="569"/>
      <c r="T517" s="569"/>
      <c r="U517" s="569"/>
      <c r="V517" s="569"/>
      <c r="W517" s="569"/>
      <c r="X517" s="569"/>
      <c r="Y517" s="569"/>
      <c r="Z517" s="569"/>
      <c r="AA517" s="569"/>
      <c r="AB517" s="569"/>
      <c r="AC517" s="569"/>
      <c r="AD517" s="569"/>
      <c r="AE517" s="569"/>
      <c r="AF517" s="569"/>
      <c r="AG517" s="569"/>
      <c r="AH517" s="569"/>
      <c r="AI517" s="569"/>
      <c r="AJ517" s="569"/>
      <c r="AK517" s="569"/>
      <c r="AL517" s="569"/>
      <c r="AM517" s="569"/>
      <c r="AN517" s="574">
        <v>6.5</v>
      </c>
      <c r="AO517">
        <v>516</v>
      </c>
      <c r="AP517" t="str">
        <f t="shared" si="105"/>
        <v/>
      </c>
      <c r="AQ517" t="str">
        <f t="shared" si="108"/>
        <v/>
      </c>
      <c r="AR517" s="430">
        <f>IFERROR(
IF(AP517="",-100,
IF($BV$2&gt;0, INDEX(Beersheet!$A:$U,MATCH(AP517,INDEX(Beersheet!$A:$U,0,FFARawStatProjections!$BV$2),0),$BV$3)+$BN517,
INDEX($A517:$BM517,,$BV$12)*$BW$12+
INDEX($A517:$BM517,,$BV$15)*$BW$15+
INDEX($A517:$BM517,,$BV$16)*$BW$16+
INDEX($A517:$BM517,,$BV$17)*$BW$17+
INDEX($A517:$BM517,,$BV$18)*$BW$18+
INDEX($A517:$BM517,,$BV$19)*$BW$19+
INDEX($A517:$BM517,,$BV$20)*$BW$20+
INDEX($A517:$BM517,,$BV$21)*$BW$21+
INDEX($A517:$BM517,,$BV$22)*$BW$22+
INDEX($A517:$BM517,,$BV$23)*$BW$23+
INDEX($A517:$BM517,,$BV$25)*$BW$25+
INDEX($A517:$BM517,,$BV$26)*$BW$26+
INDEX($A517:$BM517,,$BV$27)*$BW$27+
$BN517)),
$BN517-100)</f>
        <v>-100</v>
      </c>
      <c r="AT517" t="str">
        <f t="shared" si="109"/>
        <v/>
      </c>
      <c r="AU517" t="str">
        <f t="shared" si="110"/>
        <v/>
      </c>
      <c r="AV517" s="430">
        <f>IFERROR(
IF(AT517="",-100,
IF($BV$2&gt;0, INDEX(Beersheet!$A:$U,MATCH(AT517,INDEX(Beersheet!$A:$U,0,FFARawStatProjections!$BV$2),0),$BV$3)+$BN517,
INDEX($A517:$BM517,,$BV$12)*$BW$12+
INDEX($A517:$BM517,,$BV$15)*$BW$15+
INDEX($A517:$BM517,,$BV$16)*$BW$16+
INDEX($A517:$BM517,,$BV$17)*$BW$17+
INDEX($A517:$BM517,,$BV$18)*$BW$18+
INDEX($A517:$BM517,,$BV$19)*$BW$19+
INDEX($A517:$BM517,,$BV$20)*$BW$20+
INDEX($A517:$BM517,,$BV$21)*$BW$21+
INDEX($A517:$BM517,,$BV$22)*$BW$22+
INDEX($A517:$BM517,,$BV$23)*$BW$23+
INDEX($A517:$BM517,,$BV$25)*$BW$25+
INDEX($A517:$BM517,,$BV$26)*$BW$26+
INDEX($A517:$BM517,,$BV$27)*$BW$27+
$BN517)),
$BN517-100)</f>
        <v>-100</v>
      </c>
      <c r="AX517" t="str">
        <f t="shared" si="111"/>
        <v>River Cracraft</v>
      </c>
      <c r="AY517" t="str">
        <f t="shared" si="112"/>
        <v>MIA</v>
      </c>
      <c r="AZ517" s="430">
        <f>IFERROR(
IF(AX517="",-100,
IF($BV$2&gt;0, INDEX(Beersheet!$A:$U,MATCH(AX517,INDEX(Beersheet!$A:$U,0,FFARawStatProjections!$BV$2),0),$BV$3)+$BN517,
INDEX($A517:$BM517,,$BV$12)*$BW$12+
INDEX($A517:$BM517,,$BV$15)*$BW$15+
INDEX($A517:$BM517,,$BV$16)*$BW$16+
INDEX($A517:$BM517,,$BV$17)*$BW$17+
INDEX($A517:$BM517,,$BV$18)*$BW$18+
INDEX($A517:$BM517,,$BV$19)*$BW$19+
INDEX($A517:$BM517,,$BV$20)*$BW$20+
INDEX($A517:$BM517,,$BV$21)*$BW$21+
INDEX($A517:$BM517,,$BV$22)*$BW$22+
INDEX($A517:$BM517,,$BV$23)*$BW$23+
INDEX($A517:$BM517,,$BV$25)*$BW$25+
INDEX($A517:$BM517,,$BV$26)*$BW$26+
INDEX($A517:$BM517,,$BV$27)*$BW$27+
$BN517)),
$BN517-100)</f>
        <v>10.975160000000001</v>
      </c>
      <c r="BB517" t="str">
        <f t="shared" si="113"/>
        <v/>
      </c>
      <c r="BC517" t="str">
        <f t="shared" si="107"/>
        <v/>
      </c>
      <c r="BD517" s="430">
        <f>IFERROR(
IF(BB517="",-100,
IF($BV$2&gt;0, INDEX(Beersheet!$A:$U,MATCH(BB517,INDEX(Beersheet!$A:$U,0,FFARawStatProjections!$BV$2),0),$BV$3)+$BN517,
INDEX($A517:$BM517,,$BV$12)*$BW$12+
INDEX($A517:$BM517,,$BV$15)*$BW$15+
INDEX($A517:$BM517,,$BV$16)*$BW$16+
INDEX($A517:$BM517,,$BV$17)*$BW$17+
INDEX($A517:$BM517,,$BV$18)*$BW$18+
INDEX($A517:$BM517,,$BV$19)*$BW$19+
INDEX($A517:$BM517,,$BV$20)*$BW$20+
INDEX($A517:$BM517,,$BV$21)*$BW$21+
INDEX($A517:$BM517,,$BV$22)*$BW$22+
INDEX($A517:$BM517,,$BV$23)*$BW$23+
INDEX($A517:$BM517,,$BV$25)*$BW$25+
INDEX($A517:$BM517,,$BV$26)*$BW$26+
INDEX($A517:$BM517,,$BV$27)*$BW$27+
$BN517)),
$BN517-100)</f>
        <v>-100</v>
      </c>
      <c r="BF517" t="str">
        <f t="shared" si="114"/>
        <v/>
      </c>
      <c r="BG517" t="str">
        <f t="shared" si="115"/>
        <v/>
      </c>
      <c r="BH517">
        <f t="shared" si="116"/>
        <v>0</v>
      </c>
      <c r="BJ517" t="str">
        <f t="shared" si="117"/>
        <v/>
      </c>
      <c r="BL517">
        <f t="shared" si="106"/>
        <v>0</v>
      </c>
      <c r="BN517">
        <v>5.1599999999999997E-3</v>
      </c>
      <c r="BS517" s="4" t="s">
        <v>2376</v>
      </c>
    </row>
    <row r="518" spans="1:71" ht="15.75" thickBot="1" x14ac:dyDescent="0.3">
      <c r="A518" s="569" t="s">
        <v>2208</v>
      </c>
      <c r="B518" s="569" t="s">
        <v>156</v>
      </c>
      <c r="C518" s="569" t="s">
        <v>6</v>
      </c>
      <c r="D518" s="574">
        <v>13</v>
      </c>
      <c r="E518" s="569"/>
      <c r="F518" s="569"/>
      <c r="G518" s="569"/>
      <c r="H518" s="569"/>
      <c r="I518" s="574">
        <v>0</v>
      </c>
      <c r="J518" s="574">
        <v>0</v>
      </c>
      <c r="K518" s="574">
        <v>0</v>
      </c>
      <c r="L518" s="574">
        <v>3.7</v>
      </c>
      <c r="M518" s="574">
        <v>0.3</v>
      </c>
      <c r="N518" s="574">
        <v>44.7</v>
      </c>
      <c r="O518" s="574">
        <v>0</v>
      </c>
      <c r="P518" s="574">
        <v>0</v>
      </c>
      <c r="Q518" s="574">
        <v>0</v>
      </c>
      <c r="R518" s="569"/>
      <c r="S518" s="569"/>
      <c r="T518" s="569"/>
      <c r="U518" s="569"/>
      <c r="V518" s="569"/>
      <c r="W518" s="569"/>
      <c r="X518" s="569"/>
      <c r="Y518" s="569"/>
      <c r="Z518" s="569"/>
      <c r="AA518" s="569"/>
      <c r="AB518" s="569"/>
      <c r="AC518" s="569"/>
      <c r="AD518" s="569"/>
      <c r="AE518" s="569"/>
      <c r="AF518" s="569"/>
      <c r="AG518" s="569"/>
      <c r="AH518" s="569"/>
      <c r="AI518" s="569"/>
      <c r="AJ518" s="569"/>
      <c r="AK518" s="569"/>
      <c r="AL518" s="569"/>
      <c r="AM518" s="569"/>
      <c r="AN518" s="574">
        <v>6.5</v>
      </c>
      <c r="AO518">
        <v>517</v>
      </c>
      <c r="AP518" t="str">
        <f t="shared" si="105"/>
        <v/>
      </c>
      <c r="AQ518" t="str">
        <f t="shared" si="108"/>
        <v/>
      </c>
      <c r="AR518" s="430">
        <f>IFERROR(
IF(AP518="",-100,
IF($BV$2&gt;0, INDEX(Beersheet!$A:$U,MATCH(AP518,INDEX(Beersheet!$A:$U,0,FFARawStatProjections!$BV$2),0),$BV$3)+$BN518,
INDEX($A518:$BM518,,$BV$12)*$BW$12+
INDEX($A518:$BM518,,$BV$15)*$BW$15+
INDEX($A518:$BM518,,$BV$16)*$BW$16+
INDEX($A518:$BM518,,$BV$17)*$BW$17+
INDEX($A518:$BM518,,$BV$18)*$BW$18+
INDEX($A518:$BM518,,$BV$19)*$BW$19+
INDEX($A518:$BM518,,$BV$20)*$BW$20+
INDEX($A518:$BM518,,$BV$21)*$BW$21+
INDEX($A518:$BM518,,$BV$22)*$BW$22+
INDEX($A518:$BM518,,$BV$23)*$BW$23+
INDEX($A518:$BM518,,$BV$25)*$BW$25+
INDEX($A518:$BM518,,$BV$26)*$BW$26+
INDEX($A518:$BM518,,$BV$27)*$BW$27+
$BN518)),
$BN518-100)</f>
        <v>-100</v>
      </c>
      <c r="AT518" t="str">
        <f t="shared" si="109"/>
        <v/>
      </c>
      <c r="AU518" t="str">
        <f t="shared" si="110"/>
        <v/>
      </c>
      <c r="AV518" s="430">
        <f>IFERROR(
IF(AT518="",-100,
IF($BV$2&gt;0, INDEX(Beersheet!$A:$U,MATCH(AT518,INDEX(Beersheet!$A:$U,0,FFARawStatProjections!$BV$2),0),$BV$3)+$BN518,
INDEX($A518:$BM518,,$BV$12)*$BW$12+
INDEX($A518:$BM518,,$BV$15)*$BW$15+
INDEX($A518:$BM518,,$BV$16)*$BW$16+
INDEX($A518:$BM518,,$BV$17)*$BW$17+
INDEX($A518:$BM518,,$BV$18)*$BW$18+
INDEX($A518:$BM518,,$BV$19)*$BW$19+
INDEX($A518:$BM518,,$BV$20)*$BW$20+
INDEX($A518:$BM518,,$BV$21)*$BW$21+
INDEX($A518:$BM518,,$BV$22)*$BW$22+
INDEX($A518:$BM518,,$BV$23)*$BW$23+
INDEX($A518:$BM518,,$BV$25)*$BW$25+
INDEX($A518:$BM518,,$BV$26)*$BW$26+
INDEX($A518:$BM518,,$BV$27)*$BW$27+
$BN518)),
$BN518-100)</f>
        <v>-100</v>
      </c>
      <c r="AX518" t="str">
        <f t="shared" si="111"/>
        <v>Isaiah Coulter</v>
      </c>
      <c r="AY518" t="str">
        <f t="shared" si="112"/>
        <v>BUF</v>
      </c>
      <c r="AZ518" s="430">
        <f>IFERROR(
IF(AX518="",-100,
IF($BV$2&gt;0, INDEX(Beersheet!$A:$U,MATCH(AX518,INDEX(Beersheet!$A:$U,0,FFARawStatProjections!$BV$2),0),$BV$3)+$BN518,
INDEX($A518:$BM518,,$BV$12)*$BW$12+
INDEX($A518:$BM518,,$BV$15)*$BW$15+
INDEX($A518:$BM518,,$BV$16)*$BW$16+
INDEX($A518:$BM518,,$BV$17)*$BW$17+
INDEX($A518:$BM518,,$BV$18)*$BW$18+
INDEX($A518:$BM518,,$BV$19)*$BW$19+
INDEX($A518:$BM518,,$BV$20)*$BW$20+
INDEX($A518:$BM518,,$BV$21)*$BW$21+
INDEX($A518:$BM518,,$BV$22)*$BW$22+
INDEX($A518:$BM518,,$BV$23)*$BW$23+
INDEX($A518:$BM518,,$BV$25)*$BW$25+
INDEX($A518:$BM518,,$BV$26)*$BW$26+
INDEX($A518:$BM518,,$BV$27)*$BW$27+
$BN518)),
$BN518-100)</f>
        <v>9.9751700000000003</v>
      </c>
      <c r="BB518" t="str">
        <f t="shared" si="113"/>
        <v/>
      </c>
      <c r="BC518" t="str">
        <f t="shared" si="107"/>
        <v/>
      </c>
      <c r="BD518" s="430">
        <f>IFERROR(
IF(BB518="",-100,
IF($BV$2&gt;0, INDEX(Beersheet!$A:$U,MATCH(BB518,INDEX(Beersheet!$A:$U,0,FFARawStatProjections!$BV$2),0),$BV$3)+$BN518,
INDEX($A518:$BM518,,$BV$12)*$BW$12+
INDEX($A518:$BM518,,$BV$15)*$BW$15+
INDEX($A518:$BM518,,$BV$16)*$BW$16+
INDEX($A518:$BM518,,$BV$17)*$BW$17+
INDEX($A518:$BM518,,$BV$18)*$BW$18+
INDEX($A518:$BM518,,$BV$19)*$BW$19+
INDEX($A518:$BM518,,$BV$20)*$BW$20+
INDEX($A518:$BM518,,$BV$21)*$BW$21+
INDEX($A518:$BM518,,$BV$22)*$BW$22+
INDEX($A518:$BM518,,$BV$23)*$BW$23+
INDEX($A518:$BM518,,$BV$25)*$BW$25+
INDEX($A518:$BM518,,$BV$26)*$BW$26+
INDEX($A518:$BM518,,$BV$27)*$BW$27+
$BN518)),
$BN518-100)</f>
        <v>-100</v>
      </c>
      <c r="BF518" t="str">
        <f t="shared" si="114"/>
        <v/>
      </c>
      <c r="BG518" t="str">
        <f t="shared" si="115"/>
        <v/>
      </c>
      <c r="BH518">
        <f t="shared" si="116"/>
        <v>0</v>
      </c>
      <c r="BJ518" t="str">
        <f t="shared" si="117"/>
        <v/>
      </c>
      <c r="BL518">
        <f t="shared" si="106"/>
        <v>0</v>
      </c>
      <c r="BN518">
        <v>5.1700000000000001E-3</v>
      </c>
      <c r="BS518" s="4" t="s">
        <v>1611</v>
      </c>
    </row>
    <row r="519" spans="1:71" ht="15.75" thickBot="1" x14ac:dyDescent="0.3">
      <c r="A519" s="569" t="s">
        <v>2144</v>
      </c>
      <c r="B519" s="569" t="s">
        <v>156</v>
      </c>
      <c r="C519" s="569" t="s">
        <v>6</v>
      </c>
      <c r="D519" s="574">
        <v>13</v>
      </c>
      <c r="E519" s="569"/>
      <c r="F519" s="569"/>
      <c r="G519" s="569"/>
      <c r="H519" s="569"/>
      <c r="I519" s="574">
        <v>0</v>
      </c>
      <c r="J519" s="574">
        <v>0</v>
      </c>
      <c r="K519" s="574">
        <v>0</v>
      </c>
      <c r="L519" s="574">
        <v>3.7</v>
      </c>
      <c r="M519" s="574">
        <v>0.3</v>
      </c>
      <c r="N519" s="574">
        <v>44.2</v>
      </c>
      <c r="O519" s="574">
        <v>0</v>
      </c>
      <c r="P519" s="574">
        <v>0</v>
      </c>
      <c r="Q519" s="574">
        <v>0</v>
      </c>
      <c r="R519" s="569"/>
      <c r="S519" s="569"/>
      <c r="T519" s="569"/>
      <c r="U519" s="569"/>
      <c r="V519" s="569"/>
      <c r="W519" s="569"/>
      <c r="X519" s="569"/>
      <c r="Y519" s="569"/>
      <c r="Z519" s="569"/>
      <c r="AA519" s="569"/>
      <c r="AB519" s="569"/>
      <c r="AC519" s="569"/>
      <c r="AD519" s="569"/>
      <c r="AE519" s="569"/>
      <c r="AF519" s="569"/>
      <c r="AG519" s="569"/>
      <c r="AH519" s="569"/>
      <c r="AI519" s="569"/>
      <c r="AJ519" s="569"/>
      <c r="AK519" s="569"/>
      <c r="AL519" s="569"/>
      <c r="AM519" s="569"/>
      <c r="AN519" s="574">
        <v>6.4</v>
      </c>
      <c r="AO519">
        <v>518</v>
      </c>
      <c r="AP519" t="str">
        <f t="shared" si="105"/>
        <v/>
      </c>
      <c r="AQ519" t="str">
        <f t="shared" si="108"/>
        <v/>
      </c>
      <c r="AR519" s="430">
        <f>IFERROR(
IF(AP519="",-100,
IF($BV$2&gt;0, INDEX(Beersheet!$A:$U,MATCH(AP519,INDEX(Beersheet!$A:$U,0,FFARawStatProjections!$BV$2),0),$BV$3)+$BN519,
INDEX($A519:$BM519,,$BV$12)*$BW$12+
INDEX($A519:$BM519,,$BV$15)*$BW$15+
INDEX($A519:$BM519,,$BV$16)*$BW$16+
INDEX($A519:$BM519,,$BV$17)*$BW$17+
INDEX($A519:$BM519,,$BV$18)*$BW$18+
INDEX($A519:$BM519,,$BV$19)*$BW$19+
INDEX($A519:$BM519,,$BV$20)*$BW$20+
INDEX($A519:$BM519,,$BV$21)*$BW$21+
INDEX($A519:$BM519,,$BV$22)*$BW$22+
INDEX($A519:$BM519,,$BV$23)*$BW$23+
INDEX($A519:$BM519,,$BV$25)*$BW$25+
INDEX($A519:$BM519,,$BV$26)*$BW$26+
INDEX($A519:$BM519,,$BV$27)*$BW$27+
$BN519)),
$BN519-100)</f>
        <v>-100</v>
      </c>
      <c r="AT519" t="str">
        <f t="shared" si="109"/>
        <v/>
      </c>
      <c r="AU519" t="str">
        <f t="shared" si="110"/>
        <v/>
      </c>
      <c r="AV519" s="430">
        <f>IFERROR(
IF(AT519="",-100,
IF($BV$2&gt;0, INDEX(Beersheet!$A:$U,MATCH(AT519,INDEX(Beersheet!$A:$U,0,FFARawStatProjections!$BV$2),0),$BV$3)+$BN519,
INDEX($A519:$BM519,,$BV$12)*$BW$12+
INDEX($A519:$BM519,,$BV$15)*$BW$15+
INDEX($A519:$BM519,,$BV$16)*$BW$16+
INDEX($A519:$BM519,,$BV$17)*$BW$17+
INDEX($A519:$BM519,,$BV$18)*$BW$18+
INDEX($A519:$BM519,,$BV$19)*$BW$19+
INDEX($A519:$BM519,,$BV$20)*$BW$20+
INDEX($A519:$BM519,,$BV$21)*$BW$21+
INDEX($A519:$BM519,,$BV$22)*$BW$22+
INDEX($A519:$BM519,,$BV$23)*$BW$23+
INDEX($A519:$BM519,,$BV$25)*$BW$25+
INDEX($A519:$BM519,,$BV$26)*$BW$26+
INDEX($A519:$BM519,,$BV$27)*$BW$27+
$BN519)),
$BN519-100)</f>
        <v>-100</v>
      </c>
      <c r="AX519" t="str">
        <f t="shared" si="111"/>
        <v>Dezmon Patmon</v>
      </c>
      <c r="AY519" t="str">
        <f t="shared" si="112"/>
        <v>BUF</v>
      </c>
      <c r="AZ519" s="430">
        <f>IFERROR(
IF(AX519="",-100,
IF($BV$2&gt;0, INDEX(Beersheet!$A:$U,MATCH(AX519,INDEX(Beersheet!$A:$U,0,FFARawStatProjections!$BV$2),0),$BV$3)+$BN519,
INDEX($A519:$BM519,,$BV$12)*$BW$12+
INDEX($A519:$BM519,,$BV$15)*$BW$15+
INDEX($A519:$BM519,,$BV$16)*$BW$16+
INDEX($A519:$BM519,,$BV$17)*$BW$17+
INDEX($A519:$BM519,,$BV$18)*$BW$18+
INDEX($A519:$BM519,,$BV$19)*$BW$19+
INDEX($A519:$BM519,,$BV$20)*$BW$20+
INDEX($A519:$BM519,,$BV$21)*$BW$21+
INDEX($A519:$BM519,,$BV$22)*$BW$22+
INDEX($A519:$BM519,,$BV$23)*$BW$23+
INDEX($A519:$BM519,,$BV$25)*$BW$25+
INDEX($A519:$BM519,,$BV$26)*$BW$26+
INDEX($A519:$BM519,,$BV$27)*$BW$27+
$BN519)),
$BN519-100)</f>
        <v>9.925180000000001</v>
      </c>
      <c r="BB519" t="str">
        <f t="shared" si="113"/>
        <v/>
      </c>
      <c r="BC519" t="str">
        <f t="shared" si="107"/>
        <v/>
      </c>
      <c r="BD519" s="430">
        <f>IFERROR(
IF(BB519="",-100,
IF($BV$2&gt;0, INDEX(Beersheet!$A:$U,MATCH(BB519,INDEX(Beersheet!$A:$U,0,FFARawStatProjections!$BV$2),0),$BV$3)+$BN519,
INDEX($A519:$BM519,,$BV$12)*$BW$12+
INDEX($A519:$BM519,,$BV$15)*$BW$15+
INDEX($A519:$BM519,,$BV$16)*$BW$16+
INDEX($A519:$BM519,,$BV$17)*$BW$17+
INDEX($A519:$BM519,,$BV$18)*$BW$18+
INDEX($A519:$BM519,,$BV$19)*$BW$19+
INDEX($A519:$BM519,,$BV$20)*$BW$20+
INDEX($A519:$BM519,,$BV$21)*$BW$21+
INDEX($A519:$BM519,,$BV$22)*$BW$22+
INDEX($A519:$BM519,,$BV$23)*$BW$23+
INDEX($A519:$BM519,,$BV$25)*$BW$25+
INDEX($A519:$BM519,,$BV$26)*$BW$26+
INDEX($A519:$BM519,,$BV$27)*$BW$27+
$BN519)),
$BN519-100)</f>
        <v>-100</v>
      </c>
      <c r="BF519" t="str">
        <f t="shared" si="114"/>
        <v/>
      </c>
      <c r="BG519" t="str">
        <f t="shared" si="115"/>
        <v/>
      </c>
      <c r="BH519">
        <f t="shared" si="116"/>
        <v>0</v>
      </c>
      <c r="BJ519" t="str">
        <f t="shared" si="117"/>
        <v/>
      </c>
      <c r="BL519">
        <f t="shared" si="106"/>
        <v>0</v>
      </c>
      <c r="BN519">
        <v>5.1799999999999997E-3</v>
      </c>
      <c r="BS519" s="4" t="s">
        <v>2433</v>
      </c>
    </row>
    <row r="520" spans="1:71" ht="15.75" thickBot="1" x14ac:dyDescent="0.3">
      <c r="A520" s="569" t="s">
        <v>2352</v>
      </c>
      <c r="B520" s="569" t="s">
        <v>139</v>
      </c>
      <c r="C520" s="569" t="s">
        <v>6</v>
      </c>
      <c r="D520" s="574">
        <v>6</v>
      </c>
      <c r="E520" s="569"/>
      <c r="F520" s="569"/>
      <c r="G520" s="569"/>
      <c r="H520" s="569"/>
      <c r="I520" s="574">
        <v>0</v>
      </c>
      <c r="J520" s="574">
        <v>0</v>
      </c>
      <c r="K520" s="574">
        <v>0</v>
      </c>
      <c r="L520" s="574">
        <v>3.7</v>
      </c>
      <c r="M520" s="574">
        <v>0.3</v>
      </c>
      <c r="N520" s="574">
        <v>44.5</v>
      </c>
      <c r="O520" s="574">
        <v>0</v>
      </c>
      <c r="P520" s="574">
        <v>0</v>
      </c>
      <c r="Q520" s="574">
        <v>2.6</v>
      </c>
      <c r="R520" s="569"/>
      <c r="S520" s="569"/>
      <c r="T520" s="569"/>
      <c r="U520" s="569"/>
      <c r="V520" s="569"/>
      <c r="W520" s="569"/>
      <c r="X520" s="569"/>
      <c r="Y520" s="569"/>
      <c r="Z520" s="569"/>
      <c r="AA520" s="569"/>
      <c r="AB520" s="569"/>
      <c r="AC520" s="569"/>
      <c r="AD520" s="569"/>
      <c r="AE520" s="569"/>
      <c r="AF520" s="569"/>
      <c r="AG520" s="569"/>
      <c r="AH520" s="569"/>
      <c r="AI520" s="569"/>
      <c r="AJ520" s="569"/>
      <c r="AK520" s="569"/>
      <c r="AL520" s="569"/>
      <c r="AM520" s="569"/>
      <c r="AN520" s="574">
        <v>6.4</v>
      </c>
      <c r="AO520">
        <v>519</v>
      </c>
      <c r="AP520" t="str">
        <f t="shared" si="105"/>
        <v/>
      </c>
      <c r="AQ520" t="str">
        <f t="shared" si="108"/>
        <v/>
      </c>
      <c r="AR520" s="430">
        <f>IFERROR(
IF(AP520="",-100,
IF($BV$2&gt;0, INDEX(Beersheet!$A:$U,MATCH(AP520,INDEX(Beersheet!$A:$U,0,FFARawStatProjections!$BV$2),0),$BV$3)+$BN520,
INDEX($A520:$BM520,,$BV$12)*$BW$12+
INDEX($A520:$BM520,,$BV$15)*$BW$15+
INDEX($A520:$BM520,,$BV$16)*$BW$16+
INDEX($A520:$BM520,,$BV$17)*$BW$17+
INDEX($A520:$BM520,,$BV$18)*$BW$18+
INDEX($A520:$BM520,,$BV$19)*$BW$19+
INDEX($A520:$BM520,,$BV$20)*$BW$20+
INDEX($A520:$BM520,,$BV$21)*$BW$21+
INDEX($A520:$BM520,,$BV$22)*$BW$22+
INDEX($A520:$BM520,,$BV$23)*$BW$23+
INDEX($A520:$BM520,,$BV$25)*$BW$25+
INDEX($A520:$BM520,,$BV$26)*$BW$26+
INDEX($A520:$BM520,,$BV$27)*$BW$27+
$BN520)),
$BN520-100)</f>
        <v>-100</v>
      </c>
      <c r="AT520" t="str">
        <f t="shared" si="109"/>
        <v/>
      </c>
      <c r="AU520" t="str">
        <f t="shared" si="110"/>
        <v/>
      </c>
      <c r="AV520" s="430">
        <f>IFERROR(
IF(AT520="",-100,
IF($BV$2&gt;0, INDEX(Beersheet!$A:$U,MATCH(AT520,INDEX(Beersheet!$A:$U,0,FFARawStatProjections!$BV$2),0),$BV$3)+$BN520,
INDEX($A520:$BM520,,$BV$12)*$BW$12+
INDEX($A520:$BM520,,$BV$15)*$BW$15+
INDEX($A520:$BM520,,$BV$16)*$BW$16+
INDEX($A520:$BM520,,$BV$17)*$BW$17+
INDEX($A520:$BM520,,$BV$18)*$BW$18+
INDEX($A520:$BM520,,$BV$19)*$BW$19+
INDEX($A520:$BM520,,$BV$20)*$BW$20+
INDEX($A520:$BM520,,$BV$21)*$BW$21+
INDEX($A520:$BM520,,$BV$22)*$BW$22+
INDEX($A520:$BM520,,$BV$23)*$BW$23+
INDEX($A520:$BM520,,$BV$25)*$BW$25+
INDEX($A520:$BM520,,$BV$26)*$BW$26+
INDEX($A520:$BM520,,$BV$27)*$BW$27+
$BN520)),
$BN520-100)</f>
        <v>-100</v>
      </c>
      <c r="AX520" t="str">
        <f t="shared" si="111"/>
        <v>Bo Melton</v>
      </c>
      <c r="AY520" t="str">
        <f t="shared" si="112"/>
        <v>GB</v>
      </c>
      <c r="AZ520" s="430">
        <f>IFERROR(
IF(AX520="",-100,
IF($BV$2&gt;0, INDEX(Beersheet!$A:$U,MATCH(AX520,INDEX(Beersheet!$A:$U,0,FFARawStatProjections!$BV$2),0),$BV$3)+$BN520,
INDEX($A520:$BM520,,$BV$12)*$BW$12+
INDEX($A520:$BM520,,$BV$15)*$BW$15+
INDEX($A520:$BM520,,$BV$16)*$BW$16+
INDEX($A520:$BM520,,$BV$17)*$BW$17+
INDEX($A520:$BM520,,$BV$18)*$BW$18+
INDEX($A520:$BM520,,$BV$19)*$BW$19+
INDEX($A520:$BM520,,$BV$20)*$BW$20+
INDEX($A520:$BM520,,$BV$21)*$BW$21+
INDEX($A520:$BM520,,$BV$22)*$BW$22+
INDEX($A520:$BM520,,$BV$23)*$BW$23+
INDEX($A520:$BM520,,$BV$25)*$BW$25+
INDEX($A520:$BM520,,$BV$26)*$BW$26+
INDEX($A520:$BM520,,$BV$27)*$BW$27+
$BN520)),
$BN520-100)</f>
        <v>10.21519</v>
      </c>
      <c r="BB520" t="str">
        <f t="shared" si="113"/>
        <v/>
      </c>
      <c r="BC520" t="str">
        <f t="shared" si="107"/>
        <v/>
      </c>
      <c r="BD520" s="430">
        <f>IFERROR(
IF(BB520="",-100,
IF($BV$2&gt;0, INDEX(Beersheet!$A:$U,MATCH(BB520,INDEX(Beersheet!$A:$U,0,FFARawStatProjections!$BV$2),0),$BV$3)+$BN520,
INDEX($A520:$BM520,,$BV$12)*$BW$12+
INDEX($A520:$BM520,,$BV$15)*$BW$15+
INDEX($A520:$BM520,,$BV$16)*$BW$16+
INDEX($A520:$BM520,,$BV$17)*$BW$17+
INDEX($A520:$BM520,,$BV$18)*$BW$18+
INDEX($A520:$BM520,,$BV$19)*$BW$19+
INDEX($A520:$BM520,,$BV$20)*$BW$20+
INDEX($A520:$BM520,,$BV$21)*$BW$21+
INDEX($A520:$BM520,,$BV$22)*$BW$22+
INDEX($A520:$BM520,,$BV$23)*$BW$23+
INDEX($A520:$BM520,,$BV$25)*$BW$25+
INDEX($A520:$BM520,,$BV$26)*$BW$26+
INDEX($A520:$BM520,,$BV$27)*$BW$27+
$BN520)),
$BN520-100)</f>
        <v>-100</v>
      </c>
      <c r="BF520" t="str">
        <f t="shared" si="114"/>
        <v/>
      </c>
      <c r="BG520" t="str">
        <f t="shared" si="115"/>
        <v/>
      </c>
      <c r="BH520">
        <f t="shared" si="116"/>
        <v>0</v>
      </c>
      <c r="BJ520" t="str">
        <f t="shared" si="117"/>
        <v/>
      </c>
      <c r="BL520">
        <f t="shared" si="106"/>
        <v>0</v>
      </c>
      <c r="BN520">
        <v>5.1900000000000002E-3</v>
      </c>
      <c r="BS520" s="4" t="s">
        <v>2432</v>
      </c>
    </row>
    <row r="521" spans="1:71" ht="15.75" thickBot="1" x14ac:dyDescent="0.3">
      <c r="A521" s="569" t="s">
        <v>2571</v>
      </c>
      <c r="B521" s="569" t="s">
        <v>142</v>
      </c>
      <c r="C521" s="569" t="s">
        <v>6</v>
      </c>
      <c r="D521" s="574">
        <v>9</v>
      </c>
      <c r="E521" s="569"/>
      <c r="F521" s="569"/>
      <c r="G521" s="569"/>
      <c r="H521" s="569"/>
      <c r="I521" s="574">
        <v>0</v>
      </c>
      <c r="J521" s="574">
        <v>0</v>
      </c>
      <c r="K521" s="574">
        <v>0</v>
      </c>
      <c r="L521" s="574">
        <v>3.9</v>
      </c>
      <c r="M521" s="574">
        <v>0.2</v>
      </c>
      <c r="N521" s="574">
        <v>50.9</v>
      </c>
      <c r="O521" s="574">
        <v>0</v>
      </c>
      <c r="P521" s="574">
        <v>0</v>
      </c>
      <c r="Q521" s="574">
        <v>0</v>
      </c>
      <c r="R521" s="569"/>
      <c r="S521" s="569"/>
      <c r="T521" s="569"/>
      <c r="U521" s="569"/>
      <c r="V521" s="569"/>
      <c r="W521" s="569"/>
      <c r="X521" s="569"/>
      <c r="Y521" s="569"/>
      <c r="Z521" s="569"/>
      <c r="AA521" s="569"/>
      <c r="AB521" s="569"/>
      <c r="AC521" s="569"/>
      <c r="AD521" s="569"/>
      <c r="AE521" s="569"/>
      <c r="AF521" s="569"/>
      <c r="AG521" s="569"/>
      <c r="AH521" s="569"/>
      <c r="AI521" s="569"/>
      <c r="AJ521" s="569"/>
      <c r="AK521" s="569"/>
      <c r="AL521" s="569"/>
      <c r="AM521" s="569"/>
      <c r="AN521" s="574">
        <v>6.4</v>
      </c>
      <c r="AO521">
        <v>520</v>
      </c>
      <c r="AP521" t="str">
        <f t="shared" si="105"/>
        <v/>
      </c>
      <c r="AQ521" t="str">
        <f t="shared" si="108"/>
        <v/>
      </c>
      <c r="AR521" s="430">
        <f>IFERROR(
IF(AP521="",-100,
IF($BV$2&gt;0, INDEX(Beersheet!$A:$U,MATCH(AP521,INDEX(Beersheet!$A:$U,0,FFARawStatProjections!$BV$2),0),$BV$3)+$BN521,
INDEX($A521:$BM521,,$BV$12)*$BW$12+
INDEX($A521:$BM521,,$BV$15)*$BW$15+
INDEX($A521:$BM521,,$BV$16)*$BW$16+
INDEX($A521:$BM521,,$BV$17)*$BW$17+
INDEX($A521:$BM521,,$BV$18)*$BW$18+
INDEX($A521:$BM521,,$BV$19)*$BW$19+
INDEX($A521:$BM521,,$BV$20)*$BW$20+
INDEX($A521:$BM521,,$BV$21)*$BW$21+
INDEX($A521:$BM521,,$BV$22)*$BW$22+
INDEX($A521:$BM521,,$BV$23)*$BW$23+
INDEX($A521:$BM521,,$BV$25)*$BW$25+
INDEX($A521:$BM521,,$BV$26)*$BW$26+
INDEX($A521:$BM521,,$BV$27)*$BW$27+
$BN521)),
$BN521-100)</f>
        <v>-100</v>
      </c>
      <c r="AT521" t="str">
        <f t="shared" si="109"/>
        <v/>
      </c>
      <c r="AU521" t="str">
        <f t="shared" si="110"/>
        <v/>
      </c>
      <c r="AV521" s="430">
        <f>IFERROR(
IF(AT521="",-100,
IF($BV$2&gt;0, INDEX(Beersheet!$A:$U,MATCH(AT521,INDEX(Beersheet!$A:$U,0,FFARawStatProjections!$BV$2),0),$BV$3)+$BN521,
INDEX($A521:$BM521,,$BV$12)*$BW$12+
INDEX($A521:$BM521,,$BV$15)*$BW$15+
INDEX($A521:$BM521,,$BV$16)*$BW$16+
INDEX($A521:$BM521,,$BV$17)*$BW$17+
INDEX($A521:$BM521,,$BV$18)*$BW$18+
INDEX($A521:$BM521,,$BV$19)*$BW$19+
INDEX($A521:$BM521,,$BV$20)*$BW$20+
INDEX($A521:$BM521,,$BV$21)*$BW$21+
INDEX($A521:$BM521,,$BV$22)*$BW$22+
INDEX($A521:$BM521,,$BV$23)*$BW$23+
INDEX($A521:$BM521,,$BV$25)*$BW$25+
INDEX($A521:$BM521,,$BV$26)*$BW$26+
INDEX($A521:$BM521,,$BV$27)*$BW$27+
$BN521)),
$BN521-100)</f>
        <v>-100</v>
      </c>
      <c r="AX521" t="str">
        <f t="shared" si="111"/>
        <v>Jason Moore</v>
      </c>
      <c r="AY521" t="str">
        <f t="shared" si="112"/>
        <v>DET</v>
      </c>
      <c r="AZ521" s="430">
        <f>IFERROR(
IF(AX521="",-100,
IF($BV$2&gt;0, INDEX(Beersheet!$A:$U,MATCH(AX521,INDEX(Beersheet!$A:$U,0,FFARawStatProjections!$BV$2),0),$BV$3)+$BN521,
INDEX($A521:$BM521,,$BV$12)*$BW$12+
INDEX($A521:$BM521,,$BV$15)*$BW$15+
INDEX($A521:$BM521,,$BV$16)*$BW$16+
INDEX($A521:$BM521,,$BV$17)*$BW$17+
INDEX($A521:$BM521,,$BV$18)*$BW$18+
INDEX($A521:$BM521,,$BV$19)*$BW$19+
INDEX($A521:$BM521,,$BV$20)*$BW$20+
INDEX($A521:$BM521,,$BV$21)*$BW$21+
INDEX($A521:$BM521,,$BV$22)*$BW$22+
INDEX($A521:$BM521,,$BV$23)*$BW$23+
INDEX($A521:$BM521,,$BV$25)*$BW$25+
INDEX($A521:$BM521,,$BV$26)*$BW$26+
INDEX($A521:$BM521,,$BV$27)*$BW$27+
$BN521)),
$BN521-100)</f>
        <v>10.1952</v>
      </c>
      <c r="BB521" t="str">
        <f t="shared" si="113"/>
        <v/>
      </c>
      <c r="BC521" t="str">
        <f t="shared" si="107"/>
        <v/>
      </c>
      <c r="BD521" s="430">
        <f>IFERROR(
IF(BB521="",-100,
IF($BV$2&gt;0, INDEX(Beersheet!$A:$U,MATCH(BB521,INDEX(Beersheet!$A:$U,0,FFARawStatProjections!$BV$2),0),$BV$3)+$BN521,
INDEX($A521:$BM521,,$BV$12)*$BW$12+
INDEX($A521:$BM521,,$BV$15)*$BW$15+
INDEX($A521:$BM521,,$BV$16)*$BW$16+
INDEX($A521:$BM521,,$BV$17)*$BW$17+
INDEX($A521:$BM521,,$BV$18)*$BW$18+
INDEX($A521:$BM521,,$BV$19)*$BW$19+
INDEX($A521:$BM521,,$BV$20)*$BW$20+
INDEX($A521:$BM521,,$BV$21)*$BW$21+
INDEX($A521:$BM521,,$BV$22)*$BW$22+
INDEX($A521:$BM521,,$BV$23)*$BW$23+
INDEX($A521:$BM521,,$BV$25)*$BW$25+
INDEX($A521:$BM521,,$BV$26)*$BW$26+
INDEX($A521:$BM521,,$BV$27)*$BW$27+
$BN521)),
$BN521-100)</f>
        <v>-100</v>
      </c>
      <c r="BF521" t="str">
        <f t="shared" si="114"/>
        <v/>
      </c>
      <c r="BG521" t="str">
        <f t="shared" si="115"/>
        <v/>
      </c>
      <c r="BH521">
        <f t="shared" si="116"/>
        <v>0</v>
      </c>
      <c r="BJ521" t="str">
        <f t="shared" si="117"/>
        <v/>
      </c>
      <c r="BL521">
        <f t="shared" si="106"/>
        <v>0</v>
      </c>
      <c r="BN521">
        <v>5.1999999999999998E-3</v>
      </c>
      <c r="BS521" s="4" t="s">
        <v>2431</v>
      </c>
    </row>
    <row r="522" spans="1:71" ht="15.75" thickBot="1" x14ac:dyDescent="0.3">
      <c r="A522" s="569" t="s">
        <v>2221</v>
      </c>
      <c r="B522" s="569" t="s">
        <v>146</v>
      </c>
      <c r="C522" s="569" t="s">
        <v>6</v>
      </c>
      <c r="D522" s="574">
        <v>7</v>
      </c>
      <c r="E522" s="569"/>
      <c r="F522" s="569"/>
      <c r="G522" s="569"/>
      <c r="H522" s="569"/>
      <c r="I522" s="574">
        <v>0</v>
      </c>
      <c r="J522" s="574">
        <v>0</v>
      </c>
      <c r="K522" s="574">
        <v>0</v>
      </c>
      <c r="L522" s="574">
        <v>3.6</v>
      </c>
      <c r="M522" s="574">
        <v>0.3</v>
      </c>
      <c r="N522" s="574">
        <v>43.1</v>
      </c>
      <c r="O522" s="574">
        <v>0</v>
      </c>
      <c r="P522" s="574">
        <v>0</v>
      </c>
      <c r="Q522" s="574">
        <v>0</v>
      </c>
      <c r="R522" s="569"/>
      <c r="S522" s="569"/>
      <c r="T522" s="569"/>
      <c r="U522" s="569"/>
      <c r="V522" s="569"/>
      <c r="W522" s="569"/>
      <c r="X522" s="569"/>
      <c r="Y522" s="569"/>
      <c r="Z522" s="569"/>
      <c r="AA522" s="569"/>
      <c r="AB522" s="569"/>
      <c r="AC522" s="569"/>
      <c r="AD522" s="569"/>
      <c r="AE522" s="569"/>
      <c r="AF522" s="569"/>
      <c r="AG522" s="569"/>
      <c r="AH522" s="569"/>
      <c r="AI522" s="569"/>
      <c r="AJ522" s="569"/>
      <c r="AK522" s="569"/>
      <c r="AL522" s="569"/>
      <c r="AM522" s="569"/>
      <c r="AN522" s="574">
        <v>6.4</v>
      </c>
      <c r="AO522">
        <v>521</v>
      </c>
      <c r="AP522" t="str">
        <f t="shared" si="105"/>
        <v/>
      </c>
      <c r="AQ522" t="str">
        <f t="shared" si="108"/>
        <v/>
      </c>
      <c r="AR522" s="430">
        <f>IFERROR(
IF(AP522="",-100,
IF($BV$2&gt;0, INDEX(Beersheet!$A:$U,MATCH(AP522,INDEX(Beersheet!$A:$U,0,FFARawStatProjections!$BV$2),0),$BV$3)+$BN522,
INDEX($A522:$BM522,,$BV$12)*$BW$12+
INDEX($A522:$BM522,,$BV$15)*$BW$15+
INDEX($A522:$BM522,,$BV$16)*$BW$16+
INDEX($A522:$BM522,,$BV$17)*$BW$17+
INDEX($A522:$BM522,,$BV$18)*$BW$18+
INDEX($A522:$BM522,,$BV$19)*$BW$19+
INDEX($A522:$BM522,,$BV$20)*$BW$20+
INDEX($A522:$BM522,,$BV$21)*$BW$21+
INDEX($A522:$BM522,,$BV$22)*$BW$22+
INDEX($A522:$BM522,,$BV$23)*$BW$23+
INDEX($A522:$BM522,,$BV$25)*$BW$25+
INDEX($A522:$BM522,,$BV$26)*$BW$26+
INDEX($A522:$BM522,,$BV$27)*$BW$27+
$BN522)),
$BN522-100)</f>
        <v>-100</v>
      </c>
      <c r="AT522" t="str">
        <f t="shared" si="109"/>
        <v/>
      </c>
      <c r="AU522" t="str">
        <f t="shared" si="110"/>
        <v/>
      </c>
      <c r="AV522" s="430">
        <f>IFERROR(
IF(AT522="",-100,
IF($BV$2&gt;0, INDEX(Beersheet!$A:$U,MATCH(AT522,INDEX(Beersheet!$A:$U,0,FFARawStatProjections!$BV$2),0),$BV$3)+$BN522,
INDEX($A522:$BM522,,$BV$12)*$BW$12+
INDEX($A522:$BM522,,$BV$15)*$BW$15+
INDEX($A522:$BM522,,$BV$16)*$BW$16+
INDEX($A522:$BM522,,$BV$17)*$BW$17+
INDEX($A522:$BM522,,$BV$18)*$BW$18+
INDEX($A522:$BM522,,$BV$19)*$BW$19+
INDEX($A522:$BM522,,$BV$20)*$BW$20+
INDEX($A522:$BM522,,$BV$21)*$BW$21+
INDEX($A522:$BM522,,$BV$22)*$BW$22+
INDEX($A522:$BM522,,$BV$23)*$BW$23+
INDEX($A522:$BM522,,$BV$25)*$BW$25+
INDEX($A522:$BM522,,$BV$26)*$BW$26+
INDEX($A522:$BM522,,$BV$27)*$BW$27+
$BN522)),
$BN522-100)</f>
        <v>-100</v>
      </c>
      <c r="AX522" t="str">
        <f t="shared" si="111"/>
        <v>Simi Fehoko</v>
      </c>
      <c r="AY522" t="str">
        <f t="shared" si="112"/>
        <v>DAL</v>
      </c>
      <c r="AZ522" s="430">
        <f>IFERROR(
IF(AX522="",-100,
IF($BV$2&gt;0, INDEX(Beersheet!$A:$U,MATCH(AX522,INDEX(Beersheet!$A:$U,0,FFARawStatProjections!$BV$2),0),$BV$3)+$BN522,
INDEX($A522:$BM522,,$BV$12)*$BW$12+
INDEX($A522:$BM522,,$BV$15)*$BW$15+
INDEX($A522:$BM522,,$BV$16)*$BW$16+
INDEX($A522:$BM522,,$BV$17)*$BW$17+
INDEX($A522:$BM522,,$BV$18)*$BW$18+
INDEX($A522:$BM522,,$BV$19)*$BW$19+
INDEX($A522:$BM522,,$BV$20)*$BW$20+
INDEX($A522:$BM522,,$BV$21)*$BW$21+
INDEX($A522:$BM522,,$BV$22)*$BW$22+
INDEX($A522:$BM522,,$BV$23)*$BW$23+
INDEX($A522:$BM522,,$BV$25)*$BW$25+
INDEX($A522:$BM522,,$BV$26)*$BW$26+
INDEX($A522:$BM522,,$BV$27)*$BW$27+
$BN522)),
$BN522-100)</f>
        <v>9.7152100000000008</v>
      </c>
      <c r="BB522" t="str">
        <f t="shared" si="113"/>
        <v/>
      </c>
      <c r="BC522" t="str">
        <f t="shared" si="107"/>
        <v/>
      </c>
      <c r="BD522" s="430">
        <f>IFERROR(
IF(BB522="",-100,
IF($BV$2&gt;0, INDEX(Beersheet!$A:$U,MATCH(BB522,INDEX(Beersheet!$A:$U,0,FFARawStatProjections!$BV$2),0),$BV$3)+$BN522,
INDEX($A522:$BM522,,$BV$12)*$BW$12+
INDEX($A522:$BM522,,$BV$15)*$BW$15+
INDEX($A522:$BM522,,$BV$16)*$BW$16+
INDEX($A522:$BM522,,$BV$17)*$BW$17+
INDEX($A522:$BM522,,$BV$18)*$BW$18+
INDEX($A522:$BM522,,$BV$19)*$BW$19+
INDEX($A522:$BM522,,$BV$20)*$BW$20+
INDEX($A522:$BM522,,$BV$21)*$BW$21+
INDEX($A522:$BM522,,$BV$22)*$BW$22+
INDEX($A522:$BM522,,$BV$23)*$BW$23+
INDEX($A522:$BM522,,$BV$25)*$BW$25+
INDEX($A522:$BM522,,$BV$26)*$BW$26+
INDEX($A522:$BM522,,$BV$27)*$BW$27+
$BN522)),
$BN522-100)</f>
        <v>-100</v>
      </c>
      <c r="BF522" t="str">
        <f t="shared" si="114"/>
        <v/>
      </c>
      <c r="BG522" t="str">
        <f t="shared" si="115"/>
        <v/>
      </c>
      <c r="BH522">
        <f t="shared" si="116"/>
        <v>0</v>
      </c>
      <c r="BJ522" t="str">
        <f t="shared" si="117"/>
        <v/>
      </c>
      <c r="BL522">
        <f t="shared" si="106"/>
        <v>0</v>
      </c>
      <c r="BN522">
        <v>5.2100000000000002E-3</v>
      </c>
      <c r="BS522" s="4" t="s">
        <v>1879</v>
      </c>
    </row>
    <row r="523" spans="1:71" ht="15.75" thickBot="1" x14ac:dyDescent="0.3">
      <c r="A523" s="569" t="s">
        <v>2498</v>
      </c>
      <c r="B523" s="569" t="s">
        <v>146</v>
      </c>
      <c r="C523" s="569" t="s">
        <v>6</v>
      </c>
      <c r="D523" s="574">
        <v>7</v>
      </c>
      <c r="E523" s="569"/>
      <c r="F523" s="569"/>
      <c r="G523" s="569"/>
      <c r="H523" s="569"/>
      <c r="I523" s="574">
        <v>0</v>
      </c>
      <c r="J523" s="574">
        <v>0</v>
      </c>
      <c r="K523" s="574">
        <v>0</v>
      </c>
      <c r="L523" s="574">
        <v>3.5</v>
      </c>
      <c r="M523" s="574">
        <v>0.3</v>
      </c>
      <c r="N523" s="574">
        <v>42.8</v>
      </c>
      <c r="O523" s="574">
        <v>0</v>
      </c>
      <c r="P523" s="574">
        <v>0</v>
      </c>
      <c r="Q523" s="574">
        <v>0</v>
      </c>
      <c r="R523" s="569"/>
      <c r="S523" s="569"/>
      <c r="T523" s="569"/>
      <c r="U523" s="569"/>
      <c r="V523" s="569"/>
      <c r="W523" s="569"/>
      <c r="X523" s="569"/>
      <c r="Y523" s="569"/>
      <c r="Z523" s="569"/>
      <c r="AA523" s="569"/>
      <c r="AB523" s="569"/>
      <c r="AC523" s="569"/>
      <c r="AD523" s="569"/>
      <c r="AE523" s="569"/>
      <c r="AF523" s="569"/>
      <c r="AG523" s="569"/>
      <c r="AH523" s="569"/>
      <c r="AI523" s="569"/>
      <c r="AJ523" s="569"/>
      <c r="AK523" s="569"/>
      <c r="AL523" s="569"/>
      <c r="AM523" s="569"/>
      <c r="AN523" s="574">
        <v>6.3</v>
      </c>
      <c r="AO523">
        <v>522</v>
      </c>
      <c r="AP523" t="str">
        <f t="shared" si="105"/>
        <v/>
      </c>
      <c r="AQ523" t="str">
        <f t="shared" si="108"/>
        <v/>
      </c>
      <c r="AR523" s="430">
        <f>IFERROR(
IF(AP523="",-100,
IF($BV$2&gt;0, INDEX(Beersheet!$A:$U,MATCH(AP523,INDEX(Beersheet!$A:$U,0,FFARawStatProjections!$BV$2),0),$BV$3)+$BN523,
INDEX($A523:$BM523,,$BV$12)*$BW$12+
INDEX($A523:$BM523,,$BV$15)*$BW$15+
INDEX($A523:$BM523,,$BV$16)*$BW$16+
INDEX($A523:$BM523,,$BV$17)*$BW$17+
INDEX($A523:$BM523,,$BV$18)*$BW$18+
INDEX($A523:$BM523,,$BV$19)*$BW$19+
INDEX($A523:$BM523,,$BV$20)*$BW$20+
INDEX($A523:$BM523,,$BV$21)*$BW$21+
INDEX($A523:$BM523,,$BV$22)*$BW$22+
INDEX($A523:$BM523,,$BV$23)*$BW$23+
INDEX($A523:$BM523,,$BV$25)*$BW$25+
INDEX($A523:$BM523,,$BV$26)*$BW$26+
INDEX($A523:$BM523,,$BV$27)*$BW$27+
$BN523)),
$BN523-100)</f>
        <v>-100</v>
      </c>
      <c r="AT523" t="str">
        <f t="shared" si="109"/>
        <v/>
      </c>
      <c r="AU523" t="str">
        <f t="shared" si="110"/>
        <v/>
      </c>
      <c r="AV523" s="430">
        <f>IFERROR(
IF(AT523="",-100,
IF($BV$2&gt;0, INDEX(Beersheet!$A:$U,MATCH(AT523,INDEX(Beersheet!$A:$U,0,FFARawStatProjections!$BV$2),0),$BV$3)+$BN523,
INDEX($A523:$BM523,,$BV$12)*$BW$12+
INDEX($A523:$BM523,,$BV$15)*$BW$15+
INDEX($A523:$BM523,,$BV$16)*$BW$16+
INDEX($A523:$BM523,,$BV$17)*$BW$17+
INDEX($A523:$BM523,,$BV$18)*$BW$18+
INDEX($A523:$BM523,,$BV$19)*$BW$19+
INDEX($A523:$BM523,,$BV$20)*$BW$20+
INDEX($A523:$BM523,,$BV$21)*$BW$21+
INDEX($A523:$BM523,,$BV$22)*$BW$22+
INDEX($A523:$BM523,,$BV$23)*$BW$23+
INDEX($A523:$BM523,,$BV$25)*$BW$25+
INDEX($A523:$BM523,,$BV$26)*$BW$26+
INDEX($A523:$BM523,,$BV$27)*$BW$27+
$BN523)),
$BN523-100)</f>
        <v>-100</v>
      </c>
      <c r="AX523" t="str">
        <f t="shared" si="111"/>
        <v>Dennis Houston</v>
      </c>
      <c r="AY523" t="str">
        <f t="shared" si="112"/>
        <v>DAL</v>
      </c>
      <c r="AZ523" s="430">
        <f>IFERROR(
IF(AX523="",-100,
IF($BV$2&gt;0, INDEX(Beersheet!$A:$U,MATCH(AX523,INDEX(Beersheet!$A:$U,0,FFARawStatProjections!$BV$2),0),$BV$3)+$BN523,
INDEX($A523:$BM523,,$BV$12)*$BW$12+
INDEX($A523:$BM523,,$BV$15)*$BW$15+
INDEX($A523:$BM523,,$BV$16)*$BW$16+
INDEX($A523:$BM523,,$BV$17)*$BW$17+
INDEX($A523:$BM523,,$BV$18)*$BW$18+
INDEX($A523:$BM523,,$BV$19)*$BW$19+
INDEX($A523:$BM523,,$BV$20)*$BW$20+
INDEX($A523:$BM523,,$BV$21)*$BW$21+
INDEX($A523:$BM523,,$BV$22)*$BW$22+
INDEX($A523:$BM523,,$BV$23)*$BW$23+
INDEX($A523:$BM523,,$BV$25)*$BW$25+
INDEX($A523:$BM523,,$BV$26)*$BW$26+
INDEX($A523:$BM523,,$BV$27)*$BW$27+
$BN523)),
$BN523-100)</f>
        <v>9.5852199999999996</v>
      </c>
      <c r="BB523" t="str">
        <f t="shared" si="113"/>
        <v/>
      </c>
      <c r="BC523" t="str">
        <f t="shared" si="107"/>
        <v/>
      </c>
      <c r="BD523" s="430">
        <f>IFERROR(
IF(BB523="",-100,
IF($BV$2&gt;0, INDEX(Beersheet!$A:$U,MATCH(BB523,INDEX(Beersheet!$A:$U,0,FFARawStatProjections!$BV$2),0),$BV$3)+$BN523,
INDEX($A523:$BM523,,$BV$12)*$BW$12+
INDEX($A523:$BM523,,$BV$15)*$BW$15+
INDEX($A523:$BM523,,$BV$16)*$BW$16+
INDEX($A523:$BM523,,$BV$17)*$BW$17+
INDEX($A523:$BM523,,$BV$18)*$BW$18+
INDEX($A523:$BM523,,$BV$19)*$BW$19+
INDEX($A523:$BM523,,$BV$20)*$BW$20+
INDEX($A523:$BM523,,$BV$21)*$BW$21+
INDEX($A523:$BM523,,$BV$22)*$BW$22+
INDEX($A523:$BM523,,$BV$23)*$BW$23+
INDEX($A523:$BM523,,$BV$25)*$BW$25+
INDEX($A523:$BM523,,$BV$26)*$BW$26+
INDEX($A523:$BM523,,$BV$27)*$BW$27+
$BN523)),
$BN523-100)</f>
        <v>-100</v>
      </c>
      <c r="BF523" t="str">
        <f t="shared" si="114"/>
        <v/>
      </c>
      <c r="BG523" t="str">
        <f t="shared" si="115"/>
        <v/>
      </c>
      <c r="BH523">
        <f t="shared" si="116"/>
        <v>0</v>
      </c>
      <c r="BJ523" t="str">
        <f t="shared" si="117"/>
        <v/>
      </c>
      <c r="BL523">
        <f t="shared" si="106"/>
        <v>0</v>
      </c>
      <c r="BN523">
        <v>5.2199999999999998E-3</v>
      </c>
      <c r="BS523" s="4" t="s">
        <v>2172</v>
      </c>
    </row>
    <row r="524" spans="1:71" ht="15.75" thickBot="1" x14ac:dyDescent="0.3">
      <c r="A524" s="569" t="s">
        <v>2544</v>
      </c>
      <c r="B524" s="569" t="s">
        <v>139</v>
      </c>
      <c r="C524" s="569" t="s">
        <v>6</v>
      </c>
      <c r="D524" s="574">
        <v>6</v>
      </c>
      <c r="E524" s="569"/>
      <c r="F524" s="569"/>
      <c r="G524" s="569"/>
      <c r="H524" s="569"/>
      <c r="I524" s="574">
        <v>0</v>
      </c>
      <c r="J524" s="574">
        <v>0</v>
      </c>
      <c r="K524" s="574">
        <v>0</v>
      </c>
      <c r="L524" s="574">
        <v>3.4</v>
      </c>
      <c r="M524" s="574">
        <v>0.3</v>
      </c>
      <c r="N524" s="574">
        <v>43.1</v>
      </c>
      <c r="O524" s="574">
        <v>0</v>
      </c>
      <c r="P524" s="574">
        <v>0</v>
      </c>
      <c r="Q524" s="574">
        <v>3.2</v>
      </c>
      <c r="R524" s="569"/>
      <c r="S524" s="569"/>
      <c r="T524" s="569"/>
      <c r="U524" s="569"/>
      <c r="V524" s="569"/>
      <c r="W524" s="569"/>
      <c r="X524" s="569"/>
      <c r="Y524" s="569"/>
      <c r="Z524" s="569"/>
      <c r="AA524" s="569"/>
      <c r="AB524" s="569"/>
      <c r="AC524" s="569"/>
      <c r="AD524" s="569"/>
      <c r="AE524" s="569"/>
      <c r="AF524" s="569"/>
      <c r="AG524" s="569"/>
      <c r="AH524" s="569"/>
      <c r="AI524" s="569"/>
      <c r="AJ524" s="569"/>
      <c r="AK524" s="569"/>
      <c r="AL524" s="569"/>
      <c r="AM524" s="569"/>
      <c r="AN524" s="574">
        <v>6.2</v>
      </c>
      <c r="AO524">
        <v>523</v>
      </c>
      <c r="AP524" t="str">
        <f t="shared" si="105"/>
        <v/>
      </c>
      <c r="AQ524" t="str">
        <f t="shared" si="108"/>
        <v/>
      </c>
      <c r="AR524" s="430">
        <f>IFERROR(
IF(AP524="",-100,
IF($BV$2&gt;0, INDEX(Beersheet!$A:$U,MATCH(AP524,INDEX(Beersheet!$A:$U,0,FFARawStatProjections!$BV$2),0),$BV$3)+$BN524,
INDEX($A524:$BM524,,$BV$12)*$BW$12+
INDEX($A524:$BM524,,$BV$15)*$BW$15+
INDEX($A524:$BM524,,$BV$16)*$BW$16+
INDEX($A524:$BM524,,$BV$17)*$BW$17+
INDEX($A524:$BM524,,$BV$18)*$BW$18+
INDEX($A524:$BM524,,$BV$19)*$BW$19+
INDEX($A524:$BM524,,$BV$20)*$BW$20+
INDEX($A524:$BM524,,$BV$21)*$BW$21+
INDEX($A524:$BM524,,$BV$22)*$BW$22+
INDEX($A524:$BM524,,$BV$23)*$BW$23+
INDEX($A524:$BM524,,$BV$25)*$BW$25+
INDEX($A524:$BM524,,$BV$26)*$BW$26+
INDEX($A524:$BM524,,$BV$27)*$BW$27+
$BN524)),
$BN524-100)</f>
        <v>-100</v>
      </c>
      <c r="AT524" t="str">
        <f t="shared" si="109"/>
        <v/>
      </c>
      <c r="AU524" t="str">
        <f t="shared" si="110"/>
        <v/>
      </c>
      <c r="AV524" s="430">
        <f>IFERROR(
IF(AT524="",-100,
IF($BV$2&gt;0, INDEX(Beersheet!$A:$U,MATCH(AT524,INDEX(Beersheet!$A:$U,0,FFARawStatProjections!$BV$2),0),$BV$3)+$BN524,
INDEX($A524:$BM524,,$BV$12)*$BW$12+
INDEX($A524:$BM524,,$BV$15)*$BW$15+
INDEX($A524:$BM524,,$BV$16)*$BW$16+
INDEX($A524:$BM524,,$BV$17)*$BW$17+
INDEX($A524:$BM524,,$BV$18)*$BW$18+
INDEX($A524:$BM524,,$BV$19)*$BW$19+
INDEX($A524:$BM524,,$BV$20)*$BW$20+
INDEX($A524:$BM524,,$BV$21)*$BW$21+
INDEX($A524:$BM524,,$BV$22)*$BW$22+
INDEX($A524:$BM524,,$BV$23)*$BW$23+
INDEX($A524:$BM524,,$BV$25)*$BW$25+
INDEX($A524:$BM524,,$BV$26)*$BW$26+
INDEX($A524:$BM524,,$BV$27)*$BW$27+
$BN524)),
$BN524-100)</f>
        <v>-100</v>
      </c>
      <c r="AX524" t="str">
        <f t="shared" si="111"/>
        <v>Cody Chrest</v>
      </c>
      <c r="AY524" t="str">
        <f t="shared" si="112"/>
        <v>GB</v>
      </c>
      <c r="AZ524" s="430">
        <f>IFERROR(
IF(AX524="",-100,
IF($BV$2&gt;0, INDEX(Beersheet!$A:$U,MATCH(AX524,INDEX(Beersheet!$A:$U,0,FFARawStatProjections!$BV$2),0),$BV$3)+$BN524,
INDEX($A524:$BM524,,$BV$12)*$BW$12+
INDEX($A524:$BM524,,$BV$15)*$BW$15+
INDEX($A524:$BM524,,$BV$16)*$BW$16+
INDEX($A524:$BM524,,$BV$17)*$BW$17+
INDEX($A524:$BM524,,$BV$18)*$BW$18+
INDEX($A524:$BM524,,$BV$19)*$BW$19+
INDEX($A524:$BM524,,$BV$20)*$BW$20+
INDEX($A524:$BM524,,$BV$21)*$BW$21+
INDEX($A524:$BM524,,$BV$22)*$BW$22+
INDEX($A524:$BM524,,$BV$23)*$BW$23+
INDEX($A524:$BM524,,$BV$25)*$BW$25+
INDEX($A524:$BM524,,$BV$26)*$BW$26+
INDEX($A524:$BM524,,$BV$27)*$BW$27+
$BN524)),
$BN524-100)</f>
        <v>9.8352299999999993</v>
      </c>
      <c r="BB524" t="str">
        <f t="shared" si="113"/>
        <v/>
      </c>
      <c r="BC524" t="str">
        <f t="shared" si="107"/>
        <v/>
      </c>
      <c r="BD524" s="430">
        <f>IFERROR(
IF(BB524="",-100,
IF($BV$2&gt;0, INDEX(Beersheet!$A:$U,MATCH(BB524,INDEX(Beersheet!$A:$U,0,FFARawStatProjections!$BV$2),0),$BV$3)+$BN524,
INDEX($A524:$BM524,,$BV$12)*$BW$12+
INDEX($A524:$BM524,,$BV$15)*$BW$15+
INDEX($A524:$BM524,,$BV$16)*$BW$16+
INDEX($A524:$BM524,,$BV$17)*$BW$17+
INDEX($A524:$BM524,,$BV$18)*$BW$18+
INDEX($A524:$BM524,,$BV$19)*$BW$19+
INDEX($A524:$BM524,,$BV$20)*$BW$20+
INDEX($A524:$BM524,,$BV$21)*$BW$21+
INDEX($A524:$BM524,,$BV$22)*$BW$22+
INDEX($A524:$BM524,,$BV$23)*$BW$23+
INDEX($A524:$BM524,,$BV$25)*$BW$25+
INDEX($A524:$BM524,,$BV$26)*$BW$26+
INDEX($A524:$BM524,,$BV$27)*$BW$27+
$BN524)),
$BN524-100)</f>
        <v>-100</v>
      </c>
      <c r="BF524" t="str">
        <f t="shared" si="114"/>
        <v/>
      </c>
      <c r="BG524" t="str">
        <f t="shared" si="115"/>
        <v/>
      </c>
      <c r="BH524">
        <f t="shared" si="116"/>
        <v>0</v>
      </c>
      <c r="BJ524" t="str">
        <f t="shared" si="117"/>
        <v/>
      </c>
      <c r="BL524">
        <f t="shared" si="106"/>
        <v>0</v>
      </c>
      <c r="BN524">
        <v>5.2300000000000003E-3</v>
      </c>
      <c r="BS524" s="4" t="s">
        <v>2316</v>
      </c>
    </row>
    <row r="525" spans="1:71" ht="15.75" thickBot="1" x14ac:dyDescent="0.3">
      <c r="A525" s="569" t="s">
        <v>2229</v>
      </c>
      <c r="B525" s="569" t="s">
        <v>145</v>
      </c>
      <c r="C525" s="569" t="s">
        <v>6</v>
      </c>
      <c r="D525" s="574">
        <v>7</v>
      </c>
      <c r="E525" s="569"/>
      <c r="F525" s="569"/>
      <c r="G525" s="569"/>
      <c r="H525" s="569"/>
      <c r="I525" s="574">
        <v>0</v>
      </c>
      <c r="J525" s="574">
        <v>0</v>
      </c>
      <c r="K525" s="574">
        <v>0</v>
      </c>
      <c r="L525" s="574">
        <v>3.8</v>
      </c>
      <c r="M525" s="574">
        <v>0.3</v>
      </c>
      <c r="N525" s="574">
        <v>42.9</v>
      </c>
      <c r="O525" s="574">
        <v>0</v>
      </c>
      <c r="P525" s="574">
        <v>0</v>
      </c>
      <c r="Q525" s="574">
        <v>0</v>
      </c>
      <c r="R525" s="569"/>
      <c r="S525" s="569"/>
      <c r="T525" s="569"/>
      <c r="U525" s="569"/>
      <c r="V525" s="569"/>
      <c r="W525" s="569"/>
      <c r="X525" s="569"/>
      <c r="Y525" s="569"/>
      <c r="Z525" s="569"/>
      <c r="AA525" s="569"/>
      <c r="AB525" s="569"/>
      <c r="AC525" s="569"/>
      <c r="AD525" s="569"/>
      <c r="AE525" s="569"/>
      <c r="AF525" s="569"/>
      <c r="AG525" s="569"/>
      <c r="AH525" s="569"/>
      <c r="AI525" s="569"/>
      <c r="AJ525" s="569"/>
      <c r="AK525" s="569"/>
      <c r="AL525" s="569"/>
      <c r="AM525" s="569"/>
      <c r="AN525" s="574">
        <v>6.2</v>
      </c>
      <c r="AO525">
        <v>524</v>
      </c>
      <c r="AP525" t="str">
        <f t="shared" si="105"/>
        <v/>
      </c>
      <c r="AQ525" t="str">
        <f t="shared" si="108"/>
        <v/>
      </c>
      <c r="AR525" s="430">
        <f>IFERROR(
IF(AP525="",-100,
IF($BV$2&gt;0, INDEX(Beersheet!$A:$U,MATCH(AP525,INDEX(Beersheet!$A:$U,0,FFARawStatProjections!$BV$2),0),$BV$3)+$BN525,
INDEX($A525:$BM525,,$BV$12)*$BW$12+
INDEX($A525:$BM525,,$BV$15)*$BW$15+
INDEX($A525:$BM525,,$BV$16)*$BW$16+
INDEX($A525:$BM525,,$BV$17)*$BW$17+
INDEX($A525:$BM525,,$BV$18)*$BW$18+
INDEX($A525:$BM525,,$BV$19)*$BW$19+
INDEX($A525:$BM525,,$BV$20)*$BW$20+
INDEX($A525:$BM525,,$BV$21)*$BW$21+
INDEX($A525:$BM525,,$BV$22)*$BW$22+
INDEX($A525:$BM525,,$BV$23)*$BW$23+
INDEX($A525:$BM525,,$BV$25)*$BW$25+
INDEX($A525:$BM525,,$BV$26)*$BW$26+
INDEX($A525:$BM525,,$BV$27)*$BW$27+
$BN525)),
$BN525-100)</f>
        <v>-100</v>
      </c>
      <c r="AT525" t="str">
        <f t="shared" si="109"/>
        <v/>
      </c>
      <c r="AU525" t="str">
        <f t="shared" si="110"/>
        <v/>
      </c>
      <c r="AV525" s="430">
        <f>IFERROR(
IF(AT525="",-100,
IF($BV$2&gt;0, INDEX(Beersheet!$A:$U,MATCH(AT525,INDEX(Beersheet!$A:$U,0,FFARawStatProjections!$BV$2),0),$BV$3)+$BN525,
INDEX($A525:$BM525,,$BV$12)*$BW$12+
INDEX($A525:$BM525,,$BV$15)*$BW$15+
INDEX($A525:$BM525,,$BV$16)*$BW$16+
INDEX($A525:$BM525,,$BV$17)*$BW$17+
INDEX($A525:$BM525,,$BV$18)*$BW$18+
INDEX($A525:$BM525,,$BV$19)*$BW$19+
INDEX($A525:$BM525,,$BV$20)*$BW$20+
INDEX($A525:$BM525,,$BV$21)*$BW$21+
INDEX($A525:$BM525,,$BV$22)*$BW$22+
INDEX($A525:$BM525,,$BV$23)*$BW$23+
INDEX($A525:$BM525,,$BV$25)*$BW$25+
INDEX($A525:$BM525,,$BV$26)*$BW$26+
INDEX($A525:$BM525,,$BV$27)*$BW$27+
$BN525)),
$BN525-100)</f>
        <v>-100</v>
      </c>
      <c r="AX525" t="str">
        <f t="shared" si="111"/>
        <v>Stanley Morgan</v>
      </c>
      <c r="AY525" t="str">
        <f t="shared" si="112"/>
        <v>CIN</v>
      </c>
      <c r="AZ525" s="430">
        <f>IFERROR(
IF(AX525="",-100,
IF($BV$2&gt;0, INDEX(Beersheet!$A:$U,MATCH(AX525,INDEX(Beersheet!$A:$U,0,FFARawStatProjections!$BV$2),0),$BV$3)+$BN525,
INDEX($A525:$BM525,,$BV$12)*$BW$12+
INDEX($A525:$BM525,,$BV$15)*$BW$15+
INDEX($A525:$BM525,,$BV$16)*$BW$16+
INDEX($A525:$BM525,,$BV$17)*$BW$17+
INDEX($A525:$BM525,,$BV$18)*$BW$18+
INDEX($A525:$BM525,,$BV$19)*$BW$19+
INDEX($A525:$BM525,,$BV$20)*$BW$20+
INDEX($A525:$BM525,,$BV$21)*$BW$21+
INDEX($A525:$BM525,,$BV$22)*$BW$22+
INDEX($A525:$BM525,,$BV$23)*$BW$23+
INDEX($A525:$BM525,,$BV$25)*$BW$25+
INDEX($A525:$BM525,,$BV$26)*$BW$26+
INDEX($A525:$BM525,,$BV$27)*$BW$27+
$BN525)),
$BN525-100)</f>
        <v>9.8952400000000011</v>
      </c>
      <c r="BB525" t="str">
        <f t="shared" si="113"/>
        <v/>
      </c>
      <c r="BC525" t="str">
        <f t="shared" si="107"/>
        <v/>
      </c>
      <c r="BD525" s="430">
        <f>IFERROR(
IF(BB525="",-100,
IF($BV$2&gt;0, INDEX(Beersheet!$A:$U,MATCH(BB525,INDEX(Beersheet!$A:$U,0,FFARawStatProjections!$BV$2),0),$BV$3)+$BN525,
INDEX($A525:$BM525,,$BV$12)*$BW$12+
INDEX($A525:$BM525,,$BV$15)*$BW$15+
INDEX($A525:$BM525,,$BV$16)*$BW$16+
INDEX($A525:$BM525,,$BV$17)*$BW$17+
INDEX($A525:$BM525,,$BV$18)*$BW$18+
INDEX($A525:$BM525,,$BV$19)*$BW$19+
INDEX($A525:$BM525,,$BV$20)*$BW$20+
INDEX($A525:$BM525,,$BV$21)*$BW$21+
INDEX($A525:$BM525,,$BV$22)*$BW$22+
INDEX($A525:$BM525,,$BV$23)*$BW$23+
INDEX($A525:$BM525,,$BV$25)*$BW$25+
INDEX($A525:$BM525,,$BV$26)*$BW$26+
INDEX($A525:$BM525,,$BV$27)*$BW$27+
$BN525)),
$BN525-100)</f>
        <v>-100</v>
      </c>
      <c r="BF525" t="str">
        <f t="shared" si="114"/>
        <v/>
      </c>
      <c r="BG525" t="str">
        <f t="shared" si="115"/>
        <v/>
      </c>
      <c r="BH525">
        <f t="shared" si="116"/>
        <v>0</v>
      </c>
      <c r="BJ525" t="str">
        <f t="shared" si="117"/>
        <v/>
      </c>
      <c r="BL525">
        <f t="shared" si="106"/>
        <v>0</v>
      </c>
      <c r="BN525">
        <v>5.2399999999999999E-3</v>
      </c>
      <c r="BS525" s="4" t="s">
        <v>2166</v>
      </c>
    </row>
    <row r="526" spans="1:71" ht="15.75" thickBot="1" x14ac:dyDescent="0.3">
      <c r="A526" s="569" t="s">
        <v>2224</v>
      </c>
      <c r="B526" s="569" t="s">
        <v>165</v>
      </c>
      <c r="C526" s="569" t="s">
        <v>6</v>
      </c>
      <c r="D526" s="574">
        <v>9</v>
      </c>
      <c r="E526" s="569"/>
      <c r="F526" s="569"/>
      <c r="G526" s="569"/>
      <c r="H526" s="569"/>
      <c r="I526" s="574">
        <v>0</v>
      </c>
      <c r="J526" s="574">
        <v>0</v>
      </c>
      <c r="K526" s="574">
        <v>0</v>
      </c>
      <c r="L526" s="574">
        <v>3.7</v>
      </c>
      <c r="M526" s="574">
        <v>0.2</v>
      </c>
      <c r="N526" s="574">
        <v>47.4</v>
      </c>
      <c r="O526" s="574">
        <v>0</v>
      </c>
      <c r="P526" s="574">
        <v>0</v>
      </c>
      <c r="Q526" s="574">
        <v>0</v>
      </c>
      <c r="R526" s="569"/>
      <c r="S526" s="569"/>
      <c r="T526" s="569"/>
      <c r="U526" s="569"/>
      <c r="V526" s="569"/>
      <c r="W526" s="569"/>
      <c r="X526" s="569"/>
      <c r="Y526" s="569"/>
      <c r="Z526" s="569"/>
      <c r="AA526" s="569"/>
      <c r="AB526" s="569"/>
      <c r="AC526" s="569"/>
      <c r="AD526" s="569"/>
      <c r="AE526" s="569"/>
      <c r="AF526" s="569"/>
      <c r="AG526" s="569"/>
      <c r="AH526" s="569"/>
      <c r="AI526" s="569"/>
      <c r="AJ526" s="569"/>
      <c r="AK526" s="569"/>
      <c r="AL526" s="569"/>
      <c r="AM526" s="569"/>
      <c r="AN526" s="574">
        <v>6.2</v>
      </c>
      <c r="AO526">
        <v>525</v>
      </c>
      <c r="AP526" t="str">
        <f t="shared" si="105"/>
        <v/>
      </c>
      <c r="AQ526" t="str">
        <f t="shared" si="108"/>
        <v/>
      </c>
      <c r="AR526" s="430">
        <f>IFERROR(
IF(AP526="",-100,
IF($BV$2&gt;0, INDEX(Beersheet!$A:$U,MATCH(AP526,INDEX(Beersheet!$A:$U,0,FFARawStatProjections!$BV$2),0),$BV$3)+$BN526,
INDEX($A526:$BM526,,$BV$12)*$BW$12+
INDEX($A526:$BM526,,$BV$15)*$BW$15+
INDEX($A526:$BM526,,$BV$16)*$BW$16+
INDEX($A526:$BM526,,$BV$17)*$BW$17+
INDEX($A526:$BM526,,$BV$18)*$BW$18+
INDEX($A526:$BM526,,$BV$19)*$BW$19+
INDEX($A526:$BM526,,$BV$20)*$BW$20+
INDEX($A526:$BM526,,$BV$21)*$BW$21+
INDEX($A526:$BM526,,$BV$22)*$BW$22+
INDEX($A526:$BM526,,$BV$23)*$BW$23+
INDEX($A526:$BM526,,$BV$25)*$BW$25+
INDEX($A526:$BM526,,$BV$26)*$BW$26+
INDEX($A526:$BM526,,$BV$27)*$BW$27+
$BN526)),
$BN526-100)</f>
        <v>-100</v>
      </c>
      <c r="AT526" t="str">
        <f t="shared" si="109"/>
        <v/>
      </c>
      <c r="AU526" t="str">
        <f t="shared" si="110"/>
        <v/>
      </c>
      <c r="AV526" s="430">
        <f>IFERROR(
IF(AT526="",-100,
IF($BV$2&gt;0, INDEX(Beersheet!$A:$U,MATCH(AT526,INDEX(Beersheet!$A:$U,0,FFARawStatProjections!$BV$2),0),$BV$3)+$BN526,
INDEX($A526:$BM526,,$BV$12)*$BW$12+
INDEX($A526:$BM526,,$BV$15)*$BW$15+
INDEX($A526:$BM526,,$BV$16)*$BW$16+
INDEX($A526:$BM526,,$BV$17)*$BW$17+
INDEX($A526:$BM526,,$BV$18)*$BW$18+
INDEX($A526:$BM526,,$BV$19)*$BW$19+
INDEX($A526:$BM526,,$BV$20)*$BW$20+
INDEX($A526:$BM526,,$BV$21)*$BW$21+
INDEX($A526:$BM526,,$BV$22)*$BW$22+
INDEX($A526:$BM526,,$BV$23)*$BW$23+
INDEX($A526:$BM526,,$BV$25)*$BW$25+
INDEX($A526:$BM526,,$BV$26)*$BW$26+
INDEX($A526:$BM526,,$BV$27)*$BW$27+
$BN526)),
$BN526-100)</f>
        <v>-100</v>
      </c>
      <c r="AX526" t="str">
        <f t="shared" si="111"/>
        <v>Seth Williams</v>
      </c>
      <c r="AY526" t="str">
        <f t="shared" si="112"/>
        <v>JAC</v>
      </c>
      <c r="AZ526" s="430">
        <f>IFERROR(
IF(AX526="",-100,
IF($BV$2&gt;0, INDEX(Beersheet!$A:$U,MATCH(AX526,INDEX(Beersheet!$A:$U,0,FFARawStatProjections!$BV$2),0),$BV$3)+$BN526,
INDEX($A526:$BM526,,$BV$12)*$BW$12+
INDEX($A526:$BM526,,$BV$15)*$BW$15+
INDEX($A526:$BM526,,$BV$16)*$BW$16+
INDEX($A526:$BM526,,$BV$17)*$BW$17+
INDEX($A526:$BM526,,$BV$18)*$BW$18+
INDEX($A526:$BM526,,$BV$19)*$BW$19+
INDEX($A526:$BM526,,$BV$20)*$BW$20+
INDEX($A526:$BM526,,$BV$21)*$BW$21+
INDEX($A526:$BM526,,$BV$22)*$BW$22+
INDEX($A526:$BM526,,$BV$23)*$BW$23+
INDEX($A526:$BM526,,$BV$25)*$BW$25+
INDEX($A526:$BM526,,$BV$26)*$BW$26+
INDEX($A526:$BM526,,$BV$27)*$BW$27+
$BN526)),
$BN526-100)</f>
        <v>9.6452500000000008</v>
      </c>
      <c r="BB526" t="str">
        <f t="shared" si="113"/>
        <v/>
      </c>
      <c r="BC526" t="str">
        <f t="shared" si="107"/>
        <v/>
      </c>
      <c r="BD526" s="430">
        <f>IFERROR(
IF(BB526="",-100,
IF($BV$2&gt;0, INDEX(Beersheet!$A:$U,MATCH(BB526,INDEX(Beersheet!$A:$U,0,FFARawStatProjections!$BV$2),0),$BV$3)+$BN526,
INDEX($A526:$BM526,,$BV$12)*$BW$12+
INDEX($A526:$BM526,,$BV$15)*$BW$15+
INDEX($A526:$BM526,,$BV$16)*$BW$16+
INDEX($A526:$BM526,,$BV$17)*$BW$17+
INDEX($A526:$BM526,,$BV$18)*$BW$18+
INDEX($A526:$BM526,,$BV$19)*$BW$19+
INDEX($A526:$BM526,,$BV$20)*$BW$20+
INDEX($A526:$BM526,,$BV$21)*$BW$21+
INDEX($A526:$BM526,,$BV$22)*$BW$22+
INDEX($A526:$BM526,,$BV$23)*$BW$23+
INDEX($A526:$BM526,,$BV$25)*$BW$25+
INDEX($A526:$BM526,,$BV$26)*$BW$26+
INDEX($A526:$BM526,,$BV$27)*$BW$27+
$BN526)),
$BN526-100)</f>
        <v>-100</v>
      </c>
      <c r="BF526" t="str">
        <f t="shared" si="114"/>
        <v/>
      </c>
      <c r="BG526" t="str">
        <f t="shared" si="115"/>
        <v/>
      </c>
      <c r="BH526">
        <f t="shared" si="116"/>
        <v>0</v>
      </c>
      <c r="BJ526" t="str">
        <f t="shared" si="117"/>
        <v/>
      </c>
      <c r="BL526">
        <f t="shared" si="106"/>
        <v>0</v>
      </c>
      <c r="BN526">
        <v>5.2500000000000003E-3</v>
      </c>
      <c r="BS526" s="4" t="s">
        <v>157</v>
      </c>
    </row>
    <row r="527" spans="1:71" ht="15.75" thickBot="1" x14ac:dyDescent="0.3">
      <c r="A527" s="569" t="s">
        <v>2239</v>
      </c>
      <c r="B527" s="569" t="s">
        <v>165</v>
      </c>
      <c r="C527" s="569" t="s">
        <v>6</v>
      </c>
      <c r="D527" s="574">
        <v>9</v>
      </c>
      <c r="E527" s="569"/>
      <c r="F527" s="569"/>
      <c r="G527" s="569"/>
      <c r="H527" s="569"/>
      <c r="I527" s="574">
        <v>0</v>
      </c>
      <c r="J527" s="574">
        <v>0</v>
      </c>
      <c r="K527" s="574">
        <v>0</v>
      </c>
      <c r="L527" s="574">
        <v>3.7</v>
      </c>
      <c r="M527" s="574">
        <v>0.2</v>
      </c>
      <c r="N527" s="574">
        <v>46.5</v>
      </c>
      <c r="O527" s="574">
        <v>0</v>
      </c>
      <c r="P527" s="574">
        <v>0</v>
      </c>
      <c r="Q527" s="574">
        <v>0</v>
      </c>
      <c r="R527" s="569"/>
      <c r="S527" s="569"/>
      <c r="T527" s="569"/>
      <c r="U527" s="569"/>
      <c r="V527" s="569"/>
      <c r="W527" s="569"/>
      <c r="X527" s="569"/>
      <c r="Y527" s="569"/>
      <c r="Z527" s="569"/>
      <c r="AA527" s="569"/>
      <c r="AB527" s="569"/>
      <c r="AC527" s="569"/>
      <c r="AD527" s="569"/>
      <c r="AE527" s="569"/>
      <c r="AF527" s="569"/>
      <c r="AG527" s="569"/>
      <c r="AH527" s="569"/>
      <c r="AI527" s="569"/>
      <c r="AJ527" s="569"/>
      <c r="AK527" s="569"/>
      <c r="AL527" s="569"/>
      <c r="AM527" s="569"/>
      <c r="AN527" s="574">
        <v>6.1</v>
      </c>
      <c r="AO527">
        <v>526</v>
      </c>
      <c r="AP527" t="str">
        <f t="shared" si="105"/>
        <v/>
      </c>
      <c r="AQ527" t="str">
        <f t="shared" si="108"/>
        <v/>
      </c>
      <c r="AR527" s="430">
        <f>IFERROR(
IF(AP527="",-100,
IF($BV$2&gt;0, INDEX(Beersheet!$A:$U,MATCH(AP527,INDEX(Beersheet!$A:$U,0,FFARawStatProjections!$BV$2),0),$BV$3)+$BN527,
INDEX($A527:$BM527,,$BV$12)*$BW$12+
INDEX($A527:$BM527,,$BV$15)*$BW$15+
INDEX($A527:$BM527,,$BV$16)*$BW$16+
INDEX($A527:$BM527,,$BV$17)*$BW$17+
INDEX($A527:$BM527,,$BV$18)*$BW$18+
INDEX($A527:$BM527,,$BV$19)*$BW$19+
INDEX($A527:$BM527,,$BV$20)*$BW$20+
INDEX($A527:$BM527,,$BV$21)*$BW$21+
INDEX($A527:$BM527,,$BV$22)*$BW$22+
INDEX($A527:$BM527,,$BV$23)*$BW$23+
INDEX($A527:$BM527,,$BV$25)*$BW$25+
INDEX($A527:$BM527,,$BV$26)*$BW$26+
INDEX($A527:$BM527,,$BV$27)*$BW$27+
$BN527)),
$BN527-100)</f>
        <v>-100</v>
      </c>
      <c r="AT527" t="str">
        <f t="shared" si="109"/>
        <v/>
      </c>
      <c r="AU527" t="str">
        <f t="shared" si="110"/>
        <v/>
      </c>
      <c r="AV527" s="430">
        <f>IFERROR(
IF(AT527="",-100,
IF($BV$2&gt;0, INDEX(Beersheet!$A:$U,MATCH(AT527,INDEX(Beersheet!$A:$U,0,FFARawStatProjections!$BV$2),0),$BV$3)+$BN527,
INDEX($A527:$BM527,,$BV$12)*$BW$12+
INDEX($A527:$BM527,,$BV$15)*$BW$15+
INDEX($A527:$BM527,,$BV$16)*$BW$16+
INDEX($A527:$BM527,,$BV$17)*$BW$17+
INDEX($A527:$BM527,,$BV$18)*$BW$18+
INDEX($A527:$BM527,,$BV$19)*$BW$19+
INDEX($A527:$BM527,,$BV$20)*$BW$20+
INDEX($A527:$BM527,,$BV$21)*$BW$21+
INDEX($A527:$BM527,,$BV$22)*$BW$22+
INDEX($A527:$BM527,,$BV$23)*$BW$23+
INDEX($A527:$BM527,,$BV$25)*$BW$25+
INDEX($A527:$BM527,,$BV$26)*$BW$26+
INDEX($A527:$BM527,,$BV$27)*$BW$27+
$BN527)),
$BN527-100)</f>
        <v>-100</v>
      </c>
      <c r="AX527" t="str">
        <f t="shared" si="111"/>
        <v>Jacob Harris</v>
      </c>
      <c r="AY527" t="str">
        <f t="shared" si="112"/>
        <v>JAC</v>
      </c>
      <c r="AZ527" s="430">
        <f>IFERROR(
IF(AX527="",-100,
IF($BV$2&gt;0, INDEX(Beersheet!$A:$U,MATCH(AX527,INDEX(Beersheet!$A:$U,0,FFARawStatProjections!$BV$2),0),$BV$3)+$BN527,
INDEX($A527:$BM527,,$BV$12)*$BW$12+
INDEX($A527:$BM527,,$BV$15)*$BW$15+
INDEX($A527:$BM527,,$BV$16)*$BW$16+
INDEX($A527:$BM527,,$BV$17)*$BW$17+
INDEX($A527:$BM527,,$BV$18)*$BW$18+
INDEX($A527:$BM527,,$BV$19)*$BW$19+
INDEX($A527:$BM527,,$BV$20)*$BW$20+
INDEX($A527:$BM527,,$BV$21)*$BW$21+
INDEX($A527:$BM527,,$BV$22)*$BW$22+
INDEX($A527:$BM527,,$BV$23)*$BW$23+
INDEX($A527:$BM527,,$BV$25)*$BW$25+
INDEX($A527:$BM527,,$BV$26)*$BW$26+
INDEX($A527:$BM527,,$BV$27)*$BW$27+
$BN527)),
$BN527-100)</f>
        <v>9.5552600000000005</v>
      </c>
      <c r="BB527" t="str">
        <f t="shared" si="113"/>
        <v/>
      </c>
      <c r="BC527" t="str">
        <f t="shared" si="107"/>
        <v/>
      </c>
      <c r="BD527" s="430">
        <f>IFERROR(
IF(BB527="",-100,
IF($BV$2&gt;0, INDEX(Beersheet!$A:$U,MATCH(BB527,INDEX(Beersheet!$A:$U,0,FFARawStatProjections!$BV$2),0),$BV$3)+$BN527,
INDEX($A527:$BM527,,$BV$12)*$BW$12+
INDEX($A527:$BM527,,$BV$15)*$BW$15+
INDEX($A527:$BM527,,$BV$16)*$BW$16+
INDEX($A527:$BM527,,$BV$17)*$BW$17+
INDEX($A527:$BM527,,$BV$18)*$BW$18+
INDEX($A527:$BM527,,$BV$19)*$BW$19+
INDEX($A527:$BM527,,$BV$20)*$BW$20+
INDEX($A527:$BM527,,$BV$21)*$BW$21+
INDEX($A527:$BM527,,$BV$22)*$BW$22+
INDEX($A527:$BM527,,$BV$23)*$BW$23+
INDEX($A527:$BM527,,$BV$25)*$BW$25+
INDEX($A527:$BM527,,$BV$26)*$BW$26+
INDEX($A527:$BM527,,$BV$27)*$BW$27+
$BN527)),
$BN527-100)</f>
        <v>-100</v>
      </c>
      <c r="BF527" t="str">
        <f t="shared" si="114"/>
        <v/>
      </c>
      <c r="BG527" t="str">
        <f t="shared" si="115"/>
        <v/>
      </c>
      <c r="BH527">
        <f t="shared" si="116"/>
        <v>0</v>
      </c>
      <c r="BJ527" t="str">
        <f t="shared" si="117"/>
        <v/>
      </c>
      <c r="BL527">
        <f t="shared" si="106"/>
        <v>0</v>
      </c>
      <c r="BN527">
        <v>5.2599999999999999E-3</v>
      </c>
      <c r="BS527" s="4" t="s">
        <v>1103</v>
      </c>
    </row>
    <row r="528" spans="1:71" ht="15.75" thickBot="1" x14ac:dyDescent="0.3">
      <c r="A528" s="569" t="s">
        <v>2490</v>
      </c>
      <c r="B528" s="569" t="s">
        <v>140</v>
      </c>
      <c r="C528" s="569" t="s">
        <v>6</v>
      </c>
      <c r="D528" s="574">
        <v>5</v>
      </c>
      <c r="E528" s="569"/>
      <c r="F528" s="569"/>
      <c r="G528" s="569"/>
      <c r="H528" s="569"/>
      <c r="I528" s="574">
        <v>0</v>
      </c>
      <c r="J528" s="574">
        <v>0</v>
      </c>
      <c r="K528" s="574">
        <v>0</v>
      </c>
      <c r="L528" s="574">
        <v>3.5</v>
      </c>
      <c r="M528" s="574">
        <v>0.2</v>
      </c>
      <c r="N528" s="574">
        <v>46.2</v>
      </c>
      <c r="O528" s="574">
        <v>0</v>
      </c>
      <c r="P528" s="574">
        <v>0</v>
      </c>
      <c r="Q528" s="574">
        <v>1.9</v>
      </c>
      <c r="R528" s="569"/>
      <c r="S528" s="569"/>
      <c r="T528" s="569"/>
      <c r="U528" s="569"/>
      <c r="V528" s="569"/>
      <c r="W528" s="569"/>
      <c r="X528" s="569"/>
      <c r="Y528" s="569"/>
      <c r="Z528" s="569"/>
      <c r="AA528" s="569"/>
      <c r="AB528" s="569"/>
      <c r="AC528" s="569"/>
      <c r="AD528" s="569"/>
      <c r="AE528" s="569"/>
      <c r="AF528" s="569"/>
      <c r="AG528" s="569"/>
      <c r="AH528" s="569"/>
      <c r="AI528" s="569"/>
      <c r="AJ528" s="569"/>
      <c r="AK528" s="569"/>
      <c r="AL528" s="569"/>
      <c r="AM528" s="569"/>
      <c r="AN528" s="574">
        <v>6.1</v>
      </c>
      <c r="AO528">
        <v>527</v>
      </c>
      <c r="AP528" t="str">
        <f t="shared" si="105"/>
        <v/>
      </c>
      <c r="AQ528" t="str">
        <f t="shared" si="108"/>
        <v/>
      </c>
      <c r="AR528" s="430">
        <f>IFERROR(
IF(AP528="",-100,
IF($BV$2&gt;0, INDEX(Beersheet!$A:$U,MATCH(AP528,INDEX(Beersheet!$A:$U,0,FFARawStatProjections!$BV$2),0),$BV$3)+$BN528,
INDEX($A528:$BM528,,$BV$12)*$BW$12+
INDEX($A528:$BM528,,$BV$15)*$BW$15+
INDEX($A528:$BM528,,$BV$16)*$BW$16+
INDEX($A528:$BM528,,$BV$17)*$BW$17+
INDEX($A528:$BM528,,$BV$18)*$BW$18+
INDEX($A528:$BM528,,$BV$19)*$BW$19+
INDEX($A528:$BM528,,$BV$20)*$BW$20+
INDEX($A528:$BM528,,$BV$21)*$BW$21+
INDEX($A528:$BM528,,$BV$22)*$BW$22+
INDEX($A528:$BM528,,$BV$23)*$BW$23+
INDEX($A528:$BM528,,$BV$25)*$BW$25+
INDEX($A528:$BM528,,$BV$26)*$BW$26+
INDEX($A528:$BM528,,$BV$27)*$BW$27+
$BN528)),
$BN528-100)</f>
        <v>-100</v>
      </c>
      <c r="AT528" t="str">
        <f t="shared" si="109"/>
        <v/>
      </c>
      <c r="AU528" t="str">
        <f t="shared" si="110"/>
        <v/>
      </c>
      <c r="AV528" s="430">
        <f>IFERROR(
IF(AT528="",-100,
IF($BV$2&gt;0, INDEX(Beersheet!$A:$U,MATCH(AT528,INDEX(Beersheet!$A:$U,0,FFARawStatProjections!$BV$2),0),$BV$3)+$BN528,
INDEX($A528:$BM528,,$BV$12)*$BW$12+
INDEX($A528:$BM528,,$BV$15)*$BW$15+
INDEX($A528:$BM528,,$BV$16)*$BW$16+
INDEX($A528:$BM528,,$BV$17)*$BW$17+
INDEX($A528:$BM528,,$BV$18)*$BW$18+
INDEX($A528:$BM528,,$BV$19)*$BW$19+
INDEX($A528:$BM528,,$BV$20)*$BW$20+
INDEX($A528:$BM528,,$BV$21)*$BW$21+
INDEX($A528:$BM528,,$BV$22)*$BW$22+
INDEX($A528:$BM528,,$BV$23)*$BW$23+
INDEX($A528:$BM528,,$BV$25)*$BW$25+
INDEX($A528:$BM528,,$BV$26)*$BW$26+
INDEX($A528:$BM528,,$BV$27)*$BW$27+
$BN528)),
$BN528-100)</f>
        <v>-100</v>
      </c>
      <c r="AX528" t="str">
        <f t="shared" si="111"/>
        <v>Easop Winston</v>
      </c>
      <c r="AY528" t="str">
        <f t="shared" si="112"/>
        <v>SEA</v>
      </c>
      <c r="AZ528" s="430">
        <f>IFERROR(
IF(AX528="",-100,
IF($BV$2&gt;0, INDEX(Beersheet!$A:$U,MATCH(AX528,INDEX(Beersheet!$A:$U,0,FFARawStatProjections!$BV$2),0),$BV$3)+$BN528,
INDEX($A528:$BM528,,$BV$12)*$BW$12+
INDEX($A528:$BM528,,$BV$15)*$BW$15+
INDEX($A528:$BM528,,$BV$16)*$BW$16+
INDEX($A528:$BM528,,$BV$17)*$BW$17+
INDEX($A528:$BM528,,$BV$18)*$BW$18+
INDEX($A528:$BM528,,$BV$19)*$BW$19+
INDEX($A528:$BM528,,$BV$20)*$BW$20+
INDEX($A528:$BM528,,$BV$21)*$BW$21+
INDEX($A528:$BM528,,$BV$22)*$BW$22+
INDEX($A528:$BM528,,$BV$23)*$BW$23+
INDEX($A528:$BM528,,$BV$25)*$BW$25+
INDEX($A528:$BM528,,$BV$26)*$BW$26+
INDEX($A528:$BM528,,$BV$27)*$BW$27+
$BN528)),
$BN528-100)</f>
        <v>9.5152699999999992</v>
      </c>
      <c r="BB528" t="str">
        <f t="shared" si="113"/>
        <v/>
      </c>
      <c r="BC528" t="str">
        <f t="shared" si="107"/>
        <v/>
      </c>
      <c r="BD528" s="430">
        <f>IFERROR(
IF(BB528="",-100,
IF($BV$2&gt;0, INDEX(Beersheet!$A:$U,MATCH(BB528,INDEX(Beersheet!$A:$U,0,FFARawStatProjections!$BV$2),0),$BV$3)+$BN528,
INDEX($A528:$BM528,,$BV$12)*$BW$12+
INDEX($A528:$BM528,,$BV$15)*$BW$15+
INDEX($A528:$BM528,,$BV$16)*$BW$16+
INDEX($A528:$BM528,,$BV$17)*$BW$17+
INDEX($A528:$BM528,,$BV$18)*$BW$18+
INDEX($A528:$BM528,,$BV$19)*$BW$19+
INDEX($A528:$BM528,,$BV$20)*$BW$20+
INDEX($A528:$BM528,,$BV$21)*$BW$21+
INDEX($A528:$BM528,,$BV$22)*$BW$22+
INDEX($A528:$BM528,,$BV$23)*$BW$23+
INDEX($A528:$BM528,,$BV$25)*$BW$25+
INDEX($A528:$BM528,,$BV$26)*$BW$26+
INDEX($A528:$BM528,,$BV$27)*$BW$27+
$BN528)),
$BN528-100)</f>
        <v>-100</v>
      </c>
      <c r="BF528" t="str">
        <f t="shared" si="114"/>
        <v/>
      </c>
      <c r="BG528" t="str">
        <f t="shared" si="115"/>
        <v/>
      </c>
      <c r="BH528">
        <f t="shared" si="116"/>
        <v>0</v>
      </c>
      <c r="BJ528" t="str">
        <f t="shared" si="117"/>
        <v/>
      </c>
      <c r="BL528">
        <f t="shared" si="106"/>
        <v>0</v>
      </c>
      <c r="BN528">
        <v>5.2700000000000004E-3</v>
      </c>
      <c r="BS528" s="4" t="s">
        <v>1963</v>
      </c>
    </row>
    <row r="529" spans="1:71" ht="15.75" thickBot="1" x14ac:dyDescent="0.3">
      <c r="A529" s="569" t="s">
        <v>1886</v>
      </c>
      <c r="B529" s="569" t="s">
        <v>156</v>
      </c>
      <c r="C529" s="569" t="s">
        <v>6</v>
      </c>
      <c r="D529" s="574">
        <v>13</v>
      </c>
      <c r="E529" s="569"/>
      <c r="F529" s="569"/>
      <c r="G529" s="569"/>
      <c r="H529" s="569"/>
      <c r="I529" s="574">
        <v>0</v>
      </c>
      <c r="J529" s="574">
        <v>0</v>
      </c>
      <c r="K529" s="574">
        <v>0</v>
      </c>
      <c r="L529" s="574">
        <v>3.6</v>
      </c>
      <c r="M529" s="574">
        <v>0.3</v>
      </c>
      <c r="N529" s="574">
        <v>41.2</v>
      </c>
      <c r="O529" s="574">
        <v>0</v>
      </c>
      <c r="P529" s="574">
        <v>0</v>
      </c>
      <c r="Q529" s="574">
        <v>0</v>
      </c>
      <c r="R529" s="569"/>
      <c r="S529" s="569"/>
      <c r="T529" s="569"/>
      <c r="U529" s="569"/>
      <c r="V529" s="569"/>
      <c r="W529" s="569"/>
      <c r="X529" s="569"/>
      <c r="Y529" s="569"/>
      <c r="Z529" s="569"/>
      <c r="AA529" s="569"/>
      <c r="AB529" s="569"/>
      <c r="AC529" s="569"/>
      <c r="AD529" s="569"/>
      <c r="AE529" s="569"/>
      <c r="AF529" s="569"/>
      <c r="AG529" s="569"/>
      <c r="AH529" s="569"/>
      <c r="AI529" s="569"/>
      <c r="AJ529" s="569"/>
      <c r="AK529" s="569"/>
      <c r="AL529" s="569"/>
      <c r="AM529" s="569"/>
      <c r="AN529" s="574">
        <v>6</v>
      </c>
      <c r="AO529">
        <v>528</v>
      </c>
      <c r="AP529" t="str">
        <f t="shared" si="105"/>
        <v/>
      </c>
      <c r="AQ529" t="str">
        <f t="shared" si="108"/>
        <v/>
      </c>
      <c r="AR529" s="430">
        <f>IFERROR(
IF(AP529="",-100,
IF($BV$2&gt;0, INDEX(Beersheet!$A:$U,MATCH(AP529,INDEX(Beersheet!$A:$U,0,FFARawStatProjections!$BV$2),0),$BV$3)+$BN529,
INDEX($A529:$BM529,,$BV$12)*$BW$12+
INDEX($A529:$BM529,,$BV$15)*$BW$15+
INDEX($A529:$BM529,,$BV$16)*$BW$16+
INDEX($A529:$BM529,,$BV$17)*$BW$17+
INDEX($A529:$BM529,,$BV$18)*$BW$18+
INDEX($A529:$BM529,,$BV$19)*$BW$19+
INDEX($A529:$BM529,,$BV$20)*$BW$20+
INDEX($A529:$BM529,,$BV$21)*$BW$21+
INDEX($A529:$BM529,,$BV$22)*$BW$22+
INDEX($A529:$BM529,,$BV$23)*$BW$23+
INDEX($A529:$BM529,,$BV$25)*$BW$25+
INDEX($A529:$BM529,,$BV$26)*$BW$26+
INDEX($A529:$BM529,,$BV$27)*$BW$27+
$BN529)),
$BN529-100)</f>
        <v>-100</v>
      </c>
      <c r="AT529" t="str">
        <f t="shared" si="109"/>
        <v/>
      </c>
      <c r="AU529" t="str">
        <f t="shared" si="110"/>
        <v/>
      </c>
      <c r="AV529" s="430">
        <f>IFERROR(
IF(AT529="",-100,
IF($BV$2&gt;0, INDEX(Beersheet!$A:$U,MATCH(AT529,INDEX(Beersheet!$A:$U,0,FFARawStatProjections!$BV$2),0),$BV$3)+$BN529,
INDEX($A529:$BM529,,$BV$12)*$BW$12+
INDEX($A529:$BM529,,$BV$15)*$BW$15+
INDEX($A529:$BM529,,$BV$16)*$BW$16+
INDEX($A529:$BM529,,$BV$17)*$BW$17+
INDEX($A529:$BM529,,$BV$18)*$BW$18+
INDEX($A529:$BM529,,$BV$19)*$BW$19+
INDEX($A529:$BM529,,$BV$20)*$BW$20+
INDEX($A529:$BM529,,$BV$21)*$BW$21+
INDEX($A529:$BM529,,$BV$22)*$BW$22+
INDEX($A529:$BM529,,$BV$23)*$BW$23+
INDEX($A529:$BM529,,$BV$25)*$BW$25+
INDEX($A529:$BM529,,$BV$26)*$BW$26+
INDEX($A529:$BM529,,$BV$27)*$BW$27+
$BN529)),
$BN529-100)</f>
        <v>-100</v>
      </c>
      <c r="AX529" t="str">
        <f t="shared" si="111"/>
        <v>KeeSean Johnson</v>
      </c>
      <c r="AY529" t="str">
        <f t="shared" si="112"/>
        <v>BUF</v>
      </c>
      <c r="AZ529" s="430">
        <f>IFERROR(
IF(AX529="",-100,
IF($BV$2&gt;0, INDEX(Beersheet!$A:$U,MATCH(AX529,INDEX(Beersheet!$A:$U,0,FFARawStatProjections!$BV$2),0),$BV$3)+$BN529,
INDEX($A529:$BM529,,$BV$12)*$BW$12+
INDEX($A529:$BM529,,$BV$15)*$BW$15+
INDEX($A529:$BM529,,$BV$16)*$BW$16+
INDEX($A529:$BM529,,$BV$17)*$BW$17+
INDEX($A529:$BM529,,$BV$18)*$BW$18+
INDEX($A529:$BM529,,$BV$19)*$BW$19+
INDEX($A529:$BM529,,$BV$20)*$BW$20+
INDEX($A529:$BM529,,$BV$21)*$BW$21+
INDEX($A529:$BM529,,$BV$22)*$BW$22+
INDEX($A529:$BM529,,$BV$23)*$BW$23+
INDEX($A529:$BM529,,$BV$25)*$BW$25+
INDEX($A529:$BM529,,$BV$26)*$BW$26+
INDEX($A529:$BM529,,$BV$27)*$BW$27+
$BN529)),
$BN529-100)</f>
        <v>9.5252800000000004</v>
      </c>
      <c r="BB529" t="str">
        <f t="shared" si="113"/>
        <v/>
      </c>
      <c r="BC529" t="str">
        <f t="shared" si="107"/>
        <v/>
      </c>
      <c r="BD529" s="430">
        <f>IFERROR(
IF(BB529="",-100,
IF($BV$2&gt;0, INDEX(Beersheet!$A:$U,MATCH(BB529,INDEX(Beersheet!$A:$U,0,FFARawStatProjections!$BV$2),0),$BV$3)+$BN529,
INDEX($A529:$BM529,,$BV$12)*$BW$12+
INDEX($A529:$BM529,,$BV$15)*$BW$15+
INDEX($A529:$BM529,,$BV$16)*$BW$16+
INDEX($A529:$BM529,,$BV$17)*$BW$17+
INDEX($A529:$BM529,,$BV$18)*$BW$18+
INDEX($A529:$BM529,,$BV$19)*$BW$19+
INDEX($A529:$BM529,,$BV$20)*$BW$20+
INDEX($A529:$BM529,,$BV$21)*$BW$21+
INDEX($A529:$BM529,,$BV$22)*$BW$22+
INDEX($A529:$BM529,,$BV$23)*$BW$23+
INDEX($A529:$BM529,,$BV$25)*$BW$25+
INDEX($A529:$BM529,,$BV$26)*$BW$26+
INDEX($A529:$BM529,,$BV$27)*$BW$27+
$BN529)),
$BN529-100)</f>
        <v>-100</v>
      </c>
      <c r="BF529" t="str">
        <f t="shared" si="114"/>
        <v/>
      </c>
      <c r="BG529" t="str">
        <f t="shared" si="115"/>
        <v/>
      </c>
      <c r="BH529">
        <f t="shared" si="116"/>
        <v>0</v>
      </c>
      <c r="BJ529" t="str">
        <f t="shared" si="117"/>
        <v/>
      </c>
      <c r="BL529">
        <f t="shared" si="106"/>
        <v>0</v>
      </c>
      <c r="BN529">
        <v>5.28E-3</v>
      </c>
      <c r="BS529" s="4" t="s">
        <v>1772</v>
      </c>
    </row>
    <row r="530" spans="1:71" ht="15.75" thickBot="1" x14ac:dyDescent="0.3">
      <c r="A530" s="569" t="s">
        <v>2473</v>
      </c>
      <c r="B530" s="569" t="s">
        <v>144</v>
      </c>
      <c r="C530" s="569" t="s">
        <v>6</v>
      </c>
      <c r="D530" s="574">
        <v>9</v>
      </c>
      <c r="E530" s="569"/>
      <c r="F530" s="569"/>
      <c r="G530" s="569"/>
      <c r="H530" s="569"/>
      <c r="I530" s="574">
        <v>0</v>
      </c>
      <c r="J530" s="574">
        <v>0</v>
      </c>
      <c r="K530" s="574">
        <v>0</v>
      </c>
      <c r="L530" s="574">
        <v>3.4</v>
      </c>
      <c r="M530" s="574">
        <v>0.3</v>
      </c>
      <c r="N530" s="574">
        <v>43.3</v>
      </c>
      <c r="O530" s="574">
        <v>0</v>
      </c>
      <c r="P530" s="574">
        <v>0</v>
      </c>
      <c r="Q530" s="574">
        <v>0</v>
      </c>
      <c r="R530" s="569"/>
      <c r="S530" s="569"/>
      <c r="T530" s="569"/>
      <c r="U530" s="569"/>
      <c r="V530" s="569"/>
      <c r="W530" s="569"/>
      <c r="X530" s="569"/>
      <c r="Y530" s="569"/>
      <c r="Z530" s="569"/>
      <c r="AA530" s="569"/>
      <c r="AB530" s="569"/>
      <c r="AC530" s="569"/>
      <c r="AD530" s="569"/>
      <c r="AE530" s="569"/>
      <c r="AF530" s="569"/>
      <c r="AG530" s="569"/>
      <c r="AH530" s="569"/>
      <c r="AI530" s="569"/>
      <c r="AJ530" s="569"/>
      <c r="AK530" s="569"/>
      <c r="AL530" s="569"/>
      <c r="AM530" s="569"/>
      <c r="AN530" s="574">
        <v>5.9</v>
      </c>
      <c r="AO530">
        <v>529</v>
      </c>
      <c r="AP530" t="str">
        <f t="shared" si="105"/>
        <v/>
      </c>
      <c r="AQ530" t="str">
        <f t="shared" si="108"/>
        <v/>
      </c>
      <c r="AR530" s="430">
        <f>IFERROR(
IF(AP530="",-100,
IF($BV$2&gt;0, INDEX(Beersheet!$A:$U,MATCH(AP530,INDEX(Beersheet!$A:$U,0,FFARawStatProjections!$BV$2),0),$BV$3)+$BN530,
INDEX($A530:$BM530,,$BV$12)*$BW$12+
INDEX($A530:$BM530,,$BV$15)*$BW$15+
INDEX($A530:$BM530,,$BV$16)*$BW$16+
INDEX($A530:$BM530,,$BV$17)*$BW$17+
INDEX($A530:$BM530,,$BV$18)*$BW$18+
INDEX($A530:$BM530,,$BV$19)*$BW$19+
INDEX($A530:$BM530,,$BV$20)*$BW$20+
INDEX($A530:$BM530,,$BV$21)*$BW$21+
INDEX($A530:$BM530,,$BV$22)*$BW$22+
INDEX($A530:$BM530,,$BV$23)*$BW$23+
INDEX($A530:$BM530,,$BV$25)*$BW$25+
INDEX($A530:$BM530,,$BV$26)*$BW$26+
INDEX($A530:$BM530,,$BV$27)*$BW$27+
$BN530)),
$BN530-100)</f>
        <v>-100</v>
      </c>
      <c r="AT530" t="str">
        <f t="shared" si="109"/>
        <v/>
      </c>
      <c r="AU530" t="str">
        <f t="shared" si="110"/>
        <v/>
      </c>
      <c r="AV530" s="430">
        <f>IFERROR(
IF(AT530="",-100,
IF($BV$2&gt;0, INDEX(Beersheet!$A:$U,MATCH(AT530,INDEX(Beersheet!$A:$U,0,FFARawStatProjections!$BV$2),0),$BV$3)+$BN530,
INDEX($A530:$BM530,,$BV$12)*$BW$12+
INDEX($A530:$BM530,,$BV$15)*$BW$15+
INDEX($A530:$BM530,,$BV$16)*$BW$16+
INDEX($A530:$BM530,,$BV$17)*$BW$17+
INDEX($A530:$BM530,,$BV$18)*$BW$18+
INDEX($A530:$BM530,,$BV$19)*$BW$19+
INDEX($A530:$BM530,,$BV$20)*$BW$20+
INDEX($A530:$BM530,,$BV$21)*$BW$21+
INDEX($A530:$BM530,,$BV$22)*$BW$22+
INDEX($A530:$BM530,,$BV$23)*$BW$23+
INDEX($A530:$BM530,,$BV$25)*$BW$25+
INDEX($A530:$BM530,,$BV$26)*$BW$26+
INDEX($A530:$BM530,,$BV$27)*$BW$27+
$BN530)),
$BN530-100)</f>
        <v>-100</v>
      </c>
      <c r="AX530" t="str">
        <f t="shared" si="111"/>
        <v>Jalen Virgil</v>
      </c>
      <c r="AY530" t="str">
        <f t="shared" si="112"/>
        <v>DEN</v>
      </c>
      <c r="AZ530" s="430">
        <f>IFERROR(
IF(AX530="",-100,
IF($BV$2&gt;0, INDEX(Beersheet!$A:$U,MATCH(AX530,INDEX(Beersheet!$A:$U,0,FFARawStatProjections!$BV$2),0),$BV$3)+$BN530,
INDEX($A530:$BM530,,$BV$12)*$BW$12+
INDEX($A530:$BM530,,$BV$15)*$BW$15+
INDEX($A530:$BM530,,$BV$16)*$BW$16+
INDEX($A530:$BM530,,$BV$17)*$BW$17+
INDEX($A530:$BM530,,$BV$18)*$BW$18+
INDEX($A530:$BM530,,$BV$19)*$BW$19+
INDEX($A530:$BM530,,$BV$20)*$BW$20+
INDEX($A530:$BM530,,$BV$21)*$BW$21+
INDEX($A530:$BM530,,$BV$22)*$BW$22+
INDEX($A530:$BM530,,$BV$23)*$BW$23+
INDEX($A530:$BM530,,$BV$25)*$BW$25+
INDEX($A530:$BM530,,$BV$26)*$BW$26+
INDEX($A530:$BM530,,$BV$27)*$BW$27+
$BN530)),
$BN530-100)</f>
        <v>9.5352899999999998</v>
      </c>
      <c r="BB530" t="str">
        <f t="shared" si="113"/>
        <v/>
      </c>
      <c r="BC530" t="str">
        <f t="shared" si="107"/>
        <v/>
      </c>
      <c r="BD530" s="430">
        <f>IFERROR(
IF(BB530="",-100,
IF($BV$2&gt;0, INDEX(Beersheet!$A:$U,MATCH(BB530,INDEX(Beersheet!$A:$U,0,FFARawStatProjections!$BV$2),0),$BV$3)+$BN530,
INDEX($A530:$BM530,,$BV$12)*$BW$12+
INDEX($A530:$BM530,,$BV$15)*$BW$15+
INDEX($A530:$BM530,,$BV$16)*$BW$16+
INDEX($A530:$BM530,,$BV$17)*$BW$17+
INDEX($A530:$BM530,,$BV$18)*$BW$18+
INDEX($A530:$BM530,,$BV$19)*$BW$19+
INDEX($A530:$BM530,,$BV$20)*$BW$20+
INDEX($A530:$BM530,,$BV$21)*$BW$21+
INDEX($A530:$BM530,,$BV$22)*$BW$22+
INDEX($A530:$BM530,,$BV$23)*$BW$23+
INDEX($A530:$BM530,,$BV$25)*$BW$25+
INDEX($A530:$BM530,,$BV$26)*$BW$26+
INDEX($A530:$BM530,,$BV$27)*$BW$27+
$BN530)),
$BN530-100)</f>
        <v>-100</v>
      </c>
      <c r="BF530" t="str">
        <f t="shared" si="114"/>
        <v/>
      </c>
      <c r="BG530" t="str">
        <f t="shared" si="115"/>
        <v/>
      </c>
      <c r="BH530">
        <f t="shared" si="116"/>
        <v>0</v>
      </c>
      <c r="BJ530" t="str">
        <f t="shared" si="117"/>
        <v/>
      </c>
      <c r="BL530">
        <f t="shared" si="106"/>
        <v>0</v>
      </c>
      <c r="BN530">
        <v>5.2900000000000004E-3</v>
      </c>
      <c r="BS530" s="4" t="s">
        <v>2139</v>
      </c>
    </row>
    <row r="531" spans="1:71" ht="15.75" thickBot="1" x14ac:dyDescent="0.3">
      <c r="A531" s="569" t="s">
        <v>2402</v>
      </c>
      <c r="B531" s="569" t="s">
        <v>165</v>
      </c>
      <c r="C531" s="569" t="s">
        <v>6</v>
      </c>
      <c r="D531" s="574">
        <v>9</v>
      </c>
      <c r="E531" s="569"/>
      <c r="F531" s="569"/>
      <c r="G531" s="569"/>
      <c r="H531" s="569"/>
      <c r="I531" s="574">
        <v>0</v>
      </c>
      <c r="J531" s="574">
        <v>0</v>
      </c>
      <c r="K531" s="574">
        <v>0</v>
      </c>
      <c r="L531" s="574">
        <v>3.8</v>
      </c>
      <c r="M531" s="574">
        <v>0.2</v>
      </c>
      <c r="N531" s="574">
        <v>45.9</v>
      </c>
      <c r="O531" s="574">
        <v>0.1</v>
      </c>
      <c r="P531" s="574">
        <v>0</v>
      </c>
      <c r="Q531" s="574">
        <v>0.7</v>
      </c>
      <c r="R531" s="569"/>
      <c r="S531" s="569"/>
      <c r="T531" s="569"/>
      <c r="U531" s="569"/>
      <c r="V531" s="569"/>
      <c r="W531" s="569"/>
      <c r="X531" s="569"/>
      <c r="Y531" s="569"/>
      <c r="Z531" s="569"/>
      <c r="AA531" s="569"/>
      <c r="AB531" s="569"/>
      <c r="AC531" s="569"/>
      <c r="AD531" s="569"/>
      <c r="AE531" s="569"/>
      <c r="AF531" s="569"/>
      <c r="AG531" s="569"/>
      <c r="AH531" s="569"/>
      <c r="AI531" s="569"/>
      <c r="AJ531" s="569"/>
      <c r="AK531" s="569"/>
      <c r="AL531" s="569"/>
      <c r="AM531" s="569"/>
      <c r="AN531" s="574">
        <v>5.8</v>
      </c>
      <c r="AO531">
        <v>530</v>
      </c>
      <c r="AP531" t="str">
        <f t="shared" si="105"/>
        <v/>
      </c>
      <c r="AQ531" t="str">
        <f t="shared" si="108"/>
        <v/>
      </c>
      <c r="AR531" s="430">
        <f>IFERROR(
IF(AP531="",-100,
IF($BV$2&gt;0, INDEX(Beersheet!$A:$U,MATCH(AP531,INDEX(Beersheet!$A:$U,0,FFARawStatProjections!$BV$2),0),$BV$3)+$BN531,
INDEX($A531:$BM531,,$BV$12)*$BW$12+
INDEX($A531:$BM531,,$BV$15)*$BW$15+
INDEX($A531:$BM531,,$BV$16)*$BW$16+
INDEX($A531:$BM531,,$BV$17)*$BW$17+
INDEX($A531:$BM531,,$BV$18)*$BW$18+
INDEX($A531:$BM531,,$BV$19)*$BW$19+
INDEX($A531:$BM531,,$BV$20)*$BW$20+
INDEX($A531:$BM531,,$BV$21)*$BW$21+
INDEX($A531:$BM531,,$BV$22)*$BW$22+
INDEX($A531:$BM531,,$BV$23)*$BW$23+
INDEX($A531:$BM531,,$BV$25)*$BW$25+
INDEX($A531:$BM531,,$BV$26)*$BW$26+
INDEX($A531:$BM531,,$BV$27)*$BW$27+
$BN531)),
$BN531-100)</f>
        <v>-100</v>
      </c>
      <c r="AT531" t="str">
        <f t="shared" si="109"/>
        <v/>
      </c>
      <c r="AU531" t="str">
        <f t="shared" si="110"/>
        <v/>
      </c>
      <c r="AV531" s="430">
        <f>IFERROR(
IF(AT531="",-100,
IF($BV$2&gt;0, INDEX(Beersheet!$A:$U,MATCH(AT531,INDEX(Beersheet!$A:$U,0,FFARawStatProjections!$BV$2),0),$BV$3)+$BN531,
INDEX($A531:$BM531,,$BV$12)*$BW$12+
INDEX($A531:$BM531,,$BV$15)*$BW$15+
INDEX($A531:$BM531,,$BV$16)*$BW$16+
INDEX($A531:$BM531,,$BV$17)*$BW$17+
INDEX($A531:$BM531,,$BV$18)*$BW$18+
INDEX($A531:$BM531,,$BV$19)*$BW$19+
INDEX($A531:$BM531,,$BV$20)*$BW$20+
INDEX($A531:$BM531,,$BV$21)*$BW$21+
INDEX($A531:$BM531,,$BV$22)*$BW$22+
INDEX($A531:$BM531,,$BV$23)*$BW$23+
INDEX($A531:$BM531,,$BV$25)*$BW$25+
INDEX($A531:$BM531,,$BV$26)*$BW$26+
INDEX($A531:$BM531,,$BV$27)*$BW$27+
$BN531)),
$BN531-100)</f>
        <v>-100</v>
      </c>
      <c r="AX531" t="str">
        <f t="shared" si="111"/>
        <v>Tim Jones</v>
      </c>
      <c r="AY531" t="str">
        <f t="shared" si="112"/>
        <v>JAC</v>
      </c>
      <c r="AZ531" s="430">
        <f>IFERROR(
IF(AX531="",-100,
IF($BV$2&gt;0, INDEX(Beersheet!$A:$U,MATCH(AX531,INDEX(Beersheet!$A:$U,0,FFARawStatProjections!$BV$2),0),$BV$3)+$BN531,
INDEX($A531:$BM531,,$BV$12)*$BW$12+
INDEX($A531:$BM531,,$BV$15)*$BW$15+
INDEX($A531:$BM531,,$BV$16)*$BW$16+
INDEX($A531:$BM531,,$BV$17)*$BW$17+
INDEX($A531:$BM531,,$BV$18)*$BW$18+
INDEX($A531:$BM531,,$BV$19)*$BW$19+
INDEX($A531:$BM531,,$BV$20)*$BW$20+
INDEX($A531:$BM531,,$BV$21)*$BW$21+
INDEX($A531:$BM531,,$BV$22)*$BW$22+
INDEX($A531:$BM531,,$BV$23)*$BW$23+
INDEX($A531:$BM531,,$BV$25)*$BW$25+
INDEX($A531:$BM531,,$BV$26)*$BW$26+
INDEX($A531:$BM531,,$BV$27)*$BW$27+
$BN531)),
$BN531-100)</f>
        <v>9.6653000000000002</v>
      </c>
      <c r="BB531" t="str">
        <f t="shared" si="113"/>
        <v/>
      </c>
      <c r="BC531" t="str">
        <f t="shared" si="107"/>
        <v/>
      </c>
      <c r="BD531" s="430">
        <f>IFERROR(
IF(BB531="",-100,
IF($BV$2&gt;0, INDEX(Beersheet!$A:$U,MATCH(BB531,INDEX(Beersheet!$A:$U,0,FFARawStatProjections!$BV$2),0),$BV$3)+$BN531,
INDEX($A531:$BM531,,$BV$12)*$BW$12+
INDEX($A531:$BM531,,$BV$15)*$BW$15+
INDEX($A531:$BM531,,$BV$16)*$BW$16+
INDEX($A531:$BM531,,$BV$17)*$BW$17+
INDEX($A531:$BM531,,$BV$18)*$BW$18+
INDEX($A531:$BM531,,$BV$19)*$BW$19+
INDEX($A531:$BM531,,$BV$20)*$BW$20+
INDEX($A531:$BM531,,$BV$21)*$BW$21+
INDEX($A531:$BM531,,$BV$22)*$BW$22+
INDEX($A531:$BM531,,$BV$23)*$BW$23+
INDEX($A531:$BM531,,$BV$25)*$BW$25+
INDEX($A531:$BM531,,$BV$26)*$BW$26+
INDEX($A531:$BM531,,$BV$27)*$BW$27+
$BN531)),
$BN531-100)</f>
        <v>-100</v>
      </c>
      <c r="BF531" t="str">
        <f t="shared" si="114"/>
        <v/>
      </c>
      <c r="BG531" t="str">
        <f t="shared" si="115"/>
        <v/>
      </c>
      <c r="BH531">
        <f t="shared" si="116"/>
        <v>0</v>
      </c>
      <c r="BJ531" t="str">
        <f t="shared" si="117"/>
        <v/>
      </c>
      <c r="BL531">
        <f t="shared" si="106"/>
        <v>0</v>
      </c>
      <c r="BN531">
        <v>5.3E-3</v>
      </c>
      <c r="BS531" s="4" t="s">
        <v>2165</v>
      </c>
    </row>
    <row r="532" spans="1:71" ht="15.75" thickBot="1" x14ac:dyDescent="0.3">
      <c r="A532" s="569" t="s">
        <v>2572</v>
      </c>
      <c r="B532" s="569" t="s">
        <v>1388</v>
      </c>
      <c r="C532" s="569" t="s">
        <v>6</v>
      </c>
      <c r="D532" s="574">
        <v>5</v>
      </c>
      <c r="E532" s="569"/>
      <c r="F532" s="569"/>
      <c r="G532" s="569"/>
      <c r="H532" s="569"/>
      <c r="I532" s="574">
        <v>0</v>
      </c>
      <c r="J532" s="574">
        <v>0</v>
      </c>
      <c r="K532" s="574">
        <v>0</v>
      </c>
      <c r="L532" s="574">
        <v>2.4</v>
      </c>
      <c r="M532" s="574">
        <v>0.2</v>
      </c>
      <c r="N532" s="574">
        <v>40.200000000000003</v>
      </c>
      <c r="O532" s="574">
        <v>0</v>
      </c>
      <c r="P532" s="574">
        <v>0</v>
      </c>
      <c r="Q532" s="574">
        <v>3.4</v>
      </c>
      <c r="R532" s="569"/>
      <c r="S532" s="569"/>
      <c r="T532" s="569"/>
      <c r="U532" s="569"/>
      <c r="V532" s="569"/>
      <c r="W532" s="569"/>
      <c r="X532" s="569"/>
      <c r="Y532" s="569"/>
      <c r="Z532" s="569"/>
      <c r="AA532" s="569"/>
      <c r="AB532" s="569"/>
      <c r="AC532" s="569"/>
      <c r="AD532" s="569"/>
      <c r="AE532" s="569"/>
      <c r="AF532" s="569"/>
      <c r="AG532" s="569"/>
      <c r="AH532" s="569"/>
      <c r="AI532" s="569"/>
      <c r="AJ532" s="569"/>
      <c r="AK532" s="569"/>
      <c r="AL532" s="569"/>
      <c r="AM532" s="569"/>
      <c r="AN532" s="574">
        <v>5.7</v>
      </c>
      <c r="AO532">
        <v>531</v>
      </c>
      <c r="AP532" t="str">
        <f t="shared" ref="AP532:AP595" si="118">IF($C532="QB",A532,"")</f>
        <v/>
      </c>
      <c r="AQ532" t="str">
        <f t="shared" si="108"/>
        <v/>
      </c>
      <c r="AR532" s="430">
        <f>IFERROR(
IF(AP532="",-100,
IF($BV$2&gt;0, INDEX(Beersheet!$A:$U,MATCH(AP532,INDEX(Beersheet!$A:$U,0,FFARawStatProjections!$BV$2),0),$BV$3)+$BN532,
INDEX($A532:$BM532,,$BV$12)*$BW$12+
INDEX($A532:$BM532,,$BV$15)*$BW$15+
INDEX($A532:$BM532,,$BV$16)*$BW$16+
INDEX($A532:$BM532,,$BV$17)*$BW$17+
INDEX($A532:$BM532,,$BV$18)*$BW$18+
INDEX($A532:$BM532,,$BV$19)*$BW$19+
INDEX($A532:$BM532,,$BV$20)*$BW$20+
INDEX($A532:$BM532,,$BV$21)*$BW$21+
INDEX($A532:$BM532,,$BV$22)*$BW$22+
INDEX($A532:$BM532,,$BV$23)*$BW$23+
INDEX($A532:$BM532,,$BV$25)*$BW$25+
INDEX($A532:$BM532,,$BV$26)*$BW$26+
INDEX($A532:$BM532,,$BV$27)*$BW$27+
$BN532)),
$BN532-100)</f>
        <v>-100</v>
      </c>
      <c r="AT532" t="str">
        <f t="shared" si="109"/>
        <v/>
      </c>
      <c r="AU532" t="str">
        <f t="shared" si="110"/>
        <v/>
      </c>
      <c r="AV532" s="430">
        <f>IFERROR(
IF(AT532="",-100,
IF($BV$2&gt;0, INDEX(Beersheet!$A:$U,MATCH(AT532,INDEX(Beersheet!$A:$U,0,FFARawStatProjections!$BV$2),0),$BV$3)+$BN532,
INDEX($A532:$BM532,,$BV$12)*$BW$12+
INDEX($A532:$BM532,,$BV$15)*$BW$15+
INDEX($A532:$BM532,,$BV$16)*$BW$16+
INDEX($A532:$BM532,,$BV$17)*$BW$17+
INDEX($A532:$BM532,,$BV$18)*$BW$18+
INDEX($A532:$BM532,,$BV$19)*$BW$19+
INDEX($A532:$BM532,,$BV$20)*$BW$20+
INDEX($A532:$BM532,,$BV$21)*$BW$21+
INDEX($A532:$BM532,,$BV$22)*$BW$22+
INDEX($A532:$BM532,,$BV$23)*$BW$23+
INDEX($A532:$BM532,,$BV$25)*$BW$25+
INDEX($A532:$BM532,,$BV$26)*$BW$26+
INDEX($A532:$BM532,,$BV$27)*$BW$27+
$BN532)),
$BN532-100)</f>
        <v>-100</v>
      </c>
      <c r="AX532" t="str">
        <f t="shared" si="111"/>
        <v>Keelan Doss</v>
      </c>
      <c r="AY532" t="str">
        <f t="shared" si="112"/>
        <v>LAC</v>
      </c>
      <c r="AZ532" s="430">
        <f>IFERROR(
IF(AX532="",-100,
IF($BV$2&gt;0, INDEX(Beersheet!$A:$U,MATCH(AX532,INDEX(Beersheet!$A:$U,0,FFARawStatProjections!$BV$2),0),$BV$3)+$BN532,
INDEX($A532:$BM532,,$BV$12)*$BW$12+
INDEX($A532:$BM532,,$BV$15)*$BW$15+
INDEX($A532:$BM532,,$BV$16)*$BW$16+
INDEX($A532:$BM532,,$BV$17)*$BW$17+
INDEX($A532:$BM532,,$BV$18)*$BW$18+
INDEX($A532:$BM532,,$BV$19)*$BW$19+
INDEX($A532:$BM532,,$BV$20)*$BW$20+
INDEX($A532:$BM532,,$BV$21)*$BW$21+
INDEX($A532:$BM532,,$BV$22)*$BW$22+
INDEX($A532:$BM532,,$BV$23)*$BW$23+
INDEX($A532:$BM532,,$BV$25)*$BW$25+
INDEX($A532:$BM532,,$BV$26)*$BW$26+
INDEX($A532:$BM532,,$BV$27)*$BW$27+
$BN532)),
$BN532-100)</f>
        <v>7.9653100000000006</v>
      </c>
      <c r="BB532" t="str">
        <f t="shared" si="113"/>
        <v/>
      </c>
      <c r="BC532" t="str">
        <f t="shared" si="107"/>
        <v/>
      </c>
      <c r="BD532" s="430">
        <f>IFERROR(
IF(BB532="",-100,
IF($BV$2&gt;0, INDEX(Beersheet!$A:$U,MATCH(BB532,INDEX(Beersheet!$A:$U,0,FFARawStatProjections!$BV$2),0),$BV$3)+$BN532,
INDEX($A532:$BM532,,$BV$12)*$BW$12+
INDEX($A532:$BM532,,$BV$15)*$BW$15+
INDEX($A532:$BM532,,$BV$16)*$BW$16+
INDEX($A532:$BM532,,$BV$17)*$BW$17+
INDEX($A532:$BM532,,$BV$18)*$BW$18+
INDEX($A532:$BM532,,$BV$19)*$BW$19+
INDEX($A532:$BM532,,$BV$20)*$BW$20+
INDEX($A532:$BM532,,$BV$21)*$BW$21+
INDEX($A532:$BM532,,$BV$22)*$BW$22+
INDEX($A532:$BM532,,$BV$23)*$BW$23+
INDEX($A532:$BM532,,$BV$25)*$BW$25+
INDEX($A532:$BM532,,$BV$26)*$BW$26+
INDEX($A532:$BM532,,$BV$27)*$BW$27+
$BN532)),
$BN532-100)</f>
        <v>-100</v>
      </c>
      <c r="BF532" t="str">
        <f t="shared" si="114"/>
        <v/>
      </c>
      <c r="BG532" t="str">
        <f t="shared" si="115"/>
        <v/>
      </c>
      <c r="BH532">
        <f t="shared" si="116"/>
        <v>0</v>
      </c>
      <c r="BJ532" t="str">
        <f t="shared" si="117"/>
        <v/>
      </c>
      <c r="BL532">
        <f t="shared" si="106"/>
        <v>0</v>
      </c>
      <c r="BN532">
        <v>5.3099999999999996E-3</v>
      </c>
      <c r="BS532" s="4" t="s">
        <v>1301</v>
      </c>
    </row>
    <row r="533" spans="1:71" ht="15.75" thickBot="1" x14ac:dyDescent="0.3">
      <c r="A533" s="569" t="s">
        <v>2527</v>
      </c>
      <c r="B533" s="569" t="s">
        <v>144</v>
      </c>
      <c r="C533" s="569" t="s">
        <v>6</v>
      </c>
      <c r="D533" s="574">
        <v>9</v>
      </c>
      <c r="E533" s="569"/>
      <c r="F533" s="569"/>
      <c r="G533" s="569"/>
      <c r="H533" s="569"/>
      <c r="I533" s="574">
        <v>0</v>
      </c>
      <c r="J533" s="574">
        <v>0</v>
      </c>
      <c r="K533" s="574">
        <v>0</v>
      </c>
      <c r="L533" s="574">
        <v>3.5</v>
      </c>
      <c r="M533" s="574">
        <v>0.2</v>
      </c>
      <c r="N533" s="574">
        <v>42.9</v>
      </c>
      <c r="O533" s="574">
        <v>0</v>
      </c>
      <c r="P533" s="574">
        <v>0</v>
      </c>
      <c r="Q533" s="574">
        <v>0.7</v>
      </c>
      <c r="R533" s="569"/>
      <c r="S533" s="569"/>
      <c r="T533" s="569"/>
      <c r="U533" s="569"/>
      <c r="V533" s="569"/>
      <c r="W533" s="569"/>
      <c r="X533" s="569"/>
      <c r="Y533" s="569"/>
      <c r="Z533" s="569"/>
      <c r="AA533" s="569"/>
      <c r="AB533" s="569"/>
      <c r="AC533" s="569"/>
      <c r="AD533" s="569"/>
      <c r="AE533" s="569"/>
      <c r="AF533" s="569"/>
      <c r="AG533" s="569"/>
      <c r="AH533" s="569"/>
      <c r="AI533" s="569"/>
      <c r="AJ533" s="569"/>
      <c r="AK533" s="569"/>
      <c r="AL533" s="569"/>
      <c r="AM533" s="569"/>
      <c r="AN533" s="574">
        <v>5.7</v>
      </c>
      <c r="AO533">
        <v>532</v>
      </c>
      <c r="AP533" t="str">
        <f t="shared" si="118"/>
        <v/>
      </c>
      <c r="AQ533" t="str">
        <f t="shared" si="108"/>
        <v/>
      </c>
      <c r="AR533" s="430">
        <f>IFERROR(
IF(AP533="",-100,
IF($BV$2&gt;0, INDEX(Beersheet!$A:$U,MATCH(AP533,INDEX(Beersheet!$A:$U,0,FFARawStatProjections!$BV$2),0),$BV$3)+$BN533,
INDEX($A533:$BM533,,$BV$12)*$BW$12+
INDEX($A533:$BM533,,$BV$15)*$BW$15+
INDEX($A533:$BM533,,$BV$16)*$BW$16+
INDEX($A533:$BM533,,$BV$17)*$BW$17+
INDEX($A533:$BM533,,$BV$18)*$BW$18+
INDEX($A533:$BM533,,$BV$19)*$BW$19+
INDEX($A533:$BM533,,$BV$20)*$BW$20+
INDEX($A533:$BM533,,$BV$21)*$BW$21+
INDEX($A533:$BM533,,$BV$22)*$BW$22+
INDEX($A533:$BM533,,$BV$23)*$BW$23+
INDEX($A533:$BM533,,$BV$25)*$BW$25+
INDEX($A533:$BM533,,$BV$26)*$BW$26+
INDEX($A533:$BM533,,$BV$27)*$BW$27+
$BN533)),
$BN533-100)</f>
        <v>-100</v>
      </c>
      <c r="AT533" t="str">
        <f t="shared" si="109"/>
        <v/>
      </c>
      <c r="AU533" t="str">
        <f t="shared" si="110"/>
        <v/>
      </c>
      <c r="AV533" s="430">
        <f>IFERROR(
IF(AT533="",-100,
IF($BV$2&gt;0, INDEX(Beersheet!$A:$U,MATCH(AT533,INDEX(Beersheet!$A:$U,0,FFARawStatProjections!$BV$2),0),$BV$3)+$BN533,
INDEX($A533:$BM533,,$BV$12)*$BW$12+
INDEX($A533:$BM533,,$BV$15)*$BW$15+
INDEX($A533:$BM533,,$BV$16)*$BW$16+
INDEX($A533:$BM533,,$BV$17)*$BW$17+
INDEX($A533:$BM533,,$BV$18)*$BW$18+
INDEX($A533:$BM533,,$BV$19)*$BW$19+
INDEX($A533:$BM533,,$BV$20)*$BW$20+
INDEX($A533:$BM533,,$BV$21)*$BW$21+
INDEX($A533:$BM533,,$BV$22)*$BW$22+
INDEX($A533:$BM533,,$BV$23)*$BW$23+
INDEX($A533:$BM533,,$BV$25)*$BW$25+
INDEX($A533:$BM533,,$BV$26)*$BW$26+
INDEX($A533:$BM533,,$BV$27)*$BW$27+
$BN533)),
$BN533-100)</f>
        <v>-100</v>
      </c>
      <c r="AX533" t="str">
        <f t="shared" si="111"/>
        <v>Brandon Johnson</v>
      </c>
      <c r="AY533" t="str">
        <f t="shared" si="112"/>
        <v>DEN</v>
      </c>
      <c r="AZ533" s="430">
        <f>IFERROR(
IF(AX533="",-100,
IF($BV$2&gt;0, INDEX(Beersheet!$A:$U,MATCH(AX533,INDEX(Beersheet!$A:$U,0,FFARawStatProjections!$BV$2),0),$BV$3)+$BN533,
INDEX($A533:$BM533,,$BV$12)*$BW$12+
INDEX($A533:$BM533,,$BV$15)*$BW$15+
INDEX($A533:$BM533,,$BV$16)*$BW$16+
INDEX($A533:$BM533,,$BV$17)*$BW$17+
INDEX($A533:$BM533,,$BV$18)*$BW$18+
INDEX($A533:$BM533,,$BV$19)*$BW$19+
INDEX($A533:$BM533,,$BV$20)*$BW$20+
INDEX($A533:$BM533,,$BV$21)*$BW$21+
INDEX($A533:$BM533,,$BV$22)*$BW$22+
INDEX($A533:$BM533,,$BV$23)*$BW$23+
INDEX($A533:$BM533,,$BV$25)*$BW$25+
INDEX($A533:$BM533,,$BV$26)*$BW$26+
INDEX($A533:$BM533,,$BV$27)*$BW$27+
$BN533)),
$BN533-100)</f>
        <v>9.0653199999999998</v>
      </c>
      <c r="BB533" t="str">
        <f t="shared" si="113"/>
        <v/>
      </c>
      <c r="BC533" t="str">
        <f t="shared" si="107"/>
        <v/>
      </c>
      <c r="BD533" s="430">
        <f>IFERROR(
IF(BB533="",-100,
IF($BV$2&gt;0, INDEX(Beersheet!$A:$U,MATCH(BB533,INDEX(Beersheet!$A:$U,0,FFARawStatProjections!$BV$2),0),$BV$3)+$BN533,
INDEX($A533:$BM533,,$BV$12)*$BW$12+
INDEX($A533:$BM533,,$BV$15)*$BW$15+
INDEX($A533:$BM533,,$BV$16)*$BW$16+
INDEX($A533:$BM533,,$BV$17)*$BW$17+
INDEX($A533:$BM533,,$BV$18)*$BW$18+
INDEX($A533:$BM533,,$BV$19)*$BW$19+
INDEX($A533:$BM533,,$BV$20)*$BW$20+
INDEX($A533:$BM533,,$BV$21)*$BW$21+
INDEX($A533:$BM533,,$BV$22)*$BW$22+
INDEX($A533:$BM533,,$BV$23)*$BW$23+
INDEX($A533:$BM533,,$BV$25)*$BW$25+
INDEX($A533:$BM533,,$BV$26)*$BW$26+
INDEX($A533:$BM533,,$BV$27)*$BW$27+
$BN533)),
$BN533-100)</f>
        <v>-100</v>
      </c>
      <c r="BF533" t="str">
        <f t="shared" si="114"/>
        <v/>
      </c>
      <c r="BG533" t="str">
        <f t="shared" si="115"/>
        <v/>
      </c>
      <c r="BH533">
        <f t="shared" si="116"/>
        <v>0</v>
      </c>
      <c r="BJ533" t="str">
        <f t="shared" si="117"/>
        <v/>
      </c>
      <c r="BL533">
        <f t="shared" si="106"/>
        <v>0</v>
      </c>
      <c r="BN533">
        <v>5.3200000000000001E-3</v>
      </c>
      <c r="BS533" s="4" t="s">
        <v>2216</v>
      </c>
    </row>
    <row r="534" spans="1:71" ht="15.75" thickBot="1" x14ac:dyDescent="0.3">
      <c r="A534" s="569" t="s">
        <v>2217</v>
      </c>
      <c r="B534" s="569" t="s">
        <v>161</v>
      </c>
      <c r="C534" s="569" t="s">
        <v>6</v>
      </c>
      <c r="D534" s="574">
        <v>5</v>
      </c>
      <c r="E534" s="569"/>
      <c r="F534" s="569"/>
      <c r="G534" s="569"/>
      <c r="H534" s="569"/>
      <c r="I534" s="574">
        <v>0</v>
      </c>
      <c r="J534" s="574">
        <v>0</v>
      </c>
      <c r="K534" s="574">
        <v>0</v>
      </c>
      <c r="L534" s="574">
        <v>2.2999999999999998</v>
      </c>
      <c r="M534" s="574">
        <v>0.2</v>
      </c>
      <c r="N534" s="574">
        <v>44.1</v>
      </c>
      <c r="O534" s="574">
        <v>0</v>
      </c>
      <c r="P534" s="574">
        <v>0</v>
      </c>
      <c r="Q534" s="574">
        <v>2.8</v>
      </c>
      <c r="R534" s="569"/>
      <c r="S534" s="569"/>
      <c r="T534" s="569"/>
      <c r="U534" s="569"/>
      <c r="V534" s="569"/>
      <c r="W534" s="569"/>
      <c r="X534" s="569"/>
      <c r="Y534" s="569"/>
      <c r="Z534" s="569"/>
      <c r="AA534" s="569"/>
      <c r="AB534" s="569"/>
      <c r="AC534" s="569"/>
      <c r="AD534" s="569"/>
      <c r="AE534" s="569"/>
      <c r="AF534" s="569"/>
      <c r="AG534" s="569"/>
      <c r="AH534" s="569"/>
      <c r="AI534" s="569"/>
      <c r="AJ534" s="569"/>
      <c r="AK534" s="569"/>
      <c r="AL534" s="569"/>
      <c r="AM534" s="569"/>
      <c r="AN534" s="574">
        <v>5.7</v>
      </c>
      <c r="AO534">
        <v>533</v>
      </c>
      <c r="AP534" t="str">
        <f t="shared" si="118"/>
        <v/>
      </c>
      <c r="AQ534" t="str">
        <f t="shared" si="108"/>
        <v/>
      </c>
      <c r="AR534" s="430">
        <f>IFERROR(
IF(AP534="",-100,
IF($BV$2&gt;0, INDEX(Beersheet!$A:$U,MATCH(AP534,INDEX(Beersheet!$A:$U,0,FFARawStatProjections!$BV$2),0),$BV$3)+$BN534,
INDEX($A534:$BM534,,$BV$12)*$BW$12+
INDEX($A534:$BM534,,$BV$15)*$BW$15+
INDEX($A534:$BM534,,$BV$16)*$BW$16+
INDEX($A534:$BM534,,$BV$17)*$BW$17+
INDEX($A534:$BM534,,$BV$18)*$BW$18+
INDEX($A534:$BM534,,$BV$19)*$BW$19+
INDEX($A534:$BM534,,$BV$20)*$BW$20+
INDEX($A534:$BM534,,$BV$21)*$BW$21+
INDEX($A534:$BM534,,$BV$22)*$BW$22+
INDEX($A534:$BM534,,$BV$23)*$BW$23+
INDEX($A534:$BM534,,$BV$25)*$BW$25+
INDEX($A534:$BM534,,$BV$26)*$BW$26+
INDEX($A534:$BM534,,$BV$27)*$BW$27+
$BN534)),
$BN534-100)</f>
        <v>-100</v>
      </c>
      <c r="AT534" t="str">
        <f t="shared" si="109"/>
        <v/>
      </c>
      <c r="AU534" t="str">
        <f t="shared" si="110"/>
        <v/>
      </c>
      <c r="AV534" s="430">
        <f>IFERROR(
IF(AT534="",-100,
IF($BV$2&gt;0, INDEX(Beersheet!$A:$U,MATCH(AT534,INDEX(Beersheet!$A:$U,0,FFARawStatProjections!$BV$2),0),$BV$3)+$BN534,
INDEX($A534:$BM534,,$BV$12)*$BW$12+
INDEX($A534:$BM534,,$BV$15)*$BW$15+
INDEX($A534:$BM534,,$BV$16)*$BW$16+
INDEX($A534:$BM534,,$BV$17)*$BW$17+
INDEX($A534:$BM534,,$BV$18)*$BW$18+
INDEX($A534:$BM534,,$BV$19)*$BW$19+
INDEX($A534:$BM534,,$BV$20)*$BW$20+
INDEX($A534:$BM534,,$BV$21)*$BW$21+
INDEX($A534:$BM534,,$BV$22)*$BW$22+
INDEX($A534:$BM534,,$BV$23)*$BW$23+
INDEX($A534:$BM534,,$BV$25)*$BW$25+
INDEX($A534:$BM534,,$BV$26)*$BW$26+
INDEX($A534:$BM534,,$BV$27)*$BW$27+
$BN534)),
$BN534-100)</f>
        <v>-100</v>
      </c>
      <c r="AX534" t="str">
        <f t="shared" si="111"/>
        <v>Jaelon Darden</v>
      </c>
      <c r="AY534" t="str">
        <f t="shared" si="112"/>
        <v>CLE</v>
      </c>
      <c r="AZ534" s="430">
        <f>IFERROR(
IF(AX534="",-100,
IF($BV$2&gt;0, INDEX(Beersheet!$A:$U,MATCH(AX534,INDEX(Beersheet!$A:$U,0,FFARawStatProjections!$BV$2),0),$BV$3)+$BN534,
INDEX($A534:$BM534,,$BV$12)*$BW$12+
INDEX($A534:$BM534,,$BV$15)*$BW$15+
INDEX($A534:$BM534,,$BV$16)*$BW$16+
INDEX($A534:$BM534,,$BV$17)*$BW$17+
INDEX($A534:$BM534,,$BV$18)*$BW$18+
INDEX($A534:$BM534,,$BV$19)*$BW$19+
INDEX($A534:$BM534,,$BV$20)*$BW$20+
INDEX($A534:$BM534,,$BV$21)*$BW$21+
INDEX($A534:$BM534,,$BV$22)*$BW$22+
INDEX($A534:$BM534,,$BV$23)*$BW$23+
INDEX($A534:$BM534,,$BV$25)*$BW$25+
INDEX($A534:$BM534,,$BV$26)*$BW$26+
INDEX($A534:$BM534,,$BV$27)*$BW$27+
$BN534)),
$BN534-100)</f>
        <v>8.1953300000000002</v>
      </c>
      <c r="BB534" t="str">
        <f t="shared" si="113"/>
        <v/>
      </c>
      <c r="BC534" t="str">
        <f t="shared" si="107"/>
        <v/>
      </c>
      <c r="BD534" s="430">
        <f>IFERROR(
IF(BB534="",-100,
IF($BV$2&gt;0, INDEX(Beersheet!$A:$U,MATCH(BB534,INDEX(Beersheet!$A:$U,0,FFARawStatProjections!$BV$2),0),$BV$3)+$BN534,
INDEX($A534:$BM534,,$BV$12)*$BW$12+
INDEX($A534:$BM534,,$BV$15)*$BW$15+
INDEX($A534:$BM534,,$BV$16)*$BW$16+
INDEX($A534:$BM534,,$BV$17)*$BW$17+
INDEX($A534:$BM534,,$BV$18)*$BW$18+
INDEX($A534:$BM534,,$BV$19)*$BW$19+
INDEX($A534:$BM534,,$BV$20)*$BW$20+
INDEX($A534:$BM534,,$BV$21)*$BW$21+
INDEX($A534:$BM534,,$BV$22)*$BW$22+
INDEX($A534:$BM534,,$BV$23)*$BW$23+
INDEX($A534:$BM534,,$BV$25)*$BW$25+
INDEX($A534:$BM534,,$BV$26)*$BW$26+
INDEX($A534:$BM534,,$BV$27)*$BW$27+
$BN534)),
$BN534-100)</f>
        <v>-100</v>
      </c>
      <c r="BF534" t="str">
        <f t="shared" si="114"/>
        <v/>
      </c>
      <c r="BG534" t="str">
        <f t="shared" si="115"/>
        <v/>
      </c>
      <c r="BH534">
        <f t="shared" si="116"/>
        <v>0</v>
      </c>
      <c r="BJ534" t="str">
        <f t="shared" si="117"/>
        <v/>
      </c>
      <c r="BL534">
        <f t="shared" si="106"/>
        <v>0</v>
      </c>
      <c r="BN534">
        <v>5.3299999999999997E-3</v>
      </c>
      <c r="BS534" s="4" t="s">
        <v>2205</v>
      </c>
    </row>
    <row r="535" spans="1:71" ht="15.75" thickBot="1" x14ac:dyDescent="0.3">
      <c r="A535" s="569" t="s">
        <v>2537</v>
      </c>
      <c r="B535" s="569" t="s">
        <v>2272</v>
      </c>
      <c r="C535" s="569" t="s">
        <v>6</v>
      </c>
      <c r="D535" s="574">
        <v>14</v>
      </c>
      <c r="E535" s="569"/>
      <c r="F535" s="569"/>
      <c r="G535" s="569"/>
      <c r="H535" s="569"/>
      <c r="I535" s="574">
        <v>0</v>
      </c>
      <c r="J535" s="574">
        <v>0</v>
      </c>
      <c r="K535" s="574">
        <v>0</v>
      </c>
      <c r="L535" s="574">
        <v>3.7</v>
      </c>
      <c r="M535" s="574">
        <v>0.2</v>
      </c>
      <c r="N535" s="574">
        <v>46.2</v>
      </c>
      <c r="O535" s="574">
        <v>0</v>
      </c>
      <c r="P535" s="574">
        <v>0</v>
      </c>
      <c r="Q535" s="574">
        <v>0</v>
      </c>
      <c r="R535" s="569"/>
      <c r="S535" s="569"/>
      <c r="T535" s="569"/>
      <c r="U535" s="569"/>
      <c r="V535" s="569"/>
      <c r="W535" s="569"/>
      <c r="X535" s="569"/>
      <c r="Y535" s="569"/>
      <c r="Z535" s="569"/>
      <c r="AA535" s="569"/>
      <c r="AB535" s="569"/>
      <c r="AC535" s="569"/>
      <c r="AD535" s="569"/>
      <c r="AE535" s="569"/>
      <c r="AF535" s="569"/>
      <c r="AG535" s="569"/>
      <c r="AH535" s="569"/>
      <c r="AI535" s="569"/>
      <c r="AJ535" s="569"/>
      <c r="AK535" s="569"/>
      <c r="AL535" s="569"/>
      <c r="AM535" s="569"/>
      <c r="AN535" s="574">
        <v>5.6</v>
      </c>
      <c r="AO535">
        <v>534</v>
      </c>
      <c r="AP535" t="str">
        <f t="shared" si="118"/>
        <v/>
      </c>
      <c r="AQ535" t="str">
        <f t="shared" si="108"/>
        <v/>
      </c>
      <c r="AR535" s="430">
        <f>IFERROR(
IF(AP535="",-100,
IF($BV$2&gt;0, INDEX(Beersheet!$A:$U,MATCH(AP535,INDEX(Beersheet!$A:$U,0,FFARawStatProjections!$BV$2),0),$BV$3)+$BN535,
INDEX($A535:$BM535,,$BV$12)*$BW$12+
INDEX($A535:$BM535,,$BV$15)*$BW$15+
INDEX($A535:$BM535,,$BV$16)*$BW$16+
INDEX($A535:$BM535,,$BV$17)*$BW$17+
INDEX($A535:$BM535,,$BV$18)*$BW$18+
INDEX($A535:$BM535,,$BV$19)*$BW$19+
INDEX($A535:$BM535,,$BV$20)*$BW$20+
INDEX($A535:$BM535,,$BV$21)*$BW$21+
INDEX($A535:$BM535,,$BV$22)*$BW$22+
INDEX($A535:$BM535,,$BV$23)*$BW$23+
INDEX($A535:$BM535,,$BV$25)*$BW$25+
INDEX($A535:$BM535,,$BV$26)*$BW$26+
INDEX($A535:$BM535,,$BV$27)*$BW$27+
$BN535)),
$BN535-100)</f>
        <v>-100</v>
      </c>
      <c r="AT535" t="str">
        <f t="shared" si="109"/>
        <v/>
      </c>
      <c r="AU535" t="str">
        <f t="shared" si="110"/>
        <v/>
      </c>
      <c r="AV535" s="430">
        <f>IFERROR(
IF(AT535="",-100,
IF($BV$2&gt;0, INDEX(Beersheet!$A:$U,MATCH(AT535,INDEX(Beersheet!$A:$U,0,FFARawStatProjections!$BV$2),0),$BV$3)+$BN535,
INDEX($A535:$BM535,,$BV$12)*$BW$12+
INDEX($A535:$BM535,,$BV$15)*$BW$15+
INDEX($A535:$BM535,,$BV$16)*$BW$16+
INDEX($A535:$BM535,,$BV$17)*$BW$17+
INDEX($A535:$BM535,,$BV$18)*$BW$18+
INDEX($A535:$BM535,,$BV$19)*$BW$19+
INDEX($A535:$BM535,,$BV$20)*$BW$20+
INDEX($A535:$BM535,,$BV$21)*$BW$21+
INDEX($A535:$BM535,,$BV$22)*$BW$22+
INDEX($A535:$BM535,,$BV$23)*$BW$23+
INDEX($A535:$BM535,,$BV$25)*$BW$25+
INDEX($A535:$BM535,,$BV$26)*$BW$26+
INDEX($A535:$BM535,,$BV$27)*$BW$27+
$BN535)),
$BN535-100)</f>
        <v>-100</v>
      </c>
      <c r="AX535" t="str">
        <f t="shared" si="111"/>
        <v>Andre Baccellia</v>
      </c>
      <c r="AY535" t="str">
        <f t="shared" si="112"/>
        <v>AZ</v>
      </c>
      <c r="AZ535" s="430">
        <f>IFERROR(
IF(AX535="",-100,
IF($BV$2&gt;0, INDEX(Beersheet!$A:$U,MATCH(AX535,INDEX(Beersheet!$A:$U,0,FFARawStatProjections!$BV$2),0),$BV$3)+$BN535,
INDEX($A535:$BM535,,$BV$12)*$BW$12+
INDEX($A535:$BM535,,$BV$15)*$BW$15+
INDEX($A535:$BM535,,$BV$16)*$BW$16+
INDEX($A535:$BM535,,$BV$17)*$BW$17+
INDEX($A535:$BM535,,$BV$18)*$BW$18+
INDEX($A535:$BM535,,$BV$19)*$BW$19+
INDEX($A535:$BM535,,$BV$20)*$BW$20+
INDEX($A535:$BM535,,$BV$21)*$BW$21+
INDEX($A535:$BM535,,$BV$22)*$BW$22+
INDEX($A535:$BM535,,$BV$23)*$BW$23+
INDEX($A535:$BM535,,$BV$25)*$BW$25+
INDEX($A535:$BM535,,$BV$26)*$BW$26+
INDEX($A535:$BM535,,$BV$27)*$BW$27+
$BN535)),
$BN535-100)</f>
        <v>9.5253399999999999</v>
      </c>
      <c r="BB535" t="str">
        <f t="shared" si="113"/>
        <v/>
      </c>
      <c r="BC535" t="str">
        <f t="shared" si="107"/>
        <v/>
      </c>
      <c r="BD535" s="430">
        <f>IFERROR(
IF(BB535="",-100,
IF($BV$2&gt;0, INDEX(Beersheet!$A:$U,MATCH(BB535,INDEX(Beersheet!$A:$U,0,FFARawStatProjections!$BV$2),0),$BV$3)+$BN535,
INDEX($A535:$BM535,,$BV$12)*$BW$12+
INDEX($A535:$BM535,,$BV$15)*$BW$15+
INDEX($A535:$BM535,,$BV$16)*$BW$16+
INDEX($A535:$BM535,,$BV$17)*$BW$17+
INDEX($A535:$BM535,,$BV$18)*$BW$18+
INDEX($A535:$BM535,,$BV$19)*$BW$19+
INDEX($A535:$BM535,,$BV$20)*$BW$20+
INDEX($A535:$BM535,,$BV$21)*$BW$21+
INDEX($A535:$BM535,,$BV$22)*$BW$22+
INDEX($A535:$BM535,,$BV$23)*$BW$23+
INDEX($A535:$BM535,,$BV$25)*$BW$25+
INDEX($A535:$BM535,,$BV$26)*$BW$26+
INDEX($A535:$BM535,,$BV$27)*$BW$27+
$BN535)),
$BN535-100)</f>
        <v>-100</v>
      </c>
      <c r="BF535" t="str">
        <f t="shared" si="114"/>
        <v/>
      </c>
      <c r="BG535" t="str">
        <f t="shared" si="115"/>
        <v/>
      </c>
      <c r="BH535">
        <f t="shared" si="116"/>
        <v>0</v>
      </c>
      <c r="BJ535" t="str">
        <f t="shared" si="117"/>
        <v/>
      </c>
      <c r="BL535">
        <f t="shared" si="106"/>
        <v>0</v>
      </c>
      <c r="BN535">
        <v>5.3400000000000001E-3</v>
      </c>
      <c r="BS535" s="4" t="s">
        <v>2549</v>
      </c>
    </row>
    <row r="536" spans="1:71" ht="15.75" thickBot="1" x14ac:dyDescent="0.3">
      <c r="A536" s="569" t="s">
        <v>2532</v>
      </c>
      <c r="B536" s="569" t="s">
        <v>1389</v>
      </c>
      <c r="C536" s="569" t="s">
        <v>6</v>
      </c>
      <c r="D536" s="574">
        <v>10</v>
      </c>
      <c r="E536" s="569"/>
      <c r="F536" s="569"/>
      <c r="G536" s="569"/>
      <c r="H536" s="569"/>
      <c r="I536" s="574">
        <v>0</v>
      </c>
      <c r="J536" s="574">
        <v>0</v>
      </c>
      <c r="K536" s="574">
        <v>0</v>
      </c>
      <c r="L536" s="574">
        <v>3.3</v>
      </c>
      <c r="M536" s="574">
        <v>0.2</v>
      </c>
      <c r="N536" s="574">
        <v>42.7</v>
      </c>
      <c r="O536" s="574">
        <v>0</v>
      </c>
      <c r="P536" s="574">
        <v>0</v>
      </c>
      <c r="Q536" s="574">
        <v>0</v>
      </c>
      <c r="R536" s="569"/>
      <c r="S536" s="569"/>
      <c r="T536" s="569"/>
      <c r="U536" s="569"/>
      <c r="V536" s="569"/>
      <c r="W536" s="569"/>
      <c r="X536" s="569"/>
      <c r="Y536" s="569"/>
      <c r="Z536" s="569"/>
      <c r="AA536" s="569"/>
      <c r="AB536" s="569"/>
      <c r="AC536" s="569"/>
      <c r="AD536" s="569"/>
      <c r="AE536" s="569"/>
      <c r="AF536" s="569"/>
      <c r="AG536" s="569"/>
      <c r="AH536" s="569"/>
      <c r="AI536" s="569"/>
      <c r="AJ536" s="569"/>
      <c r="AK536" s="569"/>
      <c r="AL536" s="569"/>
      <c r="AM536" s="569"/>
      <c r="AN536" s="574">
        <v>5.3</v>
      </c>
      <c r="AO536">
        <v>535</v>
      </c>
      <c r="AP536" t="str">
        <f t="shared" si="118"/>
        <v/>
      </c>
      <c r="AQ536" t="str">
        <f t="shared" si="108"/>
        <v/>
      </c>
      <c r="AR536" s="430">
        <f>IFERROR(
IF(AP536="",-100,
IF($BV$2&gt;0, INDEX(Beersheet!$A:$U,MATCH(AP536,INDEX(Beersheet!$A:$U,0,FFARawStatProjections!$BV$2),0),$BV$3)+$BN536,
INDEX($A536:$BM536,,$BV$12)*$BW$12+
INDEX($A536:$BM536,,$BV$15)*$BW$15+
INDEX($A536:$BM536,,$BV$16)*$BW$16+
INDEX($A536:$BM536,,$BV$17)*$BW$17+
INDEX($A536:$BM536,,$BV$18)*$BW$18+
INDEX($A536:$BM536,,$BV$19)*$BW$19+
INDEX($A536:$BM536,,$BV$20)*$BW$20+
INDEX($A536:$BM536,,$BV$21)*$BW$21+
INDEX($A536:$BM536,,$BV$22)*$BW$22+
INDEX($A536:$BM536,,$BV$23)*$BW$23+
INDEX($A536:$BM536,,$BV$25)*$BW$25+
INDEX($A536:$BM536,,$BV$26)*$BW$26+
INDEX($A536:$BM536,,$BV$27)*$BW$27+
$BN536)),
$BN536-100)</f>
        <v>-100</v>
      </c>
      <c r="AT536" t="str">
        <f t="shared" si="109"/>
        <v/>
      </c>
      <c r="AU536" t="str">
        <f t="shared" si="110"/>
        <v/>
      </c>
      <c r="AV536" s="430">
        <f>IFERROR(
IF(AT536="",-100,
IF($BV$2&gt;0, INDEX(Beersheet!$A:$U,MATCH(AT536,INDEX(Beersheet!$A:$U,0,FFARawStatProjections!$BV$2),0),$BV$3)+$BN536,
INDEX($A536:$BM536,,$BV$12)*$BW$12+
INDEX($A536:$BM536,,$BV$15)*$BW$15+
INDEX($A536:$BM536,,$BV$16)*$BW$16+
INDEX($A536:$BM536,,$BV$17)*$BW$17+
INDEX($A536:$BM536,,$BV$18)*$BW$18+
INDEX($A536:$BM536,,$BV$19)*$BW$19+
INDEX($A536:$BM536,,$BV$20)*$BW$20+
INDEX($A536:$BM536,,$BV$21)*$BW$21+
INDEX($A536:$BM536,,$BV$22)*$BW$22+
INDEX($A536:$BM536,,$BV$23)*$BW$23+
INDEX($A536:$BM536,,$BV$25)*$BW$25+
INDEX($A536:$BM536,,$BV$26)*$BW$26+
INDEX($A536:$BM536,,$BV$27)*$BW$27+
$BN536)),
$BN536-100)</f>
        <v>-100</v>
      </c>
      <c r="AX536" t="str">
        <f t="shared" si="111"/>
        <v>Austin Trammell</v>
      </c>
      <c r="AY536" t="str">
        <f t="shared" si="112"/>
        <v>LAR</v>
      </c>
      <c r="AZ536" s="430">
        <f>IFERROR(
IF(AX536="",-100,
IF($BV$2&gt;0, INDEX(Beersheet!$A:$U,MATCH(AX536,INDEX(Beersheet!$A:$U,0,FFARawStatProjections!$BV$2),0),$BV$3)+$BN536,
INDEX($A536:$BM536,,$BV$12)*$BW$12+
INDEX($A536:$BM536,,$BV$15)*$BW$15+
INDEX($A536:$BM536,,$BV$16)*$BW$16+
INDEX($A536:$BM536,,$BV$17)*$BW$17+
INDEX($A536:$BM536,,$BV$18)*$BW$18+
INDEX($A536:$BM536,,$BV$19)*$BW$19+
INDEX($A536:$BM536,,$BV$20)*$BW$20+
INDEX($A536:$BM536,,$BV$21)*$BW$21+
INDEX($A536:$BM536,,$BV$22)*$BW$22+
INDEX($A536:$BM536,,$BV$23)*$BW$23+
INDEX($A536:$BM536,,$BV$25)*$BW$25+
INDEX($A536:$BM536,,$BV$26)*$BW$26+
INDEX($A536:$BM536,,$BV$27)*$BW$27+
$BN536)),
$BN536-100)</f>
        <v>8.7753499999999995</v>
      </c>
      <c r="BB536" t="str">
        <f t="shared" si="113"/>
        <v/>
      </c>
      <c r="BC536" t="str">
        <f t="shared" si="107"/>
        <v/>
      </c>
      <c r="BD536" s="430">
        <f>IFERROR(
IF(BB536="",-100,
IF($BV$2&gt;0, INDEX(Beersheet!$A:$U,MATCH(BB536,INDEX(Beersheet!$A:$U,0,FFARawStatProjections!$BV$2),0),$BV$3)+$BN536,
INDEX($A536:$BM536,,$BV$12)*$BW$12+
INDEX($A536:$BM536,,$BV$15)*$BW$15+
INDEX($A536:$BM536,,$BV$16)*$BW$16+
INDEX($A536:$BM536,,$BV$17)*$BW$17+
INDEX($A536:$BM536,,$BV$18)*$BW$18+
INDEX($A536:$BM536,,$BV$19)*$BW$19+
INDEX($A536:$BM536,,$BV$20)*$BW$20+
INDEX($A536:$BM536,,$BV$21)*$BW$21+
INDEX($A536:$BM536,,$BV$22)*$BW$22+
INDEX($A536:$BM536,,$BV$23)*$BW$23+
INDEX($A536:$BM536,,$BV$25)*$BW$25+
INDEX($A536:$BM536,,$BV$26)*$BW$26+
INDEX($A536:$BM536,,$BV$27)*$BW$27+
$BN536)),
$BN536-100)</f>
        <v>-100</v>
      </c>
      <c r="BF536" t="str">
        <f t="shared" si="114"/>
        <v/>
      </c>
      <c r="BG536" t="str">
        <f t="shared" si="115"/>
        <v/>
      </c>
      <c r="BH536">
        <f t="shared" si="116"/>
        <v>0</v>
      </c>
      <c r="BJ536" t="str">
        <f t="shared" si="117"/>
        <v/>
      </c>
      <c r="BL536">
        <f t="shared" si="106"/>
        <v>0</v>
      </c>
      <c r="BN536">
        <v>5.3499999999999997E-3</v>
      </c>
      <c r="BS536" s="4" t="s">
        <v>143</v>
      </c>
    </row>
    <row r="537" spans="1:71" ht="15.75" thickBot="1" x14ac:dyDescent="0.3">
      <c r="A537" s="569" t="s">
        <v>2346</v>
      </c>
      <c r="B537" s="569" t="s">
        <v>152</v>
      </c>
      <c r="C537" s="569" t="s">
        <v>6</v>
      </c>
      <c r="D537" s="574">
        <v>14</v>
      </c>
      <c r="E537" s="569"/>
      <c r="F537" s="569"/>
      <c r="G537" s="569"/>
      <c r="H537" s="569"/>
      <c r="I537" s="574">
        <v>0</v>
      </c>
      <c r="J537" s="574">
        <v>0</v>
      </c>
      <c r="K537" s="574">
        <v>0</v>
      </c>
      <c r="L537" s="574">
        <v>4</v>
      </c>
      <c r="M537" s="574">
        <v>0.2</v>
      </c>
      <c r="N537" s="574">
        <v>44.3</v>
      </c>
      <c r="O537" s="574">
        <v>0.2</v>
      </c>
      <c r="P537" s="574">
        <v>0</v>
      </c>
      <c r="Q537" s="574">
        <v>1.7</v>
      </c>
      <c r="R537" s="569"/>
      <c r="S537" s="569"/>
      <c r="T537" s="569"/>
      <c r="U537" s="569"/>
      <c r="V537" s="569"/>
      <c r="W537" s="569"/>
      <c r="X537" s="569"/>
      <c r="Y537" s="569"/>
      <c r="Z537" s="569"/>
      <c r="AA537" s="569"/>
      <c r="AB537" s="569"/>
      <c r="AC537" s="569"/>
      <c r="AD537" s="569"/>
      <c r="AE537" s="569"/>
      <c r="AF537" s="569"/>
      <c r="AG537" s="569"/>
      <c r="AH537" s="569"/>
      <c r="AI537" s="569"/>
      <c r="AJ537" s="569"/>
      <c r="AK537" s="569"/>
      <c r="AL537" s="569"/>
      <c r="AM537" s="569"/>
      <c r="AN537" s="574">
        <v>5.0999999999999996</v>
      </c>
      <c r="AO537">
        <v>536</v>
      </c>
      <c r="AP537" t="str">
        <f t="shared" si="118"/>
        <v/>
      </c>
      <c r="AQ537" t="str">
        <f t="shared" si="108"/>
        <v/>
      </c>
      <c r="AR537" s="430">
        <f>IFERROR(
IF(AP537="",-100,
IF($BV$2&gt;0, INDEX(Beersheet!$A:$U,MATCH(AP537,INDEX(Beersheet!$A:$U,0,FFARawStatProjections!$BV$2),0),$BV$3)+$BN537,
INDEX($A537:$BM537,,$BV$12)*$BW$12+
INDEX($A537:$BM537,,$BV$15)*$BW$15+
INDEX($A537:$BM537,,$BV$16)*$BW$16+
INDEX($A537:$BM537,,$BV$17)*$BW$17+
INDEX($A537:$BM537,,$BV$18)*$BW$18+
INDEX($A537:$BM537,,$BV$19)*$BW$19+
INDEX($A537:$BM537,,$BV$20)*$BW$20+
INDEX($A537:$BM537,,$BV$21)*$BW$21+
INDEX($A537:$BM537,,$BV$22)*$BW$22+
INDEX($A537:$BM537,,$BV$23)*$BW$23+
INDEX($A537:$BM537,,$BV$25)*$BW$25+
INDEX($A537:$BM537,,$BV$26)*$BW$26+
INDEX($A537:$BM537,,$BV$27)*$BW$27+
$BN537)),
$BN537-100)</f>
        <v>-100</v>
      </c>
      <c r="AT537" t="str">
        <f t="shared" si="109"/>
        <v/>
      </c>
      <c r="AU537" t="str">
        <f t="shared" si="110"/>
        <v/>
      </c>
      <c r="AV537" s="430">
        <f>IFERROR(
IF(AT537="",-100,
IF($BV$2&gt;0, INDEX(Beersheet!$A:$U,MATCH(AT537,INDEX(Beersheet!$A:$U,0,FFARawStatProjections!$BV$2),0),$BV$3)+$BN537,
INDEX($A537:$BM537,,$BV$12)*$BW$12+
INDEX($A537:$BM537,,$BV$15)*$BW$15+
INDEX($A537:$BM537,,$BV$16)*$BW$16+
INDEX($A537:$BM537,,$BV$17)*$BW$17+
INDEX($A537:$BM537,,$BV$18)*$BW$18+
INDEX($A537:$BM537,,$BV$19)*$BW$19+
INDEX($A537:$BM537,,$BV$20)*$BW$20+
INDEX($A537:$BM537,,$BV$21)*$BW$21+
INDEX($A537:$BM537,,$BV$22)*$BW$22+
INDEX($A537:$BM537,,$BV$23)*$BW$23+
INDEX($A537:$BM537,,$BV$25)*$BW$25+
INDEX($A537:$BM537,,$BV$26)*$BW$26+
INDEX($A537:$BM537,,$BV$27)*$BW$27+
$BN537)),
$BN537-100)</f>
        <v>-100</v>
      </c>
      <c r="AX537" t="str">
        <f t="shared" si="111"/>
        <v>Dax Milne</v>
      </c>
      <c r="AY537" t="str">
        <f t="shared" si="112"/>
        <v>WAS</v>
      </c>
      <c r="AZ537" s="430">
        <f>IFERROR(
IF(AX537="",-100,
IF($BV$2&gt;0, INDEX(Beersheet!$A:$U,MATCH(AX537,INDEX(Beersheet!$A:$U,0,FFARawStatProjections!$BV$2),0),$BV$3)+$BN537,
INDEX($A537:$BM537,,$BV$12)*$BW$12+
INDEX($A537:$BM537,,$BV$15)*$BW$15+
INDEX($A537:$BM537,,$BV$16)*$BW$16+
INDEX($A537:$BM537,,$BV$17)*$BW$17+
INDEX($A537:$BM537,,$BV$18)*$BW$18+
INDEX($A537:$BM537,,$BV$19)*$BW$19+
INDEX($A537:$BM537,,$BV$20)*$BW$20+
INDEX($A537:$BM537,,$BV$21)*$BW$21+
INDEX($A537:$BM537,,$BV$22)*$BW$22+
INDEX($A537:$BM537,,$BV$23)*$BW$23+
INDEX($A537:$BM537,,$BV$25)*$BW$25+
INDEX($A537:$BM537,,$BV$26)*$BW$26+
INDEX($A537:$BM537,,$BV$27)*$BW$27+
$BN537)),
$BN537-100)</f>
        <v>9.8053599999999985</v>
      </c>
      <c r="BB537" t="str">
        <f t="shared" si="113"/>
        <v/>
      </c>
      <c r="BC537" t="str">
        <f t="shared" si="107"/>
        <v/>
      </c>
      <c r="BD537" s="430">
        <f>IFERROR(
IF(BB537="",-100,
IF($BV$2&gt;0, INDEX(Beersheet!$A:$U,MATCH(BB537,INDEX(Beersheet!$A:$U,0,FFARawStatProjections!$BV$2),0),$BV$3)+$BN537,
INDEX($A537:$BM537,,$BV$12)*$BW$12+
INDEX($A537:$BM537,,$BV$15)*$BW$15+
INDEX($A537:$BM537,,$BV$16)*$BW$16+
INDEX($A537:$BM537,,$BV$17)*$BW$17+
INDEX($A537:$BM537,,$BV$18)*$BW$18+
INDEX($A537:$BM537,,$BV$19)*$BW$19+
INDEX($A537:$BM537,,$BV$20)*$BW$20+
INDEX($A537:$BM537,,$BV$21)*$BW$21+
INDEX($A537:$BM537,,$BV$22)*$BW$22+
INDEX($A537:$BM537,,$BV$23)*$BW$23+
INDEX($A537:$BM537,,$BV$25)*$BW$25+
INDEX($A537:$BM537,,$BV$26)*$BW$26+
INDEX($A537:$BM537,,$BV$27)*$BW$27+
$BN537)),
$BN537-100)</f>
        <v>-100</v>
      </c>
      <c r="BF537" t="str">
        <f t="shared" si="114"/>
        <v/>
      </c>
      <c r="BG537" t="str">
        <f t="shared" si="115"/>
        <v/>
      </c>
      <c r="BH537">
        <f t="shared" si="116"/>
        <v>0</v>
      </c>
      <c r="BJ537" t="str">
        <f t="shared" si="117"/>
        <v/>
      </c>
      <c r="BL537">
        <f t="shared" ref="BL537:BL600" si="119">IFERROR(IF(BJ537="",0,
V537*2+W537*2+X537*2+Z537*6+AA537*1+AB537*2+AC537*6
+AN537+BN537),"")</f>
        <v>0</v>
      </c>
      <c r="BN537">
        <v>5.3600000000000002E-3</v>
      </c>
      <c r="BS537" s="4" t="s">
        <v>2213</v>
      </c>
    </row>
    <row r="538" spans="1:71" ht="15.75" thickBot="1" x14ac:dyDescent="0.3">
      <c r="A538" s="569" t="s">
        <v>2508</v>
      </c>
      <c r="B538" s="569" t="s">
        <v>159</v>
      </c>
      <c r="C538" s="569" t="s">
        <v>6</v>
      </c>
      <c r="D538" s="574">
        <v>7</v>
      </c>
      <c r="E538" s="569"/>
      <c r="F538" s="569"/>
      <c r="G538" s="569"/>
      <c r="H538" s="569"/>
      <c r="I538" s="574">
        <v>0</v>
      </c>
      <c r="J538" s="574">
        <v>0</v>
      </c>
      <c r="K538" s="574">
        <v>0</v>
      </c>
      <c r="L538" s="574">
        <v>3.4</v>
      </c>
      <c r="M538" s="574">
        <v>0.2</v>
      </c>
      <c r="N538" s="574">
        <v>40.200000000000003</v>
      </c>
      <c r="O538" s="574">
        <v>0</v>
      </c>
      <c r="P538" s="574">
        <v>0</v>
      </c>
      <c r="Q538" s="574">
        <v>0</v>
      </c>
      <c r="R538" s="569"/>
      <c r="S538" s="569"/>
      <c r="T538" s="569"/>
      <c r="U538" s="569"/>
      <c r="V538" s="569"/>
      <c r="W538" s="569"/>
      <c r="X538" s="569"/>
      <c r="Y538" s="569"/>
      <c r="Z538" s="569"/>
      <c r="AA538" s="569"/>
      <c r="AB538" s="569"/>
      <c r="AC538" s="569"/>
      <c r="AD538" s="569"/>
      <c r="AE538" s="569"/>
      <c r="AF538" s="569"/>
      <c r="AG538" s="569"/>
      <c r="AH538" s="569"/>
      <c r="AI538" s="569"/>
      <c r="AJ538" s="569"/>
      <c r="AK538" s="569"/>
      <c r="AL538" s="569"/>
      <c r="AM538" s="569"/>
      <c r="AN538" s="574">
        <v>5.0999999999999996</v>
      </c>
      <c r="AO538">
        <v>537</v>
      </c>
      <c r="AP538" t="str">
        <f t="shared" si="118"/>
        <v/>
      </c>
      <c r="AQ538" t="str">
        <f t="shared" si="108"/>
        <v/>
      </c>
      <c r="AR538" s="430">
        <f>IFERROR(
IF(AP538="",-100,
IF($BV$2&gt;0, INDEX(Beersheet!$A:$U,MATCH(AP538,INDEX(Beersheet!$A:$U,0,FFARawStatProjections!$BV$2),0),$BV$3)+$BN538,
INDEX($A538:$BM538,,$BV$12)*$BW$12+
INDEX($A538:$BM538,,$BV$15)*$BW$15+
INDEX($A538:$BM538,,$BV$16)*$BW$16+
INDEX($A538:$BM538,,$BV$17)*$BW$17+
INDEX($A538:$BM538,,$BV$18)*$BW$18+
INDEX($A538:$BM538,,$BV$19)*$BW$19+
INDEX($A538:$BM538,,$BV$20)*$BW$20+
INDEX($A538:$BM538,,$BV$21)*$BW$21+
INDEX($A538:$BM538,,$BV$22)*$BW$22+
INDEX($A538:$BM538,,$BV$23)*$BW$23+
INDEX($A538:$BM538,,$BV$25)*$BW$25+
INDEX($A538:$BM538,,$BV$26)*$BW$26+
INDEX($A538:$BM538,,$BV$27)*$BW$27+
$BN538)),
$BN538-100)</f>
        <v>-100</v>
      </c>
      <c r="AT538" t="str">
        <f t="shared" si="109"/>
        <v/>
      </c>
      <c r="AU538" t="str">
        <f t="shared" si="110"/>
        <v/>
      </c>
      <c r="AV538" s="430">
        <f>IFERROR(
IF(AT538="",-100,
IF($BV$2&gt;0, INDEX(Beersheet!$A:$U,MATCH(AT538,INDEX(Beersheet!$A:$U,0,FFARawStatProjections!$BV$2),0),$BV$3)+$BN538,
INDEX($A538:$BM538,,$BV$12)*$BW$12+
INDEX($A538:$BM538,,$BV$15)*$BW$15+
INDEX($A538:$BM538,,$BV$16)*$BW$16+
INDEX($A538:$BM538,,$BV$17)*$BW$17+
INDEX($A538:$BM538,,$BV$18)*$BW$18+
INDEX($A538:$BM538,,$BV$19)*$BW$19+
INDEX($A538:$BM538,,$BV$20)*$BW$20+
INDEX($A538:$BM538,,$BV$21)*$BW$21+
INDEX($A538:$BM538,,$BV$22)*$BW$22+
INDEX($A538:$BM538,,$BV$23)*$BW$23+
INDEX($A538:$BM538,,$BV$25)*$BW$25+
INDEX($A538:$BM538,,$BV$26)*$BW$26+
INDEX($A538:$BM538,,$BV$27)*$BW$27+
$BN538)),
$BN538-100)</f>
        <v>-100</v>
      </c>
      <c r="AX538" t="str">
        <f t="shared" si="111"/>
        <v>CJ Saunders</v>
      </c>
      <c r="AY538" t="str">
        <f t="shared" si="112"/>
        <v>CAR</v>
      </c>
      <c r="AZ538" s="430">
        <f>IFERROR(
IF(AX538="",-100,
IF($BV$2&gt;0, INDEX(Beersheet!$A:$U,MATCH(AX538,INDEX(Beersheet!$A:$U,0,FFARawStatProjections!$BV$2),0),$BV$3)+$BN538,
INDEX($A538:$BM538,,$BV$12)*$BW$12+
INDEX($A538:$BM538,,$BV$15)*$BW$15+
INDEX($A538:$BM538,,$BV$16)*$BW$16+
INDEX($A538:$BM538,,$BV$17)*$BW$17+
INDEX($A538:$BM538,,$BV$18)*$BW$18+
INDEX($A538:$BM538,,$BV$19)*$BW$19+
INDEX($A538:$BM538,,$BV$20)*$BW$20+
INDEX($A538:$BM538,,$BV$21)*$BW$21+
INDEX($A538:$BM538,,$BV$22)*$BW$22+
INDEX($A538:$BM538,,$BV$23)*$BW$23+
INDEX($A538:$BM538,,$BV$25)*$BW$25+
INDEX($A538:$BM538,,$BV$26)*$BW$26+
INDEX($A538:$BM538,,$BV$27)*$BW$27+
$BN538)),
$BN538-100)</f>
        <v>8.6253700000000002</v>
      </c>
      <c r="BB538" t="str">
        <f t="shared" si="113"/>
        <v/>
      </c>
      <c r="BC538" t="str">
        <f t="shared" si="107"/>
        <v/>
      </c>
      <c r="BD538" s="430">
        <f>IFERROR(
IF(BB538="",-100,
IF($BV$2&gt;0, INDEX(Beersheet!$A:$U,MATCH(BB538,INDEX(Beersheet!$A:$U,0,FFARawStatProjections!$BV$2),0),$BV$3)+$BN538,
INDEX($A538:$BM538,,$BV$12)*$BW$12+
INDEX($A538:$BM538,,$BV$15)*$BW$15+
INDEX($A538:$BM538,,$BV$16)*$BW$16+
INDEX($A538:$BM538,,$BV$17)*$BW$17+
INDEX($A538:$BM538,,$BV$18)*$BW$18+
INDEX($A538:$BM538,,$BV$19)*$BW$19+
INDEX($A538:$BM538,,$BV$20)*$BW$20+
INDEX($A538:$BM538,,$BV$21)*$BW$21+
INDEX($A538:$BM538,,$BV$22)*$BW$22+
INDEX($A538:$BM538,,$BV$23)*$BW$23+
INDEX($A538:$BM538,,$BV$25)*$BW$25+
INDEX($A538:$BM538,,$BV$26)*$BW$26+
INDEX($A538:$BM538,,$BV$27)*$BW$27+
$BN538)),
$BN538-100)</f>
        <v>-100</v>
      </c>
      <c r="BF538" t="str">
        <f t="shared" si="114"/>
        <v/>
      </c>
      <c r="BG538" t="str">
        <f t="shared" si="115"/>
        <v/>
      </c>
      <c r="BH538">
        <f t="shared" si="116"/>
        <v>0</v>
      </c>
      <c r="BJ538" t="str">
        <f t="shared" si="117"/>
        <v/>
      </c>
      <c r="BL538">
        <f t="shared" si="119"/>
        <v>0</v>
      </c>
      <c r="BN538">
        <v>5.3699999999999998E-3</v>
      </c>
      <c r="BS538" s="4" t="s">
        <v>1863</v>
      </c>
    </row>
    <row r="539" spans="1:71" ht="15.75" thickBot="1" x14ac:dyDescent="0.3">
      <c r="A539" s="569" t="s">
        <v>1445</v>
      </c>
      <c r="B539" s="569" t="s">
        <v>145</v>
      </c>
      <c r="C539" s="569" t="s">
        <v>6</v>
      </c>
      <c r="D539" s="574">
        <v>7</v>
      </c>
      <c r="E539" s="569"/>
      <c r="F539" s="569"/>
      <c r="G539" s="569"/>
      <c r="H539" s="569"/>
      <c r="I539" s="574">
        <v>0</v>
      </c>
      <c r="J539" s="574">
        <v>0</v>
      </c>
      <c r="K539" s="574">
        <v>0</v>
      </c>
      <c r="L539" s="574">
        <v>2.2999999999999998</v>
      </c>
      <c r="M539" s="574">
        <v>0.2</v>
      </c>
      <c r="N539" s="574">
        <v>32.200000000000003</v>
      </c>
      <c r="O539" s="574">
        <v>0</v>
      </c>
      <c r="P539" s="574">
        <v>0</v>
      </c>
      <c r="Q539" s="574">
        <v>5.8</v>
      </c>
      <c r="R539" s="569"/>
      <c r="S539" s="569"/>
      <c r="T539" s="569"/>
      <c r="U539" s="569"/>
      <c r="V539" s="569"/>
      <c r="W539" s="569"/>
      <c r="X539" s="569"/>
      <c r="Y539" s="569"/>
      <c r="Z539" s="569"/>
      <c r="AA539" s="569"/>
      <c r="AB539" s="569"/>
      <c r="AC539" s="569"/>
      <c r="AD539" s="569"/>
      <c r="AE539" s="569"/>
      <c r="AF539" s="569"/>
      <c r="AG539" s="569"/>
      <c r="AH539" s="569"/>
      <c r="AI539" s="569"/>
      <c r="AJ539" s="569"/>
      <c r="AK539" s="569"/>
      <c r="AL539" s="569"/>
      <c r="AM539" s="569"/>
      <c r="AN539" s="574">
        <v>5.0999999999999996</v>
      </c>
      <c r="AO539">
        <v>538</v>
      </c>
      <c r="AP539" t="str">
        <f t="shared" si="118"/>
        <v/>
      </c>
      <c r="AQ539" t="str">
        <f t="shared" si="108"/>
        <v/>
      </c>
      <c r="AR539" s="430">
        <f>IFERROR(
IF(AP539="",-100,
IF($BV$2&gt;0, INDEX(Beersheet!$A:$U,MATCH(AP539,INDEX(Beersheet!$A:$U,0,FFARawStatProjections!$BV$2),0),$BV$3)+$BN539,
INDEX($A539:$BM539,,$BV$12)*$BW$12+
INDEX($A539:$BM539,,$BV$15)*$BW$15+
INDEX($A539:$BM539,,$BV$16)*$BW$16+
INDEX($A539:$BM539,,$BV$17)*$BW$17+
INDEX($A539:$BM539,,$BV$18)*$BW$18+
INDEX($A539:$BM539,,$BV$19)*$BW$19+
INDEX($A539:$BM539,,$BV$20)*$BW$20+
INDEX($A539:$BM539,,$BV$21)*$BW$21+
INDEX($A539:$BM539,,$BV$22)*$BW$22+
INDEX($A539:$BM539,,$BV$23)*$BW$23+
INDEX($A539:$BM539,,$BV$25)*$BW$25+
INDEX($A539:$BM539,,$BV$26)*$BW$26+
INDEX($A539:$BM539,,$BV$27)*$BW$27+
$BN539)),
$BN539-100)</f>
        <v>-100</v>
      </c>
      <c r="AT539" t="str">
        <f t="shared" si="109"/>
        <v/>
      </c>
      <c r="AU539" t="str">
        <f t="shared" si="110"/>
        <v/>
      </c>
      <c r="AV539" s="430">
        <f>IFERROR(
IF(AT539="",-100,
IF($BV$2&gt;0, INDEX(Beersheet!$A:$U,MATCH(AT539,INDEX(Beersheet!$A:$U,0,FFARawStatProjections!$BV$2),0),$BV$3)+$BN539,
INDEX($A539:$BM539,,$BV$12)*$BW$12+
INDEX($A539:$BM539,,$BV$15)*$BW$15+
INDEX($A539:$BM539,,$BV$16)*$BW$16+
INDEX($A539:$BM539,,$BV$17)*$BW$17+
INDEX($A539:$BM539,,$BV$18)*$BW$18+
INDEX($A539:$BM539,,$BV$19)*$BW$19+
INDEX($A539:$BM539,,$BV$20)*$BW$20+
INDEX($A539:$BM539,,$BV$21)*$BW$21+
INDEX($A539:$BM539,,$BV$22)*$BW$22+
INDEX($A539:$BM539,,$BV$23)*$BW$23+
INDEX($A539:$BM539,,$BV$25)*$BW$25+
INDEX($A539:$BM539,,$BV$26)*$BW$26+
INDEX($A539:$BM539,,$BV$27)*$BW$27+
$BN539)),
$BN539-100)</f>
        <v>-100</v>
      </c>
      <c r="AX539" t="str">
        <f t="shared" si="111"/>
        <v>Trent Taylor</v>
      </c>
      <c r="AY539" t="str">
        <f t="shared" si="112"/>
        <v>CIN</v>
      </c>
      <c r="AZ539" s="430">
        <f>IFERROR(
IF(AX539="",-100,
IF($BV$2&gt;0, INDEX(Beersheet!$A:$U,MATCH(AX539,INDEX(Beersheet!$A:$U,0,FFARawStatProjections!$BV$2),0),$BV$3)+$BN539,
INDEX($A539:$BM539,,$BV$12)*$BW$12+
INDEX($A539:$BM539,,$BV$15)*$BW$15+
INDEX($A539:$BM539,,$BV$16)*$BW$16+
INDEX($A539:$BM539,,$BV$17)*$BW$17+
INDEX($A539:$BM539,,$BV$18)*$BW$18+
INDEX($A539:$BM539,,$BV$19)*$BW$19+
INDEX($A539:$BM539,,$BV$20)*$BW$20+
INDEX($A539:$BM539,,$BV$21)*$BW$21+
INDEX($A539:$BM539,,$BV$22)*$BW$22+
INDEX($A539:$BM539,,$BV$23)*$BW$23+
INDEX($A539:$BM539,,$BV$25)*$BW$25+
INDEX($A539:$BM539,,$BV$26)*$BW$26+
INDEX($A539:$BM539,,$BV$27)*$BW$27+
$BN539)),
$BN539-100)</f>
        <v>7.3053800000000004</v>
      </c>
      <c r="BB539" t="str">
        <f t="shared" si="113"/>
        <v/>
      </c>
      <c r="BC539" t="str">
        <f t="shared" si="107"/>
        <v/>
      </c>
      <c r="BD539" s="430">
        <f>IFERROR(
IF(BB539="",-100,
IF($BV$2&gt;0, INDEX(Beersheet!$A:$U,MATCH(BB539,INDEX(Beersheet!$A:$U,0,FFARawStatProjections!$BV$2),0),$BV$3)+$BN539,
INDEX($A539:$BM539,,$BV$12)*$BW$12+
INDEX($A539:$BM539,,$BV$15)*$BW$15+
INDEX($A539:$BM539,,$BV$16)*$BW$16+
INDEX($A539:$BM539,,$BV$17)*$BW$17+
INDEX($A539:$BM539,,$BV$18)*$BW$18+
INDEX($A539:$BM539,,$BV$19)*$BW$19+
INDEX($A539:$BM539,,$BV$20)*$BW$20+
INDEX($A539:$BM539,,$BV$21)*$BW$21+
INDEX($A539:$BM539,,$BV$22)*$BW$22+
INDEX($A539:$BM539,,$BV$23)*$BW$23+
INDEX($A539:$BM539,,$BV$25)*$BW$25+
INDEX($A539:$BM539,,$BV$26)*$BW$26+
INDEX($A539:$BM539,,$BV$27)*$BW$27+
$BN539)),
$BN539-100)</f>
        <v>-100</v>
      </c>
      <c r="BF539" t="str">
        <f t="shared" si="114"/>
        <v/>
      </c>
      <c r="BG539" t="str">
        <f t="shared" si="115"/>
        <v/>
      </c>
      <c r="BH539">
        <f t="shared" si="116"/>
        <v>0</v>
      </c>
      <c r="BJ539" t="str">
        <f t="shared" si="117"/>
        <v/>
      </c>
      <c r="BL539">
        <f t="shared" si="119"/>
        <v>0</v>
      </c>
      <c r="BN539">
        <v>5.3800000000000002E-3</v>
      </c>
      <c r="BS539" s="4" t="s">
        <v>2240</v>
      </c>
    </row>
    <row r="540" spans="1:71" ht="15.75" thickBot="1" x14ac:dyDescent="0.3">
      <c r="A540" s="569" t="s">
        <v>2455</v>
      </c>
      <c r="B540" s="569" t="s">
        <v>143</v>
      </c>
      <c r="C540" s="569" t="s">
        <v>6</v>
      </c>
      <c r="D540" s="574">
        <v>11</v>
      </c>
      <c r="E540" s="569"/>
      <c r="F540" s="569"/>
      <c r="G540" s="569"/>
      <c r="H540" s="569"/>
      <c r="I540" s="574">
        <v>0</v>
      </c>
      <c r="J540" s="574">
        <v>0</v>
      </c>
      <c r="K540" s="574">
        <v>0</v>
      </c>
      <c r="L540" s="574">
        <v>3.3</v>
      </c>
      <c r="M540" s="574">
        <v>0.2</v>
      </c>
      <c r="N540" s="574">
        <v>40</v>
      </c>
      <c r="O540" s="574">
        <v>0</v>
      </c>
      <c r="P540" s="574">
        <v>0</v>
      </c>
      <c r="Q540" s="574">
        <v>0</v>
      </c>
      <c r="R540" s="569"/>
      <c r="S540" s="569"/>
      <c r="T540" s="569"/>
      <c r="U540" s="569"/>
      <c r="V540" s="569"/>
      <c r="W540" s="569"/>
      <c r="X540" s="569"/>
      <c r="Y540" s="569"/>
      <c r="Z540" s="569"/>
      <c r="AA540" s="569"/>
      <c r="AB540" s="569"/>
      <c r="AC540" s="569"/>
      <c r="AD540" s="569"/>
      <c r="AE540" s="569"/>
      <c r="AF540" s="569"/>
      <c r="AG540" s="569"/>
      <c r="AH540" s="569"/>
      <c r="AI540" s="569"/>
      <c r="AJ540" s="569"/>
      <c r="AK540" s="569"/>
      <c r="AL540" s="569"/>
      <c r="AM540" s="569"/>
      <c r="AN540" s="574">
        <v>5</v>
      </c>
      <c r="AO540">
        <v>539</v>
      </c>
      <c r="AP540" t="str">
        <f t="shared" si="118"/>
        <v/>
      </c>
      <c r="AQ540" t="str">
        <f t="shared" si="108"/>
        <v/>
      </c>
      <c r="AR540" s="430">
        <f>IFERROR(
IF(AP540="",-100,
IF($BV$2&gt;0, INDEX(Beersheet!$A:$U,MATCH(AP540,INDEX(Beersheet!$A:$U,0,FFARawStatProjections!$BV$2),0),$BV$3)+$BN540,
INDEX($A540:$BM540,,$BV$12)*$BW$12+
INDEX($A540:$BM540,,$BV$15)*$BW$15+
INDEX($A540:$BM540,,$BV$16)*$BW$16+
INDEX($A540:$BM540,,$BV$17)*$BW$17+
INDEX($A540:$BM540,,$BV$18)*$BW$18+
INDEX($A540:$BM540,,$BV$19)*$BW$19+
INDEX($A540:$BM540,,$BV$20)*$BW$20+
INDEX($A540:$BM540,,$BV$21)*$BW$21+
INDEX($A540:$BM540,,$BV$22)*$BW$22+
INDEX($A540:$BM540,,$BV$23)*$BW$23+
INDEX($A540:$BM540,,$BV$25)*$BW$25+
INDEX($A540:$BM540,,$BV$26)*$BW$26+
INDEX($A540:$BM540,,$BV$27)*$BW$27+
$BN540)),
$BN540-100)</f>
        <v>-100</v>
      </c>
      <c r="AT540" t="str">
        <f t="shared" si="109"/>
        <v/>
      </c>
      <c r="AU540" t="str">
        <f t="shared" si="110"/>
        <v/>
      </c>
      <c r="AV540" s="430">
        <f>IFERROR(
IF(AT540="",-100,
IF($BV$2&gt;0, INDEX(Beersheet!$A:$U,MATCH(AT540,INDEX(Beersheet!$A:$U,0,FFARawStatProjections!$BV$2),0),$BV$3)+$BN540,
INDEX($A540:$BM540,,$BV$12)*$BW$12+
INDEX($A540:$BM540,,$BV$15)*$BW$15+
INDEX($A540:$BM540,,$BV$16)*$BW$16+
INDEX($A540:$BM540,,$BV$17)*$BW$17+
INDEX($A540:$BM540,,$BV$18)*$BW$18+
INDEX($A540:$BM540,,$BV$19)*$BW$19+
INDEX($A540:$BM540,,$BV$20)*$BW$20+
INDEX($A540:$BM540,,$BV$21)*$BW$21+
INDEX($A540:$BM540,,$BV$22)*$BW$22+
INDEX($A540:$BM540,,$BV$23)*$BW$23+
INDEX($A540:$BM540,,$BV$25)*$BW$25+
INDEX($A540:$BM540,,$BV$26)*$BW$26+
INDEX($A540:$BM540,,$BV$27)*$BW$27+
$BN540)),
$BN540-100)</f>
        <v>-100</v>
      </c>
      <c r="AX540" t="str">
        <f t="shared" si="111"/>
        <v>Kawaan Baker</v>
      </c>
      <c r="AY540" t="str">
        <f t="shared" si="112"/>
        <v>NO</v>
      </c>
      <c r="AZ540" s="430">
        <f>IFERROR(
IF(AX540="",-100,
IF($BV$2&gt;0, INDEX(Beersheet!$A:$U,MATCH(AX540,INDEX(Beersheet!$A:$U,0,FFARawStatProjections!$BV$2),0),$BV$3)+$BN540,
INDEX($A540:$BM540,,$BV$12)*$BW$12+
INDEX($A540:$BM540,,$BV$15)*$BW$15+
INDEX($A540:$BM540,,$BV$16)*$BW$16+
INDEX($A540:$BM540,,$BV$17)*$BW$17+
INDEX($A540:$BM540,,$BV$18)*$BW$18+
INDEX($A540:$BM540,,$BV$19)*$BW$19+
INDEX($A540:$BM540,,$BV$20)*$BW$20+
INDEX($A540:$BM540,,$BV$21)*$BW$21+
INDEX($A540:$BM540,,$BV$22)*$BW$22+
INDEX($A540:$BM540,,$BV$23)*$BW$23+
INDEX($A540:$BM540,,$BV$25)*$BW$25+
INDEX($A540:$BM540,,$BV$26)*$BW$26+
INDEX($A540:$BM540,,$BV$27)*$BW$27+
$BN540)),
$BN540-100)</f>
        <v>8.5053900000000002</v>
      </c>
      <c r="BB540" t="str">
        <f t="shared" si="113"/>
        <v/>
      </c>
      <c r="BC540" t="str">
        <f t="shared" si="107"/>
        <v/>
      </c>
      <c r="BD540" s="430">
        <f>IFERROR(
IF(BB540="",-100,
IF($BV$2&gt;0, INDEX(Beersheet!$A:$U,MATCH(BB540,INDEX(Beersheet!$A:$U,0,FFARawStatProjections!$BV$2),0),$BV$3)+$BN540,
INDEX($A540:$BM540,,$BV$12)*$BW$12+
INDEX($A540:$BM540,,$BV$15)*$BW$15+
INDEX($A540:$BM540,,$BV$16)*$BW$16+
INDEX($A540:$BM540,,$BV$17)*$BW$17+
INDEX($A540:$BM540,,$BV$18)*$BW$18+
INDEX($A540:$BM540,,$BV$19)*$BW$19+
INDEX($A540:$BM540,,$BV$20)*$BW$20+
INDEX($A540:$BM540,,$BV$21)*$BW$21+
INDEX($A540:$BM540,,$BV$22)*$BW$22+
INDEX($A540:$BM540,,$BV$23)*$BW$23+
INDEX($A540:$BM540,,$BV$25)*$BW$25+
INDEX($A540:$BM540,,$BV$26)*$BW$26+
INDEX($A540:$BM540,,$BV$27)*$BW$27+
$BN540)),
$BN540-100)</f>
        <v>-100</v>
      </c>
      <c r="BF540" t="str">
        <f t="shared" si="114"/>
        <v/>
      </c>
      <c r="BG540" t="str">
        <f t="shared" si="115"/>
        <v/>
      </c>
      <c r="BH540">
        <f t="shared" si="116"/>
        <v>0</v>
      </c>
      <c r="BJ540" t="str">
        <f t="shared" si="117"/>
        <v/>
      </c>
      <c r="BL540">
        <f t="shared" si="119"/>
        <v>0</v>
      </c>
      <c r="BN540">
        <v>5.3899999999999998E-3</v>
      </c>
      <c r="BS540" s="4" t="s">
        <v>2258</v>
      </c>
    </row>
    <row r="541" spans="1:71" ht="15.75" thickBot="1" x14ac:dyDescent="0.3">
      <c r="A541" s="569" t="s">
        <v>2210</v>
      </c>
      <c r="B541" s="569" t="s">
        <v>2073</v>
      </c>
      <c r="C541" s="569" t="s">
        <v>6</v>
      </c>
      <c r="D541" s="574">
        <v>13</v>
      </c>
      <c r="E541" s="569"/>
      <c r="F541" s="569"/>
      <c r="G541" s="569"/>
      <c r="H541" s="569"/>
      <c r="I541" s="574">
        <v>0</v>
      </c>
      <c r="J541" s="574">
        <v>0</v>
      </c>
      <c r="K541" s="574">
        <v>0</v>
      </c>
      <c r="L541" s="574">
        <v>3.4</v>
      </c>
      <c r="M541" s="574">
        <v>0.1</v>
      </c>
      <c r="N541" s="574">
        <v>44.8</v>
      </c>
      <c r="O541" s="574">
        <v>0.1</v>
      </c>
      <c r="P541" s="574">
        <v>0</v>
      </c>
      <c r="Q541" s="574">
        <v>0.3</v>
      </c>
      <c r="R541" s="569"/>
      <c r="S541" s="569"/>
      <c r="T541" s="569"/>
      <c r="U541" s="569"/>
      <c r="V541" s="569"/>
      <c r="W541" s="569"/>
      <c r="X541" s="569"/>
      <c r="Y541" s="569"/>
      <c r="Z541" s="569"/>
      <c r="AA541" s="569"/>
      <c r="AB541" s="569"/>
      <c r="AC541" s="569"/>
      <c r="AD541" s="569"/>
      <c r="AE541" s="569"/>
      <c r="AF541" s="569"/>
      <c r="AG541" s="569"/>
      <c r="AH541" s="569"/>
      <c r="AI541" s="569"/>
      <c r="AJ541" s="569"/>
      <c r="AK541" s="569"/>
      <c r="AL541" s="569"/>
      <c r="AM541" s="569"/>
      <c r="AN541" s="574">
        <v>5</v>
      </c>
      <c r="AO541">
        <v>540</v>
      </c>
      <c r="AP541" t="str">
        <f t="shared" si="118"/>
        <v/>
      </c>
      <c r="AQ541" t="str">
        <f t="shared" si="108"/>
        <v/>
      </c>
      <c r="AR541" s="430">
        <f>IFERROR(
IF(AP541="",-100,
IF($BV$2&gt;0, INDEX(Beersheet!$A:$U,MATCH(AP541,INDEX(Beersheet!$A:$U,0,FFARawStatProjections!$BV$2),0),$BV$3)+$BN541,
INDEX($A541:$BM541,,$BV$12)*$BW$12+
INDEX($A541:$BM541,,$BV$15)*$BW$15+
INDEX($A541:$BM541,,$BV$16)*$BW$16+
INDEX($A541:$BM541,,$BV$17)*$BW$17+
INDEX($A541:$BM541,,$BV$18)*$BW$18+
INDEX($A541:$BM541,,$BV$19)*$BW$19+
INDEX($A541:$BM541,,$BV$20)*$BW$20+
INDEX($A541:$BM541,,$BV$21)*$BW$21+
INDEX($A541:$BM541,,$BV$22)*$BW$22+
INDEX($A541:$BM541,,$BV$23)*$BW$23+
INDEX($A541:$BM541,,$BV$25)*$BW$25+
INDEX($A541:$BM541,,$BV$26)*$BW$26+
INDEX($A541:$BM541,,$BV$27)*$BW$27+
$BN541)),
$BN541-100)</f>
        <v>-100</v>
      </c>
      <c r="AT541" t="str">
        <f t="shared" si="109"/>
        <v/>
      </c>
      <c r="AU541" t="str">
        <f t="shared" si="110"/>
        <v/>
      </c>
      <c r="AV541" s="430">
        <f>IFERROR(
IF(AT541="",-100,
IF($BV$2&gt;0, INDEX(Beersheet!$A:$U,MATCH(AT541,INDEX(Beersheet!$A:$U,0,FFARawStatProjections!$BV$2),0),$BV$3)+$BN541,
INDEX($A541:$BM541,,$BV$12)*$BW$12+
INDEX($A541:$BM541,,$BV$15)*$BW$15+
INDEX($A541:$BM541,,$BV$16)*$BW$16+
INDEX($A541:$BM541,,$BV$17)*$BW$17+
INDEX($A541:$BM541,,$BV$18)*$BW$18+
INDEX($A541:$BM541,,$BV$19)*$BW$19+
INDEX($A541:$BM541,,$BV$20)*$BW$20+
INDEX($A541:$BM541,,$BV$21)*$BW$21+
INDEX($A541:$BM541,,$BV$22)*$BW$22+
INDEX($A541:$BM541,,$BV$23)*$BW$23+
INDEX($A541:$BM541,,$BV$25)*$BW$25+
INDEX($A541:$BM541,,$BV$26)*$BW$26+
INDEX($A541:$BM541,,$BV$27)*$BW$27+
$BN541)),
$BN541-100)</f>
        <v>-100</v>
      </c>
      <c r="AX541" t="str">
        <f t="shared" si="111"/>
        <v>Cam Sims</v>
      </c>
      <c r="AY541" t="str">
        <f t="shared" si="112"/>
        <v>LV</v>
      </c>
      <c r="AZ541" s="430">
        <f>IFERROR(
IF(AX541="",-100,
IF($BV$2&gt;0, INDEX(Beersheet!$A:$U,MATCH(AX541,INDEX(Beersheet!$A:$U,0,FFARawStatProjections!$BV$2),0),$BV$3)+$BN541,
INDEX($A541:$BM541,,$BV$12)*$BW$12+
INDEX($A541:$BM541,,$BV$15)*$BW$15+
INDEX($A541:$BM541,,$BV$16)*$BW$16+
INDEX($A541:$BM541,,$BV$17)*$BW$17+
INDEX($A541:$BM541,,$BV$18)*$BW$18+
INDEX($A541:$BM541,,$BV$19)*$BW$19+
INDEX($A541:$BM541,,$BV$20)*$BW$20+
INDEX($A541:$BM541,,$BV$21)*$BW$21+
INDEX($A541:$BM541,,$BV$22)*$BW$22+
INDEX($A541:$BM541,,$BV$23)*$BW$23+
INDEX($A541:$BM541,,$BV$25)*$BW$25+
INDEX($A541:$BM541,,$BV$26)*$BW$26+
INDEX($A541:$BM541,,$BV$27)*$BW$27+
$BN541)),
$BN541-100)</f>
        <v>8.5153999999999996</v>
      </c>
      <c r="BB541" t="str">
        <f t="shared" si="113"/>
        <v/>
      </c>
      <c r="BC541" t="str">
        <f t="shared" si="107"/>
        <v/>
      </c>
      <c r="BD541" s="430">
        <f>IFERROR(
IF(BB541="",-100,
IF($BV$2&gt;0, INDEX(Beersheet!$A:$U,MATCH(BB541,INDEX(Beersheet!$A:$U,0,FFARawStatProjections!$BV$2),0),$BV$3)+$BN541,
INDEX($A541:$BM541,,$BV$12)*$BW$12+
INDEX($A541:$BM541,,$BV$15)*$BW$15+
INDEX($A541:$BM541,,$BV$16)*$BW$16+
INDEX($A541:$BM541,,$BV$17)*$BW$17+
INDEX($A541:$BM541,,$BV$18)*$BW$18+
INDEX($A541:$BM541,,$BV$19)*$BW$19+
INDEX($A541:$BM541,,$BV$20)*$BW$20+
INDEX($A541:$BM541,,$BV$21)*$BW$21+
INDEX($A541:$BM541,,$BV$22)*$BW$22+
INDEX($A541:$BM541,,$BV$23)*$BW$23+
INDEX($A541:$BM541,,$BV$25)*$BW$25+
INDEX($A541:$BM541,,$BV$26)*$BW$26+
INDEX($A541:$BM541,,$BV$27)*$BW$27+
$BN541)),
$BN541-100)</f>
        <v>-100</v>
      </c>
      <c r="BF541" t="str">
        <f t="shared" si="114"/>
        <v/>
      </c>
      <c r="BG541" t="str">
        <f t="shared" si="115"/>
        <v/>
      </c>
      <c r="BH541">
        <f t="shared" si="116"/>
        <v>0</v>
      </c>
      <c r="BJ541" t="str">
        <f t="shared" si="117"/>
        <v/>
      </c>
      <c r="BL541">
        <f t="shared" si="119"/>
        <v>0</v>
      </c>
      <c r="BN541">
        <v>5.4000000000000003E-3</v>
      </c>
      <c r="BS541" s="4" t="s">
        <v>2220</v>
      </c>
    </row>
    <row r="542" spans="1:71" ht="15.75" thickBot="1" x14ac:dyDescent="0.3">
      <c r="A542" s="569" t="s">
        <v>1795</v>
      </c>
      <c r="B542" s="569" t="s">
        <v>166</v>
      </c>
      <c r="C542" s="569" t="s">
        <v>6</v>
      </c>
      <c r="D542" s="574">
        <v>10</v>
      </c>
      <c r="E542" s="569"/>
      <c r="F542" s="569"/>
      <c r="G542" s="569"/>
      <c r="H542" s="569"/>
      <c r="I542" s="574">
        <v>0</v>
      </c>
      <c r="J542" s="574">
        <v>0</v>
      </c>
      <c r="K542" s="574">
        <v>0</v>
      </c>
      <c r="L542" s="574">
        <v>3.4</v>
      </c>
      <c r="M542" s="574">
        <v>0.2</v>
      </c>
      <c r="N542" s="574">
        <v>39</v>
      </c>
      <c r="O542" s="574">
        <v>0</v>
      </c>
      <c r="P542" s="574">
        <v>0</v>
      </c>
      <c r="Q542" s="574">
        <v>0</v>
      </c>
      <c r="R542" s="569"/>
      <c r="S542" s="569"/>
      <c r="T542" s="569"/>
      <c r="U542" s="569"/>
      <c r="V542" s="569"/>
      <c r="W542" s="569"/>
      <c r="X542" s="569"/>
      <c r="Y542" s="569"/>
      <c r="Z542" s="569"/>
      <c r="AA542" s="569"/>
      <c r="AB542" s="569"/>
      <c r="AC542" s="569"/>
      <c r="AD542" s="569"/>
      <c r="AE542" s="569"/>
      <c r="AF542" s="569"/>
      <c r="AG542" s="569"/>
      <c r="AH542" s="569"/>
      <c r="AI542" s="569"/>
      <c r="AJ542" s="569"/>
      <c r="AK542" s="569"/>
      <c r="AL542" s="569"/>
      <c r="AM542" s="569"/>
      <c r="AN542" s="574">
        <v>4.9000000000000004</v>
      </c>
      <c r="AO542">
        <v>541</v>
      </c>
      <c r="AP542" t="str">
        <f t="shared" si="118"/>
        <v/>
      </c>
      <c r="AQ542" t="str">
        <f t="shared" si="108"/>
        <v/>
      </c>
      <c r="AR542" s="430">
        <f>IFERROR(
IF(AP542="",-100,
IF($BV$2&gt;0, INDEX(Beersheet!$A:$U,MATCH(AP542,INDEX(Beersheet!$A:$U,0,FFARawStatProjections!$BV$2),0),$BV$3)+$BN542,
INDEX($A542:$BM542,,$BV$12)*$BW$12+
INDEX($A542:$BM542,,$BV$15)*$BW$15+
INDEX($A542:$BM542,,$BV$16)*$BW$16+
INDEX($A542:$BM542,,$BV$17)*$BW$17+
INDEX($A542:$BM542,,$BV$18)*$BW$18+
INDEX($A542:$BM542,,$BV$19)*$BW$19+
INDEX($A542:$BM542,,$BV$20)*$BW$20+
INDEX($A542:$BM542,,$BV$21)*$BW$21+
INDEX($A542:$BM542,,$BV$22)*$BW$22+
INDEX($A542:$BM542,,$BV$23)*$BW$23+
INDEX($A542:$BM542,,$BV$25)*$BW$25+
INDEX($A542:$BM542,,$BV$26)*$BW$26+
INDEX($A542:$BM542,,$BV$27)*$BW$27+
$BN542)),
$BN542-100)</f>
        <v>-100</v>
      </c>
      <c r="AT542" t="str">
        <f t="shared" si="109"/>
        <v/>
      </c>
      <c r="AU542" t="str">
        <f t="shared" si="110"/>
        <v/>
      </c>
      <c r="AV542" s="430">
        <f>IFERROR(
IF(AT542="",-100,
IF($BV$2&gt;0, INDEX(Beersheet!$A:$U,MATCH(AT542,INDEX(Beersheet!$A:$U,0,FFARawStatProjections!$BV$2),0),$BV$3)+$BN542,
INDEX($A542:$BM542,,$BV$12)*$BW$12+
INDEX($A542:$BM542,,$BV$15)*$BW$15+
INDEX($A542:$BM542,,$BV$16)*$BW$16+
INDEX($A542:$BM542,,$BV$17)*$BW$17+
INDEX($A542:$BM542,,$BV$18)*$BW$18+
INDEX($A542:$BM542,,$BV$19)*$BW$19+
INDEX($A542:$BM542,,$BV$20)*$BW$20+
INDEX($A542:$BM542,,$BV$21)*$BW$21+
INDEX($A542:$BM542,,$BV$22)*$BW$22+
INDEX($A542:$BM542,,$BV$23)*$BW$23+
INDEX($A542:$BM542,,$BV$25)*$BW$25+
INDEX($A542:$BM542,,$BV$26)*$BW$26+
INDEX($A542:$BM542,,$BV$27)*$BW$27+
$BN542)),
$BN542-100)</f>
        <v>-100</v>
      </c>
      <c r="AX542" t="str">
        <f t="shared" si="111"/>
        <v>Keke Coutee</v>
      </c>
      <c r="AY542" t="str">
        <f t="shared" si="112"/>
        <v>MIA</v>
      </c>
      <c r="AZ542" s="430">
        <f>IFERROR(
IF(AX542="",-100,
IF($BV$2&gt;0, INDEX(Beersheet!$A:$U,MATCH(AX542,INDEX(Beersheet!$A:$U,0,FFARawStatProjections!$BV$2),0),$BV$3)+$BN542,
INDEX($A542:$BM542,,$BV$12)*$BW$12+
INDEX($A542:$BM542,,$BV$15)*$BW$15+
INDEX($A542:$BM542,,$BV$16)*$BW$16+
INDEX($A542:$BM542,,$BV$17)*$BW$17+
INDEX($A542:$BM542,,$BV$18)*$BW$18+
INDEX($A542:$BM542,,$BV$19)*$BW$19+
INDEX($A542:$BM542,,$BV$20)*$BW$20+
INDEX($A542:$BM542,,$BV$21)*$BW$21+
INDEX($A542:$BM542,,$BV$22)*$BW$22+
INDEX($A542:$BM542,,$BV$23)*$BW$23+
INDEX($A542:$BM542,,$BV$25)*$BW$25+
INDEX($A542:$BM542,,$BV$26)*$BW$26+
INDEX($A542:$BM542,,$BV$27)*$BW$27+
$BN542)),
$BN542-100)</f>
        <v>8.5054099999999995</v>
      </c>
      <c r="BB542" t="str">
        <f t="shared" si="113"/>
        <v/>
      </c>
      <c r="BC542" t="str">
        <f t="shared" si="107"/>
        <v/>
      </c>
      <c r="BD542" s="430">
        <f>IFERROR(
IF(BB542="",-100,
IF($BV$2&gt;0, INDEX(Beersheet!$A:$U,MATCH(BB542,INDEX(Beersheet!$A:$U,0,FFARawStatProjections!$BV$2),0),$BV$3)+$BN542,
INDEX($A542:$BM542,,$BV$12)*$BW$12+
INDEX($A542:$BM542,,$BV$15)*$BW$15+
INDEX($A542:$BM542,,$BV$16)*$BW$16+
INDEX($A542:$BM542,,$BV$17)*$BW$17+
INDEX($A542:$BM542,,$BV$18)*$BW$18+
INDEX($A542:$BM542,,$BV$19)*$BW$19+
INDEX($A542:$BM542,,$BV$20)*$BW$20+
INDEX($A542:$BM542,,$BV$21)*$BW$21+
INDEX($A542:$BM542,,$BV$22)*$BW$22+
INDEX($A542:$BM542,,$BV$23)*$BW$23+
INDEX($A542:$BM542,,$BV$25)*$BW$25+
INDEX($A542:$BM542,,$BV$26)*$BW$26+
INDEX($A542:$BM542,,$BV$27)*$BW$27+
$BN542)),
$BN542-100)</f>
        <v>-100</v>
      </c>
      <c r="BF542" t="str">
        <f t="shared" si="114"/>
        <v/>
      </c>
      <c r="BG542" t="str">
        <f t="shared" si="115"/>
        <v/>
      </c>
      <c r="BH542">
        <f t="shared" si="116"/>
        <v>0</v>
      </c>
      <c r="BJ542" t="str">
        <f t="shared" si="117"/>
        <v/>
      </c>
      <c r="BL542">
        <f t="shared" si="119"/>
        <v>0</v>
      </c>
      <c r="BN542">
        <v>5.4099999999999999E-3</v>
      </c>
      <c r="BS542" s="4" t="s">
        <v>154</v>
      </c>
    </row>
    <row r="543" spans="1:71" ht="15.75" thickBot="1" x14ac:dyDescent="0.3">
      <c r="A543" s="569" t="s">
        <v>2209</v>
      </c>
      <c r="B543" s="569" t="s">
        <v>147</v>
      </c>
      <c r="C543" s="569" t="s">
        <v>6</v>
      </c>
      <c r="D543" s="574">
        <v>6</v>
      </c>
      <c r="E543" s="569"/>
      <c r="F543" s="569"/>
      <c r="G543" s="569"/>
      <c r="H543" s="569"/>
      <c r="I543" s="574">
        <v>0</v>
      </c>
      <c r="J543" s="574">
        <v>0</v>
      </c>
      <c r="K543" s="574">
        <v>0</v>
      </c>
      <c r="L543" s="574">
        <v>3.2</v>
      </c>
      <c r="M543" s="574">
        <v>0.2</v>
      </c>
      <c r="N543" s="574">
        <v>39</v>
      </c>
      <c r="O543" s="574">
        <v>0</v>
      </c>
      <c r="P543" s="574">
        <v>0</v>
      </c>
      <c r="Q543" s="574">
        <v>0</v>
      </c>
      <c r="R543" s="569"/>
      <c r="S543" s="569"/>
      <c r="T543" s="569"/>
      <c r="U543" s="569"/>
      <c r="V543" s="569"/>
      <c r="W543" s="569"/>
      <c r="X543" s="569"/>
      <c r="Y543" s="569"/>
      <c r="Z543" s="569"/>
      <c r="AA543" s="569"/>
      <c r="AB543" s="569"/>
      <c r="AC543" s="569"/>
      <c r="AD543" s="569"/>
      <c r="AE543" s="569"/>
      <c r="AF543" s="569"/>
      <c r="AG543" s="569"/>
      <c r="AH543" s="569"/>
      <c r="AI543" s="569"/>
      <c r="AJ543" s="569"/>
      <c r="AK543" s="569"/>
      <c r="AL543" s="569"/>
      <c r="AM543" s="569"/>
      <c r="AN543" s="574">
        <v>4.9000000000000004</v>
      </c>
      <c r="AO543">
        <v>542</v>
      </c>
      <c r="AP543" t="str">
        <f t="shared" si="118"/>
        <v/>
      </c>
      <c r="AQ543" t="str">
        <f t="shared" si="108"/>
        <v/>
      </c>
      <c r="AR543" s="430">
        <f>IFERROR(
IF(AP543="",-100,
IF($BV$2&gt;0, INDEX(Beersheet!$A:$U,MATCH(AP543,INDEX(Beersheet!$A:$U,0,FFARawStatProjections!$BV$2),0),$BV$3)+$BN543,
INDEX($A543:$BM543,,$BV$12)*$BW$12+
INDEX($A543:$BM543,,$BV$15)*$BW$15+
INDEX($A543:$BM543,,$BV$16)*$BW$16+
INDEX($A543:$BM543,,$BV$17)*$BW$17+
INDEX($A543:$BM543,,$BV$18)*$BW$18+
INDEX($A543:$BM543,,$BV$19)*$BW$19+
INDEX($A543:$BM543,,$BV$20)*$BW$20+
INDEX($A543:$BM543,,$BV$21)*$BW$21+
INDEX($A543:$BM543,,$BV$22)*$BW$22+
INDEX($A543:$BM543,,$BV$23)*$BW$23+
INDEX($A543:$BM543,,$BV$25)*$BW$25+
INDEX($A543:$BM543,,$BV$26)*$BW$26+
INDEX($A543:$BM543,,$BV$27)*$BW$27+
$BN543)),
$BN543-100)</f>
        <v>-100</v>
      </c>
      <c r="AT543" t="str">
        <f t="shared" si="109"/>
        <v/>
      </c>
      <c r="AU543" t="str">
        <f t="shared" si="110"/>
        <v/>
      </c>
      <c r="AV543" s="430">
        <f>IFERROR(
IF(AT543="",-100,
IF($BV$2&gt;0, INDEX(Beersheet!$A:$U,MATCH(AT543,INDEX(Beersheet!$A:$U,0,FFARawStatProjections!$BV$2),0),$BV$3)+$BN543,
INDEX($A543:$BM543,,$BV$12)*$BW$12+
INDEX($A543:$BM543,,$BV$15)*$BW$15+
INDEX($A543:$BM543,,$BV$16)*$BW$16+
INDEX($A543:$BM543,,$BV$17)*$BW$17+
INDEX($A543:$BM543,,$BV$18)*$BW$18+
INDEX($A543:$BM543,,$BV$19)*$BW$19+
INDEX($A543:$BM543,,$BV$20)*$BW$20+
INDEX($A543:$BM543,,$BV$21)*$BW$21+
INDEX($A543:$BM543,,$BV$22)*$BW$22+
INDEX($A543:$BM543,,$BV$23)*$BW$23+
INDEX($A543:$BM543,,$BV$25)*$BW$25+
INDEX($A543:$BM543,,$BV$26)*$BW$26+
INDEX($A543:$BM543,,$BV$27)*$BW$27+
$BN543)),
$BN543-100)</f>
        <v>-100</v>
      </c>
      <c r="AX543" t="str">
        <f t="shared" si="111"/>
        <v>Dez Fitzpatrick</v>
      </c>
      <c r="AY543" t="str">
        <f t="shared" si="112"/>
        <v>PIT</v>
      </c>
      <c r="AZ543" s="430">
        <f>IFERROR(
IF(AX543="",-100,
IF($BV$2&gt;0, INDEX(Beersheet!$A:$U,MATCH(AX543,INDEX(Beersheet!$A:$U,0,FFARawStatProjections!$BV$2),0),$BV$3)+$BN543,
INDEX($A543:$BM543,,$BV$12)*$BW$12+
INDEX($A543:$BM543,,$BV$15)*$BW$15+
INDEX($A543:$BM543,,$BV$16)*$BW$16+
INDEX($A543:$BM543,,$BV$17)*$BW$17+
INDEX($A543:$BM543,,$BV$18)*$BW$18+
INDEX($A543:$BM543,,$BV$19)*$BW$19+
INDEX($A543:$BM543,,$BV$20)*$BW$20+
INDEX($A543:$BM543,,$BV$21)*$BW$21+
INDEX($A543:$BM543,,$BV$22)*$BW$22+
INDEX($A543:$BM543,,$BV$23)*$BW$23+
INDEX($A543:$BM543,,$BV$25)*$BW$25+
INDEX($A543:$BM543,,$BV$26)*$BW$26+
INDEX($A543:$BM543,,$BV$27)*$BW$27+
$BN543)),
$BN543-100)</f>
        <v>8.3054200000000016</v>
      </c>
      <c r="BB543" t="str">
        <f t="shared" si="113"/>
        <v/>
      </c>
      <c r="BC543" t="str">
        <f t="shared" si="107"/>
        <v/>
      </c>
      <c r="BD543" s="430">
        <f>IFERROR(
IF(BB543="",-100,
IF($BV$2&gt;0, INDEX(Beersheet!$A:$U,MATCH(BB543,INDEX(Beersheet!$A:$U,0,FFARawStatProjections!$BV$2),0),$BV$3)+$BN543,
INDEX($A543:$BM543,,$BV$12)*$BW$12+
INDEX($A543:$BM543,,$BV$15)*$BW$15+
INDEX($A543:$BM543,,$BV$16)*$BW$16+
INDEX($A543:$BM543,,$BV$17)*$BW$17+
INDEX($A543:$BM543,,$BV$18)*$BW$18+
INDEX($A543:$BM543,,$BV$19)*$BW$19+
INDEX($A543:$BM543,,$BV$20)*$BW$20+
INDEX($A543:$BM543,,$BV$21)*$BW$21+
INDEX($A543:$BM543,,$BV$22)*$BW$22+
INDEX($A543:$BM543,,$BV$23)*$BW$23+
INDEX($A543:$BM543,,$BV$25)*$BW$25+
INDEX($A543:$BM543,,$BV$26)*$BW$26+
INDEX($A543:$BM543,,$BV$27)*$BW$27+
$BN543)),
$BN543-100)</f>
        <v>-100</v>
      </c>
      <c r="BF543" t="str">
        <f t="shared" si="114"/>
        <v/>
      </c>
      <c r="BG543" t="str">
        <f t="shared" si="115"/>
        <v/>
      </c>
      <c r="BH543">
        <f t="shared" si="116"/>
        <v>0</v>
      </c>
      <c r="BJ543" t="str">
        <f t="shared" si="117"/>
        <v/>
      </c>
      <c r="BL543">
        <f t="shared" si="119"/>
        <v>0</v>
      </c>
      <c r="BN543">
        <v>5.4200000000000003E-3</v>
      </c>
      <c r="BS543" s="4" t="s">
        <v>164</v>
      </c>
    </row>
    <row r="544" spans="1:71" ht="15.75" thickBot="1" x14ac:dyDescent="0.3">
      <c r="A544" s="569" t="s">
        <v>1790</v>
      </c>
      <c r="B544" s="569" t="s">
        <v>2073</v>
      </c>
      <c r="C544" s="569" t="s">
        <v>6</v>
      </c>
      <c r="D544" s="574">
        <v>13</v>
      </c>
      <c r="E544" s="569"/>
      <c r="F544" s="569"/>
      <c r="G544" s="569"/>
      <c r="H544" s="569"/>
      <c r="I544" s="574">
        <v>0</v>
      </c>
      <c r="J544" s="574">
        <v>0</v>
      </c>
      <c r="K544" s="574">
        <v>0</v>
      </c>
      <c r="L544" s="574">
        <v>3.3</v>
      </c>
      <c r="M544" s="574">
        <v>0.2</v>
      </c>
      <c r="N544" s="574">
        <v>38.799999999999997</v>
      </c>
      <c r="O544" s="574">
        <v>0</v>
      </c>
      <c r="P544" s="574">
        <v>0</v>
      </c>
      <c r="Q544" s="574">
        <v>0</v>
      </c>
      <c r="R544" s="569"/>
      <c r="S544" s="569"/>
      <c r="T544" s="569"/>
      <c r="U544" s="569"/>
      <c r="V544" s="569"/>
      <c r="W544" s="569"/>
      <c r="X544" s="569"/>
      <c r="Y544" s="569"/>
      <c r="Z544" s="569"/>
      <c r="AA544" s="569"/>
      <c r="AB544" s="569"/>
      <c r="AC544" s="569"/>
      <c r="AD544" s="569"/>
      <c r="AE544" s="569"/>
      <c r="AF544" s="569"/>
      <c r="AG544" s="569"/>
      <c r="AH544" s="569"/>
      <c r="AI544" s="569"/>
      <c r="AJ544" s="569"/>
      <c r="AK544" s="569"/>
      <c r="AL544" s="569"/>
      <c r="AM544" s="569"/>
      <c r="AN544" s="574">
        <v>4.9000000000000004</v>
      </c>
      <c r="AO544">
        <v>543</v>
      </c>
      <c r="AP544" t="str">
        <f t="shared" si="118"/>
        <v/>
      </c>
      <c r="AQ544" t="str">
        <f t="shared" si="108"/>
        <v/>
      </c>
      <c r="AR544" s="430">
        <f>IFERROR(
IF(AP544="",-100,
IF($BV$2&gt;0, INDEX(Beersheet!$A:$U,MATCH(AP544,INDEX(Beersheet!$A:$U,0,FFARawStatProjections!$BV$2),0),$BV$3)+$BN544,
INDEX($A544:$BM544,,$BV$12)*$BW$12+
INDEX($A544:$BM544,,$BV$15)*$BW$15+
INDEX($A544:$BM544,,$BV$16)*$BW$16+
INDEX($A544:$BM544,,$BV$17)*$BW$17+
INDEX($A544:$BM544,,$BV$18)*$BW$18+
INDEX($A544:$BM544,,$BV$19)*$BW$19+
INDEX($A544:$BM544,,$BV$20)*$BW$20+
INDEX($A544:$BM544,,$BV$21)*$BW$21+
INDEX($A544:$BM544,,$BV$22)*$BW$22+
INDEX($A544:$BM544,,$BV$23)*$BW$23+
INDEX($A544:$BM544,,$BV$25)*$BW$25+
INDEX($A544:$BM544,,$BV$26)*$BW$26+
INDEX($A544:$BM544,,$BV$27)*$BW$27+
$BN544)),
$BN544-100)</f>
        <v>-100</v>
      </c>
      <c r="AT544" t="str">
        <f t="shared" si="109"/>
        <v/>
      </c>
      <c r="AU544" t="str">
        <f t="shared" si="110"/>
        <v/>
      </c>
      <c r="AV544" s="430">
        <f>IFERROR(
IF(AT544="",-100,
IF($BV$2&gt;0, INDEX(Beersheet!$A:$U,MATCH(AT544,INDEX(Beersheet!$A:$U,0,FFARawStatProjections!$BV$2),0),$BV$3)+$BN544,
INDEX($A544:$BM544,,$BV$12)*$BW$12+
INDEX($A544:$BM544,,$BV$15)*$BW$15+
INDEX($A544:$BM544,,$BV$16)*$BW$16+
INDEX($A544:$BM544,,$BV$17)*$BW$17+
INDEX($A544:$BM544,,$BV$18)*$BW$18+
INDEX($A544:$BM544,,$BV$19)*$BW$19+
INDEX($A544:$BM544,,$BV$20)*$BW$20+
INDEX($A544:$BM544,,$BV$21)*$BW$21+
INDEX($A544:$BM544,,$BV$22)*$BW$22+
INDEX($A544:$BM544,,$BV$23)*$BW$23+
INDEX($A544:$BM544,,$BV$25)*$BW$25+
INDEX($A544:$BM544,,$BV$26)*$BW$26+
INDEX($A544:$BM544,,$BV$27)*$BW$27+
$BN544)),
$BN544-100)</f>
        <v>-100</v>
      </c>
      <c r="AX544" t="str">
        <f t="shared" si="111"/>
        <v>Keelan Cole</v>
      </c>
      <c r="AY544" t="str">
        <f t="shared" si="112"/>
        <v>LV</v>
      </c>
      <c r="AZ544" s="430">
        <f>IFERROR(
IF(AX544="",-100,
IF($BV$2&gt;0, INDEX(Beersheet!$A:$U,MATCH(AX544,INDEX(Beersheet!$A:$U,0,FFARawStatProjections!$BV$2),0),$BV$3)+$BN544,
INDEX($A544:$BM544,,$BV$12)*$BW$12+
INDEX($A544:$BM544,,$BV$15)*$BW$15+
INDEX($A544:$BM544,,$BV$16)*$BW$16+
INDEX($A544:$BM544,,$BV$17)*$BW$17+
INDEX($A544:$BM544,,$BV$18)*$BW$18+
INDEX($A544:$BM544,,$BV$19)*$BW$19+
INDEX($A544:$BM544,,$BV$20)*$BW$20+
INDEX($A544:$BM544,,$BV$21)*$BW$21+
INDEX($A544:$BM544,,$BV$22)*$BW$22+
INDEX($A544:$BM544,,$BV$23)*$BW$23+
INDEX($A544:$BM544,,$BV$25)*$BW$25+
INDEX($A544:$BM544,,$BV$26)*$BW$26+
INDEX($A544:$BM544,,$BV$27)*$BW$27+
$BN544)),
$BN544-100)</f>
        <v>8.3854299999999995</v>
      </c>
      <c r="BB544" t="str">
        <f t="shared" si="113"/>
        <v/>
      </c>
      <c r="BC544" t="str">
        <f t="shared" si="107"/>
        <v/>
      </c>
      <c r="BD544" s="430">
        <f>IFERROR(
IF(BB544="",-100,
IF($BV$2&gt;0, INDEX(Beersheet!$A:$U,MATCH(BB544,INDEX(Beersheet!$A:$U,0,FFARawStatProjections!$BV$2),0),$BV$3)+$BN544,
INDEX($A544:$BM544,,$BV$12)*$BW$12+
INDEX($A544:$BM544,,$BV$15)*$BW$15+
INDEX($A544:$BM544,,$BV$16)*$BW$16+
INDEX($A544:$BM544,,$BV$17)*$BW$17+
INDEX($A544:$BM544,,$BV$18)*$BW$18+
INDEX($A544:$BM544,,$BV$19)*$BW$19+
INDEX($A544:$BM544,,$BV$20)*$BW$20+
INDEX($A544:$BM544,,$BV$21)*$BW$21+
INDEX($A544:$BM544,,$BV$22)*$BW$22+
INDEX($A544:$BM544,,$BV$23)*$BW$23+
INDEX($A544:$BM544,,$BV$25)*$BW$25+
INDEX($A544:$BM544,,$BV$26)*$BW$26+
INDEX($A544:$BM544,,$BV$27)*$BW$27+
$BN544)),
$BN544-100)</f>
        <v>-100</v>
      </c>
      <c r="BF544" t="str">
        <f t="shared" si="114"/>
        <v/>
      </c>
      <c r="BG544" t="str">
        <f t="shared" si="115"/>
        <v/>
      </c>
      <c r="BH544">
        <f t="shared" si="116"/>
        <v>0</v>
      </c>
      <c r="BJ544" t="str">
        <f t="shared" si="117"/>
        <v/>
      </c>
      <c r="BL544">
        <f t="shared" si="119"/>
        <v>0</v>
      </c>
      <c r="BN544">
        <v>5.4299999999999999E-3</v>
      </c>
      <c r="BS544" s="4" t="s">
        <v>1206</v>
      </c>
    </row>
    <row r="545" spans="1:71" ht="15.75" thickBot="1" x14ac:dyDescent="0.3">
      <c r="A545" s="569" t="s">
        <v>2435</v>
      </c>
      <c r="B545" s="569" t="s">
        <v>161</v>
      </c>
      <c r="C545" s="569" t="s">
        <v>6</v>
      </c>
      <c r="D545" s="574">
        <v>5</v>
      </c>
      <c r="E545" s="569"/>
      <c r="F545" s="569"/>
      <c r="G545" s="569"/>
      <c r="H545" s="569"/>
      <c r="I545" s="574">
        <v>0</v>
      </c>
      <c r="J545" s="574">
        <v>0</v>
      </c>
      <c r="K545" s="574">
        <v>0</v>
      </c>
      <c r="L545" s="574">
        <v>3.1</v>
      </c>
      <c r="M545" s="574">
        <v>0.2</v>
      </c>
      <c r="N545" s="574">
        <v>38.700000000000003</v>
      </c>
      <c r="O545" s="574">
        <v>0</v>
      </c>
      <c r="P545" s="574">
        <v>0</v>
      </c>
      <c r="Q545" s="574">
        <v>0</v>
      </c>
      <c r="R545" s="569"/>
      <c r="S545" s="569"/>
      <c r="T545" s="569"/>
      <c r="U545" s="569"/>
      <c r="V545" s="569"/>
      <c r="W545" s="569"/>
      <c r="X545" s="569"/>
      <c r="Y545" s="569"/>
      <c r="Z545" s="569"/>
      <c r="AA545" s="569"/>
      <c r="AB545" s="569"/>
      <c r="AC545" s="569"/>
      <c r="AD545" s="569"/>
      <c r="AE545" s="569"/>
      <c r="AF545" s="569"/>
      <c r="AG545" s="569"/>
      <c r="AH545" s="569"/>
      <c r="AI545" s="569"/>
      <c r="AJ545" s="569"/>
      <c r="AK545" s="569"/>
      <c r="AL545" s="569"/>
      <c r="AM545" s="569"/>
      <c r="AN545" s="574">
        <v>4.9000000000000004</v>
      </c>
      <c r="AO545">
        <v>544</v>
      </c>
      <c r="AP545" t="str">
        <f t="shared" si="118"/>
        <v/>
      </c>
      <c r="AQ545" t="str">
        <f t="shared" si="108"/>
        <v/>
      </c>
      <c r="AR545" s="430">
        <f>IFERROR(
IF(AP545="",-100,
IF($BV$2&gt;0, INDEX(Beersheet!$A:$U,MATCH(AP545,INDEX(Beersheet!$A:$U,0,FFARawStatProjections!$BV$2),0),$BV$3)+$BN545,
INDEX($A545:$BM545,,$BV$12)*$BW$12+
INDEX($A545:$BM545,,$BV$15)*$BW$15+
INDEX($A545:$BM545,,$BV$16)*$BW$16+
INDEX($A545:$BM545,,$BV$17)*$BW$17+
INDEX($A545:$BM545,,$BV$18)*$BW$18+
INDEX($A545:$BM545,,$BV$19)*$BW$19+
INDEX($A545:$BM545,,$BV$20)*$BW$20+
INDEX($A545:$BM545,,$BV$21)*$BW$21+
INDEX($A545:$BM545,,$BV$22)*$BW$22+
INDEX($A545:$BM545,,$BV$23)*$BW$23+
INDEX($A545:$BM545,,$BV$25)*$BW$25+
INDEX($A545:$BM545,,$BV$26)*$BW$26+
INDEX($A545:$BM545,,$BV$27)*$BW$27+
$BN545)),
$BN545-100)</f>
        <v>-100</v>
      </c>
      <c r="AT545" t="str">
        <f t="shared" si="109"/>
        <v/>
      </c>
      <c r="AU545" t="str">
        <f t="shared" si="110"/>
        <v/>
      </c>
      <c r="AV545" s="430">
        <f>IFERROR(
IF(AT545="",-100,
IF($BV$2&gt;0, INDEX(Beersheet!$A:$U,MATCH(AT545,INDEX(Beersheet!$A:$U,0,FFARawStatProjections!$BV$2),0),$BV$3)+$BN545,
INDEX($A545:$BM545,,$BV$12)*$BW$12+
INDEX($A545:$BM545,,$BV$15)*$BW$15+
INDEX($A545:$BM545,,$BV$16)*$BW$16+
INDEX($A545:$BM545,,$BV$17)*$BW$17+
INDEX($A545:$BM545,,$BV$18)*$BW$18+
INDEX($A545:$BM545,,$BV$19)*$BW$19+
INDEX($A545:$BM545,,$BV$20)*$BW$20+
INDEX($A545:$BM545,,$BV$21)*$BW$21+
INDEX($A545:$BM545,,$BV$22)*$BW$22+
INDEX($A545:$BM545,,$BV$23)*$BW$23+
INDEX($A545:$BM545,,$BV$25)*$BW$25+
INDEX($A545:$BM545,,$BV$26)*$BW$26+
INDEX($A545:$BM545,,$BV$27)*$BW$27+
$BN545)),
$BN545-100)</f>
        <v>-100</v>
      </c>
      <c r="AX545" t="str">
        <f t="shared" si="111"/>
        <v>Michael Woods</v>
      </c>
      <c r="AY545" t="str">
        <f t="shared" si="112"/>
        <v>CLE</v>
      </c>
      <c r="AZ545" s="430">
        <f>IFERROR(
IF(AX545="",-100,
IF($BV$2&gt;0, INDEX(Beersheet!$A:$U,MATCH(AX545,INDEX(Beersheet!$A:$U,0,FFARawStatProjections!$BV$2),0),$BV$3)+$BN545,
INDEX($A545:$BM545,,$BV$12)*$BW$12+
INDEX($A545:$BM545,,$BV$15)*$BW$15+
INDEX($A545:$BM545,,$BV$16)*$BW$16+
INDEX($A545:$BM545,,$BV$17)*$BW$17+
INDEX($A545:$BM545,,$BV$18)*$BW$18+
INDEX($A545:$BM545,,$BV$19)*$BW$19+
INDEX($A545:$BM545,,$BV$20)*$BW$20+
INDEX($A545:$BM545,,$BV$21)*$BW$21+
INDEX($A545:$BM545,,$BV$22)*$BW$22+
INDEX($A545:$BM545,,$BV$23)*$BW$23+
INDEX($A545:$BM545,,$BV$25)*$BW$25+
INDEX($A545:$BM545,,$BV$26)*$BW$26+
INDEX($A545:$BM545,,$BV$27)*$BW$27+
$BN545)),
$BN545-100)</f>
        <v>8.1754400000000018</v>
      </c>
      <c r="BB545" t="str">
        <f t="shared" si="113"/>
        <v/>
      </c>
      <c r="BC545" t="str">
        <f t="shared" si="107"/>
        <v/>
      </c>
      <c r="BD545" s="430">
        <f>IFERROR(
IF(BB545="",-100,
IF($BV$2&gt;0, INDEX(Beersheet!$A:$U,MATCH(BB545,INDEX(Beersheet!$A:$U,0,FFARawStatProjections!$BV$2),0),$BV$3)+$BN545,
INDEX($A545:$BM545,,$BV$12)*$BW$12+
INDEX($A545:$BM545,,$BV$15)*$BW$15+
INDEX($A545:$BM545,,$BV$16)*$BW$16+
INDEX($A545:$BM545,,$BV$17)*$BW$17+
INDEX($A545:$BM545,,$BV$18)*$BW$18+
INDEX($A545:$BM545,,$BV$19)*$BW$19+
INDEX($A545:$BM545,,$BV$20)*$BW$20+
INDEX($A545:$BM545,,$BV$21)*$BW$21+
INDEX($A545:$BM545,,$BV$22)*$BW$22+
INDEX($A545:$BM545,,$BV$23)*$BW$23+
INDEX($A545:$BM545,,$BV$25)*$BW$25+
INDEX($A545:$BM545,,$BV$26)*$BW$26+
INDEX($A545:$BM545,,$BV$27)*$BW$27+
$BN545)),
$BN545-100)</f>
        <v>-100</v>
      </c>
      <c r="BF545" t="str">
        <f t="shared" si="114"/>
        <v/>
      </c>
      <c r="BG545" t="str">
        <f t="shared" si="115"/>
        <v/>
      </c>
      <c r="BH545">
        <f t="shared" si="116"/>
        <v>0</v>
      </c>
      <c r="BJ545" t="str">
        <f t="shared" si="117"/>
        <v/>
      </c>
      <c r="BL545">
        <f t="shared" si="119"/>
        <v>0</v>
      </c>
      <c r="BN545">
        <v>5.4400000000000004E-3</v>
      </c>
      <c r="BS545" s="4" t="s">
        <v>2151</v>
      </c>
    </row>
    <row r="546" spans="1:71" ht="15.75" thickBot="1" x14ac:dyDescent="0.3">
      <c r="A546" s="569" t="s">
        <v>2353</v>
      </c>
      <c r="B546" s="569" t="s">
        <v>163</v>
      </c>
      <c r="C546" s="569" t="s">
        <v>6</v>
      </c>
      <c r="D546" s="574">
        <v>7</v>
      </c>
      <c r="E546" s="569"/>
      <c r="F546" s="569"/>
      <c r="G546" s="569"/>
      <c r="H546" s="569"/>
      <c r="I546" s="574">
        <v>0</v>
      </c>
      <c r="J546" s="574">
        <v>0</v>
      </c>
      <c r="K546" s="574">
        <v>0</v>
      </c>
      <c r="L546" s="574">
        <v>3.1</v>
      </c>
      <c r="M546" s="574">
        <v>0.2</v>
      </c>
      <c r="N546" s="574">
        <v>38.5</v>
      </c>
      <c r="O546" s="574">
        <v>0</v>
      </c>
      <c r="P546" s="574">
        <v>0</v>
      </c>
      <c r="Q546" s="574">
        <v>0</v>
      </c>
      <c r="R546" s="569"/>
      <c r="S546" s="569"/>
      <c r="T546" s="569"/>
      <c r="U546" s="569"/>
      <c r="V546" s="569"/>
      <c r="W546" s="569"/>
      <c r="X546" s="569"/>
      <c r="Y546" s="569"/>
      <c r="Z546" s="569"/>
      <c r="AA546" s="569"/>
      <c r="AB546" s="569"/>
      <c r="AC546" s="569"/>
      <c r="AD546" s="569"/>
      <c r="AE546" s="569"/>
      <c r="AF546" s="569"/>
      <c r="AG546" s="569"/>
      <c r="AH546" s="569"/>
      <c r="AI546" s="569"/>
      <c r="AJ546" s="569"/>
      <c r="AK546" s="569"/>
      <c r="AL546" s="569"/>
      <c r="AM546" s="569"/>
      <c r="AN546" s="574">
        <v>4.9000000000000004</v>
      </c>
      <c r="AO546">
        <v>545</v>
      </c>
      <c r="AP546" t="str">
        <f t="shared" si="118"/>
        <v/>
      </c>
      <c r="AQ546" t="str">
        <f t="shared" si="108"/>
        <v/>
      </c>
      <c r="AR546" s="430">
        <f>IFERROR(
IF(AP546="",-100,
IF($BV$2&gt;0, INDEX(Beersheet!$A:$U,MATCH(AP546,INDEX(Beersheet!$A:$U,0,FFARawStatProjections!$BV$2),0),$BV$3)+$BN546,
INDEX($A546:$BM546,,$BV$12)*$BW$12+
INDEX($A546:$BM546,,$BV$15)*$BW$15+
INDEX($A546:$BM546,,$BV$16)*$BW$16+
INDEX($A546:$BM546,,$BV$17)*$BW$17+
INDEX($A546:$BM546,,$BV$18)*$BW$18+
INDEX($A546:$BM546,,$BV$19)*$BW$19+
INDEX($A546:$BM546,,$BV$20)*$BW$20+
INDEX($A546:$BM546,,$BV$21)*$BW$21+
INDEX($A546:$BM546,,$BV$22)*$BW$22+
INDEX($A546:$BM546,,$BV$23)*$BW$23+
INDEX($A546:$BM546,,$BV$25)*$BW$25+
INDEX($A546:$BM546,,$BV$26)*$BW$26+
INDEX($A546:$BM546,,$BV$27)*$BW$27+
$BN546)),
$BN546-100)</f>
        <v>-100</v>
      </c>
      <c r="AT546" t="str">
        <f t="shared" si="109"/>
        <v/>
      </c>
      <c r="AU546" t="str">
        <f t="shared" si="110"/>
        <v/>
      </c>
      <c r="AV546" s="430">
        <f>IFERROR(
IF(AT546="",-100,
IF($BV$2&gt;0, INDEX(Beersheet!$A:$U,MATCH(AT546,INDEX(Beersheet!$A:$U,0,FFARawStatProjections!$BV$2),0),$BV$3)+$BN546,
INDEX($A546:$BM546,,$BV$12)*$BW$12+
INDEX($A546:$BM546,,$BV$15)*$BW$15+
INDEX($A546:$BM546,,$BV$16)*$BW$16+
INDEX($A546:$BM546,,$BV$17)*$BW$17+
INDEX($A546:$BM546,,$BV$18)*$BW$18+
INDEX($A546:$BM546,,$BV$19)*$BW$19+
INDEX($A546:$BM546,,$BV$20)*$BW$20+
INDEX($A546:$BM546,,$BV$21)*$BW$21+
INDEX($A546:$BM546,,$BV$22)*$BW$22+
INDEX($A546:$BM546,,$BV$23)*$BW$23+
INDEX($A546:$BM546,,$BV$25)*$BW$25+
INDEX($A546:$BM546,,$BV$26)*$BW$26+
INDEX($A546:$BM546,,$BV$27)*$BW$27+
$BN546)),
$BN546-100)</f>
        <v>-100</v>
      </c>
      <c r="AX546" t="str">
        <f t="shared" si="111"/>
        <v>Mason Kinsey</v>
      </c>
      <c r="AY546" t="str">
        <f t="shared" si="112"/>
        <v>TEN</v>
      </c>
      <c r="AZ546" s="430">
        <f>IFERROR(
IF(AX546="",-100,
IF($BV$2&gt;0, INDEX(Beersheet!$A:$U,MATCH(AX546,INDEX(Beersheet!$A:$U,0,FFARawStatProjections!$BV$2),0),$BV$3)+$BN546,
INDEX($A546:$BM546,,$BV$12)*$BW$12+
INDEX($A546:$BM546,,$BV$15)*$BW$15+
INDEX($A546:$BM546,,$BV$16)*$BW$16+
INDEX($A546:$BM546,,$BV$17)*$BW$17+
INDEX($A546:$BM546,,$BV$18)*$BW$18+
INDEX($A546:$BM546,,$BV$19)*$BW$19+
INDEX($A546:$BM546,,$BV$20)*$BW$20+
INDEX($A546:$BM546,,$BV$21)*$BW$21+
INDEX($A546:$BM546,,$BV$22)*$BW$22+
INDEX($A546:$BM546,,$BV$23)*$BW$23+
INDEX($A546:$BM546,,$BV$25)*$BW$25+
INDEX($A546:$BM546,,$BV$26)*$BW$26+
INDEX($A546:$BM546,,$BV$27)*$BW$27+
$BN546)),
$BN546-100)</f>
        <v>8.1554500000000001</v>
      </c>
      <c r="BB546" t="str">
        <f t="shared" si="113"/>
        <v/>
      </c>
      <c r="BC546" t="str">
        <f t="shared" si="107"/>
        <v/>
      </c>
      <c r="BD546" s="430">
        <f>IFERROR(
IF(BB546="",-100,
IF($BV$2&gt;0, INDEX(Beersheet!$A:$U,MATCH(BB546,INDEX(Beersheet!$A:$U,0,FFARawStatProjections!$BV$2),0),$BV$3)+$BN546,
INDEX($A546:$BM546,,$BV$12)*$BW$12+
INDEX($A546:$BM546,,$BV$15)*$BW$15+
INDEX($A546:$BM546,,$BV$16)*$BW$16+
INDEX($A546:$BM546,,$BV$17)*$BW$17+
INDEX($A546:$BM546,,$BV$18)*$BW$18+
INDEX($A546:$BM546,,$BV$19)*$BW$19+
INDEX($A546:$BM546,,$BV$20)*$BW$20+
INDEX($A546:$BM546,,$BV$21)*$BW$21+
INDEX($A546:$BM546,,$BV$22)*$BW$22+
INDEX($A546:$BM546,,$BV$23)*$BW$23+
INDEX($A546:$BM546,,$BV$25)*$BW$25+
INDEX($A546:$BM546,,$BV$26)*$BW$26+
INDEX($A546:$BM546,,$BV$27)*$BW$27+
$BN546)),
$BN546-100)</f>
        <v>-100</v>
      </c>
      <c r="BF546" t="str">
        <f t="shared" si="114"/>
        <v/>
      </c>
      <c r="BG546" t="str">
        <f t="shared" si="115"/>
        <v/>
      </c>
      <c r="BH546">
        <f t="shared" si="116"/>
        <v>0</v>
      </c>
      <c r="BJ546" t="str">
        <f t="shared" si="117"/>
        <v/>
      </c>
      <c r="BL546">
        <f t="shared" si="119"/>
        <v>0</v>
      </c>
      <c r="BN546">
        <v>5.45E-3</v>
      </c>
      <c r="BS546" s="4" t="s">
        <v>2373</v>
      </c>
    </row>
    <row r="547" spans="1:71" ht="15.75" thickBot="1" x14ac:dyDescent="0.3">
      <c r="A547" s="569" t="s">
        <v>2520</v>
      </c>
      <c r="B547" s="569" t="s">
        <v>154</v>
      </c>
      <c r="C547" s="569" t="s">
        <v>6</v>
      </c>
      <c r="D547" s="574">
        <v>13</v>
      </c>
      <c r="E547" s="569"/>
      <c r="F547" s="569"/>
      <c r="G547" s="569"/>
      <c r="H547" s="569"/>
      <c r="I547" s="574">
        <v>0</v>
      </c>
      <c r="J547" s="574">
        <v>0</v>
      </c>
      <c r="K547" s="574">
        <v>0</v>
      </c>
      <c r="L547" s="574">
        <v>0</v>
      </c>
      <c r="M547" s="574">
        <v>0</v>
      </c>
      <c r="N547" s="574">
        <v>46.6</v>
      </c>
      <c r="O547" s="574">
        <v>0.2</v>
      </c>
      <c r="P547" s="574">
        <v>0</v>
      </c>
      <c r="Q547" s="574">
        <v>1.2</v>
      </c>
      <c r="R547" s="569"/>
      <c r="S547" s="569"/>
      <c r="T547" s="569"/>
      <c r="U547" s="569"/>
      <c r="V547" s="569"/>
      <c r="W547" s="569"/>
      <c r="X547" s="569"/>
      <c r="Y547" s="569"/>
      <c r="Z547" s="569"/>
      <c r="AA547" s="569"/>
      <c r="AB547" s="569"/>
      <c r="AC547" s="569"/>
      <c r="AD547" s="569"/>
      <c r="AE547" s="569"/>
      <c r="AF547" s="569"/>
      <c r="AG547" s="569"/>
      <c r="AH547" s="569"/>
      <c r="AI547" s="569"/>
      <c r="AJ547" s="569"/>
      <c r="AK547" s="569"/>
      <c r="AL547" s="569"/>
      <c r="AM547" s="569"/>
      <c r="AN547" s="574">
        <v>4.8</v>
      </c>
      <c r="AO547">
        <v>546</v>
      </c>
      <c r="AP547" t="str">
        <f t="shared" si="118"/>
        <v/>
      </c>
      <c r="AQ547" t="str">
        <f t="shared" si="108"/>
        <v/>
      </c>
      <c r="AR547" s="430">
        <f>IFERROR(
IF(AP547="",-100,
IF($BV$2&gt;0, INDEX(Beersheet!$A:$U,MATCH(AP547,INDEX(Beersheet!$A:$U,0,FFARawStatProjections!$BV$2),0),$BV$3)+$BN547,
INDEX($A547:$BM547,,$BV$12)*$BW$12+
INDEX($A547:$BM547,,$BV$15)*$BW$15+
INDEX($A547:$BM547,,$BV$16)*$BW$16+
INDEX($A547:$BM547,,$BV$17)*$BW$17+
INDEX($A547:$BM547,,$BV$18)*$BW$18+
INDEX($A547:$BM547,,$BV$19)*$BW$19+
INDEX($A547:$BM547,,$BV$20)*$BW$20+
INDEX($A547:$BM547,,$BV$21)*$BW$21+
INDEX($A547:$BM547,,$BV$22)*$BW$22+
INDEX($A547:$BM547,,$BV$23)*$BW$23+
INDEX($A547:$BM547,,$BV$25)*$BW$25+
INDEX($A547:$BM547,,$BV$26)*$BW$26+
INDEX($A547:$BM547,,$BV$27)*$BW$27+
$BN547)),
$BN547-100)</f>
        <v>-100</v>
      </c>
      <c r="AT547" t="str">
        <f t="shared" si="109"/>
        <v/>
      </c>
      <c r="AU547" t="str">
        <f t="shared" si="110"/>
        <v/>
      </c>
      <c r="AV547" s="430">
        <f>IFERROR(
IF(AT547="",-100,
IF($BV$2&gt;0, INDEX(Beersheet!$A:$U,MATCH(AT547,INDEX(Beersheet!$A:$U,0,FFARawStatProjections!$BV$2),0),$BV$3)+$BN547,
INDEX($A547:$BM547,,$BV$12)*$BW$12+
INDEX($A547:$BM547,,$BV$15)*$BW$15+
INDEX($A547:$BM547,,$BV$16)*$BW$16+
INDEX($A547:$BM547,,$BV$17)*$BW$17+
INDEX($A547:$BM547,,$BV$18)*$BW$18+
INDEX($A547:$BM547,,$BV$19)*$BW$19+
INDEX($A547:$BM547,,$BV$20)*$BW$20+
INDEX($A547:$BM547,,$BV$21)*$BW$21+
INDEX($A547:$BM547,,$BV$22)*$BW$22+
INDEX($A547:$BM547,,$BV$23)*$BW$23+
INDEX($A547:$BM547,,$BV$25)*$BW$25+
INDEX($A547:$BM547,,$BV$26)*$BW$26+
INDEX($A547:$BM547,,$BV$27)*$BW$27+
$BN547)),
$BN547-100)</f>
        <v>-100</v>
      </c>
      <c r="AX547" t="str">
        <f t="shared" si="111"/>
        <v>Bryce Ford-Wheaton</v>
      </c>
      <c r="AY547" t="str">
        <f t="shared" si="112"/>
        <v>NYG</v>
      </c>
      <c r="AZ547" s="430">
        <f>IFERROR(
IF(AX547="",-100,
IF($BV$2&gt;0, INDEX(Beersheet!$A:$U,MATCH(AX547,INDEX(Beersheet!$A:$U,0,FFARawStatProjections!$BV$2),0),$BV$3)+$BN547,
INDEX($A547:$BM547,,$BV$12)*$BW$12+
INDEX($A547:$BM547,,$BV$15)*$BW$15+
INDEX($A547:$BM547,,$BV$16)*$BW$16+
INDEX($A547:$BM547,,$BV$17)*$BW$17+
INDEX($A547:$BM547,,$BV$18)*$BW$18+
INDEX($A547:$BM547,,$BV$19)*$BW$19+
INDEX($A547:$BM547,,$BV$20)*$BW$20+
INDEX($A547:$BM547,,$BV$21)*$BW$21+
INDEX($A547:$BM547,,$BV$22)*$BW$22+
INDEX($A547:$BM547,,$BV$23)*$BW$23+
INDEX($A547:$BM547,,$BV$25)*$BW$25+
INDEX($A547:$BM547,,$BV$26)*$BW$26+
INDEX($A547:$BM547,,$BV$27)*$BW$27+
$BN547)),
$BN547-100)</f>
        <v>4.7854600000000005</v>
      </c>
      <c r="BB547" t="str">
        <f t="shared" si="113"/>
        <v/>
      </c>
      <c r="BC547" t="str">
        <f t="shared" si="107"/>
        <v/>
      </c>
      <c r="BD547" s="430">
        <f>IFERROR(
IF(BB547="",-100,
IF($BV$2&gt;0, INDEX(Beersheet!$A:$U,MATCH(BB547,INDEX(Beersheet!$A:$U,0,FFARawStatProjections!$BV$2),0),$BV$3)+$BN547,
INDEX($A547:$BM547,,$BV$12)*$BW$12+
INDEX($A547:$BM547,,$BV$15)*$BW$15+
INDEX($A547:$BM547,,$BV$16)*$BW$16+
INDEX($A547:$BM547,,$BV$17)*$BW$17+
INDEX($A547:$BM547,,$BV$18)*$BW$18+
INDEX($A547:$BM547,,$BV$19)*$BW$19+
INDEX($A547:$BM547,,$BV$20)*$BW$20+
INDEX($A547:$BM547,,$BV$21)*$BW$21+
INDEX($A547:$BM547,,$BV$22)*$BW$22+
INDEX($A547:$BM547,,$BV$23)*$BW$23+
INDEX($A547:$BM547,,$BV$25)*$BW$25+
INDEX($A547:$BM547,,$BV$26)*$BW$26+
INDEX($A547:$BM547,,$BV$27)*$BW$27+
$BN547)),
$BN547-100)</f>
        <v>-100</v>
      </c>
      <c r="BF547" t="str">
        <f t="shared" si="114"/>
        <v/>
      </c>
      <c r="BG547" t="str">
        <f t="shared" si="115"/>
        <v/>
      </c>
      <c r="BH547">
        <f t="shared" si="116"/>
        <v>0</v>
      </c>
      <c r="BJ547" t="str">
        <f t="shared" si="117"/>
        <v/>
      </c>
      <c r="BL547">
        <f t="shared" si="119"/>
        <v>0</v>
      </c>
      <c r="BN547">
        <v>5.4599999999999996E-3</v>
      </c>
      <c r="BS547" s="4" t="s">
        <v>2430</v>
      </c>
    </row>
    <row r="548" spans="1:71" ht="15.75" thickBot="1" x14ac:dyDescent="0.3">
      <c r="A548" s="569" t="s">
        <v>2273</v>
      </c>
      <c r="B548" s="569" t="s">
        <v>163</v>
      </c>
      <c r="C548" s="569" t="s">
        <v>6</v>
      </c>
      <c r="D548" s="574">
        <v>7</v>
      </c>
      <c r="E548" s="569"/>
      <c r="F548" s="569"/>
      <c r="G548" s="569"/>
      <c r="H548" s="569"/>
      <c r="I548" s="574">
        <v>0</v>
      </c>
      <c r="J548" s="574">
        <v>0</v>
      </c>
      <c r="K548" s="574">
        <v>0</v>
      </c>
      <c r="L548" s="574">
        <v>3</v>
      </c>
      <c r="M548" s="574">
        <v>0.1</v>
      </c>
      <c r="N548" s="574">
        <v>41.5</v>
      </c>
      <c r="O548" s="574">
        <v>0.2</v>
      </c>
      <c r="P548" s="574">
        <v>0</v>
      </c>
      <c r="Q548" s="574">
        <v>1</v>
      </c>
      <c r="R548" s="569"/>
      <c r="S548" s="569"/>
      <c r="T548" s="569"/>
      <c r="U548" s="569"/>
      <c r="V548" s="569"/>
      <c r="W548" s="569"/>
      <c r="X548" s="569"/>
      <c r="Y548" s="569"/>
      <c r="Z548" s="569"/>
      <c r="AA548" s="569"/>
      <c r="AB548" s="569"/>
      <c r="AC548" s="569"/>
      <c r="AD548" s="569"/>
      <c r="AE548" s="569"/>
      <c r="AF548" s="569"/>
      <c r="AG548" s="569"/>
      <c r="AH548" s="569"/>
      <c r="AI548" s="569"/>
      <c r="AJ548" s="569"/>
      <c r="AK548" s="569"/>
      <c r="AL548" s="569"/>
      <c r="AM548" s="569"/>
      <c r="AN548" s="574">
        <v>4.8</v>
      </c>
      <c r="AO548">
        <v>547</v>
      </c>
      <c r="AP548" t="str">
        <f t="shared" si="118"/>
        <v/>
      </c>
      <c r="AQ548" t="str">
        <f t="shared" si="108"/>
        <v/>
      </c>
      <c r="AR548" s="430">
        <f>IFERROR(
IF(AP548="",-100,
IF($BV$2&gt;0, INDEX(Beersheet!$A:$U,MATCH(AP548,INDEX(Beersheet!$A:$U,0,FFARawStatProjections!$BV$2),0),$BV$3)+$BN548,
INDEX($A548:$BM548,,$BV$12)*$BW$12+
INDEX($A548:$BM548,,$BV$15)*$BW$15+
INDEX($A548:$BM548,,$BV$16)*$BW$16+
INDEX($A548:$BM548,,$BV$17)*$BW$17+
INDEX($A548:$BM548,,$BV$18)*$BW$18+
INDEX($A548:$BM548,,$BV$19)*$BW$19+
INDEX($A548:$BM548,,$BV$20)*$BW$20+
INDEX($A548:$BM548,,$BV$21)*$BW$21+
INDEX($A548:$BM548,,$BV$22)*$BW$22+
INDEX($A548:$BM548,,$BV$23)*$BW$23+
INDEX($A548:$BM548,,$BV$25)*$BW$25+
INDEX($A548:$BM548,,$BV$26)*$BW$26+
INDEX($A548:$BM548,,$BV$27)*$BW$27+
$BN548)),
$BN548-100)</f>
        <v>-100</v>
      </c>
      <c r="AT548" t="str">
        <f t="shared" si="109"/>
        <v/>
      </c>
      <c r="AU548" t="str">
        <f t="shared" si="110"/>
        <v/>
      </c>
      <c r="AV548" s="430">
        <f>IFERROR(
IF(AT548="",-100,
IF($BV$2&gt;0, INDEX(Beersheet!$A:$U,MATCH(AT548,INDEX(Beersheet!$A:$U,0,FFARawStatProjections!$BV$2),0),$BV$3)+$BN548,
INDEX($A548:$BM548,,$BV$12)*$BW$12+
INDEX($A548:$BM548,,$BV$15)*$BW$15+
INDEX($A548:$BM548,,$BV$16)*$BW$16+
INDEX($A548:$BM548,,$BV$17)*$BW$17+
INDEX($A548:$BM548,,$BV$18)*$BW$18+
INDEX($A548:$BM548,,$BV$19)*$BW$19+
INDEX($A548:$BM548,,$BV$20)*$BW$20+
INDEX($A548:$BM548,,$BV$21)*$BW$21+
INDEX($A548:$BM548,,$BV$22)*$BW$22+
INDEX($A548:$BM548,,$BV$23)*$BW$23+
INDEX($A548:$BM548,,$BV$25)*$BW$25+
INDEX($A548:$BM548,,$BV$26)*$BW$26+
INDEX($A548:$BM548,,$BV$27)*$BW$27+
$BN548)),
$BN548-100)</f>
        <v>-100</v>
      </c>
      <c r="AX548" t="str">
        <f t="shared" si="111"/>
        <v>Racey McMath</v>
      </c>
      <c r="AY548" t="str">
        <f t="shared" si="112"/>
        <v>TEN</v>
      </c>
      <c r="AZ548" s="430">
        <f>IFERROR(
IF(AX548="",-100,
IF($BV$2&gt;0, INDEX(Beersheet!$A:$U,MATCH(AX548,INDEX(Beersheet!$A:$U,0,FFARawStatProjections!$BV$2),0),$BV$3)+$BN548,
INDEX($A548:$BM548,,$BV$12)*$BW$12+
INDEX($A548:$BM548,,$BV$15)*$BW$15+
INDEX($A548:$BM548,,$BV$16)*$BW$16+
INDEX($A548:$BM548,,$BV$17)*$BW$17+
INDEX($A548:$BM548,,$BV$18)*$BW$18+
INDEX($A548:$BM548,,$BV$19)*$BW$19+
INDEX($A548:$BM548,,$BV$20)*$BW$20+
INDEX($A548:$BM548,,$BV$21)*$BW$21+
INDEX($A548:$BM548,,$BV$22)*$BW$22+
INDEX($A548:$BM548,,$BV$23)*$BW$23+
INDEX($A548:$BM548,,$BV$25)*$BW$25+
INDEX($A548:$BM548,,$BV$26)*$BW$26+
INDEX($A548:$BM548,,$BV$27)*$BW$27+
$BN548)),
$BN548-100)</f>
        <v>7.8554699999999995</v>
      </c>
      <c r="BB548" t="str">
        <f t="shared" si="113"/>
        <v/>
      </c>
      <c r="BC548" t="str">
        <f t="shared" si="107"/>
        <v/>
      </c>
      <c r="BD548" s="430">
        <f>IFERROR(
IF(BB548="",-100,
IF($BV$2&gt;0, INDEX(Beersheet!$A:$U,MATCH(BB548,INDEX(Beersheet!$A:$U,0,FFARawStatProjections!$BV$2),0),$BV$3)+$BN548,
INDEX($A548:$BM548,,$BV$12)*$BW$12+
INDEX($A548:$BM548,,$BV$15)*$BW$15+
INDEX($A548:$BM548,,$BV$16)*$BW$16+
INDEX($A548:$BM548,,$BV$17)*$BW$17+
INDEX($A548:$BM548,,$BV$18)*$BW$18+
INDEX($A548:$BM548,,$BV$19)*$BW$19+
INDEX($A548:$BM548,,$BV$20)*$BW$20+
INDEX($A548:$BM548,,$BV$21)*$BW$21+
INDEX($A548:$BM548,,$BV$22)*$BW$22+
INDEX($A548:$BM548,,$BV$23)*$BW$23+
INDEX($A548:$BM548,,$BV$25)*$BW$25+
INDEX($A548:$BM548,,$BV$26)*$BW$26+
INDEX($A548:$BM548,,$BV$27)*$BW$27+
$BN548)),
$BN548-100)</f>
        <v>-100</v>
      </c>
      <c r="BF548" t="str">
        <f t="shared" si="114"/>
        <v/>
      </c>
      <c r="BG548" t="str">
        <f t="shared" si="115"/>
        <v/>
      </c>
      <c r="BH548">
        <f t="shared" si="116"/>
        <v>0</v>
      </c>
      <c r="BJ548" t="str">
        <f t="shared" si="117"/>
        <v/>
      </c>
      <c r="BL548">
        <f t="shared" si="119"/>
        <v>0</v>
      </c>
      <c r="BN548">
        <v>5.47E-3</v>
      </c>
      <c r="BS548" s="4" t="s">
        <v>1860</v>
      </c>
    </row>
    <row r="549" spans="1:71" ht="15.75" thickBot="1" x14ac:dyDescent="0.3">
      <c r="A549" s="569" t="s">
        <v>2549</v>
      </c>
      <c r="B549" s="569" t="s">
        <v>138</v>
      </c>
      <c r="C549" s="569" t="s">
        <v>6</v>
      </c>
      <c r="D549" s="574">
        <v>13</v>
      </c>
      <c r="E549" s="569"/>
      <c r="F549" s="569"/>
      <c r="G549" s="569"/>
      <c r="H549" s="569"/>
      <c r="I549" s="574">
        <v>0</v>
      </c>
      <c r="J549" s="574">
        <v>0</v>
      </c>
      <c r="K549" s="574">
        <v>0</v>
      </c>
      <c r="L549" s="574">
        <v>0</v>
      </c>
      <c r="M549" s="574">
        <v>0</v>
      </c>
      <c r="N549" s="574">
        <v>46.1</v>
      </c>
      <c r="O549" s="574">
        <v>0.4</v>
      </c>
      <c r="P549" s="574">
        <v>0</v>
      </c>
      <c r="Q549" s="574">
        <v>3</v>
      </c>
      <c r="R549" s="569"/>
      <c r="S549" s="569"/>
      <c r="T549" s="569"/>
      <c r="U549" s="569"/>
      <c r="V549" s="569"/>
      <c r="W549" s="569"/>
      <c r="X549" s="569"/>
      <c r="Y549" s="569"/>
      <c r="Z549" s="569"/>
      <c r="AA549" s="569"/>
      <c r="AB549" s="569"/>
      <c r="AC549" s="569"/>
      <c r="AD549" s="569"/>
      <c r="AE549" s="569"/>
      <c r="AF549" s="569"/>
      <c r="AG549" s="569"/>
      <c r="AH549" s="569"/>
      <c r="AI549" s="569"/>
      <c r="AJ549" s="569"/>
      <c r="AK549" s="569"/>
      <c r="AL549" s="569"/>
      <c r="AM549" s="569"/>
      <c r="AN549" s="574">
        <v>4.7</v>
      </c>
      <c r="AO549">
        <v>548</v>
      </c>
      <c r="AP549" t="str">
        <f t="shared" si="118"/>
        <v/>
      </c>
      <c r="AQ549" t="str">
        <f t="shared" si="108"/>
        <v/>
      </c>
      <c r="AR549" s="430">
        <f>IFERROR(
IF(AP549="",-100,
IF($BV$2&gt;0, INDEX(Beersheet!$A:$U,MATCH(AP549,INDEX(Beersheet!$A:$U,0,FFARawStatProjections!$BV$2),0),$BV$3)+$BN549,
INDEX($A549:$BM549,,$BV$12)*$BW$12+
INDEX($A549:$BM549,,$BV$15)*$BW$15+
INDEX($A549:$BM549,,$BV$16)*$BW$16+
INDEX($A549:$BM549,,$BV$17)*$BW$17+
INDEX($A549:$BM549,,$BV$18)*$BW$18+
INDEX($A549:$BM549,,$BV$19)*$BW$19+
INDEX($A549:$BM549,,$BV$20)*$BW$20+
INDEX($A549:$BM549,,$BV$21)*$BW$21+
INDEX($A549:$BM549,,$BV$22)*$BW$22+
INDEX($A549:$BM549,,$BV$23)*$BW$23+
INDEX($A549:$BM549,,$BV$25)*$BW$25+
INDEX($A549:$BM549,,$BV$26)*$BW$26+
INDEX($A549:$BM549,,$BV$27)*$BW$27+
$BN549)),
$BN549-100)</f>
        <v>-100</v>
      </c>
      <c r="AT549" t="str">
        <f t="shared" si="109"/>
        <v/>
      </c>
      <c r="AU549" t="str">
        <f t="shared" si="110"/>
        <v/>
      </c>
      <c r="AV549" s="430">
        <f>IFERROR(
IF(AT549="",-100,
IF($BV$2&gt;0, INDEX(Beersheet!$A:$U,MATCH(AT549,INDEX(Beersheet!$A:$U,0,FFARawStatProjections!$BV$2),0),$BV$3)+$BN549,
INDEX($A549:$BM549,,$BV$12)*$BW$12+
INDEX($A549:$BM549,,$BV$15)*$BW$15+
INDEX($A549:$BM549,,$BV$16)*$BW$16+
INDEX($A549:$BM549,,$BV$17)*$BW$17+
INDEX($A549:$BM549,,$BV$18)*$BW$18+
INDEX($A549:$BM549,,$BV$19)*$BW$19+
INDEX($A549:$BM549,,$BV$20)*$BW$20+
INDEX($A549:$BM549,,$BV$21)*$BW$21+
INDEX($A549:$BM549,,$BV$22)*$BW$22+
INDEX($A549:$BM549,,$BV$23)*$BW$23+
INDEX($A549:$BM549,,$BV$25)*$BW$25+
INDEX($A549:$BM549,,$BV$26)*$BW$26+
INDEX($A549:$BM549,,$BV$27)*$BW$27+
$BN549)),
$BN549-100)</f>
        <v>-100</v>
      </c>
      <c r="AX549" t="str">
        <f t="shared" si="111"/>
        <v>NKeal Harry</v>
      </c>
      <c r="AY549" t="str">
        <f t="shared" si="112"/>
        <v>MIN</v>
      </c>
      <c r="AZ549" s="430">
        <f>IFERROR(
IF(AX549="",-100,
IF($BV$2&gt;0, INDEX(Beersheet!$A:$U,MATCH(AX549,INDEX(Beersheet!$A:$U,0,FFARawStatProjections!$BV$2),0),$BV$3)+$BN549,
INDEX($A549:$BM549,,$BV$12)*$BW$12+
INDEX($A549:$BM549,,$BV$15)*$BW$15+
INDEX($A549:$BM549,,$BV$16)*$BW$16+
INDEX($A549:$BM549,,$BV$17)*$BW$17+
INDEX($A549:$BM549,,$BV$18)*$BW$18+
INDEX($A549:$BM549,,$BV$19)*$BW$19+
INDEX($A549:$BM549,,$BV$20)*$BW$20+
INDEX($A549:$BM549,,$BV$21)*$BW$21+
INDEX($A549:$BM549,,$BV$22)*$BW$22+
INDEX($A549:$BM549,,$BV$23)*$BW$23+
INDEX($A549:$BM549,,$BV$25)*$BW$25+
INDEX($A549:$BM549,,$BV$26)*$BW$26+
INDEX($A549:$BM549,,$BV$27)*$BW$27+
$BN549)),
$BN549-100)</f>
        <v>4.9154800000000005</v>
      </c>
      <c r="BB549" t="str">
        <f t="shared" si="113"/>
        <v/>
      </c>
      <c r="BC549" t="str">
        <f t="shared" si="107"/>
        <v/>
      </c>
      <c r="BD549" s="430">
        <f>IFERROR(
IF(BB549="",-100,
IF($BV$2&gt;0, INDEX(Beersheet!$A:$U,MATCH(BB549,INDEX(Beersheet!$A:$U,0,FFARawStatProjections!$BV$2),0),$BV$3)+$BN549,
INDEX($A549:$BM549,,$BV$12)*$BW$12+
INDEX($A549:$BM549,,$BV$15)*$BW$15+
INDEX($A549:$BM549,,$BV$16)*$BW$16+
INDEX($A549:$BM549,,$BV$17)*$BW$17+
INDEX($A549:$BM549,,$BV$18)*$BW$18+
INDEX($A549:$BM549,,$BV$19)*$BW$19+
INDEX($A549:$BM549,,$BV$20)*$BW$20+
INDEX($A549:$BM549,,$BV$21)*$BW$21+
INDEX($A549:$BM549,,$BV$22)*$BW$22+
INDEX($A549:$BM549,,$BV$23)*$BW$23+
INDEX($A549:$BM549,,$BV$25)*$BW$25+
INDEX($A549:$BM549,,$BV$26)*$BW$26+
INDEX($A549:$BM549,,$BV$27)*$BW$27+
$BN549)),
$BN549-100)</f>
        <v>-100</v>
      </c>
      <c r="BF549" t="str">
        <f t="shared" si="114"/>
        <v/>
      </c>
      <c r="BG549" t="str">
        <f t="shared" si="115"/>
        <v/>
      </c>
      <c r="BH549">
        <f t="shared" si="116"/>
        <v>0</v>
      </c>
      <c r="BJ549" t="str">
        <f t="shared" si="117"/>
        <v/>
      </c>
      <c r="BL549">
        <f t="shared" si="119"/>
        <v>0</v>
      </c>
      <c r="BN549">
        <v>5.4799999999999996E-3</v>
      </c>
      <c r="BS549" s="4" t="s">
        <v>2236</v>
      </c>
    </row>
    <row r="550" spans="1:71" ht="15.75" thickBot="1" x14ac:dyDescent="0.3">
      <c r="A550" s="569" t="s">
        <v>2218</v>
      </c>
      <c r="B550" s="569" t="s">
        <v>162</v>
      </c>
      <c r="C550" s="569" t="s">
        <v>6</v>
      </c>
      <c r="D550" s="574">
        <v>13</v>
      </c>
      <c r="E550" s="569"/>
      <c r="F550" s="569"/>
      <c r="G550" s="569"/>
      <c r="H550" s="569"/>
      <c r="I550" s="574">
        <v>0</v>
      </c>
      <c r="J550" s="574">
        <v>0</v>
      </c>
      <c r="K550" s="574">
        <v>0</v>
      </c>
      <c r="L550" s="574">
        <v>3</v>
      </c>
      <c r="M550" s="574">
        <v>0.1</v>
      </c>
      <c r="N550" s="574">
        <v>40.1</v>
      </c>
      <c r="O550" s="574">
        <v>0.2</v>
      </c>
      <c r="P550" s="574">
        <v>0</v>
      </c>
      <c r="Q550" s="574">
        <v>1</v>
      </c>
      <c r="R550" s="569"/>
      <c r="S550" s="569"/>
      <c r="T550" s="569"/>
      <c r="U550" s="569"/>
      <c r="V550" s="569"/>
      <c r="W550" s="569"/>
      <c r="X550" s="569"/>
      <c r="Y550" s="569"/>
      <c r="Z550" s="569"/>
      <c r="AA550" s="569"/>
      <c r="AB550" s="569"/>
      <c r="AC550" s="569"/>
      <c r="AD550" s="569"/>
      <c r="AE550" s="569"/>
      <c r="AF550" s="569"/>
      <c r="AG550" s="569"/>
      <c r="AH550" s="569"/>
      <c r="AI550" s="569"/>
      <c r="AJ550" s="569"/>
      <c r="AK550" s="569"/>
      <c r="AL550" s="569"/>
      <c r="AM550" s="569"/>
      <c r="AN550" s="574">
        <v>4.5999999999999996</v>
      </c>
      <c r="AO550">
        <v>549</v>
      </c>
      <c r="AP550" t="str">
        <f t="shared" si="118"/>
        <v/>
      </c>
      <c r="AQ550" t="str">
        <f t="shared" si="108"/>
        <v/>
      </c>
      <c r="AR550" s="430">
        <f>IFERROR(
IF(AP550="",-100,
IF($BV$2&gt;0, INDEX(Beersheet!$A:$U,MATCH(AP550,INDEX(Beersheet!$A:$U,0,FFARawStatProjections!$BV$2),0),$BV$3)+$BN550,
INDEX($A550:$BM550,,$BV$12)*$BW$12+
INDEX($A550:$BM550,,$BV$15)*$BW$15+
INDEX($A550:$BM550,,$BV$16)*$BW$16+
INDEX($A550:$BM550,,$BV$17)*$BW$17+
INDEX($A550:$BM550,,$BV$18)*$BW$18+
INDEX($A550:$BM550,,$BV$19)*$BW$19+
INDEX($A550:$BM550,,$BV$20)*$BW$20+
INDEX($A550:$BM550,,$BV$21)*$BW$21+
INDEX($A550:$BM550,,$BV$22)*$BW$22+
INDEX($A550:$BM550,,$BV$23)*$BW$23+
INDEX($A550:$BM550,,$BV$25)*$BW$25+
INDEX($A550:$BM550,,$BV$26)*$BW$26+
INDEX($A550:$BM550,,$BV$27)*$BW$27+
$BN550)),
$BN550-100)</f>
        <v>-100</v>
      </c>
      <c r="AT550" t="str">
        <f t="shared" si="109"/>
        <v/>
      </c>
      <c r="AU550" t="str">
        <f t="shared" si="110"/>
        <v/>
      </c>
      <c r="AV550" s="430">
        <f>IFERROR(
IF(AT550="",-100,
IF($BV$2&gt;0, INDEX(Beersheet!$A:$U,MATCH(AT550,INDEX(Beersheet!$A:$U,0,FFARawStatProjections!$BV$2),0),$BV$3)+$BN550,
INDEX($A550:$BM550,,$BV$12)*$BW$12+
INDEX($A550:$BM550,,$BV$15)*$BW$15+
INDEX($A550:$BM550,,$BV$16)*$BW$16+
INDEX($A550:$BM550,,$BV$17)*$BW$17+
INDEX($A550:$BM550,,$BV$18)*$BW$18+
INDEX($A550:$BM550,,$BV$19)*$BW$19+
INDEX($A550:$BM550,,$BV$20)*$BW$20+
INDEX($A550:$BM550,,$BV$21)*$BW$21+
INDEX($A550:$BM550,,$BV$22)*$BW$22+
INDEX($A550:$BM550,,$BV$23)*$BW$23+
INDEX($A550:$BM550,,$BV$25)*$BW$25+
INDEX($A550:$BM550,,$BV$26)*$BW$26+
INDEX($A550:$BM550,,$BV$27)*$BW$27+
$BN550)),
$BN550-100)</f>
        <v>-100</v>
      </c>
      <c r="AX550" t="str">
        <f t="shared" si="111"/>
        <v>Tylan Wallace</v>
      </c>
      <c r="AY550" t="str">
        <f t="shared" si="112"/>
        <v>BAL</v>
      </c>
      <c r="AZ550" s="430">
        <f>IFERROR(
IF(AX550="",-100,
IF($BV$2&gt;0, INDEX(Beersheet!$A:$U,MATCH(AX550,INDEX(Beersheet!$A:$U,0,FFARawStatProjections!$BV$2),0),$BV$3)+$BN550,
INDEX($A550:$BM550,,$BV$12)*$BW$12+
INDEX($A550:$BM550,,$BV$15)*$BW$15+
INDEX($A550:$BM550,,$BV$16)*$BW$16+
INDEX($A550:$BM550,,$BV$17)*$BW$17+
INDEX($A550:$BM550,,$BV$18)*$BW$18+
INDEX($A550:$BM550,,$BV$19)*$BW$19+
INDEX($A550:$BM550,,$BV$20)*$BW$20+
INDEX($A550:$BM550,,$BV$21)*$BW$21+
INDEX($A550:$BM550,,$BV$22)*$BW$22+
INDEX($A550:$BM550,,$BV$23)*$BW$23+
INDEX($A550:$BM550,,$BV$25)*$BW$25+
INDEX($A550:$BM550,,$BV$26)*$BW$26+
INDEX($A550:$BM550,,$BV$27)*$BW$27+
$BN550)),
$BN550-100)</f>
        <v>7.7154900000000008</v>
      </c>
      <c r="BB550" t="str">
        <f t="shared" si="113"/>
        <v/>
      </c>
      <c r="BC550" t="str">
        <f t="shared" si="107"/>
        <v/>
      </c>
      <c r="BD550" s="430">
        <f>IFERROR(
IF(BB550="",-100,
IF($BV$2&gt;0, INDEX(Beersheet!$A:$U,MATCH(BB550,INDEX(Beersheet!$A:$U,0,FFARawStatProjections!$BV$2),0),$BV$3)+$BN550,
INDEX($A550:$BM550,,$BV$12)*$BW$12+
INDEX($A550:$BM550,,$BV$15)*$BW$15+
INDEX($A550:$BM550,,$BV$16)*$BW$16+
INDEX($A550:$BM550,,$BV$17)*$BW$17+
INDEX($A550:$BM550,,$BV$18)*$BW$18+
INDEX($A550:$BM550,,$BV$19)*$BW$19+
INDEX($A550:$BM550,,$BV$20)*$BW$20+
INDEX($A550:$BM550,,$BV$21)*$BW$21+
INDEX($A550:$BM550,,$BV$22)*$BW$22+
INDEX($A550:$BM550,,$BV$23)*$BW$23+
INDEX($A550:$BM550,,$BV$25)*$BW$25+
INDEX($A550:$BM550,,$BV$26)*$BW$26+
INDEX($A550:$BM550,,$BV$27)*$BW$27+
$BN550)),
$BN550-100)</f>
        <v>-100</v>
      </c>
      <c r="BF550" t="str">
        <f t="shared" si="114"/>
        <v/>
      </c>
      <c r="BG550" t="str">
        <f t="shared" si="115"/>
        <v/>
      </c>
      <c r="BH550">
        <f t="shared" si="116"/>
        <v>0</v>
      </c>
      <c r="BJ550" t="str">
        <f t="shared" si="117"/>
        <v/>
      </c>
      <c r="BL550">
        <f t="shared" si="119"/>
        <v>0</v>
      </c>
      <c r="BN550">
        <v>5.4900000000000001E-3</v>
      </c>
      <c r="BS550" s="4" t="s">
        <v>2429</v>
      </c>
    </row>
    <row r="551" spans="1:71" ht="15.75" thickBot="1" x14ac:dyDescent="0.3">
      <c r="A551" s="569" t="s">
        <v>1111</v>
      </c>
      <c r="B551" s="569" t="s">
        <v>155</v>
      </c>
      <c r="C551" s="569" t="s">
        <v>6</v>
      </c>
      <c r="D551" s="574">
        <v>9</v>
      </c>
      <c r="E551" s="569"/>
      <c r="F551" s="569"/>
      <c r="G551" s="569"/>
      <c r="H551" s="569"/>
      <c r="I551" s="574">
        <v>0</v>
      </c>
      <c r="J551" s="574">
        <v>0</v>
      </c>
      <c r="K551" s="574">
        <v>0</v>
      </c>
      <c r="L551" s="574">
        <v>3</v>
      </c>
      <c r="M551" s="574">
        <v>0.2</v>
      </c>
      <c r="N551" s="574">
        <v>34.799999999999997</v>
      </c>
      <c r="O551" s="574">
        <v>0</v>
      </c>
      <c r="P551" s="574">
        <v>0</v>
      </c>
      <c r="Q551" s="574">
        <v>0</v>
      </c>
      <c r="R551" s="569"/>
      <c r="S551" s="569"/>
      <c r="T551" s="569"/>
      <c r="U551" s="569"/>
      <c r="V551" s="569"/>
      <c r="W551" s="569"/>
      <c r="X551" s="569"/>
      <c r="Y551" s="569"/>
      <c r="Z551" s="569"/>
      <c r="AA551" s="569"/>
      <c r="AB551" s="569"/>
      <c r="AC551" s="569"/>
      <c r="AD551" s="569"/>
      <c r="AE551" s="569"/>
      <c r="AF551" s="569"/>
      <c r="AG551" s="569"/>
      <c r="AH551" s="569"/>
      <c r="AI551" s="569"/>
      <c r="AJ551" s="569"/>
      <c r="AK551" s="569"/>
      <c r="AL551" s="569"/>
      <c r="AM551" s="569"/>
      <c r="AN551" s="574">
        <v>4.5999999999999996</v>
      </c>
      <c r="AO551">
        <v>550</v>
      </c>
      <c r="AP551" t="str">
        <f t="shared" si="118"/>
        <v/>
      </c>
      <c r="AQ551" t="str">
        <f t="shared" si="108"/>
        <v/>
      </c>
      <c r="AR551" s="430">
        <f>IFERROR(
IF(AP551="",-100,
IF($BV$2&gt;0, INDEX(Beersheet!$A:$U,MATCH(AP551,INDEX(Beersheet!$A:$U,0,FFARawStatProjections!$BV$2),0),$BV$3)+$BN551,
INDEX($A551:$BM551,,$BV$12)*$BW$12+
INDEX($A551:$BM551,,$BV$15)*$BW$15+
INDEX($A551:$BM551,,$BV$16)*$BW$16+
INDEX($A551:$BM551,,$BV$17)*$BW$17+
INDEX($A551:$BM551,,$BV$18)*$BW$18+
INDEX($A551:$BM551,,$BV$19)*$BW$19+
INDEX($A551:$BM551,,$BV$20)*$BW$20+
INDEX($A551:$BM551,,$BV$21)*$BW$21+
INDEX($A551:$BM551,,$BV$22)*$BW$22+
INDEX($A551:$BM551,,$BV$23)*$BW$23+
INDEX($A551:$BM551,,$BV$25)*$BW$25+
INDEX($A551:$BM551,,$BV$26)*$BW$26+
INDEX($A551:$BM551,,$BV$27)*$BW$27+
$BN551)),
$BN551-100)</f>
        <v>-100</v>
      </c>
      <c r="AT551" t="str">
        <f t="shared" si="109"/>
        <v/>
      </c>
      <c r="AU551" t="str">
        <f t="shared" si="110"/>
        <v/>
      </c>
      <c r="AV551" s="430">
        <f>IFERROR(
IF(AT551="",-100,
IF($BV$2&gt;0, INDEX(Beersheet!$A:$U,MATCH(AT551,INDEX(Beersheet!$A:$U,0,FFARawStatProjections!$BV$2),0),$BV$3)+$BN551,
INDEX($A551:$BM551,,$BV$12)*$BW$12+
INDEX($A551:$BM551,,$BV$15)*$BW$15+
INDEX($A551:$BM551,,$BV$16)*$BW$16+
INDEX($A551:$BM551,,$BV$17)*$BW$17+
INDEX($A551:$BM551,,$BV$18)*$BW$18+
INDEX($A551:$BM551,,$BV$19)*$BW$19+
INDEX($A551:$BM551,,$BV$20)*$BW$20+
INDEX($A551:$BM551,,$BV$21)*$BW$21+
INDEX($A551:$BM551,,$BV$22)*$BW$22+
INDEX($A551:$BM551,,$BV$23)*$BW$23+
INDEX($A551:$BM551,,$BV$25)*$BW$25+
INDEX($A551:$BM551,,$BV$26)*$BW$26+
INDEX($A551:$BM551,,$BV$27)*$BW$27+
$BN551)),
$BN551-100)</f>
        <v>-100</v>
      </c>
      <c r="AX551" t="str">
        <f t="shared" si="111"/>
        <v>Chris Conley</v>
      </c>
      <c r="AY551" t="str">
        <f t="shared" si="112"/>
        <v>SF</v>
      </c>
      <c r="AZ551" s="430">
        <f>IFERROR(
IF(AX551="",-100,
IF($BV$2&gt;0, INDEX(Beersheet!$A:$U,MATCH(AX551,INDEX(Beersheet!$A:$U,0,FFARawStatProjections!$BV$2),0),$BV$3)+$BN551,
INDEX($A551:$BM551,,$BV$12)*$BW$12+
INDEX($A551:$BM551,,$BV$15)*$BW$15+
INDEX($A551:$BM551,,$BV$16)*$BW$16+
INDEX($A551:$BM551,,$BV$17)*$BW$17+
INDEX($A551:$BM551,,$BV$18)*$BW$18+
INDEX($A551:$BM551,,$BV$19)*$BW$19+
INDEX($A551:$BM551,,$BV$20)*$BW$20+
INDEX($A551:$BM551,,$BV$21)*$BW$21+
INDEX($A551:$BM551,,$BV$22)*$BW$22+
INDEX($A551:$BM551,,$BV$23)*$BW$23+
INDEX($A551:$BM551,,$BV$25)*$BW$25+
INDEX($A551:$BM551,,$BV$26)*$BW$26+
INDEX($A551:$BM551,,$BV$27)*$BW$27+
$BN551)),
$BN551-100)</f>
        <v>7.6854999999999993</v>
      </c>
      <c r="BB551" t="str">
        <f t="shared" si="113"/>
        <v/>
      </c>
      <c r="BC551" t="str">
        <f t="shared" si="107"/>
        <v/>
      </c>
      <c r="BD551" s="430">
        <f>IFERROR(
IF(BB551="",-100,
IF($BV$2&gt;0, INDEX(Beersheet!$A:$U,MATCH(BB551,INDEX(Beersheet!$A:$U,0,FFARawStatProjections!$BV$2),0),$BV$3)+$BN551,
INDEX($A551:$BM551,,$BV$12)*$BW$12+
INDEX($A551:$BM551,,$BV$15)*$BW$15+
INDEX($A551:$BM551,,$BV$16)*$BW$16+
INDEX($A551:$BM551,,$BV$17)*$BW$17+
INDEX($A551:$BM551,,$BV$18)*$BW$18+
INDEX($A551:$BM551,,$BV$19)*$BW$19+
INDEX($A551:$BM551,,$BV$20)*$BW$20+
INDEX($A551:$BM551,,$BV$21)*$BW$21+
INDEX($A551:$BM551,,$BV$22)*$BW$22+
INDEX($A551:$BM551,,$BV$23)*$BW$23+
INDEX($A551:$BM551,,$BV$25)*$BW$25+
INDEX($A551:$BM551,,$BV$26)*$BW$26+
INDEX($A551:$BM551,,$BV$27)*$BW$27+
$BN551)),
$BN551-100)</f>
        <v>-100</v>
      </c>
      <c r="BF551" t="str">
        <f t="shared" si="114"/>
        <v/>
      </c>
      <c r="BG551" t="str">
        <f t="shared" si="115"/>
        <v/>
      </c>
      <c r="BH551">
        <f t="shared" si="116"/>
        <v>0</v>
      </c>
      <c r="BJ551" t="str">
        <f t="shared" si="117"/>
        <v/>
      </c>
      <c r="BL551">
        <f t="shared" si="119"/>
        <v>0</v>
      </c>
      <c r="BN551">
        <v>5.4999999999999997E-3</v>
      </c>
      <c r="BS551" s="4" t="s">
        <v>1928</v>
      </c>
    </row>
    <row r="552" spans="1:71" ht="15.75" thickBot="1" x14ac:dyDescent="0.3">
      <c r="A552" s="569" t="s">
        <v>2474</v>
      </c>
      <c r="B552" s="569" t="s">
        <v>151</v>
      </c>
      <c r="C552" s="569" t="s">
        <v>6</v>
      </c>
      <c r="D552" s="574">
        <v>7</v>
      </c>
      <c r="E552" s="569"/>
      <c r="F552" s="569"/>
      <c r="G552" s="569"/>
      <c r="H552" s="569"/>
      <c r="I552" s="574">
        <v>0</v>
      </c>
      <c r="J552" s="574">
        <v>0</v>
      </c>
      <c r="K552" s="574">
        <v>0</v>
      </c>
      <c r="L552" s="574">
        <v>2.1</v>
      </c>
      <c r="M552" s="574">
        <v>0.1</v>
      </c>
      <c r="N552" s="574">
        <v>32.4</v>
      </c>
      <c r="O552" s="574">
        <v>0</v>
      </c>
      <c r="P552" s="574">
        <v>0</v>
      </c>
      <c r="Q552" s="574">
        <v>3.4</v>
      </c>
      <c r="R552" s="569"/>
      <c r="S552" s="569"/>
      <c r="T552" s="569"/>
      <c r="U552" s="569"/>
      <c r="V552" s="569"/>
      <c r="W552" s="569"/>
      <c r="X552" s="569"/>
      <c r="Y552" s="569"/>
      <c r="Z552" s="569"/>
      <c r="AA552" s="569"/>
      <c r="AB552" s="569"/>
      <c r="AC552" s="569"/>
      <c r="AD552" s="569"/>
      <c r="AE552" s="569"/>
      <c r="AF552" s="569"/>
      <c r="AG552" s="569"/>
      <c r="AH552" s="569"/>
      <c r="AI552" s="569"/>
      <c r="AJ552" s="569"/>
      <c r="AK552" s="569"/>
      <c r="AL552" s="569"/>
      <c r="AM552" s="569"/>
      <c r="AN552" s="574">
        <v>4.5</v>
      </c>
      <c r="AO552">
        <v>551</v>
      </c>
      <c r="AP552" t="str">
        <f t="shared" si="118"/>
        <v/>
      </c>
      <c r="AQ552" t="str">
        <f t="shared" si="108"/>
        <v/>
      </c>
      <c r="AR552" s="430">
        <f>IFERROR(
IF(AP552="",-100,
IF($BV$2&gt;0, INDEX(Beersheet!$A:$U,MATCH(AP552,INDEX(Beersheet!$A:$U,0,FFARawStatProjections!$BV$2),0),$BV$3)+$BN552,
INDEX($A552:$BM552,,$BV$12)*$BW$12+
INDEX($A552:$BM552,,$BV$15)*$BW$15+
INDEX($A552:$BM552,,$BV$16)*$BW$16+
INDEX($A552:$BM552,,$BV$17)*$BW$17+
INDEX($A552:$BM552,,$BV$18)*$BW$18+
INDEX($A552:$BM552,,$BV$19)*$BW$19+
INDEX($A552:$BM552,,$BV$20)*$BW$20+
INDEX($A552:$BM552,,$BV$21)*$BW$21+
INDEX($A552:$BM552,,$BV$22)*$BW$22+
INDEX($A552:$BM552,,$BV$23)*$BW$23+
INDEX($A552:$BM552,,$BV$25)*$BW$25+
INDEX($A552:$BM552,,$BV$26)*$BW$26+
INDEX($A552:$BM552,,$BV$27)*$BW$27+
$BN552)),
$BN552-100)</f>
        <v>-100</v>
      </c>
      <c r="AT552" t="str">
        <f t="shared" si="109"/>
        <v/>
      </c>
      <c r="AU552" t="str">
        <f t="shared" si="110"/>
        <v/>
      </c>
      <c r="AV552" s="430">
        <f>IFERROR(
IF(AT552="",-100,
IF($BV$2&gt;0, INDEX(Beersheet!$A:$U,MATCH(AT552,INDEX(Beersheet!$A:$U,0,FFARawStatProjections!$BV$2),0),$BV$3)+$BN552,
INDEX($A552:$BM552,,$BV$12)*$BW$12+
INDEX($A552:$BM552,,$BV$15)*$BW$15+
INDEX($A552:$BM552,,$BV$16)*$BW$16+
INDEX($A552:$BM552,,$BV$17)*$BW$17+
INDEX($A552:$BM552,,$BV$18)*$BW$18+
INDEX($A552:$BM552,,$BV$19)*$BW$19+
INDEX($A552:$BM552,,$BV$20)*$BW$20+
INDEX($A552:$BM552,,$BV$21)*$BW$21+
INDEX($A552:$BM552,,$BV$22)*$BW$22+
INDEX($A552:$BM552,,$BV$23)*$BW$23+
INDEX($A552:$BM552,,$BV$25)*$BW$25+
INDEX($A552:$BM552,,$BV$26)*$BW$26+
INDEX($A552:$BM552,,$BV$27)*$BW$27+
$BN552)),
$BN552-100)</f>
        <v>-100</v>
      </c>
      <c r="AX552" t="str">
        <f t="shared" si="111"/>
        <v>Jalen Camp</v>
      </c>
      <c r="AY552" t="str">
        <f t="shared" si="112"/>
        <v>HOU</v>
      </c>
      <c r="AZ552" s="430">
        <f>IFERROR(
IF(AX552="",-100,
IF($BV$2&gt;0, INDEX(Beersheet!$A:$U,MATCH(AX552,INDEX(Beersheet!$A:$U,0,FFARawStatProjections!$BV$2),0),$BV$3)+$BN552,
INDEX($A552:$BM552,,$BV$12)*$BW$12+
INDEX($A552:$BM552,,$BV$15)*$BW$15+
INDEX($A552:$BM552,,$BV$16)*$BW$16+
INDEX($A552:$BM552,,$BV$17)*$BW$17+
INDEX($A552:$BM552,,$BV$18)*$BW$18+
INDEX($A552:$BM552,,$BV$19)*$BW$19+
INDEX($A552:$BM552,,$BV$20)*$BW$20+
INDEX($A552:$BM552,,$BV$21)*$BW$21+
INDEX($A552:$BM552,,$BV$22)*$BW$22+
INDEX($A552:$BM552,,$BV$23)*$BW$23+
INDEX($A552:$BM552,,$BV$25)*$BW$25+
INDEX($A552:$BM552,,$BV$26)*$BW$26+
INDEX($A552:$BM552,,$BV$27)*$BW$27+
$BN552)),
$BN552-100)</f>
        <v>6.2855100000000004</v>
      </c>
      <c r="BB552" t="str">
        <f t="shared" si="113"/>
        <v/>
      </c>
      <c r="BC552" t="str">
        <f t="shared" si="107"/>
        <v/>
      </c>
      <c r="BD552" s="430">
        <f>IFERROR(
IF(BB552="",-100,
IF($BV$2&gt;0, INDEX(Beersheet!$A:$U,MATCH(BB552,INDEX(Beersheet!$A:$U,0,FFARawStatProjections!$BV$2),0),$BV$3)+$BN552,
INDEX($A552:$BM552,,$BV$12)*$BW$12+
INDEX($A552:$BM552,,$BV$15)*$BW$15+
INDEX($A552:$BM552,,$BV$16)*$BW$16+
INDEX($A552:$BM552,,$BV$17)*$BW$17+
INDEX($A552:$BM552,,$BV$18)*$BW$18+
INDEX($A552:$BM552,,$BV$19)*$BW$19+
INDEX($A552:$BM552,,$BV$20)*$BW$20+
INDEX($A552:$BM552,,$BV$21)*$BW$21+
INDEX($A552:$BM552,,$BV$22)*$BW$22+
INDEX($A552:$BM552,,$BV$23)*$BW$23+
INDEX($A552:$BM552,,$BV$25)*$BW$25+
INDEX($A552:$BM552,,$BV$26)*$BW$26+
INDEX($A552:$BM552,,$BV$27)*$BW$27+
$BN552)),
$BN552-100)</f>
        <v>-100</v>
      </c>
      <c r="BF552" t="str">
        <f t="shared" si="114"/>
        <v/>
      </c>
      <c r="BG552" t="str">
        <f t="shared" si="115"/>
        <v/>
      </c>
      <c r="BH552">
        <f t="shared" si="116"/>
        <v>0</v>
      </c>
      <c r="BJ552" t="str">
        <f t="shared" si="117"/>
        <v/>
      </c>
      <c r="BL552">
        <f t="shared" si="119"/>
        <v>0</v>
      </c>
      <c r="BN552">
        <v>5.5100000000000001E-3</v>
      </c>
      <c r="BS552" s="4" t="s">
        <v>2187</v>
      </c>
    </row>
    <row r="553" spans="1:71" ht="15.75" thickBot="1" x14ac:dyDescent="0.3">
      <c r="A553" s="569" t="s">
        <v>1896</v>
      </c>
      <c r="B553" s="569" t="s">
        <v>158</v>
      </c>
      <c r="C553" s="569" t="s">
        <v>6</v>
      </c>
      <c r="D553" s="574">
        <v>11</v>
      </c>
      <c r="E553" s="569"/>
      <c r="F553" s="569"/>
      <c r="G553" s="569"/>
      <c r="H553" s="569"/>
      <c r="I553" s="574">
        <v>0</v>
      </c>
      <c r="J553" s="574">
        <v>0</v>
      </c>
      <c r="K553" s="574">
        <v>0</v>
      </c>
      <c r="L553" s="574">
        <v>2.8</v>
      </c>
      <c r="M553" s="574">
        <v>0.2</v>
      </c>
      <c r="N553" s="574">
        <v>35</v>
      </c>
      <c r="O553" s="574">
        <v>0</v>
      </c>
      <c r="P553" s="574">
        <v>0</v>
      </c>
      <c r="Q553" s="574">
        <v>0</v>
      </c>
      <c r="R553" s="569"/>
      <c r="S553" s="569"/>
      <c r="T553" s="569"/>
      <c r="U553" s="569"/>
      <c r="V553" s="569"/>
      <c r="W553" s="569"/>
      <c r="X553" s="569"/>
      <c r="Y553" s="569"/>
      <c r="Z553" s="569"/>
      <c r="AA553" s="569"/>
      <c r="AB553" s="569"/>
      <c r="AC553" s="569"/>
      <c r="AD553" s="569"/>
      <c r="AE553" s="569"/>
      <c r="AF553" s="569"/>
      <c r="AG553" s="569"/>
      <c r="AH553" s="569"/>
      <c r="AI553" s="569"/>
      <c r="AJ553" s="569"/>
      <c r="AK553" s="569"/>
      <c r="AL553" s="569"/>
      <c r="AM553" s="569"/>
      <c r="AN553" s="574">
        <v>4.5</v>
      </c>
      <c r="AO553">
        <v>552</v>
      </c>
      <c r="AP553" t="str">
        <f t="shared" si="118"/>
        <v/>
      </c>
      <c r="AQ553" t="str">
        <f t="shared" si="108"/>
        <v/>
      </c>
      <c r="AR553" s="430">
        <f>IFERROR(
IF(AP553="",-100,
IF($BV$2&gt;0, INDEX(Beersheet!$A:$U,MATCH(AP553,INDEX(Beersheet!$A:$U,0,FFARawStatProjections!$BV$2),0),$BV$3)+$BN553,
INDEX($A553:$BM553,,$BV$12)*$BW$12+
INDEX($A553:$BM553,,$BV$15)*$BW$15+
INDEX($A553:$BM553,,$BV$16)*$BW$16+
INDEX($A553:$BM553,,$BV$17)*$BW$17+
INDEX($A553:$BM553,,$BV$18)*$BW$18+
INDEX($A553:$BM553,,$BV$19)*$BW$19+
INDEX($A553:$BM553,,$BV$20)*$BW$20+
INDEX($A553:$BM553,,$BV$21)*$BW$21+
INDEX($A553:$BM553,,$BV$22)*$BW$22+
INDEX($A553:$BM553,,$BV$23)*$BW$23+
INDEX($A553:$BM553,,$BV$25)*$BW$25+
INDEX($A553:$BM553,,$BV$26)*$BW$26+
INDEX($A553:$BM553,,$BV$27)*$BW$27+
$BN553)),
$BN553-100)</f>
        <v>-100</v>
      </c>
      <c r="AT553" t="str">
        <f t="shared" si="109"/>
        <v/>
      </c>
      <c r="AU553" t="str">
        <f t="shared" si="110"/>
        <v/>
      </c>
      <c r="AV553" s="430">
        <f>IFERROR(
IF(AT553="",-100,
IF($BV$2&gt;0, INDEX(Beersheet!$A:$U,MATCH(AT553,INDEX(Beersheet!$A:$U,0,FFARawStatProjections!$BV$2),0),$BV$3)+$BN553,
INDEX($A553:$BM553,,$BV$12)*$BW$12+
INDEX($A553:$BM553,,$BV$15)*$BW$15+
INDEX($A553:$BM553,,$BV$16)*$BW$16+
INDEX($A553:$BM553,,$BV$17)*$BW$17+
INDEX($A553:$BM553,,$BV$18)*$BW$18+
INDEX($A553:$BM553,,$BV$19)*$BW$19+
INDEX($A553:$BM553,,$BV$20)*$BW$20+
INDEX($A553:$BM553,,$BV$21)*$BW$21+
INDEX($A553:$BM553,,$BV$22)*$BW$22+
INDEX($A553:$BM553,,$BV$23)*$BW$23+
INDEX($A553:$BM553,,$BV$25)*$BW$25+
INDEX($A553:$BM553,,$BV$26)*$BW$26+
INDEX($A553:$BM553,,$BV$27)*$BW$27+
$BN553)),
$BN553-100)</f>
        <v>-100</v>
      </c>
      <c r="AX553" t="str">
        <f t="shared" si="111"/>
        <v>Vyncint Smith</v>
      </c>
      <c r="AY553" t="str">
        <f t="shared" si="112"/>
        <v>IND</v>
      </c>
      <c r="AZ553" s="430">
        <f>IFERROR(
IF(AX553="",-100,
IF($BV$2&gt;0, INDEX(Beersheet!$A:$U,MATCH(AX553,INDEX(Beersheet!$A:$U,0,FFARawStatProjections!$BV$2),0),$BV$3)+$BN553,
INDEX($A553:$BM553,,$BV$12)*$BW$12+
INDEX($A553:$BM553,,$BV$15)*$BW$15+
INDEX($A553:$BM553,,$BV$16)*$BW$16+
INDEX($A553:$BM553,,$BV$17)*$BW$17+
INDEX($A553:$BM553,,$BV$18)*$BW$18+
INDEX($A553:$BM553,,$BV$19)*$BW$19+
INDEX($A553:$BM553,,$BV$20)*$BW$20+
INDEX($A553:$BM553,,$BV$21)*$BW$21+
INDEX($A553:$BM553,,$BV$22)*$BW$22+
INDEX($A553:$BM553,,$BV$23)*$BW$23+
INDEX($A553:$BM553,,$BV$25)*$BW$25+
INDEX($A553:$BM553,,$BV$26)*$BW$26+
INDEX($A553:$BM553,,$BV$27)*$BW$27+
$BN553)),
$BN553-100)</f>
        <v>7.5055199999999997</v>
      </c>
      <c r="BB553" t="str">
        <f t="shared" si="113"/>
        <v/>
      </c>
      <c r="BC553" t="str">
        <f t="shared" si="107"/>
        <v/>
      </c>
      <c r="BD553" s="430">
        <f>IFERROR(
IF(BB553="",-100,
IF($BV$2&gt;0, INDEX(Beersheet!$A:$U,MATCH(BB553,INDEX(Beersheet!$A:$U,0,FFARawStatProjections!$BV$2),0),$BV$3)+$BN553,
INDEX($A553:$BM553,,$BV$12)*$BW$12+
INDEX($A553:$BM553,,$BV$15)*$BW$15+
INDEX($A553:$BM553,,$BV$16)*$BW$16+
INDEX($A553:$BM553,,$BV$17)*$BW$17+
INDEX($A553:$BM553,,$BV$18)*$BW$18+
INDEX($A553:$BM553,,$BV$19)*$BW$19+
INDEX($A553:$BM553,,$BV$20)*$BW$20+
INDEX($A553:$BM553,,$BV$21)*$BW$21+
INDEX($A553:$BM553,,$BV$22)*$BW$22+
INDEX($A553:$BM553,,$BV$23)*$BW$23+
INDEX($A553:$BM553,,$BV$25)*$BW$25+
INDEX($A553:$BM553,,$BV$26)*$BW$26+
INDEX($A553:$BM553,,$BV$27)*$BW$27+
$BN553)),
$BN553-100)</f>
        <v>-100</v>
      </c>
      <c r="BF553" t="str">
        <f t="shared" si="114"/>
        <v/>
      </c>
      <c r="BG553" t="str">
        <f t="shared" si="115"/>
        <v/>
      </c>
      <c r="BH553">
        <f t="shared" si="116"/>
        <v>0</v>
      </c>
      <c r="BJ553" t="str">
        <f t="shared" si="117"/>
        <v/>
      </c>
      <c r="BL553">
        <f t="shared" si="119"/>
        <v>0</v>
      </c>
      <c r="BN553">
        <v>5.5199999999999997E-3</v>
      </c>
      <c r="BS553" s="4" t="s">
        <v>2311</v>
      </c>
    </row>
    <row r="554" spans="1:71" ht="15.75" thickBot="1" x14ac:dyDescent="0.3">
      <c r="A554" s="569" t="s">
        <v>2275</v>
      </c>
      <c r="B554" s="569" t="s">
        <v>158</v>
      </c>
      <c r="C554" s="569" t="s">
        <v>6</v>
      </c>
      <c r="D554" s="574">
        <v>11</v>
      </c>
      <c r="E554" s="569"/>
      <c r="F554" s="569"/>
      <c r="G554" s="569"/>
      <c r="H554" s="569"/>
      <c r="I554" s="574">
        <v>0</v>
      </c>
      <c r="J554" s="574">
        <v>0</v>
      </c>
      <c r="K554" s="574">
        <v>0</v>
      </c>
      <c r="L554" s="574">
        <v>2.8</v>
      </c>
      <c r="M554" s="574">
        <v>0.2</v>
      </c>
      <c r="N554" s="574">
        <v>35</v>
      </c>
      <c r="O554" s="574">
        <v>0</v>
      </c>
      <c r="P554" s="574">
        <v>0</v>
      </c>
      <c r="Q554" s="574">
        <v>0</v>
      </c>
      <c r="R554" s="569"/>
      <c r="S554" s="569"/>
      <c r="T554" s="569"/>
      <c r="U554" s="569"/>
      <c r="V554" s="569"/>
      <c r="W554" s="569"/>
      <c r="X554" s="569"/>
      <c r="Y554" s="569"/>
      <c r="Z554" s="569"/>
      <c r="AA554" s="569"/>
      <c r="AB554" s="569"/>
      <c r="AC554" s="569"/>
      <c r="AD554" s="569"/>
      <c r="AE554" s="569"/>
      <c r="AF554" s="569"/>
      <c r="AG554" s="569"/>
      <c r="AH554" s="569"/>
      <c r="AI554" s="569"/>
      <c r="AJ554" s="569"/>
      <c r="AK554" s="569"/>
      <c r="AL554" s="569"/>
      <c r="AM554" s="569"/>
      <c r="AN554" s="574">
        <v>4.5</v>
      </c>
      <c r="AO554">
        <v>553</v>
      </c>
      <c r="AP554" t="str">
        <f t="shared" si="118"/>
        <v/>
      </c>
      <c r="AQ554" t="str">
        <f t="shared" si="108"/>
        <v/>
      </c>
      <c r="AR554" s="430">
        <f>IFERROR(
IF(AP554="",-100,
IF($BV$2&gt;0, INDEX(Beersheet!$A:$U,MATCH(AP554,INDEX(Beersheet!$A:$U,0,FFARawStatProjections!$BV$2),0),$BV$3)+$BN554,
INDEX($A554:$BM554,,$BV$12)*$BW$12+
INDEX($A554:$BM554,,$BV$15)*$BW$15+
INDEX($A554:$BM554,,$BV$16)*$BW$16+
INDEX($A554:$BM554,,$BV$17)*$BW$17+
INDEX($A554:$BM554,,$BV$18)*$BW$18+
INDEX($A554:$BM554,,$BV$19)*$BW$19+
INDEX($A554:$BM554,,$BV$20)*$BW$20+
INDEX($A554:$BM554,,$BV$21)*$BW$21+
INDEX($A554:$BM554,,$BV$22)*$BW$22+
INDEX($A554:$BM554,,$BV$23)*$BW$23+
INDEX($A554:$BM554,,$BV$25)*$BW$25+
INDEX($A554:$BM554,,$BV$26)*$BW$26+
INDEX($A554:$BM554,,$BV$27)*$BW$27+
$BN554)),
$BN554-100)</f>
        <v>-100</v>
      </c>
      <c r="AT554" t="str">
        <f t="shared" si="109"/>
        <v/>
      </c>
      <c r="AU554" t="str">
        <f t="shared" si="110"/>
        <v/>
      </c>
      <c r="AV554" s="430">
        <f>IFERROR(
IF(AT554="",-100,
IF($BV$2&gt;0, INDEX(Beersheet!$A:$U,MATCH(AT554,INDEX(Beersheet!$A:$U,0,FFARawStatProjections!$BV$2),0),$BV$3)+$BN554,
INDEX($A554:$BM554,,$BV$12)*$BW$12+
INDEX($A554:$BM554,,$BV$15)*$BW$15+
INDEX($A554:$BM554,,$BV$16)*$BW$16+
INDEX($A554:$BM554,,$BV$17)*$BW$17+
INDEX($A554:$BM554,,$BV$18)*$BW$18+
INDEX($A554:$BM554,,$BV$19)*$BW$19+
INDEX($A554:$BM554,,$BV$20)*$BW$20+
INDEX($A554:$BM554,,$BV$21)*$BW$21+
INDEX($A554:$BM554,,$BV$22)*$BW$22+
INDEX($A554:$BM554,,$BV$23)*$BW$23+
INDEX($A554:$BM554,,$BV$25)*$BW$25+
INDEX($A554:$BM554,,$BV$26)*$BW$26+
INDEX($A554:$BM554,,$BV$27)*$BW$27+
$BN554)),
$BN554-100)</f>
        <v>-100</v>
      </c>
      <c r="AX554" t="str">
        <f t="shared" si="111"/>
        <v>Mike Strachan</v>
      </c>
      <c r="AY554" t="str">
        <f t="shared" si="112"/>
        <v>IND</v>
      </c>
      <c r="AZ554" s="430">
        <f>IFERROR(
IF(AX554="",-100,
IF($BV$2&gt;0, INDEX(Beersheet!$A:$U,MATCH(AX554,INDEX(Beersheet!$A:$U,0,FFARawStatProjections!$BV$2),0),$BV$3)+$BN554,
INDEX($A554:$BM554,,$BV$12)*$BW$12+
INDEX($A554:$BM554,,$BV$15)*$BW$15+
INDEX($A554:$BM554,,$BV$16)*$BW$16+
INDEX($A554:$BM554,,$BV$17)*$BW$17+
INDEX($A554:$BM554,,$BV$18)*$BW$18+
INDEX($A554:$BM554,,$BV$19)*$BW$19+
INDEX($A554:$BM554,,$BV$20)*$BW$20+
INDEX($A554:$BM554,,$BV$21)*$BW$21+
INDEX($A554:$BM554,,$BV$22)*$BW$22+
INDEX($A554:$BM554,,$BV$23)*$BW$23+
INDEX($A554:$BM554,,$BV$25)*$BW$25+
INDEX($A554:$BM554,,$BV$26)*$BW$26+
INDEX($A554:$BM554,,$BV$27)*$BW$27+
$BN554)),
$BN554-100)</f>
        <v>7.5055300000000003</v>
      </c>
      <c r="BB554" t="str">
        <f t="shared" si="113"/>
        <v/>
      </c>
      <c r="BC554" t="str">
        <f t="shared" si="107"/>
        <v/>
      </c>
      <c r="BD554" s="430">
        <f>IFERROR(
IF(BB554="",-100,
IF($BV$2&gt;0, INDEX(Beersheet!$A:$U,MATCH(BB554,INDEX(Beersheet!$A:$U,0,FFARawStatProjections!$BV$2),0),$BV$3)+$BN554,
INDEX($A554:$BM554,,$BV$12)*$BW$12+
INDEX($A554:$BM554,,$BV$15)*$BW$15+
INDEX($A554:$BM554,,$BV$16)*$BW$16+
INDEX($A554:$BM554,,$BV$17)*$BW$17+
INDEX($A554:$BM554,,$BV$18)*$BW$18+
INDEX($A554:$BM554,,$BV$19)*$BW$19+
INDEX($A554:$BM554,,$BV$20)*$BW$20+
INDEX($A554:$BM554,,$BV$21)*$BW$21+
INDEX($A554:$BM554,,$BV$22)*$BW$22+
INDEX($A554:$BM554,,$BV$23)*$BW$23+
INDEX($A554:$BM554,,$BV$25)*$BW$25+
INDEX($A554:$BM554,,$BV$26)*$BW$26+
INDEX($A554:$BM554,,$BV$27)*$BW$27+
$BN554)),
$BN554-100)</f>
        <v>-100</v>
      </c>
      <c r="BF554" t="str">
        <f t="shared" si="114"/>
        <v/>
      </c>
      <c r="BG554" t="str">
        <f t="shared" si="115"/>
        <v/>
      </c>
      <c r="BH554">
        <f t="shared" si="116"/>
        <v>0</v>
      </c>
      <c r="BJ554" t="str">
        <f t="shared" si="117"/>
        <v/>
      </c>
      <c r="BL554">
        <f t="shared" si="119"/>
        <v>0</v>
      </c>
      <c r="BN554">
        <v>5.5300000000000002E-3</v>
      </c>
      <c r="BS554" s="4" t="s">
        <v>2428</v>
      </c>
    </row>
    <row r="555" spans="1:71" ht="15.75" thickBot="1" x14ac:dyDescent="0.3">
      <c r="A555" s="569" t="s">
        <v>2214</v>
      </c>
      <c r="B555" s="569" t="s">
        <v>161</v>
      </c>
      <c r="C555" s="569" t="s">
        <v>6</v>
      </c>
      <c r="D555" s="574">
        <v>5</v>
      </c>
      <c r="E555" s="569"/>
      <c r="F555" s="569"/>
      <c r="G555" s="569"/>
      <c r="H555" s="569"/>
      <c r="I555" s="574">
        <v>0</v>
      </c>
      <c r="J555" s="574">
        <v>0</v>
      </c>
      <c r="K555" s="574">
        <v>0</v>
      </c>
      <c r="L555" s="574">
        <v>3</v>
      </c>
      <c r="M555" s="574">
        <v>0.1</v>
      </c>
      <c r="N555" s="574">
        <v>32.200000000000003</v>
      </c>
      <c r="O555" s="574">
        <v>0.6</v>
      </c>
      <c r="P555" s="574">
        <v>0.1</v>
      </c>
      <c r="Q555" s="574">
        <v>5.6</v>
      </c>
      <c r="R555" s="569"/>
      <c r="S555" s="569"/>
      <c r="T555" s="569"/>
      <c r="U555" s="569"/>
      <c r="V555" s="569"/>
      <c r="W555" s="569"/>
      <c r="X555" s="569"/>
      <c r="Y555" s="569"/>
      <c r="Z555" s="569"/>
      <c r="AA555" s="569"/>
      <c r="AB555" s="569"/>
      <c r="AC555" s="569"/>
      <c r="AD555" s="569"/>
      <c r="AE555" s="569"/>
      <c r="AF555" s="569"/>
      <c r="AG555" s="569"/>
      <c r="AH555" s="569"/>
      <c r="AI555" s="569"/>
      <c r="AJ555" s="569"/>
      <c r="AK555" s="569"/>
      <c r="AL555" s="569"/>
      <c r="AM555" s="569"/>
      <c r="AN555" s="574">
        <v>4.4000000000000004</v>
      </c>
      <c r="AO555">
        <v>554</v>
      </c>
      <c r="AP555" t="str">
        <f t="shared" si="118"/>
        <v/>
      </c>
      <c r="AQ555" t="str">
        <f t="shared" si="108"/>
        <v/>
      </c>
      <c r="AR555" s="430">
        <f>IFERROR(
IF(AP555="",-100,
IF($BV$2&gt;0, INDEX(Beersheet!$A:$U,MATCH(AP555,INDEX(Beersheet!$A:$U,0,FFARawStatProjections!$BV$2),0),$BV$3)+$BN555,
INDEX($A555:$BM555,,$BV$12)*$BW$12+
INDEX($A555:$BM555,,$BV$15)*$BW$15+
INDEX($A555:$BM555,,$BV$16)*$BW$16+
INDEX($A555:$BM555,,$BV$17)*$BW$17+
INDEX($A555:$BM555,,$BV$18)*$BW$18+
INDEX($A555:$BM555,,$BV$19)*$BW$19+
INDEX($A555:$BM555,,$BV$20)*$BW$20+
INDEX($A555:$BM555,,$BV$21)*$BW$21+
INDEX($A555:$BM555,,$BV$22)*$BW$22+
INDEX($A555:$BM555,,$BV$23)*$BW$23+
INDEX($A555:$BM555,,$BV$25)*$BW$25+
INDEX($A555:$BM555,,$BV$26)*$BW$26+
INDEX($A555:$BM555,,$BV$27)*$BW$27+
$BN555)),
$BN555-100)</f>
        <v>-100</v>
      </c>
      <c r="AT555" t="str">
        <f t="shared" si="109"/>
        <v/>
      </c>
      <c r="AU555" t="str">
        <f t="shared" si="110"/>
        <v/>
      </c>
      <c r="AV555" s="430">
        <f>IFERROR(
IF(AT555="",-100,
IF($BV$2&gt;0, INDEX(Beersheet!$A:$U,MATCH(AT555,INDEX(Beersheet!$A:$U,0,FFARawStatProjections!$BV$2),0),$BV$3)+$BN555,
INDEX($A555:$BM555,,$BV$12)*$BW$12+
INDEX($A555:$BM555,,$BV$15)*$BW$15+
INDEX($A555:$BM555,,$BV$16)*$BW$16+
INDEX($A555:$BM555,,$BV$17)*$BW$17+
INDEX($A555:$BM555,,$BV$18)*$BW$18+
INDEX($A555:$BM555,,$BV$19)*$BW$19+
INDEX($A555:$BM555,,$BV$20)*$BW$20+
INDEX($A555:$BM555,,$BV$21)*$BW$21+
INDEX($A555:$BM555,,$BV$22)*$BW$22+
INDEX($A555:$BM555,,$BV$23)*$BW$23+
INDEX($A555:$BM555,,$BV$25)*$BW$25+
INDEX($A555:$BM555,,$BV$26)*$BW$26+
INDEX($A555:$BM555,,$BV$27)*$BW$27+
$BN555)),
$BN555-100)</f>
        <v>-100</v>
      </c>
      <c r="AX555" t="str">
        <f t="shared" si="111"/>
        <v>Anthony Schwartz</v>
      </c>
      <c r="AY555" t="str">
        <f t="shared" si="112"/>
        <v>CLE</v>
      </c>
      <c r="AZ555" s="430">
        <f>IFERROR(
IF(AX555="",-100,
IF($BV$2&gt;0, INDEX(Beersheet!$A:$U,MATCH(AX555,INDEX(Beersheet!$A:$U,0,FFARawStatProjections!$BV$2),0),$BV$3)+$BN555,
INDEX($A555:$BM555,,$BV$12)*$BW$12+
INDEX($A555:$BM555,,$BV$15)*$BW$15+
INDEX($A555:$BM555,,$BV$16)*$BW$16+
INDEX($A555:$BM555,,$BV$17)*$BW$17+
INDEX($A555:$BM555,,$BV$18)*$BW$18+
INDEX($A555:$BM555,,$BV$19)*$BW$19+
INDEX($A555:$BM555,,$BV$20)*$BW$20+
INDEX($A555:$BM555,,$BV$21)*$BW$21+
INDEX($A555:$BM555,,$BV$22)*$BW$22+
INDEX($A555:$BM555,,$BV$23)*$BW$23+
INDEX($A555:$BM555,,$BV$25)*$BW$25+
INDEX($A555:$BM555,,$BV$26)*$BW$26+
INDEX($A555:$BM555,,$BV$27)*$BW$27+
$BN555)),
$BN555-100)</f>
        <v>7.9855399999999994</v>
      </c>
      <c r="BB555" t="str">
        <f t="shared" si="113"/>
        <v/>
      </c>
      <c r="BC555" t="str">
        <f t="shared" si="107"/>
        <v/>
      </c>
      <c r="BD555" s="430">
        <f>IFERROR(
IF(BB555="",-100,
IF($BV$2&gt;0, INDEX(Beersheet!$A:$U,MATCH(BB555,INDEX(Beersheet!$A:$U,0,FFARawStatProjections!$BV$2),0),$BV$3)+$BN555,
INDEX($A555:$BM555,,$BV$12)*$BW$12+
INDEX($A555:$BM555,,$BV$15)*$BW$15+
INDEX($A555:$BM555,,$BV$16)*$BW$16+
INDEX($A555:$BM555,,$BV$17)*$BW$17+
INDEX($A555:$BM555,,$BV$18)*$BW$18+
INDEX($A555:$BM555,,$BV$19)*$BW$19+
INDEX($A555:$BM555,,$BV$20)*$BW$20+
INDEX($A555:$BM555,,$BV$21)*$BW$21+
INDEX($A555:$BM555,,$BV$22)*$BW$22+
INDEX($A555:$BM555,,$BV$23)*$BW$23+
INDEX($A555:$BM555,,$BV$25)*$BW$25+
INDEX($A555:$BM555,,$BV$26)*$BW$26+
INDEX($A555:$BM555,,$BV$27)*$BW$27+
$BN555)),
$BN555-100)</f>
        <v>-100</v>
      </c>
      <c r="BF555" t="str">
        <f t="shared" si="114"/>
        <v/>
      </c>
      <c r="BG555" t="str">
        <f t="shared" si="115"/>
        <v/>
      </c>
      <c r="BH555">
        <f t="shared" si="116"/>
        <v>0</v>
      </c>
      <c r="BJ555" t="str">
        <f t="shared" si="117"/>
        <v/>
      </c>
      <c r="BL555">
        <f t="shared" si="119"/>
        <v>0</v>
      </c>
      <c r="BN555">
        <v>5.5399999999999998E-3</v>
      </c>
      <c r="BS555" s="4" t="s">
        <v>2427</v>
      </c>
    </row>
    <row r="556" spans="1:71" ht="15.75" thickBot="1" x14ac:dyDescent="0.3">
      <c r="A556" s="569" t="s">
        <v>2462</v>
      </c>
      <c r="B556" s="569" t="s">
        <v>148</v>
      </c>
      <c r="C556" s="569" t="s">
        <v>6</v>
      </c>
      <c r="D556" s="574">
        <v>11</v>
      </c>
      <c r="E556" s="569"/>
      <c r="F556" s="569"/>
      <c r="G556" s="569"/>
      <c r="H556" s="569"/>
      <c r="I556" s="574">
        <v>0</v>
      </c>
      <c r="J556" s="574">
        <v>0</v>
      </c>
      <c r="K556" s="574">
        <v>0</v>
      </c>
      <c r="L556" s="574">
        <v>2.8</v>
      </c>
      <c r="M556" s="574">
        <v>0.2</v>
      </c>
      <c r="N556" s="574">
        <v>32.299999999999997</v>
      </c>
      <c r="O556" s="574">
        <v>0</v>
      </c>
      <c r="P556" s="574">
        <v>0</v>
      </c>
      <c r="Q556" s="574">
        <v>0</v>
      </c>
      <c r="R556" s="569"/>
      <c r="S556" s="569"/>
      <c r="T556" s="569"/>
      <c r="U556" s="569"/>
      <c r="V556" s="569"/>
      <c r="W556" s="569"/>
      <c r="X556" s="569"/>
      <c r="Y556" s="569"/>
      <c r="Z556" s="569"/>
      <c r="AA556" s="569"/>
      <c r="AB556" s="569"/>
      <c r="AC556" s="569"/>
      <c r="AD556" s="569"/>
      <c r="AE556" s="569"/>
      <c r="AF556" s="569"/>
      <c r="AG556" s="569"/>
      <c r="AH556" s="569"/>
      <c r="AI556" s="569"/>
      <c r="AJ556" s="569"/>
      <c r="AK556" s="569"/>
      <c r="AL556" s="569"/>
      <c r="AM556" s="569"/>
      <c r="AN556" s="574">
        <v>4.3</v>
      </c>
      <c r="AO556">
        <v>555</v>
      </c>
      <c r="AP556" t="str">
        <f t="shared" si="118"/>
        <v/>
      </c>
      <c r="AQ556" t="str">
        <f t="shared" si="108"/>
        <v/>
      </c>
      <c r="AR556" s="430">
        <f>IFERROR(
IF(AP556="",-100,
IF($BV$2&gt;0, INDEX(Beersheet!$A:$U,MATCH(AP556,INDEX(Beersheet!$A:$U,0,FFARawStatProjections!$BV$2),0),$BV$3)+$BN556,
INDEX($A556:$BM556,,$BV$12)*$BW$12+
INDEX($A556:$BM556,,$BV$15)*$BW$15+
INDEX($A556:$BM556,,$BV$16)*$BW$16+
INDEX($A556:$BM556,,$BV$17)*$BW$17+
INDEX($A556:$BM556,,$BV$18)*$BW$18+
INDEX($A556:$BM556,,$BV$19)*$BW$19+
INDEX($A556:$BM556,,$BV$20)*$BW$20+
INDEX($A556:$BM556,,$BV$21)*$BW$21+
INDEX($A556:$BM556,,$BV$22)*$BW$22+
INDEX($A556:$BM556,,$BV$23)*$BW$23+
INDEX($A556:$BM556,,$BV$25)*$BW$25+
INDEX($A556:$BM556,,$BV$26)*$BW$26+
INDEX($A556:$BM556,,$BV$27)*$BW$27+
$BN556)),
$BN556-100)</f>
        <v>-100</v>
      </c>
      <c r="AT556" t="str">
        <f t="shared" si="109"/>
        <v/>
      </c>
      <c r="AU556" t="str">
        <f t="shared" si="110"/>
        <v/>
      </c>
      <c r="AV556" s="430">
        <f>IFERROR(
IF(AT556="",-100,
IF($BV$2&gt;0, INDEX(Beersheet!$A:$U,MATCH(AT556,INDEX(Beersheet!$A:$U,0,FFARawStatProjections!$BV$2),0),$BV$3)+$BN556,
INDEX($A556:$BM556,,$BV$12)*$BW$12+
INDEX($A556:$BM556,,$BV$15)*$BW$15+
INDEX($A556:$BM556,,$BV$16)*$BW$16+
INDEX($A556:$BM556,,$BV$17)*$BW$17+
INDEX($A556:$BM556,,$BV$18)*$BW$18+
INDEX($A556:$BM556,,$BV$19)*$BW$19+
INDEX($A556:$BM556,,$BV$20)*$BW$20+
INDEX($A556:$BM556,,$BV$21)*$BW$21+
INDEX($A556:$BM556,,$BV$22)*$BW$22+
INDEX($A556:$BM556,,$BV$23)*$BW$23+
INDEX($A556:$BM556,,$BV$25)*$BW$25+
INDEX($A556:$BM556,,$BV$26)*$BW$26+
INDEX($A556:$BM556,,$BV$27)*$BW$27+
$BN556)),
$BN556-100)</f>
        <v>-100</v>
      </c>
      <c r="AX556" t="str">
        <f t="shared" si="111"/>
        <v>Josh Ali</v>
      </c>
      <c r="AY556" t="str">
        <f t="shared" si="112"/>
        <v>ATL</v>
      </c>
      <c r="AZ556" s="430">
        <f>IFERROR(
IF(AX556="",-100,
IF($BV$2&gt;0, INDEX(Beersheet!$A:$U,MATCH(AX556,INDEX(Beersheet!$A:$U,0,FFARawStatProjections!$BV$2),0),$BV$3)+$BN556,
INDEX($A556:$BM556,,$BV$12)*$BW$12+
INDEX($A556:$BM556,,$BV$15)*$BW$15+
INDEX($A556:$BM556,,$BV$16)*$BW$16+
INDEX($A556:$BM556,,$BV$17)*$BW$17+
INDEX($A556:$BM556,,$BV$18)*$BW$18+
INDEX($A556:$BM556,,$BV$19)*$BW$19+
INDEX($A556:$BM556,,$BV$20)*$BW$20+
INDEX($A556:$BM556,,$BV$21)*$BW$21+
INDEX($A556:$BM556,,$BV$22)*$BW$22+
INDEX($A556:$BM556,,$BV$23)*$BW$23+
INDEX($A556:$BM556,,$BV$25)*$BW$25+
INDEX($A556:$BM556,,$BV$26)*$BW$26+
INDEX($A556:$BM556,,$BV$27)*$BW$27+
$BN556)),
$BN556-100)</f>
        <v>7.2355500000000008</v>
      </c>
      <c r="BB556" t="str">
        <f t="shared" si="113"/>
        <v/>
      </c>
      <c r="BC556" t="str">
        <f t="shared" si="107"/>
        <v/>
      </c>
      <c r="BD556" s="430">
        <f>IFERROR(
IF(BB556="",-100,
IF($BV$2&gt;0, INDEX(Beersheet!$A:$U,MATCH(BB556,INDEX(Beersheet!$A:$U,0,FFARawStatProjections!$BV$2),0),$BV$3)+$BN556,
INDEX($A556:$BM556,,$BV$12)*$BW$12+
INDEX($A556:$BM556,,$BV$15)*$BW$15+
INDEX($A556:$BM556,,$BV$16)*$BW$16+
INDEX($A556:$BM556,,$BV$17)*$BW$17+
INDEX($A556:$BM556,,$BV$18)*$BW$18+
INDEX($A556:$BM556,,$BV$19)*$BW$19+
INDEX($A556:$BM556,,$BV$20)*$BW$20+
INDEX($A556:$BM556,,$BV$21)*$BW$21+
INDEX($A556:$BM556,,$BV$22)*$BW$22+
INDEX($A556:$BM556,,$BV$23)*$BW$23+
INDEX($A556:$BM556,,$BV$25)*$BW$25+
INDEX($A556:$BM556,,$BV$26)*$BW$26+
INDEX($A556:$BM556,,$BV$27)*$BW$27+
$BN556)),
$BN556-100)</f>
        <v>-100</v>
      </c>
      <c r="BF556" t="str">
        <f t="shared" si="114"/>
        <v/>
      </c>
      <c r="BG556" t="str">
        <f t="shared" si="115"/>
        <v/>
      </c>
      <c r="BH556">
        <f t="shared" si="116"/>
        <v>0</v>
      </c>
      <c r="BJ556" t="str">
        <f t="shared" si="117"/>
        <v/>
      </c>
      <c r="BL556">
        <f t="shared" si="119"/>
        <v>0</v>
      </c>
      <c r="BN556">
        <v>5.5500000000000002E-3</v>
      </c>
      <c r="BS556" s="4" t="s">
        <v>2237</v>
      </c>
    </row>
    <row r="557" spans="1:71" ht="15.75" thickBot="1" x14ac:dyDescent="0.3">
      <c r="A557" s="569" t="s">
        <v>2338</v>
      </c>
      <c r="B557" s="569" t="s">
        <v>162</v>
      </c>
      <c r="C557" s="569" t="s">
        <v>6</v>
      </c>
      <c r="D557" s="574">
        <v>13</v>
      </c>
      <c r="E557" s="569"/>
      <c r="F557" s="569"/>
      <c r="G557" s="569"/>
      <c r="H557" s="569"/>
      <c r="I557" s="574">
        <v>0</v>
      </c>
      <c r="J557" s="574">
        <v>0</v>
      </c>
      <c r="K557" s="574">
        <v>0</v>
      </c>
      <c r="L557" s="574">
        <v>1.8</v>
      </c>
      <c r="M557" s="574">
        <v>0.1</v>
      </c>
      <c r="N557" s="574">
        <v>35.299999999999997</v>
      </c>
      <c r="O557" s="574">
        <v>0</v>
      </c>
      <c r="P557" s="574">
        <v>0</v>
      </c>
      <c r="Q557" s="574">
        <v>0.8</v>
      </c>
      <c r="R557" s="569"/>
      <c r="S557" s="569"/>
      <c r="T557" s="569"/>
      <c r="U557" s="569"/>
      <c r="V557" s="569"/>
      <c r="W557" s="569"/>
      <c r="X557" s="569"/>
      <c r="Y557" s="569"/>
      <c r="Z557" s="569"/>
      <c r="AA557" s="569"/>
      <c r="AB557" s="569"/>
      <c r="AC557" s="569"/>
      <c r="AD557" s="569"/>
      <c r="AE557" s="569"/>
      <c r="AF557" s="569"/>
      <c r="AG557" s="569"/>
      <c r="AH557" s="569"/>
      <c r="AI557" s="569"/>
      <c r="AJ557" s="569"/>
      <c r="AK557" s="569"/>
      <c r="AL557" s="569"/>
      <c r="AM557" s="569"/>
      <c r="AN557" s="574">
        <v>4.2</v>
      </c>
      <c r="AO557">
        <v>556</v>
      </c>
      <c r="AP557" t="str">
        <f t="shared" si="118"/>
        <v/>
      </c>
      <c r="AQ557" t="str">
        <f t="shared" si="108"/>
        <v/>
      </c>
      <c r="AR557" s="430">
        <f>IFERROR(
IF(AP557="",-100,
IF($BV$2&gt;0, INDEX(Beersheet!$A:$U,MATCH(AP557,INDEX(Beersheet!$A:$U,0,FFARawStatProjections!$BV$2),0),$BV$3)+$BN557,
INDEX($A557:$BM557,,$BV$12)*$BW$12+
INDEX($A557:$BM557,,$BV$15)*$BW$15+
INDEX($A557:$BM557,,$BV$16)*$BW$16+
INDEX($A557:$BM557,,$BV$17)*$BW$17+
INDEX($A557:$BM557,,$BV$18)*$BW$18+
INDEX($A557:$BM557,,$BV$19)*$BW$19+
INDEX($A557:$BM557,,$BV$20)*$BW$20+
INDEX($A557:$BM557,,$BV$21)*$BW$21+
INDEX($A557:$BM557,,$BV$22)*$BW$22+
INDEX($A557:$BM557,,$BV$23)*$BW$23+
INDEX($A557:$BM557,,$BV$25)*$BW$25+
INDEX($A557:$BM557,,$BV$26)*$BW$26+
INDEX($A557:$BM557,,$BV$27)*$BW$27+
$BN557)),
$BN557-100)</f>
        <v>-100</v>
      </c>
      <c r="AT557" t="str">
        <f t="shared" si="109"/>
        <v/>
      </c>
      <c r="AU557" t="str">
        <f t="shared" si="110"/>
        <v/>
      </c>
      <c r="AV557" s="430">
        <f>IFERROR(
IF(AT557="",-100,
IF($BV$2&gt;0, INDEX(Beersheet!$A:$U,MATCH(AT557,INDEX(Beersheet!$A:$U,0,FFARawStatProjections!$BV$2),0),$BV$3)+$BN557,
INDEX($A557:$BM557,,$BV$12)*$BW$12+
INDEX($A557:$BM557,,$BV$15)*$BW$15+
INDEX($A557:$BM557,,$BV$16)*$BW$16+
INDEX($A557:$BM557,,$BV$17)*$BW$17+
INDEX($A557:$BM557,,$BV$18)*$BW$18+
INDEX($A557:$BM557,,$BV$19)*$BW$19+
INDEX($A557:$BM557,,$BV$20)*$BW$20+
INDEX($A557:$BM557,,$BV$21)*$BW$21+
INDEX($A557:$BM557,,$BV$22)*$BW$22+
INDEX($A557:$BM557,,$BV$23)*$BW$23+
INDEX($A557:$BM557,,$BV$25)*$BW$25+
INDEX($A557:$BM557,,$BV$26)*$BW$26+
INDEX($A557:$BM557,,$BV$27)*$BW$27+
$BN557)),
$BN557-100)</f>
        <v>-100</v>
      </c>
      <c r="AX557" t="str">
        <f t="shared" si="111"/>
        <v>James Proche</v>
      </c>
      <c r="AY557" t="str">
        <f t="shared" si="112"/>
        <v>BAL</v>
      </c>
      <c r="AZ557" s="430">
        <f>IFERROR(
IF(AX557="",-100,
IF($BV$2&gt;0, INDEX(Beersheet!$A:$U,MATCH(AX557,INDEX(Beersheet!$A:$U,0,FFARawStatProjections!$BV$2),0),$BV$3)+$BN557,
INDEX($A557:$BM557,,$BV$12)*$BW$12+
INDEX($A557:$BM557,,$BV$15)*$BW$15+
INDEX($A557:$BM557,,$BV$16)*$BW$16+
INDEX($A557:$BM557,,$BV$17)*$BW$17+
INDEX($A557:$BM557,,$BV$18)*$BW$18+
INDEX($A557:$BM557,,$BV$19)*$BW$19+
INDEX($A557:$BM557,,$BV$20)*$BW$20+
INDEX($A557:$BM557,,$BV$21)*$BW$21+
INDEX($A557:$BM557,,$BV$22)*$BW$22+
INDEX($A557:$BM557,,$BV$23)*$BW$23+
INDEX($A557:$BM557,,$BV$25)*$BW$25+
INDEX($A557:$BM557,,$BV$26)*$BW$26+
INDEX($A557:$BM557,,$BV$27)*$BW$27+
$BN557)),
$BN557-100)</f>
        <v>6.0155599999999998</v>
      </c>
      <c r="BB557" t="str">
        <f t="shared" si="113"/>
        <v/>
      </c>
      <c r="BC557" t="str">
        <f t="shared" si="107"/>
        <v/>
      </c>
      <c r="BD557" s="430">
        <f>IFERROR(
IF(BB557="",-100,
IF($BV$2&gt;0, INDEX(Beersheet!$A:$U,MATCH(BB557,INDEX(Beersheet!$A:$U,0,FFARawStatProjections!$BV$2),0),$BV$3)+$BN557,
INDEX($A557:$BM557,,$BV$12)*$BW$12+
INDEX($A557:$BM557,,$BV$15)*$BW$15+
INDEX($A557:$BM557,,$BV$16)*$BW$16+
INDEX($A557:$BM557,,$BV$17)*$BW$17+
INDEX($A557:$BM557,,$BV$18)*$BW$18+
INDEX($A557:$BM557,,$BV$19)*$BW$19+
INDEX($A557:$BM557,,$BV$20)*$BW$20+
INDEX($A557:$BM557,,$BV$21)*$BW$21+
INDEX($A557:$BM557,,$BV$22)*$BW$22+
INDEX($A557:$BM557,,$BV$23)*$BW$23+
INDEX($A557:$BM557,,$BV$25)*$BW$25+
INDEX($A557:$BM557,,$BV$26)*$BW$26+
INDEX($A557:$BM557,,$BV$27)*$BW$27+
$BN557)),
$BN557-100)</f>
        <v>-100</v>
      </c>
      <c r="BF557" t="str">
        <f t="shared" si="114"/>
        <v/>
      </c>
      <c r="BG557" t="str">
        <f t="shared" si="115"/>
        <v/>
      </c>
      <c r="BH557">
        <f t="shared" si="116"/>
        <v>0</v>
      </c>
      <c r="BJ557" t="str">
        <f t="shared" si="117"/>
        <v/>
      </c>
      <c r="BL557">
        <f t="shared" si="119"/>
        <v>0</v>
      </c>
      <c r="BN557">
        <v>5.5599999999999998E-3</v>
      </c>
      <c r="BS557" s="4" t="s">
        <v>137</v>
      </c>
    </row>
    <row r="558" spans="1:71" ht="15.75" thickBot="1" x14ac:dyDescent="0.3">
      <c r="A558" s="569" t="s">
        <v>2348</v>
      </c>
      <c r="B558" s="569" t="s">
        <v>141</v>
      </c>
      <c r="C558" s="569" t="s">
        <v>6</v>
      </c>
      <c r="D558" s="574">
        <v>13</v>
      </c>
      <c r="E558" s="569"/>
      <c r="F558" s="569"/>
      <c r="G558" s="569"/>
      <c r="H558" s="569"/>
      <c r="I558" s="574">
        <v>0</v>
      </c>
      <c r="J558" s="574">
        <v>0</v>
      </c>
      <c r="K558" s="574">
        <v>0</v>
      </c>
      <c r="L558" s="574">
        <v>2.5</v>
      </c>
      <c r="M558" s="574">
        <v>0.2</v>
      </c>
      <c r="N558" s="574">
        <v>29.3</v>
      </c>
      <c r="O558" s="574">
        <v>0</v>
      </c>
      <c r="P558" s="574">
        <v>0</v>
      </c>
      <c r="Q558" s="574">
        <v>0</v>
      </c>
      <c r="R558" s="569"/>
      <c r="S558" s="569"/>
      <c r="T558" s="569"/>
      <c r="U558" s="569"/>
      <c r="V558" s="569"/>
      <c r="W558" s="569"/>
      <c r="X558" s="569"/>
      <c r="Y558" s="569"/>
      <c r="Z558" s="569"/>
      <c r="AA558" s="569"/>
      <c r="AB558" s="569"/>
      <c r="AC558" s="569"/>
      <c r="AD558" s="569"/>
      <c r="AE558" s="569"/>
      <c r="AF558" s="569"/>
      <c r="AG558" s="569"/>
      <c r="AH558" s="569"/>
      <c r="AI558" s="569"/>
      <c r="AJ558" s="569"/>
      <c r="AK558" s="569"/>
      <c r="AL558" s="569"/>
      <c r="AM558" s="569"/>
      <c r="AN558" s="574">
        <v>3.9</v>
      </c>
      <c r="AO558">
        <v>557</v>
      </c>
      <c r="AP558" t="str">
        <f t="shared" si="118"/>
        <v/>
      </c>
      <c r="AQ558" t="str">
        <f t="shared" si="108"/>
        <v/>
      </c>
      <c r="AR558" s="430">
        <f>IFERROR(
IF(AP558="",-100,
IF($BV$2&gt;0, INDEX(Beersheet!$A:$U,MATCH(AP558,INDEX(Beersheet!$A:$U,0,FFARawStatProjections!$BV$2),0),$BV$3)+$BN558,
INDEX($A558:$BM558,,$BV$12)*$BW$12+
INDEX($A558:$BM558,,$BV$15)*$BW$15+
INDEX($A558:$BM558,,$BV$16)*$BW$16+
INDEX($A558:$BM558,,$BV$17)*$BW$17+
INDEX($A558:$BM558,,$BV$18)*$BW$18+
INDEX($A558:$BM558,,$BV$19)*$BW$19+
INDEX($A558:$BM558,,$BV$20)*$BW$20+
INDEX($A558:$BM558,,$BV$21)*$BW$21+
INDEX($A558:$BM558,,$BV$22)*$BW$22+
INDEX($A558:$BM558,,$BV$23)*$BW$23+
INDEX($A558:$BM558,,$BV$25)*$BW$25+
INDEX($A558:$BM558,,$BV$26)*$BW$26+
INDEX($A558:$BM558,,$BV$27)*$BW$27+
$BN558)),
$BN558-100)</f>
        <v>-100</v>
      </c>
      <c r="AT558" t="str">
        <f t="shared" si="109"/>
        <v/>
      </c>
      <c r="AU558" t="str">
        <f t="shared" si="110"/>
        <v/>
      </c>
      <c r="AV558" s="430">
        <f>IFERROR(
IF(AT558="",-100,
IF($BV$2&gt;0, INDEX(Beersheet!$A:$U,MATCH(AT558,INDEX(Beersheet!$A:$U,0,FFARawStatProjections!$BV$2),0),$BV$3)+$BN558,
INDEX($A558:$BM558,,$BV$12)*$BW$12+
INDEX($A558:$BM558,,$BV$15)*$BW$15+
INDEX($A558:$BM558,,$BV$16)*$BW$16+
INDEX($A558:$BM558,,$BV$17)*$BW$17+
INDEX($A558:$BM558,,$BV$18)*$BW$18+
INDEX($A558:$BM558,,$BV$19)*$BW$19+
INDEX($A558:$BM558,,$BV$20)*$BW$20+
INDEX($A558:$BM558,,$BV$21)*$BW$21+
INDEX($A558:$BM558,,$BV$22)*$BW$22+
INDEX($A558:$BM558,,$BV$23)*$BW$23+
INDEX($A558:$BM558,,$BV$25)*$BW$25+
INDEX($A558:$BM558,,$BV$26)*$BW$26+
INDEX($A558:$BM558,,$BV$27)*$BW$27+
$BN558)),
$BN558-100)</f>
        <v>-100</v>
      </c>
      <c r="AX558" t="str">
        <f t="shared" si="111"/>
        <v>Daurice Fountain</v>
      </c>
      <c r="AY558" t="str">
        <f t="shared" si="112"/>
        <v>CHI</v>
      </c>
      <c r="AZ558" s="430">
        <f>IFERROR(
IF(AX558="",-100,
IF($BV$2&gt;0, INDEX(Beersheet!$A:$U,MATCH(AX558,INDEX(Beersheet!$A:$U,0,FFARawStatProjections!$BV$2),0),$BV$3)+$BN558,
INDEX($A558:$BM558,,$BV$12)*$BW$12+
INDEX($A558:$BM558,,$BV$15)*$BW$15+
INDEX($A558:$BM558,,$BV$16)*$BW$16+
INDEX($A558:$BM558,,$BV$17)*$BW$17+
INDEX($A558:$BM558,,$BV$18)*$BW$18+
INDEX($A558:$BM558,,$BV$19)*$BW$19+
INDEX($A558:$BM558,,$BV$20)*$BW$20+
INDEX($A558:$BM558,,$BV$21)*$BW$21+
INDEX($A558:$BM558,,$BV$22)*$BW$22+
INDEX($A558:$BM558,,$BV$23)*$BW$23+
INDEX($A558:$BM558,,$BV$25)*$BW$25+
INDEX($A558:$BM558,,$BV$26)*$BW$26+
INDEX($A558:$BM558,,$BV$27)*$BW$27+
$BN558)),
$BN558-100)</f>
        <v>6.6355700000000004</v>
      </c>
      <c r="BB558" t="str">
        <f t="shared" si="113"/>
        <v/>
      </c>
      <c r="BC558" t="str">
        <f t="shared" si="107"/>
        <v/>
      </c>
      <c r="BD558" s="430">
        <f>IFERROR(
IF(BB558="",-100,
IF($BV$2&gt;0, INDEX(Beersheet!$A:$U,MATCH(BB558,INDEX(Beersheet!$A:$U,0,FFARawStatProjections!$BV$2),0),$BV$3)+$BN558,
INDEX($A558:$BM558,,$BV$12)*$BW$12+
INDEX($A558:$BM558,,$BV$15)*$BW$15+
INDEX($A558:$BM558,,$BV$16)*$BW$16+
INDEX($A558:$BM558,,$BV$17)*$BW$17+
INDEX($A558:$BM558,,$BV$18)*$BW$18+
INDEX($A558:$BM558,,$BV$19)*$BW$19+
INDEX($A558:$BM558,,$BV$20)*$BW$20+
INDEX($A558:$BM558,,$BV$21)*$BW$21+
INDEX($A558:$BM558,,$BV$22)*$BW$22+
INDEX($A558:$BM558,,$BV$23)*$BW$23+
INDEX($A558:$BM558,,$BV$25)*$BW$25+
INDEX($A558:$BM558,,$BV$26)*$BW$26+
INDEX($A558:$BM558,,$BV$27)*$BW$27+
$BN558)),
$BN558-100)</f>
        <v>-100</v>
      </c>
      <c r="BF558" t="str">
        <f t="shared" si="114"/>
        <v/>
      </c>
      <c r="BG558" t="str">
        <f t="shared" si="115"/>
        <v/>
      </c>
      <c r="BH558">
        <f t="shared" si="116"/>
        <v>0</v>
      </c>
      <c r="BJ558" t="str">
        <f t="shared" si="117"/>
        <v/>
      </c>
      <c r="BL558">
        <f t="shared" si="119"/>
        <v>0</v>
      </c>
      <c r="BN558">
        <v>5.5700000000000003E-3</v>
      </c>
      <c r="BS558" s="4" t="s">
        <v>1108</v>
      </c>
    </row>
    <row r="559" spans="1:71" ht="15.75" thickBot="1" x14ac:dyDescent="0.3">
      <c r="A559" s="569" t="s">
        <v>2059</v>
      </c>
      <c r="B559" s="569" t="s">
        <v>137</v>
      </c>
      <c r="C559" s="569" t="s">
        <v>6</v>
      </c>
      <c r="D559" s="574">
        <v>10</v>
      </c>
      <c r="E559" s="569"/>
      <c r="F559" s="569"/>
      <c r="G559" s="569"/>
      <c r="H559" s="569"/>
      <c r="I559" s="574">
        <v>0</v>
      </c>
      <c r="J559" s="574">
        <v>0</v>
      </c>
      <c r="K559" s="574">
        <v>0</v>
      </c>
      <c r="L559" s="574">
        <v>2.5</v>
      </c>
      <c r="M559" s="574">
        <v>0.2</v>
      </c>
      <c r="N559" s="574">
        <v>30.2</v>
      </c>
      <c r="O559" s="574">
        <v>0</v>
      </c>
      <c r="P559" s="574">
        <v>0</v>
      </c>
      <c r="Q559" s="574">
        <v>0.2</v>
      </c>
      <c r="R559" s="569"/>
      <c r="S559" s="569"/>
      <c r="T559" s="569"/>
      <c r="U559" s="569"/>
      <c r="V559" s="569"/>
      <c r="W559" s="569"/>
      <c r="X559" s="569"/>
      <c r="Y559" s="569"/>
      <c r="Z559" s="569"/>
      <c r="AA559" s="569"/>
      <c r="AB559" s="569"/>
      <c r="AC559" s="569"/>
      <c r="AD559" s="569"/>
      <c r="AE559" s="569"/>
      <c r="AF559" s="569"/>
      <c r="AG559" s="569"/>
      <c r="AH559" s="569"/>
      <c r="AI559" s="569"/>
      <c r="AJ559" s="569"/>
      <c r="AK559" s="569"/>
      <c r="AL559" s="569"/>
      <c r="AM559" s="569"/>
      <c r="AN559" s="574">
        <v>3.9</v>
      </c>
      <c r="AO559">
        <v>558</v>
      </c>
      <c r="AP559" t="str">
        <f t="shared" si="118"/>
        <v/>
      </c>
      <c r="AQ559" t="str">
        <f t="shared" si="108"/>
        <v/>
      </c>
      <c r="AR559" s="430">
        <f>IFERROR(
IF(AP559="",-100,
IF($BV$2&gt;0, INDEX(Beersheet!$A:$U,MATCH(AP559,INDEX(Beersheet!$A:$U,0,FFARawStatProjections!$BV$2),0),$BV$3)+$BN559,
INDEX($A559:$BM559,,$BV$12)*$BW$12+
INDEX($A559:$BM559,,$BV$15)*$BW$15+
INDEX($A559:$BM559,,$BV$16)*$BW$16+
INDEX($A559:$BM559,,$BV$17)*$BW$17+
INDEX($A559:$BM559,,$BV$18)*$BW$18+
INDEX($A559:$BM559,,$BV$19)*$BW$19+
INDEX($A559:$BM559,,$BV$20)*$BW$20+
INDEX($A559:$BM559,,$BV$21)*$BW$21+
INDEX($A559:$BM559,,$BV$22)*$BW$22+
INDEX($A559:$BM559,,$BV$23)*$BW$23+
INDEX($A559:$BM559,,$BV$25)*$BW$25+
INDEX($A559:$BM559,,$BV$26)*$BW$26+
INDEX($A559:$BM559,,$BV$27)*$BW$27+
$BN559)),
$BN559-100)</f>
        <v>-100</v>
      </c>
      <c r="AT559" t="str">
        <f t="shared" si="109"/>
        <v/>
      </c>
      <c r="AU559" t="str">
        <f t="shared" si="110"/>
        <v/>
      </c>
      <c r="AV559" s="430">
        <f>IFERROR(
IF(AT559="",-100,
IF($BV$2&gt;0, INDEX(Beersheet!$A:$U,MATCH(AT559,INDEX(Beersheet!$A:$U,0,FFARawStatProjections!$BV$2),0),$BV$3)+$BN559,
INDEX($A559:$BM559,,$BV$12)*$BW$12+
INDEX($A559:$BM559,,$BV$15)*$BW$15+
INDEX($A559:$BM559,,$BV$16)*$BW$16+
INDEX($A559:$BM559,,$BV$17)*$BW$17+
INDEX($A559:$BM559,,$BV$18)*$BW$18+
INDEX($A559:$BM559,,$BV$19)*$BW$19+
INDEX($A559:$BM559,,$BV$20)*$BW$20+
INDEX($A559:$BM559,,$BV$21)*$BW$21+
INDEX($A559:$BM559,,$BV$22)*$BW$22+
INDEX($A559:$BM559,,$BV$23)*$BW$23+
INDEX($A559:$BM559,,$BV$25)*$BW$25+
INDEX($A559:$BM559,,$BV$26)*$BW$26+
INDEX($A559:$BM559,,$BV$27)*$BW$27+
$BN559)),
$BN559-100)</f>
        <v>-100</v>
      </c>
      <c r="AX559" t="str">
        <f t="shared" si="111"/>
        <v>Greg Ward</v>
      </c>
      <c r="AY559" t="str">
        <f t="shared" si="112"/>
        <v>PHI</v>
      </c>
      <c r="AZ559" s="430">
        <f>IFERROR(
IF(AX559="",-100,
IF($BV$2&gt;0, INDEX(Beersheet!$A:$U,MATCH(AX559,INDEX(Beersheet!$A:$U,0,FFARawStatProjections!$BV$2),0),$BV$3)+$BN559,
INDEX($A559:$BM559,,$BV$12)*$BW$12+
INDEX($A559:$BM559,,$BV$15)*$BW$15+
INDEX($A559:$BM559,,$BV$16)*$BW$16+
INDEX($A559:$BM559,,$BV$17)*$BW$17+
INDEX($A559:$BM559,,$BV$18)*$BW$18+
INDEX($A559:$BM559,,$BV$19)*$BW$19+
INDEX($A559:$BM559,,$BV$20)*$BW$20+
INDEX($A559:$BM559,,$BV$21)*$BW$21+
INDEX($A559:$BM559,,$BV$22)*$BW$22+
INDEX($A559:$BM559,,$BV$23)*$BW$23+
INDEX($A559:$BM559,,$BV$25)*$BW$25+
INDEX($A559:$BM559,,$BV$26)*$BW$26+
INDEX($A559:$BM559,,$BV$27)*$BW$27+
$BN559)),
$BN559-100)</f>
        <v>6.7455800000000004</v>
      </c>
      <c r="BB559" t="str">
        <f t="shared" si="113"/>
        <v/>
      </c>
      <c r="BC559" t="str">
        <f t="shared" si="107"/>
        <v/>
      </c>
      <c r="BD559" s="430">
        <f>IFERROR(
IF(BB559="",-100,
IF($BV$2&gt;0, INDEX(Beersheet!$A:$U,MATCH(BB559,INDEX(Beersheet!$A:$U,0,FFARawStatProjections!$BV$2),0),$BV$3)+$BN559,
INDEX($A559:$BM559,,$BV$12)*$BW$12+
INDEX($A559:$BM559,,$BV$15)*$BW$15+
INDEX($A559:$BM559,,$BV$16)*$BW$16+
INDEX($A559:$BM559,,$BV$17)*$BW$17+
INDEX($A559:$BM559,,$BV$18)*$BW$18+
INDEX($A559:$BM559,,$BV$19)*$BW$19+
INDEX($A559:$BM559,,$BV$20)*$BW$20+
INDEX($A559:$BM559,,$BV$21)*$BW$21+
INDEX($A559:$BM559,,$BV$22)*$BW$22+
INDEX($A559:$BM559,,$BV$23)*$BW$23+
INDEX($A559:$BM559,,$BV$25)*$BW$25+
INDEX($A559:$BM559,,$BV$26)*$BW$26+
INDEX($A559:$BM559,,$BV$27)*$BW$27+
$BN559)),
$BN559-100)</f>
        <v>-100</v>
      </c>
      <c r="BF559" t="str">
        <f t="shared" si="114"/>
        <v/>
      </c>
      <c r="BG559" t="str">
        <f t="shared" si="115"/>
        <v/>
      </c>
      <c r="BH559">
        <f t="shared" si="116"/>
        <v>0</v>
      </c>
      <c r="BJ559" t="str">
        <f t="shared" si="117"/>
        <v/>
      </c>
      <c r="BL559">
        <f t="shared" si="119"/>
        <v>0</v>
      </c>
      <c r="BN559">
        <v>5.5799999999999999E-3</v>
      </c>
      <c r="BS559" s="4" t="s">
        <v>2310</v>
      </c>
    </row>
    <row r="560" spans="1:71" ht="15.75" thickBot="1" x14ac:dyDescent="0.3">
      <c r="A560" s="569" t="s">
        <v>2220</v>
      </c>
      <c r="B560" s="569" t="s">
        <v>141</v>
      </c>
      <c r="C560" s="569" t="s">
        <v>6</v>
      </c>
      <c r="D560" s="574">
        <v>13</v>
      </c>
      <c r="E560" s="569"/>
      <c r="F560" s="569"/>
      <c r="G560" s="569"/>
      <c r="H560" s="569"/>
      <c r="I560" s="574">
        <v>0</v>
      </c>
      <c r="J560" s="574">
        <v>0</v>
      </c>
      <c r="K560" s="574">
        <v>0</v>
      </c>
      <c r="L560" s="574">
        <v>2.5</v>
      </c>
      <c r="M560" s="574">
        <v>0.2</v>
      </c>
      <c r="N560" s="574">
        <v>29.1</v>
      </c>
      <c r="O560" s="574">
        <v>0</v>
      </c>
      <c r="P560" s="574">
        <v>0</v>
      </c>
      <c r="Q560" s="574">
        <v>0</v>
      </c>
      <c r="R560" s="569"/>
      <c r="S560" s="569"/>
      <c r="T560" s="569"/>
      <c r="U560" s="569"/>
      <c r="V560" s="569"/>
      <c r="W560" s="569"/>
      <c r="X560" s="569"/>
      <c r="Y560" s="569"/>
      <c r="Z560" s="569"/>
      <c r="AA560" s="569"/>
      <c r="AB560" s="569"/>
      <c r="AC560" s="569"/>
      <c r="AD560" s="569"/>
      <c r="AE560" s="569"/>
      <c r="AF560" s="569"/>
      <c r="AG560" s="569"/>
      <c r="AH560" s="569"/>
      <c r="AI560" s="569"/>
      <c r="AJ560" s="569"/>
      <c r="AK560" s="569"/>
      <c r="AL560" s="569"/>
      <c r="AM560" s="569"/>
      <c r="AN560" s="574">
        <v>3.9</v>
      </c>
      <c r="AO560">
        <v>559</v>
      </c>
      <c r="AP560" t="str">
        <f t="shared" si="118"/>
        <v/>
      </c>
      <c r="AQ560" t="str">
        <f t="shared" si="108"/>
        <v/>
      </c>
      <c r="AR560" s="430">
        <f>IFERROR(
IF(AP560="",-100,
IF($BV$2&gt;0, INDEX(Beersheet!$A:$U,MATCH(AP560,INDEX(Beersheet!$A:$U,0,FFARawStatProjections!$BV$2),0),$BV$3)+$BN560,
INDEX($A560:$BM560,,$BV$12)*$BW$12+
INDEX($A560:$BM560,,$BV$15)*$BW$15+
INDEX($A560:$BM560,,$BV$16)*$BW$16+
INDEX($A560:$BM560,,$BV$17)*$BW$17+
INDEX($A560:$BM560,,$BV$18)*$BW$18+
INDEX($A560:$BM560,,$BV$19)*$BW$19+
INDEX($A560:$BM560,,$BV$20)*$BW$20+
INDEX($A560:$BM560,,$BV$21)*$BW$21+
INDEX($A560:$BM560,,$BV$22)*$BW$22+
INDEX($A560:$BM560,,$BV$23)*$BW$23+
INDEX($A560:$BM560,,$BV$25)*$BW$25+
INDEX($A560:$BM560,,$BV$26)*$BW$26+
INDEX($A560:$BM560,,$BV$27)*$BW$27+
$BN560)),
$BN560-100)</f>
        <v>-100</v>
      </c>
      <c r="AT560" t="str">
        <f t="shared" si="109"/>
        <v/>
      </c>
      <c r="AU560" t="str">
        <f t="shared" si="110"/>
        <v/>
      </c>
      <c r="AV560" s="430">
        <f>IFERROR(
IF(AT560="",-100,
IF($BV$2&gt;0, INDEX(Beersheet!$A:$U,MATCH(AT560,INDEX(Beersheet!$A:$U,0,FFARawStatProjections!$BV$2),0),$BV$3)+$BN560,
INDEX($A560:$BM560,,$BV$12)*$BW$12+
INDEX($A560:$BM560,,$BV$15)*$BW$15+
INDEX($A560:$BM560,,$BV$16)*$BW$16+
INDEX($A560:$BM560,,$BV$17)*$BW$17+
INDEX($A560:$BM560,,$BV$18)*$BW$18+
INDEX($A560:$BM560,,$BV$19)*$BW$19+
INDEX($A560:$BM560,,$BV$20)*$BW$20+
INDEX($A560:$BM560,,$BV$21)*$BW$21+
INDEX($A560:$BM560,,$BV$22)*$BW$22+
INDEX($A560:$BM560,,$BV$23)*$BW$23+
INDEX($A560:$BM560,,$BV$25)*$BW$25+
INDEX($A560:$BM560,,$BV$26)*$BW$26+
INDEX($A560:$BM560,,$BV$27)*$BW$27+
$BN560)),
$BN560-100)</f>
        <v>-100</v>
      </c>
      <c r="AX560" t="str">
        <f t="shared" si="111"/>
        <v>Nsimba Webster</v>
      </c>
      <c r="AY560" t="str">
        <f t="shared" si="112"/>
        <v>CHI</v>
      </c>
      <c r="AZ560" s="430">
        <f>IFERROR(
IF(AX560="",-100,
IF($BV$2&gt;0, INDEX(Beersheet!$A:$U,MATCH(AX560,INDEX(Beersheet!$A:$U,0,FFARawStatProjections!$BV$2),0),$BV$3)+$BN560,
INDEX($A560:$BM560,,$BV$12)*$BW$12+
INDEX($A560:$BM560,,$BV$15)*$BW$15+
INDEX($A560:$BM560,,$BV$16)*$BW$16+
INDEX($A560:$BM560,,$BV$17)*$BW$17+
INDEX($A560:$BM560,,$BV$18)*$BW$18+
INDEX($A560:$BM560,,$BV$19)*$BW$19+
INDEX($A560:$BM560,,$BV$20)*$BW$20+
INDEX($A560:$BM560,,$BV$21)*$BW$21+
INDEX($A560:$BM560,,$BV$22)*$BW$22+
INDEX($A560:$BM560,,$BV$23)*$BW$23+
INDEX($A560:$BM560,,$BV$25)*$BW$25+
INDEX($A560:$BM560,,$BV$26)*$BW$26+
INDEX($A560:$BM560,,$BV$27)*$BW$27+
$BN560)),
$BN560-100)</f>
        <v>6.6155900000000001</v>
      </c>
      <c r="BB560" t="str">
        <f t="shared" si="113"/>
        <v/>
      </c>
      <c r="BC560" t="str">
        <f t="shared" si="107"/>
        <v/>
      </c>
      <c r="BD560" s="430">
        <f>IFERROR(
IF(BB560="",-100,
IF($BV$2&gt;0, INDEX(Beersheet!$A:$U,MATCH(BB560,INDEX(Beersheet!$A:$U,0,FFARawStatProjections!$BV$2),0),$BV$3)+$BN560,
INDEX($A560:$BM560,,$BV$12)*$BW$12+
INDEX($A560:$BM560,,$BV$15)*$BW$15+
INDEX($A560:$BM560,,$BV$16)*$BW$16+
INDEX($A560:$BM560,,$BV$17)*$BW$17+
INDEX($A560:$BM560,,$BV$18)*$BW$18+
INDEX($A560:$BM560,,$BV$19)*$BW$19+
INDEX($A560:$BM560,,$BV$20)*$BW$20+
INDEX($A560:$BM560,,$BV$21)*$BW$21+
INDEX($A560:$BM560,,$BV$22)*$BW$22+
INDEX($A560:$BM560,,$BV$23)*$BW$23+
INDEX($A560:$BM560,,$BV$25)*$BW$25+
INDEX($A560:$BM560,,$BV$26)*$BW$26+
INDEX($A560:$BM560,,$BV$27)*$BW$27+
$BN560)),
$BN560-100)</f>
        <v>-100</v>
      </c>
      <c r="BF560" t="str">
        <f t="shared" si="114"/>
        <v/>
      </c>
      <c r="BG560" t="str">
        <f t="shared" si="115"/>
        <v/>
      </c>
      <c r="BH560">
        <f t="shared" si="116"/>
        <v>0</v>
      </c>
      <c r="BJ560" t="str">
        <f t="shared" si="117"/>
        <v/>
      </c>
      <c r="BL560">
        <f t="shared" si="119"/>
        <v>0</v>
      </c>
      <c r="BN560">
        <v>5.5900000000000004E-3</v>
      </c>
      <c r="BS560" s="4" t="s">
        <v>147</v>
      </c>
    </row>
    <row r="561" spans="1:71" ht="15.75" thickBot="1" x14ac:dyDescent="0.3">
      <c r="A561" s="569" t="s">
        <v>1874</v>
      </c>
      <c r="B561" s="569" t="s">
        <v>143</v>
      </c>
      <c r="C561" s="569" t="s">
        <v>6</v>
      </c>
      <c r="D561" s="574">
        <v>11</v>
      </c>
      <c r="E561" s="569"/>
      <c r="F561" s="569"/>
      <c r="G561" s="569"/>
      <c r="H561" s="569"/>
      <c r="I561" s="574">
        <v>0</v>
      </c>
      <c r="J561" s="574">
        <v>0</v>
      </c>
      <c r="K561" s="574">
        <v>0</v>
      </c>
      <c r="L561" s="574">
        <v>2.4</v>
      </c>
      <c r="M561" s="574">
        <v>0.1</v>
      </c>
      <c r="N561" s="574">
        <v>30.2</v>
      </c>
      <c r="O561" s="574">
        <v>0</v>
      </c>
      <c r="P561" s="574">
        <v>0</v>
      </c>
      <c r="Q561" s="574">
        <v>0.1</v>
      </c>
      <c r="R561" s="569"/>
      <c r="S561" s="569"/>
      <c r="T561" s="569"/>
      <c r="U561" s="569"/>
      <c r="V561" s="569"/>
      <c r="W561" s="569"/>
      <c r="X561" s="569"/>
      <c r="Y561" s="569"/>
      <c r="Z561" s="569"/>
      <c r="AA561" s="569"/>
      <c r="AB561" s="569"/>
      <c r="AC561" s="569"/>
      <c r="AD561" s="569"/>
      <c r="AE561" s="569"/>
      <c r="AF561" s="569"/>
      <c r="AG561" s="569"/>
      <c r="AH561" s="569"/>
      <c r="AI561" s="569"/>
      <c r="AJ561" s="569"/>
      <c r="AK561" s="569"/>
      <c r="AL561" s="569"/>
      <c r="AM561" s="569"/>
      <c r="AN561" s="574">
        <v>3.9</v>
      </c>
      <c r="AO561">
        <v>560</v>
      </c>
      <c r="AP561" t="str">
        <f t="shared" si="118"/>
        <v/>
      </c>
      <c r="AQ561" t="str">
        <f t="shared" si="108"/>
        <v/>
      </c>
      <c r="AR561" s="430">
        <f>IFERROR(
IF(AP561="",-100,
IF($BV$2&gt;0, INDEX(Beersheet!$A:$U,MATCH(AP561,INDEX(Beersheet!$A:$U,0,FFARawStatProjections!$BV$2),0),$BV$3)+$BN561,
INDEX($A561:$BM561,,$BV$12)*$BW$12+
INDEX($A561:$BM561,,$BV$15)*$BW$15+
INDEX($A561:$BM561,,$BV$16)*$BW$16+
INDEX($A561:$BM561,,$BV$17)*$BW$17+
INDEX($A561:$BM561,,$BV$18)*$BW$18+
INDEX($A561:$BM561,,$BV$19)*$BW$19+
INDEX($A561:$BM561,,$BV$20)*$BW$20+
INDEX($A561:$BM561,,$BV$21)*$BW$21+
INDEX($A561:$BM561,,$BV$22)*$BW$22+
INDEX($A561:$BM561,,$BV$23)*$BW$23+
INDEX($A561:$BM561,,$BV$25)*$BW$25+
INDEX($A561:$BM561,,$BV$26)*$BW$26+
INDEX($A561:$BM561,,$BV$27)*$BW$27+
$BN561)),
$BN561-100)</f>
        <v>-100</v>
      </c>
      <c r="AT561" t="str">
        <f t="shared" si="109"/>
        <v/>
      </c>
      <c r="AU561" t="str">
        <f t="shared" si="110"/>
        <v/>
      </c>
      <c r="AV561" s="430">
        <f>IFERROR(
IF(AT561="",-100,
IF($BV$2&gt;0, INDEX(Beersheet!$A:$U,MATCH(AT561,INDEX(Beersheet!$A:$U,0,FFARawStatProjections!$BV$2),0),$BV$3)+$BN561,
INDEX($A561:$BM561,,$BV$12)*$BW$12+
INDEX($A561:$BM561,,$BV$15)*$BW$15+
INDEX($A561:$BM561,,$BV$16)*$BW$16+
INDEX($A561:$BM561,,$BV$17)*$BW$17+
INDEX($A561:$BM561,,$BV$18)*$BW$18+
INDEX($A561:$BM561,,$BV$19)*$BW$19+
INDEX($A561:$BM561,,$BV$20)*$BW$20+
INDEX($A561:$BM561,,$BV$21)*$BW$21+
INDEX($A561:$BM561,,$BV$22)*$BW$22+
INDEX($A561:$BM561,,$BV$23)*$BW$23+
INDEX($A561:$BM561,,$BV$25)*$BW$25+
INDEX($A561:$BM561,,$BV$26)*$BW$26+
INDEX($A561:$BM561,,$BV$27)*$BW$27+
$BN561)),
$BN561-100)</f>
        <v>-100</v>
      </c>
      <c r="AX561" t="str">
        <f t="shared" si="111"/>
        <v>Keith Kirkwood</v>
      </c>
      <c r="AY561" t="str">
        <f t="shared" si="112"/>
        <v>NO</v>
      </c>
      <c r="AZ561" s="430">
        <f>IFERROR(
IF(AX561="",-100,
IF($BV$2&gt;0, INDEX(Beersheet!$A:$U,MATCH(AX561,INDEX(Beersheet!$A:$U,0,FFARawStatProjections!$BV$2),0),$BV$3)+$BN561,
INDEX($A561:$BM561,,$BV$12)*$BW$12+
INDEX($A561:$BM561,,$BV$15)*$BW$15+
INDEX($A561:$BM561,,$BV$16)*$BW$16+
INDEX($A561:$BM561,,$BV$17)*$BW$17+
INDEX($A561:$BM561,,$BV$18)*$BW$18+
INDEX($A561:$BM561,,$BV$19)*$BW$19+
INDEX($A561:$BM561,,$BV$20)*$BW$20+
INDEX($A561:$BM561,,$BV$21)*$BW$21+
INDEX($A561:$BM561,,$BV$22)*$BW$22+
INDEX($A561:$BM561,,$BV$23)*$BW$23+
INDEX($A561:$BM561,,$BV$25)*$BW$25+
INDEX($A561:$BM561,,$BV$26)*$BW$26+
INDEX($A561:$BM561,,$BV$27)*$BW$27+
$BN561)),
$BN561-100)</f>
        <v>6.0355999999999996</v>
      </c>
      <c r="BB561" t="str">
        <f t="shared" si="113"/>
        <v/>
      </c>
      <c r="BC561" t="str">
        <f t="shared" si="107"/>
        <v/>
      </c>
      <c r="BD561" s="430">
        <f>IFERROR(
IF(BB561="",-100,
IF($BV$2&gt;0, INDEX(Beersheet!$A:$U,MATCH(BB561,INDEX(Beersheet!$A:$U,0,FFARawStatProjections!$BV$2),0),$BV$3)+$BN561,
INDEX($A561:$BM561,,$BV$12)*$BW$12+
INDEX($A561:$BM561,,$BV$15)*$BW$15+
INDEX($A561:$BM561,,$BV$16)*$BW$16+
INDEX($A561:$BM561,,$BV$17)*$BW$17+
INDEX($A561:$BM561,,$BV$18)*$BW$18+
INDEX($A561:$BM561,,$BV$19)*$BW$19+
INDEX($A561:$BM561,,$BV$20)*$BW$20+
INDEX($A561:$BM561,,$BV$21)*$BW$21+
INDEX($A561:$BM561,,$BV$22)*$BW$22+
INDEX($A561:$BM561,,$BV$23)*$BW$23+
INDEX($A561:$BM561,,$BV$25)*$BW$25+
INDEX($A561:$BM561,,$BV$26)*$BW$26+
INDEX($A561:$BM561,,$BV$27)*$BW$27+
$BN561)),
$BN561-100)</f>
        <v>-100</v>
      </c>
      <c r="BF561" t="str">
        <f t="shared" si="114"/>
        <v/>
      </c>
      <c r="BG561" t="str">
        <f t="shared" si="115"/>
        <v/>
      </c>
      <c r="BH561">
        <f t="shared" si="116"/>
        <v>0</v>
      </c>
      <c r="BJ561" t="str">
        <f t="shared" si="117"/>
        <v/>
      </c>
      <c r="BL561">
        <f t="shared" si="119"/>
        <v>0</v>
      </c>
      <c r="BN561">
        <v>5.5999999999999999E-3</v>
      </c>
      <c r="BS561" s="4" t="s">
        <v>2287</v>
      </c>
    </row>
    <row r="562" spans="1:71" ht="15.75" thickBot="1" x14ac:dyDescent="0.3">
      <c r="A562" s="569" t="s">
        <v>1876</v>
      </c>
      <c r="B562" s="569" t="s">
        <v>147</v>
      </c>
      <c r="C562" s="569" t="s">
        <v>6</v>
      </c>
      <c r="D562" s="574">
        <v>6</v>
      </c>
      <c r="E562" s="569"/>
      <c r="F562" s="569"/>
      <c r="G562" s="569"/>
      <c r="H562" s="569"/>
      <c r="I562" s="574">
        <v>0</v>
      </c>
      <c r="J562" s="574">
        <v>0</v>
      </c>
      <c r="K562" s="574">
        <v>0</v>
      </c>
      <c r="L562" s="574">
        <v>1.6</v>
      </c>
      <c r="M562" s="574">
        <v>0.1</v>
      </c>
      <c r="N562" s="574">
        <v>28.4</v>
      </c>
      <c r="O562" s="574">
        <v>0</v>
      </c>
      <c r="P562" s="574">
        <v>0</v>
      </c>
      <c r="Q562" s="574">
        <v>0.3</v>
      </c>
      <c r="R562" s="569"/>
      <c r="S562" s="569"/>
      <c r="T562" s="569"/>
      <c r="U562" s="569"/>
      <c r="V562" s="569"/>
      <c r="W562" s="569"/>
      <c r="X562" s="569"/>
      <c r="Y562" s="569"/>
      <c r="Z562" s="569"/>
      <c r="AA562" s="569"/>
      <c r="AB562" s="569"/>
      <c r="AC562" s="569"/>
      <c r="AD562" s="569"/>
      <c r="AE562" s="569"/>
      <c r="AF562" s="569"/>
      <c r="AG562" s="569"/>
      <c r="AH562" s="569"/>
      <c r="AI562" s="569"/>
      <c r="AJ562" s="569"/>
      <c r="AK562" s="569"/>
      <c r="AL562" s="569"/>
      <c r="AM562" s="569"/>
      <c r="AN562" s="574">
        <v>3.5</v>
      </c>
      <c r="AO562">
        <v>561</v>
      </c>
      <c r="AP562" t="str">
        <f t="shared" si="118"/>
        <v/>
      </c>
      <c r="AQ562" t="str">
        <f t="shared" si="108"/>
        <v/>
      </c>
      <c r="AR562" s="430">
        <f>IFERROR(
IF(AP562="",-100,
IF($BV$2&gt;0, INDEX(Beersheet!$A:$U,MATCH(AP562,INDEX(Beersheet!$A:$U,0,FFARawStatProjections!$BV$2),0),$BV$3)+$BN562,
INDEX($A562:$BM562,,$BV$12)*$BW$12+
INDEX($A562:$BM562,,$BV$15)*$BW$15+
INDEX($A562:$BM562,,$BV$16)*$BW$16+
INDEX($A562:$BM562,,$BV$17)*$BW$17+
INDEX($A562:$BM562,,$BV$18)*$BW$18+
INDEX($A562:$BM562,,$BV$19)*$BW$19+
INDEX($A562:$BM562,,$BV$20)*$BW$20+
INDEX($A562:$BM562,,$BV$21)*$BW$21+
INDEX($A562:$BM562,,$BV$22)*$BW$22+
INDEX($A562:$BM562,,$BV$23)*$BW$23+
INDEX($A562:$BM562,,$BV$25)*$BW$25+
INDEX($A562:$BM562,,$BV$26)*$BW$26+
INDEX($A562:$BM562,,$BV$27)*$BW$27+
$BN562)),
$BN562-100)</f>
        <v>-100</v>
      </c>
      <c r="AT562" t="str">
        <f t="shared" si="109"/>
        <v/>
      </c>
      <c r="AU562" t="str">
        <f t="shared" si="110"/>
        <v/>
      </c>
      <c r="AV562" s="430">
        <f>IFERROR(
IF(AT562="",-100,
IF($BV$2&gt;0, INDEX(Beersheet!$A:$U,MATCH(AT562,INDEX(Beersheet!$A:$U,0,FFARawStatProjections!$BV$2),0),$BV$3)+$BN562,
INDEX($A562:$BM562,,$BV$12)*$BW$12+
INDEX($A562:$BM562,,$BV$15)*$BW$15+
INDEX($A562:$BM562,,$BV$16)*$BW$16+
INDEX($A562:$BM562,,$BV$17)*$BW$17+
INDEX($A562:$BM562,,$BV$18)*$BW$18+
INDEX($A562:$BM562,,$BV$19)*$BW$19+
INDEX($A562:$BM562,,$BV$20)*$BW$20+
INDEX($A562:$BM562,,$BV$21)*$BW$21+
INDEX($A562:$BM562,,$BV$22)*$BW$22+
INDEX($A562:$BM562,,$BV$23)*$BW$23+
INDEX($A562:$BM562,,$BV$25)*$BW$25+
INDEX($A562:$BM562,,$BV$26)*$BW$26+
INDEX($A562:$BM562,,$BV$27)*$BW$27+
$BN562)),
$BN562-100)</f>
        <v>-100</v>
      </c>
      <c r="AX562" t="str">
        <f t="shared" si="111"/>
        <v>Miles Boykin</v>
      </c>
      <c r="AY562" t="str">
        <f t="shared" si="112"/>
        <v>PIT</v>
      </c>
      <c r="AZ562" s="430">
        <f>IFERROR(
IF(AX562="",-100,
IF($BV$2&gt;0, INDEX(Beersheet!$A:$U,MATCH(AX562,INDEX(Beersheet!$A:$U,0,FFARawStatProjections!$BV$2),0),$BV$3)+$BN562,
INDEX($A562:$BM562,,$BV$12)*$BW$12+
INDEX($A562:$BM562,,$BV$15)*$BW$15+
INDEX($A562:$BM562,,$BV$16)*$BW$16+
INDEX($A562:$BM562,,$BV$17)*$BW$17+
INDEX($A562:$BM562,,$BV$18)*$BW$18+
INDEX($A562:$BM562,,$BV$19)*$BW$19+
INDEX($A562:$BM562,,$BV$20)*$BW$20+
INDEX($A562:$BM562,,$BV$21)*$BW$21+
INDEX($A562:$BM562,,$BV$22)*$BW$22+
INDEX($A562:$BM562,,$BV$23)*$BW$23+
INDEX($A562:$BM562,,$BV$25)*$BW$25+
INDEX($A562:$BM562,,$BV$26)*$BW$26+
INDEX($A562:$BM562,,$BV$27)*$BW$27+
$BN562)),
$BN562-100)</f>
        <v>5.0756100000000002</v>
      </c>
      <c r="BB562" t="str">
        <f t="shared" si="113"/>
        <v/>
      </c>
      <c r="BC562" t="str">
        <f t="shared" si="107"/>
        <v/>
      </c>
      <c r="BD562" s="430">
        <f>IFERROR(
IF(BB562="",-100,
IF($BV$2&gt;0, INDEX(Beersheet!$A:$U,MATCH(BB562,INDEX(Beersheet!$A:$U,0,FFARawStatProjections!$BV$2),0),$BV$3)+$BN562,
INDEX($A562:$BM562,,$BV$12)*$BW$12+
INDEX($A562:$BM562,,$BV$15)*$BW$15+
INDEX($A562:$BM562,,$BV$16)*$BW$16+
INDEX($A562:$BM562,,$BV$17)*$BW$17+
INDEX($A562:$BM562,,$BV$18)*$BW$18+
INDEX($A562:$BM562,,$BV$19)*$BW$19+
INDEX($A562:$BM562,,$BV$20)*$BW$20+
INDEX($A562:$BM562,,$BV$21)*$BW$21+
INDEX($A562:$BM562,,$BV$22)*$BW$22+
INDEX($A562:$BM562,,$BV$23)*$BW$23+
INDEX($A562:$BM562,,$BV$25)*$BW$25+
INDEX($A562:$BM562,,$BV$26)*$BW$26+
INDEX($A562:$BM562,,$BV$27)*$BW$27+
$BN562)),
$BN562-100)</f>
        <v>-100</v>
      </c>
      <c r="BF562" t="str">
        <f t="shared" si="114"/>
        <v/>
      </c>
      <c r="BG562" t="str">
        <f t="shared" si="115"/>
        <v/>
      </c>
      <c r="BH562">
        <f t="shared" si="116"/>
        <v>0</v>
      </c>
      <c r="BJ562" t="str">
        <f t="shared" si="117"/>
        <v/>
      </c>
      <c r="BL562">
        <f t="shared" si="119"/>
        <v>0</v>
      </c>
      <c r="BN562">
        <v>5.6100000000000004E-3</v>
      </c>
      <c r="BS562" s="4" t="s">
        <v>2274</v>
      </c>
    </row>
    <row r="563" spans="1:71" ht="15.75" thickBot="1" x14ac:dyDescent="0.3">
      <c r="A563" s="569" t="s">
        <v>1401</v>
      </c>
      <c r="B563" s="569" t="s">
        <v>164</v>
      </c>
      <c r="C563" s="569" t="s">
        <v>6</v>
      </c>
      <c r="D563" s="574">
        <v>7</v>
      </c>
      <c r="E563" s="569"/>
      <c r="F563" s="569"/>
      <c r="G563" s="569"/>
      <c r="H563" s="569"/>
      <c r="I563" s="574">
        <v>0</v>
      </c>
      <c r="J563" s="574">
        <v>0</v>
      </c>
      <c r="K563" s="574">
        <v>0</v>
      </c>
      <c r="L563" s="574">
        <v>1.9</v>
      </c>
      <c r="M563" s="574">
        <v>0.1</v>
      </c>
      <c r="N563" s="574">
        <v>23.7</v>
      </c>
      <c r="O563" s="574">
        <v>0</v>
      </c>
      <c r="P563" s="574">
        <v>0</v>
      </c>
      <c r="Q563" s="574">
        <v>0.2</v>
      </c>
      <c r="R563" s="569"/>
      <c r="S563" s="569"/>
      <c r="T563" s="569"/>
      <c r="U563" s="569"/>
      <c r="V563" s="569"/>
      <c r="W563" s="569"/>
      <c r="X563" s="569"/>
      <c r="Y563" s="569"/>
      <c r="Z563" s="569"/>
      <c r="AA563" s="569"/>
      <c r="AB563" s="569"/>
      <c r="AC563" s="569"/>
      <c r="AD563" s="569"/>
      <c r="AE563" s="569"/>
      <c r="AF563" s="569"/>
      <c r="AG563" s="569"/>
      <c r="AH563" s="569"/>
      <c r="AI563" s="569"/>
      <c r="AJ563" s="569"/>
      <c r="AK563" s="569"/>
      <c r="AL563" s="569"/>
      <c r="AM563" s="569"/>
      <c r="AN563" s="574">
        <v>3.1</v>
      </c>
      <c r="AO563">
        <v>562</v>
      </c>
      <c r="AP563" t="str">
        <f t="shared" si="118"/>
        <v/>
      </c>
      <c r="AQ563" t="str">
        <f t="shared" si="108"/>
        <v/>
      </c>
      <c r="AR563" s="430">
        <f>IFERROR(
IF(AP563="",-100,
IF($BV$2&gt;0, INDEX(Beersheet!$A:$U,MATCH(AP563,INDEX(Beersheet!$A:$U,0,FFARawStatProjections!$BV$2),0),$BV$3)+$BN563,
INDEX($A563:$BM563,,$BV$12)*$BW$12+
INDEX($A563:$BM563,,$BV$15)*$BW$15+
INDEX($A563:$BM563,,$BV$16)*$BW$16+
INDEX($A563:$BM563,,$BV$17)*$BW$17+
INDEX($A563:$BM563,,$BV$18)*$BW$18+
INDEX($A563:$BM563,,$BV$19)*$BW$19+
INDEX($A563:$BM563,,$BV$20)*$BW$20+
INDEX($A563:$BM563,,$BV$21)*$BW$21+
INDEX($A563:$BM563,,$BV$22)*$BW$22+
INDEX($A563:$BM563,,$BV$23)*$BW$23+
INDEX($A563:$BM563,,$BV$25)*$BW$25+
INDEX($A563:$BM563,,$BV$26)*$BW$26+
INDEX($A563:$BM563,,$BV$27)*$BW$27+
$BN563)),
$BN563-100)</f>
        <v>-100</v>
      </c>
      <c r="AT563" t="str">
        <f t="shared" si="109"/>
        <v/>
      </c>
      <c r="AU563" t="str">
        <f t="shared" si="110"/>
        <v/>
      </c>
      <c r="AV563" s="430">
        <f>IFERROR(
IF(AT563="",-100,
IF($BV$2&gt;0, INDEX(Beersheet!$A:$U,MATCH(AT563,INDEX(Beersheet!$A:$U,0,FFARawStatProjections!$BV$2),0),$BV$3)+$BN563,
INDEX($A563:$BM563,,$BV$12)*$BW$12+
INDEX($A563:$BM563,,$BV$15)*$BW$15+
INDEX($A563:$BM563,,$BV$16)*$BW$16+
INDEX($A563:$BM563,,$BV$17)*$BW$17+
INDEX($A563:$BM563,,$BV$18)*$BW$18+
INDEX($A563:$BM563,,$BV$19)*$BW$19+
INDEX($A563:$BM563,,$BV$20)*$BW$20+
INDEX($A563:$BM563,,$BV$21)*$BW$21+
INDEX($A563:$BM563,,$BV$22)*$BW$22+
INDEX($A563:$BM563,,$BV$23)*$BW$23+
INDEX($A563:$BM563,,$BV$25)*$BW$25+
INDEX($A563:$BM563,,$BV$26)*$BW$26+
INDEX($A563:$BM563,,$BV$27)*$BW$27+
$BN563)),
$BN563-100)</f>
        <v>-100</v>
      </c>
      <c r="AX563" t="str">
        <f t="shared" si="111"/>
        <v>Alex Erickson</v>
      </c>
      <c r="AY563" t="str">
        <f t="shared" si="112"/>
        <v>NYJ</v>
      </c>
      <c r="AZ563" s="430">
        <f>IFERROR(
IF(AX563="",-100,
IF($BV$2&gt;0, INDEX(Beersheet!$A:$U,MATCH(AX563,INDEX(Beersheet!$A:$U,0,FFARawStatProjections!$BV$2),0),$BV$3)+$BN563,
INDEX($A563:$BM563,,$BV$12)*$BW$12+
INDEX($A563:$BM563,,$BV$15)*$BW$15+
INDEX($A563:$BM563,,$BV$16)*$BW$16+
INDEX($A563:$BM563,,$BV$17)*$BW$17+
INDEX($A563:$BM563,,$BV$18)*$BW$18+
INDEX($A563:$BM563,,$BV$19)*$BW$19+
INDEX($A563:$BM563,,$BV$20)*$BW$20+
INDEX($A563:$BM563,,$BV$21)*$BW$21+
INDEX($A563:$BM563,,$BV$22)*$BW$22+
INDEX($A563:$BM563,,$BV$23)*$BW$23+
INDEX($A563:$BM563,,$BV$25)*$BW$25+
INDEX($A563:$BM563,,$BV$26)*$BW$26+
INDEX($A563:$BM563,,$BV$27)*$BW$27+
$BN563)),
$BN563-100)</f>
        <v>4.8956200000000001</v>
      </c>
      <c r="BB563" t="str">
        <f t="shared" si="113"/>
        <v/>
      </c>
      <c r="BC563" t="str">
        <f t="shared" si="107"/>
        <v/>
      </c>
      <c r="BD563" s="430">
        <f>IFERROR(
IF(BB563="",-100,
IF($BV$2&gt;0, INDEX(Beersheet!$A:$U,MATCH(BB563,INDEX(Beersheet!$A:$U,0,FFARawStatProjections!$BV$2),0),$BV$3)+$BN563,
INDEX($A563:$BM563,,$BV$12)*$BW$12+
INDEX($A563:$BM563,,$BV$15)*$BW$15+
INDEX($A563:$BM563,,$BV$16)*$BW$16+
INDEX($A563:$BM563,,$BV$17)*$BW$17+
INDEX($A563:$BM563,,$BV$18)*$BW$18+
INDEX($A563:$BM563,,$BV$19)*$BW$19+
INDEX($A563:$BM563,,$BV$20)*$BW$20+
INDEX($A563:$BM563,,$BV$21)*$BW$21+
INDEX($A563:$BM563,,$BV$22)*$BW$22+
INDEX($A563:$BM563,,$BV$23)*$BW$23+
INDEX($A563:$BM563,,$BV$25)*$BW$25+
INDEX($A563:$BM563,,$BV$26)*$BW$26+
INDEX($A563:$BM563,,$BV$27)*$BW$27+
$BN563)),
$BN563-100)</f>
        <v>-100</v>
      </c>
      <c r="BF563" t="str">
        <f t="shared" si="114"/>
        <v/>
      </c>
      <c r="BG563" t="str">
        <f t="shared" si="115"/>
        <v/>
      </c>
      <c r="BH563">
        <f t="shared" si="116"/>
        <v>0</v>
      </c>
      <c r="BJ563" t="str">
        <f t="shared" si="117"/>
        <v/>
      </c>
      <c r="BL563">
        <f t="shared" si="119"/>
        <v>0</v>
      </c>
      <c r="BN563">
        <v>5.62E-3</v>
      </c>
      <c r="BS563" s="4" t="s">
        <v>2426</v>
      </c>
    </row>
    <row r="564" spans="1:71" ht="15.75" thickBot="1" x14ac:dyDescent="0.3">
      <c r="A564" s="569" t="s">
        <v>1104</v>
      </c>
      <c r="B564" s="569" t="s">
        <v>158</v>
      </c>
      <c r="C564" s="569" t="s">
        <v>6</v>
      </c>
      <c r="D564" s="574">
        <v>11</v>
      </c>
      <c r="E564" s="569"/>
      <c r="F564" s="569"/>
      <c r="G564" s="569"/>
      <c r="H564" s="569"/>
      <c r="I564" s="574">
        <v>0</v>
      </c>
      <c r="J564" s="574">
        <v>0</v>
      </c>
      <c r="K564" s="574">
        <v>0</v>
      </c>
      <c r="L564" s="574">
        <v>0.9</v>
      </c>
      <c r="M564" s="574">
        <v>0.1</v>
      </c>
      <c r="N564" s="574">
        <v>14.7</v>
      </c>
      <c r="O564" s="574">
        <v>0</v>
      </c>
      <c r="P564" s="574">
        <v>0</v>
      </c>
      <c r="Q564" s="574">
        <v>0.7</v>
      </c>
      <c r="R564" s="569"/>
      <c r="S564" s="569"/>
      <c r="T564" s="569"/>
      <c r="U564" s="569"/>
      <c r="V564" s="569"/>
      <c r="W564" s="569"/>
      <c r="X564" s="569"/>
      <c r="Y564" s="569"/>
      <c r="Z564" s="569"/>
      <c r="AA564" s="569"/>
      <c r="AB564" s="569"/>
      <c r="AC564" s="569"/>
      <c r="AD564" s="569"/>
      <c r="AE564" s="569"/>
      <c r="AF564" s="569"/>
      <c r="AG564" s="569"/>
      <c r="AH564" s="569"/>
      <c r="AI564" s="569"/>
      <c r="AJ564" s="569"/>
      <c r="AK564" s="569"/>
      <c r="AL564" s="569"/>
      <c r="AM564" s="569"/>
      <c r="AN564" s="574">
        <v>2</v>
      </c>
      <c r="AO564">
        <v>563</v>
      </c>
      <c r="AP564" t="str">
        <f t="shared" si="118"/>
        <v/>
      </c>
      <c r="AQ564" t="str">
        <f t="shared" si="108"/>
        <v/>
      </c>
      <c r="AR564" s="430">
        <f>IFERROR(
IF(AP564="",-100,
IF($BV$2&gt;0, INDEX(Beersheet!$A:$U,MATCH(AP564,INDEX(Beersheet!$A:$U,0,FFARawStatProjections!$BV$2),0),$BV$3)+$BN564,
INDEX($A564:$BM564,,$BV$12)*$BW$12+
INDEX($A564:$BM564,,$BV$15)*$BW$15+
INDEX($A564:$BM564,,$BV$16)*$BW$16+
INDEX($A564:$BM564,,$BV$17)*$BW$17+
INDEX($A564:$BM564,,$BV$18)*$BW$18+
INDEX($A564:$BM564,,$BV$19)*$BW$19+
INDEX($A564:$BM564,,$BV$20)*$BW$20+
INDEX($A564:$BM564,,$BV$21)*$BW$21+
INDEX($A564:$BM564,,$BV$22)*$BW$22+
INDEX($A564:$BM564,,$BV$23)*$BW$23+
INDEX($A564:$BM564,,$BV$25)*$BW$25+
INDEX($A564:$BM564,,$BV$26)*$BW$26+
INDEX($A564:$BM564,,$BV$27)*$BW$27+
$BN564)),
$BN564-100)</f>
        <v>-100</v>
      </c>
      <c r="AT564" t="str">
        <f t="shared" si="109"/>
        <v/>
      </c>
      <c r="AU564" t="str">
        <f t="shared" si="110"/>
        <v/>
      </c>
      <c r="AV564" s="430">
        <f>IFERROR(
IF(AT564="",-100,
IF($BV$2&gt;0, INDEX(Beersheet!$A:$U,MATCH(AT564,INDEX(Beersheet!$A:$U,0,FFARawStatProjections!$BV$2),0),$BV$3)+$BN564,
INDEX($A564:$BM564,,$BV$12)*$BW$12+
INDEX($A564:$BM564,,$BV$15)*$BW$15+
INDEX($A564:$BM564,,$BV$16)*$BW$16+
INDEX($A564:$BM564,,$BV$17)*$BW$17+
INDEX($A564:$BM564,,$BV$18)*$BW$18+
INDEX($A564:$BM564,,$BV$19)*$BW$19+
INDEX($A564:$BM564,,$BV$20)*$BW$20+
INDEX($A564:$BM564,,$BV$21)*$BW$21+
INDEX($A564:$BM564,,$BV$22)*$BW$22+
INDEX($A564:$BM564,,$BV$23)*$BW$23+
INDEX($A564:$BM564,,$BV$25)*$BW$25+
INDEX($A564:$BM564,,$BV$26)*$BW$26+
INDEX($A564:$BM564,,$BV$27)*$BW$27+
$BN564)),
$BN564-100)</f>
        <v>-100</v>
      </c>
      <c r="AX564" t="str">
        <f t="shared" si="111"/>
        <v>Breshad Perriman</v>
      </c>
      <c r="AY564" t="str">
        <f t="shared" si="112"/>
        <v>IND</v>
      </c>
      <c r="AZ564" s="430">
        <f>IFERROR(
IF(AX564="",-100,
IF($BV$2&gt;0, INDEX(Beersheet!$A:$U,MATCH(AX564,INDEX(Beersheet!$A:$U,0,FFARawStatProjections!$BV$2),0),$BV$3)+$BN564,
INDEX($A564:$BM564,,$BV$12)*$BW$12+
INDEX($A564:$BM564,,$BV$15)*$BW$15+
INDEX($A564:$BM564,,$BV$16)*$BW$16+
INDEX($A564:$BM564,,$BV$17)*$BW$17+
INDEX($A564:$BM564,,$BV$18)*$BW$18+
INDEX($A564:$BM564,,$BV$19)*$BW$19+
INDEX($A564:$BM564,,$BV$20)*$BW$20+
INDEX($A564:$BM564,,$BV$21)*$BW$21+
INDEX($A564:$BM564,,$BV$22)*$BW$22+
INDEX($A564:$BM564,,$BV$23)*$BW$23+
INDEX($A564:$BM564,,$BV$25)*$BW$25+
INDEX($A564:$BM564,,$BV$26)*$BW$26+
INDEX($A564:$BM564,,$BV$27)*$BW$27+
$BN564)),
$BN564-100)</f>
        <v>3.0456299999999996</v>
      </c>
      <c r="BB564" t="str">
        <f t="shared" si="113"/>
        <v/>
      </c>
      <c r="BC564" t="str">
        <f t="shared" si="107"/>
        <v/>
      </c>
      <c r="BD564" s="430">
        <f>IFERROR(
IF(BB564="",-100,
IF($BV$2&gt;0, INDEX(Beersheet!$A:$U,MATCH(BB564,INDEX(Beersheet!$A:$U,0,FFARawStatProjections!$BV$2),0),$BV$3)+$BN564,
INDEX($A564:$BM564,,$BV$12)*$BW$12+
INDEX($A564:$BM564,,$BV$15)*$BW$15+
INDEX($A564:$BM564,,$BV$16)*$BW$16+
INDEX($A564:$BM564,,$BV$17)*$BW$17+
INDEX($A564:$BM564,,$BV$18)*$BW$18+
INDEX($A564:$BM564,,$BV$19)*$BW$19+
INDEX($A564:$BM564,,$BV$20)*$BW$20+
INDEX($A564:$BM564,,$BV$21)*$BW$21+
INDEX($A564:$BM564,,$BV$22)*$BW$22+
INDEX($A564:$BM564,,$BV$23)*$BW$23+
INDEX($A564:$BM564,,$BV$25)*$BW$25+
INDEX($A564:$BM564,,$BV$26)*$BW$26+
INDEX($A564:$BM564,,$BV$27)*$BW$27+
$BN564)),
$BN564-100)</f>
        <v>-100</v>
      </c>
      <c r="BF564" t="str">
        <f t="shared" si="114"/>
        <v/>
      </c>
      <c r="BG564" t="str">
        <f t="shared" si="115"/>
        <v/>
      </c>
      <c r="BH564">
        <f t="shared" si="116"/>
        <v>0</v>
      </c>
      <c r="BJ564" t="str">
        <f t="shared" si="117"/>
        <v/>
      </c>
      <c r="BL564">
        <f t="shared" si="119"/>
        <v>0</v>
      </c>
      <c r="BN564">
        <v>5.6299999999999996E-3</v>
      </c>
      <c r="BS564" s="4" t="s">
        <v>1888</v>
      </c>
    </row>
    <row r="565" spans="1:71" ht="15.75" thickBot="1" x14ac:dyDescent="0.3">
      <c r="A565" s="569" t="s">
        <v>2470</v>
      </c>
      <c r="B565" s="569" t="s">
        <v>164</v>
      </c>
      <c r="C565" s="569" t="s">
        <v>6</v>
      </c>
      <c r="D565" s="574">
        <v>7</v>
      </c>
      <c r="E565" s="569"/>
      <c r="F565" s="569"/>
      <c r="G565" s="569"/>
      <c r="H565" s="569"/>
      <c r="I565" s="574">
        <v>0</v>
      </c>
      <c r="J565" s="574">
        <v>0</v>
      </c>
      <c r="K565" s="574">
        <v>0</v>
      </c>
      <c r="L565" s="574">
        <v>0.8</v>
      </c>
      <c r="M565" s="574">
        <v>0.1</v>
      </c>
      <c r="N565" s="574">
        <v>9.6999999999999993</v>
      </c>
      <c r="O565" s="574">
        <v>0</v>
      </c>
      <c r="P565" s="574">
        <v>0</v>
      </c>
      <c r="Q565" s="574">
        <v>0.4</v>
      </c>
      <c r="R565" s="569"/>
      <c r="S565" s="569"/>
      <c r="T565" s="569"/>
      <c r="U565" s="569"/>
      <c r="V565" s="569"/>
      <c r="W565" s="569"/>
      <c r="X565" s="569"/>
      <c r="Y565" s="569"/>
      <c r="Z565" s="569"/>
      <c r="AA565" s="569"/>
      <c r="AB565" s="569"/>
      <c r="AC565" s="569"/>
      <c r="AD565" s="569"/>
      <c r="AE565" s="569"/>
      <c r="AF565" s="569"/>
      <c r="AG565" s="569"/>
      <c r="AH565" s="569"/>
      <c r="AI565" s="569"/>
      <c r="AJ565" s="569"/>
      <c r="AK565" s="569"/>
      <c r="AL565" s="569"/>
      <c r="AM565" s="569"/>
      <c r="AN565" s="574">
        <v>1.5</v>
      </c>
      <c r="AO565">
        <v>564</v>
      </c>
      <c r="AP565" t="str">
        <f t="shared" si="118"/>
        <v/>
      </c>
      <c r="AQ565" t="str">
        <f t="shared" si="108"/>
        <v/>
      </c>
      <c r="AR565" s="430">
        <f>IFERROR(
IF(AP565="",-100,
IF($BV$2&gt;0, INDEX(Beersheet!$A:$U,MATCH(AP565,INDEX(Beersheet!$A:$U,0,FFARawStatProjections!$BV$2),0),$BV$3)+$BN565,
INDEX($A565:$BM565,,$BV$12)*$BW$12+
INDEX($A565:$BM565,,$BV$15)*$BW$15+
INDEX($A565:$BM565,,$BV$16)*$BW$16+
INDEX($A565:$BM565,,$BV$17)*$BW$17+
INDEX($A565:$BM565,,$BV$18)*$BW$18+
INDEX($A565:$BM565,,$BV$19)*$BW$19+
INDEX($A565:$BM565,,$BV$20)*$BW$20+
INDEX($A565:$BM565,,$BV$21)*$BW$21+
INDEX($A565:$BM565,,$BV$22)*$BW$22+
INDEX($A565:$BM565,,$BV$23)*$BW$23+
INDEX($A565:$BM565,,$BV$25)*$BW$25+
INDEX($A565:$BM565,,$BV$26)*$BW$26+
INDEX($A565:$BM565,,$BV$27)*$BW$27+
$BN565)),
$BN565-100)</f>
        <v>-100</v>
      </c>
      <c r="AT565" t="str">
        <f t="shared" si="109"/>
        <v/>
      </c>
      <c r="AU565" t="str">
        <f t="shared" si="110"/>
        <v/>
      </c>
      <c r="AV565" s="430">
        <f>IFERROR(
IF(AT565="",-100,
IF($BV$2&gt;0, INDEX(Beersheet!$A:$U,MATCH(AT565,INDEX(Beersheet!$A:$U,0,FFARawStatProjections!$BV$2),0),$BV$3)+$BN565,
INDEX($A565:$BM565,,$BV$12)*$BW$12+
INDEX($A565:$BM565,,$BV$15)*$BW$15+
INDEX($A565:$BM565,,$BV$16)*$BW$16+
INDEX($A565:$BM565,,$BV$17)*$BW$17+
INDEX($A565:$BM565,,$BV$18)*$BW$18+
INDEX($A565:$BM565,,$BV$19)*$BW$19+
INDEX($A565:$BM565,,$BV$20)*$BW$20+
INDEX($A565:$BM565,,$BV$21)*$BW$21+
INDEX($A565:$BM565,,$BV$22)*$BW$22+
INDEX($A565:$BM565,,$BV$23)*$BW$23+
INDEX($A565:$BM565,,$BV$25)*$BW$25+
INDEX($A565:$BM565,,$BV$26)*$BW$26+
INDEX($A565:$BM565,,$BV$27)*$BW$27+
$BN565)),
$BN565-100)</f>
        <v>-100</v>
      </c>
      <c r="AX565" t="str">
        <f t="shared" si="111"/>
        <v>Jason Brownlee</v>
      </c>
      <c r="AY565" t="str">
        <f t="shared" si="112"/>
        <v>NYJ</v>
      </c>
      <c r="AZ565" s="430">
        <f>IFERROR(
IF(AX565="",-100,
IF($BV$2&gt;0, INDEX(Beersheet!$A:$U,MATCH(AX565,INDEX(Beersheet!$A:$U,0,FFARawStatProjections!$BV$2),0),$BV$3)+$BN565,
INDEX($A565:$BM565,,$BV$12)*$BW$12+
INDEX($A565:$BM565,,$BV$15)*$BW$15+
INDEX($A565:$BM565,,$BV$16)*$BW$16+
INDEX($A565:$BM565,,$BV$17)*$BW$17+
INDEX($A565:$BM565,,$BV$18)*$BW$18+
INDEX($A565:$BM565,,$BV$19)*$BW$19+
INDEX($A565:$BM565,,$BV$20)*$BW$20+
INDEX($A565:$BM565,,$BV$21)*$BW$21+
INDEX($A565:$BM565,,$BV$22)*$BW$22+
INDEX($A565:$BM565,,$BV$23)*$BW$23+
INDEX($A565:$BM565,,$BV$25)*$BW$25+
INDEX($A565:$BM565,,$BV$26)*$BW$26+
INDEX($A565:$BM565,,$BV$27)*$BW$27+
$BN565)),
$BN565-100)</f>
        <v>2.4156400000000002</v>
      </c>
      <c r="BB565" t="str">
        <f t="shared" si="113"/>
        <v/>
      </c>
      <c r="BC565" t="str">
        <f t="shared" si="107"/>
        <v/>
      </c>
      <c r="BD565" s="430">
        <f>IFERROR(
IF(BB565="",-100,
IF($BV$2&gt;0, INDEX(Beersheet!$A:$U,MATCH(BB565,INDEX(Beersheet!$A:$U,0,FFARawStatProjections!$BV$2),0),$BV$3)+$BN565,
INDEX($A565:$BM565,,$BV$12)*$BW$12+
INDEX($A565:$BM565,,$BV$15)*$BW$15+
INDEX($A565:$BM565,,$BV$16)*$BW$16+
INDEX($A565:$BM565,,$BV$17)*$BW$17+
INDEX($A565:$BM565,,$BV$18)*$BW$18+
INDEX($A565:$BM565,,$BV$19)*$BW$19+
INDEX($A565:$BM565,,$BV$20)*$BW$20+
INDEX($A565:$BM565,,$BV$21)*$BW$21+
INDEX($A565:$BM565,,$BV$22)*$BW$22+
INDEX($A565:$BM565,,$BV$23)*$BW$23+
INDEX($A565:$BM565,,$BV$25)*$BW$25+
INDEX($A565:$BM565,,$BV$26)*$BW$26+
INDEX($A565:$BM565,,$BV$27)*$BW$27+
$BN565)),
$BN565-100)</f>
        <v>-100</v>
      </c>
      <c r="BF565" t="str">
        <f t="shared" si="114"/>
        <v/>
      </c>
      <c r="BG565" t="str">
        <f t="shared" si="115"/>
        <v/>
      </c>
      <c r="BH565">
        <f t="shared" si="116"/>
        <v>0</v>
      </c>
      <c r="BJ565" t="str">
        <f t="shared" si="117"/>
        <v/>
      </c>
      <c r="BL565">
        <f t="shared" si="119"/>
        <v>0</v>
      </c>
      <c r="BN565">
        <v>5.64E-3</v>
      </c>
      <c r="BS565" s="4" t="s">
        <v>2425</v>
      </c>
    </row>
    <row r="566" spans="1:71" ht="15.75" thickBot="1" x14ac:dyDescent="0.3">
      <c r="A566" s="569" t="s">
        <v>2555</v>
      </c>
      <c r="B566" s="569" t="s">
        <v>143</v>
      </c>
      <c r="C566" s="569" t="s">
        <v>6</v>
      </c>
      <c r="D566" s="574">
        <v>11</v>
      </c>
      <c r="E566" s="569"/>
      <c r="F566" s="569"/>
      <c r="G566" s="569"/>
      <c r="H566" s="569"/>
      <c r="I566" s="574">
        <v>0</v>
      </c>
      <c r="J566" s="574">
        <v>0</v>
      </c>
      <c r="K566" s="574">
        <v>0</v>
      </c>
      <c r="L566" s="574">
        <v>9.1</v>
      </c>
      <c r="M566" s="574">
        <v>0.3</v>
      </c>
      <c r="N566" s="574">
        <v>38.700000000000003</v>
      </c>
      <c r="O566" s="574">
        <v>7.4</v>
      </c>
      <c r="P566" s="574">
        <v>0.3</v>
      </c>
      <c r="Q566" s="574">
        <v>58.1</v>
      </c>
      <c r="R566" s="569"/>
      <c r="S566" s="569"/>
      <c r="T566" s="569"/>
      <c r="U566" s="569"/>
      <c r="V566" s="569"/>
      <c r="W566" s="569"/>
      <c r="X566" s="569"/>
      <c r="Y566" s="569"/>
      <c r="Z566" s="569"/>
      <c r="AA566" s="569"/>
      <c r="AB566" s="569"/>
      <c r="AC566" s="569"/>
      <c r="AD566" s="569"/>
      <c r="AE566" s="569"/>
      <c r="AF566" s="569"/>
      <c r="AG566" s="569"/>
      <c r="AH566" s="569"/>
      <c r="AI566" s="569"/>
      <c r="AJ566" s="569"/>
      <c r="AK566" s="569"/>
      <c r="AL566" s="569"/>
      <c r="AM566" s="569"/>
      <c r="AN566" s="574">
        <v>13.1</v>
      </c>
      <c r="AO566">
        <v>565</v>
      </c>
      <c r="AP566" t="str">
        <f t="shared" si="118"/>
        <v/>
      </c>
      <c r="AQ566" t="str">
        <f t="shared" si="108"/>
        <v/>
      </c>
      <c r="AR566" s="430">
        <f>IFERROR(
IF(AP566="",-100,
IF($BV$2&gt;0, INDEX(Beersheet!$A:$U,MATCH(AP566,INDEX(Beersheet!$A:$U,0,FFARawStatProjections!$BV$2),0),$BV$3)+$BN566,
INDEX($A566:$BM566,,$BV$12)*$BW$12+
INDEX($A566:$BM566,,$BV$15)*$BW$15+
INDEX($A566:$BM566,,$BV$16)*$BW$16+
INDEX($A566:$BM566,,$BV$17)*$BW$17+
INDEX($A566:$BM566,,$BV$18)*$BW$18+
INDEX($A566:$BM566,,$BV$19)*$BW$19+
INDEX($A566:$BM566,,$BV$20)*$BW$20+
INDEX($A566:$BM566,,$BV$21)*$BW$21+
INDEX($A566:$BM566,,$BV$22)*$BW$22+
INDEX($A566:$BM566,,$BV$23)*$BW$23+
INDEX($A566:$BM566,,$BV$25)*$BW$25+
INDEX($A566:$BM566,,$BV$26)*$BW$26+
INDEX($A566:$BM566,,$BV$27)*$BW$27+
$BN566)),
$BN566-100)</f>
        <v>-100</v>
      </c>
      <c r="AT566" t="str">
        <f t="shared" si="109"/>
        <v/>
      </c>
      <c r="AU566" t="str">
        <f t="shared" si="110"/>
        <v/>
      </c>
      <c r="AV566" s="430">
        <f>IFERROR(
IF(AT566="",-100,
IF($BV$2&gt;0, INDEX(Beersheet!$A:$U,MATCH(AT566,INDEX(Beersheet!$A:$U,0,FFARawStatProjections!$BV$2),0),$BV$3)+$BN566,
INDEX($A566:$BM566,,$BV$12)*$BW$12+
INDEX($A566:$BM566,,$BV$15)*$BW$15+
INDEX($A566:$BM566,,$BV$16)*$BW$16+
INDEX($A566:$BM566,,$BV$17)*$BW$17+
INDEX($A566:$BM566,,$BV$18)*$BW$18+
INDEX($A566:$BM566,,$BV$19)*$BW$19+
INDEX($A566:$BM566,,$BV$20)*$BW$20+
INDEX($A566:$BM566,,$BV$21)*$BW$21+
INDEX($A566:$BM566,,$BV$22)*$BW$22+
INDEX($A566:$BM566,,$BV$23)*$BW$23+
INDEX($A566:$BM566,,$BV$25)*$BW$25+
INDEX($A566:$BM566,,$BV$26)*$BW$26+
INDEX($A566:$BM566,,$BV$27)*$BW$27+
$BN566)),
$BN566-100)</f>
        <v>-100</v>
      </c>
      <c r="AX566" t="str">
        <f t="shared" si="111"/>
        <v>Kirk Merritt</v>
      </c>
      <c r="AY566" t="str">
        <f t="shared" si="112"/>
        <v>NO</v>
      </c>
      <c r="AZ566" s="430">
        <f>IFERROR(
IF(AX566="",-100,
IF($BV$2&gt;0, INDEX(Beersheet!$A:$U,MATCH(AX566,INDEX(Beersheet!$A:$U,0,FFARawStatProjections!$BV$2),0),$BV$3)+$BN566,
INDEX($A566:$BM566,,$BV$12)*$BW$12+
INDEX($A566:$BM566,,$BV$15)*$BW$15+
INDEX($A566:$BM566,,$BV$16)*$BW$16+
INDEX($A566:$BM566,,$BV$17)*$BW$17+
INDEX($A566:$BM566,,$BV$18)*$BW$18+
INDEX($A566:$BM566,,$BV$19)*$BW$19+
INDEX($A566:$BM566,,$BV$20)*$BW$20+
INDEX($A566:$BM566,,$BV$21)*$BW$21+
INDEX($A566:$BM566,,$BV$22)*$BW$22+
INDEX($A566:$BM566,,$BV$23)*$BW$23+
INDEX($A566:$BM566,,$BV$25)*$BW$25+
INDEX($A566:$BM566,,$BV$26)*$BW$26+
INDEX($A566:$BM566,,$BV$27)*$BW$27+
$BN566)),
$BN566-100)</f>
        <v>22.385650000000002</v>
      </c>
      <c r="BB566" t="str">
        <f t="shared" si="113"/>
        <v/>
      </c>
      <c r="BC566" t="str">
        <f t="shared" si="107"/>
        <v/>
      </c>
      <c r="BD566" s="430">
        <f>IFERROR(
IF(BB566="",-100,
IF($BV$2&gt;0, INDEX(Beersheet!$A:$U,MATCH(BB566,INDEX(Beersheet!$A:$U,0,FFARawStatProjections!$BV$2),0),$BV$3)+$BN566,
INDEX($A566:$BM566,,$BV$12)*$BW$12+
INDEX($A566:$BM566,,$BV$15)*$BW$15+
INDEX($A566:$BM566,,$BV$16)*$BW$16+
INDEX($A566:$BM566,,$BV$17)*$BW$17+
INDEX($A566:$BM566,,$BV$18)*$BW$18+
INDEX($A566:$BM566,,$BV$19)*$BW$19+
INDEX($A566:$BM566,,$BV$20)*$BW$20+
INDEX($A566:$BM566,,$BV$21)*$BW$21+
INDEX($A566:$BM566,,$BV$22)*$BW$22+
INDEX($A566:$BM566,,$BV$23)*$BW$23+
INDEX($A566:$BM566,,$BV$25)*$BW$25+
INDEX($A566:$BM566,,$BV$26)*$BW$26+
INDEX($A566:$BM566,,$BV$27)*$BW$27+
$BN566)),
$BN566-100)</f>
        <v>-100</v>
      </c>
      <c r="BF566" t="str">
        <f t="shared" si="114"/>
        <v/>
      </c>
      <c r="BG566" t="str">
        <f t="shared" si="115"/>
        <v/>
      </c>
      <c r="BH566">
        <f t="shared" si="116"/>
        <v>0</v>
      </c>
      <c r="BJ566" t="str">
        <f t="shared" si="117"/>
        <v/>
      </c>
      <c r="BL566">
        <f t="shared" si="119"/>
        <v>0</v>
      </c>
      <c r="BN566">
        <v>5.6499999999999996E-3</v>
      </c>
      <c r="BS566" s="4" t="s">
        <v>2219</v>
      </c>
    </row>
    <row r="567" spans="1:71" ht="15.75" thickBot="1" x14ac:dyDescent="0.3">
      <c r="A567" s="569"/>
      <c r="B567" s="569"/>
      <c r="C567" s="569" t="s">
        <v>6</v>
      </c>
      <c r="D567" s="574"/>
      <c r="E567" s="569"/>
      <c r="F567" s="569"/>
      <c r="G567" s="569"/>
      <c r="H567" s="569"/>
      <c r="I567" s="574">
        <v>0</v>
      </c>
      <c r="J567" s="574">
        <v>0</v>
      </c>
      <c r="K567" s="574">
        <v>0</v>
      </c>
      <c r="L567" s="574"/>
      <c r="M567" s="574"/>
      <c r="N567" s="574"/>
      <c r="O567" s="574"/>
      <c r="P567" s="574"/>
      <c r="Q567" s="574"/>
      <c r="R567" s="569"/>
      <c r="S567" s="569"/>
      <c r="T567" s="569"/>
      <c r="U567" s="569"/>
      <c r="V567" s="569"/>
      <c r="W567" s="569"/>
      <c r="X567" s="569"/>
      <c r="Y567" s="569"/>
      <c r="Z567" s="569"/>
      <c r="AA567" s="569"/>
      <c r="AB567" s="569"/>
      <c r="AC567" s="569"/>
      <c r="AD567" s="569"/>
      <c r="AE567" s="569"/>
      <c r="AF567" s="569"/>
      <c r="AG567" s="569"/>
      <c r="AH567" s="569"/>
      <c r="AI567" s="569"/>
      <c r="AJ567" s="569"/>
      <c r="AK567" s="569"/>
      <c r="AL567" s="569"/>
      <c r="AM567" s="569"/>
      <c r="AN567" s="574"/>
      <c r="AO567">
        <v>566</v>
      </c>
      <c r="AP567" t="str">
        <f t="shared" si="118"/>
        <v/>
      </c>
      <c r="AQ567" t="str">
        <f t="shared" si="108"/>
        <v/>
      </c>
      <c r="AR567" s="430">
        <f>IFERROR(
IF(AP567="",-100,
IF($BV$2&gt;0, INDEX(Beersheet!$A:$U,MATCH(AP567,INDEX(Beersheet!$A:$U,0,FFARawStatProjections!$BV$2),0),$BV$3)+$BN567,
INDEX($A567:$BM567,,$BV$12)*$BW$12+
INDEX($A567:$BM567,,$BV$15)*$BW$15+
INDEX($A567:$BM567,,$BV$16)*$BW$16+
INDEX($A567:$BM567,,$BV$17)*$BW$17+
INDEX($A567:$BM567,,$BV$18)*$BW$18+
INDEX($A567:$BM567,,$BV$19)*$BW$19+
INDEX($A567:$BM567,,$BV$20)*$BW$20+
INDEX($A567:$BM567,,$BV$21)*$BW$21+
INDEX($A567:$BM567,,$BV$22)*$BW$22+
INDEX($A567:$BM567,,$BV$23)*$BW$23+
INDEX($A567:$BM567,,$BV$25)*$BW$25+
INDEX($A567:$BM567,,$BV$26)*$BW$26+
INDEX($A567:$BM567,,$BV$27)*$BW$27+
$BN567)),
$BN567-100)</f>
        <v>-100</v>
      </c>
      <c r="AT567" t="str">
        <f t="shared" si="109"/>
        <v/>
      </c>
      <c r="AU567" t="str">
        <f t="shared" si="110"/>
        <v/>
      </c>
      <c r="AV567" s="430">
        <f>IFERROR(
IF(AT567="",-100,
IF($BV$2&gt;0, INDEX(Beersheet!$A:$U,MATCH(AT567,INDEX(Beersheet!$A:$U,0,FFARawStatProjections!$BV$2),0),$BV$3)+$BN567,
INDEX($A567:$BM567,,$BV$12)*$BW$12+
INDEX($A567:$BM567,,$BV$15)*$BW$15+
INDEX($A567:$BM567,,$BV$16)*$BW$16+
INDEX($A567:$BM567,,$BV$17)*$BW$17+
INDEX($A567:$BM567,,$BV$18)*$BW$18+
INDEX($A567:$BM567,,$BV$19)*$BW$19+
INDEX($A567:$BM567,,$BV$20)*$BW$20+
INDEX($A567:$BM567,,$BV$21)*$BW$21+
INDEX($A567:$BM567,,$BV$22)*$BW$22+
INDEX($A567:$BM567,,$BV$23)*$BW$23+
INDEX($A567:$BM567,,$BV$25)*$BW$25+
INDEX($A567:$BM567,,$BV$26)*$BW$26+
INDEX($A567:$BM567,,$BV$27)*$BW$27+
$BN567)),
$BN567-100)</f>
        <v>-100</v>
      </c>
      <c r="AX567">
        <f t="shared" si="111"/>
        <v>0</v>
      </c>
      <c r="AY567">
        <f t="shared" si="112"/>
        <v>0</v>
      </c>
      <c r="AZ567" s="430">
        <f>IFERROR(
IF(AX567="",-100,
IF($BV$2&gt;0, INDEX(Beersheet!$A:$U,MATCH(AX567,INDEX(Beersheet!$A:$U,0,FFARawStatProjections!$BV$2),0),$BV$3)+$BN567,
INDEX($A567:$BM567,,$BV$12)*$BW$12+
INDEX($A567:$BM567,,$BV$15)*$BW$15+
INDEX($A567:$BM567,,$BV$16)*$BW$16+
INDEX($A567:$BM567,,$BV$17)*$BW$17+
INDEX($A567:$BM567,,$BV$18)*$BW$18+
INDEX($A567:$BM567,,$BV$19)*$BW$19+
INDEX($A567:$BM567,,$BV$20)*$BW$20+
INDEX($A567:$BM567,,$BV$21)*$BW$21+
INDEX($A567:$BM567,,$BV$22)*$BW$22+
INDEX($A567:$BM567,,$BV$23)*$BW$23+
INDEX($A567:$BM567,,$BV$25)*$BW$25+
INDEX($A567:$BM567,,$BV$26)*$BW$26+
INDEX($A567:$BM567,,$BV$27)*$BW$27+
$BN567)),
$BN567-100)</f>
        <v>5.6600000000000001E-3</v>
      </c>
      <c r="BB567" t="str">
        <f t="shared" si="113"/>
        <v/>
      </c>
      <c r="BC567" t="str">
        <f t="shared" si="107"/>
        <v/>
      </c>
      <c r="BD567" s="430">
        <f>IFERROR(
IF(BB567="",-100,
IF($BV$2&gt;0, INDEX(Beersheet!$A:$U,MATCH(BB567,INDEX(Beersheet!$A:$U,0,FFARawStatProjections!$BV$2),0),$BV$3)+$BN567,
INDEX($A567:$BM567,,$BV$12)*$BW$12+
INDEX($A567:$BM567,,$BV$15)*$BW$15+
INDEX($A567:$BM567,,$BV$16)*$BW$16+
INDEX($A567:$BM567,,$BV$17)*$BW$17+
INDEX($A567:$BM567,,$BV$18)*$BW$18+
INDEX($A567:$BM567,,$BV$19)*$BW$19+
INDEX($A567:$BM567,,$BV$20)*$BW$20+
INDEX($A567:$BM567,,$BV$21)*$BW$21+
INDEX($A567:$BM567,,$BV$22)*$BW$22+
INDEX($A567:$BM567,,$BV$23)*$BW$23+
INDEX($A567:$BM567,,$BV$25)*$BW$25+
INDEX($A567:$BM567,,$BV$26)*$BW$26+
INDEX($A567:$BM567,,$BV$27)*$BW$27+
$BN567)),
$BN567-100)</f>
        <v>-100</v>
      </c>
      <c r="BF567" t="str">
        <f t="shared" si="114"/>
        <v/>
      </c>
      <c r="BG567" t="str">
        <f t="shared" si="115"/>
        <v/>
      </c>
      <c r="BH567">
        <f t="shared" si="116"/>
        <v>0</v>
      </c>
      <c r="BJ567" t="str">
        <f t="shared" si="117"/>
        <v/>
      </c>
      <c r="BL567">
        <f t="shared" si="119"/>
        <v>0</v>
      </c>
      <c r="BN567">
        <v>5.6600000000000001E-3</v>
      </c>
      <c r="BS567" s="4" t="s">
        <v>2424</v>
      </c>
    </row>
    <row r="568" spans="1:71" ht="15.75" thickBot="1" x14ac:dyDescent="0.3">
      <c r="A568" s="569"/>
      <c r="B568" s="569"/>
      <c r="C568" s="569" t="s">
        <v>6</v>
      </c>
      <c r="D568" s="574"/>
      <c r="E568" s="569"/>
      <c r="F568" s="569"/>
      <c r="G568" s="569"/>
      <c r="H568" s="569"/>
      <c r="I568" s="574">
        <v>0</v>
      </c>
      <c r="J568" s="574">
        <v>0</v>
      </c>
      <c r="K568" s="574">
        <v>0</v>
      </c>
      <c r="L568" s="574"/>
      <c r="M568" s="574"/>
      <c r="N568" s="574"/>
      <c r="O568" s="574"/>
      <c r="P568" s="574"/>
      <c r="Q568" s="574"/>
      <c r="R568" s="569"/>
      <c r="S568" s="569"/>
      <c r="T568" s="569"/>
      <c r="U568" s="569"/>
      <c r="V568" s="569"/>
      <c r="W568" s="569"/>
      <c r="X568" s="569"/>
      <c r="Y568" s="569"/>
      <c r="Z568" s="569"/>
      <c r="AA568" s="569"/>
      <c r="AB568" s="569"/>
      <c r="AC568" s="569"/>
      <c r="AD568" s="569"/>
      <c r="AE568" s="569"/>
      <c r="AF568" s="569"/>
      <c r="AG568" s="569"/>
      <c r="AH568" s="569"/>
      <c r="AI568" s="569"/>
      <c r="AJ568" s="569"/>
      <c r="AK568" s="569"/>
      <c r="AL568" s="569"/>
      <c r="AM568" s="569"/>
      <c r="AN568" s="574"/>
      <c r="AO568">
        <v>567</v>
      </c>
      <c r="AP568" t="str">
        <f t="shared" si="118"/>
        <v/>
      </c>
      <c r="AQ568" t="str">
        <f t="shared" si="108"/>
        <v/>
      </c>
      <c r="AR568" s="430">
        <f>IFERROR(
IF(AP568="",-100,
IF($BV$2&gt;0, INDEX(Beersheet!$A:$U,MATCH(AP568,INDEX(Beersheet!$A:$U,0,FFARawStatProjections!$BV$2),0),$BV$3)+$BN568,
INDEX($A568:$BM568,,$BV$12)*$BW$12+
INDEX($A568:$BM568,,$BV$15)*$BW$15+
INDEX($A568:$BM568,,$BV$16)*$BW$16+
INDEX($A568:$BM568,,$BV$17)*$BW$17+
INDEX($A568:$BM568,,$BV$18)*$BW$18+
INDEX($A568:$BM568,,$BV$19)*$BW$19+
INDEX($A568:$BM568,,$BV$20)*$BW$20+
INDEX($A568:$BM568,,$BV$21)*$BW$21+
INDEX($A568:$BM568,,$BV$22)*$BW$22+
INDEX($A568:$BM568,,$BV$23)*$BW$23+
INDEX($A568:$BM568,,$BV$25)*$BW$25+
INDEX($A568:$BM568,,$BV$26)*$BW$26+
INDEX($A568:$BM568,,$BV$27)*$BW$27+
$BN568)),
$BN568-100)</f>
        <v>-100</v>
      </c>
      <c r="AT568" t="str">
        <f t="shared" si="109"/>
        <v/>
      </c>
      <c r="AU568" t="str">
        <f t="shared" si="110"/>
        <v/>
      </c>
      <c r="AV568" s="430">
        <f>IFERROR(
IF(AT568="",-100,
IF($BV$2&gt;0, INDEX(Beersheet!$A:$U,MATCH(AT568,INDEX(Beersheet!$A:$U,0,FFARawStatProjections!$BV$2),0),$BV$3)+$BN568,
INDEX($A568:$BM568,,$BV$12)*$BW$12+
INDEX($A568:$BM568,,$BV$15)*$BW$15+
INDEX($A568:$BM568,,$BV$16)*$BW$16+
INDEX($A568:$BM568,,$BV$17)*$BW$17+
INDEX($A568:$BM568,,$BV$18)*$BW$18+
INDEX($A568:$BM568,,$BV$19)*$BW$19+
INDEX($A568:$BM568,,$BV$20)*$BW$20+
INDEX($A568:$BM568,,$BV$21)*$BW$21+
INDEX($A568:$BM568,,$BV$22)*$BW$22+
INDEX($A568:$BM568,,$BV$23)*$BW$23+
INDEX($A568:$BM568,,$BV$25)*$BW$25+
INDEX($A568:$BM568,,$BV$26)*$BW$26+
INDEX($A568:$BM568,,$BV$27)*$BW$27+
$BN568)),
$BN568-100)</f>
        <v>-100</v>
      </c>
      <c r="AX568">
        <f t="shared" si="111"/>
        <v>0</v>
      </c>
      <c r="AY568">
        <f t="shared" si="112"/>
        <v>0</v>
      </c>
      <c r="AZ568" s="430">
        <f>IFERROR(
IF(AX568="",-100,
IF($BV$2&gt;0, INDEX(Beersheet!$A:$U,MATCH(AX568,INDEX(Beersheet!$A:$U,0,FFARawStatProjections!$BV$2),0),$BV$3)+$BN568,
INDEX($A568:$BM568,,$BV$12)*$BW$12+
INDEX($A568:$BM568,,$BV$15)*$BW$15+
INDEX($A568:$BM568,,$BV$16)*$BW$16+
INDEX($A568:$BM568,,$BV$17)*$BW$17+
INDEX($A568:$BM568,,$BV$18)*$BW$18+
INDEX($A568:$BM568,,$BV$19)*$BW$19+
INDEX($A568:$BM568,,$BV$20)*$BW$20+
INDEX($A568:$BM568,,$BV$21)*$BW$21+
INDEX($A568:$BM568,,$BV$22)*$BW$22+
INDEX($A568:$BM568,,$BV$23)*$BW$23+
INDEX($A568:$BM568,,$BV$25)*$BW$25+
INDEX($A568:$BM568,,$BV$26)*$BW$26+
INDEX($A568:$BM568,,$BV$27)*$BW$27+
$BN568)),
$BN568-100)</f>
        <v>5.6699999999999997E-3</v>
      </c>
      <c r="BB568" t="str">
        <f t="shared" si="113"/>
        <v/>
      </c>
      <c r="BC568" t="str">
        <f t="shared" si="107"/>
        <v/>
      </c>
      <c r="BD568" s="430">
        <f>IFERROR(
IF(BB568="",-100,
IF($BV$2&gt;0, INDEX(Beersheet!$A:$U,MATCH(BB568,INDEX(Beersheet!$A:$U,0,FFARawStatProjections!$BV$2),0),$BV$3)+$BN568,
INDEX($A568:$BM568,,$BV$12)*$BW$12+
INDEX($A568:$BM568,,$BV$15)*$BW$15+
INDEX($A568:$BM568,,$BV$16)*$BW$16+
INDEX($A568:$BM568,,$BV$17)*$BW$17+
INDEX($A568:$BM568,,$BV$18)*$BW$18+
INDEX($A568:$BM568,,$BV$19)*$BW$19+
INDEX($A568:$BM568,,$BV$20)*$BW$20+
INDEX($A568:$BM568,,$BV$21)*$BW$21+
INDEX($A568:$BM568,,$BV$22)*$BW$22+
INDEX($A568:$BM568,,$BV$23)*$BW$23+
INDEX($A568:$BM568,,$BV$25)*$BW$25+
INDEX($A568:$BM568,,$BV$26)*$BW$26+
INDEX($A568:$BM568,,$BV$27)*$BW$27+
$BN568)),
$BN568-100)</f>
        <v>-100</v>
      </c>
      <c r="BF568" t="str">
        <f t="shared" si="114"/>
        <v/>
      </c>
      <c r="BG568" t="str">
        <f t="shared" si="115"/>
        <v/>
      </c>
      <c r="BH568">
        <f t="shared" si="116"/>
        <v>0</v>
      </c>
      <c r="BJ568" t="str">
        <f t="shared" si="117"/>
        <v/>
      </c>
      <c r="BL568">
        <f t="shared" si="119"/>
        <v>0</v>
      </c>
      <c r="BN568">
        <v>5.6699999999999997E-3</v>
      </c>
      <c r="BS568" s="4" t="s">
        <v>2273</v>
      </c>
    </row>
    <row r="569" spans="1:71" ht="15.75" thickBot="1" x14ac:dyDescent="0.3">
      <c r="A569" s="569"/>
      <c r="B569" s="569"/>
      <c r="C569" s="569" t="s">
        <v>6</v>
      </c>
      <c r="D569" s="574"/>
      <c r="E569" s="569"/>
      <c r="F569" s="569"/>
      <c r="G569" s="569"/>
      <c r="H569" s="569"/>
      <c r="I569" s="574">
        <v>0</v>
      </c>
      <c r="J569" s="574">
        <v>0</v>
      </c>
      <c r="K569" s="574">
        <v>0</v>
      </c>
      <c r="L569" s="574"/>
      <c r="M569" s="574"/>
      <c r="N569" s="574"/>
      <c r="O569" s="574"/>
      <c r="P569" s="574"/>
      <c r="Q569" s="574"/>
      <c r="R569" s="569"/>
      <c r="S569" s="569"/>
      <c r="T569" s="569"/>
      <c r="U569" s="569"/>
      <c r="V569" s="569"/>
      <c r="W569" s="569"/>
      <c r="X569" s="569"/>
      <c r="Y569" s="569"/>
      <c r="Z569" s="569"/>
      <c r="AA569" s="569"/>
      <c r="AB569" s="569"/>
      <c r="AC569" s="569"/>
      <c r="AD569" s="569"/>
      <c r="AE569" s="569"/>
      <c r="AF569" s="569"/>
      <c r="AG569" s="569"/>
      <c r="AH569" s="569"/>
      <c r="AI569" s="569"/>
      <c r="AJ569" s="569"/>
      <c r="AK569" s="569"/>
      <c r="AL569" s="569"/>
      <c r="AM569" s="569"/>
      <c r="AN569" s="574"/>
      <c r="AO569">
        <v>568</v>
      </c>
      <c r="AP569" t="str">
        <f t="shared" si="118"/>
        <v/>
      </c>
      <c r="AQ569" t="str">
        <f t="shared" si="108"/>
        <v/>
      </c>
      <c r="AR569" s="430">
        <f>IFERROR(
IF(AP569="",-100,
IF($BV$2&gt;0, INDEX(Beersheet!$A:$U,MATCH(AP569,INDEX(Beersheet!$A:$U,0,FFARawStatProjections!$BV$2),0),$BV$3)+$BN569,
INDEX($A569:$BM569,,$BV$12)*$BW$12+
INDEX($A569:$BM569,,$BV$15)*$BW$15+
INDEX($A569:$BM569,,$BV$16)*$BW$16+
INDEX($A569:$BM569,,$BV$17)*$BW$17+
INDEX($A569:$BM569,,$BV$18)*$BW$18+
INDEX($A569:$BM569,,$BV$19)*$BW$19+
INDEX($A569:$BM569,,$BV$20)*$BW$20+
INDEX($A569:$BM569,,$BV$21)*$BW$21+
INDEX($A569:$BM569,,$BV$22)*$BW$22+
INDEX($A569:$BM569,,$BV$23)*$BW$23+
INDEX($A569:$BM569,,$BV$25)*$BW$25+
INDEX($A569:$BM569,,$BV$26)*$BW$26+
INDEX($A569:$BM569,,$BV$27)*$BW$27+
$BN569)),
$BN569-100)</f>
        <v>-100</v>
      </c>
      <c r="AT569" t="str">
        <f t="shared" si="109"/>
        <v/>
      </c>
      <c r="AU569" t="str">
        <f t="shared" si="110"/>
        <v/>
      </c>
      <c r="AV569" s="430">
        <f>IFERROR(
IF(AT569="",-100,
IF($BV$2&gt;0, INDEX(Beersheet!$A:$U,MATCH(AT569,INDEX(Beersheet!$A:$U,0,FFARawStatProjections!$BV$2),0),$BV$3)+$BN569,
INDEX($A569:$BM569,,$BV$12)*$BW$12+
INDEX($A569:$BM569,,$BV$15)*$BW$15+
INDEX($A569:$BM569,,$BV$16)*$BW$16+
INDEX($A569:$BM569,,$BV$17)*$BW$17+
INDEX($A569:$BM569,,$BV$18)*$BW$18+
INDEX($A569:$BM569,,$BV$19)*$BW$19+
INDEX($A569:$BM569,,$BV$20)*$BW$20+
INDEX($A569:$BM569,,$BV$21)*$BW$21+
INDEX($A569:$BM569,,$BV$22)*$BW$22+
INDEX($A569:$BM569,,$BV$23)*$BW$23+
INDEX($A569:$BM569,,$BV$25)*$BW$25+
INDEX($A569:$BM569,,$BV$26)*$BW$26+
INDEX($A569:$BM569,,$BV$27)*$BW$27+
$BN569)),
$BN569-100)</f>
        <v>-100</v>
      </c>
      <c r="AX569">
        <f t="shared" si="111"/>
        <v>0</v>
      </c>
      <c r="AY569">
        <f t="shared" si="112"/>
        <v>0</v>
      </c>
      <c r="AZ569" s="430">
        <f>IFERROR(
IF(AX569="",-100,
IF($BV$2&gt;0, INDEX(Beersheet!$A:$U,MATCH(AX569,INDEX(Beersheet!$A:$U,0,FFARawStatProjections!$BV$2),0),$BV$3)+$BN569,
INDEX($A569:$BM569,,$BV$12)*$BW$12+
INDEX($A569:$BM569,,$BV$15)*$BW$15+
INDEX($A569:$BM569,,$BV$16)*$BW$16+
INDEX($A569:$BM569,,$BV$17)*$BW$17+
INDEX($A569:$BM569,,$BV$18)*$BW$18+
INDEX($A569:$BM569,,$BV$19)*$BW$19+
INDEX($A569:$BM569,,$BV$20)*$BW$20+
INDEX($A569:$BM569,,$BV$21)*$BW$21+
INDEX($A569:$BM569,,$BV$22)*$BW$22+
INDEX($A569:$BM569,,$BV$23)*$BW$23+
INDEX($A569:$BM569,,$BV$25)*$BW$25+
INDEX($A569:$BM569,,$BV$26)*$BW$26+
INDEX($A569:$BM569,,$BV$27)*$BW$27+
$BN569)),
$BN569-100)</f>
        <v>5.6800000000000002E-3</v>
      </c>
      <c r="BB569" t="str">
        <f t="shared" si="113"/>
        <v/>
      </c>
      <c r="BC569" t="str">
        <f t="shared" si="107"/>
        <v/>
      </c>
      <c r="BD569" s="430">
        <f>IFERROR(
IF(BB569="",-100,
IF($BV$2&gt;0, INDEX(Beersheet!$A:$U,MATCH(BB569,INDEX(Beersheet!$A:$U,0,FFARawStatProjections!$BV$2),0),$BV$3)+$BN569,
INDEX($A569:$BM569,,$BV$12)*$BW$12+
INDEX($A569:$BM569,,$BV$15)*$BW$15+
INDEX($A569:$BM569,,$BV$16)*$BW$16+
INDEX($A569:$BM569,,$BV$17)*$BW$17+
INDEX($A569:$BM569,,$BV$18)*$BW$18+
INDEX($A569:$BM569,,$BV$19)*$BW$19+
INDEX($A569:$BM569,,$BV$20)*$BW$20+
INDEX($A569:$BM569,,$BV$21)*$BW$21+
INDEX($A569:$BM569,,$BV$22)*$BW$22+
INDEX($A569:$BM569,,$BV$23)*$BW$23+
INDEX($A569:$BM569,,$BV$25)*$BW$25+
INDEX($A569:$BM569,,$BV$26)*$BW$26+
INDEX($A569:$BM569,,$BV$27)*$BW$27+
$BN569)),
$BN569-100)</f>
        <v>-100</v>
      </c>
      <c r="BF569" t="str">
        <f t="shared" si="114"/>
        <v/>
      </c>
      <c r="BG569" t="str">
        <f t="shared" si="115"/>
        <v/>
      </c>
      <c r="BH569">
        <f t="shared" si="116"/>
        <v>0</v>
      </c>
      <c r="BJ569" t="str">
        <f t="shared" si="117"/>
        <v/>
      </c>
      <c r="BL569">
        <f t="shared" si="119"/>
        <v>0</v>
      </c>
      <c r="BN569">
        <v>5.6800000000000002E-3</v>
      </c>
      <c r="BS569" s="4" t="s">
        <v>2295</v>
      </c>
    </row>
    <row r="570" spans="1:71" ht="15.75" thickBot="1" x14ac:dyDescent="0.3">
      <c r="A570" s="569"/>
      <c r="B570" s="569"/>
      <c r="C570" s="569" t="s">
        <v>6</v>
      </c>
      <c r="D570" s="574"/>
      <c r="E570" s="569"/>
      <c r="F570" s="569"/>
      <c r="G570" s="569"/>
      <c r="H570" s="569"/>
      <c r="I570" s="574">
        <v>0</v>
      </c>
      <c r="J570" s="574">
        <v>0</v>
      </c>
      <c r="K570" s="574">
        <v>0</v>
      </c>
      <c r="L570" s="574"/>
      <c r="M570" s="574"/>
      <c r="N570" s="574"/>
      <c r="O570" s="574"/>
      <c r="P570" s="574"/>
      <c r="Q570" s="574"/>
      <c r="R570" s="569"/>
      <c r="S570" s="569"/>
      <c r="T570" s="569"/>
      <c r="U570" s="569"/>
      <c r="V570" s="569"/>
      <c r="W570" s="569"/>
      <c r="X570" s="569"/>
      <c r="Y570" s="569"/>
      <c r="Z570" s="569"/>
      <c r="AA570" s="569"/>
      <c r="AB570" s="569"/>
      <c r="AC570" s="569"/>
      <c r="AD570" s="569"/>
      <c r="AE570" s="569"/>
      <c r="AF570" s="569"/>
      <c r="AG570" s="569"/>
      <c r="AH570" s="569"/>
      <c r="AI570" s="569"/>
      <c r="AJ570" s="569"/>
      <c r="AK570" s="569"/>
      <c r="AL570" s="569"/>
      <c r="AM570" s="569"/>
      <c r="AN570" s="574"/>
      <c r="AO570">
        <v>569</v>
      </c>
      <c r="AP570" t="str">
        <f t="shared" si="118"/>
        <v/>
      </c>
      <c r="AQ570" t="str">
        <f t="shared" si="108"/>
        <v/>
      </c>
      <c r="AR570" s="430">
        <f>IFERROR(
IF(AP570="",-100,
IF($BV$2&gt;0, INDEX(Beersheet!$A:$U,MATCH(AP570,INDEX(Beersheet!$A:$U,0,FFARawStatProjections!$BV$2),0),$BV$3)+$BN570,
INDEX($A570:$BM570,,$BV$12)*$BW$12+
INDEX($A570:$BM570,,$BV$15)*$BW$15+
INDEX($A570:$BM570,,$BV$16)*$BW$16+
INDEX($A570:$BM570,,$BV$17)*$BW$17+
INDEX($A570:$BM570,,$BV$18)*$BW$18+
INDEX($A570:$BM570,,$BV$19)*$BW$19+
INDEX($A570:$BM570,,$BV$20)*$BW$20+
INDEX($A570:$BM570,,$BV$21)*$BW$21+
INDEX($A570:$BM570,,$BV$22)*$BW$22+
INDEX($A570:$BM570,,$BV$23)*$BW$23+
INDEX($A570:$BM570,,$BV$25)*$BW$25+
INDEX($A570:$BM570,,$BV$26)*$BW$26+
INDEX($A570:$BM570,,$BV$27)*$BW$27+
$BN570)),
$BN570-100)</f>
        <v>-100</v>
      </c>
      <c r="AT570" t="str">
        <f t="shared" si="109"/>
        <v/>
      </c>
      <c r="AU570" t="str">
        <f t="shared" si="110"/>
        <v/>
      </c>
      <c r="AV570" s="430">
        <f>IFERROR(
IF(AT570="",-100,
IF($BV$2&gt;0, INDEX(Beersheet!$A:$U,MATCH(AT570,INDEX(Beersheet!$A:$U,0,FFARawStatProjections!$BV$2),0),$BV$3)+$BN570,
INDEX($A570:$BM570,,$BV$12)*$BW$12+
INDEX($A570:$BM570,,$BV$15)*$BW$15+
INDEX($A570:$BM570,,$BV$16)*$BW$16+
INDEX($A570:$BM570,,$BV$17)*$BW$17+
INDEX($A570:$BM570,,$BV$18)*$BW$18+
INDEX($A570:$BM570,,$BV$19)*$BW$19+
INDEX($A570:$BM570,,$BV$20)*$BW$20+
INDEX($A570:$BM570,,$BV$21)*$BW$21+
INDEX($A570:$BM570,,$BV$22)*$BW$22+
INDEX($A570:$BM570,,$BV$23)*$BW$23+
INDEX($A570:$BM570,,$BV$25)*$BW$25+
INDEX($A570:$BM570,,$BV$26)*$BW$26+
INDEX($A570:$BM570,,$BV$27)*$BW$27+
$BN570)),
$BN570-100)</f>
        <v>-100</v>
      </c>
      <c r="AX570">
        <f t="shared" si="111"/>
        <v>0</v>
      </c>
      <c r="AY570">
        <f t="shared" si="112"/>
        <v>0</v>
      </c>
      <c r="AZ570" s="430">
        <f>IFERROR(
IF(AX570="",-100,
IF($BV$2&gt;0, INDEX(Beersheet!$A:$U,MATCH(AX570,INDEX(Beersheet!$A:$U,0,FFARawStatProjections!$BV$2),0),$BV$3)+$BN570,
INDEX($A570:$BM570,,$BV$12)*$BW$12+
INDEX($A570:$BM570,,$BV$15)*$BW$15+
INDEX($A570:$BM570,,$BV$16)*$BW$16+
INDEX($A570:$BM570,,$BV$17)*$BW$17+
INDEX($A570:$BM570,,$BV$18)*$BW$18+
INDEX($A570:$BM570,,$BV$19)*$BW$19+
INDEX($A570:$BM570,,$BV$20)*$BW$20+
INDEX($A570:$BM570,,$BV$21)*$BW$21+
INDEX($A570:$BM570,,$BV$22)*$BW$22+
INDEX($A570:$BM570,,$BV$23)*$BW$23+
INDEX($A570:$BM570,,$BV$25)*$BW$25+
INDEX($A570:$BM570,,$BV$26)*$BW$26+
INDEX($A570:$BM570,,$BV$27)*$BW$27+
$BN570)),
$BN570-100)</f>
        <v>5.6899999999999997E-3</v>
      </c>
      <c r="BB570" t="str">
        <f t="shared" si="113"/>
        <v/>
      </c>
      <c r="BC570" t="str">
        <f t="shared" si="107"/>
        <v/>
      </c>
      <c r="BD570" s="430">
        <f>IFERROR(
IF(BB570="",-100,
IF($BV$2&gt;0, INDEX(Beersheet!$A:$U,MATCH(BB570,INDEX(Beersheet!$A:$U,0,FFARawStatProjections!$BV$2),0),$BV$3)+$BN570,
INDEX($A570:$BM570,,$BV$12)*$BW$12+
INDEX($A570:$BM570,,$BV$15)*$BW$15+
INDEX($A570:$BM570,,$BV$16)*$BW$16+
INDEX($A570:$BM570,,$BV$17)*$BW$17+
INDEX($A570:$BM570,,$BV$18)*$BW$18+
INDEX($A570:$BM570,,$BV$19)*$BW$19+
INDEX($A570:$BM570,,$BV$20)*$BW$20+
INDEX($A570:$BM570,,$BV$21)*$BW$21+
INDEX($A570:$BM570,,$BV$22)*$BW$22+
INDEX($A570:$BM570,,$BV$23)*$BW$23+
INDEX($A570:$BM570,,$BV$25)*$BW$25+
INDEX($A570:$BM570,,$BV$26)*$BW$26+
INDEX($A570:$BM570,,$BV$27)*$BW$27+
$BN570)),
$BN570-100)</f>
        <v>-100</v>
      </c>
      <c r="BF570" t="str">
        <f t="shared" si="114"/>
        <v/>
      </c>
      <c r="BG570" t="str">
        <f t="shared" si="115"/>
        <v/>
      </c>
      <c r="BH570">
        <f t="shared" si="116"/>
        <v>0</v>
      </c>
      <c r="BJ570" t="str">
        <f t="shared" si="117"/>
        <v/>
      </c>
      <c r="BL570">
        <f t="shared" si="119"/>
        <v>0</v>
      </c>
      <c r="BN570">
        <v>5.6899999999999997E-3</v>
      </c>
      <c r="BS570" s="4" t="s">
        <v>2423</v>
      </c>
    </row>
    <row r="571" spans="1:71" ht="15.75" thickBot="1" x14ac:dyDescent="0.3">
      <c r="A571" s="569"/>
      <c r="B571" s="569"/>
      <c r="C571" s="569" t="s">
        <v>6</v>
      </c>
      <c r="D571" s="574"/>
      <c r="E571" s="569"/>
      <c r="F571" s="569"/>
      <c r="G571" s="569"/>
      <c r="H571" s="569"/>
      <c r="I571" s="574">
        <v>0</v>
      </c>
      <c r="J571" s="574">
        <v>0</v>
      </c>
      <c r="K571" s="574">
        <v>0</v>
      </c>
      <c r="L571" s="574"/>
      <c r="M571" s="574"/>
      <c r="N571" s="574"/>
      <c r="O571" s="574"/>
      <c r="P571" s="574"/>
      <c r="Q571" s="574"/>
      <c r="R571" s="569"/>
      <c r="S571" s="569"/>
      <c r="T571" s="569"/>
      <c r="U571" s="569"/>
      <c r="V571" s="569"/>
      <c r="W571" s="569"/>
      <c r="X571" s="569"/>
      <c r="Y571" s="569"/>
      <c r="Z571" s="569"/>
      <c r="AA571" s="569"/>
      <c r="AB571" s="569"/>
      <c r="AC571" s="569"/>
      <c r="AD571" s="569"/>
      <c r="AE571" s="569"/>
      <c r="AF571" s="569"/>
      <c r="AG571" s="569"/>
      <c r="AH571" s="569"/>
      <c r="AI571" s="569"/>
      <c r="AJ571" s="569"/>
      <c r="AK571" s="569"/>
      <c r="AL571" s="569"/>
      <c r="AM571" s="569"/>
      <c r="AN571" s="574"/>
      <c r="AO571">
        <v>570</v>
      </c>
      <c r="AP571" t="str">
        <f t="shared" si="118"/>
        <v/>
      </c>
      <c r="AQ571" t="str">
        <f t="shared" si="108"/>
        <v/>
      </c>
      <c r="AR571" s="430">
        <f>IFERROR(
IF(AP571="",-100,
IF($BV$2&gt;0, INDEX(Beersheet!$A:$U,MATCH(AP571,INDEX(Beersheet!$A:$U,0,FFARawStatProjections!$BV$2),0),$BV$3)+$BN571,
INDEX($A571:$BM571,,$BV$12)*$BW$12+
INDEX($A571:$BM571,,$BV$15)*$BW$15+
INDEX($A571:$BM571,,$BV$16)*$BW$16+
INDEX($A571:$BM571,,$BV$17)*$BW$17+
INDEX($A571:$BM571,,$BV$18)*$BW$18+
INDEX($A571:$BM571,,$BV$19)*$BW$19+
INDEX($A571:$BM571,,$BV$20)*$BW$20+
INDEX($A571:$BM571,,$BV$21)*$BW$21+
INDEX($A571:$BM571,,$BV$22)*$BW$22+
INDEX($A571:$BM571,,$BV$23)*$BW$23+
INDEX($A571:$BM571,,$BV$25)*$BW$25+
INDEX($A571:$BM571,,$BV$26)*$BW$26+
INDEX($A571:$BM571,,$BV$27)*$BW$27+
$BN571)),
$BN571-100)</f>
        <v>-100</v>
      </c>
      <c r="AT571" t="str">
        <f t="shared" si="109"/>
        <v/>
      </c>
      <c r="AU571" t="str">
        <f t="shared" si="110"/>
        <v/>
      </c>
      <c r="AV571" s="430">
        <f>IFERROR(
IF(AT571="",-100,
IF($BV$2&gt;0, INDEX(Beersheet!$A:$U,MATCH(AT571,INDEX(Beersheet!$A:$U,0,FFARawStatProjections!$BV$2),0),$BV$3)+$BN571,
INDEX($A571:$BM571,,$BV$12)*$BW$12+
INDEX($A571:$BM571,,$BV$15)*$BW$15+
INDEX($A571:$BM571,,$BV$16)*$BW$16+
INDEX($A571:$BM571,,$BV$17)*$BW$17+
INDEX($A571:$BM571,,$BV$18)*$BW$18+
INDEX($A571:$BM571,,$BV$19)*$BW$19+
INDEX($A571:$BM571,,$BV$20)*$BW$20+
INDEX($A571:$BM571,,$BV$21)*$BW$21+
INDEX($A571:$BM571,,$BV$22)*$BW$22+
INDEX($A571:$BM571,,$BV$23)*$BW$23+
INDEX($A571:$BM571,,$BV$25)*$BW$25+
INDEX($A571:$BM571,,$BV$26)*$BW$26+
INDEX($A571:$BM571,,$BV$27)*$BW$27+
$BN571)),
$BN571-100)</f>
        <v>-100</v>
      </c>
      <c r="AX571">
        <f t="shared" si="111"/>
        <v>0</v>
      </c>
      <c r="AY571">
        <f t="shared" si="112"/>
        <v>0</v>
      </c>
      <c r="AZ571" s="430">
        <f>IFERROR(
IF(AX571="",-100,
IF($BV$2&gt;0, INDEX(Beersheet!$A:$U,MATCH(AX571,INDEX(Beersheet!$A:$U,0,FFARawStatProjections!$BV$2),0),$BV$3)+$BN571,
INDEX($A571:$BM571,,$BV$12)*$BW$12+
INDEX($A571:$BM571,,$BV$15)*$BW$15+
INDEX($A571:$BM571,,$BV$16)*$BW$16+
INDEX($A571:$BM571,,$BV$17)*$BW$17+
INDEX($A571:$BM571,,$BV$18)*$BW$18+
INDEX($A571:$BM571,,$BV$19)*$BW$19+
INDEX($A571:$BM571,,$BV$20)*$BW$20+
INDEX($A571:$BM571,,$BV$21)*$BW$21+
INDEX($A571:$BM571,,$BV$22)*$BW$22+
INDEX($A571:$BM571,,$BV$23)*$BW$23+
INDEX($A571:$BM571,,$BV$25)*$BW$25+
INDEX($A571:$BM571,,$BV$26)*$BW$26+
INDEX($A571:$BM571,,$BV$27)*$BW$27+
$BN571)),
$BN571-100)</f>
        <v>5.7000000000000002E-3</v>
      </c>
      <c r="BB571" t="str">
        <f t="shared" si="113"/>
        <v/>
      </c>
      <c r="BC571" t="str">
        <f t="shared" si="107"/>
        <v/>
      </c>
      <c r="BD571" s="430">
        <f>IFERROR(
IF(BB571="",-100,
IF($BV$2&gt;0, INDEX(Beersheet!$A:$U,MATCH(BB571,INDEX(Beersheet!$A:$U,0,FFARawStatProjections!$BV$2),0),$BV$3)+$BN571,
INDEX($A571:$BM571,,$BV$12)*$BW$12+
INDEX($A571:$BM571,,$BV$15)*$BW$15+
INDEX($A571:$BM571,,$BV$16)*$BW$16+
INDEX($A571:$BM571,,$BV$17)*$BW$17+
INDEX($A571:$BM571,,$BV$18)*$BW$18+
INDEX($A571:$BM571,,$BV$19)*$BW$19+
INDEX($A571:$BM571,,$BV$20)*$BW$20+
INDEX($A571:$BM571,,$BV$21)*$BW$21+
INDEX($A571:$BM571,,$BV$22)*$BW$22+
INDEX($A571:$BM571,,$BV$23)*$BW$23+
INDEX($A571:$BM571,,$BV$25)*$BW$25+
INDEX($A571:$BM571,,$BV$26)*$BW$26+
INDEX($A571:$BM571,,$BV$27)*$BW$27+
$BN571)),
$BN571-100)</f>
        <v>-100</v>
      </c>
      <c r="BF571" t="str">
        <f t="shared" si="114"/>
        <v/>
      </c>
      <c r="BG571" t="str">
        <f t="shared" si="115"/>
        <v/>
      </c>
      <c r="BH571">
        <f t="shared" si="116"/>
        <v>0</v>
      </c>
      <c r="BJ571" t="str">
        <f t="shared" si="117"/>
        <v/>
      </c>
      <c r="BL571">
        <f t="shared" si="119"/>
        <v>0</v>
      </c>
      <c r="BN571">
        <v>5.7000000000000002E-3</v>
      </c>
      <c r="BS571" s="4" t="s">
        <v>1280</v>
      </c>
    </row>
    <row r="572" spans="1:71" ht="15.75" thickBot="1" x14ac:dyDescent="0.3">
      <c r="A572" s="569"/>
      <c r="B572" s="569"/>
      <c r="C572" s="569" t="s">
        <v>6</v>
      </c>
      <c r="D572" s="574"/>
      <c r="E572" s="569"/>
      <c r="F572" s="569"/>
      <c r="G572" s="569"/>
      <c r="H572" s="569"/>
      <c r="I572" s="574">
        <v>0</v>
      </c>
      <c r="J572" s="574">
        <v>0</v>
      </c>
      <c r="K572" s="574">
        <v>0</v>
      </c>
      <c r="L572" s="574"/>
      <c r="M572" s="574"/>
      <c r="N572" s="574"/>
      <c r="O572" s="574"/>
      <c r="P572" s="574"/>
      <c r="Q572" s="574"/>
      <c r="R572" s="569"/>
      <c r="S572" s="569"/>
      <c r="T572" s="569"/>
      <c r="U572" s="569"/>
      <c r="V572" s="569"/>
      <c r="W572" s="569"/>
      <c r="X572" s="569"/>
      <c r="Y572" s="569"/>
      <c r="Z572" s="569"/>
      <c r="AA572" s="569"/>
      <c r="AB572" s="569"/>
      <c r="AC572" s="569"/>
      <c r="AD572" s="569"/>
      <c r="AE572" s="569"/>
      <c r="AF572" s="569"/>
      <c r="AG572" s="569"/>
      <c r="AH572" s="569"/>
      <c r="AI572" s="569"/>
      <c r="AJ572" s="569"/>
      <c r="AK572" s="569"/>
      <c r="AL572" s="569"/>
      <c r="AM572" s="569"/>
      <c r="AN572" s="574"/>
      <c r="AO572">
        <v>571</v>
      </c>
      <c r="AP572" t="str">
        <f t="shared" si="118"/>
        <v/>
      </c>
      <c r="AQ572" t="str">
        <f t="shared" si="108"/>
        <v/>
      </c>
      <c r="AR572" s="430">
        <f>IFERROR(
IF(AP572="",-100,
IF($BV$2&gt;0, INDEX(Beersheet!$A:$U,MATCH(AP572,INDEX(Beersheet!$A:$U,0,FFARawStatProjections!$BV$2),0),$BV$3)+$BN572,
INDEX($A572:$BM572,,$BV$12)*$BW$12+
INDEX($A572:$BM572,,$BV$15)*$BW$15+
INDEX($A572:$BM572,,$BV$16)*$BW$16+
INDEX($A572:$BM572,,$BV$17)*$BW$17+
INDEX($A572:$BM572,,$BV$18)*$BW$18+
INDEX($A572:$BM572,,$BV$19)*$BW$19+
INDEX($A572:$BM572,,$BV$20)*$BW$20+
INDEX($A572:$BM572,,$BV$21)*$BW$21+
INDEX($A572:$BM572,,$BV$22)*$BW$22+
INDEX($A572:$BM572,,$BV$23)*$BW$23+
INDEX($A572:$BM572,,$BV$25)*$BW$25+
INDEX($A572:$BM572,,$BV$26)*$BW$26+
INDEX($A572:$BM572,,$BV$27)*$BW$27+
$BN572)),
$BN572-100)</f>
        <v>-100</v>
      </c>
      <c r="AT572" t="str">
        <f t="shared" si="109"/>
        <v/>
      </c>
      <c r="AU572" t="str">
        <f t="shared" si="110"/>
        <v/>
      </c>
      <c r="AV572" s="430">
        <f>IFERROR(
IF(AT572="",-100,
IF($BV$2&gt;0, INDEX(Beersheet!$A:$U,MATCH(AT572,INDEX(Beersheet!$A:$U,0,FFARawStatProjections!$BV$2),0),$BV$3)+$BN572,
INDEX($A572:$BM572,,$BV$12)*$BW$12+
INDEX($A572:$BM572,,$BV$15)*$BW$15+
INDEX($A572:$BM572,,$BV$16)*$BW$16+
INDEX($A572:$BM572,,$BV$17)*$BW$17+
INDEX($A572:$BM572,,$BV$18)*$BW$18+
INDEX($A572:$BM572,,$BV$19)*$BW$19+
INDEX($A572:$BM572,,$BV$20)*$BW$20+
INDEX($A572:$BM572,,$BV$21)*$BW$21+
INDEX($A572:$BM572,,$BV$22)*$BW$22+
INDEX($A572:$BM572,,$BV$23)*$BW$23+
INDEX($A572:$BM572,,$BV$25)*$BW$25+
INDEX($A572:$BM572,,$BV$26)*$BW$26+
INDEX($A572:$BM572,,$BV$27)*$BW$27+
$BN572)),
$BN572-100)</f>
        <v>-100</v>
      </c>
      <c r="AX572">
        <f t="shared" si="111"/>
        <v>0</v>
      </c>
      <c r="AY572">
        <f t="shared" si="112"/>
        <v>0</v>
      </c>
      <c r="AZ572" s="430">
        <f>IFERROR(
IF(AX572="",-100,
IF($BV$2&gt;0, INDEX(Beersheet!$A:$U,MATCH(AX572,INDEX(Beersheet!$A:$U,0,FFARawStatProjections!$BV$2),0),$BV$3)+$BN572,
INDEX($A572:$BM572,,$BV$12)*$BW$12+
INDEX($A572:$BM572,,$BV$15)*$BW$15+
INDEX($A572:$BM572,,$BV$16)*$BW$16+
INDEX($A572:$BM572,,$BV$17)*$BW$17+
INDEX($A572:$BM572,,$BV$18)*$BW$18+
INDEX($A572:$BM572,,$BV$19)*$BW$19+
INDEX($A572:$BM572,,$BV$20)*$BW$20+
INDEX($A572:$BM572,,$BV$21)*$BW$21+
INDEX($A572:$BM572,,$BV$22)*$BW$22+
INDEX($A572:$BM572,,$BV$23)*$BW$23+
INDEX($A572:$BM572,,$BV$25)*$BW$25+
INDEX($A572:$BM572,,$BV$26)*$BW$26+
INDEX($A572:$BM572,,$BV$27)*$BW$27+
$BN572)),
$BN572-100)</f>
        <v>5.7099999999999998E-3</v>
      </c>
      <c r="BB572" t="str">
        <f t="shared" si="113"/>
        <v/>
      </c>
      <c r="BC572" t="str">
        <f t="shared" si="107"/>
        <v/>
      </c>
      <c r="BD572" s="430">
        <f>IFERROR(
IF(BB572="",-100,
IF($BV$2&gt;0, INDEX(Beersheet!$A:$U,MATCH(BB572,INDEX(Beersheet!$A:$U,0,FFARawStatProjections!$BV$2),0),$BV$3)+$BN572,
INDEX($A572:$BM572,,$BV$12)*$BW$12+
INDEX($A572:$BM572,,$BV$15)*$BW$15+
INDEX($A572:$BM572,,$BV$16)*$BW$16+
INDEX($A572:$BM572,,$BV$17)*$BW$17+
INDEX($A572:$BM572,,$BV$18)*$BW$18+
INDEX($A572:$BM572,,$BV$19)*$BW$19+
INDEX($A572:$BM572,,$BV$20)*$BW$20+
INDEX($A572:$BM572,,$BV$21)*$BW$21+
INDEX($A572:$BM572,,$BV$22)*$BW$22+
INDEX($A572:$BM572,,$BV$23)*$BW$23+
INDEX($A572:$BM572,,$BV$25)*$BW$25+
INDEX($A572:$BM572,,$BV$26)*$BW$26+
INDEX($A572:$BM572,,$BV$27)*$BW$27+
$BN572)),
$BN572-100)</f>
        <v>-100</v>
      </c>
      <c r="BF572" t="str">
        <f t="shared" si="114"/>
        <v/>
      </c>
      <c r="BG572" t="str">
        <f t="shared" si="115"/>
        <v/>
      </c>
      <c r="BH572">
        <f t="shared" si="116"/>
        <v>0</v>
      </c>
      <c r="BJ572" t="str">
        <f t="shared" si="117"/>
        <v/>
      </c>
      <c r="BL572">
        <f t="shared" si="119"/>
        <v>0</v>
      </c>
      <c r="BN572">
        <v>5.7099999999999998E-3</v>
      </c>
      <c r="BS572" s="4" t="s">
        <v>2559</v>
      </c>
    </row>
    <row r="573" spans="1:71" ht="15.75" thickBot="1" x14ac:dyDescent="0.3">
      <c r="A573" s="569"/>
      <c r="B573" s="569"/>
      <c r="C573" s="569" t="s">
        <v>6</v>
      </c>
      <c r="D573" s="574"/>
      <c r="E573" s="569"/>
      <c r="F573" s="569"/>
      <c r="G573" s="569"/>
      <c r="H573" s="569"/>
      <c r="I573" s="574">
        <v>0</v>
      </c>
      <c r="J573" s="574">
        <v>0</v>
      </c>
      <c r="K573" s="574">
        <v>0</v>
      </c>
      <c r="L573" s="574"/>
      <c r="M573" s="574"/>
      <c r="N573" s="574"/>
      <c r="O573" s="574"/>
      <c r="P573" s="574"/>
      <c r="Q573" s="574"/>
      <c r="R573" s="569"/>
      <c r="S573" s="569"/>
      <c r="T573" s="569"/>
      <c r="U573" s="569"/>
      <c r="V573" s="569"/>
      <c r="W573" s="569"/>
      <c r="X573" s="569"/>
      <c r="Y573" s="569"/>
      <c r="Z573" s="569"/>
      <c r="AA573" s="569"/>
      <c r="AB573" s="569"/>
      <c r="AC573" s="569"/>
      <c r="AD573" s="569"/>
      <c r="AE573" s="569"/>
      <c r="AF573" s="569"/>
      <c r="AG573" s="569"/>
      <c r="AH573" s="569"/>
      <c r="AI573" s="569"/>
      <c r="AJ573" s="569"/>
      <c r="AK573" s="569"/>
      <c r="AL573" s="569"/>
      <c r="AM573" s="569"/>
      <c r="AN573" s="574"/>
      <c r="AO573">
        <v>572</v>
      </c>
      <c r="AP573" t="str">
        <f t="shared" si="118"/>
        <v/>
      </c>
      <c r="AQ573" t="str">
        <f t="shared" si="108"/>
        <v/>
      </c>
      <c r="AR573" s="430">
        <f>IFERROR(
IF(AP573="",-100,
IF($BV$2&gt;0, INDEX(Beersheet!$A:$U,MATCH(AP573,INDEX(Beersheet!$A:$U,0,FFARawStatProjections!$BV$2),0),$BV$3)+$BN573,
INDEX($A573:$BM573,,$BV$12)*$BW$12+
INDEX($A573:$BM573,,$BV$15)*$BW$15+
INDEX($A573:$BM573,,$BV$16)*$BW$16+
INDEX($A573:$BM573,,$BV$17)*$BW$17+
INDEX($A573:$BM573,,$BV$18)*$BW$18+
INDEX($A573:$BM573,,$BV$19)*$BW$19+
INDEX($A573:$BM573,,$BV$20)*$BW$20+
INDEX($A573:$BM573,,$BV$21)*$BW$21+
INDEX($A573:$BM573,,$BV$22)*$BW$22+
INDEX($A573:$BM573,,$BV$23)*$BW$23+
INDEX($A573:$BM573,,$BV$25)*$BW$25+
INDEX($A573:$BM573,,$BV$26)*$BW$26+
INDEX($A573:$BM573,,$BV$27)*$BW$27+
$BN573)),
$BN573-100)</f>
        <v>-100</v>
      </c>
      <c r="AT573" t="str">
        <f t="shared" si="109"/>
        <v/>
      </c>
      <c r="AU573" t="str">
        <f t="shared" si="110"/>
        <v/>
      </c>
      <c r="AV573" s="430">
        <f>IFERROR(
IF(AT573="",-100,
IF($BV$2&gt;0, INDEX(Beersheet!$A:$U,MATCH(AT573,INDEX(Beersheet!$A:$U,0,FFARawStatProjections!$BV$2),0),$BV$3)+$BN573,
INDEX($A573:$BM573,,$BV$12)*$BW$12+
INDEX($A573:$BM573,,$BV$15)*$BW$15+
INDEX($A573:$BM573,,$BV$16)*$BW$16+
INDEX($A573:$BM573,,$BV$17)*$BW$17+
INDEX($A573:$BM573,,$BV$18)*$BW$18+
INDEX($A573:$BM573,,$BV$19)*$BW$19+
INDEX($A573:$BM573,,$BV$20)*$BW$20+
INDEX($A573:$BM573,,$BV$21)*$BW$21+
INDEX($A573:$BM573,,$BV$22)*$BW$22+
INDEX($A573:$BM573,,$BV$23)*$BW$23+
INDEX($A573:$BM573,,$BV$25)*$BW$25+
INDEX($A573:$BM573,,$BV$26)*$BW$26+
INDEX($A573:$BM573,,$BV$27)*$BW$27+
$BN573)),
$BN573-100)</f>
        <v>-100</v>
      </c>
      <c r="AX573">
        <f t="shared" si="111"/>
        <v>0</v>
      </c>
      <c r="AY573">
        <f t="shared" si="112"/>
        <v>0</v>
      </c>
      <c r="AZ573" s="430">
        <f>IFERROR(
IF(AX573="",-100,
IF($BV$2&gt;0, INDEX(Beersheet!$A:$U,MATCH(AX573,INDEX(Beersheet!$A:$U,0,FFARawStatProjections!$BV$2),0),$BV$3)+$BN573,
INDEX($A573:$BM573,,$BV$12)*$BW$12+
INDEX($A573:$BM573,,$BV$15)*$BW$15+
INDEX($A573:$BM573,,$BV$16)*$BW$16+
INDEX($A573:$BM573,,$BV$17)*$BW$17+
INDEX($A573:$BM573,,$BV$18)*$BW$18+
INDEX($A573:$BM573,,$BV$19)*$BW$19+
INDEX($A573:$BM573,,$BV$20)*$BW$20+
INDEX($A573:$BM573,,$BV$21)*$BW$21+
INDEX($A573:$BM573,,$BV$22)*$BW$22+
INDEX($A573:$BM573,,$BV$23)*$BW$23+
INDEX($A573:$BM573,,$BV$25)*$BW$25+
INDEX($A573:$BM573,,$BV$26)*$BW$26+
INDEX($A573:$BM573,,$BV$27)*$BW$27+
$BN573)),
$BN573-100)</f>
        <v>5.7200000000000003E-3</v>
      </c>
      <c r="BB573" t="str">
        <f t="shared" si="113"/>
        <v/>
      </c>
      <c r="BC573" t="str">
        <f t="shared" si="107"/>
        <v/>
      </c>
      <c r="BD573" s="430">
        <f>IFERROR(
IF(BB573="",-100,
IF($BV$2&gt;0, INDEX(Beersheet!$A:$U,MATCH(BB573,INDEX(Beersheet!$A:$U,0,FFARawStatProjections!$BV$2),0),$BV$3)+$BN573,
INDEX($A573:$BM573,,$BV$12)*$BW$12+
INDEX($A573:$BM573,,$BV$15)*$BW$15+
INDEX($A573:$BM573,,$BV$16)*$BW$16+
INDEX($A573:$BM573,,$BV$17)*$BW$17+
INDEX($A573:$BM573,,$BV$18)*$BW$18+
INDEX($A573:$BM573,,$BV$19)*$BW$19+
INDEX($A573:$BM573,,$BV$20)*$BW$20+
INDEX($A573:$BM573,,$BV$21)*$BW$21+
INDEX($A573:$BM573,,$BV$22)*$BW$22+
INDEX($A573:$BM573,,$BV$23)*$BW$23+
INDEX($A573:$BM573,,$BV$25)*$BW$25+
INDEX($A573:$BM573,,$BV$26)*$BW$26+
INDEX($A573:$BM573,,$BV$27)*$BW$27+
$BN573)),
$BN573-100)</f>
        <v>-100</v>
      </c>
      <c r="BF573" t="str">
        <f t="shared" si="114"/>
        <v/>
      </c>
      <c r="BG573" t="str">
        <f t="shared" si="115"/>
        <v/>
      </c>
      <c r="BH573">
        <f t="shared" si="116"/>
        <v>0</v>
      </c>
      <c r="BJ573" t="str">
        <f t="shared" si="117"/>
        <v/>
      </c>
      <c r="BL573">
        <f t="shared" si="119"/>
        <v>0</v>
      </c>
      <c r="BN573">
        <v>5.7200000000000003E-3</v>
      </c>
      <c r="BS573" s="4" t="s">
        <v>40</v>
      </c>
    </row>
    <row r="574" spans="1:71" ht="15.75" thickBot="1" x14ac:dyDescent="0.3">
      <c r="A574" s="569"/>
      <c r="B574" s="569"/>
      <c r="C574" s="569" t="s">
        <v>6</v>
      </c>
      <c r="D574" s="574"/>
      <c r="E574" s="569"/>
      <c r="F574" s="569"/>
      <c r="G574" s="569"/>
      <c r="H574" s="569"/>
      <c r="I574" s="574">
        <v>0</v>
      </c>
      <c r="J574" s="574">
        <v>0</v>
      </c>
      <c r="K574" s="574">
        <v>0</v>
      </c>
      <c r="L574" s="574"/>
      <c r="M574" s="574"/>
      <c r="N574" s="574"/>
      <c r="O574" s="574"/>
      <c r="P574" s="574"/>
      <c r="Q574" s="574"/>
      <c r="R574" s="569"/>
      <c r="S574" s="569"/>
      <c r="T574" s="569"/>
      <c r="U574" s="569"/>
      <c r="V574" s="569"/>
      <c r="W574" s="569"/>
      <c r="X574" s="569"/>
      <c r="Y574" s="569"/>
      <c r="Z574" s="569"/>
      <c r="AA574" s="569"/>
      <c r="AB574" s="569"/>
      <c r="AC574" s="569"/>
      <c r="AD574" s="569"/>
      <c r="AE574" s="569"/>
      <c r="AF574" s="569"/>
      <c r="AG574" s="569"/>
      <c r="AH574" s="569"/>
      <c r="AI574" s="569"/>
      <c r="AJ574" s="569"/>
      <c r="AK574" s="569"/>
      <c r="AL574" s="569"/>
      <c r="AM574" s="569"/>
      <c r="AN574" s="574"/>
      <c r="AO574">
        <v>573</v>
      </c>
      <c r="AP574" t="str">
        <f t="shared" si="118"/>
        <v/>
      </c>
      <c r="AQ574" t="str">
        <f t="shared" si="108"/>
        <v/>
      </c>
      <c r="AR574" s="430">
        <f>IFERROR(
IF(AP574="",-100,
IF($BV$2&gt;0, INDEX(Beersheet!$A:$U,MATCH(AP574,INDEX(Beersheet!$A:$U,0,FFARawStatProjections!$BV$2),0),$BV$3)+$BN574,
INDEX($A574:$BM574,,$BV$12)*$BW$12+
INDEX($A574:$BM574,,$BV$15)*$BW$15+
INDEX($A574:$BM574,,$BV$16)*$BW$16+
INDEX($A574:$BM574,,$BV$17)*$BW$17+
INDEX($A574:$BM574,,$BV$18)*$BW$18+
INDEX($A574:$BM574,,$BV$19)*$BW$19+
INDEX($A574:$BM574,,$BV$20)*$BW$20+
INDEX($A574:$BM574,,$BV$21)*$BW$21+
INDEX($A574:$BM574,,$BV$22)*$BW$22+
INDEX($A574:$BM574,,$BV$23)*$BW$23+
INDEX($A574:$BM574,,$BV$25)*$BW$25+
INDEX($A574:$BM574,,$BV$26)*$BW$26+
INDEX($A574:$BM574,,$BV$27)*$BW$27+
$BN574)),
$BN574-100)</f>
        <v>-100</v>
      </c>
      <c r="AT574" t="str">
        <f t="shared" si="109"/>
        <v/>
      </c>
      <c r="AU574" t="str">
        <f t="shared" si="110"/>
        <v/>
      </c>
      <c r="AV574" s="430">
        <f>IFERROR(
IF(AT574="",-100,
IF($BV$2&gt;0, INDEX(Beersheet!$A:$U,MATCH(AT574,INDEX(Beersheet!$A:$U,0,FFARawStatProjections!$BV$2),0),$BV$3)+$BN574,
INDEX($A574:$BM574,,$BV$12)*$BW$12+
INDEX($A574:$BM574,,$BV$15)*$BW$15+
INDEX($A574:$BM574,,$BV$16)*$BW$16+
INDEX($A574:$BM574,,$BV$17)*$BW$17+
INDEX($A574:$BM574,,$BV$18)*$BW$18+
INDEX($A574:$BM574,,$BV$19)*$BW$19+
INDEX($A574:$BM574,,$BV$20)*$BW$20+
INDEX($A574:$BM574,,$BV$21)*$BW$21+
INDEX($A574:$BM574,,$BV$22)*$BW$22+
INDEX($A574:$BM574,,$BV$23)*$BW$23+
INDEX($A574:$BM574,,$BV$25)*$BW$25+
INDEX($A574:$BM574,,$BV$26)*$BW$26+
INDEX($A574:$BM574,,$BV$27)*$BW$27+
$BN574)),
$BN574-100)</f>
        <v>-100</v>
      </c>
      <c r="AX574">
        <f t="shared" si="111"/>
        <v>0</v>
      </c>
      <c r="AY574">
        <f t="shared" si="112"/>
        <v>0</v>
      </c>
      <c r="AZ574" s="430">
        <f>IFERROR(
IF(AX574="",-100,
IF($BV$2&gt;0, INDEX(Beersheet!$A:$U,MATCH(AX574,INDEX(Beersheet!$A:$U,0,FFARawStatProjections!$BV$2),0),$BV$3)+$BN574,
INDEX($A574:$BM574,,$BV$12)*$BW$12+
INDEX($A574:$BM574,,$BV$15)*$BW$15+
INDEX($A574:$BM574,,$BV$16)*$BW$16+
INDEX($A574:$BM574,,$BV$17)*$BW$17+
INDEX($A574:$BM574,,$BV$18)*$BW$18+
INDEX($A574:$BM574,,$BV$19)*$BW$19+
INDEX($A574:$BM574,,$BV$20)*$BW$20+
INDEX($A574:$BM574,,$BV$21)*$BW$21+
INDEX($A574:$BM574,,$BV$22)*$BW$22+
INDEX($A574:$BM574,,$BV$23)*$BW$23+
INDEX($A574:$BM574,,$BV$25)*$BW$25+
INDEX($A574:$BM574,,$BV$26)*$BW$26+
INDEX($A574:$BM574,,$BV$27)*$BW$27+
$BN574)),
$BN574-100)</f>
        <v>5.7299999999999999E-3</v>
      </c>
      <c r="BB574" t="str">
        <f t="shared" si="113"/>
        <v/>
      </c>
      <c r="BC574" t="str">
        <f t="shared" si="107"/>
        <v/>
      </c>
      <c r="BD574" s="430">
        <f>IFERROR(
IF(BB574="",-100,
IF($BV$2&gt;0, INDEX(Beersheet!$A:$U,MATCH(BB574,INDEX(Beersheet!$A:$U,0,FFARawStatProjections!$BV$2),0),$BV$3)+$BN574,
INDEX($A574:$BM574,,$BV$12)*$BW$12+
INDEX($A574:$BM574,,$BV$15)*$BW$15+
INDEX($A574:$BM574,,$BV$16)*$BW$16+
INDEX($A574:$BM574,,$BV$17)*$BW$17+
INDEX($A574:$BM574,,$BV$18)*$BW$18+
INDEX($A574:$BM574,,$BV$19)*$BW$19+
INDEX($A574:$BM574,,$BV$20)*$BW$20+
INDEX($A574:$BM574,,$BV$21)*$BW$21+
INDEX($A574:$BM574,,$BV$22)*$BW$22+
INDEX($A574:$BM574,,$BV$23)*$BW$23+
INDEX($A574:$BM574,,$BV$25)*$BW$25+
INDEX($A574:$BM574,,$BV$26)*$BW$26+
INDEX($A574:$BM574,,$BV$27)*$BW$27+
$BN574)),
$BN574-100)</f>
        <v>-100</v>
      </c>
      <c r="BF574" t="str">
        <f t="shared" si="114"/>
        <v/>
      </c>
      <c r="BG574" t="str">
        <f t="shared" si="115"/>
        <v/>
      </c>
      <c r="BH574">
        <f t="shared" si="116"/>
        <v>0</v>
      </c>
      <c r="BJ574" t="str">
        <f t="shared" si="117"/>
        <v/>
      </c>
      <c r="BL574">
        <f t="shared" si="119"/>
        <v>0</v>
      </c>
      <c r="BN574">
        <v>5.7299999999999999E-3</v>
      </c>
      <c r="BS574" s="4" t="s">
        <v>1767</v>
      </c>
    </row>
    <row r="575" spans="1:71" ht="15.75" thickBot="1" x14ac:dyDescent="0.3">
      <c r="A575" s="569"/>
      <c r="B575" s="569"/>
      <c r="C575" s="569" t="s">
        <v>6</v>
      </c>
      <c r="D575" s="574"/>
      <c r="E575" s="569"/>
      <c r="F575" s="569"/>
      <c r="G575" s="569"/>
      <c r="H575" s="569"/>
      <c r="I575" s="574">
        <v>0</v>
      </c>
      <c r="J575" s="574">
        <v>0</v>
      </c>
      <c r="K575" s="574">
        <v>0</v>
      </c>
      <c r="L575" s="574"/>
      <c r="M575" s="574"/>
      <c r="N575" s="574"/>
      <c r="O575" s="574"/>
      <c r="P575" s="574"/>
      <c r="Q575" s="574"/>
      <c r="R575" s="569"/>
      <c r="S575" s="569"/>
      <c r="T575" s="569"/>
      <c r="U575" s="569"/>
      <c r="V575" s="569"/>
      <c r="W575" s="569"/>
      <c r="X575" s="569"/>
      <c r="Y575" s="569"/>
      <c r="Z575" s="569"/>
      <c r="AA575" s="569"/>
      <c r="AB575" s="569"/>
      <c r="AC575" s="569"/>
      <c r="AD575" s="569"/>
      <c r="AE575" s="569"/>
      <c r="AF575" s="569"/>
      <c r="AG575" s="569"/>
      <c r="AH575" s="569"/>
      <c r="AI575" s="569"/>
      <c r="AJ575" s="569"/>
      <c r="AK575" s="569"/>
      <c r="AL575" s="569"/>
      <c r="AM575" s="569"/>
      <c r="AN575" s="574"/>
      <c r="AO575">
        <v>574</v>
      </c>
      <c r="AP575" t="str">
        <f t="shared" si="118"/>
        <v/>
      </c>
      <c r="AQ575" t="str">
        <f t="shared" si="108"/>
        <v/>
      </c>
      <c r="AR575" s="430">
        <f>IFERROR(
IF(AP575="",-100,
IF($BV$2&gt;0, INDEX(Beersheet!$A:$U,MATCH(AP575,INDEX(Beersheet!$A:$U,0,FFARawStatProjections!$BV$2),0),$BV$3)+$BN575,
INDEX($A575:$BM575,,$BV$12)*$BW$12+
INDEX($A575:$BM575,,$BV$15)*$BW$15+
INDEX($A575:$BM575,,$BV$16)*$BW$16+
INDEX($A575:$BM575,,$BV$17)*$BW$17+
INDEX($A575:$BM575,,$BV$18)*$BW$18+
INDEX($A575:$BM575,,$BV$19)*$BW$19+
INDEX($A575:$BM575,,$BV$20)*$BW$20+
INDEX($A575:$BM575,,$BV$21)*$BW$21+
INDEX($A575:$BM575,,$BV$22)*$BW$22+
INDEX($A575:$BM575,,$BV$23)*$BW$23+
INDEX($A575:$BM575,,$BV$25)*$BW$25+
INDEX($A575:$BM575,,$BV$26)*$BW$26+
INDEX($A575:$BM575,,$BV$27)*$BW$27+
$BN575)),
$BN575-100)</f>
        <v>-100</v>
      </c>
      <c r="AT575" t="str">
        <f t="shared" si="109"/>
        <v/>
      </c>
      <c r="AU575" t="str">
        <f t="shared" si="110"/>
        <v/>
      </c>
      <c r="AV575" s="430">
        <f>IFERROR(
IF(AT575="",-100,
IF($BV$2&gt;0, INDEX(Beersheet!$A:$U,MATCH(AT575,INDEX(Beersheet!$A:$U,0,FFARawStatProjections!$BV$2),0),$BV$3)+$BN575,
INDEX($A575:$BM575,,$BV$12)*$BW$12+
INDEX($A575:$BM575,,$BV$15)*$BW$15+
INDEX($A575:$BM575,,$BV$16)*$BW$16+
INDEX($A575:$BM575,,$BV$17)*$BW$17+
INDEX($A575:$BM575,,$BV$18)*$BW$18+
INDEX($A575:$BM575,,$BV$19)*$BW$19+
INDEX($A575:$BM575,,$BV$20)*$BW$20+
INDEX($A575:$BM575,,$BV$21)*$BW$21+
INDEX($A575:$BM575,,$BV$22)*$BW$22+
INDEX($A575:$BM575,,$BV$23)*$BW$23+
INDEX($A575:$BM575,,$BV$25)*$BW$25+
INDEX($A575:$BM575,,$BV$26)*$BW$26+
INDEX($A575:$BM575,,$BV$27)*$BW$27+
$BN575)),
$BN575-100)</f>
        <v>-100</v>
      </c>
      <c r="AX575">
        <f t="shared" si="111"/>
        <v>0</v>
      </c>
      <c r="AY575">
        <f t="shared" si="112"/>
        <v>0</v>
      </c>
      <c r="AZ575" s="430">
        <f>IFERROR(
IF(AX575="",-100,
IF($BV$2&gt;0, INDEX(Beersheet!$A:$U,MATCH(AX575,INDEX(Beersheet!$A:$U,0,FFARawStatProjections!$BV$2),0),$BV$3)+$BN575,
INDEX($A575:$BM575,,$BV$12)*$BW$12+
INDEX($A575:$BM575,,$BV$15)*$BW$15+
INDEX($A575:$BM575,,$BV$16)*$BW$16+
INDEX($A575:$BM575,,$BV$17)*$BW$17+
INDEX($A575:$BM575,,$BV$18)*$BW$18+
INDEX($A575:$BM575,,$BV$19)*$BW$19+
INDEX($A575:$BM575,,$BV$20)*$BW$20+
INDEX($A575:$BM575,,$BV$21)*$BW$21+
INDEX($A575:$BM575,,$BV$22)*$BW$22+
INDEX($A575:$BM575,,$BV$23)*$BW$23+
INDEX($A575:$BM575,,$BV$25)*$BW$25+
INDEX($A575:$BM575,,$BV$26)*$BW$26+
INDEX($A575:$BM575,,$BV$27)*$BW$27+
$BN575)),
$BN575-100)</f>
        <v>5.7400000000000003E-3</v>
      </c>
      <c r="BB575" t="str">
        <f t="shared" si="113"/>
        <v/>
      </c>
      <c r="BC575" t="str">
        <f t="shared" si="107"/>
        <v/>
      </c>
      <c r="BD575" s="430">
        <f>IFERROR(
IF(BB575="",-100,
IF($BV$2&gt;0, INDEX(Beersheet!$A:$U,MATCH(BB575,INDEX(Beersheet!$A:$U,0,FFARawStatProjections!$BV$2),0),$BV$3)+$BN575,
INDEX($A575:$BM575,,$BV$12)*$BW$12+
INDEX($A575:$BM575,,$BV$15)*$BW$15+
INDEX($A575:$BM575,,$BV$16)*$BW$16+
INDEX($A575:$BM575,,$BV$17)*$BW$17+
INDEX($A575:$BM575,,$BV$18)*$BW$18+
INDEX($A575:$BM575,,$BV$19)*$BW$19+
INDEX($A575:$BM575,,$BV$20)*$BW$20+
INDEX($A575:$BM575,,$BV$21)*$BW$21+
INDEX($A575:$BM575,,$BV$22)*$BW$22+
INDEX($A575:$BM575,,$BV$23)*$BW$23+
INDEX($A575:$BM575,,$BV$25)*$BW$25+
INDEX($A575:$BM575,,$BV$26)*$BW$26+
INDEX($A575:$BM575,,$BV$27)*$BW$27+
$BN575)),
$BN575-100)</f>
        <v>-100</v>
      </c>
      <c r="BF575" t="str">
        <f t="shared" si="114"/>
        <v/>
      </c>
      <c r="BG575" t="str">
        <f t="shared" si="115"/>
        <v/>
      </c>
      <c r="BH575">
        <f t="shared" si="116"/>
        <v>0</v>
      </c>
      <c r="BJ575" t="str">
        <f t="shared" si="117"/>
        <v/>
      </c>
      <c r="BL575">
        <f t="shared" si="119"/>
        <v>0</v>
      </c>
      <c r="BN575">
        <v>5.7400000000000003E-3</v>
      </c>
      <c r="BS575" s="4" t="s">
        <v>2422</v>
      </c>
    </row>
    <row r="576" spans="1:71" ht="15.75" thickBot="1" x14ac:dyDescent="0.3">
      <c r="A576" s="569"/>
      <c r="B576" s="569"/>
      <c r="C576" s="569" t="s">
        <v>6</v>
      </c>
      <c r="D576" s="574"/>
      <c r="E576" s="569"/>
      <c r="F576" s="569"/>
      <c r="G576" s="569"/>
      <c r="H576" s="569"/>
      <c r="I576" s="574">
        <v>0</v>
      </c>
      <c r="J576" s="574">
        <v>0</v>
      </c>
      <c r="K576" s="574">
        <v>0</v>
      </c>
      <c r="L576" s="574"/>
      <c r="M576" s="574"/>
      <c r="N576" s="574"/>
      <c r="O576" s="574"/>
      <c r="P576" s="574"/>
      <c r="Q576" s="574"/>
      <c r="R576" s="569"/>
      <c r="S576" s="569"/>
      <c r="T576" s="569"/>
      <c r="U576" s="569"/>
      <c r="V576" s="569"/>
      <c r="W576" s="569"/>
      <c r="X576" s="569"/>
      <c r="Y576" s="569"/>
      <c r="Z576" s="569"/>
      <c r="AA576" s="569"/>
      <c r="AB576" s="569"/>
      <c r="AC576" s="569"/>
      <c r="AD576" s="569"/>
      <c r="AE576" s="569"/>
      <c r="AF576" s="569"/>
      <c r="AG576" s="569"/>
      <c r="AH576" s="569"/>
      <c r="AI576" s="569"/>
      <c r="AJ576" s="569"/>
      <c r="AK576" s="569"/>
      <c r="AL576" s="569"/>
      <c r="AM576" s="569"/>
      <c r="AN576" s="574"/>
      <c r="AO576">
        <v>575</v>
      </c>
      <c r="AP576" t="str">
        <f t="shared" si="118"/>
        <v/>
      </c>
      <c r="AQ576" t="str">
        <f t="shared" si="108"/>
        <v/>
      </c>
      <c r="AR576" s="430">
        <f>IFERROR(
IF(AP576="",-100,
IF($BV$2&gt;0, INDEX(Beersheet!$A:$U,MATCH(AP576,INDEX(Beersheet!$A:$U,0,FFARawStatProjections!$BV$2),0),$BV$3)+$BN576,
INDEX($A576:$BM576,,$BV$12)*$BW$12+
INDEX($A576:$BM576,,$BV$15)*$BW$15+
INDEX($A576:$BM576,,$BV$16)*$BW$16+
INDEX($A576:$BM576,,$BV$17)*$BW$17+
INDEX($A576:$BM576,,$BV$18)*$BW$18+
INDEX($A576:$BM576,,$BV$19)*$BW$19+
INDEX($A576:$BM576,,$BV$20)*$BW$20+
INDEX($A576:$BM576,,$BV$21)*$BW$21+
INDEX($A576:$BM576,,$BV$22)*$BW$22+
INDEX($A576:$BM576,,$BV$23)*$BW$23+
INDEX($A576:$BM576,,$BV$25)*$BW$25+
INDEX($A576:$BM576,,$BV$26)*$BW$26+
INDEX($A576:$BM576,,$BV$27)*$BW$27+
$BN576)),
$BN576-100)</f>
        <v>-100</v>
      </c>
      <c r="AT576" t="str">
        <f t="shared" si="109"/>
        <v/>
      </c>
      <c r="AU576" t="str">
        <f t="shared" si="110"/>
        <v/>
      </c>
      <c r="AV576" s="430">
        <f>IFERROR(
IF(AT576="",-100,
IF($BV$2&gt;0, INDEX(Beersheet!$A:$U,MATCH(AT576,INDEX(Beersheet!$A:$U,0,FFARawStatProjections!$BV$2),0),$BV$3)+$BN576,
INDEX($A576:$BM576,,$BV$12)*$BW$12+
INDEX($A576:$BM576,,$BV$15)*$BW$15+
INDEX($A576:$BM576,,$BV$16)*$BW$16+
INDEX($A576:$BM576,,$BV$17)*$BW$17+
INDEX($A576:$BM576,,$BV$18)*$BW$18+
INDEX($A576:$BM576,,$BV$19)*$BW$19+
INDEX($A576:$BM576,,$BV$20)*$BW$20+
INDEX($A576:$BM576,,$BV$21)*$BW$21+
INDEX($A576:$BM576,,$BV$22)*$BW$22+
INDEX($A576:$BM576,,$BV$23)*$BW$23+
INDEX($A576:$BM576,,$BV$25)*$BW$25+
INDEX($A576:$BM576,,$BV$26)*$BW$26+
INDEX($A576:$BM576,,$BV$27)*$BW$27+
$BN576)),
$BN576-100)</f>
        <v>-100</v>
      </c>
      <c r="AX576">
        <f t="shared" si="111"/>
        <v>0</v>
      </c>
      <c r="AY576">
        <f t="shared" si="112"/>
        <v>0</v>
      </c>
      <c r="AZ576" s="430">
        <f>IFERROR(
IF(AX576="",-100,
IF($BV$2&gt;0, INDEX(Beersheet!$A:$U,MATCH(AX576,INDEX(Beersheet!$A:$U,0,FFARawStatProjections!$BV$2),0),$BV$3)+$BN576,
INDEX($A576:$BM576,,$BV$12)*$BW$12+
INDEX($A576:$BM576,,$BV$15)*$BW$15+
INDEX($A576:$BM576,,$BV$16)*$BW$16+
INDEX($A576:$BM576,,$BV$17)*$BW$17+
INDEX($A576:$BM576,,$BV$18)*$BW$18+
INDEX($A576:$BM576,,$BV$19)*$BW$19+
INDEX($A576:$BM576,,$BV$20)*$BW$20+
INDEX($A576:$BM576,,$BV$21)*$BW$21+
INDEX($A576:$BM576,,$BV$22)*$BW$22+
INDEX($A576:$BM576,,$BV$23)*$BW$23+
INDEX($A576:$BM576,,$BV$25)*$BW$25+
INDEX($A576:$BM576,,$BV$26)*$BW$26+
INDEX($A576:$BM576,,$BV$27)*$BW$27+
$BN576)),
$BN576-100)</f>
        <v>5.7499999999999999E-3</v>
      </c>
      <c r="BB576" t="str">
        <f t="shared" si="113"/>
        <v/>
      </c>
      <c r="BC576" t="str">
        <f t="shared" si="107"/>
        <v/>
      </c>
      <c r="BD576" s="430">
        <f>IFERROR(
IF(BB576="",-100,
IF($BV$2&gt;0, INDEX(Beersheet!$A:$U,MATCH(BB576,INDEX(Beersheet!$A:$U,0,FFARawStatProjections!$BV$2),0),$BV$3)+$BN576,
INDEX($A576:$BM576,,$BV$12)*$BW$12+
INDEX($A576:$BM576,,$BV$15)*$BW$15+
INDEX($A576:$BM576,,$BV$16)*$BW$16+
INDEX($A576:$BM576,,$BV$17)*$BW$17+
INDEX($A576:$BM576,,$BV$18)*$BW$18+
INDEX($A576:$BM576,,$BV$19)*$BW$19+
INDEX($A576:$BM576,,$BV$20)*$BW$20+
INDEX($A576:$BM576,,$BV$21)*$BW$21+
INDEX($A576:$BM576,,$BV$22)*$BW$22+
INDEX($A576:$BM576,,$BV$23)*$BW$23+
INDEX($A576:$BM576,,$BV$25)*$BW$25+
INDEX($A576:$BM576,,$BV$26)*$BW$26+
INDEX($A576:$BM576,,$BV$27)*$BW$27+
$BN576)),
$BN576-100)</f>
        <v>-100</v>
      </c>
      <c r="BF576" t="str">
        <f t="shared" si="114"/>
        <v/>
      </c>
      <c r="BG576" t="str">
        <f t="shared" si="115"/>
        <v/>
      </c>
      <c r="BH576">
        <f t="shared" si="116"/>
        <v>0</v>
      </c>
      <c r="BJ576" t="str">
        <f t="shared" si="117"/>
        <v/>
      </c>
      <c r="BL576">
        <f t="shared" si="119"/>
        <v>0</v>
      </c>
      <c r="BN576">
        <v>5.7499999999999999E-3</v>
      </c>
      <c r="BS576" s="4" t="s">
        <v>2421</v>
      </c>
    </row>
    <row r="577" spans="1:71" ht="15.75" thickBot="1" x14ac:dyDescent="0.3">
      <c r="A577" s="569"/>
      <c r="B577" s="569"/>
      <c r="C577" s="569" t="s">
        <v>6</v>
      </c>
      <c r="D577" s="574"/>
      <c r="E577" s="569"/>
      <c r="F577" s="569"/>
      <c r="G577" s="569"/>
      <c r="H577" s="569"/>
      <c r="I577" s="574">
        <v>0</v>
      </c>
      <c r="J577" s="574">
        <v>0</v>
      </c>
      <c r="K577" s="574">
        <v>0</v>
      </c>
      <c r="L577" s="574"/>
      <c r="M577" s="574"/>
      <c r="N577" s="574"/>
      <c r="O577" s="574"/>
      <c r="P577" s="574"/>
      <c r="Q577" s="574"/>
      <c r="R577" s="569"/>
      <c r="S577" s="569"/>
      <c r="T577" s="569"/>
      <c r="U577" s="569"/>
      <c r="V577" s="569"/>
      <c r="W577" s="569"/>
      <c r="X577" s="569"/>
      <c r="Y577" s="569"/>
      <c r="Z577" s="569"/>
      <c r="AA577" s="569"/>
      <c r="AB577" s="569"/>
      <c r="AC577" s="569"/>
      <c r="AD577" s="569"/>
      <c r="AE577" s="569"/>
      <c r="AF577" s="569"/>
      <c r="AG577" s="569"/>
      <c r="AH577" s="569"/>
      <c r="AI577" s="569"/>
      <c r="AJ577" s="569"/>
      <c r="AK577" s="569"/>
      <c r="AL577" s="569"/>
      <c r="AM577" s="569"/>
      <c r="AN577" s="574"/>
      <c r="AO577">
        <v>576</v>
      </c>
      <c r="AP577" t="str">
        <f t="shared" si="118"/>
        <v/>
      </c>
      <c r="AQ577" t="str">
        <f t="shared" si="108"/>
        <v/>
      </c>
      <c r="AR577" s="430">
        <f>IFERROR(
IF(AP577="",-100,
IF($BV$2&gt;0, INDEX(Beersheet!$A:$U,MATCH(AP577,INDEX(Beersheet!$A:$U,0,FFARawStatProjections!$BV$2),0),$BV$3)+$BN577,
INDEX($A577:$BM577,,$BV$12)*$BW$12+
INDEX($A577:$BM577,,$BV$15)*$BW$15+
INDEX($A577:$BM577,,$BV$16)*$BW$16+
INDEX($A577:$BM577,,$BV$17)*$BW$17+
INDEX($A577:$BM577,,$BV$18)*$BW$18+
INDEX($A577:$BM577,,$BV$19)*$BW$19+
INDEX($A577:$BM577,,$BV$20)*$BW$20+
INDEX($A577:$BM577,,$BV$21)*$BW$21+
INDEX($A577:$BM577,,$BV$22)*$BW$22+
INDEX($A577:$BM577,,$BV$23)*$BW$23+
INDEX($A577:$BM577,,$BV$25)*$BW$25+
INDEX($A577:$BM577,,$BV$26)*$BW$26+
INDEX($A577:$BM577,,$BV$27)*$BW$27+
$BN577)),
$BN577-100)</f>
        <v>-100</v>
      </c>
      <c r="AT577" t="str">
        <f t="shared" si="109"/>
        <v/>
      </c>
      <c r="AU577" t="str">
        <f t="shared" si="110"/>
        <v/>
      </c>
      <c r="AV577" s="430">
        <f>IFERROR(
IF(AT577="",-100,
IF($BV$2&gt;0, INDEX(Beersheet!$A:$U,MATCH(AT577,INDEX(Beersheet!$A:$U,0,FFARawStatProjections!$BV$2),0),$BV$3)+$BN577,
INDEX($A577:$BM577,,$BV$12)*$BW$12+
INDEX($A577:$BM577,,$BV$15)*$BW$15+
INDEX($A577:$BM577,,$BV$16)*$BW$16+
INDEX($A577:$BM577,,$BV$17)*$BW$17+
INDEX($A577:$BM577,,$BV$18)*$BW$18+
INDEX($A577:$BM577,,$BV$19)*$BW$19+
INDEX($A577:$BM577,,$BV$20)*$BW$20+
INDEX($A577:$BM577,,$BV$21)*$BW$21+
INDEX($A577:$BM577,,$BV$22)*$BW$22+
INDEX($A577:$BM577,,$BV$23)*$BW$23+
INDEX($A577:$BM577,,$BV$25)*$BW$25+
INDEX($A577:$BM577,,$BV$26)*$BW$26+
INDEX($A577:$BM577,,$BV$27)*$BW$27+
$BN577)),
$BN577-100)</f>
        <v>-100</v>
      </c>
      <c r="AX577">
        <f t="shared" si="111"/>
        <v>0</v>
      </c>
      <c r="AY577">
        <f t="shared" si="112"/>
        <v>0</v>
      </c>
      <c r="AZ577" s="430">
        <f>IFERROR(
IF(AX577="",-100,
IF($BV$2&gt;0, INDEX(Beersheet!$A:$U,MATCH(AX577,INDEX(Beersheet!$A:$U,0,FFARawStatProjections!$BV$2),0),$BV$3)+$BN577,
INDEX($A577:$BM577,,$BV$12)*$BW$12+
INDEX($A577:$BM577,,$BV$15)*$BW$15+
INDEX($A577:$BM577,,$BV$16)*$BW$16+
INDEX($A577:$BM577,,$BV$17)*$BW$17+
INDEX($A577:$BM577,,$BV$18)*$BW$18+
INDEX($A577:$BM577,,$BV$19)*$BW$19+
INDEX($A577:$BM577,,$BV$20)*$BW$20+
INDEX($A577:$BM577,,$BV$21)*$BW$21+
INDEX($A577:$BM577,,$BV$22)*$BW$22+
INDEX($A577:$BM577,,$BV$23)*$BW$23+
INDEX($A577:$BM577,,$BV$25)*$BW$25+
INDEX($A577:$BM577,,$BV$26)*$BW$26+
INDEX($A577:$BM577,,$BV$27)*$BW$27+
$BN577)),
$BN577-100)</f>
        <v>5.7600000000000004E-3</v>
      </c>
      <c r="BB577" t="str">
        <f t="shared" si="113"/>
        <v/>
      </c>
      <c r="BC577" t="str">
        <f t="shared" si="107"/>
        <v/>
      </c>
      <c r="BD577" s="430">
        <f>IFERROR(
IF(BB577="",-100,
IF($BV$2&gt;0, INDEX(Beersheet!$A:$U,MATCH(BB577,INDEX(Beersheet!$A:$U,0,FFARawStatProjections!$BV$2),0),$BV$3)+$BN577,
INDEX($A577:$BM577,,$BV$12)*$BW$12+
INDEX($A577:$BM577,,$BV$15)*$BW$15+
INDEX($A577:$BM577,,$BV$16)*$BW$16+
INDEX($A577:$BM577,,$BV$17)*$BW$17+
INDEX($A577:$BM577,,$BV$18)*$BW$18+
INDEX($A577:$BM577,,$BV$19)*$BW$19+
INDEX($A577:$BM577,,$BV$20)*$BW$20+
INDEX($A577:$BM577,,$BV$21)*$BW$21+
INDEX($A577:$BM577,,$BV$22)*$BW$22+
INDEX($A577:$BM577,,$BV$23)*$BW$23+
INDEX($A577:$BM577,,$BV$25)*$BW$25+
INDEX($A577:$BM577,,$BV$26)*$BW$26+
INDEX($A577:$BM577,,$BV$27)*$BW$27+
$BN577)),
$BN577-100)</f>
        <v>-100</v>
      </c>
      <c r="BF577" t="str">
        <f t="shared" si="114"/>
        <v/>
      </c>
      <c r="BG577" t="str">
        <f t="shared" si="115"/>
        <v/>
      </c>
      <c r="BH577">
        <f t="shared" si="116"/>
        <v>0</v>
      </c>
      <c r="BJ577" t="str">
        <f t="shared" si="117"/>
        <v/>
      </c>
      <c r="BL577">
        <f t="shared" si="119"/>
        <v>0</v>
      </c>
      <c r="BN577">
        <v>5.7600000000000004E-3</v>
      </c>
      <c r="BS577" s="4" t="s">
        <v>2198</v>
      </c>
    </row>
    <row r="578" spans="1:71" ht="15.75" thickBot="1" x14ac:dyDescent="0.3">
      <c r="A578" s="569"/>
      <c r="B578" s="569"/>
      <c r="C578" s="569" t="s">
        <v>6</v>
      </c>
      <c r="D578" s="574"/>
      <c r="E578" s="569"/>
      <c r="F578" s="569"/>
      <c r="G578" s="569"/>
      <c r="H578" s="569"/>
      <c r="I578" s="574">
        <v>0</v>
      </c>
      <c r="J578" s="574">
        <v>0</v>
      </c>
      <c r="K578" s="574">
        <v>0</v>
      </c>
      <c r="L578" s="574"/>
      <c r="M578" s="574"/>
      <c r="N578" s="574"/>
      <c r="O578" s="574"/>
      <c r="P578" s="574"/>
      <c r="Q578" s="574"/>
      <c r="R578" s="569"/>
      <c r="S578" s="569"/>
      <c r="T578" s="569"/>
      <c r="U578" s="569"/>
      <c r="V578" s="569"/>
      <c r="W578" s="569"/>
      <c r="X578" s="569"/>
      <c r="Y578" s="569"/>
      <c r="Z578" s="569"/>
      <c r="AA578" s="569"/>
      <c r="AB578" s="569"/>
      <c r="AC578" s="569"/>
      <c r="AD578" s="569"/>
      <c r="AE578" s="569"/>
      <c r="AF578" s="569"/>
      <c r="AG578" s="569"/>
      <c r="AH578" s="569"/>
      <c r="AI578" s="569"/>
      <c r="AJ578" s="569"/>
      <c r="AK578" s="569"/>
      <c r="AL578" s="569"/>
      <c r="AM578" s="569"/>
      <c r="AN578" s="574"/>
      <c r="AO578">
        <v>577</v>
      </c>
      <c r="AP578" t="str">
        <f t="shared" si="118"/>
        <v/>
      </c>
      <c r="AQ578" t="str">
        <f t="shared" si="108"/>
        <v/>
      </c>
      <c r="AR578" s="430">
        <f>IFERROR(
IF(AP578="",-100,
IF($BV$2&gt;0, INDEX(Beersheet!$A:$U,MATCH(AP578,INDEX(Beersheet!$A:$U,0,FFARawStatProjections!$BV$2),0),$BV$3)+$BN578,
INDEX($A578:$BM578,,$BV$12)*$BW$12+
INDEX($A578:$BM578,,$BV$15)*$BW$15+
INDEX($A578:$BM578,,$BV$16)*$BW$16+
INDEX($A578:$BM578,,$BV$17)*$BW$17+
INDEX($A578:$BM578,,$BV$18)*$BW$18+
INDEX($A578:$BM578,,$BV$19)*$BW$19+
INDEX($A578:$BM578,,$BV$20)*$BW$20+
INDEX($A578:$BM578,,$BV$21)*$BW$21+
INDEX($A578:$BM578,,$BV$22)*$BW$22+
INDEX($A578:$BM578,,$BV$23)*$BW$23+
INDEX($A578:$BM578,,$BV$25)*$BW$25+
INDEX($A578:$BM578,,$BV$26)*$BW$26+
INDEX($A578:$BM578,,$BV$27)*$BW$27+
$BN578)),
$BN578-100)</f>
        <v>-100</v>
      </c>
      <c r="AT578" t="str">
        <f t="shared" si="109"/>
        <v/>
      </c>
      <c r="AU578" t="str">
        <f t="shared" si="110"/>
        <v/>
      </c>
      <c r="AV578" s="430">
        <f>IFERROR(
IF(AT578="",-100,
IF($BV$2&gt;0, INDEX(Beersheet!$A:$U,MATCH(AT578,INDEX(Beersheet!$A:$U,0,FFARawStatProjections!$BV$2),0),$BV$3)+$BN578,
INDEX($A578:$BM578,,$BV$12)*$BW$12+
INDEX($A578:$BM578,,$BV$15)*$BW$15+
INDEX($A578:$BM578,,$BV$16)*$BW$16+
INDEX($A578:$BM578,,$BV$17)*$BW$17+
INDEX($A578:$BM578,,$BV$18)*$BW$18+
INDEX($A578:$BM578,,$BV$19)*$BW$19+
INDEX($A578:$BM578,,$BV$20)*$BW$20+
INDEX($A578:$BM578,,$BV$21)*$BW$21+
INDEX($A578:$BM578,,$BV$22)*$BW$22+
INDEX($A578:$BM578,,$BV$23)*$BW$23+
INDEX($A578:$BM578,,$BV$25)*$BW$25+
INDEX($A578:$BM578,,$BV$26)*$BW$26+
INDEX($A578:$BM578,,$BV$27)*$BW$27+
$BN578)),
$BN578-100)</f>
        <v>-100</v>
      </c>
      <c r="AX578">
        <f t="shared" si="111"/>
        <v>0</v>
      </c>
      <c r="AY578">
        <f t="shared" si="112"/>
        <v>0</v>
      </c>
      <c r="AZ578" s="430">
        <f>IFERROR(
IF(AX578="",-100,
IF($BV$2&gt;0, INDEX(Beersheet!$A:$U,MATCH(AX578,INDEX(Beersheet!$A:$U,0,FFARawStatProjections!$BV$2),0),$BV$3)+$BN578,
INDEX($A578:$BM578,,$BV$12)*$BW$12+
INDEX($A578:$BM578,,$BV$15)*$BW$15+
INDEX($A578:$BM578,,$BV$16)*$BW$16+
INDEX($A578:$BM578,,$BV$17)*$BW$17+
INDEX($A578:$BM578,,$BV$18)*$BW$18+
INDEX($A578:$BM578,,$BV$19)*$BW$19+
INDEX($A578:$BM578,,$BV$20)*$BW$20+
INDEX($A578:$BM578,,$BV$21)*$BW$21+
INDEX($A578:$BM578,,$BV$22)*$BW$22+
INDEX($A578:$BM578,,$BV$23)*$BW$23+
INDEX($A578:$BM578,,$BV$25)*$BW$25+
INDEX($A578:$BM578,,$BV$26)*$BW$26+
INDEX($A578:$BM578,,$BV$27)*$BW$27+
$BN578)),
$BN578-100)</f>
        <v>5.77E-3</v>
      </c>
      <c r="BB578" t="str">
        <f t="shared" si="113"/>
        <v/>
      </c>
      <c r="BC578" t="str">
        <f t="shared" ref="BC578:BC641" si="120">IFERROR(IF(BB578="","",$B578),"")</f>
        <v/>
      </c>
      <c r="BD578" s="430">
        <f>IFERROR(
IF(BB578="",-100,
IF($BV$2&gt;0, INDEX(Beersheet!$A:$U,MATCH(BB578,INDEX(Beersheet!$A:$U,0,FFARawStatProjections!$BV$2),0),$BV$3)+$BN578,
INDEX($A578:$BM578,,$BV$12)*$BW$12+
INDEX($A578:$BM578,,$BV$15)*$BW$15+
INDEX($A578:$BM578,,$BV$16)*$BW$16+
INDEX($A578:$BM578,,$BV$17)*$BW$17+
INDEX($A578:$BM578,,$BV$18)*$BW$18+
INDEX($A578:$BM578,,$BV$19)*$BW$19+
INDEX($A578:$BM578,,$BV$20)*$BW$20+
INDEX($A578:$BM578,,$BV$21)*$BW$21+
INDEX($A578:$BM578,,$BV$22)*$BW$22+
INDEX($A578:$BM578,,$BV$23)*$BW$23+
INDEX($A578:$BM578,,$BV$25)*$BW$25+
INDEX($A578:$BM578,,$BV$26)*$BW$26+
INDEX($A578:$BM578,,$BV$27)*$BW$27+
$BN578)),
$BN578-100)</f>
        <v>-100</v>
      </c>
      <c r="BF578" t="str">
        <f t="shared" si="114"/>
        <v/>
      </c>
      <c r="BG578" t="str">
        <f t="shared" si="115"/>
        <v/>
      </c>
      <c r="BH578">
        <f t="shared" si="116"/>
        <v>0</v>
      </c>
      <c r="BJ578" t="str">
        <f t="shared" si="117"/>
        <v/>
      </c>
      <c r="BL578">
        <f t="shared" si="119"/>
        <v>0</v>
      </c>
      <c r="BN578">
        <v>5.77E-3</v>
      </c>
      <c r="BS578" s="4" t="s">
        <v>2211</v>
      </c>
    </row>
    <row r="579" spans="1:71" ht="15.75" thickBot="1" x14ac:dyDescent="0.3">
      <c r="A579" s="569"/>
      <c r="B579" s="569"/>
      <c r="C579" s="569" t="s">
        <v>6</v>
      </c>
      <c r="D579" s="574"/>
      <c r="E579" s="569"/>
      <c r="F579" s="569"/>
      <c r="G579" s="569"/>
      <c r="H579" s="569"/>
      <c r="I579" s="574">
        <v>0</v>
      </c>
      <c r="J579" s="574">
        <v>0</v>
      </c>
      <c r="K579" s="574">
        <v>0</v>
      </c>
      <c r="L579" s="574"/>
      <c r="M579" s="574"/>
      <c r="N579" s="574"/>
      <c r="O579" s="574"/>
      <c r="P579" s="574"/>
      <c r="Q579" s="574"/>
      <c r="R579" s="569"/>
      <c r="S579" s="569"/>
      <c r="T579" s="569"/>
      <c r="U579" s="569"/>
      <c r="V579" s="569"/>
      <c r="W579" s="569"/>
      <c r="X579" s="569"/>
      <c r="Y579" s="569"/>
      <c r="Z579" s="569"/>
      <c r="AA579" s="569"/>
      <c r="AB579" s="569"/>
      <c r="AC579" s="569"/>
      <c r="AD579" s="569"/>
      <c r="AE579" s="569"/>
      <c r="AF579" s="569"/>
      <c r="AG579" s="569"/>
      <c r="AH579" s="569"/>
      <c r="AI579" s="569"/>
      <c r="AJ579" s="569"/>
      <c r="AK579" s="569"/>
      <c r="AL579" s="569"/>
      <c r="AM579" s="569"/>
      <c r="AN579" s="574"/>
      <c r="AO579">
        <v>578</v>
      </c>
      <c r="AP579" t="str">
        <f t="shared" si="118"/>
        <v/>
      </c>
      <c r="AQ579" t="str">
        <f t="shared" ref="AQ579:AQ642" si="121">IFERROR(IF(AP579="","",$B579),"")</f>
        <v/>
      </c>
      <c r="AR579" s="430">
        <f>IFERROR(
IF(AP579="",-100,
IF($BV$2&gt;0, INDEX(Beersheet!$A:$U,MATCH(AP579,INDEX(Beersheet!$A:$U,0,FFARawStatProjections!$BV$2),0),$BV$3)+$BN579,
INDEX($A579:$BM579,,$BV$12)*$BW$12+
INDEX($A579:$BM579,,$BV$15)*$BW$15+
INDEX($A579:$BM579,,$BV$16)*$BW$16+
INDEX($A579:$BM579,,$BV$17)*$BW$17+
INDEX($A579:$BM579,,$BV$18)*$BW$18+
INDEX($A579:$BM579,,$BV$19)*$BW$19+
INDEX($A579:$BM579,,$BV$20)*$BW$20+
INDEX($A579:$BM579,,$BV$21)*$BW$21+
INDEX($A579:$BM579,,$BV$22)*$BW$22+
INDEX($A579:$BM579,,$BV$23)*$BW$23+
INDEX($A579:$BM579,,$BV$25)*$BW$25+
INDEX($A579:$BM579,,$BV$26)*$BW$26+
INDEX($A579:$BM579,,$BV$27)*$BW$27+
$BN579)),
$BN579-100)</f>
        <v>-100</v>
      </c>
      <c r="AT579" t="str">
        <f t="shared" ref="AT579:AT642" si="122">IF($C579 = "RB", $A579, "")</f>
        <v/>
      </c>
      <c r="AU579" t="str">
        <f t="shared" ref="AU579:AU642" si="123">IFERROR(IF(AT579="","",$B579),"")</f>
        <v/>
      </c>
      <c r="AV579" s="430">
        <f>IFERROR(
IF(AT579="",-100,
IF($BV$2&gt;0, INDEX(Beersheet!$A:$U,MATCH(AT579,INDEX(Beersheet!$A:$U,0,FFARawStatProjections!$BV$2),0),$BV$3)+$BN579,
INDEX($A579:$BM579,,$BV$12)*$BW$12+
INDEX($A579:$BM579,,$BV$15)*$BW$15+
INDEX($A579:$BM579,,$BV$16)*$BW$16+
INDEX($A579:$BM579,,$BV$17)*$BW$17+
INDEX($A579:$BM579,,$BV$18)*$BW$18+
INDEX($A579:$BM579,,$BV$19)*$BW$19+
INDEX($A579:$BM579,,$BV$20)*$BW$20+
INDEX($A579:$BM579,,$BV$21)*$BW$21+
INDEX($A579:$BM579,,$BV$22)*$BW$22+
INDEX($A579:$BM579,,$BV$23)*$BW$23+
INDEX($A579:$BM579,,$BV$25)*$BW$25+
INDEX($A579:$BM579,,$BV$26)*$BW$26+
INDEX($A579:$BM579,,$BV$27)*$BW$27+
$BN579)),
$BN579-100)</f>
        <v>-100</v>
      </c>
      <c r="AX579">
        <f t="shared" ref="AX579:AX642" si="124">IF($C579 = "WR", $A579, "")</f>
        <v>0</v>
      </c>
      <c r="AY579">
        <f t="shared" ref="AY579:AY642" si="125">IFERROR(IF(AX579="","",$B579),"")</f>
        <v>0</v>
      </c>
      <c r="AZ579" s="430">
        <f>IFERROR(
IF(AX579="",-100,
IF($BV$2&gt;0, INDEX(Beersheet!$A:$U,MATCH(AX579,INDEX(Beersheet!$A:$U,0,FFARawStatProjections!$BV$2),0),$BV$3)+$BN579,
INDEX($A579:$BM579,,$BV$12)*$BW$12+
INDEX($A579:$BM579,,$BV$15)*$BW$15+
INDEX($A579:$BM579,,$BV$16)*$BW$16+
INDEX($A579:$BM579,,$BV$17)*$BW$17+
INDEX($A579:$BM579,,$BV$18)*$BW$18+
INDEX($A579:$BM579,,$BV$19)*$BW$19+
INDEX($A579:$BM579,,$BV$20)*$BW$20+
INDEX($A579:$BM579,,$BV$21)*$BW$21+
INDEX($A579:$BM579,,$BV$22)*$BW$22+
INDEX($A579:$BM579,,$BV$23)*$BW$23+
INDEX($A579:$BM579,,$BV$25)*$BW$25+
INDEX($A579:$BM579,,$BV$26)*$BW$26+
INDEX($A579:$BM579,,$BV$27)*$BW$27+
$BN579)),
$BN579-100)</f>
        <v>5.7800000000000004E-3</v>
      </c>
      <c r="BB579" t="str">
        <f t="shared" ref="BB579:BB642" si="126">IF($C579 = "TE", $A579, "")</f>
        <v/>
      </c>
      <c r="BC579" t="str">
        <f t="shared" si="120"/>
        <v/>
      </c>
      <c r="BD579" s="430">
        <f>IFERROR(
IF(BB579="",-100,
IF($BV$2&gt;0, INDEX(Beersheet!$A:$U,MATCH(BB579,INDEX(Beersheet!$A:$U,0,FFARawStatProjections!$BV$2),0),$BV$3)+$BN579,
INDEX($A579:$BM579,,$BV$12)*$BW$12+
INDEX($A579:$BM579,,$BV$15)*$BW$15+
INDEX($A579:$BM579,,$BV$16)*$BW$16+
INDEX($A579:$BM579,,$BV$17)*$BW$17+
INDEX($A579:$BM579,,$BV$18)*$BW$18+
INDEX($A579:$BM579,,$BV$19)*$BW$19+
INDEX($A579:$BM579,,$BV$20)*$BW$20+
INDEX($A579:$BM579,,$BV$21)*$BW$21+
INDEX($A579:$BM579,,$BV$22)*$BW$22+
INDEX($A579:$BM579,,$BV$23)*$BW$23+
INDEX($A579:$BM579,,$BV$25)*$BW$25+
INDEX($A579:$BM579,,$BV$26)*$BW$26+
INDEX($A579:$BM579,,$BV$27)*$BW$27+
$BN579)),
$BN579-100)</f>
        <v>-100</v>
      </c>
      <c r="BF579" t="str">
        <f t="shared" ref="BF579:BF642" si="127">IF($C579 = "K", $A579, "")</f>
        <v/>
      </c>
      <c r="BG579" t="str">
        <f t="shared" ref="BG579:BG642" si="128">IFERROR(IF(BF579="","",$B579),"")</f>
        <v/>
      </c>
      <c r="BH579">
        <f t="shared" ref="BH579:BH642" si="129">IFERROR(IF(BF579="",0,
AF579*3
+AG579*3
+AH579*3
+AI579*4
+AJ579*5
+BN579+AN579),"")</f>
        <v>0</v>
      </c>
      <c r="BJ579" t="str">
        <f t="shared" ref="BJ579:BJ642" si="130">IF($C579 = "DST", $A579, "")</f>
        <v/>
      </c>
      <c r="BL579">
        <f t="shared" si="119"/>
        <v>0</v>
      </c>
      <c r="BN579">
        <v>5.7800000000000004E-3</v>
      </c>
      <c r="BS579" s="4" t="s">
        <v>2242</v>
      </c>
    </row>
    <row r="580" spans="1:71" ht="15.75" thickBot="1" x14ac:dyDescent="0.3">
      <c r="A580" s="569"/>
      <c r="B580" s="569"/>
      <c r="C580" s="569" t="s">
        <v>6</v>
      </c>
      <c r="D580" s="574"/>
      <c r="E580" s="569"/>
      <c r="F580" s="569"/>
      <c r="G580" s="569"/>
      <c r="H580" s="569"/>
      <c r="I580" s="574">
        <v>0</v>
      </c>
      <c r="J580" s="574">
        <v>0</v>
      </c>
      <c r="K580" s="574">
        <v>0</v>
      </c>
      <c r="L580" s="574"/>
      <c r="M580" s="574"/>
      <c r="N580" s="574"/>
      <c r="O580" s="574"/>
      <c r="P580" s="574"/>
      <c r="Q580" s="574"/>
      <c r="R580" s="569"/>
      <c r="S580" s="569"/>
      <c r="T580" s="569"/>
      <c r="U580" s="569"/>
      <c r="V580" s="569"/>
      <c r="W580" s="569"/>
      <c r="X580" s="569"/>
      <c r="Y580" s="569"/>
      <c r="Z580" s="569"/>
      <c r="AA580" s="569"/>
      <c r="AB580" s="569"/>
      <c r="AC580" s="569"/>
      <c r="AD580" s="569"/>
      <c r="AE580" s="569"/>
      <c r="AF580" s="569"/>
      <c r="AG580" s="569"/>
      <c r="AH580" s="569"/>
      <c r="AI580" s="569"/>
      <c r="AJ580" s="569"/>
      <c r="AK580" s="569"/>
      <c r="AL580" s="569"/>
      <c r="AM580" s="569"/>
      <c r="AN580" s="574"/>
      <c r="AO580">
        <v>579</v>
      </c>
      <c r="AP580" t="str">
        <f t="shared" si="118"/>
        <v/>
      </c>
      <c r="AQ580" t="str">
        <f t="shared" si="121"/>
        <v/>
      </c>
      <c r="AR580" s="430">
        <f>IFERROR(
IF(AP580="",-100,
IF($BV$2&gt;0, INDEX(Beersheet!$A:$U,MATCH(AP580,INDEX(Beersheet!$A:$U,0,FFARawStatProjections!$BV$2),0),$BV$3)+$BN580,
INDEX($A580:$BM580,,$BV$12)*$BW$12+
INDEX($A580:$BM580,,$BV$15)*$BW$15+
INDEX($A580:$BM580,,$BV$16)*$BW$16+
INDEX($A580:$BM580,,$BV$17)*$BW$17+
INDEX($A580:$BM580,,$BV$18)*$BW$18+
INDEX($A580:$BM580,,$BV$19)*$BW$19+
INDEX($A580:$BM580,,$BV$20)*$BW$20+
INDEX($A580:$BM580,,$BV$21)*$BW$21+
INDEX($A580:$BM580,,$BV$22)*$BW$22+
INDEX($A580:$BM580,,$BV$23)*$BW$23+
INDEX($A580:$BM580,,$BV$25)*$BW$25+
INDEX($A580:$BM580,,$BV$26)*$BW$26+
INDEX($A580:$BM580,,$BV$27)*$BW$27+
$BN580)),
$BN580-100)</f>
        <v>-100</v>
      </c>
      <c r="AT580" t="str">
        <f t="shared" si="122"/>
        <v/>
      </c>
      <c r="AU580" t="str">
        <f t="shared" si="123"/>
        <v/>
      </c>
      <c r="AV580" s="430">
        <f>IFERROR(
IF(AT580="",-100,
IF($BV$2&gt;0, INDEX(Beersheet!$A:$U,MATCH(AT580,INDEX(Beersheet!$A:$U,0,FFARawStatProjections!$BV$2),0),$BV$3)+$BN580,
INDEX($A580:$BM580,,$BV$12)*$BW$12+
INDEX($A580:$BM580,,$BV$15)*$BW$15+
INDEX($A580:$BM580,,$BV$16)*$BW$16+
INDEX($A580:$BM580,,$BV$17)*$BW$17+
INDEX($A580:$BM580,,$BV$18)*$BW$18+
INDEX($A580:$BM580,,$BV$19)*$BW$19+
INDEX($A580:$BM580,,$BV$20)*$BW$20+
INDEX($A580:$BM580,,$BV$21)*$BW$21+
INDEX($A580:$BM580,,$BV$22)*$BW$22+
INDEX($A580:$BM580,,$BV$23)*$BW$23+
INDEX($A580:$BM580,,$BV$25)*$BW$25+
INDEX($A580:$BM580,,$BV$26)*$BW$26+
INDEX($A580:$BM580,,$BV$27)*$BW$27+
$BN580)),
$BN580-100)</f>
        <v>-100</v>
      </c>
      <c r="AX580">
        <f t="shared" si="124"/>
        <v>0</v>
      </c>
      <c r="AY580">
        <f t="shared" si="125"/>
        <v>0</v>
      </c>
      <c r="AZ580" s="430">
        <f>IFERROR(
IF(AX580="",-100,
IF($BV$2&gt;0, INDEX(Beersheet!$A:$U,MATCH(AX580,INDEX(Beersheet!$A:$U,0,FFARawStatProjections!$BV$2),0),$BV$3)+$BN580,
INDEX($A580:$BM580,,$BV$12)*$BW$12+
INDEX($A580:$BM580,,$BV$15)*$BW$15+
INDEX($A580:$BM580,,$BV$16)*$BW$16+
INDEX($A580:$BM580,,$BV$17)*$BW$17+
INDEX($A580:$BM580,,$BV$18)*$BW$18+
INDEX($A580:$BM580,,$BV$19)*$BW$19+
INDEX($A580:$BM580,,$BV$20)*$BW$20+
INDEX($A580:$BM580,,$BV$21)*$BW$21+
INDEX($A580:$BM580,,$BV$22)*$BW$22+
INDEX($A580:$BM580,,$BV$23)*$BW$23+
INDEX($A580:$BM580,,$BV$25)*$BW$25+
INDEX($A580:$BM580,,$BV$26)*$BW$26+
INDEX($A580:$BM580,,$BV$27)*$BW$27+
$BN580)),
$BN580-100)</f>
        <v>5.79E-3</v>
      </c>
      <c r="BB580" t="str">
        <f t="shared" si="126"/>
        <v/>
      </c>
      <c r="BC580" t="str">
        <f t="shared" si="120"/>
        <v/>
      </c>
      <c r="BD580" s="430">
        <f>IFERROR(
IF(BB580="",-100,
IF($BV$2&gt;0, INDEX(Beersheet!$A:$U,MATCH(BB580,INDEX(Beersheet!$A:$U,0,FFARawStatProjections!$BV$2),0),$BV$3)+$BN580,
INDEX($A580:$BM580,,$BV$12)*$BW$12+
INDEX($A580:$BM580,,$BV$15)*$BW$15+
INDEX($A580:$BM580,,$BV$16)*$BW$16+
INDEX($A580:$BM580,,$BV$17)*$BW$17+
INDEX($A580:$BM580,,$BV$18)*$BW$18+
INDEX($A580:$BM580,,$BV$19)*$BW$19+
INDEX($A580:$BM580,,$BV$20)*$BW$20+
INDEX($A580:$BM580,,$BV$21)*$BW$21+
INDEX($A580:$BM580,,$BV$22)*$BW$22+
INDEX($A580:$BM580,,$BV$23)*$BW$23+
INDEX($A580:$BM580,,$BV$25)*$BW$25+
INDEX($A580:$BM580,,$BV$26)*$BW$26+
INDEX($A580:$BM580,,$BV$27)*$BW$27+
$BN580)),
$BN580-100)</f>
        <v>-100</v>
      </c>
      <c r="BF580" t="str">
        <f t="shared" si="127"/>
        <v/>
      </c>
      <c r="BG580" t="str">
        <f t="shared" si="128"/>
        <v/>
      </c>
      <c r="BH580">
        <f t="shared" si="129"/>
        <v>0</v>
      </c>
      <c r="BJ580" t="str">
        <f t="shared" si="130"/>
        <v/>
      </c>
      <c r="BL580">
        <f t="shared" si="119"/>
        <v>0</v>
      </c>
      <c r="BN580">
        <v>5.79E-3</v>
      </c>
      <c r="BS580" s="4" t="s">
        <v>2180</v>
      </c>
    </row>
    <row r="581" spans="1:71" ht="15.75" thickBot="1" x14ac:dyDescent="0.3">
      <c r="A581" s="569"/>
      <c r="B581" s="569"/>
      <c r="C581" s="569" t="s">
        <v>6</v>
      </c>
      <c r="D581" s="574"/>
      <c r="E581" s="569"/>
      <c r="F581" s="569"/>
      <c r="G581" s="569"/>
      <c r="H581" s="569"/>
      <c r="I581" s="574">
        <v>0</v>
      </c>
      <c r="J581" s="574">
        <v>0</v>
      </c>
      <c r="K581" s="574">
        <v>0</v>
      </c>
      <c r="L581" s="574"/>
      <c r="M581" s="574"/>
      <c r="N581" s="574"/>
      <c r="O581" s="574"/>
      <c r="P581" s="574"/>
      <c r="Q581" s="574"/>
      <c r="R581" s="569"/>
      <c r="S581" s="569"/>
      <c r="T581" s="569"/>
      <c r="U581" s="569"/>
      <c r="V581" s="569"/>
      <c r="W581" s="569"/>
      <c r="X581" s="569"/>
      <c r="Y581" s="569"/>
      <c r="Z581" s="569"/>
      <c r="AA581" s="569"/>
      <c r="AB581" s="569"/>
      <c r="AC581" s="569"/>
      <c r="AD581" s="569"/>
      <c r="AE581" s="569"/>
      <c r="AF581" s="569"/>
      <c r="AG581" s="569"/>
      <c r="AH581" s="569"/>
      <c r="AI581" s="569"/>
      <c r="AJ581" s="569"/>
      <c r="AK581" s="569"/>
      <c r="AL581" s="569"/>
      <c r="AM581" s="569"/>
      <c r="AN581" s="574"/>
      <c r="AO581">
        <v>580</v>
      </c>
      <c r="AP581" t="str">
        <f t="shared" si="118"/>
        <v/>
      </c>
      <c r="AQ581" t="str">
        <f t="shared" si="121"/>
        <v/>
      </c>
      <c r="AR581" s="430">
        <f>IFERROR(
IF(AP581="",-100,
IF($BV$2&gt;0, INDEX(Beersheet!$A:$U,MATCH(AP581,INDEX(Beersheet!$A:$U,0,FFARawStatProjections!$BV$2),0),$BV$3)+$BN581,
INDEX($A581:$BM581,,$BV$12)*$BW$12+
INDEX($A581:$BM581,,$BV$15)*$BW$15+
INDEX($A581:$BM581,,$BV$16)*$BW$16+
INDEX($A581:$BM581,,$BV$17)*$BW$17+
INDEX($A581:$BM581,,$BV$18)*$BW$18+
INDEX($A581:$BM581,,$BV$19)*$BW$19+
INDEX($A581:$BM581,,$BV$20)*$BW$20+
INDEX($A581:$BM581,,$BV$21)*$BW$21+
INDEX($A581:$BM581,,$BV$22)*$BW$22+
INDEX($A581:$BM581,,$BV$23)*$BW$23+
INDEX($A581:$BM581,,$BV$25)*$BW$25+
INDEX($A581:$BM581,,$BV$26)*$BW$26+
INDEX($A581:$BM581,,$BV$27)*$BW$27+
$BN581)),
$BN581-100)</f>
        <v>-100</v>
      </c>
      <c r="AT581" t="str">
        <f t="shared" si="122"/>
        <v/>
      </c>
      <c r="AU581" t="str">
        <f t="shared" si="123"/>
        <v/>
      </c>
      <c r="AV581" s="430">
        <f>IFERROR(
IF(AT581="",-100,
IF($BV$2&gt;0, INDEX(Beersheet!$A:$U,MATCH(AT581,INDEX(Beersheet!$A:$U,0,FFARawStatProjections!$BV$2),0),$BV$3)+$BN581,
INDEX($A581:$BM581,,$BV$12)*$BW$12+
INDEX($A581:$BM581,,$BV$15)*$BW$15+
INDEX($A581:$BM581,,$BV$16)*$BW$16+
INDEX($A581:$BM581,,$BV$17)*$BW$17+
INDEX($A581:$BM581,,$BV$18)*$BW$18+
INDEX($A581:$BM581,,$BV$19)*$BW$19+
INDEX($A581:$BM581,,$BV$20)*$BW$20+
INDEX($A581:$BM581,,$BV$21)*$BW$21+
INDEX($A581:$BM581,,$BV$22)*$BW$22+
INDEX($A581:$BM581,,$BV$23)*$BW$23+
INDEX($A581:$BM581,,$BV$25)*$BW$25+
INDEX($A581:$BM581,,$BV$26)*$BW$26+
INDEX($A581:$BM581,,$BV$27)*$BW$27+
$BN581)),
$BN581-100)</f>
        <v>-100</v>
      </c>
      <c r="AX581">
        <f t="shared" si="124"/>
        <v>0</v>
      </c>
      <c r="AY581">
        <f t="shared" si="125"/>
        <v>0</v>
      </c>
      <c r="AZ581" s="430">
        <f>IFERROR(
IF(AX581="",-100,
IF($BV$2&gt;0, INDEX(Beersheet!$A:$U,MATCH(AX581,INDEX(Beersheet!$A:$U,0,FFARawStatProjections!$BV$2),0),$BV$3)+$BN581,
INDEX($A581:$BM581,,$BV$12)*$BW$12+
INDEX($A581:$BM581,,$BV$15)*$BW$15+
INDEX($A581:$BM581,,$BV$16)*$BW$16+
INDEX($A581:$BM581,,$BV$17)*$BW$17+
INDEX($A581:$BM581,,$BV$18)*$BW$18+
INDEX($A581:$BM581,,$BV$19)*$BW$19+
INDEX($A581:$BM581,,$BV$20)*$BW$20+
INDEX($A581:$BM581,,$BV$21)*$BW$21+
INDEX($A581:$BM581,,$BV$22)*$BW$22+
INDEX($A581:$BM581,,$BV$23)*$BW$23+
INDEX($A581:$BM581,,$BV$25)*$BW$25+
INDEX($A581:$BM581,,$BV$26)*$BW$26+
INDEX($A581:$BM581,,$BV$27)*$BW$27+
$BN581)),
$BN581-100)</f>
        <v>5.7999999999999996E-3</v>
      </c>
      <c r="BB581" t="str">
        <f t="shared" si="126"/>
        <v/>
      </c>
      <c r="BC581" t="str">
        <f t="shared" si="120"/>
        <v/>
      </c>
      <c r="BD581" s="430">
        <f>IFERROR(
IF(BB581="",-100,
IF($BV$2&gt;0, INDEX(Beersheet!$A:$U,MATCH(BB581,INDEX(Beersheet!$A:$U,0,FFARawStatProjections!$BV$2),0),$BV$3)+$BN581,
INDEX($A581:$BM581,,$BV$12)*$BW$12+
INDEX($A581:$BM581,,$BV$15)*$BW$15+
INDEX($A581:$BM581,,$BV$16)*$BW$16+
INDEX($A581:$BM581,,$BV$17)*$BW$17+
INDEX($A581:$BM581,,$BV$18)*$BW$18+
INDEX($A581:$BM581,,$BV$19)*$BW$19+
INDEX($A581:$BM581,,$BV$20)*$BW$20+
INDEX($A581:$BM581,,$BV$21)*$BW$21+
INDEX($A581:$BM581,,$BV$22)*$BW$22+
INDEX($A581:$BM581,,$BV$23)*$BW$23+
INDEX($A581:$BM581,,$BV$25)*$BW$25+
INDEX($A581:$BM581,,$BV$26)*$BW$26+
INDEX($A581:$BM581,,$BV$27)*$BW$27+
$BN581)),
$BN581-100)</f>
        <v>-100</v>
      </c>
      <c r="BF581" t="str">
        <f t="shared" si="127"/>
        <v/>
      </c>
      <c r="BG581" t="str">
        <f t="shared" si="128"/>
        <v/>
      </c>
      <c r="BH581">
        <f t="shared" si="129"/>
        <v>0</v>
      </c>
      <c r="BJ581" t="str">
        <f t="shared" si="130"/>
        <v/>
      </c>
      <c r="BL581">
        <f t="shared" si="119"/>
        <v>0</v>
      </c>
      <c r="BN581">
        <v>5.7999999999999996E-3</v>
      </c>
      <c r="BS581" s="4" t="s">
        <v>1803</v>
      </c>
    </row>
    <row r="582" spans="1:71" ht="15.75" thickBot="1" x14ac:dyDescent="0.3">
      <c r="A582" s="569"/>
      <c r="B582" s="569"/>
      <c r="C582" s="569" t="s">
        <v>6</v>
      </c>
      <c r="D582" s="569"/>
      <c r="E582" s="569"/>
      <c r="F582" s="569"/>
      <c r="G582" s="569"/>
      <c r="H582" s="569"/>
      <c r="I582" s="574">
        <v>0</v>
      </c>
      <c r="J582" s="574">
        <v>0</v>
      </c>
      <c r="K582" s="574">
        <v>0</v>
      </c>
      <c r="L582" s="569"/>
      <c r="M582" s="569"/>
      <c r="N582" s="569"/>
      <c r="O582" s="569"/>
      <c r="P582" s="569"/>
      <c r="Q582" s="569"/>
      <c r="R582" s="569"/>
      <c r="S582" s="569"/>
      <c r="T582" s="569"/>
      <c r="U582" s="569"/>
      <c r="V582" s="569"/>
      <c r="W582" s="569"/>
      <c r="X582" s="569"/>
      <c r="Y582" s="569"/>
      <c r="Z582" s="569"/>
      <c r="AA582" s="569"/>
      <c r="AB582" s="569"/>
      <c r="AC582" s="569"/>
      <c r="AD582" s="569"/>
      <c r="AE582" s="569"/>
      <c r="AF582" s="569"/>
      <c r="AG582" s="569"/>
      <c r="AH582" s="569"/>
      <c r="AI582" s="569"/>
      <c r="AJ582" s="569"/>
      <c r="AK582" s="569"/>
      <c r="AL582" s="569"/>
      <c r="AM582" s="569"/>
      <c r="AN582" s="569"/>
      <c r="AO582">
        <v>581</v>
      </c>
      <c r="AP582" t="str">
        <f t="shared" si="118"/>
        <v/>
      </c>
      <c r="AQ582" t="str">
        <f t="shared" si="121"/>
        <v/>
      </c>
      <c r="AR582" s="430">
        <f>IFERROR(
IF(AP582="",-100,
IF($BV$2&gt;0, INDEX(Beersheet!$A:$U,MATCH(AP582,INDEX(Beersheet!$A:$U,0,FFARawStatProjections!$BV$2),0),$BV$3)+$BN582,
INDEX($A582:$BM582,,$BV$12)*$BW$12+
INDEX($A582:$BM582,,$BV$15)*$BW$15+
INDEX($A582:$BM582,,$BV$16)*$BW$16+
INDEX($A582:$BM582,,$BV$17)*$BW$17+
INDEX($A582:$BM582,,$BV$18)*$BW$18+
INDEX($A582:$BM582,,$BV$19)*$BW$19+
INDEX($A582:$BM582,,$BV$20)*$BW$20+
INDEX($A582:$BM582,,$BV$21)*$BW$21+
INDEX($A582:$BM582,,$BV$22)*$BW$22+
INDEX($A582:$BM582,,$BV$23)*$BW$23+
INDEX($A582:$BM582,,$BV$25)*$BW$25+
INDEX($A582:$BM582,,$BV$26)*$BW$26+
INDEX($A582:$BM582,,$BV$27)*$BW$27+
$BN582)),
$BN582-100)</f>
        <v>-100</v>
      </c>
      <c r="AT582" t="str">
        <f t="shared" si="122"/>
        <v/>
      </c>
      <c r="AU582" t="str">
        <f t="shared" si="123"/>
        <v/>
      </c>
      <c r="AV582" s="430">
        <f>IFERROR(
IF(AT582="",-100,
IF($BV$2&gt;0, INDEX(Beersheet!$A:$U,MATCH(AT582,INDEX(Beersheet!$A:$U,0,FFARawStatProjections!$BV$2),0),$BV$3)+$BN582,
INDEX($A582:$BM582,,$BV$12)*$BW$12+
INDEX($A582:$BM582,,$BV$15)*$BW$15+
INDEX($A582:$BM582,,$BV$16)*$BW$16+
INDEX($A582:$BM582,,$BV$17)*$BW$17+
INDEX($A582:$BM582,,$BV$18)*$BW$18+
INDEX($A582:$BM582,,$BV$19)*$BW$19+
INDEX($A582:$BM582,,$BV$20)*$BW$20+
INDEX($A582:$BM582,,$BV$21)*$BW$21+
INDEX($A582:$BM582,,$BV$22)*$BW$22+
INDEX($A582:$BM582,,$BV$23)*$BW$23+
INDEX($A582:$BM582,,$BV$25)*$BW$25+
INDEX($A582:$BM582,,$BV$26)*$BW$26+
INDEX($A582:$BM582,,$BV$27)*$BW$27+
$BN582)),
$BN582-100)</f>
        <v>-100</v>
      </c>
      <c r="AX582">
        <f t="shared" si="124"/>
        <v>0</v>
      </c>
      <c r="AY582">
        <f t="shared" si="125"/>
        <v>0</v>
      </c>
      <c r="AZ582" s="430">
        <f>IFERROR(
IF(AX582="",-100,
IF($BV$2&gt;0, INDEX(Beersheet!$A:$U,MATCH(AX582,INDEX(Beersheet!$A:$U,0,FFARawStatProjections!$BV$2),0),$BV$3)+$BN582,
INDEX($A582:$BM582,,$BV$12)*$BW$12+
INDEX($A582:$BM582,,$BV$15)*$BW$15+
INDEX($A582:$BM582,,$BV$16)*$BW$16+
INDEX($A582:$BM582,,$BV$17)*$BW$17+
INDEX($A582:$BM582,,$BV$18)*$BW$18+
INDEX($A582:$BM582,,$BV$19)*$BW$19+
INDEX($A582:$BM582,,$BV$20)*$BW$20+
INDEX($A582:$BM582,,$BV$21)*$BW$21+
INDEX($A582:$BM582,,$BV$22)*$BW$22+
INDEX($A582:$BM582,,$BV$23)*$BW$23+
INDEX($A582:$BM582,,$BV$25)*$BW$25+
INDEX($A582:$BM582,,$BV$26)*$BW$26+
INDEX($A582:$BM582,,$BV$27)*$BW$27+
$BN582)),
$BN582-100)</f>
        <v>5.8100000000000001E-3</v>
      </c>
      <c r="BB582" t="str">
        <f t="shared" si="126"/>
        <v/>
      </c>
      <c r="BC582" t="str">
        <f t="shared" si="120"/>
        <v/>
      </c>
      <c r="BD582" s="430">
        <f>IFERROR(
IF(BB582="",-100,
IF($BV$2&gt;0, INDEX(Beersheet!$A:$U,MATCH(BB582,INDEX(Beersheet!$A:$U,0,FFARawStatProjections!$BV$2),0),$BV$3)+$BN582,
INDEX($A582:$BM582,,$BV$12)*$BW$12+
INDEX($A582:$BM582,,$BV$15)*$BW$15+
INDEX($A582:$BM582,,$BV$16)*$BW$16+
INDEX($A582:$BM582,,$BV$17)*$BW$17+
INDEX($A582:$BM582,,$BV$18)*$BW$18+
INDEX($A582:$BM582,,$BV$19)*$BW$19+
INDEX($A582:$BM582,,$BV$20)*$BW$20+
INDEX($A582:$BM582,,$BV$21)*$BW$21+
INDEX($A582:$BM582,,$BV$22)*$BW$22+
INDEX($A582:$BM582,,$BV$23)*$BW$23+
INDEX($A582:$BM582,,$BV$25)*$BW$25+
INDEX($A582:$BM582,,$BV$26)*$BW$26+
INDEX($A582:$BM582,,$BV$27)*$BW$27+
$BN582)),
$BN582-100)</f>
        <v>-100</v>
      </c>
      <c r="BF582" t="str">
        <f t="shared" si="127"/>
        <v/>
      </c>
      <c r="BG582" t="str">
        <f t="shared" si="128"/>
        <v/>
      </c>
      <c r="BH582">
        <f t="shared" si="129"/>
        <v>0</v>
      </c>
      <c r="BJ582" t="str">
        <f t="shared" si="130"/>
        <v/>
      </c>
      <c r="BL582">
        <f t="shared" si="119"/>
        <v>0</v>
      </c>
      <c r="BN582">
        <v>5.8100000000000001E-3</v>
      </c>
      <c r="BS582" s="4" t="s">
        <v>2184</v>
      </c>
    </row>
    <row r="583" spans="1:71" ht="15.75" thickBot="1" x14ac:dyDescent="0.3">
      <c r="A583" s="569"/>
      <c r="B583" s="569"/>
      <c r="C583" s="569" t="s">
        <v>6</v>
      </c>
      <c r="D583" s="569"/>
      <c r="E583" s="569"/>
      <c r="F583" s="569"/>
      <c r="G583" s="569"/>
      <c r="H583" s="569"/>
      <c r="I583" s="574">
        <v>0</v>
      </c>
      <c r="J583" s="574">
        <v>0</v>
      </c>
      <c r="K583" s="574">
        <v>0</v>
      </c>
      <c r="L583" s="569"/>
      <c r="M583" s="569"/>
      <c r="N583" s="569"/>
      <c r="O583" s="569"/>
      <c r="P583" s="569"/>
      <c r="Q583" s="569"/>
      <c r="R583" s="569"/>
      <c r="S583" s="569"/>
      <c r="T583" s="569"/>
      <c r="U583" s="569"/>
      <c r="V583" s="569"/>
      <c r="W583" s="569"/>
      <c r="X583" s="569"/>
      <c r="Y583" s="569"/>
      <c r="Z583" s="569"/>
      <c r="AA583" s="569"/>
      <c r="AB583" s="569"/>
      <c r="AC583" s="569"/>
      <c r="AD583" s="569"/>
      <c r="AE583" s="569"/>
      <c r="AF583" s="569"/>
      <c r="AG583" s="569"/>
      <c r="AH583" s="569"/>
      <c r="AI583" s="569"/>
      <c r="AJ583" s="569"/>
      <c r="AK583" s="569"/>
      <c r="AL583" s="569"/>
      <c r="AM583" s="569"/>
      <c r="AN583" s="569"/>
      <c r="AO583">
        <v>582</v>
      </c>
      <c r="AP583" t="str">
        <f t="shared" si="118"/>
        <v/>
      </c>
      <c r="AQ583" t="str">
        <f t="shared" si="121"/>
        <v/>
      </c>
      <c r="AR583" s="430">
        <f>IFERROR(
IF(AP583="",-100,
IF($BV$2&gt;0, INDEX(Beersheet!$A:$U,MATCH(AP583,INDEX(Beersheet!$A:$U,0,FFARawStatProjections!$BV$2),0),$BV$3)+$BN583,
INDEX($A583:$BM583,,$BV$12)*$BW$12+
INDEX($A583:$BM583,,$BV$15)*$BW$15+
INDEX($A583:$BM583,,$BV$16)*$BW$16+
INDEX($A583:$BM583,,$BV$17)*$BW$17+
INDEX($A583:$BM583,,$BV$18)*$BW$18+
INDEX($A583:$BM583,,$BV$19)*$BW$19+
INDEX($A583:$BM583,,$BV$20)*$BW$20+
INDEX($A583:$BM583,,$BV$21)*$BW$21+
INDEX($A583:$BM583,,$BV$22)*$BW$22+
INDEX($A583:$BM583,,$BV$23)*$BW$23+
INDEX($A583:$BM583,,$BV$25)*$BW$25+
INDEX($A583:$BM583,,$BV$26)*$BW$26+
INDEX($A583:$BM583,,$BV$27)*$BW$27+
$BN583)),
$BN583-100)</f>
        <v>-100</v>
      </c>
      <c r="AT583" t="str">
        <f t="shared" si="122"/>
        <v/>
      </c>
      <c r="AU583" t="str">
        <f t="shared" si="123"/>
        <v/>
      </c>
      <c r="AV583" s="430">
        <f>IFERROR(
IF(AT583="",-100,
IF($BV$2&gt;0, INDEX(Beersheet!$A:$U,MATCH(AT583,INDEX(Beersheet!$A:$U,0,FFARawStatProjections!$BV$2),0),$BV$3)+$BN583,
INDEX($A583:$BM583,,$BV$12)*$BW$12+
INDEX($A583:$BM583,,$BV$15)*$BW$15+
INDEX($A583:$BM583,,$BV$16)*$BW$16+
INDEX($A583:$BM583,,$BV$17)*$BW$17+
INDEX($A583:$BM583,,$BV$18)*$BW$18+
INDEX($A583:$BM583,,$BV$19)*$BW$19+
INDEX($A583:$BM583,,$BV$20)*$BW$20+
INDEX($A583:$BM583,,$BV$21)*$BW$21+
INDEX($A583:$BM583,,$BV$22)*$BW$22+
INDEX($A583:$BM583,,$BV$23)*$BW$23+
INDEX($A583:$BM583,,$BV$25)*$BW$25+
INDEX($A583:$BM583,,$BV$26)*$BW$26+
INDEX($A583:$BM583,,$BV$27)*$BW$27+
$BN583)),
$BN583-100)</f>
        <v>-100</v>
      </c>
      <c r="AX583">
        <f t="shared" si="124"/>
        <v>0</v>
      </c>
      <c r="AY583">
        <f t="shared" si="125"/>
        <v>0</v>
      </c>
      <c r="AZ583" s="430">
        <f>IFERROR(
IF(AX583="",-100,
IF($BV$2&gt;0, INDEX(Beersheet!$A:$U,MATCH(AX583,INDEX(Beersheet!$A:$U,0,FFARawStatProjections!$BV$2),0),$BV$3)+$BN583,
INDEX($A583:$BM583,,$BV$12)*$BW$12+
INDEX($A583:$BM583,,$BV$15)*$BW$15+
INDEX($A583:$BM583,,$BV$16)*$BW$16+
INDEX($A583:$BM583,,$BV$17)*$BW$17+
INDEX($A583:$BM583,,$BV$18)*$BW$18+
INDEX($A583:$BM583,,$BV$19)*$BW$19+
INDEX($A583:$BM583,,$BV$20)*$BW$20+
INDEX($A583:$BM583,,$BV$21)*$BW$21+
INDEX($A583:$BM583,,$BV$22)*$BW$22+
INDEX($A583:$BM583,,$BV$23)*$BW$23+
INDEX($A583:$BM583,,$BV$25)*$BW$25+
INDEX($A583:$BM583,,$BV$26)*$BW$26+
INDEX($A583:$BM583,,$BV$27)*$BW$27+
$BN583)),
$BN583-100)</f>
        <v>5.8199999999999997E-3</v>
      </c>
      <c r="BB583" t="str">
        <f t="shared" si="126"/>
        <v/>
      </c>
      <c r="BC583" t="str">
        <f t="shared" si="120"/>
        <v/>
      </c>
      <c r="BD583" s="430">
        <f>IFERROR(
IF(BB583="",-100,
IF($BV$2&gt;0, INDEX(Beersheet!$A:$U,MATCH(BB583,INDEX(Beersheet!$A:$U,0,FFARawStatProjections!$BV$2),0),$BV$3)+$BN583,
INDEX($A583:$BM583,,$BV$12)*$BW$12+
INDEX($A583:$BM583,,$BV$15)*$BW$15+
INDEX($A583:$BM583,,$BV$16)*$BW$16+
INDEX($A583:$BM583,,$BV$17)*$BW$17+
INDEX($A583:$BM583,,$BV$18)*$BW$18+
INDEX($A583:$BM583,,$BV$19)*$BW$19+
INDEX($A583:$BM583,,$BV$20)*$BW$20+
INDEX($A583:$BM583,,$BV$21)*$BW$21+
INDEX($A583:$BM583,,$BV$22)*$BW$22+
INDEX($A583:$BM583,,$BV$23)*$BW$23+
INDEX($A583:$BM583,,$BV$25)*$BW$25+
INDEX($A583:$BM583,,$BV$26)*$BW$26+
INDEX($A583:$BM583,,$BV$27)*$BW$27+
$BN583)),
$BN583-100)</f>
        <v>-100</v>
      </c>
      <c r="BF583" t="str">
        <f t="shared" si="127"/>
        <v/>
      </c>
      <c r="BG583" t="str">
        <f t="shared" si="128"/>
        <v/>
      </c>
      <c r="BH583">
        <f t="shared" si="129"/>
        <v>0</v>
      </c>
      <c r="BJ583" t="str">
        <f t="shared" si="130"/>
        <v/>
      </c>
      <c r="BL583">
        <f t="shared" si="119"/>
        <v>0</v>
      </c>
      <c r="BN583">
        <v>5.8199999999999997E-3</v>
      </c>
      <c r="BS583" s="4" t="s">
        <v>2381</v>
      </c>
    </row>
    <row r="584" spans="1:71" ht="15.75" thickBot="1" x14ac:dyDescent="0.3">
      <c r="A584" s="569"/>
      <c r="B584" s="569"/>
      <c r="C584" s="569" t="s">
        <v>6</v>
      </c>
      <c r="D584" s="569"/>
      <c r="E584" s="569"/>
      <c r="F584" s="569"/>
      <c r="G584" s="569"/>
      <c r="H584" s="569"/>
      <c r="I584" s="574">
        <v>0</v>
      </c>
      <c r="J584" s="574">
        <v>0</v>
      </c>
      <c r="K584" s="574">
        <v>0</v>
      </c>
      <c r="L584" s="569"/>
      <c r="M584" s="569"/>
      <c r="N584" s="569"/>
      <c r="O584" s="569"/>
      <c r="P584" s="569"/>
      <c r="Q584" s="569"/>
      <c r="R584" s="569"/>
      <c r="S584" s="569"/>
      <c r="T584" s="569"/>
      <c r="U584" s="569"/>
      <c r="V584" s="569"/>
      <c r="W584" s="569"/>
      <c r="X584" s="569"/>
      <c r="Y584" s="569"/>
      <c r="Z584" s="569"/>
      <c r="AA584" s="569"/>
      <c r="AB584" s="569"/>
      <c r="AC584" s="569"/>
      <c r="AD584" s="569"/>
      <c r="AE584" s="569"/>
      <c r="AF584" s="569"/>
      <c r="AG584" s="569"/>
      <c r="AH584" s="569"/>
      <c r="AI584" s="569"/>
      <c r="AJ584" s="569"/>
      <c r="AK584" s="569"/>
      <c r="AL584" s="569"/>
      <c r="AM584" s="569"/>
      <c r="AN584" s="569"/>
      <c r="AO584">
        <v>583</v>
      </c>
      <c r="AP584" t="str">
        <f t="shared" si="118"/>
        <v/>
      </c>
      <c r="AQ584" t="str">
        <f t="shared" si="121"/>
        <v/>
      </c>
      <c r="AR584" s="430">
        <f>IFERROR(
IF(AP584="",-100,
IF($BV$2&gt;0, INDEX(Beersheet!$A:$U,MATCH(AP584,INDEX(Beersheet!$A:$U,0,FFARawStatProjections!$BV$2),0),$BV$3)+$BN584,
INDEX($A584:$BM584,,$BV$12)*$BW$12+
INDEX($A584:$BM584,,$BV$15)*$BW$15+
INDEX($A584:$BM584,,$BV$16)*$BW$16+
INDEX($A584:$BM584,,$BV$17)*$BW$17+
INDEX($A584:$BM584,,$BV$18)*$BW$18+
INDEX($A584:$BM584,,$BV$19)*$BW$19+
INDEX($A584:$BM584,,$BV$20)*$BW$20+
INDEX($A584:$BM584,,$BV$21)*$BW$21+
INDEX($A584:$BM584,,$BV$22)*$BW$22+
INDEX($A584:$BM584,,$BV$23)*$BW$23+
INDEX($A584:$BM584,,$BV$25)*$BW$25+
INDEX($A584:$BM584,,$BV$26)*$BW$26+
INDEX($A584:$BM584,,$BV$27)*$BW$27+
$BN584)),
$BN584-100)</f>
        <v>-100</v>
      </c>
      <c r="AT584" t="str">
        <f t="shared" si="122"/>
        <v/>
      </c>
      <c r="AU584" t="str">
        <f t="shared" si="123"/>
        <v/>
      </c>
      <c r="AV584" s="430">
        <f>IFERROR(
IF(AT584="",-100,
IF($BV$2&gt;0, INDEX(Beersheet!$A:$U,MATCH(AT584,INDEX(Beersheet!$A:$U,0,FFARawStatProjections!$BV$2),0),$BV$3)+$BN584,
INDEX($A584:$BM584,,$BV$12)*$BW$12+
INDEX($A584:$BM584,,$BV$15)*$BW$15+
INDEX($A584:$BM584,,$BV$16)*$BW$16+
INDEX($A584:$BM584,,$BV$17)*$BW$17+
INDEX($A584:$BM584,,$BV$18)*$BW$18+
INDEX($A584:$BM584,,$BV$19)*$BW$19+
INDEX($A584:$BM584,,$BV$20)*$BW$20+
INDEX($A584:$BM584,,$BV$21)*$BW$21+
INDEX($A584:$BM584,,$BV$22)*$BW$22+
INDEX($A584:$BM584,,$BV$23)*$BW$23+
INDEX($A584:$BM584,,$BV$25)*$BW$25+
INDEX($A584:$BM584,,$BV$26)*$BW$26+
INDEX($A584:$BM584,,$BV$27)*$BW$27+
$BN584)),
$BN584-100)</f>
        <v>-100</v>
      </c>
      <c r="AX584">
        <f t="shared" si="124"/>
        <v>0</v>
      </c>
      <c r="AY584">
        <f t="shared" si="125"/>
        <v>0</v>
      </c>
      <c r="AZ584" s="430">
        <f>IFERROR(
IF(AX584="",-100,
IF($BV$2&gt;0, INDEX(Beersheet!$A:$U,MATCH(AX584,INDEX(Beersheet!$A:$U,0,FFARawStatProjections!$BV$2),0),$BV$3)+$BN584,
INDEX($A584:$BM584,,$BV$12)*$BW$12+
INDEX($A584:$BM584,,$BV$15)*$BW$15+
INDEX($A584:$BM584,,$BV$16)*$BW$16+
INDEX($A584:$BM584,,$BV$17)*$BW$17+
INDEX($A584:$BM584,,$BV$18)*$BW$18+
INDEX($A584:$BM584,,$BV$19)*$BW$19+
INDEX($A584:$BM584,,$BV$20)*$BW$20+
INDEX($A584:$BM584,,$BV$21)*$BW$21+
INDEX($A584:$BM584,,$BV$22)*$BW$22+
INDEX($A584:$BM584,,$BV$23)*$BW$23+
INDEX($A584:$BM584,,$BV$25)*$BW$25+
INDEX($A584:$BM584,,$BV$26)*$BW$26+
INDEX($A584:$BM584,,$BV$27)*$BW$27+
$BN584)),
$BN584-100)</f>
        <v>5.8300000000000001E-3</v>
      </c>
      <c r="BB584" t="str">
        <f t="shared" si="126"/>
        <v/>
      </c>
      <c r="BC584" t="str">
        <f t="shared" si="120"/>
        <v/>
      </c>
      <c r="BD584" s="430">
        <f>IFERROR(
IF(BB584="",-100,
IF($BV$2&gt;0, INDEX(Beersheet!$A:$U,MATCH(BB584,INDEX(Beersheet!$A:$U,0,FFARawStatProjections!$BV$2),0),$BV$3)+$BN584,
INDEX($A584:$BM584,,$BV$12)*$BW$12+
INDEX($A584:$BM584,,$BV$15)*$BW$15+
INDEX($A584:$BM584,,$BV$16)*$BW$16+
INDEX($A584:$BM584,,$BV$17)*$BW$17+
INDEX($A584:$BM584,,$BV$18)*$BW$18+
INDEX($A584:$BM584,,$BV$19)*$BW$19+
INDEX($A584:$BM584,,$BV$20)*$BW$20+
INDEX($A584:$BM584,,$BV$21)*$BW$21+
INDEX($A584:$BM584,,$BV$22)*$BW$22+
INDEX($A584:$BM584,,$BV$23)*$BW$23+
INDEX($A584:$BM584,,$BV$25)*$BW$25+
INDEX($A584:$BM584,,$BV$26)*$BW$26+
INDEX($A584:$BM584,,$BV$27)*$BW$27+
$BN584)),
$BN584-100)</f>
        <v>-100</v>
      </c>
      <c r="BF584" t="str">
        <f t="shared" si="127"/>
        <v/>
      </c>
      <c r="BG584" t="str">
        <f t="shared" si="128"/>
        <v/>
      </c>
      <c r="BH584">
        <f t="shared" si="129"/>
        <v>0</v>
      </c>
      <c r="BJ584" t="str">
        <f t="shared" si="130"/>
        <v/>
      </c>
      <c r="BL584">
        <f t="shared" si="119"/>
        <v>0</v>
      </c>
      <c r="BN584">
        <v>5.8300000000000001E-3</v>
      </c>
      <c r="BS584" s="4" t="s">
        <v>1977</v>
      </c>
    </row>
    <row r="585" spans="1:71" ht="15.75" thickBot="1" x14ac:dyDescent="0.3">
      <c r="A585" s="569"/>
      <c r="B585" s="569"/>
      <c r="C585" s="569" t="s">
        <v>6</v>
      </c>
      <c r="D585" s="569"/>
      <c r="E585" s="569"/>
      <c r="F585" s="569"/>
      <c r="G585" s="569"/>
      <c r="H585" s="569"/>
      <c r="I585" s="574">
        <v>0</v>
      </c>
      <c r="J585" s="574">
        <v>0</v>
      </c>
      <c r="K585" s="574">
        <v>0</v>
      </c>
      <c r="L585" s="569"/>
      <c r="M585" s="569"/>
      <c r="N585" s="569"/>
      <c r="O585" s="569"/>
      <c r="P585" s="569"/>
      <c r="Q585" s="569"/>
      <c r="R585" s="569"/>
      <c r="S585" s="569"/>
      <c r="T585" s="569"/>
      <c r="U585" s="569"/>
      <c r="V585" s="569"/>
      <c r="W585" s="569"/>
      <c r="X585" s="569"/>
      <c r="Y585" s="569"/>
      <c r="Z585" s="569"/>
      <c r="AA585" s="569"/>
      <c r="AB585" s="569"/>
      <c r="AC585" s="569"/>
      <c r="AD585" s="569"/>
      <c r="AE585" s="569"/>
      <c r="AF585" s="569"/>
      <c r="AG585" s="569"/>
      <c r="AH585" s="569"/>
      <c r="AI585" s="569"/>
      <c r="AJ585" s="569"/>
      <c r="AK585" s="569"/>
      <c r="AL585" s="569"/>
      <c r="AM585" s="569"/>
      <c r="AN585" s="569"/>
      <c r="AO585">
        <v>584</v>
      </c>
      <c r="AP585" t="str">
        <f t="shared" si="118"/>
        <v/>
      </c>
      <c r="AQ585" t="str">
        <f t="shared" si="121"/>
        <v/>
      </c>
      <c r="AR585" s="430">
        <f>IFERROR(
IF(AP585="",-100,
IF($BV$2&gt;0, INDEX(Beersheet!$A:$U,MATCH(AP585,INDEX(Beersheet!$A:$U,0,FFARawStatProjections!$BV$2),0),$BV$3)+$BN585,
INDEX($A585:$BM585,,$BV$12)*$BW$12+
INDEX($A585:$BM585,,$BV$15)*$BW$15+
INDEX($A585:$BM585,,$BV$16)*$BW$16+
INDEX($A585:$BM585,,$BV$17)*$BW$17+
INDEX($A585:$BM585,,$BV$18)*$BW$18+
INDEX($A585:$BM585,,$BV$19)*$BW$19+
INDEX($A585:$BM585,,$BV$20)*$BW$20+
INDEX($A585:$BM585,,$BV$21)*$BW$21+
INDEX($A585:$BM585,,$BV$22)*$BW$22+
INDEX($A585:$BM585,,$BV$23)*$BW$23+
INDEX($A585:$BM585,,$BV$25)*$BW$25+
INDEX($A585:$BM585,,$BV$26)*$BW$26+
INDEX($A585:$BM585,,$BV$27)*$BW$27+
$BN585)),
$BN585-100)</f>
        <v>-100</v>
      </c>
      <c r="AT585" t="str">
        <f t="shared" si="122"/>
        <v/>
      </c>
      <c r="AU585" t="str">
        <f t="shared" si="123"/>
        <v/>
      </c>
      <c r="AV585" s="430">
        <f>IFERROR(
IF(AT585="",-100,
IF($BV$2&gt;0, INDEX(Beersheet!$A:$U,MATCH(AT585,INDEX(Beersheet!$A:$U,0,FFARawStatProjections!$BV$2),0),$BV$3)+$BN585,
INDEX($A585:$BM585,,$BV$12)*$BW$12+
INDEX($A585:$BM585,,$BV$15)*$BW$15+
INDEX($A585:$BM585,,$BV$16)*$BW$16+
INDEX($A585:$BM585,,$BV$17)*$BW$17+
INDEX($A585:$BM585,,$BV$18)*$BW$18+
INDEX($A585:$BM585,,$BV$19)*$BW$19+
INDEX($A585:$BM585,,$BV$20)*$BW$20+
INDEX($A585:$BM585,,$BV$21)*$BW$21+
INDEX($A585:$BM585,,$BV$22)*$BW$22+
INDEX($A585:$BM585,,$BV$23)*$BW$23+
INDEX($A585:$BM585,,$BV$25)*$BW$25+
INDEX($A585:$BM585,,$BV$26)*$BW$26+
INDEX($A585:$BM585,,$BV$27)*$BW$27+
$BN585)),
$BN585-100)</f>
        <v>-100</v>
      </c>
      <c r="AX585">
        <f t="shared" si="124"/>
        <v>0</v>
      </c>
      <c r="AY585">
        <f t="shared" si="125"/>
        <v>0</v>
      </c>
      <c r="AZ585" s="430">
        <f>IFERROR(
IF(AX585="",-100,
IF($BV$2&gt;0, INDEX(Beersheet!$A:$U,MATCH(AX585,INDEX(Beersheet!$A:$U,0,FFARawStatProjections!$BV$2),0),$BV$3)+$BN585,
INDEX($A585:$BM585,,$BV$12)*$BW$12+
INDEX($A585:$BM585,,$BV$15)*$BW$15+
INDEX($A585:$BM585,,$BV$16)*$BW$16+
INDEX($A585:$BM585,,$BV$17)*$BW$17+
INDEX($A585:$BM585,,$BV$18)*$BW$18+
INDEX($A585:$BM585,,$BV$19)*$BW$19+
INDEX($A585:$BM585,,$BV$20)*$BW$20+
INDEX($A585:$BM585,,$BV$21)*$BW$21+
INDEX($A585:$BM585,,$BV$22)*$BW$22+
INDEX($A585:$BM585,,$BV$23)*$BW$23+
INDEX($A585:$BM585,,$BV$25)*$BW$25+
INDEX($A585:$BM585,,$BV$26)*$BW$26+
INDEX($A585:$BM585,,$BV$27)*$BW$27+
$BN585)),
$BN585-100)</f>
        <v>5.8399999999999997E-3</v>
      </c>
      <c r="BB585" t="str">
        <f t="shared" si="126"/>
        <v/>
      </c>
      <c r="BC585" t="str">
        <f t="shared" si="120"/>
        <v/>
      </c>
      <c r="BD585" s="430">
        <f>IFERROR(
IF(BB585="",-100,
IF($BV$2&gt;0, INDEX(Beersheet!$A:$U,MATCH(BB585,INDEX(Beersheet!$A:$U,0,FFARawStatProjections!$BV$2),0),$BV$3)+$BN585,
INDEX($A585:$BM585,,$BV$12)*$BW$12+
INDEX($A585:$BM585,,$BV$15)*$BW$15+
INDEX($A585:$BM585,,$BV$16)*$BW$16+
INDEX($A585:$BM585,,$BV$17)*$BW$17+
INDEX($A585:$BM585,,$BV$18)*$BW$18+
INDEX($A585:$BM585,,$BV$19)*$BW$19+
INDEX($A585:$BM585,,$BV$20)*$BW$20+
INDEX($A585:$BM585,,$BV$21)*$BW$21+
INDEX($A585:$BM585,,$BV$22)*$BW$22+
INDEX($A585:$BM585,,$BV$23)*$BW$23+
INDEX($A585:$BM585,,$BV$25)*$BW$25+
INDEX($A585:$BM585,,$BV$26)*$BW$26+
INDEX($A585:$BM585,,$BV$27)*$BW$27+
$BN585)),
$BN585-100)</f>
        <v>-100</v>
      </c>
      <c r="BF585" t="str">
        <f t="shared" si="127"/>
        <v/>
      </c>
      <c r="BG585" t="str">
        <f t="shared" si="128"/>
        <v/>
      </c>
      <c r="BH585">
        <f t="shared" si="129"/>
        <v>0</v>
      </c>
      <c r="BJ585" t="str">
        <f t="shared" si="130"/>
        <v/>
      </c>
      <c r="BL585">
        <f t="shared" si="119"/>
        <v>0</v>
      </c>
      <c r="BN585">
        <v>5.8399999999999997E-3</v>
      </c>
      <c r="BS585" s="4" t="s">
        <v>2420</v>
      </c>
    </row>
    <row r="586" spans="1:71" ht="15.75" thickBot="1" x14ac:dyDescent="0.3">
      <c r="A586" s="569"/>
      <c r="B586" s="569"/>
      <c r="C586" s="569" t="s">
        <v>6</v>
      </c>
      <c r="D586" s="569"/>
      <c r="E586" s="569"/>
      <c r="F586" s="569"/>
      <c r="G586" s="569"/>
      <c r="H586" s="569"/>
      <c r="I586" s="574">
        <v>0</v>
      </c>
      <c r="J586" s="574">
        <v>0</v>
      </c>
      <c r="K586" s="574">
        <v>0</v>
      </c>
      <c r="L586" s="569"/>
      <c r="M586" s="569"/>
      <c r="N586" s="569"/>
      <c r="O586" s="569"/>
      <c r="P586" s="569"/>
      <c r="Q586" s="569"/>
      <c r="R586" s="569"/>
      <c r="S586" s="569"/>
      <c r="T586" s="569"/>
      <c r="U586" s="569"/>
      <c r="V586" s="569"/>
      <c r="W586" s="569"/>
      <c r="X586" s="569"/>
      <c r="Y586" s="569"/>
      <c r="Z586" s="569"/>
      <c r="AA586" s="569"/>
      <c r="AB586" s="569"/>
      <c r="AC586" s="569"/>
      <c r="AD586" s="569"/>
      <c r="AE586" s="569"/>
      <c r="AF586" s="569"/>
      <c r="AG586" s="569"/>
      <c r="AH586" s="569"/>
      <c r="AI586" s="569"/>
      <c r="AJ586" s="569"/>
      <c r="AK586" s="569"/>
      <c r="AL586" s="569"/>
      <c r="AM586" s="569"/>
      <c r="AN586" s="569"/>
      <c r="AO586">
        <v>585</v>
      </c>
      <c r="AP586" t="str">
        <f t="shared" si="118"/>
        <v/>
      </c>
      <c r="AQ586" t="str">
        <f t="shared" si="121"/>
        <v/>
      </c>
      <c r="AR586" s="430">
        <f>IFERROR(
IF(AP586="",-100,
IF($BV$2&gt;0, INDEX(Beersheet!$A:$U,MATCH(AP586,INDEX(Beersheet!$A:$U,0,FFARawStatProjections!$BV$2),0),$BV$3)+$BN586,
INDEX($A586:$BM586,,$BV$12)*$BW$12+
INDEX($A586:$BM586,,$BV$15)*$BW$15+
INDEX($A586:$BM586,,$BV$16)*$BW$16+
INDEX($A586:$BM586,,$BV$17)*$BW$17+
INDEX($A586:$BM586,,$BV$18)*$BW$18+
INDEX($A586:$BM586,,$BV$19)*$BW$19+
INDEX($A586:$BM586,,$BV$20)*$BW$20+
INDEX($A586:$BM586,,$BV$21)*$BW$21+
INDEX($A586:$BM586,,$BV$22)*$BW$22+
INDEX($A586:$BM586,,$BV$23)*$BW$23+
INDEX($A586:$BM586,,$BV$25)*$BW$25+
INDEX($A586:$BM586,,$BV$26)*$BW$26+
INDEX($A586:$BM586,,$BV$27)*$BW$27+
$BN586)),
$BN586-100)</f>
        <v>-100</v>
      </c>
      <c r="AT586" t="str">
        <f t="shared" si="122"/>
        <v/>
      </c>
      <c r="AU586" t="str">
        <f t="shared" si="123"/>
        <v/>
      </c>
      <c r="AV586" s="430">
        <f>IFERROR(
IF(AT586="",-100,
IF($BV$2&gt;0, INDEX(Beersheet!$A:$U,MATCH(AT586,INDEX(Beersheet!$A:$U,0,FFARawStatProjections!$BV$2),0),$BV$3)+$BN586,
INDEX($A586:$BM586,,$BV$12)*$BW$12+
INDEX($A586:$BM586,,$BV$15)*$BW$15+
INDEX($A586:$BM586,,$BV$16)*$BW$16+
INDEX($A586:$BM586,,$BV$17)*$BW$17+
INDEX($A586:$BM586,,$BV$18)*$BW$18+
INDEX($A586:$BM586,,$BV$19)*$BW$19+
INDEX($A586:$BM586,,$BV$20)*$BW$20+
INDEX($A586:$BM586,,$BV$21)*$BW$21+
INDEX($A586:$BM586,,$BV$22)*$BW$22+
INDEX($A586:$BM586,,$BV$23)*$BW$23+
INDEX($A586:$BM586,,$BV$25)*$BW$25+
INDEX($A586:$BM586,,$BV$26)*$BW$26+
INDEX($A586:$BM586,,$BV$27)*$BW$27+
$BN586)),
$BN586-100)</f>
        <v>-100</v>
      </c>
      <c r="AX586">
        <f t="shared" si="124"/>
        <v>0</v>
      </c>
      <c r="AY586">
        <f t="shared" si="125"/>
        <v>0</v>
      </c>
      <c r="AZ586" s="430">
        <f>IFERROR(
IF(AX586="",-100,
IF($BV$2&gt;0, INDEX(Beersheet!$A:$U,MATCH(AX586,INDEX(Beersheet!$A:$U,0,FFARawStatProjections!$BV$2),0),$BV$3)+$BN586,
INDEX($A586:$BM586,,$BV$12)*$BW$12+
INDEX($A586:$BM586,,$BV$15)*$BW$15+
INDEX($A586:$BM586,,$BV$16)*$BW$16+
INDEX($A586:$BM586,,$BV$17)*$BW$17+
INDEX($A586:$BM586,,$BV$18)*$BW$18+
INDEX($A586:$BM586,,$BV$19)*$BW$19+
INDEX($A586:$BM586,,$BV$20)*$BW$20+
INDEX($A586:$BM586,,$BV$21)*$BW$21+
INDEX($A586:$BM586,,$BV$22)*$BW$22+
INDEX($A586:$BM586,,$BV$23)*$BW$23+
INDEX($A586:$BM586,,$BV$25)*$BW$25+
INDEX($A586:$BM586,,$BV$26)*$BW$26+
INDEX($A586:$BM586,,$BV$27)*$BW$27+
$BN586)),
$BN586-100)</f>
        <v>5.8500000000000002E-3</v>
      </c>
      <c r="BB586" t="str">
        <f t="shared" si="126"/>
        <v/>
      </c>
      <c r="BC586" t="str">
        <f t="shared" si="120"/>
        <v/>
      </c>
      <c r="BD586" s="430">
        <f>IFERROR(
IF(BB586="",-100,
IF($BV$2&gt;0, INDEX(Beersheet!$A:$U,MATCH(BB586,INDEX(Beersheet!$A:$U,0,FFARawStatProjections!$BV$2),0),$BV$3)+$BN586,
INDEX($A586:$BM586,,$BV$12)*$BW$12+
INDEX($A586:$BM586,,$BV$15)*$BW$15+
INDEX($A586:$BM586,,$BV$16)*$BW$16+
INDEX($A586:$BM586,,$BV$17)*$BW$17+
INDEX($A586:$BM586,,$BV$18)*$BW$18+
INDEX($A586:$BM586,,$BV$19)*$BW$19+
INDEX($A586:$BM586,,$BV$20)*$BW$20+
INDEX($A586:$BM586,,$BV$21)*$BW$21+
INDEX($A586:$BM586,,$BV$22)*$BW$22+
INDEX($A586:$BM586,,$BV$23)*$BW$23+
INDEX($A586:$BM586,,$BV$25)*$BW$25+
INDEX($A586:$BM586,,$BV$26)*$BW$26+
INDEX($A586:$BM586,,$BV$27)*$BW$27+
$BN586)),
$BN586-100)</f>
        <v>-100</v>
      </c>
      <c r="BF586" t="str">
        <f t="shared" si="127"/>
        <v/>
      </c>
      <c r="BG586" t="str">
        <f t="shared" si="128"/>
        <v/>
      </c>
      <c r="BH586">
        <f t="shared" si="129"/>
        <v>0</v>
      </c>
      <c r="BJ586" t="str">
        <f t="shared" si="130"/>
        <v/>
      </c>
      <c r="BL586">
        <f t="shared" si="119"/>
        <v>0</v>
      </c>
      <c r="BN586">
        <v>5.8500000000000002E-3</v>
      </c>
      <c r="BS586" s="4" t="s">
        <v>2124</v>
      </c>
    </row>
    <row r="587" spans="1:71" ht="15.75" thickBot="1" x14ac:dyDescent="0.3">
      <c r="A587" s="569"/>
      <c r="B587" s="569"/>
      <c r="C587" s="569" t="s">
        <v>6</v>
      </c>
      <c r="D587" s="569"/>
      <c r="E587" s="569"/>
      <c r="F587" s="569"/>
      <c r="G587" s="569"/>
      <c r="H587" s="569"/>
      <c r="I587" s="574">
        <v>0</v>
      </c>
      <c r="J587" s="574">
        <v>0</v>
      </c>
      <c r="K587" s="574">
        <v>0</v>
      </c>
      <c r="L587" s="569"/>
      <c r="M587" s="569"/>
      <c r="N587" s="569"/>
      <c r="O587" s="569"/>
      <c r="P587" s="569"/>
      <c r="Q587" s="569"/>
      <c r="R587" s="569"/>
      <c r="S587" s="569"/>
      <c r="T587" s="569"/>
      <c r="U587" s="569"/>
      <c r="V587" s="569"/>
      <c r="W587" s="569"/>
      <c r="X587" s="569"/>
      <c r="Y587" s="569"/>
      <c r="Z587" s="569"/>
      <c r="AA587" s="569"/>
      <c r="AB587" s="569"/>
      <c r="AC587" s="569"/>
      <c r="AD587" s="569"/>
      <c r="AE587" s="569"/>
      <c r="AF587" s="569"/>
      <c r="AG587" s="569"/>
      <c r="AH587" s="569"/>
      <c r="AI587" s="569"/>
      <c r="AJ587" s="569"/>
      <c r="AK587" s="569"/>
      <c r="AL587" s="569"/>
      <c r="AM587" s="569"/>
      <c r="AN587" s="569"/>
      <c r="AO587">
        <v>586</v>
      </c>
      <c r="AP587" t="str">
        <f t="shared" si="118"/>
        <v/>
      </c>
      <c r="AQ587" t="str">
        <f t="shared" si="121"/>
        <v/>
      </c>
      <c r="AR587" s="430">
        <f>IFERROR(
IF(AP587="",-100,
IF($BV$2&gt;0, INDEX(Beersheet!$A:$U,MATCH(AP587,INDEX(Beersheet!$A:$U,0,FFARawStatProjections!$BV$2),0),$BV$3)+$BN587,
INDEX($A587:$BM587,,$BV$12)*$BW$12+
INDEX($A587:$BM587,,$BV$15)*$BW$15+
INDEX($A587:$BM587,,$BV$16)*$BW$16+
INDEX($A587:$BM587,,$BV$17)*$BW$17+
INDEX($A587:$BM587,,$BV$18)*$BW$18+
INDEX($A587:$BM587,,$BV$19)*$BW$19+
INDEX($A587:$BM587,,$BV$20)*$BW$20+
INDEX($A587:$BM587,,$BV$21)*$BW$21+
INDEX($A587:$BM587,,$BV$22)*$BW$22+
INDEX($A587:$BM587,,$BV$23)*$BW$23+
INDEX($A587:$BM587,,$BV$25)*$BW$25+
INDEX($A587:$BM587,,$BV$26)*$BW$26+
INDEX($A587:$BM587,,$BV$27)*$BW$27+
$BN587)),
$BN587-100)</f>
        <v>-100</v>
      </c>
      <c r="AT587" t="str">
        <f t="shared" si="122"/>
        <v/>
      </c>
      <c r="AU587" t="str">
        <f t="shared" si="123"/>
        <v/>
      </c>
      <c r="AV587" s="430">
        <f>IFERROR(
IF(AT587="",-100,
IF($BV$2&gt;0, INDEX(Beersheet!$A:$U,MATCH(AT587,INDEX(Beersheet!$A:$U,0,FFARawStatProjections!$BV$2),0),$BV$3)+$BN587,
INDEX($A587:$BM587,,$BV$12)*$BW$12+
INDEX($A587:$BM587,,$BV$15)*$BW$15+
INDEX($A587:$BM587,,$BV$16)*$BW$16+
INDEX($A587:$BM587,,$BV$17)*$BW$17+
INDEX($A587:$BM587,,$BV$18)*$BW$18+
INDEX($A587:$BM587,,$BV$19)*$BW$19+
INDEX($A587:$BM587,,$BV$20)*$BW$20+
INDEX($A587:$BM587,,$BV$21)*$BW$21+
INDEX($A587:$BM587,,$BV$22)*$BW$22+
INDEX($A587:$BM587,,$BV$23)*$BW$23+
INDEX($A587:$BM587,,$BV$25)*$BW$25+
INDEX($A587:$BM587,,$BV$26)*$BW$26+
INDEX($A587:$BM587,,$BV$27)*$BW$27+
$BN587)),
$BN587-100)</f>
        <v>-100</v>
      </c>
      <c r="AX587">
        <f t="shared" si="124"/>
        <v>0</v>
      </c>
      <c r="AY587">
        <f t="shared" si="125"/>
        <v>0</v>
      </c>
      <c r="AZ587" s="430">
        <f>IFERROR(
IF(AX587="",-100,
IF($BV$2&gt;0, INDEX(Beersheet!$A:$U,MATCH(AX587,INDEX(Beersheet!$A:$U,0,FFARawStatProjections!$BV$2),0),$BV$3)+$BN587,
INDEX($A587:$BM587,,$BV$12)*$BW$12+
INDEX($A587:$BM587,,$BV$15)*$BW$15+
INDEX($A587:$BM587,,$BV$16)*$BW$16+
INDEX($A587:$BM587,,$BV$17)*$BW$17+
INDEX($A587:$BM587,,$BV$18)*$BW$18+
INDEX($A587:$BM587,,$BV$19)*$BW$19+
INDEX($A587:$BM587,,$BV$20)*$BW$20+
INDEX($A587:$BM587,,$BV$21)*$BW$21+
INDEX($A587:$BM587,,$BV$22)*$BW$22+
INDEX($A587:$BM587,,$BV$23)*$BW$23+
INDEX($A587:$BM587,,$BV$25)*$BW$25+
INDEX($A587:$BM587,,$BV$26)*$BW$26+
INDEX($A587:$BM587,,$BV$27)*$BW$27+
$BN587)),
$BN587-100)</f>
        <v>5.8599999999999998E-3</v>
      </c>
      <c r="BB587" t="str">
        <f t="shared" si="126"/>
        <v/>
      </c>
      <c r="BC587" t="str">
        <f t="shared" si="120"/>
        <v/>
      </c>
      <c r="BD587" s="430">
        <f>IFERROR(
IF(BB587="",-100,
IF($BV$2&gt;0, INDEX(Beersheet!$A:$U,MATCH(BB587,INDEX(Beersheet!$A:$U,0,FFARawStatProjections!$BV$2),0),$BV$3)+$BN587,
INDEX($A587:$BM587,,$BV$12)*$BW$12+
INDEX($A587:$BM587,,$BV$15)*$BW$15+
INDEX($A587:$BM587,,$BV$16)*$BW$16+
INDEX($A587:$BM587,,$BV$17)*$BW$17+
INDEX($A587:$BM587,,$BV$18)*$BW$18+
INDEX($A587:$BM587,,$BV$19)*$BW$19+
INDEX($A587:$BM587,,$BV$20)*$BW$20+
INDEX($A587:$BM587,,$BV$21)*$BW$21+
INDEX($A587:$BM587,,$BV$22)*$BW$22+
INDEX($A587:$BM587,,$BV$23)*$BW$23+
INDEX($A587:$BM587,,$BV$25)*$BW$25+
INDEX($A587:$BM587,,$BV$26)*$BW$26+
INDEX($A587:$BM587,,$BV$27)*$BW$27+
$BN587)),
$BN587-100)</f>
        <v>-100</v>
      </c>
      <c r="BF587" t="str">
        <f t="shared" si="127"/>
        <v/>
      </c>
      <c r="BG587" t="str">
        <f t="shared" si="128"/>
        <v/>
      </c>
      <c r="BH587">
        <f t="shared" si="129"/>
        <v>0</v>
      </c>
      <c r="BJ587" t="str">
        <f t="shared" si="130"/>
        <v/>
      </c>
      <c r="BL587">
        <f t="shared" si="119"/>
        <v>0</v>
      </c>
      <c r="BN587">
        <v>5.8599999999999998E-3</v>
      </c>
      <c r="BS587" s="4" t="s">
        <v>130</v>
      </c>
    </row>
    <row r="588" spans="1:71" ht="15.75" thickBot="1" x14ac:dyDescent="0.3">
      <c r="A588" s="569"/>
      <c r="B588" s="569"/>
      <c r="C588" s="569" t="s">
        <v>6</v>
      </c>
      <c r="D588" s="569"/>
      <c r="E588" s="569"/>
      <c r="F588" s="569"/>
      <c r="G588" s="569"/>
      <c r="H588" s="569"/>
      <c r="I588" s="574">
        <v>0</v>
      </c>
      <c r="J588" s="574">
        <v>0</v>
      </c>
      <c r="K588" s="574">
        <v>0</v>
      </c>
      <c r="L588" s="569"/>
      <c r="M588" s="569"/>
      <c r="N588" s="569"/>
      <c r="O588" s="569"/>
      <c r="P588" s="569"/>
      <c r="Q588" s="569"/>
      <c r="R588" s="569"/>
      <c r="S588" s="569"/>
      <c r="T588" s="569"/>
      <c r="U588" s="569"/>
      <c r="V588" s="569"/>
      <c r="W588" s="569"/>
      <c r="X588" s="569"/>
      <c r="Y588" s="569"/>
      <c r="Z588" s="569"/>
      <c r="AA588" s="569"/>
      <c r="AB588" s="569"/>
      <c r="AC588" s="569"/>
      <c r="AD588" s="569"/>
      <c r="AE588" s="569"/>
      <c r="AF588" s="569"/>
      <c r="AG588" s="569"/>
      <c r="AH588" s="569"/>
      <c r="AI588" s="569"/>
      <c r="AJ588" s="569"/>
      <c r="AK588" s="569"/>
      <c r="AL588" s="569"/>
      <c r="AM588" s="569"/>
      <c r="AN588" s="569"/>
      <c r="AO588">
        <v>587</v>
      </c>
      <c r="AP588" t="str">
        <f t="shared" si="118"/>
        <v/>
      </c>
      <c r="AQ588" t="str">
        <f t="shared" si="121"/>
        <v/>
      </c>
      <c r="AR588" s="430">
        <f>IFERROR(
IF(AP588="",-100,
IF($BV$2&gt;0, INDEX(Beersheet!$A:$U,MATCH(AP588,INDEX(Beersheet!$A:$U,0,FFARawStatProjections!$BV$2),0),$BV$3)+$BN588,
INDEX($A588:$BM588,,$BV$12)*$BW$12+
INDEX($A588:$BM588,,$BV$15)*$BW$15+
INDEX($A588:$BM588,,$BV$16)*$BW$16+
INDEX($A588:$BM588,,$BV$17)*$BW$17+
INDEX($A588:$BM588,,$BV$18)*$BW$18+
INDEX($A588:$BM588,,$BV$19)*$BW$19+
INDEX($A588:$BM588,,$BV$20)*$BW$20+
INDEX($A588:$BM588,,$BV$21)*$BW$21+
INDEX($A588:$BM588,,$BV$22)*$BW$22+
INDEX($A588:$BM588,,$BV$23)*$BW$23+
INDEX($A588:$BM588,,$BV$25)*$BW$25+
INDEX($A588:$BM588,,$BV$26)*$BW$26+
INDEX($A588:$BM588,,$BV$27)*$BW$27+
$BN588)),
$BN588-100)</f>
        <v>-100</v>
      </c>
      <c r="AT588" t="str">
        <f t="shared" si="122"/>
        <v/>
      </c>
      <c r="AU588" t="str">
        <f t="shared" si="123"/>
        <v/>
      </c>
      <c r="AV588" s="430">
        <f>IFERROR(
IF(AT588="",-100,
IF($BV$2&gt;0, INDEX(Beersheet!$A:$U,MATCH(AT588,INDEX(Beersheet!$A:$U,0,FFARawStatProjections!$BV$2),0),$BV$3)+$BN588,
INDEX($A588:$BM588,,$BV$12)*$BW$12+
INDEX($A588:$BM588,,$BV$15)*$BW$15+
INDEX($A588:$BM588,,$BV$16)*$BW$16+
INDEX($A588:$BM588,,$BV$17)*$BW$17+
INDEX($A588:$BM588,,$BV$18)*$BW$18+
INDEX($A588:$BM588,,$BV$19)*$BW$19+
INDEX($A588:$BM588,,$BV$20)*$BW$20+
INDEX($A588:$BM588,,$BV$21)*$BW$21+
INDEX($A588:$BM588,,$BV$22)*$BW$22+
INDEX($A588:$BM588,,$BV$23)*$BW$23+
INDEX($A588:$BM588,,$BV$25)*$BW$25+
INDEX($A588:$BM588,,$BV$26)*$BW$26+
INDEX($A588:$BM588,,$BV$27)*$BW$27+
$BN588)),
$BN588-100)</f>
        <v>-100</v>
      </c>
      <c r="AX588">
        <f t="shared" si="124"/>
        <v>0</v>
      </c>
      <c r="AY588">
        <f t="shared" si="125"/>
        <v>0</v>
      </c>
      <c r="AZ588" s="430">
        <f>IFERROR(
IF(AX588="",-100,
IF($BV$2&gt;0, INDEX(Beersheet!$A:$U,MATCH(AX588,INDEX(Beersheet!$A:$U,0,FFARawStatProjections!$BV$2),0),$BV$3)+$BN588,
INDEX($A588:$BM588,,$BV$12)*$BW$12+
INDEX($A588:$BM588,,$BV$15)*$BW$15+
INDEX($A588:$BM588,,$BV$16)*$BW$16+
INDEX($A588:$BM588,,$BV$17)*$BW$17+
INDEX($A588:$BM588,,$BV$18)*$BW$18+
INDEX($A588:$BM588,,$BV$19)*$BW$19+
INDEX($A588:$BM588,,$BV$20)*$BW$20+
INDEX($A588:$BM588,,$BV$21)*$BW$21+
INDEX($A588:$BM588,,$BV$22)*$BW$22+
INDEX($A588:$BM588,,$BV$23)*$BW$23+
INDEX($A588:$BM588,,$BV$25)*$BW$25+
INDEX($A588:$BM588,,$BV$26)*$BW$26+
INDEX($A588:$BM588,,$BV$27)*$BW$27+
$BN588)),
$BN588-100)</f>
        <v>5.8700000000000002E-3</v>
      </c>
      <c r="BB588" t="str">
        <f t="shared" si="126"/>
        <v/>
      </c>
      <c r="BC588" t="str">
        <f t="shared" si="120"/>
        <v/>
      </c>
      <c r="BD588" s="430">
        <f>IFERROR(
IF(BB588="",-100,
IF($BV$2&gt;0, INDEX(Beersheet!$A:$U,MATCH(BB588,INDEX(Beersheet!$A:$U,0,FFARawStatProjections!$BV$2),0),$BV$3)+$BN588,
INDEX($A588:$BM588,,$BV$12)*$BW$12+
INDEX($A588:$BM588,,$BV$15)*$BW$15+
INDEX($A588:$BM588,,$BV$16)*$BW$16+
INDEX($A588:$BM588,,$BV$17)*$BW$17+
INDEX($A588:$BM588,,$BV$18)*$BW$18+
INDEX($A588:$BM588,,$BV$19)*$BW$19+
INDEX($A588:$BM588,,$BV$20)*$BW$20+
INDEX($A588:$BM588,,$BV$21)*$BW$21+
INDEX($A588:$BM588,,$BV$22)*$BW$22+
INDEX($A588:$BM588,,$BV$23)*$BW$23+
INDEX($A588:$BM588,,$BV$25)*$BW$25+
INDEX($A588:$BM588,,$BV$26)*$BW$26+
INDEX($A588:$BM588,,$BV$27)*$BW$27+
$BN588)),
$BN588-100)</f>
        <v>-100</v>
      </c>
      <c r="BF588" t="str">
        <f t="shared" si="127"/>
        <v/>
      </c>
      <c r="BG588" t="str">
        <f t="shared" si="128"/>
        <v/>
      </c>
      <c r="BH588">
        <f t="shared" si="129"/>
        <v>0</v>
      </c>
      <c r="BJ588" t="str">
        <f t="shared" si="130"/>
        <v/>
      </c>
      <c r="BL588">
        <f t="shared" si="119"/>
        <v>0</v>
      </c>
      <c r="BN588">
        <v>5.8700000000000002E-3</v>
      </c>
      <c r="BS588" s="4" t="s">
        <v>2140</v>
      </c>
    </row>
    <row r="589" spans="1:71" ht="15.75" thickBot="1" x14ac:dyDescent="0.3">
      <c r="A589" s="569"/>
      <c r="B589" s="569"/>
      <c r="C589" s="569" t="s">
        <v>6</v>
      </c>
      <c r="D589" s="569"/>
      <c r="E589" s="569"/>
      <c r="F589" s="569"/>
      <c r="G589" s="569"/>
      <c r="H589" s="569"/>
      <c r="I589" s="574">
        <v>0</v>
      </c>
      <c r="J589" s="574">
        <v>0</v>
      </c>
      <c r="K589" s="574">
        <v>0</v>
      </c>
      <c r="L589" s="569"/>
      <c r="M589" s="569"/>
      <c r="N589" s="569"/>
      <c r="O589" s="569"/>
      <c r="P589" s="569"/>
      <c r="Q589" s="569"/>
      <c r="R589" s="569"/>
      <c r="S589" s="569"/>
      <c r="T589" s="569"/>
      <c r="U589" s="569"/>
      <c r="V589" s="569"/>
      <c r="W589" s="569"/>
      <c r="X589" s="569"/>
      <c r="Y589" s="569"/>
      <c r="Z589" s="569"/>
      <c r="AA589" s="569"/>
      <c r="AB589" s="569"/>
      <c r="AC589" s="569"/>
      <c r="AD589" s="569"/>
      <c r="AE589" s="569"/>
      <c r="AF589" s="569"/>
      <c r="AG589" s="569"/>
      <c r="AH589" s="569"/>
      <c r="AI589" s="569"/>
      <c r="AJ589" s="569"/>
      <c r="AK589" s="569"/>
      <c r="AL589" s="569"/>
      <c r="AM589" s="569"/>
      <c r="AN589" s="569"/>
      <c r="AO589">
        <v>588</v>
      </c>
      <c r="AP589" t="str">
        <f t="shared" si="118"/>
        <v/>
      </c>
      <c r="AQ589" t="str">
        <f t="shared" si="121"/>
        <v/>
      </c>
      <c r="AR589" s="430">
        <f>IFERROR(
IF(AP589="",-100,
IF($BV$2&gt;0, INDEX(Beersheet!$A:$U,MATCH(AP589,INDEX(Beersheet!$A:$U,0,FFARawStatProjections!$BV$2),0),$BV$3)+$BN589,
INDEX($A589:$BM589,,$BV$12)*$BW$12+
INDEX($A589:$BM589,,$BV$15)*$BW$15+
INDEX($A589:$BM589,,$BV$16)*$BW$16+
INDEX($A589:$BM589,,$BV$17)*$BW$17+
INDEX($A589:$BM589,,$BV$18)*$BW$18+
INDEX($A589:$BM589,,$BV$19)*$BW$19+
INDEX($A589:$BM589,,$BV$20)*$BW$20+
INDEX($A589:$BM589,,$BV$21)*$BW$21+
INDEX($A589:$BM589,,$BV$22)*$BW$22+
INDEX($A589:$BM589,,$BV$23)*$BW$23+
INDEX($A589:$BM589,,$BV$25)*$BW$25+
INDEX($A589:$BM589,,$BV$26)*$BW$26+
INDEX($A589:$BM589,,$BV$27)*$BW$27+
$BN589)),
$BN589-100)</f>
        <v>-100</v>
      </c>
      <c r="AT589" t="str">
        <f t="shared" si="122"/>
        <v/>
      </c>
      <c r="AU589" t="str">
        <f t="shared" si="123"/>
        <v/>
      </c>
      <c r="AV589" s="430">
        <f>IFERROR(
IF(AT589="",-100,
IF($BV$2&gt;0, INDEX(Beersheet!$A:$U,MATCH(AT589,INDEX(Beersheet!$A:$U,0,FFARawStatProjections!$BV$2),0),$BV$3)+$BN589,
INDEX($A589:$BM589,,$BV$12)*$BW$12+
INDEX($A589:$BM589,,$BV$15)*$BW$15+
INDEX($A589:$BM589,,$BV$16)*$BW$16+
INDEX($A589:$BM589,,$BV$17)*$BW$17+
INDEX($A589:$BM589,,$BV$18)*$BW$18+
INDEX($A589:$BM589,,$BV$19)*$BW$19+
INDEX($A589:$BM589,,$BV$20)*$BW$20+
INDEX($A589:$BM589,,$BV$21)*$BW$21+
INDEX($A589:$BM589,,$BV$22)*$BW$22+
INDEX($A589:$BM589,,$BV$23)*$BW$23+
INDEX($A589:$BM589,,$BV$25)*$BW$25+
INDEX($A589:$BM589,,$BV$26)*$BW$26+
INDEX($A589:$BM589,,$BV$27)*$BW$27+
$BN589)),
$BN589-100)</f>
        <v>-100</v>
      </c>
      <c r="AX589">
        <f t="shared" si="124"/>
        <v>0</v>
      </c>
      <c r="AY589">
        <f t="shared" si="125"/>
        <v>0</v>
      </c>
      <c r="AZ589" s="430">
        <f>IFERROR(
IF(AX589="",-100,
IF($BV$2&gt;0, INDEX(Beersheet!$A:$U,MATCH(AX589,INDEX(Beersheet!$A:$U,0,FFARawStatProjections!$BV$2),0),$BV$3)+$BN589,
INDEX($A589:$BM589,,$BV$12)*$BW$12+
INDEX($A589:$BM589,,$BV$15)*$BW$15+
INDEX($A589:$BM589,,$BV$16)*$BW$16+
INDEX($A589:$BM589,,$BV$17)*$BW$17+
INDEX($A589:$BM589,,$BV$18)*$BW$18+
INDEX($A589:$BM589,,$BV$19)*$BW$19+
INDEX($A589:$BM589,,$BV$20)*$BW$20+
INDEX($A589:$BM589,,$BV$21)*$BW$21+
INDEX($A589:$BM589,,$BV$22)*$BW$22+
INDEX($A589:$BM589,,$BV$23)*$BW$23+
INDEX($A589:$BM589,,$BV$25)*$BW$25+
INDEX($A589:$BM589,,$BV$26)*$BW$26+
INDEX($A589:$BM589,,$BV$27)*$BW$27+
$BN589)),
$BN589-100)</f>
        <v>5.8799999999999998E-3</v>
      </c>
      <c r="BB589" t="str">
        <f t="shared" si="126"/>
        <v/>
      </c>
      <c r="BC589" t="str">
        <f t="shared" si="120"/>
        <v/>
      </c>
      <c r="BD589" s="430">
        <f>IFERROR(
IF(BB589="",-100,
IF($BV$2&gt;0, INDEX(Beersheet!$A:$U,MATCH(BB589,INDEX(Beersheet!$A:$U,0,FFARawStatProjections!$BV$2),0),$BV$3)+$BN589,
INDEX($A589:$BM589,,$BV$12)*$BW$12+
INDEX($A589:$BM589,,$BV$15)*$BW$15+
INDEX($A589:$BM589,,$BV$16)*$BW$16+
INDEX($A589:$BM589,,$BV$17)*$BW$17+
INDEX($A589:$BM589,,$BV$18)*$BW$18+
INDEX($A589:$BM589,,$BV$19)*$BW$19+
INDEX($A589:$BM589,,$BV$20)*$BW$20+
INDEX($A589:$BM589,,$BV$21)*$BW$21+
INDEX($A589:$BM589,,$BV$22)*$BW$22+
INDEX($A589:$BM589,,$BV$23)*$BW$23+
INDEX($A589:$BM589,,$BV$25)*$BW$25+
INDEX($A589:$BM589,,$BV$26)*$BW$26+
INDEX($A589:$BM589,,$BV$27)*$BW$27+
$BN589)),
$BN589-100)</f>
        <v>-100</v>
      </c>
      <c r="BF589" t="str">
        <f t="shared" si="127"/>
        <v/>
      </c>
      <c r="BG589" t="str">
        <f t="shared" si="128"/>
        <v/>
      </c>
      <c r="BH589">
        <f t="shared" si="129"/>
        <v>0</v>
      </c>
      <c r="BJ589" t="str">
        <f t="shared" si="130"/>
        <v/>
      </c>
      <c r="BL589">
        <f t="shared" si="119"/>
        <v>0</v>
      </c>
      <c r="BN589">
        <v>5.8799999999999998E-3</v>
      </c>
      <c r="BS589" s="4" t="s">
        <v>2335</v>
      </c>
    </row>
    <row r="590" spans="1:71" ht="15.75" thickBot="1" x14ac:dyDescent="0.3">
      <c r="A590" s="569"/>
      <c r="B590" s="569"/>
      <c r="C590" s="569" t="s">
        <v>6</v>
      </c>
      <c r="D590" s="569"/>
      <c r="E590" s="569"/>
      <c r="F590" s="569"/>
      <c r="G590" s="569"/>
      <c r="H590" s="569"/>
      <c r="I590" s="574">
        <v>0</v>
      </c>
      <c r="J590" s="574">
        <v>0</v>
      </c>
      <c r="K590" s="574">
        <v>0</v>
      </c>
      <c r="L590" s="569"/>
      <c r="M590" s="569"/>
      <c r="N590" s="569"/>
      <c r="O590" s="569"/>
      <c r="P590" s="569"/>
      <c r="Q590" s="569"/>
      <c r="R590" s="569"/>
      <c r="S590" s="569"/>
      <c r="T590" s="569"/>
      <c r="U590" s="569"/>
      <c r="V590" s="569"/>
      <c r="W590" s="569"/>
      <c r="X590" s="569"/>
      <c r="Y590" s="569"/>
      <c r="Z590" s="569"/>
      <c r="AA590" s="569"/>
      <c r="AB590" s="569"/>
      <c r="AC590" s="569"/>
      <c r="AD590" s="569"/>
      <c r="AE590" s="569"/>
      <c r="AF590" s="569"/>
      <c r="AG590" s="569"/>
      <c r="AH590" s="569"/>
      <c r="AI590" s="569"/>
      <c r="AJ590" s="569"/>
      <c r="AK590" s="569"/>
      <c r="AL590" s="569"/>
      <c r="AM590" s="569"/>
      <c r="AN590" s="569"/>
      <c r="AO590">
        <v>589</v>
      </c>
      <c r="AP590" t="str">
        <f t="shared" si="118"/>
        <v/>
      </c>
      <c r="AQ590" t="str">
        <f t="shared" si="121"/>
        <v/>
      </c>
      <c r="AR590" s="430">
        <f>IFERROR(
IF(AP590="",-100,
IF($BV$2&gt;0, INDEX(Beersheet!$A:$U,MATCH(AP590,INDEX(Beersheet!$A:$U,0,FFARawStatProjections!$BV$2),0),$BV$3)+$BN590,
INDEX($A590:$BM590,,$BV$12)*$BW$12+
INDEX($A590:$BM590,,$BV$15)*$BW$15+
INDEX($A590:$BM590,,$BV$16)*$BW$16+
INDEX($A590:$BM590,,$BV$17)*$BW$17+
INDEX($A590:$BM590,,$BV$18)*$BW$18+
INDEX($A590:$BM590,,$BV$19)*$BW$19+
INDEX($A590:$BM590,,$BV$20)*$BW$20+
INDEX($A590:$BM590,,$BV$21)*$BW$21+
INDEX($A590:$BM590,,$BV$22)*$BW$22+
INDEX($A590:$BM590,,$BV$23)*$BW$23+
INDEX($A590:$BM590,,$BV$25)*$BW$25+
INDEX($A590:$BM590,,$BV$26)*$BW$26+
INDEX($A590:$BM590,,$BV$27)*$BW$27+
$BN590)),
$BN590-100)</f>
        <v>-100</v>
      </c>
      <c r="AT590" t="str">
        <f t="shared" si="122"/>
        <v/>
      </c>
      <c r="AU590" t="str">
        <f t="shared" si="123"/>
        <v/>
      </c>
      <c r="AV590" s="430">
        <f>IFERROR(
IF(AT590="",-100,
IF($BV$2&gt;0, INDEX(Beersheet!$A:$U,MATCH(AT590,INDEX(Beersheet!$A:$U,0,FFARawStatProjections!$BV$2),0),$BV$3)+$BN590,
INDEX($A590:$BM590,,$BV$12)*$BW$12+
INDEX($A590:$BM590,,$BV$15)*$BW$15+
INDEX($A590:$BM590,,$BV$16)*$BW$16+
INDEX($A590:$BM590,,$BV$17)*$BW$17+
INDEX($A590:$BM590,,$BV$18)*$BW$18+
INDEX($A590:$BM590,,$BV$19)*$BW$19+
INDEX($A590:$BM590,,$BV$20)*$BW$20+
INDEX($A590:$BM590,,$BV$21)*$BW$21+
INDEX($A590:$BM590,,$BV$22)*$BW$22+
INDEX($A590:$BM590,,$BV$23)*$BW$23+
INDEX($A590:$BM590,,$BV$25)*$BW$25+
INDEX($A590:$BM590,,$BV$26)*$BW$26+
INDEX($A590:$BM590,,$BV$27)*$BW$27+
$BN590)),
$BN590-100)</f>
        <v>-100</v>
      </c>
      <c r="AX590">
        <f t="shared" si="124"/>
        <v>0</v>
      </c>
      <c r="AY590">
        <f t="shared" si="125"/>
        <v>0</v>
      </c>
      <c r="AZ590" s="430">
        <f>IFERROR(
IF(AX590="",-100,
IF($BV$2&gt;0, INDEX(Beersheet!$A:$U,MATCH(AX590,INDEX(Beersheet!$A:$U,0,FFARawStatProjections!$BV$2),0),$BV$3)+$BN590,
INDEX($A590:$BM590,,$BV$12)*$BW$12+
INDEX($A590:$BM590,,$BV$15)*$BW$15+
INDEX($A590:$BM590,,$BV$16)*$BW$16+
INDEX($A590:$BM590,,$BV$17)*$BW$17+
INDEX($A590:$BM590,,$BV$18)*$BW$18+
INDEX($A590:$BM590,,$BV$19)*$BW$19+
INDEX($A590:$BM590,,$BV$20)*$BW$20+
INDEX($A590:$BM590,,$BV$21)*$BW$21+
INDEX($A590:$BM590,,$BV$22)*$BW$22+
INDEX($A590:$BM590,,$BV$23)*$BW$23+
INDEX($A590:$BM590,,$BV$25)*$BW$25+
INDEX($A590:$BM590,,$BV$26)*$BW$26+
INDEX($A590:$BM590,,$BV$27)*$BW$27+
$BN590)),
$BN590-100)</f>
        <v>5.8900000000000003E-3</v>
      </c>
      <c r="BB590" t="str">
        <f t="shared" si="126"/>
        <v/>
      </c>
      <c r="BC590" t="str">
        <f t="shared" si="120"/>
        <v/>
      </c>
      <c r="BD590" s="430">
        <f>IFERROR(
IF(BB590="",-100,
IF($BV$2&gt;0, INDEX(Beersheet!$A:$U,MATCH(BB590,INDEX(Beersheet!$A:$U,0,FFARawStatProjections!$BV$2),0),$BV$3)+$BN590,
INDEX($A590:$BM590,,$BV$12)*$BW$12+
INDEX($A590:$BM590,,$BV$15)*$BW$15+
INDEX($A590:$BM590,,$BV$16)*$BW$16+
INDEX($A590:$BM590,,$BV$17)*$BW$17+
INDEX($A590:$BM590,,$BV$18)*$BW$18+
INDEX($A590:$BM590,,$BV$19)*$BW$19+
INDEX($A590:$BM590,,$BV$20)*$BW$20+
INDEX($A590:$BM590,,$BV$21)*$BW$21+
INDEX($A590:$BM590,,$BV$22)*$BW$22+
INDEX($A590:$BM590,,$BV$23)*$BW$23+
INDEX($A590:$BM590,,$BV$25)*$BW$25+
INDEX($A590:$BM590,,$BV$26)*$BW$26+
INDEX($A590:$BM590,,$BV$27)*$BW$27+
$BN590)),
$BN590-100)</f>
        <v>-100</v>
      </c>
      <c r="BF590" t="str">
        <f t="shared" si="127"/>
        <v/>
      </c>
      <c r="BG590" t="str">
        <f t="shared" si="128"/>
        <v/>
      </c>
      <c r="BH590">
        <f t="shared" si="129"/>
        <v>0</v>
      </c>
      <c r="BJ590" t="str">
        <f t="shared" si="130"/>
        <v/>
      </c>
      <c r="BL590">
        <f t="shared" si="119"/>
        <v>0</v>
      </c>
      <c r="BN590">
        <v>5.8900000000000003E-3</v>
      </c>
      <c r="BS590" s="4" t="s">
        <v>1955</v>
      </c>
    </row>
    <row r="591" spans="1:71" ht="15.75" thickBot="1" x14ac:dyDescent="0.3">
      <c r="A591" s="569"/>
      <c r="B591" s="569"/>
      <c r="C591" s="569" t="s">
        <v>6</v>
      </c>
      <c r="D591" s="569"/>
      <c r="E591" s="569"/>
      <c r="F591" s="569"/>
      <c r="G591" s="569"/>
      <c r="H591" s="569"/>
      <c r="I591" s="574">
        <v>0</v>
      </c>
      <c r="J591" s="574">
        <v>0</v>
      </c>
      <c r="K591" s="574">
        <v>0</v>
      </c>
      <c r="L591" s="569"/>
      <c r="M591" s="569"/>
      <c r="N591" s="569"/>
      <c r="O591" s="569"/>
      <c r="P591" s="569"/>
      <c r="Q591" s="569"/>
      <c r="R591" s="569"/>
      <c r="S591" s="569"/>
      <c r="T591" s="569"/>
      <c r="U591" s="569"/>
      <c r="V591" s="569"/>
      <c r="W591" s="569"/>
      <c r="X591" s="569"/>
      <c r="Y591" s="569"/>
      <c r="Z591" s="569"/>
      <c r="AA591" s="569"/>
      <c r="AB591" s="569"/>
      <c r="AC591" s="569"/>
      <c r="AD591" s="569"/>
      <c r="AE591" s="569"/>
      <c r="AF591" s="569"/>
      <c r="AG591" s="569"/>
      <c r="AH591" s="569"/>
      <c r="AI591" s="569"/>
      <c r="AJ591" s="569"/>
      <c r="AK591" s="569"/>
      <c r="AL591" s="569"/>
      <c r="AM591" s="569"/>
      <c r="AN591" s="569"/>
      <c r="AO591">
        <v>590</v>
      </c>
      <c r="AP591" t="str">
        <f t="shared" si="118"/>
        <v/>
      </c>
      <c r="AQ591" t="str">
        <f t="shared" si="121"/>
        <v/>
      </c>
      <c r="AR591" s="430">
        <f>IFERROR(
IF(AP591="",-100,
IF($BV$2&gt;0, INDEX(Beersheet!$A:$U,MATCH(AP591,INDEX(Beersheet!$A:$U,0,FFARawStatProjections!$BV$2),0),$BV$3)+$BN591,
INDEX($A591:$BM591,,$BV$12)*$BW$12+
INDEX($A591:$BM591,,$BV$15)*$BW$15+
INDEX($A591:$BM591,,$BV$16)*$BW$16+
INDEX($A591:$BM591,,$BV$17)*$BW$17+
INDEX($A591:$BM591,,$BV$18)*$BW$18+
INDEX($A591:$BM591,,$BV$19)*$BW$19+
INDEX($A591:$BM591,,$BV$20)*$BW$20+
INDEX($A591:$BM591,,$BV$21)*$BW$21+
INDEX($A591:$BM591,,$BV$22)*$BW$22+
INDEX($A591:$BM591,,$BV$23)*$BW$23+
INDEX($A591:$BM591,,$BV$25)*$BW$25+
INDEX($A591:$BM591,,$BV$26)*$BW$26+
INDEX($A591:$BM591,,$BV$27)*$BW$27+
$BN591)),
$BN591-100)</f>
        <v>-100</v>
      </c>
      <c r="AT591" t="str">
        <f t="shared" si="122"/>
        <v/>
      </c>
      <c r="AU591" t="str">
        <f t="shared" si="123"/>
        <v/>
      </c>
      <c r="AV591" s="430">
        <f>IFERROR(
IF(AT591="",-100,
IF($BV$2&gt;0, INDEX(Beersheet!$A:$U,MATCH(AT591,INDEX(Beersheet!$A:$U,0,FFARawStatProjections!$BV$2),0),$BV$3)+$BN591,
INDEX($A591:$BM591,,$BV$12)*$BW$12+
INDEX($A591:$BM591,,$BV$15)*$BW$15+
INDEX($A591:$BM591,,$BV$16)*$BW$16+
INDEX($A591:$BM591,,$BV$17)*$BW$17+
INDEX($A591:$BM591,,$BV$18)*$BW$18+
INDEX($A591:$BM591,,$BV$19)*$BW$19+
INDEX($A591:$BM591,,$BV$20)*$BW$20+
INDEX($A591:$BM591,,$BV$21)*$BW$21+
INDEX($A591:$BM591,,$BV$22)*$BW$22+
INDEX($A591:$BM591,,$BV$23)*$BW$23+
INDEX($A591:$BM591,,$BV$25)*$BW$25+
INDEX($A591:$BM591,,$BV$26)*$BW$26+
INDEX($A591:$BM591,,$BV$27)*$BW$27+
$BN591)),
$BN591-100)</f>
        <v>-100</v>
      </c>
      <c r="AX591">
        <f t="shared" si="124"/>
        <v>0</v>
      </c>
      <c r="AY591">
        <f t="shared" si="125"/>
        <v>0</v>
      </c>
      <c r="AZ591" s="430">
        <f>IFERROR(
IF(AX591="",-100,
IF($BV$2&gt;0, INDEX(Beersheet!$A:$U,MATCH(AX591,INDEX(Beersheet!$A:$U,0,FFARawStatProjections!$BV$2),0),$BV$3)+$BN591,
INDEX($A591:$BM591,,$BV$12)*$BW$12+
INDEX($A591:$BM591,,$BV$15)*$BW$15+
INDEX($A591:$BM591,,$BV$16)*$BW$16+
INDEX($A591:$BM591,,$BV$17)*$BW$17+
INDEX($A591:$BM591,,$BV$18)*$BW$18+
INDEX($A591:$BM591,,$BV$19)*$BW$19+
INDEX($A591:$BM591,,$BV$20)*$BW$20+
INDEX($A591:$BM591,,$BV$21)*$BW$21+
INDEX($A591:$BM591,,$BV$22)*$BW$22+
INDEX($A591:$BM591,,$BV$23)*$BW$23+
INDEX($A591:$BM591,,$BV$25)*$BW$25+
INDEX($A591:$BM591,,$BV$26)*$BW$26+
INDEX($A591:$BM591,,$BV$27)*$BW$27+
$BN591)),
$BN591-100)</f>
        <v>5.8999999999999999E-3</v>
      </c>
      <c r="BB591" t="str">
        <f t="shared" si="126"/>
        <v/>
      </c>
      <c r="BC591" t="str">
        <f t="shared" si="120"/>
        <v/>
      </c>
      <c r="BD591" s="430">
        <f>IFERROR(
IF(BB591="",-100,
IF($BV$2&gt;0, INDEX(Beersheet!$A:$U,MATCH(BB591,INDEX(Beersheet!$A:$U,0,FFARawStatProjections!$BV$2),0),$BV$3)+$BN591,
INDEX($A591:$BM591,,$BV$12)*$BW$12+
INDEX($A591:$BM591,,$BV$15)*$BW$15+
INDEX($A591:$BM591,,$BV$16)*$BW$16+
INDEX($A591:$BM591,,$BV$17)*$BW$17+
INDEX($A591:$BM591,,$BV$18)*$BW$18+
INDEX($A591:$BM591,,$BV$19)*$BW$19+
INDEX($A591:$BM591,,$BV$20)*$BW$20+
INDEX($A591:$BM591,,$BV$21)*$BW$21+
INDEX($A591:$BM591,,$BV$22)*$BW$22+
INDEX($A591:$BM591,,$BV$23)*$BW$23+
INDEX($A591:$BM591,,$BV$25)*$BW$25+
INDEX($A591:$BM591,,$BV$26)*$BW$26+
INDEX($A591:$BM591,,$BV$27)*$BW$27+
$BN591)),
$BN591-100)</f>
        <v>-100</v>
      </c>
      <c r="BF591" t="str">
        <f t="shared" si="127"/>
        <v/>
      </c>
      <c r="BG591" t="str">
        <f t="shared" si="128"/>
        <v/>
      </c>
      <c r="BH591">
        <f t="shared" si="129"/>
        <v>0</v>
      </c>
      <c r="BJ591" t="str">
        <f t="shared" si="130"/>
        <v/>
      </c>
      <c r="BL591">
        <f t="shared" si="119"/>
        <v>0</v>
      </c>
      <c r="BN591">
        <v>5.8999999999999999E-3</v>
      </c>
      <c r="BS591" s="4" t="s">
        <v>2201</v>
      </c>
    </row>
    <row r="592" spans="1:71" ht="15.75" thickBot="1" x14ac:dyDescent="0.3">
      <c r="A592" s="569"/>
      <c r="B592" s="569"/>
      <c r="C592" s="569" t="s">
        <v>6</v>
      </c>
      <c r="D592" s="569"/>
      <c r="E592" s="569"/>
      <c r="F592" s="569"/>
      <c r="G592" s="569"/>
      <c r="H592" s="569"/>
      <c r="I592" s="574">
        <v>0</v>
      </c>
      <c r="J592" s="574">
        <v>0</v>
      </c>
      <c r="K592" s="574">
        <v>0</v>
      </c>
      <c r="L592" s="569"/>
      <c r="M592" s="569"/>
      <c r="N592" s="569"/>
      <c r="O592" s="569"/>
      <c r="P592" s="569"/>
      <c r="Q592" s="569"/>
      <c r="R592" s="569"/>
      <c r="S592" s="569"/>
      <c r="T592" s="569"/>
      <c r="U592" s="569"/>
      <c r="V592" s="569"/>
      <c r="W592" s="569"/>
      <c r="X592" s="569"/>
      <c r="Y592" s="569"/>
      <c r="Z592" s="569"/>
      <c r="AA592" s="569"/>
      <c r="AB592" s="569"/>
      <c r="AC592" s="569"/>
      <c r="AD592" s="569"/>
      <c r="AE592" s="569"/>
      <c r="AF592" s="569"/>
      <c r="AG592" s="569"/>
      <c r="AH592" s="569"/>
      <c r="AI592" s="569"/>
      <c r="AJ592" s="569"/>
      <c r="AK592" s="569"/>
      <c r="AL592" s="569"/>
      <c r="AM592" s="569"/>
      <c r="AN592" s="569"/>
      <c r="AO592">
        <v>591</v>
      </c>
      <c r="AP592" t="str">
        <f t="shared" si="118"/>
        <v/>
      </c>
      <c r="AQ592" t="str">
        <f t="shared" si="121"/>
        <v/>
      </c>
      <c r="AR592" s="430">
        <f>IFERROR(
IF(AP592="",-100,
IF($BV$2&gt;0, INDEX(Beersheet!$A:$U,MATCH(AP592,INDEX(Beersheet!$A:$U,0,FFARawStatProjections!$BV$2),0),$BV$3)+$BN592,
INDEX($A592:$BM592,,$BV$12)*$BW$12+
INDEX($A592:$BM592,,$BV$15)*$BW$15+
INDEX($A592:$BM592,,$BV$16)*$BW$16+
INDEX($A592:$BM592,,$BV$17)*$BW$17+
INDEX($A592:$BM592,,$BV$18)*$BW$18+
INDEX($A592:$BM592,,$BV$19)*$BW$19+
INDEX($A592:$BM592,,$BV$20)*$BW$20+
INDEX($A592:$BM592,,$BV$21)*$BW$21+
INDEX($A592:$BM592,,$BV$22)*$BW$22+
INDEX($A592:$BM592,,$BV$23)*$BW$23+
INDEX($A592:$BM592,,$BV$25)*$BW$25+
INDEX($A592:$BM592,,$BV$26)*$BW$26+
INDEX($A592:$BM592,,$BV$27)*$BW$27+
$BN592)),
$BN592-100)</f>
        <v>-100</v>
      </c>
      <c r="AT592" t="str">
        <f t="shared" si="122"/>
        <v/>
      </c>
      <c r="AU592" t="str">
        <f t="shared" si="123"/>
        <v/>
      </c>
      <c r="AV592" s="430">
        <f>IFERROR(
IF(AT592="",-100,
IF($BV$2&gt;0, INDEX(Beersheet!$A:$U,MATCH(AT592,INDEX(Beersheet!$A:$U,0,FFARawStatProjections!$BV$2),0),$BV$3)+$BN592,
INDEX($A592:$BM592,,$BV$12)*$BW$12+
INDEX($A592:$BM592,,$BV$15)*$BW$15+
INDEX($A592:$BM592,,$BV$16)*$BW$16+
INDEX($A592:$BM592,,$BV$17)*$BW$17+
INDEX($A592:$BM592,,$BV$18)*$BW$18+
INDEX($A592:$BM592,,$BV$19)*$BW$19+
INDEX($A592:$BM592,,$BV$20)*$BW$20+
INDEX($A592:$BM592,,$BV$21)*$BW$21+
INDEX($A592:$BM592,,$BV$22)*$BW$22+
INDEX($A592:$BM592,,$BV$23)*$BW$23+
INDEX($A592:$BM592,,$BV$25)*$BW$25+
INDEX($A592:$BM592,,$BV$26)*$BW$26+
INDEX($A592:$BM592,,$BV$27)*$BW$27+
$BN592)),
$BN592-100)</f>
        <v>-100</v>
      </c>
      <c r="AX592">
        <f t="shared" si="124"/>
        <v>0</v>
      </c>
      <c r="AY592">
        <f t="shared" si="125"/>
        <v>0</v>
      </c>
      <c r="AZ592" s="430">
        <f>IFERROR(
IF(AX592="",-100,
IF($BV$2&gt;0, INDEX(Beersheet!$A:$U,MATCH(AX592,INDEX(Beersheet!$A:$U,0,FFARawStatProjections!$BV$2),0),$BV$3)+$BN592,
INDEX($A592:$BM592,,$BV$12)*$BW$12+
INDEX($A592:$BM592,,$BV$15)*$BW$15+
INDEX($A592:$BM592,,$BV$16)*$BW$16+
INDEX($A592:$BM592,,$BV$17)*$BW$17+
INDEX($A592:$BM592,,$BV$18)*$BW$18+
INDEX($A592:$BM592,,$BV$19)*$BW$19+
INDEX($A592:$BM592,,$BV$20)*$BW$20+
INDEX($A592:$BM592,,$BV$21)*$BW$21+
INDEX($A592:$BM592,,$BV$22)*$BW$22+
INDEX($A592:$BM592,,$BV$23)*$BW$23+
INDEX($A592:$BM592,,$BV$25)*$BW$25+
INDEX($A592:$BM592,,$BV$26)*$BW$26+
INDEX($A592:$BM592,,$BV$27)*$BW$27+
$BN592)),
$BN592-100)</f>
        <v>5.9100000000000003E-3</v>
      </c>
      <c r="BB592" t="str">
        <f t="shared" si="126"/>
        <v/>
      </c>
      <c r="BC592" t="str">
        <f t="shared" si="120"/>
        <v/>
      </c>
      <c r="BD592" s="430">
        <f>IFERROR(
IF(BB592="",-100,
IF($BV$2&gt;0, INDEX(Beersheet!$A:$U,MATCH(BB592,INDEX(Beersheet!$A:$U,0,FFARawStatProjections!$BV$2),0),$BV$3)+$BN592,
INDEX($A592:$BM592,,$BV$12)*$BW$12+
INDEX($A592:$BM592,,$BV$15)*$BW$15+
INDEX($A592:$BM592,,$BV$16)*$BW$16+
INDEX($A592:$BM592,,$BV$17)*$BW$17+
INDEX($A592:$BM592,,$BV$18)*$BW$18+
INDEX($A592:$BM592,,$BV$19)*$BW$19+
INDEX($A592:$BM592,,$BV$20)*$BW$20+
INDEX($A592:$BM592,,$BV$21)*$BW$21+
INDEX($A592:$BM592,,$BV$22)*$BW$22+
INDEX($A592:$BM592,,$BV$23)*$BW$23+
INDEX($A592:$BM592,,$BV$25)*$BW$25+
INDEX($A592:$BM592,,$BV$26)*$BW$26+
INDEX($A592:$BM592,,$BV$27)*$BW$27+
$BN592)),
$BN592-100)</f>
        <v>-100</v>
      </c>
      <c r="BF592" t="str">
        <f t="shared" si="127"/>
        <v/>
      </c>
      <c r="BG592" t="str">
        <f t="shared" si="128"/>
        <v/>
      </c>
      <c r="BH592">
        <f t="shared" si="129"/>
        <v>0</v>
      </c>
      <c r="BJ592" t="str">
        <f t="shared" si="130"/>
        <v/>
      </c>
      <c r="BL592">
        <f t="shared" si="119"/>
        <v>0</v>
      </c>
      <c r="BN592">
        <v>5.9100000000000003E-3</v>
      </c>
      <c r="BS592" s="4" t="s">
        <v>2557</v>
      </c>
    </row>
    <row r="593" spans="1:71" ht="15.75" thickBot="1" x14ac:dyDescent="0.3">
      <c r="A593" s="569"/>
      <c r="B593" s="569"/>
      <c r="C593" s="569" t="s">
        <v>6</v>
      </c>
      <c r="D593" s="569"/>
      <c r="E593" s="569"/>
      <c r="F593" s="569"/>
      <c r="G593" s="569"/>
      <c r="H593" s="569"/>
      <c r="I593" s="574">
        <v>0</v>
      </c>
      <c r="J593" s="574">
        <v>0</v>
      </c>
      <c r="K593" s="574">
        <v>0</v>
      </c>
      <c r="L593" s="569"/>
      <c r="M593" s="569"/>
      <c r="N593" s="569"/>
      <c r="O593" s="569"/>
      <c r="P593" s="569"/>
      <c r="Q593" s="569"/>
      <c r="R593" s="569"/>
      <c r="S593" s="569"/>
      <c r="T593" s="569"/>
      <c r="U593" s="569"/>
      <c r="V593" s="569"/>
      <c r="W593" s="569"/>
      <c r="X593" s="569"/>
      <c r="Y593" s="569"/>
      <c r="Z593" s="569"/>
      <c r="AA593" s="569"/>
      <c r="AB593" s="569"/>
      <c r="AC593" s="569"/>
      <c r="AD593" s="569"/>
      <c r="AE593" s="569"/>
      <c r="AF593" s="569"/>
      <c r="AG593" s="569"/>
      <c r="AH593" s="569"/>
      <c r="AI593" s="569"/>
      <c r="AJ593" s="569"/>
      <c r="AK593" s="569"/>
      <c r="AL593" s="569"/>
      <c r="AM593" s="569"/>
      <c r="AN593" s="569"/>
      <c r="AO593">
        <v>592</v>
      </c>
      <c r="AP593" t="str">
        <f t="shared" si="118"/>
        <v/>
      </c>
      <c r="AQ593" t="str">
        <f t="shared" si="121"/>
        <v/>
      </c>
      <c r="AR593" s="430">
        <f>IFERROR(
IF(AP593="",-100,
IF($BV$2&gt;0, INDEX(Beersheet!$A:$U,MATCH(AP593,INDEX(Beersheet!$A:$U,0,FFARawStatProjections!$BV$2),0),$BV$3)+$BN593,
INDEX($A593:$BM593,,$BV$12)*$BW$12+
INDEX($A593:$BM593,,$BV$15)*$BW$15+
INDEX($A593:$BM593,,$BV$16)*$BW$16+
INDEX($A593:$BM593,,$BV$17)*$BW$17+
INDEX($A593:$BM593,,$BV$18)*$BW$18+
INDEX($A593:$BM593,,$BV$19)*$BW$19+
INDEX($A593:$BM593,,$BV$20)*$BW$20+
INDEX($A593:$BM593,,$BV$21)*$BW$21+
INDEX($A593:$BM593,,$BV$22)*$BW$22+
INDEX($A593:$BM593,,$BV$23)*$BW$23+
INDEX($A593:$BM593,,$BV$25)*$BW$25+
INDEX($A593:$BM593,,$BV$26)*$BW$26+
INDEX($A593:$BM593,,$BV$27)*$BW$27+
$BN593)),
$BN593-100)</f>
        <v>-100</v>
      </c>
      <c r="AT593" t="str">
        <f t="shared" si="122"/>
        <v/>
      </c>
      <c r="AU593" t="str">
        <f t="shared" si="123"/>
        <v/>
      </c>
      <c r="AV593" s="430">
        <f>IFERROR(
IF(AT593="",-100,
IF($BV$2&gt;0, INDEX(Beersheet!$A:$U,MATCH(AT593,INDEX(Beersheet!$A:$U,0,FFARawStatProjections!$BV$2),0),$BV$3)+$BN593,
INDEX($A593:$BM593,,$BV$12)*$BW$12+
INDEX($A593:$BM593,,$BV$15)*$BW$15+
INDEX($A593:$BM593,,$BV$16)*$BW$16+
INDEX($A593:$BM593,,$BV$17)*$BW$17+
INDEX($A593:$BM593,,$BV$18)*$BW$18+
INDEX($A593:$BM593,,$BV$19)*$BW$19+
INDEX($A593:$BM593,,$BV$20)*$BW$20+
INDEX($A593:$BM593,,$BV$21)*$BW$21+
INDEX($A593:$BM593,,$BV$22)*$BW$22+
INDEX($A593:$BM593,,$BV$23)*$BW$23+
INDEX($A593:$BM593,,$BV$25)*$BW$25+
INDEX($A593:$BM593,,$BV$26)*$BW$26+
INDEX($A593:$BM593,,$BV$27)*$BW$27+
$BN593)),
$BN593-100)</f>
        <v>-100</v>
      </c>
      <c r="AX593">
        <f t="shared" si="124"/>
        <v>0</v>
      </c>
      <c r="AY593">
        <f t="shared" si="125"/>
        <v>0</v>
      </c>
      <c r="AZ593" s="430">
        <f>IFERROR(
IF(AX593="",-100,
IF($BV$2&gt;0, INDEX(Beersheet!$A:$U,MATCH(AX593,INDEX(Beersheet!$A:$U,0,FFARawStatProjections!$BV$2),0),$BV$3)+$BN593,
INDEX($A593:$BM593,,$BV$12)*$BW$12+
INDEX($A593:$BM593,,$BV$15)*$BW$15+
INDEX($A593:$BM593,,$BV$16)*$BW$16+
INDEX($A593:$BM593,,$BV$17)*$BW$17+
INDEX($A593:$BM593,,$BV$18)*$BW$18+
INDEX($A593:$BM593,,$BV$19)*$BW$19+
INDEX($A593:$BM593,,$BV$20)*$BW$20+
INDEX($A593:$BM593,,$BV$21)*$BW$21+
INDEX($A593:$BM593,,$BV$22)*$BW$22+
INDEX($A593:$BM593,,$BV$23)*$BW$23+
INDEX($A593:$BM593,,$BV$25)*$BW$25+
INDEX($A593:$BM593,,$BV$26)*$BW$26+
INDEX($A593:$BM593,,$BV$27)*$BW$27+
$BN593)),
$BN593-100)</f>
        <v>5.9199999999999999E-3</v>
      </c>
      <c r="BB593" t="str">
        <f t="shared" si="126"/>
        <v/>
      </c>
      <c r="BC593" t="str">
        <f t="shared" si="120"/>
        <v/>
      </c>
      <c r="BD593" s="430">
        <f>IFERROR(
IF(BB593="",-100,
IF($BV$2&gt;0, INDEX(Beersheet!$A:$U,MATCH(BB593,INDEX(Beersheet!$A:$U,0,FFARawStatProjections!$BV$2),0),$BV$3)+$BN593,
INDEX($A593:$BM593,,$BV$12)*$BW$12+
INDEX($A593:$BM593,,$BV$15)*$BW$15+
INDEX($A593:$BM593,,$BV$16)*$BW$16+
INDEX($A593:$BM593,,$BV$17)*$BW$17+
INDEX($A593:$BM593,,$BV$18)*$BW$18+
INDEX($A593:$BM593,,$BV$19)*$BW$19+
INDEX($A593:$BM593,,$BV$20)*$BW$20+
INDEX($A593:$BM593,,$BV$21)*$BW$21+
INDEX($A593:$BM593,,$BV$22)*$BW$22+
INDEX($A593:$BM593,,$BV$23)*$BW$23+
INDEX($A593:$BM593,,$BV$25)*$BW$25+
INDEX($A593:$BM593,,$BV$26)*$BW$26+
INDEX($A593:$BM593,,$BV$27)*$BW$27+
$BN593)),
$BN593-100)</f>
        <v>-100</v>
      </c>
      <c r="BF593" t="str">
        <f t="shared" si="127"/>
        <v/>
      </c>
      <c r="BG593" t="str">
        <f t="shared" si="128"/>
        <v/>
      </c>
      <c r="BH593">
        <f t="shared" si="129"/>
        <v>0</v>
      </c>
      <c r="BJ593" t="str">
        <f t="shared" si="130"/>
        <v/>
      </c>
      <c r="BL593">
        <f t="shared" si="119"/>
        <v>0</v>
      </c>
      <c r="BN593">
        <v>5.9199999999999999E-3</v>
      </c>
      <c r="BS593" s="4" t="s">
        <v>2419</v>
      </c>
    </row>
    <row r="594" spans="1:71" ht="15.75" thickBot="1" x14ac:dyDescent="0.3">
      <c r="A594" s="569"/>
      <c r="B594" s="569"/>
      <c r="C594" s="569" t="s">
        <v>6</v>
      </c>
      <c r="D594" s="569"/>
      <c r="E594" s="569"/>
      <c r="F594" s="569"/>
      <c r="G594" s="569"/>
      <c r="H594" s="569"/>
      <c r="I594" s="574">
        <v>0</v>
      </c>
      <c r="J594" s="574">
        <v>0</v>
      </c>
      <c r="K594" s="574">
        <v>0</v>
      </c>
      <c r="L594" s="569"/>
      <c r="M594" s="569"/>
      <c r="N594" s="569"/>
      <c r="O594" s="569"/>
      <c r="P594" s="569"/>
      <c r="Q594" s="569"/>
      <c r="R594" s="569"/>
      <c r="S594" s="569"/>
      <c r="T594" s="569"/>
      <c r="U594" s="569"/>
      <c r="V594" s="569"/>
      <c r="W594" s="569"/>
      <c r="X594" s="569"/>
      <c r="Y594" s="569"/>
      <c r="Z594" s="569"/>
      <c r="AA594" s="569"/>
      <c r="AB594" s="569"/>
      <c r="AC594" s="569"/>
      <c r="AD594" s="569"/>
      <c r="AE594" s="569"/>
      <c r="AF594" s="569"/>
      <c r="AG594" s="569"/>
      <c r="AH594" s="569"/>
      <c r="AI594" s="569"/>
      <c r="AJ594" s="569"/>
      <c r="AK594" s="569"/>
      <c r="AL594" s="569"/>
      <c r="AM594" s="569"/>
      <c r="AN594" s="569"/>
      <c r="AO594">
        <v>593</v>
      </c>
      <c r="AP594" t="str">
        <f t="shared" si="118"/>
        <v/>
      </c>
      <c r="AQ594" t="str">
        <f t="shared" si="121"/>
        <v/>
      </c>
      <c r="AR594" s="430">
        <f>IFERROR(
IF(AP594="",-100,
IF($BV$2&gt;0, INDEX(Beersheet!$A:$U,MATCH(AP594,INDEX(Beersheet!$A:$U,0,FFARawStatProjections!$BV$2),0),$BV$3)+$BN594,
INDEX($A594:$BM594,,$BV$12)*$BW$12+
INDEX($A594:$BM594,,$BV$15)*$BW$15+
INDEX($A594:$BM594,,$BV$16)*$BW$16+
INDEX($A594:$BM594,,$BV$17)*$BW$17+
INDEX($A594:$BM594,,$BV$18)*$BW$18+
INDEX($A594:$BM594,,$BV$19)*$BW$19+
INDEX($A594:$BM594,,$BV$20)*$BW$20+
INDEX($A594:$BM594,,$BV$21)*$BW$21+
INDEX($A594:$BM594,,$BV$22)*$BW$22+
INDEX($A594:$BM594,,$BV$23)*$BW$23+
INDEX($A594:$BM594,,$BV$25)*$BW$25+
INDEX($A594:$BM594,,$BV$26)*$BW$26+
INDEX($A594:$BM594,,$BV$27)*$BW$27+
$BN594)),
$BN594-100)</f>
        <v>-100</v>
      </c>
      <c r="AT594" t="str">
        <f t="shared" si="122"/>
        <v/>
      </c>
      <c r="AU594" t="str">
        <f t="shared" si="123"/>
        <v/>
      </c>
      <c r="AV594" s="430">
        <f>IFERROR(
IF(AT594="",-100,
IF($BV$2&gt;0, INDEX(Beersheet!$A:$U,MATCH(AT594,INDEX(Beersheet!$A:$U,0,FFARawStatProjections!$BV$2),0),$BV$3)+$BN594,
INDEX($A594:$BM594,,$BV$12)*$BW$12+
INDEX($A594:$BM594,,$BV$15)*$BW$15+
INDEX($A594:$BM594,,$BV$16)*$BW$16+
INDEX($A594:$BM594,,$BV$17)*$BW$17+
INDEX($A594:$BM594,,$BV$18)*$BW$18+
INDEX($A594:$BM594,,$BV$19)*$BW$19+
INDEX($A594:$BM594,,$BV$20)*$BW$20+
INDEX($A594:$BM594,,$BV$21)*$BW$21+
INDEX($A594:$BM594,,$BV$22)*$BW$22+
INDEX($A594:$BM594,,$BV$23)*$BW$23+
INDEX($A594:$BM594,,$BV$25)*$BW$25+
INDEX($A594:$BM594,,$BV$26)*$BW$26+
INDEX($A594:$BM594,,$BV$27)*$BW$27+
$BN594)),
$BN594-100)</f>
        <v>-100</v>
      </c>
      <c r="AX594">
        <f t="shared" si="124"/>
        <v>0</v>
      </c>
      <c r="AY594">
        <f t="shared" si="125"/>
        <v>0</v>
      </c>
      <c r="AZ594" s="430">
        <f>IFERROR(
IF(AX594="",-100,
IF($BV$2&gt;0, INDEX(Beersheet!$A:$U,MATCH(AX594,INDEX(Beersheet!$A:$U,0,FFARawStatProjections!$BV$2),0),$BV$3)+$BN594,
INDEX($A594:$BM594,,$BV$12)*$BW$12+
INDEX($A594:$BM594,,$BV$15)*$BW$15+
INDEX($A594:$BM594,,$BV$16)*$BW$16+
INDEX($A594:$BM594,,$BV$17)*$BW$17+
INDEX($A594:$BM594,,$BV$18)*$BW$18+
INDEX($A594:$BM594,,$BV$19)*$BW$19+
INDEX($A594:$BM594,,$BV$20)*$BW$20+
INDEX($A594:$BM594,,$BV$21)*$BW$21+
INDEX($A594:$BM594,,$BV$22)*$BW$22+
INDEX($A594:$BM594,,$BV$23)*$BW$23+
INDEX($A594:$BM594,,$BV$25)*$BW$25+
INDEX($A594:$BM594,,$BV$26)*$BW$26+
INDEX($A594:$BM594,,$BV$27)*$BW$27+
$BN594)),
$BN594-100)</f>
        <v>5.9300000000000004E-3</v>
      </c>
      <c r="BB594" t="str">
        <f t="shared" si="126"/>
        <v/>
      </c>
      <c r="BC594" t="str">
        <f t="shared" si="120"/>
        <v/>
      </c>
      <c r="BD594" s="430">
        <f>IFERROR(
IF(BB594="",-100,
IF($BV$2&gt;0, INDEX(Beersheet!$A:$U,MATCH(BB594,INDEX(Beersheet!$A:$U,0,FFARawStatProjections!$BV$2),0),$BV$3)+$BN594,
INDEX($A594:$BM594,,$BV$12)*$BW$12+
INDEX($A594:$BM594,,$BV$15)*$BW$15+
INDEX($A594:$BM594,,$BV$16)*$BW$16+
INDEX($A594:$BM594,,$BV$17)*$BW$17+
INDEX($A594:$BM594,,$BV$18)*$BW$18+
INDEX($A594:$BM594,,$BV$19)*$BW$19+
INDEX($A594:$BM594,,$BV$20)*$BW$20+
INDEX($A594:$BM594,,$BV$21)*$BW$21+
INDEX($A594:$BM594,,$BV$22)*$BW$22+
INDEX($A594:$BM594,,$BV$23)*$BW$23+
INDEX($A594:$BM594,,$BV$25)*$BW$25+
INDEX($A594:$BM594,,$BV$26)*$BW$26+
INDEX($A594:$BM594,,$BV$27)*$BW$27+
$BN594)),
$BN594-100)</f>
        <v>-100</v>
      </c>
      <c r="BF594" t="str">
        <f t="shared" si="127"/>
        <v/>
      </c>
      <c r="BG594" t="str">
        <f t="shared" si="128"/>
        <v/>
      </c>
      <c r="BH594">
        <f t="shared" si="129"/>
        <v>0</v>
      </c>
      <c r="BJ594" t="str">
        <f t="shared" si="130"/>
        <v/>
      </c>
      <c r="BL594">
        <f t="shared" si="119"/>
        <v>0</v>
      </c>
      <c r="BN594">
        <v>5.9300000000000004E-3</v>
      </c>
      <c r="BS594" s="4" t="s">
        <v>2418</v>
      </c>
    </row>
    <row r="595" spans="1:71" ht="15.75" thickBot="1" x14ac:dyDescent="0.3">
      <c r="A595" s="569"/>
      <c r="B595" s="569"/>
      <c r="C595" s="569" t="s">
        <v>6</v>
      </c>
      <c r="D595" s="569"/>
      <c r="E595" s="569"/>
      <c r="F595" s="569"/>
      <c r="G595" s="569"/>
      <c r="H595" s="569"/>
      <c r="I595" s="574">
        <v>0</v>
      </c>
      <c r="J595" s="574">
        <v>0</v>
      </c>
      <c r="K595" s="574">
        <v>0</v>
      </c>
      <c r="L595" s="569"/>
      <c r="M595" s="569"/>
      <c r="N595" s="569"/>
      <c r="O595" s="569"/>
      <c r="P595" s="569"/>
      <c r="Q595" s="569"/>
      <c r="R595" s="569"/>
      <c r="S595" s="569"/>
      <c r="T595" s="569"/>
      <c r="U595" s="569"/>
      <c r="V595" s="569"/>
      <c r="W595" s="569"/>
      <c r="X595" s="569"/>
      <c r="Y595" s="569"/>
      <c r="Z595" s="569"/>
      <c r="AA595" s="569"/>
      <c r="AB595" s="569"/>
      <c r="AC595" s="569"/>
      <c r="AD595" s="569"/>
      <c r="AE595" s="569"/>
      <c r="AF595" s="569"/>
      <c r="AG595" s="569"/>
      <c r="AH595" s="569"/>
      <c r="AI595" s="569"/>
      <c r="AJ595" s="569"/>
      <c r="AK595" s="569"/>
      <c r="AL595" s="569"/>
      <c r="AM595" s="569"/>
      <c r="AN595" s="569"/>
      <c r="AO595">
        <v>594</v>
      </c>
      <c r="AP595" t="str">
        <f t="shared" si="118"/>
        <v/>
      </c>
      <c r="AQ595" t="str">
        <f t="shared" si="121"/>
        <v/>
      </c>
      <c r="AR595" s="430">
        <f>IFERROR(
IF(AP595="",-100,
IF($BV$2&gt;0, INDEX(Beersheet!$A:$U,MATCH(AP595,INDEX(Beersheet!$A:$U,0,FFARawStatProjections!$BV$2),0),$BV$3)+$BN595,
INDEX($A595:$BM595,,$BV$12)*$BW$12+
INDEX($A595:$BM595,,$BV$15)*$BW$15+
INDEX($A595:$BM595,,$BV$16)*$BW$16+
INDEX($A595:$BM595,,$BV$17)*$BW$17+
INDEX($A595:$BM595,,$BV$18)*$BW$18+
INDEX($A595:$BM595,,$BV$19)*$BW$19+
INDEX($A595:$BM595,,$BV$20)*$BW$20+
INDEX($A595:$BM595,,$BV$21)*$BW$21+
INDEX($A595:$BM595,,$BV$22)*$BW$22+
INDEX($A595:$BM595,,$BV$23)*$BW$23+
INDEX($A595:$BM595,,$BV$25)*$BW$25+
INDEX($A595:$BM595,,$BV$26)*$BW$26+
INDEX($A595:$BM595,,$BV$27)*$BW$27+
$BN595)),
$BN595-100)</f>
        <v>-100</v>
      </c>
      <c r="AT595" t="str">
        <f t="shared" si="122"/>
        <v/>
      </c>
      <c r="AU595" t="str">
        <f t="shared" si="123"/>
        <v/>
      </c>
      <c r="AV595" s="430">
        <f>IFERROR(
IF(AT595="",-100,
IF($BV$2&gt;0, INDEX(Beersheet!$A:$U,MATCH(AT595,INDEX(Beersheet!$A:$U,0,FFARawStatProjections!$BV$2),0),$BV$3)+$BN595,
INDEX($A595:$BM595,,$BV$12)*$BW$12+
INDEX($A595:$BM595,,$BV$15)*$BW$15+
INDEX($A595:$BM595,,$BV$16)*$BW$16+
INDEX($A595:$BM595,,$BV$17)*$BW$17+
INDEX($A595:$BM595,,$BV$18)*$BW$18+
INDEX($A595:$BM595,,$BV$19)*$BW$19+
INDEX($A595:$BM595,,$BV$20)*$BW$20+
INDEX($A595:$BM595,,$BV$21)*$BW$21+
INDEX($A595:$BM595,,$BV$22)*$BW$22+
INDEX($A595:$BM595,,$BV$23)*$BW$23+
INDEX($A595:$BM595,,$BV$25)*$BW$25+
INDEX($A595:$BM595,,$BV$26)*$BW$26+
INDEX($A595:$BM595,,$BV$27)*$BW$27+
$BN595)),
$BN595-100)</f>
        <v>-100</v>
      </c>
      <c r="AX595">
        <f t="shared" si="124"/>
        <v>0</v>
      </c>
      <c r="AY595">
        <f t="shared" si="125"/>
        <v>0</v>
      </c>
      <c r="AZ595" s="430">
        <f>IFERROR(
IF(AX595="",-100,
IF($BV$2&gt;0, INDEX(Beersheet!$A:$U,MATCH(AX595,INDEX(Beersheet!$A:$U,0,FFARawStatProjections!$BV$2),0),$BV$3)+$BN595,
INDEX($A595:$BM595,,$BV$12)*$BW$12+
INDEX($A595:$BM595,,$BV$15)*$BW$15+
INDEX($A595:$BM595,,$BV$16)*$BW$16+
INDEX($A595:$BM595,,$BV$17)*$BW$17+
INDEX($A595:$BM595,,$BV$18)*$BW$18+
INDEX($A595:$BM595,,$BV$19)*$BW$19+
INDEX($A595:$BM595,,$BV$20)*$BW$20+
INDEX($A595:$BM595,,$BV$21)*$BW$21+
INDEX($A595:$BM595,,$BV$22)*$BW$22+
INDEX($A595:$BM595,,$BV$23)*$BW$23+
INDEX($A595:$BM595,,$BV$25)*$BW$25+
INDEX($A595:$BM595,,$BV$26)*$BW$26+
INDEX($A595:$BM595,,$BV$27)*$BW$27+
$BN595)),
$BN595-100)</f>
        <v>5.94E-3</v>
      </c>
      <c r="BB595" t="str">
        <f t="shared" si="126"/>
        <v/>
      </c>
      <c r="BC595" t="str">
        <f t="shared" si="120"/>
        <v/>
      </c>
      <c r="BD595" s="430">
        <f>IFERROR(
IF(BB595="",-100,
IF($BV$2&gt;0, INDEX(Beersheet!$A:$U,MATCH(BB595,INDEX(Beersheet!$A:$U,0,FFARawStatProjections!$BV$2),0),$BV$3)+$BN595,
INDEX($A595:$BM595,,$BV$12)*$BW$12+
INDEX($A595:$BM595,,$BV$15)*$BW$15+
INDEX($A595:$BM595,,$BV$16)*$BW$16+
INDEX($A595:$BM595,,$BV$17)*$BW$17+
INDEX($A595:$BM595,,$BV$18)*$BW$18+
INDEX($A595:$BM595,,$BV$19)*$BW$19+
INDEX($A595:$BM595,,$BV$20)*$BW$20+
INDEX($A595:$BM595,,$BV$21)*$BW$21+
INDEX($A595:$BM595,,$BV$22)*$BW$22+
INDEX($A595:$BM595,,$BV$23)*$BW$23+
INDEX($A595:$BM595,,$BV$25)*$BW$25+
INDEX($A595:$BM595,,$BV$26)*$BW$26+
INDEX($A595:$BM595,,$BV$27)*$BW$27+
$BN595)),
$BN595-100)</f>
        <v>-100</v>
      </c>
      <c r="BF595" t="str">
        <f t="shared" si="127"/>
        <v/>
      </c>
      <c r="BG595" t="str">
        <f t="shared" si="128"/>
        <v/>
      </c>
      <c r="BH595">
        <f t="shared" si="129"/>
        <v>0</v>
      </c>
      <c r="BJ595" t="str">
        <f t="shared" si="130"/>
        <v/>
      </c>
      <c r="BL595">
        <f t="shared" si="119"/>
        <v>0</v>
      </c>
      <c r="BN595">
        <v>5.94E-3</v>
      </c>
      <c r="BS595" s="4" t="s">
        <v>2065</v>
      </c>
    </row>
    <row r="596" spans="1:71" ht="15.75" thickBot="1" x14ac:dyDescent="0.3">
      <c r="A596" s="569"/>
      <c r="B596" s="569"/>
      <c r="C596" s="569" t="s">
        <v>6</v>
      </c>
      <c r="D596" s="569"/>
      <c r="E596" s="569"/>
      <c r="F596" s="569"/>
      <c r="G596" s="569"/>
      <c r="H596" s="569"/>
      <c r="I596" s="574">
        <v>0</v>
      </c>
      <c r="J596" s="574">
        <v>0</v>
      </c>
      <c r="K596" s="574">
        <v>0</v>
      </c>
      <c r="L596" s="569"/>
      <c r="M596" s="569"/>
      <c r="N596" s="569"/>
      <c r="O596" s="569"/>
      <c r="P596" s="569"/>
      <c r="Q596" s="569"/>
      <c r="R596" s="569"/>
      <c r="S596" s="569"/>
      <c r="T596" s="569"/>
      <c r="U596" s="569"/>
      <c r="V596" s="569"/>
      <c r="W596" s="569"/>
      <c r="X596" s="569"/>
      <c r="Y596" s="569"/>
      <c r="Z596" s="569"/>
      <c r="AA596" s="569"/>
      <c r="AB596" s="569"/>
      <c r="AC596" s="569"/>
      <c r="AD596" s="569"/>
      <c r="AE596" s="569"/>
      <c r="AF596" s="569"/>
      <c r="AG596" s="569"/>
      <c r="AH596" s="569"/>
      <c r="AI596" s="569"/>
      <c r="AJ596" s="569"/>
      <c r="AK596" s="569"/>
      <c r="AL596" s="569"/>
      <c r="AM596" s="569"/>
      <c r="AN596" s="569"/>
      <c r="AO596">
        <v>595</v>
      </c>
      <c r="AP596" t="str">
        <f t="shared" ref="AP596:AP659" si="131">IF($C596="QB",A596,"")</f>
        <v/>
      </c>
      <c r="AQ596" t="str">
        <f t="shared" si="121"/>
        <v/>
      </c>
      <c r="AR596" s="430">
        <f>IFERROR(
IF(AP596="",-100,
IF($BV$2&gt;0, INDEX(Beersheet!$A:$U,MATCH(AP596,INDEX(Beersheet!$A:$U,0,FFARawStatProjections!$BV$2),0),$BV$3)+$BN596,
INDEX($A596:$BM596,,$BV$12)*$BW$12+
INDEX($A596:$BM596,,$BV$15)*$BW$15+
INDEX($A596:$BM596,,$BV$16)*$BW$16+
INDEX($A596:$BM596,,$BV$17)*$BW$17+
INDEX($A596:$BM596,,$BV$18)*$BW$18+
INDEX($A596:$BM596,,$BV$19)*$BW$19+
INDEX($A596:$BM596,,$BV$20)*$BW$20+
INDEX($A596:$BM596,,$BV$21)*$BW$21+
INDEX($A596:$BM596,,$BV$22)*$BW$22+
INDEX($A596:$BM596,,$BV$23)*$BW$23+
INDEX($A596:$BM596,,$BV$25)*$BW$25+
INDEX($A596:$BM596,,$BV$26)*$BW$26+
INDEX($A596:$BM596,,$BV$27)*$BW$27+
$BN596)),
$BN596-100)</f>
        <v>-100</v>
      </c>
      <c r="AT596" t="str">
        <f t="shared" si="122"/>
        <v/>
      </c>
      <c r="AU596" t="str">
        <f t="shared" si="123"/>
        <v/>
      </c>
      <c r="AV596" s="430">
        <f>IFERROR(
IF(AT596="",-100,
IF($BV$2&gt;0, INDEX(Beersheet!$A:$U,MATCH(AT596,INDEX(Beersheet!$A:$U,0,FFARawStatProjections!$BV$2),0),$BV$3)+$BN596,
INDEX($A596:$BM596,,$BV$12)*$BW$12+
INDEX($A596:$BM596,,$BV$15)*$BW$15+
INDEX($A596:$BM596,,$BV$16)*$BW$16+
INDEX($A596:$BM596,,$BV$17)*$BW$17+
INDEX($A596:$BM596,,$BV$18)*$BW$18+
INDEX($A596:$BM596,,$BV$19)*$BW$19+
INDEX($A596:$BM596,,$BV$20)*$BW$20+
INDEX($A596:$BM596,,$BV$21)*$BW$21+
INDEX($A596:$BM596,,$BV$22)*$BW$22+
INDEX($A596:$BM596,,$BV$23)*$BW$23+
INDEX($A596:$BM596,,$BV$25)*$BW$25+
INDEX($A596:$BM596,,$BV$26)*$BW$26+
INDEX($A596:$BM596,,$BV$27)*$BW$27+
$BN596)),
$BN596-100)</f>
        <v>-100</v>
      </c>
      <c r="AX596">
        <f t="shared" si="124"/>
        <v>0</v>
      </c>
      <c r="AY596">
        <f t="shared" si="125"/>
        <v>0</v>
      </c>
      <c r="AZ596" s="430">
        <f>IFERROR(
IF(AX596="",-100,
IF($BV$2&gt;0, INDEX(Beersheet!$A:$U,MATCH(AX596,INDEX(Beersheet!$A:$U,0,FFARawStatProjections!$BV$2),0),$BV$3)+$BN596,
INDEX($A596:$BM596,,$BV$12)*$BW$12+
INDEX($A596:$BM596,,$BV$15)*$BW$15+
INDEX($A596:$BM596,,$BV$16)*$BW$16+
INDEX($A596:$BM596,,$BV$17)*$BW$17+
INDEX($A596:$BM596,,$BV$18)*$BW$18+
INDEX($A596:$BM596,,$BV$19)*$BW$19+
INDEX($A596:$BM596,,$BV$20)*$BW$20+
INDEX($A596:$BM596,,$BV$21)*$BW$21+
INDEX($A596:$BM596,,$BV$22)*$BW$22+
INDEX($A596:$BM596,,$BV$23)*$BW$23+
INDEX($A596:$BM596,,$BV$25)*$BW$25+
INDEX($A596:$BM596,,$BV$26)*$BW$26+
INDEX($A596:$BM596,,$BV$27)*$BW$27+
$BN596)),
$BN596-100)</f>
        <v>5.9500000000000004E-3</v>
      </c>
      <c r="BB596" t="str">
        <f t="shared" si="126"/>
        <v/>
      </c>
      <c r="BC596" t="str">
        <f t="shared" si="120"/>
        <v/>
      </c>
      <c r="BD596" s="430">
        <f>IFERROR(
IF(BB596="",-100,
IF($BV$2&gt;0, INDEX(Beersheet!$A:$U,MATCH(BB596,INDEX(Beersheet!$A:$U,0,FFARawStatProjections!$BV$2),0),$BV$3)+$BN596,
INDEX($A596:$BM596,,$BV$12)*$BW$12+
INDEX($A596:$BM596,,$BV$15)*$BW$15+
INDEX($A596:$BM596,,$BV$16)*$BW$16+
INDEX($A596:$BM596,,$BV$17)*$BW$17+
INDEX($A596:$BM596,,$BV$18)*$BW$18+
INDEX($A596:$BM596,,$BV$19)*$BW$19+
INDEX($A596:$BM596,,$BV$20)*$BW$20+
INDEX($A596:$BM596,,$BV$21)*$BW$21+
INDEX($A596:$BM596,,$BV$22)*$BW$22+
INDEX($A596:$BM596,,$BV$23)*$BW$23+
INDEX($A596:$BM596,,$BV$25)*$BW$25+
INDEX($A596:$BM596,,$BV$26)*$BW$26+
INDEX($A596:$BM596,,$BV$27)*$BW$27+
$BN596)),
$BN596-100)</f>
        <v>-100</v>
      </c>
      <c r="BF596" t="str">
        <f t="shared" si="127"/>
        <v/>
      </c>
      <c r="BG596" t="str">
        <f t="shared" si="128"/>
        <v/>
      </c>
      <c r="BH596">
        <f t="shared" si="129"/>
        <v>0</v>
      </c>
      <c r="BJ596" t="str">
        <f t="shared" si="130"/>
        <v/>
      </c>
      <c r="BL596">
        <f t="shared" si="119"/>
        <v>0</v>
      </c>
      <c r="BN596">
        <v>5.9500000000000004E-3</v>
      </c>
      <c r="BS596" s="4" t="s">
        <v>1768</v>
      </c>
    </row>
    <row r="597" spans="1:71" ht="15.75" thickBot="1" x14ac:dyDescent="0.3">
      <c r="A597" s="569"/>
      <c r="B597" s="569"/>
      <c r="C597" s="569" t="s">
        <v>6</v>
      </c>
      <c r="D597" s="569"/>
      <c r="E597" s="569"/>
      <c r="F597" s="569"/>
      <c r="G597" s="569"/>
      <c r="H597" s="569"/>
      <c r="I597" s="574">
        <v>0</v>
      </c>
      <c r="J597" s="574">
        <v>0</v>
      </c>
      <c r="K597" s="574">
        <v>0</v>
      </c>
      <c r="L597" s="569"/>
      <c r="M597" s="569"/>
      <c r="N597" s="569"/>
      <c r="O597" s="569"/>
      <c r="P597" s="569"/>
      <c r="Q597" s="569"/>
      <c r="R597" s="569"/>
      <c r="S597" s="569"/>
      <c r="T597" s="569"/>
      <c r="U597" s="569"/>
      <c r="V597" s="569"/>
      <c r="W597" s="569"/>
      <c r="X597" s="569"/>
      <c r="Y597" s="569"/>
      <c r="Z597" s="569"/>
      <c r="AA597" s="569"/>
      <c r="AB597" s="569"/>
      <c r="AC597" s="569"/>
      <c r="AD597" s="569"/>
      <c r="AE597" s="569"/>
      <c r="AF597" s="569"/>
      <c r="AG597" s="569"/>
      <c r="AH597" s="569"/>
      <c r="AI597" s="569"/>
      <c r="AJ597" s="569"/>
      <c r="AK597" s="569"/>
      <c r="AL597" s="569"/>
      <c r="AM597" s="569"/>
      <c r="AN597" s="569"/>
      <c r="AO597">
        <v>596</v>
      </c>
      <c r="AP597" t="str">
        <f t="shared" si="131"/>
        <v/>
      </c>
      <c r="AQ597" t="str">
        <f t="shared" si="121"/>
        <v/>
      </c>
      <c r="AR597" s="430">
        <f>IFERROR(
IF(AP597="",-100,
IF($BV$2&gt;0, INDEX(Beersheet!$A:$U,MATCH(AP597,INDEX(Beersheet!$A:$U,0,FFARawStatProjections!$BV$2),0),$BV$3)+$BN597,
INDEX($A597:$BM597,,$BV$12)*$BW$12+
INDEX($A597:$BM597,,$BV$15)*$BW$15+
INDEX($A597:$BM597,,$BV$16)*$BW$16+
INDEX($A597:$BM597,,$BV$17)*$BW$17+
INDEX($A597:$BM597,,$BV$18)*$BW$18+
INDEX($A597:$BM597,,$BV$19)*$BW$19+
INDEX($A597:$BM597,,$BV$20)*$BW$20+
INDEX($A597:$BM597,,$BV$21)*$BW$21+
INDEX($A597:$BM597,,$BV$22)*$BW$22+
INDEX($A597:$BM597,,$BV$23)*$BW$23+
INDEX($A597:$BM597,,$BV$25)*$BW$25+
INDEX($A597:$BM597,,$BV$26)*$BW$26+
INDEX($A597:$BM597,,$BV$27)*$BW$27+
$BN597)),
$BN597-100)</f>
        <v>-100</v>
      </c>
      <c r="AT597" t="str">
        <f t="shared" si="122"/>
        <v/>
      </c>
      <c r="AU597" t="str">
        <f t="shared" si="123"/>
        <v/>
      </c>
      <c r="AV597" s="430">
        <f>IFERROR(
IF(AT597="",-100,
IF($BV$2&gt;0, INDEX(Beersheet!$A:$U,MATCH(AT597,INDEX(Beersheet!$A:$U,0,FFARawStatProjections!$BV$2),0),$BV$3)+$BN597,
INDEX($A597:$BM597,,$BV$12)*$BW$12+
INDEX($A597:$BM597,,$BV$15)*$BW$15+
INDEX($A597:$BM597,,$BV$16)*$BW$16+
INDEX($A597:$BM597,,$BV$17)*$BW$17+
INDEX($A597:$BM597,,$BV$18)*$BW$18+
INDEX($A597:$BM597,,$BV$19)*$BW$19+
INDEX($A597:$BM597,,$BV$20)*$BW$20+
INDEX($A597:$BM597,,$BV$21)*$BW$21+
INDEX($A597:$BM597,,$BV$22)*$BW$22+
INDEX($A597:$BM597,,$BV$23)*$BW$23+
INDEX($A597:$BM597,,$BV$25)*$BW$25+
INDEX($A597:$BM597,,$BV$26)*$BW$26+
INDEX($A597:$BM597,,$BV$27)*$BW$27+
$BN597)),
$BN597-100)</f>
        <v>-100</v>
      </c>
      <c r="AX597">
        <f t="shared" si="124"/>
        <v>0</v>
      </c>
      <c r="AY597">
        <f t="shared" si="125"/>
        <v>0</v>
      </c>
      <c r="AZ597" s="430">
        <f>IFERROR(
IF(AX597="",-100,
IF($BV$2&gt;0, INDEX(Beersheet!$A:$U,MATCH(AX597,INDEX(Beersheet!$A:$U,0,FFARawStatProjections!$BV$2),0),$BV$3)+$BN597,
INDEX($A597:$BM597,,$BV$12)*$BW$12+
INDEX($A597:$BM597,,$BV$15)*$BW$15+
INDEX($A597:$BM597,,$BV$16)*$BW$16+
INDEX($A597:$BM597,,$BV$17)*$BW$17+
INDEX($A597:$BM597,,$BV$18)*$BW$18+
INDEX($A597:$BM597,,$BV$19)*$BW$19+
INDEX($A597:$BM597,,$BV$20)*$BW$20+
INDEX($A597:$BM597,,$BV$21)*$BW$21+
INDEX($A597:$BM597,,$BV$22)*$BW$22+
INDEX($A597:$BM597,,$BV$23)*$BW$23+
INDEX($A597:$BM597,,$BV$25)*$BW$25+
INDEX($A597:$BM597,,$BV$26)*$BW$26+
INDEX($A597:$BM597,,$BV$27)*$BW$27+
$BN597)),
$BN597-100)</f>
        <v>5.96E-3</v>
      </c>
      <c r="BB597" t="str">
        <f t="shared" si="126"/>
        <v/>
      </c>
      <c r="BC597" t="str">
        <f t="shared" si="120"/>
        <v/>
      </c>
      <c r="BD597" s="430">
        <f>IFERROR(
IF(BB597="",-100,
IF($BV$2&gt;0, INDEX(Beersheet!$A:$U,MATCH(BB597,INDEX(Beersheet!$A:$U,0,FFARawStatProjections!$BV$2),0),$BV$3)+$BN597,
INDEX($A597:$BM597,,$BV$12)*$BW$12+
INDEX($A597:$BM597,,$BV$15)*$BW$15+
INDEX($A597:$BM597,,$BV$16)*$BW$16+
INDEX($A597:$BM597,,$BV$17)*$BW$17+
INDEX($A597:$BM597,,$BV$18)*$BW$18+
INDEX($A597:$BM597,,$BV$19)*$BW$19+
INDEX($A597:$BM597,,$BV$20)*$BW$20+
INDEX($A597:$BM597,,$BV$21)*$BW$21+
INDEX($A597:$BM597,,$BV$22)*$BW$22+
INDEX($A597:$BM597,,$BV$23)*$BW$23+
INDEX($A597:$BM597,,$BV$25)*$BW$25+
INDEX($A597:$BM597,,$BV$26)*$BW$26+
INDEX($A597:$BM597,,$BV$27)*$BW$27+
$BN597)),
$BN597-100)</f>
        <v>-100</v>
      </c>
      <c r="BF597" t="str">
        <f t="shared" si="127"/>
        <v/>
      </c>
      <c r="BG597" t="str">
        <f t="shared" si="128"/>
        <v/>
      </c>
      <c r="BH597">
        <f t="shared" si="129"/>
        <v>0</v>
      </c>
      <c r="BJ597" t="str">
        <f t="shared" si="130"/>
        <v/>
      </c>
      <c r="BL597">
        <f t="shared" si="119"/>
        <v>0</v>
      </c>
      <c r="BN597">
        <v>5.96E-3</v>
      </c>
      <c r="BS597" s="4" t="s">
        <v>1806</v>
      </c>
    </row>
    <row r="598" spans="1:71" ht="15.75" thickBot="1" x14ac:dyDescent="0.3">
      <c r="A598" s="569"/>
      <c r="B598" s="569"/>
      <c r="C598" s="569" t="s">
        <v>6</v>
      </c>
      <c r="D598" s="569"/>
      <c r="E598" s="569"/>
      <c r="F598" s="569"/>
      <c r="G598" s="569"/>
      <c r="H598" s="569"/>
      <c r="I598" s="574">
        <v>0</v>
      </c>
      <c r="J598" s="574">
        <v>0</v>
      </c>
      <c r="K598" s="574">
        <v>0</v>
      </c>
      <c r="L598" s="569"/>
      <c r="M598" s="569"/>
      <c r="N598" s="569"/>
      <c r="O598" s="569"/>
      <c r="P598" s="569"/>
      <c r="Q598" s="569"/>
      <c r="R598" s="569"/>
      <c r="S598" s="569"/>
      <c r="T598" s="569"/>
      <c r="U598" s="569"/>
      <c r="V598" s="569"/>
      <c r="W598" s="569"/>
      <c r="X598" s="569"/>
      <c r="Y598" s="569"/>
      <c r="Z598" s="569"/>
      <c r="AA598" s="569"/>
      <c r="AB598" s="569"/>
      <c r="AC598" s="569"/>
      <c r="AD598" s="569"/>
      <c r="AE598" s="569"/>
      <c r="AF598" s="569"/>
      <c r="AG598" s="569"/>
      <c r="AH598" s="569"/>
      <c r="AI598" s="569"/>
      <c r="AJ598" s="569"/>
      <c r="AK598" s="569"/>
      <c r="AL598" s="569"/>
      <c r="AM598" s="569"/>
      <c r="AN598" s="569"/>
      <c r="AO598">
        <v>597</v>
      </c>
      <c r="AP598" t="str">
        <f t="shared" si="131"/>
        <v/>
      </c>
      <c r="AQ598" t="str">
        <f t="shared" si="121"/>
        <v/>
      </c>
      <c r="AR598" s="430">
        <f>IFERROR(
IF(AP598="",-100,
IF($BV$2&gt;0, INDEX(Beersheet!$A:$U,MATCH(AP598,INDEX(Beersheet!$A:$U,0,FFARawStatProjections!$BV$2),0),$BV$3)+$BN598,
INDEX($A598:$BM598,,$BV$12)*$BW$12+
INDEX($A598:$BM598,,$BV$15)*$BW$15+
INDEX($A598:$BM598,,$BV$16)*$BW$16+
INDEX($A598:$BM598,,$BV$17)*$BW$17+
INDEX($A598:$BM598,,$BV$18)*$BW$18+
INDEX($A598:$BM598,,$BV$19)*$BW$19+
INDEX($A598:$BM598,,$BV$20)*$BW$20+
INDEX($A598:$BM598,,$BV$21)*$BW$21+
INDEX($A598:$BM598,,$BV$22)*$BW$22+
INDEX($A598:$BM598,,$BV$23)*$BW$23+
INDEX($A598:$BM598,,$BV$25)*$BW$25+
INDEX($A598:$BM598,,$BV$26)*$BW$26+
INDEX($A598:$BM598,,$BV$27)*$BW$27+
$BN598)),
$BN598-100)</f>
        <v>-100</v>
      </c>
      <c r="AT598" t="str">
        <f t="shared" si="122"/>
        <v/>
      </c>
      <c r="AU598" t="str">
        <f t="shared" si="123"/>
        <v/>
      </c>
      <c r="AV598" s="430">
        <f>IFERROR(
IF(AT598="",-100,
IF($BV$2&gt;0, INDEX(Beersheet!$A:$U,MATCH(AT598,INDEX(Beersheet!$A:$U,0,FFARawStatProjections!$BV$2),0),$BV$3)+$BN598,
INDEX($A598:$BM598,,$BV$12)*$BW$12+
INDEX($A598:$BM598,,$BV$15)*$BW$15+
INDEX($A598:$BM598,,$BV$16)*$BW$16+
INDEX($A598:$BM598,,$BV$17)*$BW$17+
INDEX($A598:$BM598,,$BV$18)*$BW$18+
INDEX($A598:$BM598,,$BV$19)*$BW$19+
INDEX($A598:$BM598,,$BV$20)*$BW$20+
INDEX($A598:$BM598,,$BV$21)*$BW$21+
INDEX($A598:$BM598,,$BV$22)*$BW$22+
INDEX($A598:$BM598,,$BV$23)*$BW$23+
INDEX($A598:$BM598,,$BV$25)*$BW$25+
INDEX($A598:$BM598,,$BV$26)*$BW$26+
INDEX($A598:$BM598,,$BV$27)*$BW$27+
$BN598)),
$BN598-100)</f>
        <v>-100</v>
      </c>
      <c r="AX598">
        <f t="shared" si="124"/>
        <v>0</v>
      </c>
      <c r="AY598">
        <f t="shared" si="125"/>
        <v>0</v>
      </c>
      <c r="AZ598" s="430">
        <f>IFERROR(
IF(AX598="",-100,
IF($BV$2&gt;0, INDEX(Beersheet!$A:$U,MATCH(AX598,INDEX(Beersheet!$A:$U,0,FFARawStatProjections!$BV$2),0),$BV$3)+$BN598,
INDEX($A598:$BM598,,$BV$12)*$BW$12+
INDEX($A598:$BM598,,$BV$15)*$BW$15+
INDEX($A598:$BM598,,$BV$16)*$BW$16+
INDEX($A598:$BM598,,$BV$17)*$BW$17+
INDEX($A598:$BM598,,$BV$18)*$BW$18+
INDEX($A598:$BM598,,$BV$19)*$BW$19+
INDEX($A598:$BM598,,$BV$20)*$BW$20+
INDEX($A598:$BM598,,$BV$21)*$BW$21+
INDEX($A598:$BM598,,$BV$22)*$BW$22+
INDEX($A598:$BM598,,$BV$23)*$BW$23+
INDEX($A598:$BM598,,$BV$25)*$BW$25+
INDEX($A598:$BM598,,$BV$26)*$BW$26+
INDEX($A598:$BM598,,$BV$27)*$BW$27+
$BN598)),
$BN598-100)</f>
        <v>5.9699999999999996E-3</v>
      </c>
      <c r="BB598" t="str">
        <f t="shared" si="126"/>
        <v/>
      </c>
      <c r="BC598" t="str">
        <f t="shared" si="120"/>
        <v/>
      </c>
      <c r="BD598" s="430">
        <f>IFERROR(
IF(BB598="",-100,
IF($BV$2&gt;0, INDEX(Beersheet!$A:$U,MATCH(BB598,INDEX(Beersheet!$A:$U,0,FFARawStatProjections!$BV$2),0),$BV$3)+$BN598,
INDEX($A598:$BM598,,$BV$12)*$BW$12+
INDEX($A598:$BM598,,$BV$15)*$BW$15+
INDEX($A598:$BM598,,$BV$16)*$BW$16+
INDEX($A598:$BM598,,$BV$17)*$BW$17+
INDEX($A598:$BM598,,$BV$18)*$BW$18+
INDEX($A598:$BM598,,$BV$19)*$BW$19+
INDEX($A598:$BM598,,$BV$20)*$BW$20+
INDEX($A598:$BM598,,$BV$21)*$BW$21+
INDEX($A598:$BM598,,$BV$22)*$BW$22+
INDEX($A598:$BM598,,$BV$23)*$BW$23+
INDEX($A598:$BM598,,$BV$25)*$BW$25+
INDEX($A598:$BM598,,$BV$26)*$BW$26+
INDEX($A598:$BM598,,$BV$27)*$BW$27+
$BN598)),
$BN598-100)</f>
        <v>-100</v>
      </c>
      <c r="BF598" t="str">
        <f t="shared" si="127"/>
        <v/>
      </c>
      <c r="BG598" t="str">
        <f t="shared" si="128"/>
        <v/>
      </c>
      <c r="BH598">
        <f t="shared" si="129"/>
        <v>0</v>
      </c>
      <c r="BJ598" t="str">
        <f t="shared" si="130"/>
        <v/>
      </c>
      <c r="BL598">
        <f t="shared" si="119"/>
        <v>0</v>
      </c>
      <c r="BN598">
        <v>5.9699999999999996E-3</v>
      </c>
      <c r="BS598" s="4" t="s">
        <v>45</v>
      </c>
    </row>
    <row r="599" spans="1:71" ht="15.75" thickBot="1" x14ac:dyDescent="0.3">
      <c r="A599" s="569"/>
      <c r="B599" s="569"/>
      <c r="C599" s="569" t="s">
        <v>6</v>
      </c>
      <c r="D599" s="569"/>
      <c r="E599" s="569"/>
      <c r="F599" s="569"/>
      <c r="G599" s="569"/>
      <c r="H599" s="569"/>
      <c r="I599" s="574">
        <v>0</v>
      </c>
      <c r="J599" s="574">
        <v>0</v>
      </c>
      <c r="K599" s="574">
        <v>0</v>
      </c>
      <c r="L599" s="569"/>
      <c r="M599" s="569"/>
      <c r="N599" s="569"/>
      <c r="O599" s="569"/>
      <c r="P599" s="569"/>
      <c r="Q599" s="569"/>
      <c r="R599" s="569"/>
      <c r="S599" s="569"/>
      <c r="T599" s="569"/>
      <c r="U599" s="569"/>
      <c r="V599" s="569"/>
      <c r="W599" s="569"/>
      <c r="X599" s="569"/>
      <c r="Y599" s="569"/>
      <c r="Z599" s="569"/>
      <c r="AA599" s="569"/>
      <c r="AB599" s="569"/>
      <c r="AC599" s="569"/>
      <c r="AD599" s="569"/>
      <c r="AE599" s="569"/>
      <c r="AF599" s="569"/>
      <c r="AG599" s="569"/>
      <c r="AH599" s="569"/>
      <c r="AI599" s="569"/>
      <c r="AJ599" s="569"/>
      <c r="AK599" s="569"/>
      <c r="AL599" s="569"/>
      <c r="AM599" s="569"/>
      <c r="AN599" s="569"/>
      <c r="AO599">
        <v>598</v>
      </c>
      <c r="AP599" t="str">
        <f t="shared" si="131"/>
        <v/>
      </c>
      <c r="AQ599" t="str">
        <f t="shared" si="121"/>
        <v/>
      </c>
      <c r="AR599" s="430">
        <f>IFERROR(
IF(AP599="",-100,
IF($BV$2&gt;0, INDEX(Beersheet!$A:$U,MATCH(AP599,INDEX(Beersheet!$A:$U,0,FFARawStatProjections!$BV$2),0),$BV$3)+$BN599,
INDEX($A599:$BM599,,$BV$12)*$BW$12+
INDEX($A599:$BM599,,$BV$15)*$BW$15+
INDEX($A599:$BM599,,$BV$16)*$BW$16+
INDEX($A599:$BM599,,$BV$17)*$BW$17+
INDEX($A599:$BM599,,$BV$18)*$BW$18+
INDEX($A599:$BM599,,$BV$19)*$BW$19+
INDEX($A599:$BM599,,$BV$20)*$BW$20+
INDEX($A599:$BM599,,$BV$21)*$BW$21+
INDEX($A599:$BM599,,$BV$22)*$BW$22+
INDEX($A599:$BM599,,$BV$23)*$BW$23+
INDEX($A599:$BM599,,$BV$25)*$BW$25+
INDEX($A599:$BM599,,$BV$26)*$BW$26+
INDEX($A599:$BM599,,$BV$27)*$BW$27+
$BN599)),
$BN599-100)</f>
        <v>-100</v>
      </c>
      <c r="AT599" t="str">
        <f t="shared" si="122"/>
        <v/>
      </c>
      <c r="AU599" t="str">
        <f t="shared" si="123"/>
        <v/>
      </c>
      <c r="AV599" s="430">
        <f>IFERROR(
IF(AT599="",-100,
IF($BV$2&gt;0, INDEX(Beersheet!$A:$U,MATCH(AT599,INDEX(Beersheet!$A:$U,0,FFARawStatProjections!$BV$2),0),$BV$3)+$BN599,
INDEX($A599:$BM599,,$BV$12)*$BW$12+
INDEX($A599:$BM599,,$BV$15)*$BW$15+
INDEX($A599:$BM599,,$BV$16)*$BW$16+
INDEX($A599:$BM599,,$BV$17)*$BW$17+
INDEX($A599:$BM599,,$BV$18)*$BW$18+
INDEX($A599:$BM599,,$BV$19)*$BW$19+
INDEX($A599:$BM599,,$BV$20)*$BW$20+
INDEX($A599:$BM599,,$BV$21)*$BW$21+
INDEX($A599:$BM599,,$BV$22)*$BW$22+
INDEX($A599:$BM599,,$BV$23)*$BW$23+
INDEX($A599:$BM599,,$BV$25)*$BW$25+
INDEX($A599:$BM599,,$BV$26)*$BW$26+
INDEX($A599:$BM599,,$BV$27)*$BW$27+
$BN599)),
$BN599-100)</f>
        <v>-100</v>
      </c>
      <c r="AX599">
        <f t="shared" si="124"/>
        <v>0</v>
      </c>
      <c r="AY599">
        <f t="shared" si="125"/>
        <v>0</v>
      </c>
      <c r="AZ599" s="430">
        <f>IFERROR(
IF(AX599="",-100,
IF($BV$2&gt;0, INDEX(Beersheet!$A:$U,MATCH(AX599,INDEX(Beersheet!$A:$U,0,FFARawStatProjections!$BV$2),0),$BV$3)+$BN599,
INDEX($A599:$BM599,,$BV$12)*$BW$12+
INDEX($A599:$BM599,,$BV$15)*$BW$15+
INDEX($A599:$BM599,,$BV$16)*$BW$16+
INDEX($A599:$BM599,,$BV$17)*$BW$17+
INDEX($A599:$BM599,,$BV$18)*$BW$18+
INDEX($A599:$BM599,,$BV$19)*$BW$19+
INDEX($A599:$BM599,,$BV$20)*$BW$20+
INDEX($A599:$BM599,,$BV$21)*$BW$21+
INDEX($A599:$BM599,,$BV$22)*$BW$22+
INDEX($A599:$BM599,,$BV$23)*$BW$23+
INDEX($A599:$BM599,,$BV$25)*$BW$25+
INDEX($A599:$BM599,,$BV$26)*$BW$26+
INDEX($A599:$BM599,,$BV$27)*$BW$27+
$BN599)),
$BN599-100)</f>
        <v>5.9800000000000001E-3</v>
      </c>
      <c r="BB599" t="str">
        <f t="shared" si="126"/>
        <v/>
      </c>
      <c r="BC599" t="str">
        <f t="shared" si="120"/>
        <v/>
      </c>
      <c r="BD599" s="430">
        <f>IFERROR(
IF(BB599="",-100,
IF($BV$2&gt;0, INDEX(Beersheet!$A:$U,MATCH(BB599,INDEX(Beersheet!$A:$U,0,FFARawStatProjections!$BV$2),0),$BV$3)+$BN599,
INDEX($A599:$BM599,,$BV$12)*$BW$12+
INDEX($A599:$BM599,,$BV$15)*$BW$15+
INDEX($A599:$BM599,,$BV$16)*$BW$16+
INDEX($A599:$BM599,,$BV$17)*$BW$17+
INDEX($A599:$BM599,,$BV$18)*$BW$18+
INDEX($A599:$BM599,,$BV$19)*$BW$19+
INDEX($A599:$BM599,,$BV$20)*$BW$20+
INDEX($A599:$BM599,,$BV$21)*$BW$21+
INDEX($A599:$BM599,,$BV$22)*$BW$22+
INDEX($A599:$BM599,,$BV$23)*$BW$23+
INDEX($A599:$BM599,,$BV$25)*$BW$25+
INDEX($A599:$BM599,,$BV$26)*$BW$26+
INDEX($A599:$BM599,,$BV$27)*$BW$27+
$BN599)),
$BN599-100)</f>
        <v>-100</v>
      </c>
      <c r="BF599" t="str">
        <f t="shared" si="127"/>
        <v/>
      </c>
      <c r="BG599" t="str">
        <f t="shared" si="128"/>
        <v/>
      </c>
      <c r="BH599">
        <f t="shared" si="129"/>
        <v>0</v>
      </c>
      <c r="BJ599" t="str">
        <f t="shared" si="130"/>
        <v/>
      </c>
      <c r="BL599">
        <f t="shared" si="119"/>
        <v>0</v>
      </c>
      <c r="BN599">
        <v>5.9800000000000001E-3</v>
      </c>
      <c r="BS599" s="4" t="s">
        <v>79</v>
      </c>
    </row>
    <row r="600" spans="1:71" ht="15.75" thickBot="1" x14ac:dyDescent="0.3">
      <c r="A600" s="569"/>
      <c r="B600" s="569"/>
      <c r="C600" s="569" t="s">
        <v>6</v>
      </c>
      <c r="D600" s="569"/>
      <c r="E600" s="569"/>
      <c r="F600" s="569"/>
      <c r="G600" s="569"/>
      <c r="H600" s="569"/>
      <c r="I600" s="574">
        <v>0</v>
      </c>
      <c r="J600" s="574">
        <v>0</v>
      </c>
      <c r="K600" s="574">
        <v>0</v>
      </c>
      <c r="L600" s="569"/>
      <c r="M600" s="569"/>
      <c r="N600" s="569"/>
      <c r="O600" s="569"/>
      <c r="P600" s="569"/>
      <c r="Q600" s="569"/>
      <c r="R600" s="569"/>
      <c r="S600" s="569"/>
      <c r="T600" s="569"/>
      <c r="U600" s="569"/>
      <c r="V600" s="569"/>
      <c r="W600" s="569"/>
      <c r="X600" s="569"/>
      <c r="Y600" s="569"/>
      <c r="Z600" s="569"/>
      <c r="AA600" s="569"/>
      <c r="AB600" s="569"/>
      <c r="AC600" s="569"/>
      <c r="AD600" s="569"/>
      <c r="AE600" s="569"/>
      <c r="AF600" s="569"/>
      <c r="AG600" s="569"/>
      <c r="AH600" s="569"/>
      <c r="AI600" s="569"/>
      <c r="AJ600" s="569"/>
      <c r="AK600" s="569"/>
      <c r="AL600" s="569"/>
      <c r="AM600" s="569"/>
      <c r="AN600" s="569"/>
      <c r="AO600">
        <v>599</v>
      </c>
      <c r="AP600" t="str">
        <f t="shared" si="131"/>
        <v/>
      </c>
      <c r="AQ600" t="str">
        <f t="shared" si="121"/>
        <v/>
      </c>
      <c r="AR600" s="430">
        <f>IFERROR(
IF(AP600="",-100,
IF($BV$2&gt;0, INDEX(Beersheet!$A:$U,MATCH(AP600,INDEX(Beersheet!$A:$U,0,FFARawStatProjections!$BV$2),0),$BV$3)+$BN600,
INDEX($A600:$BM600,,$BV$12)*$BW$12+
INDEX($A600:$BM600,,$BV$15)*$BW$15+
INDEX($A600:$BM600,,$BV$16)*$BW$16+
INDEX($A600:$BM600,,$BV$17)*$BW$17+
INDEX($A600:$BM600,,$BV$18)*$BW$18+
INDEX($A600:$BM600,,$BV$19)*$BW$19+
INDEX($A600:$BM600,,$BV$20)*$BW$20+
INDEX($A600:$BM600,,$BV$21)*$BW$21+
INDEX($A600:$BM600,,$BV$22)*$BW$22+
INDEX($A600:$BM600,,$BV$23)*$BW$23+
INDEX($A600:$BM600,,$BV$25)*$BW$25+
INDEX($A600:$BM600,,$BV$26)*$BW$26+
INDEX($A600:$BM600,,$BV$27)*$BW$27+
$BN600)),
$BN600-100)</f>
        <v>-100</v>
      </c>
      <c r="AT600" t="str">
        <f t="shared" si="122"/>
        <v/>
      </c>
      <c r="AU600" t="str">
        <f t="shared" si="123"/>
        <v/>
      </c>
      <c r="AV600" s="430">
        <f>IFERROR(
IF(AT600="",-100,
IF($BV$2&gt;0, INDEX(Beersheet!$A:$U,MATCH(AT600,INDEX(Beersheet!$A:$U,0,FFARawStatProjections!$BV$2),0),$BV$3)+$BN600,
INDEX($A600:$BM600,,$BV$12)*$BW$12+
INDEX($A600:$BM600,,$BV$15)*$BW$15+
INDEX($A600:$BM600,,$BV$16)*$BW$16+
INDEX($A600:$BM600,,$BV$17)*$BW$17+
INDEX($A600:$BM600,,$BV$18)*$BW$18+
INDEX($A600:$BM600,,$BV$19)*$BW$19+
INDEX($A600:$BM600,,$BV$20)*$BW$20+
INDEX($A600:$BM600,,$BV$21)*$BW$21+
INDEX($A600:$BM600,,$BV$22)*$BW$22+
INDEX($A600:$BM600,,$BV$23)*$BW$23+
INDEX($A600:$BM600,,$BV$25)*$BW$25+
INDEX($A600:$BM600,,$BV$26)*$BW$26+
INDEX($A600:$BM600,,$BV$27)*$BW$27+
$BN600)),
$BN600-100)</f>
        <v>-100</v>
      </c>
      <c r="AX600">
        <f t="shared" si="124"/>
        <v>0</v>
      </c>
      <c r="AY600">
        <f t="shared" si="125"/>
        <v>0</v>
      </c>
      <c r="AZ600" s="430">
        <f>IFERROR(
IF(AX600="",-100,
IF($BV$2&gt;0, INDEX(Beersheet!$A:$U,MATCH(AX600,INDEX(Beersheet!$A:$U,0,FFARawStatProjections!$BV$2),0),$BV$3)+$BN600,
INDEX($A600:$BM600,,$BV$12)*$BW$12+
INDEX($A600:$BM600,,$BV$15)*$BW$15+
INDEX($A600:$BM600,,$BV$16)*$BW$16+
INDEX($A600:$BM600,,$BV$17)*$BW$17+
INDEX($A600:$BM600,,$BV$18)*$BW$18+
INDEX($A600:$BM600,,$BV$19)*$BW$19+
INDEX($A600:$BM600,,$BV$20)*$BW$20+
INDEX($A600:$BM600,,$BV$21)*$BW$21+
INDEX($A600:$BM600,,$BV$22)*$BW$22+
INDEX($A600:$BM600,,$BV$23)*$BW$23+
INDEX($A600:$BM600,,$BV$25)*$BW$25+
INDEX($A600:$BM600,,$BV$26)*$BW$26+
INDEX($A600:$BM600,,$BV$27)*$BW$27+
$BN600)),
$BN600-100)</f>
        <v>5.9899999999999997E-3</v>
      </c>
      <c r="BB600" t="str">
        <f t="shared" si="126"/>
        <v/>
      </c>
      <c r="BC600" t="str">
        <f t="shared" si="120"/>
        <v/>
      </c>
      <c r="BD600" s="430">
        <f>IFERROR(
IF(BB600="",-100,
IF($BV$2&gt;0, INDEX(Beersheet!$A:$U,MATCH(BB600,INDEX(Beersheet!$A:$U,0,FFARawStatProjections!$BV$2),0),$BV$3)+$BN600,
INDEX($A600:$BM600,,$BV$12)*$BW$12+
INDEX($A600:$BM600,,$BV$15)*$BW$15+
INDEX($A600:$BM600,,$BV$16)*$BW$16+
INDEX($A600:$BM600,,$BV$17)*$BW$17+
INDEX($A600:$BM600,,$BV$18)*$BW$18+
INDEX($A600:$BM600,,$BV$19)*$BW$19+
INDEX($A600:$BM600,,$BV$20)*$BW$20+
INDEX($A600:$BM600,,$BV$21)*$BW$21+
INDEX($A600:$BM600,,$BV$22)*$BW$22+
INDEX($A600:$BM600,,$BV$23)*$BW$23+
INDEX($A600:$BM600,,$BV$25)*$BW$25+
INDEX($A600:$BM600,,$BV$26)*$BW$26+
INDEX($A600:$BM600,,$BV$27)*$BW$27+
$BN600)),
$BN600-100)</f>
        <v>-100</v>
      </c>
      <c r="BF600" t="str">
        <f t="shared" si="127"/>
        <v/>
      </c>
      <c r="BG600" t="str">
        <f t="shared" si="128"/>
        <v/>
      </c>
      <c r="BH600">
        <f t="shared" si="129"/>
        <v>0</v>
      </c>
      <c r="BJ600" t="str">
        <f t="shared" si="130"/>
        <v/>
      </c>
      <c r="BL600">
        <f t="shared" si="119"/>
        <v>0</v>
      </c>
      <c r="BN600">
        <v>5.9899999999999997E-3</v>
      </c>
      <c r="BS600" s="4" t="s">
        <v>2177</v>
      </c>
    </row>
    <row r="601" spans="1:71" ht="15.75" thickBot="1" x14ac:dyDescent="0.3">
      <c r="A601" s="569"/>
      <c r="B601" s="569"/>
      <c r="C601" s="569" t="s">
        <v>6</v>
      </c>
      <c r="D601" s="569"/>
      <c r="E601" s="569"/>
      <c r="F601" s="569"/>
      <c r="G601" s="569"/>
      <c r="H601" s="569"/>
      <c r="I601" s="574">
        <v>0</v>
      </c>
      <c r="J601" s="574">
        <v>0</v>
      </c>
      <c r="K601" s="574">
        <v>0</v>
      </c>
      <c r="L601" s="569"/>
      <c r="M601" s="569"/>
      <c r="N601" s="569"/>
      <c r="O601" s="569"/>
      <c r="P601" s="569"/>
      <c r="Q601" s="569"/>
      <c r="R601" s="569"/>
      <c r="S601" s="569"/>
      <c r="T601" s="569"/>
      <c r="U601" s="569"/>
      <c r="V601" s="569"/>
      <c r="W601" s="569"/>
      <c r="X601" s="569"/>
      <c r="Y601" s="569"/>
      <c r="Z601" s="569"/>
      <c r="AA601" s="569"/>
      <c r="AB601" s="569"/>
      <c r="AC601" s="569"/>
      <c r="AD601" s="569"/>
      <c r="AE601" s="569"/>
      <c r="AF601" s="569"/>
      <c r="AG601" s="569"/>
      <c r="AH601" s="569"/>
      <c r="AI601" s="569"/>
      <c r="AJ601" s="569"/>
      <c r="AK601" s="569"/>
      <c r="AL601" s="569"/>
      <c r="AM601" s="569"/>
      <c r="AN601" s="569"/>
      <c r="AO601">
        <v>600</v>
      </c>
      <c r="AP601" t="str">
        <f t="shared" si="131"/>
        <v/>
      </c>
      <c r="AQ601" t="str">
        <f t="shared" si="121"/>
        <v/>
      </c>
      <c r="AR601" s="430">
        <f>IFERROR(
IF(AP601="",-100,
IF($BV$2&gt;0, INDEX(Beersheet!$A:$U,MATCH(AP601,INDEX(Beersheet!$A:$U,0,FFARawStatProjections!$BV$2),0),$BV$3)+$BN601,
INDEX($A601:$BM601,,$BV$12)*$BW$12+
INDEX($A601:$BM601,,$BV$15)*$BW$15+
INDEX($A601:$BM601,,$BV$16)*$BW$16+
INDEX($A601:$BM601,,$BV$17)*$BW$17+
INDEX($A601:$BM601,,$BV$18)*$BW$18+
INDEX($A601:$BM601,,$BV$19)*$BW$19+
INDEX($A601:$BM601,,$BV$20)*$BW$20+
INDEX($A601:$BM601,,$BV$21)*$BW$21+
INDEX($A601:$BM601,,$BV$22)*$BW$22+
INDEX($A601:$BM601,,$BV$23)*$BW$23+
INDEX($A601:$BM601,,$BV$25)*$BW$25+
INDEX($A601:$BM601,,$BV$26)*$BW$26+
INDEX($A601:$BM601,,$BV$27)*$BW$27+
$BN601)),
$BN601-100)</f>
        <v>-100</v>
      </c>
      <c r="AT601" t="str">
        <f t="shared" si="122"/>
        <v/>
      </c>
      <c r="AU601" t="str">
        <f t="shared" si="123"/>
        <v/>
      </c>
      <c r="AV601" s="430">
        <f>IFERROR(
IF(AT601="",-100,
IF($BV$2&gt;0, INDEX(Beersheet!$A:$U,MATCH(AT601,INDEX(Beersheet!$A:$U,0,FFARawStatProjections!$BV$2),0),$BV$3)+$BN601,
INDEX($A601:$BM601,,$BV$12)*$BW$12+
INDEX($A601:$BM601,,$BV$15)*$BW$15+
INDEX($A601:$BM601,,$BV$16)*$BW$16+
INDEX($A601:$BM601,,$BV$17)*$BW$17+
INDEX($A601:$BM601,,$BV$18)*$BW$18+
INDEX($A601:$BM601,,$BV$19)*$BW$19+
INDEX($A601:$BM601,,$BV$20)*$BW$20+
INDEX($A601:$BM601,,$BV$21)*$BW$21+
INDEX($A601:$BM601,,$BV$22)*$BW$22+
INDEX($A601:$BM601,,$BV$23)*$BW$23+
INDEX($A601:$BM601,,$BV$25)*$BW$25+
INDEX($A601:$BM601,,$BV$26)*$BW$26+
INDEX($A601:$BM601,,$BV$27)*$BW$27+
$BN601)),
$BN601-100)</f>
        <v>-100</v>
      </c>
      <c r="AX601">
        <f t="shared" si="124"/>
        <v>0</v>
      </c>
      <c r="AY601">
        <f t="shared" si="125"/>
        <v>0</v>
      </c>
      <c r="AZ601" s="430">
        <f>IFERROR(
IF(AX601="",-100,
IF($BV$2&gt;0, INDEX(Beersheet!$A:$U,MATCH(AX601,INDEX(Beersheet!$A:$U,0,FFARawStatProjections!$BV$2),0),$BV$3)+$BN601,
INDEX($A601:$BM601,,$BV$12)*$BW$12+
INDEX($A601:$BM601,,$BV$15)*$BW$15+
INDEX($A601:$BM601,,$BV$16)*$BW$16+
INDEX($A601:$BM601,,$BV$17)*$BW$17+
INDEX($A601:$BM601,,$BV$18)*$BW$18+
INDEX($A601:$BM601,,$BV$19)*$BW$19+
INDEX($A601:$BM601,,$BV$20)*$BW$20+
INDEX($A601:$BM601,,$BV$21)*$BW$21+
INDEX($A601:$BM601,,$BV$22)*$BW$22+
INDEX($A601:$BM601,,$BV$23)*$BW$23+
INDEX($A601:$BM601,,$BV$25)*$BW$25+
INDEX($A601:$BM601,,$BV$26)*$BW$26+
INDEX($A601:$BM601,,$BV$27)*$BW$27+
$BN601)),
$BN601-100)</f>
        <v>6.0000000000000001E-3</v>
      </c>
      <c r="BB601" t="str">
        <f t="shared" si="126"/>
        <v/>
      </c>
      <c r="BC601" t="str">
        <f t="shared" si="120"/>
        <v/>
      </c>
      <c r="BD601" s="430">
        <f>IFERROR(
IF(BB601="",-100,
IF($BV$2&gt;0, INDEX(Beersheet!$A:$U,MATCH(BB601,INDEX(Beersheet!$A:$U,0,FFARawStatProjections!$BV$2),0),$BV$3)+$BN601,
INDEX($A601:$BM601,,$BV$12)*$BW$12+
INDEX($A601:$BM601,,$BV$15)*$BW$15+
INDEX($A601:$BM601,,$BV$16)*$BW$16+
INDEX($A601:$BM601,,$BV$17)*$BW$17+
INDEX($A601:$BM601,,$BV$18)*$BW$18+
INDEX($A601:$BM601,,$BV$19)*$BW$19+
INDEX($A601:$BM601,,$BV$20)*$BW$20+
INDEX($A601:$BM601,,$BV$21)*$BW$21+
INDEX($A601:$BM601,,$BV$22)*$BW$22+
INDEX($A601:$BM601,,$BV$23)*$BW$23+
INDEX($A601:$BM601,,$BV$25)*$BW$25+
INDEX($A601:$BM601,,$BV$26)*$BW$26+
INDEX($A601:$BM601,,$BV$27)*$BW$27+
$BN601)),
$BN601-100)</f>
        <v>-100</v>
      </c>
      <c r="BF601" t="str">
        <f t="shared" si="127"/>
        <v/>
      </c>
      <c r="BG601" t="str">
        <f t="shared" si="128"/>
        <v/>
      </c>
      <c r="BH601">
        <f t="shared" si="129"/>
        <v>0</v>
      </c>
      <c r="BJ601" t="str">
        <f t="shared" si="130"/>
        <v/>
      </c>
      <c r="BL601">
        <f t="shared" ref="BL601:BL664" si="132">IFERROR(IF(BJ601="",0,
V601*2+W601*2+X601*2+Z601*6+AA601*1+AB601*2+AC601*6
+AN601+BN601),"")</f>
        <v>0</v>
      </c>
      <c r="BN601">
        <v>6.0000000000000001E-3</v>
      </c>
      <c r="BS601" s="4" t="s">
        <v>1762</v>
      </c>
    </row>
    <row r="602" spans="1:71" ht="15.75" thickBot="1" x14ac:dyDescent="0.3">
      <c r="A602" s="569"/>
      <c r="B602" s="569"/>
      <c r="C602" s="569" t="s">
        <v>6</v>
      </c>
      <c r="D602" s="569"/>
      <c r="E602" s="569"/>
      <c r="F602" s="569"/>
      <c r="G602" s="569"/>
      <c r="H602" s="569"/>
      <c r="I602" s="574">
        <v>0</v>
      </c>
      <c r="J602" s="574">
        <v>0</v>
      </c>
      <c r="K602" s="574">
        <v>0</v>
      </c>
      <c r="L602" s="569"/>
      <c r="M602" s="569"/>
      <c r="N602" s="569"/>
      <c r="O602" s="569"/>
      <c r="P602" s="569"/>
      <c r="Q602" s="569"/>
      <c r="R602" s="569"/>
      <c r="S602" s="569"/>
      <c r="T602" s="569"/>
      <c r="U602" s="569"/>
      <c r="V602" s="569"/>
      <c r="W602" s="569"/>
      <c r="X602" s="569"/>
      <c r="Y602" s="569"/>
      <c r="Z602" s="569"/>
      <c r="AA602" s="569"/>
      <c r="AB602" s="569"/>
      <c r="AC602" s="569"/>
      <c r="AD602" s="569"/>
      <c r="AE602" s="569"/>
      <c r="AF602" s="569"/>
      <c r="AG602" s="569"/>
      <c r="AH602" s="569"/>
      <c r="AI602" s="569"/>
      <c r="AJ602" s="569"/>
      <c r="AK602" s="569"/>
      <c r="AL602" s="569"/>
      <c r="AM602" s="569"/>
      <c r="AN602" s="569"/>
      <c r="AO602">
        <v>601</v>
      </c>
      <c r="AP602" t="str">
        <f t="shared" si="131"/>
        <v/>
      </c>
      <c r="AQ602" t="str">
        <f t="shared" si="121"/>
        <v/>
      </c>
      <c r="AR602" s="430">
        <f>IFERROR(
IF(AP602="",-100,
IF($BV$2&gt;0, INDEX(Beersheet!$A:$U,MATCH(AP602,INDEX(Beersheet!$A:$U,0,FFARawStatProjections!$BV$2),0),$BV$3)+$BN602,
INDEX($A602:$BM602,,$BV$12)*$BW$12+
INDEX($A602:$BM602,,$BV$15)*$BW$15+
INDEX($A602:$BM602,,$BV$16)*$BW$16+
INDEX($A602:$BM602,,$BV$17)*$BW$17+
INDEX($A602:$BM602,,$BV$18)*$BW$18+
INDEX($A602:$BM602,,$BV$19)*$BW$19+
INDEX($A602:$BM602,,$BV$20)*$BW$20+
INDEX($A602:$BM602,,$BV$21)*$BW$21+
INDEX($A602:$BM602,,$BV$22)*$BW$22+
INDEX($A602:$BM602,,$BV$23)*$BW$23+
INDEX($A602:$BM602,,$BV$25)*$BW$25+
INDEX($A602:$BM602,,$BV$26)*$BW$26+
INDEX($A602:$BM602,,$BV$27)*$BW$27+
$BN602)),
$BN602-100)</f>
        <v>-100</v>
      </c>
      <c r="AT602" t="str">
        <f t="shared" si="122"/>
        <v/>
      </c>
      <c r="AU602" t="str">
        <f t="shared" si="123"/>
        <v/>
      </c>
      <c r="AV602" s="430">
        <f>IFERROR(
IF(AT602="",-100,
IF($BV$2&gt;0, INDEX(Beersheet!$A:$U,MATCH(AT602,INDEX(Beersheet!$A:$U,0,FFARawStatProjections!$BV$2),0),$BV$3)+$BN602,
INDEX($A602:$BM602,,$BV$12)*$BW$12+
INDEX($A602:$BM602,,$BV$15)*$BW$15+
INDEX($A602:$BM602,,$BV$16)*$BW$16+
INDEX($A602:$BM602,,$BV$17)*$BW$17+
INDEX($A602:$BM602,,$BV$18)*$BW$18+
INDEX($A602:$BM602,,$BV$19)*$BW$19+
INDEX($A602:$BM602,,$BV$20)*$BW$20+
INDEX($A602:$BM602,,$BV$21)*$BW$21+
INDEX($A602:$BM602,,$BV$22)*$BW$22+
INDEX($A602:$BM602,,$BV$23)*$BW$23+
INDEX($A602:$BM602,,$BV$25)*$BW$25+
INDEX($A602:$BM602,,$BV$26)*$BW$26+
INDEX($A602:$BM602,,$BV$27)*$BW$27+
$BN602)),
$BN602-100)</f>
        <v>-100</v>
      </c>
      <c r="AX602">
        <f t="shared" si="124"/>
        <v>0</v>
      </c>
      <c r="AY602">
        <f t="shared" si="125"/>
        <v>0</v>
      </c>
      <c r="AZ602" s="430">
        <f>IFERROR(
IF(AX602="",-100,
IF($BV$2&gt;0, INDEX(Beersheet!$A:$U,MATCH(AX602,INDEX(Beersheet!$A:$U,0,FFARawStatProjections!$BV$2),0),$BV$3)+$BN602,
INDEX($A602:$BM602,,$BV$12)*$BW$12+
INDEX($A602:$BM602,,$BV$15)*$BW$15+
INDEX($A602:$BM602,,$BV$16)*$BW$16+
INDEX($A602:$BM602,,$BV$17)*$BW$17+
INDEX($A602:$BM602,,$BV$18)*$BW$18+
INDEX($A602:$BM602,,$BV$19)*$BW$19+
INDEX($A602:$BM602,,$BV$20)*$BW$20+
INDEX($A602:$BM602,,$BV$21)*$BW$21+
INDEX($A602:$BM602,,$BV$22)*$BW$22+
INDEX($A602:$BM602,,$BV$23)*$BW$23+
INDEX($A602:$BM602,,$BV$25)*$BW$25+
INDEX($A602:$BM602,,$BV$26)*$BW$26+
INDEX($A602:$BM602,,$BV$27)*$BW$27+
$BN602)),
$BN602-100)</f>
        <v>6.0099999999999997E-3</v>
      </c>
      <c r="BB602" t="str">
        <f t="shared" si="126"/>
        <v/>
      </c>
      <c r="BC602" t="str">
        <f t="shared" si="120"/>
        <v/>
      </c>
      <c r="BD602" s="430">
        <f>IFERROR(
IF(BB602="",-100,
IF($BV$2&gt;0, INDEX(Beersheet!$A:$U,MATCH(BB602,INDEX(Beersheet!$A:$U,0,FFARawStatProjections!$BV$2),0),$BV$3)+$BN602,
INDEX($A602:$BM602,,$BV$12)*$BW$12+
INDEX($A602:$BM602,,$BV$15)*$BW$15+
INDEX($A602:$BM602,,$BV$16)*$BW$16+
INDEX($A602:$BM602,,$BV$17)*$BW$17+
INDEX($A602:$BM602,,$BV$18)*$BW$18+
INDEX($A602:$BM602,,$BV$19)*$BW$19+
INDEX($A602:$BM602,,$BV$20)*$BW$20+
INDEX($A602:$BM602,,$BV$21)*$BW$21+
INDEX($A602:$BM602,,$BV$22)*$BW$22+
INDEX($A602:$BM602,,$BV$23)*$BW$23+
INDEX($A602:$BM602,,$BV$25)*$BW$25+
INDEX($A602:$BM602,,$BV$26)*$BW$26+
INDEX($A602:$BM602,,$BV$27)*$BW$27+
$BN602)),
$BN602-100)</f>
        <v>-100</v>
      </c>
      <c r="BF602" t="str">
        <f t="shared" si="127"/>
        <v/>
      </c>
      <c r="BG602" t="str">
        <f t="shared" si="128"/>
        <v/>
      </c>
      <c r="BH602">
        <f t="shared" si="129"/>
        <v>0</v>
      </c>
      <c r="BJ602" t="str">
        <f t="shared" si="130"/>
        <v/>
      </c>
      <c r="BL602">
        <f t="shared" si="132"/>
        <v>0</v>
      </c>
      <c r="BN602">
        <v>6.0099999999999997E-3</v>
      </c>
      <c r="BS602" s="4" t="s">
        <v>2286</v>
      </c>
    </row>
    <row r="603" spans="1:71" ht="15.75" thickBot="1" x14ac:dyDescent="0.3">
      <c r="A603" s="569"/>
      <c r="B603" s="569"/>
      <c r="C603" s="569" t="s">
        <v>6</v>
      </c>
      <c r="D603" s="569"/>
      <c r="E603" s="569"/>
      <c r="F603" s="569"/>
      <c r="G603" s="569"/>
      <c r="H603" s="569"/>
      <c r="I603" s="574">
        <v>0</v>
      </c>
      <c r="J603" s="574">
        <v>0</v>
      </c>
      <c r="K603" s="574">
        <v>0</v>
      </c>
      <c r="L603" s="569"/>
      <c r="M603" s="569"/>
      <c r="N603" s="569"/>
      <c r="O603" s="569"/>
      <c r="P603" s="569"/>
      <c r="Q603" s="569"/>
      <c r="R603" s="569"/>
      <c r="S603" s="569"/>
      <c r="T603" s="569"/>
      <c r="U603" s="569"/>
      <c r="V603" s="569"/>
      <c r="W603" s="569"/>
      <c r="X603" s="569"/>
      <c r="Y603" s="569"/>
      <c r="Z603" s="569"/>
      <c r="AA603" s="569"/>
      <c r="AB603" s="569"/>
      <c r="AC603" s="569"/>
      <c r="AD603" s="569"/>
      <c r="AE603" s="569"/>
      <c r="AF603" s="569"/>
      <c r="AG603" s="569"/>
      <c r="AH603" s="569"/>
      <c r="AI603" s="569"/>
      <c r="AJ603" s="569"/>
      <c r="AK603" s="569"/>
      <c r="AL603" s="569"/>
      <c r="AM603" s="569"/>
      <c r="AN603" s="569"/>
      <c r="AO603">
        <v>602</v>
      </c>
      <c r="AP603" t="str">
        <f t="shared" si="131"/>
        <v/>
      </c>
      <c r="AQ603" t="str">
        <f t="shared" si="121"/>
        <v/>
      </c>
      <c r="AR603" s="430">
        <f>IFERROR(
IF(AP603="",-100,
IF($BV$2&gt;0, INDEX(Beersheet!$A:$U,MATCH(AP603,INDEX(Beersheet!$A:$U,0,FFARawStatProjections!$BV$2),0),$BV$3)+$BN603,
INDEX($A603:$BM603,,$BV$12)*$BW$12+
INDEX($A603:$BM603,,$BV$15)*$BW$15+
INDEX($A603:$BM603,,$BV$16)*$BW$16+
INDEX($A603:$BM603,,$BV$17)*$BW$17+
INDEX($A603:$BM603,,$BV$18)*$BW$18+
INDEX($A603:$BM603,,$BV$19)*$BW$19+
INDEX($A603:$BM603,,$BV$20)*$BW$20+
INDEX($A603:$BM603,,$BV$21)*$BW$21+
INDEX($A603:$BM603,,$BV$22)*$BW$22+
INDEX($A603:$BM603,,$BV$23)*$BW$23+
INDEX($A603:$BM603,,$BV$25)*$BW$25+
INDEX($A603:$BM603,,$BV$26)*$BW$26+
INDEX($A603:$BM603,,$BV$27)*$BW$27+
$BN603)),
$BN603-100)</f>
        <v>-100</v>
      </c>
      <c r="AT603" t="str">
        <f t="shared" si="122"/>
        <v/>
      </c>
      <c r="AU603" t="str">
        <f t="shared" si="123"/>
        <v/>
      </c>
      <c r="AV603" s="430">
        <f>IFERROR(
IF(AT603="",-100,
IF($BV$2&gt;0, INDEX(Beersheet!$A:$U,MATCH(AT603,INDEX(Beersheet!$A:$U,0,FFARawStatProjections!$BV$2),0),$BV$3)+$BN603,
INDEX($A603:$BM603,,$BV$12)*$BW$12+
INDEX($A603:$BM603,,$BV$15)*$BW$15+
INDEX($A603:$BM603,,$BV$16)*$BW$16+
INDEX($A603:$BM603,,$BV$17)*$BW$17+
INDEX($A603:$BM603,,$BV$18)*$BW$18+
INDEX($A603:$BM603,,$BV$19)*$BW$19+
INDEX($A603:$BM603,,$BV$20)*$BW$20+
INDEX($A603:$BM603,,$BV$21)*$BW$21+
INDEX($A603:$BM603,,$BV$22)*$BW$22+
INDEX($A603:$BM603,,$BV$23)*$BW$23+
INDEX($A603:$BM603,,$BV$25)*$BW$25+
INDEX($A603:$BM603,,$BV$26)*$BW$26+
INDEX($A603:$BM603,,$BV$27)*$BW$27+
$BN603)),
$BN603-100)</f>
        <v>-100</v>
      </c>
      <c r="AX603">
        <f t="shared" si="124"/>
        <v>0</v>
      </c>
      <c r="AY603">
        <f t="shared" si="125"/>
        <v>0</v>
      </c>
      <c r="AZ603" s="430">
        <f>IFERROR(
IF(AX603="",-100,
IF($BV$2&gt;0, INDEX(Beersheet!$A:$U,MATCH(AX603,INDEX(Beersheet!$A:$U,0,FFARawStatProjections!$BV$2),0),$BV$3)+$BN603,
INDEX($A603:$BM603,,$BV$12)*$BW$12+
INDEX($A603:$BM603,,$BV$15)*$BW$15+
INDEX($A603:$BM603,,$BV$16)*$BW$16+
INDEX($A603:$BM603,,$BV$17)*$BW$17+
INDEX($A603:$BM603,,$BV$18)*$BW$18+
INDEX($A603:$BM603,,$BV$19)*$BW$19+
INDEX($A603:$BM603,,$BV$20)*$BW$20+
INDEX($A603:$BM603,,$BV$21)*$BW$21+
INDEX($A603:$BM603,,$BV$22)*$BW$22+
INDEX($A603:$BM603,,$BV$23)*$BW$23+
INDEX($A603:$BM603,,$BV$25)*$BW$25+
INDEX($A603:$BM603,,$BV$26)*$BW$26+
INDEX($A603:$BM603,,$BV$27)*$BW$27+
$BN603)),
$BN603-100)</f>
        <v>6.0200000000000002E-3</v>
      </c>
      <c r="BB603" t="str">
        <f t="shared" si="126"/>
        <v/>
      </c>
      <c r="BC603" t="str">
        <f t="shared" si="120"/>
        <v/>
      </c>
      <c r="BD603" s="430">
        <f>IFERROR(
IF(BB603="",-100,
IF($BV$2&gt;0, INDEX(Beersheet!$A:$U,MATCH(BB603,INDEX(Beersheet!$A:$U,0,FFARawStatProjections!$BV$2),0),$BV$3)+$BN603,
INDEX($A603:$BM603,,$BV$12)*$BW$12+
INDEX($A603:$BM603,,$BV$15)*$BW$15+
INDEX($A603:$BM603,,$BV$16)*$BW$16+
INDEX($A603:$BM603,,$BV$17)*$BW$17+
INDEX($A603:$BM603,,$BV$18)*$BW$18+
INDEX($A603:$BM603,,$BV$19)*$BW$19+
INDEX($A603:$BM603,,$BV$20)*$BW$20+
INDEX($A603:$BM603,,$BV$21)*$BW$21+
INDEX($A603:$BM603,,$BV$22)*$BW$22+
INDEX($A603:$BM603,,$BV$23)*$BW$23+
INDEX($A603:$BM603,,$BV$25)*$BW$25+
INDEX($A603:$BM603,,$BV$26)*$BW$26+
INDEX($A603:$BM603,,$BV$27)*$BW$27+
$BN603)),
$BN603-100)</f>
        <v>-100</v>
      </c>
      <c r="BF603" t="str">
        <f t="shared" si="127"/>
        <v/>
      </c>
      <c r="BG603" t="str">
        <f t="shared" si="128"/>
        <v/>
      </c>
      <c r="BH603">
        <f t="shared" si="129"/>
        <v>0</v>
      </c>
      <c r="BJ603" t="str">
        <f t="shared" si="130"/>
        <v/>
      </c>
      <c r="BL603">
        <f t="shared" si="132"/>
        <v>0</v>
      </c>
      <c r="BN603">
        <v>6.0200000000000002E-3</v>
      </c>
      <c r="BS603" s="4" t="s">
        <v>2417</v>
      </c>
    </row>
    <row r="604" spans="1:71" ht="15.75" thickBot="1" x14ac:dyDescent="0.3">
      <c r="A604" s="569"/>
      <c r="B604" s="569"/>
      <c r="C604" s="569" t="s">
        <v>6</v>
      </c>
      <c r="D604" s="569"/>
      <c r="E604" s="569"/>
      <c r="F604" s="569"/>
      <c r="G604" s="569"/>
      <c r="H604" s="569"/>
      <c r="I604" s="574">
        <v>0</v>
      </c>
      <c r="J604" s="574">
        <v>0</v>
      </c>
      <c r="K604" s="574">
        <v>0</v>
      </c>
      <c r="L604" s="569"/>
      <c r="M604" s="569"/>
      <c r="N604" s="569"/>
      <c r="O604" s="569"/>
      <c r="P604" s="569"/>
      <c r="Q604" s="569"/>
      <c r="R604" s="569"/>
      <c r="S604" s="569"/>
      <c r="T604" s="569"/>
      <c r="U604" s="569"/>
      <c r="V604" s="569"/>
      <c r="W604" s="569"/>
      <c r="X604" s="569"/>
      <c r="Y604" s="569"/>
      <c r="Z604" s="569"/>
      <c r="AA604" s="569"/>
      <c r="AB604" s="569"/>
      <c r="AC604" s="569"/>
      <c r="AD604" s="569"/>
      <c r="AE604" s="569"/>
      <c r="AF604" s="569"/>
      <c r="AG604" s="569"/>
      <c r="AH604" s="569"/>
      <c r="AI604" s="569"/>
      <c r="AJ604" s="569"/>
      <c r="AK604" s="569"/>
      <c r="AL604" s="569"/>
      <c r="AM604" s="569"/>
      <c r="AN604" s="569"/>
      <c r="AO604">
        <v>603</v>
      </c>
      <c r="AP604" t="str">
        <f t="shared" si="131"/>
        <v/>
      </c>
      <c r="AQ604" t="str">
        <f t="shared" si="121"/>
        <v/>
      </c>
      <c r="AR604" s="430">
        <f>IFERROR(
IF(AP604="",-100,
IF($BV$2&gt;0, INDEX(Beersheet!$A:$U,MATCH(AP604,INDEX(Beersheet!$A:$U,0,FFARawStatProjections!$BV$2),0),$BV$3)+$BN604,
INDEX($A604:$BM604,,$BV$12)*$BW$12+
INDEX($A604:$BM604,,$BV$15)*$BW$15+
INDEX($A604:$BM604,,$BV$16)*$BW$16+
INDEX($A604:$BM604,,$BV$17)*$BW$17+
INDEX($A604:$BM604,,$BV$18)*$BW$18+
INDEX($A604:$BM604,,$BV$19)*$BW$19+
INDEX($A604:$BM604,,$BV$20)*$BW$20+
INDEX($A604:$BM604,,$BV$21)*$BW$21+
INDEX($A604:$BM604,,$BV$22)*$BW$22+
INDEX($A604:$BM604,,$BV$23)*$BW$23+
INDEX($A604:$BM604,,$BV$25)*$BW$25+
INDEX($A604:$BM604,,$BV$26)*$BW$26+
INDEX($A604:$BM604,,$BV$27)*$BW$27+
$BN604)),
$BN604-100)</f>
        <v>-100</v>
      </c>
      <c r="AT604" t="str">
        <f t="shared" si="122"/>
        <v/>
      </c>
      <c r="AU604" t="str">
        <f t="shared" si="123"/>
        <v/>
      </c>
      <c r="AV604" s="430">
        <f>IFERROR(
IF(AT604="",-100,
IF($BV$2&gt;0, INDEX(Beersheet!$A:$U,MATCH(AT604,INDEX(Beersheet!$A:$U,0,FFARawStatProjections!$BV$2),0),$BV$3)+$BN604,
INDEX($A604:$BM604,,$BV$12)*$BW$12+
INDEX($A604:$BM604,,$BV$15)*$BW$15+
INDEX($A604:$BM604,,$BV$16)*$BW$16+
INDEX($A604:$BM604,,$BV$17)*$BW$17+
INDEX($A604:$BM604,,$BV$18)*$BW$18+
INDEX($A604:$BM604,,$BV$19)*$BW$19+
INDEX($A604:$BM604,,$BV$20)*$BW$20+
INDEX($A604:$BM604,,$BV$21)*$BW$21+
INDEX($A604:$BM604,,$BV$22)*$BW$22+
INDEX($A604:$BM604,,$BV$23)*$BW$23+
INDEX($A604:$BM604,,$BV$25)*$BW$25+
INDEX($A604:$BM604,,$BV$26)*$BW$26+
INDEX($A604:$BM604,,$BV$27)*$BW$27+
$BN604)),
$BN604-100)</f>
        <v>-100</v>
      </c>
      <c r="AX604">
        <f t="shared" si="124"/>
        <v>0</v>
      </c>
      <c r="AY604">
        <f t="shared" si="125"/>
        <v>0</v>
      </c>
      <c r="AZ604" s="430">
        <f>IFERROR(
IF(AX604="",-100,
IF($BV$2&gt;0, INDEX(Beersheet!$A:$U,MATCH(AX604,INDEX(Beersheet!$A:$U,0,FFARawStatProjections!$BV$2),0),$BV$3)+$BN604,
INDEX($A604:$BM604,,$BV$12)*$BW$12+
INDEX($A604:$BM604,,$BV$15)*$BW$15+
INDEX($A604:$BM604,,$BV$16)*$BW$16+
INDEX($A604:$BM604,,$BV$17)*$BW$17+
INDEX($A604:$BM604,,$BV$18)*$BW$18+
INDEX($A604:$BM604,,$BV$19)*$BW$19+
INDEX($A604:$BM604,,$BV$20)*$BW$20+
INDEX($A604:$BM604,,$BV$21)*$BW$21+
INDEX($A604:$BM604,,$BV$22)*$BW$22+
INDEX($A604:$BM604,,$BV$23)*$BW$23+
INDEX($A604:$BM604,,$BV$25)*$BW$25+
INDEX($A604:$BM604,,$BV$26)*$BW$26+
INDEX($A604:$BM604,,$BV$27)*$BW$27+
$BN604)),
$BN604-100)</f>
        <v>6.0299999999999998E-3</v>
      </c>
      <c r="BB604" t="str">
        <f t="shared" si="126"/>
        <v/>
      </c>
      <c r="BC604" t="str">
        <f t="shared" si="120"/>
        <v/>
      </c>
      <c r="BD604" s="430">
        <f>IFERROR(
IF(BB604="",-100,
IF($BV$2&gt;0, INDEX(Beersheet!$A:$U,MATCH(BB604,INDEX(Beersheet!$A:$U,0,FFARawStatProjections!$BV$2),0),$BV$3)+$BN604,
INDEX($A604:$BM604,,$BV$12)*$BW$12+
INDEX($A604:$BM604,,$BV$15)*$BW$15+
INDEX($A604:$BM604,,$BV$16)*$BW$16+
INDEX($A604:$BM604,,$BV$17)*$BW$17+
INDEX($A604:$BM604,,$BV$18)*$BW$18+
INDEX($A604:$BM604,,$BV$19)*$BW$19+
INDEX($A604:$BM604,,$BV$20)*$BW$20+
INDEX($A604:$BM604,,$BV$21)*$BW$21+
INDEX($A604:$BM604,,$BV$22)*$BW$22+
INDEX($A604:$BM604,,$BV$23)*$BW$23+
INDEX($A604:$BM604,,$BV$25)*$BW$25+
INDEX($A604:$BM604,,$BV$26)*$BW$26+
INDEX($A604:$BM604,,$BV$27)*$BW$27+
$BN604)),
$BN604-100)</f>
        <v>-100</v>
      </c>
      <c r="BF604" t="str">
        <f t="shared" si="127"/>
        <v/>
      </c>
      <c r="BG604" t="str">
        <f t="shared" si="128"/>
        <v/>
      </c>
      <c r="BH604">
        <f t="shared" si="129"/>
        <v>0</v>
      </c>
      <c r="BJ604" t="str">
        <f t="shared" si="130"/>
        <v/>
      </c>
      <c r="BL604">
        <f t="shared" si="132"/>
        <v>0</v>
      </c>
      <c r="BN604">
        <v>6.0299999999999998E-3</v>
      </c>
      <c r="BS604" s="4" t="s">
        <v>1440</v>
      </c>
    </row>
    <row r="605" spans="1:71" ht="15.75" thickBot="1" x14ac:dyDescent="0.3">
      <c r="A605" s="569"/>
      <c r="B605" s="569"/>
      <c r="C605" s="569" t="s">
        <v>6</v>
      </c>
      <c r="D605" s="569"/>
      <c r="E605" s="569"/>
      <c r="F605" s="569"/>
      <c r="G605" s="569"/>
      <c r="H605" s="569"/>
      <c r="I605" s="574">
        <v>0</v>
      </c>
      <c r="J605" s="574">
        <v>0</v>
      </c>
      <c r="K605" s="574">
        <v>0</v>
      </c>
      <c r="L605" s="569"/>
      <c r="M605" s="569"/>
      <c r="N605" s="569"/>
      <c r="O605" s="569"/>
      <c r="P605" s="569"/>
      <c r="Q605" s="569"/>
      <c r="R605" s="569"/>
      <c r="S605" s="569"/>
      <c r="T605" s="569"/>
      <c r="U605" s="569"/>
      <c r="V605" s="569"/>
      <c r="W605" s="569"/>
      <c r="X605" s="569"/>
      <c r="Y605" s="569"/>
      <c r="Z605" s="569"/>
      <c r="AA605" s="569"/>
      <c r="AB605" s="569"/>
      <c r="AC605" s="569"/>
      <c r="AD605" s="569"/>
      <c r="AE605" s="569"/>
      <c r="AF605" s="569"/>
      <c r="AG605" s="569"/>
      <c r="AH605" s="569"/>
      <c r="AI605" s="569"/>
      <c r="AJ605" s="569"/>
      <c r="AK605" s="569"/>
      <c r="AL605" s="569"/>
      <c r="AM605" s="569"/>
      <c r="AN605" s="569"/>
      <c r="AO605">
        <v>604</v>
      </c>
      <c r="AP605" t="str">
        <f t="shared" si="131"/>
        <v/>
      </c>
      <c r="AQ605" t="str">
        <f t="shared" si="121"/>
        <v/>
      </c>
      <c r="AR605" s="430">
        <f>IFERROR(
IF(AP605="",-100,
IF($BV$2&gt;0, INDEX(Beersheet!$A:$U,MATCH(AP605,INDEX(Beersheet!$A:$U,0,FFARawStatProjections!$BV$2),0),$BV$3)+$BN605,
INDEX($A605:$BM605,,$BV$12)*$BW$12+
INDEX($A605:$BM605,,$BV$15)*$BW$15+
INDEX($A605:$BM605,,$BV$16)*$BW$16+
INDEX($A605:$BM605,,$BV$17)*$BW$17+
INDEX($A605:$BM605,,$BV$18)*$BW$18+
INDEX($A605:$BM605,,$BV$19)*$BW$19+
INDEX($A605:$BM605,,$BV$20)*$BW$20+
INDEX($A605:$BM605,,$BV$21)*$BW$21+
INDEX($A605:$BM605,,$BV$22)*$BW$22+
INDEX($A605:$BM605,,$BV$23)*$BW$23+
INDEX($A605:$BM605,,$BV$25)*$BW$25+
INDEX($A605:$BM605,,$BV$26)*$BW$26+
INDEX($A605:$BM605,,$BV$27)*$BW$27+
$BN605)),
$BN605-100)</f>
        <v>-100</v>
      </c>
      <c r="AT605" t="str">
        <f t="shared" si="122"/>
        <v/>
      </c>
      <c r="AU605" t="str">
        <f t="shared" si="123"/>
        <v/>
      </c>
      <c r="AV605" s="430">
        <f>IFERROR(
IF(AT605="",-100,
IF($BV$2&gt;0, INDEX(Beersheet!$A:$U,MATCH(AT605,INDEX(Beersheet!$A:$U,0,FFARawStatProjections!$BV$2),0),$BV$3)+$BN605,
INDEX($A605:$BM605,,$BV$12)*$BW$12+
INDEX($A605:$BM605,,$BV$15)*$BW$15+
INDEX($A605:$BM605,,$BV$16)*$BW$16+
INDEX($A605:$BM605,,$BV$17)*$BW$17+
INDEX($A605:$BM605,,$BV$18)*$BW$18+
INDEX($A605:$BM605,,$BV$19)*$BW$19+
INDEX($A605:$BM605,,$BV$20)*$BW$20+
INDEX($A605:$BM605,,$BV$21)*$BW$21+
INDEX($A605:$BM605,,$BV$22)*$BW$22+
INDEX($A605:$BM605,,$BV$23)*$BW$23+
INDEX($A605:$BM605,,$BV$25)*$BW$25+
INDEX($A605:$BM605,,$BV$26)*$BW$26+
INDEX($A605:$BM605,,$BV$27)*$BW$27+
$BN605)),
$BN605-100)</f>
        <v>-100</v>
      </c>
      <c r="AX605">
        <f t="shared" si="124"/>
        <v>0</v>
      </c>
      <c r="AY605">
        <f t="shared" si="125"/>
        <v>0</v>
      </c>
      <c r="AZ605" s="430">
        <f>IFERROR(
IF(AX605="",-100,
IF($BV$2&gt;0, INDEX(Beersheet!$A:$U,MATCH(AX605,INDEX(Beersheet!$A:$U,0,FFARawStatProjections!$BV$2),0),$BV$3)+$BN605,
INDEX($A605:$BM605,,$BV$12)*$BW$12+
INDEX($A605:$BM605,,$BV$15)*$BW$15+
INDEX($A605:$BM605,,$BV$16)*$BW$16+
INDEX($A605:$BM605,,$BV$17)*$BW$17+
INDEX($A605:$BM605,,$BV$18)*$BW$18+
INDEX($A605:$BM605,,$BV$19)*$BW$19+
INDEX($A605:$BM605,,$BV$20)*$BW$20+
INDEX($A605:$BM605,,$BV$21)*$BW$21+
INDEX($A605:$BM605,,$BV$22)*$BW$22+
INDEX($A605:$BM605,,$BV$23)*$BW$23+
INDEX($A605:$BM605,,$BV$25)*$BW$25+
INDEX($A605:$BM605,,$BV$26)*$BW$26+
INDEX($A605:$BM605,,$BV$27)*$BW$27+
$BN605)),
$BN605-100)</f>
        <v>6.0400000000000002E-3</v>
      </c>
      <c r="BB605" t="str">
        <f t="shared" si="126"/>
        <v/>
      </c>
      <c r="BC605" t="str">
        <f t="shared" si="120"/>
        <v/>
      </c>
      <c r="BD605" s="430">
        <f>IFERROR(
IF(BB605="",-100,
IF($BV$2&gt;0, INDEX(Beersheet!$A:$U,MATCH(BB605,INDEX(Beersheet!$A:$U,0,FFARawStatProjections!$BV$2),0),$BV$3)+$BN605,
INDEX($A605:$BM605,,$BV$12)*$BW$12+
INDEX($A605:$BM605,,$BV$15)*$BW$15+
INDEX($A605:$BM605,,$BV$16)*$BW$16+
INDEX($A605:$BM605,,$BV$17)*$BW$17+
INDEX($A605:$BM605,,$BV$18)*$BW$18+
INDEX($A605:$BM605,,$BV$19)*$BW$19+
INDEX($A605:$BM605,,$BV$20)*$BW$20+
INDEX($A605:$BM605,,$BV$21)*$BW$21+
INDEX($A605:$BM605,,$BV$22)*$BW$22+
INDEX($A605:$BM605,,$BV$23)*$BW$23+
INDEX($A605:$BM605,,$BV$25)*$BW$25+
INDEX($A605:$BM605,,$BV$26)*$BW$26+
INDEX($A605:$BM605,,$BV$27)*$BW$27+
$BN605)),
$BN605-100)</f>
        <v>-100</v>
      </c>
      <c r="BF605" t="str">
        <f t="shared" si="127"/>
        <v/>
      </c>
      <c r="BG605" t="str">
        <f t="shared" si="128"/>
        <v/>
      </c>
      <c r="BH605">
        <f t="shared" si="129"/>
        <v>0</v>
      </c>
      <c r="BJ605" t="str">
        <f t="shared" si="130"/>
        <v/>
      </c>
      <c r="BL605">
        <f t="shared" si="132"/>
        <v>0</v>
      </c>
      <c r="BN605">
        <v>6.0400000000000002E-3</v>
      </c>
      <c r="BS605" s="4" t="s">
        <v>2343</v>
      </c>
    </row>
    <row r="606" spans="1:71" ht="15.75" thickBot="1" x14ac:dyDescent="0.3">
      <c r="A606" s="569"/>
      <c r="B606" s="569"/>
      <c r="C606" s="569" t="s">
        <v>6</v>
      </c>
      <c r="D606" s="569"/>
      <c r="E606" s="569"/>
      <c r="F606" s="569"/>
      <c r="G606" s="569"/>
      <c r="H606" s="569"/>
      <c r="I606" s="574">
        <v>0</v>
      </c>
      <c r="J606" s="574">
        <v>0</v>
      </c>
      <c r="K606" s="574">
        <v>0</v>
      </c>
      <c r="L606" s="569"/>
      <c r="M606" s="569"/>
      <c r="N606" s="569"/>
      <c r="O606" s="569"/>
      <c r="P606" s="569"/>
      <c r="Q606" s="569"/>
      <c r="R606" s="569"/>
      <c r="S606" s="569"/>
      <c r="T606" s="569"/>
      <c r="U606" s="569"/>
      <c r="V606" s="569"/>
      <c r="W606" s="569"/>
      <c r="X606" s="569"/>
      <c r="Y606" s="569"/>
      <c r="Z606" s="569"/>
      <c r="AA606" s="569"/>
      <c r="AB606" s="569"/>
      <c r="AC606" s="569"/>
      <c r="AD606" s="569"/>
      <c r="AE606" s="569"/>
      <c r="AF606" s="569"/>
      <c r="AG606" s="569"/>
      <c r="AH606" s="569"/>
      <c r="AI606" s="569"/>
      <c r="AJ606" s="569"/>
      <c r="AK606" s="569"/>
      <c r="AL606" s="569"/>
      <c r="AM606" s="569"/>
      <c r="AN606" s="569"/>
      <c r="AO606">
        <v>605</v>
      </c>
      <c r="AP606" t="str">
        <f t="shared" si="131"/>
        <v/>
      </c>
      <c r="AQ606" t="str">
        <f t="shared" si="121"/>
        <v/>
      </c>
      <c r="AR606" s="430">
        <f>IFERROR(
IF(AP606="",-100,
IF($BV$2&gt;0, INDEX(Beersheet!$A:$U,MATCH(AP606,INDEX(Beersheet!$A:$U,0,FFARawStatProjections!$BV$2),0),$BV$3)+$BN606,
INDEX($A606:$BM606,,$BV$12)*$BW$12+
INDEX($A606:$BM606,,$BV$15)*$BW$15+
INDEX($A606:$BM606,,$BV$16)*$BW$16+
INDEX($A606:$BM606,,$BV$17)*$BW$17+
INDEX($A606:$BM606,,$BV$18)*$BW$18+
INDEX($A606:$BM606,,$BV$19)*$BW$19+
INDEX($A606:$BM606,,$BV$20)*$BW$20+
INDEX($A606:$BM606,,$BV$21)*$BW$21+
INDEX($A606:$BM606,,$BV$22)*$BW$22+
INDEX($A606:$BM606,,$BV$23)*$BW$23+
INDEX($A606:$BM606,,$BV$25)*$BW$25+
INDEX($A606:$BM606,,$BV$26)*$BW$26+
INDEX($A606:$BM606,,$BV$27)*$BW$27+
$BN606)),
$BN606-100)</f>
        <v>-100</v>
      </c>
      <c r="AT606" t="str">
        <f t="shared" si="122"/>
        <v/>
      </c>
      <c r="AU606" t="str">
        <f t="shared" si="123"/>
        <v/>
      </c>
      <c r="AV606" s="430">
        <f>IFERROR(
IF(AT606="",-100,
IF($BV$2&gt;0, INDEX(Beersheet!$A:$U,MATCH(AT606,INDEX(Beersheet!$A:$U,0,FFARawStatProjections!$BV$2),0),$BV$3)+$BN606,
INDEX($A606:$BM606,,$BV$12)*$BW$12+
INDEX($A606:$BM606,,$BV$15)*$BW$15+
INDEX($A606:$BM606,,$BV$16)*$BW$16+
INDEX($A606:$BM606,,$BV$17)*$BW$17+
INDEX($A606:$BM606,,$BV$18)*$BW$18+
INDEX($A606:$BM606,,$BV$19)*$BW$19+
INDEX($A606:$BM606,,$BV$20)*$BW$20+
INDEX($A606:$BM606,,$BV$21)*$BW$21+
INDEX($A606:$BM606,,$BV$22)*$BW$22+
INDEX($A606:$BM606,,$BV$23)*$BW$23+
INDEX($A606:$BM606,,$BV$25)*$BW$25+
INDEX($A606:$BM606,,$BV$26)*$BW$26+
INDEX($A606:$BM606,,$BV$27)*$BW$27+
$BN606)),
$BN606-100)</f>
        <v>-100</v>
      </c>
      <c r="AX606">
        <f t="shared" si="124"/>
        <v>0</v>
      </c>
      <c r="AY606">
        <f t="shared" si="125"/>
        <v>0</v>
      </c>
      <c r="AZ606" s="430">
        <f>IFERROR(
IF(AX606="",-100,
IF($BV$2&gt;0, INDEX(Beersheet!$A:$U,MATCH(AX606,INDEX(Beersheet!$A:$U,0,FFARawStatProjections!$BV$2),0),$BV$3)+$BN606,
INDEX($A606:$BM606,,$BV$12)*$BW$12+
INDEX($A606:$BM606,,$BV$15)*$BW$15+
INDEX($A606:$BM606,,$BV$16)*$BW$16+
INDEX($A606:$BM606,,$BV$17)*$BW$17+
INDEX($A606:$BM606,,$BV$18)*$BW$18+
INDEX($A606:$BM606,,$BV$19)*$BW$19+
INDEX($A606:$BM606,,$BV$20)*$BW$20+
INDEX($A606:$BM606,,$BV$21)*$BW$21+
INDEX($A606:$BM606,,$BV$22)*$BW$22+
INDEX($A606:$BM606,,$BV$23)*$BW$23+
INDEX($A606:$BM606,,$BV$25)*$BW$25+
INDEX($A606:$BM606,,$BV$26)*$BW$26+
INDEX($A606:$BM606,,$BV$27)*$BW$27+
$BN606)),
$BN606-100)</f>
        <v>6.0499999999999998E-3</v>
      </c>
      <c r="BB606" t="str">
        <f t="shared" si="126"/>
        <v/>
      </c>
      <c r="BC606" t="str">
        <f t="shared" si="120"/>
        <v/>
      </c>
      <c r="BD606" s="430">
        <f>IFERROR(
IF(BB606="",-100,
IF($BV$2&gt;0, INDEX(Beersheet!$A:$U,MATCH(BB606,INDEX(Beersheet!$A:$U,0,FFARawStatProjections!$BV$2),0),$BV$3)+$BN606,
INDEX($A606:$BM606,,$BV$12)*$BW$12+
INDEX($A606:$BM606,,$BV$15)*$BW$15+
INDEX($A606:$BM606,,$BV$16)*$BW$16+
INDEX($A606:$BM606,,$BV$17)*$BW$17+
INDEX($A606:$BM606,,$BV$18)*$BW$18+
INDEX($A606:$BM606,,$BV$19)*$BW$19+
INDEX($A606:$BM606,,$BV$20)*$BW$20+
INDEX($A606:$BM606,,$BV$21)*$BW$21+
INDEX($A606:$BM606,,$BV$22)*$BW$22+
INDEX($A606:$BM606,,$BV$23)*$BW$23+
INDEX($A606:$BM606,,$BV$25)*$BW$25+
INDEX($A606:$BM606,,$BV$26)*$BW$26+
INDEX($A606:$BM606,,$BV$27)*$BW$27+
$BN606)),
$BN606-100)</f>
        <v>-100</v>
      </c>
      <c r="BF606" t="str">
        <f t="shared" si="127"/>
        <v/>
      </c>
      <c r="BG606" t="str">
        <f t="shared" si="128"/>
        <v/>
      </c>
      <c r="BH606">
        <f t="shared" si="129"/>
        <v>0</v>
      </c>
      <c r="BJ606" t="str">
        <f t="shared" si="130"/>
        <v/>
      </c>
      <c r="BL606">
        <f t="shared" si="132"/>
        <v>0</v>
      </c>
      <c r="BN606">
        <v>6.0499999999999998E-3</v>
      </c>
      <c r="BS606" s="4" t="s">
        <v>1766</v>
      </c>
    </row>
    <row r="607" spans="1:71" ht="15.75" thickBot="1" x14ac:dyDescent="0.3">
      <c r="A607" s="569"/>
      <c r="B607" s="569"/>
      <c r="C607" s="569" t="s">
        <v>6</v>
      </c>
      <c r="D607" s="569"/>
      <c r="E607" s="569"/>
      <c r="F607" s="569"/>
      <c r="G607" s="569"/>
      <c r="H607" s="569"/>
      <c r="I607" s="574">
        <v>0</v>
      </c>
      <c r="J607" s="574">
        <v>0</v>
      </c>
      <c r="K607" s="574">
        <v>0</v>
      </c>
      <c r="L607" s="569"/>
      <c r="M607" s="569"/>
      <c r="N607" s="569"/>
      <c r="O607" s="569"/>
      <c r="P607" s="569"/>
      <c r="Q607" s="569"/>
      <c r="R607" s="569"/>
      <c r="S607" s="569"/>
      <c r="T607" s="569"/>
      <c r="U607" s="569"/>
      <c r="V607" s="569"/>
      <c r="W607" s="569"/>
      <c r="X607" s="569"/>
      <c r="Y607" s="569"/>
      <c r="Z607" s="569"/>
      <c r="AA607" s="569"/>
      <c r="AB607" s="569"/>
      <c r="AC607" s="569"/>
      <c r="AD607" s="569"/>
      <c r="AE607" s="569"/>
      <c r="AF607" s="569"/>
      <c r="AG607" s="569"/>
      <c r="AH607" s="569"/>
      <c r="AI607" s="569"/>
      <c r="AJ607" s="569"/>
      <c r="AK607" s="569"/>
      <c r="AL607" s="569"/>
      <c r="AM607" s="569"/>
      <c r="AN607" s="569"/>
      <c r="AO607">
        <v>606</v>
      </c>
      <c r="AP607" t="str">
        <f t="shared" si="131"/>
        <v/>
      </c>
      <c r="AQ607" t="str">
        <f t="shared" si="121"/>
        <v/>
      </c>
      <c r="AR607" s="430">
        <f>IFERROR(
IF(AP607="",-100,
IF($BV$2&gt;0, INDEX(Beersheet!$A:$U,MATCH(AP607,INDEX(Beersheet!$A:$U,0,FFARawStatProjections!$BV$2),0),$BV$3)+$BN607,
INDEX($A607:$BM607,,$BV$12)*$BW$12+
INDEX($A607:$BM607,,$BV$15)*$BW$15+
INDEX($A607:$BM607,,$BV$16)*$BW$16+
INDEX($A607:$BM607,,$BV$17)*$BW$17+
INDEX($A607:$BM607,,$BV$18)*$BW$18+
INDEX($A607:$BM607,,$BV$19)*$BW$19+
INDEX($A607:$BM607,,$BV$20)*$BW$20+
INDEX($A607:$BM607,,$BV$21)*$BW$21+
INDEX($A607:$BM607,,$BV$22)*$BW$22+
INDEX($A607:$BM607,,$BV$23)*$BW$23+
INDEX($A607:$BM607,,$BV$25)*$BW$25+
INDEX($A607:$BM607,,$BV$26)*$BW$26+
INDEX($A607:$BM607,,$BV$27)*$BW$27+
$BN607)),
$BN607-100)</f>
        <v>-100</v>
      </c>
      <c r="AT607" t="str">
        <f t="shared" si="122"/>
        <v/>
      </c>
      <c r="AU607" t="str">
        <f t="shared" si="123"/>
        <v/>
      </c>
      <c r="AV607" s="430">
        <f>IFERROR(
IF(AT607="",-100,
IF($BV$2&gt;0, INDEX(Beersheet!$A:$U,MATCH(AT607,INDEX(Beersheet!$A:$U,0,FFARawStatProjections!$BV$2),0),$BV$3)+$BN607,
INDEX($A607:$BM607,,$BV$12)*$BW$12+
INDEX($A607:$BM607,,$BV$15)*$BW$15+
INDEX($A607:$BM607,,$BV$16)*$BW$16+
INDEX($A607:$BM607,,$BV$17)*$BW$17+
INDEX($A607:$BM607,,$BV$18)*$BW$18+
INDEX($A607:$BM607,,$BV$19)*$BW$19+
INDEX($A607:$BM607,,$BV$20)*$BW$20+
INDEX($A607:$BM607,,$BV$21)*$BW$21+
INDEX($A607:$BM607,,$BV$22)*$BW$22+
INDEX($A607:$BM607,,$BV$23)*$BW$23+
INDEX($A607:$BM607,,$BV$25)*$BW$25+
INDEX($A607:$BM607,,$BV$26)*$BW$26+
INDEX($A607:$BM607,,$BV$27)*$BW$27+
$BN607)),
$BN607-100)</f>
        <v>-100</v>
      </c>
      <c r="AX607">
        <f t="shared" si="124"/>
        <v>0</v>
      </c>
      <c r="AY607">
        <f t="shared" si="125"/>
        <v>0</v>
      </c>
      <c r="AZ607" s="430">
        <f>IFERROR(
IF(AX607="",-100,
IF($BV$2&gt;0, INDEX(Beersheet!$A:$U,MATCH(AX607,INDEX(Beersheet!$A:$U,0,FFARawStatProjections!$BV$2),0),$BV$3)+$BN607,
INDEX($A607:$BM607,,$BV$12)*$BW$12+
INDEX($A607:$BM607,,$BV$15)*$BW$15+
INDEX($A607:$BM607,,$BV$16)*$BW$16+
INDEX($A607:$BM607,,$BV$17)*$BW$17+
INDEX($A607:$BM607,,$BV$18)*$BW$18+
INDEX($A607:$BM607,,$BV$19)*$BW$19+
INDEX($A607:$BM607,,$BV$20)*$BW$20+
INDEX($A607:$BM607,,$BV$21)*$BW$21+
INDEX($A607:$BM607,,$BV$22)*$BW$22+
INDEX($A607:$BM607,,$BV$23)*$BW$23+
INDEX($A607:$BM607,,$BV$25)*$BW$25+
INDEX($A607:$BM607,,$BV$26)*$BW$26+
INDEX($A607:$BM607,,$BV$27)*$BW$27+
$BN607)),
$BN607-100)</f>
        <v>6.0600000000000003E-3</v>
      </c>
      <c r="BB607" t="str">
        <f t="shared" si="126"/>
        <v/>
      </c>
      <c r="BC607" t="str">
        <f t="shared" si="120"/>
        <v/>
      </c>
      <c r="BD607" s="430">
        <f>IFERROR(
IF(BB607="",-100,
IF($BV$2&gt;0, INDEX(Beersheet!$A:$U,MATCH(BB607,INDEX(Beersheet!$A:$U,0,FFARawStatProjections!$BV$2),0),$BV$3)+$BN607,
INDEX($A607:$BM607,,$BV$12)*$BW$12+
INDEX($A607:$BM607,,$BV$15)*$BW$15+
INDEX($A607:$BM607,,$BV$16)*$BW$16+
INDEX($A607:$BM607,,$BV$17)*$BW$17+
INDEX($A607:$BM607,,$BV$18)*$BW$18+
INDEX($A607:$BM607,,$BV$19)*$BW$19+
INDEX($A607:$BM607,,$BV$20)*$BW$20+
INDEX($A607:$BM607,,$BV$21)*$BW$21+
INDEX($A607:$BM607,,$BV$22)*$BW$22+
INDEX($A607:$BM607,,$BV$23)*$BW$23+
INDEX($A607:$BM607,,$BV$25)*$BW$25+
INDEX($A607:$BM607,,$BV$26)*$BW$26+
INDEX($A607:$BM607,,$BV$27)*$BW$27+
$BN607)),
$BN607-100)</f>
        <v>-100</v>
      </c>
      <c r="BF607" t="str">
        <f t="shared" si="127"/>
        <v/>
      </c>
      <c r="BG607" t="str">
        <f t="shared" si="128"/>
        <v/>
      </c>
      <c r="BH607">
        <f t="shared" si="129"/>
        <v>0</v>
      </c>
      <c r="BJ607" t="str">
        <f t="shared" si="130"/>
        <v/>
      </c>
      <c r="BL607">
        <f t="shared" si="132"/>
        <v>0</v>
      </c>
      <c r="BN607">
        <v>6.0600000000000003E-3</v>
      </c>
      <c r="BS607" s="4" t="s">
        <v>2416</v>
      </c>
    </row>
    <row r="608" spans="1:71" ht="15.75" thickBot="1" x14ac:dyDescent="0.3">
      <c r="A608" s="569"/>
      <c r="B608" s="569"/>
      <c r="C608" s="569"/>
      <c r="D608" s="569"/>
      <c r="E608" s="569"/>
      <c r="F608" s="569"/>
      <c r="G608" s="569"/>
      <c r="H608" s="569"/>
      <c r="I608" s="574">
        <v>0</v>
      </c>
      <c r="J608" s="574">
        <v>0</v>
      </c>
      <c r="K608" s="574">
        <v>0</v>
      </c>
      <c r="L608" s="574">
        <v>0</v>
      </c>
      <c r="M608" s="574">
        <v>0</v>
      </c>
      <c r="N608" s="574">
        <v>0</v>
      </c>
      <c r="O608" s="574">
        <v>0</v>
      </c>
      <c r="P608" s="574">
        <v>0</v>
      </c>
      <c r="Q608" s="574">
        <v>0</v>
      </c>
      <c r="R608" s="569"/>
      <c r="S608" s="569"/>
      <c r="T608" s="569"/>
      <c r="U608" s="569"/>
      <c r="V608" s="569"/>
      <c r="W608" s="569"/>
      <c r="X608" s="569"/>
      <c r="Y608" s="569"/>
      <c r="Z608" s="569"/>
      <c r="AA608" s="569"/>
      <c r="AB608" s="569"/>
      <c r="AC608" s="569"/>
      <c r="AD608" s="569"/>
      <c r="AE608" s="569"/>
      <c r="AF608" s="569"/>
      <c r="AG608" s="569"/>
      <c r="AH608" s="569"/>
      <c r="AI608" s="569"/>
      <c r="AJ608" s="569"/>
      <c r="AK608" s="569"/>
      <c r="AL608" s="569"/>
      <c r="AM608" s="569"/>
      <c r="AN608" s="569"/>
      <c r="AO608">
        <v>607</v>
      </c>
      <c r="AP608" t="str">
        <f t="shared" si="131"/>
        <v/>
      </c>
      <c r="AQ608" t="str">
        <f t="shared" si="121"/>
        <v/>
      </c>
      <c r="AR608" s="430">
        <f>IFERROR(
IF(AP608="",-100,
IF($BV$2&gt;0, INDEX(Beersheet!$A:$U,MATCH(AP608,INDEX(Beersheet!$A:$U,0,FFARawStatProjections!$BV$2),0),$BV$3)+$BN608,
INDEX($A608:$BM608,,$BV$12)*$BW$12+
INDEX($A608:$BM608,,$BV$15)*$BW$15+
INDEX($A608:$BM608,,$BV$16)*$BW$16+
INDEX($A608:$BM608,,$BV$17)*$BW$17+
INDEX($A608:$BM608,,$BV$18)*$BW$18+
INDEX($A608:$BM608,,$BV$19)*$BW$19+
INDEX($A608:$BM608,,$BV$20)*$BW$20+
INDEX($A608:$BM608,,$BV$21)*$BW$21+
INDEX($A608:$BM608,,$BV$22)*$BW$22+
INDEX($A608:$BM608,,$BV$23)*$BW$23+
INDEX($A608:$BM608,,$BV$25)*$BW$25+
INDEX($A608:$BM608,,$BV$26)*$BW$26+
INDEX($A608:$BM608,,$BV$27)*$BW$27+
$BN608)),
$BN608-100)</f>
        <v>-100</v>
      </c>
      <c r="AT608" t="str">
        <f t="shared" si="122"/>
        <v/>
      </c>
      <c r="AU608" t="str">
        <f t="shared" si="123"/>
        <v/>
      </c>
      <c r="AV608" s="430">
        <f>IFERROR(
IF(AT608="",-100,
IF($BV$2&gt;0, INDEX(Beersheet!$A:$U,MATCH(AT608,INDEX(Beersheet!$A:$U,0,FFARawStatProjections!$BV$2),0),$BV$3)+$BN608,
INDEX($A608:$BM608,,$BV$12)*$BW$12+
INDEX($A608:$BM608,,$BV$15)*$BW$15+
INDEX($A608:$BM608,,$BV$16)*$BW$16+
INDEX($A608:$BM608,,$BV$17)*$BW$17+
INDEX($A608:$BM608,,$BV$18)*$BW$18+
INDEX($A608:$BM608,,$BV$19)*$BW$19+
INDEX($A608:$BM608,,$BV$20)*$BW$20+
INDEX($A608:$BM608,,$BV$21)*$BW$21+
INDEX($A608:$BM608,,$BV$22)*$BW$22+
INDEX($A608:$BM608,,$BV$23)*$BW$23+
INDEX($A608:$BM608,,$BV$25)*$BW$25+
INDEX($A608:$BM608,,$BV$26)*$BW$26+
INDEX($A608:$BM608,,$BV$27)*$BW$27+
$BN608)),
$BN608-100)</f>
        <v>-100</v>
      </c>
      <c r="AX608" t="str">
        <f t="shared" si="124"/>
        <v/>
      </c>
      <c r="AY608" t="str">
        <f t="shared" si="125"/>
        <v/>
      </c>
      <c r="AZ608" s="430">
        <f>IFERROR(
IF(AX608="",-100,
IF($BV$2&gt;0, INDEX(Beersheet!$A:$U,MATCH(AX608,INDEX(Beersheet!$A:$U,0,FFARawStatProjections!$BV$2),0),$BV$3)+$BN608,
INDEX($A608:$BM608,,$BV$12)*$BW$12+
INDEX($A608:$BM608,,$BV$15)*$BW$15+
INDEX($A608:$BM608,,$BV$16)*$BW$16+
INDEX($A608:$BM608,,$BV$17)*$BW$17+
INDEX($A608:$BM608,,$BV$18)*$BW$18+
INDEX($A608:$BM608,,$BV$19)*$BW$19+
INDEX($A608:$BM608,,$BV$20)*$BW$20+
INDEX($A608:$BM608,,$BV$21)*$BW$21+
INDEX($A608:$BM608,,$BV$22)*$BW$22+
INDEX($A608:$BM608,,$BV$23)*$BW$23+
INDEX($A608:$BM608,,$BV$25)*$BW$25+
INDEX($A608:$BM608,,$BV$26)*$BW$26+
INDEX($A608:$BM608,,$BV$27)*$BW$27+
$BN608)),
$BN608-100)</f>
        <v>-100</v>
      </c>
      <c r="BB608" t="str">
        <f t="shared" si="126"/>
        <v/>
      </c>
      <c r="BC608" t="str">
        <f t="shared" si="120"/>
        <v/>
      </c>
      <c r="BD608" s="430">
        <f>IFERROR(
IF(BB608="",-100,
IF($BV$2&gt;0, INDEX(Beersheet!$A:$U,MATCH(BB608,INDEX(Beersheet!$A:$U,0,FFARawStatProjections!$BV$2),0),$BV$3)+$BN608,
INDEX($A608:$BM608,,$BV$12)*$BW$12+
INDEX($A608:$BM608,,$BV$15)*$BW$15+
INDEX($A608:$BM608,,$BV$16)*$BW$16+
INDEX($A608:$BM608,,$BV$17)*$BW$17+
INDEX($A608:$BM608,,$BV$18)*$BW$18+
INDEX($A608:$BM608,,$BV$19)*$BW$19+
INDEX($A608:$BM608,,$BV$20)*$BW$20+
INDEX($A608:$BM608,,$BV$21)*$BW$21+
INDEX($A608:$BM608,,$BV$22)*$BW$22+
INDEX($A608:$BM608,,$BV$23)*$BW$23+
INDEX($A608:$BM608,,$BV$25)*$BW$25+
INDEX($A608:$BM608,,$BV$26)*$BW$26+
INDEX($A608:$BM608,,$BV$27)*$BW$27+
$BN608)),
$BN608-100)</f>
        <v>-100</v>
      </c>
      <c r="BF608" t="str">
        <f t="shared" si="127"/>
        <v/>
      </c>
      <c r="BG608" t="str">
        <f t="shared" si="128"/>
        <v/>
      </c>
      <c r="BH608">
        <f t="shared" si="129"/>
        <v>0</v>
      </c>
      <c r="BJ608" t="str">
        <f t="shared" si="130"/>
        <v/>
      </c>
      <c r="BL608">
        <f t="shared" si="132"/>
        <v>0</v>
      </c>
      <c r="BN608">
        <v>6.0699999999999999E-3</v>
      </c>
      <c r="BS608" s="4" t="s">
        <v>140</v>
      </c>
    </row>
    <row r="609" spans="1:71" ht="15.75" thickBot="1" x14ac:dyDescent="0.3">
      <c r="A609" s="569"/>
      <c r="B609" s="569"/>
      <c r="C609" s="569"/>
      <c r="D609" s="569"/>
      <c r="E609" s="569"/>
      <c r="F609" s="569"/>
      <c r="G609" s="569"/>
      <c r="H609" s="569"/>
      <c r="I609" s="574">
        <v>0</v>
      </c>
      <c r="J609" s="574">
        <v>0</v>
      </c>
      <c r="K609" s="574">
        <v>0</v>
      </c>
      <c r="L609" s="574">
        <v>0</v>
      </c>
      <c r="M609" s="574">
        <v>0</v>
      </c>
      <c r="N609" s="574">
        <v>0</v>
      </c>
      <c r="O609" s="574">
        <v>0</v>
      </c>
      <c r="P609" s="574">
        <v>0</v>
      </c>
      <c r="Q609" s="574">
        <v>0</v>
      </c>
      <c r="R609" s="569"/>
      <c r="S609" s="569"/>
      <c r="T609" s="569"/>
      <c r="U609" s="569"/>
      <c r="V609" s="569"/>
      <c r="W609" s="569"/>
      <c r="X609" s="569"/>
      <c r="Y609" s="569"/>
      <c r="Z609" s="569"/>
      <c r="AA609" s="569"/>
      <c r="AB609" s="569"/>
      <c r="AC609" s="569"/>
      <c r="AD609" s="569"/>
      <c r="AE609" s="569"/>
      <c r="AF609" s="569"/>
      <c r="AG609" s="569"/>
      <c r="AH609" s="569"/>
      <c r="AI609" s="569"/>
      <c r="AJ609" s="569"/>
      <c r="AK609" s="569"/>
      <c r="AL609" s="569"/>
      <c r="AM609" s="569"/>
      <c r="AN609" s="569"/>
      <c r="AO609">
        <v>608</v>
      </c>
      <c r="AP609" t="str">
        <f t="shared" si="131"/>
        <v/>
      </c>
      <c r="AQ609" t="str">
        <f t="shared" si="121"/>
        <v/>
      </c>
      <c r="AR609" s="430">
        <f>IFERROR(
IF(AP609="",-100,
IF($BV$2&gt;0, INDEX(Beersheet!$A:$U,MATCH(AP609,INDEX(Beersheet!$A:$U,0,FFARawStatProjections!$BV$2),0),$BV$3)+$BN609,
INDEX($A609:$BM609,,$BV$12)*$BW$12+
INDEX($A609:$BM609,,$BV$15)*$BW$15+
INDEX($A609:$BM609,,$BV$16)*$BW$16+
INDEX($A609:$BM609,,$BV$17)*$BW$17+
INDEX($A609:$BM609,,$BV$18)*$BW$18+
INDEX($A609:$BM609,,$BV$19)*$BW$19+
INDEX($A609:$BM609,,$BV$20)*$BW$20+
INDEX($A609:$BM609,,$BV$21)*$BW$21+
INDEX($A609:$BM609,,$BV$22)*$BW$22+
INDEX($A609:$BM609,,$BV$23)*$BW$23+
INDEX($A609:$BM609,,$BV$25)*$BW$25+
INDEX($A609:$BM609,,$BV$26)*$BW$26+
INDEX($A609:$BM609,,$BV$27)*$BW$27+
$BN609)),
$BN609-100)</f>
        <v>-100</v>
      </c>
      <c r="AT609" t="str">
        <f t="shared" si="122"/>
        <v/>
      </c>
      <c r="AU609" t="str">
        <f t="shared" si="123"/>
        <v/>
      </c>
      <c r="AV609" s="430">
        <f>IFERROR(
IF(AT609="",-100,
IF($BV$2&gt;0, INDEX(Beersheet!$A:$U,MATCH(AT609,INDEX(Beersheet!$A:$U,0,FFARawStatProjections!$BV$2),0),$BV$3)+$BN609,
INDEX($A609:$BM609,,$BV$12)*$BW$12+
INDEX($A609:$BM609,,$BV$15)*$BW$15+
INDEX($A609:$BM609,,$BV$16)*$BW$16+
INDEX($A609:$BM609,,$BV$17)*$BW$17+
INDEX($A609:$BM609,,$BV$18)*$BW$18+
INDEX($A609:$BM609,,$BV$19)*$BW$19+
INDEX($A609:$BM609,,$BV$20)*$BW$20+
INDEX($A609:$BM609,,$BV$21)*$BW$21+
INDEX($A609:$BM609,,$BV$22)*$BW$22+
INDEX($A609:$BM609,,$BV$23)*$BW$23+
INDEX($A609:$BM609,,$BV$25)*$BW$25+
INDEX($A609:$BM609,,$BV$26)*$BW$26+
INDEX($A609:$BM609,,$BV$27)*$BW$27+
$BN609)),
$BN609-100)</f>
        <v>-100</v>
      </c>
      <c r="AX609" t="str">
        <f t="shared" si="124"/>
        <v/>
      </c>
      <c r="AY609" t="str">
        <f t="shared" si="125"/>
        <v/>
      </c>
      <c r="AZ609" s="430">
        <f>IFERROR(
IF(AX609="",-100,
IF($BV$2&gt;0, INDEX(Beersheet!$A:$U,MATCH(AX609,INDEX(Beersheet!$A:$U,0,FFARawStatProjections!$BV$2),0),$BV$3)+$BN609,
INDEX($A609:$BM609,,$BV$12)*$BW$12+
INDEX($A609:$BM609,,$BV$15)*$BW$15+
INDEX($A609:$BM609,,$BV$16)*$BW$16+
INDEX($A609:$BM609,,$BV$17)*$BW$17+
INDEX($A609:$BM609,,$BV$18)*$BW$18+
INDEX($A609:$BM609,,$BV$19)*$BW$19+
INDEX($A609:$BM609,,$BV$20)*$BW$20+
INDEX($A609:$BM609,,$BV$21)*$BW$21+
INDEX($A609:$BM609,,$BV$22)*$BW$22+
INDEX($A609:$BM609,,$BV$23)*$BW$23+
INDEX($A609:$BM609,,$BV$25)*$BW$25+
INDEX($A609:$BM609,,$BV$26)*$BW$26+
INDEX($A609:$BM609,,$BV$27)*$BW$27+
$BN609)),
$BN609-100)</f>
        <v>-100</v>
      </c>
      <c r="BB609" t="str">
        <f t="shared" si="126"/>
        <v/>
      </c>
      <c r="BC609" t="str">
        <f t="shared" si="120"/>
        <v/>
      </c>
      <c r="BD609" s="430">
        <f>IFERROR(
IF(BB609="",-100,
IF($BV$2&gt;0, INDEX(Beersheet!$A:$U,MATCH(BB609,INDEX(Beersheet!$A:$U,0,FFARawStatProjections!$BV$2),0),$BV$3)+$BN609,
INDEX($A609:$BM609,,$BV$12)*$BW$12+
INDEX($A609:$BM609,,$BV$15)*$BW$15+
INDEX($A609:$BM609,,$BV$16)*$BW$16+
INDEX($A609:$BM609,,$BV$17)*$BW$17+
INDEX($A609:$BM609,,$BV$18)*$BW$18+
INDEX($A609:$BM609,,$BV$19)*$BW$19+
INDEX($A609:$BM609,,$BV$20)*$BW$20+
INDEX($A609:$BM609,,$BV$21)*$BW$21+
INDEX($A609:$BM609,,$BV$22)*$BW$22+
INDEX($A609:$BM609,,$BV$23)*$BW$23+
INDEX($A609:$BM609,,$BV$25)*$BW$25+
INDEX($A609:$BM609,,$BV$26)*$BW$26+
INDEX($A609:$BM609,,$BV$27)*$BW$27+
$BN609)),
$BN609-100)</f>
        <v>-100</v>
      </c>
      <c r="BF609" t="str">
        <f t="shared" si="127"/>
        <v/>
      </c>
      <c r="BG609" t="str">
        <f t="shared" si="128"/>
        <v/>
      </c>
      <c r="BH609">
        <f t="shared" si="129"/>
        <v>0</v>
      </c>
      <c r="BJ609" t="str">
        <f t="shared" si="130"/>
        <v/>
      </c>
      <c r="BL609">
        <f t="shared" si="132"/>
        <v>0</v>
      </c>
      <c r="BN609">
        <v>6.0800000000000003E-3</v>
      </c>
      <c r="BS609" s="4" t="s">
        <v>2415</v>
      </c>
    </row>
    <row r="610" spans="1:71" ht="15.75" thickBot="1" x14ac:dyDescent="0.3">
      <c r="A610" s="569" t="s">
        <v>228</v>
      </c>
      <c r="B610" s="569" t="s">
        <v>136</v>
      </c>
      <c r="C610" s="569" t="s">
        <v>7</v>
      </c>
      <c r="D610" s="574">
        <v>10</v>
      </c>
      <c r="E610" s="569"/>
      <c r="F610" s="569"/>
      <c r="G610" s="569"/>
      <c r="H610" s="569"/>
      <c r="I610" s="574">
        <v>0</v>
      </c>
      <c r="J610" s="574">
        <v>0</v>
      </c>
      <c r="K610" s="574">
        <v>0</v>
      </c>
      <c r="L610" s="574">
        <v>105.5</v>
      </c>
      <c r="M610" s="574">
        <v>9.9</v>
      </c>
      <c r="N610" s="574">
        <v>1236.5</v>
      </c>
      <c r="O610" s="574">
        <v>0</v>
      </c>
      <c r="P610" s="574">
        <v>0</v>
      </c>
      <c r="Q610" s="574">
        <v>0</v>
      </c>
      <c r="R610" s="569"/>
      <c r="S610" s="569"/>
      <c r="T610" s="569"/>
      <c r="U610" s="569"/>
      <c r="V610" s="569"/>
      <c r="W610" s="569"/>
      <c r="X610" s="569"/>
      <c r="Y610" s="569"/>
      <c r="Z610" s="569"/>
      <c r="AA610" s="569"/>
      <c r="AB610" s="569"/>
      <c r="AC610" s="569"/>
      <c r="AD610" s="569"/>
      <c r="AE610" s="569"/>
      <c r="AF610" s="569"/>
      <c r="AG610" s="569"/>
      <c r="AH610" s="569"/>
      <c r="AI610" s="569"/>
      <c r="AJ610" s="569"/>
      <c r="AK610" s="569"/>
      <c r="AL610" s="569"/>
      <c r="AM610" s="569"/>
      <c r="AN610" s="574">
        <v>181.8</v>
      </c>
      <c r="AO610">
        <v>609</v>
      </c>
      <c r="AP610" t="str">
        <f t="shared" si="131"/>
        <v/>
      </c>
      <c r="AQ610" t="str">
        <f t="shared" si="121"/>
        <v/>
      </c>
      <c r="AR610" s="430">
        <f>IFERROR(
IF(AP610="",-100,
IF($BV$2&gt;0, INDEX(Beersheet!$A:$U,MATCH(AP610,INDEX(Beersheet!$A:$U,0,FFARawStatProjections!$BV$2),0),$BV$3)+$BN610,
INDEX($A610:$BM610,,$BV$12)*$BW$12+
INDEX($A610:$BM610,,$BV$15)*$BW$15+
INDEX($A610:$BM610,,$BV$16)*$BW$16+
INDEX($A610:$BM610,,$BV$17)*$BW$17+
INDEX($A610:$BM610,,$BV$18)*$BW$18+
INDEX($A610:$BM610,,$BV$19)*$BW$19+
INDEX($A610:$BM610,,$BV$20)*$BW$20+
INDEX($A610:$BM610,,$BV$21)*$BW$21+
INDEX($A610:$BM610,,$BV$22)*$BW$22+
INDEX($A610:$BM610,,$BV$23)*$BW$23+
INDEX($A610:$BM610,,$BV$25)*$BW$25+
INDEX($A610:$BM610,,$BV$26)*$BW$26+
INDEX($A610:$BM610,,$BV$27)*$BW$27+
$BN610)),
$BN610-100)</f>
        <v>-100</v>
      </c>
      <c r="AT610" t="str">
        <f t="shared" si="122"/>
        <v/>
      </c>
      <c r="AU610" t="str">
        <f t="shared" si="123"/>
        <v/>
      </c>
      <c r="AV610" s="430">
        <f>IFERROR(
IF(AT610="",-100,
IF($BV$2&gt;0, INDEX(Beersheet!$A:$U,MATCH(AT610,INDEX(Beersheet!$A:$U,0,FFARawStatProjections!$BV$2),0),$BV$3)+$BN610,
INDEX($A610:$BM610,,$BV$12)*$BW$12+
INDEX($A610:$BM610,,$BV$15)*$BW$15+
INDEX($A610:$BM610,,$BV$16)*$BW$16+
INDEX($A610:$BM610,,$BV$17)*$BW$17+
INDEX($A610:$BM610,,$BV$18)*$BW$18+
INDEX($A610:$BM610,,$BV$19)*$BW$19+
INDEX($A610:$BM610,,$BV$20)*$BW$20+
INDEX($A610:$BM610,,$BV$21)*$BW$21+
INDEX($A610:$BM610,,$BV$22)*$BW$22+
INDEX($A610:$BM610,,$BV$23)*$BW$23+
INDEX($A610:$BM610,,$BV$25)*$BW$25+
INDEX($A610:$BM610,,$BV$26)*$BW$26+
INDEX($A610:$BM610,,$BV$27)*$BW$27+
$BN610)),
$BN610-100)</f>
        <v>-100</v>
      </c>
      <c r="AX610" t="str">
        <f t="shared" si="124"/>
        <v/>
      </c>
      <c r="AY610" t="str">
        <f t="shared" si="125"/>
        <v/>
      </c>
      <c r="AZ610" s="430">
        <f>IFERROR(
IF(AX610="",-100,
IF($BV$2&gt;0, INDEX(Beersheet!$A:$U,MATCH(AX610,INDEX(Beersheet!$A:$U,0,FFARawStatProjections!$BV$2),0),$BV$3)+$BN610,
INDEX($A610:$BM610,,$BV$12)*$BW$12+
INDEX($A610:$BM610,,$BV$15)*$BW$15+
INDEX($A610:$BM610,,$BV$16)*$BW$16+
INDEX($A610:$BM610,,$BV$17)*$BW$17+
INDEX($A610:$BM610,,$BV$18)*$BW$18+
INDEX($A610:$BM610,,$BV$19)*$BW$19+
INDEX($A610:$BM610,,$BV$20)*$BW$20+
INDEX($A610:$BM610,,$BV$21)*$BW$21+
INDEX($A610:$BM610,,$BV$22)*$BW$22+
INDEX($A610:$BM610,,$BV$23)*$BW$23+
INDEX($A610:$BM610,,$BV$25)*$BW$25+
INDEX($A610:$BM610,,$BV$26)*$BW$26+
INDEX($A610:$BM610,,$BV$27)*$BW$27+
$BN610)),
$BN610-100)</f>
        <v>-100</v>
      </c>
      <c r="BB610" t="str">
        <f t="shared" si="126"/>
        <v>Travis Kelce</v>
      </c>
      <c r="BC610" t="str">
        <f t="shared" si="120"/>
        <v>KC</v>
      </c>
      <c r="BD610" s="430">
        <f>IFERROR(
IF(BB610="",-100,
IF($BV$2&gt;0, INDEX(Beersheet!$A:$U,MATCH(BB610,INDEX(Beersheet!$A:$U,0,FFARawStatProjections!$BV$2),0),$BV$3)+$BN610,
INDEX($A610:$BM610,,$BV$12)*$BW$12+
INDEX($A610:$BM610,,$BV$15)*$BW$15+
INDEX($A610:$BM610,,$BV$16)*$BW$16+
INDEX($A610:$BM610,,$BV$17)*$BW$17+
INDEX($A610:$BM610,,$BV$18)*$BW$18+
INDEX($A610:$BM610,,$BV$19)*$BW$19+
INDEX($A610:$BM610,,$BV$20)*$BW$20+
INDEX($A610:$BM610,,$BV$21)*$BW$21+
INDEX($A610:$BM610,,$BV$22)*$BW$22+
INDEX($A610:$BM610,,$BV$23)*$BW$23+
INDEX($A610:$BM610,,$BV$25)*$BW$25+
INDEX($A610:$BM610,,$BV$26)*$BW$26+
INDEX($A610:$BM610,,$BV$27)*$BW$27+
$BN610)),
$BN610-100)</f>
        <v>288.55608999999998</v>
      </c>
      <c r="BF610" t="str">
        <f t="shared" si="127"/>
        <v/>
      </c>
      <c r="BG610" t="str">
        <f t="shared" si="128"/>
        <v/>
      </c>
      <c r="BH610">
        <f t="shared" si="129"/>
        <v>0</v>
      </c>
      <c r="BJ610" t="str">
        <f t="shared" si="130"/>
        <v/>
      </c>
      <c r="BL610">
        <f t="shared" si="132"/>
        <v>0</v>
      </c>
      <c r="BN610">
        <v>6.0899999999999999E-3</v>
      </c>
      <c r="BS610" s="4" t="s">
        <v>2267</v>
      </c>
    </row>
    <row r="611" spans="1:71" ht="15.75" thickBot="1" x14ac:dyDescent="0.3">
      <c r="A611" s="569" t="s">
        <v>1811</v>
      </c>
      <c r="B611" s="569" t="s">
        <v>162</v>
      </c>
      <c r="C611" s="569" t="s">
        <v>7</v>
      </c>
      <c r="D611" s="574">
        <v>13</v>
      </c>
      <c r="E611" s="569"/>
      <c r="F611" s="569"/>
      <c r="G611" s="569"/>
      <c r="H611" s="569"/>
      <c r="I611" s="574">
        <v>0</v>
      </c>
      <c r="J611" s="574">
        <v>0</v>
      </c>
      <c r="K611" s="574">
        <v>0</v>
      </c>
      <c r="L611" s="574">
        <v>74.8</v>
      </c>
      <c r="M611" s="574">
        <v>6.4</v>
      </c>
      <c r="N611" s="574">
        <v>885.9</v>
      </c>
      <c r="O611" s="574">
        <v>0</v>
      </c>
      <c r="P611" s="574">
        <v>0</v>
      </c>
      <c r="Q611" s="574">
        <v>0</v>
      </c>
      <c r="R611" s="569"/>
      <c r="S611" s="569"/>
      <c r="T611" s="569"/>
      <c r="U611" s="569"/>
      <c r="V611" s="569"/>
      <c r="W611" s="569"/>
      <c r="X611" s="569"/>
      <c r="Y611" s="569"/>
      <c r="Z611" s="569"/>
      <c r="AA611" s="569"/>
      <c r="AB611" s="569"/>
      <c r="AC611" s="569"/>
      <c r="AD611" s="569"/>
      <c r="AE611" s="569"/>
      <c r="AF611" s="569"/>
      <c r="AG611" s="569"/>
      <c r="AH611" s="569"/>
      <c r="AI611" s="569"/>
      <c r="AJ611" s="569"/>
      <c r="AK611" s="569"/>
      <c r="AL611" s="569"/>
      <c r="AM611" s="569"/>
      <c r="AN611" s="574">
        <v>128.4</v>
      </c>
      <c r="AO611">
        <v>610</v>
      </c>
      <c r="AP611" t="str">
        <f t="shared" si="131"/>
        <v/>
      </c>
      <c r="AQ611" t="str">
        <f t="shared" si="121"/>
        <v/>
      </c>
      <c r="AR611" s="430">
        <f>IFERROR(
IF(AP611="",-100,
IF($BV$2&gt;0, INDEX(Beersheet!$A:$U,MATCH(AP611,INDEX(Beersheet!$A:$U,0,FFARawStatProjections!$BV$2),0),$BV$3)+$BN611,
INDEX($A611:$BM611,,$BV$12)*$BW$12+
INDEX($A611:$BM611,,$BV$15)*$BW$15+
INDEX($A611:$BM611,,$BV$16)*$BW$16+
INDEX($A611:$BM611,,$BV$17)*$BW$17+
INDEX($A611:$BM611,,$BV$18)*$BW$18+
INDEX($A611:$BM611,,$BV$19)*$BW$19+
INDEX($A611:$BM611,,$BV$20)*$BW$20+
INDEX($A611:$BM611,,$BV$21)*$BW$21+
INDEX($A611:$BM611,,$BV$22)*$BW$22+
INDEX($A611:$BM611,,$BV$23)*$BW$23+
INDEX($A611:$BM611,,$BV$25)*$BW$25+
INDEX($A611:$BM611,,$BV$26)*$BW$26+
INDEX($A611:$BM611,,$BV$27)*$BW$27+
$BN611)),
$BN611-100)</f>
        <v>-100</v>
      </c>
      <c r="AT611" t="str">
        <f t="shared" si="122"/>
        <v/>
      </c>
      <c r="AU611" t="str">
        <f t="shared" si="123"/>
        <v/>
      </c>
      <c r="AV611" s="430">
        <f>IFERROR(
IF(AT611="",-100,
IF($BV$2&gt;0, INDEX(Beersheet!$A:$U,MATCH(AT611,INDEX(Beersheet!$A:$U,0,FFARawStatProjections!$BV$2),0),$BV$3)+$BN611,
INDEX($A611:$BM611,,$BV$12)*$BW$12+
INDEX($A611:$BM611,,$BV$15)*$BW$15+
INDEX($A611:$BM611,,$BV$16)*$BW$16+
INDEX($A611:$BM611,,$BV$17)*$BW$17+
INDEX($A611:$BM611,,$BV$18)*$BW$18+
INDEX($A611:$BM611,,$BV$19)*$BW$19+
INDEX($A611:$BM611,,$BV$20)*$BW$20+
INDEX($A611:$BM611,,$BV$21)*$BW$21+
INDEX($A611:$BM611,,$BV$22)*$BW$22+
INDEX($A611:$BM611,,$BV$23)*$BW$23+
INDEX($A611:$BM611,,$BV$25)*$BW$25+
INDEX($A611:$BM611,,$BV$26)*$BW$26+
INDEX($A611:$BM611,,$BV$27)*$BW$27+
$BN611)),
$BN611-100)</f>
        <v>-100</v>
      </c>
      <c r="AX611" t="str">
        <f t="shared" si="124"/>
        <v/>
      </c>
      <c r="AY611" t="str">
        <f t="shared" si="125"/>
        <v/>
      </c>
      <c r="AZ611" s="430">
        <f>IFERROR(
IF(AX611="",-100,
IF($BV$2&gt;0, INDEX(Beersheet!$A:$U,MATCH(AX611,INDEX(Beersheet!$A:$U,0,FFARawStatProjections!$BV$2),0),$BV$3)+$BN611,
INDEX($A611:$BM611,,$BV$12)*$BW$12+
INDEX($A611:$BM611,,$BV$15)*$BW$15+
INDEX($A611:$BM611,,$BV$16)*$BW$16+
INDEX($A611:$BM611,,$BV$17)*$BW$17+
INDEX($A611:$BM611,,$BV$18)*$BW$18+
INDEX($A611:$BM611,,$BV$19)*$BW$19+
INDEX($A611:$BM611,,$BV$20)*$BW$20+
INDEX($A611:$BM611,,$BV$21)*$BW$21+
INDEX($A611:$BM611,,$BV$22)*$BW$22+
INDEX($A611:$BM611,,$BV$23)*$BW$23+
INDEX($A611:$BM611,,$BV$25)*$BW$25+
INDEX($A611:$BM611,,$BV$26)*$BW$26+
INDEX($A611:$BM611,,$BV$27)*$BW$27+
$BN611)),
$BN611-100)</f>
        <v>-100</v>
      </c>
      <c r="BB611" t="str">
        <f t="shared" si="126"/>
        <v>Mark Andrews</v>
      </c>
      <c r="BC611" t="str">
        <f t="shared" si="120"/>
        <v>BAL</v>
      </c>
      <c r="BD611" s="430">
        <f>IFERROR(
IF(BB611="",-100,
IF($BV$2&gt;0, INDEX(Beersheet!$A:$U,MATCH(BB611,INDEX(Beersheet!$A:$U,0,FFARawStatProjections!$BV$2),0),$BV$3)+$BN611,
INDEX($A611:$BM611,,$BV$12)*$BW$12+
INDEX($A611:$BM611,,$BV$15)*$BW$15+
INDEX($A611:$BM611,,$BV$16)*$BW$16+
INDEX($A611:$BM611,,$BV$17)*$BW$17+
INDEX($A611:$BM611,,$BV$18)*$BW$18+
INDEX($A611:$BM611,,$BV$19)*$BW$19+
INDEX($A611:$BM611,,$BV$20)*$BW$20+
INDEX($A611:$BM611,,$BV$21)*$BW$21+
INDEX($A611:$BM611,,$BV$22)*$BW$22+
INDEX($A611:$BM611,,$BV$23)*$BW$23+
INDEX($A611:$BM611,,$BV$25)*$BW$25+
INDEX($A611:$BM611,,$BV$26)*$BW$26+
INDEX($A611:$BM611,,$BV$27)*$BW$27+
$BN611)),
$BN611-100)</f>
        <v>201.79610000000002</v>
      </c>
      <c r="BF611" t="str">
        <f t="shared" si="127"/>
        <v/>
      </c>
      <c r="BG611" t="str">
        <f t="shared" si="128"/>
        <v/>
      </c>
      <c r="BH611">
        <f t="shared" si="129"/>
        <v>0</v>
      </c>
      <c r="BJ611" t="str">
        <f t="shared" si="130"/>
        <v/>
      </c>
      <c r="BL611">
        <f t="shared" si="132"/>
        <v>0</v>
      </c>
      <c r="BN611">
        <v>6.1000000000000004E-3</v>
      </c>
      <c r="BS611" s="4" t="s">
        <v>2414</v>
      </c>
    </row>
    <row r="612" spans="1:71" ht="15.75" thickBot="1" x14ac:dyDescent="0.3">
      <c r="A612" s="569" t="s">
        <v>1862</v>
      </c>
      <c r="B612" s="569" t="s">
        <v>138</v>
      </c>
      <c r="C612" s="569" t="s">
        <v>7</v>
      </c>
      <c r="D612" s="574">
        <v>13</v>
      </c>
      <c r="E612" s="569"/>
      <c r="F612" s="569"/>
      <c r="G612" s="569"/>
      <c r="H612" s="569"/>
      <c r="I612" s="574">
        <v>0</v>
      </c>
      <c r="J612" s="574">
        <v>0</v>
      </c>
      <c r="K612" s="574">
        <v>0</v>
      </c>
      <c r="L612" s="574">
        <v>80.900000000000006</v>
      </c>
      <c r="M612" s="574">
        <v>5.7</v>
      </c>
      <c r="N612" s="574">
        <v>833.5</v>
      </c>
      <c r="O612" s="574">
        <v>0</v>
      </c>
      <c r="P612" s="574">
        <v>0</v>
      </c>
      <c r="Q612" s="574">
        <v>0</v>
      </c>
      <c r="R612" s="569"/>
      <c r="S612" s="569"/>
      <c r="T612" s="569"/>
      <c r="U612" s="569"/>
      <c r="V612" s="569"/>
      <c r="W612" s="569"/>
      <c r="X612" s="569"/>
      <c r="Y612" s="569"/>
      <c r="Z612" s="569"/>
      <c r="AA612" s="569"/>
      <c r="AB612" s="569"/>
      <c r="AC612" s="569"/>
      <c r="AD612" s="569"/>
      <c r="AE612" s="569"/>
      <c r="AF612" s="569"/>
      <c r="AG612" s="569"/>
      <c r="AH612" s="569"/>
      <c r="AI612" s="569"/>
      <c r="AJ612" s="569"/>
      <c r="AK612" s="569"/>
      <c r="AL612" s="569"/>
      <c r="AM612" s="569"/>
      <c r="AN612" s="574">
        <v>116.6</v>
      </c>
      <c r="AO612">
        <v>611</v>
      </c>
      <c r="AP612" t="str">
        <f t="shared" si="131"/>
        <v/>
      </c>
      <c r="AQ612" t="str">
        <f t="shared" si="121"/>
        <v/>
      </c>
      <c r="AR612" s="430">
        <f>IFERROR(
IF(AP612="",-100,
IF($BV$2&gt;0, INDEX(Beersheet!$A:$U,MATCH(AP612,INDEX(Beersheet!$A:$U,0,FFARawStatProjections!$BV$2),0),$BV$3)+$BN612,
INDEX($A612:$BM612,,$BV$12)*$BW$12+
INDEX($A612:$BM612,,$BV$15)*$BW$15+
INDEX($A612:$BM612,,$BV$16)*$BW$16+
INDEX($A612:$BM612,,$BV$17)*$BW$17+
INDEX($A612:$BM612,,$BV$18)*$BW$18+
INDEX($A612:$BM612,,$BV$19)*$BW$19+
INDEX($A612:$BM612,,$BV$20)*$BW$20+
INDEX($A612:$BM612,,$BV$21)*$BW$21+
INDEX($A612:$BM612,,$BV$22)*$BW$22+
INDEX($A612:$BM612,,$BV$23)*$BW$23+
INDEX($A612:$BM612,,$BV$25)*$BW$25+
INDEX($A612:$BM612,,$BV$26)*$BW$26+
INDEX($A612:$BM612,,$BV$27)*$BW$27+
$BN612)),
$BN612-100)</f>
        <v>-100</v>
      </c>
      <c r="AT612" t="str">
        <f t="shared" si="122"/>
        <v/>
      </c>
      <c r="AU612" t="str">
        <f t="shared" si="123"/>
        <v/>
      </c>
      <c r="AV612" s="430">
        <f>IFERROR(
IF(AT612="",-100,
IF($BV$2&gt;0, INDEX(Beersheet!$A:$U,MATCH(AT612,INDEX(Beersheet!$A:$U,0,FFARawStatProjections!$BV$2),0),$BV$3)+$BN612,
INDEX($A612:$BM612,,$BV$12)*$BW$12+
INDEX($A612:$BM612,,$BV$15)*$BW$15+
INDEX($A612:$BM612,,$BV$16)*$BW$16+
INDEX($A612:$BM612,,$BV$17)*$BW$17+
INDEX($A612:$BM612,,$BV$18)*$BW$18+
INDEX($A612:$BM612,,$BV$19)*$BW$19+
INDEX($A612:$BM612,,$BV$20)*$BW$20+
INDEX($A612:$BM612,,$BV$21)*$BW$21+
INDEX($A612:$BM612,,$BV$22)*$BW$22+
INDEX($A612:$BM612,,$BV$23)*$BW$23+
INDEX($A612:$BM612,,$BV$25)*$BW$25+
INDEX($A612:$BM612,,$BV$26)*$BW$26+
INDEX($A612:$BM612,,$BV$27)*$BW$27+
$BN612)),
$BN612-100)</f>
        <v>-100</v>
      </c>
      <c r="AX612" t="str">
        <f t="shared" si="124"/>
        <v/>
      </c>
      <c r="AY612" t="str">
        <f t="shared" si="125"/>
        <v/>
      </c>
      <c r="AZ612" s="430">
        <f>IFERROR(
IF(AX612="",-100,
IF($BV$2&gt;0, INDEX(Beersheet!$A:$U,MATCH(AX612,INDEX(Beersheet!$A:$U,0,FFARawStatProjections!$BV$2),0),$BV$3)+$BN612,
INDEX($A612:$BM612,,$BV$12)*$BW$12+
INDEX($A612:$BM612,,$BV$15)*$BW$15+
INDEX($A612:$BM612,,$BV$16)*$BW$16+
INDEX($A612:$BM612,,$BV$17)*$BW$17+
INDEX($A612:$BM612,,$BV$18)*$BW$18+
INDEX($A612:$BM612,,$BV$19)*$BW$19+
INDEX($A612:$BM612,,$BV$20)*$BW$20+
INDEX($A612:$BM612,,$BV$21)*$BW$21+
INDEX($A612:$BM612,,$BV$22)*$BW$22+
INDEX($A612:$BM612,,$BV$23)*$BW$23+
INDEX($A612:$BM612,,$BV$25)*$BW$25+
INDEX($A612:$BM612,,$BV$26)*$BW$26+
INDEX($A612:$BM612,,$BV$27)*$BW$27+
$BN612)),
$BN612-100)</f>
        <v>-100</v>
      </c>
      <c r="BB612" t="str">
        <f t="shared" si="126"/>
        <v>TJ Hockenson</v>
      </c>
      <c r="BC612" t="str">
        <f t="shared" si="120"/>
        <v>MIN</v>
      </c>
      <c r="BD612" s="430">
        <f>IFERROR(
IF(BB612="",-100,
IF($BV$2&gt;0, INDEX(Beersheet!$A:$U,MATCH(BB612,INDEX(Beersheet!$A:$U,0,FFARawStatProjections!$BV$2),0),$BV$3)+$BN612,
INDEX($A612:$BM612,,$BV$12)*$BW$12+
INDEX($A612:$BM612,,$BV$15)*$BW$15+
INDEX($A612:$BM612,,$BV$16)*$BW$16+
INDEX($A612:$BM612,,$BV$17)*$BW$17+
INDEX($A612:$BM612,,$BV$18)*$BW$18+
INDEX($A612:$BM612,,$BV$19)*$BW$19+
INDEX($A612:$BM612,,$BV$20)*$BW$20+
INDEX($A612:$BM612,,$BV$21)*$BW$21+
INDEX($A612:$BM612,,$BV$22)*$BW$22+
INDEX($A612:$BM612,,$BV$23)*$BW$23+
INDEX($A612:$BM612,,$BV$25)*$BW$25+
INDEX($A612:$BM612,,$BV$26)*$BW$26+
INDEX($A612:$BM612,,$BV$27)*$BW$27+
$BN612)),
$BN612-100)</f>
        <v>198.45611000000002</v>
      </c>
      <c r="BF612" t="str">
        <f t="shared" si="127"/>
        <v/>
      </c>
      <c r="BG612" t="str">
        <f t="shared" si="128"/>
        <v/>
      </c>
      <c r="BH612">
        <f t="shared" si="129"/>
        <v>0</v>
      </c>
      <c r="BJ612" t="str">
        <f t="shared" si="130"/>
        <v/>
      </c>
      <c r="BL612">
        <f t="shared" si="132"/>
        <v>0</v>
      </c>
      <c r="BN612">
        <v>6.11E-3</v>
      </c>
      <c r="BS612" s="4" t="s">
        <v>2224</v>
      </c>
    </row>
    <row r="613" spans="1:71" ht="15.75" thickBot="1" x14ac:dyDescent="0.3">
      <c r="A613" s="569" t="s">
        <v>1451</v>
      </c>
      <c r="B613" s="569" t="s">
        <v>155</v>
      </c>
      <c r="C613" s="569" t="s">
        <v>7</v>
      </c>
      <c r="D613" s="574">
        <v>9</v>
      </c>
      <c r="E613" s="569"/>
      <c r="F613" s="569"/>
      <c r="G613" s="569"/>
      <c r="H613" s="569"/>
      <c r="I613" s="574">
        <v>0</v>
      </c>
      <c r="J613" s="574">
        <v>0</v>
      </c>
      <c r="K613" s="574">
        <v>0</v>
      </c>
      <c r="L613" s="574">
        <v>60.4</v>
      </c>
      <c r="M613" s="574">
        <v>5.9</v>
      </c>
      <c r="N613" s="574">
        <v>779.1</v>
      </c>
      <c r="O613" s="574">
        <v>0</v>
      </c>
      <c r="P613" s="574">
        <v>0</v>
      </c>
      <c r="Q613" s="574">
        <v>0</v>
      </c>
      <c r="R613" s="569"/>
      <c r="S613" s="569"/>
      <c r="T613" s="569"/>
      <c r="U613" s="569"/>
      <c r="V613" s="569"/>
      <c r="W613" s="569"/>
      <c r="X613" s="569"/>
      <c r="Y613" s="569"/>
      <c r="Z613" s="569"/>
      <c r="AA613" s="569"/>
      <c r="AB613" s="569"/>
      <c r="AC613" s="569"/>
      <c r="AD613" s="569"/>
      <c r="AE613" s="569"/>
      <c r="AF613" s="569"/>
      <c r="AG613" s="569"/>
      <c r="AH613" s="569"/>
      <c r="AI613" s="569"/>
      <c r="AJ613" s="569"/>
      <c r="AK613" s="569"/>
      <c r="AL613" s="569"/>
      <c r="AM613" s="569"/>
      <c r="AN613" s="574">
        <v>113.1</v>
      </c>
      <c r="AO613">
        <v>612</v>
      </c>
      <c r="AP613" t="str">
        <f t="shared" si="131"/>
        <v/>
      </c>
      <c r="AQ613" t="str">
        <f t="shared" si="121"/>
        <v/>
      </c>
      <c r="AR613" s="430">
        <f>IFERROR(
IF(AP613="",-100,
IF($BV$2&gt;0, INDEX(Beersheet!$A:$U,MATCH(AP613,INDEX(Beersheet!$A:$U,0,FFARawStatProjections!$BV$2),0),$BV$3)+$BN613,
INDEX($A613:$BM613,,$BV$12)*$BW$12+
INDEX($A613:$BM613,,$BV$15)*$BW$15+
INDEX($A613:$BM613,,$BV$16)*$BW$16+
INDEX($A613:$BM613,,$BV$17)*$BW$17+
INDEX($A613:$BM613,,$BV$18)*$BW$18+
INDEX($A613:$BM613,,$BV$19)*$BW$19+
INDEX($A613:$BM613,,$BV$20)*$BW$20+
INDEX($A613:$BM613,,$BV$21)*$BW$21+
INDEX($A613:$BM613,,$BV$22)*$BW$22+
INDEX($A613:$BM613,,$BV$23)*$BW$23+
INDEX($A613:$BM613,,$BV$25)*$BW$25+
INDEX($A613:$BM613,,$BV$26)*$BW$26+
INDEX($A613:$BM613,,$BV$27)*$BW$27+
$BN613)),
$BN613-100)</f>
        <v>-100</v>
      </c>
      <c r="AT613" t="str">
        <f t="shared" si="122"/>
        <v/>
      </c>
      <c r="AU613" t="str">
        <f t="shared" si="123"/>
        <v/>
      </c>
      <c r="AV613" s="430">
        <f>IFERROR(
IF(AT613="",-100,
IF($BV$2&gt;0, INDEX(Beersheet!$A:$U,MATCH(AT613,INDEX(Beersheet!$A:$U,0,FFARawStatProjections!$BV$2),0),$BV$3)+$BN613,
INDEX($A613:$BM613,,$BV$12)*$BW$12+
INDEX($A613:$BM613,,$BV$15)*$BW$15+
INDEX($A613:$BM613,,$BV$16)*$BW$16+
INDEX($A613:$BM613,,$BV$17)*$BW$17+
INDEX($A613:$BM613,,$BV$18)*$BW$18+
INDEX($A613:$BM613,,$BV$19)*$BW$19+
INDEX($A613:$BM613,,$BV$20)*$BW$20+
INDEX($A613:$BM613,,$BV$21)*$BW$21+
INDEX($A613:$BM613,,$BV$22)*$BW$22+
INDEX($A613:$BM613,,$BV$23)*$BW$23+
INDEX($A613:$BM613,,$BV$25)*$BW$25+
INDEX($A613:$BM613,,$BV$26)*$BW$26+
INDEX($A613:$BM613,,$BV$27)*$BW$27+
$BN613)),
$BN613-100)</f>
        <v>-100</v>
      </c>
      <c r="AX613" t="str">
        <f t="shared" si="124"/>
        <v/>
      </c>
      <c r="AY613" t="str">
        <f t="shared" si="125"/>
        <v/>
      </c>
      <c r="AZ613" s="430">
        <f>IFERROR(
IF(AX613="",-100,
IF($BV$2&gt;0, INDEX(Beersheet!$A:$U,MATCH(AX613,INDEX(Beersheet!$A:$U,0,FFARawStatProjections!$BV$2),0),$BV$3)+$BN613,
INDEX($A613:$BM613,,$BV$12)*$BW$12+
INDEX($A613:$BM613,,$BV$15)*$BW$15+
INDEX($A613:$BM613,,$BV$16)*$BW$16+
INDEX($A613:$BM613,,$BV$17)*$BW$17+
INDEX($A613:$BM613,,$BV$18)*$BW$18+
INDEX($A613:$BM613,,$BV$19)*$BW$19+
INDEX($A613:$BM613,,$BV$20)*$BW$20+
INDEX($A613:$BM613,,$BV$21)*$BW$21+
INDEX($A613:$BM613,,$BV$22)*$BW$22+
INDEX($A613:$BM613,,$BV$23)*$BW$23+
INDEX($A613:$BM613,,$BV$25)*$BW$25+
INDEX($A613:$BM613,,$BV$26)*$BW$26+
INDEX($A613:$BM613,,$BV$27)*$BW$27+
$BN613)),
$BN613-100)</f>
        <v>-100</v>
      </c>
      <c r="BB613" t="str">
        <f t="shared" si="126"/>
        <v>George Kittle</v>
      </c>
      <c r="BC613" t="str">
        <f t="shared" si="120"/>
        <v>SF</v>
      </c>
      <c r="BD613" s="430">
        <f>IFERROR(
IF(BB613="",-100,
IF($BV$2&gt;0, INDEX(Beersheet!$A:$U,MATCH(BB613,INDEX(Beersheet!$A:$U,0,FFARawStatProjections!$BV$2),0),$BV$3)+$BN613,
INDEX($A613:$BM613,,$BV$12)*$BW$12+
INDEX($A613:$BM613,,$BV$15)*$BW$15+
INDEX($A613:$BM613,,$BV$16)*$BW$16+
INDEX($A613:$BM613,,$BV$17)*$BW$17+
INDEX($A613:$BM613,,$BV$18)*$BW$18+
INDEX($A613:$BM613,,$BV$19)*$BW$19+
INDEX($A613:$BM613,,$BV$20)*$BW$20+
INDEX($A613:$BM613,,$BV$21)*$BW$21+
INDEX($A613:$BM613,,$BV$22)*$BW$22+
INDEX($A613:$BM613,,$BV$23)*$BW$23+
INDEX($A613:$BM613,,$BV$25)*$BW$25+
INDEX($A613:$BM613,,$BV$26)*$BW$26+
INDEX($A613:$BM613,,$BV$27)*$BW$27+
$BN613)),
$BN613-100)</f>
        <v>173.71612000000005</v>
      </c>
      <c r="BF613" t="str">
        <f t="shared" si="127"/>
        <v/>
      </c>
      <c r="BG613" t="str">
        <f t="shared" si="128"/>
        <v/>
      </c>
      <c r="BH613">
        <f t="shared" si="129"/>
        <v>0</v>
      </c>
      <c r="BJ613" t="str">
        <f t="shared" si="130"/>
        <v/>
      </c>
      <c r="BL613">
        <f t="shared" si="132"/>
        <v>0</v>
      </c>
      <c r="BN613">
        <v>6.1199999999999996E-3</v>
      </c>
      <c r="BS613" s="4" t="s">
        <v>155</v>
      </c>
    </row>
    <row r="614" spans="1:71" ht="15.75" thickBot="1" x14ac:dyDescent="0.3">
      <c r="A614" s="569" t="s">
        <v>1334</v>
      </c>
      <c r="B614" s="569" t="s">
        <v>154</v>
      </c>
      <c r="C614" s="569" t="s">
        <v>7</v>
      </c>
      <c r="D614" s="574">
        <v>13</v>
      </c>
      <c r="E614" s="569"/>
      <c r="F614" s="569"/>
      <c r="G614" s="569"/>
      <c r="H614" s="569"/>
      <c r="I614" s="574">
        <v>0</v>
      </c>
      <c r="J614" s="574">
        <v>0</v>
      </c>
      <c r="K614" s="574">
        <v>0</v>
      </c>
      <c r="L614" s="574">
        <v>65.900000000000006</v>
      </c>
      <c r="M614" s="574">
        <v>4.9000000000000004</v>
      </c>
      <c r="N614" s="574">
        <v>799.6</v>
      </c>
      <c r="O614" s="574">
        <v>0</v>
      </c>
      <c r="P614" s="574">
        <v>0</v>
      </c>
      <c r="Q614" s="574">
        <v>0</v>
      </c>
      <c r="R614" s="569"/>
      <c r="S614" s="569"/>
      <c r="T614" s="569"/>
      <c r="U614" s="569"/>
      <c r="V614" s="569"/>
      <c r="W614" s="569"/>
      <c r="X614" s="569"/>
      <c r="Y614" s="569"/>
      <c r="Z614" s="569"/>
      <c r="AA614" s="569"/>
      <c r="AB614" s="569"/>
      <c r="AC614" s="569"/>
      <c r="AD614" s="569"/>
      <c r="AE614" s="569"/>
      <c r="AF614" s="569"/>
      <c r="AG614" s="569"/>
      <c r="AH614" s="569"/>
      <c r="AI614" s="569"/>
      <c r="AJ614" s="569"/>
      <c r="AK614" s="569"/>
      <c r="AL614" s="569"/>
      <c r="AM614" s="569"/>
      <c r="AN614" s="574">
        <v>108.6</v>
      </c>
      <c r="AO614">
        <v>613</v>
      </c>
      <c r="AP614" t="str">
        <f t="shared" si="131"/>
        <v/>
      </c>
      <c r="AQ614" t="str">
        <f t="shared" si="121"/>
        <v/>
      </c>
      <c r="AR614" s="430">
        <f>IFERROR(
IF(AP614="",-100,
IF($BV$2&gt;0, INDEX(Beersheet!$A:$U,MATCH(AP614,INDEX(Beersheet!$A:$U,0,FFARawStatProjections!$BV$2),0),$BV$3)+$BN614,
INDEX($A614:$BM614,,$BV$12)*$BW$12+
INDEX($A614:$BM614,,$BV$15)*$BW$15+
INDEX($A614:$BM614,,$BV$16)*$BW$16+
INDEX($A614:$BM614,,$BV$17)*$BW$17+
INDEX($A614:$BM614,,$BV$18)*$BW$18+
INDEX($A614:$BM614,,$BV$19)*$BW$19+
INDEX($A614:$BM614,,$BV$20)*$BW$20+
INDEX($A614:$BM614,,$BV$21)*$BW$21+
INDEX($A614:$BM614,,$BV$22)*$BW$22+
INDEX($A614:$BM614,,$BV$23)*$BW$23+
INDEX($A614:$BM614,,$BV$25)*$BW$25+
INDEX($A614:$BM614,,$BV$26)*$BW$26+
INDEX($A614:$BM614,,$BV$27)*$BW$27+
$BN614)),
$BN614-100)</f>
        <v>-100</v>
      </c>
      <c r="AT614" t="str">
        <f t="shared" si="122"/>
        <v/>
      </c>
      <c r="AU614" t="str">
        <f t="shared" si="123"/>
        <v/>
      </c>
      <c r="AV614" s="430">
        <f>IFERROR(
IF(AT614="",-100,
IF($BV$2&gt;0, INDEX(Beersheet!$A:$U,MATCH(AT614,INDEX(Beersheet!$A:$U,0,FFARawStatProjections!$BV$2),0),$BV$3)+$BN614,
INDEX($A614:$BM614,,$BV$12)*$BW$12+
INDEX($A614:$BM614,,$BV$15)*$BW$15+
INDEX($A614:$BM614,,$BV$16)*$BW$16+
INDEX($A614:$BM614,,$BV$17)*$BW$17+
INDEX($A614:$BM614,,$BV$18)*$BW$18+
INDEX($A614:$BM614,,$BV$19)*$BW$19+
INDEX($A614:$BM614,,$BV$20)*$BW$20+
INDEX($A614:$BM614,,$BV$21)*$BW$21+
INDEX($A614:$BM614,,$BV$22)*$BW$22+
INDEX($A614:$BM614,,$BV$23)*$BW$23+
INDEX($A614:$BM614,,$BV$25)*$BW$25+
INDEX($A614:$BM614,,$BV$26)*$BW$26+
INDEX($A614:$BM614,,$BV$27)*$BW$27+
$BN614)),
$BN614-100)</f>
        <v>-100</v>
      </c>
      <c r="AX614" t="str">
        <f t="shared" si="124"/>
        <v/>
      </c>
      <c r="AY614" t="str">
        <f t="shared" si="125"/>
        <v/>
      </c>
      <c r="AZ614" s="430">
        <f>IFERROR(
IF(AX614="",-100,
IF($BV$2&gt;0, INDEX(Beersheet!$A:$U,MATCH(AX614,INDEX(Beersheet!$A:$U,0,FFARawStatProjections!$BV$2),0),$BV$3)+$BN614,
INDEX($A614:$BM614,,$BV$12)*$BW$12+
INDEX($A614:$BM614,,$BV$15)*$BW$15+
INDEX($A614:$BM614,,$BV$16)*$BW$16+
INDEX($A614:$BM614,,$BV$17)*$BW$17+
INDEX($A614:$BM614,,$BV$18)*$BW$18+
INDEX($A614:$BM614,,$BV$19)*$BW$19+
INDEX($A614:$BM614,,$BV$20)*$BW$20+
INDEX($A614:$BM614,,$BV$21)*$BW$21+
INDEX($A614:$BM614,,$BV$22)*$BW$22+
INDEX($A614:$BM614,,$BV$23)*$BW$23+
INDEX($A614:$BM614,,$BV$25)*$BW$25+
INDEX($A614:$BM614,,$BV$26)*$BW$26+
INDEX($A614:$BM614,,$BV$27)*$BW$27+
$BN614)),
$BN614-100)</f>
        <v>-100</v>
      </c>
      <c r="BB614" t="str">
        <f t="shared" si="126"/>
        <v>Darren Waller</v>
      </c>
      <c r="BC614" t="str">
        <f t="shared" si="120"/>
        <v>NYG</v>
      </c>
      <c r="BD614" s="430">
        <f>IFERROR(
IF(BB614="",-100,
IF($BV$2&gt;0, INDEX(Beersheet!$A:$U,MATCH(BB614,INDEX(Beersheet!$A:$U,0,FFARawStatProjections!$BV$2),0),$BV$3)+$BN614,
INDEX($A614:$BM614,,$BV$12)*$BW$12+
INDEX($A614:$BM614,,$BV$15)*$BW$15+
INDEX($A614:$BM614,,$BV$16)*$BW$16+
INDEX($A614:$BM614,,$BV$17)*$BW$17+
INDEX($A614:$BM614,,$BV$18)*$BW$18+
INDEX($A614:$BM614,,$BV$19)*$BW$19+
INDEX($A614:$BM614,,$BV$20)*$BW$20+
INDEX($A614:$BM614,,$BV$21)*$BW$21+
INDEX($A614:$BM614,,$BV$22)*$BW$22+
INDEX($A614:$BM614,,$BV$23)*$BW$23+
INDEX($A614:$BM614,,$BV$25)*$BW$25+
INDEX($A614:$BM614,,$BV$26)*$BW$26+
INDEX($A614:$BM614,,$BV$27)*$BW$27+
$BN614)),
$BN614-100)</f>
        <v>175.26613000000003</v>
      </c>
      <c r="BF614" t="str">
        <f t="shared" si="127"/>
        <v/>
      </c>
      <c r="BG614" t="str">
        <f t="shared" si="128"/>
        <v/>
      </c>
      <c r="BH614">
        <f t="shared" si="129"/>
        <v>0</v>
      </c>
      <c r="BJ614" t="str">
        <f t="shared" si="130"/>
        <v/>
      </c>
      <c r="BL614">
        <f t="shared" si="132"/>
        <v>0</v>
      </c>
      <c r="BN614">
        <v>6.13E-3</v>
      </c>
      <c r="BS614" s="4" t="s">
        <v>2413</v>
      </c>
    </row>
    <row r="615" spans="1:71" ht="15.75" thickBot="1" x14ac:dyDescent="0.3">
      <c r="A615" s="569" t="s">
        <v>2232</v>
      </c>
      <c r="B615" s="569" t="s">
        <v>148</v>
      </c>
      <c r="C615" s="569" t="s">
        <v>7</v>
      </c>
      <c r="D615" s="574">
        <v>11</v>
      </c>
      <c r="E615" s="569"/>
      <c r="F615" s="569"/>
      <c r="G615" s="569"/>
      <c r="H615" s="569"/>
      <c r="I615" s="574">
        <v>0</v>
      </c>
      <c r="J615" s="574">
        <v>0</v>
      </c>
      <c r="K615" s="574">
        <v>0</v>
      </c>
      <c r="L615" s="574">
        <v>59.5</v>
      </c>
      <c r="M615" s="574">
        <v>4</v>
      </c>
      <c r="N615" s="574">
        <v>790.1</v>
      </c>
      <c r="O615" s="574">
        <v>0</v>
      </c>
      <c r="P615" s="574">
        <v>0</v>
      </c>
      <c r="Q615" s="574">
        <v>0</v>
      </c>
      <c r="R615" s="569"/>
      <c r="S615" s="569"/>
      <c r="T615" s="569"/>
      <c r="U615" s="569"/>
      <c r="V615" s="569"/>
      <c r="W615" s="569"/>
      <c r="X615" s="569"/>
      <c r="Y615" s="569"/>
      <c r="Z615" s="569"/>
      <c r="AA615" s="569"/>
      <c r="AB615" s="569"/>
      <c r="AC615" s="569"/>
      <c r="AD615" s="569"/>
      <c r="AE615" s="569"/>
      <c r="AF615" s="569"/>
      <c r="AG615" s="569"/>
      <c r="AH615" s="569"/>
      <c r="AI615" s="569"/>
      <c r="AJ615" s="569"/>
      <c r="AK615" s="569"/>
      <c r="AL615" s="569"/>
      <c r="AM615" s="569"/>
      <c r="AN615" s="574">
        <v>102.9</v>
      </c>
      <c r="AO615">
        <v>614</v>
      </c>
      <c r="AP615" t="str">
        <f t="shared" si="131"/>
        <v/>
      </c>
      <c r="AQ615" t="str">
        <f t="shared" si="121"/>
        <v/>
      </c>
      <c r="AR615" s="430">
        <f>IFERROR(
IF(AP615="",-100,
IF($BV$2&gt;0, INDEX(Beersheet!$A:$U,MATCH(AP615,INDEX(Beersheet!$A:$U,0,FFARawStatProjections!$BV$2),0),$BV$3)+$BN615,
INDEX($A615:$BM615,,$BV$12)*$BW$12+
INDEX($A615:$BM615,,$BV$15)*$BW$15+
INDEX($A615:$BM615,,$BV$16)*$BW$16+
INDEX($A615:$BM615,,$BV$17)*$BW$17+
INDEX($A615:$BM615,,$BV$18)*$BW$18+
INDEX($A615:$BM615,,$BV$19)*$BW$19+
INDEX($A615:$BM615,,$BV$20)*$BW$20+
INDEX($A615:$BM615,,$BV$21)*$BW$21+
INDEX($A615:$BM615,,$BV$22)*$BW$22+
INDEX($A615:$BM615,,$BV$23)*$BW$23+
INDEX($A615:$BM615,,$BV$25)*$BW$25+
INDEX($A615:$BM615,,$BV$26)*$BW$26+
INDEX($A615:$BM615,,$BV$27)*$BW$27+
$BN615)),
$BN615-100)</f>
        <v>-100</v>
      </c>
      <c r="AT615" t="str">
        <f t="shared" si="122"/>
        <v/>
      </c>
      <c r="AU615" t="str">
        <f t="shared" si="123"/>
        <v/>
      </c>
      <c r="AV615" s="430">
        <f>IFERROR(
IF(AT615="",-100,
IF($BV$2&gt;0, INDEX(Beersheet!$A:$U,MATCH(AT615,INDEX(Beersheet!$A:$U,0,FFARawStatProjections!$BV$2),0),$BV$3)+$BN615,
INDEX($A615:$BM615,,$BV$12)*$BW$12+
INDEX($A615:$BM615,,$BV$15)*$BW$15+
INDEX($A615:$BM615,,$BV$16)*$BW$16+
INDEX($A615:$BM615,,$BV$17)*$BW$17+
INDEX($A615:$BM615,,$BV$18)*$BW$18+
INDEX($A615:$BM615,,$BV$19)*$BW$19+
INDEX($A615:$BM615,,$BV$20)*$BW$20+
INDEX($A615:$BM615,,$BV$21)*$BW$21+
INDEX($A615:$BM615,,$BV$22)*$BW$22+
INDEX($A615:$BM615,,$BV$23)*$BW$23+
INDEX($A615:$BM615,,$BV$25)*$BW$25+
INDEX($A615:$BM615,,$BV$26)*$BW$26+
INDEX($A615:$BM615,,$BV$27)*$BW$27+
$BN615)),
$BN615-100)</f>
        <v>-100</v>
      </c>
      <c r="AX615" t="str">
        <f t="shared" si="124"/>
        <v/>
      </c>
      <c r="AY615" t="str">
        <f t="shared" si="125"/>
        <v/>
      </c>
      <c r="AZ615" s="430">
        <f>IFERROR(
IF(AX615="",-100,
IF($BV$2&gt;0, INDEX(Beersheet!$A:$U,MATCH(AX615,INDEX(Beersheet!$A:$U,0,FFARawStatProjections!$BV$2),0),$BV$3)+$BN615,
INDEX($A615:$BM615,,$BV$12)*$BW$12+
INDEX($A615:$BM615,,$BV$15)*$BW$15+
INDEX($A615:$BM615,,$BV$16)*$BW$16+
INDEX($A615:$BM615,,$BV$17)*$BW$17+
INDEX($A615:$BM615,,$BV$18)*$BW$18+
INDEX($A615:$BM615,,$BV$19)*$BW$19+
INDEX($A615:$BM615,,$BV$20)*$BW$20+
INDEX($A615:$BM615,,$BV$21)*$BW$21+
INDEX($A615:$BM615,,$BV$22)*$BW$22+
INDEX($A615:$BM615,,$BV$23)*$BW$23+
INDEX($A615:$BM615,,$BV$25)*$BW$25+
INDEX($A615:$BM615,,$BV$26)*$BW$26+
INDEX($A615:$BM615,,$BV$27)*$BW$27+
$BN615)),
$BN615-100)</f>
        <v>-100</v>
      </c>
      <c r="BB615" t="str">
        <f t="shared" si="126"/>
        <v>Kyle Pitts</v>
      </c>
      <c r="BC615" t="str">
        <f t="shared" si="120"/>
        <v>ATL</v>
      </c>
      <c r="BD615" s="430">
        <f>IFERROR(
IF(BB615="",-100,
IF($BV$2&gt;0, INDEX(Beersheet!$A:$U,MATCH(BB615,INDEX(Beersheet!$A:$U,0,FFARawStatProjections!$BV$2),0),$BV$3)+$BN615,
INDEX($A615:$BM615,,$BV$12)*$BW$12+
INDEX($A615:$BM615,,$BV$15)*$BW$15+
INDEX($A615:$BM615,,$BV$16)*$BW$16+
INDEX($A615:$BM615,,$BV$17)*$BW$17+
INDEX($A615:$BM615,,$BV$18)*$BW$18+
INDEX($A615:$BM615,,$BV$19)*$BW$19+
INDEX($A615:$BM615,,$BV$20)*$BW$20+
INDEX($A615:$BM615,,$BV$21)*$BW$21+
INDEX($A615:$BM615,,$BV$22)*$BW$22+
INDEX($A615:$BM615,,$BV$23)*$BW$23+
INDEX($A615:$BM615,,$BV$25)*$BW$25+
INDEX($A615:$BM615,,$BV$26)*$BW$26+
INDEX($A615:$BM615,,$BV$27)*$BW$27+
$BN615)),
$BN615-100)</f>
        <v>162.51613999999998</v>
      </c>
      <c r="BF615" t="str">
        <f t="shared" si="127"/>
        <v/>
      </c>
      <c r="BG615" t="str">
        <f t="shared" si="128"/>
        <v/>
      </c>
      <c r="BH615">
        <f t="shared" si="129"/>
        <v>0</v>
      </c>
      <c r="BJ615" t="str">
        <f t="shared" si="130"/>
        <v/>
      </c>
      <c r="BL615">
        <f t="shared" si="132"/>
        <v>0</v>
      </c>
      <c r="BN615">
        <v>6.1399999999999996E-3</v>
      </c>
      <c r="BS615" s="4" t="s">
        <v>2412</v>
      </c>
    </row>
    <row r="616" spans="1:71" ht="15.75" thickBot="1" x14ac:dyDescent="0.3">
      <c r="A616" s="569" t="s">
        <v>1813</v>
      </c>
      <c r="B616" s="569" t="s">
        <v>137</v>
      </c>
      <c r="C616" s="569" t="s">
        <v>7</v>
      </c>
      <c r="D616" s="574">
        <v>10</v>
      </c>
      <c r="E616" s="569"/>
      <c r="F616" s="569"/>
      <c r="G616" s="569"/>
      <c r="H616" s="569"/>
      <c r="I616" s="574">
        <v>0</v>
      </c>
      <c r="J616" s="574">
        <v>0</v>
      </c>
      <c r="K616" s="574">
        <v>0</v>
      </c>
      <c r="L616" s="574">
        <v>64.2</v>
      </c>
      <c r="M616" s="574">
        <v>4.0999999999999996</v>
      </c>
      <c r="N616" s="574">
        <v>738.1</v>
      </c>
      <c r="O616" s="574">
        <v>0</v>
      </c>
      <c r="P616" s="574">
        <v>0</v>
      </c>
      <c r="Q616" s="574">
        <v>0</v>
      </c>
      <c r="R616" s="569"/>
      <c r="S616" s="569"/>
      <c r="T616" s="569"/>
      <c r="U616" s="569"/>
      <c r="V616" s="569"/>
      <c r="W616" s="569"/>
      <c r="X616" s="569"/>
      <c r="Y616" s="569"/>
      <c r="Z616" s="569"/>
      <c r="AA616" s="569"/>
      <c r="AB616" s="569"/>
      <c r="AC616" s="569"/>
      <c r="AD616" s="569"/>
      <c r="AE616" s="569"/>
      <c r="AF616" s="569"/>
      <c r="AG616" s="569"/>
      <c r="AH616" s="569"/>
      <c r="AI616" s="569"/>
      <c r="AJ616" s="569"/>
      <c r="AK616" s="569"/>
      <c r="AL616" s="569"/>
      <c r="AM616" s="569"/>
      <c r="AN616" s="574">
        <v>97.5</v>
      </c>
      <c r="AO616">
        <v>615</v>
      </c>
      <c r="AP616" t="str">
        <f t="shared" si="131"/>
        <v/>
      </c>
      <c r="AQ616" t="str">
        <f t="shared" si="121"/>
        <v/>
      </c>
      <c r="AR616" s="430">
        <f>IFERROR(
IF(AP616="",-100,
IF($BV$2&gt;0, INDEX(Beersheet!$A:$U,MATCH(AP616,INDEX(Beersheet!$A:$U,0,FFARawStatProjections!$BV$2),0),$BV$3)+$BN616,
INDEX($A616:$BM616,,$BV$12)*$BW$12+
INDEX($A616:$BM616,,$BV$15)*$BW$15+
INDEX($A616:$BM616,,$BV$16)*$BW$16+
INDEX($A616:$BM616,,$BV$17)*$BW$17+
INDEX($A616:$BM616,,$BV$18)*$BW$18+
INDEX($A616:$BM616,,$BV$19)*$BW$19+
INDEX($A616:$BM616,,$BV$20)*$BW$20+
INDEX($A616:$BM616,,$BV$21)*$BW$21+
INDEX($A616:$BM616,,$BV$22)*$BW$22+
INDEX($A616:$BM616,,$BV$23)*$BW$23+
INDEX($A616:$BM616,,$BV$25)*$BW$25+
INDEX($A616:$BM616,,$BV$26)*$BW$26+
INDEX($A616:$BM616,,$BV$27)*$BW$27+
$BN616)),
$BN616-100)</f>
        <v>-100</v>
      </c>
      <c r="AT616" t="str">
        <f t="shared" si="122"/>
        <v/>
      </c>
      <c r="AU616" t="str">
        <f t="shared" si="123"/>
        <v/>
      </c>
      <c r="AV616" s="430">
        <f>IFERROR(
IF(AT616="",-100,
IF($BV$2&gt;0, INDEX(Beersheet!$A:$U,MATCH(AT616,INDEX(Beersheet!$A:$U,0,FFARawStatProjections!$BV$2),0),$BV$3)+$BN616,
INDEX($A616:$BM616,,$BV$12)*$BW$12+
INDEX($A616:$BM616,,$BV$15)*$BW$15+
INDEX($A616:$BM616,,$BV$16)*$BW$16+
INDEX($A616:$BM616,,$BV$17)*$BW$17+
INDEX($A616:$BM616,,$BV$18)*$BW$18+
INDEX($A616:$BM616,,$BV$19)*$BW$19+
INDEX($A616:$BM616,,$BV$20)*$BW$20+
INDEX($A616:$BM616,,$BV$21)*$BW$21+
INDEX($A616:$BM616,,$BV$22)*$BW$22+
INDEX($A616:$BM616,,$BV$23)*$BW$23+
INDEX($A616:$BM616,,$BV$25)*$BW$25+
INDEX($A616:$BM616,,$BV$26)*$BW$26+
INDEX($A616:$BM616,,$BV$27)*$BW$27+
$BN616)),
$BN616-100)</f>
        <v>-100</v>
      </c>
      <c r="AX616" t="str">
        <f t="shared" si="124"/>
        <v/>
      </c>
      <c r="AY616" t="str">
        <f t="shared" si="125"/>
        <v/>
      </c>
      <c r="AZ616" s="430">
        <f>IFERROR(
IF(AX616="",-100,
IF($BV$2&gt;0, INDEX(Beersheet!$A:$U,MATCH(AX616,INDEX(Beersheet!$A:$U,0,FFARawStatProjections!$BV$2),0),$BV$3)+$BN616,
INDEX($A616:$BM616,,$BV$12)*$BW$12+
INDEX($A616:$BM616,,$BV$15)*$BW$15+
INDEX($A616:$BM616,,$BV$16)*$BW$16+
INDEX($A616:$BM616,,$BV$17)*$BW$17+
INDEX($A616:$BM616,,$BV$18)*$BW$18+
INDEX($A616:$BM616,,$BV$19)*$BW$19+
INDEX($A616:$BM616,,$BV$20)*$BW$20+
INDEX($A616:$BM616,,$BV$21)*$BW$21+
INDEX($A616:$BM616,,$BV$22)*$BW$22+
INDEX($A616:$BM616,,$BV$23)*$BW$23+
INDEX($A616:$BM616,,$BV$25)*$BW$25+
INDEX($A616:$BM616,,$BV$26)*$BW$26+
INDEX($A616:$BM616,,$BV$27)*$BW$27+
$BN616)),
$BN616-100)</f>
        <v>-100</v>
      </c>
      <c r="BB616" t="str">
        <f t="shared" si="126"/>
        <v>Dallas Goedert</v>
      </c>
      <c r="BC616" t="str">
        <f t="shared" si="120"/>
        <v>PHI</v>
      </c>
      <c r="BD616" s="430">
        <f>IFERROR(
IF(BB616="",-100,
IF($BV$2&gt;0, INDEX(Beersheet!$A:$U,MATCH(BB616,INDEX(Beersheet!$A:$U,0,FFARawStatProjections!$BV$2),0),$BV$3)+$BN616,
INDEX($A616:$BM616,,$BV$12)*$BW$12+
INDEX($A616:$BM616,,$BV$15)*$BW$15+
INDEX($A616:$BM616,,$BV$16)*$BW$16+
INDEX($A616:$BM616,,$BV$17)*$BW$17+
INDEX($A616:$BM616,,$BV$18)*$BW$18+
INDEX($A616:$BM616,,$BV$19)*$BW$19+
INDEX($A616:$BM616,,$BV$20)*$BW$20+
INDEX($A616:$BM616,,$BV$21)*$BW$21+
INDEX($A616:$BM616,,$BV$22)*$BW$22+
INDEX($A616:$BM616,,$BV$23)*$BW$23+
INDEX($A616:$BM616,,$BV$25)*$BW$25+
INDEX($A616:$BM616,,$BV$26)*$BW$26+
INDEX($A616:$BM616,,$BV$27)*$BW$27+
$BN616)),
$BN616-100)</f>
        <v>162.61615</v>
      </c>
      <c r="BF616" t="str">
        <f t="shared" si="127"/>
        <v/>
      </c>
      <c r="BG616" t="str">
        <f t="shared" si="128"/>
        <v/>
      </c>
      <c r="BH616">
        <f t="shared" si="129"/>
        <v>0</v>
      </c>
      <c r="BJ616" t="str">
        <f t="shared" si="130"/>
        <v/>
      </c>
      <c r="BL616">
        <f t="shared" si="132"/>
        <v>0</v>
      </c>
      <c r="BN616">
        <v>6.1500000000000001E-3</v>
      </c>
      <c r="BS616" s="4" t="s">
        <v>2225</v>
      </c>
    </row>
    <row r="617" spans="1:71" ht="15.75" thickBot="1" x14ac:dyDescent="0.3">
      <c r="A617" s="569" t="s">
        <v>2236</v>
      </c>
      <c r="B617" s="569" t="s">
        <v>147</v>
      </c>
      <c r="C617" s="569" t="s">
        <v>7</v>
      </c>
      <c r="D617" s="574">
        <v>6</v>
      </c>
      <c r="E617" s="569"/>
      <c r="F617" s="569"/>
      <c r="G617" s="569"/>
      <c r="H617" s="569"/>
      <c r="I617" s="574">
        <v>0</v>
      </c>
      <c r="J617" s="574">
        <v>0</v>
      </c>
      <c r="K617" s="574">
        <v>0</v>
      </c>
      <c r="L617" s="574">
        <v>59.7</v>
      </c>
      <c r="M617" s="574">
        <v>4.0999999999999996</v>
      </c>
      <c r="N617" s="574">
        <v>634.9</v>
      </c>
      <c r="O617" s="574">
        <v>0</v>
      </c>
      <c r="P617" s="574">
        <v>0</v>
      </c>
      <c r="Q617" s="574">
        <v>0</v>
      </c>
      <c r="R617" s="569"/>
      <c r="S617" s="569"/>
      <c r="T617" s="569"/>
      <c r="U617" s="569"/>
      <c r="V617" s="569"/>
      <c r="W617" s="569"/>
      <c r="X617" s="569"/>
      <c r="Y617" s="569"/>
      <c r="Z617" s="569"/>
      <c r="AA617" s="569"/>
      <c r="AB617" s="569"/>
      <c r="AC617" s="569"/>
      <c r="AD617" s="569"/>
      <c r="AE617" s="569"/>
      <c r="AF617" s="569"/>
      <c r="AG617" s="569"/>
      <c r="AH617" s="569"/>
      <c r="AI617" s="569"/>
      <c r="AJ617" s="569"/>
      <c r="AK617" s="569"/>
      <c r="AL617" s="569"/>
      <c r="AM617" s="569"/>
      <c r="AN617" s="574">
        <v>87.5</v>
      </c>
      <c r="AO617">
        <v>616</v>
      </c>
      <c r="AP617" t="str">
        <f t="shared" si="131"/>
        <v/>
      </c>
      <c r="AQ617" t="str">
        <f t="shared" si="121"/>
        <v/>
      </c>
      <c r="AR617" s="430">
        <f>IFERROR(
IF(AP617="",-100,
IF($BV$2&gt;0, INDEX(Beersheet!$A:$U,MATCH(AP617,INDEX(Beersheet!$A:$U,0,FFARawStatProjections!$BV$2),0),$BV$3)+$BN617,
INDEX($A617:$BM617,,$BV$12)*$BW$12+
INDEX($A617:$BM617,,$BV$15)*$BW$15+
INDEX($A617:$BM617,,$BV$16)*$BW$16+
INDEX($A617:$BM617,,$BV$17)*$BW$17+
INDEX($A617:$BM617,,$BV$18)*$BW$18+
INDEX($A617:$BM617,,$BV$19)*$BW$19+
INDEX($A617:$BM617,,$BV$20)*$BW$20+
INDEX($A617:$BM617,,$BV$21)*$BW$21+
INDEX($A617:$BM617,,$BV$22)*$BW$22+
INDEX($A617:$BM617,,$BV$23)*$BW$23+
INDEX($A617:$BM617,,$BV$25)*$BW$25+
INDEX($A617:$BM617,,$BV$26)*$BW$26+
INDEX($A617:$BM617,,$BV$27)*$BW$27+
$BN617)),
$BN617-100)</f>
        <v>-100</v>
      </c>
      <c r="AT617" t="str">
        <f t="shared" si="122"/>
        <v/>
      </c>
      <c r="AU617" t="str">
        <f t="shared" si="123"/>
        <v/>
      </c>
      <c r="AV617" s="430">
        <f>IFERROR(
IF(AT617="",-100,
IF($BV$2&gt;0, INDEX(Beersheet!$A:$U,MATCH(AT617,INDEX(Beersheet!$A:$U,0,FFARawStatProjections!$BV$2),0),$BV$3)+$BN617,
INDEX($A617:$BM617,,$BV$12)*$BW$12+
INDEX($A617:$BM617,,$BV$15)*$BW$15+
INDEX($A617:$BM617,,$BV$16)*$BW$16+
INDEX($A617:$BM617,,$BV$17)*$BW$17+
INDEX($A617:$BM617,,$BV$18)*$BW$18+
INDEX($A617:$BM617,,$BV$19)*$BW$19+
INDEX($A617:$BM617,,$BV$20)*$BW$20+
INDEX($A617:$BM617,,$BV$21)*$BW$21+
INDEX($A617:$BM617,,$BV$22)*$BW$22+
INDEX($A617:$BM617,,$BV$23)*$BW$23+
INDEX($A617:$BM617,,$BV$25)*$BW$25+
INDEX($A617:$BM617,,$BV$26)*$BW$26+
INDEX($A617:$BM617,,$BV$27)*$BW$27+
$BN617)),
$BN617-100)</f>
        <v>-100</v>
      </c>
      <c r="AX617" t="str">
        <f t="shared" si="124"/>
        <v/>
      </c>
      <c r="AY617" t="str">
        <f t="shared" si="125"/>
        <v/>
      </c>
      <c r="AZ617" s="430">
        <f>IFERROR(
IF(AX617="",-100,
IF($BV$2&gt;0, INDEX(Beersheet!$A:$U,MATCH(AX617,INDEX(Beersheet!$A:$U,0,FFARawStatProjections!$BV$2),0),$BV$3)+$BN617,
INDEX($A617:$BM617,,$BV$12)*$BW$12+
INDEX($A617:$BM617,,$BV$15)*$BW$15+
INDEX($A617:$BM617,,$BV$16)*$BW$16+
INDEX($A617:$BM617,,$BV$17)*$BW$17+
INDEX($A617:$BM617,,$BV$18)*$BW$18+
INDEX($A617:$BM617,,$BV$19)*$BW$19+
INDEX($A617:$BM617,,$BV$20)*$BW$20+
INDEX($A617:$BM617,,$BV$21)*$BW$21+
INDEX($A617:$BM617,,$BV$22)*$BW$22+
INDEX($A617:$BM617,,$BV$23)*$BW$23+
INDEX($A617:$BM617,,$BV$25)*$BW$25+
INDEX($A617:$BM617,,$BV$26)*$BW$26+
INDEX($A617:$BM617,,$BV$27)*$BW$27+
$BN617)),
$BN617-100)</f>
        <v>-100</v>
      </c>
      <c r="BB617" t="str">
        <f t="shared" si="126"/>
        <v>Patrick Freiermuth</v>
      </c>
      <c r="BC617" t="str">
        <f t="shared" si="120"/>
        <v>PIT</v>
      </c>
      <c r="BD617" s="430">
        <f>IFERROR(
IF(BB617="",-100,
IF($BV$2&gt;0, INDEX(Beersheet!$A:$U,MATCH(BB617,INDEX(Beersheet!$A:$U,0,FFARawStatProjections!$BV$2),0),$BV$3)+$BN617,
INDEX($A617:$BM617,,$BV$12)*$BW$12+
INDEX($A617:$BM617,,$BV$15)*$BW$15+
INDEX($A617:$BM617,,$BV$16)*$BW$16+
INDEX($A617:$BM617,,$BV$17)*$BW$17+
INDEX($A617:$BM617,,$BV$18)*$BW$18+
INDEX($A617:$BM617,,$BV$19)*$BW$19+
INDEX($A617:$BM617,,$BV$20)*$BW$20+
INDEX($A617:$BM617,,$BV$21)*$BW$21+
INDEX($A617:$BM617,,$BV$22)*$BW$22+
INDEX($A617:$BM617,,$BV$23)*$BW$23+
INDEX($A617:$BM617,,$BV$25)*$BW$25+
INDEX($A617:$BM617,,$BV$26)*$BW$26+
INDEX($A617:$BM617,,$BV$27)*$BW$27+
$BN617)),
$BN617-100)</f>
        <v>147.79615999999999</v>
      </c>
      <c r="BF617" t="str">
        <f t="shared" si="127"/>
        <v/>
      </c>
      <c r="BG617" t="str">
        <f t="shared" si="128"/>
        <v/>
      </c>
      <c r="BH617">
        <f t="shared" si="129"/>
        <v>0</v>
      </c>
      <c r="BJ617" t="str">
        <f t="shared" si="130"/>
        <v/>
      </c>
      <c r="BL617">
        <f t="shared" si="132"/>
        <v>0</v>
      </c>
      <c r="BN617">
        <v>6.1599999999999997E-3</v>
      </c>
      <c r="BS617" s="4" t="s">
        <v>2221</v>
      </c>
    </row>
    <row r="618" spans="1:71" ht="15.75" thickBot="1" x14ac:dyDescent="0.3">
      <c r="A618" s="569" t="s">
        <v>1412</v>
      </c>
      <c r="B618" s="569" t="s">
        <v>165</v>
      </c>
      <c r="C618" s="569" t="s">
        <v>7</v>
      </c>
      <c r="D618" s="574">
        <v>9</v>
      </c>
      <c r="E618" s="569"/>
      <c r="F618" s="569"/>
      <c r="G618" s="569"/>
      <c r="H618" s="569"/>
      <c r="I618" s="574">
        <v>0</v>
      </c>
      <c r="J618" s="574">
        <v>0</v>
      </c>
      <c r="K618" s="574">
        <v>0</v>
      </c>
      <c r="L618" s="574">
        <v>62.6</v>
      </c>
      <c r="M618" s="574">
        <v>3.6</v>
      </c>
      <c r="N618" s="574">
        <v>653.29999999999995</v>
      </c>
      <c r="O618" s="574">
        <v>0</v>
      </c>
      <c r="P618" s="574">
        <v>0</v>
      </c>
      <c r="Q618" s="574">
        <v>0</v>
      </c>
      <c r="R618" s="569"/>
      <c r="S618" s="569"/>
      <c r="T618" s="569"/>
      <c r="U618" s="569"/>
      <c r="V618" s="569"/>
      <c r="W618" s="569"/>
      <c r="X618" s="569"/>
      <c r="Y618" s="569"/>
      <c r="Z618" s="569"/>
      <c r="AA618" s="569"/>
      <c r="AB618" s="569"/>
      <c r="AC618" s="569"/>
      <c r="AD618" s="569"/>
      <c r="AE618" s="569"/>
      <c r="AF618" s="569"/>
      <c r="AG618" s="569"/>
      <c r="AH618" s="569"/>
      <c r="AI618" s="569"/>
      <c r="AJ618" s="569"/>
      <c r="AK618" s="569"/>
      <c r="AL618" s="569"/>
      <c r="AM618" s="569"/>
      <c r="AN618" s="574">
        <v>87.4</v>
      </c>
      <c r="AO618">
        <v>617</v>
      </c>
      <c r="AP618" t="str">
        <f t="shared" si="131"/>
        <v/>
      </c>
      <c r="AQ618" t="str">
        <f t="shared" si="121"/>
        <v/>
      </c>
      <c r="AR618" s="430">
        <f>IFERROR(
IF(AP618="",-100,
IF($BV$2&gt;0, INDEX(Beersheet!$A:$U,MATCH(AP618,INDEX(Beersheet!$A:$U,0,FFARawStatProjections!$BV$2),0),$BV$3)+$BN618,
INDEX($A618:$BM618,,$BV$12)*$BW$12+
INDEX($A618:$BM618,,$BV$15)*$BW$15+
INDEX($A618:$BM618,,$BV$16)*$BW$16+
INDEX($A618:$BM618,,$BV$17)*$BW$17+
INDEX($A618:$BM618,,$BV$18)*$BW$18+
INDEX($A618:$BM618,,$BV$19)*$BW$19+
INDEX($A618:$BM618,,$BV$20)*$BW$20+
INDEX($A618:$BM618,,$BV$21)*$BW$21+
INDEX($A618:$BM618,,$BV$22)*$BW$22+
INDEX($A618:$BM618,,$BV$23)*$BW$23+
INDEX($A618:$BM618,,$BV$25)*$BW$25+
INDEX($A618:$BM618,,$BV$26)*$BW$26+
INDEX($A618:$BM618,,$BV$27)*$BW$27+
$BN618)),
$BN618-100)</f>
        <v>-100</v>
      </c>
      <c r="AT618" t="str">
        <f t="shared" si="122"/>
        <v/>
      </c>
      <c r="AU618" t="str">
        <f t="shared" si="123"/>
        <v/>
      </c>
      <c r="AV618" s="430">
        <f>IFERROR(
IF(AT618="",-100,
IF($BV$2&gt;0, INDEX(Beersheet!$A:$U,MATCH(AT618,INDEX(Beersheet!$A:$U,0,FFARawStatProjections!$BV$2),0),$BV$3)+$BN618,
INDEX($A618:$BM618,,$BV$12)*$BW$12+
INDEX($A618:$BM618,,$BV$15)*$BW$15+
INDEX($A618:$BM618,,$BV$16)*$BW$16+
INDEX($A618:$BM618,,$BV$17)*$BW$17+
INDEX($A618:$BM618,,$BV$18)*$BW$18+
INDEX($A618:$BM618,,$BV$19)*$BW$19+
INDEX($A618:$BM618,,$BV$20)*$BW$20+
INDEX($A618:$BM618,,$BV$21)*$BW$21+
INDEX($A618:$BM618,,$BV$22)*$BW$22+
INDEX($A618:$BM618,,$BV$23)*$BW$23+
INDEX($A618:$BM618,,$BV$25)*$BW$25+
INDEX($A618:$BM618,,$BV$26)*$BW$26+
INDEX($A618:$BM618,,$BV$27)*$BW$27+
$BN618)),
$BN618-100)</f>
        <v>-100</v>
      </c>
      <c r="AX618" t="str">
        <f t="shared" si="124"/>
        <v/>
      </c>
      <c r="AY618" t="str">
        <f t="shared" si="125"/>
        <v/>
      </c>
      <c r="AZ618" s="430">
        <f>IFERROR(
IF(AX618="",-100,
IF($BV$2&gt;0, INDEX(Beersheet!$A:$U,MATCH(AX618,INDEX(Beersheet!$A:$U,0,FFARawStatProjections!$BV$2),0),$BV$3)+$BN618,
INDEX($A618:$BM618,,$BV$12)*$BW$12+
INDEX($A618:$BM618,,$BV$15)*$BW$15+
INDEX($A618:$BM618,,$BV$16)*$BW$16+
INDEX($A618:$BM618,,$BV$17)*$BW$17+
INDEX($A618:$BM618,,$BV$18)*$BW$18+
INDEX($A618:$BM618,,$BV$19)*$BW$19+
INDEX($A618:$BM618,,$BV$20)*$BW$20+
INDEX($A618:$BM618,,$BV$21)*$BW$21+
INDEX($A618:$BM618,,$BV$22)*$BW$22+
INDEX($A618:$BM618,,$BV$23)*$BW$23+
INDEX($A618:$BM618,,$BV$25)*$BW$25+
INDEX($A618:$BM618,,$BV$26)*$BW$26+
INDEX($A618:$BM618,,$BV$27)*$BW$27+
$BN618)),
$BN618-100)</f>
        <v>-100</v>
      </c>
      <c r="BB618" t="str">
        <f t="shared" si="126"/>
        <v>Evan Engram</v>
      </c>
      <c r="BC618" t="str">
        <f t="shared" si="120"/>
        <v>JAC</v>
      </c>
      <c r="BD618" s="430">
        <f>IFERROR(
IF(BB618="",-100,
IF($BV$2&gt;0, INDEX(Beersheet!$A:$U,MATCH(BB618,INDEX(Beersheet!$A:$U,0,FFARawStatProjections!$BV$2),0),$BV$3)+$BN618,
INDEX($A618:$BM618,,$BV$12)*$BW$12+
INDEX($A618:$BM618,,$BV$15)*$BW$15+
INDEX($A618:$BM618,,$BV$16)*$BW$16+
INDEX($A618:$BM618,,$BV$17)*$BW$17+
INDEX($A618:$BM618,,$BV$18)*$BW$18+
INDEX($A618:$BM618,,$BV$19)*$BW$19+
INDEX($A618:$BM618,,$BV$20)*$BW$20+
INDEX($A618:$BM618,,$BV$21)*$BW$21+
INDEX($A618:$BM618,,$BV$22)*$BW$22+
INDEX($A618:$BM618,,$BV$23)*$BW$23+
INDEX($A618:$BM618,,$BV$25)*$BW$25+
INDEX($A618:$BM618,,$BV$26)*$BW$26+
INDEX($A618:$BM618,,$BV$27)*$BW$27+
$BN618)),
$BN618-100)</f>
        <v>149.53617</v>
      </c>
      <c r="BF618" t="str">
        <f t="shared" si="127"/>
        <v/>
      </c>
      <c r="BG618" t="str">
        <f t="shared" si="128"/>
        <v/>
      </c>
      <c r="BH618">
        <f t="shared" si="129"/>
        <v>0</v>
      </c>
      <c r="BJ618" t="str">
        <f t="shared" si="130"/>
        <v/>
      </c>
      <c r="BL618">
        <f t="shared" si="132"/>
        <v>0</v>
      </c>
      <c r="BN618">
        <v>6.1700000000000001E-3</v>
      </c>
      <c r="BS618" s="4" t="s">
        <v>2411</v>
      </c>
    </row>
    <row r="619" spans="1:71" ht="15.75" thickBot="1" x14ac:dyDescent="0.3">
      <c r="A619" s="569" t="s">
        <v>1424</v>
      </c>
      <c r="B619" s="569" t="s">
        <v>161</v>
      </c>
      <c r="C619" s="569" t="s">
        <v>7</v>
      </c>
      <c r="D619" s="574">
        <v>5</v>
      </c>
      <c r="E619" s="569"/>
      <c r="F619" s="569"/>
      <c r="G619" s="569"/>
      <c r="H619" s="569"/>
      <c r="I619" s="574">
        <v>0</v>
      </c>
      <c r="J619" s="574">
        <v>0</v>
      </c>
      <c r="K619" s="574">
        <v>0</v>
      </c>
      <c r="L619" s="574">
        <v>52.8</v>
      </c>
      <c r="M619" s="574">
        <v>4.3</v>
      </c>
      <c r="N619" s="574">
        <v>577.79999999999995</v>
      </c>
      <c r="O619" s="574">
        <v>0</v>
      </c>
      <c r="P619" s="574">
        <v>0</v>
      </c>
      <c r="Q619" s="574">
        <v>0</v>
      </c>
      <c r="R619" s="569"/>
      <c r="S619" s="569"/>
      <c r="T619" s="569"/>
      <c r="U619" s="569"/>
      <c r="V619" s="569"/>
      <c r="W619" s="569"/>
      <c r="X619" s="569"/>
      <c r="Y619" s="569"/>
      <c r="Z619" s="569"/>
      <c r="AA619" s="569"/>
      <c r="AB619" s="569"/>
      <c r="AC619" s="569"/>
      <c r="AD619" s="569"/>
      <c r="AE619" s="569"/>
      <c r="AF619" s="569"/>
      <c r="AG619" s="569"/>
      <c r="AH619" s="569"/>
      <c r="AI619" s="569"/>
      <c r="AJ619" s="569"/>
      <c r="AK619" s="569"/>
      <c r="AL619" s="569"/>
      <c r="AM619" s="569"/>
      <c r="AN619" s="574">
        <v>83.4</v>
      </c>
      <c r="AO619">
        <v>618</v>
      </c>
      <c r="AP619" t="str">
        <f t="shared" si="131"/>
        <v/>
      </c>
      <c r="AQ619" t="str">
        <f t="shared" si="121"/>
        <v/>
      </c>
      <c r="AR619" s="430">
        <f>IFERROR(
IF(AP619="",-100,
IF($BV$2&gt;0, INDEX(Beersheet!$A:$U,MATCH(AP619,INDEX(Beersheet!$A:$U,0,FFARawStatProjections!$BV$2),0),$BV$3)+$BN619,
INDEX($A619:$BM619,,$BV$12)*$BW$12+
INDEX($A619:$BM619,,$BV$15)*$BW$15+
INDEX($A619:$BM619,,$BV$16)*$BW$16+
INDEX($A619:$BM619,,$BV$17)*$BW$17+
INDEX($A619:$BM619,,$BV$18)*$BW$18+
INDEX($A619:$BM619,,$BV$19)*$BW$19+
INDEX($A619:$BM619,,$BV$20)*$BW$20+
INDEX($A619:$BM619,,$BV$21)*$BW$21+
INDEX($A619:$BM619,,$BV$22)*$BW$22+
INDEX($A619:$BM619,,$BV$23)*$BW$23+
INDEX($A619:$BM619,,$BV$25)*$BW$25+
INDEX($A619:$BM619,,$BV$26)*$BW$26+
INDEX($A619:$BM619,,$BV$27)*$BW$27+
$BN619)),
$BN619-100)</f>
        <v>-100</v>
      </c>
      <c r="AT619" t="str">
        <f t="shared" si="122"/>
        <v/>
      </c>
      <c r="AU619" t="str">
        <f t="shared" si="123"/>
        <v/>
      </c>
      <c r="AV619" s="430">
        <f>IFERROR(
IF(AT619="",-100,
IF($BV$2&gt;0, INDEX(Beersheet!$A:$U,MATCH(AT619,INDEX(Beersheet!$A:$U,0,FFARawStatProjections!$BV$2),0),$BV$3)+$BN619,
INDEX($A619:$BM619,,$BV$12)*$BW$12+
INDEX($A619:$BM619,,$BV$15)*$BW$15+
INDEX($A619:$BM619,,$BV$16)*$BW$16+
INDEX($A619:$BM619,,$BV$17)*$BW$17+
INDEX($A619:$BM619,,$BV$18)*$BW$18+
INDEX($A619:$BM619,,$BV$19)*$BW$19+
INDEX($A619:$BM619,,$BV$20)*$BW$20+
INDEX($A619:$BM619,,$BV$21)*$BW$21+
INDEX($A619:$BM619,,$BV$22)*$BW$22+
INDEX($A619:$BM619,,$BV$23)*$BW$23+
INDEX($A619:$BM619,,$BV$25)*$BW$25+
INDEX($A619:$BM619,,$BV$26)*$BW$26+
INDEX($A619:$BM619,,$BV$27)*$BW$27+
$BN619)),
$BN619-100)</f>
        <v>-100</v>
      </c>
      <c r="AX619" t="str">
        <f t="shared" si="124"/>
        <v/>
      </c>
      <c r="AY619" t="str">
        <f t="shared" si="125"/>
        <v/>
      </c>
      <c r="AZ619" s="430">
        <f>IFERROR(
IF(AX619="",-100,
IF($BV$2&gt;0, INDEX(Beersheet!$A:$U,MATCH(AX619,INDEX(Beersheet!$A:$U,0,FFARawStatProjections!$BV$2),0),$BV$3)+$BN619,
INDEX($A619:$BM619,,$BV$12)*$BW$12+
INDEX($A619:$BM619,,$BV$15)*$BW$15+
INDEX($A619:$BM619,,$BV$16)*$BW$16+
INDEX($A619:$BM619,,$BV$17)*$BW$17+
INDEX($A619:$BM619,,$BV$18)*$BW$18+
INDEX($A619:$BM619,,$BV$19)*$BW$19+
INDEX($A619:$BM619,,$BV$20)*$BW$20+
INDEX($A619:$BM619,,$BV$21)*$BW$21+
INDEX($A619:$BM619,,$BV$22)*$BW$22+
INDEX($A619:$BM619,,$BV$23)*$BW$23+
INDEX($A619:$BM619,,$BV$25)*$BW$25+
INDEX($A619:$BM619,,$BV$26)*$BW$26+
INDEX($A619:$BM619,,$BV$27)*$BW$27+
$BN619)),
$BN619-100)</f>
        <v>-100</v>
      </c>
      <c r="BB619" t="str">
        <f t="shared" si="126"/>
        <v>David Njoku</v>
      </c>
      <c r="BC619" t="str">
        <f t="shared" si="120"/>
        <v>CLE</v>
      </c>
      <c r="BD619" s="430">
        <f>IFERROR(
IF(BB619="",-100,
IF($BV$2&gt;0, INDEX(Beersheet!$A:$U,MATCH(BB619,INDEX(Beersheet!$A:$U,0,FFARawStatProjections!$BV$2),0),$BV$3)+$BN619,
INDEX($A619:$BM619,,$BV$12)*$BW$12+
INDEX($A619:$BM619,,$BV$15)*$BW$15+
INDEX($A619:$BM619,,$BV$16)*$BW$16+
INDEX($A619:$BM619,,$BV$17)*$BW$17+
INDEX($A619:$BM619,,$BV$18)*$BW$18+
INDEX($A619:$BM619,,$BV$19)*$BW$19+
INDEX($A619:$BM619,,$BV$20)*$BW$20+
INDEX($A619:$BM619,,$BV$21)*$BW$21+
INDEX($A619:$BM619,,$BV$22)*$BW$22+
INDEX($A619:$BM619,,$BV$23)*$BW$23+
INDEX($A619:$BM619,,$BV$25)*$BW$25+
INDEX($A619:$BM619,,$BV$26)*$BW$26+
INDEX($A619:$BM619,,$BV$27)*$BW$27+
$BN619)),
$BN619-100)</f>
        <v>136.38618</v>
      </c>
      <c r="BF619" t="str">
        <f t="shared" si="127"/>
        <v/>
      </c>
      <c r="BG619" t="str">
        <f t="shared" si="128"/>
        <v/>
      </c>
      <c r="BH619">
        <f t="shared" si="129"/>
        <v>0</v>
      </c>
      <c r="BJ619" t="str">
        <f t="shared" si="130"/>
        <v/>
      </c>
      <c r="BL619">
        <f t="shared" si="132"/>
        <v>0</v>
      </c>
      <c r="BN619">
        <v>6.1799999999999997E-3</v>
      </c>
      <c r="BS619" s="4" t="s">
        <v>2410</v>
      </c>
    </row>
    <row r="620" spans="1:71" ht="15.75" thickBot="1" x14ac:dyDescent="0.3">
      <c r="A620" s="569" t="s">
        <v>2371</v>
      </c>
      <c r="B620" s="569" t="s">
        <v>163</v>
      </c>
      <c r="C620" s="569" t="s">
        <v>7</v>
      </c>
      <c r="D620" s="574">
        <v>7</v>
      </c>
      <c r="E620" s="569"/>
      <c r="F620" s="569"/>
      <c r="G620" s="569"/>
      <c r="H620" s="569"/>
      <c r="I620" s="574">
        <v>0</v>
      </c>
      <c r="J620" s="574">
        <v>0</v>
      </c>
      <c r="K620" s="574">
        <v>0</v>
      </c>
      <c r="L620" s="574">
        <v>46.9</v>
      </c>
      <c r="M620" s="574">
        <v>3.7</v>
      </c>
      <c r="N620" s="574">
        <v>571.70000000000005</v>
      </c>
      <c r="O620" s="574">
        <v>0</v>
      </c>
      <c r="P620" s="574">
        <v>0</v>
      </c>
      <c r="Q620" s="574">
        <v>0</v>
      </c>
      <c r="R620" s="569"/>
      <c r="S620" s="569"/>
      <c r="T620" s="569"/>
      <c r="U620" s="569"/>
      <c r="V620" s="569"/>
      <c r="W620" s="569"/>
      <c r="X620" s="569"/>
      <c r="Y620" s="569"/>
      <c r="Z620" s="569"/>
      <c r="AA620" s="569"/>
      <c r="AB620" s="569"/>
      <c r="AC620" s="569"/>
      <c r="AD620" s="569"/>
      <c r="AE620" s="569"/>
      <c r="AF620" s="569"/>
      <c r="AG620" s="569"/>
      <c r="AH620" s="569"/>
      <c r="AI620" s="569"/>
      <c r="AJ620" s="569"/>
      <c r="AK620" s="569"/>
      <c r="AL620" s="569"/>
      <c r="AM620" s="569"/>
      <c r="AN620" s="574">
        <v>82.3</v>
      </c>
      <c r="AO620">
        <v>619</v>
      </c>
      <c r="AP620" t="str">
        <f t="shared" si="131"/>
        <v/>
      </c>
      <c r="AQ620" t="str">
        <f t="shared" si="121"/>
        <v/>
      </c>
      <c r="AR620" s="430">
        <f>IFERROR(
IF(AP620="",-100,
IF($BV$2&gt;0, INDEX(Beersheet!$A:$U,MATCH(AP620,INDEX(Beersheet!$A:$U,0,FFARawStatProjections!$BV$2),0),$BV$3)+$BN620,
INDEX($A620:$BM620,,$BV$12)*$BW$12+
INDEX($A620:$BM620,,$BV$15)*$BW$15+
INDEX($A620:$BM620,,$BV$16)*$BW$16+
INDEX($A620:$BM620,,$BV$17)*$BW$17+
INDEX($A620:$BM620,,$BV$18)*$BW$18+
INDEX($A620:$BM620,,$BV$19)*$BW$19+
INDEX($A620:$BM620,,$BV$20)*$BW$20+
INDEX($A620:$BM620,,$BV$21)*$BW$21+
INDEX($A620:$BM620,,$BV$22)*$BW$22+
INDEX($A620:$BM620,,$BV$23)*$BW$23+
INDEX($A620:$BM620,,$BV$25)*$BW$25+
INDEX($A620:$BM620,,$BV$26)*$BW$26+
INDEX($A620:$BM620,,$BV$27)*$BW$27+
$BN620)),
$BN620-100)</f>
        <v>-100</v>
      </c>
      <c r="AT620" t="str">
        <f t="shared" si="122"/>
        <v/>
      </c>
      <c r="AU620" t="str">
        <f t="shared" si="123"/>
        <v/>
      </c>
      <c r="AV620" s="430">
        <f>IFERROR(
IF(AT620="",-100,
IF($BV$2&gt;0, INDEX(Beersheet!$A:$U,MATCH(AT620,INDEX(Beersheet!$A:$U,0,FFARawStatProjections!$BV$2),0),$BV$3)+$BN620,
INDEX($A620:$BM620,,$BV$12)*$BW$12+
INDEX($A620:$BM620,,$BV$15)*$BW$15+
INDEX($A620:$BM620,,$BV$16)*$BW$16+
INDEX($A620:$BM620,,$BV$17)*$BW$17+
INDEX($A620:$BM620,,$BV$18)*$BW$18+
INDEX($A620:$BM620,,$BV$19)*$BW$19+
INDEX($A620:$BM620,,$BV$20)*$BW$20+
INDEX($A620:$BM620,,$BV$21)*$BW$21+
INDEX($A620:$BM620,,$BV$22)*$BW$22+
INDEX($A620:$BM620,,$BV$23)*$BW$23+
INDEX($A620:$BM620,,$BV$25)*$BW$25+
INDEX($A620:$BM620,,$BV$26)*$BW$26+
INDEX($A620:$BM620,,$BV$27)*$BW$27+
$BN620)),
$BN620-100)</f>
        <v>-100</v>
      </c>
      <c r="AX620" t="str">
        <f t="shared" si="124"/>
        <v/>
      </c>
      <c r="AY620" t="str">
        <f t="shared" si="125"/>
        <v/>
      </c>
      <c r="AZ620" s="430">
        <f>IFERROR(
IF(AX620="",-100,
IF($BV$2&gt;0, INDEX(Beersheet!$A:$U,MATCH(AX620,INDEX(Beersheet!$A:$U,0,FFARawStatProjections!$BV$2),0),$BV$3)+$BN620,
INDEX($A620:$BM620,,$BV$12)*$BW$12+
INDEX($A620:$BM620,,$BV$15)*$BW$15+
INDEX($A620:$BM620,,$BV$16)*$BW$16+
INDEX($A620:$BM620,,$BV$17)*$BW$17+
INDEX($A620:$BM620,,$BV$18)*$BW$18+
INDEX($A620:$BM620,,$BV$19)*$BW$19+
INDEX($A620:$BM620,,$BV$20)*$BW$20+
INDEX($A620:$BM620,,$BV$21)*$BW$21+
INDEX($A620:$BM620,,$BV$22)*$BW$22+
INDEX($A620:$BM620,,$BV$23)*$BW$23+
INDEX($A620:$BM620,,$BV$25)*$BW$25+
INDEX($A620:$BM620,,$BV$26)*$BW$26+
INDEX($A620:$BM620,,$BV$27)*$BW$27+
$BN620)),
$BN620-100)</f>
        <v>-100</v>
      </c>
      <c r="BB620" t="str">
        <f t="shared" si="126"/>
        <v>Chigoziem Okonkwo</v>
      </c>
      <c r="BC620" t="str">
        <f t="shared" si="120"/>
        <v>TEN</v>
      </c>
      <c r="BD620" s="430">
        <f>IFERROR(
IF(BB620="",-100,
IF($BV$2&gt;0, INDEX(Beersheet!$A:$U,MATCH(BB620,INDEX(Beersheet!$A:$U,0,FFARawStatProjections!$BV$2),0),$BV$3)+$BN620,
INDEX($A620:$BM620,,$BV$12)*$BW$12+
INDEX($A620:$BM620,,$BV$15)*$BW$15+
INDEX($A620:$BM620,,$BV$16)*$BW$16+
INDEX($A620:$BM620,,$BV$17)*$BW$17+
INDEX($A620:$BM620,,$BV$18)*$BW$18+
INDEX($A620:$BM620,,$BV$19)*$BW$19+
INDEX($A620:$BM620,,$BV$20)*$BW$20+
INDEX($A620:$BM620,,$BV$21)*$BW$21+
INDEX($A620:$BM620,,$BV$22)*$BW$22+
INDEX($A620:$BM620,,$BV$23)*$BW$23+
INDEX($A620:$BM620,,$BV$25)*$BW$25+
INDEX($A620:$BM620,,$BV$26)*$BW$26+
INDEX($A620:$BM620,,$BV$27)*$BW$27+
$BN620)),
$BN620-100)</f>
        <v>126.27619000000001</v>
      </c>
      <c r="BF620" t="str">
        <f t="shared" si="127"/>
        <v/>
      </c>
      <c r="BG620" t="str">
        <f t="shared" si="128"/>
        <v/>
      </c>
      <c r="BH620">
        <f t="shared" si="129"/>
        <v>0</v>
      </c>
      <c r="BJ620" t="str">
        <f t="shared" si="130"/>
        <v/>
      </c>
      <c r="BL620">
        <f t="shared" si="132"/>
        <v>0</v>
      </c>
      <c r="BN620">
        <v>6.1900000000000002E-3</v>
      </c>
      <c r="BS620" s="4" t="s">
        <v>2322</v>
      </c>
    </row>
    <row r="621" spans="1:71" ht="15.75" thickBot="1" x14ac:dyDescent="0.3">
      <c r="A621" s="569" t="s">
        <v>1993</v>
      </c>
      <c r="B621" s="569" t="s">
        <v>151</v>
      </c>
      <c r="C621" s="569" t="s">
        <v>7</v>
      </c>
      <c r="D621" s="574">
        <v>7</v>
      </c>
      <c r="E621" s="569"/>
      <c r="F621" s="569"/>
      <c r="G621" s="569"/>
      <c r="H621" s="569"/>
      <c r="I621" s="574">
        <v>0</v>
      </c>
      <c r="J621" s="574">
        <v>0</v>
      </c>
      <c r="K621" s="574">
        <v>0</v>
      </c>
      <c r="L621" s="574">
        <v>56</v>
      </c>
      <c r="M621" s="574">
        <v>4.2</v>
      </c>
      <c r="N621" s="574">
        <v>574.70000000000005</v>
      </c>
      <c r="O621" s="574">
        <v>0</v>
      </c>
      <c r="P621" s="574">
        <v>0</v>
      </c>
      <c r="Q621" s="574">
        <v>0</v>
      </c>
      <c r="R621" s="569"/>
      <c r="S621" s="569"/>
      <c r="T621" s="569"/>
      <c r="U621" s="569"/>
      <c r="V621" s="569"/>
      <c r="W621" s="569"/>
      <c r="X621" s="569"/>
      <c r="Y621" s="569"/>
      <c r="Z621" s="569"/>
      <c r="AA621" s="569"/>
      <c r="AB621" s="569"/>
      <c r="AC621" s="569"/>
      <c r="AD621" s="569"/>
      <c r="AE621" s="569"/>
      <c r="AF621" s="569"/>
      <c r="AG621" s="569"/>
      <c r="AH621" s="569"/>
      <c r="AI621" s="569"/>
      <c r="AJ621" s="569"/>
      <c r="AK621" s="569"/>
      <c r="AL621" s="569"/>
      <c r="AM621" s="569"/>
      <c r="AN621" s="574">
        <v>81.5</v>
      </c>
      <c r="AO621">
        <v>620</v>
      </c>
      <c r="AP621" t="str">
        <f t="shared" si="131"/>
        <v/>
      </c>
      <c r="AQ621" t="str">
        <f t="shared" si="121"/>
        <v/>
      </c>
      <c r="AR621" s="430">
        <f>IFERROR(
IF(AP621="",-100,
IF($BV$2&gt;0, INDEX(Beersheet!$A:$U,MATCH(AP621,INDEX(Beersheet!$A:$U,0,FFARawStatProjections!$BV$2),0),$BV$3)+$BN621,
INDEX($A621:$BM621,,$BV$12)*$BW$12+
INDEX($A621:$BM621,,$BV$15)*$BW$15+
INDEX($A621:$BM621,,$BV$16)*$BW$16+
INDEX($A621:$BM621,,$BV$17)*$BW$17+
INDEX($A621:$BM621,,$BV$18)*$BW$18+
INDEX($A621:$BM621,,$BV$19)*$BW$19+
INDEX($A621:$BM621,,$BV$20)*$BW$20+
INDEX($A621:$BM621,,$BV$21)*$BW$21+
INDEX($A621:$BM621,,$BV$22)*$BW$22+
INDEX($A621:$BM621,,$BV$23)*$BW$23+
INDEX($A621:$BM621,,$BV$25)*$BW$25+
INDEX($A621:$BM621,,$BV$26)*$BW$26+
INDEX($A621:$BM621,,$BV$27)*$BW$27+
$BN621)),
$BN621-100)</f>
        <v>-100</v>
      </c>
      <c r="AT621" t="str">
        <f t="shared" si="122"/>
        <v/>
      </c>
      <c r="AU621" t="str">
        <f t="shared" si="123"/>
        <v/>
      </c>
      <c r="AV621" s="430">
        <f>IFERROR(
IF(AT621="",-100,
IF($BV$2&gt;0, INDEX(Beersheet!$A:$U,MATCH(AT621,INDEX(Beersheet!$A:$U,0,FFARawStatProjections!$BV$2),0),$BV$3)+$BN621,
INDEX($A621:$BM621,,$BV$12)*$BW$12+
INDEX($A621:$BM621,,$BV$15)*$BW$15+
INDEX($A621:$BM621,,$BV$16)*$BW$16+
INDEX($A621:$BM621,,$BV$17)*$BW$17+
INDEX($A621:$BM621,,$BV$18)*$BW$18+
INDEX($A621:$BM621,,$BV$19)*$BW$19+
INDEX($A621:$BM621,,$BV$20)*$BW$20+
INDEX($A621:$BM621,,$BV$21)*$BW$21+
INDEX($A621:$BM621,,$BV$22)*$BW$22+
INDEX($A621:$BM621,,$BV$23)*$BW$23+
INDEX($A621:$BM621,,$BV$25)*$BW$25+
INDEX($A621:$BM621,,$BV$26)*$BW$26+
INDEX($A621:$BM621,,$BV$27)*$BW$27+
$BN621)),
$BN621-100)</f>
        <v>-100</v>
      </c>
      <c r="AX621" t="str">
        <f t="shared" si="124"/>
        <v/>
      </c>
      <c r="AY621" t="str">
        <f t="shared" si="125"/>
        <v/>
      </c>
      <c r="AZ621" s="430">
        <f>IFERROR(
IF(AX621="",-100,
IF($BV$2&gt;0, INDEX(Beersheet!$A:$U,MATCH(AX621,INDEX(Beersheet!$A:$U,0,FFARawStatProjections!$BV$2),0),$BV$3)+$BN621,
INDEX($A621:$BM621,,$BV$12)*$BW$12+
INDEX($A621:$BM621,,$BV$15)*$BW$15+
INDEX($A621:$BM621,,$BV$16)*$BW$16+
INDEX($A621:$BM621,,$BV$17)*$BW$17+
INDEX($A621:$BM621,,$BV$18)*$BW$18+
INDEX($A621:$BM621,,$BV$19)*$BW$19+
INDEX($A621:$BM621,,$BV$20)*$BW$20+
INDEX($A621:$BM621,,$BV$21)*$BW$21+
INDEX($A621:$BM621,,$BV$22)*$BW$22+
INDEX($A621:$BM621,,$BV$23)*$BW$23+
INDEX($A621:$BM621,,$BV$25)*$BW$25+
INDEX($A621:$BM621,,$BV$26)*$BW$26+
INDEX($A621:$BM621,,$BV$27)*$BW$27+
$BN621)),
$BN621-100)</f>
        <v>-100</v>
      </c>
      <c r="BB621" t="str">
        <f t="shared" si="126"/>
        <v>Dalton Schultz</v>
      </c>
      <c r="BC621" t="str">
        <f t="shared" si="120"/>
        <v>HOU</v>
      </c>
      <c r="BD621" s="430">
        <f>IFERROR(
IF(BB621="",-100,
IF($BV$2&gt;0, INDEX(Beersheet!$A:$U,MATCH(BB621,INDEX(Beersheet!$A:$U,0,FFARawStatProjections!$BV$2),0),$BV$3)+$BN621,
INDEX($A621:$BM621,,$BV$12)*$BW$12+
INDEX($A621:$BM621,,$BV$15)*$BW$15+
INDEX($A621:$BM621,,$BV$16)*$BW$16+
INDEX($A621:$BM621,,$BV$17)*$BW$17+
INDEX($A621:$BM621,,$BV$18)*$BW$18+
INDEX($A621:$BM621,,$BV$19)*$BW$19+
INDEX($A621:$BM621,,$BV$20)*$BW$20+
INDEX($A621:$BM621,,$BV$21)*$BW$21+
INDEX($A621:$BM621,,$BV$22)*$BW$22+
INDEX($A621:$BM621,,$BV$23)*$BW$23+
INDEX($A621:$BM621,,$BV$25)*$BW$25+
INDEX($A621:$BM621,,$BV$26)*$BW$26+
INDEX($A621:$BM621,,$BV$27)*$BW$27+
$BN621)),
$BN621-100)</f>
        <v>138.67620000000002</v>
      </c>
      <c r="BF621" t="str">
        <f t="shared" si="127"/>
        <v/>
      </c>
      <c r="BG621" t="str">
        <f t="shared" si="128"/>
        <v/>
      </c>
      <c r="BH621">
        <f t="shared" si="129"/>
        <v>0</v>
      </c>
      <c r="BJ621" t="str">
        <f t="shared" si="130"/>
        <v/>
      </c>
      <c r="BL621">
        <f t="shared" si="132"/>
        <v>0</v>
      </c>
      <c r="BN621">
        <v>6.1999999999999998E-3</v>
      </c>
      <c r="BS621" s="4" t="s">
        <v>2301</v>
      </c>
    </row>
    <row r="622" spans="1:71" ht="15.75" thickBot="1" x14ac:dyDescent="0.3">
      <c r="A622" s="569" t="s">
        <v>1211</v>
      </c>
      <c r="B622" s="569" t="s">
        <v>1389</v>
      </c>
      <c r="C622" s="569" t="s">
        <v>7</v>
      </c>
      <c r="D622" s="574">
        <v>10</v>
      </c>
      <c r="E622" s="569"/>
      <c r="F622" s="569"/>
      <c r="G622" s="569"/>
      <c r="H622" s="569"/>
      <c r="I622" s="574">
        <v>0</v>
      </c>
      <c r="J622" s="574">
        <v>0</v>
      </c>
      <c r="K622" s="574">
        <v>0</v>
      </c>
      <c r="L622" s="574">
        <v>61.3</v>
      </c>
      <c r="M622" s="574">
        <v>3.5</v>
      </c>
      <c r="N622" s="574">
        <v>580.79999999999995</v>
      </c>
      <c r="O622" s="574">
        <v>0</v>
      </c>
      <c r="P622" s="574">
        <v>0</v>
      </c>
      <c r="Q622" s="574">
        <v>0</v>
      </c>
      <c r="R622" s="569"/>
      <c r="S622" s="569"/>
      <c r="T622" s="569"/>
      <c r="U622" s="569"/>
      <c r="V622" s="569"/>
      <c r="W622" s="569"/>
      <c r="X622" s="569"/>
      <c r="Y622" s="569"/>
      <c r="Z622" s="569"/>
      <c r="AA622" s="569"/>
      <c r="AB622" s="569"/>
      <c r="AC622" s="569"/>
      <c r="AD622" s="569"/>
      <c r="AE622" s="569"/>
      <c r="AF622" s="569"/>
      <c r="AG622" s="569"/>
      <c r="AH622" s="569"/>
      <c r="AI622" s="569"/>
      <c r="AJ622" s="569"/>
      <c r="AK622" s="569"/>
      <c r="AL622" s="569"/>
      <c r="AM622" s="569"/>
      <c r="AN622" s="574">
        <v>79.3</v>
      </c>
      <c r="AO622">
        <v>621</v>
      </c>
      <c r="AP622" t="str">
        <f t="shared" si="131"/>
        <v/>
      </c>
      <c r="AQ622" t="str">
        <f t="shared" si="121"/>
        <v/>
      </c>
      <c r="AR622" s="430">
        <f>IFERROR(
IF(AP622="",-100,
IF($BV$2&gt;0, INDEX(Beersheet!$A:$U,MATCH(AP622,INDEX(Beersheet!$A:$U,0,FFARawStatProjections!$BV$2),0),$BV$3)+$BN622,
INDEX($A622:$BM622,,$BV$12)*$BW$12+
INDEX($A622:$BM622,,$BV$15)*$BW$15+
INDEX($A622:$BM622,,$BV$16)*$BW$16+
INDEX($A622:$BM622,,$BV$17)*$BW$17+
INDEX($A622:$BM622,,$BV$18)*$BW$18+
INDEX($A622:$BM622,,$BV$19)*$BW$19+
INDEX($A622:$BM622,,$BV$20)*$BW$20+
INDEX($A622:$BM622,,$BV$21)*$BW$21+
INDEX($A622:$BM622,,$BV$22)*$BW$22+
INDEX($A622:$BM622,,$BV$23)*$BW$23+
INDEX($A622:$BM622,,$BV$25)*$BW$25+
INDEX($A622:$BM622,,$BV$26)*$BW$26+
INDEX($A622:$BM622,,$BV$27)*$BW$27+
$BN622)),
$BN622-100)</f>
        <v>-100</v>
      </c>
      <c r="AT622" t="str">
        <f t="shared" si="122"/>
        <v/>
      </c>
      <c r="AU622" t="str">
        <f t="shared" si="123"/>
        <v/>
      </c>
      <c r="AV622" s="430">
        <f>IFERROR(
IF(AT622="",-100,
IF($BV$2&gt;0, INDEX(Beersheet!$A:$U,MATCH(AT622,INDEX(Beersheet!$A:$U,0,FFARawStatProjections!$BV$2),0),$BV$3)+$BN622,
INDEX($A622:$BM622,,$BV$12)*$BW$12+
INDEX($A622:$BM622,,$BV$15)*$BW$15+
INDEX($A622:$BM622,,$BV$16)*$BW$16+
INDEX($A622:$BM622,,$BV$17)*$BW$17+
INDEX($A622:$BM622,,$BV$18)*$BW$18+
INDEX($A622:$BM622,,$BV$19)*$BW$19+
INDEX($A622:$BM622,,$BV$20)*$BW$20+
INDEX($A622:$BM622,,$BV$21)*$BW$21+
INDEX($A622:$BM622,,$BV$22)*$BW$22+
INDEX($A622:$BM622,,$BV$23)*$BW$23+
INDEX($A622:$BM622,,$BV$25)*$BW$25+
INDEX($A622:$BM622,,$BV$26)*$BW$26+
INDEX($A622:$BM622,,$BV$27)*$BW$27+
$BN622)),
$BN622-100)</f>
        <v>-100</v>
      </c>
      <c r="AX622" t="str">
        <f t="shared" si="124"/>
        <v/>
      </c>
      <c r="AY622" t="str">
        <f t="shared" si="125"/>
        <v/>
      </c>
      <c r="AZ622" s="430">
        <f>IFERROR(
IF(AX622="",-100,
IF($BV$2&gt;0, INDEX(Beersheet!$A:$U,MATCH(AX622,INDEX(Beersheet!$A:$U,0,FFARawStatProjections!$BV$2),0),$BV$3)+$BN622,
INDEX($A622:$BM622,,$BV$12)*$BW$12+
INDEX($A622:$BM622,,$BV$15)*$BW$15+
INDEX($A622:$BM622,,$BV$16)*$BW$16+
INDEX($A622:$BM622,,$BV$17)*$BW$17+
INDEX($A622:$BM622,,$BV$18)*$BW$18+
INDEX($A622:$BM622,,$BV$19)*$BW$19+
INDEX($A622:$BM622,,$BV$20)*$BW$20+
INDEX($A622:$BM622,,$BV$21)*$BW$21+
INDEX($A622:$BM622,,$BV$22)*$BW$22+
INDEX($A622:$BM622,,$BV$23)*$BW$23+
INDEX($A622:$BM622,,$BV$25)*$BW$25+
INDEX($A622:$BM622,,$BV$26)*$BW$26+
INDEX($A622:$BM622,,$BV$27)*$BW$27+
$BN622)),
$BN622-100)</f>
        <v>-100</v>
      </c>
      <c r="BB622" t="str">
        <f t="shared" si="126"/>
        <v>Tyler Higbee</v>
      </c>
      <c r="BC622" t="str">
        <f t="shared" si="120"/>
        <v>LAR</v>
      </c>
      <c r="BD622" s="430">
        <f>IFERROR(
IF(BB622="",-100,
IF($BV$2&gt;0, INDEX(Beersheet!$A:$U,MATCH(BB622,INDEX(Beersheet!$A:$U,0,FFARawStatProjections!$BV$2),0),$BV$3)+$BN622,
INDEX($A622:$BM622,,$BV$12)*$BW$12+
INDEX($A622:$BM622,,$BV$15)*$BW$15+
INDEX($A622:$BM622,,$BV$16)*$BW$16+
INDEX($A622:$BM622,,$BV$17)*$BW$17+
INDEX($A622:$BM622,,$BV$18)*$BW$18+
INDEX($A622:$BM622,,$BV$19)*$BW$19+
INDEX($A622:$BM622,,$BV$20)*$BW$20+
INDEX($A622:$BM622,,$BV$21)*$BW$21+
INDEX($A622:$BM622,,$BV$22)*$BW$22+
INDEX($A622:$BM622,,$BV$23)*$BW$23+
INDEX($A622:$BM622,,$BV$25)*$BW$25+
INDEX($A622:$BM622,,$BV$26)*$BW$26+
INDEX($A622:$BM622,,$BV$27)*$BW$27+
$BN622)),
$BN622-100)</f>
        <v>140.38621000000001</v>
      </c>
      <c r="BF622" t="str">
        <f t="shared" si="127"/>
        <v/>
      </c>
      <c r="BG622" t="str">
        <f t="shared" si="128"/>
        <v/>
      </c>
      <c r="BH622">
        <f t="shared" si="129"/>
        <v>0</v>
      </c>
      <c r="BJ622" t="str">
        <f t="shared" si="130"/>
        <v/>
      </c>
      <c r="BL622">
        <f t="shared" si="132"/>
        <v>0</v>
      </c>
      <c r="BN622">
        <v>6.2100000000000002E-3</v>
      </c>
      <c r="BS622" s="4" t="s">
        <v>2315</v>
      </c>
    </row>
    <row r="623" spans="1:71" ht="15.75" thickBot="1" x14ac:dyDescent="0.3">
      <c r="A623" s="569" t="s">
        <v>2360</v>
      </c>
      <c r="B623" s="569" t="s">
        <v>144</v>
      </c>
      <c r="C623" s="569" t="s">
        <v>7</v>
      </c>
      <c r="D623" s="574">
        <v>9</v>
      </c>
      <c r="E623" s="569"/>
      <c r="F623" s="569"/>
      <c r="G623" s="569"/>
      <c r="H623" s="569"/>
      <c r="I623" s="574">
        <v>0</v>
      </c>
      <c r="J623" s="574">
        <v>0</v>
      </c>
      <c r="K623" s="574">
        <v>0</v>
      </c>
      <c r="L623" s="574">
        <v>46.2</v>
      </c>
      <c r="M623" s="574">
        <v>3.6</v>
      </c>
      <c r="N623" s="574">
        <v>569.9</v>
      </c>
      <c r="O623" s="574">
        <v>0</v>
      </c>
      <c r="P623" s="574">
        <v>0</v>
      </c>
      <c r="Q623" s="574">
        <v>0</v>
      </c>
      <c r="R623" s="569"/>
      <c r="S623" s="569"/>
      <c r="T623" s="569"/>
      <c r="U623" s="569"/>
      <c r="V623" s="569"/>
      <c r="W623" s="569"/>
      <c r="X623" s="569"/>
      <c r="Y623" s="569"/>
      <c r="Z623" s="569"/>
      <c r="AA623" s="569"/>
      <c r="AB623" s="569"/>
      <c r="AC623" s="569"/>
      <c r="AD623" s="569"/>
      <c r="AE623" s="569"/>
      <c r="AF623" s="569"/>
      <c r="AG623" s="569"/>
      <c r="AH623" s="569"/>
      <c r="AI623" s="569"/>
      <c r="AJ623" s="569"/>
      <c r="AK623" s="569"/>
      <c r="AL623" s="569"/>
      <c r="AM623" s="569"/>
      <c r="AN623" s="574">
        <v>78.2</v>
      </c>
      <c r="AO623">
        <v>622</v>
      </c>
      <c r="AP623" t="str">
        <f t="shared" si="131"/>
        <v/>
      </c>
      <c r="AQ623" t="str">
        <f t="shared" si="121"/>
        <v/>
      </c>
      <c r="AR623" s="430">
        <f>IFERROR(
IF(AP623="",-100,
IF($BV$2&gt;0, INDEX(Beersheet!$A:$U,MATCH(AP623,INDEX(Beersheet!$A:$U,0,FFARawStatProjections!$BV$2),0),$BV$3)+$BN623,
INDEX($A623:$BM623,,$BV$12)*$BW$12+
INDEX($A623:$BM623,,$BV$15)*$BW$15+
INDEX($A623:$BM623,,$BV$16)*$BW$16+
INDEX($A623:$BM623,,$BV$17)*$BW$17+
INDEX($A623:$BM623,,$BV$18)*$BW$18+
INDEX($A623:$BM623,,$BV$19)*$BW$19+
INDEX($A623:$BM623,,$BV$20)*$BW$20+
INDEX($A623:$BM623,,$BV$21)*$BW$21+
INDEX($A623:$BM623,,$BV$22)*$BW$22+
INDEX($A623:$BM623,,$BV$23)*$BW$23+
INDEX($A623:$BM623,,$BV$25)*$BW$25+
INDEX($A623:$BM623,,$BV$26)*$BW$26+
INDEX($A623:$BM623,,$BV$27)*$BW$27+
$BN623)),
$BN623-100)</f>
        <v>-100</v>
      </c>
      <c r="AT623" t="str">
        <f t="shared" si="122"/>
        <v/>
      </c>
      <c r="AU623" t="str">
        <f t="shared" si="123"/>
        <v/>
      </c>
      <c r="AV623" s="430">
        <f>IFERROR(
IF(AT623="",-100,
IF($BV$2&gt;0, INDEX(Beersheet!$A:$U,MATCH(AT623,INDEX(Beersheet!$A:$U,0,FFARawStatProjections!$BV$2),0),$BV$3)+$BN623,
INDEX($A623:$BM623,,$BV$12)*$BW$12+
INDEX($A623:$BM623,,$BV$15)*$BW$15+
INDEX($A623:$BM623,,$BV$16)*$BW$16+
INDEX($A623:$BM623,,$BV$17)*$BW$17+
INDEX($A623:$BM623,,$BV$18)*$BW$18+
INDEX($A623:$BM623,,$BV$19)*$BW$19+
INDEX($A623:$BM623,,$BV$20)*$BW$20+
INDEX($A623:$BM623,,$BV$21)*$BW$21+
INDEX($A623:$BM623,,$BV$22)*$BW$22+
INDEX($A623:$BM623,,$BV$23)*$BW$23+
INDEX($A623:$BM623,,$BV$25)*$BW$25+
INDEX($A623:$BM623,,$BV$26)*$BW$26+
INDEX($A623:$BM623,,$BV$27)*$BW$27+
$BN623)),
$BN623-100)</f>
        <v>-100</v>
      </c>
      <c r="AX623" t="str">
        <f t="shared" si="124"/>
        <v/>
      </c>
      <c r="AY623" t="str">
        <f t="shared" si="125"/>
        <v/>
      </c>
      <c r="AZ623" s="430">
        <f>IFERROR(
IF(AX623="",-100,
IF($BV$2&gt;0, INDEX(Beersheet!$A:$U,MATCH(AX623,INDEX(Beersheet!$A:$U,0,FFARawStatProjections!$BV$2),0),$BV$3)+$BN623,
INDEX($A623:$BM623,,$BV$12)*$BW$12+
INDEX($A623:$BM623,,$BV$15)*$BW$15+
INDEX($A623:$BM623,,$BV$16)*$BW$16+
INDEX($A623:$BM623,,$BV$17)*$BW$17+
INDEX($A623:$BM623,,$BV$18)*$BW$18+
INDEX($A623:$BM623,,$BV$19)*$BW$19+
INDEX($A623:$BM623,,$BV$20)*$BW$20+
INDEX($A623:$BM623,,$BV$21)*$BW$21+
INDEX($A623:$BM623,,$BV$22)*$BW$22+
INDEX($A623:$BM623,,$BV$23)*$BW$23+
INDEX($A623:$BM623,,$BV$25)*$BW$25+
INDEX($A623:$BM623,,$BV$26)*$BW$26+
INDEX($A623:$BM623,,$BV$27)*$BW$27+
$BN623)),
$BN623-100)</f>
        <v>-100</v>
      </c>
      <c r="BB623" t="str">
        <f t="shared" si="126"/>
        <v>Greg Dulcich</v>
      </c>
      <c r="BC623" t="str">
        <f t="shared" si="120"/>
        <v>DEN</v>
      </c>
      <c r="BD623" s="430">
        <f>IFERROR(
IF(BB623="",-100,
IF($BV$2&gt;0, INDEX(Beersheet!$A:$U,MATCH(BB623,INDEX(Beersheet!$A:$U,0,FFARawStatProjections!$BV$2),0),$BV$3)+$BN623,
INDEX($A623:$BM623,,$BV$12)*$BW$12+
INDEX($A623:$BM623,,$BV$15)*$BW$15+
INDEX($A623:$BM623,,$BV$16)*$BW$16+
INDEX($A623:$BM623,,$BV$17)*$BW$17+
INDEX($A623:$BM623,,$BV$18)*$BW$18+
INDEX($A623:$BM623,,$BV$19)*$BW$19+
INDEX($A623:$BM623,,$BV$20)*$BW$20+
INDEX($A623:$BM623,,$BV$21)*$BW$21+
INDEX($A623:$BM623,,$BV$22)*$BW$22+
INDEX($A623:$BM623,,$BV$23)*$BW$23+
INDEX($A623:$BM623,,$BV$25)*$BW$25+
INDEX($A623:$BM623,,$BV$26)*$BW$26+
INDEX($A623:$BM623,,$BV$27)*$BW$27+
$BN623)),
$BN623-100)</f>
        <v>124.79622000000002</v>
      </c>
      <c r="BF623" t="str">
        <f t="shared" si="127"/>
        <v/>
      </c>
      <c r="BG623" t="str">
        <f t="shared" si="128"/>
        <v/>
      </c>
      <c r="BH623">
        <f t="shared" si="129"/>
        <v>0</v>
      </c>
      <c r="BJ623" t="str">
        <f t="shared" si="130"/>
        <v/>
      </c>
      <c r="BL623">
        <f t="shared" si="132"/>
        <v>0</v>
      </c>
      <c r="BN623">
        <v>6.2199999999999998E-3</v>
      </c>
      <c r="BS623" s="4" t="s">
        <v>2229</v>
      </c>
    </row>
    <row r="624" spans="1:71" ht="15.75" thickBot="1" x14ac:dyDescent="0.3">
      <c r="A624" s="569" t="s">
        <v>2105</v>
      </c>
      <c r="B624" s="569" t="s">
        <v>141</v>
      </c>
      <c r="C624" s="569" t="s">
        <v>7</v>
      </c>
      <c r="D624" s="574">
        <v>13</v>
      </c>
      <c r="E624" s="569"/>
      <c r="F624" s="569"/>
      <c r="G624" s="569"/>
      <c r="H624" s="569"/>
      <c r="I624" s="574">
        <v>0</v>
      </c>
      <c r="J624" s="574">
        <v>0</v>
      </c>
      <c r="K624" s="574">
        <v>0</v>
      </c>
      <c r="L624" s="574">
        <v>47.4</v>
      </c>
      <c r="M624" s="574">
        <v>4.2</v>
      </c>
      <c r="N624" s="574">
        <v>511.8</v>
      </c>
      <c r="O624" s="574">
        <v>0</v>
      </c>
      <c r="P624" s="574">
        <v>0</v>
      </c>
      <c r="Q624" s="574">
        <v>0</v>
      </c>
      <c r="R624" s="569"/>
      <c r="S624" s="569"/>
      <c r="T624" s="569"/>
      <c r="U624" s="569"/>
      <c r="V624" s="569"/>
      <c r="W624" s="569"/>
      <c r="X624" s="569"/>
      <c r="Y624" s="569"/>
      <c r="Z624" s="569"/>
      <c r="AA624" s="569"/>
      <c r="AB624" s="569"/>
      <c r="AC624" s="569"/>
      <c r="AD624" s="569"/>
      <c r="AE624" s="569"/>
      <c r="AF624" s="569"/>
      <c r="AG624" s="569"/>
      <c r="AH624" s="569"/>
      <c r="AI624" s="569"/>
      <c r="AJ624" s="569"/>
      <c r="AK624" s="569"/>
      <c r="AL624" s="569"/>
      <c r="AM624" s="569"/>
      <c r="AN624" s="574">
        <v>75.900000000000006</v>
      </c>
      <c r="AO624">
        <v>623</v>
      </c>
      <c r="AP624" t="str">
        <f t="shared" si="131"/>
        <v/>
      </c>
      <c r="AQ624" t="str">
        <f t="shared" si="121"/>
        <v/>
      </c>
      <c r="AR624" s="430">
        <f>IFERROR(
IF(AP624="",-100,
IF($BV$2&gt;0, INDEX(Beersheet!$A:$U,MATCH(AP624,INDEX(Beersheet!$A:$U,0,FFARawStatProjections!$BV$2),0),$BV$3)+$BN624,
INDEX($A624:$BM624,,$BV$12)*$BW$12+
INDEX($A624:$BM624,,$BV$15)*$BW$15+
INDEX($A624:$BM624,,$BV$16)*$BW$16+
INDEX($A624:$BM624,,$BV$17)*$BW$17+
INDEX($A624:$BM624,,$BV$18)*$BW$18+
INDEX($A624:$BM624,,$BV$19)*$BW$19+
INDEX($A624:$BM624,,$BV$20)*$BW$20+
INDEX($A624:$BM624,,$BV$21)*$BW$21+
INDEX($A624:$BM624,,$BV$22)*$BW$22+
INDEX($A624:$BM624,,$BV$23)*$BW$23+
INDEX($A624:$BM624,,$BV$25)*$BW$25+
INDEX($A624:$BM624,,$BV$26)*$BW$26+
INDEX($A624:$BM624,,$BV$27)*$BW$27+
$BN624)),
$BN624-100)</f>
        <v>-100</v>
      </c>
      <c r="AT624" t="str">
        <f t="shared" si="122"/>
        <v/>
      </c>
      <c r="AU624" t="str">
        <f t="shared" si="123"/>
        <v/>
      </c>
      <c r="AV624" s="430">
        <f>IFERROR(
IF(AT624="",-100,
IF($BV$2&gt;0, INDEX(Beersheet!$A:$U,MATCH(AT624,INDEX(Beersheet!$A:$U,0,FFARawStatProjections!$BV$2),0),$BV$3)+$BN624,
INDEX($A624:$BM624,,$BV$12)*$BW$12+
INDEX($A624:$BM624,,$BV$15)*$BW$15+
INDEX($A624:$BM624,,$BV$16)*$BW$16+
INDEX($A624:$BM624,,$BV$17)*$BW$17+
INDEX($A624:$BM624,,$BV$18)*$BW$18+
INDEX($A624:$BM624,,$BV$19)*$BW$19+
INDEX($A624:$BM624,,$BV$20)*$BW$20+
INDEX($A624:$BM624,,$BV$21)*$BW$21+
INDEX($A624:$BM624,,$BV$22)*$BW$22+
INDEX($A624:$BM624,,$BV$23)*$BW$23+
INDEX($A624:$BM624,,$BV$25)*$BW$25+
INDEX($A624:$BM624,,$BV$26)*$BW$26+
INDEX($A624:$BM624,,$BV$27)*$BW$27+
$BN624)),
$BN624-100)</f>
        <v>-100</v>
      </c>
      <c r="AX624" t="str">
        <f t="shared" si="124"/>
        <v/>
      </c>
      <c r="AY624" t="str">
        <f t="shared" si="125"/>
        <v/>
      </c>
      <c r="AZ624" s="430">
        <f>IFERROR(
IF(AX624="",-100,
IF($BV$2&gt;0, INDEX(Beersheet!$A:$U,MATCH(AX624,INDEX(Beersheet!$A:$U,0,FFARawStatProjections!$BV$2),0),$BV$3)+$BN624,
INDEX($A624:$BM624,,$BV$12)*$BW$12+
INDEX($A624:$BM624,,$BV$15)*$BW$15+
INDEX($A624:$BM624,,$BV$16)*$BW$16+
INDEX($A624:$BM624,,$BV$17)*$BW$17+
INDEX($A624:$BM624,,$BV$18)*$BW$18+
INDEX($A624:$BM624,,$BV$19)*$BW$19+
INDEX($A624:$BM624,,$BV$20)*$BW$20+
INDEX($A624:$BM624,,$BV$21)*$BW$21+
INDEX($A624:$BM624,,$BV$22)*$BW$22+
INDEX($A624:$BM624,,$BV$23)*$BW$23+
INDEX($A624:$BM624,,$BV$25)*$BW$25+
INDEX($A624:$BM624,,$BV$26)*$BW$26+
INDEX($A624:$BM624,,$BV$27)*$BW$27+
$BN624)),
$BN624-100)</f>
        <v>-100</v>
      </c>
      <c r="BB624" t="str">
        <f t="shared" si="126"/>
        <v>Cole Kmet</v>
      </c>
      <c r="BC624" t="str">
        <f t="shared" si="120"/>
        <v>CHI</v>
      </c>
      <c r="BD624" s="430">
        <f>IFERROR(
IF(BB624="",-100,
IF($BV$2&gt;0, INDEX(Beersheet!$A:$U,MATCH(BB624,INDEX(Beersheet!$A:$U,0,FFARawStatProjections!$BV$2),0),$BV$3)+$BN624,
INDEX($A624:$BM624,,$BV$12)*$BW$12+
INDEX($A624:$BM624,,$BV$15)*$BW$15+
INDEX($A624:$BM624,,$BV$16)*$BW$16+
INDEX($A624:$BM624,,$BV$17)*$BW$17+
INDEX($A624:$BM624,,$BV$18)*$BW$18+
INDEX($A624:$BM624,,$BV$19)*$BW$19+
INDEX($A624:$BM624,,$BV$20)*$BW$20+
INDEX($A624:$BM624,,$BV$21)*$BW$21+
INDEX($A624:$BM624,,$BV$22)*$BW$22+
INDEX($A624:$BM624,,$BV$23)*$BW$23+
INDEX($A624:$BM624,,$BV$25)*$BW$25+
INDEX($A624:$BM624,,$BV$26)*$BW$26+
INDEX($A624:$BM624,,$BV$27)*$BW$27+
$BN624)),
$BN624-100)</f>
        <v>123.78623</v>
      </c>
      <c r="BF624" t="str">
        <f t="shared" si="127"/>
        <v/>
      </c>
      <c r="BG624" t="str">
        <f t="shared" si="128"/>
        <v/>
      </c>
      <c r="BH624">
        <f t="shared" si="129"/>
        <v>0</v>
      </c>
      <c r="BJ624" t="str">
        <f t="shared" si="130"/>
        <v/>
      </c>
      <c r="BL624">
        <f t="shared" si="132"/>
        <v>0</v>
      </c>
      <c r="BN624">
        <v>6.2300000000000003E-3</v>
      </c>
      <c r="BS624" s="4" t="s">
        <v>1124</v>
      </c>
    </row>
    <row r="625" spans="1:71" ht="15.75" thickBot="1" x14ac:dyDescent="0.3">
      <c r="A625" s="569" t="s">
        <v>1415</v>
      </c>
      <c r="B625" s="569" t="s">
        <v>1388</v>
      </c>
      <c r="C625" s="569" t="s">
        <v>7</v>
      </c>
      <c r="D625" s="574">
        <v>5</v>
      </c>
      <c r="E625" s="569"/>
      <c r="F625" s="569"/>
      <c r="G625" s="569"/>
      <c r="H625" s="569"/>
      <c r="I625" s="574">
        <v>0</v>
      </c>
      <c r="J625" s="574">
        <v>0</v>
      </c>
      <c r="K625" s="574">
        <v>0</v>
      </c>
      <c r="L625" s="574">
        <v>51.1</v>
      </c>
      <c r="M625" s="574">
        <v>3.7</v>
      </c>
      <c r="N625" s="574">
        <v>527.79999999999995</v>
      </c>
      <c r="O625" s="574">
        <v>0</v>
      </c>
      <c r="P625" s="574">
        <v>0</v>
      </c>
      <c r="Q625" s="574">
        <v>0</v>
      </c>
      <c r="R625" s="569"/>
      <c r="S625" s="569"/>
      <c r="T625" s="569"/>
      <c r="U625" s="569"/>
      <c r="V625" s="569"/>
      <c r="W625" s="569"/>
      <c r="X625" s="569"/>
      <c r="Y625" s="569"/>
      <c r="Z625" s="569"/>
      <c r="AA625" s="569"/>
      <c r="AB625" s="569"/>
      <c r="AC625" s="569"/>
      <c r="AD625" s="569"/>
      <c r="AE625" s="569"/>
      <c r="AF625" s="569"/>
      <c r="AG625" s="569"/>
      <c r="AH625" s="569"/>
      <c r="AI625" s="569"/>
      <c r="AJ625" s="569"/>
      <c r="AK625" s="569"/>
      <c r="AL625" s="569"/>
      <c r="AM625" s="569"/>
      <c r="AN625" s="574">
        <v>74.7</v>
      </c>
      <c r="AO625">
        <v>624</v>
      </c>
      <c r="AP625" t="str">
        <f t="shared" si="131"/>
        <v/>
      </c>
      <c r="AQ625" t="str">
        <f t="shared" si="121"/>
        <v/>
      </c>
      <c r="AR625" s="430">
        <f>IFERROR(
IF(AP625="",-100,
IF($BV$2&gt;0, INDEX(Beersheet!$A:$U,MATCH(AP625,INDEX(Beersheet!$A:$U,0,FFARawStatProjections!$BV$2),0),$BV$3)+$BN625,
INDEX($A625:$BM625,,$BV$12)*$BW$12+
INDEX($A625:$BM625,,$BV$15)*$BW$15+
INDEX($A625:$BM625,,$BV$16)*$BW$16+
INDEX($A625:$BM625,,$BV$17)*$BW$17+
INDEX($A625:$BM625,,$BV$18)*$BW$18+
INDEX($A625:$BM625,,$BV$19)*$BW$19+
INDEX($A625:$BM625,,$BV$20)*$BW$20+
INDEX($A625:$BM625,,$BV$21)*$BW$21+
INDEX($A625:$BM625,,$BV$22)*$BW$22+
INDEX($A625:$BM625,,$BV$23)*$BW$23+
INDEX($A625:$BM625,,$BV$25)*$BW$25+
INDEX($A625:$BM625,,$BV$26)*$BW$26+
INDEX($A625:$BM625,,$BV$27)*$BW$27+
$BN625)),
$BN625-100)</f>
        <v>-100</v>
      </c>
      <c r="AT625" t="str">
        <f t="shared" si="122"/>
        <v/>
      </c>
      <c r="AU625" t="str">
        <f t="shared" si="123"/>
        <v/>
      </c>
      <c r="AV625" s="430">
        <f>IFERROR(
IF(AT625="",-100,
IF($BV$2&gt;0, INDEX(Beersheet!$A:$U,MATCH(AT625,INDEX(Beersheet!$A:$U,0,FFARawStatProjections!$BV$2),0),$BV$3)+$BN625,
INDEX($A625:$BM625,,$BV$12)*$BW$12+
INDEX($A625:$BM625,,$BV$15)*$BW$15+
INDEX($A625:$BM625,,$BV$16)*$BW$16+
INDEX($A625:$BM625,,$BV$17)*$BW$17+
INDEX($A625:$BM625,,$BV$18)*$BW$18+
INDEX($A625:$BM625,,$BV$19)*$BW$19+
INDEX($A625:$BM625,,$BV$20)*$BW$20+
INDEX($A625:$BM625,,$BV$21)*$BW$21+
INDEX($A625:$BM625,,$BV$22)*$BW$22+
INDEX($A625:$BM625,,$BV$23)*$BW$23+
INDEX($A625:$BM625,,$BV$25)*$BW$25+
INDEX($A625:$BM625,,$BV$26)*$BW$26+
INDEX($A625:$BM625,,$BV$27)*$BW$27+
$BN625)),
$BN625-100)</f>
        <v>-100</v>
      </c>
      <c r="AX625" t="str">
        <f t="shared" si="124"/>
        <v/>
      </c>
      <c r="AY625" t="str">
        <f t="shared" si="125"/>
        <v/>
      </c>
      <c r="AZ625" s="430">
        <f>IFERROR(
IF(AX625="",-100,
IF($BV$2&gt;0, INDEX(Beersheet!$A:$U,MATCH(AX625,INDEX(Beersheet!$A:$U,0,FFARawStatProjections!$BV$2),0),$BV$3)+$BN625,
INDEX($A625:$BM625,,$BV$12)*$BW$12+
INDEX($A625:$BM625,,$BV$15)*$BW$15+
INDEX($A625:$BM625,,$BV$16)*$BW$16+
INDEX($A625:$BM625,,$BV$17)*$BW$17+
INDEX($A625:$BM625,,$BV$18)*$BW$18+
INDEX($A625:$BM625,,$BV$19)*$BW$19+
INDEX($A625:$BM625,,$BV$20)*$BW$20+
INDEX($A625:$BM625,,$BV$21)*$BW$21+
INDEX($A625:$BM625,,$BV$22)*$BW$22+
INDEX($A625:$BM625,,$BV$23)*$BW$23+
INDEX($A625:$BM625,,$BV$25)*$BW$25+
INDEX($A625:$BM625,,$BV$26)*$BW$26+
INDEX($A625:$BM625,,$BV$27)*$BW$27+
$BN625)),
$BN625-100)</f>
        <v>-100</v>
      </c>
      <c r="BB625" t="str">
        <f t="shared" si="126"/>
        <v>Gerald Everett</v>
      </c>
      <c r="BC625" t="str">
        <f t="shared" si="120"/>
        <v>LAC</v>
      </c>
      <c r="BD625" s="430">
        <f>IFERROR(
IF(BB625="",-100,
IF($BV$2&gt;0, INDEX(Beersheet!$A:$U,MATCH(BB625,INDEX(Beersheet!$A:$U,0,FFARawStatProjections!$BV$2),0),$BV$3)+$BN625,
INDEX($A625:$BM625,,$BV$12)*$BW$12+
INDEX($A625:$BM625,,$BV$15)*$BW$15+
INDEX($A625:$BM625,,$BV$16)*$BW$16+
INDEX($A625:$BM625,,$BV$17)*$BW$17+
INDEX($A625:$BM625,,$BV$18)*$BW$18+
INDEX($A625:$BM625,,$BV$19)*$BW$19+
INDEX($A625:$BM625,,$BV$20)*$BW$20+
INDEX($A625:$BM625,,$BV$21)*$BW$21+
INDEX($A625:$BM625,,$BV$22)*$BW$22+
INDEX($A625:$BM625,,$BV$23)*$BW$23+
INDEX($A625:$BM625,,$BV$25)*$BW$25+
INDEX($A625:$BM625,,$BV$26)*$BW$26+
INDEX($A625:$BM625,,$BV$27)*$BW$27+
$BN625)),
$BN625-100)</f>
        <v>126.08624000000002</v>
      </c>
      <c r="BF625" t="str">
        <f t="shared" si="127"/>
        <v/>
      </c>
      <c r="BG625" t="str">
        <f t="shared" si="128"/>
        <v/>
      </c>
      <c r="BH625">
        <f t="shared" si="129"/>
        <v>0</v>
      </c>
      <c r="BJ625" t="str">
        <f t="shared" si="130"/>
        <v/>
      </c>
      <c r="BL625">
        <f t="shared" si="132"/>
        <v>0</v>
      </c>
      <c r="BN625">
        <v>6.2399999999999999E-3</v>
      </c>
      <c r="BS625" s="4" t="s">
        <v>2379</v>
      </c>
    </row>
    <row r="626" spans="1:71" ht="15.75" thickBot="1" x14ac:dyDescent="0.3">
      <c r="A626" s="569" t="s">
        <v>2215</v>
      </c>
      <c r="B626" s="569" t="s">
        <v>143</v>
      </c>
      <c r="C626" s="569" t="s">
        <v>7</v>
      </c>
      <c r="D626" s="574">
        <v>11</v>
      </c>
      <c r="E626" s="569"/>
      <c r="F626" s="569"/>
      <c r="G626" s="569"/>
      <c r="H626" s="569"/>
      <c r="I626" s="574">
        <v>0</v>
      </c>
      <c r="J626" s="574">
        <v>0</v>
      </c>
      <c r="K626" s="574">
        <v>0</v>
      </c>
      <c r="L626" s="574">
        <v>40.299999999999997</v>
      </c>
      <c r="M626" s="574">
        <v>4.2</v>
      </c>
      <c r="N626" s="574">
        <v>476.9</v>
      </c>
      <c r="O626" s="574">
        <v>0</v>
      </c>
      <c r="P626" s="574">
        <v>0</v>
      </c>
      <c r="Q626" s="574">
        <v>0</v>
      </c>
      <c r="R626" s="569"/>
      <c r="S626" s="569"/>
      <c r="T626" s="569"/>
      <c r="U626" s="569"/>
      <c r="V626" s="569"/>
      <c r="W626" s="569"/>
      <c r="X626" s="569"/>
      <c r="Y626" s="569"/>
      <c r="Z626" s="569"/>
      <c r="AA626" s="569"/>
      <c r="AB626" s="569"/>
      <c r="AC626" s="569"/>
      <c r="AD626" s="569"/>
      <c r="AE626" s="569"/>
      <c r="AF626" s="569"/>
      <c r="AG626" s="569"/>
      <c r="AH626" s="569"/>
      <c r="AI626" s="569"/>
      <c r="AJ626" s="569"/>
      <c r="AK626" s="569"/>
      <c r="AL626" s="569"/>
      <c r="AM626" s="569"/>
      <c r="AN626" s="574">
        <v>72.5</v>
      </c>
      <c r="AO626">
        <v>625</v>
      </c>
      <c r="AP626" t="str">
        <f t="shared" si="131"/>
        <v/>
      </c>
      <c r="AQ626" t="str">
        <f t="shared" si="121"/>
        <v/>
      </c>
      <c r="AR626" s="430">
        <f>IFERROR(
IF(AP626="",-100,
IF($BV$2&gt;0, INDEX(Beersheet!$A:$U,MATCH(AP626,INDEX(Beersheet!$A:$U,0,FFARawStatProjections!$BV$2),0),$BV$3)+$BN626,
INDEX($A626:$BM626,,$BV$12)*$BW$12+
INDEX($A626:$BM626,,$BV$15)*$BW$15+
INDEX($A626:$BM626,,$BV$16)*$BW$16+
INDEX($A626:$BM626,,$BV$17)*$BW$17+
INDEX($A626:$BM626,,$BV$18)*$BW$18+
INDEX($A626:$BM626,,$BV$19)*$BW$19+
INDEX($A626:$BM626,,$BV$20)*$BW$20+
INDEX($A626:$BM626,,$BV$21)*$BW$21+
INDEX($A626:$BM626,,$BV$22)*$BW$22+
INDEX($A626:$BM626,,$BV$23)*$BW$23+
INDEX($A626:$BM626,,$BV$25)*$BW$25+
INDEX($A626:$BM626,,$BV$26)*$BW$26+
INDEX($A626:$BM626,,$BV$27)*$BW$27+
$BN626)),
$BN626-100)</f>
        <v>-100</v>
      </c>
      <c r="AT626" t="str">
        <f t="shared" si="122"/>
        <v/>
      </c>
      <c r="AU626" t="str">
        <f t="shared" si="123"/>
        <v/>
      </c>
      <c r="AV626" s="430">
        <f>IFERROR(
IF(AT626="",-100,
IF($BV$2&gt;0, INDEX(Beersheet!$A:$U,MATCH(AT626,INDEX(Beersheet!$A:$U,0,FFARawStatProjections!$BV$2),0),$BV$3)+$BN626,
INDEX($A626:$BM626,,$BV$12)*$BW$12+
INDEX($A626:$BM626,,$BV$15)*$BW$15+
INDEX($A626:$BM626,,$BV$16)*$BW$16+
INDEX($A626:$BM626,,$BV$17)*$BW$17+
INDEX($A626:$BM626,,$BV$18)*$BW$18+
INDEX($A626:$BM626,,$BV$19)*$BW$19+
INDEX($A626:$BM626,,$BV$20)*$BW$20+
INDEX($A626:$BM626,,$BV$21)*$BW$21+
INDEX($A626:$BM626,,$BV$22)*$BW$22+
INDEX($A626:$BM626,,$BV$23)*$BW$23+
INDEX($A626:$BM626,,$BV$25)*$BW$25+
INDEX($A626:$BM626,,$BV$26)*$BW$26+
INDEX($A626:$BM626,,$BV$27)*$BW$27+
$BN626)),
$BN626-100)</f>
        <v>-100</v>
      </c>
      <c r="AX626" t="str">
        <f t="shared" si="124"/>
        <v/>
      </c>
      <c r="AY626" t="str">
        <f t="shared" si="125"/>
        <v/>
      </c>
      <c r="AZ626" s="430">
        <f>IFERROR(
IF(AX626="",-100,
IF($BV$2&gt;0, INDEX(Beersheet!$A:$U,MATCH(AX626,INDEX(Beersheet!$A:$U,0,FFARawStatProjections!$BV$2),0),$BV$3)+$BN626,
INDEX($A626:$BM626,,$BV$12)*$BW$12+
INDEX($A626:$BM626,,$BV$15)*$BW$15+
INDEX($A626:$BM626,,$BV$16)*$BW$16+
INDEX($A626:$BM626,,$BV$17)*$BW$17+
INDEX($A626:$BM626,,$BV$18)*$BW$18+
INDEX($A626:$BM626,,$BV$19)*$BW$19+
INDEX($A626:$BM626,,$BV$20)*$BW$20+
INDEX($A626:$BM626,,$BV$21)*$BW$21+
INDEX($A626:$BM626,,$BV$22)*$BW$22+
INDEX($A626:$BM626,,$BV$23)*$BW$23+
INDEX($A626:$BM626,,$BV$25)*$BW$25+
INDEX($A626:$BM626,,$BV$26)*$BW$26+
INDEX($A626:$BM626,,$BV$27)*$BW$27+
$BN626)),
$BN626-100)</f>
        <v>-100</v>
      </c>
      <c r="BB626" t="str">
        <f t="shared" si="126"/>
        <v>Juwan Johnson</v>
      </c>
      <c r="BC626" t="str">
        <f t="shared" si="120"/>
        <v>NO</v>
      </c>
      <c r="BD626" s="430">
        <f>IFERROR(
IF(BB626="",-100,
IF($BV$2&gt;0, INDEX(Beersheet!$A:$U,MATCH(BB626,INDEX(Beersheet!$A:$U,0,FFARawStatProjections!$BV$2),0),$BV$3)+$BN626,
INDEX($A626:$BM626,,$BV$12)*$BW$12+
INDEX($A626:$BM626,,$BV$15)*$BW$15+
INDEX($A626:$BM626,,$BV$16)*$BW$16+
INDEX($A626:$BM626,,$BV$17)*$BW$17+
INDEX($A626:$BM626,,$BV$18)*$BW$18+
INDEX($A626:$BM626,,$BV$19)*$BW$19+
INDEX($A626:$BM626,,$BV$20)*$BW$20+
INDEX($A626:$BM626,,$BV$21)*$BW$21+
INDEX($A626:$BM626,,$BV$22)*$BW$22+
INDEX($A626:$BM626,,$BV$23)*$BW$23+
INDEX($A626:$BM626,,$BV$25)*$BW$25+
INDEX($A626:$BM626,,$BV$26)*$BW$26+
INDEX($A626:$BM626,,$BV$27)*$BW$27+
$BN626)),
$BN626-100)</f>
        <v>113.19624999999999</v>
      </c>
      <c r="BF626" t="str">
        <f t="shared" si="127"/>
        <v/>
      </c>
      <c r="BG626" t="str">
        <f t="shared" si="128"/>
        <v/>
      </c>
      <c r="BH626">
        <f t="shared" si="129"/>
        <v>0</v>
      </c>
      <c r="BJ626" t="str">
        <f t="shared" si="130"/>
        <v/>
      </c>
      <c r="BL626">
        <f t="shared" si="132"/>
        <v>0</v>
      </c>
      <c r="BN626">
        <v>6.2500000000000003E-3</v>
      </c>
      <c r="BS626" s="4" t="s">
        <v>1183</v>
      </c>
    </row>
    <row r="627" spans="1:71" ht="15.75" thickBot="1" x14ac:dyDescent="0.3">
      <c r="A627" s="569" t="s">
        <v>2503</v>
      </c>
      <c r="B627" s="569" t="s">
        <v>156</v>
      </c>
      <c r="C627" s="569" t="s">
        <v>7</v>
      </c>
      <c r="D627" s="574">
        <v>13</v>
      </c>
      <c r="E627" s="569"/>
      <c r="F627" s="569"/>
      <c r="G627" s="569"/>
      <c r="H627" s="569"/>
      <c r="I627" s="574">
        <v>0</v>
      </c>
      <c r="J627" s="574">
        <v>0</v>
      </c>
      <c r="K627" s="574">
        <v>0</v>
      </c>
      <c r="L627" s="574">
        <v>43</v>
      </c>
      <c r="M627" s="574">
        <v>3.9</v>
      </c>
      <c r="N627" s="574">
        <v>492.2</v>
      </c>
      <c r="O627" s="574">
        <v>0</v>
      </c>
      <c r="P627" s="574">
        <v>0</v>
      </c>
      <c r="Q627" s="574">
        <v>0</v>
      </c>
      <c r="R627" s="569"/>
      <c r="S627" s="569"/>
      <c r="T627" s="569"/>
      <c r="U627" s="569"/>
      <c r="V627" s="569"/>
      <c r="W627" s="569"/>
      <c r="X627" s="569"/>
      <c r="Y627" s="569"/>
      <c r="Z627" s="569"/>
      <c r="AA627" s="569"/>
      <c r="AB627" s="569"/>
      <c r="AC627" s="569"/>
      <c r="AD627" s="569"/>
      <c r="AE627" s="569"/>
      <c r="AF627" s="569"/>
      <c r="AG627" s="569"/>
      <c r="AH627" s="569"/>
      <c r="AI627" s="569"/>
      <c r="AJ627" s="569"/>
      <c r="AK627" s="569"/>
      <c r="AL627" s="569"/>
      <c r="AM627" s="569"/>
      <c r="AN627" s="574">
        <v>72.099999999999994</v>
      </c>
      <c r="AO627">
        <v>626</v>
      </c>
      <c r="AP627" t="str">
        <f t="shared" si="131"/>
        <v/>
      </c>
      <c r="AQ627" t="str">
        <f t="shared" si="121"/>
        <v/>
      </c>
      <c r="AR627" s="430">
        <f>IFERROR(
IF(AP627="",-100,
IF($BV$2&gt;0, INDEX(Beersheet!$A:$U,MATCH(AP627,INDEX(Beersheet!$A:$U,0,FFARawStatProjections!$BV$2),0),$BV$3)+$BN627,
INDEX($A627:$BM627,,$BV$12)*$BW$12+
INDEX($A627:$BM627,,$BV$15)*$BW$15+
INDEX($A627:$BM627,,$BV$16)*$BW$16+
INDEX($A627:$BM627,,$BV$17)*$BW$17+
INDEX($A627:$BM627,,$BV$18)*$BW$18+
INDEX($A627:$BM627,,$BV$19)*$BW$19+
INDEX($A627:$BM627,,$BV$20)*$BW$20+
INDEX($A627:$BM627,,$BV$21)*$BW$21+
INDEX($A627:$BM627,,$BV$22)*$BW$22+
INDEX($A627:$BM627,,$BV$23)*$BW$23+
INDEX($A627:$BM627,,$BV$25)*$BW$25+
INDEX($A627:$BM627,,$BV$26)*$BW$26+
INDEX($A627:$BM627,,$BV$27)*$BW$27+
$BN627)),
$BN627-100)</f>
        <v>-100</v>
      </c>
      <c r="AT627" t="str">
        <f t="shared" si="122"/>
        <v/>
      </c>
      <c r="AU627" t="str">
        <f t="shared" si="123"/>
        <v/>
      </c>
      <c r="AV627" s="430">
        <f>IFERROR(
IF(AT627="",-100,
IF($BV$2&gt;0, INDEX(Beersheet!$A:$U,MATCH(AT627,INDEX(Beersheet!$A:$U,0,FFARawStatProjections!$BV$2),0),$BV$3)+$BN627,
INDEX($A627:$BM627,,$BV$12)*$BW$12+
INDEX($A627:$BM627,,$BV$15)*$BW$15+
INDEX($A627:$BM627,,$BV$16)*$BW$16+
INDEX($A627:$BM627,,$BV$17)*$BW$17+
INDEX($A627:$BM627,,$BV$18)*$BW$18+
INDEX($A627:$BM627,,$BV$19)*$BW$19+
INDEX($A627:$BM627,,$BV$20)*$BW$20+
INDEX($A627:$BM627,,$BV$21)*$BW$21+
INDEX($A627:$BM627,,$BV$22)*$BW$22+
INDEX($A627:$BM627,,$BV$23)*$BW$23+
INDEX($A627:$BM627,,$BV$25)*$BW$25+
INDEX($A627:$BM627,,$BV$26)*$BW$26+
INDEX($A627:$BM627,,$BV$27)*$BW$27+
$BN627)),
$BN627-100)</f>
        <v>-100</v>
      </c>
      <c r="AX627" t="str">
        <f t="shared" si="124"/>
        <v/>
      </c>
      <c r="AY627" t="str">
        <f t="shared" si="125"/>
        <v/>
      </c>
      <c r="AZ627" s="430">
        <f>IFERROR(
IF(AX627="",-100,
IF($BV$2&gt;0, INDEX(Beersheet!$A:$U,MATCH(AX627,INDEX(Beersheet!$A:$U,0,FFARawStatProjections!$BV$2),0),$BV$3)+$BN627,
INDEX($A627:$BM627,,$BV$12)*$BW$12+
INDEX($A627:$BM627,,$BV$15)*$BW$15+
INDEX($A627:$BM627,,$BV$16)*$BW$16+
INDEX($A627:$BM627,,$BV$17)*$BW$17+
INDEX($A627:$BM627,,$BV$18)*$BW$18+
INDEX($A627:$BM627,,$BV$19)*$BW$19+
INDEX($A627:$BM627,,$BV$20)*$BW$20+
INDEX($A627:$BM627,,$BV$21)*$BW$21+
INDEX($A627:$BM627,,$BV$22)*$BW$22+
INDEX($A627:$BM627,,$BV$23)*$BW$23+
INDEX($A627:$BM627,,$BV$25)*$BW$25+
INDEX($A627:$BM627,,$BV$26)*$BW$26+
INDEX($A627:$BM627,,$BV$27)*$BW$27+
$BN627)),
$BN627-100)</f>
        <v>-100</v>
      </c>
      <c r="BB627" t="str">
        <f t="shared" si="126"/>
        <v>Dalton Kincaid</v>
      </c>
      <c r="BC627" t="str">
        <f t="shared" si="120"/>
        <v>BUF</v>
      </c>
      <c r="BD627" s="430">
        <f>IFERROR(
IF(BB627="",-100,
IF($BV$2&gt;0, INDEX(Beersheet!$A:$U,MATCH(BB627,INDEX(Beersheet!$A:$U,0,FFARawStatProjections!$BV$2),0),$BV$3)+$BN627,
INDEX($A627:$BM627,,$BV$12)*$BW$12+
INDEX($A627:$BM627,,$BV$15)*$BW$15+
INDEX($A627:$BM627,,$BV$16)*$BW$16+
INDEX($A627:$BM627,,$BV$17)*$BW$17+
INDEX($A627:$BM627,,$BV$18)*$BW$18+
INDEX($A627:$BM627,,$BV$19)*$BW$19+
INDEX($A627:$BM627,,$BV$20)*$BW$20+
INDEX($A627:$BM627,,$BV$21)*$BW$21+
INDEX($A627:$BM627,,$BV$22)*$BW$22+
INDEX($A627:$BM627,,$BV$23)*$BW$23+
INDEX($A627:$BM627,,$BV$25)*$BW$25+
INDEX($A627:$BM627,,$BV$26)*$BW$26+
INDEX($A627:$BM627,,$BV$27)*$BW$27+
$BN627)),
$BN627-100)</f>
        <v>115.62626</v>
      </c>
      <c r="BF627" t="str">
        <f t="shared" si="127"/>
        <v/>
      </c>
      <c r="BG627" t="str">
        <f t="shared" si="128"/>
        <v/>
      </c>
      <c r="BH627">
        <f t="shared" si="129"/>
        <v>0</v>
      </c>
      <c r="BJ627" t="str">
        <f t="shared" si="130"/>
        <v/>
      </c>
      <c r="BL627">
        <f t="shared" si="132"/>
        <v>0</v>
      </c>
      <c r="BN627">
        <v>6.2599999999999999E-3</v>
      </c>
      <c r="BS627" s="4" t="s">
        <v>2409</v>
      </c>
    </row>
    <row r="628" spans="1:71" ht="15.75" thickBot="1" x14ac:dyDescent="0.3">
      <c r="A628" s="569" t="s">
        <v>2417</v>
      </c>
      <c r="B628" s="569" t="s">
        <v>142</v>
      </c>
      <c r="C628" s="569" t="s">
        <v>7</v>
      </c>
      <c r="D628" s="574">
        <v>9</v>
      </c>
      <c r="E628" s="569"/>
      <c r="F628" s="569"/>
      <c r="G628" s="569"/>
      <c r="H628" s="569"/>
      <c r="I628" s="574">
        <v>0</v>
      </c>
      <c r="J628" s="574">
        <v>0</v>
      </c>
      <c r="K628" s="574">
        <v>0</v>
      </c>
      <c r="L628" s="574">
        <v>42.6</v>
      </c>
      <c r="M628" s="574">
        <v>3.5</v>
      </c>
      <c r="N628" s="574">
        <v>466.2</v>
      </c>
      <c r="O628" s="574">
        <v>0</v>
      </c>
      <c r="P628" s="574">
        <v>0</v>
      </c>
      <c r="Q628" s="574">
        <v>0</v>
      </c>
      <c r="R628" s="569"/>
      <c r="S628" s="569"/>
      <c r="T628" s="569"/>
      <c r="U628" s="569"/>
      <c r="V628" s="569"/>
      <c r="W628" s="569"/>
      <c r="X628" s="569"/>
      <c r="Y628" s="569"/>
      <c r="Z628" s="569"/>
      <c r="AA628" s="569"/>
      <c r="AB628" s="569"/>
      <c r="AC628" s="569"/>
      <c r="AD628" s="569"/>
      <c r="AE628" s="569"/>
      <c r="AF628" s="569"/>
      <c r="AG628" s="569"/>
      <c r="AH628" s="569"/>
      <c r="AI628" s="569"/>
      <c r="AJ628" s="569"/>
      <c r="AK628" s="569"/>
      <c r="AL628" s="569"/>
      <c r="AM628" s="569"/>
      <c r="AN628" s="574">
        <v>66.5</v>
      </c>
      <c r="AO628">
        <v>627</v>
      </c>
      <c r="AP628" t="str">
        <f t="shared" si="131"/>
        <v/>
      </c>
      <c r="AQ628" t="str">
        <f t="shared" si="121"/>
        <v/>
      </c>
      <c r="AR628" s="430">
        <f>IFERROR(
IF(AP628="",-100,
IF($BV$2&gt;0, INDEX(Beersheet!$A:$U,MATCH(AP628,INDEX(Beersheet!$A:$U,0,FFARawStatProjections!$BV$2),0),$BV$3)+$BN628,
INDEX($A628:$BM628,,$BV$12)*$BW$12+
INDEX($A628:$BM628,,$BV$15)*$BW$15+
INDEX($A628:$BM628,,$BV$16)*$BW$16+
INDEX($A628:$BM628,,$BV$17)*$BW$17+
INDEX($A628:$BM628,,$BV$18)*$BW$18+
INDEX($A628:$BM628,,$BV$19)*$BW$19+
INDEX($A628:$BM628,,$BV$20)*$BW$20+
INDEX($A628:$BM628,,$BV$21)*$BW$21+
INDEX($A628:$BM628,,$BV$22)*$BW$22+
INDEX($A628:$BM628,,$BV$23)*$BW$23+
INDEX($A628:$BM628,,$BV$25)*$BW$25+
INDEX($A628:$BM628,,$BV$26)*$BW$26+
INDEX($A628:$BM628,,$BV$27)*$BW$27+
$BN628)),
$BN628-100)</f>
        <v>-100</v>
      </c>
      <c r="AT628" t="str">
        <f t="shared" si="122"/>
        <v/>
      </c>
      <c r="AU628" t="str">
        <f t="shared" si="123"/>
        <v/>
      </c>
      <c r="AV628" s="430">
        <f>IFERROR(
IF(AT628="",-100,
IF($BV$2&gt;0, INDEX(Beersheet!$A:$U,MATCH(AT628,INDEX(Beersheet!$A:$U,0,FFARawStatProjections!$BV$2),0),$BV$3)+$BN628,
INDEX($A628:$BM628,,$BV$12)*$BW$12+
INDEX($A628:$BM628,,$BV$15)*$BW$15+
INDEX($A628:$BM628,,$BV$16)*$BW$16+
INDEX($A628:$BM628,,$BV$17)*$BW$17+
INDEX($A628:$BM628,,$BV$18)*$BW$18+
INDEX($A628:$BM628,,$BV$19)*$BW$19+
INDEX($A628:$BM628,,$BV$20)*$BW$20+
INDEX($A628:$BM628,,$BV$21)*$BW$21+
INDEX($A628:$BM628,,$BV$22)*$BW$22+
INDEX($A628:$BM628,,$BV$23)*$BW$23+
INDEX($A628:$BM628,,$BV$25)*$BW$25+
INDEX($A628:$BM628,,$BV$26)*$BW$26+
INDEX($A628:$BM628,,$BV$27)*$BW$27+
$BN628)),
$BN628-100)</f>
        <v>-100</v>
      </c>
      <c r="AX628" t="str">
        <f t="shared" si="124"/>
        <v/>
      </c>
      <c r="AY628" t="str">
        <f t="shared" si="125"/>
        <v/>
      </c>
      <c r="AZ628" s="430">
        <f>IFERROR(
IF(AX628="",-100,
IF($BV$2&gt;0, INDEX(Beersheet!$A:$U,MATCH(AX628,INDEX(Beersheet!$A:$U,0,FFARawStatProjections!$BV$2),0),$BV$3)+$BN628,
INDEX($A628:$BM628,,$BV$12)*$BW$12+
INDEX($A628:$BM628,,$BV$15)*$BW$15+
INDEX($A628:$BM628,,$BV$16)*$BW$16+
INDEX($A628:$BM628,,$BV$17)*$BW$17+
INDEX($A628:$BM628,,$BV$18)*$BW$18+
INDEX($A628:$BM628,,$BV$19)*$BW$19+
INDEX($A628:$BM628,,$BV$20)*$BW$20+
INDEX($A628:$BM628,,$BV$21)*$BW$21+
INDEX($A628:$BM628,,$BV$22)*$BW$22+
INDEX($A628:$BM628,,$BV$23)*$BW$23+
INDEX($A628:$BM628,,$BV$25)*$BW$25+
INDEX($A628:$BM628,,$BV$26)*$BW$26+
INDEX($A628:$BM628,,$BV$27)*$BW$27+
$BN628)),
$BN628-100)</f>
        <v>-100</v>
      </c>
      <c r="BB628" t="str">
        <f t="shared" si="126"/>
        <v>Sam LaPorta</v>
      </c>
      <c r="BC628" t="str">
        <f t="shared" si="120"/>
        <v>DET</v>
      </c>
      <c r="BD628" s="430">
        <f>IFERROR(
IF(BB628="",-100,
IF($BV$2&gt;0, INDEX(Beersheet!$A:$U,MATCH(BB628,INDEX(Beersheet!$A:$U,0,FFARawStatProjections!$BV$2),0),$BV$3)+$BN628,
INDEX($A628:$BM628,,$BV$12)*$BW$12+
INDEX($A628:$BM628,,$BV$15)*$BW$15+
INDEX($A628:$BM628,,$BV$16)*$BW$16+
INDEX($A628:$BM628,,$BV$17)*$BW$17+
INDEX($A628:$BM628,,$BV$18)*$BW$18+
INDEX($A628:$BM628,,$BV$19)*$BW$19+
INDEX($A628:$BM628,,$BV$20)*$BW$20+
INDEX($A628:$BM628,,$BV$21)*$BW$21+
INDEX($A628:$BM628,,$BV$22)*$BW$22+
INDEX($A628:$BM628,,$BV$23)*$BW$23+
INDEX($A628:$BM628,,$BV$25)*$BW$25+
INDEX($A628:$BM628,,$BV$26)*$BW$26+
INDEX($A628:$BM628,,$BV$27)*$BW$27+
$BN628)),
$BN628-100)</f>
        <v>110.22627</v>
      </c>
      <c r="BF628" t="str">
        <f t="shared" si="127"/>
        <v/>
      </c>
      <c r="BG628" t="str">
        <f t="shared" si="128"/>
        <v/>
      </c>
      <c r="BH628">
        <f t="shared" si="129"/>
        <v>0</v>
      </c>
      <c r="BJ628" t="str">
        <f t="shared" si="130"/>
        <v/>
      </c>
      <c r="BL628">
        <f t="shared" si="132"/>
        <v>0</v>
      </c>
      <c r="BN628">
        <v>6.2700000000000004E-3</v>
      </c>
      <c r="BS628" s="4" t="s">
        <v>2097</v>
      </c>
    </row>
    <row r="629" spans="1:71" ht="15.75" thickBot="1" x14ac:dyDescent="0.3">
      <c r="A629" s="569" t="s">
        <v>1202</v>
      </c>
      <c r="B629" s="569" t="s">
        <v>157</v>
      </c>
      <c r="C629" s="569" t="s">
        <v>7</v>
      </c>
      <c r="D629" s="574">
        <v>11</v>
      </c>
      <c r="E629" s="569"/>
      <c r="F629" s="569"/>
      <c r="G629" s="569"/>
      <c r="H629" s="569"/>
      <c r="I629" s="574">
        <v>0</v>
      </c>
      <c r="J629" s="574">
        <v>0</v>
      </c>
      <c r="K629" s="574">
        <v>0</v>
      </c>
      <c r="L629" s="574">
        <v>41.1</v>
      </c>
      <c r="M629" s="574">
        <v>2.9</v>
      </c>
      <c r="N629" s="574">
        <v>486.4</v>
      </c>
      <c r="O629" s="574">
        <v>0</v>
      </c>
      <c r="P629" s="574">
        <v>0</v>
      </c>
      <c r="Q629" s="574">
        <v>0</v>
      </c>
      <c r="R629" s="569"/>
      <c r="S629" s="569"/>
      <c r="T629" s="569"/>
      <c r="U629" s="569"/>
      <c r="V629" s="569"/>
      <c r="W629" s="569"/>
      <c r="X629" s="569"/>
      <c r="Y629" s="569"/>
      <c r="Z629" s="569"/>
      <c r="AA629" s="569"/>
      <c r="AB629" s="569"/>
      <c r="AC629" s="569"/>
      <c r="AD629" s="569"/>
      <c r="AE629" s="569"/>
      <c r="AF629" s="569"/>
      <c r="AG629" s="569"/>
      <c r="AH629" s="569"/>
      <c r="AI629" s="569"/>
      <c r="AJ629" s="569"/>
      <c r="AK629" s="569"/>
      <c r="AL629" s="569"/>
      <c r="AM629" s="569"/>
      <c r="AN629" s="574">
        <v>66.099999999999994</v>
      </c>
      <c r="AO629">
        <v>628</v>
      </c>
      <c r="AP629" t="str">
        <f t="shared" si="131"/>
        <v/>
      </c>
      <c r="AQ629" t="str">
        <f t="shared" si="121"/>
        <v/>
      </c>
      <c r="AR629" s="430">
        <f>IFERROR(
IF(AP629="",-100,
IF($BV$2&gt;0, INDEX(Beersheet!$A:$U,MATCH(AP629,INDEX(Beersheet!$A:$U,0,FFARawStatProjections!$BV$2),0),$BV$3)+$BN629,
INDEX($A629:$BM629,,$BV$12)*$BW$12+
INDEX($A629:$BM629,,$BV$15)*$BW$15+
INDEX($A629:$BM629,,$BV$16)*$BW$16+
INDEX($A629:$BM629,,$BV$17)*$BW$17+
INDEX($A629:$BM629,,$BV$18)*$BW$18+
INDEX($A629:$BM629,,$BV$19)*$BW$19+
INDEX($A629:$BM629,,$BV$20)*$BW$20+
INDEX($A629:$BM629,,$BV$21)*$BW$21+
INDEX($A629:$BM629,,$BV$22)*$BW$22+
INDEX($A629:$BM629,,$BV$23)*$BW$23+
INDEX($A629:$BM629,,$BV$25)*$BW$25+
INDEX($A629:$BM629,,$BV$26)*$BW$26+
INDEX($A629:$BM629,,$BV$27)*$BW$27+
$BN629)),
$BN629-100)</f>
        <v>-100</v>
      </c>
      <c r="AT629" t="str">
        <f t="shared" si="122"/>
        <v/>
      </c>
      <c r="AU629" t="str">
        <f t="shared" si="123"/>
        <v/>
      </c>
      <c r="AV629" s="430">
        <f>IFERROR(
IF(AT629="",-100,
IF($BV$2&gt;0, INDEX(Beersheet!$A:$U,MATCH(AT629,INDEX(Beersheet!$A:$U,0,FFARawStatProjections!$BV$2),0),$BV$3)+$BN629,
INDEX($A629:$BM629,,$BV$12)*$BW$12+
INDEX($A629:$BM629,,$BV$15)*$BW$15+
INDEX($A629:$BM629,,$BV$16)*$BW$16+
INDEX($A629:$BM629,,$BV$17)*$BW$17+
INDEX($A629:$BM629,,$BV$18)*$BW$18+
INDEX($A629:$BM629,,$BV$19)*$BW$19+
INDEX($A629:$BM629,,$BV$20)*$BW$20+
INDEX($A629:$BM629,,$BV$21)*$BW$21+
INDEX($A629:$BM629,,$BV$22)*$BW$22+
INDEX($A629:$BM629,,$BV$23)*$BW$23+
INDEX($A629:$BM629,,$BV$25)*$BW$25+
INDEX($A629:$BM629,,$BV$26)*$BW$26+
INDEX($A629:$BM629,,$BV$27)*$BW$27+
$BN629)),
$BN629-100)</f>
        <v>-100</v>
      </c>
      <c r="AX629" t="str">
        <f t="shared" si="124"/>
        <v/>
      </c>
      <c r="AY629" t="str">
        <f t="shared" si="125"/>
        <v/>
      </c>
      <c r="AZ629" s="430">
        <f>IFERROR(
IF(AX629="",-100,
IF($BV$2&gt;0, INDEX(Beersheet!$A:$U,MATCH(AX629,INDEX(Beersheet!$A:$U,0,FFARawStatProjections!$BV$2),0),$BV$3)+$BN629,
INDEX($A629:$BM629,,$BV$12)*$BW$12+
INDEX($A629:$BM629,,$BV$15)*$BW$15+
INDEX($A629:$BM629,,$BV$16)*$BW$16+
INDEX($A629:$BM629,,$BV$17)*$BW$17+
INDEX($A629:$BM629,,$BV$18)*$BW$18+
INDEX($A629:$BM629,,$BV$19)*$BW$19+
INDEX($A629:$BM629,,$BV$20)*$BW$20+
INDEX($A629:$BM629,,$BV$21)*$BW$21+
INDEX($A629:$BM629,,$BV$22)*$BW$22+
INDEX($A629:$BM629,,$BV$23)*$BW$23+
INDEX($A629:$BM629,,$BV$25)*$BW$25+
INDEX($A629:$BM629,,$BV$26)*$BW$26+
INDEX($A629:$BM629,,$BV$27)*$BW$27+
$BN629)),
$BN629-100)</f>
        <v>-100</v>
      </c>
      <c r="BB629" t="str">
        <f t="shared" si="126"/>
        <v>Hunter Henry</v>
      </c>
      <c r="BC629" t="str">
        <f t="shared" si="120"/>
        <v>NE</v>
      </c>
      <c r="BD629" s="430">
        <f>IFERROR(
IF(BB629="",-100,
IF($BV$2&gt;0, INDEX(Beersheet!$A:$U,MATCH(BB629,INDEX(Beersheet!$A:$U,0,FFARawStatProjections!$BV$2),0),$BV$3)+$BN629,
INDEX($A629:$BM629,,$BV$12)*$BW$12+
INDEX($A629:$BM629,,$BV$15)*$BW$15+
INDEX($A629:$BM629,,$BV$16)*$BW$16+
INDEX($A629:$BM629,,$BV$17)*$BW$17+
INDEX($A629:$BM629,,$BV$18)*$BW$18+
INDEX($A629:$BM629,,$BV$19)*$BW$19+
INDEX($A629:$BM629,,$BV$20)*$BW$20+
INDEX($A629:$BM629,,$BV$21)*$BW$21+
INDEX($A629:$BM629,,$BV$22)*$BW$22+
INDEX($A629:$BM629,,$BV$23)*$BW$23+
INDEX($A629:$BM629,,$BV$25)*$BW$25+
INDEX($A629:$BM629,,$BV$26)*$BW$26+
INDEX($A629:$BM629,,$BV$27)*$BW$27+
$BN629)),
$BN629-100)</f>
        <v>107.14628</v>
      </c>
      <c r="BF629" t="str">
        <f t="shared" si="127"/>
        <v/>
      </c>
      <c r="BG629" t="str">
        <f t="shared" si="128"/>
        <v/>
      </c>
      <c r="BH629">
        <f t="shared" si="129"/>
        <v>0</v>
      </c>
      <c r="BJ629" t="str">
        <f t="shared" si="130"/>
        <v/>
      </c>
      <c r="BL629">
        <f t="shared" si="132"/>
        <v>0</v>
      </c>
      <c r="BN629">
        <v>6.28E-3</v>
      </c>
      <c r="BS629" s="4" t="s">
        <v>2408</v>
      </c>
    </row>
    <row r="630" spans="1:71" ht="15.75" thickBot="1" x14ac:dyDescent="0.3">
      <c r="A630" s="569" t="s">
        <v>1873</v>
      </c>
      <c r="B630" s="569" t="s">
        <v>145</v>
      </c>
      <c r="C630" s="569" t="s">
        <v>7</v>
      </c>
      <c r="D630" s="574">
        <v>7</v>
      </c>
      <c r="E630" s="569"/>
      <c r="F630" s="569"/>
      <c r="G630" s="569"/>
      <c r="H630" s="569"/>
      <c r="I630" s="574">
        <v>0</v>
      </c>
      <c r="J630" s="574">
        <v>0</v>
      </c>
      <c r="K630" s="574">
        <v>0</v>
      </c>
      <c r="L630" s="574">
        <v>43.4</v>
      </c>
      <c r="M630" s="574">
        <v>4.0999999999999996</v>
      </c>
      <c r="N630" s="574">
        <v>412.3</v>
      </c>
      <c r="O630" s="574">
        <v>0</v>
      </c>
      <c r="P630" s="574">
        <v>0</v>
      </c>
      <c r="Q630" s="574">
        <v>0</v>
      </c>
      <c r="R630" s="569"/>
      <c r="S630" s="569"/>
      <c r="T630" s="569"/>
      <c r="U630" s="569"/>
      <c r="V630" s="569"/>
      <c r="W630" s="569"/>
      <c r="X630" s="569"/>
      <c r="Y630" s="569"/>
      <c r="Z630" s="569"/>
      <c r="AA630" s="569"/>
      <c r="AB630" s="569"/>
      <c r="AC630" s="569"/>
      <c r="AD630" s="569"/>
      <c r="AE630" s="569"/>
      <c r="AF630" s="569"/>
      <c r="AG630" s="569"/>
      <c r="AH630" s="569"/>
      <c r="AI630" s="569"/>
      <c r="AJ630" s="569"/>
      <c r="AK630" s="569"/>
      <c r="AL630" s="569"/>
      <c r="AM630" s="569"/>
      <c r="AN630" s="574">
        <v>65.900000000000006</v>
      </c>
      <c r="AO630">
        <v>629</v>
      </c>
      <c r="AP630" t="str">
        <f t="shared" si="131"/>
        <v/>
      </c>
      <c r="AQ630" t="str">
        <f t="shared" si="121"/>
        <v/>
      </c>
      <c r="AR630" s="430">
        <f>IFERROR(
IF(AP630="",-100,
IF($BV$2&gt;0, INDEX(Beersheet!$A:$U,MATCH(AP630,INDEX(Beersheet!$A:$U,0,FFARawStatProjections!$BV$2),0),$BV$3)+$BN630,
INDEX($A630:$BM630,,$BV$12)*$BW$12+
INDEX($A630:$BM630,,$BV$15)*$BW$15+
INDEX($A630:$BM630,,$BV$16)*$BW$16+
INDEX($A630:$BM630,,$BV$17)*$BW$17+
INDEX($A630:$BM630,,$BV$18)*$BW$18+
INDEX($A630:$BM630,,$BV$19)*$BW$19+
INDEX($A630:$BM630,,$BV$20)*$BW$20+
INDEX($A630:$BM630,,$BV$21)*$BW$21+
INDEX($A630:$BM630,,$BV$22)*$BW$22+
INDEX($A630:$BM630,,$BV$23)*$BW$23+
INDEX($A630:$BM630,,$BV$25)*$BW$25+
INDEX($A630:$BM630,,$BV$26)*$BW$26+
INDEX($A630:$BM630,,$BV$27)*$BW$27+
$BN630)),
$BN630-100)</f>
        <v>-100</v>
      </c>
      <c r="AT630" t="str">
        <f t="shared" si="122"/>
        <v/>
      </c>
      <c r="AU630" t="str">
        <f t="shared" si="123"/>
        <v/>
      </c>
      <c r="AV630" s="430">
        <f>IFERROR(
IF(AT630="",-100,
IF($BV$2&gt;0, INDEX(Beersheet!$A:$U,MATCH(AT630,INDEX(Beersheet!$A:$U,0,FFARawStatProjections!$BV$2),0),$BV$3)+$BN630,
INDEX($A630:$BM630,,$BV$12)*$BW$12+
INDEX($A630:$BM630,,$BV$15)*$BW$15+
INDEX($A630:$BM630,,$BV$16)*$BW$16+
INDEX($A630:$BM630,,$BV$17)*$BW$17+
INDEX($A630:$BM630,,$BV$18)*$BW$18+
INDEX($A630:$BM630,,$BV$19)*$BW$19+
INDEX($A630:$BM630,,$BV$20)*$BW$20+
INDEX($A630:$BM630,,$BV$21)*$BW$21+
INDEX($A630:$BM630,,$BV$22)*$BW$22+
INDEX($A630:$BM630,,$BV$23)*$BW$23+
INDEX($A630:$BM630,,$BV$25)*$BW$25+
INDEX($A630:$BM630,,$BV$26)*$BW$26+
INDEX($A630:$BM630,,$BV$27)*$BW$27+
$BN630)),
$BN630-100)</f>
        <v>-100</v>
      </c>
      <c r="AX630" t="str">
        <f t="shared" si="124"/>
        <v/>
      </c>
      <c r="AY630" t="str">
        <f t="shared" si="125"/>
        <v/>
      </c>
      <c r="AZ630" s="430">
        <f>IFERROR(
IF(AX630="",-100,
IF($BV$2&gt;0, INDEX(Beersheet!$A:$U,MATCH(AX630,INDEX(Beersheet!$A:$U,0,FFARawStatProjections!$BV$2),0),$BV$3)+$BN630,
INDEX($A630:$BM630,,$BV$12)*$BW$12+
INDEX($A630:$BM630,,$BV$15)*$BW$15+
INDEX($A630:$BM630,,$BV$16)*$BW$16+
INDEX($A630:$BM630,,$BV$17)*$BW$17+
INDEX($A630:$BM630,,$BV$18)*$BW$18+
INDEX($A630:$BM630,,$BV$19)*$BW$19+
INDEX($A630:$BM630,,$BV$20)*$BW$20+
INDEX($A630:$BM630,,$BV$21)*$BW$21+
INDEX($A630:$BM630,,$BV$22)*$BW$22+
INDEX($A630:$BM630,,$BV$23)*$BW$23+
INDEX($A630:$BM630,,$BV$25)*$BW$25+
INDEX($A630:$BM630,,$BV$26)*$BW$26+
INDEX($A630:$BM630,,$BV$27)*$BW$27+
$BN630)),
$BN630-100)</f>
        <v>-100</v>
      </c>
      <c r="BB630" t="str">
        <f t="shared" si="126"/>
        <v>Irv Smith</v>
      </c>
      <c r="BC630" t="str">
        <f t="shared" si="120"/>
        <v>CIN</v>
      </c>
      <c r="BD630" s="430">
        <f>IFERROR(
IF(BB630="",-100,
IF($BV$2&gt;0, INDEX(Beersheet!$A:$U,MATCH(BB630,INDEX(Beersheet!$A:$U,0,FFARawStatProjections!$BV$2),0),$BV$3)+$BN630,
INDEX($A630:$BM630,,$BV$12)*$BW$12+
INDEX($A630:$BM630,,$BV$15)*$BW$15+
INDEX($A630:$BM630,,$BV$16)*$BW$16+
INDEX($A630:$BM630,,$BV$17)*$BW$17+
INDEX($A630:$BM630,,$BV$18)*$BW$18+
INDEX($A630:$BM630,,$BV$19)*$BW$19+
INDEX($A630:$BM630,,$BV$20)*$BW$20+
INDEX($A630:$BM630,,$BV$21)*$BW$21+
INDEX($A630:$BM630,,$BV$22)*$BW$22+
INDEX($A630:$BM630,,$BV$23)*$BW$23+
INDEX($A630:$BM630,,$BV$25)*$BW$25+
INDEX($A630:$BM630,,$BV$26)*$BW$26+
INDEX($A630:$BM630,,$BV$27)*$BW$27+
$BN630)),
$BN630-100)</f>
        <v>109.23629000000001</v>
      </c>
      <c r="BF630" t="str">
        <f t="shared" si="127"/>
        <v/>
      </c>
      <c r="BG630" t="str">
        <f t="shared" si="128"/>
        <v/>
      </c>
      <c r="BH630">
        <f t="shared" si="129"/>
        <v>0</v>
      </c>
      <c r="BJ630" t="str">
        <f t="shared" si="130"/>
        <v/>
      </c>
      <c r="BL630">
        <f t="shared" si="132"/>
        <v>0</v>
      </c>
      <c r="BN630">
        <v>6.2899999999999996E-3</v>
      </c>
      <c r="BS630" s="4" t="s">
        <v>2407</v>
      </c>
    </row>
    <row r="631" spans="1:71" ht="15.75" thickBot="1" x14ac:dyDescent="0.3">
      <c r="A631" s="569" t="s">
        <v>1863</v>
      </c>
      <c r="B631" s="569" t="s">
        <v>140</v>
      </c>
      <c r="C631" s="569" t="s">
        <v>7</v>
      </c>
      <c r="D631" s="574">
        <v>5</v>
      </c>
      <c r="E631" s="569"/>
      <c r="F631" s="569"/>
      <c r="G631" s="569"/>
      <c r="H631" s="569"/>
      <c r="I631" s="574">
        <v>0</v>
      </c>
      <c r="J631" s="574">
        <v>0</v>
      </c>
      <c r="K631" s="574">
        <v>0</v>
      </c>
      <c r="L631" s="574">
        <v>43.7</v>
      </c>
      <c r="M631" s="574">
        <v>2.9</v>
      </c>
      <c r="N631" s="574">
        <v>451.7</v>
      </c>
      <c r="O631" s="574">
        <v>0</v>
      </c>
      <c r="P631" s="574">
        <v>0</v>
      </c>
      <c r="Q631" s="574">
        <v>0</v>
      </c>
      <c r="R631" s="569"/>
      <c r="S631" s="569"/>
      <c r="T631" s="569"/>
      <c r="U631" s="569"/>
      <c r="V631" s="569"/>
      <c r="W631" s="569"/>
      <c r="X631" s="569"/>
      <c r="Y631" s="569"/>
      <c r="Z631" s="569"/>
      <c r="AA631" s="569"/>
      <c r="AB631" s="569"/>
      <c r="AC631" s="569"/>
      <c r="AD631" s="569"/>
      <c r="AE631" s="569"/>
      <c r="AF631" s="569"/>
      <c r="AG631" s="569"/>
      <c r="AH631" s="569"/>
      <c r="AI631" s="569"/>
      <c r="AJ631" s="569"/>
      <c r="AK631" s="569"/>
      <c r="AL631" s="569"/>
      <c r="AM631" s="569"/>
      <c r="AN631" s="574">
        <v>62.5</v>
      </c>
      <c r="AO631">
        <v>630</v>
      </c>
      <c r="AP631" t="str">
        <f t="shared" si="131"/>
        <v/>
      </c>
      <c r="AQ631" t="str">
        <f t="shared" si="121"/>
        <v/>
      </c>
      <c r="AR631" s="430">
        <f>IFERROR(
IF(AP631="",-100,
IF($BV$2&gt;0, INDEX(Beersheet!$A:$U,MATCH(AP631,INDEX(Beersheet!$A:$U,0,FFARawStatProjections!$BV$2),0),$BV$3)+$BN631,
INDEX($A631:$BM631,,$BV$12)*$BW$12+
INDEX($A631:$BM631,,$BV$15)*$BW$15+
INDEX($A631:$BM631,,$BV$16)*$BW$16+
INDEX($A631:$BM631,,$BV$17)*$BW$17+
INDEX($A631:$BM631,,$BV$18)*$BW$18+
INDEX($A631:$BM631,,$BV$19)*$BW$19+
INDEX($A631:$BM631,,$BV$20)*$BW$20+
INDEX($A631:$BM631,,$BV$21)*$BW$21+
INDEX($A631:$BM631,,$BV$22)*$BW$22+
INDEX($A631:$BM631,,$BV$23)*$BW$23+
INDEX($A631:$BM631,,$BV$25)*$BW$25+
INDEX($A631:$BM631,,$BV$26)*$BW$26+
INDEX($A631:$BM631,,$BV$27)*$BW$27+
$BN631)),
$BN631-100)</f>
        <v>-100</v>
      </c>
      <c r="AT631" t="str">
        <f t="shared" si="122"/>
        <v/>
      </c>
      <c r="AU631" t="str">
        <f t="shared" si="123"/>
        <v/>
      </c>
      <c r="AV631" s="430">
        <f>IFERROR(
IF(AT631="",-100,
IF($BV$2&gt;0, INDEX(Beersheet!$A:$U,MATCH(AT631,INDEX(Beersheet!$A:$U,0,FFARawStatProjections!$BV$2),0),$BV$3)+$BN631,
INDEX($A631:$BM631,,$BV$12)*$BW$12+
INDEX($A631:$BM631,,$BV$15)*$BW$15+
INDEX($A631:$BM631,,$BV$16)*$BW$16+
INDEX($A631:$BM631,,$BV$17)*$BW$17+
INDEX($A631:$BM631,,$BV$18)*$BW$18+
INDEX($A631:$BM631,,$BV$19)*$BW$19+
INDEX($A631:$BM631,,$BV$20)*$BW$20+
INDEX($A631:$BM631,,$BV$21)*$BW$21+
INDEX($A631:$BM631,,$BV$22)*$BW$22+
INDEX($A631:$BM631,,$BV$23)*$BW$23+
INDEX($A631:$BM631,,$BV$25)*$BW$25+
INDEX($A631:$BM631,,$BV$26)*$BW$26+
INDEX($A631:$BM631,,$BV$27)*$BW$27+
$BN631)),
$BN631-100)</f>
        <v>-100</v>
      </c>
      <c r="AX631" t="str">
        <f t="shared" si="124"/>
        <v/>
      </c>
      <c r="AY631" t="str">
        <f t="shared" si="125"/>
        <v/>
      </c>
      <c r="AZ631" s="430">
        <f>IFERROR(
IF(AX631="",-100,
IF($BV$2&gt;0, INDEX(Beersheet!$A:$U,MATCH(AX631,INDEX(Beersheet!$A:$U,0,FFARawStatProjections!$BV$2),0),$BV$3)+$BN631,
INDEX($A631:$BM631,,$BV$12)*$BW$12+
INDEX($A631:$BM631,,$BV$15)*$BW$15+
INDEX($A631:$BM631,,$BV$16)*$BW$16+
INDEX($A631:$BM631,,$BV$17)*$BW$17+
INDEX($A631:$BM631,,$BV$18)*$BW$18+
INDEX($A631:$BM631,,$BV$19)*$BW$19+
INDEX($A631:$BM631,,$BV$20)*$BW$20+
INDEX($A631:$BM631,,$BV$21)*$BW$21+
INDEX($A631:$BM631,,$BV$22)*$BW$22+
INDEX($A631:$BM631,,$BV$23)*$BW$23+
INDEX($A631:$BM631,,$BV$25)*$BW$25+
INDEX($A631:$BM631,,$BV$26)*$BW$26+
INDEX($A631:$BM631,,$BV$27)*$BW$27+
$BN631)),
$BN631-100)</f>
        <v>-100</v>
      </c>
      <c r="BB631" t="str">
        <f t="shared" si="126"/>
        <v>Noah Fant</v>
      </c>
      <c r="BC631" t="str">
        <f t="shared" si="120"/>
        <v>SEA</v>
      </c>
      <c r="BD631" s="430">
        <f>IFERROR(
IF(BB631="",-100,
IF($BV$2&gt;0, INDEX(Beersheet!$A:$U,MATCH(BB631,INDEX(Beersheet!$A:$U,0,FFARawStatProjections!$BV$2),0),$BV$3)+$BN631,
INDEX($A631:$BM631,,$BV$12)*$BW$12+
INDEX($A631:$BM631,,$BV$15)*$BW$15+
INDEX($A631:$BM631,,$BV$16)*$BW$16+
INDEX($A631:$BM631,,$BV$17)*$BW$17+
INDEX($A631:$BM631,,$BV$18)*$BW$18+
INDEX($A631:$BM631,,$BV$19)*$BW$19+
INDEX($A631:$BM631,,$BV$20)*$BW$20+
INDEX($A631:$BM631,,$BV$21)*$BW$21+
INDEX($A631:$BM631,,$BV$22)*$BW$22+
INDEX($A631:$BM631,,$BV$23)*$BW$23+
INDEX($A631:$BM631,,$BV$25)*$BW$25+
INDEX($A631:$BM631,,$BV$26)*$BW$26+
INDEX($A631:$BM631,,$BV$27)*$BW$27+
$BN631)),
$BN631-100)</f>
        <v>106.27630000000001</v>
      </c>
      <c r="BF631" t="str">
        <f t="shared" si="127"/>
        <v/>
      </c>
      <c r="BG631" t="str">
        <f t="shared" si="128"/>
        <v/>
      </c>
      <c r="BH631">
        <f t="shared" si="129"/>
        <v>0</v>
      </c>
      <c r="BJ631" t="str">
        <f t="shared" si="130"/>
        <v/>
      </c>
      <c r="BL631">
        <f t="shared" si="132"/>
        <v>0</v>
      </c>
      <c r="BN631">
        <v>6.3E-3</v>
      </c>
      <c r="BS631" s="4" t="s">
        <v>2406</v>
      </c>
    </row>
    <row r="632" spans="1:71" ht="15.75" thickBot="1" x14ac:dyDescent="0.3">
      <c r="A632" s="569" t="s">
        <v>1887</v>
      </c>
      <c r="B632" s="569" t="s">
        <v>156</v>
      </c>
      <c r="C632" s="569" t="s">
        <v>7</v>
      </c>
      <c r="D632" s="574">
        <v>13</v>
      </c>
      <c r="E632" s="569"/>
      <c r="F632" s="569"/>
      <c r="G632" s="569"/>
      <c r="H632" s="569"/>
      <c r="I632" s="574">
        <v>0</v>
      </c>
      <c r="J632" s="574">
        <v>0</v>
      </c>
      <c r="K632" s="574">
        <v>0</v>
      </c>
      <c r="L632" s="574">
        <v>36</v>
      </c>
      <c r="M632" s="574">
        <v>3.5</v>
      </c>
      <c r="N632" s="574">
        <v>401.5</v>
      </c>
      <c r="O632" s="574">
        <v>0</v>
      </c>
      <c r="P632" s="574">
        <v>0</v>
      </c>
      <c r="Q632" s="574">
        <v>0</v>
      </c>
      <c r="R632" s="569"/>
      <c r="S632" s="569"/>
      <c r="T632" s="569"/>
      <c r="U632" s="569"/>
      <c r="V632" s="569"/>
      <c r="W632" s="569"/>
      <c r="X632" s="569"/>
      <c r="Y632" s="569"/>
      <c r="Z632" s="569"/>
      <c r="AA632" s="569"/>
      <c r="AB632" s="569"/>
      <c r="AC632" s="569"/>
      <c r="AD632" s="569"/>
      <c r="AE632" s="569"/>
      <c r="AF632" s="569"/>
      <c r="AG632" s="569"/>
      <c r="AH632" s="569"/>
      <c r="AI632" s="569"/>
      <c r="AJ632" s="569"/>
      <c r="AK632" s="569"/>
      <c r="AL632" s="569"/>
      <c r="AM632" s="569"/>
      <c r="AN632" s="574">
        <v>61</v>
      </c>
      <c r="AO632">
        <v>631</v>
      </c>
      <c r="AP632" t="str">
        <f t="shared" si="131"/>
        <v/>
      </c>
      <c r="AQ632" t="str">
        <f t="shared" si="121"/>
        <v/>
      </c>
      <c r="AR632" s="430">
        <f>IFERROR(
IF(AP632="",-100,
IF($BV$2&gt;0, INDEX(Beersheet!$A:$U,MATCH(AP632,INDEX(Beersheet!$A:$U,0,FFARawStatProjections!$BV$2),0),$BV$3)+$BN632,
INDEX($A632:$BM632,,$BV$12)*$BW$12+
INDEX($A632:$BM632,,$BV$15)*$BW$15+
INDEX($A632:$BM632,,$BV$16)*$BW$16+
INDEX($A632:$BM632,,$BV$17)*$BW$17+
INDEX($A632:$BM632,,$BV$18)*$BW$18+
INDEX($A632:$BM632,,$BV$19)*$BW$19+
INDEX($A632:$BM632,,$BV$20)*$BW$20+
INDEX($A632:$BM632,,$BV$21)*$BW$21+
INDEX($A632:$BM632,,$BV$22)*$BW$22+
INDEX($A632:$BM632,,$BV$23)*$BW$23+
INDEX($A632:$BM632,,$BV$25)*$BW$25+
INDEX($A632:$BM632,,$BV$26)*$BW$26+
INDEX($A632:$BM632,,$BV$27)*$BW$27+
$BN632)),
$BN632-100)</f>
        <v>-100</v>
      </c>
      <c r="AT632" t="str">
        <f t="shared" si="122"/>
        <v/>
      </c>
      <c r="AU632" t="str">
        <f t="shared" si="123"/>
        <v/>
      </c>
      <c r="AV632" s="430">
        <f>IFERROR(
IF(AT632="",-100,
IF($BV$2&gt;0, INDEX(Beersheet!$A:$U,MATCH(AT632,INDEX(Beersheet!$A:$U,0,FFARawStatProjections!$BV$2),0),$BV$3)+$BN632,
INDEX($A632:$BM632,,$BV$12)*$BW$12+
INDEX($A632:$BM632,,$BV$15)*$BW$15+
INDEX($A632:$BM632,,$BV$16)*$BW$16+
INDEX($A632:$BM632,,$BV$17)*$BW$17+
INDEX($A632:$BM632,,$BV$18)*$BW$18+
INDEX($A632:$BM632,,$BV$19)*$BW$19+
INDEX($A632:$BM632,,$BV$20)*$BW$20+
INDEX($A632:$BM632,,$BV$21)*$BW$21+
INDEX($A632:$BM632,,$BV$22)*$BW$22+
INDEX($A632:$BM632,,$BV$23)*$BW$23+
INDEX($A632:$BM632,,$BV$25)*$BW$25+
INDEX($A632:$BM632,,$BV$26)*$BW$26+
INDEX($A632:$BM632,,$BV$27)*$BW$27+
$BN632)),
$BN632-100)</f>
        <v>-100</v>
      </c>
      <c r="AX632" t="str">
        <f t="shared" si="124"/>
        <v/>
      </c>
      <c r="AY632" t="str">
        <f t="shared" si="125"/>
        <v/>
      </c>
      <c r="AZ632" s="430">
        <f>IFERROR(
IF(AX632="",-100,
IF($BV$2&gt;0, INDEX(Beersheet!$A:$U,MATCH(AX632,INDEX(Beersheet!$A:$U,0,FFARawStatProjections!$BV$2),0),$BV$3)+$BN632,
INDEX($A632:$BM632,,$BV$12)*$BW$12+
INDEX($A632:$BM632,,$BV$15)*$BW$15+
INDEX($A632:$BM632,,$BV$16)*$BW$16+
INDEX($A632:$BM632,,$BV$17)*$BW$17+
INDEX($A632:$BM632,,$BV$18)*$BW$18+
INDEX($A632:$BM632,,$BV$19)*$BW$19+
INDEX($A632:$BM632,,$BV$20)*$BW$20+
INDEX($A632:$BM632,,$BV$21)*$BW$21+
INDEX($A632:$BM632,,$BV$22)*$BW$22+
INDEX($A632:$BM632,,$BV$23)*$BW$23+
INDEX($A632:$BM632,,$BV$25)*$BW$25+
INDEX($A632:$BM632,,$BV$26)*$BW$26+
INDEX($A632:$BM632,,$BV$27)*$BW$27+
$BN632)),
$BN632-100)</f>
        <v>-100</v>
      </c>
      <c r="BB632" t="str">
        <f t="shared" si="126"/>
        <v>Dawson Knox</v>
      </c>
      <c r="BC632" t="str">
        <f t="shared" si="120"/>
        <v>BUF</v>
      </c>
      <c r="BD632" s="430">
        <f>IFERROR(
IF(BB632="",-100,
IF($BV$2&gt;0, INDEX(Beersheet!$A:$U,MATCH(BB632,INDEX(Beersheet!$A:$U,0,FFARawStatProjections!$BV$2),0),$BV$3)+$BN632,
INDEX($A632:$BM632,,$BV$12)*$BW$12+
INDEX($A632:$BM632,,$BV$15)*$BW$15+
INDEX($A632:$BM632,,$BV$16)*$BW$16+
INDEX($A632:$BM632,,$BV$17)*$BW$17+
INDEX($A632:$BM632,,$BV$18)*$BW$18+
INDEX($A632:$BM632,,$BV$19)*$BW$19+
INDEX($A632:$BM632,,$BV$20)*$BW$20+
INDEX($A632:$BM632,,$BV$21)*$BW$21+
INDEX($A632:$BM632,,$BV$22)*$BW$22+
INDEX($A632:$BM632,,$BV$23)*$BW$23+
INDEX($A632:$BM632,,$BV$25)*$BW$25+
INDEX($A632:$BM632,,$BV$26)*$BW$26+
INDEX($A632:$BM632,,$BV$27)*$BW$27+
$BN632)),
$BN632-100)</f>
        <v>97.156310000000005</v>
      </c>
      <c r="BF632" t="str">
        <f t="shared" si="127"/>
        <v/>
      </c>
      <c r="BG632" t="str">
        <f t="shared" si="128"/>
        <v/>
      </c>
      <c r="BH632">
        <f t="shared" si="129"/>
        <v>0</v>
      </c>
      <c r="BJ632" t="str">
        <f t="shared" si="130"/>
        <v/>
      </c>
      <c r="BL632">
        <f t="shared" si="132"/>
        <v>0</v>
      </c>
      <c r="BN632">
        <v>6.3099999999999996E-3</v>
      </c>
      <c r="BS632" s="4" t="s">
        <v>2405</v>
      </c>
    </row>
    <row r="633" spans="1:71" ht="15.75" thickBot="1" x14ac:dyDescent="0.3">
      <c r="A633" s="569" t="s">
        <v>1810</v>
      </c>
      <c r="B633" s="569" t="s">
        <v>159</v>
      </c>
      <c r="C633" s="569" t="s">
        <v>7</v>
      </c>
      <c r="D633" s="574">
        <v>7</v>
      </c>
      <c r="E633" s="569"/>
      <c r="F633" s="569"/>
      <c r="G633" s="569"/>
      <c r="H633" s="569"/>
      <c r="I633" s="574">
        <v>0</v>
      </c>
      <c r="J633" s="574">
        <v>0</v>
      </c>
      <c r="K633" s="574">
        <v>0</v>
      </c>
      <c r="L633" s="574">
        <v>46.3</v>
      </c>
      <c r="M633" s="574">
        <v>2.9</v>
      </c>
      <c r="N633" s="574">
        <v>440</v>
      </c>
      <c r="O633" s="574">
        <v>0</v>
      </c>
      <c r="P633" s="574">
        <v>0</v>
      </c>
      <c r="Q633" s="574">
        <v>0</v>
      </c>
      <c r="R633" s="569"/>
      <c r="S633" s="569"/>
      <c r="T633" s="569"/>
      <c r="U633" s="569"/>
      <c r="V633" s="569"/>
      <c r="W633" s="569"/>
      <c r="X633" s="569"/>
      <c r="Y633" s="569"/>
      <c r="Z633" s="569"/>
      <c r="AA633" s="569"/>
      <c r="AB633" s="569"/>
      <c r="AC633" s="569"/>
      <c r="AD633" s="569"/>
      <c r="AE633" s="569"/>
      <c r="AF633" s="569"/>
      <c r="AG633" s="569"/>
      <c r="AH633" s="569"/>
      <c r="AI633" s="569"/>
      <c r="AJ633" s="569"/>
      <c r="AK633" s="569"/>
      <c r="AL633" s="569"/>
      <c r="AM633" s="569"/>
      <c r="AN633" s="574">
        <v>60.5</v>
      </c>
      <c r="AO633">
        <v>632</v>
      </c>
      <c r="AP633" t="str">
        <f t="shared" si="131"/>
        <v/>
      </c>
      <c r="AQ633" t="str">
        <f t="shared" si="121"/>
        <v/>
      </c>
      <c r="AR633" s="430">
        <f>IFERROR(
IF(AP633="",-100,
IF($BV$2&gt;0, INDEX(Beersheet!$A:$U,MATCH(AP633,INDEX(Beersheet!$A:$U,0,FFARawStatProjections!$BV$2),0),$BV$3)+$BN633,
INDEX($A633:$BM633,,$BV$12)*$BW$12+
INDEX($A633:$BM633,,$BV$15)*$BW$15+
INDEX($A633:$BM633,,$BV$16)*$BW$16+
INDEX($A633:$BM633,,$BV$17)*$BW$17+
INDEX($A633:$BM633,,$BV$18)*$BW$18+
INDEX($A633:$BM633,,$BV$19)*$BW$19+
INDEX($A633:$BM633,,$BV$20)*$BW$20+
INDEX($A633:$BM633,,$BV$21)*$BW$21+
INDEX($A633:$BM633,,$BV$22)*$BW$22+
INDEX($A633:$BM633,,$BV$23)*$BW$23+
INDEX($A633:$BM633,,$BV$25)*$BW$25+
INDEX($A633:$BM633,,$BV$26)*$BW$26+
INDEX($A633:$BM633,,$BV$27)*$BW$27+
$BN633)),
$BN633-100)</f>
        <v>-100</v>
      </c>
      <c r="AT633" t="str">
        <f t="shared" si="122"/>
        <v/>
      </c>
      <c r="AU633" t="str">
        <f t="shared" si="123"/>
        <v/>
      </c>
      <c r="AV633" s="430">
        <f>IFERROR(
IF(AT633="",-100,
IF($BV$2&gt;0, INDEX(Beersheet!$A:$U,MATCH(AT633,INDEX(Beersheet!$A:$U,0,FFARawStatProjections!$BV$2),0),$BV$3)+$BN633,
INDEX($A633:$BM633,,$BV$12)*$BW$12+
INDEX($A633:$BM633,,$BV$15)*$BW$15+
INDEX($A633:$BM633,,$BV$16)*$BW$16+
INDEX($A633:$BM633,,$BV$17)*$BW$17+
INDEX($A633:$BM633,,$BV$18)*$BW$18+
INDEX($A633:$BM633,,$BV$19)*$BW$19+
INDEX($A633:$BM633,,$BV$20)*$BW$20+
INDEX($A633:$BM633,,$BV$21)*$BW$21+
INDEX($A633:$BM633,,$BV$22)*$BW$22+
INDEX($A633:$BM633,,$BV$23)*$BW$23+
INDEX($A633:$BM633,,$BV$25)*$BW$25+
INDEX($A633:$BM633,,$BV$26)*$BW$26+
INDEX($A633:$BM633,,$BV$27)*$BW$27+
$BN633)),
$BN633-100)</f>
        <v>-100</v>
      </c>
      <c r="AX633" t="str">
        <f t="shared" si="124"/>
        <v/>
      </c>
      <c r="AY633" t="str">
        <f t="shared" si="125"/>
        <v/>
      </c>
      <c r="AZ633" s="430">
        <f>IFERROR(
IF(AX633="",-100,
IF($BV$2&gt;0, INDEX(Beersheet!$A:$U,MATCH(AX633,INDEX(Beersheet!$A:$U,0,FFARawStatProjections!$BV$2),0),$BV$3)+$BN633,
INDEX($A633:$BM633,,$BV$12)*$BW$12+
INDEX($A633:$BM633,,$BV$15)*$BW$15+
INDEX($A633:$BM633,,$BV$16)*$BW$16+
INDEX($A633:$BM633,,$BV$17)*$BW$17+
INDEX($A633:$BM633,,$BV$18)*$BW$18+
INDEX($A633:$BM633,,$BV$19)*$BW$19+
INDEX($A633:$BM633,,$BV$20)*$BW$20+
INDEX($A633:$BM633,,$BV$21)*$BW$21+
INDEX($A633:$BM633,,$BV$22)*$BW$22+
INDEX($A633:$BM633,,$BV$23)*$BW$23+
INDEX($A633:$BM633,,$BV$25)*$BW$25+
INDEX($A633:$BM633,,$BV$26)*$BW$26+
INDEX($A633:$BM633,,$BV$27)*$BW$27+
$BN633)),
$BN633-100)</f>
        <v>-100</v>
      </c>
      <c r="BB633" t="str">
        <f t="shared" si="126"/>
        <v>Hayden Hurst</v>
      </c>
      <c r="BC633" t="str">
        <f t="shared" si="120"/>
        <v>CAR</v>
      </c>
      <c r="BD633" s="430">
        <f>IFERROR(
IF(BB633="",-100,
IF($BV$2&gt;0, INDEX(Beersheet!$A:$U,MATCH(BB633,INDEX(Beersheet!$A:$U,0,FFARawStatProjections!$BV$2),0),$BV$3)+$BN633,
INDEX($A633:$BM633,,$BV$12)*$BW$12+
INDEX($A633:$BM633,,$BV$15)*$BW$15+
INDEX($A633:$BM633,,$BV$16)*$BW$16+
INDEX($A633:$BM633,,$BV$17)*$BW$17+
INDEX($A633:$BM633,,$BV$18)*$BW$18+
INDEX($A633:$BM633,,$BV$19)*$BW$19+
INDEX($A633:$BM633,,$BV$20)*$BW$20+
INDEX($A633:$BM633,,$BV$21)*$BW$21+
INDEX($A633:$BM633,,$BV$22)*$BW$22+
INDEX($A633:$BM633,,$BV$23)*$BW$23+
INDEX($A633:$BM633,,$BV$25)*$BW$25+
INDEX($A633:$BM633,,$BV$26)*$BW$26+
INDEX($A633:$BM633,,$BV$27)*$BW$27+
$BN633)),
$BN633-100)</f>
        <v>107.70631999999999</v>
      </c>
      <c r="BF633" t="str">
        <f t="shared" si="127"/>
        <v/>
      </c>
      <c r="BG633" t="str">
        <f t="shared" si="128"/>
        <v/>
      </c>
      <c r="BH633">
        <f t="shared" si="129"/>
        <v>0</v>
      </c>
      <c r="BJ633" t="str">
        <f t="shared" si="130"/>
        <v/>
      </c>
      <c r="BL633">
        <f t="shared" si="132"/>
        <v>0</v>
      </c>
      <c r="BN633">
        <v>6.3200000000000001E-3</v>
      </c>
      <c r="BS633" s="4" t="s">
        <v>2404</v>
      </c>
    </row>
    <row r="634" spans="1:71" ht="15.75" thickBot="1" x14ac:dyDescent="0.3">
      <c r="A634" s="569" t="s">
        <v>48</v>
      </c>
      <c r="B634" s="569" t="s">
        <v>2272</v>
      </c>
      <c r="C634" s="569" t="s">
        <v>7</v>
      </c>
      <c r="D634" s="574">
        <v>14</v>
      </c>
      <c r="E634" s="569"/>
      <c r="F634" s="569"/>
      <c r="G634" s="569"/>
      <c r="H634" s="569"/>
      <c r="I634" s="574">
        <v>0</v>
      </c>
      <c r="J634" s="574">
        <v>0</v>
      </c>
      <c r="K634" s="574">
        <v>0</v>
      </c>
      <c r="L634" s="574">
        <v>44.7</v>
      </c>
      <c r="M634" s="574">
        <v>2.8</v>
      </c>
      <c r="N634" s="574">
        <v>439.5</v>
      </c>
      <c r="O634" s="574">
        <v>0</v>
      </c>
      <c r="P634" s="574">
        <v>0</v>
      </c>
      <c r="Q634" s="574">
        <v>0</v>
      </c>
      <c r="R634" s="569"/>
      <c r="S634" s="569"/>
      <c r="T634" s="569"/>
      <c r="U634" s="569"/>
      <c r="V634" s="569"/>
      <c r="W634" s="569"/>
      <c r="X634" s="569"/>
      <c r="Y634" s="569"/>
      <c r="Z634" s="569"/>
      <c r="AA634" s="569"/>
      <c r="AB634" s="569"/>
      <c r="AC634" s="569"/>
      <c r="AD634" s="569"/>
      <c r="AE634" s="569"/>
      <c r="AF634" s="569"/>
      <c r="AG634" s="569"/>
      <c r="AH634" s="569"/>
      <c r="AI634" s="569"/>
      <c r="AJ634" s="569"/>
      <c r="AK634" s="569"/>
      <c r="AL634" s="569"/>
      <c r="AM634" s="569"/>
      <c r="AN634" s="574">
        <v>60.2</v>
      </c>
      <c r="AO634">
        <v>633</v>
      </c>
      <c r="AP634" t="str">
        <f t="shared" si="131"/>
        <v/>
      </c>
      <c r="AQ634" t="str">
        <f t="shared" si="121"/>
        <v/>
      </c>
      <c r="AR634" s="430">
        <f>IFERROR(
IF(AP634="",-100,
IF($BV$2&gt;0, INDEX(Beersheet!$A:$U,MATCH(AP634,INDEX(Beersheet!$A:$U,0,FFARawStatProjections!$BV$2),0),$BV$3)+$BN634,
INDEX($A634:$BM634,,$BV$12)*$BW$12+
INDEX($A634:$BM634,,$BV$15)*$BW$15+
INDEX($A634:$BM634,,$BV$16)*$BW$16+
INDEX($A634:$BM634,,$BV$17)*$BW$17+
INDEX($A634:$BM634,,$BV$18)*$BW$18+
INDEX($A634:$BM634,,$BV$19)*$BW$19+
INDEX($A634:$BM634,,$BV$20)*$BW$20+
INDEX($A634:$BM634,,$BV$21)*$BW$21+
INDEX($A634:$BM634,,$BV$22)*$BW$22+
INDEX($A634:$BM634,,$BV$23)*$BW$23+
INDEX($A634:$BM634,,$BV$25)*$BW$25+
INDEX($A634:$BM634,,$BV$26)*$BW$26+
INDEX($A634:$BM634,,$BV$27)*$BW$27+
$BN634)),
$BN634-100)</f>
        <v>-100</v>
      </c>
      <c r="AT634" t="str">
        <f t="shared" si="122"/>
        <v/>
      </c>
      <c r="AU634" t="str">
        <f t="shared" si="123"/>
        <v/>
      </c>
      <c r="AV634" s="430">
        <f>IFERROR(
IF(AT634="",-100,
IF($BV$2&gt;0, INDEX(Beersheet!$A:$U,MATCH(AT634,INDEX(Beersheet!$A:$U,0,FFARawStatProjections!$BV$2),0),$BV$3)+$BN634,
INDEX($A634:$BM634,,$BV$12)*$BW$12+
INDEX($A634:$BM634,,$BV$15)*$BW$15+
INDEX($A634:$BM634,,$BV$16)*$BW$16+
INDEX($A634:$BM634,,$BV$17)*$BW$17+
INDEX($A634:$BM634,,$BV$18)*$BW$18+
INDEX($A634:$BM634,,$BV$19)*$BW$19+
INDEX($A634:$BM634,,$BV$20)*$BW$20+
INDEX($A634:$BM634,,$BV$21)*$BW$21+
INDEX($A634:$BM634,,$BV$22)*$BW$22+
INDEX($A634:$BM634,,$BV$23)*$BW$23+
INDEX($A634:$BM634,,$BV$25)*$BW$25+
INDEX($A634:$BM634,,$BV$26)*$BW$26+
INDEX($A634:$BM634,,$BV$27)*$BW$27+
$BN634)),
$BN634-100)</f>
        <v>-100</v>
      </c>
      <c r="AX634" t="str">
        <f t="shared" si="124"/>
        <v/>
      </c>
      <c r="AY634" t="str">
        <f t="shared" si="125"/>
        <v/>
      </c>
      <c r="AZ634" s="430">
        <f>IFERROR(
IF(AX634="",-100,
IF($BV$2&gt;0, INDEX(Beersheet!$A:$U,MATCH(AX634,INDEX(Beersheet!$A:$U,0,FFARawStatProjections!$BV$2),0),$BV$3)+$BN634,
INDEX($A634:$BM634,,$BV$12)*$BW$12+
INDEX($A634:$BM634,,$BV$15)*$BW$15+
INDEX($A634:$BM634,,$BV$16)*$BW$16+
INDEX($A634:$BM634,,$BV$17)*$BW$17+
INDEX($A634:$BM634,,$BV$18)*$BW$18+
INDEX($A634:$BM634,,$BV$19)*$BW$19+
INDEX($A634:$BM634,,$BV$20)*$BW$20+
INDEX($A634:$BM634,,$BV$21)*$BW$21+
INDEX($A634:$BM634,,$BV$22)*$BW$22+
INDEX($A634:$BM634,,$BV$23)*$BW$23+
INDEX($A634:$BM634,,$BV$25)*$BW$25+
INDEX($A634:$BM634,,$BV$26)*$BW$26+
INDEX($A634:$BM634,,$BV$27)*$BW$27+
$BN634)),
$BN634-100)</f>
        <v>-100</v>
      </c>
      <c r="BB634" t="str">
        <f t="shared" si="126"/>
        <v>Zach Ertz</v>
      </c>
      <c r="BC634" t="str">
        <f t="shared" si="120"/>
        <v>AZ</v>
      </c>
      <c r="BD634" s="430">
        <f>IFERROR(
IF(BB634="",-100,
IF($BV$2&gt;0, INDEX(Beersheet!$A:$U,MATCH(BB634,INDEX(Beersheet!$A:$U,0,FFARawStatProjections!$BV$2),0),$BV$3)+$BN634,
INDEX($A634:$BM634,,$BV$12)*$BW$12+
INDEX($A634:$BM634,,$BV$15)*$BW$15+
INDEX($A634:$BM634,,$BV$16)*$BW$16+
INDEX($A634:$BM634,,$BV$17)*$BW$17+
INDEX($A634:$BM634,,$BV$18)*$BW$18+
INDEX($A634:$BM634,,$BV$19)*$BW$19+
INDEX($A634:$BM634,,$BV$20)*$BW$20+
INDEX($A634:$BM634,,$BV$21)*$BW$21+
INDEX($A634:$BM634,,$BV$22)*$BW$22+
INDEX($A634:$BM634,,$BV$23)*$BW$23+
INDEX($A634:$BM634,,$BV$25)*$BW$25+
INDEX($A634:$BM634,,$BV$26)*$BW$26+
INDEX($A634:$BM634,,$BV$27)*$BW$27+
$BN634)),
$BN634-100)</f>
        <v>105.45633000000001</v>
      </c>
      <c r="BF634" t="str">
        <f t="shared" si="127"/>
        <v/>
      </c>
      <c r="BG634" t="str">
        <f t="shared" si="128"/>
        <v/>
      </c>
      <c r="BH634">
        <f t="shared" si="129"/>
        <v>0</v>
      </c>
      <c r="BJ634" t="str">
        <f t="shared" si="130"/>
        <v/>
      </c>
      <c r="BL634">
        <f t="shared" si="132"/>
        <v>0</v>
      </c>
      <c r="BN634">
        <v>6.3299999999999997E-3</v>
      </c>
      <c r="BS634" s="4" t="s">
        <v>2263</v>
      </c>
    </row>
    <row r="635" spans="1:71" ht="15.75" thickBot="1" x14ac:dyDescent="0.3">
      <c r="A635" s="569" t="s">
        <v>2355</v>
      </c>
      <c r="B635" s="569" t="s">
        <v>158</v>
      </c>
      <c r="C635" s="569" t="s">
        <v>7</v>
      </c>
      <c r="D635" s="574">
        <v>11</v>
      </c>
      <c r="E635" s="569"/>
      <c r="F635" s="569"/>
      <c r="G635" s="569"/>
      <c r="H635" s="569"/>
      <c r="I635" s="574">
        <v>0</v>
      </c>
      <c r="J635" s="574">
        <v>0</v>
      </c>
      <c r="K635" s="574">
        <v>0</v>
      </c>
      <c r="L635" s="574">
        <v>34.700000000000003</v>
      </c>
      <c r="M635" s="574">
        <v>2.9</v>
      </c>
      <c r="N635" s="574">
        <v>425.8</v>
      </c>
      <c r="O635" s="574">
        <v>0</v>
      </c>
      <c r="P635" s="574">
        <v>0</v>
      </c>
      <c r="Q635" s="574">
        <v>0</v>
      </c>
      <c r="R635" s="569"/>
      <c r="S635" s="569"/>
      <c r="T635" s="569"/>
      <c r="U635" s="569"/>
      <c r="V635" s="569"/>
      <c r="W635" s="569"/>
      <c r="X635" s="569"/>
      <c r="Y635" s="569"/>
      <c r="Z635" s="569"/>
      <c r="AA635" s="569"/>
      <c r="AB635" s="569"/>
      <c r="AC635" s="569"/>
      <c r="AD635" s="569"/>
      <c r="AE635" s="569"/>
      <c r="AF635" s="569"/>
      <c r="AG635" s="569"/>
      <c r="AH635" s="569"/>
      <c r="AI635" s="569"/>
      <c r="AJ635" s="569"/>
      <c r="AK635" s="569"/>
      <c r="AL635" s="569"/>
      <c r="AM635" s="569"/>
      <c r="AN635" s="574">
        <v>59.9</v>
      </c>
      <c r="AO635">
        <v>634</v>
      </c>
      <c r="AP635" t="str">
        <f t="shared" si="131"/>
        <v/>
      </c>
      <c r="AQ635" t="str">
        <f t="shared" si="121"/>
        <v/>
      </c>
      <c r="AR635" s="430">
        <f>IFERROR(
IF(AP635="",-100,
IF($BV$2&gt;0, INDEX(Beersheet!$A:$U,MATCH(AP635,INDEX(Beersheet!$A:$U,0,FFARawStatProjections!$BV$2),0),$BV$3)+$BN635,
INDEX($A635:$BM635,,$BV$12)*$BW$12+
INDEX($A635:$BM635,,$BV$15)*$BW$15+
INDEX($A635:$BM635,,$BV$16)*$BW$16+
INDEX($A635:$BM635,,$BV$17)*$BW$17+
INDEX($A635:$BM635,,$BV$18)*$BW$18+
INDEX($A635:$BM635,,$BV$19)*$BW$19+
INDEX($A635:$BM635,,$BV$20)*$BW$20+
INDEX($A635:$BM635,,$BV$21)*$BW$21+
INDEX($A635:$BM635,,$BV$22)*$BW$22+
INDEX($A635:$BM635,,$BV$23)*$BW$23+
INDEX($A635:$BM635,,$BV$25)*$BW$25+
INDEX($A635:$BM635,,$BV$26)*$BW$26+
INDEX($A635:$BM635,,$BV$27)*$BW$27+
$BN635)),
$BN635-100)</f>
        <v>-100</v>
      </c>
      <c r="AT635" t="str">
        <f t="shared" si="122"/>
        <v/>
      </c>
      <c r="AU635" t="str">
        <f t="shared" si="123"/>
        <v/>
      </c>
      <c r="AV635" s="430">
        <f>IFERROR(
IF(AT635="",-100,
IF($BV$2&gt;0, INDEX(Beersheet!$A:$U,MATCH(AT635,INDEX(Beersheet!$A:$U,0,FFARawStatProjections!$BV$2),0),$BV$3)+$BN635,
INDEX($A635:$BM635,,$BV$12)*$BW$12+
INDEX($A635:$BM635,,$BV$15)*$BW$15+
INDEX($A635:$BM635,,$BV$16)*$BW$16+
INDEX($A635:$BM635,,$BV$17)*$BW$17+
INDEX($A635:$BM635,,$BV$18)*$BW$18+
INDEX($A635:$BM635,,$BV$19)*$BW$19+
INDEX($A635:$BM635,,$BV$20)*$BW$20+
INDEX($A635:$BM635,,$BV$21)*$BW$21+
INDEX($A635:$BM635,,$BV$22)*$BW$22+
INDEX($A635:$BM635,,$BV$23)*$BW$23+
INDEX($A635:$BM635,,$BV$25)*$BW$25+
INDEX($A635:$BM635,,$BV$26)*$BW$26+
INDEX($A635:$BM635,,$BV$27)*$BW$27+
$BN635)),
$BN635-100)</f>
        <v>-100</v>
      </c>
      <c r="AX635" t="str">
        <f t="shared" si="124"/>
        <v/>
      </c>
      <c r="AY635" t="str">
        <f t="shared" si="125"/>
        <v/>
      </c>
      <c r="AZ635" s="430">
        <f>IFERROR(
IF(AX635="",-100,
IF($BV$2&gt;0, INDEX(Beersheet!$A:$U,MATCH(AX635,INDEX(Beersheet!$A:$U,0,FFARawStatProjections!$BV$2),0),$BV$3)+$BN635,
INDEX($A635:$BM635,,$BV$12)*$BW$12+
INDEX($A635:$BM635,,$BV$15)*$BW$15+
INDEX($A635:$BM635,,$BV$16)*$BW$16+
INDEX($A635:$BM635,,$BV$17)*$BW$17+
INDEX($A635:$BM635,,$BV$18)*$BW$18+
INDEX($A635:$BM635,,$BV$19)*$BW$19+
INDEX($A635:$BM635,,$BV$20)*$BW$20+
INDEX($A635:$BM635,,$BV$21)*$BW$21+
INDEX($A635:$BM635,,$BV$22)*$BW$22+
INDEX($A635:$BM635,,$BV$23)*$BW$23+
INDEX($A635:$BM635,,$BV$25)*$BW$25+
INDEX($A635:$BM635,,$BV$26)*$BW$26+
INDEX($A635:$BM635,,$BV$27)*$BW$27+
$BN635)),
$BN635-100)</f>
        <v>-100</v>
      </c>
      <c r="BB635" t="str">
        <f t="shared" si="126"/>
        <v>Jelani Woods</v>
      </c>
      <c r="BC635" t="str">
        <f t="shared" si="120"/>
        <v>IND</v>
      </c>
      <c r="BD635" s="430">
        <f>IFERROR(
IF(BB635="",-100,
IF($BV$2&gt;0, INDEX(Beersheet!$A:$U,MATCH(BB635,INDEX(Beersheet!$A:$U,0,FFARawStatProjections!$BV$2),0),$BV$3)+$BN635,
INDEX($A635:$BM635,,$BV$12)*$BW$12+
INDEX($A635:$BM635,,$BV$15)*$BW$15+
INDEX($A635:$BM635,,$BV$16)*$BW$16+
INDEX($A635:$BM635,,$BV$17)*$BW$17+
INDEX($A635:$BM635,,$BV$18)*$BW$18+
INDEX($A635:$BM635,,$BV$19)*$BW$19+
INDEX($A635:$BM635,,$BV$20)*$BW$20+
INDEX($A635:$BM635,,$BV$21)*$BW$21+
INDEX($A635:$BM635,,$BV$22)*$BW$22+
INDEX($A635:$BM635,,$BV$23)*$BW$23+
INDEX($A635:$BM635,,$BV$25)*$BW$25+
INDEX($A635:$BM635,,$BV$26)*$BW$26+
INDEX($A635:$BM635,,$BV$27)*$BW$27+
$BN635)),
$BN635-100)</f>
        <v>94.686340000000001</v>
      </c>
      <c r="BF635" t="str">
        <f t="shared" si="127"/>
        <v/>
      </c>
      <c r="BG635" t="str">
        <f t="shared" si="128"/>
        <v/>
      </c>
      <c r="BH635">
        <f t="shared" si="129"/>
        <v>0</v>
      </c>
      <c r="BJ635" t="str">
        <f t="shared" si="130"/>
        <v/>
      </c>
      <c r="BL635">
        <f t="shared" si="132"/>
        <v>0</v>
      </c>
      <c r="BN635">
        <v>6.3400000000000001E-3</v>
      </c>
      <c r="BS635" s="4" t="s">
        <v>2403</v>
      </c>
    </row>
    <row r="636" spans="1:71" ht="15.75" thickBot="1" x14ac:dyDescent="0.3">
      <c r="A636" s="569" t="s">
        <v>1765</v>
      </c>
      <c r="B636" s="569" t="s">
        <v>143</v>
      </c>
      <c r="C636" s="569" t="s">
        <v>7</v>
      </c>
      <c r="D636" s="574">
        <v>11</v>
      </c>
      <c r="E636" s="569"/>
      <c r="F636" s="569"/>
      <c r="G636" s="569"/>
      <c r="H636" s="569"/>
      <c r="I636" s="574">
        <v>0</v>
      </c>
      <c r="J636" s="574">
        <v>0</v>
      </c>
      <c r="K636" s="574">
        <v>0</v>
      </c>
      <c r="L636" s="574">
        <v>14.3</v>
      </c>
      <c r="M636" s="574">
        <v>1.7</v>
      </c>
      <c r="N636" s="574">
        <v>192.3</v>
      </c>
      <c r="O636" s="574">
        <v>0</v>
      </c>
      <c r="P636" s="574">
        <v>0</v>
      </c>
      <c r="Q636" s="574">
        <v>0</v>
      </c>
      <c r="R636" s="569"/>
      <c r="S636" s="569"/>
      <c r="T636" s="569"/>
      <c r="U636" s="569"/>
      <c r="V636" s="569"/>
      <c r="W636" s="569"/>
      <c r="X636" s="569"/>
      <c r="Y636" s="569"/>
      <c r="Z636" s="569"/>
      <c r="AA636" s="569"/>
      <c r="AB636" s="569"/>
      <c r="AC636" s="569"/>
      <c r="AD636" s="569"/>
      <c r="AE636" s="569"/>
      <c r="AF636" s="569"/>
      <c r="AG636" s="569"/>
      <c r="AH636" s="569"/>
      <c r="AI636" s="569"/>
      <c r="AJ636" s="569"/>
      <c r="AK636" s="569"/>
      <c r="AL636" s="569"/>
      <c r="AM636" s="569"/>
      <c r="AN636" s="574">
        <v>59.6</v>
      </c>
      <c r="AO636">
        <v>635</v>
      </c>
      <c r="AP636" t="str">
        <f t="shared" si="131"/>
        <v/>
      </c>
      <c r="AQ636" t="str">
        <f t="shared" si="121"/>
        <v/>
      </c>
      <c r="AR636" s="430">
        <f>IFERROR(
IF(AP636="",-100,
IF($BV$2&gt;0, INDEX(Beersheet!$A:$U,MATCH(AP636,INDEX(Beersheet!$A:$U,0,FFARawStatProjections!$BV$2),0),$BV$3)+$BN636,
INDEX($A636:$BM636,,$BV$12)*$BW$12+
INDEX($A636:$BM636,,$BV$15)*$BW$15+
INDEX($A636:$BM636,,$BV$16)*$BW$16+
INDEX($A636:$BM636,,$BV$17)*$BW$17+
INDEX($A636:$BM636,,$BV$18)*$BW$18+
INDEX($A636:$BM636,,$BV$19)*$BW$19+
INDEX($A636:$BM636,,$BV$20)*$BW$20+
INDEX($A636:$BM636,,$BV$21)*$BW$21+
INDEX($A636:$BM636,,$BV$22)*$BW$22+
INDEX($A636:$BM636,,$BV$23)*$BW$23+
INDEX($A636:$BM636,,$BV$25)*$BW$25+
INDEX($A636:$BM636,,$BV$26)*$BW$26+
INDEX($A636:$BM636,,$BV$27)*$BW$27+
$BN636)),
$BN636-100)</f>
        <v>-100</v>
      </c>
      <c r="AT636" t="str">
        <f t="shared" si="122"/>
        <v/>
      </c>
      <c r="AU636" t="str">
        <f t="shared" si="123"/>
        <v/>
      </c>
      <c r="AV636" s="430">
        <f>IFERROR(
IF(AT636="",-100,
IF($BV$2&gt;0, INDEX(Beersheet!$A:$U,MATCH(AT636,INDEX(Beersheet!$A:$U,0,FFARawStatProjections!$BV$2),0),$BV$3)+$BN636,
INDEX($A636:$BM636,,$BV$12)*$BW$12+
INDEX($A636:$BM636,,$BV$15)*$BW$15+
INDEX($A636:$BM636,,$BV$16)*$BW$16+
INDEX($A636:$BM636,,$BV$17)*$BW$17+
INDEX($A636:$BM636,,$BV$18)*$BW$18+
INDEX($A636:$BM636,,$BV$19)*$BW$19+
INDEX($A636:$BM636,,$BV$20)*$BW$20+
INDEX($A636:$BM636,,$BV$21)*$BW$21+
INDEX($A636:$BM636,,$BV$22)*$BW$22+
INDEX($A636:$BM636,,$BV$23)*$BW$23+
INDEX($A636:$BM636,,$BV$25)*$BW$25+
INDEX($A636:$BM636,,$BV$26)*$BW$26+
INDEX($A636:$BM636,,$BV$27)*$BW$27+
$BN636)),
$BN636-100)</f>
        <v>-100</v>
      </c>
      <c r="AX636" t="str">
        <f t="shared" si="124"/>
        <v/>
      </c>
      <c r="AY636" t="str">
        <f t="shared" si="125"/>
        <v/>
      </c>
      <c r="AZ636" s="430">
        <f>IFERROR(
IF(AX636="",-100,
IF($BV$2&gt;0, INDEX(Beersheet!$A:$U,MATCH(AX636,INDEX(Beersheet!$A:$U,0,FFARawStatProjections!$BV$2),0),$BV$3)+$BN636,
INDEX($A636:$BM636,,$BV$12)*$BW$12+
INDEX($A636:$BM636,,$BV$15)*$BW$15+
INDEX($A636:$BM636,,$BV$16)*$BW$16+
INDEX($A636:$BM636,,$BV$17)*$BW$17+
INDEX($A636:$BM636,,$BV$18)*$BW$18+
INDEX($A636:$BM636,,$BV$19)*$BW$19+
INDEX($A636:$BM636,,$BV$20)*$BW$20+
INDEX($A636:$BM636,,$BV$21)*$BW$21+
INDEX($A636:$BM636,,$BV$22)*$BW$22+
INDEX($A636:$BM636,,$BV$23)*$BW$23+
INDEX($A636:$BM636,,$BV$25)*$BW$25+
INDEX($A636:$BM636,,$BV$26)*$BW$26+
INDEX($A636:$BM636,,$BV$27)*$BW$27+
$BN636)),
$BN636-100)</f>
        <v>-100</v>
      </c>
      <c r="BB636" t="str">
        <f t="shared" si="126"/>
        <v>Taysom Hill</v>
      </c>
      <c r="BC636" t="str">
        <f t="shared" si="120"/>
        <v>NO</v>
      </c>
      <c r="BD636" s="430">
        <f>IFERROR(
IF(BB636="",-100,
IF($BV$2&gt;0, INDEX(Beersheet!$A:$U,MATCH(BB636,INDEX(Beersheet!$A:$U,0,FFARawStatProjections!$BV$2),0),$BV$3)+$BN636,
INDEX($A636:$BM636,,$BV$12)*$BW$12+
INDEX($A636:$BM636,,$BV$15)*$BW$15+
INDEX($A636:$BM636,,$BV$16)*$BW$16+
INDEX($A636:$BM636,,$BV$17)*$BW$17+
INDEX($A636:$BM636,,$BV$18)*$BW$18+
INDEX($A636:$BM636,,$BV$19)*$BW$19+
INDEX($A636:$BM636,,$BV$20)*$BW$20+
INDEX($A636:$BM636,,$BV$21)*$BW$21+
INDEX($A636:$BM636,,$BV$22)*$BW$22+
INDEX($A636:$BM636,,$BV$23)*$BW$23+
INDEX($A636:$BM636,,$BV$25)*$BW$25+
INDEX($A636:$BM636,,$BV$26)*$BW$26+
INDEX($A636:$BM636,,$BV$27)*$BW$27+
$BN636)),
$BN636-100)</f>
        <v>43.736350000000002</v>
      </c>
      <c r="BF636" t="str">
        <f t="shared" si="127"/>
        <v/>
      </c>
      <c r="BG636" t="str">
        <f t="shared" si="128"/>
        <v/>
      </c>
      <c r="BH636">
        <f t="shared" si="129"/>
        <v>0</v>
      </c>
      <c r="BJ636" t="str">
        <f t="shared" si="130"/>
        <v/>
      </c>
      <c r="BL636">
        <f t="shared" si="132"/>
        <v>0</v>
      </c>
      <c r="BN636">
        <v>6.3499999999999997E-3</v>
      </c>
      <c r="BS636" s="4" t="s">
        <v>2551</v>
      </c>
    </row>
    <row r="637" spans="1:71" ht="15.75" thickBot="1" x14ac:dyDescent="0.3">
      <c r="A637" s="569" t="s">
        <v>2354</v>
      </c>
      <c r="B637" s="569" t="s">
        <v>149</v>
      </c>
      <c r="C637" s="569" t="s">
        <v>7</v>
      </c>
      <c r="D637" s="574">
        <v>5</v>
      </c>
      <c r="E637" s="569"/>
      <c r="F637" s="569"/>
      <c r="G637" s="569"/>
      <c r="H637" s="569"/>
      <c r="I637" s="574">
        <v>0</v>
      </c>
      <c r="J637" s="574">
        <v>0</v>
      </c>
      <c r="K637" s="574">
        <v>0</v>
      </c>
      <c r="L637" s="574">
        <v>45.2</v>
      </c>
      <c r="M637" s="574">
        <v>2.4</v>
      </c>
      <c r="N637" s="574">
        <v>451.9</v>
      </c>
      <c r="O637" s="574">
        <v>0</v>
      </c>
      <c r="P637" s="574">
        <v>0</v>
      </c>
      <c r="Q637" s="574">
        <v>0</v>
      </c>
      <c r="R637" s="569"/>
      <c r="S637" s="569"/>
      <c r="T637" s="569"/>
      <c r="U637" s="569"/>
      <c r="V637" s="569"/>
      <c r="W637" s="569"/>
      <c r="X637" s="569"/>
      <c r="Y637" s="569"/>
      <c r="Z637" s="569"/>
      <c r="AA637" s="569"/>
      <c r="AB637" s="569"/>
      <c r="AC637" s="569"/>
      <c r="AD637" s="569"/>
      <c r="AE637" s="569"/>
      <c r="AF637" s="569"/>
      <c r="AG637" s="569"/>
      <c r="AH637" s="569"/>
      <c r="AI637" s="569"/>
      <c r="AJ637" s="569"/>
      <c r="AK637" s="569"/>
      <c r="AL637" s="569"/>
      <c r="AM637" s="569"/>
      <c r="AN637" s="574">
        <v>59.4</v>
      </c>
      <c r="AO637">
        <v>636</v>
      </c>
      <c r="AP637" t="str">
        <f t="shared" si="131"/>
        <v/>
      </c>
      <c r="AQ637" t="str">
        <f t="shared" si="121"/>
        <v/>
      </c>
      <c r="AR637" s="430">
        <f>IFERROR(
IF(AP637="",-100,
IF($BV$2&gt;0, INDEX(Beersheet!$A:$U,MATCH(AP637,INDEX(Beersheet!$A:$U,0,FFARawStatProjections!$BV$2),0),$BV$3)+$BN637,
INDEX($A637:$BM637,,$BV$12)*$BW$12+
INDEX($A637:$BM637,,$BV$15)*$BW$15+
INDEX($A637:$BM637,,$BV$16)*$BW$16+
INDEX($A637:$BM637,,$BV$17)*$BW$17+
INDEX($A637:$BM637,,$BV$18)*$BW$18+
INDEX($A637:$BM637,,$BV$19)*$BW$19+
INDEX($A637:$BM637,,$BV$20)*$BW$20+
INDEX($A637:$BM637,,$BV$21)*$BW$21+
INDEX($A637:$BM637,,$BV$22)*$BW$22+
INDEX($A637:$BM637,,$BV$23)*$BW$23+
INDEX($A637:$BM637,,$BV$25)*$BW$25+
INDEX($A637:$BM637,,$BV$26)*$BW$26+
INDEX($A637:$BM637,,$BV$27)*$BW$27+
$BN637)),
$BN637-100)</f>
        <v>-100</v>
      </c>
      <c r="AT637" t="str">
        <f t="shared" si="122"/>
        <v/>
      </c>
      <c r="AU637" t="str">
        <f t="shared" si="123"/>
        <v/>
      </c>
      <c r="AV637" s="430">
        <f>IFERROR(
IF(AT637="",-100,
IF($BV$2&gt;0, INDEX(Beersheet!$A:$U,MATCH(AT637,INDEX(Beersheet!$A:$U,0,FFARawStatProjections!$BV$2),0),$BV$3)+$BN637,
INDEX($A637:$BM637,,$BV$12)*$BW$12+
INDEX($A637:$BM637,,$BV$15)*$BW$15+
INDEX($A637:$BM637,,$BV$16)*$BW$16+
INDEX($A637:$BM637,,$BV$17)*$BW$17+
INDEX($A637:$BM637,,$BV$18)*$BW$18+
INDEX($A637:$BM637,,$BV$19)*$BW$19+
INDEX($A637:$BM637,,$BV$20)*$BW$20+
INDEX($A637:$BM637,,$BV$21)*$BW$21+
INDEX($A637:$BM637,,$BV$22)*$BW$22+
INDEX($A637:$BM637,,$BV$23)*$BW$23+
INDEX($A637:$BM637,,$BV$25)*$BW$25+
INDEX($A637:$BM637,,$BV$26)*$BW$26+
INDEX($A637:$BM637,,$BV$27)*$BW$27+
$BN637)),
$BN637-100)</f>
        <v>-100</v>
      </c>
      <c r="AX637" t="str">
        <f t="shared" si="124"/>
        <v/>
      </c>
      <c r="AY637" t="str">
        <f t="shared" si="125"/>
        <v/>
      </c>
      <c r="AZ637" s="430">
        <f>IFERROR(
IF(AX637="",-100,
IF($BV$2&gt;0, INDEX(Beersheet!$A:$U,MATCH(AX637,INDEX(Beersheet!$A:$U,0,FFARawStatProjections!$BV$2),0),$BV$3)+$BN637,
INDEX($A637:$BM637,,$BV$12)*$BW$12+
INDEX($A637:$BM637,,$BV$15)*$BW$15+
INDEX($A637:$BM637,,$BV$16)*$BW$16+
INDEX($A637:$BM637,,$BV$17)*$BW$17+
INDEX($A637:$BM637,,$BV$18)*$BW$18+
INDEX($A637:$BM637,,$BV$19)*$BW$19+
INDEX($A637:$BM637,,$BV$20)*$BW$20+
INDEX($A637:$BM637,,$BV$21)*$BW$21+
INDEX($A637:$BM637,,$BV$22)*$BW$22+
INDEX($A637:$BM637,,$BV$23)*$BW$23+
INDEX($A637:$BM637,,$BV$25)*$BW$25+
INDEX($A637:$BM637,,$BV$26)*$BW$26+
INDEX($A637:$BM637,,$BV$27)*$BW$27+
$BN637)),
$BN637-100)</f>
        <v>-100</v>
      </c>
      <c r="BB637" t="str">
        <f t="shared" si="126"/>
        <v>Cade Otton</v>
      </c>
      <c r="BC637" t="str">
        <f t="shared" si="120"/>
        <v>TB</v>
      </c>
      <c r="BD637" s="430">
        <f>IFERROR(
IF(BB637="",-100,
IF($BV$2&gt;0, INDEX(Beersheet!$A:$U,MATCH(BB637,INDEX(Beersheet!$A:$U,0,FFARawStatProjections!$BV$2),0),$BV$3)+$BN637,
INDEX($A637:$BM637,,$BV$12)*$BW$12+
INDEX($A637:$BM637,,$BV$15)*$BW$15+
INDEX($A637:$BM637,,$BV$16)*$BW$16+
INDEX($A637:$BM637,,$BV$17)*$BW$17+
INDEX($A637:$BM637,,$BV$18)*$BW$18+
INDEX($A637:$BM637,,$BV$19)*$BW$19+
INDEX($A637:$BM637,,$BV$20)*$BW$20+
INDEX($A637:$BM637,,$BV$21)*$BW$21+
INDEX($A637:$BM637,,$BV$22)*$BW$22+
INDEX($A637:$BM637,,$BV$23)*$BW$23+
INDEX($A637:$BM637,,$BV$25)*$BW$25+
INDEX($A637:$BM637,,$BV$26)*$BW$26+
INDEX($A637:$BM637,,$BV$27)*$BW$27+
$BN637)),
$BN637-100)</f>
        <v>104.79635999999999</v>
      </c>
      <c r="BF637" t="str">
        <f t="shared" si="127"/>
        <v/>
      </c>
      <c r="BG637" t="str">
        <f t="shared" si="128"/>
        <v/>
      </c>
      <c r="BH637">
        <f t="shared" si="129"/>
        <v>0</v>
      </c>
      <c r="BJ637" t="str">
        <f t="shared" si="130"/>
        <v/>
      </c>
      <c r="BL637">
        <f t="shared" si="132"/>
        <v>0</v>
      </c>
      <c r="BN637">
        <v>6.3600000000000002E-3</v>
      </c>
      <c r="BS637" s="4" t="s">
        <v>2161</v>
      </c>
    </row>
    <row r="638" spans="1:71" ht="15.75" thickBot="1" x14ac:dyDescent="0.3">
      <c r="A638" s="569" t="s">
        <v>2234</v>
      </c>
      <c r="B638" s="569" t="s">
        <v>164</v>
      </c>
      <c r="C638" s="569" t="s">
        <v>7</v>
      </c>
      <c r="D638" s="574">
        <v>7</v>
      </c>
      <c r="E638" s="569"/>
      <c r="F638" s="569"/>
      <c r="G638" s="569"/>
      <c r="H638" s="569"/>
      <c r="I638" s="574">
        <v>0</v>
      </c>
      <c r="J638" s="574">
        <v>0</v>
      </c>
      <c r="K638" s="574">
        <v>0</v>
      </c>
      <c r="L638" s="574">
        <v>45.2</v>
      </c>
      <c r="M638" s="574">
        <v>2.4</v>
      </c>
      <c r="N638" s="574">
        <v>424.5</v>
      </c>
      <c r="O638" s="574">
        <v>0</v>
      </c>
      <c r="P638" s="574">
        <v>0</v>
      </c>
      <c r="Q638" s="574">
        <v>0</v>
      </c>
      <c r="R638" s="569"/>
      <c r="S638" s="569"/>
      <c r="T638" s="569"/>
      <c r="U638" s="569"/>
      <c r="V638" s="569"/>
      <c r="W638" s="569"/>
      <c r="X638" s="569"/>
      <c r="Y638" s="569"/>
      <c r="Z638" s="569"/>
      <c r="AA638" s="569"/>
      <c r="AB638" s="569"/>
      <c r="AC638" s="569"/>
      <c r="AD638" s="569"/>
      <c r="AE638" s="569"/>
      <c r="AF638" s="569"/>
      <c r="AG638" s="569"/>
      <c r="AH638" s="569"/>
      <c r="AI638" s="569"/>
      <c r="AJ638" s="569"/>
      <c r="AK638" s="569"/>
      <c r="AL638" s="569"/>
      <c r="AM638" s="569"/>
      <c r="AN638" s="574">
        <v>56.8</v>
      </c>
      <c r="AO638">
        <v>637</v>
      </c>
      <c r="AP638" t="str">
        <f t="shared" si="131"/>
        <v/>
      </c>
      <c r="AQ638" t="str">
        <f t="shared" si="121"/>
        <v/>
      </c>
      <c r="AR638" s="430">
        <f>IFERROR(
IF(AP638="",-100,
IF($BV$2&gt;0, INDEX(Beersheet!$A:$U,MATCH(AP638,INDEX(Beersheet!$A:$U,0,FFARawStatProjections!$BV$2),0),$BV$3)+$BN638,
INDEX($A638:$BM638,,$BV$12)*$BW$12+
INDEX($A638:$BM638,,$BV$15)*$BW$15+
INDEX($A638:$BM638,,$BV$16)*$BW$16+
INDEX($A638:$BM638,,$BV$17)*$BW$17+
INDEX($A638:$BM638,,$BV$18)*$BW$18+
INDEX($A638:$BM638,,$BV$19)*$BW$19+
INDEX($A638:$BM638,,$BV$20)*$BW$20+
INDEX($A638:$BM638,,$BV$21)*$BW$21+
INDEX($A638:$BM638,,$BV$22)*$BW$22+
INDEX($A638:$BM638,,$BV$23)*$BW$23+
INDEX($A638:$BM638,,$BV$25)*$BW$25+
INDEX($A638:$BM638,,$BV$26)*$BW$26+
INDEX($A638:$BM638,,$BV$27)*$BW$27+
$BN638)),
$BN638-100)</f>
        <v>-100</v>
      </c>
      <c r="AT638" t="str">
        <f t="shared" si="122"/>
        <v/>
      </c>
      <c r="AU638" t="str">
        <f t="shared" si="123"/>
        <v/>
      </c>
      <c r="AV638" s="430">
        <f>IFERROR(
IF(AT638="",-100,
IF($BV$2&gt;0, INDEX(Beersheet!$A:$U,MATCH(AT638,INDEX(Beersheet!$A:$U,0,FFARawStatProjections!$BV$2),0),$BV$3)+$BN638,
INDEX($A638:$BM638,,$BV$12)*$BW$12+
INDEX($A638:$BM638,,$BV$15)*$BW$15+
INDEX($A638:$BM638,,$BV$16)*$BW$16+
INDEX($A638:$BM638,,$BV$17)*$BW$17+
INDEX($A638:$BM638,,$BV$18)*$BW$18+
INDEX($A638:$BM638,,$BV$19)*$BW$19+
INDEX($A638:$BM638,,$BV$20)*$BW$20+
INDEX($A638:$BM638,,$BV$21)*$BW$21+
INDEX($A638:$BM638,,$BV$22)*$BW$22+
INDEX($A638:$BM638,,$BV$23)*$BW$23+
INDEX($A638:$BM638,,$BV$25)*$BW$25+
INDEX($A638:$BM638,,$BV$26)*$BW$26+
INDEX($A638:$BM638,,$BV$27)*$BW$27+
$BN638)),
$BN638-100)</f>
        <v>-100</v>
      </c>
      <c r="AX638" t="str">
        <f t="shared" si="124"/>
        <v/>
      </c>
      <c r="AY638" t="str">
        <f t="shared" si="125"/>
        <v/>
      </c>
      <c r="AZ638" s="430">
        <f>IFERROR(
IF(AX638="",-100,
IF($BV$2&gt;0, INDEX(Beersheet!$A:$U,MATCH(AX638,INDEX(Beersheet!$A:$U,0,FFARawStatProjections!$BV$2),0),$BV$3)+$BN638,
INDEX($A638:$BM638,,$BV$12)*$BW$12+
INDEX($A638:$BM638,,$BV$15)*$BW$15+
INDEX($A638:$BM638,,$BV$16)*$BW$16+
INDEX($A638:$BM638,,$BV$17)*$BW$17+
INDEX($A638:$BM638,,$BV$18)*$BW$18+
INDEX($A638:$BM638,,$BV$19)*$BW$19+
INDEX($A638:$BM638,,$BV$20)*$BW$20+
INDEX($A638:$BM638,,$BV$21)*$BW$21+
INDEX($A638:$BM638,,$BV$22)*$BW$22+
INDEX($A638:$BM638,,$BV$23)*$BW$23+
INDEX($A638:$BM638,,$BV$25)*$BW$25+
INDEX($A638:$BM638,,$BV$26)*$BW$26+
INDEX($A638:$BM638,,$BV$27)*$BW$27+
$BN638)),
$BN638-100)</f>
        <v>-100</v>
      </c>
      <c r="BB638" t="str">
        <f t="shared" si="126"/>
        <v>Tyler Conklin</v>
      </c>
      <c r="BC638" t="str">
        <f t="shared" si="120"/>
        <v>NYJ</v>
      </c>
      <c r="BD638" s="430">
        <f>IFERROR(
IF(BB638="",-100,
IF($BV$2&gt;0, INDEX(Beersheet!$A:$U,MATCH(BB638,INDEX(Beersheet!$A:$U,0,FFARawStatProjections!$BV$2),0),$BV$3)+$BN638,
INDEX($A638:$BM638,,$BV$12)*$BW$12+
INDEX($A638:$BM638,,$BV$15)*$BW$15+
INDEX($A638:$BM638,,$BV$16)*$BW$16+
INDEX($A638:$BM638,,$BV$17)*$BW$17+
INDEX($A638:$BM638,,$BV$18)*$BW$18+
INDEX($A638:$BM638,,$BV$19)*$BW$19+
INDEX($A638:$BM638,,$BV$20)*$BW$20+
INDEX($A638:$BM638,,$BV$21)*$BW$21+
INDEX($A638:$BM638,,$BV$22)*$BW$22+
INDEX($A638:$BM638,,$BV$23)*$BW$23+
INDEX($A638:$BM638,,$BV$25)*$BW$25+
INDEX($A638:$BM638,,$BV$26)*$BW$26+
INDEX($A638:$BM638,,$BV$27)*$BW$27+
$BN638)),
$BN638-100)</f>
        <v>102.05637000000002</v>
      </c>
      <c r="BF638" t="str">
        <f t="shared" si="127"/>
        <v/>
      </c>
      <c r="BG638" t="str">
        <f t="shared" si="128"/>
        <v/>
      </c>
      <c r="BH638">
        <f t="shared" si="129"/>
        <v>0</v>
      </c>
      <c r="BJ638" t="str">
        <f t="shared" si="130"/>
        <v/>
      </c>
      <c r="BL638">
        <f t="shared" si="132"/>
        <v>0</v>
      </c>
      <c r="BN638">
        <v>6.3699999999999998E-3</v>
      </c>
      <c r="BS638" s="4" t="s">
        <v>1765</v>
      </c>
    </row>
    <row r="639" spans="1:71" ht="15.75" thickBot="1" x14ac:dyDescent="0.3">
      <c r="A639" s="569" t="s">
        <v>2276</v>
      </c>
      <c r="B639" s="569" t="s">
        <v>157</v>
      </c>
      <c r="C639" s="569" t="s">
        <v>7</v>
      </c>
      <c r="D639" s="574">
        <v>11</v>
      </c>
      <c r="E639" s="569"/>
      <c r="F639" s="569"/>
      <c r="G639" s="569"/>
      <c r="H639" s="569"/>
      <c r="I639" s="574">
        <v>0</v>
      </c>
      <c r="J639" s="574">
        <v>0</v>
      </c>
      <c r="K639" s="574">
        <v>0</v>
      </c>
      <c r="L639" s="574">
        <v>35.4</v>
      </c>
      <c r="M639" s="574">
        <v>2.6</v>
      </c>
      <c r="N639" s="574">
        <v>404.6</v>
      </c>
      <c r="O639" s="574">
        <v>0</v>
      </c>
      <c r="P639" s="574">
        <v>0</v>
      </c>
      <c r="Q639" s="574">
        <v>0</v>
      </c>
      <c r="R639" s="569"/>
      <c r="S639" s="569"/>
      <c r="T639" s="569"/>
      <c r="U639" s="569"/>
      <c r="V639" s="569"/>
      <c r="W639" s="569"/>
      <c r="X639" s="569"/>
      <c r="Y639" s="569"/>
      <c r="Z639" s="569"/>
      <c r="AA639" s="569"/>
      <c r="AB639" s="569"/>
      <c r="AC639" s="569"/>
      <c r="AD639" s="569"/>
      <c r="AE639" s="569"/>
      <c r="AF639" s="569"/>
      <c r="AG639" s="569"/>
      <c r="AH639" s="569"/>
      <c r="AI639" s="569"/>
      <c r="AJ639" s="569"/>
      <c r="AK639" s="569"/>
      <c r="AL639" s="569"/>
      <c r="AM639" s="569"/>
      <c r="AN639" s="574">
        <v>56.1</v>
      </c>
      <c r="AO639">
        <v>638</v>
      </c>
      <c r="AP639" t="str">
        <f t="shared" si="131"/>
        <v/>
      </c>
      <c r="AQ639" t="str">
        <f t="shared" si="121"/>
        <v/>
      </c>
      <c r="AR639" s="430">
        <f>IFERROR(
IF(AP639="",-100,
IF($BV$2&gt;0, INDEX(Beersheet!$A:$U,MATCH(AP639,INDEX(Beersheet!$A:$U,0,FFARawStatProjections!$BV$2),0),$BV$3)+$BN639,
INDEX($A639:$BM639,,$BV$12)*$BW$12+
INDEX($A639:$BM639,,$BV$15)*$BW$15+
INDEX($A639:$BM639,,$BV$16)*$BW$16+
INDEX($A639:$BM639,,$BV$17)*$BW$17+
INDEX($A639:$BM639,,$BV$18)*$BW$18+
INDEX($A639:$BM639,,$BV$19)*$BW$19+
INDEX($A639:$BM639,,$BV$20)*$BW$20+
INDEX($A639:$BM639,,$BV$21)*$BW$21+
INDEX($A639:$BM639,,$BV$22)*$BW$22+
INDEX($A639:$BM639,,$BV$23)*$BW$23+
INDEX($A639:$BM639,,$BV$25)*$BW$25+
INDEX($A639:$BM639,,$BV$26)*$BW$26+
INDEX($A639:$BM639,,$BV$27)*$BW$27+
$BN639)),
$BN639-100)</f>
        <v>-100</v>
      </c>
      <c r="AT639" t="str">
        <f t="shared" si="122"/>
        <v/>
      </c>
      <c r="AU639" t="str">
        <f t="shared" si="123"/>
        <v/>
      </c>
      <c r="AV639" s="430">
        <f>IFERROR(
IF(AT639="",-100,
IF($BV$2&gt;0, INDEX(Beersheet!$A:$U,MATCH(AT639,INDEX(Beersheet!$A:$U,0,FFARawStatProjections!$BV$2),0),$BV$3)+$BN639,
INDEX($A639:$BM639,,$BV$12)*$BW$12+
INDEX($A639:$BM639,,$BV$15)*$BW$15+
INDEX($A639:$BM639,,$BV$16)*$BW$16+
INDEX($A639:$BM639,,$BV$17)*$BW$17+
INDEX($A639:$BM639,,$BV$18)*$BW$18+
INDEX($A639:$BM639,,$BV$19)*$BW$19+
INDEX($A639:$BM639,,$BV$20)*$BW$20+
INDEX($A639:$BM639,,$BV$21)*$BW$21+
INDEX($A639:$BM639,,$BV$22)*$BW$22+
INDEX($A639:$BM639,,$BV$23)*$BW$23+
INDEX($A639:$BM639,,$BV$25)*$BW$25+
INDEX($A639:$BM639,,$BV$26)*$BW$26+
INDEX($A639:$BM639,,$BV$27)*$BW$27+
$BN639)),
$BN639-100)</f>
        <v>-100</v>
      </c>
      <c r="AX639" t="str">
        <f t="shared" si="124"/>
        <v/>
      </c>
      <c r="AY639" t="str">
        <f t="shared" si="125"/>
        <v/>
      </c>
      <c r="AZ639" s="430">
        <f>IFERROR(
IF(AX639="",-100,
IF($BV$2&gt;0, INDEX(Beersheet!$A:$U,MATCH(AX639,INDEX(Beersheet!$A:$U,0,FFARawStatProjections!$BV$2),0),$BV$3)+$BN639,
INDEX($A639:$BM639,,$BV$12)*$BW$12+
INDEX($A639:$BM639,,$BV$15)*$BW$15+
INDEX($A639:$BM639,,$BV$16)*$BW$16+
INDEX($A639:$BM639,,$BV$17)*$BW$17+
INDEX($A639:$BM639,,$BV$18)*$BW$18+
INDEX($A639:$BM639,,$BV$19)*$BW$19+
INDEX($A639:$BM639,,$BV$20)*$BW$20+
INDEX($A639:$BM639,,$BV$21)*$BW$21+
INDEX($A639:$BM639,,$BV$22)*$BW$22+
INDEX($A639:$BM639,,$BV$23)*$BW$23+
INDEX($A639:$BM639,,$BV$25)*$BW$25+
INDEX($A639:$BM639,,$BV$26)*$BW$26+
INDEX($A639:$BM639,,$BV$27)*$BW$27+
$BN639)),
$BN639-100)</f>
        <v>-100</v>
      </c>
      <c r="BB639" t="str">
        <f t="shared" si="126"/>
        <v>Mike Gesicki</v>
      </c>
      <c r="BC639" t="str">
        <f t="shared" si="120"/>
        <v>NE</v>
      </c>
      <c r="BD639" s="430">
        <f>IFERROR(
IF(BB639="",-100,
IF($BV$2&gt;0, INDEX(Beersheet!$A:$U,MATCH(BB639,INDEX(Beersheet!$A:$U,0,FFARawStatProjections!$BV$2),0),$BV$3)+$BN639,
INDEX($A639:$BM639,,$BV$12)*$BW$12+
INDEX($A639:$BM639,,$BV$15)*$BW$15+
INDEX($A639:$BM639,,$BV$16)*$BW$16+
INDEX($A639:$BM639,,$BV$17)*$BW$17+
INDEX($A639:$BM639,,$BV$18)*$BW$18+
INDEX($A639:$BM639,,$BV$19)*$BW$19+
INDEX($A639:$BM639,,$BV$20)*$BW$20+
INDEX($A639:$BM639,,$BV$21)*$BW$21+
INDEX($A639:$BM639,,$BV$22)*$BW$22+
INDEX($A639:$BM639,,$BV$23)*$BW$23+
INDEX($A639:$BM639,,$BV$25)*$BW$25+
INDEX($A639:$BM639,,$BV$26)*$BW$26+
INDEX($A639:$BM639,,$BV$27)*$BW$27+
$BN639)),
$BN639-100)</f>
        <v>91.466380000000001</v>
      </c>
      <c r="BF639" t="str">
        <f t="shared" si="127"/>
        <v/>
      </c>
      <c r="BG639" t="str">
        <f t="shared" si="128"/>
        <v/>
      </c>
      <c r="BH639">
        <f t="shared" si="129"/>
        <v>0</v>
      </c>
      <c r="BJ639" t="str">
        <f t="shared" si="130"/>
        <v/>
      </c>
      <c r="BL639">
        <f t="shared" si="132"/>
        <v>0</v>
      </c>
      <c r="BN639">
        <v>6.3800000000000003E-3</v>
      </c>
      <c r="BS639" s="4" t="s">
        <v>149</v>
      </c>
    </row>
    <row r="640" spans="1:71" ht="15.75" thickBot="1" x14ac:dyDescent="0.3">
      <c r="A640" s="569" t="s">
        <v>2363</v>
      </c>
      <c r="B640" s="569" t="s">
        <v>146</v>
      </c>
      <c r="C640" s="569" t="s">
        <v>7</v>
      </c>
      <c r="D640" s="574">
        <v>7</v>
      </c>
      <c r="E640" s="569"/>
      <c r="F640" s="569"/>
      <c r="G640" s="569"/>
      <c r="H640" s="569"/>
      <c r="I640" s="574">
        <v>0</v>
      </c>
      <c r="J640" s="574">
        <v>0</v>
      </c>
      <c r="K640" s="574">
        <v>0</v>
      </c>
      <c r="L640" s="574">
        <v>37.5</v>
      </c>
      <c r="M640" s="574">
        <v>2.9</v>
      </c>
      <c r="N640" s="574">
        <v>378.3</v>
      </c>
      <c r="O640" s="574">
        <v>0</v>
      </c>
      <c r="P640" s="574">
        <v>0</v>
      </c>
      <c r="Q640" s="574">
        <v>0</v>
      </c>
      <c r="R640" s="569"/>
      <c r="S640" s="569"/>
      <c r="T640" s="569"/>
      <c r="U640" s="569"/>
      <c r="V640" s="569"/>
      <c r="W640" s="569"/>
      <c r="X640" s="569"/>
      <c r="Y640" s="569"/>
      <c r="Z640" s="569"/>
      <c r="AA640" s="569"/>
      <c r="AB640" s="569"/>
      <c r="AC640" s="569"/>
      <c r="AD640" s="569"/>
      <c r="AE640" s="569"/>
      <c r="AF640" s="569"/>
      <c r="AG640" s="569"/>
      <c r="AH640" s="569"/>
      <c r="AI640" s="569"/>
      <c r="AJ640" s="569"/>
      <c r="AK640" s="569"/>
      <c r="AL640" s="569"/>
      <c r="AM640" s="569"/>
      <c r="AN640" s="574">
        <v>55</v>
      </c>
      <c r="AO640">
        <v>639</v>
      </c>
      <c r="AP640" t="str">
        <f t="shared" si="131"/>
        <v/>
      </c>
      <c r="AQ640" t="str">
        <f t="shared" si="121"/>
        <v/>
      </c>
      <c r="AR640" s="430">
        <f>IFERROR(
IF(AP640="",-100,
IF($BV$2&gt;0, INDEX(Beersheet!$A:$U,MATCH(AP640,INDEX(Beersheet!$A:$U,0,FFARawStatProjections!$BV$2),0),$BV$3)+$BN640,
INDEX($A640:$BM640,,$BV$12)*$BW$12+
INDEX($A640:$BM640,,$BV$15)*$BW$15+
INDEX($A640:$BM640,,$BV$16)*$BW$16+
INDEX($A640:$BM640,,$BV$17)*$BW$17+
INDEX($A640:$BM640,,$BV$18)*$BW$18+
INDEX($A640:$BM640,,$BV$19)*$BW$19+
INDEX($A640:$BM640,,$BV$20)*$BW$20+
INDEX($A640:$BM640,,$BV$21)*$BW$21+
INDEX($A640:$BM640,,$BV$22)*$BW$22+
INDEX($A640:$BM640,,$BV$23)*$BW$23+
INDEX($A640:$BM640,,$BV$25)*$BW$25+
INDEX($A640:$BM640,,$BV$26)*$BW$26+
INDEX($A640:$BM640,,$BV$27)*$BW$27+
$BN640)),
$BN640-100)</f>
        <v>-100</v>
      </c>
      <c r="AT640" t="str">
        <f t="shared" si="122"/>
        <v/>
      </c>
      <c r="AU640" t="str">
        <f t="shared" si="123"/>
        <v/>
      </c>
      <c r="AV640" s="430">
        <f>IFERROR(
IF(AT640="",-100,
IF($BV$2&gt;0, INDEX(Beersheet!$A:$U,MATCH(AT640,INDEX(Beersheet!$A:$U,0,FFARawStatProjections!$BV$2),0),$BV$3)+$BN640,
INDEX($A640:$BM640,,$BV$12)*$BW$12+
INDEX($A640:$BM640,,$BV$15)*$BW$15+
INDEX($A640:$BM640,,$BV$16)*$BW$16+
INDEX($A640:$BM640,,$BV$17)*$BW$17+
INDEX($A640:$BM640,,$BV$18)*$BW$18+
INDEX($A640:$BM640,,$BV$19)*$BW$19+
INDEX($A640:$BM640,,$BV$20)*$BW$20+
INDEX($A640:$BM640,,$BV$21)*$BW$21+
INDEX($A640:$BM640,,$BV$22)*$BW$22+
INDEX($A640:$BM640,,$BV$23)*$BW$23+
INDEX($A640:$BM640,,$BV$25)*$BW$25+
INDEX($A640:$BM640,,$BV$26)*$BW$26+
INDEX($A640:$BM640,,$BV$27)*$BW$27+
$BN640)),
$BN640-100)</f>
        <v>-100</v>
      </c>
      <c r="AX640" t="str">
        <f t="shared" si="124"/>
        <v/>
      </c>
      <c r="AY640" t="str">
        <f t="shared" si="125"/>
        <v/>
      </c>
      <c r="AZ640" s="430">
        <f>IFERROR(
IF(AX640="",-100,
IF($BV$2&gt;0, INDEX(Beersheet!$A:$U,MATCH(AX640,INDEX(Beersheet!$A:$U,0,FFARawStatProjections!$BV$2),0),$BV$3)+$BN640,
INDEX($A640:$BM640,,$BV$12)*$BW$12+
INDEX($A640:$BM640,,$BV$15)*$BW$15+
INDEX($A640:$BM640,,$BV$16)*$BW$16+
INDEX($A640:$BM640,,$BV$17)*$BW$17+
INDEX($A640:$BM640,,$BV$18)*$BW$18+
INDEX($A640:$BM640,,$BV$19)*$BW$19+
INDEX($A640:$BM640,,$BV$20)*$BW$20+
INDEX($A640:$BM640,,$BV$21)*$BW$21+
INDEX($A640:$BM640,,$BV$22)*$BW$22+
INDEX($A640:$BM640,,$BV$23)*$BW$23+
INDEX($A640:$BM640,,$BV$25)*$BW$25+
INDEX($A640:$BM640,,$BV$26)*$BW$26+
INDEX($A640:$BM640,,$BV$27)*$BW$27+
$BN640)),
$BN640-100)</f>
        <v>-100</v>
      </c>
      <c r="BB640" t="str">
        <f t="shared" si="126"/>
        <v>Jake Ferguson</v>
      </c>
      <c r="BC640" t="str">
        <f t="shared" si="120"/>
        <v>DAL</v>
      </c>
      <c r="BD640" s="430">
        <f>IFERROR(
IF(BB640="",-100,
IF($BV$2&gt;0, INDEX(Beersheet!$A:$U,MATCH(BB640,INDEX(Beersheet!$A:$U,0,FFARawStatProjections!$BV$2),0),$BV$3)+$BN640,
INDEX($A640:$BM640,,$BV$12)*$BW$12+
INDEX($A640:$BM640,,$BV$15)*$BW$15+
INDEX($A640:$BM640,,$BV$16)*$BW$16+
INDEX($A640:$BM640,,$BV$17)*$BW$17+
INDEX($A640:$BM640,,$BV$18)*$BW$18+
INDEX($A640:$BM640,,$BV$19)*$BW$19+
INDEX($A640:$BM640,,$BV$20)*$BW$20+
INDEX($A640:$BM640,,$BV$21)*$BW$21+
INDEX($A640:$BM640,,$BV$22)*$BW$22+
INDEX($A640:$BM640,,$BV$23)*$BW$23+
INDEX($A640:$BM640,,$BV$25)*$BW$25+
INDEX($A640:$BM640,,$BV$26)*$BW$26+
INDEX($A640:$BM640,,$BV$27)*$BW$27+
$BN640)),
$BN640-100)</f>
        <v>92.73639</v>
      </c>
      <c r="BF640" t="str">
        <f t="shared" si="127"/>
        <v/>
      </c>
      <c r="BG640" t="str">
        <f t="shared" si="128"/>
        <v/>
      </c>
      <c r="BH640">
        <f t="shared" si="129"/>
        <v>0</v>
      </c>
      <c r="BJ640" t="str">
        <f t="shared" si="130"/>
        <v/>
      </c>
      <c r="BL640">
        <f t="shared" si="132"/>
        <v>0</v>
      </c>
      <c r="BN640">
        <v>6.3899999999999998E-3</v>
      </c>
      <c r="BS640" s="4" t="s">
        <v>2368</v>
      </c>
    </row>
    <row r="641" spans="1:71" ht="15.75" thickBot="1" x14ac:dyDescent="0.3">
      <c r="A641" s="569" t="s">
        <v>2437</v>
      </c>
      <c r="B641" s="569" t="s">
        <v>2073</v>
      </c>
      <c r="C641" s="569" t="s">
        <v>7</v>
      </c>
      <c r="D641" s="574">
        <v>13</v>
      </c>
      <c r="E641" s="569"/>
      <c r="F641" s="569"/>
      <c r="G641" s="569"/>
      <c r="H641" s="569"/>
      <c r="I641" s="574">
        <v>0</v>
      </c>
      <c r="J641" s="574">
        <v>0</v>
      </c>
      <c r="K641" s="574">
        <v>0</v>
      </c>
      <c r="L641" s="574">
        <v>37.799999999999997</v>
      </c>
      <c r="M641" s="574">
        <v>2.6</v>
      </c>
      <c r="N641" s="574">
        <v>394.4</v>
      </c>
      <c r="O641" s="574">
        <v>0</v>
      </c>
      <c r="P641" s="574">
        <v>0</v>
      </c>
      <c r="Q641" s="574">
        <v>0</v>
      </c>
      <c r="R641" s="569"/>
      <c r="S641" s="569"/>
      <c r="T641" s="569"/>
      <c r="U641" s="569"/>
      <c r="V641" s="569"/>
      <c r="W641" s="569"/>
      <c r="X641" s="569"/>
      <c r="Y641" s="569"/>
      <c r="Z641" s="569"/>
      <c r="AA641" s="569"/>
      <c r="AB641" s="569"/>
      <c r="AC641" s="569"/>
      <c r="AD641" s="569"/>
      <c r="AE641" s="569"/>
      <c r="AF641" s="569"/>
      <c r="AG641" s="569"/>
      <c r="AH641" s="569"/>
      <c r="AI641" s="569"/>
      <c r="AJ641" s="569"/>
      <c r="AK641" s="569"/>
      <c r="AL641" s="569"/>
      <c r="AM641" s="569"/>
      <c r="AN641" s="574">
        <v>54.3</v>
      </c>
      <c r="AO641">
        <v>640</v>
      </c>
      <c r="AP641" t="str">
        <f t="shared" si="131"/>
        <v/>
      </c>
      <c r="AQ641" t="str">
        <f t="shared" si="121"/>
        <v/>
      </c>
      <c r="AR641" s="430">
        <f>IFERROR(
IF(AP641="",-100,
IF($BV$2&gt;0, INDEX(Beersheet!$A:$U,MATCH(AP641,INDEX(Beersheet!$A:$U,0,FFARawStatProjections!$BV$2),0),$BV$3)+$BN641,
INDEX($A641:$BM641,,$BV$12)*$BW$12+
INDEX($A641:$BM641,,$BV$15)*$BW$15+
INDEX($A641:$BM641,,$BV$16)*$BW$16+
INDEX($A641:$BM641,,$BV$17)*$BW$17+
INDEX($A641:$BM641,,$BV$18)*$BW$18+
INDEX($A641:$BM641,,$BV$19)*$BW$19+
INDEX($A641:$BM641,,$BV$20)*$BW$20+
INDEX($A641:$BM641,,$BV$21)*$BW$21+
INDEX($A641:$BM641,,$BV$22)*$BW$22+
INDEX($A641:$BM641,,$BV$23)*$BW$23+
INDEX($A641:$BM641,,$BV$25)*$BW$25+
INDEX($A641:$BM641,,$BV$26)*$BW$26+
INDEX($A641:$BM641,,$BV$27)*$BW$27+
$BN641)),
$BN641-100)</f>
        <v>-100</v>
      </c>
      <c r="AT641" t="str">
        <f t="shared" si="122"/>
        <v/>
      </c>
      <c r="AU641" t="str">
        <f t="shared" si="123"/>
        <v/>
      </c>
      <c r="AV641" s="430">
        <f>IFERROR(
IF(AT641="",-100,
IF($BV$2&gt;0, INDEX(Beersheet!$A:$U,MATCH(AT641,INDEX(Beersheet!$A:$U,0,FFARawStatProjections!$BV$2),0),$BV$3)+$BN641,
INDEX($A641:$BM641,,$BV$12)*$BW$12+
INDEX($A641:$BM641,,$BV$15)*$BW$15+
INDEX($A641:$BM641,,$BV$16)*$BW$16+
INDEX($A641:$BM641,,$BV$17)*$BW$17+
INDEX($A641:$BM641,,$BV$18)*$BW$18+
INDEX($A641:$BM641,,$BV$19)*$BW$19+
INDEX($A641:$BM641,,$BV$20)*$BW$20+
INDEX($A641:$BM641,,$BV$21)*$BW$21+
INDEX($A641:$BM641,,$BV$22)*$BW$22+
INDEX($A641:$BM641,,$BV$23)*$BW$23+
INDEX($A641:$BM641,,$BV$25)*$BW$25+
INDEX($A641:$BM641,,$BV$26)*$BW$26+
INDEX($A641:$BM641,,$BV$27)*$BW$27+
$BN641)),
$BN641-100)</f>
        <v>-100</v>
      </c>
      <c r="AX641" t="str">
        <f t="shared" si="124"/>
        <v/>
      </c>
      <c r="AY641" t="str">
        <f t="shared" si="125"/>
        <v/>
      </c>
      <c r="AZ641" s="430">
        <f>IFERROR(
IF(AX641="",-100,
IF($BV$2&gt;0, INDEX(Beersheet!$A:$U,MATCH(AX641,INDEX(Beersheet!$A:$U,0,FFARawStatProjections!$BV$2),0),$BV$3)+$BN641,
INDEX($A641:$BM641,,$BV$12)*$BW$12+
INDEX($A641:$BM641,,$BV$15)*$BW$15+
INDEX($A641:$BM641,,$BV$16)*$BW$16+
INDEX($A641:$BM641,,$BV$17)*$BW$17+
INDEX($A641:$BM641,,$BV$18)*$BW$18+
INDEX($A641:$BM641,,$BV$19)*$BW$19+
INDEX($A641:$BM641,,$BV$20)*$BW$20+
INDEX($A641:$BM641,,$BV$21)*$BW$21+
INDEX($A641:$BM641,,$BV$22)*$BW$22+
INDEX($A641:$BM641,,$BV$23)*$BW$23+
INDEX($A641:$BM641,,$BV$25)*$BW$25+
INDEX($A641:$BM641,,$BV$26)*$BW$26+
INDEX($A641:$BM641,,$BV$27)*$BW$27+
$BN641)),
$BN641-100)</f>
        <v>-100</v>
      </c>
      <c r="BB641" t="str">
        <f t="shared" si="126"/>
        <v>Michael Mayer</v>
      </c>
      <c r="BC641" t="str">
        <f t="shared" si="120"/>
        <v>LV</v>
      </c>
      <c r="BD641" s="430">
        <f>IFERROR(
IF(BB641="",-100,
IF($BV$2&gt;0, INDEX(Beersheet!$A:$U,MATCH(BB641,INDEX(Beersheet!$A:$U,0,FFARawStatProjections!$BV$2),0),$BV$3)+$BN641,
INDEX($A641:$BM641,,$BV$12)*$BW$12+
INDEX($A641:$BM641,,$BV$15)*$BW$15+
INDEX($A641:$BM641,,$BV$16)*$BW$16+
INDEX($A641:$BM641,,$BV$17)*$BW$17+
INDEX($A641:$BM641,,$BV$18)*$BW$18+
INDEX($A641:$BM641,,$BV$19)*$BW$19+
INDEX($A641:$BM641,,$BV$20)*$BW$20+
INDEX($A641:$BM641,,$BV$21)*$BW$21+
INDEX($A641:$BM641,,$BV$22)*$BW$22+
INDEX($A641:$BM641,,$BV$23)*$BW$23+
INDEX($A641:$BM641,,$BV$25)*$BW$25+
INDEX($A641:$BM641,,$BV$26)*$BW$26+
INDEX($A641:$BM641,,$BV$27)*$BW$27+
$BN641)),
$BN641-100)</f>
        <v>92.846400000000003</v>
      </c>
      <c r="BF641" t="str">
        <f t="shared" si="127"/>
        <v/>
      </c>
      <c r="BG641" t="str">
        <f t="shared" si="128"/>
        <v/>
      </c>
      <c r="BH641">
        <f t="shared" si="129"/>
        <v>0</v>
      </c>
      <c r="BJ641" t="str">
        <f t="shared" si="130"/>
        <v/>
      </c>
      <c r="BL641">
        <f t="shared" si="132"/>
        <v>0</v>
      </c>
      <c r="BN641">
        <v>6.4000000000000003E-3</v>
      </c>
      <c r="BS641" s="4" t="s">
        <v>73</v>
      </c>
    </row>
    <row r="642" spans="1:71" ht="15.75" thickBot="1" x14ac:dyDescent="0.3">
      <c r="A642" s="569" t="s">
        <v>2062</v>
      </c>
      <c r="B642" s="569" t="s">
        <v>152</v>
      </c>
      <c r="C642" s="569" t="s">
        <v>7</v>
      </c>
      <c r="D642" s="574">
        <v>14</v>
      </c>
      <c r="E642" s="569"/>
      <c r="F642" s="569"/>
      <c r="G642" s="569"/>
      <c r="H642" s="569"/>
      <c r="I642" s="574">
        <v>0</v>
      </c>
      <c r="J642" s="574">
        <v>0</v>
      </c>
      <c r="K642" s="574">
        <v>0</v>
      </c>
      <c r="L642" s="574">
        <v>42.6</v>
      </c>
      <c r="M642" s="574">
        <v>2.2000000000000002</v>
      </c>
      <c r="N642" s="574">
        <v>409.3</v>
      </c>
      <c r="O642" s="574">
        <v>0</v>
      </c>
      <c r="P642" s="574">
        <v>0</v>
      </c>
      <c r="Q642" s="574">
        <v>0</v>
      </c>
      <c r="R642" s="569"/>
      <c r="S642" s="569"/>
      <c r="T642" s="569"/>
      <c r="U642" s="569"/>
      <c r="V642" s="569"/>
      <c r="W642" s="569"/>
      <c r="X642" s="569"/>
      <c r="Y642" s="569"/>
      <c r="Z642" s="569"/>
      <c r="AA642" s="569"/>
      <c r="AB642" s="569"/>
      <c r="AC642" s="569"/>
      <c r="AD642" s="569"/>
      <c r="AE642" s="569"/>
      <c r="AF642" s="569"/>
      <c r="AG642" s="569"/>
      <c r="AH642" s="569"/>
      <c r="AI642" s="569"/>
      <c r="AJ642" s="569"/>
      <c r="AK642" s="569"/>
      <c r="AL642" s="569"/>
      <c r="AM642" s="569"/>
      <c r="AN642" s="574">
        <v>53.6</v>
      </c>
      <c r="AO642">
        <v>641</v>
      </c>
      <c r="AP642" t="str">
        <f t="shared" si="131"/>
        <v/>
      </c>
      <c r="AQ642" t="str">
        <f t="shared" si="121"/>
        <v/>
      </c>
      <c r="AR642" s="430">
        <f>IFERROR(
IF(AP642="",-100,
IF($BV$2&gt;0, INDEX(Beersheet!$A:$U,MATCH(AP642,INDEX(Beersheet!$A:$U,0,FFARawStatProjections!$BV$2),0),$BV$3)+$BN642,
INDEX($A642:$BM642,,$BV$12)*$BW$12+
INDEX($A642:$BM642,,$BV$15)*$BW$15+
INDEX($A642:$BM642,,$BV$16)*$BW$16+
INDEX($A642:$BM642,,$BV$17)*$BW$17+
INDEX($A642:$BM642,,$BV$18)*$BW$18+
INDEX($A642:$BM642,,$BV$19)*$BW$19+
INDEX($A642:$BM642,,$BV$20)*$BW$20+
INDEX($A642:$BM642,,$BV$21)*$BW$21+
INDEX($A642:$BM642,,$BV$22)*$BW$22+
INDEX($A642:$BM642,,$BV$23)*$BW$23+
INDEX($A642:$BM642,,$BV$25)*$BW$25+
INDEX($A642:$BM642,,$BV$26)*$BW$26+
INDEX($A642:$BM642,,$BV$27)*$BW$27+
$BN642)),
$BN642-100)</f>
        <v>-100</v>
      </c>
      <c r="AT642" t="str">
        <f t="shared" si="122"/>
        <v/>
      </c>
      <c r="AU642" t="str">
        <f t="shared" si="123"/>
        <v/>
      </c>
      <c r="AV642" s="430">
        <f>IFERROR(
IF(AT642="",-100,
IF($BV$2&gt;0, INDEX(Beersheet!$A:$U,MATCH(AT642,INDEX(Beersheet!$A:$U,0,FFARawStatProjections!$BV$2),0),$BV$3)+$BN642,
INDEX($A642:$BM642,,$BV$12)*$BW$12+
INDEX($A642:$BM642,,$BV$15)*$BW$15+
INDEX($A642:$BM642,,$BV$16)*$BW$16+
INDEX($A642:$BM642,,$BV$17)*$BW$17+
INDEX($A642:$BM642,,$BV$18)*$BW$18+
INDEX($A642:$BM642,,$BV$19)*$BW$19+
INDEX($A642:$BM642,,$BV$20)*$BW$20+
INDEX($A642:$BM642,,$BV$21)*$BW$21+
INDEX($A642:$BM642,,$BV$22)*$BW$22+
INDEX($A642:$BM642,,$BV$23)*$BW$23+
INDEX($A642:$BM642,,$BV$25)*$BW$25+
INDEX($A642:$BM642,,$BV$26)*$BW$26+
INDEX($A642:$BM642,,$BV$27)*$BW$27+
$BN642)),
$BN642-100)</f>
        <v>-100</v>
      </c>
      <c r="AX642" t="str">
        <f t="shared" si="124"/>
        <v/>
      </c>
      <c r="AY642" t="str">
        <f t="shared" si="125"/>
        <v/>
      </c>
      <c r="AZ642" s="430">
        <f>IFERROR(
IF(AX642="",-100,
IF($BV$2&gt;0, INDEX(Beersheet!$A:$U,MATCH(AX642,INDEX(Beersheet!$A:$U,0,FFARawStatProjections!$BV$2),0),$BV$3)+$BN642,
INDEX($A642:$BM642,,$BV$12)*$BW$12+
INDEX($A642:$BM642,,$BV$15)*$BW$15+
INDEX($A642:$BM642,,$BV$16)*$BW$16+
INDEX($A642:$BM642,,$BV$17)*$BW$17+
INDEX($A642:$BM642,,$BV$18)*$BW$18+
INDEX($A642:$BM642,,$BV$19)*$BW$19+
INDEX($A642:$BM642,,$BV$20)*$BW$20+
INDEX($A642:$BM642,,$BV$21)*$BW$21+
INDEX($A642:$BM642,,$BV$22)*$BW$22+
INDEX($A642:$BM642,,$BV$23)*$BW$23+
INDEX($A642:$BM642,,$BV$25)*$BW$25+
INDEX($A642:$BM642,,$BV$26)*$BW$26+
INDEX($A642:$BM642,,$BV$27)*$BW$27+
$BN642)),
$BN642-100)</f>
        <v>-100</v>
      </c>
      <c r="BB642" t="str">
        <f t="shared" si="126"/>
        <v>Logan Thomas</v>
      </c>
      <c r="BC642" t="str">
        <f t="shared" ref="BC642:BC701" si="133">IFERROR(IF(BB642="","",$B642),"")</f>
        <v>WAS</v>
      </c>
      <c r="BD642" s="430">
        <f>IFERROR(
IF(BB642="",-100,
IF($BV$2&gt;0, INDEX(Beersheet!$A:$U,MATCH(BB642,INDEX(Beersheet!$A:$U,0,FFARawStatProjections!$BV$2),0),$BV$3)+$BN642,
INDEX($A642:$BM642,,$BV$12)*$BW$12+
INDEX($A642:$BM642,,$BV$15)*$BW$15+
INDEX($A642:$BM642,,$BV$16)*$BW$16+
INDEX($A642:$BM642,,$BV$17)*$BW$17+
INDEX($A642:$BM642,,$BV$18)*$BW$18+
INDEX($A642:$BM642,,$BV$19)*$BW$19+
INDEX($A642:$BM642,,$BV$20)*$BW$20+
INDEX($A642:$BM642,,$BV$21)*$BW$21+
INDEX($A642:$BM642,,$BV$22)*$BW$22+
INDEX($A642:$BM642,,$BV$23)*$BW$23+
INDEX($A642:$BM642,,$BV$25)*$BW$25+
INDEX($A642:$BM642,,$BV$26)*$BW$26+
INDEX($A642:$BM642,,$BV$27)*$BW$27+
$BN642)),
$BN642-100)</f>
        <v>96.736410000000021</v>
      </c>
      <c r="BF642" t="str">
        <f t="shared" si="127"/>
        <v/>
      </c>
      <c r="BG642" t="str">
        <f t="shared" si="128"/>
        <v/>
      </c>
      <c r="BH642">
        <f t="shared" si="129"/>
        <v>0</v>
      </c>
      <c r="BJ642" t="str">
        <f t="shared" si="130"/>
        <v/>
      </c>
      <c r="BL642">
        <f t="shared" si="132"/>
        <v>0</v>
      </c>
      <c r="BN642">
        <v>6.4099999999999999E-3</v>
      </c>
      <c r="BS642" s="4" t="s">
        <v>2092</v>
      </c>
    </row>
    <row r="643" spans="1:71" ht="15.75" thickBot="1" x14ac:dyDescent="0.3">
      <c r="A643" s="569" t="s">
        <v>2445</v>
      </c>
      <c r="B643" s="569" t="s">
        <v>139</v>
      </c>
      <c r="C643" s="569" t="s">
        <v>7</v>
      </c>
      <c r="D643" s="574">
        <v>6</v>
      </c>
      <c r="E643" s="569"/>
      <c r="F643" s="569"/>
      <c r="G643" s="569"/>
      <c r="H643" s="569"/>
      <c r="I643" s="574">
        <v>0</v>
      </c>
      <c r="J643" s="574">
        <v>0</v>
      </c>
      <c r="K643" s="574">
        <v>0</v>
      </c>
      <c r="L643" s="574">
        <v>34.9</v>
      </c>
      <c r="M643" s="574">
        <v>2.2999999999999998</v>
      </c>
      <c r="N643" s="574">
        <v>368.6</v>
      </c>
      <c r="O643" s="574">
        <v>0</v>
      </c>
      <c r="P643" s="574">
        <v>0</v>
      </c>
      <c r="Q643" s="574">
        <v>0</v>
      </c>
      <c r="R643" s="569"/>
      <c r="S643" s="569"/>
      <c r="T643" s="569"/>
      <c r="U643" s="569"/>
      <c r="V643" s="569"/>
      <c r="W643" s="569"/>
      <c r="X643" s="569"/>
      <c r="Y643" s="569"/>
      <c r="Z643" s="569"/>
      <c r="AA643" s="569"/>
      <c r="AB643" s="569"/>
      <c r="AC643" s="569"/>
      <c r="AD643" s="569"/>
      <c r="AE643" s="569"/>
      <c r="AF643" s="569"/>
      <c r="AG643" s="569"/>
      <c r="AH643" s="569"/>
      <c r="AI643" s="569"/>
      <c r="AJ643" s="569"/>
      <c r="AK643" s="569"/>
      <c r="AL643" s="569"/>
      <c r="AM643" s="569"/>
      <c r="AN643" s="574">
        <v>50.3</v>
      </c>
      <c r="AO643">
        <v>642</v>
      </c>
      <c r="AP643" t="str">
        <f t="shared" si="131"/>
        <v/>
      </c>
      <c r="AQ643" t="str">
        <f t="shared" ref="AQ643:AQ701" si="134">IFERROR(IF(AP643="","",$B643),"")</f>
        <v/>
      </c>
      <c r="AR643" s="430">
        <f>IFERROR(
IF(AP643="",-100,
IF($BV$2&gt;0, INDEX(Beersheet!$A:$U,MATCH(AP643,INDEX(Beersheet!$A:$U,0,FFARawStatProjections!$BV$2),0),$BV$3)+$BN643,
INDEX($A643:$BM643,,$BV$12)*$BW$12+
INDEX($A643:$BM643,,$BV$15)*$BW$15+
INDEX($A643:$BM643,,$BV$16)*$BW$16+
INDEX($A643:$BM643,,$BV$17)*$BW$17+
INDEX($A643:$BM643,,$BV$18)*$BW$18+
INDEX($A643:$BM643,,$BV$19)*$BW$19+
INDEX($A643:$BM643,,$BV$20)*$BW$20+
INDEX($A643:$BM643,,$BV$21)*$BW$21+
INDEX($A643:$BM643,,$BV$22)*$BW$22+
INDEX($A643:$BM643,,$BV$23)*$BW$23+
INDEX($A643:$BM643,,$BV$25)*$BW$25+
INDEX($A643:$BM643,,$BV$26)*$BW$26+
INDEX($A643:$BM643,,$BV$27)*$BW$27+
$BN643)),
$BN643-100)</f>
        <v>-100</v>
      </c>
      <c r="AT643" t="str">
        <f t="shared" ref="AT643:AT706" si="135">IF($C643 = "RB", $A643, "")</f>
        <v/>
      </c>
      <c r="AU643" t="str">
        <f t="shared" ref="AU643:AU701" si="136">IFERROR(IF(AT643="","",$B643),"")</f>
        <v/>
      </c>
      <c r="AV643" s="430">
        <f>IFERROR(
IF(AT643="",-100,
IF($BV$2&gt;0, INDEX(Beersheet!$A:$U,MATCH(AT643,INDEX(Beersheet!$A:$U,0,FFARawStatProjections!$BV$2),0),$BV$3)+$BN643,
INDEX($A643:$BM643,,$BV$12)*$BW$12+
INDEX($A643:$BM643,,$BV$15)*$BW$15+
INDEX($A643:$BM643,,$BV$16)*$BW$16+
INDEX($A643:$BM643,,$BV$17)*$BW$17+
INDEX($A643:$BM643,,$BV$18)*$BW$18+
INDEX($A643:$BM643,,$BV$19)*$BW$19+
INDEX($A643:$BM643,,$BV$20)*$BW$20+
INDEX($A643:$BM643,,$BV$21)*$BW$21+
INDEX($A643:$BM643,,$BV$22)*$BW$22+
INDEX($A643:$BM643,,$BV$23)*$BW$23+
INDEX($A643:$BM643,,$BV$25)*$BW$25+
INDEX($A643:$BM643,,$BV$26)*$BW$26+
INDEX($A643:$BM643,,$BV$27)*$BW$27+
$BN643)),
$BN643-100)</f>
        <v>-100</v>
      </c>
      <c r="AX643" t="str">
        <f t="shared" ref="AX643:AX706" si="137">IF($C643 = "WR", $A643, "")</f>
        <v/>
      </c>
      <c r="AY643" t="str">
        <f t="shared" ref="AY643:AY701" si="138">IFERROR(IF(AX643="","",$B643),"")</f>
        <v/>
      </c>
      <c r="AZ643" s="430">
        <f>IFERROR(
IF(AX643="",-100,
IF($BV$2&gt;0, INDEX(Beersheet!$A:$U,MATCH(AX643,INDEX(Beersheet!$A:$U,0,FFARawStatProjections!$BV$2),0),$BV$3)+$BN643,
INDEX($A643:$BM643,,$BV$12)*$BW$12+
INDEX($A643:$BM643,,$BV$15)*$BW$15+
INDEX($A643:$BM643,,$BV$16)*$BW$16+
INDEX($A643:$BM643,,$BV$17)*$BW$17+
INDEX($A643:$BM643,,$BV$18)*$BW$18+
INDEX($A643:$BM643,,$BV$19)*$BW$19+
INDEX($A643:$BM643,,$BV$20)*$BW$20+
INDEX($A643:$BM643,,$BV$21)*$BW$21+
INDEX($A643:$BM643,,$BV$22)*$BW$22+
INDEX($A643:$BM643,,$BV$23)*$BW$23+
INDEX($A643:$BM643,,$BV$25)*$BW$25+
INDEX($A643:$BM643,,$BV$26)*$BW$26+
INDEX($A643:$BM643,,$BV$27)*$BW$27+
$BN643)),
$BN643-100)</f>
        <v>-100</v>
      </c>
      <c r="BB643" t="str">
        <f t="shared" ref="BB643:BB706" si="139">IF($C643 = "TE", $A643, "")</f>
        <v>Luke Musgrave</v>
      </c>
      <c r="BC643" t="str">
        <f t="shared" si="133"/>
        <v>GB</v>
      </c>
      <c r="BD643" s="430">
        <f>IFERROR(
IF(BB643="",-100,
IF($BV$2&gt;0, INDEX(Beersheet!$A:$U,MATCH(BB643,INDEX(Beersheet!$A:$U,0,FFARawStatProjections!$BV$2),0),$BV$3)+$BN643,
INDEX($A643:$BM643,,$BV$12)*$BW$12+
INDEX($A643:$BM643,,$BV$15)*$BW$15+
INDEX($A643:$BM643,,$BV$16)*$BW$16+
INDEX($A643:$BM643,,$BV$17)*$BW$17+
INDEX($A643:$BM643,,$BV$18)*$BW$18+
INDEX($A643:$BM643,,$BV$19)*$BW$19+
INDEX($A643:$BM643,,$BV$20)*$BW$20+
INDEX($A643:$BM643,,$BV$21)*$BW$21+
INDEX($A643:$BM643,,$BV$22)*$BW$22+
INDEX($A643:$BM643,,$BV$23)*$BW$23+
INDEX($A643:$BM643,,$BV$25)*$BW$25+
INDEX($A643:$BM643,,$BV$26)*$BW$26+
INDEX($A643:$BM643,,$BV$27)*$BW$27+
$BN643)),
$BN643-100)</f>
        <v>85.566420000000008</v>
      </c>
      <c r="BF643" t="str">
        <f t="shared" ref="BF643:BF706" si="140">IF($C643 = "K", $A643, "")</f>
        <v/>
      </c>
      <c r="BG643" t="str">
        <f t="shared" ref="BG643:BG701" si="141">IFERROR(IF(BF643="","",$B643),"")</f>
        <v/>
      </c>
      <c r="BH643">
        <f t="shared" ref="BH643:BH706" si="142">IFERROR(IF(BF643="",0,
AF643*3
+AG643*3
+AH643*3
+AI643*4
+AJ643*5
+BN643+AN643),"")</f>
        <v>0</v>
      </c>
      <c r="BJ643" t="str">
        <f t="shared" ref="BJ643:BJ706" si="143">IF($C643 = "DST", $A643, "")</f>
        <v/>
      </c>
      <c r="BL643">
        <f t="shared" si="132"/>
        <v>0</v>
      </c>
      <c r="BN643">
        <v>6.4200000000000004E-3</v>
      </c>
      <c r="BS643" s="4" t="s">
        <v>163</v>
      </c>
    </row>
    <row r="644" spans="1:71" ht="15.75" thickBot="1" x14ac:dyDescent="0.3">
      <c r="A644" s="569" t="s">
        <v>2356</v>
      </c>
      <c r="B644" s="569" t="s">
        <v>2272</v>
      </c>
      <c r="C644" s="569" t="s">
        <v>7</v>
      </c>
      <c r="D644" s="574">
        <v>14</v>
      </c>
      <c r="E644" s="569"/>
      <c r="F644" s="569"/>
      <c r="G644" s="569"/>
      <c r="H644" s="569"/>
      <c r="I644" s="574">
        <v>0</v>
      </c>
      <c r="J644" s="574">
        <v>0</v>
      </c>
      <c r="K644" s="574">
        <v>0</v>
      </c>
      <c r="L644" s="574">
        <v>35.700000000000003</v>
      </c>
      <c r="M644" s="574">
        <v>2</v>
      </c>
      <c r="N644" s="574">
        <v>378.3</v>
      </c>
      <c r="O644" s="574">
        <v>0</v>
      </c>
      <c r="P644" s="574">
        <v>0</v>
      </c>
      <c r="Q644" s="574">
        <v>0</v>
      </c>
      <c r="R644" s="569"/>
      <c r="S644" s="569"/>
      <c r="T644" s="569"/>
      <c r="U644" s="569"/>
      <c r="V644" s="569"/>
      <c r="W644" s="569"/>
      <c r="X644" s="569"/>
      <c r="Y644" s="569"/>
      <c r="Z644" s="569"/>
      <c r="AA644" s="569"/>
      <c r="AB644" s="569"/>
      <c r="AC644" s="569"/>
      <c r="AD644" s="569"/>
      <c r="AE644" s="569"/>
      <c r="AF644" s="569"/>
      <c r="AG644" s="569"/>
      <c r="AH644" s="569"/>
      <c r="AI644" s="569"/>
      <c r="AJ644" s="569"/>
      <c r="AK644" s="569"/>
      <c r="AL644" s="569"/>
      <c r="AM644" s="569"/>
      <c r="AN644" s="574">
        <v>49.7</v>
      </c>
      <c r="AO644">
        <v>643</v>
      </c>
      <c r="AP644" t="str">
        <f t="shared" si="131"/>
        <v/>
      </c>
      <c r="AQ644" t="str">
        <f t="shared" si="134"/>
        <v/>
      </c>
      <c r="AR644" s="430">
        <f>IFERROR(
IF(AP644="",-100,
IF($BV$2&gt;0, INDEX(Beersheet!$A:$U,MATCH(AP644,INDEX(Beersheet!$A:$U,0,FFARawStatProjections!$BV$2),0),$BV$3)+$BN644,
INDEX($A644:$BM644,,$BV$12)*$BW$12+
INDEX($A644:$BM644,,$BV$15)*$BW$15+
INDEX($A644:$BM644,,$BV$16)*$BW$16+
INDEX($A644:$BM644,,$BV$17)*$BW$17+
INDEX($A644:$BM644,,$BV$18)*$BW$18+
INDEX($A644:$BM644,,$BV$19)*$BW$19+
INDEX($A644:$BM644,,$BV$20)*$BW$20+
INDEX($A644:$BM644,,$BV$21)*$BW$21+
INDEX($A644:$BM644,,$BV$22)*$BW$22+
INDEX($A644:$BM644,,$BV$23)*$BW$23+
INDEX($A644:$BM644,,$BV$25)*$BW$25+
INDEX($A644:$BM644,,$BV$26)*$BW$26+
INDEX($A644:$BM644,,$BV$27)*$BW$27+
$BN644)),
$BN644-100)</f>
        <v>-100</v>
      </c>
      <c r="AT644" t="str">
        <f t="shared" si="135"/>
        <v/>
      </c>
      <c r="AU644" t="str">
        <f t="shared" si="136"/>
        <v/>
      </c>
      <c r="AV644" s="430">
        <f>IFERROR(
IF(AT644="",-100,
IF($BV$2&gt;0, INDEX(Beersheet!$A:$U,MATCH(AT644,INDEX(Beersheet!$A:$U,0,FFARawStatProjections!$BV$2),0),$BV$3)+$BN644,
INDEX($A644:$BM644,,$BV$12)*$BW$12+
INDEX($A644:$BM644,,$BV$15)*$BW$15+
INDEX($A644:$BM644,,$BV$16)*$BW$16+
INDEX($A644:$BM644,,$BV$17)*$BW$17+
INDEX($A644:$BM644,,$BV$18)*$BW$18+
INDEX($A644:$BM644,,$BV$19)*$BW$19+
INDEX($A644:$BM644,,$BV$20)*$BW$20+
INDEX($A644:$BM644,,$BV$21)*$BW$21+
INDEX($A644:$BM644,,$BV$22)*$BW$22+
INDEX($A644:$BM644,,$BV$23)*$BW$23+
INDEX($A644:$BM644,,$BV$25)*$BW$25+
INDEX($A644:$BM644,,$BV$26)*$BW$26+
INDEX($A644:$BM644,,$BV$27)*$BW$27+
$BN644)),
$BN644-100)</f>
        <v>-100</v>
      </c>
      <c r="AX644" t="str">
        <f t="shared" si="137"/>
        <v/>
      </c>
      <c r="AY644" t="str">
        <f t="shared" si="138"/>
        <v/>
      </c>
      <c r="AZ644" s="430">
        <f>IFERROR(
IF(AX644="",-100,
IF($BV$2&gt;0, INDEX(Beersheet!$A:$U,MATCH(AX644,INDEX(Beersheet!$A:$U,0,FFARawStatProjections!$BV$2),0),$BV$3)+$BN644,
INDEX($A644:$BM644,,$BV$12)*$BW$12+
INDEX($A644:$BM644,,$BV$15)*$BW$15+
INDEX($A644:$BM644,,$BV$16)*$BW$16+
INDEX($A644:$BM644,,$BV$17)*$BW$17+
INDEX($A644:$BM644,,$BV$18)*$BW$18+
INDEX($A644:$BM644,,$BV$19)*$BW$19+
INDEX($A644:$BM644,,$BV$20)*$BW$20+
INDEX($A644:$BM644,,$BV$21)*$BW$21+
INDEX($A644:$BM644,,$BV$22)*$BW$22+
INDEX($A644:$BM644,,$BV$23)*$BW$23+
INDEX($A644:$BM644,,$BV$25)*$BW$25+
INDEX($A644:$BM644,,$BV$26)*$BW$26+
INDEX($A644:$BM644,,$BV$27)*$BW$27+
$BN644)),
$BN644-100)</f>
        <v>-100</v>
      </c>
      <c r="BB644" t="str">
        <f t="shared" si="139"/>
        <v>Trey McBride</v>
      </c>
      <c r="BC644" t="str">
        <f t="shared" si="133"/>
        <v>AZ</v>
      </c>
      <c r="BD644" s="430">
        <f>IFERROR(
IF(BB644="",-100,
IF($BV$2&gt;0, INDEX(Beersheet!$A:$U,MATCH(BB644,INDEX(Beersheet!$A:$U,0,FFARawStatProjections!$BV$2),0),$BV$3)+$BN644,
INDEX($A644:$BM644,,$BV$12)*$BW$12+
INDEX($A644:$BM644,,$BV$15)*$BW$15+
INDEX($A644:$BM644,,$BV$16)*$BW$16+
INDEX($A644:$BM644,,$BV$17)*$BW$17+
INDEX($A644:$BM644,,$BV$18)*$BW$18+
INDEX($A644:$BM644,,$BV$19)*$BW$19+
INDEX($A644:$BM644,,$BV$20)*$BW$20+
INDEX($A644:$BM644,,$BV$21)*$BW$21+
INDEX($A644:$BM644,,$BV$22)*$BW$22+
INDEX($A644:$BM644,,$BV$23)*$BW$23+
INDEX($A644:$BM644,,$BV$25)*$BW$25+
INDEX($A644:$BM644,,$BV$26)*$BW$26+
INDEX($A644:$BM644,,$BV$27)*$BW$27+
$BN644)),
$BN644-100)</f>
        <v>85.536429999999996</v>
      </c>
      <c r="BF644" t="str">
        <f t="shared" si="140"/>
        <v/>
      </c>
      <c r="BG644" t="str">
        <f t="shared" si="141"/>
        <v/>
      </c>
      <c r="BH644">
        <f t="shared" si="142"/>
        <v>0</v>
      </c>
      <c r="BJ644" t="str">
        <f t="shared" si="143"/>
        <v/>
      </c>
      <c r="BL644">
        <f t="shared" si="132"/>
        <v>0</v>
      </c>
      <c r="BN644">
        <v>6.43E-3</v>
      </c>
      <c r="BS644" s="4" t="s">
        <v>2200</v>
      </c>
    </row>
    <row r="645" spans="1:71" ht="15.75" thickBot="1" x14ac:dyDescent="0.3">
      <c r="A645" s="569" t="s">
        <v>2364</v>
      </c>
      <c r="B645" s="569" t="s">
        <v>162</v>
      </c>
      <c r="C645" s="569" t="s">
        <v>7</v>
      </c>
      <c r="D645" s="574">
        <v>13</v>
      </c>
      <c r="E645" s="569"/>
      <c r="F645" s="569"/>
      <c r="G645" s="569"/>
      <c r="H645" s="569"/>
      <c r="I645" s="574">
        <v>0</v>
      </c>
      <c r="J645" s="574">
        <v>0</v>
      </c>
      <c r="K645" s="574">
        <v>0</v>
      </c>
      <c r="L645" s="574">
        <v>24</v>
      </c>
      <c r="M645" s="574">
        <v>2.1</v>
      </c>
      <c r="N645" s="574">
        <v>294.7</v>
      </c>
      <c r="O645" s="574">
        <v>0</v>
      </c>
      <c r="P645" s="574">
        <v>0</v>
      </c>
      <c r="Q645" s="574">
        <v>0</v>
      </c>
      <c r="R645" s="569"/>
      <c r="S645" s="569"/>
      <c r="T645" s="569"/>
      <c r="U645" s="569"/>
      <c r="V645" s="569"/>
      <c r="W645" s="569"/>
      <c r="X645" s="569"/>
      <c r="Y645" s="569"/>
      <c r="Z645" s="569"/>
      <c r="AA645" s="569"/>
      <c r="AB645" s="569"/>
      <c r="AC645" s="569"/>
      <c r="AD645" s="569"/>
      <c r="AE645" s="569"/>
      <c r="AF645" s="569"/>
      <c r="AG645" s="569"/>
      <c r="AH645" s="569"/>
      <c r="AI645" s="569"/>
      <c r="AJ645" s="569"/>
      <c r="AK645" s="569"/>
      <c r="AL645" s="569"/>
      <c r="AM645" s="569"/>
      <c r="AN645" s="574">
        <v>42.3</v>
      </c>
      <c r="AO645">
        <v>644</v>
      </c>
      <c r="AP645" t="str">
        <f t="shared" si="131"/>
        <v/>
      </c>
      <c r="AQ645" t="str">
        <f t="shared" si="134"/>
        <v/>
      </c>
      <c r="AR645" s="430">
        <f>IFERROR(
IF(AP645="",-100,
IF($BV$2&gt;0, INDEX(Beersheet!$A:$U,MATCH(AP645,INDEX(Beersheet!$A:$U,0,FFARawStatProjections!$BV$2),0),$BV$3)+$BN645,
INDEX($A645:$BM645,,$BV$12)*$BW$12+
INDEX($A645:$BM645,,$BV$15)*$BW$15+
INDEX($A645:$BM645,,$BV$16)*$BW$16+
INDEX($A645:$BM645,,$BV$17)*$BW$17+
INDEX($A645:$BM645,,$BV$18)*$BW$18+
INDEX($A645:$BM645,,$BV$19)*$BW$19+
INDEX($A645:$BM645,,$BV$20)*$BW$20+
INDEX($A645:$BM645,,$BV$21)*$BW$21+
INDEX($A645:$BM645,,$BV$22)*$BW$22+
INDEX($A645:$BM645,,$BV$23)*$BW$23+
INDEX($A645:$BM645,,$BV$25)*$BW$25+
INDEX($A645:$BM645,,$BV$26)*$BW$26+
INDEX($A645:$BM645,,$BV$27)*$BW$27+
$BN645)),
$BN645-100)</f>
        <v>-100</v>
      </c>
      <c r="AT645" t="str">
        <f t="shared" si="135"/>
        <v/>
      </c>
      <c r="AU645" t="str">
        <f t="shared" si="136"/>
        <v/>
      </c>
      <c r="AV645" s="430">
        <f>IFERROR(
IF(AT645="",-100,
IF($BV$2&gt;0, INDEX(Beersheet!$A:$U,MATCH(AT645,INDEX(Beersheet!$A:$U,0,FFARawStatProjections!$BV$2),0),$BV$3)+$BN645,
INDEX($A645:$BM645,,$BV$12)*$BW$12+
INDEX($A645:$BM645,,$BV$15)*$BW$15+
INDEX($A645:$BM645,,$BV$16)*$BW$16+
INDEX($A645:$BM645,,$BV$17)*$BW$17+
INDEX($A645:$BM645,,$BV$18)*$BW$18+
INDEX($A645:$BM645,,$BV$19)*$BW$19+
INDEX($A645:$BM645,,$BV$20)*$BW$20+
INDEX($A645:$BM645,,$BV$21)*$BW$21+
INDEX($A645:$BM645,,$BV$22)*$BW$22+
INDEX($A645:$BM645,,$BV$23)*$BW$23+
INDEX($A645:$BM645,,$BV$25)*$BW$25+
INDEX($A645:$BM645,,$BV$26)*$BW$26+
INDEX($A645:$BM645,,$BV$27)*$BW$27+
$BN645)),
$BN645-100)</f>
        <v>-100</v>
      </c>
      <c r="AX645" t="str">
        <f t="shared" si="137"/>
        <v/>
      </c>
      <c r="AY645" t="str">
        <f t="shared" si="138"/>
        <v/>
      </c>
      <c r="AZ645" s="430">
        <f>IFERROR(
IF(AX645="",-100,
IF($BV$2&gt;0, INDEX(Beersheet!$A:$U,MATCH(AX645,INDEX(Beersheet!$A:$U,0,FFARawStatProjections!$BV$2),0),$BV$3)+$BN645,
INDEX($A645:$BM645,,$BV$12)*$BW$12+
INDEX($A645:$BM645,,$BV$15)*$BW$15+
INDEX($A645:$BM645,,$BV$16)*$BW$16+
INDEX($A645:$BM645,,$BV$17)*$BW$17+
INDEX($A645:$BM645,,$BV$18)*$BW$18+
INDEX($A645:$BM645,,$BV$19)*$BW$19+
INDEX($A645:$BM645,,$BV$20)*$BW$20+
INDEX($A645:$BM645,,$BV$21)*$BW$21+
INDEX($A645:$BM645,,$BV$22)*$BW$22+
INDEX($A645:$BM645,,$BV$23)*$BW$23+
INDEX($A645:$BM645,,$BV$25)*$BW$25+
INDEX($A645:$BM645,,$BV$26)*$BW$26+
INDEX($A645:$BM645,,$BV$27)*$BW$27+
$BN645)),
$BN645-100)</f>
        <v>-100</v>
      </c>
      <c r="BB645" t="str">
        <f t="shared" si="139"/>
        <v>Isaiah Likely</v>
      </c>
      <c r="BC645" t="str">
        <f t="shared" si="133"/>
        <v>BAL</v>
      </c>
      <c r="BD645" s="430">
        <f>IFERROR(
IF(BB645="",-100,
IF($BV$2&gt;0, INDEX(Beersheet!$A:$U,MATCH(BB645,INDEX(Beersheet!$A:$U,0,FFARawStatProjections!$BV$2),0),$BV$3)+$BN645,
INDEX($A645:$BM645,,$BV$12)*$BW$12+
INDEX($A645:$BM645,,$BV$15)*$BW$15+
INDEX($A645:$BM645,,$BV$16)*$BW$16+
INDEX($A645:$BM645,,$BV$17)*$BW$17+
INDEX($A645:$BM645,,$BV$18)*$BW$18+
INDEX($A645:$BM645,,$BV$19)*$BW$19+
INDEX($A645:$BM645,,$BV$20)*$BW$20+
INDEX($A645:$BM645,,$BV$21)*$BW$21+
INDEX($A645:$BM645,,$BV$22)*$BW$22+
INDEX($A645:$BM645,,$BV$23)*$BW$23+
INDEX($A645:$BM645,,$BV$25)*$BW$25+
INDEX($A645:$BM645,,$BV$26)*$BW$26+
INDEX($A645:$BM645,,$BV$27)*$BW$27+
$BN645)),
$BN645-100)</f>
        <v>66.076439999999991</v>
      </c>
      <c r="BF645" t="str">
        <f t="shared" si="140"/>
        <v/>
      </c>
      <c r="BG645" t="str">
        <f t="shared" si="141"/>
        <v/>
      </c>
      <c r="BH645">
        <f t="shared" si="142"/>
        <v>0</v>
      </c>
      <c r="BJ645" t="str">
        <f t="shared" si="143"/>
        <v/>
      </c>
      <c r="BL645">
        <f t="shared" si="132"/>
        <v>0</v>
      </c>
      <c r="BN645">
        <v>6.4400000000000004E-3</v>
      </c>
      <c r="BS645" s="4" t="s">
        <v>1878</v>
      </c>
    </row>
    <row r="646" spans="1:71" ht="15.75" thickBot="1" x14ac:dyDescent="0.3">
      <c r="A646" s="569" t="s">
        <v>1205</v>
      </c>
      <c r="B646" s="569" t="s">
        <v>2073</v>
      </c>
      <c r="C646" s="569" t="s">
        <v>7</v>
      </c>
      <c r="D646" s="574">
        <v>13</v>
      </c>
      <c r="E646" s="569"/>
      <c r="F646" s="569"/>
      <c r="G646" s="569"/>
      <c r="H646" s="569"/>
      <c r="I646" s="574">
        <v>0</v>
      </c>
      <c r="J646" s="574">
        <v>0</v>
      </c>
      <c r="K646" s="574">
        <v>0</v>
      </c>
      <c r="L646" s="574">
        <v>28.2</v>
      </c>
      <c r="M646" s="574">
        <v>1.7</v>
      </c>
      <c r="N646" s="574">
        <v>298.60000000000002</v>
      </c>
      <c r="O646" s="574">
        <v>0</v>
      </c>
      <c r="P646" s="574">
        <v>0</v>
      </c>
      <c r="Q646" s="574">
        <v>0</v>
      </c>
      <c r="R646" s="569"/>
      <c r="S646" s="569"/>
      <c r="T646" s="569"/>
      <c r="U646" s="569"/>
      <c r="V646" s="569"/>
      <c r="W646" s="569"/>
      <c r="X646" s="569"/>
      <c r="Y646" s="569"/>
      <c r="Z646" s="569"/>
      <c r="AA646" s="569"/>
      <c r="AB646" s="569"/>
      <c r="AC646" s="569"/>
      <c r="AD646" s="569"/>
      <c r="AE646" s="569"/>
      <c r="AF646" s="569"/>
      <c r="AG646" s="569"/>
      <c r="AH646" s="569"/>
      <c r="AI646" s="569"/>
      <c r="AJ646" s="569"/>
      <c r="AK646" s="569"/>
      <c r="AL646" s="569"/>
      <c r="AM646" s="569"/>
      <c r="AN646" s="574">
        <v>40</v>
      </c>
      <c r="AO646">
        <v>645</v>
      </c>
      <c r="AP646" t="str">
        <f t="shared" si="131"/>
        <v/>
      </c>
      <c r="AQ646" t="str">
        <f t="shared" si="134"/>
        <v/>
      </c>
      <c r="AR646" s="430">
        <f>IFERROR(
IF(AP646="",-100,
IF($BV$2&gt;0, INDEX(Beersheet!$A:$U,MATCH(AP646,INDEX(Beersheet!$A:$U,0,FFARawStatProjections!$BV$2),0),$BV$3)+$BN646,
INDEX($A646:$BM646,,$BV$12)*$BW$12+
INDEX($A646:$BM646,,$BV$15)*$BW$15+
INDEX($A646:$BM646,,$BV$16)*$BW$16+
INDEX($A646:$BM646,,$BV$17)*$BW$17+
INDEX($A646:$BM646,,$BV$18)*$BW$18+
INDEX($A646:$BM646,,$BV$19)*$BW$19+
INDEX($A646:$BM646,,$BV$20)*$BW$20+
INDEX($A646:$BM646,,$BV$21)*$BW$21+
INDEX($A646:$BM646,,$BV$22)*$BW$22+
INDEX($A646:$BM646,,$BV$23)*$BW$23+
INDEX($A646:$BM646,,$BV$25)*$BW$25+
INDEX($A646:$BM646,,$BV$26)*$BW$26+
INDEX($A646:$BM646,,$BV$27)*$BW$27+
$BN646)),
$BN646-100)</f>
        <v>-100</v>
      </c>
      <c r="AT646" t="str">
        <f t="shared" si="135"/>
        <v/>
      </c>
      <c r="AU646" t="str">
        <f t="shared" si="136"/>
        <v/>
      </c>
      <c r="AV646" s="430">
        <f>IFERROR(
IF(AT646="",-100,
IF($BV$2&gt;0, INDEX(Beersheet!$A:$U,MATCH(AT646,INDEX(Beersheet!$A:$U,0,FFARawStatProjections!$BV$2),0),$BV$3)+$BN646,
INDEX($A646:$BM646,,$BV$12)*$BW$12+
INDEX($A646:$BM646,,$BV$15)*$BW$15+
INDEX($A646:$BM646,,$BV$16)*$BW$16+
INDEX($A646:$BM646,,$BV$17)*$BW$17+
INDEX($A646:$BM646,,$BV$18)*$BW$18+
INDEX($A646:$BM646,,$BV$19)*$BW$19+
INDEX($A646:$BM646,,$BV$20)*$BW$20+
INDEX($A646:$BM646,,$BV$21)*$BW$21+
INDEX($A646:$BM646,,$BV$22)*$BW$22+
INDEX($A646:$BM646,,$BV$23)*$BW$23+
INDEX($A646:$BM646,,$BV$25)*$BW$25+
INDEX($A646:$BM646,,$BV$26)*$BW$26+
INDEX($A646:$BM646,,$BV$27)*$BW$27+
$BN646)),
$BN646-100)</f>
        <v>-100</v>
      </c>
      <c r="AX646" t="str">
        <f t="shared" si="137"/>
        <v/>
      </c>
      <c r="AY646" t="str">
        <f t="shared" si="138"/>
        <v/>
      </c>
      <c r="AZ646" s="430">
        <f>IFERROR(
IF(AX646="",-100,
IF($BV$2&gt;0, INDEX(Beersheet!$A:$U,MATCH(AX646,INDEX(Beersheet!$A:$U,0,FFARawStatProjections!$BV$2),0),$BV$3)+$BN646,
INDEX($A646:$BM646,,$BV$12)*$BW$12+
INDEX($A646:$BM646,,$BV$15)*$BW$15+
INDEX($A646:$BM646,,$BV$16)*$BW$16+
INDEX($A646:$BM646,,$BV$17)*$BW$17+
INDEX($A646:$BM646,,$BV$18)*$BW$18+
INDEX($A646:$BM646,,$BV$19)*$BW$19+
INDEX($A646:$BM646,,$BV$20)*$BW$20+
INDEX($A646:$BM646,,$BV$21)*$BW$21+
INDEX($A646:$BM646,,$BV$22)*$BW$22+
INDEX($A646:$BM646,,$BV$23)*$BW$23+
INDEX($A646:$BM646,,$BV$25)*$BW$25+
INDEX($A646:$BM646,,$BV$26)*$BW$26+
INDEX($A646:$BM646,,$BV$27)*$BW$27+
$BN646)),
$BN646-100)</f>
        <v>-100</v>
      </c>
      <c r="BB646" t="str">
        <f t="shared" si="139"/>
        <v>Austin Hooper</v>
      </c>
      <c r="BC646" t="str">
        <f t="shared" si="133"/>
        <v>LV</v>
      </c>
      <c r="BD646" s="430">
        <f>IFERROR(
IF(BB646="",-100,
IF($BV$2&gt;0, INDEX(Beersheet!$A:$U,MATCH(BB646,INDEX(Beersheet!$A:$U,0,FFARawStatProjections!$BV$2),0),$BV$3)+$BN646,
INDEX($A646:$BM646,,$BV$12)*$BW$12+
INDEX($A646:$BM646,,$BV$15)*$BW$15+
INDEX($A646:$BM646,,$BV$16)*$BW$16+
INDEX($A646:$BM646,,$BV$17)*$BW$17+
INDEX($A646:$BM646,,$BV$18)*$BW$18+
INDEX($A646:$BM646,,$BV$19)*$BW$19+
INDEX($A646:$BM646,,$BV$20)*$BW$20+
INDEX($A646:$BM646,,$BV$21)*$BW$21+
INDEX($A646:$BM646,,$BV$22)*$BW$22+
INDEX($A646:$BM646,,$BV$23)*$BW$23+
INDEX($A646:$BM646,,$BV$25)*$BW$25+
INDEX($A646:$BM646,,$BV$26)*$BW$26+
INDEX($A646:$BM646,,$BV$27)*$BW$27+
$BN646)),
$BN646-100)</f>
        <v>68.266450000000006</v>
      </c>
      <c r="BF646" t="str">
        <f t="shared" si="140"/>
        <v/>
      </c>
      <c r="BG646" t="str">
        <f t="shared" si="141"/>
        <v/>
      </c>
      <c r="BH646">
        <f t="shared" si="142"/>
        <v>0</v>
      </c>
      <c r="BJ646" t="str">
        <f t="shared" si="143"/>
        <v/>
      </c>
      <c r="BL646">
        <f t="shared" si="132"/>
        <v>0</v>
      </c>
      <c r="BN646">
        <v>6.45E-3</v>
      </c>
      <c r="BS646" s="4" t="s">
        <v>2402</v>
      </c>
    </row>
    <row r="647" spans="1:71" ht="15.75" thickBot="1" x14ac:dyDescent="0.3">
      <c r="A647" s="569" t="s">
        <v>2240</v>
      </c>
      <c r="B647" s="569" t="s">
        <v>136</v>
      </c>
      <c r="C647" s="569" t="s">
        <v>7</v>
      </c>
      <c r="D647" s="574">
        <v>10</v>
      </c>
      <c r="E647" s="569"/>
      <c r="F647" s="569"/>
      <c r="G647" s="569"/>
      <c r="H647" s="569"/>
      <c r="I647" s="574">
        <v>0</v>
      </c>
      <c r="J647" s="574">
        <v>0</v>
      </c>
      <c r="K647" s="574">
        <v>0</v>
      </c>
      <c r="L647" s="574">
        <v>22.2</v>
      </c>
      <c r="M647" s="574">
        <v>1.4</v>
      </c>
      <c r="N647" s="574">
        <v>240.4</v>
      </c>
      <c r="O647" s="574">
        <v>0</v>
      </c>
      <c r="P647" s="574">
        <v>0</v>
      </c>
      <c r="Q647" s="574">
        <v>0</v>
      </c>
      <c r="R647" s="569"/>
      <c r="S647" s="569"/>
      <c r="T647" s="569"/>
      <c r="U647" s="569"/>
      <c r="V647" s="569"/>
      <c r="W647" s="569"/>
      <c r="X647" s="569"/>
      <c r="Y647" s="569"/>
      <c r="Z647" s="569"/>
      <c r="AA647" s="569"/>
      <c r="AB647" s="569"/>
      <c r="AC647" s="569"/>
      <c r="AD647" s="569"/>
      <c r="AE647" s="569"/>
      <c r="AF647" s="569"/>
      <c r="AG647" s="569"/>
      <c r="AH647" s="569"/>
      <c r="AI647" s="569"/>
      <c r="AJ647" s="569"/>
      <c r="AK647" s="569"/>
      <c r="AL647" s="569"/>
      <c r="AM647" s="569"/>
      <c r="AN647" s="574">
        <v>33</v>
      </c>
      <c r="AO647">
        <v>646</v>
      </c>
      <c r="AP647" t="str">
        <f t="shared" si="131"/>
        <v/>
      </c>
      <c r="AQ647" t="str">
        <f t="shared" si="134"/>
        <v/>
      </c>
      <c r="AR647" s="430">
        <f>IFERROR(
IF(AP647="",-100,
IF($BV$2&gt;0, INDEX(Beersheet!$A:$U,MATCH(AP647,INDEX(Beersheet!$A:$U,0,FFARawStatProjections!$BV$2),0),$BV$3)+$BN647,
INDEX($A647:$BM647,,$BV$12)*$BW$12+
INDEX($A647:$BM647,,$BV$15)*$BW$15+
INDEX($A647:$BM647,,$BV$16)*$BW$16+
INDEX($A647:$BM647,,$BV$17)*$BW$17+
INDEX($A647:$BM647,,$BV$18)*$BW$18+
INDEX($A647:$BM647,,$BV$19)*$BW$19+
INDEX($A647:$BM647,,$BV$20)*$BW$20+
INDEX($A647:$BM647,,$BV$21)*$BW$21+
INDEX($A647:$BM647,,$BV$22)*$BW$22+
INDEX($A647:$BM647,,$BV$23)*$BW$23+
INDEX($A647:$BM647,,$BV$25)*$BW$25+
INDEX($A647:$BM647,,$BV$26)*$BW$26+
INDEX($A647:$BM647,,$BV$27)*$BW$27+
$BN647)),
$BN647-100)</f>
        <v>-100</v>
      </c>
      <c r="AT647" t="str">
        <f t="shared" si="135"/>
        <v/>
      </c>
      <c r="AU647" t="str">
        <f t="shared" si="136"/>
        <v/>
      </c>
      <c r="AV647" s="430">
        <f>IFERROR(
IF(AT647="",-100,
IF($BV$2&gt;0, INDEX(Beersheet!$A:$U,MATCH(AT647,INDEX(Beersheet!$A:$U,0,FFARawStatProjections!$BV$2),0),$BV$3)+$BN647,
INDEX($A647:$BM647,,$BV$12)*$BW$12+
INDEX($A647:$BM647,,$BV$15)*$BW$15+
INDEX($A647:$BM647,,$BV$16)*$BW$16+
INDEX($A647:$BM647,,$BV$17)*$BW$17+
INDEX($A647:$BM647,,$BV$18)*$BW$18+
INDEX($A647:$BM647,,$BV$19)*$BW$19+
INDEX($A647:$BM647,,$BV$20)*$BW$20+
INDEX($A647:$BM647,,$BV$21)*$BW$21+
INDEX($A647:$BM647,,$BV$22)*$BW$22+
INDEX($A647:$BM647,,$BV$23)*$BW$23+
INDEX($A647:$BM647,,$BV$25)*$BW$25+
INDEX($A647:$BM647,,$BV$26)*$BW$26+
INDEX($A647:$BM647,,$BV$27)*$BW$27+
$BN647)),
$BN647-100)</f>
        <v>-100</v>
      </c>
      <c r="AX647" t="str">
        <f t="shared" si="137"/>
        <v/>
      </c>
      <c r="AY647" t="str">
        <f t="shared" si="138"/>
        <v/>
      </c>
      <c r="AZ647" s="430">
        <f>IFERROR(
IF(AX647="",-100,
IF($BV$2&gt;0, INDEX(Beersheet!$A:$U,MATCH(AX647,INDEX(Beersheet!$A:$U,0,FFARawStatProjections!$BV$2),0),$BV$3)+$BN647,
INDEX($A647:$BM647,,$BV$12)*$BW$12+
INDEX($A647:$BM647,,$BV$15)*$BW$15+
INDEX($A647:$BM647,,$BV$16)*$BW$16+
INDEX($A647:$BM647,,$BV$17)*$BW$17+
INDEX($A647:$BM647,,$BV$18)*$BW$18+
INDEX($A647:$BM647,,$BV$19)*$BW$19+
INDEX($A647:$BM647,,$BV$20)*$BW$20+
INDEX($A647:$BM647,,$BV$21)*$BW$21+
INDEX($A647:$BM647,,$BV$22)*$BW$22+
INDEX($A647:$BM647,,$BV$23)*$BW$23+
INDEX($A647:$BM647,,$BV$25)*$BW$25+
INDEX($A647:$BM647,,$BV$26)*$BW$26+
INDEX($A647:$BM647,,$BV$27)*$BW$27+
$BN647)),
$BN647-100)</f>
        <v>-100</v>
      </c>
      <c r="BB647" t="str">
        <f t="shared" si="139"/>
        <v>Noah Gray</v>
      </c>
      <c r="BC647" t="str">
        <f t="shared" si="133"/>
        <v>KC</v>
      </c>
      <c r="BD647" s="430">
        <f>IFERROR(
IF(BB647="",-100,
IF($BV$2&gt;0, INDEX(Beersheet!$A:$U,MATCH(BB647,INDEX(Beersheet!$A:$U,0,FFARawStatProjections!$BV$2),0),$BV$3)+$BN647,
INDEX($A647:$BM647,,$BV$12)*$BW$12+
INDEX($A647:$BM647,,$BV$15)*$BW$15+
INDEX($A647:$BM647,,$BV$16)*$BW$16+
INDEX($A647:$BM647,,$BV$17)*$BW$17+
INDEX($A647:$BM647,,$BV$18)*$BW$18+
INDEX($A647:$BM647,,$BV$19)*$BW$19+
INDEX($A647:$BM647,,$BV$20)*$BW$20+
INDEX($A647:$BM647,,$BV$21)*$BW$21+
INDEX($A647:$BM647,,$BV$22)*$BW$22+
INDEX($A647:$BM647,,$BV$23)*$BW$23+
INDEX($A647:$BM647,,$BV$25)*$BW$25+
INDEX($A647:$BM647,,$BV$26)*$BW$26+
INDEX($A647:$BM647,,$BV$27)*$BW$27+
$BN647)),
$BN647-100)</f>
        <v>54.646459999999998</v>
      </c>
      <c r="BF647" t="str">
        <f t="shared" si="140"/>
        <v/>
      </c>
      <c r="BG647" t="str">
        <f t="shared" si="141"/>
        <v/>
      </c>
      <c r="BH647">
        <f t="shared" si="142"/>
        <v>0</v>
      </c>
      <c r="BJ647" t="str">
        <f t="shared" si="143"/>
        <v/>
      </c>
      <c r="BL647">
        <f t="shared" si="132"/>
        <v>0</v>
      </c>
      <c r="BN647">
        <v>6.4599999999999996E-3</v>
      </c>
      <c r="BS647" s="4" t="s">
        <v>1968</v>
      </c>
    </row>
    <row r="648" spans="1:71" ht="15.75" thickBot="1" x14ac:dyDescent="0.3">
      <c r="A648" s="569" t="s">
        <v>2444</v>
      </c>
      <c r="B648" s="569" t="s">
        <v>146</v>
      </c>
      <c r="C648" s="569" t="s">
        <v>7</v>
      </c>
      <c r="D648" s="574">
        <v>7</v>
      </c>
      <c r="E648" s="569"/>
      <c r="F648" s="569"/>
      <c r="G648" s="569"/>
      <c r="H648" s="569"/>
      <c r="I648" s="574">
        <v>0</v>
      </c>
      <c r="J648" s="574">
        <v>0</v>
      </c>
      <c r="K648" s="574">
        <v>0</v>
      </c>
      <c r="L648" s="574">
        <v>21</v>
      </c>
      <c r="M648" s="574">
        <v>1.5</v>
      </c>
      <c r="N648" s="574">
        <v>238.2</v>
      </c>
      <c r="O648" s="574">
        <v>0</v>
      </c>
      <c r="P648" s="574">
        <v>0</v>
      </c>
      <c r="Q648" s="574">
        <v>0</v>
      </c>
      <c r="R648" s="569"/>
      <c r="S648" s="569"/>
      <c r="T648" s="569"/>
      <c r="U648" s="569"/>
      <c r="V648" s="569"/>
      <c r="W648" s="569"/>
      <c r="X648" s="569"/>
      <c r="Y648" s="569"/>
      <c r="Z648" s="569"/>
      <c r="AA648" s="569"/>
      <c r="AB648" s="569"/>
      <c r="AC648" s="569"/>
      <c r="AD648" s="569"/>
      <c r="AE648" s="569"/>
      <c r="AF648" s="569"/>
      <c r="AG648" s="569"/>
      <c r="AH648" s="569"/>
      <c r="AI648" s="569"/>
      <c r="AJ648" s="569"/>
      <c r="AK648" s="569"/>
      <c r="AL648" s="569"/>
      <c r="AM648" s="569"/>
      <c r="AN648" s="574">
        <v>32.4</v>
      </c>
      <c r="AO648">
        <v>647</v>
      </c>
      <c r="AP648" t="str">
        <f t="shared" si="131"/>
        <v/>
      </c>
      <c r="AQ648" t="str">
        <f t="shared" si="134"/>
        <v/>
      </c>
      <c r="AR648" s="430">
        <f>IFERROR(
IF(AP648="",-100,
IF($BV$2&gt;0, INDEX(Beersheet!$A:$U,MATCH(AP648,INDEX(Beersheet!$A:$U,0,FFARawStatProjections!$BV$2),0),$BV$3)+$BN648,
INDEX($A648:$BM648,,$BV$12)*$BW$12+
INDEX($A648:$BM648,,$BV$15)*$BW$15+
INDEX($A648:$BM648,,$BV$16)*$BW$16+
INDEX($A648:$BM648,,$BV$17)*$BW$17+
INDEX($A648:$BM648,,$BV$18)*$BW$18+
INDEX($A648:$BM648,,$BV$19)*$BW$19+
INDEX($A648:$BM648,,$BV$20)*$BW$20+
INDEX($A648:$BM648,,$BV$21)*$BW$21+
INDEX($A648:$BM648,,$BV$22)*$BW$22+
INDEX($A648:$BM648,,$BV$23)*$BW$23+
INDEX($A648:$BM648,,$BV$25)*$BW$25+
INDEX($A648:$BM648,,$BV$26)*$BW$26+
INDEX($A648:$BM648,,$BV$27)*$BW$27+
$BN648)),
$BN648-100)</f>
        <v>-100</v>
      </c>
      <c r="AT648" t="str">
        <f t="shared" si="135"/>
        <v/>
      </c>
      <c r="AU648" t="str">
        <f t="shared" si="136"/>
        <v/>
      </c>
      <c r="AV648" s="430">
        <f>IFERROR(
IF(AT648="",-100,
IF($BV$2&gt;0, INDEX(Beersheet!$A:$U,MATCH(AT648,INDEX(Beersheet!$A:$U,0,FFARawStatProjections!$BV$2),0),$BV$3)+$BN648,
INDEX($A648:$BM648,,$BV$12)*$BW$12+
INDEX($A648:$BM648,,$BV$15)*$BW$15+
INDEX($A648:$BM648,,$BV$16)*$BW$16+
INDEX($A648:$BM648,,$BV$17)*$BW$17+
INDEX($A648:$BM648,,$BV$18)*$BW$18+
INDEX($A648:$BM648,,$BV$19)*$BW$19+
INDEX($A648:$BM648,,$BV$20)*$BW$20+
INDEX($A648:$BM648,,$BV$21)*$BW$21+
INDEX($A648:$BM648,,$BV$22)*$BW$22+
INDEX($A648:$BM648,,$BV$23)*$BW$23+
INDEX($A648:$BM648,,$BV$25)*$BW$25+
INDEX($A648:$BM648,,$BV$26)*$BW$26+
INDEX($A648:$BM648,,$BV$27)*$BW$27+
$BN648)),
$BN648-100)</f>
        <v>-100</v>
      </c>
      <c r="AX648" t="str">
        <f t="shared" si="137"/>
        <v/>
      </c>
      <c r="AY648" t="str">
        <f t="shared" si="138"/>
        <v/>
      </c>
      <c r="AZ648" s="430">
        <f>IFERROR(
IF(AX648="",-100,
IF($BV$2&gt;0, INDEX(Beersheet!$A:$U,MATCH(AX648,INDEX(Beersheet!$A:$U,0,FFARawStatProjections!$BV$2),0),$BV$3)+$BN648,
INDEX($A648:$BM648,,$BV$12)*$BW$12+
INDEX($A648:$BM648,,$BV$15)*$BW$15+
INDEX($A648:$BM648,,$BV$16)*$BW$16+
INDEX($A648:$BM648,,$BV$17)*$BW$17+
INDEX($A648:$BM648,,$BV$18)*$BW$18+
INDEX($A648:$BM648,,$BV$19)*$BW$19+
INDEX($A648:$BM648,,$BV$20)*$BW$20+
INDEX($A648:$BM648,,$BV$21)*$BW$21+
INDEX($A648:$BM648,,$BV$22)*$BW$22+
INDEX($A648:$BM648,,$BV$23)*$BW$23+
INDEX($A648:$BM648,,$BV$25)*$BW$25+
INDEX($A648:$BM648,,$BV$26)*$BW$26+
INDEX($A648:$BM648,,$BV$27)*$BW$27+
$BN648)),
$BN648-100)</f>
        <v>-100</v>
      </c>
      <c r="BB648" t="str">
        <f t="shared" si="139"/>
        <v>Luke Schoonmaker</v>
      </c>
      <c r="BC648" t="str">
        <f t="shared" si="133"/>
        <v>DAL</v>
      </c>
      <c r="BD648" s="430">
        <f>IFERROR(
IF(BB648="",-100,
IF($BV$2&gt;0, INDEX(Beersheet!$A:$U,MATCH(BB648,INDEX(Beersheet!$A:$U,0,FFARawStatProjections!$BV$2),0),$BV$3)+$BN648,
INDEX($A648:$BM648,,$BV$12)*$BW$12+
INDEX($A648:$BM648,,$BV$15)*$BW$15+
INDEX($A648:$BM648,,$BV$16)*$BW$16+
INDEX($A648:$BM648,,$BV$17)*$BW$17+
INDEX($A648:$BM648,,$BV$18)*$BW$18+
INDEX($A648:$BM648,,$BV$19)*$BW$19+
INDEX($A648:$BM648,,$BV$20)*$BW$20+
INDEX($A648:$BM648,,$BV$21)*$BW$21+
INDEX($A648:$BM648,,$BV$22)*$BW$22+
INDEX($A648:$BM648,,$BV$23)*$BW$23+
INDEX($A648:$BM648,,$BV$25)*$BW$25+
INDEX($A648:$BM648,,$BV$26)*$BW$26+
INDEX($A648:$BM648,,$BV$27)*$BW$27+
$BN648)),
$BN648-100)</f>
        <v>53.82647</v>
      </c>
      <c r="BF648" t="str">
        <f t="shared" si="140"/>
        <v/>
      </c>
      <c r="BG648" t="str">
        <f t="shared" si="141"/>
        <v/>
      </c>
      <c r="BH648">
        <f t="shared" si="142"/>
        <v>0</v>
      </c>
      <c r="BJ648" t="str">
        <f t="shared" si="143"/>
        <v/>
      </c>
      <c r="BL648">
        <f t="shared" si="132"/>
        <v>0</v>
      </c>
      <c r="BN648">
        <v>6.4700000000000001E-3</v>
      </c>
      <c r="BS648" s="4" t="s">
        <v>1862</v>
      </c>
    </row>
    <row r="649" spans="1:71" ht="15.75" thickBot="1" x14ac:dyDescent="0.3">
      <c r="A649" s="569" t="s">
        <v>2233</v>
      </c>
      <c r="B649" s="569" t="s">
        <v>1388</v>
      </c>
      <c r="C649" s="569" t="s">
        <v>7</v>
      </c>
      <c r="D649" s="574">
        <v>5</v>
      </c>
      <c r="E649" s="569"/>
      <c r="F649" s="569"/>
      <c r="G649" s="569"/>
      <c r="H649" s="569"/>
      <c r="I649" s="574">
        <v>0</v>
      </c>
      <c r="J649" s="574">
        <v>0</v>
      </c>
      <c r="K649" s="574">
        <v>0</v>
      </c>
      <c r="L649" s="574">
        <v>17.7</v>
      </c>
      <c r="M649" s="574">
        <v>1.6</v>
      </c>
      <c r="N649" s="574">
        <v>208.3</v>
      </c>
      <c r="O649" s="574">
        <v>0</v>
      </c>
      <c r="P649" s="574">
        <v>0</v>
      </c>
      <c r="Q649" s="574">
        <v>0</v>
      </c>
      <c r="R649" s="569"/>
      <c r="S649" s="569"/>
      <c r="T649" s="569"/>
      <c r="U649" s="569"/>
      <c r="V649" s="569"/>
      <c r="W649" s="569"/>
      <c r="X649" s="569"/>
      <c r="Y649" s="569"/>
      <c r="Z649" s="569"/>
      <c r="AA649" s="569"/>
      <c r="AB649" s="569"/>
      <c r="AC649" s="569"/>
      <c r="AD649" s="569"/>
      <c r="AE649" s="569"/>
      <c r="AF649" s="569"/>
      <c r="AG649" s="569"/>
      <c r="AH649" s="569"/>
      <c r="AI649" s="569"/>
      <c r="AJ649" s="569"/>
      <c r="AK649" s="569"/>
      <c r="AL649" s="569"/>
      <c r="AM649" s="569"/>
      <c r="AN649" s="574">
        <v>30.4</v>
      </c>
      <c r="AO649">
        <v>648</v>
      </c>
      <c r="AP649" t="str">
        <f t="shared" si="131"/>
        <v/>
      </c>
      <c r="AQ649" t="str">
        <f t="shared" si="134"/>
        <v/>
      </c>
      <c r="AR649" s="430">
        <f>IFERROR(
IF(AP649="",-100,
IF($BV$2&gt;0, INDEX(Beersheet!$A:$U,MATCH(AP649,INDEX(Beersheet!$A:$U,0,FFARawStatProjections!$BV$2),0),$BV$3)+$BN649,
INDEX($A649:$BM649,,$BV$12)*$BW$12+
INDEX($A649:$BM649,,$BV$15)*$BW$15+
INDEX($A649:$BM649,,$BV$16)*$BW$16+
INDEX($A649:$BM649,,$BV$17)*$BW$17+
INDEX($A649:$BM649,,$BV$18)*$BW$18+
INDEX($A649:$BM649,,$BV$19)*$BW$19+
INDEX($A649:$BM649,,$BV$20)*$BW$20+
INDEX($A649:$BM649,,$BV$21)*$BW$21+
INDEX($A649:$BM649,,$BV$22)*$BW$22+
INDEX($A649:$BM649,,$BV$23)*$BW$23+
INDEX($A649:$BM649,,$BV$25)*$BW$25+
INDEX($A649:$BM649,,$BV$26)*$BW$26+
INDEX($A649:$BM649,,$BV$27)*$BW$27+
$BN649)),
$BN649-100)</f>
        <v>-100</v>
      </c>
      <c r="AT649" t="str">
        <f t="shared" si="135"/>
        <v/>
      </c>
      <c r="AU649" t="str">
        <f t="shared" si="136"/>
        <v/>
      </c>
      <c r="AV649" s="430">
        <f>IFERROR(
IF(AT649="",-100,
IF($BV$2&gt;0, INDEX(Beersheet!$A:$U,MATCH(AT649,INDEX(Beersheet!$A:$U,0,FFARawStatProjections!$BV$2),0),$BV$3)+$BN649,
INDEX($A649:$BM649,,$BV$12)*$BW$12+
INDEX($A649:$BM649,,$BV$15)*$BW$15+
INDEX($A649:$BM649,,$BV$16)*$BW$16+
INDEX($A649:$BM649,,$BV$17)*$BW$17+
INDEX($A649:$BM649,,$BV$18)*$BW$18+
INDEX($A649:$BM649,,$BV$19)*$BW$19+
INDEX($A649:$BM649,,$BV$20)*$BW$20+
INDEX($A649:$BM649,,$BV$21)*$BW$21+
INDEX($A649:$BM649,,$BV$22)*$BW$22+
INDEX($A649:$BM649,,$BV$23)*$BW$23+
INDEX($A649:$BM649,,$BV$25)*$BW$25+
INDEX($A649:$BM649,,$BV$26)*$BW$26+
INDEX($A649:$BM649,,$BV$27)*$BW$27+
$BN649)),
$BN649-100)</f>
        <v>-100</v>
      </c>
      <c r="AX649" t="str">
        <f t="shared" si="137"/>
        <v/>
      </c>
      <c r="AY649" t="str">
        <f t="shared" si="138"/>
        <v/>
      </c>
      <c r="AZ649" s="430">
        <f>IFERROR(
IF(AX649="",-100,
IF($BV$2&gt;0, INDEX(Beersheet!$A:$U,MATCH(AX649,INDEX(Beersheet!$A:$U,0,FFARawStatProjections!$BV$2),0),$BV$3)+$BN649,
INDEX($A649:$BM649,,$BV$12)*$BW$12+
INDEX($A649:$BM649,,$BV$15)*$BW$15+
INDEX($A649:$BM649,,$BV$16)*$BW$16+
INDEX($A649:$BM649,,$BV$17)*$BW$17+
INDEX($A649:$BM649,,$BV$18)*$BW$18+
INDEX($A649:$BM649,,$BV$19)*$BW$19+
INDEX($A649:$BM649,,$BV$20)*$BW$20+
INDEX($A649:$BM649,,$BV$21)*$BW$21+
INDEX($A649:$BM649,,$BV$22)*$BW$22+
INDEX($A649:$BM649,,$BV$23)*$BW$23+
INDEX($A649:$BM649,,$BV$25)*$BW$25+
INDEX($A649:$BM649,,$BV$26)*$BW$26+
INDEX($A649:$BM649,,$BV$27)*$BW$27+
$BN649)),
$BN649-100)</f>
        <v>-100</v>
      </c>
      <c r="BB649" t="str">
        <f t="shared" si="139"/>
        <v>Donald Parham</v>
      </c>
      <c r="BC649" t="str">
        <f t="shared" si="133"/>
        <v>LAC</v>
      </c>
      <c r="BD649" s="430">
        <f>IFERROR(
IF(BB649="",-100,
IF($BV$2&gt;0, INDEX(Beersheet!$A:$U,MATCH(BB649,INDEX(Beersheet!$A:$U,0,FFARawStatProjections!$BV$2),0),$BV$3)+$BN649,
INDEX($A649:$BM649,,$BV$12)*$BW$12+
INDEX($A649:$BM649,,$BV$15)*$BW$15+
INDEX($A649:$BM649,,$BV$16)*$BW$16+
INDEX($A649:$BM649,,$BV$17)*$BW$17+
INDEX($A649:$BM649,,$BV$18)*$BW$18+
INDEX($A649:$BM649,,$BV$19)*$BW$19+
INDEX($A649:$BM649,,$BV$20)*$BW$20+
INDEX($A649:$BM649,,$BV$21)*$BW$21+
INDEX($A649:$BM649,,$BV$22)*$BW$22+
INDEX($A649:$BM649,,$BV$23)*$BW$23+
INDEX($A649:$BM649,,$BV$25)*$BW$25+
INDEX($A649:$BM649,,$BV$26)*$BW$26+
INDEX($A649:$BM649,,$BV$27)*$BW$27+
$BN649)),
$BN649-100)</f>
        <v>48.136480000000006</v>
      </c>
      <c r="BF649" t="str">
        <f t="shared" si="140"/>
        <v/>
      </c>
      <c r="BG649" t="str">
        <f t="shared" si="141"/>
        <v/>
      </c>
      <c r="BH649">
        <f t="shared" si="142"/>
        <v>0</v>
      </c>
      <c r="BJ649" t="str">
        <f t="shared" si="143"/>
        <v/>
      </c>
      <c r="BL649">
        <f t="shared" si="132"/>
        <v>0</v>
      </c>
      <c r="BN649">
        <v>6.4799999999999996E-3</v>
      </c>
      <c r="BS649" s="4" t="s">
        <v>2401</v>
      </c>
    </row>
    <row r="650" spans="1:71" ht="15.75" thickBot="1" x14ac:dyDescent="0.3">
      <c r="A650" s="569" t="s">
        <v>1447</v>
      </c>
      <c r="B650" s="569" t="s">
        <v>148</v>
      </c>
      <c r="C650" s="569" t="s">
        <v>7</v>
      </c>
      <c r="D650" s="574">
        <v>11</v>
      </c>
      <c r="E650" s="569"/>
      <c r="F650" s="569"/>
      <c r="G650" s="569"/>
      <c r="H650" s="569"/>
      <c r="I650" s="574">
        <v>0</v>
      </c>
      <c r="J650" s="574">
        <v>0</v>
      </c>
      <c r="K650" s="574">
        <v>0</v>
      </c>
      <c r="L650" s="574">
        <v>19.600000000000001</v>
      </c>
      <c r="M650" s="574">
        <v>1.2</v>
      </c>
      <c r="N650" s="574">
        <v>220.7</v>
      </c>
      <c r="O650" s="574">
        <v>0</v>
      </c>
      <c r="P650" s="574">
        <v>0</v>
      </c>
      <c r="Q650" s="574">
        <v>0</v>
      </c>
      <c r="R650" s="569"/>
      <c r="S650" s="569"/>
      <c r="T650" s="569"/>
      <c r="U650" s="569"/>
      <c r="V650" s="569"/>
      <c r="W650" s="569"/>
      <c r="X650" s="569"/>
      <c r="Y650" s="569"/>
      <c r="Z650" s="569"/>
      <c r="AA650" s="569"/>
      <c r="AB650" s="569"/>
      <c r="AC650" s="569"/>
      <c r="AD650" s="569"/>
      <c r="AE650" s="569"/>
      <c r="AF650" s="569"/>
      <c r="AG650" s="569"/>
      <c r="AH650" s="569"/>
      <c r="AI650" s="569"/>
      <c r="AJ650" s="569"/>
      <c r="AK650" s="569"/>
      <c r="AL650" s="569"/>
      <c r="AM650" s="569"/>
      <c r="AN650" s="574">
        <v>30.2</v>
      </c>
      <c r="AO650">
        <v>649</v>
      </c>
      <c r="AP650" t="str">
        <f t="shared" si="131"/>
        <v/>
      </c>
      <c r="AQ650" t="str">
        <f t="shared" si="134"/>
        <v/>
      </c>
      <c r="AR650" s="430">
        <f>IFERROR(
IF(AP650="",-100,
IF($BV$2&gt;0, INDEX(Beersheet!$A:$U,MATCH(AP650,INDEX(Beersheet!$A:$U,0,FFARawStatProjections!$BV$2),0),$BV$3)+$BN650,
INDEX($A650:$BM650,,$BV$12)*$BW$12+
INDEX($A650:$BM650,,$BV$15)*$BW$15+
INDEX($A650:$BM650,,$BV$16)*$BW$16+
INDEX($A650:$BM650,,$BV$17)*$BW$17+
INDEX($A650:$BM650,,$BV$18)*$BW$18+
INDEX($A650:$BM650,,$BV$19)*$BW$19+
INDEX($A650:$BM650,,$BV$20)*$BW$20+
INDEX($A650:$BM650,,$BV$21)*$BW$21+
INDEX($A650:$BM650,,$BV$22)*$BW$22+
INDEX($A650:$BM650,,$BV$23)*$BW$23+
INDEX($A650:$BM650,,$BV$25)*$BW$25+
INDEX($A650:$BM650,,$BV$26)*$BW$26+
INDEX($A650:$BM650,,$BV$27)*$BW$27+
$BN650)),
$BN650-100)</f>
        <v>-100</v>
      </c>
      <c r="AT650" t="str">
        <f t="shared" si="135"/>
        <v/>
      </c>
      <c r="AU650" t="str">
        <f t="shared" si="136"/>
        <v/>
      </c>
      <c r="AV650" s="430">
        <f>IFERROR(
IF(AT650="",-100,
IF($BV$2&gt;0, INDEX(Beersheet!$A:$U,MATCH(AT650,INDEX(Beersheet!$A:$U,0,FFARawStatProjections!$BV$2),0),$BV$3)+$BN650,
INDEX($A650:$BM650,,$BV$12)*$BW$12+
INDEX($A650:$BM650,,$BV$15)*$BW$15+
INDEX($A650:$BM650,,$BV$16)*$BW$16+
INDEX($A650:$BM650,,$BV$17)*$BW$17+
INDEX($A650:$BM650,,$BV$18)*$BW$18+
INDEX($A650:$BM650,,$BV$19)*$BW$19+
INDEX($A650:$BM650,,$BV$20)*$BW$20+
INDEX($A650:$BM650,,$BV$21)*$BW$21+
INDEX($A650:$BM650,,$BV$22)*$BW$22+
INDEX($A650:$BM650,,$BV$23)*$BW$23+
INDEX($A650:$BM650,,$BV$25)*$BW$25+
INDEX($A650:$BM650,,$BV$26)*$BW$26+
INDEX($A650:$BM650,,$BV$27)*$BW$27+
$BN650)),
$BN650-100)</f>
        <v>-100</v>
      </c>
      <c r="AX650" t="str">
        <f t="shared" si="137"/>
        <v/>
      </c>
      <c r="AY650" t="str">
        <f t="shared" si="138"/>
        <v/>
      </c>
      <c r="AZ650" s="430">
        <f>IFERROR(
IF(AX650="",-100,
IF($BV$2&gt;0, INDEX(Beersheet!$A:$U,MATCH(AX650,INDEX(Beersheet!$A:$U,0,FFARawStatProjections!$BV$2),0),$BV$3)+$BN650,
INDEX($A650:$BM650,,$BV$12)*$BW$12+
INDEX($A650:$BM650,,$BV$15)*$BW$15+
INDEX($A650:$BM650,,$BV$16)*$BW$16+
INDEX($A650:$BM650,,$BV$17)*$BW$17+
INDEX($A650:$BM650,,$BV$18)*$BW$18+
INDEX($A650:$BM650,,$BV$19)*$BW$19+
INDEX($A650:$BM650,,$BV$20)*$BW$20+
INDEX($A650:$BM650,,$BV$21)*$BW$21+
INDEX($A650:$BM650,,$BV$22)*$BW$22+
INDEX($A650:$BM650,,$BV$23)*$BW$23+
INDEX($A650:$BM650,,$BV$25)*$BW$25+
INDEX($A650:$BM650,,$BV$26)*$BW$26+
INDEX($A650:$BM650,,$BV$27)*$BW$27+
$BN650)),
$BN650-100)</f>
        <v>-100</v>
      </c>
      <c r="BB650" t="str">
        <f t="shared" si="139"/>
        <v>Jonnu Smith</v>
      </c>
      <c r="BC650" t="str">
        <f t="shared" si="133"/>
        <v>ATL</v>
      </c>
      <c r="BD650" s="430">
        <f>IFERROR(
IF(BB650="",-100,
IF($BV$2&gt;0, INDEX(Beersheet!$A:$U,MATCH(BB650,INDEX(Beersheet!$A:$U,0,FFARawStatProjections!$BV$2),0),$BV$3)+$BN650,
INDEX($A650:$BM650,,$BV$12)*$BW$12+
INDEX($A650:$BM650,,$BV$15)*$BW$15+
INDEX($A650:$BM650,,$BV$16)*$BW$16+
INDEX($A650:$BM650,,$BV$17)*$BW$17+
INDEX($A650:$BM650,,$BV$18)*$BW$18+
INDEX($A650:$BM650,,$BV$19)*$BW$19+
INDEX($A650:$BM650,,$BV$20)*$BW$20+
INDEX($A650:$BM650,,$BV$21)*$BW$21+
INDEX($A650:$BM650,,$BV$22)*$BW$22+
INDEX($A650:$BM650,,$BV$23)*$BW$23+
INDEX($A650:$BM650,,$BV$25)*$BW$25+
INDEX($A650:$BM650,,$BV$26)*$BW$26+
INDEX($A650:$BM650,,$BV$27)*$BW$27+
$BN650)),
$BN650-100)</f>
        <v>48.876490000000004</v>
      </c>
      <c r="BF650" t="str">
        <f t="shared" si="140"/>
        <v/>
      </c>
      <c r="BG650" t="str">
        <f t="shared" si="141"/>
        <v/>
      </c>
      <c r="BH650">
        <f t="shared" si="142"/>
        <v>0</v>
      </c>
      <c r="BJ650" t="str">
        <f t="shared" si="143"/>
        <v/>
      </c>
      <c r="BL650">
        <f t="shared" si="132"/>
        <v>0</v>
      </c>
      <c r="BN650">
        <v>6.4900000000000001E-3</v>
      </c>
      <c r="BS650" s="4" t="s">
        <v>2251</v>
      </c>
    </row>
    <row r="651" spans="1:71" ht="15.75" thickBot="1" x14ac:dyDescent="0.3">
      <c r="A651" s="569" t="s">
        <v>1891</v>
      </c>
      <c r="B651" s="569" t="s">
        <v>143</v>
      </c>
      <c r="C651" s="569" t="s">
        <v>7</v>
      </c>
      <c r="D651" s="574">
        <v>11</v>
      </c>
      <c r="E651" s="569"/>
      <c r="F651" s="569"/>
      <c r="G651" s="569"/>
      <c r="H651" s="569"/>
      <c r="I651" s="574">
        <v>0</v>
      </c>
      <c r="J651" s="574">
        <v>0</v>
      </c>
      <c r="K651" s="574">
        <v>0</v>
      </c>
      <c r="L651" s="574">
        <v>16.7</v>
      </c>
      <c r="M651" s="574">
        <v>1.2</v>
      </c>
      <c r="N651" s="574">
        <v>232.1</v>
      </c>
      <c r="O651" s="574">
        <v>0</v>
      </c>
      <c r="P651" s="574">
        <v>0</v>
      </c>
      <c r="Q651" s="574">
        <v>0</v>
      </c>
      <c r="R651" s="569"/>
      <c r="S651" s="569"/>
      <c r="T651" s="569"/>
      <c r="U651" s="569"/>
      <c r="V651" s="569"/>
      <c r="W651" s="569"/>
      <c r="X651" s="569"/>
      <c r="Y651" s="569"/>
      <c r="Z651" s="569"/>
      <c r="AA651" s="569"/>
      <c r="AB651" s="569"/>
      <c r="AC651" s="569"/>
      <c r="AD651" s="569"/>
      <c r="AE651" s="569"/>
      <c r="AF651" s="569"/>
      <c r="AG651" s="569"/>
      <c r="AH651" s="569"/>
      <c r="AI651" s="569"/>
      <c r="AJ651" s="569"/>
      <c r="AK651" s="569"/>
      <c r="AL651" s="569"/>
      <c r="AM651" s="569"/>
      <c r="AN651" s="574">
        <v>29.6</v>
      </c>
      <c r="AO651">
        <v>650</v>
      </c>
      <c r="AP651" t="str">
        <f t="shared" si="131"/>
        <v/>
      </c>
      <c r="AQ651" t="str">
        <f t="shared" si="134"/>
        <v/>
      </c>
      <c r="AR651" s="430">
        <f>IFERROR(
IF(AP651="",-100,
IF($BV$2&gt;0, INDEX(Beersheet!$A:$U,MATCH(AP651,INDEX(Beersheet!$A:$U,0,FFARawStatProjections!$BV$2),0),$BV$3)+$BN651,
INDEX($A651:$BM651,,$BV$12)*$BW$12+
INDEX($A651:$BM651,,$BV$15)*$BW$15+
INDEX($A651:$BM651,,$BV$16)*$BW$16+
INDEX($A651:$BM651,,$BV$17)*$BW$17+
INDEX($A651:$BM651,,$BV$18)*$BW$18+
INDEX($A651:$BM651,,$BV$19)*$BW$19+
INDEX($A651:$BM651,,$BV$20)*$BW$20+
INDEX($A651:$BM651,,$BV$21)*$BW$21+
INDEX($A651:$BM651,,$BV$22)*$BW$22+
INDEX($A651:$BM651,,$BV$23)*$BW$23+
INDEX($A651:$BM651,,$BV$25)*$BW$25+
INDEX($A651:$BM651,,$BV$26)*$BW$26+
INDEX($A651:$BM651,,$BV$27)*$BW$27+
$BN651)),
$BN651-100)</f>
        <v>-100</v>
      </c>
      <c r="AT651" t="str">
        <f t="shared" si="135"/>
        <v/>
      </c>
      <c r="AU651" t="str">
        <f t="shared" si="136"/>
        <v/>
      </c>
      <c r="AV651" s="430">
        <f>IFERROR(
IF(AT651="",-100,
IF($BV$2&gt;0, INDEX(Beersheet!$A:$U,MATCH(AT651,INDEX(Beersheet!$A:$U,0,FFARawStatProjections!$BV$2),0),$BV$3)+$BN651,
INDEX($A651:$BM651,,$BV$12)*$BW$12+
INDEX($A651:$BM651,,$BV$15)*$BW$15+
INDEX($A651:$BM651,,$BV$16)*$BW$16+
INDEX($A651:$BM651,,$BV$17)*$BW$17+
INDEX($A651:$BM651,,$BV$18)*$BW$18+
INDEX($A651:$BM651,,$BV$19)*$BW$19+
INDEX($A651:$BM651,,$BV$20)*$BW$20+
INDEX($A651:$BM651,,$BV$21)*$BW$21+
INDEX($A651:$BM651,,$BV$22)*$BW$22+
INDEX($A651:$BM651,,$BV$23)*$BW$23+
INDEX($A651:$BM651,,$BV$25)*$BW$25+
INDEX($A651:$BM651,,$BV$26)*$BW$26+
INDEX($A651:$BM651,,$BV$27)*$BW$27+
$BN651)),
$BN651-100)</f>
        <v>-100</v>
      </c>
      <c r="AX651" t="str">
        <f t="shared" si="137"/>
        <v/>
      </c>
      <c r="AY651" t="str">
        <f t="shared" si="138"/>
        <v/>
      </c>
      <c r="AZ651" s="430">
        <f>IFERROR(
IF(AX651="",-100,
IF($BV$2&gt;0, INDEX(Beersheet!$A:$U,MATCH(AX651,INDEX(Beersheet!$A:$U,0,FFARawStatProjections!$BV$2),0),$BV$3)+$BN651,
INDEX($A651:$BM651,,$BV$12)*$BW$12+
INDEX($A651:$BM651,,$BV$15)*$BW$15+
INDEX($A651:$BM651,,$BV$16)*$BW$16+
INDEX($A651:$BM651,,$BV$17)*$BW$17+
INDEX($A651:$BM651,,$BV$18)*$BW$18+
INDEX($A651:$BM651,,$BV$19)*$BW$19+
INDEX($A651:$BM651,,$BV$20)*$BW$20+
INDEX($A651:$BM651,,$BV$21)*$BW$21+
INDEX($A651:$BM651,,$BV$22)*$BW$22+
INDEX($A651:$BM651,,$BV$23)*$BW$23+
INDEX($A651:$BM651,,$BV$25)*$BW$25+
INDEX($A651:$BM651,,$BV$26)*$BW$26+
INDEX($A651:$BM651,,$BV$27)*$BW$27+
$BN651)),
$BN651-100)</f>
        <v>-100</v>
      </c>
      <c r="BB651" t="str">
        <f t="shared" si="139"/>
        <v>Foster Moreau</v>
      </c>
      <c r="BC651" t="str">
        <f t="shared" si="133"/>
        <v>NO</v>
      </c>
      <c r="BD651" s="430">
        <f>IFERROR(
IF(BB651="",-100,
IF($BV$2&gt;0, INDEX(Beersheet!$A:$U,MATCH(BB651,INDEX(Beersheet!$A:$U,0,FFARawStatProjections!$BV$2),0),$BV$3)+$BN651,
INDEX($A651:$BM651,,$BV$12)*$BW$12+
INDEX($A651:$BM651,,$BV$15)*$BW$15+
INDEX($A651:$BM651,,$BV$16)*$BW$16+
INDEX($A651:$BM651,,$BV$17)*$BW$17+
INDEX($A651:$BM651,,$BV$18)*$BW$18+
INDEX($A651:$BM651,,$BV$19)*$BW$19+
INDEX($A651:$BM651,,$BV$20)*$BW$20+
INDEX($A651:$BM651,,$BV$21)*$BW$21+
INDEX($A651:$BM651,,$BV$22)*$BW$22+
INDEX($A651:$BM651,,$BV$23)*$BW$23+
INDEX($A651:$BM651,,$BV$25)*$BW$25+
INDEX($A651:$BM651,,$BV$26)*$BW$26+
INDEX($A651:$BM651,,$BV$27)*$BW$27+
$BN651)),
$BN651-100)</f>
        <v>47.116500000000002</v>
      </c>
      <c r="BF651" t="str">
        <f t="shared" si="140"/>
        <v/>
      </c>
      <c r="BG651" t="str">
        <f t="shared" si="141"/>
        <v/>
      </c>
      <c r="BH651">
        <f t="shared" si="142"/>
        <v>0</v>
      </c>
      <c r="BJ651" t="str">
        <f t="shared" si="143"/>
        <v/>
      </c>
      <c r="BL651">
        <f t="shared" si="132"/>
        <v>0</v>
      </c>
      <c r="BN651">
        <v>6.4999999999999997E-3</v>
      </c>
      <c r="BS651" s="4" t="s">
        <v>2252</v>
      </c>
    </row>
    <row r="652" spans="1:71" ht="15.75" thickBot="1" x14ac:dyDescent="0.3">
      <c r="A652" s="569" t="s">
        <v>1816</v>
      </c>
      <c r="B652" s="569" t="s">
        <v>140</v>
      </c>
      <c r="C652" s="569" t="s">
        <v>7</v>
      </c>
      <c r="D652" s="574">
        <v>5</v>
      </c>
      <c r="E652" s="569"/>
      <c r="F652" s="569"/>
      <c r="G652" s="569"/>
      <c r="H652" s="569"/>
      <c r="I652" s="574">
        <v>0</v>
      </c>
      <c r="J652" s="574">
        <v>0</v>
      </c>
      <c r="K652" s="574">
        <v>0</v>
      </c>
      <c r="L652" s="574">
        <v>20.9</v>
      </c>
      <c r="M652" s="574">
        <v>1.2</v>
      </c>
      <c r="N652" s="574">
        <v>222</v>
      </c>
      <c r="O652" s="574">
        <v>0</v>
      </c>
      <c r="P652" s="574">
        <v>0</v>
      </c>
      <c r="Q652" s="574">
        <v>0</v>
      </c>
      <c r="R652" s="569"/>
      <c r="S652" s="569"/>
      <c r="T652" s="569"/>
      <c r="U652" s="569"/>
      <c r="V652" s="569"/>
      <c r="W652" s="569"/>
      <c r="X652" s="569"/>
      <c r="Y652" s="569"/>
      <c r="Z652" s="569"/>
      <c r="AA652" s="569"/>
      <c r="AB652" s="569"/>
      <c r="AC652" s="569"/>
      <c r="AD652" s="569"/>
      <c r="AE652" s="569"/>
      <c r="AF652" s="569"/>
      <c r="AG652" s="569"/>
      <c r="AH652" s="569"/>
      <c r="AI652" s="569"/>
      <c r="AJ652" s="569"/>
      <c r="AK652" s="569"/>
      <c r="AL652" s="569"/>
      <c r="AM652" s="569"/>
      <c r="AN652" s="574">
        <v>29.5</v>
      </c>
      <c r="AO652">
        <v>651</v>
      </c>
      <c r="AP652" t="str">
        <f t="shared" si="131"/>
        <v/>
      </c>
      <c r="AQ652" t="str">
        <f t="shared" si="134"/>
        <v/>
      </c>
      <c r="AR652" s="430">
        <f>IFERROR(
IF(AP652="",-100,
IF($BV$2&gt;0, INDEX(Beersheet!$A:$U,MATCH(AP652,INDEX(Beersheet!$A:$U,0,FFARawStatProjections!$BV$2),0),$BV$3)+$BN652,
INDEX($A652:$BM652,,$BV$12)*$BW$12+
INDEX($A652:$BM652,,$BV$15)*$BW$15+
INDEX($A652:$BM652,,$BV$16)*$BW$16+
INDEX($A652:$BM652,,$BV$17)*$BW$17+
INDEX($A652:$BM652,,$BV$18)*$BW$18+
INDEX($A652:$BM652,,$BV$19)*$BW$19+
INDEX($A652:$BM652,,$BV$20)*$BW$20+
INDEX($A652:$BM652,,$BV$21)*$BW$21+
INDEX($A652:$BM652,,$BV$22)*$BW$22+
INDEX($A652:$BM652,,$BV$23)*$BW$23+
INDEX($A652:$BM652,,$BV$25)*$BW$25+
INDEX($A652:$BM652,,$BV$26)*$BW$26+
INDEX($A652:$BM652,,$BV$27)*$BW$27+
$BN652)),
$BN652-100)</f>
        <v>-100</v>
      </c>
      <c r="AT652" t="str">
        <f t="shared" si="135"/>
        <v/>
      </c>
      <c r="AU652" t="str">
        <f t="shared" si="136"/>
        <v/>
      </c>
      <c r="AV652" s="430">
        <f>IFERROR(
IF(AT652="",-100,
IF($BV$2&gt;0, INDEX(Beersheet!$A:$U,MATCH(AT652,INDEX(Beersheet!$A:$U,0,FFARawStatProjections!$BV$2),0),$BV$3)+$BN652,
INDEX($A652:$BM652,,$BV$12)*$BW$12+
INDEX($A652:$BM652,,$BV$15)*$BW$15+
INDEX($A652:$BM652,,$BV$16)*$BW$16+
INDEX($A652:$BM652,,$BV$17)*$BW$17+
INDEX($A652:$BM652,,$BV$18)*$BW$18+
INDEX($A652:$BM652,,$BV$19)*$BW$19+
INDEX($A652:$BM652,,$BV$20)*$BW$20+
INDEX($A652:$BM652,,$BV$21)*$BW$21+
INDEX($A652:$BM652,,$BV$22)*$BW$22+
INDEX($A652:$BM652,,$BV$23)*$BW$23+
INDEX($A652:$BM652,,$BV$25)*$BW$25+
INDEX($A652:$BM652,,$BV$26)*$BW$26+
INDEX($A652:$BM652,,$BV$27)*$BW$27+
$BN652)),
$BN652-100)</f>
        <v>-100</v>
      </c>
      <c r="AX652" t="str">
        <f t="shared" si="137"/>
        <v/>
      </c>
      <c r="AY652" t="str">
        <f t="shared" si="138"/>
        <v/>
      </c>
      <c r="AZ652" s="430">
        <f>IFERROR(
IF(AX652="",-100,
IF($BV$2&gt;0, INDEX(Beersheet!$A:$U,MATCH(AX652,INDEX(Beersheet!$A:$U,0,FFARawStatProjections!$BV$2),0),$BV$3)+$BN652,
INDEX($A652:$BM652,,$BV$12)*$BW$12+
INDEX($A652:$BM652,,$BV$15)*$BW$15+
INDEX($A652:$BM652,,$BV$16)*$BW$16+
INDEX($A652:$BM652,,$BV$17)*$BW$17+
INDEX($A652:$BM652,,$BV$18)*$BW$18+
INDEX($A652:$BM652,,$BV$19)*$BW$19+
INDEX($A652:$BM652,,$BV$20)*$BW$20+
INDEX($A652:$BM652,,$BV$21)*$BW$21+
INDEX($A652:$BM652,,$BV$22)*$BW$22+
INDEX($A652:$BM652,,$BV$23)*$BW$23+
INDEX($A652:$BM652,,$BV$25)*$BW$25+
INDEX($A652:$BM652,,$BV$26)*$BW$26+
INDEX($A652:$BM652,,$BV$27)*$BW$27+
$BN652)),
$BN652-100)</f>
        <v>-100</v>
      </c>
      <c r="BB652" t="str">
        <f t="shared" si="139"/>
        <v>Will Dissly</v>
      </c>
      <c r="BC652" t="str">
        <f t="shared" si="133"/>
        <v>SEA</v>
      </c>
      <c r="BD652" s="430">
        <f>IFERROR(
IF(BB652="",-100,
IF($BV$2&gt;0, INDEX(Beersheet!$A:$U,MATCH(BB652,INDEX(Beersheet!$A:$U,0,FFARawStatProjections!$BV$2),0),$BV$3)+$BN652,
INDEX($A652:$BM652,,$BV$12)*$BW$12+
INDEX($A652:$BM652,,$BV$15)*$BW$15+
INDEX($A652:$BM652,,$BV$16)*$BW$16+
INDEX($A652:$BM652,,$BV$17)*$BW$17+
INDEX($A652:$BM652,,$BV$18)*$BW$18+
INDEX($A652:$BM652,,$BV$19)*$BW$19+
INDEX($A652:$BM652,,$BV$20)*$BW$20+
INDEX($A652:$BM652,,$BV$21)*$BW$21+
INDEX($A652:$BM652,,$BV$22)*$BW$22+
INDEX($A652:$BM652,,$BV$23)*$BW$23+
INDEX($A652:$BM652,,$BV$25)*$BW$25+
INDEX($A652:$BM652,,$BV$26)*$BW$26+
INDEX($A652:$BM652,,$BV$27)*$BW$27+
$BN652)),
$BN652-100)</f>
        <v>50.306509999999996</v>
      </c>
      <c r="BF652" t="str">
        <f t="shared" si="140"/>
        <v/>
      </c>
      <c r="BG652" t="str">
        <f t="shared" si="141"/>
        <v/>
      </c>
      <c r="BH652">
        <f t="shared" si="142"/>
        <v>0</v>
      </c>
      <c r="BJ652" t="str">
        <f t="shared" si="143"/>
        <v/>
      </c>
      <c r="BL652">
        <f t="shared" si="132"/>
        <v>0</v>
      </c>
      <c r="BN652">
        <v>6.5100000000000002E-3</v>
      </c>
      <c r="BS652" s="4" t="s">
        <v>2194</v>
      </c>
    </row>
    <row r="653" spans="1:71" ht="15.75" thickBot="1" x14ac:dyDescent="0.3">
      <c r="A653" s="569" t="s">
        <v>2359</v>
      </c>
      <c r="B653" s="569" t="s">
        <v>142</v>
      </c>
      <c r="C653" s="569" t="s">
        <v>7</v>
      </c>
      <c r="D653" s="574">
        <v>9</v>
      </c>
      <c r="E653" s="569"/>
      <c r="F653" s="569"/>
      <c r="G653" s="569"/>
      <c r="H653" s="569"/>
      <c r="I653" s="574">
        <v>0</v>
      </c>
      <c r="J653" s="574">
        <v>0</v>
      </c>
      <c r="K653" s="574">
        <v>0</v>
      </c>
      <c r="L653" s="574">
        <v>16.8</v>
      </c>
      <c r="M653" s="574">
        <v>1.9</v>
      </c>
      <c r="N653" s="574">
        <v>178</v>
      </c>
      <c r="O653" s="574">
        <v>0</v>
      </c>
      <c r="P653" s="574">
        <v>0</v>
      </c>
      <c r="Q653" s="574">
        <v>0</v>
      </c>
      <c r="R653" s="569"/>
      <c r="S653" s="569"/>
      <c r="T653" s="569"/>
      <c r="U653" s="569"/>
      <c r="V653" s="569"/>
      <c r="W653" s="569"/>
      <c r="X653" s="569"/>
      <c r="Y653" s="569"/>
      <c r="Z653" s="569"/>
      <c r="AA653" s="569"/>
      <c r="AB653" s="569"/>
      <c r="AC653" s="569"/>
      <c r="AD653" s="569"/>
      <c r="AE653" s="569"/>
      <c r="AF653" s="569"/>
      <c r="AG653" s="569"/>
      <c r="AH653" s="569"/>
      <c r="AI653" s="569"/>
      <c r="AJ653" s="569"/>
      <c r="AK653" s="569"/>
      <c r="AL653" s="569"/>
      <c r="AM653" s="569"/>
      <c r="AN653" s="574">
        <v>29.3</v>
      </c>
      <c r="AO653">
        <v>652</v>
      </c>
      <c r="AP653" t="str">
        <f t="shared" si="131"/>
        <v/>
      </c>
      <c r="AQ653" t="str">
        <f t="shared" si="134"/>
        <v/>
      </c>
      <c r="AR653" s="430">
        <f>IFERROR(
IF(AP653="",-100,
IF($BV$2&gt;0, INDEX(Beersheet!$A:$U,MATCH(AP653,INDEX(Beersheet!$A:$U,0,FFARawStatProjections!$BV$2),0),$BV$3)+$BN653,
INDEX($A653:$BM653,,$BV$12)*$BW$12+
INDEX($A653:$BM653,,$BV$15)*$BW$15+
INDEX($A653:$BM653,,$BV$16)*$BW$16+
INDEX($A653:$BM653,,$BV$17)*$BW$17+
INDEX($A653:$BM653,,$BV$18)*$BW$18+
INDEX($A653:$BM653,,$BV$19)*$BW$19+
INDEX($A653:$BM653,,$BV$20)*$BW$20+
INDEX($A653:$BM653,,$BV$21)*$BW$21+
INDEX($A653:$BM653,,$BV$22)*$BW$22+
INDEX($A653:$BM653,,$BV$23)*$BW$23+
INDEX($A653:$BM653,,$BV$25)*$BW$25+
INDEX($A653:$BM653,,$BV$26)*$BW$26+
INDEX($A653:$BM653,,$BV$27)*$BW$27+
$BN653)),
$BN653-100)</f>
        <v>-100</v>
      </c>
      <c r="AT653" t="str">
        <f t="shared" si="135"/>
        <v/>
      </c>
      <c r="AU653" t="str">
        <f t="shared" si="136"/>
        <v/>
      </c>
      <c r="AV653" s="430">
        <f>IFERROR(
IF(AT653="",-100,
IF($BV$2&gt;0, INDEX(Beersheet!$A:$U,MATCH(AT653,INDEX(Beersheet!$A:$U,0,FFARawStatProjections!$BV$2),0),$BV$3)+$BN653,
INDEX($A653:$BM653,,$BV$12)*$BW$12+
INDEX($A653:$BM653,,$BV$15)*$BW$15+
INDEX($A653:$BM653,,$BV$16)*$BW$16+
INDEX($A653:$BM653,,$BV$17)*$BW$17+
INDEX($A653:$BM653,,$BV$18)*$BW$18+
INDEX($A653:$BM653,,$BV$19)*$BW$19+
INDEX($A653:$BM653,,$BV$20)*$BW$20+
INDEX($A653:$BM653,,$BV$21)*$BW$21+
INDEX($A653:$BM653,,$BV$22)*$BW$22+
INDEX($A653:$BM653,,$BV$23)*$BW$23+
INDEX($A653:$BM653,,$BV$25)*$BW$25+
INDEX($A653:$BM653,,$BV$26)*$BW$26+
INDEX($A653:$BM653,,$BV$27)*$BW$27+
$BN653)),
$BN653-100)</f>
        <v>-100</v>
      </c>
      <c r="AX653" t="str">
        <f t="shared" si="137"/>
        <v/>
      </c>
      <c r="AY653" t="str">
        <f t="shared" si="138"/>
        <v/>
      </c>
      <c r="AZ653" s="430">
        <f>IFERROR(
IF(AX653="",-100,
IF($BV$2&gt;0, INDEX(Beersheet!$A:$U,MATCH(AX653,INDEX(Beersheet!$A:$U,0,FFARawStatProjections!$BV$2),0),$BV$3)+$BN653,
INDEX($A653:$BM653,,$BV$12)*$BW$12+
INDEX($A653:$BM653,,$BV$15)*$BW$15+
INDEX($A653:$BM653,,$BV$16)*$BW$16+
INDEX($A653:$BM653,,$BV$17)*$BW$17+
INDEX($A653:$BM653,,$BV$18)*$BW$18+
INDEX($A653:$BM653,,$BV$19)*$BW$19+
INDEX($A653:$BM653,,$BV$20)*$BW$20+
INDEX($A653:$BM653,,$BV$21)*$BW$21+
INDEX($A653:$BM653,,$BV$22)*$BW$22+
INDEX($A653:$BM653,,$BV$23)*$BW$23+
INDEX($A653:$BM653,,$BV$25)*$BW$25+
INDEX($A653:$BM653,,$BV$26)*$BW$26+
INDEX($A653:$BM653,,$BV$27)*$BW$27+
$BN653)),
$BN653-100)</f>
        <v>-100</v>
      </c>
      <c r="BB653" t="str">
        <f t="shared" si="139"/>
        <v>Brock Wright</v>
      </c>
      <c r="BC653" t="str">
        <f t="shared" si="133"/>
        <v>DET</v>
      </c>
      <c r="BD653" s="430">
        <f>IFERROR(
IF(BB653="",-100,
IF($BV$2&gt;0, INDEX(Beersheet!$A:$U,MATCH(BB653,INDEX(Beersheet!$A:$U,0,FFARawStatProjections!$BV$2),0),$BV$3)+$BN653,
INDEX($A653:$BM653,,$BV$12)*$BW$12+
INDEX($A653:$BM653,,$BV$15)*$BW$15+
INDEX($A653:$BM653,,$BV$16)*$BW$16+
INDEX($A653:$BM653,,$BV$17)*$BW$17+
INDEX($A653:$BM653,,$BV$18)*$BW$18+
INDEX($A653:$BM653,,$BV$19)*$BW$19+
INDEX($A653:$BM653,,$BV$20)*$BW$20+
INDEX($A653:$BM653,,$BV$21)*$BW$21+
INDEX($A653:$BM653,,$BV$22)*$BW$22+
INDEX($A653:$BM653,,$BV$23)*$BW$23+
INDEX($A653:$BM653,,$BV$25)*$BW$25+
INDEX($A653:$BM653,,$BV$26)*$BW$26+
INDEX($A653:$BM653,,$BV$27)*$BW$27+
$BN653)),
$BN653-100)</f>
        <v>46.006520000000002</v>
      </c>
      <c r="BF653" t="str">
        <f t="shared" si="140"/>
        <v/>
      </c>
      <c r="BG653" t="str">
        <f t="shared" si="141"/>
        <v/>
      </c>
      <c r="BH653">
        <f t="shared" si="142"/>
        <v>0</v>
      </c>
      <c r="BJ653" t="str">
        <f t="shared" si="143"/>
        <v/>
      </c>
      <c r="BL653">
        <f t="shared" si="132"/>
        <v>0</v>
      </c>
      <c r="BN653">
        <v>6.5199999999999998E-3</v>
      </c>
      <c r="BS653" s="4" t="s">
        <v>1881</v>
      </c>
    </row>
    <row r="654" spans="1:71" ht="15.75" thickBot="1" x14ac:dyDescent="0.3">
      <c r="A654" s="569" t="s">
        <v>2124</v>
      </c>
      <c r="B654" s="569" t="s">
        <v>141</v>
      </c>
      <c r="C654" s="569" t="s">
        <v>7</v>
      </c>
      <c r="D654" s="574">
        <v>13</v>
      </c>
      <c r="E654" s="569"/>
      <c r="F654" s="569"/>
      <c r="G654" s="569"/>
      <c r="H654" s="569"/>
      <c r="I654" s="574">
        <v>0</v>
      </c>
      <c r="J654" s="574">
        <v>0</v>
      </c>
      <c r="K654" s="574">
        <v>0</v>
      </c>
      <c r="L654" s="574">
        <v>18.399999999999999</v>
      </c>
      <c r="M654" s="574">
        <v>1.4</v>
      </c>
      <c r="N654" s="574">
        <v>206.3</v>
      </c>
      <c r="O654" s="574">
        <v>0</v>
      </c>
      <c r="P654" s="574">
        <v>0</v>
      </c>
      <c r="Q654" s="574">
        <v>0</v>
      </c>
      <c r="R654" s="569"/>
      <c r="S654" s="569"/>
      <c r="T654" s="569"/>
      <c r="U654" s="569"/>
      <c r="V654" s="569"/>
      <c r="W654" s="569"/>
      <c r="X654" s="569"/>
      <c r="Y654" s="569"/>
      <c r="Z654" s="569"/>
      <c r="AA654" s="569"/>
      <c r="AB654" s="569"/>
      <c r="AC654" s="569"/>
      <c r="AD654" s="569"/>
      <c r="AE654" s="569"/>
      <c r="AF654" s="569"/>
      <c r="AG654" s="569"/>
      <c r="AH654" s="569"/>
      <c r="AI654" s="569"/>
      <c r="AJ654" s="569"/>
      <c r="AK654" s="569"/>
      <c r="AL654" s="569"/>
      <c r="AM654" s="569"/>
      <c r="AN654" s="574">
        <v>29.2</v>
      </c>
      <c r="AO654">
        <v>653</v>
      </c>
      <c r="AP654" t="str">
        <f t="shared" si="131"/>
        <v/>
      </c>
      <c r="AQ654" t="str">
        <f t="shared" si="134"/>
        <v/>
      </c>
      <c r="AR654" s="430">
        <f>IFERROR(
IF(AP654="",-100,
IF($BV$2&gt;0, INDEX(Beersheet!$A:$U,MATCH(AP654,INDEX(Beersheet!$A:$U,0,FFARawStatProjections!$BV$2),0),$BV$3)+$BN654,
INDEX($A654:$BM654,,$BV$12)*$BW$12+
INDEX($A654:$BM654,,$BV$15)*$BW$15+
INDEX($A654:$BM654,,$BV$16)*$BW$16+
INDEX($A654:$BM654,,$BV$17)*$BW$17+
INDEX($A654:$BM654,,$BV$18)*$BW$18+
INDEX($A654:$BM654,,$BV$19)*$BW$19+
INDEX($A654:$BM654,,$BV$20)*$BW$20+
INDEX($A654:$BM654,,$BV$21)*$BW$21+
INDEX($A654:$BM654,,$BV$22)*$BW$22+
INDEX($A654:$BM654,,$BV$23)*$BW$23+
INDEX($A654:$BM654,,$BV$25)*$BW$25+
INDEX($A654:$BM654,,$BV$26)*$BW$26+
INDEX($A654:$BM654,,$BV$27)*$BW$27+
$BN654)),
$BN654-100)</f>
        <v>-100</v>
      </c>
      <c r="AT654" t="str">
        <f t="shared" si="135"/>
        <v/>
      </c>
      <c r="AU654" t="str">
        <f t="shared" si="136"/>
        <v/>
      </c>
      <c r="AV654" s="430">
        <f>IFERROR(
IF(AT654="",-100,
IF($BV$2&gt;0, INDEX(Beersheet!$A:$U,MATCH(AT654,INDEX(Beersheet!$A:$U,0,FFARawStatProjections!$BV$2),0),$BV$3)+$BN654,
INDEX($A654:$BM654,,$BV$12)*$BW$12+
INDEX($A654:$BM654,,$BV$15)*$BW$15+
INDEX($A654:$BM654,,$BV$16)*$BW$16+
INDEX($A654:$BM654,,$BV$17)*$BW$17+
INDEX($A654:$BM654,,$BV$18)*$BW$18+
INDEX($A654:$BM654,,$BV$19)*$BW$19+
INDEX($A654:$BM654,,$BV$20)*$BW$20+
INDEX($A654:$BM654,,$BV$21)*$BW$21+
INDEX($A654:$BM654,,$BV$22)*$BW$22+
INDEX($A654:$BM654,,$BV$23)*$BW$23+
INDEX($A654:$BM654,,$BV$25)*$BW$25+
INDEX($A654:$BM654,,$BV$26)*$BW$26+
INDEX($A654:$BM654,,$BV$27)*$BW$27+
$BN654)),
$BN654-100)</f>
        <v>-100</v>
      </c>
      <c r="AX654" t="str">
        <f t="shared" si="137"/>
        <v/>
      </c>
      <c r="AY654" t="str">
        <f t="shared" si="138"/>
        <v/>
      </c>
      <c r="AZ654" s="430">
        <f>IFERROR(
IF(AX654="",-100,
IF($BV$2&gt;0, INDEX(Beersheet!$A:$U,MATCH(AX654,INDEX(Beersheet!$A:$U,0,FFARawStatProjections!$BV$2),0),$BV$3)+$BN654,
INDEX($A654:$BM654,,$BV$12)*$BW$12+
INDEX($A654:$BM654,,$BV$15)*$BW$15+
INDEX($A654:$BM654,,$BV$16)*$BW$16+
INDEX($A654:$BM654,,$BV$17)*$BW$17+
INDEX($A654:$BM654,,$BV$18)*$BW$18+
INDEX($A654:$BM654,,$BV$19)*$BW$19+
INDEX($A654:$BM654,,$BV$20)*$BW$20+
INDEX($A654:$BM654,,$BV$21)*$BW$21+
INDEX($A654:$BM654,,$BV$22)*$BW$22+
INDEX($A654:$BM654,,$BV$23)*$BW$23+
INDEX($A654:$BM654,,$BV$25)*$BW$25+
INDEX($A654:$BM654,,$BV$26)*$BW$26+
INDEX($A654:$BM654,,$BV$27)*$BW$27+
$BN654)),
$BN654-100)</f>
        <v>-100</v>
      </c>
      <c r="BB654" t="str">
        <f t="shared" si="139"/>
        <v>Robert Tonyan</v>
      </c>
      <c r="BC654" t="str">
        <f t="shared" si="133"/>
        <v>CHI</v>
      </c>
      <c r="BD654" s="430">
        <f>IFERROR(
IF(BB654="",-100,
IF($BV$2&gt;0, INDEX(Beersheet!$A:$U,MATCH(BB654,INDEX(Beersheet!$A:$U,0,FFARawStatProjections!$BV$2),0),$BV$3)+$BN654,
INDEX($A654:$BM654,,$BV$12)*$BW$12+
INDEX($A654:$BM654,,$BV$15)*$BW$15+
INDEX($A654:$BM654,,$BV$16)*$BW$16+
INDEX($A654:$BM654,,$BV$17)*$BW$17+
INDEX($A654:$BM654,,$BV$18)*$BW$18+
INDEX($A654:$BM654,,$BV$19)*$BW$19+
INDEX($A654:$BM654,,$BV$20)*$BW$20+
INDEX($A654:$BM654,,$BV$21)*$BW$21+
INDEX($A654:$BM654,,$BV$22)*$BW$22+
INDEX($A654:$BM654,,$BV$23)*$BW$23+
INDEX($A654:$BM654,,$BV$25)*$BW$25+
INDEX($A654:$BM654,,$BV$26)*$BW$26+
INDEX($A654:$BM654,,$BV$27)*$BW$27+
$BN654)),
$BN654-100)</f>
        <v>47.436529999999998</v>
      </c>
      <c r="BF654" t="str">
        <f t="shared" si="140"/>
        <v/>
      </c>
      <c r="BG654" t="str">
        <f t="shared" si="141"/>
        <v/>
      </c>
      <c r="BH654">
        <f t="shared" si="142"/>
        <v>0</v>
      </c>
      <c r="BJ654" t="str">
        <f t="shared" si="143"/>
        <v/>
      </c>
      <c r="BL654">
        <f t="shared" si="132"/>
        <v>0</v>
      </c>
      <c r="BN654">
        <v>6.5300000000000002E-3</v>
      </c>
      <c r="BS654" s="4" t="s">
        <v>2173</v>
      </c>
    </row>
    <row r="655" spans="1:71" ht="15.75" thickBot="1" x14ac:dyDescent="0.3">
      <c r="A655" s="569" t="s">
        <v>1880</v>
      </c>
      <c r="B655" s="569" t="s">
        <v>164</v>
      </c>
      <c r="C655" s="569" t="s">
        <v>7</v>
      </c>
      <c r="D655" s="574">
        <v>7</v>
      </c>
      <c r="E655" s="569"/>
      <c r="F655" s="569"/>
      <c r="G655" s="569"/>
      <c r="H655" s="569"/>
      <c r="I655" s="574">
        <v>0</v>
      </c>
      <c r="J655" s="574">
        <v>0</v>
      </c>
      <c r="K655" s="574">
        <v>0</v>
      </c>
      <c r="L655" s="574">
        <v>18</v>
      </c>
      <c r="M655" s="574">
        <v>1.4</v>
      </c>
      <c r="N655" s="574">
        <v>190.1</v>
      </c>
      <c r="O655" s="574">
        <v>0</v>
      </c>
      <c r="P655" s="574">
        <v>0</v>
      </c>
      <c r="Q655" s="574">
        <v>0</v>
      </c>
      <c r="R655" s="569"/>
      <c r="S655" s="569"/>
      <c r="T655" s="569"/>
      <c r="U655" s="569"/>
      <c r="V655" s="569"/>
      <c r="W655" s="569"/>
      <c r="X655" s="569"/>
      <c r="Y655" s="569"/>
      <c r="Z655" s="569"/>
      <c r="AA655" s="569"/>
      <c r="AB655" s="569"/>
      <c r="AC655" s="569"/>
      <c r="AD655" s="569"/>
      <c r="AE655" s="569"/>
      <c r="AF655" s="569"/>
      <c r="AG655" s="569"/>
      <c r="AH655" s="569"/>
      <c r="AI655" s="569"/>
      <c r="AJ655" s="569"/>
      <c r="AK655" s="569"/>
      <c r="AL655" s="569"/>
      <c r="AM655" s="569"/>
      <c r="AN655" s="574">
        <v>27.3</v>
      </c>
      <c r="AO655">
        <v>654</v>
      </c>
      <c r="AP655" t="str">
        <f t="shared" si="131"/>
        <v/>
      </c>
      <c r="AQ655" t="str">
        <f t="shared" si="134"/>
        <v/>
      </c>
      <c r="AR655" s="430">
        <f>IFERROR(
IF(AP655="",-100,
IF($BV$2&gt;0, INDEX(Beersheet!$A:$U,MATCH(AP655,INDEX(Beersheet!$A:$U,0,FFARawStatProjections!$BV$2),0),$BV$3)+$BN655,
INDEX($A655:$BM655,,$BV$12)*$BW$12+
INDEX($A655:$BM655,,$BV$15)*$BW$15+
INDEX($A655:$BM655,,$BV$16)*$BW$16+
INDEX($A655:$BM655,,$BV$17)*$BW$17+
INDEX($A655:$BM655,,$BV$18)*$BW$18+
INDEX($A655:$BM655,,$BV$19)*$BW$19+
INDEX($A655:$BM655,,$BV$20)*$BW$20+
INDEX($A655:$BM655,,$BV$21)*$BW$21+
INDEX($A655:$BM655,,$BV$22)*$BW$22+
INDEX($A655:$BM655,,$BV$23)*$BW$23+
INDEX($A655:$BM655,,$BV$25)*$BW$25+
INDEX($A655:$BM655,,$BV$26)*$BW$26+
INDEX($A655:$BM655,,$BV$27)*$BW$27+
$BN655)),
$BN655-100)</f>
        <v>-100</v>
      </c>
      <c r="AT655" t="str">
        <f t="shared" si="135"/>
        <v/>
      </c>
      <c r="AU655" t="str">
        <f t="shared" si="136"/>
        <v/>
      </c>
      <c r="AV655" s="430">
        <f>IFERROR(
IF(AT655="",-100,
IF($BV$2&gt;0, INDEX(Beersheet!$A:$U,MATCH(AT655,INDEX(Beersheet!$A:$U,0,FFARawStatProjections!$BV$2),0),$BV$3)+$BN655,
INDEX($A655:$BM655,,$BV$12)*$BW$12+
INDEX($A655:$BM655,,$BV$15)*$BW$15+
INDEX($A655:$BM655,,$BV$16)*$BW$16+
INDEX($A655:$BM655,,$BV$17)*$BW$17+
INDEX($A655:$BM655,,$BV$18)*$BW$18+
INDEX($A655:$BM655,,$BV$19)*$BW$19+
INDEX($A655:$BM655,,$BV$20)*$BW$20+
INDEX($A655:$BM655,,$BV$21)*$BW$21+
INDEX($A655:$BM655,,$BV$22)*$BW$22+
INDEX($A655:$BM655,,$BV$23)*$BW$23+
INDEX($A655:$BM655,,$BV$25)*$BW$25+
INDEX($A655:$BM655,,$BV$26)*$BW$26+
INDEX($A655:$BM655,,$BV$27)*$BW$27+
$BN655)),
$BN655-100)</f>
        <v>-100</v>
      </c>
      <c r="AX655" t="str">
        <f t="shared" si="137"/>
        <v/>
      </c>
      <c r="AY655" t="str">
        <f t="shared" si="138"/>
        <v/>
      </c>
      <c r="AZ655" s="430">
        <f>IFERROR(
IF(AX655="",-100,
IF($BV$2&gt;0, INDEX(Beersheet!$A:$U,MATCH(AX655,INDEX(Beersheet!$A:$U,0,FFARawStatProjections!$BV$2),0),$BV$3)+$BN655,
INDEX($A655:$BM655,,$BV$12)*$BW$12+
INDEX($A655:$BM655,,$BV$15)*$BW$15+
INDEX($A655:$BM655,,$BV$16)*$BW$16+
INDEX($A655:$BM655,,$BV$17)*$BW$17+
INDEX($A655:$BM655,,$BV$18)*$BW$18+
INDEX($A655:$BM655,,$BV$19)*$BW$19+
INDEX($A655:$BM655,,$BV$20)*$BW$20+
INDEX($A655:$BM655,,$BV$21)*$BW$21+
INDEX($A655:$BM655,,$BV$22)*$BW$22+
INDEX($A655:$BM655,,$BV$23)*$BW$23+
INDEX($A655:$BM655,,$BV$25)*$BW$25+
INDEX($A655:$BM655,,$BV$26)*$BW$26+
INDEX($A655:$BM655,,$BV$27)*$BW$27+
$BN655)),
$BN655-100)</f>
        <v>-100</v>
      </c>
      <c r="BB655" t="str">
        <f t="shared" si="139"/>
        <v>CJ Uzomah</v>
      </c>
      <c r="BC655" t="str">
        <f t="shared" si="133"/>
        <v>NYJ</v>
      </c>
      <c r="BD655" s="430">
        <f>IFERROR(
IF(BB655="",-100,
IF($BV$2&gt;0, INDEX(Beersheet!$A:$U,MATCH(BB655,INDEX(Beersheet!$A:$U,0,FFARawStatProjections!$BV$2),0),$BV$3)+$BN655,
INDEX($A655:$BM655,,$BV$12)*$BW$12+
INDEX($A655:$BM655,,$BV$15)*$BW$15+
INDEX($A655:$BM655,,$BV$16)*$BW$16+
INDEX($A655:$BM655,,$BV$17)*$BW$17+
INDEX($A655:$BM655,,$BV$18)*$BW$18+
INDEX($A655:$BM655,,$BV$19)*$BW$19+
INDEX($A655:$BM655,,$BV$20)*$BW$20+
INDEX($A655:$BM655,,$BV$21)*$BW$21+
INDEX($A655:$BM655,,$BV$22)*$BW$22+
INDEX($A655:$BM655,,$BV$23)*$BW$23+
INDEX($A655:$BM655,,$BV$25)*$BW$25+
INDEX($A655:$BM655,,$BV$26)*$BW$26+
INDEX($A655:$BM655,,$BV$27)*$BW$27+
$BN655)),
$BN655-100)</f>
        <v>45.416539999999998</v>
      </c>
      <c r="BF655" t="str">
        <f t="shared" si="140"/>
        <v/>
      </c>
      <c r="BG655" t="str">
        <f t="shared" si="141"/>
        <v/>
      </c>
      <c r="BH655">
        <f t="shared" si="142"/>
        <v>0</v>
      </c>
      <c r="BJ655" t="str">
        <f t="shared" si="143"/>
        <v/>
      </c>
      <c r="BL655">
        <f t="shared" si="132"/>
        <v>0</v>
      </c>
      <c r="BN655">
        <v>6.5399999999999998E-3</v>
      </c>
      <c r="BS655" s="4" t="s">
        <v>1890</v>
      </c>
    </row>
    <row r="656" spans="1:71" ht="15.75" thickBot="1" x14ac:dyDescent="0.3">
      <c r="A656" s="569" t="s">
        <v>2107</v>
      </c>
      <c r="B656" s="569" t="s">
        <v>144</v>
      </c>
      <c r="C656" s="569" t="s">
        <v>7</v>
      </c>
      <c r="D656" s="574">
        <v>9</v>
      </c>
      <c r="E656" s="569"/>
      <c r="F656" s="569"/>
      <c r="G656" s="569"/>
      <c r="H656" s="569"/>
      <c r="I656" s="574">
        <v>0</v>
      </c>
      <c r="J656" s="574">
        <v>0</v>
      </c>
      <c r="K656" s="574">
        <v>0</v>
      </c>
      <c r="L656" s="574">
        <v>18.399999999999999</v>
      </c>
      <c r="M656" s="574">
        <v>1.1000000000000001</v>
      </c>
      <c r="N656" s="574">
        <v>209.8</v>
      </c>
      <c r="O656" s="574">
        <v>0</v>
      </c>
      <c r="P656" s="574">
        <v>0</v>
      </c>
      <c r="Q656" s="574">
        <v>0</v>
      </c>
      <c r="R656" s="569"/>
      <c r="S656" s="569"/>
      <c r="T656" s="569"/>
      <c r="U656" s="569"/>
      <c r="V656" s="569"/>
      <c r="W656" s="569"/>
      <c r="X656" s="569"/>
      <c r="Y656" s="569"/>
      <c r="Z656" s="569"/>
      <c r="AA656" s="569"/>
      <c r="AB656" s="569"/>
      <c r="AC656" s="569"/>
      <c r="AD656" s="569"/>
      <c r="AE656" s="569"/>
      <c r="AF656" s="569"/>
      <c r="AG656" s="569"/>
      <c r="AH656" s="569"/>
      <c r="AI656" s="569"/>
      <c r="AJ656" s="569"/>
      <c r="AK656" s="569"/>
      <c r="AL656" s="569"/>
      <c r="AM656" s="569"/>
      <c r="AN656" s="574">
        <v>27.1</v>
      </c>
      <c r="AO656">
        <v>655</v>
      </c>
      <c r="AP656" t="str">
        <f t="shared" si="131"/>
        <v/>
      </c>
      <c r="AQ656" t="str">
        <f t="shared" si="134"/>
        <v/>
      </c>
      <c r="AR656" s="430">
        <f>IFERROR(
IF(AP656="",-100,
IF($BV$2&gt;0, INDEX(Beersheet!$A:$U,MATCH(AP656,INDEX(Beersheet!$A:$U,0,FFARawStatProjections!$BV$2),0),$BV$3)+$BN656,
INDEX($A656:$BM656,,$BV$12)*$BW$12+
INDEX($A656:$BM656,,$BV$15)*$BW$15+
INDEX($A656:$BM656,,$BV$16)*$BW$16+
INDEX($A656:$BM656,,$BV$17)*$BW$17+
INDEX($A656:$BM656,,$BV$18)*$BW$18+
INDEX($A656:$BM656,,$BV$19)*$BW$19+
INDEX($A656:$BM656,,$BV$20)*$BW$20+
INDEX($A656:$BM656,,$BV$21)*$BW$21+
INDEX($A656:$BM656,,$BV$22)*$BW$22+
INDEX($A656:$BM656,,$BV$23)*$BW$23+
INDEX($A656:$BM656,,$BV$25)*$BW$25+
INDEX($A656:$BM656,,$BV$26)*$BW$26+
INDEX($A656:$BM656,,$BV$27)*$BW$27+
$BN656)),
$BN656-100)</f>
        <v>-100</v>
      </c>
      <c r="AT656" t="str">
        <f t="shared" si="135"/>
        <v/>
      </c>
      <c r="AU656" t="str">
        <f t="shared" si="136"/>
        <v/>
      </c>
      <c r="AV656" s="430">
        <f>IFERROR(
IF(AT656="",-100,
IF($BV$2&gt;0, INDEX(Beersheet!$A:$U,MATCH(AT656,INDEX(Beersheet!$A:$U,0,FFARawStatProjections!$BV$2),0),$BV$3)+$BN656,
INDEX($A656:$BM656,,$BV$12)*$BW$12+
INDEX($A656:$BM656,,$BV$15)*$BW$15+
INDEX($A656:$BM656,,$BV$16)*$BW$16+
INDEX($A656:$BM656,,$BV$17)*$BW$17+
INDEX($A656:$BM656,,$BV$18)*$BW$18+
INDEX($A656:$BM656,,$BV$19)*$BW$19+
INDEX($A656:$BM656,,$BV$20)*$BW$20+
INDEX($A656:$BM656,,$BV$21)*$BW$21+
INDEX($A656:$BM656,,$BV$22)*$BW$22+
INDEX($A656:$BM656,,$BV$23)*$BW$23+
INDEX($A656:$BM656,,$BV$25)*$BW$25+
INDEX($A656:$BM656,,$BV$26)*$BW$26+
INDEX($A656:$BM656,,$BV$27)*$BW$27+
$BN656)),
$BN656-100)</f>
        <v>-100</v>
      </c>
      <c r="AX656" t="str">
        <f t="shared" si="137"/>
        <v/>
      </c>
      <c r="AY656" t="str">
        <f t="shared" si="138"/>
        <v/>
      </c>
      <c r="AZ656" s="430">
        <f>IFERROR(
IF(AX656="",-100,
IF($BV$2&gt;0, INDEX(Beersheet!$A:$U,MATCH(AX656,INDEX(Beersheet!$A:$U,0,FFARawStatProjections!$BV$2),0),$BV$3)+$BN656,
INDEX($A656:$BM656,,$BV$12)*$BW$12+
INDEX($A656:$BM656,,$BV$15)*$BW$15+
INDEX($A656:$BM656,,$BV$16)*$BW$16+
INDEX($A656:$BM656,,$BV$17)*$BW$17+
INDEX($A656:$BM656,,$BV$18)*$BW$18+
INDEX($A656:$BM656,,$BV$19)*$BW$19+
INDEX($A656:$BM656,,$BV$20)*$BW$20+
INDEX($A656:$BM656,,$BV$21)*$BW$21+
INDEX($A656:$BM656,,$BV$22)*$BW$22+
INDEX($A656:$BM656,,$BV$23)*$BW$23+
INDEX($A656:$BM656,,$BV$25)*$BW$25+
INDEX($A656:$BM656,,$BV$26)*$BW$26+
INDEX($A656:$BM656,,$BV$27)*$BW$27+
$BN656)),
$BN656-100)</f>
        <v>-100</v>
      </c>
      <c r="BB656" t="str">
        <f t="shared" si="139"/>
        <v>Adam Trautman</v>
      </c>
      <c r="BC656" t="str">
        <f t="shared" si="133"/>
        <v>DEN</v>
      </c>
      <c r="BD656" s="430">
        <f>IFERROR(
IF(BB656="",-100,
IF($BV$2&gt;0, INDEX(Beersheet!$A:$U,MATCH(BB656,INDEX(Beersheet!$A:$U,0,FFARawStatProjections!$BV$2),0),$BV$3)+$BN656,
INDEX($A656:$BM656,,$BV$12)*$BW$12+
INDEX($A656:$BM656,,$BV$15)*$BW$15+
INDEX($A656:$BM656,,$BV$16)*$BW$16+
INDEX($A656:$BM656,,$BV$17)*$BW$17+
INDEX($A656:$BM656,,$BV$18)*$BW$18+
INDEX($A656:$BM656,,$BV$19)*$BW$19+
INDEX($A656:$BM656,,$BV$20)*$BW$20+
INDEX($A656:$BM656,,$BV$21)*$BW$21+
INDEX($A656:$BM656,,$BV$22)*$BW$22+
INDEX($A656:$BM656,,$BV$23)*$BW$23+
INDEX($A656:$BM656,,$BV$25)*$BW$25+
INDEX($A656:$BM656,,$BV$26)*$BW$26+
INDEX($A656:$BM656,,$BV$27)*$BW$27+
$BN656)),
$BN656-100)</f>
        <v>45.986550000000001</v>
      </c>
      <c r="BF656" t="str">
        <f t="shared" si="140"/>
        <v/>
      </c>
      <c r="BG656" t="str">
        <f t="shared" si="141"/>
        <v/>
      </c>
      <c r="BH656">
        <f t="shared" si="142"/>
        <v>0</v>
      </c>
      <c r="BJ656" t="str">
        <f t="shared" si="143"/>
        <v/>
      </c>
      <c r="BL656">
        <f t="shared" si="132"/>
        <v>0</v>
      </c>
      <c r="BN656">
        <v>6.5500000000000003E-3</v>
      </c>
      <c r="BS656" s="4" t="s">
        <v>228</v>
      </c>
    </row>
    <row r="657" spans="1:71" ht="15.75" thickBot="1" x14ac:dyDescent="0.3">
      <c r="A657" s="569" t="s">
        <v>2257</v>
      </c>
      <c r="B657" s="569" t="s">
        <v>158</v>
      </c>
      <c r="C657" s="569" t="s">
        <v>7</v>
      </c>
      <c r="D657" s="574">
        <v>11</v>
      </c>
      <c r="E657" s="569"/>
      <c r="F657" s="569"/>
      <c r="G657" s="569"/>
      <c r="H657" s="569"/>
      <c r="I657" s="574">
        <v>0</v>
      </c>
      <c r="J657" s="574">
        <v>0</v>
      </c>
      <c r="K657" s="574">
        <v>0</v>
      </c>
      <c r="L657" s="574">
        <v>18.899999999999999</v>
      </c>
      <c r="M657" s="574">
        <v>0.8</v>
      </c>
      <c r="N657" s="574">
        <v>213.1</v>
      </c>
      <c r="O657" s="574">
        <v>0</v>
      </c>
      <c r="P657" s="574">
        <v>0</v>
      </c>
      <c r="Q657" s="574">
        <v>0</v>
      </c>
      <c r="R657" s="569"/>
      <c r="S657" s="569"/>
      <c r="T657" s="569"/>
      <c r="U657" s="569"/>
      <c r="V657" s="569"/>
      <c r="W657" s="569"/>
      <c r="X657" s="569"/>
      <c r="Y657" s="569"/>
      <c r="Z657" s="569"/>
      <c r="AA657" s="569"/>
      <c r="AB657" s="569"/>
      <c r="AC657" s="569"/>
      <c r="AD657" s="569"/>
      <c r="AE657" s="569"/>
      <c r="AF657" s="569"/>
      <c r="AG657" s="569"/>
      <c r="AH657" s="569"/>
      <c r="AI657" s="569"/>
      <c r="AJ657" s="569"/>
      <c r="AK657" s="569"/>
      <c r="AL657" s="569"/>
      <c r="AM657" s="569"/>
      <c r="AN657" s="574">
        <v>26.7</v>
      </c>
      <c r="AO657">
        <v>656</v>
      </c>
      <c r="AP657" t="str">
        <f t="shared" si="131"/>
        <v/>
      </c>
      <c r="AQ657" t="str">
        <f t="shared" si="134"/>
        <v/>
      </c>
      <c r="AR657" s="430">
        <f>IFERROR(
IF(AP657="",-100,
IF($BV$2&gt;0, INDEX(Beersheet!$A:$U,MATCH(AP657,INDEX(Beersheet!$A:$U,0,FFARawStatProjections!$BV$2),0),$BV$3)+$BN657,
INDEX($A657:$BM657,,$BV$12)*$BW$12+
INDEX($A657:$BM657,,$BV$15)*$BW$15+
INDEX($A657:$BM657,,$BV$16)*$BW$16+
INDEX($A657:$BM657,,$BV$17)*$BW$17+
INDEX($A657:$BM657,,$BV$18)*$BW$18+
INDEX($A657:$BM657,,$BV$19)*$BW$19+
INDEX($A657:$BM657,,$BV$20)*$BW$20+
INDEX($A657:$BM657,,$BV$21)*$BW$21+
INDEX($A657:$BM657,,$BV$22)*$BW$22+
INDEX($A657:$BM657,,$BV$23)*$BW$23+
INDEX($A657:$BM657,,$BV$25)*$BW$25+
INDEX($A657:$BM657,,$BV$26)*$BW$26+
INDEX($A657:$BM657,,$BV$27)*$BW$27+
$BN657)),
$BN657-100)</f>
        <v>-100</v>
      </c>
      <c r="AT657" t="str">
        <f t="shared" si="135"/>
        <v/>
      </c>
      <c r="AU657" t="str">
        <f t="shared" si="136"/>
        <v/>
      </c>
      <c r="AV657" s="430">
        <f>IFERROR(
IF(AT657="",-100,
IF($BV$2&gt;0, INDEX(Beersheet!$A:$U,MATCH(AT657,INDEX(Beersheet!$A:$U,0,FFARawStatProjections!$BV$2),0),$BV$3)+$BN657,
INDEX($A657:$BM657,,$BV$12)*$BW$12+
INDEX($A657:$BM657,,$BV$15)*$BW$15+
INDEX($A657:$BM657,,$BV$16)*$BW$16+
INDEX($A657:$BM657,,$BV$17)*$BW$17+
INDEX($A657:$BM657,,$BV$18)*$BW$18+
INDEX($A657:$BM657,,$BV$19)*$BW$19+
INDEX($A657:$BM657,,$BV$20)*$BW$20+
INDEX($A657:$BM657,,$BV$21)*$BW$21+
INDEX($A657:$BM657,,$BV$22)*$BW$22+
INDEX($A657:$BM657,,$BV$23)*$BW$23+
INDEX($A657:$BM657,,$BV$25)*$BW$25+
INDEX($A657:$BM657,,$BV$26)*$BW$26+
INDEX($A657:$BM657,,$BV$27)*$BW$27+
$BN657)),
$BN657-100)</f>
        <v>-100</v>
      </c>
      <c r="AX657" t="str">
        <f t="shared" si="137"/>
        <v/>
      </c>
      <c r="AY657" t="str">
        <f t="shared" si="138"/>
        <v/>
      </c>
      <c r="AZ657" s="430">
        <f>IFERROR(
IF(AX657="",-100,
IF($BV$2&gt;0, INDEX(Beersheet!$A:$U,MATCH(AX657,INDEX(Beersheet!$A:$U,0,FFARawStatProjections!$BV$2),0),$BV$3)+$BN657,
INDEX($A657:$BM657,,$BV$12)*$BW$12+
INDEX($A657:$BM657,,$BV$15)*$BW$15+
INDEX($A657:$BM657,,$BV$16)*$BW$16+
INDEX($A657:$BM657,,$BV$17)*$BW$17+
INDEX($A657:$BM657,,$BV$18)*$BW$18+
INDEX($A657:$BM657,,$BV$19)*$BW$19+
INDEX($A657:$BM657,,$BV$20)*$BW$20+
INDEX($A657:$BM657,,$BV$21)*$BW$21+
INDEX($A657:$BM657,,$BV$22)*$BW$22+
INDEX($A657:$BM657,,$BV$23)*$BW$23+
INDEX($A657:$BM657,,$BV$25)*$BW$25+
INDEX($A657:$BM657,,$BV$26)*$BW$26+
INDEX($A657:$BM657,,$BV$27)*$BW$27+
$BN657)),
$BN657-100)</f>
        <v>-100</v>
      </c>
      <c r="BB657" t="str">
        <f t="shared" si="139"/>
        <v>Kylen Granson</v>
      </c>
      <c r="BC657" t="str">
        <f t="shared" si="133"/>
        <v>IND</v>
      </c>
      <c r="BD657" s="430">
        <f>IFERROR(
IF(BB657="",-100,
IF($BV$2&gt;0, INDEX(Beersheet!$A:$U,MATCH(BB657,INDEX(Beersheet!$A:$U,0,FFARawStatProjections!$BV$2),0),$BV$3)+$BN657,
INDEX($A657:$BM657,,$BV$12)*$BW$12+
INDEX($A657:$BM657,,$BV$15)*$BW$15+
INDEX($A657:$BM657,,$BV$16)*$BW$16+
INDEX($A657:$BM657,,$BV$17)*$BW$17+
INDEX($A657:$BM657,,$BV$18)*$BW$18+
INDEX($A657:$BM657,,$BV$19)*$BW$19+
INDEX($A657:$BM657,,$BV$20)*$BW$20+
INDEX($A657:$BM657,,$BV$21)*$BW$21+
INDEX($A657:$BM657,,$BV$22)*$BW$22+
INDEX($A657:$BM657,,$BV$23)*$BW$23+
INDEX($A657:$BM657,,$BV$25)*$BW$25+
INDEX($A657:$BM657,,$BV$26)*$BW$26+
INDEX($A657:$BM657,,$BV$27)*$BW$27+
$BN657)),
$BN657-100)</f>
        <v>45.016560000000005</v>
      </c>
      <c r="BF657" t="str">
        <f t="shared" si="140"/>
        <v/>
      </c>
      <c r="BG657" t="str">
        <f t="shared" si="141"/>
        <v/>
      </c>
      <c r="BH657">
        <f t="shared" si="142"/>
        <v>0</v>
      </c>
      <c r="BJ657" t="str">
        <f t="shared" si="143"/>
        <v/>
      </c>
      <c r="BL657">
        <f t="shared" si="132"/>
        <v>0</v>
      </c>
      <c r="BN657">
        <v>6.5599999999999999E-3</v>
      </c>
      <c r="BS657" s="4" t="s">
        <v>1883</v>
      </c>
    </row>
    <row r="658" spans="1:71" ht="15.75" thickBot="1" x14ac:dyDescent="0.3">
      <c r="A658" s="569" t="s">
        <v>2243</v>
      </c>
      <c r="B658" s="569" t="s">
        <v>166</v>
      </c>
      <c r="C658" s="569" t="s">
        <v>7</v>
      </c>
      <c r="D658" s="574">
        <v>10</v>
      </c>
      <c r="E658" s="569"/>
      <c r="F658" s="569"/>
      <c r="G658" s="569"/>
      <c r="H658" s="569"/>
      <c r="I658" s="574">
        <v>0</v>
      </c>
      <c r="J658" s="574">
        <v>0</v>
      </c>
      <c r="K658" s="574">
        <v>0</v>
      </c>
      <c r="L658" s="574">
        <v>20.3</v>
      </c>
      <c r="M658" s="574">
        <v>1.1000000000000001</v>
      </c>
      <c r="N658" s="574">
        <v>197.7</v>
      </c>
      <c r="O658" s="574">
        <v>0</v>
      </c>
      <c r="P658" s="574">
        <v>0</v>
      </c>
      <c r="Q658" s="574">
        <v>0</v>
      </c>
      <c r="R658" s="569"/>
      <c r="S658" s="569"/>
      <c r="T658" s="569"/>
      <c r="U658" s="569"/>
      <c r="V658" s="569"/>
      <c r="W658" s="569"/>
      <c r="X658" s="569"/>
      <c r="Y658" s="569"/>
      <c r="Z658" s="569"/>
      <c r="AA658" s="569"/>
      <c r="AB658" s="569"/>
      <c r="AC658" s="569"/>
      <c r="AD658" s="569"/>
      <c r="AE658" s="569"/>
      <c r="AF658" s="569"/>
      <c r="AG658" s="569"/>
      <c r="AH658" s="569"/>
      <c r="AI658" s="569"/>
      <c r="AJ658" s="569"/>
      <c r="AK658" s="569"/>
      <c r="AL658" s="569"/>
      <c r="AM658" s="569"/>
      <c r="AN658" s="574">
        <v>26.7</v>
      </c>
      <c r="AO658">
        <v>657</v>
      </c>
      <c r="AP658" t="str">
        <f t="shared" si="131"/>
        <v/>
      </c>
      <c r="AQ658" t="str">
        <f t="shared" si="134"/>
        <v/>
      </c>
      <c r="AR658" s="430">
        <f>IFERROR(
IF(AP658="",-100,
IF($BV$2&gt;0, INDEX(Beersheet!$A:$U,MATCH(AP658,INDEX(Beersheet!$A:$U,0,FFARawStatProjections!$BV$2),0),$BV$3)+$BN658,
INDEX($A658:$BM658,,$BV$12)*$BW$12+
INDEX($A658:$BM658,,$BV$15)*$BW$15+
INDEX($A658:$BM658,,$BV$16)*$BW$16+
INDEX($A658:$BM658,,$BV$17)*$BW$17+
INDEX($A658:$BM658,,$BV$18)*$BW$18+
INDEX($A658:$BM658,,$BV$19)*$BW$19+
INDEX($A658:$BM658,,$BV$20)*$BW$20+
INDEX($A658:$BM658,,$BV$21)*$BW$21+
INDEX($A658:$BM658,,$BV$22)*$BW$22+
INDEX($A658:$BM658,,$BV$23)*$BW$23+
INDEX($A658:$BM658,,$BV$25)*$BW$25+
INDEX($A658:$BM658,,$BV$26)*$BW$26+
INDEX($A658:$BM658,,$BV$27)*$BW$27+
$BN658)),
$BN658-100)</f>
        <v>-100</v>
      </c>
      <c r="AT658" t="str">
        <f t="shared" si="135"/>
        <v/>
      </c>
      <c r="AU658" t="str">
        <f t="shared" si="136"/>
        <v/>
      </c>
      <c r="AV658" s="430">
        <f>IFERROR(
IF(AT658="",-100,
IF($BV$2&gt;0, INDEX(Beersheet!$A:$U,MATCH(AT658,INDEX(Beersheet!$A:$U,0,FFARawStatProjections!$BV$2),0),$BV$3)+$BN658,
INDEX($A658:$BM658,,$BV$12)*$BW$12+
INDEX($A658:$BM658,,$BV$15)*$BW$15+
INDEX($A658:$BM658,,$BV$16)*$BW$16+
INDEX($A658:$BM658,,$BV$17)*$BW$17+
INDEX($A658:$BM658,,$BV$18)*$BW$18+
INDEX($A658:$BM658,,$BV$19)*$BW$19+
INDEX($A658:$BM658,,$BV$20)*$BW$20+
INDEX($A658:$BM658,,$BV$21)*$BW$21+
INDEX($A658:$BM658,,$BV$22)*$BW$22+
INDEX($A658:$BM658,,$BV$23)*$BW$23+
INDEX($A658:$BM658,,$BV$25)*$BW$25+
INDEX($A658:$BM658,,$BV$26)*$BW$26+
INDEX($A658:$BM658,,$BV$27)*$BW$27+
$BN658)),
$BN658-100)</f>
        <v>-100</v>
      </c>
      <c r="AX658" t="str">
        <f t="shared" si="137"/>
        <v/>
      </c>
      <c r="AY658" t="str">
        <f t="shared" si="138"/>
        <v/>
      </c>
      <c r="AZ658" s="430">
        <f>IFERROR(
IF(AX658="",-100,
IF($BV$2&gt;0, INDEX(Beersheet!$A:$U,MATCH(AX658,INDEX(Beersheet!$A:$U,0,FFARawStatProjections!$BV$2),0),$BV$3)+$BN658,
INDEX($A658:$BM658,,$BV$12)*$BW$12+
INDEX($A658:$BM658,,$BV$15)*$BW$15+
INDEX($A658:$BM658,,$BV$16)*$BW$16+
INDEX($A658:$BM658,,$BV$17)*$BW$17+
INDEX($A658:$BM658,,$BV$18)*$BW$18+
INDEX($A658:$BM658,,$BV$19)*$BW$19+
INDEX($A658:$BM658,,$BV$20)*$BW$20+
INDEX($A658:$BM658,,$BV$21)*$BW$21+
INDEX($A658:$BM658,,$BV$22)*$BW$22+
INDEX($A658:$BM658,,$BV$23)*$BW$23+
INDEX($A658:$BM658,,$BV$25)*$BW$25+
INDEX($A658:$BM658,,$BV$26)*$BW$26+
INDEX($A658:$BM658,,$BV$27)*$BW$27+
$BN658)),
$BN658-100)</f>
        <v>-100</v>
      </c>
      <c r="BB658" t="str">
        <f t="shared" si="139"/>
        <v>Durham Smythe</v>
      </c>
      <c r="BC658" t="str">
        <f t="shared" si="133"/>
        <v>MIA</v>
      </c>
      <c r="BD658" s="430">
        <f>IFERROR(
IF(BB658="",-100,
IF($BV$2&gt;0, INDEX(Beersheet!$A:$U,MATCH(BB658,INDEX(Beersheet!$A:$U,0,FFARawStatProjections!$BV$2),0),$BV$3)+$BN658,
INDEX($A658:$BM658,,$BV$12)*$BW$12+
INDEX($A658:$BM658,,$BV$15)*$BW$15+
INDEX($A658:$BM658,,$BV$16)*$BW$16+
INDEX($A658:$BM658,,$BV$17)*$BW$17+
INDEX($A658:$BM658,,$BV$18)*$BW$18+
INDEX($A658:$BM658,,$BV$19)*$BW$19+
INDEX($A658:$BM658,,$BV$20)*$BW$20+
INDEX($A658:$BM658,,$BV$21)*$BW$21+
INDEX($A658:$BM658,,$BV$22)*$BW$22+
INDEX($A658:$BM658,,$BV$23)*$BW$23+
INDEX($A658:$BM658,,$BV$25)*$BW$25+
INDEX($A658:$BM658,,$BV$26)*$BW$26+
INDEX($A658:$BM658,,$BV$27)*$BW$27+
$BN658)),
$BN658-100)</f>
        <v>46.676570000000005</v>
      </c>
      <c r="BF658" t="str">
        <f t="shared" si="140"/>
        <v/>
      </c>
      <c r="BG658" t="str">
        <f t="shared" si="141"/>
        <v/>
      </c>
      <c r="BH658">
        <f t="shared" si="142"/>
        <v>0</v>
      </c>
      <c r="BJ658" t="str">
        <f t="shared" si="143"/>
        <v/>
      </c>
      <c r="BL658">
        <f t="shared" si="132"/>
        <v>0</v>
      </c>
      <c r="BN658">
        <v>6.5700000000000003E-3</v>
      </c>
      <c r="BS658" s="4" t="s">
        <v>2254</v>
      </c>
    </row>
    <row r="659" spans="1:71" ht="15.75" thickBot="1" x14ac:dyDescent="0.3">
      <c r="A659" s="569" t="s">
        <v>1815</v>
      </c>
      <c r="B659" s="569" t="s">
        <v>161</v>
      </c>
      <c r="C659" s="569" t="s">
        <v>7</v>
      </c>
      <c r="D659" s="574">
        <v>5</v>
      </c>
      <c r="E659" s="569"/>
      <c r="F659" s="569"/>
      <c r="G659" s="569"/>
      <c r="H659" s="569"/>
      <c r="I659" s="574">
        <v>0</v>
      </c>
      <c r="J659" s="574">
        <v>0</v>
      </c>
      <c r="K659" s="574">
        <v>0</v>
      </c>
      <c r="L659" s="574">
        <v>16.3</v>
      </c>
      <c r="M659" s="574">
        <v>1.1000000000000001</v>
      </c>
      <c r="N659" s="574">
        <v>197.3</v>
      </c>
      <c r="O659" s="574">
        <v>0</v>
      </c>
      <c r="P659" s="574">
        <v>0</v>
      </c>
      <c r="Q659" s="574">
        <v>0</v>
      </c>
      <c r="R659" s="569"/>
      <c r="S659" s="569"/>
      <c r="T659" s="569"/>
      <c r="U659" s="569"/>
      <c r="V659" s="569"/>
      <c r="W659" s="569"/>
      <c r="X659" s="569"/>
      <c r="Y659" s="569"/>
      <c r="Z659" s="569"/>
      <c r="AA659" s="569"/>
      <c r="AB659" s="569"/>
      <c r="AC659" s="569"/>
      <c r="AD659" s="569"/>
      <c r="AE659" s="569"/>
      <c r="AF659" s="569"/>
      <c r="AG659" s="569"/>
      <c r="AH659" s="569"/>
      <c r="AI659" s="569"/>
      <c r="AJ659" s="569"/>
      <c r="AK659" s="569"/>
      <c r="AL659" s="569"/>
      <c r="AM659" s="569"/>
      <c r="AN659" s="574">
        <v>26.3</v>
      </c>
      <c r="AO659">
        <v>658</v>
      </c>
      <c r="AP659" t="str">
        <f t="shared" si="131"/>
        <v/>
      </c>
      <c r="AQ659" t="str">
        <f t="shared" si="134"/>
        <v/>
      </c>
      <c r="AR659" s="430">
        <f>IFERROR(
IF(AP659="",-100,
IF($BV$2&gt;0, INDEX(Beersheet!$A:$U,MATCH(AP659,INDEX(Beersheet!$A:$U,0,FFARawStatProjections!$BV$2),0),$BV$3)+$BN659,
INDEX($A659:$BM659,,$BV$12)*$BW$12+
INDEX($A659:$BM659,,$BV$15)*$BW$15+
INDEX($A659:$BM659,,$BV$16)*$BW$16+
INDEX($A659:$BM659,,$BV$17)*$BW$17+
INDEX($A659:$BM659,,$BV$18)*$BW$18+
INDEX($A659:$BM659,,$BV$19)*$BW$19+
INDEX($A659:$BM659,,$BV$20)*$BW$20+
INDEX($A659:$BM659,,$BV$21)*$BW$21+
INDEX($A659:$BM659,,$BV$22)*$BW$22+
INDEX($A659:$BM659,,$BV$23)*$BW$23+
INDEX($A659:$BM659,,$BV$25)*$BW$25+
INDEX($A659:$BM659,,$BV$26)*$BW$26+
INDEX($A659:$BM659,,$BV$27)*$BW$27+
$BN659)),
$BN659-100)</f>
        <v>-100</v>
      </c>
      <c r="AT659" t="str">
        <f t="shared" si="135"/>
        <v/>
      </c>
      <c r="AU659" t="str">
        <f t="shared" si="136"/>
        <v/>
      </c>
      <c r="AV659" s="430">
        <f>IFERROR(
IF(AT659="",-100,
IF($BV$2&gt;0, INDEX(Beersheet!$A:$U,MATCH(AT659,INDEX(Beersheet!$A:$U,0,FFARawStatProjections!$BV$2),0),$BV$3)+$BN659,
INDEX($A659:$BM659,,$BV$12)*$BW$12+
INDEX($A659:$BM659,,$BV$15)*$BW$15+
INDEX($A659:$BM659,,$BV$16)*$BW$16+
INDEX($A659:$BM659,,$BV$17)*$BW$17+
INDEX($A659:$BM659,,$BV$18)*$BW$18+
INDEX($A659:$BM659,,$BV$19)*$BW$19+
INDEX($A659:$BM659,,$BV$20)*$BW$20+
INDEX($A659:$BM659,,$BV$21)*$BW$21+
INDEX($A659:$BM659,,$BV$22)*$BW$22+
INDEX($A659:$BM659,,$BV$23)*$BW$23+
INDEX($A659:$BM659,,$BV$25)*$BW$25+
INDEX($A659:$BM659,,$BV$26)*$BW$26+
INDEX($A659:$BM659,,$BV$27)*$BW$27+
$BN659)),
$BN659-100)</f>
        <v>-100</v>
      </c>
      <c r="AX659" t="str">
        <f t="shared" si="137"/>
        <v/>
      </c>
      <c r="AY659" t="str">
        <f t="shared" si="138"/>
        <v/>
      </c>
      <c r="AZ659" s="430">
        <f>IFERROR(
IF(AX659="",-100,
IF($BV$2&gt;0, INDEX(Beersheet!$A:$U,MATCH(AX659,INDEX(Beersheet!$A:$U,0,FFARawStatProjections!$BV$2),0),$BV$3)+$BN659,
INDEX($A659:$BM659,,$BV$12)*$BW$12+
INDEX($A659:$BM659,,$BV$15)*$BW$15+
INDEX($A659:$BM659,,$BV$16)*$BW$16+
INDEX($A659:$BM659,,$BV$17)*$BW$17+
INDEX($A659:$BM659,,$BV$18)*$BW$18+
INDEX($A659:$BM659,,$BV$19)*$BW$19+
INDEX($A659:$BM659,,$BV$20)*$BW$20+
INDEX($A659:$BM659,,$BV$21)*$BW$21+
INDEX($A659:$BM659,,$BV$22)*$BW$22+
INDEX($A659:$BM659,,$BV$23)*$BW$23+
INDEX($A659:$BM659,,$BV$25)*$BW$25+
INDEX($A659:$BM659,,$BV$26)*$BW$26+
INDEX($A659:$BM659,,$BV$27)*$BW$27+
$BN659)),
$BN659-100)</f>
        <v>-100</v>
      </c>
      <c r="BB659" t="str">
        <f t="shared" si="139"/>
        <v>Jordan Akins</v>
      </c>
      <c r="BC659" t="str">
        <f t="shared" si="133"/>
        <v>CLE</v>
      </c>
      <c r="BD659" s="430">
        <f>IFERROR(
IF(BB659="",-100,
IF($BV$2&gt;0, INDEX(Beersheet!$A:$U,MATCH(BB659,INDEX(Beersheet!$A:$U,0,FFARawStatProjections!$BV$2),0),$BV$3)+$BN659,
INDEX($A659:$BM659,,$BV$12)*$BW$12+
INDEX($A659:$BM659,,$BV$15)*$BW$15+
INDEX($A659:$BM659,,$BV$16)*$BW$16+
INDEX($A659:$BM659,,$BV$17)*$BW$17+
INDEX($A659:$BM659,,$BV$18)*$BW$18+
INDEX($A659:$BM659,,$BV$19)*$BW$19+
INDEX($A659:$BM659,,$BV$20)*$BW$20+
INDEX($A659:$BM659,,$BV$21)*$BW$21+
INDEX($A659:$BM659,,$BV$22)*$BW$22+
INDEX($A659:$BM659,,$BV$23)*$BW$23+
INDEX($A659:$BM659,,$BV$25)*$BW$25+
INDEX($A659:$BM659,,$BV$26)*$BW$26+
INDEX($A659:$BM659,,$BV$27)*$BW$27+
$BN659)),
$BN659-100)</f>
        <v>42.636580000000009</v>
      </c>
      <c r="BF659" t="str">
        <f t="shared" si="140"/>
        <v/>
      </c>
      <c r="BG659" t="str">
        <f t="shared" si="141"/>
        <v/>
      </c>
      <c r="BH659">
        <f t="shared" si="142"/>
        <v>0</v>
      </c>
      <c r="BJ659" t="str">
        <f t="shared" si="143"/>
        <v/>
      </c>
      <c r="BL659">
        <f t="shared" si="132"/>
        <v>0</v>
      </c>
      <c r="BN659">
        <v>6.5799999999999999E-3</v>
      </c>
      <c r="BS659" s="4" t="s">
        <v>2351</v>
      </c>
    </row>
    <row r="660" spans="1:71" ht="15.75" thickBot="1" x14ac:dyDescent="0.3">
      <c r="A660" s="569" t="s">
        <v>2525</v>
      </c>
      <c r="B660" s="569" t="s">
        <v>165</v>
      </c>
      <c r="C660" s="569" t="s">
        <v>7</v>
      </c>
      <c r="D660" s="574">
        <v>9</v>
      </c>
      <c r="E660" s="569"/>
      <c r="F660" s="569"/>
      <c r="G660" s="569"/>
      <c r="H660" s="569"/>
      <c r="I660" s="574">
        <v>0</v>
      </c>
      <c r="J660" s="574">
        <v>0</v>
      </c>
      <c r="K660" s="574">
        <v>0</v>
      </c>
      <c r="L660" s="574">
        <v>20.399999999999999</v>
      </c>
      <c r="M660" s="574">
        <v>1.3</v>
      </c>
      <c r="N660" s="574">
        <v>186</v>
      </c>
      <c r="O660" s="574">
        <v>0</v>
      </c>
      <c r="P660" s="574">
        <v>0</v>
      </c>
      <c r="Q660" s="574">
        <v>0</v>
      </c>
      <c r="R660" s="569"/>
      <c r="S660" s="569"/>
      <c r="T660" s="569"/>
      <c r="U660" s="569"/>
      <c r="V660" s="569"/>
      <c r="W660" s="569"/>
      <c r="X660" s="569"/>
      <c r="Y660" s="569"/>
      <c r="Z660" s="569"/>
      <c r="AA660" s="569"/>
      <c r="AB660" s="569"/>
      <c r="AC660" s="569"/>
      <c r="AD660" s="569"/>
      <c r="AE660" s="569"/>
      <c r="AF660" s="569"/>
      <c r="AG660" s="569"/>
      <c r="AH660" s="569"/>
      <c r="AI660" s="569"/>
      <c r="AJ660" s="569"/>
      <c r="AK660" s="569"/>
      <c r="AL660" s="569"/>
      <c r="AM660" s="569"/>
      <c r="AN660" s="574">
        <v>25.8</v>
      </c>
      <c r="AO660">
        <v>659</v>
      </c>
      <c r="AP660" t="str">
        <f t="shared" ref="AP660:AP701" si="144">IF($C660="QB",A660,"")</f>
        <v/>
      </c>
      <c r="AQ660" t="str">
        <f t="shared" si="134"/>
        <v/>
      </c>
      <c r="AR660" s="430">
        <f>IFERROR(
IF(AP660="",-100,
IF($BV$2&gt;0, INDEX(Beersheet!$A:$U,MATCH(AP660,INDEX(Beersheet!$A:$U,0,FFARawStatProjections!$BV$2),0),$BV$3)+$BN660,
INDEX($A660:$BM660,,$BV$12)*$BW$12+
INDEX($A660:$BM660,,$BV$15)*$BW$15+
INDEX($A660:$BM660,,$BV$16)*$BW$16+
INDEX($A660:$BM660,,$BV$17)*$BW$17+
INDEX($A660:$BM660,,$BV$18)*$BW$18+
INDEX($A660:$BM660,,$BV$19)*$BW$19+
INDEX($A660:$BM660,,$BV$20)*$BW$20+
INDEX($A660:$BM660,,$BV$21)*$BW$21+
INDEX($A660:$BM660,,$BV$22)*$BW$22+
INDEX($A660:$BM660,,$BV$23)*$BW$23+
INDEX($A660:$BM660,,$BV$25)*$BW$25+
INDEX($A660:$BM660,,$BV$26)*$BW$26+
INDEX($A660:$BM660,,$BV$27)*$BW$27+
$BN660)),
$BN660-100)</f>
        <v>-100</v>
      </c>
      <c r="AT660" t="str">
        <f t="shared" si="135"/>
        <v/>
      </c>
      <c r="AU660" t="str">
        <f t="shared" si="136"/>
        <v/>
      </c>
      <c r="AV660" s="430">
        <f>IFERROR(
IF(AT660="",-100,
IF($BV$2&gt;0, INDEX(Beersheet!$A:$U,MATCH(AT660,INDEX(Beersheet!$A:$U,0,FFARawStatProjections!$BV$2),0),$BV$3)+$BN660,
INDEX($A660:$BM660,,$BV$12)*$BW$12+
INDEX($A660:$BM660,,$BV$15)*$BW$15+
INDEX($A660:$BM660,,$BV$16)*$BW$16+
INDEX($A660:$BM660,,$BV$17)*$BW$17+
INDEX($A660:$BM660,,$BV$18)*$BW$18+
INDEX($A660:$BM660,,$BV$19)*$BW$19+
INDEX($A660:$BM660,,$BV$20)*$BW$20+
INDEX($A660:$BM660,,$BV$21)*$BW$21+
INDEX($A660:$BM660,,$BV$22)*$BW$22+
INDEX($A660:$BM660,,$BV$23)*$BW$23+
INDEX($A660:$BM660,,$BV$25)*$BW$25+
INDEX($A660:$BM660,,$BV$26)*$BW$26+
INDEX($A660:$BM660,,$BV$27)*$BW$27+
$BN660)),
$BN660-100)</f>
        <v>-100</v>
      </c>
      <c r="AX660" t="str">
        <f t="shared" si="137"/>
        <v/>
      </c>
      <c r="AY660" t="str">
        <f t="shared" si="138"/>
        <v/>
      </c>
      <c r="AZ660" s="430">
        <f>IFERROR(
IF(AX660="",-100,
IF($BV$2&gt;0, INDEX(Beersheet!$A:$U,MATCH(AX660,INDEX(Beersheet!$A:$U,0,FFARawStatProjections!$BV$2),0),$BV$3)+$BN660,
INDEX($A660:$BM660,,$BV$12)*$BW$12+
INDEX($A660:$BM660,,$BV$15)*$BW$15+
INDEX($A660:$BM660,,$BV$16)*$BW$16+
INDEX($A660:$BM660,,$BV$17)*$BW$17+
INDEX($A660:$BM660,,$BV$18)*$BW$18+
INDEX($A660:$BM660,,$BV$19)*$BW$19+
INDEX($A660:$BM660,,$BV$20)*$BW$20+
INDEX($A660:$BM660,,$BV$21)*$BW$21+
INDEX($A660:$BM660,,$BV$22)*$BW$22+
INDEX($A660:$BM660,,$BV$23)*$BW$23+
INDEX($A660:$BM660,,$BV$25)*$BW$25+
INDEX($A660:$BM660,,$BV$26)*$BW$26+
INDEX($A660:$BM660,,$BV$27)*$BW$27+
$BN660)),
$BN660-100)</f>
        <v>-100</v>
      </c>
      <c r="BB660" t="str">
        <f t="shared" si="139"/>
        <v>Brenton Strange</v>
      </c>
      <c r="BC660" t="str">
        <f t="shared" si="133"/>
        <v>JAC</v>
      </c>
      <c r="BD660" s="430">
        <f>IFERROR(
IF(BB660="",-100,
IF($BV$2&gt;0, INDEX(Beersheet!$A:$U,MATCH(BB660,INDEX(Beersheet!$A:$U,0,FFARawStatProjections!$BV$2),0),$BV$3)+$BN660,
INDEX($A660:$BM660,,$BV$12)*$BW$12+
INDEX($A660:$BM660,,$BV$15)*$BW$15+
INDEX($A660:$BM660,,$BV$16)*$BW$16+
INDEX($A660:$BM660,,$BV$17)*$BW$17+
INDEX($A660:$BM660,,$BV$18)*$BW$18+
INDEX($A660:$BM660,,$BV$19)*$BW$19+
INDEX($A660:$BM660,,$BV$20)*$BW$20+
INDEX($A660:$BM660,,$BV$21)*$BW$21+
INDEX($A660:$BM660,,$BV$22)*$BW$22+
INDEX($A660:$BM660,,$BV$23)*$BW$23+
INDEX($A660:$BM660,,$BV$25)*$BW$25+
INDEX($A660:$BM660,,$BV$26)*$BW$26+
INDEX($A660:$BM660,,$BV$27)*$BW$27+
$BN660)),
$BN660-100)</f>
        <v>46.80659</v>
      </c>
      <c r="BF660" t="str">
        <f t="shared" si="140"/>
        <v/>
      </c>
      <c r="BG660" t="str">
        <f t="shared" si="141"/>
        <v/>
      </c>
      <c r="BH660">
        <f t="shared" si="142"/>
        <v>0</v>
      </c>
      <c r="BJ660" t="str">
        <f t="shared" si="143"/>
        <v/>
      </c>
      <c r="BL660">
        <f t="shared" si="132"/>
        <v>0</v>
      </c>
      <c r="BN660">
        <v>6.5900000000000004E-3</v>
      </c>
      <c r="BS660" s="4" t="s">
        <v>2400</v>
      </c>
    </row>
    <row r="661" spans="1:71" ht="15.75" thickBot="1" x14ac:dyDescent="0.3">
      <c r="A661" s="569" t="s">
        <v>2145</v>
      </c>
      <c r="B661" s="569" t="s">
        <v>139</v>
      </c>
      <c r="C661" s="569" t="s">
        <v>7</v>
      </c>
      <c r="D661" s="574">
        <v>6</v>
      </c>
      <c r="E661" s="569"/>
      <c r="F661" s="569"/>
      <c r="G661" s="569"/>
      <c r="H661" s="569"/>
      <c r="I661" s="574">
        <v>0</v>
      </c>
      <c r="J661" s="574">
        <v>0</v>
      </c>
      <c r="K661" s="574">
        <v>0</v>
      </c>
      <c r="L661" s="574">
        <v>20.399999999999999</v>
      </c>
      <c r="M661" s="574">
        <v>1.1000000000000001</v>
      </c>
      <c r="N661" s="574">
        <v>186</v>
      </c>
      <c r="O661" s="574">
        <v>0</v>
      </c>
      <c r="P661" s="574">
        <v>0</v>
      </c>
      <c r="Q661" s="574">
        <v>0</v>
      </c>
      <c r="R661" s="569"/>
      <c r="S661" s="569"/>
      <c r="T661" s="569"/>
      <c r="U661" s="569"/>
      <c r="V661" s="569"/>
      <c r="W661" s="569"/>
      <c r="X661" s="569"/>
      <c r="Y661" s="569"/>
      <c r="Z661" s="569"/>
      <c r="AA661" s="569"/>
      <c r="AB661" s="569"/>
      <c r="AC661" s="569"/>
      <c r="AD661" s="569"/>
      <c r="AE661" s="569"/>
      <c r="AF661" s="569"/>
      <c r="AG661" s="569"/>
      <c r="AH661" s="569"/>
      <c r="AI661" s="569"/>
      <c r="AJ661" s="569"/>
      <c r="AK661" s="569"/>
      <c r="AL661" s="569"/>
      <c r="AM661" s="569"/>
      <c r="AN661" s="574">
        <v>25.1</v>
      </c>
      <c r="AO661">
        <v>660</v>
      </c>
      <c r="AP661" t="str">
        <f t="shared" si="144"/>
        <v/>
      </c>
      <c r="AQ661" t="str">
        <f t="shared" si="134"/>
        <v/>
      </c>
      <c r="AR661" s="430">
        <f>IFERROR(
IF(AP661="",-100,
IF($BV$2&gt;0, INDEX(Beersheet!$A:$U,MATCH(AP661,INDEX(Beersheet!$A:$U,0,FFARawStatProjections!$BV$2),0),$BV$3)+$BN661,
INDEX($A661:$BM661,,$BV$12)*$BW$12+
INDEX($A661:$BM661,,$BV$15)*$BW$15+
INDEX($A661:$BM661,,$BV$16)*$BW$16+
INDEX($A661:$BM661,,$BV$17)*$BW$17+
INDEX($A661:$BM661,,$BV$18)*$BW$18+
INDEX($A661:$BM661,,$BV$19)*$BW$19+
INDEX($A661:$BM661,,$BV$20)*$BW$20+
INDEX($A661:$BM661,,$BV$21)*$BW$21+
INDEX($A661:$BM661,,$BV$22)*$BW$22+
INDEX($A661:$BM661,,$BV$23)*$BW$23+
INDEX($A661:$BM661,,$BV$25)*$BW$25+
INDEX($A661:$BM661,,$BV$26)*$BW$26+
INDEX($A661:$BM661,,$BV$27)*$BW$27+
$BN661)),
$BN661-100)</f>
        <v>-100</v>
      </c>
      <c r="AT661" t="str">
        <f t="shared" si="135"/>
        <v/>
      </c>
      <c r="AU661" t="str">
        <f t="shared" si="136"/>
        <v/>
      </c>
      <c r="AV661" s="430">
        <f>IFERROR(
IF(AT661="",-100,
IF($BV$2&gt;0, INDEX(Beersheet!$A:$U,MATCH(AT661,INDEX(Beersheet!$A:$U,0,FFARawStatProjections!$BV$2),0),$BV$3)+$BN661,
INDEX($A661:$BM661,,$BV$12)*$BW$12+
INDEX($A661:$BM661,,$BV$15)*$BW$15+
INDEX($A661:$BM661,,$BV$16)*$BW$16+
INDEX($A661:$BM661,,$BV$17)*$BW$17+
INDEX($A661:$BM661,,$BV$18)*$BW$18+
INDEX($A661:$BM661,,$BV$19)*$BW$19+
INDEX($A661:$BM661,,$BV$20)*$BW$20+
INDEX($A661:$BM661,,$BV$21)*$BW$21+
INDEX($A661:$BM661,,$BV$22)*$BW$22+
INDEX($A661:$BM661,,$BV$23)*$BW$23+
INDEX($A661:$BM661,,$BV$25)*$BW$25+
INDEX($A661:$BM661,,$BV$26)*$BW$26+
INDEX($A661:$BM661,,$BV$27)*$BW$27+
$BN661)),
$BN661-100)</f>
        <v>-100</v>
      </c>
      <c r="AX661" t="str">
        <f t="shared" si="137"/>
        <v/>
      </c>
      <c r="AY661" t="str">
        <f t="shared" si="138"/>
        <v/>
      </c>
      <c r="AZ661" s="430">
        <f>IFERROR(
IF(AX661="",-100,
IF($BV$2&gt;0, INDEX(Beersheet!$A:$U,MATCH(AX661,INDEX(Beersheet!$A:$U,0,FFARawStatProjections!$BV$2),0),$BV$3)+$BN661,
INDEX($A661:$BM661,,$BV$12)*$BW$12+
INDEX($A661:$BM661,,$BV$15)*$BW$15+
INDEX($A661:$BM661,,$BV$16)*$BW$16+
INDEX($A661:$BM661,,$BV$17)*$BW$17+
INDEX($A661:$BM661,,$BV$18)*$BW$18+
INDEX($A661:$BM661,,$BV$19)*$BW$19+
INDEX($A661:$BM661,,$BV$20)*$BW$20+
INDEX($A661:$BM661,,$BV$21)*$BW$21+
INDEX($A661:$BM661,,$BV$22)*$BW$22+
INDEX($A661:$BM661,,$BV$23)*$BW$23+
INDEX($A661:$BM661,,$BV$25)*$BW$25+
INDEX($A661:$BM661,,$BV$26)*$BW$26+
INDEX($A661:$BM661,,$BV$27)*$BW$27+
$BN661)),
$BN661-100)</f>
        <v>-100</v>
      </c>
      <c r="BB661" t="str">
        <f t="shared" si="139"/>
        <v>Josiah Deguara</v>
      </c>
      <c r="BC661" t="str">
        <f t="shared" si="133"/>
        <v>GB</v>
      </c>
      <c r="BD661" s="430">
        <f>IFERROR(
IF(BB661="",-100,
IF($BV$2&gt;0, INDEX(Beersheet!$A:$U,MATCH(BB661,INDEX(Beersheet!$A:$U,0,FFARawStatProjections!$BV$2),0),$BV$3)+$BN661,
INDEX($A661:$BM661,,$BV$12)*$BW$12+
INDEX($A661:$BM661,,$BV$15)*$BW$15+
INDEX($A661:$BM661,,$BV$16)*$BW$16+
INDEX($A661:$BM661,,$BV$17)*$BW$17+
INDEX($A661:$BM661,,$BV$18)*$BW$18+
INDEX($A661:$BM661,,$BV$19)*$BW$19+
INDEX($A661:$BM661,,$BV$20)*$BW$20+
INDEX($A661:$BM661,,$BV$21)*$BW$21+
INDEX($A661:$BM661,,$BV$22)*$BW$22+
INDEX($A661:$BM661,,$BV$23)*$BW$23+
INDEX($A661:$BM661,,$BV$25)*$BW$25+
INDEX($A661:$BM661,,$BV$26)*$BW$26+
INDEX($A661:$BM661,,$BV$27)*$BW$27+
$BN661)),
$BN661-100)</f>
        <v>45.6066</v>
      </c>
      <c r="BF661" t="str">
        <f t="shared" si="140"/>
        <v/>
      </c>
      <c r="BG661" t="str">
        <f t="shared" si="141"/>
        <v/>
      </c>
      <c r="BH661">
        <f t="shared" si="142"/>
        <v>0</v>
      </c>
      <c r="BJ661" t="str">
        <f t="shared" si="143"/>
        <v/>
      </c>
      <c r="BL661">
        <f t="shared" si="132"/>
        <v>0</v>
      </c>
      <c r="BN661">
        <v>6.6E-3</v>
      </c>
      <c r="BS661" s="4" t="s">
        <v>1970</v>
      </c>
    </row>
    <row r="662" spans="1:71" ht="15.75" thickBot="1" x14ac:dyDescent="0.3">
      <c r="A662" s="569" t="s">
        <v>2125</v>
      </c>
      <c r="B662" s="569" t="s">
        <v>161</v>
      </c>
      <c r="C662" s="569" t="s">
        <v>7</v>
      </c>
      <c r="D662" s="574">
        <v>5</v>
      </c>
      <c r="E662" s="569"/>
      <c r="F662" s="569"/>
      <c r="G662" s="569"/>
      <c r="H662" s="569"/>
      <c r="I662" s="574">
        <v>0</v>
      </c>
      <c r="J662" s="574">
        <v>0</v>
      </c>
      <c r="K662" s="574">
        <v>0</v>
      </c>
      <c r="L662" s="574">
        <v>17.5</v>
      </c>
      <c r="M662" s="574">
        <v>1.1000000000000001</v>
      </c>
      <c r="N662" s="574">
        <v>181.2</v>
      </c>
      <c r="O662" s="574">
        <v>0</v>
      </c>
      <c r="P662" s="574">
        <v>0</v>
      </c>
      <c r="Q662" s="574">
        <v>0</v>
      </c>
      <c r="R662" s="569"/>
      <c r="S662" s="569"/>
      <c r="T662" s="569"/>
      <c r="U662" s="569"/>
      <c r="V662" s="569"/>
      <c r="W662" s="569"/>
      <c r="X662" s="569"/>
      <c r="Y662" s="569"/>
      <c r="Z662" s="569"/>
      <c r="AA662" s="569"/>
      <c r="AB662" s="569"/>
      <c r="AC662" s="569"/>
      <c r="AD662" s="569"/>
      <c r="AE662" s="569"/>
      <c r="AF662" s="569"/>
      <c r="AG662" s="569"/>
      <c r="AH662" s="569"/>
      <c r="AI662" s="569"/>
      <c r="AJ662" s="569"/>
      <c r="AK662" s="569"/>
      <c r="AL662" s="569"/>
      <c r="AM662" s="569"/>
      <c r="AN662" s="574">
        <v>24.1</v>
      </c>
      <c r="AO662">
        <v>661</v>
      </c>
      <c r="AP662" t="str">
        <f t="shared" si="144"/>
        <v/>
      </c>
      <c r="AQ662" t="str">
        <f t="shared" si="134"/>
        <v/>
      </c>
      <c r="AR662" s="430">
        <f>IFERROR(
IF(AP662="",-100,
IF($BV$2&gt;0, INDEX(Beersheet!$A:$U,MATCH(AP662,INDEX(Beersheet!$A:$U,0,FFARawStatProjections!$BV$2),0),$BV$3)+$BN662,
INDEX($A662:$BM662,,$BV$12)*$BW$12+
INDEX($A662:$BM662,,$BV$15)*$BW$15+
INDEX($A662:$BM662,,$BV$16)*$BW$16+
INDEX($A662:$BM662,,$BV$17)*$BW$17+
INDEX($A662:$BM662,,$BV$18)*$BW$18+
INDEX($A662:$BM662,,$BV$19)*$BW$19+
INDEX($A662:$BM662,,$BV$20)*$BW$20+
INDEX($A662:$BM662,,$BV$21)*$BW$21+
INDEX($A662:$BM662,,$BV$22)*$BW$22+
INDEX($A662:$BM662,,$BV$23)*$BW$23+
INDEX($A662:$BM662,,$BV$25)*$BW$25+
INDEX($A662:$BM662,,$BV$26)*$BW$26+
INDEX($A662:$BM662,,$BV$27)*$BW$27+
$BN662)),
$BN662-100)</f>
        <v>-100</v>
      </c>
      <c r="AT662" t="str">
        <f t="shared" si="135"/>
        <v/>
      </c>
      <c r="AU662" t="str">
        <f t="shared" si="136"/>
        <v/>
      </c>
      <c r="AV662" s="430">
        <f>IFERROR(
IF(AT662="",-100,
IF($BV$2&gt;0, INDEX(Beersheet!$A:$U,MATCH(AT662,INDEX(Beersheet!$A:$U,0,FFARawStatProjections!$BV$2),0),$BV$3)+$BN662,
INDEX($A662:$BM662,,$BV$12)*$BW$12+
INDEX($A662:$BM662,,$BV$15)*$BW$15+
INDEX($A662:$BM662,,$BV$16)*$BW$16+
INDEX($A662:$BM662,,$BV$17)*$BW$17+
INDEX($A662:$BM662,,$BV$18)*$BW$18+
INDEX($A662:$BM662,,$BV$19)*$BW$19+
INDEX($A662:$BM662,,$BV$20)*$BW$20+
INDEX($A662:$BM662,,$BV$21)*$BW$21+
INDEX($A662:$BM662,,$BV$22)*$BW$22+
INDEX($A662:$BM662,,$BV$23)*$BW$23+
INDEX($A662:$BM662,,$BV$25)*$BW$25+
INDEX($A662:$BM662,,$BV$26)*$BW$26+
INDEX($A662:$BM662,,$BV$27)*$BW$27+
$BN662)),
$BN662-100)</f>
        <v>-100</v>
      </c>
      <c r="AX662" t="str">
        <f t="shared" si="137"/>
        <v/>
      </c>
      <c r="AY662" t="str">
        <f t="shared" si="138"/>
        <v/>
      </c>
      <c r="AZ662" s="430">
        <f>IFERROR(
IF(AX662="",-100,
IF($BV$2&gt;0, INDEX(Beersheet!$A:$U,MATCH(AX662,INDEX(Beersheet!$A:$U,0,FFARawStatProjections!$BV$2),0),$BV$3)+$BN662,
INDEX($A662:$BM662,,$BV$12)*$BW$12+
INDEX($A662:$BM662,,$BV$15)*$BW$15+
INDEX($A662:$BM662,,$BV$16)*$BW$16+
INDEX($A662:$BM662,,$BV$17)*$BW$17+
INDEX($A662:$BM662,,$BV$18)*$BW$18+
INDEX($A662:$BM662,,$BV$19)*$BW$19+
INDEX($A662:$BM662,,$BV$20)*$BW$20+
INDEX($A662:$BM662,,$BV$21)*$BW$21+
INDEX($A662:$BM662,,$BV$22)*$BW$22+
INDEX($A662:$BM662,,$BV$23)*$BW$23+
INDEX($A662:$BM662,,$BV$25)*$BW$25+
INDEX($A662:$BM662,,$BV$26)*$BW$26+
INDEX($A662:$BM662,,$BV$27)*$BW$27+
$BN662)),
$BN662-100)</f>
        <v>-100</v>
      </c>
      <c r="BB662" t="str">
        <f t="shared" si="139"/>
        <v>Harrison Bryant</v>
      </c>
      <c r="BC662" t="str">
        <f t="shared" si="133"/>
        <v>CLE</v>
      </c>
      <c r="BD662" s="430">
        <f>IFERROR(
IF(BB662="",-100,
IF($BV$2&gt;0, INDEX(Beersheet!$A:$U,MATCH(BB662,INDEX(Beersheet!$A:$U,0,FFARawStatProjections!$BV$2),0),$BV$3)+$BN662,
INDEX($A662:$BM662,,$BV$12)*$BW$12+
INDEX($A662:$BM662,,$BV$15)*$BW$15+
INDEX($A662:$BM662,,$BV$16)*$BW$16+
INDEX($A662:$BM662,,$BV$17)*$BW$17+
INDEX($A662:$BM662,,$BV$18)*$BW$18+
INDEX($A662:$BM662,,$BV$19)*$BW$19+
INDEX($A662:$BM662,,$BV$20)*$BW$20+
INDEX($A662:$BM662,,$BV$21)*$BW$21+
INDEX($A662:$BM662,,$BV$22)*$BW$22+
INDEX($A662:$BM662,,$BV$23)*$BW$23+
INDEX($A662:$BM662,,$BV$25)*$BW$25+
INDEX($A662:$BM662,,$BV$26)*$BW$26+
INDEX($A662:$BM662,,$BV$27)*$BW$27+
$BN662)),
$BN662-100)</f>
        <v>42.226610000000001</v>
      </c>
      <c r="BF662" t="str">
        <f t="shared" si="140"/>
        <v/>
      </c>
      <c r="BG662" t="str">
        <f t="shared" si="141"/>
        <v/>
      </c>
      <c r="BH662">
        <f t="shared" si="142"/>
        <v>0</v>
      </c>
      <c r="BJ662" t="str">
        <f t="shared" si="143"/>
        <v/>
      </c>
      <c r="BL662">
        <f t="shared" si="132"/>
        <v>0</v>
      </c>
      <c r="BN662">
        <v>6.6100000000000004E-3</v>
      </c>
      <c r="BS662" s="4" t="s">
        <v>1445</v>
      </c>
    </row>
    <row r="663" spans="1:71" ht="15.75" thickBot="1" x14ac:dyDescent="0.3">
      <c r="A663" s="569" t="s">
        <v>1611</v>
      </c>
      <c r="B663" s="569" t="s">
        <v>158</v>
      </c>
      <c r="C663" s="569" t="s">
        <v>7</v>
      </c>
      <c r="D663" s="574">
        <v>11</v>
      </c>
      <c r="E663" s="569"/>
      <c r="F663" s="569"/>
      <c r="G663" s="569"/>
      <c r="H663" s="569"/>
      <c r="I663" s="574">
        <v>0</v>
      </c>
      <c r="J663" s="574">
        <v>0</v>
      </c>
      <c r="K663" s="574">
        <v>0</v>
      </c>
      <c r="L663" s="574">
        <v>12.8</v>
      </c>
      <c r="M663" s="574">
        <v>1.3</v>
      </c>
      <c r="N663" s="574">
        <v>166.1</v>
      </c>
      <c r="O663" s="574">
        <v>0</v>
      </c>
      <c r="P663" s="574">
        <v>0</v>
      </c>
      <c r="Q663" s="574">
        <v>0</v>
      </c>
      <c r="R663" s="569"/>
      <c r="S663" s="569"/>
      <c r="T663" s="569"/>
      <c r="U663" s="569"/>
      <c r="V663" s="569"/>
      <c r="W663" s="569"/>
      <c r="X663" s="569"/>
      <c r="Y663" s="569"/>
      <c r="Z663" s="569"/>
      <c r="AA663" s="569"/>
      <c r="AB663" s="569"/>
      <c r="AC663" s="569"/>
      <c r="AD663" s="569"/>
      <c r="AE663" s="569"/>
      <c r="AF663" s="569"/>
      <c r="AG663" s="569"/>
      <c r="AH663" s="569"/>
      <c r="AI663" s="569"/>
      <c r="AJ663" s="569"/>
      <c r="AK663" s="569"/>
      <c r="AL663" s="569"/>
      <c r="AM663" s="569"/>
      <c r="AN663" s="574">
        <v>23.8</v>
      </c>
      <c r="AO663">
        <v>662</v>
      </c>
      <c r="AP663" t="str">
        <f t="shared" si="144"/>
        <v/>
      </c>
      <c r="AQ663" t="str">
        <f t="shared" si="134"/>
        <v/>
      </c>
      <c r="AR663" s="430">
        <f>IFERROR(
IF(AP663="",-100,
IF($BV$2&gt;0, INDEX(Beersheet!$A:$U,MATCH(AP663,INDEX(Beersheet!$A:$U,0,FFARawStatProjections!$BV$2),0),$BV$3)+$BN663,
INDEX($A663:$BM663,,$BV$12)*$BW$12+
INDEX($A663:$BM663,,$BV$15)*$BW$15+
INDEX($A663:$BM663,,$BV$16)*$BW$16+
INDEX($A663:$BM663,,$BV$17)*$BW$17+
INDEX($A663:$BM663,,$BV$18)*$BW$18+
INDEX($A663:$BM663,,$BV$19)*$BW$19+
INDEX($A663:$BM663,,$BV$20)*$BW$20+
INDEX($A663:$BM663,,$BV$21)*$BW$21+
INDEX($A663:$BM663,,$BV$22)*$BW$22+
INDEX($A663:$BM663,,$BV$23)*$BW$23+
INDEX($A663:$BM663,,$BV$25)*$BW$25+
INDEX($A663:$BM663,,$BV$26)*$BW$26+
INDEX($A663:$BM663,,$BV$27)*$BW$27+
$BN663)),
$BN663-100)</f>
        <v>-100</v>
      </c>
      <c r="AT663" t="str">
        <f t="shared" si="135"/>
        <v/>
      </c>
      <c r="AU663" t="str">
        <f t="shared" si="136"/>
        <v/>
      </c>
      <c r="AV663" s="430">
        <f>IFERROR(
IF(AT663="",-100,
IF($BV$2&gt;0, INDEX(Beersheet!$A:$U,MATCH(AT663,INDEX(Beersheet!$A:$U,0,FFARawStatProjections!$BV$2),0),$BV$3)+$BN663,
INDEX($A663:$BM663,,$BV$12)*$BW$12+
INDEX($A663:$BM663,,$BV$15)*$BW$15+
INDEX($A663:$BM663,,$BV$16)*$BW$16+
INDEX($A663:$BM663,,$BV$17)*$BW$17+
INDEX($A663:$BM663,,$BV$18)*$BW$18+
INDEX($A663:$BM663,,$BV$19)*$BW$19+
INDEX($A663:$BM663,,$BV$20)*$BW$20+
INDEX($A663:$BM663,,$BV$21)*$BW$21+
INDEX($A663:$BM663,,$BV$22)*$BW$22+
INDEX($A663:$BM663,,$BV$23)*$BW$23+
INDEX($A663:$BM663,,$BV$25)*$BW$25+
INDEX($A663:$BM663,,$BV$26)*$BW$26+
INDEX($A663:$BM663,,$BV$27)*$BW$27+
$BN663)),
$BN663-100)</f>
        <v>-100</v>
      </c>
      <c r="AX663" t="str">
        <f t="shared" si="137"/>
        <v/>
      </c>
      <c r="AY663" t="str">
        <f t="shared" si="138"/>
        <v/>
      </c>
      <c r="AZ663" s="430">
        <f>IFERROR(
IF(AX663="",-100,
IF($BV$2&gt;0, INDEX(Beersheet!$A:$U,MATCH(AX663,INDEX(Beersheet!$A:$U,0,FFARawStatProjections!$BV$2),0),$BV$3)+$BN663,
INDEX($A663:$BM663,,$BV$12)*$BW$12+
INDEX($A663:$BM663,,$BV$15)*$BW$15+
INDEX($A663:$BM663,,$BV$16)*$BW$16+
INDEX($A663:$BM663,,$BV$17)*$BW$17+
INDEX($A663:$BM663,,$BV$18)*$BW$18+
INDEX($A663:$BM663,,$BV$19)*$BW$19+
INDEX($A663:$BM663,,$BV$20)*$BW$20+
INDEX($A663:$BM663,,$BV$21)*$BW$21+
INDEX($A663:$BM663,,$BV$22)*$BW$22+
INDEX($A663:$BM663,,$BV$23)*$BW$23+
INDEX($A663:$BM663,,$BV$25)*$BW$25+
INDEX($A663:$BM663,,$BV$26)*$BW$26+
INDEX($A663:$BM663,,$BV$27)*$BW$27+
$BN663)),
$BN663-100)</f>
        <v>-100</v>
      </c>
      <c r="BB663" t="str">
        <f t="shared" si="139"/>
        <v>Mo Alie-Cox</v>
      </c>
      <c r="BC663" t="str">
        <f t="shared" si="133"/>
        <v>IND</v>
      </c>
      <c r="BD663" s="430">
        <f>IFERROR(
IF(BB663="",-100,
IF($BV$2&gt;0, INDEX(Beersheet!$A:$U,MATCH(BB663,INDEX(Beersheet!$A:$U,0,FFARawStatProjections!$BV$2),0),$BV$3)+$BN663,
INDEX($A663:$BM663,,$BV$12)*$BW$12+
INDEX($A663:$BM663,,$BV$15)*$BW$15+
INDEX($A663:$BM663,,$BV$16)*$BW$16+
INDEX($A663:$BM663,,$BV$17)*$BW$17+
INDEX($A663:$BM663,,$BV$18)*$BW$18+
INDEX($A663:$BM663,,$BV$19)*$BW$19+
INDEX($A663:$BM663,,$BV$20)*$BW$20+
INDEX($A663:$BM663,,$BV$21)*$BW$21+
INDEX($A663:$BM663,,$BV$22)*$BW$22+
INDEX($A663:$BM663,,$BV$23)*$BW$23+
INDEX($A663:$BM663,,$BV$25)*$BW$25+
INDEX($A663:$BM663,,$BV$26)*$BW$26+
INDEX($A663:$BM663,,$BV$27)*$BW$27+
$BN663)),
$BN663-100)</f>
        <v>37.216619999999999</v>
      </c>
      <c r="BF663" t="str">
        <f t="shared" si="140"/>
        <v/>
      </c>
      <c r="BG663" t="str">
        <f t="shared" si="141"/>
        <v/>
      </c>
      <c r="BH663">
        <f t="shared" si="142"/>
        <v>0</v>
      </c>
      <c r="BJ663" t="str">
        <f t="shared" si="143"/>
        <v/>
      </c>
      <c r="BL663">
        <f t="shared" si="132"/>
        <v>0</v>
      </c>
      <c r="BN663">
        <v>6.62E-3</v>
      </c>
      <c r="BS663" s="4" t="s">
        <v>2228</v>
      </c>
    </row>
    <row r="664" spans="1:71" ht="15.75" thickBot="1" x14ac:dyDescent="0.3">
      <c r="A664" s="569" t="s">
        <v>8</v>
      </c>
      <c r="B664" s="569" t="s">
        <v>143</v>
      </c>
      <c r="C664" s="569" t="s">
        <v>7</v>
      </c>
      <c r="D664" s="574">
        <v>11</v>
      </c>
      <c r="E664" s="569"/>
      <c r="F664" s="569"/>
      <c r="G664" s="569"/>
      <c r="H664" s="569"/>
      <c r="I664" s="574">
        <v>0</v>
      </c>
      <c r="J664" s="574">
        <v>0</v>
      </c>
      <c r="K664" s="574">
        <v>0</v>
      </c>
      <c r="L664" s="574">
        <v>16.3</v>
      </c>
      <c r="M664" s="574">
        <v>1</v>
      </c>
      <c r="N664" s="574">
        <v>166.6</v>
      </c>
      <c r="O664" s="574">
        <v>0</v>
      </c>
      <c r="P664" s="574">
        <v>0</v>
      </c>
      <c r="Q664" s="574">
        <v>0</v>
      </c>
      <c r="R664" s="569"/>
      <c r="S664" s="569"/>
      <c r="T664" s="569"/>
      <c r="U664" s="569"/>
      <c r="V664" s="569"/>
      <c r="W664" s="569"/>
      <c r="X664" s="569"/>
      <c r="Y664" s="569"/>
      <c r="Z664" s="569"/>
      <c r="AA664" s="569"/>
      <c r="AB664" s="569"/>
      <c r="AC664" s="569"/>
      <c r="AD664" s="569"/>
      <c r="AE664" s="569"/>
      <c r="AF664" s="569"/>
      <c r="AG664" s="569"/>
      <c r="AH664" s="569"/>
      <c r="AI664" s="569"/>
      <c r="AJ664" s="569"/>
      <c r="AK664" s="569"/>
      <c r="AL664" s="569"/>
      <c r="AM664" s="569"/>
      <c r="AN664" s="574">
        <v>22.8</v>
      </c>
      <c r="AO664">
        <v>663</v>
      </c>
      <c r="AP664" t="str">
        <f t="shared" si="144"/>
        <v/>
      </c>
      <c r="AQ664" t="str">
        <f t="shared" si="134"/>
        <v/>
      </c>
      <c r="AR664" s="430">
        <f>IFERROR(
IF(AP664="",-100,
IF($BV$2&gt;0, INDEX(Beersheet!$A:$U,MATCH(AP664,INDEX(Beersheet!$A:$U,0,FFARawStatProjections!$BV$2),0),$BV$3)+$BN664,
INDEX($A664:$BM664,,$BV$12)*$BW$12+
INDEX($A664:$BM664,,$BV$15)*$BW$15+
INDEX($A664:$BM664,,$BV$16)*$BW$16+
INDEX($A664:$BM664,,$BV$17)*$BW$17+
INDEX($A664:$BM664,,$BV$18)*$BW$18+
INDEX($A664:$BM664,,$BV$19)*$BW$19+
INDEX($A664:$BM664,,$BV$20)*$BW$20+
INDEX($A664:$BM664,,$BV$21)*$BW$21+
INDEX($A664:$BM664,,$BV$22)*$BW$22+
INDEX($A664:$BM664,,$BV$23)*$BW$23+
INDEX($A664:$BM664,,$BV$25)*$BW$25+
INDEX($A664:$BM664,,$BV$26)*$BW$26+
INDEX($A664:$BM664,,$BV$27)*$BW$27+
$BN664)),
$BN664-100)</f>
        <v>-100</v>
      </c>
      <c r="AT664" t="str">
        <f t="shared" si="135"/>
        <v/>
      </c>
      <c r="AU664" t="str">
        <f t="shared" si="136"/>
        <v/>
      </c>
      <c r="AV664" s="430">
        <f>IFERROR(
IF(AT664="",-100,
IF($BV$2&gt;0, INDEX(Beersheet!$A:$U,MATCH(AT664,INDEX(Beersheet!$A:$U,0,FFARawStatProjections!$BV$2),0),$BV$3)+$BN664,
INDEX($A664:$BM664,,$BV$12)*$BW$12+
INDEX($A664:$BM664,,$BV$15)*$BW$15+
INDEX($A664:$BM664,,$BV$16)*$BW$16+
INDEX($A664:$BM664,,$BV$17)*$BW$17+
INDEX($A664:$BM664,,$BV$18)*$BW$18+
INDEX($A664:$BM664,,$BV$19)*$BW$19+
INDEX($A664:$BM664,,$BV$20)*$BW$20+
INDEX($A664:$BM664,,$BV$21)*$BW$21+
INDEX($A664:$BM664,,$BV$22)*$BW$22+
INDEX($A664:$BM664,,$BV$23)*$BW$23+
INDEX($A664:$BM664,,$BV$25)*$BW$25+
INDEX($A664:$BM664,,$BV$26)*$BW$26+
INDEX($A664:$BM664,,$BV$27)*$BW$27+
$BN664)),
$BN664-100)</f>
        <v>-100</v>
      </c>
      <c r="AX664" t="str">
        <f t="shared" si="137"/>
        <v/>
      </c>
      <c r="AY664" t="str">
        <f t="shared" si="138"/>
        <v/>
      </c>
      <c r="AZ664" s="430">
        <f>IFERROR(
IF(AX664="",-100,
IF($BV$2&gt;0, INDEX(Beersheet!$A:$U,MATCH(AX664,INDEX(Beersheet!$A:$U,0,FFARawStatProjections!$BV$2),0),$BV$3)+$BN664,
INDEX($A664:$BM664,,$BV$12)*$BW$12+
INDEX($A664:$BM664,,$BV$15)*$BW$15+
INDEX($A664:$BM664,,$BV$16)*$BW$16+
INDEX($A664:$BM664,,$BV$17)*$BW$17+
INDEX($A664:$BM664,,$BV$18)*$BW$18+
INDEX($A664:$BM664,,$BV$19)*$BW$19+
INDEX($A664:$BM664,,$BV$20)*$BW$20+
INDEX($A664:$BM664,,$BV$21)*$BW$21+
INDEX($A664:$BM664,,$BV$22)*$BW$22+
INDEX($A664:$BM664,,$BV$23)*$BW$23+
INDEX($A664:$BM664,,$BV$25)*$BW$25+
INDEX($A664:$BM664,,$BV$26)*$BW$26+
INDEX($A664:$BM664,,$BV$27)*$BW$27+
$BN664)),
$BN664-100)</f>
        <v>-100</v>
      </c>
      <c r="BB664" t="str">
        <f t="shared" si="139"/>
        <v>Jimmy Graham</v>
      </c>
      <c r="BC664" t="str">
        <f t="shared" si="133"/>
        <v>NO</v>
      </c>
      <c r="BD664" s="430">
        <f>IFERROR(
IF(BB664="",-100,
IF($BV$2&gt;0, INDEX(Beersheet!$A:$U,MATCH(BB664,INDEX(Beersheet!$A:$U,0,FFARawStatProjections!$BV$2),0),$BV$3)+$BN664,
INDEX($A664:$BM664,,$BV$12)*$BW$12+
INDEX($A664:$BM664,,$BV$15)*$BW$15+
INDEX($A664:$BM664,,$BV$16)*$BW$16+
INDEX($A664:$BM664,,$BV$17)*$BW$17+
INDEX($A664:$BM664,,$BV$18)*$BW$18+
INDEX($A664:$BM664,,$BV$19)*$BW$19+
INDEX($A664:$BM664,,$BV$20)*$BW$20+
INDEX($A664:$BM664,,$BV$21)*$BW$21+
INDEX($A664:$BM664,,$BV$22)*$BW$22+
INDEX($A664:$BM664,,$BV$23)*$BW$23+
INDEX($A664:$BM664,,$BV$25)*$BW$25+
INDEX($A664:$BM664,,$BV$26)*$BW$26+
INDEX($A664:$BM664,,$BV$27)*$BW$27+
$BN664)),
$BN664-100)</f>
        <v>38.966630000000002</v>
      </c>
      <c r="BF664" t="str">
        <f t="shared" si="140"/>
        <v/>
      </c>
      <c r="BG664" t="str">
        <f t="shared" si="141"/>
        <v/>
      </c>
      <c r="BH664">
        <f t="shared" si="142"/>
        <v>0</v>
      </c>
      <c r="BJ664" t="str">
        <f t="shared" si="143"/>
        <v/>
      </c>
      <c r="BL664">
        <f t="shared" si="132"/>
        <v>0</v>
      </c>
      <c r="BN664">
        <v>6.6299999999999996E-3</v>
      </c>
      <c r="BS664" s="4" t="s">
        <v>1859</v>
      </c>
    </row>
    <row r="665" spans="1:71" ht="15.75" thickBot="1" x14ac:dyDescent="0.3">
      <c r="A665" s="569" t="s">
        <v>2398</v>
      </c>
      <c r="B665" s="569" t="s">
        <v>139</v>
      </c>
      <c r="C665" s="569" t="s">
        <v>7</v>
      </c>
      <c r="D665" s="574">
        <v>6</v>
      </c>
      <c r="E665" s="569"/>
      <c r="F665" s="569"/>
      <c r="G665" s="569"/>
      <c r="H665" s="569"/>
      <c r="I665" s="574">
        <v>0</v>
      </c>
      <c r="J665" s="574">
        <v>0</v>
      </c>
      <c r="K665" s="574">
        <v>0</v>
      </c>
      <c r="L665" s="574">
        <v>14.3</v>
      </c>
      <c r="M665" s="574">
        <v>1</v>
      </c>
      <c r="N665" s="574">
        <v>171</v>
      </c>
      <c r="O665" s="574">
        <v>0</v>
      </c>
      <c r="P665" s="574">
        <v>0</v>
      </c>
      <c r="Q665" s="574">
        <v>0</v>
      </c>
      <c r="R665" s="569"/>
      <c r="S665" s="569"/>
      <c r="T665" s="569"/>
      <c r="U665" s="569"/>
      <c r="V665" s="569"/>
      <c r="W665" s="569"/>
      <c r="X665" s="569"/>
      <c r="Y665" s="569"/>
      <c r="Z665" s="569"/>
      <c r="AA665" s="569"/>
      <c r="AB665" s="569"/>
      <c r="AC665" s="569"/>
      <c r="AD665" s="569"/>
      <c r="AE665" s="569"/>
      <c r="AF665" s="569"/>
      <c r="AG665" s="569"/>
      <c r="AH665" s="569"/>
      <c r="AI665" s="569"/>
      <c r="AJ665" s="569"/>
      <c r="AK665" s="569"/>
      <c r="AL665" s="569"/>
      <c r="AM665" s="569"/>
      <c r="AN665" s="574">
        <v>22.7</v>
      </c>
      <c r="AO665">
        <v>664</v>
      </c>
      <c r="AP665" t="str">
        <f t="shared" si="144"/>
        <v/>
      </c>
      <c r="AQ665" t="str">
        <f t="shared" si="134"/>
        <v/>
      </c>
      <c r="AR665" s="430">
        <f>IFERROR(
IF(AP665="",-100,
IF($BV$2&gt;0, INDEX(Beersheet!$A:$U,MATCH(AP665,INDEX(Beersheet!$A:$U,0,FFARawStatProjections!$BV$2),0),$BV$3)+$BN665,
INDEX($A665:$BM665,,$BV$12)*$BW$12+
INDEX($A665:$BM665,,$BV$15)*$BW$15+
INDEX($A665:$BM665,,$BV$16)*$BW$16+
INDEX($A665:$BM665,,$BV$17)*$BW$17+
INDEX($A665:$BM665,,$BV$18)*$BW$18+
INDEX($A665:$BM665,,$BV$19)*$BW$19+
INDEX($A665:$BM665,,$BV$20)*$BW$20+
INDEX($A665:$BM665,,$BV$21)*$BW$21+
INDEX($A665:$BM665,,$BV$22)*$BW$22+
INDEX($A665:$BM665,,$BV$23)*$BW$23+
INDEX($A665:$BM665,,$BV$25)*$BW$25+
INDEX($A665:$BM665,,$BV$26)*$BW$26+
INDEX($A665:$BM665,,$BV$27)*$BW$27+
$BN665)),
$BN665-100)</f>
        <v>-100</v>
      </c>
      <c r="AT665" t="str">
        <f t="shared" si="135"/>
        <v/>
      </c>
      <c r="AU665" t="str">
        <f t="shared" si="136"/>
        <v/>
      </c>
      <c r="AV665" s="430">
        <f>IFERROR(
IF(AT665="",-100,
IF($BV$2&gt;0, INDEX(Beersheet!$A:$U,MATCH(AT665,INDEX(Beersheet!$A:$U,0,FFARawStatProjections!$BV$2),0),$BV$3)+$BN665,
INDEX($A665:$BM665,,$BV$12)*$BW$12+
INDEX($A665:$BM665,,$BV$15)*$BW$15+
INDEX($A665:$BM665,,$BV$16)*$BW$16+
INDEX($A665:$BM665,,$BV$17)*$BW$17+
INDEX($A665:$BM665,,$BV$18)*$BW$18+
INDEX($A665:$BM665,,$BV$19)*$BW$19+
INDEX($A665:$BM665,,$BV$20)*$BW$20+
INDEX($A665:$BM665,,$BV$21)*$BW$21+
INDEX($A665:$BM665,,$BV$22)*$BW$22+
INDEX($A665:$BM665,,$BV$23)*$BW$23+
INDEX($A665:$BM665,,$BV$25)*$BW$25+
INDEX($A665:$BM665,,$BV$26)*$BW$26+
INDEX($A665:$BM665,,$BV$27)*$BW$27+
$BN665)),
$BN665-100)</f>
        <v>-100</v>
      </c>
      <c r="AX665" t="str">
        <f t="shared" si="137"/>
        <v/>
      </c>
      <c r="AY665" t="str">
        <f t="shared" si="138"/>
        <v/>
      </c>
      <c r="AZ665" s="430">
        <f>IFERROR(
IF(AX665="",-100,
IF($BV$2&gt;0, INDEX(Beersheet!$A:$U,MATCH(AX665,INDEX(Beersheet!$A:$U,0,FFARawStatProjections!$BV$2),0),$BV$3)+$BN665,
INDEX($A665:$BM665,,$BV$12)*$BW$12+
INDEX($A665:$BM665,,$BV$15)*$BW$15+
INDEX($A665:$BM665,,$BV$16)*$BW$16+
INDEX($A665:$BM665,,$BV$17)*$BW$17+
INDEX($A665:$BM665,,$BV$18)*$BW$18+
INDEX($A665:$BM665,,$BV$19)*$BW$19+
INDEX($A665:$BM665,,$BV$20)*$BW$20+
INDEX($A665:$BM665,,$BV$21)*$BW$21+
INDEX($A665:$BM665,,$BV$22)*$BW$22+
INDEX($A665:$BM665,,$BV$23)*$BW$23+
INDEX($A665:$BM665,,$BV$25)*$BW$25+
INDEX($A665:$BM665,,$BV$26)*$BW$26+
INDEX($A665:$BM665,,$BV$27)*$BW$27+
$BN665)),
$BN665-100)</f>
        <v>-100</v>
      </c>
      <c r="BB665" t="str">
        <f t="shared" si="139"/>
        <v>Tucker Kraft</v>
      </c>
      <c r="BC665" t="str">
        <f t="shared" si="133"/>
        <v>GB</v>
      </c>
      <c r="BD665" s="430">
        <f>IFERROR(
IF(BB665="",-100,
IF($BV$2&gt;0, INDEX(Beersheet!$A:$U,MATCH(BB665,INDEX(Beersheet!$A:$U,0,FFARawStatProjections!$BV$2),0),$BV$3)+$BN665,
INDEX($A665:$BM665,,$BV$12)*$BW$12+
INDEX($A665:$BM665,,$BV$15)*$BW$15+
INDEX($A665:$BM665,,$BV$16)*$BW$16+
INDEX($A665:$BM665,,$BV$17)*$BW$17+
INDEX($A665:$BM665,,$BV$18)*$BW$18+
INDEX($A665:$BM665,,$BV$19)*$BW$19+
INDEX($A665:$BM665,,$BV$20)*$BW$20+
INDEX($A665:$BM665,,$BV$21)*$BW$21+
INDEX($A665:$BM665,,$BV$22)*$BW$22+
INDEX($A665:$BM665,,$BV$23)*$BW$23+
INDEX($A665:$BM665,,$BV$25)*$BW$25+
INDEX($A665:$BM665,,$BV$26)*$BW$26+
INDEX($A665:$BM665,,$BV$27)*$BW$27+
$BN665)),
$BN665-100)</f>
        <v>37.406640000000003</v>
      </c>
      <c r="BF665" t="str">
        <f t="shared" si="140"/>
        <v/>
      </c>
      <c r="BG665" t="str">
        <f t="shared" si="141"/>
        <v/>
      </c>
      <c r="BH665">
        <f t="shared" si="142"/>
        <v>0</v>
      </c>
      <c r="BJ665" t="str">
        <f t="shared" si="143"/>
        <v/>
      </c>
      <c r="BL665">
        <f t="shared" ref="BL665:BL728" si="145">IFERROR(IF(BJ665="",0,
V665*2+W665*2+X665*2+Z665*6+AA665*1+AB665*2+AC665*6
+AN665+BN665),"")</f>
        <v>0</v>
      </c>
      <c r="BN665">
        <v>6.6400000000000001E-3</v>
      </c>
      <c r="BS665" s="4" t="s">
        <v>2306</v>
      </c>
    </row>
    <row r="666" spans="1:71" ht="15.75" thickBot="1" x14ac:dyDescent="0.3">
      <c r="A666" s="569" t="s">
        <v>2256</v>
      </c>
      <c r="B666" s="569" t="s">
        <v>138</v>
      </c>
      <c r="C666" s="569" t="s">
        <v>7</v>
      </c>
      <c r="D666" s="574">
        <v>13</v>
      </c>
      <c r="E666" s="569"/>
      <c r="F666" s="569"/>
      <c r="G666" s="569"/>
      <c r="H666" s="569"/>
      <c r="I666" s="574">
        <v>0</v>
      </c>
      <c r="J666" s="574">
        <v>0</v>
      </c>
      <c r="K666" s="574">
        <v>0</v>
      </c>
      <c r="L666" s="574">
        <v>15.6</v>
      </c>
      <c r="M666" s="574">
        <v>1.2</v>
      </c>
      <c r="N666" s="574">
        <v>156.1</v>
      </c>
      <c r="O666" s="574">
        <v>0</v>
      </c>
      <c r="P666" s="574">
        <v>0</v>
      </c>
      <c r="Q666" s="574">
        <v>0</v>
      </c>
      <c r="R666" s="569"/>
      <c r="S666" s="569"/>
      <c r="T666" s="569"/>
      <c r="U666" s="569"/>
      <c r="V666" s="569"/>
      <c r="W666" s="569"/>
      <c r="X666" s="569"/>
      <c r="Y666" s="569"/>
      <c r="Z666" s="569"/>
      <c r="AA666" s="569"/>
      <c r="AB666" s="569"/>
      <c r="AC666" s="569"/>
      <c r="AD666" s="569"/>
      <c r="AE666" s="569"/>
      <c r="AF666" s="569"/>
      <c r="AG666" s="569"/>
      <c r="AH666" s="569"/>
      <c r="AI666" s="569"/>
      <c r="AJ666" s="569"/>
      <c r="AK666" s="569"/>
      <c r="AL666" s="569"/>
      <c r="AM666" s="569"/>
      <c r="AN666" s="574">
        <v>22.6</v>
      </c>
      <c r="AO666">
        <v>665</v>
      </c>
      <c r="AP666" t="str">
        <f t="shared" si="144"/>
        <v/>
      </c>
      <c r="AQ666" t="str">
        <f t="shared" si="134"/>
        <v/>
      </c>
      <c r="AR666" s="430">
        <f>IFERROR(
IF(AP666="",-100,
IF($BV$2&gt;0, INDEX(Beersheet!$A:$U,MATCH(AP666,INDEX(Beersheet!$A:$U,0,FFARawStatProjections!$BV$2),0),$BV$3)+$BN666,
INDEX($A666:$BM666,,$BV$12)*$BW$12+
INDEX($A666:$BM666,,$BV$15)*$BW$15+
INDEX($A666:$BM666,,$BV$16)*$BW$16+
INDEX($A666:$BM666,,$BV$17)*$BW$17+
INDEX($A666:$BM666,,$BV$18)*$BW$18+
INDEX($A666:$BM666,,$BV$19)*$BW$19+
INDEX($A666:$BM666,,$BV$20)*$BW$20+
INDEX($A666:$BM666,,$BV$21)*$BW$21+
INDEX($A666:$BM666,,$BV$22)*$BW$22+
INDEX($A666:$BM666,,$BV$23)*$BW$23+
INDEX($A666:$BM666,,$BV$25)*$BW$25+
INDEX($A666:$BM666,,$BV$26)*$BW$26+
INDEX($A666:$BM666,,$BV$27)*$BW$27+
$BN666)),
$BN666-100)</f>
        <v>-100</v>
      </c>
      <c r="AT666" t="str">
        <f t="shared" si="135"/>
        <v/>
      </c>
      <c r="AU666" t="str">
        <f t="shared" si="136"/>
        <v/>
      </c>
      <c r="AV666" s="430">
        <f>IFERROR(
IF(AT666="",-100,
IF($BV$2&gt;0, INDEX(Beersheet!$A:$U,MATCH(AT666,INDEX(Beersheet!$A:$U,0,FFARawStatProjections!$BV$2),0),$BV$3)+$BN666,
INDEX($A666:$BM666,,$BV$12)*$BW$12+
INDEX($A666:$BM666,,$BV$15)*$BW$15+
INDEX($A666:$BM666,,$BV$16)*$BW$16+
INDEX($A666:$BM666,,$BV$17)*$BW$17+
INDEX($A666:$BM666,,$BV$18)*$BW$18+
INDEX($A666:$BM666,,$BV$19)*$BW$19+
INDEX($A666:$BM666,,$BV$20)*$BW$20+
INDEX($A666:$BM666,,$BV$21)*$BW$21+
INDEX($A666:$BM666,,$BV$22)*$BW$22+
INDEX($A666:$BM666,,$BV$23)*$BW$23+
INDEX($A666:$BM666,,$BV$25)*$BW$25+
INDEX($A666:$BM666,,$BV$26)*$BW$26+
INDEX($A666:$BM666,,$BV$27)*$BW$27+
$BN666)),
$BN666-100)</f>
        <v>-100</v>
      </c>
      <c r="AX666" t="str">
        <f t="shared" si="137"/>
        <v/>
      </c>
      <c r="AY666" t="str">
        <f t="shared" si="138"/>
        <v/>
      </c>
      <c r="AZ666" s="430">
        <f>IFERROR(
IF(AX666="",-100,
IF($BV$2&gt;0, INDEX(Beersheet!$A:$U,MATCH(AX666,INDEX(Beersheet!$A:$U,0,FFARawStatProjections!$BV$2),0),$BV$3)+$BN666,
INDEX($A666:$BM666,,$BV$12)*$BW$12+
INDEX($A666:$BM666,,$BV$15)*$BW$15+
INDEX($A666:$BM666,,$BV$16)*$BW$16+
INDEX($A666:$BM666,,$BV$17)*$BW$17+
INDEX($A666:$BM666,,$BV$18)*$BW$18+
INDEX($A666:$BM666,,$BV$19)*$BW$19+
INDEX($A666:$BM666,,$BV$20)*$BW$20+
INDEX($A666:$BM666,,$BV$21)*$BW$21+
INDEX($A666:$BM666,,$BV$22)*$BW$22+
INDEX($A666:$BM666,,$BV$23)*$BW$23+
INDEX($A666:$BM666,,$BV$25)*$BW$25+
INDEX($A666:$BM666,,$BV$26)*$BW$26+
INDEX($A666:$BM666,,$BV$27)*$BW$27+
$BN666)),
$BN666-100)</f>
        <v>-100</v>
      </c>
      <c r="BB666" t="str">
        <f t="shared" si="139"/>
        <v>Josh Oliver</v>
      </c>
      <c r="BC666" t="str">
        <f t="shared" si="133"/>
        <v>MIN</v>
      </c>
      <c r="BD666" s="430">
        <f>IFERROR(
IF(BB666="",-100,
IF($BV$2&gt;0, INDEX(Beersheet!$A:$U,MATCH(BB666,INDEX(Beersheet!$A:$U,0,FFARawStatProjections!$BV$2),0),$BV$3)+$BN666,
INDEX($A666:$BM666,,$BV$12)*$BW$12+
INDEX($A666:$BM666,,$BV$15)*$BW$15+
INDEX($A666:$BM666,,$BV$16)*$BW$16+
INDEX($A666:$BM666,,$BV$17)*$BW$17+
INDEX($A666:$BM666,,$BV$18)*$BW$18+
INDEX($A666:$BM666,,$BV$19)*$BW$19+
INDEX($A666:$BM666,,$BV$20)*$BW$20+
INDEX($A666:$BM666,,$BV$21)*$BW$21+
INDEX($A666:$BM666,,$BV$22)*$BW$22+
INDEX($A666:$BM666,,$BV$23)*$BW$23+
INDEX($A666:$BM666,,$BV$25)*$BW$25+
INDEX($A666:$BM666,,$BV$26)*$BW$26+
INDEX($A666:$BM666,,$BV$27)*$BW$27+
$BN666)),
$BN666-100)</f>
        <v>38.416649999999997</v>
      </c>
      <c r="BF666" t="str">
        <f t="shared" si="140"/>
        <v/>
      </c>
      <c r="BG666" t="str">
        <f t="shared" si="141"/>
        <v/>
      </c>
      <c r="BH666">
        <f t="shared" si="142"/>
        <v>0</v>
      </c>
      <c r="BJ666" t="str">
        <f t="shared" si="143"/>
        <v/>
      </c>
      <c r="BL666">
        <f t="shared" si="145"/>
        <v>0</v>
      </c>
      <c r="BN666">
        <v>6.6499999999999997E-3</v>
      </c>
      <c r="BS666" s="4" t="s">
        <v>2264</v>
      </c>
    </row>
    <row r="667" spans="1:71" ht="15.75" thickBot="1" x14ac:dyDescent="0.3">
      <c r="A667" s="569" t="s">
        <v>2252</v>
      </c>
      <c r="B667" s="569" t="s">
        <v>159</v>
      </c>
      <c r="C667" s="569" t="s">
        <v>7</v>
      </c>
      <c r="D667" s="574">
        <v>7</v>
      </c>
      <c r="E667" s="569"/>
      <c r="F667" s="569"/>
      <c r="G667" s="569"/>
      <c r="H667" s="569"/>
      <c r="I667" s="574">
        <v>0</v>
      </c>
      <c r="J667" s="574">
        <v>0</v>
      </c>
      <c r="K667" s="574">
        <v>0</v>
      </c>
      <c r="L667" s="574">
        <v>15.2</v>
      </c>
      <c r="M667" s="574">
        <v>1.4</v>
      </c>
      <c r="N667" s="574">
        <v>147.5</v>
      </c>
      <c r="O667" s="574">
        <v>0</v>
      </c>
      <c r="P667" s="574">
        <v>0</v>
      </c>
      <c r="Q667" s="574">
        <v>0</v>
      </c>
      <c r="R667" s="569"/>
      <c r="S667" s="569"/>
      <c r="T667" s="569"/>
      <c r="U667" s="569"/>
      <c r="V667" s="569"/>
      <c r="W667" s="569"/>
      <c r="X667" s="569"/>
      <c r="Y667" s="569"/>
      <c r="Z667" s="569"/>
      <c r="AA667" s="569"/>
      <c r="AB667" s="569"/>
      <c r="AC667" s="569"/>
      <c r="AD667" s="569"/>
      <c r="AE667" s="569"/>
      <c r="AF667" s="569"/>
      <c r="AG667" s="569"/>
      <c r="AH667" s="569"/>
      <c r="AI667" s="569"/>
      <c r="AJ667" s="569"/>
      <c r="AK667" s="569"/>
      <c r="AL667" s="569"/>
      <c r="AM667" s="569"/>
      <c r="AN667" s="574">
        <v>22.4</v>
      </c>
      <c r="AO667">
        <v>666</v>
      </c>
      <c r="AP667" t="str">
        <f t="shared" si="144"/>
        <v/>
      </c>
      <c r="AQ667" t="str">
        <f t="shared" si="134"/>
        <v/>
      </c>
      <c r="AR667" s="430">
        <f>IFERROR(
IF(AP667="",-100,
IF($BV$2&gt;0, INDEX(Beersheet!$A:$U,MATCH(AP667,INDEX(Beersheet!$A:$U,0,FFARawStatProjections!$BV$2),0),$BV$3)+$BN667,
INDEX($A667:$BM667,,$BV$12)*$BW$12+
INDEX($A667:$BM667,,$BV$15)*$BW$15+
INDEX($A667:$BM667,,$BV$16)*$BW$16+
INDEX($A667:$BM667,,$BV$17)*$BW$17+
INDEX($A667:$BM667,,$BV$18)*$BW$18+
INDEX($A667:$BM667,,$BV$19)*$BW$19+
INDEX($A667:$BM667,,$BV$20)*$BW$20+
INDEX($A667:$BM667,,$BV$21)*$BW$21+
INDEX($A667:$BM667,,$BV$22)*$BW$22+
INDEX($A667:$BM667,,$BV$23)*$BW$23+
INDEX($A667:$BM667,,$BV$25)*$BW$25+
INDEX($A667:$BM667,,$BV$26)*$BW$26+
INDEX($A667:$BM667,,$BV$27)*$BW$27+
$BN667)),
$BN667-100)</f>
        <v>-100</v>
      </c>
      <c r="AT667" t="str">
        <f t="shared" si="135"/>
        <v/>
      </c>
      <c r="AU667" t="str">
        <f t="shared" si="136"/>
        <v/>
      </c>
      <c r="AV667" s="430">
        <f>IFERROR(
IF(AT667="",-100,
IF($BV$2&gt;0, INDEX(Beersheet!$A:$U,MATCH(AT667,INDEX(Beersheet!$A:$U,0,FFARawStatProjections!$BV$2),0),$BV$3)+$BN667,
INDEX($A667:$BM667,,$BV$12)*$BW$12+
INDEX($A667:$BM667,,$BV$15)*$BW$15+
INDEX($A667:$BM667,,$BV$16)*$BW$16+
INDEX($A667:$BM667,,$BV$17)*$BW$17+
INDEX($A667:$BM667,,$BV$18)*$BW$18+
INDEX($A667:$BM667,,$BV$19)*$BW$19+
INDEX($A667:$BM667,,$BV$20)*$BW$20+
INDEX($A667:$BM667,,$BV$21)*$BW$21+
INDEX($A667:$BM667,,$BV$22)*$BW$22+
INDEX($A667:$BM667,,$BV$23)*$BW$23+
INDEX($A667:$BM667,,$BV$25)*$BW$25+
INDEX($A667:$BM667,,$BV$26)*$BW$26+
INDEX($A667:$BM667,,$BV$27)*$BW$27+
$BN667)),
$BN667-100)</f>
        <v>-100</v>
      </c>
      <c r="AX667" t="str">
        <f t="shared" si="137"/>
        <v/>
      </c>
      <c r="AY667" t="str">
        <f t="shared" si="138"/>
        <v/>
      </c>
      <c r="AZ667" s="430">
        <f>IFERROR(
IF(AX667="",-100,
IF($BV$2&gt;0, INDEX(Beersheet!$A:$U,MATCH(AX667,INDEX(Beersheet!$A:$U,0,FFARawStatProjections!$BV$2),0),$BV$3)+$BN667,
INDEX($A667:$BM667,,$BV$12)*$BW$12+
INDEX($A667:$BM667,,$BV$15)*$BW$15+
INDEX($A667:$BM667,,$BV$16)*$BW$16+
INDEX($A667:$BM667,,$BV$17)*$BW$17+
INDEX($A667:$BM667,,$BV$18)*$BW$18+
INDEX($A667:$BM667,,$BV$19)*$BW$19+
INDEX($A667:$BM667,,$BV$20)*$BW$20+
INDEX($A667:$BM667,,$BV$21)*$BW$21+
INDEX($A667:$BM667,,$BV$22)*$BW$22+
INDEX($A667:$BM667,,$BV$23)*$BW$23+
INDEX($A667:$BM667,,$BV$25)*$BW$25+
INDEX($A667:$BM667,,$BV$26)*$BW$26+
INDEX($A667:$BM667,,$BV$27)*$BW$27+
$BN667)),
$BN667-100)</f>
        <v>-100</v>
      </c>
      <c r="BB667" t="str">
        <f t="shared" si="139"/>
        <v>Tommy Tremble</v>
      </c>
      <c r="BC667" t="str">
        <f t="shared" si="133"/>
        <v>CAR</v>
      </c>
      <c r="BD667" s="430">
        <f>IFERROR(
IF(BB667="",-100,
IF($BV$2&gt;0, INDEX(Beersheet!$A:$U,MATCH(BB667,INDEX(Beersheet!$A:$U,0,FFARawStatProjections!$BV$2),0),$BV$3)+$BN667,
INDEX($A667:$BM667,,$BV$12)*$BW$12+
INDEX($A667:$BM667,,$BV$15)*$BW$15+
INDEX($A667:$BM667,,$BV$16)*$BW$16+
INDEX($A667:$BM667,,$BV$17)*$BW$17+
INDEX($A667:$BM667,,$BV$18)*$BW$18+
INDEX($A667:$BM667,,$BV$19)*$BW$19+
INDEX($A667:$BM667,,$BV$20)*$BW$20+
INDEX($A667:$BM667,,$BV$21)*$BW$21+
INDEX($A667:$BM667,,$BV$22)*$BW$22+
INDEX($A667:$BM667,,$BV$23)*$BW$23+
INDEX($A667:$BM667,,$BV$25)*$BW$25+
INDEX($A667:$BM667,,$BV$26)*$BW$26+
INDEX($A667:$BM667,,$BV$27)*$BW$27+
$BN667)),
$BN667-100)</f>
        <v>38.356659999999991</v>
      </c>
      <c r="BF667" t="str">
        <f t="shared" si="140"/>
        <v/>
      </c>
      <c r="BG667" t="str">
        <f t="shared" si="141"/>
        <v/>
      </c>
      <c r="BH667">
        <f t="shared" si="142"/>
        <v>0</v>
      </c>
      <c r="BJ667" t="str">
        <f t="shared" si="143"/>
        <v/>
      </c>
      <c r="BL667">
        <f t="shared" si="145"/>
        <v>0</v>
      </c>
      <c r="BN667">
        <v>6.6600000000000001E-3</v>
      </c>
      <c r="BS667" s="4" t="s">
        <v>2154</v>
      </c>
    </row>
    <row r="668" spans="1:71" ht="15.75" thickBot="1" x14ac:dyDescent="0.3">
      <c r="A668" s="569" t="s">
        <v>2489</v>
      </c>
      <c r="B668" s="569" t="s">
        <v>166</v>
      </c>
      <c r="C668" s="569" t="s">
        <v>7</v>
      </c>
      <c r="D668" s="574">
        <v>10</v>
      </c>
      <c r="E668" s="569"/>
      <c r="F668" s="569"/>
      <c r="G668" s="569"/>
      <c r="H668" s="569"/>
      <c r="I668" s="574">
        <v>0</v>
      </c>
      <c r="J668" s="574">
        <v>0</v>
      </c>
      <c r="K668" s="574">
        <v>0</v>
      </c>
      <c r="L668" s="574">
        <v>11</v>
      </c>
      <c r="M668" s="574">
        <v>0.7</v>
      </c>
      <c r="N668" s="574">
        <v>173.4</v>
      </c>
      <c r="O668" s="574">
        <v>0</v>
      </c>
      <c r="P668" s="574">
        <v>0</v>
      </c>
      <c r="Q668" s="574">
        <v>0</v>
      </c>
      <c r="R668" s="569"/>
      <c r="S668" s="569"/>
      <c r="T668" s="569"/>
      <c r="U668" s="569"/>
      <c r="V668" s="569"/>
      <c r="W668" s="569"/>
      <c r="X668" s="569"/>
      <c r="Y668" s="569"/>
      <c r="Z668" s="569"/>
      <c r="AA668" s="569"/>
      <c r="AB668" s="569"/>
      <c r="AC668" s="569"/>
      <c r="AD668" s="569"/>
      <c r="AE668" s="569"/>
      <c r="AF668" s="569"/>
      <c r="AG668" s="569"/>
      <c r="AH668" s="569"/>
      <c r="AI668" s="569"/>
      <c r="AJ668" s="569"/>
      <c r="AK668" s="569"/>
      <c r="AL668" s="569"/>
      <c r="AM668" s="569"/>
      <c r="AN668" s="574">
        <v>21.4</v>
      </c>
      <c r="AO668">
        <v>667</v>
      </c>
      <c r="AP668" t="str">
        <f t="shared" si="144"/>
        <v/>
      </c>
      <c r="AQ668" t="str">
        <f t="shared" si="134"/>
        <v/>
      </c>
      <c r="AR668" s="430">
        <f>IFERROR(
IF(AP668="",-100,
IF($BV$2&gt;0, INDEX(Beersheet!$A:$U,MATCH(AP668,INDEX(Beersheet!$A:$U,0,FFARawStatProjections!$BV$2),0),$BV$3)+$BN668,
INDEX($A668:$BM668,,$BV$12)*$BW$12+
INDEX($A668:$BM668,,$BV$15)*$BW$15+
INDEX($A668:$BM668,,$BV$16)*$BW$16+
INDEX($A668:$BM668,,$BV$17)*$BW$17+
INDEX($A668:$BM668,,$BV$18)*$BW$18+
INDEX($A668:$BM668,,$BV$19)*$BW$19+
INDEX($A668:$BM668,,$BV$20)*$BW$20+
INDEX($A668:$BM668,,$BV$21)*$BW$21+
INDEX($A668:$BM668,,$BV$22)*$BW$22+
INDEX($A668:$BM668,,$BV$23)*$BW$23+
INDEX($A668:$BM668,,$BV$25)*$BW$25+
INDEX($A668:$BM668,,$BV$26)*$BW$26+
INDEX($A668:$BM668,,$BV$27)*$BW$27+
$BN668)),
$BN668-100)</f>
        <v>-100</v>
      </c>
      <c r="AT668" t="str">
        <f t="shared" si="135"/>
        <v/>
      </c>
      <c r="AU668" t="str">
        <f t="shared" si="136"/>
        <v/>
      </c>
      <c r="AV668" s="430">
        <f>IFERROR(
IF(AT668="",-100,
IF($BV$2&gt;0, INDEX(Beersheet!$A:$U,MATCH(AT668,INDEX(Beersheet!$A:$U,0,FFARawStatProjections!$BV$2),0),$BV$3)+$BN668,
INDEX($A668:$BM668,,$BV$12)*$BW$12+
INDEX($A668:$BM668,,$BV$15)*$BW$15+
INDEX($A668:$BM668,,$BV$16)*$BW$16+
INDEX($A668:$BM668,,$BV$17)*$BW$17+
INDEX($A668:$BM668,,$BV$18)*$BW$18+
INDEX($A668:$BM668,,$BV$19)*$BW$19+
INDEX($A668:$BM668,,$BV$20)*$BW$20+
INDEX($A668:$BM668,,$BV$21)*$BW$21+
INDEX($A668:$BM668,,$BV$22)*$BW$22+
INDEX($A668:$BM668,,$BV$23)*$BW$23+
INDEX($A668:$BM668,,$BV$25)*$BW$25+
INDEX($A668:$BM668,,$BV$26)*$BW$26+
INDEX($A668:$BM668,,$BV$27)*$BW$27+
$BN668)),
$BN668-100)</f>
        <v>-100</v>
      </c>
      <c r="AX668" t="str">
        <f t="shared" si="137"/>
        <v/>
      </c>
      <c r="AY668" t="str">
        <f t="shared" si="138"/>
        <v/>
      </c>
      <c r="AZ668" s="430">
        <f>IFERROR(
IF(AX668="",-100,
IF($BV$2&gt;0, INDEX(Beersheet!$A:$U,MATCH(AX668,INDEX(Beersheet!$A:$U,0,FFARawStatProjections!$BV$2),0),$BV$3)+$BN668,
INDEX($A668:$BM668,,$BV$12)*$BW$12+
INDEX($A668:$BM668,,$BV$15)*$BW$15+
INDEX($A668:$BM668,,$BV$16)*$BW$16+
INDEX($A668:$BM668,,$BV$17)*$BW$17+
INDEX($A668:$BM668,,$BV$18)*$BW$18+
INDEX($A668:$BM668,,$BV$19)*$BW$19+
INDEX($A668:$BM668,,$BV$20)*$BW$20+
INDEX($A668:$BM668,,$BV$21)*$BW$21+
INDEX($A668:$BM668,,$BV$22)*$BW$22+
INDEX($A668:$BM668,,$BV$23)*$BW$23+
INDEX($A668:$BM668,,$BV$25)*$BW$25+
INDEX($A668:$BM668,,$BV$26)*$BW$26+
INDEX($A668:$BM668,,$BV$27)*$BW$27+
$BN668)),
$BN668-100)</f>
        <v>-100</v>
      </c>
      <c r="BB668" t="str">
        <f t="shared" si="139"/>
        <v>Elijah Higgins</v>
      </c>
      <c r="BC668" t="str">
        <f t="shared" si="133"/>
        <v>MIA</v>
      </c>
      <c r="BD668" s="430">
        <f>IFERROR(
IF(BB668="",-100,
IF($BV$2&gt;0, INDEX(Beersheet!$A:$U,MATCH(BB668,INDEX(Beersheet!$A:$U,0,FFARawStatProjections!$BV$2),0),$BV$3)+$BN668,
INDEX($A668:$BM668,,$BV$12)*$BW$12+
INDEX($A668:$BM668,,$BV$15)*$BW$15+
INDEX($A668:$BM668,,$BV$16)*$BW$16+
INDEX($A668:$BM668,,$BV$17)*$BW$17+
INDEX($A668:$BM668,,$BV$18)*$BW$18+
INDEX($A668:$BM668,,$BV$19)*$BW$19+
INDEX($A668:$BM668,,$BV$20)*$BW$20+
INDEX($A668:$BM668,,$BV$21)*$BW$21+
INDEX($A668:$BM668,,$BV$22)*$BW$22+
INDEX($A668:$BM668,,$BV$23)*$BW$23+
INDEX($A668:$BM668,,$BV$25)*$BW$25+
INDEX($A668:$BM668,,$BV$26)*$BW$26+
INDEX($A668:$BM668,,$BV$27)*$BW$27+
$BN668)),
$BN668-100)</f>
        <v>32.546669999999999</v>
      </c>
      <c r="BF668" t="str">
        <f t="shared" si="140"/>
        <v/>
      </c>
      <c r="BG668" t="str">
        <f t="shared" si="141"/>
        <v/>
      </c>
      <c r="BH668">
        <f t="shared" si="142"/>
        <v>0</v>
      </c>
      <c r="BJ668" t="str">
        <f t="shared" si="143"/>
        <v/>
      </c>
      <c r="BL668">
        <f t="shared" si="145"/>
        <v>0</v>
      </c>
      <c r="BN668">
        <v>6.6699999999999997E-3</v>
      </c>
      <c r="BS668" s="4" t="s">
        <v>1225</v>
      </c>
    </row>
    <row r="669" spans="1:71" ht="15.75" thickBot="1" x14ac:dyDescent="0.3">
      <c r="A669" s="569" t="s">
        <v>2253</v>
      </c>
      <c r="B669" s="569" t="s">
        <v>140</v>
      </c>
      <c r="C669" s="569" t="s">
        <v>7</v>
      </c>
      <c r="D669" s="574">
        <v>5</v>
      </c>
      <c r="E669" s="569"/>
      <c r="F669" s="569"/>
      <c r="G669" s="569"/>
      <c r="H669" s="569"/>
      <c r="I669" s="574">
        <v>0</v>
      </c>
      <c r="J669" s="574">
        <v>0</v>
      </c>
      <c r="K669" s="574">
        <v>0</v>
      </c>
      <c r="L669" s="574">
        <v>14</v>
      </c>
      <c r="M669" s="574">
        <v>0.8</v>
      </c>
      <c r="N669" s="574">
        <v>163.5</v>
      </c>
      <c r="O669" s="574">
        <v>0</v>
      </c>
      <c r="P669" s="574">
        <v>0</v>
      </c>
      <c r="Q669" s="574">
        <v>0</v>
      </c>
      <c r="R669" s="569"/>
      <c r="S669" s="569"/>
      <c r="T669" s="569"/>
      <c r="U669" s="569"/>
      <c r="V669" s="569"/>
      <c r="W669" s="569"/>
      <c r="X669" s="569"/>
      <c r="Y669" s="569"/>
      <c r="Z669" s="569"/>
      <c r="AA669" s="569"/>
      <c r="AB669" s="569"/>
      <c r="AC669" s="569"/>
      <c r="AD669" s="569"/>
      <c r="AE669" s="569"/>
      <c r="AF669" s="569"/>
      <c r="AG669" s="569"/>
      <c r="AH669" s="569"/>
      <c r="AI669" s="569"/>
      <c r="AJ669" s="569"/>
      <c r="AK669" s="569"/>
      <c r="AL669" s="569"/>
      <c r="AM669" s="569"/>
      <c r="AN669" s="574">
        <v>21.4</v>
      </c>
      <c r="AO669">
        <v>668</v>
      </c>
      <c r="AP669" t="str">
        <f t="shared" si="144"/>
        <v/>
      </c>
      <c r="AQ669" t="str">
        <f t="shared" si="134"/>
        <v/>
      </c>
      <c r="AR669" s="430">
        <f>IFERROR(
IF(AP669="",-100,
IF($BV$2&gt;0, INDEX(Beersheet!$A:$U,MATCH(AP669,INDEX(Beersheet!$A:$U,0,FFARawStatProjections!$BV$2),0),$BV$3)+$BN669,
INDEX($A669:$BM669,,$BV$12)*$BW$12+
INDEX($A669:$BM669,,$BV$15)*$BW$15+
INDEX($A669:$BM669,,$BV$16)*$BW$16+
INDEX($A669:$BM669,,$BV$17)*$BW$17+
INDEX($A669:$BM669,,$BV$18)*$BW$18+
INDEX($A669:$BM669,,$BV$19)*$BW$19+
INDEX($A669:$BM669,,$BV$20)*$BW$20+
INDEX($A669:$BM669,,$BV$21)*$BW$21+
INDEX($A669:$BM669,,$BV$22)*$BW$22+
INDEX($A669:$BM669,,$BV$23)*$BW$23+
INDEX($A669:$BM669,,$BV$25)*$BW$25+
INDEX($A669:$BM669,,$BV$26)*$BW$26+
INDEX($A669:$BM669,,$BV$27)*$BW$27+
$BN669)),
$BN669-100)</f>
        <v>-100</v>
      </c>
      <c r="AT669" t="str">
        <f t="shared" si="135"/>
        <v/>
      </c>
      <c r="AU669" t="str">
        <f t="shared" si="136"/>
        <v/>
      </c>
      <c r="AV669" s="430">
        <f>IFERROR(
IF(AT669="",-100,
IF($BV$2&gt;0, INDEX(Beersheet!$A:$U,MATCH(AT669,INDEX(Beersheet!$A:$U,0,FFARawStatProjections!$BV$2),0),$BV$3)+$BN669,
INDEX($A669:$BM669,,$BV$12)*$BW$12+
INDEX($A669:$BM669,,$BV$15)*$BW$15+
INDEX($A669:$BM669,,$BV$16)*$BW$16+
INDEX($A669:$BM669,,$BV$17)*$BW$17+
INDEX($A669:$BM669,,$BV$18)*$BW$18+
INDEX($A669:$BM669,,$BV$19)*$BW$19+
INDEX($A669:$BM669,,$BV$20)*$BW$20+
INDEX($A669:$BM669,,$BV$21)*$BW$21+
INDEX($A669:$BM669,,$BV$22)*$BW$22+
INDEX($A669:$BM669,,$BV$23)*$BW$23+
INDEX($A669:$BM669,,$BV$25)*$BW$25+
INDEX($A669:$BM669,,$BV$26)*$BW$26+
INDEX($A669:$BM669,,$BV$27)*$BW$27+
$BN669)),
$BN669-100)</f>
        <v>-100</v>
      </c>
      <c r="AX669" t="str">
        <f t="shared" si="137"/>
        <v/>
      </c>
      <c r="AY669" t="str">
        <f t="shared" si="138"/>
        <v/>
      </c>
      <c r="AZ669" s="430">
        <f>IFERROR(
IF(AX669="",-100,
IF($BV$2&gt;0, INDEX(Beersheet!$A:$U,MATCH(AX669,INDEX(Beersheet!$A:$U,0,FFARawStatProjections!$BV$2),0),$BV$3)+$BN669,
INDEX($A669:$BM669,,$BV$12)*$BW$12+
INDEX($A669:$BM669,,$BV$15)*$BW$15+
INDEX($A669:$BM669,,$BV$16)*$BW$16+
INDEX($A669:$BM669,,$BV$17)*$BW$17+
INDEX($A669:$BM669,,$BV$18)*$BW$18+
INDEX($A669:$BM669,,$BV$19)*$BW$19+
INDEX($A669:$BM669,,$BV$20)*$BW$20+
INDEX($A669:$BM669,,$BV$21)*$BW$21+
INDEX($A669:$BM669,,$BV$22)*$BW$22+
INDEX($A669:$BM669,,$BV$23)*$BW$23+
INDEX($A669:$BM669,,$BV$25)*$BW$25+
INDEX($A669:$BM669,,$BV$26)*$BW$26+
INDEX($A669:$BM669,,$BV$27)*$BW$27+
$BN669)),
$BN669-100)</f>
        <v>-100</v>
      </c>
      <c r="BB669" t="str">
        <f t="shared" si="139"/>
        <v>Colby Parkinson</v>
      </c>
      <c r="BC669" t="str">
        <f t="shared" si="133"/>
        <v>SEA</v>
      </c>
      <c r="BD669" s="430">
        <f>IFERROR(
IF(BB669="",-100,
IF($BV$2&gt;0, INDEX(Beersheet!$A:$U,MATCH(BB669,INDEX(Beersheet!$A:$U,0,FFARawStatProjections!$BV$2),0),$BV$3)+$BN669,
INDEX($A669:$BM669,,$BV$12)*$BW$12+
INDEX($A669:$BM669,,$BV$15)*$BW$15+
INDEX($A669:$BM669,,$BV$16)*$BW$16+
INDEX($A669:$BM669,,$BV$17)*$BW$17+
INDEX($A669:$BM669,,$BV$18)*$BW$18+
INDEX($A669:$BM669,,$BV$19)*$BW$19+
INDEX($A669:$BM669,,$BV$20)*$BW$20+
INDEX($A669:$BM669,,$BV$21)*$BW$21+
INDEX($A669:$BM669,,$BV$22)*$BW$22+
INDEX($A669:$BM669,,$BV$23)*$BW$23+
INDEX($A669:$BM669,,$BV$25)*$BW$25+
INDEX($A669:$BM669,,$BV$26)*$BW$26+
INDEX($A669:$BM669,,$BV$27)*$BW$27+
$BN669)),
$BN669-100)</f>
        <v>35.156680000000009</v>
      </c>
      <c r="BF669" t="str">
        <f t="shared" si="140"/>
        <v/>
      </c>
      <c r="BG669" t="str">
        <f t="shared" si="141"/>
        <v/>
      </c>
      <c r="BH669">
        <f t="shared" si="142"/>
        <v>0</v>
      </c>
      <c r="BJ669" t="str">
        <f t="shared" si="143"/>
        <v/>
      </c>
      <c r="BL669">
        <f t="shared" si="145"/>
        <v>0</v>
      </c>
      <c r="BN669">
        <v>6.6800000000000002E-3</v>
      </c>
      <c r="BS669" s="4" t="s">
        <v>2157</v>
      </c>
    </row>
    <row r="670" spans="1:71" ht="15.75" thickBot="1" x14ac:dyDescent="0.3">
      <c r="A670" s="569" t="s">
        <v>1817</v>
      </c>
      <c r="B670" s="569" t="s">
        <v>159</v>
      </c>
      <c r="C670" s="569" t="s">
        <v>7</v>
      </c>
      <c r="D670" s="574">
        <v>7</v>
      </c>
      <c r="E670" s="569"/>
      <c r="F670" s="569"/>
      <c r="G670" s="569"/>
      <c r="H670" s="569"/>
      <c r="I670" s="574">
        <v>0</v>
      </c>
      <c r="J670" s="574">
        <v>0</v>
      </c>
      <c r="K670" s="574">
        <v>0</v>
      </c>
      <c r="L670" s="574">
        <v>17</v>
      </c>
      <c r="M670" s="574">
        <v>0.8</v>
      </c>
      <c r="N670" s="574">
        <v>165.2</v>
      </c>
      <c r="O670" s="574">
        <v>0</v>
      </c>
      <c r="P670" s="574">
        <v>0</v>
      </c>
      <c r="Q670" s="574">
        <v>0</v>
      </c>
      <c r="R670" s="569"/>
      <c r="S670" s="569"/>
      <c r="T670" s="569"/>
      <c r="U670" s="569"/>
      <c r="V670" s="569"/>
      <c r="W670" s="569"/>
      <c r="X670" s="569"/>
      <c r="Y670" s="569"/>
      <c r="Z670" s="569"/>
      <c r="AA670" s="569"/>
      <c r="AB670" s="569"/>
      <c r="AC670" s="569"/>
      <c r="AD670" s="569"/>
      <c r="AE670" s="569"/>
      <c r="AF670" s="569"/>
      <c r="AG670" s="569"/>
      <c r="AH670" s="569"/>
      <c r="AI670" s="569"/>
      <c r="AJ670" s="569"/>
      <c r="AK670" s="569"/>
      <c r="AL670" s="569"/>
      <c r="AM670" s="569"/>
      <c r="AN670" s="574">
        <v>21.1</v>
      </c>
      <c r="AO670">
        <v>669</v>
      </c>
      <c r="AP670" t="str">
        <f t="shared" si="144"/>
        <v/>
      </c>
      <c r="AQ670" t="str">
        <f t="shared" si="134"/>
        <v/>
      </c>
      <c r="AR670" s="430">
        <f>IFERROR(
IF(AP670="",-100,
IF($BV$2&gt;0, INDEX(Beersheet!$A:$U,MATCH(AP670,INDEX(Beersheet!$A:$U,0,FFARawStatProjections!$BV$2),0),$BV$3)+$BN670,
INDEX($A670:$BM670,,$BV$12)*$BW$12+
INDEX($A670:$BM670,,$BV$15)*$BW$15+
INDEX($A670:$BM670,,$BV$16)*$BW$16+
INDEX($A670:$BM670,,$BV$17)*$BW$17+
INDEX($A670:$BM670,,$BV$18)*$BW$18+
INDEX($A670:$BM670,,$BV$19)*$BW$19+
INDEX($A670:$BM670,,$BV$20)*$BW$20+
INDEX($A670:$BM670,,$BV$21)*$BW$21+
INDEX($A670:$BM670,,$BV$22)*$BW$22+
INDEX($A670:$BM670,,$BV$23)*$BW$23+
INDEX($A670:$BM670,,$BV$25)*$BW$25+
INDEX($A670:$BM670,,$BV$26)*$BW$26+
INDEX($A670:$BM670,,$BV$27)*$BW$27+
$BN670)),
$BN670-100)</f>
        <v>-100</v>
      </c>
      <c r="AT670" t="str">
        <f t="shared" si="135"/>
        <v/>
      </c>
      <c r="AU670" t="str">
        <f t="shared" si="136"/>
        <v/>
      </c>
      <c r="AV670" s="430">
        <f>IFERROR(
IF(AT670="",-100,
IF($BV$2&gt;0, INDEX(Beersheet!$A:$U,MATCH(AT670,INDEX(Beersheet!$A:$U,0,FFARawStatProjections!$BV$2),0),$BV$3)+$BN670,
INDEX($A670:$BM670,,$BV$12)*$BW$12+
INDEX($A670:$BM670,,$BV$15)*$BW$15+
INDEX($A670:$BM670,,$BV$16)*$BW$16+
INDEX($A670:$BM670,,$BV$17)*$BW$17+
INDEX($A670:$BM670,,$BV$18)*$BW$18+
INDEX($A670:$BM670,,$BV$19)*$BW$19+
INDEX($A670:$BM670,,$BV$20)*$BW$20+
INDEX($A670:$BM670,,$BV$21)*$BW$21+
INDEX($A670:$BM670,,$BV$22)*$BW$22+
INDEX($A670:$BM670,,$BV$23)*$BW$23+
INDEX($A670:$BM670,,$BV$25)*$BW$25+
INDEX($A670:$BM670,,$BV$26)*$BW$26+
INDEX($A670:$BM670,,$BV$27)*$BW$27+
$BN670)),
$BN670-100)</f>
        <v>-100</v>
      </c>
      <c r="AX670" t="str">
        <f t="shared" si="137"/>
        <v/>
      </c>
      <c r="AY670" t="str">
        <f t="shared" si="138"/>
        <v/>
      </c>
      <c r="AZ670" s="430">
        <f>IFERROR(
IF(AX670="",-100,
IF($BV$2&gt;0, INDEX(Beersheet!$A:$U,MATCH(AX670,INDEX(Beersheet!$A:$U,0,FFARawStatProjections!$BV$2),0),$BV$3)+$BN670,
INDEX($A670:$BM670,,$BV$12)*$BW$12+
INDEX($A670:$BM670,,$BV$15)*$BW$15+
INDEX($A670:$BM670,,$BV$16)*$BW$16+
INDEX($A670:$BM670,,$BV$17)*$BW$17+
INDEX($A670:$BM670,,$BV$18)*$BW$18+
INDEX($A670:$BM670,,$BV$19)*$BW$19+
INDEX($A670:$BM670,,$BV$20)*$BW$20+
INDEX($A670:$BM670,,$BV$21)*$BW$21+
INDEX($A670:$BM670,,$BV$22)*$BW$22+
INDEX($A670:$BM670,,$BV$23)*$BW$23+
INDEX($A670:$BM670,,$BV$25)*$BW$25+
INDEX($A670:$BM670,,$BV$26)*$BW$26+
INDEX($A670:$BM670,,$BV$27)*$BW$27+
$BN670)),
$BN670-100)</f>
        <v>-100</v>
      </c>
      <c r="BB670" t="str">
        <f t="shared" si="139"/>
        <v>Ian Thomas</v>
      </c>
      <c r="BC670" t="str">
        <f t="shared" si="133"/>
        <v>CAR</v>
      </c>
      <c r="BD670" s="430">
        <f>IFERROR(
IF(BB670="",-100,
IF($BV$2&gt;0, INDEX(Beersheet!$A:$U,MATCH(BB670,INDEX(Beersheet!$A:$U,0,FFARawStatProjections!$BV$2),0),$BV$3)+$BN670,
INDEX($A670:$BM670,,$BV$12)*$BW$12+
INDEX($A670:$BM670,,$BV$15)*$BW$15+
INDEX($A670:$BM670,,$BV$16)*$BW$16+
INDEX($A670:$BM670,,$BV$17)*$BW$17+
INDEX($A670:$BM670,,$BV$18)*$BW$18+
INDEX($A670:$BM670,,$BV$19)*$BW$19+
INDEX($A670:$BM670,,$BV$20)*$BW$20+
INDEX($A670:$BM670,,$BV$21)*$BW$21+
INDEX($A670:$BM670,,$BV$22)*$BW$22+
INDEX($A670:$BM670,,$BV$23)*$BW$23+
INDEX($A670:$BM670,,$BV$25)*$BW$25+
INDEX($A670:$BM670,,$BV$26)*$BW$26+
INDEX($A670:$BM670,,$BV$27)*$BW$27+
$BN670)),
$BN670-100)</f>
        <v>38.326689999999999</v>
      </c>
      <c r="BF670" t="str">
        <f t="shared" si="140"/>
        <v/>
      </c>
      <c r="BG670" t="str">
        <f t="shared" si="141"/>
        <v/>
      </c>
      <c r="BH670">
        <f t="shared" si="142"/>
        <v>0</v>
      </c>
      <c r="BJ670" t="str">
        <f t="shared" si="143"/>
        <v/>
      </c>
      <c r="BL670">
        <f t="shared" si="145"/>
        <v>0</v>
      </c>
      <c r="BN670">
        <v>6.6899999999999998E-3</v>
      </c>
      <c r="BS670" s="4" t="s">
        <v>2356</v>
      </c>
    </row>
    <row r="671" spans="1:71" ht="15.75" thickBot="1" x14ac:dyDescent="0.3">
      <c r="A671" s="569" t="s">
        <v>2245</v>
      </c>
      <c r="B671" s="569" t="s">
        <v>151</v>
      </c>
      <c r="C671" s="569" t="s">
        <v>7</v>
      </c>
      <c r="D671" s="574">
        <v>7</v>
      </c>
      <c r="E671" s="569"/>
      <c r="F671" s="569"/>
      <c r="G671" s="569"/>
      <c r="H671" s="569"/>
      <c r="I671" s="574">
        <v>0</v>
      </c>
      <c r="J671" s="574">
        <v>0</v>
      </c>
      <c r="K671" s="574">
        <v>0</v>
      </c>
      <c r="L671" s="574">
        <v>13</v>
      </c>
      <c r="M671" s="574">
        <v>0.7</v>
      </c>
      <c r="N671" s="574">
        <v>167.2</v>
      </c>
      <c r="O671" s="574">
        <v>0</v>
      </c>
      <c r="P671" s="574">
        <v>0</v>
      </c>
      <c r="Q671" s="574">
        <v>0</v>
      </c>
      <c r="R671" s="569"/>
      <c r="S671" s="569"/>
      <c r="T671" s="569"/>
      <c r="U671" s="569"/>
      <c r="V671" s="569"/>
      <c r="W671" s="569"/>
      <c r="X671" s="569"/>
      <c r="Y671" s="569"/>
      <c r="Z671" s="569"/>
      <c r="AA671" s="569"/>
      <c r="AB671" s="569"/>
      <c r="AC671" s="569"/>
      <c r="AD671" s="569"/>
      <c r="AE671" s="569"/>
      <c r="AF671" s="569"/>
      <c r="AG671" s="569"/>
      <c r="AH671" s="569"/>
      <c r="AI671" s="569"/>
      <c r="AJ671" s="569"/>
      <c r="AK671" s="569"/>
      <c r="AL671" s="569"/>
      <c r="AM671" s="569"/>
      <c r="AN671" s="574">
        <v>20.9</v>
      </c>
      <c r="AO671">
        <v>670</v>
      </c>
      <c r="AP671" t="str">
        <f t="shared" si="144"/>
        <v/>
      </c>
      <c r="AQ671" t="str">
        <f t="shared" si="134"/>
        <v/>
      </c>
      <c r="AR671" s="430">
        <f>IFERROR(
IF(AP671="",-100,
IF($BV$2&gt;0, INDEX(Beersheet!$A:$U,MATCH(AP671,INDEX(Beersheet!$A:$U,0,FFARawStatProjections!$BV$2),0),$BV$3)+$BN671,
INDEX($A671:$BM671,,$BV$12)*$BW$12+
INDEX($A671:$BM671,,$BV$15)*$BW$15+
INDEX($A671:$BM671,,$BV$16)*$BW$16+
INDEX($A671:$BM671,,$BV$17)*$BW$17+
INDEX($A671:$BM671,,$BV$18)*$BW$18+
INDEX($A671:$BM671,,$BV$19)*$BW$19+
INDEX($A671:$BM671,,$BV$20)*$BW$20+
INDEX($A671:$BM671,,$BV$21)*$BW$21+
INDEX($A671:$BM671,,$BV$22)*$BW$22+
INDEX($A671:$BM671,,$BV$23)*$BW$23+
INDEX($A671:$BM671,,$BV$25)*$BW$25+
INDEX($A671:$BM671,,$BV$26)*$BW$26+
INDEX($A671:$BM671,,$BV$27)*$BW$27+
$BN671)),
$BN671-100)</f>
        <v>-100</v>
      </c>
      <c r="AT671" t="str">
        <f t="shared" si="135"/>
        <v/>
      </c>
      <c r="AU671" t="str">
        <f t="shared" si="136"/>
        <v/>
      </c>
      <c r="AV671" s="430">
        <f>IFERROR(
IF(AT671="",-100,
IF($BV$2&gt;0, INDEX(Beersheet!$A:$U,MATCH(AT671,INDEX(Beersheet!$A:$U,0,FFARawStatProjections!$BV$2),0),$BV$3)+$BN671,
INDEX($A671:$BM671,,$BV$12)*$BW$12+
INDEX($A671:$BM671,,$BV$15)*$BW$15+
INDEX($A671:$BM671,,$BV$16)*$BW$16+
INDEX($A671:$BM671,,$BV$17)*$BW$17+
INDEX($A671:$BM671,,$BV$18)*$BW$18+
INDEX($A671:$BM671,,$BV$19)*$BW$19+
INDEX($A671:$BM671,,$BV$20)*$BW$20+
INDEX($A671:$BM671,,$BV$21)*$BW$21+
INDEX($A671:$BM671,,$BV$22)*$BW$22+
INDEX($A671:$BM671,,$BV$23)*$BW$23+
INDEX($A671:$BM671,,$BV$25)*$BW$25+
INDEX($A671:$BM671,,$BV$26)*$BW$26+
INDEX($A671:$BM671,,$BV$27)*$BW$27+
$BN671)),
$BN671-100)</f>
        <v>-100</v>
      </c>
      <c r="AX671" t="str">
        <f t="shared" si="137"/>
        <v/>
      </c>
      <c r="AY671" t="str">
        <f t="shared" si="138"/>
        <v/>
      </c>
      <c r="AZ671" s="430">
        <f>IFERROR(
IF(AX671="",-100,
IF($BV$2&gt;0, INDEX(Beersheet!$A:$U,MATCH(AX671,INDEX(Beersheet!$A:$U,0,FFARawStatProjections!$BV$2),0),$BV$3)+$BN671,
INDEX($A671:$BM671,,$BV$12)*$BW$12+
INDEX($A671:$BM671,,$BV$15)*$BW$15+
INDEX($A671:$BM671,,$BV$16)*$BW$16+
INDEX($A671:$BM671,,$BV$17)*$BW$17+
INDEX($A671:$BM671,,$BV$18)*$BW$18+
INDEX($A671:$BM671,,$BV$19)*$BW$19+
INDEX($A671:$BM671,,$BV$20)*$BW$20+
INDEX($A671:$BM671,,$BV$21)*$BW$21+
INDEX($A671:$BM671,,$BV$22)*$BW$22+
INDEX($A671:$BM671,,$BV$23)*$BW$23+
INDEX($A671:$BM671,,$BV$25)*$BW$25+
INDEX($A671:$BM671,,$BV$26)*$BW$26+
INDEX($A671:$BM671,,$BV$27)*$BW$27+
$BN671)),
$BN671-100)</f>
        <v>-100</v>
      </c>
      <c r="BB671" t="str">
        <f t="shared" si="139"/>
        <v>Brevin Jordan</v>
      </c>
      <c r="BC671" t="str">
        <f t="shared" si="133"/>
        <v>HOU</v>
      </c>
      <c r="BD671" s="430">
        <f>IFERROR(
IF(BB671="",-100,
IF($BV$2&gt;0, INDEX(Beersheet!$A:$U,MATCH(BB671,INDEX(Beersheet!$A:$U,0,FFARawStatProjections!$BV$2),0),$BV$3)+$BN671,
INDEX($A671:$BM671,,$BV$12)*$BW$12+
INDEX($A671:$BM671,,$BV$15)*$BW$15+
INDEX($A671:$BM671,,$BV$16)*$BW$16+
INDEX($A671:$BM671,,$BV$17)*$BW$17+
INDEX($A671:$BM671,,$BV$18)*$BW$18+
INDEX($A671:$BM671,,$BV$19)*$BW$19+
INDEX($A671:$BM671,,$BV$20)*$BW$20+
INDEX($A671:$BM671,,$BV$21)*$BW$21+
INDEX($A671:$BM671,,$BV$22)*$BW$22+
INDEX($A671:$BM671,,$BV$23)*$BW$23+
INDEX($A671:$BM671,,$BV$25)*$BW$25+
INDEX($A671:$BM671,,$BV$26)*$BW$26+
INDEX($A671:$BM671,,$BV$27)*$BW$27+
$BN671)),
$BN671-100)</f>
        <v>33.926700000000004</v>
      </c>
      <c r="BF671" t="str">
        <f t="shared" si="140"/>
        <v/>
      </c>
      <c r="BG671" t="str">
        <f t="shared" si="141"/>
        <v/>
      </c>
      <c r="BH671">
        <f t="shared" si="142"/>
        <v>0</v>
      </c>
      <c r="BJ671" t="str">
        <f t="shared" si="143"/>
        <v/>
      </c>
      <c r="BL671">
        <f t="shared" si="145"/>
        <v>0</v>
      </c>
      <c r="BN671">
        <v>6.7000000000000002E-3</v>
      </c>
      <c r="BS671" s="4" t="s">
        <v>2399</v>
      </c>
    </row>
    <row r="672" spans="1:71" ht="15.75" thickBot="1" x14ac:dyDescent="0.3">
      <c r="A672" s="569" t="s">
        <v>2502</v>
      </c>
      <c r="B672" s="569" t="s">
        <v>147</v>
      </c>
      <c r="C672" s="569" t="s">
        <v>7</v>
      </c>
      <c r="D672" s="574">
        <v>6</v>
      </c>
      <c r="E672" s="569"/>
      <c r="F672" s="569"/>
      <c r="G672" s="569"/>
      <c r="H672" s="569"/>
      <c r="I672" s="574">
        <v>0</v>
      </c>
      <c r="J672" s="574">
        <v>0</v>
      </c>
      <c r="K672" s="574">
        <v>0</v>
      </c>
      <c r="L672" s="574">
        <v>13.3</v>
      </c>
      <c r="M672" s="574">
        <v>0.7</v>
      </c>
      <c r="N672" s="574">
        <v>169.4</v>
      </c>
      <c r="O672" s="574">
        <v>0</v>
      </c>
      <c r="P672" s="574">
        <v>0</v>
      </c>
      <c r="Q672" s="574">
        <v>0</v>
      </c>
      <c r="R672" s="569"/>
      <c r="S672" s="569"/>
      <c r="T672" s="569"/>
      <c r="U672" s="569"/>
      <c r="V672" s="569"/>
      <c r="W672" s="569"/>
      <c r="X672" s="569"/>
      <c r="Y672" s="569"/>
      <c r="Z672" s="569"/>
      <c r="AA672" s="569"/>
      <c r="AB672" s="569"/>
      <c r="AC672" s="569"/>
      <c r="AD672" s="569"/>
      <c r="AE672" s="569"/>
      <c r="AF672" s="569"/>
      <c r="AG672" s="569"/>
      <c r="AH672" s="569"/>
      <c r="AI672" s="569"/>
      <c r="AJ672" s="569"/>
      <c r="AK672" s="569"/>
      <c r="AL672" s="569"/>
      <c r="AM672" s="569"/>
      <c r="AN672" s="574">
        <v>20.9</v>
      </c>
      <c r="AO672">
        <v>671</v>
      </c>
      <c r="AP672" t="str">
        <f t="shared" si="144"/>
        <v/>
      </c>
      <c r="AQ672" t="str">
        <f t="shared" si="134"/>
        <v/>
      </c>
      <c r="AR672" s="430">
        <f>IFERROR(
IF(AP672="",-100,
IF($BV$2&gt;0, INDEX(Beersheet!$A:$U,MATCH(AP672,INDEX(Beersheet!$A:$U,0,FFARawStatProjections!$BV$2),0),$BV$3)+$BN672,
INDEX($A672:$BM672,,$BV$12)*$BW$12+
INDEX($A672:$BM672,,$BV$15)*$BW$15+
INDEX($A672:$BM672,,$BV$16)*$BW$16+
INDEX($A672:$BM672,,$BV$17)*$BW$17+
INDEX($A672:$BM672,,$BV$18)*$BW$18+
INDEX($A672:$BM672,,$BV$19)*$BW$19+
INDEX($A672:$BM672,,$BV$20)*$BW$20+
INDEX($A672:$BM672,,$BV$21)*$BW$21+
INDEX($A672:$BM672,,$BV$22)*$BW$22+
INDEX($A672:$BM672,,$BV$23)*$BW$23+
INDEX($A672:$BM672,,$BV$25)*$BW$25+
INDEX($A672:$BM672,,$BV$26)*$BW$26+
INDEX($A672:$BM672,,$BV$27)*$BW$27+
$BN672)),
$BN672-100)</f>
        <v>-100</v>
      </c>
      <c r="AT672" t="str">
        <f t="shared" si="135"/>
        <v/>
      </c>
      <c r="AU672" t="str">
        <f t="shared" si="136"/>
        <v/>
      </c>
      <c r="AV672" s="430">
        <f>IFERROR(
IF(AT672="",-100,
IF($BV$2&gt;0, INDEX(Beersheet!$A:$U,MATCH(AT672,INDEX(Beersheet!$A:$U,0,FFARawStatProjections!$BV$2),0),$BV$3)+$BN672,
INDEX($A672:$BM672,,$BV$12)*$BW$12+
INDEX($A672:$BM672,,$BV$15)*$BW$15+
INDEX($A672:$BM672,,$BV$16)*$BW$16+
INDEX($A672:$BM672,,$BV$17)*$BW$17+
INDEX($A672:$BM672,,$BV$18)*$BW$18+
INDEX($A672:$BM672,,$BV$19)*$BW$19+
INDEX($A672:$BM672,,$BV$20)*$BW$20+
INDEX($A672:$BM672,,$BV$21)*$BW$21+
INDEX($A672:$BM672,,$BV$22)*$BW$22+
INDEX($A672:$BM672,,$BV$23)*$BW$23+
INDEX($A672:$BM672,,$BV$25)*$BW$25+
INDEX($A672:$BM672,,$BV$26)*$BW$26+
INDEX($A672:$BM672,,$BV$27)*$BW$27+
$BN672)),
$BN672-100)</f>
        <v>-100</v>
      </c>
      <c r="AX672" t="str">
        <f t="shared" si="137"/>
        <v/>
      </c>
      <c r="AY672" t="str">
        <f t="shared" si="138"/>
        <v/>
      </c>
      <c r="AZ672" s="430">
        <f>IFERROR(
IF(AX672="",-100,
IF($BV$2&gt;0, INDEX(Beersheet!$A:$U,MATCH(AX672,INDEX(Beersheet!$A:$U,0,FFARawStatProjections!$BV$2),0),$BV$3)+$BN672,
INDEX($A672:$BM672,,$BV$12)*$BW$12+
INDEX($A672:$BM672,,$BV$15)*$BW$15+
INDEX($A672:$BM672,,$BV$16)*$BW$16+
INDEX($A672:$BM672,,$BV$17)*$BW$17+
INDEX($A672:$BM672,,$BV$18)*$BW$18+
INDEX($A672:$BM672,,$BV$19)*$BW$19+
INDEX($A672:$BM672,,$BV$20)*$BW$20+
INDEX($A672:$BM672,,$BV$21)*$BW$21+
INDEX($A672:$BM672,,$BV$22)*$BW$22+
INDEX($A672:$BM672,,$BV$23)*$BW$23+
INDEX($A672:$BM672,,$BV$25)*$BW$25+
INDEX($A672:$BM672,,$BV$26)*$BW$26+
INDEX($A672:$BM672,,$BV$27)*$BW$27+
$BN672)),
$BN672-100)</f>
        <v>-100</v>
      </c>
      <c r="BB672" t="str">
        <f t="shared" si="139"/>
        <v>Darnell Washington</v>
      </c>
      <c r="BC672" t="str">
        <f t="shared" si="133"/>
        <v>PIT</v>
      </c>
      <c r="BD672" s="430">
        <f>IFERROR(
IF(BB672="",-100,
IF($BV$2&gt;0, INDEX(Beersheet!$A:$U,MATCH(BB672,INDEX(Beersheet!$A:$U,0,FFARawStatProjections!$BV$2),0),$BV$3)+$BN672,
INDEX($A672:$BM672,,$BV$12)*$BW$12+
INDEX($A672:$BM672,,$BV$15)*$BW$15+
INDEX($A672:$BM672,,$BV$16)*$BW$16+
INDEX($A672:$BM672,,$BV$17)*$BW$17+
INDEX($A672:$BM672,,$BV$18)*$BW$18+
INDEX($A672:$BM672,,$BV$19)*$BW$19+
INDEX($A672:$BM672,,$BV$20)*$BW$20+
INDEX($A672:$BM672,,$BV$21)*$BW$21+
INDEX($A672:$BM672,,$BV$22)*$BW$22+
INDEX($A672:$BM672,,$BV$23)*$BW$23+
INDEX($A672:$BM672,,$BV$25)*$BW$25+
INDEX($A672:$BM672,,$BV$26)*$BW$26+
INDEX($A672:$BM672,,$BV$27)*$BW$27+
$BN672)),
$BN672-100)</f>
        <v>34.446709999999996</v>
      </c>
      <c r="BF672" t="str">
        <f t="shared" si="140"/>
        <v/>
      </c>
      <c r="BG672" t="str">
        <f t="shared" si="141"/>
        <v/>
      </c>
      <c r="BH672">
        <f t="shared" si="142"/>
        <v>0</v>
      </c>
      <c r="BJ672" t="str">
        <f t="shared" si="143"/>
        <v/>
      </c>
      <c r="BL672">
        <f t="shared" si="145"/>
        <v>0</v>
      </c>
      <c r="BN672">
        <v>6.7099999999999998E-3</v>
      </c>
      <c r="BS672" s="4" t="s">
        <v>2175</v>
      </c>
    </row>
    <row r="673" spans="1:71" ht="15.75" thickBot="1" x14ac:dyDescent="0.3">
      <c r="A673" s="569" t="s">
        <v>2368</v>
      </c>
      <c r="B673" s="569" t="s">
        <v>151</v>
      </c>
      <c r="C673" s="569" t="s">
        <v>7</v>
      </c>
      <c r="D673" s="574">
        <v>7</v>
      </c>
      <c r="E673" s="569"/>
      <c r="F673" s="569"/>
      <c r="G673" s="569"/>
      <c r="H673" s="569"/>
      <c r="I673" s="574">
        <v>0</v>
      </c>
      <c r="J673" s="574">
        <v>0</v>
      </c>
      <c r="K673" s="574">
        <v>0</v>
      </c>
      <c r="L673" s="574">
        <v>12.4</v>
      </c>
      <c r="M673" s="574">
        <v>1</v>
      </c>
      <c r="N673" s="574">
        <v>148</v>
      </c>
      <c r="O673" s="574">
        <v>0</v>
      </c>
      <c r="P673" s="574">
        <v>0</v>
      </c>
      <c r="Q673" s="574">
        <v>0</v>
      </c>
      <c r="R673" s="569"/>
      <c r="S673" s="569"/>
      <c r="T673" s="569"/>
      <c r="U673" s="569"/>
      <c r="V673" s="569"/>
      <c r="W673" s="569"/>
      <c r="X673" s="569"/>
      <c r="Y673" s="569"/>
      <c r="Z673" s="569"/>
      <c r="AA673" s="569"/>
      <c r="AB673" s="569"/>
      <c r="AC673" s="569"/>
      <c r="AD673" s="569"/>
      <c r="AE673" s="569"/>
      <c r="AF673" s="569"/>
      <c r="AG673" s="569"/>
      <c r="AH673" s="569"/>
      <c r="AI673" s="569"/>
      <c r="AJ673" s="569"/>
      <c r="AK673" s="569"/>
      <c r="AL673" s="569"/>
      <c r="AM673" s="569"/>
      <c r="AN673" s="574">
        <v>20.7</v>
      </c>
      <c r="AO673">
        <v>672</v>
      </c>
      <c r="AP673" t="str">
        <f t="shared" si="144"/>
        <v/>
      </c>
      <c r="AQ673" t="str">
        <f t="shared" si="134"/>
        <v/>
      </c>
      <c r="AR673" s="430">
        <f>IFERROR(
IF(AP673="",-100,
IF($BV$2&gt;0, INDEX(Beersheet!$A:$U,MATCH(AP673,INDEX(Beersheet!$A:$U,0,FFARawStatProjections!$BV$2),0),$BV$3)+$BN673,
INDEX($A673:$BM673,,$BV$12)*$BW$12+
INDEX($A673:$BM673,,$BV$15)*$BW$15+
INDEX($A673:$BM673,,$BV$16)*$BW$16+
INDEX($A673:$BM673,,$BV$17)*$BW$17+
INDEX($A673:$BM673,,$BV$18)*$BW$18+
INDEX($A673:$BM673,,$BV$19)*$BW$19+
INDEX($A673:$BM673,,$BV$20)*$BW$20+
INDEX($A673:$BM673,,$BV$21)*$BW$21+
INDEX($A673:$BM673,,$BV$22)*$BW$22+
INDEX($A673:$BM673,,$BV$23)*$BW$23+
INDEX($A673:$BM673,,$BV$25)*$BW$25+
INDEX($A673:$BM673,,$BV$26)*$BW$26+
INDEX($A673:$BM673,,$BV$27)*$BW$27+
$BN673)),
$BN673-100)</f>
        <v>-100</v>
      </c>
      <c r="AT673" t="str">
        <f t="shared" si="135"/>
        <v/>
      </c>
      <c r="AU673" t="str">
        <f t="shared" si="136"/>
        <v/>
      </c>
      <c r="AV673" s="430">
        <f>IFERROR(
IF(AT673="",-100,
IF($BV$2&gt;0, INDEX(Beersheet!$A:$U,MATCH(AT673,INDEX(Beersheet!$A:$U,0,FFARawStatProjections!$BV$2),0),$BV$3)+$BN673,
INDEX($A673:$BM673,,$BV$12)*$BW$12+
INDEX($A673:$BM673,,$BV$15)*$BW$15+
INDEX($A673:$BM673,,$BV$16)*$BW$16+
INDEX($A673:$BM673,,$BV$17)*$BW$17+
INDEX($A673:$BM673,,$BV$18)*$BW$18+
INDEX($A673:$BM673,,$BV$19)*$BW$19+
INDEX($A673:$BM673,,$BV$20)*$BW$20+
INDEX($A673:$BM673,,$BV$21)*$BW$21+
INDEX($A673:$BM673,,$BV$22)*$BW$22+
INDEX($A673:$BM673,,$BV$23)*$BW$23+
INDEX($A673:$BM673,,$BV$25)*$BW$25+
INDEX($A673:$BM673,,$BV$26)*$BW$26+
INDEX($A673:$BM673,,$BV$27)*$BW$27+
$BN673)),
$BN673-100)</f>
        <v>-100</v>
      </c>
      <c r="AX673" t="str">
        <f t="shared" si="137"/>
        <v/>
      </c>
      <c r="AY673" t="str">
        <f t="shared" si="138"/>
        <v/>
      </c>
      <c r="AZ673" s="430">
        <f>IFERROR(
IF(AX673="",-100,
IF($BV$2&gt;0, INDEX(Beersheet!$A:$U,MATCH(AX673,INDEX(Beersheet!$A:$U,0,FFARawStatProjections!$BV$2),0),$BV$3)+$BN673,
INDEX($A673:$BM673,,$BV$12)*$BW$12+
INDEX($A673:$BM673,,$BV$15)*$BW$15+
INDEX($A673:$BM673,,$BV$16)*$BW$16+
INDEX($A673:$BM673,,$BV$17)*$BW$17+
INDEX($A673:$BM673,,$BV$18)*$BW$18+
INDEX($A673:$BM673,,$BV$19)*$BW$19+
INDEX($A673:$BM673,,$BV$20)*$BW$20+
INDEX($A673:$BM673,,$BV$21)*$BW$21+
INDEX($A673:$BM673,,$BV$22)*$BW$22+
INDEX($A673:$BM673,,$BV$23)*$BW$23+
INDEX($A673:$BM673,,$BV$25)*$BW$25+
INDEX($A673:$BM673,,$BV$26)*$BW$26+
INDEX($A673:$BM673,,$BV$27)*$BW$27+
$BN673)),
$BN673-100)</f>
        <v>-100</v>
      </c>
      <c r="BB673" t="str">
        <f t="shared" si="139"/>
        <v>Teagan Quitoriano</v>
      </c>
      <c r="BC673" t="str">
        <f t="shared" si="133"/>
        <v>HOU</v>
      </c>
      <c r="BD673" s="430">
        <f>IFERROR(
IF(BB673="",-100,
IF($BV$2&gt;0, INDEX(Beersheet!$A:$U,MATCH(BB673,INDEX(Beersheet!$A:$U,0,FFARawStatProjections!$BV$2),0),$BV$3)+$BN673,
INDEX($A673:$BM673,,$BV$12)*$BW$12+
INDEX($A673:$BM673,,$BV$15)*$BW$15+
INDEX($A673:$BM673,,$BV$16)*$BW$16+
INDEX($A673:$BM673,,$BV$17)*$BW$17+
INDEX($A673:$BM673,,$BV$18)*$BW$18+
INDEX($A673:$BM673,,$BV$19)*$BW$19+
INDEX($A673:$BM673,,$BV$20)*$BW$20+
INDEX($A673:$BM673,,$BV$21)*$BW$21+
INDEX($A673:$BM673,,$BV$22)*$BW$22+
INDEX($A673:$BM673,,$BV$23)*$BW$23+
INDEX($A673:$BM673,,$BV$25)*$BW$25+
INDEX($A673:$BM673,,$BV$26)*$BW$26+
INDEX($A673:$BM673,,$BV$27)*$BW$27+
$BN673)),
$BN673-100)</f>
        <v>33.206720000000004</v>
      </c>
      <c r="BF673" t="str">
        <f t="shared" si="140"/>
        <v/>
      </c>
      <c r="BG673" t="str">
        <f t="shared" si="141"/>
        <v/>
      </c>
      <c r="BH673">
        <f t="shared" si="142"/>
        <v>0</v>
      </c>
      <c r="BJ673" t="str">
        <f t="shared" si="143"/>
        <v/>
      </c>
      <c r="BL673">
        <f t="shared" si="145"/>
        <v>0</v>
      </c>
      <c r="BN673">
        <v>6.7200000000000003E-3</v>
      </c>
      <c r="BS673" s="4" t="s">
        <v>2317</v>
      </c>
    </row>
    <row r="674" spans="1:71" ht="15.75" thickBot="1" x14ac:dyDescent="0.3">
      <c r="A674" s="569" t="s">
        <v>2358</v>
      </c>
      <c r="B674" s="569" t="s">
        <v>154</v>
      </c>
      <c r="C674" s="569" t="s">
        <v>7</v>
      </c>
      <c r="D674" s="574">
        <v>13</v>
      </c>
      <c r="E674" s="569"/>
      <c r="F674" s="569"/>
      <c r="G674" s="569"/>
      <c r="H674" s="569"/>
      <c r="I674" s="574">
        <v>0</v>
      </c>
      <c r="J674" s="574">
        <v>0</v>
      </c>
      <c r="K674" s="574">
        <v>0</v>
      </c>
      <c r="L674" s="574">
        <v>13.5</v>
      </c>
      <c r="M674" s="574">
        <v>0.8</v>
      </c>
      <c r="N674" s="574">
        <v>162.69999999999999</v>
      </c>
      <c r="O674" s="574">
        <v>0</v>
      </c>
      <c r="P674" s="574">
        <v>0</v>
      </c>
      <c r="Q674" s="574">
        <v>0</v>
      </c>
      <c r="R674" s="569"/>
      <c r="S674" s="569"/>
      <c r="T674" s="569"/>
      <c r="U674" s="569"/>
      <c r="V674" s="569"/>
      <c r="W674" s="569"/>
      <c r="X674" s="569"/>
      <c r="Y674" s="569"/>
      <c r="Z674" s="569"/>
      <c r="AA674" s="569"/>
      <c r="AB674" s="569"/>
      <c r="AC674" s="569"/>
      <c r="AD674" s="569"/>
      <c r="AE674" s="569"/>
      <c r="AF674" s="569"/>
      <c r="AG674" s="569"/>
      <c r="AH674" s="569"/>
      <c r="AI674" s="569"/>
      <c r="AJ674" s="569"/>
      <c r="AK674" s="569"/>
      <c r="AL674" s="569"/>
      <c r="AM674" s="569"/>
      <c r="AN674" s="574">
        <v>20.6</v>
      </c>
      <c r="AO674">
        <v>673</v>
      </c>
      <c r="AP674" t="str">
        <f t="shared" si="144"/>
        <v/>
      </c>
      <c r="AQ674" t="str">
        <f t="shared" si="134"/>
        <v/>
      </c>
      <c r="AR674" s="430">
        <f>IFERROR(
IF(AP674="",-100,
IF($BV$2&gt;0, INDEX(Beersheet!$A:$U,MATCH(AP674,INDEX(Beersheet!$A:$U,0,FFARawStatProjections!$BV$2),0),$BV$3)+$BN674,
INDEX($A674:$BM674,,$BV$12)*$BW$12+
INDEX($A674:$BM674,,$BV$15)*$BW$15+
INDEX($A674:$BM674,,$BV$16)*$BW$16+
INDEX($A674:$BM674,,$BV$17)*$BW$17+
INDEX($A674:$BM674,,$BV$18)*$BW$18+
INDEX($A674:$BM674,,$BV$19)*$BW$19+
INDEX($A674:$BM674,,$BV$20)*$BW$20+
INDEX($A674:$BM674,,$BV$21)*$BW$21+
INDEX($A674:$BM674,,$BV$22)*$BW$22+
INDEX($A674:$BM674,,$BV$23)*$BW$23+
INDEX($A674:$BM674,,$BV$25)*$BW$25+
INDEX($A674:$BM674,,$BV$26)*$BW$26+
INDEX($A674:$BM674,,$BV$27)*$BW$27+
$BN674)),
$BN674-100)</f>
        <v>-100</v>
      </c>
      <c r="AT674" t="str">
        <f t="shared" si="135"/>
        <v/>
      </c>
      <c r="AU674" t="str">
        <f t="shared" si="136"/>
        <v/>
      </c>
      <c r="AV674" s="430">
        <f>IFERROR(
IF(AT674="",-100,
IF($BV$2&gt;0, INDEX(Beersheet!$A:$U,MATCH(AT674,INDEX(Beersheet!$A:$U,0,FFARawStatProjections!$BV$2),0),$BV$3)+$BN674,
INDEX($A674:$BM674,,$BV$12)*$BW$12+
INDEX($A674:$BM674,,$BV$15)*$BW$15+
INDEX($A674:$BM674,,$BV$16)*$BW$16+
INDEX($A674:$BM674,,$BV$17)*$BW$17+
INDEX($A674:$BM674,,$BV$18)*$BW$18+
INDEX($A674:$BM674,,$BV$19)*$BW$19+
INDEX($A674:$BM674,,$BV$20)*$BW$20+
INDEX($A674:$BM674,,$BV$21)*$BW$21+
INDEX($A674:$BM674,,$BV$22)*$BW$22+
INDEX($A674:$BM674,,$BV$23)*$BW$23+
INDEX($A674:$BM674,,$BV$25)*$BW$25+
INDEX($A674:$BM674,,$BV$26)*$BW$26+
INDEX($A674:$BM674,,$BV$27)*$BW$27+
$BN674)),
$BN674-100)</f>
        <v>-100</v>
      </c>
      <c r="AX674" t="str">
        <f t="shared" si="137"/>
        <v/>
      </c>
      <c r="AY674" t="str">
        <f t="shared" si="138"/>
        <v/>
      </c>
      <c r="AZ674" s="430">
        <f>IFERROR(
IF(AX674="",-100,
IF($BV$2&gt;0, INDEX(Beersheet!$A:$U,MATCH(AX674,INDEX(Beersheet!$A:$U,0,FFARawStatProjections!$BV$2),0),$BV$3)+$BN674,
INDEX($A674:$BM674,,$BV$12)*$BW$12+
INDEX($A674:$BM674,,$BV$15)*$BW$15+
INDEX($A674:$BM674,,$BV$16)*$BW$16+
INDEX($A674:$BM674,,$BV$17)*$BW$17+
INDEX($A674:$BM674,,$BV$18)*$BW$18+
INDEX($A674:$BM674,,$BV$19)*$BW$19+
INDEX($A674:$BM674,,$BV$20)*$BW$20+
INDEX($A674:$BM674,,$BV$21)*$BW$21+
INDEX($A674:$BM674,,$BV$22)*$BW$22+
INDEX($A674:$BM674,,$BV$23)*$BW$23+
INDEX($A674:$BM674,,$BV$25)*$BW$25+
INDEX($A674:$BM674,,$BV$26)*$BW$26+
INDEX($A674:$BM674,,$BV$27)*$BW$27+
$BN674)),
$BN674-100)</f>
        <v>-100</v>
      </c>
      <c r="BB674" t="str">
        <f t="shared" si="139"/>
        <v>Daniel Bellinger</v>
      </c>
      <c r="BC674" t="str">
        <f t="shared" si="133"/>
        <v>NYG</v>
      </c>
      <c r="BD674" s="430">
        <f>IFERROR(
IF(BB674="",-100,
IF($BV$2&gt;0, INDEX(Beersheet!$A:$U,MATCH(BB674,INDEX(Beersheet!$A:$U,0,FFARawStatProjections!$BV$2),0),$BV$3)+$BN674,
INDEX($A674:$BM674,,$BV$12)*$BW$12+
INDEX($A674:$BM674,,$BV$15)*$BW$15+
INDEX($A674:$BM674,,$BV$16)*$BW$16+
INDEX($A674:$BM674,,$BV$17)*$BW$17+
INDEX($A674:$BM674,,$BV$18)*$BW$18+
INDEX($A674:$BM674,,$BV$19)*$BW$19+
INDEX($A674:$BM674,,$BV$20)*$BW$20+
INDEX($A674:$BM674,,$BV$21)*$BW$21+
INDEX($A674:$BM674,,$BV$22)*$BW$22+
INDEX($A674:$BM674,,$BV$23)*$BW$23+
INDEX($A674:$BM674,,$BV$25)*$BW$25+
INDEX($A674:$BM674,,$BV$26)*$BW$26+
INDEX($A674:$BM674,,$BV$27)*$BW$27+
$BN674)),
$BN674-100)</f>
        <v>34.576729999999998</v>
      </c>
      <c r="BF674" t="str">
        <f t="shared" si="140"/>
        <v/>
      </c>
      <c r="BG674" t="str">
        <f t="shared" si="141"/>
        <v/>
      </c>
      <c r="BH674">
        <f t="shared" si="142"/>
        <v>0</v>
      </c>
      <c r="BJ674" t="str">
        <f t="shared" si="143"/>
        <v/>
      </c>
      <c r="BL674">
        <f t="shared" si="145"/>
        <v>0</v>
      </c>
      <c r="BN674">
        <v>6.7299999999999999E-3</v>
      </c>
      <c r="BS674" s="4" t="s">
        <v>2347</v>
      </c>
    </row>
    <row r="675" spans="1:71" ht="15.75" thickBot="1" x14ac:dyDescent="0.3">
      <c r="A675" s="569" t="s">
        <v>2230</v>
      </c>
      <c r="B675" s="569" t="s">
        <v>154</v>
      </c>
      <c r="C675" s="569" t="s">
        <v>7</v>
      </c>
      <c r="D675" s="574">
        <v>13</v>
      </c>
      <c r="E675" s="569"/>
      <c r="F675" s="569"/>
      <c r="G675" s="569"/>
      <c r="H675" s="569"/>
      <c r="I675" s="574">
        <v>0</v>
      </c>
      <c r="J675" s="574">
        <v>0</v>
      </c>
      <c r="K675" s="574">
        <v>0</v>
      </c>
      <c r="L675" s="574">
        <v>11.5</v>
      </c>
      <c r="M675" s="574">
        <v>1</v>
      </c>
      <c r="N675" s="574">
        <v>134</v>
      </c>
      <c r="O675" s="574">
        <v>0</v>
      </c>
      <c r="P675" s="574">
        <v>0</v>
      </c>
      <c r="Q675" s="574">
        <v>0</v>
      </c>
      <c r="R675" s="569"/>
      <c r="S675" s="569"/>
      <c r="T675" s="569"/>
      <c r="U675" s="569"/>
      <c r="V675" s="569"/>
      <c r="W675" s="569"/>
      <c r="X675" s="569"/>
      <c r="Y675" s="569"/>
      <c r="Z675" s="569"/>
      <c r="AA675" s="569"/>
      <c r="AB675" s="569"/>
      <c r="AC675" s="569"/>
      <c r="AD675" s="569"/>
      <c r="AE675" s="569"/>
      <c r="AF675" s="569"/>
      <c r="AG675" s="569"/>
      <c r="AH675" s="569"/>
      <c r="AI675" s="569"/>
      <c r="AJ675" s="569"/>
      <c r="AK675" s="569"/>
      <c r="AL675" s="569"/>
      <c r="AM675" s="569"/>
      <c r="AN675" s="574">
        <v>19.7</v>
      </c>
      <c r="AO675">
        <v>674</v>
      </c>
      <c r="AP675" t="str">
        <f t="shared" si="144"/>
        <v/>
      </c>
      <c r="AQ675" t="str">
        <f t="shared" si="134"/>
        <v/>
      </c>
      <c r="AR675" s="430">
        <f>IFERROR(
IF(AP675="",-100,
IF($BV$2&gt;0, INDEX(Beersheet!$A:$U,MATCH(AP675,INDEX(Beersheet!$A:$U,0,FFARawStatProjections!$BV$2),0),$BV$3)+$BN675,
INDEX($A675:$BM675,,$BV$12)*$BW$12+
INDEX($A675:$BM675,,$BV$15)*$BW$15+
INDEX($A675:$BM675,,$BV$16)*$BW$16+
INDEX($A675:$BM675,,$BV$17)*$BW$17+
INDEX($A675:$BM675,,$BV$18)*$BW$18+
INDEX($A675:$BM675,,$BV$19)*$BW$19+
INDEX($A675:$BM675,,$BV$20)*$BW$20+
INDEX($A675:$BM675,,$BV$21)*$BW$21+
INDEX($A675:$BM675,,$BV$22)*$BW$22+
INDEX($A675:$BM675,,$BV$23)*$BW$23+
INDEX($A675:$BM675,,$BV$25)*$BW$25+
INDEX($A675:$BM675,,$BV$26)*$BW$26+
INDEX($A675:$BM675,,$BV$27)*$BW$27+
$BN675)),
$BN675-100)</f>
        <v>-100</v>
      </c>
      <c r="AT675" t="str">
        <f t="shared" si="135"/>
        <v/>
      </c>
      <c r="AU675" t="str">
        <f t="shared" si="136"/>
        <v/>
      </c>
      <c r="AV675" s="430">
        <f>IFERROR(
IF(AT675="",-100,
IF($BV$2&gt;0, INDEX(Beersheet!$A:$U,MATCH(AT675,INDEX(Beersheet!$A:$U,0,FFARawStatProjections!$BV$2),0),$BV$3)+$BN675,
INDEX($A675:$BM675,,$BV$12)*$BW$12+
INDEX($A675:$BM675,,$BV$15)*$BW$15+
INDEX($A675:$BM675,,$BV$16)*$BW$16+
INDEX($A675:$BM675,,$BV$17)*$BW$17+
INDEX($A675:$BM675,,$BV$18)*$BW$18+
INDEX($A675:$BM675,,$BV$19)*$BW$19+
INDEX($A675:$BM675,,$BV$20)*$BW$20+
INDEX($A675:$BM675,,$BV$21)*$BW$21+
INDEX($A675:$BM675,,$BV$22)*$BW$22+
INDEX($A675:$BM675,,$BV$23)*$BW$23+
INDEX($A675:$BM675,,$BV$25)*$BW$25+
INDEX($A675:$BM675,,$BV$26)*$BW$26+
INDEX($A675:$BM675,,$BV$27)*$BW$27+
$BN675)),
$BN675-100)</f>
        <v>-100</v>
      </c>
      <c r="AX675" t="str">
        <f t="shared" si="137"/>
        <v/>
      </c>
      <c r="AY675" t="str">
        <f t="shared" si="138"/>
        <v/>
      </c>
      <c r="AZ675" s="430">
        <f>IFERROR(
IF(AX675="",-100,
IF($BV$2&gt;0, INDEX(Beersheet!$A:$U,MATCH(AX675,INDEX(Beersheet!$A:$U,0,FFARawStatProjections!$BV$2),0),$BV$3)+$BN675,
INDEX($A675:$BM675,,$BV$12)*$BW$12+
INDEX($A675:$BM675,,$BV$15)*$BW$15+
INDEX($A675:$BM675,,$BV$16)*$BW$16+
INDEX($A675:$BM675,,$BV$17)*$BW$17+
INDEX($A675:$BM675,,$BV$18)*$BW$18+
INDEX($A675:$BM675,,$BV$19)*$BW$19+
INDEX($A675:$BM675,,$BV$20)*$BW$20+
INDEX($A675:$BM675,,$BV$21)*$BW$21+
INDEX($A675:$BM675,,$BV$22)*$BW$22+
INDEX($A675:$BM675,,$BV$23)*$BW$23+
INDEX($A675:$BM675,,$BV$25)*$BW$25+
INDEX($A675:$BM675,,$BV$26)*$BW$26+
INDEX($A675:$BM675,,$BV$27)*$BW$27+
$BN675)),
$BN675-100)</f>
        <v>-100</v>
      </c>
      <c r="BB675" t="str">
        <f t="shared" si="139"/>
        <v>Lawrence Cager</v>
      </c>
      <c r="BC675" t="str">
        <f t="shared" si="133"/>
        <v>NYG</v>
      </c>
      <c r="BD675" s="430">
        <f>IFERROR(
IF(BB675="",-100,
IF($BV$2&gt;0, INDEX(Beersheet!$A:$U,MATCH(BB675,INDEX(Beersheet!$A:$U,0,FFARawStatProjections!$BV$2),0),$BV$3)+$BN675,
INDEX($A675:$BM675,,$BV$12)*$BW$12+
INDEX($A675:$BM675,,$BV$15)*$BW$15+
INDEX($A675:$BM675,,$BV$16)*$BW$16+
INDEX($A675:$BM675,,$BV$17)*$BW$17+
INDEX($A675:$BM675,,$BV$18)*$BW$18+
INDEX($A675:$BM675,,$BV$19)*$BW$19+
INDEX($A675:$BM675,,$BV$20)*$BW$20+
INDEX($A675:$BM675,,$BV$21)*$BW$21+
INDEX($A675:$BM675,,$BV$22)*$BW$22+
INDEX($A675:$BM675,,$BV$23)*$BW$23+
INDEX($A675:$BM675,,$BV$25)*$BW$25+
INDEX($A675:$BM675,,$BV$26)*$BW$26+
INDEX($A675:$BM675,,$BV$27)*$BW$27+
$BN675)),
$BN675-100)</f>
        <v>30.906739999999999</v>
      </c>
      <c r="BF675" t="str">
        <f t="shared" si="140"/>
        <v/>
      </c>
      <c r="BG675" t="str">
        <f t="shared" si="141"/>
        <v/>
      </c>
      <c r="BH675">
        <f t="shared" si="142"/>
        <v>0</v>
      </c>
      <c r="BJ675" t="str">
        <f t="shared" si="143"/>
        <v/>
      </c>
      <c r="BL675">
        <f t="shared" si="145"/>
        <v>0</v>
      </c>
      <c r="BN675">
        <v>6.7400000000000003E-3</v>
      </c>
      <c r="BS675" s="4" t="s">
        <v>2099</v>
      </c>
    </row>
    <row r="676" spans="1:71" ht="15.75" thickBot="1" x14ac:dyDescent="0.3">
      <c r="A676" s="569" t="s">
        <v>2109</v>
      </c>
      <c r="B676" s="569" t="s">
        <v>144</v>
      </c>
      <c r="C676" s="569" t="s">
        <v>7</v>
      </c>
      <c r="D676" s="574">
        <v>9</v>
      </c>
      <c r="E676" s="569"/>
      <c r="F676" s="569"/>
      <c r="G676" s="569"/>
      <c r="H676" s="569"/>
      <c r="I676" s="574">
        <v>0</v>
      </c>
      <c r="J676" s="574">
        <v>0</v>
      </c>
      <c r="K676" s="574">
        <v>0</v>
      </c>
      <c r="L676" s="574">
        <v>8.8000000000000007</v>
      </c>
      <c r="M676" s="574">
        <v>0.8</v>
      </c>
      <c r="N676" s="574">
        <v>150.1</v>
      </c>
      <c r="O676" s="574">
        <v>0</v>
      </c>
      <c r="P676" s="574">
        <v>0</v>
      </c>
      <c r="Q676" s="574">
        <v>0</v>
      </c>
      <c r="R676" s="569"/>
      <c r="S676" s="569"/>
      <c r="T676" s="569"/>
      <c r="U676" s="569"/>
      <c r="V676" s="569"/>
      <c r="W676" s="569"/>
      <c r="X676" s="569"/>
      <c r="Y676" s="569"/>
      <c r="Z676" s="569"/>
      <c r="AA676" s="569"/>
      <c r="AB676" s="569"/>
      <c r="AC676" s="569"/>
      <c r="AD676" s="569"/>
      <c r="AE676" s="569"/>
      <c r="AF676" s="569"/>
      <c r="AG676" s="569"/>
      <c r="AH676" s="569"/>
      <c r="AI676" s="569"/>
      <c r="AJ676" s="569"/>
      <c r="AK676" s="569"/>
      <c r="AL676" s="569"/>
      <c r="AM676" s="569"/>
      <c r="AN676" s="574">
        <v>19.600000000000001</v>
      </c>
      <c r="AO676">
        <v>675</v>
      </c>
      <c r="AP676" t="str">
        <f t="shared" si="144"/>
        <v/>
      </c>
      <c r="AQ676" t="str">
        <f t="shared" si="134"/>
        <v/>
      </c>
      <c r="AR676" s="430">
        <f>IFERROR(
IF(AP676="",-100,
IF($BV$2&gt;0, INDEX(Beersheet!$A:$U,MATCH(AP676,INDEX(Beersheet!$A:$U,0,FFARawStatProjections!$BV$2),0),$BV$3)+$BN676,
INDEX($A676:$BM676,,$BV$12)*$BW$12+
INDEX($A676:$BM676,,$BV$15)*$BW$15+
INDEX($A676:$BM676,,$BV$16)*$BW$16+
INDEX($A676:$BM676,,$BV$17)*$BW$17+
INDEX($A676:$BM676,,$BV$18)*$BW$18+
INDEX($A676:$BM676,,$BV$19)*$BW$19+
INDEX($A676:$BM676,,$BV$20)*$BW$20+
INDEX($A676:$BM676,,$BV$21)*$BW$21+
INDEX($A676:$BM676,,$BV$22)*$BW$22+
INDEX($A676:$BM676,,$BV$23)*$BW$23+
INDEX($A676:$BM676,,$BV$25)*$BW$25+
INDEX($A676:$BM676,,$BV$26)*$BW$26+
INDEX($A676:$BM676,,$BV$27)*$BW$27+
$BN676)),
$BN676-100)</f>
        <v>-100</v>
      </c>
      <c r="AT676" t="str">
        <f t="shared" si="135"/>
        <v/>
      </c>
      <c r="AU676" t="str">
        <f t="shared" si="136"/>
        <v/>
      </c>
      <c r="AV676" s="430">
        <f>IFERROR(
IF(AT676="",-100,
IF($BV$2&gt;0, INDEX(Beersheet!$A:$U,MATCH(AT676,INDEX(Beersheet!$A:$U,0,FFARawStatProjections!$BV$2),0),$BV$3)+$BN676,
INDEX($A676:$BM676,,$BV$12)*$BW$12+
INDEX($A676:$BM676,,$BV$15)*$BW$15+
INDEX($A676:$BM676,,$BV$16)*$BW$16+
INDEX($A676:$BM676,,$BV$17)*$BW$17+
INDEX($A676:$BM676,,$BV$18)*$BW$18+
INDEX($A676:$BM676,,$BV$19)*$BW$19+
INDEX($A676:$BM676,,$BV$20)*$BW$20+
INDEX($A676:$BM676,,$BV$21)*$BW$21+
INDEX($A676:$BM676,,$BV$22)*$BW$22+
INDEX($A676:$BM676,,$BV$23)*$BW$23+
INDEX($A676:$BM676,,$BV$25)*$BW$25+
INDEX($A676:$BM676,,$BV$26)*$BW$26+
INDEX($A676:$BM676,,$BV$27)*$BW$27+
$BN676)),
$BN676-100)</f>
        <v>-100</v>
      </c>
      <c r="AX676" t="str">
        <f t="shared" si="137"/>
        <v/>
      </c>
      <c r="AY676" t="str">
        <f t="shared" si="138"/>
        <v/>
      </c>
      <c r="AZ676" s="430">
        <f>IFERROR(
IF(AX676="",-100,
IF($BV$2&gt;0, INDEX(Beersheet!$A:$U,MATCH(AX676,INDEX(Beersheet!$A:$U,0,FFARawStatProjections!$BV$2),0),$BV$3)+$BN676,
INDEX($A676:$BM676,,$BV$12)*$BW$12+
INDEX($A676:$BM676,,$BV$15)*$BW$15+
INDEX($A676:$BM676,,$BV$16)*$BW$16+
INDEX($A676:$BM676,,$BV$17)*$BW$17+
INDEX($A676:$BM676,,$BV$18)*$BW$18+
INDEX($A676:$BM676,,$BV$19)*$BW$19+
INDEX($A676:$BM676,,$BV$20)*$BW$20+
INDEX($A676:$BM676,,$BV$21)*$BW$21+
INDEX($A676:$BM676,,$BV$22)*$BW$22+
INDEX($A676:$BM676,,$BV$23)*$BW$23+
INDEX($A676:$BM676,,$BV$25)*$BW$25+
INDEX($A676:$BM676,,$BV$26)*$BW$26+
INDEX($A676:$BM676,,$BV$27)*$BW$27+
$BN676)),
$BN676-100)</f>
        <v>-100</v>
      </c>
      <c r="BB676" t="str">
        <f t="shared" si="139"/>
        <v>Albert Okwuegbunam</v>
      </c>
      <c r="BC676" t="str">
        <f t="shared" si="133"/>
        <v>DEN</v>
      </c>
      <c r="BD676" s="430">
        <f>IFERROR(
IF(BB676="",-100,
IF($BV$2&gt;0, INDEX(Beersheet!$A:$U,MATCH(BB676,INDEX(Beersheet!$A:$U,0,FFARawStatProjections!$BV$2),0),$BV$3)+$BN676,
INDEX($A676:$BM676,,$BV$12)*$BW$12+
INDEX($A676:$BM676,,$BV$15)*$BW$15+
INDEX($A676:$BM676,,$BV$16)*$BW$16+
INDEX($A676:$BM676,,$BV$17)*$BW$17+
INDEX($A676:$BM676,,$BV$18)*$BW$18+
INDEX($A676:$BM676,,$BV$19)*$BW$19+
INDEX($A676:$BM676,,$BV$20)*$BW$20+
INDEX($A676:$BM676,,$BV$21)*$BW$21+
INDEX($A676:$BM676,,$BV$22)*$BW$22+
INDEX($A676:$BM676,,$BV$23)*$BW$23+
INDEX($A676:$BM676,,$BV$25)*$BW$25+
INDEX($A676:$BM676,,$BV$26)*$BW$26+
INDEX($A676:$BM676,,$BV$27)*$BW$27+
$BN676)),
$BN676-100)</f>
        <v>28.61675</v>
      </c>
      <c r="BF676" t="str">
        <f t="shared" si="140"/>
        <v/>
      </c>
      <c r="BG676" t="str">
        <f t="shared" si="141"/>
        <v/>
      </c>
      <c r="BH676">
        <f t="shared" si="142"/>
        <v>0</v>
      </c>
      <c r="BJ676" t="str">
        <f t="shared" si="143"/>
        <v/>
      </c>
      <c r="BL676">
        <f t="shared" si="145"/>
        <v>0</v>
      </c>
      <c r="BN676">
        <v>6.7499999999999999E-3</v>
      </c>
      <c r="BS676" s="4" t="s">
        <v>2398</v>
      </c>
    </row>
    <row r="677" spans="1:71" ht="15.75" thickBot="1" x14ac:dyDescent="0.3">
      <c r="A677" s="569" t="s">
        <v>2367</v>
      </c>
      <c r="B677" s="569" t="s">
        <v>162</v>
      </c>
      <c r="C677" s="569" t="s">
        <v>7</v>
      </c>
      <c r="D677" s="574">
        <v>13</v>
      </c>
      <c r="E677" s="569"/>
      <c r="F677" s="569"/>
      <c r="G677" s="569"/>
      <c r="H677" s="569"/>
      <c r="I677" s="574">
        <v>0</v>
      </c>
      <c r="J677" s="574">
        <v>0</v>
      </c>
      <c r="K677" s="574">
        <v>0</v>
      </c>
      <c r="L677" s="574">
        <v>11.8</v>
      </c>
      <c r="M677" s="574">
        <v>0.8</v>
      </c>
      <c r="N677" s="574">
        <v>141.19999999999999</v>
      </c>
      <c r="O677" s="574">
        <v>0</v>
      </c>
      <c r="P677" s="574">
        <v>0</v>
      </c>
      <c r="Q677" s="574">
        <v>0</v>
      </c>
      <c r="R677" s="569"/>
      <c r="S677" s="569"/>
      <c r="T677" s="569"/>
      <c r="U677" s="569"/>
      <c r="V677" s="569"/>
      <c r="W677" s="569"/>
      <c r="X677" s="569"/>
      <c r="Y677" s="569"/>
      <c r="Z677" s="569"/>
      <c r="AA677" s="569"/>
      <c r="AB677" s="569"/>
      <c r="AC677" s="569"/>
      <c r="AD677" s="569"/>
      <c r="AE677" s="569"/>
      <c r="AF677" s="569"/>
      <c r="AG677" s="569"/>
      <c r="AH677" s="569"/>
      <c r="AI677" s="569"/>
      <c r="AJ677" s="569"/>
      <c r="AK677" s="569"/>
      <c r="AL677" s="569"/>
      <c r="AM677" s="569"/>
      <c r="AN677" s="574">
        <v>19.2</v>
      </c>
      <c r="AO677">
        <v>676</v>
      </c>
      <c r="AP677" t="str">
        <f t="shared" si="144"/>
        <v/>
      </c>
      <c r="AQ677" t="str">
        <f t="shared" si="134"/>
        <v/>
      </c>
      <c r="AR677" s="430">
        <f>IFERROR(
IF(AP677="",-100,
IF($BV$2&gt;0, INDEX(Beersheet!$A:$U,MATCH(AP677,INDEX(Beersheet!$A:$U,0,FFARawStatProjections!$BV$2),0),$BV$3)+$BN677,
INDEX($A677:$BM677,,$BV$12)*$BW$12+
INDEX($A677:$BM677,,$BV$15)*$BW$15+
INDEX($A677:$BM677,,$BV$16)*$BW$16+
INDEX($A677:$BM677,,$BV$17)*$BW$17+
INDEX($A677:$BM677,,$BV$18)*$BW$18+
INDEX($A677:$BM677,,$BV$19)*$BW$19+
INDEX($A677:$BM677,,$BV$20)*$BW$20+
INDEX($A677:$BM677,,$BV$21)*$BW$21+
INDEX($A677:$BM677,,$BV$22)*$BW$22+
INDEX($A677:$BM677,,$BV$23)*$BW$23+
INDEX($A677:$BM677,,$BV$25)*$BW$25+
INDEX($A677:$BM677,,$BV$26)*$BW$26+
INDEX($A677:$BM677,,$BV$27)*$BW$27+
$BN677)),
$BN677-100)</f>
        <v>-100</v>
      </c>
      <c r="AT677" t="str">
        <f t="shared" si="135"/>
        <v/>
      </c>
      <c r="AU677" t="str">
        <f t="shared" si="136"/>
        <v/>
      </c>
      <c r="AV677" s="430">
        <f>IFERROR(
IF(AT677="",-100,
IF($BV$2&gt;0, INDEX(Beersheet!$A:$U,MATCH(AT677,INDEX(Beersheet!$A:$U,0,FFARawStatProjections!$BV$2),0),$BV$3)+$BN677,
INDEX($A677:$BM677,,$BV$12)*$BW$12+
INDEX($A677:$BM677,,$BV$15)*$BW$15+
INDEX($A677:$BM677,,$BV$16)*$BW$16+
INDEX($A677:$BM677,,$BV$17)*$BW$17+
INDEX($A677:$BM677,,$BV$18)*$BW$18+
INDEX($A677:$BM677,,$BV$19)*$BW$19+
INDEX($A677:$BM677,,$BV$20)*$BW$20+
INDEX($A677:$BM677,,$BV$21)*$BW$21+
INDEX($A677:$BM677,,$BV$22)*$BW$22+
INDEX($A677:$BM677,,$BV$23)*$BW$23+
INDEX($A677:$BM677,,$BV$25)*$BW$25+
INDEX($A677:$BM677,,$BV$26)*$BW$26+
INDEX($A677:$BM677,,$BV$27)*$BW$27+
$BN677)),
$BN677-100)</f>
        <v>-100</v>
      </c>
      <c r="AX677" t="str">
        <f t="shared" si="137"/>
        <v/>
      </c>
      <c r="AY677" t="str">
        <f t="shared" si="138"/>
        <v/>
      </c>
      <c r="AZ677" s="430">
        <f>IFERROR(
IF(AX677="",-100,
IF($BV$2&gt;0, INDEX(Beersheet!$A:$U,MATCH(AX677,INDEX(Beersheet!$A:$U,0,FFARawStatProjections!$BV$2),0),$BV$3)+$BN677,
INDEX($A677:$BM677,,$BV$12)*$BW$12+
INDEX($A677:$BM677,,$BV$15)*$BW$15+
INDEX($A677:$BM677,,$BV$16)*$BW$16+
INDEX($A677:$BM677,,$BV$17)*$BW$17+
INDEX($A677:$BM677,,$BV$18)*$BW$18+
INDEX($A677:$BM677,,$BV$19)*$BW$19+
INDEX($A677:$BM677,,$BV$20)*$BW$20+
INDEX($A677:$BM677,,$BV$21)*$BW$21+
INDEX($A677:$BM677,,$BV$22)*$BW$22+
INDEX($A677:$BM677,,$BV$23)*$BW$23+
INDEX($A677:$BM677,,$BV$25)*$BW$25+
INDEX($A677:$BM677,,$BV$26)*$BW$26+
INDEX($A677:$BM677,,$BV$27)*$BW$27+
$BN677)),
$BN677-100)</f>
        <v>-100</v>
      </c>
      <c r="BB677" t="str">
        <f t="shared" si="139"/>
        <v>Charlie Kolar</v>
      </c>
      <c r="BC677" t="str">
        <f t="shared" si="133"/>
        <v>BAL</v>
      </c>
      <c r="BD677" s="430">
        <f>IFERROR(
IF(BB677="",-100,
IF($BV$2&gt;0, INDEX(Beersheet!$A:$U,MATCH(BB677,INDEX(Beersheet!$A:$U,0,FFARawStatProjections!$BV$2),0),$BV$3)+$BN677,
INDEX($A677:$BM677,,$BV$12)*$BW$12+
INDEX($A677:$BM677,,$BV$15)*$BW$15+
INDEX($A677:$BM677,,$BV$16)*$BW$16+
INDEX($A677:$BM677,,$BV$17)*$BW$17+
INDEX($A677:$BM677,,$BV$18)*$BW$18+
INDEX($A677:$BM677,,$BV$19)*$BW$19+
INDEX($A677:$BM677,,$BV$20)*$BW$20+
INDEX($A677:$BM677,,$BV$21)*$BW$21+
INDEX($A677:$BM677,,$BV$22)*$BW$22+
INDEX($A677:$BM677,,$BV$23)*$BW$23+
INDEX($A677:$BM677,,$BV$25)*$BW$25+
INDEX($A677:$BM677,,$BV$26)*$BW$26+
INDEX($A677:$BM677,,$BV$27)*$BW$27+
$BN677)),
$BN677-100)</f>
        <v>30.726759999999999</v>
      </c>
      <c r="BF677" t="str">
        <f t="shared" si="140"/>
        <v/>
      </c>
      <c r="BG677" t="str">
        <f t="shared" si="141"/>
        <v/>
      </c>
      <c r="BH677">
        <f t="shared" si="142"/>
        <v>0</v>
      </c>
      <c r="BJ677" t="str">
        <f t="shared" si="143"/>
        <v/>
      </c>
      <c r="BL677">
        <f t="shared" si="145"/>
        <v>0</v>
      </c>
      <c r="BN677">
        <v>6.7600000000000004E-3</v>
      </c>
      <c r="BS677" s="4" t="s">
        <v>2207</v>
      </c>
    </row>
    <row r="678" spans="1:71" ht="15.75" thickBot="1" x14ac:dyDescent="0.3">
      <c r="A678" s="569" t="s">
        <v>2244</v>
      </c>
      <c r="B678" s="569" t="s">
        <v>1389</v>
      </c>
      <c r="C678" s="569" t="s">
        <v>7</v>
      </c>
      <c r="D678" s="574">
        <v>10</v>
      </c>
      <c r="E678" s="569"/>
      <c r="F678" s="569"/>
      <c r="G678" s="569"/>
      <c r="H678" s="569"/>
      <c r="I678" s="574">
        <v>0</v>
      </c>
      <c r="J678" s="574">
        <v>0</v>
      </c>
      <c r="K678" s="574">
        <v>0</v>
      </c>
      <c r="L678" s="574">
        <v>11.8</v>
      </c>
      <c r="M678" s="574">
        <v>0.8</v>
      </c>
      <c r="N678" s="574">
        <v>137.6</v>
      </c>
      <c r="O678" s="574">
        <v>0</v>
      </c>
      <c r="P678" s="574">
        <v>0</v>
      </c>
      <c r="Q678" s="574">
        <v>0</v>
      </c>
      <c r="R678" s="569"/>
      <c r="S678" s="569"/>
      <c r="T678" s="569"/>
      <c r="U678" s="569"/>
      <c r="V678" s="569"/>
      <c r="W678" s="569"/>
      <c r="X678" s="569"/>
      <c r="Y678" s="569"/>
      <c r="Z678" s="569"/>
      <c r="AA678" s="569"/>
      <c r="AB678" s="569"/>
      <c r="AC678" s="569"/>
      <c r="AD678" s="569"/>
      <c r="AE678" s="569"/>
      <c r="AF678" s="569"/>
      <c r="AG678" s="569"/>
      <c r="AH678" s="569"/>
      <c r="AI678" s="569"/>
      <c r="AJ678" s="569"/>
      <c r="AK678" s="569"/>
      <c r="AL678" s="569"/>
      <c r="AM678" s="569"/>
      <c r="AN678" s="574">
        <v>18.600000000000001</v>
      </c>
      <c r="AO678">
        <v>677</v>
      </c>
      <c r="AP678" t="str">
        <f t="shared" si="144"/>
        <v/>
      </c>
      <c r="AQ678" t="str">
        <f t="shared" si="134"/>
        <v/>
      </c>
      <c r="AR678" s="430">
        <f>IFERROR(
IF(AP678="",-100,
IF($BV$2&gt;0, INDEX(Beersheet!$A:$U,MATCH(AP678,INDEX(Beersheet!$A:$U,0,FFARawStatProjections!$BV$2),0),$BV$3)+$BN678,
INDEX($A678:$BM678,,$BV$12)*$BW$12+
INDEX($A678:$BM678,,$BV$15)*$BW$15+
INDEX($A678:$BM678,,$BV$16)*$BW$16+
INDEX($A678:$BM678,,$BV$17)*$BW$17+
INDEX($A678:$BM678,,$BV$18)*$BW$18+
INDEX($A678:$BM678,,$BV$19)*$BW$19+
INDEX($A678:$BM678,,$BV$20)*$BW$20+
INDEX($A678:$BM678,,$BV$21)*$BW$21+
INDEX($A678:$BM678,,$BV$22)*$BW$22+
INDEX($A678:$BM678,,$BV$23)*$BW$23+
INDEX($A678:$BM678,,$BV$25)*$BW$25+
INDEX($A678:$BM678,,$BV$26)*$BW$26+
INDEX($A678:$BM678,,$BV$27)*$BW$27+
$BN678)),
$BN678-100)</f>
        <v>-100</v>
      </c>
      <c r="AT678" t="str">
        <f t="shared" si="135"/>
        <v/>
      </c>
      <c r="AU678" t="str">
        <f t="shared" si="136"/>
        <v/>
      </c>
      <c r="AV678" s="430">
        <f>IFERROR(
IF(AT678="",-100,
IF($BV$2&gt;0, INDEX(Beersheet!$A:$U,MATCH(AT678,INDEX(Beersheet!$A:$U,0,FFARawStatProjections!$BV$2),0),$BV$3)+$BN678,
INDEX($A678:$BM678,,$BV$12)*$BW$12+
INDEX($A678:$BM678,,$BV$15)*$BW$15+
INDEX($A678:$BM678,,$BV$16)*$BW$16+
INDEX($A678:$BM678,,$BV$17)*$BW$17+
INDEX($A678:$BM678,,$BV$18)*$BW$18+
INDEX($A678:$BM678,,$BV$19)*$BW$19+
INDEX($A678:$BM678,,$BV$20)*$BW$20+
INDEX($A678:$BM678,,$BV$21)*$BW$21+
INDEX($A678:$BM678,,$BV$22)*$BW$22+
INDEX($A678:$BM678,,$BV$23)*$BW$23+
INDEX($A678:$BM678,,$BV$25)*$BW$25+
INDEX($A678:$BM678,,$BV$26)*$BW$26+
INDEX($A678:$BM678,,$BV$27)*$BW$27+
$BN678)),
$BN678-100)</f>
        <v>-100</v>
      </c>
      <c r="AX678" t="str">
        <f t="shared" si="137"/>
        <v/>
      </c>
      <c r="AY678" t="str">
        <f t="shared" si="138"/>
        <v/>
      </c>
      <c r="AZ678" s="430">
        <f>IFERROR(
IF(AX678="",-100,
IF($BV$2&gt;0, INDEX(Beersheet!$A:$U,MATCH(AX678,INDEX(Beersheet!$A:$U,0,FFARawStatProjections!$BV$2),0),$BV$3)+$BN678,
INDEX($A678:$BM678,,$BV$12)*$BW$12+
INDEX($A678:$BM678,,$BV$15)*$BW$15+
INDEX($A678:$BM678,,$BV$16)*$BW$16+
INDEX($A678:$BM678,,$BV$17)*$BW$17+
INDEX($A678:$BM678,,$BV$18)*$BW$18+
INDEX($A678:$BM678,,$BV$19)*$BW$19+
INDEX($A678:$BM678,,$BV$20)*$BW$20+
INDEX($A678:$BM678,,$BV$21)*$BW$21+
INDEX($A678:$BM678,,$BV$22)*$BW$22+
INDEX($A678:$BM678,,$BV$23)*$BW$23+
INDEX($A678:$BM678,,$BV$25)*$BW$25+
INDEX($A678:$BM678,,$BV$26)*$BW$26+
INDEX($A678:$BM678,,$BV$27)*$BW$27+
$BN678)),
$BN678-100)</f>
        <v>-100</v>
      </c>
      <c r="BB678" t="str">
        <f t="shared" si="139"/>
        <v>Brycen Hopkins</v>
      </c>
      <c r="BC678" t="str">
        <f t="shared" si="133"/>
        <v>LAR</v>
      </c>
      <c r="BD678" s="430">
        <f>IFERROR(
IF(BB678="",-100,
IF($BV$2&gt;0, INDEX(Beersheet!$A:$U,MATCH(BB678,INDEX(Beersheet!$A:$U,0,FFARawStatProjections!$BV$2),0),$BV$3)+$BN678,
INDEX($A678:$BM678,,$BV$12)*$BW$12+
INDEX($A678:$BM678,,$BV$15)*$BW$15+
INDEX($A678:$BM678,,$BV$16)*$BW$16+
INDEX($A678:$BM678,,$BV$17)*$BW$17+
INDEX($A678:$BM678,,$BV$18)*$BW$18+
INDEX($A678:$BM678,,$BV$19)*$BW$19+
INDEX($A678:$BM678,,$BV$20)*$BW$20+
INDEX($A678:$BM678,,$BV$21)*$BW$21+
INDEX($A678:$BM678,,$BV$22)*$BW$22+
INDEX($A678:$BM678,,$BV$23)*$BW$23+
INDEX($A678:$BM678,,$BV$25)*$BW$25+
INDEX($A678:$BM678,,$BV$26)*$BW$26+
INDEX($A678:$BM678,,$BV$27)*$BW$27+
$BN678)),
$BN678-100)</f>
        <v>30.366769999999999</v>
      </c>
      <c r="BF678" t="str">
        <f t="shared" si="140"/>
        <v/>
      </c>
      <c r="BG678" t="str">
        <f t="shared" si="141"/>
        <v/>
      </c>
      <c r="BH678">
        <f t="shared" si="142"/>
        <v>0</v>
      </c>
      <c r="BJ678" t="str">
        <f t="shared" si="143"/>
        <v/>
      </c>
      <c r="BL678">
        <f t="shared" si="145"/>
        <v>0</v>
      </c>
      <c r="BN678">
        <v>6.77E-3</v>
      </c>
      <c r="BS678" s="4" t="s">
        <v>2309</v>
      </c>
    </row>
    <row r="679" spans="1:71" ht="15.75" thickBot="1" x14ac:dyDescent="0.3">
      <c r="A679" s="569" t="s">
        <v>2427</v>
      </c>
      <c r="B679" s="569" t="s">
        <v>146</v>
      </c>
      <c r="C679" s="569" t="s">
        <v>7</v>
      </c>
      <c r="D679" s="574">
        <v>7</v>
      </c>
      <c r="E679" s="569"/>
      <c r="F679" s="569"/>
      <c r="G679" s="569"/>
      <c r="H679" s="569"/>
      <c r="I679" s="574">
        <v>0</v>
      </c>
      <c r="J679" s="574">
        <v>0</v>
      </c>
      <c r="K679" s="574">
        <v>0</v>
      </c>
      <c r="L679" s="574">
        <v>9.1999999999999993</v>
      </c>
      <c r="M679" s="574">
        <v>1</v>
      </c>
      <c r="N679" s="574">
        <v>121</v>
      </c>
      <c r="O679" s="574">
        <v>0</v>
      </c>
      <c r="P679" s="574">
        <v>0</v>
      </c>
      <c r="Q679" s="574">
        <v>0</v>
      </c>
      <c r="R679" s="569"/>
      <c r="S679" s="569"/>
      <c r="T679" s="569"/>
      <c r="U679" s="569"/>
      <c r="V679" s="569"/>
      <c r="W679" s="569"/>
      <c r="X679" s="569"/>
      <c r="Y679" s="569"/>
      <c r="Z679" s="569"/>
      <c r="AA679" s="569"/>
      <c r="AB679" s="569"/>
      <c r="AC679" s="569"/>
      <c r="AD679" s="569"/>
      <c r="AE679" s="569"/>
      <c r="AF679" s="569"/>
      <c r="AG679" s="569"/>
      <c r="AH679" s="569"/>
      <c r="AI679" s="569"/>
      <c r="AJ679" s="569"/>
      <c r="AK679" s="569"/>
      <c r="AL679" s="569"/>
      <c r="AM679" s="569"/>
      <c r="AN679" s="574">
        <v>18.5</v>
      </c>
      <c r="AO679">
        <v>678</v>
      </c>
      <c r="AP679" t="str">
        <f t="shared" si="144"/>
        <v/>
      </c>
      <c r="AQ679" t="str">
        <f t="shared" si="134"/>
        <v/>
      </c>
      <c r="AR679" s="430">
        <f>IFERROR(
IF(AP679="",-100,
IF($BV$2&gt;0, INDEX(Beersheet!$A:$U,MATCH(AP679,INDEX(Beersheet!$A:$U,0,FFARawStatProjections!$BV$2),0),$BV$3)+$BN679,
INDEX($A679:$BM679,,$BV$12)*$BW$12+
INDEX($A679:$BM679,,$BV$15)*$BW$15+
INDEX($A679:$BM679,,$BV$16)*$BW$16+
INDEX($A679:$BM679,,$BV$17)*$BW$17+
INDEX($A679:$BM679,,$BV$18)*$BW$18+
INDEX($A679:$BM679,,$BV$19)*$BW$19+
INDEX($A679:$BM679,,$BV$20)*$BW$20+
INDEX($A679:$BM679,,$BV$21)*$BW$21+
INDEX($A679:$BM679,,$BV$22)*$BW$22+
INDEX($A679:$BM679,,$BV$23)*$BW$23+
INDEX($A679:$BM679,,$BV$25)*$BW$25+
INDEX($A679:$BM679,,$BV$26)*$BW$26+
INDEX($A679:$BM679,,$BV$27)*$BW$27+
$BN679)),
$BN679-100)</f>
        <v>-100</v>
      </c>
      <c r="AT679" t="str">
        <f t="shared" si="135"/>
        <v/>
      </c>
      <c r="AU679" t="str">
        <f t="shared" si="136"/>
        <v/>
      </c>
      <c r="AV679" s="430">
        <f>IFERROR(
IF(AT679="",-100,
IF($BV$2&gt;0, INDEX(Beersheet!$A:$U,MATCH(AT679,INDEX(Beersheet!$A:$U,0,FFARawStatProjections!$BV$2),0),$BV$3)+$BN679,
INDEX($A679:$BM679,,$BV$12)*$BW$12+
INDEX($A679:$BM679,,$BV$15)*$BW$15+
INDEX($A679:$BM679,,$BV$16)*$BW$16+
INDEX($A679:$BM679,,$BV$17)*$BW$17+
INDEX($A679:$BM679,,$BV$18)*$BW$18+
INDEX($A679:$BM679,,$BV$19)*$BW$19+
INDEX($A679:$BM679,,$BV$20)*$BW$20+
INDEX($A679:$BM679,,$BV$21)*$BW$21+
INDEX($A679:$BM679,,$BV$22)*$BW$22+
INDEX($A679:$BM679,,$BV$23)*$BW$23+
INDEX($A679:$BM679,,$BV$25)*$BW$25+
INDEX($A679:$BM679,,$BV$26)*$BW$26+
INDEX($A679:$BM679,,$BV$27)*$BW$27+
$BN679)),
$BN679-100)</f>
        <v>-100</v>
      </c>
      <c r="AX679" t="str">
        <f t="shared" si="137"/>
        <v/>
      </c>
      <c r="AY679" t="str">
        <f t="shared" si="138"/>
        <v/>
      </c>
      <c r="AZ679" s="430">
        <f>IFERROR(
IF(AX679="",-100,
IF($BV$2&gt;0, INDEX(Beersheet!$A:$U,MATCH(AX679,INDEX(Beersheet!$A:$U,0,FFARawStatProjections!$BV$2),0),$BV$3)+$BN679,
INDEX($A679:$BM679,,$BV$12)*$BW$12+
INDEX($A679:$BM679,,$BV$15)*$BW$15+
INDEX($A679:$BM679,,$BV$16)*$BW$16+
INDEX($A679:$BM679,,$BV$17)*$BW$17+
INDEX($A679:$BM679,,$BV$18)*$BW$18+
INDEX($A679:$BM679,,$BV$19)*$BW$19+
INDEX($A679:$BM679,,$BV$20)*$BW$20+
INDEX($A679:$BM679,,$BV$21)*$BW$21+
INDEX($A679:$BM679,,$BV$22)*$BW$22+
INDEX($A679:$BM679,,$BV$23)*$BW$23+
INDEX($A679:$BM679,,$BV$25)*$BW$25+
INDEX($A679:$BM679,,$BV$26)*$BW$26+
INDEX($A679:$BM679,,$BV$27)*$BW$27+
$BN679)),
$BN679-100)</f>
        <v>-100</v>
      </c>
      <c r="BB679" t="str">
        <f t="shared" si="139"/>
        <v>Peyton Hendershot</v>
      </c>
      <c r="BC679" t="str">
        <f t="shared" si="133"/>
        <v>DAL</v>
      </c>
      <c r="BD679" s="430">
        <f>IFERROR(
IF(BB679="",-100,
IF($BV$2&gt;0, INDEX(Beersheet!$A:$U,MATCH(BB679,INDEX(Beersheet!$A:$U,0,FFARawStatProjections!$BV$2),0),$BV$3)+$BN679,
INDEX($A679:$BM679,,$BV$12)*$BW$12+
INDEX($A679:$BM679,,$BV$15)*$BW$15+
INDEX($A679:$BM679,,$BV$16)*$BW$16+
INDEX($A679:$BM679,,$BV$17)*$BW$17+
INDEX($A679:$BM679,,$BV$18)*$BW$18+
INDEX($A679:$BM679,,$BV$19)*$BW$19+
INDEX($A679:$BM679,,$BV$20)*$BW$20+
INDEX($A679:$BM679,,$BV$21)*$BW$21+
INDEX($A679:$BM679,,$BV$22)*$BW$22+
INDEX($A679:$BM679,,$BV$23)*$BW$23+
INDEX($A679:$BM679,,$BV$25)*$BW$25+
INDEX($A679:$BM679,,$BV$26)*$BW$26+
INDEX($A679:$BM679,,$BV$27)*$BW$27+
$BN679)),
$BN679-100)</f>
        <v>27.30678</v>
      </c>
      <c r="BF679" t="str">
        <f t="shared" si="140"/>
        <v/>
      </c>
      <c r="BG679" t="str">
        <f t="shared" si="141"/>
        <v/>
      </c>
      <c r="BH679">
        <f t="shared" si="142"/>
        <v>0</v>
      </c>
      <c r="BJ679" t="str">
        <f t="shared" si="143"/>
        <v/>
      </c>
      <c r="BL679">
        <f t="shared" si="145"/>
        <v>0</v>
      </c>
      <c r="BN679">
        <v>6.7799999999999996E-3</v>
      </c>
      <c r="BS679" s="4" t="s">
        <v>1114</v>
      </c>
    </row>
    <row r="680" spans="1:71" ht="15.75" thickBot="1" x14ac:dyDescent="0.3">
      <c r="A680" s="569" t="s">
        <v>2262</v>
      </c>
      <c r="B680" s="569" t="s">
        <v>166</v>
      </c>
      <c r="C680" s="569" t="s">
        <v>7</v>
      </c>
      <c r="D680" s="574">
        <v>10</v>
      </c>
      <c r="E680" s="569"/>
      <c r="F680" s="569"/>
      <c r="G680" s="569"/>
      <c r="H680" s="569"/>
      <c r="I680" s="574">
        <v>0</v>
      </c>
      <c r="J680" s="574">
        <v>0</v>
      </c>
      <c r="K680" s="574">
        <v>0</v>
      </c>
      <c r="L680" s="574">
        <v>13.7</v>
      </c>
      <c r="M680" s="574">
        <v>0.9</v>
      </c>
      <c r="N680" s="574">
        <v>130.30000000000001</v>
      </c>
      <c r="O680" s="574">
        <v>0</v>
      </c>
      <c r="P680" s="574">
        <v>0</v>
      </c>
      <c r="Q680" s="574">
        <v>0</v>
      </c>
      <c r="R680" s="569"/>
      <c r="S680" s="569"/>
      <c r="T680" s="569"/>
      <c r="U680" s="569"/>
      <c r="V680" s="569"/>
      <c r="W680" s="569"/>
      <c r="X680" s="569"/>
      <c r="Y680" s="569"/>
      <c r="Z680" s="569"/>
      <c r="AA680" s="569"/>
      <c r="AB680" s="569"/>
      <c r="AC680" s="569"/>
      <c r="AD680" s="569"/>
      <c r="AE680" s="569"/>
      <c r="AF680" s="569"/>
      <c r="AG680" s="569"/>
      <c r="AH680" s="569"/>
      <c r="AI680" s="569"/>
      <c r="AJ680" s="569"/>
      <c r="AK680" s="569"/>
      <c r="AL680" s="569"/>
      <c r="AM680" s="569"/>
      <c r="AN680" s="574">
        <v>18.399999999999999</v>
      </c>
      <c r="AO680">
        <v>679</v>
      </c>
      <c r="AP680" t="str">
        <f t="shared" si="144"/>
        <v/>
      </c>
      <c r="AQ680" t="str">
        <f t="shared" si="134"/>
        <v/>
      </c>
      <c r="AR680" s="430">
        <f>IFERROR(
IF(AP680="",-100,
IF($BV$2&gt;0, INDEX(Beersheet!$A:$U,MATCH(AP680,INDEX(Beersheet!$A:$U,0,FFARawStatProjections!$BV$2),0),$BV$3)+$BN680,
INDEX($A680:$BM680,,$BV$12)*$BW$12+
INDEX($A680:$BM680,,$BV$15)*$BW$15+
INDEX($A680:$BM680,,$BV$16)*$BW$16+
INDEX($A680:$BM680,,$BV$17)*$BW$17+
INDEX($A680:$BM680,,$BV$18)*$BW$18+
INDEX($A680:$BM680,,$BV$19)*$BW$19+
INDEX($A680:$BM680,,$BV$20)*$BW$20+
INDEX($A680:$BM680,,$BV$21)*$BW$21+
INDEX($A680:$BM680,,$BV$22)*$BW$22+
INDEX($A680:$BM680,,$BV$23)*$BW$23+
INDEX($A680:$BM680,,$BV$25)*$BW$25+
INDEX($A680:$BM680,,$BV$26)*$BW$26+
INDEX($A680:$BM680,,$BV$27)*$BW$27+
$BN680)),
$BN680-100)</f>
        <v>-100</v>
      </c>
      <c r="AT680" t="str">
        <f t="shared" si="135"/>
        <v/>
      </c>
      <c r="AU680" t="str">
        <f t="shared" si="136"/>
        <v/>
      </c>
      <c r="AV680" s="430">
        <f>IFERROR(
IF(AT680="",-100,
IF($BV$2&gt;0, INDEX(Beersheet!$A:$U,MATCH(AT680,INDEX(Beersheet!$A:$U,0,FFARawStatProjections!$BV$2),0),$BV$3)+$BN680,
INDEX($A680:$BM680,,$BV$12)*$BW$12+
INDEX($A680:$BM680,,$BV$15)*$BW$15+
INDEX($A680:$BM680,,$BV$16)*$BW$16+
INDEX($A680:$BM680,,$BV$17)*$BW$17+
INDEX($A680:$BM680,,$BV$18)*$BW$18+
INDEX($A680:$BM680,,$BV$19)*$BW$19+
INDEX($A680:$BM680,,$BV$20)*$BW$20+
INDEX($A680:$BM680,,$BV$21)*$BW$21+
INDEX($A680:$BM680,,$BV$22)*$BW$22+
INDEX($A680:$BM680,,$BV$23)*$BW$23+
INDEX($A680:$BM680,,$BV$25)*$BW$25+
INDEX($A680:$BM680,,$BV$26)*$BW$26+
INDEX($A680:$BM680,,$BV$27)*$BW$27+
$BN680)),
$BN680-100)</f>
        <v>-100</v>
      </c>
      <c r="AX680" t="str">
        <f t="shared" si="137"/>
        <v/>
      </c>
      <c r="AY680" t="str">
        <f t="shared" si="138"/>
        <v/>
      </c>
      <c r="AZ680" s="430">
        <f>IFERROR(
IF(AX680="",-100,
IF($BV$2&gt;0, INDEX(Beersheet!$A:$U,MATCH(AX680,INDEX(Beersheet!$A:$U,0,FFARawStatProjections!$BV$2),0),$BV$3)+$BN680,
INDEX($A680:$BM680,,$BV$12)*$BW$12+
INDEX($A680:$BM680,,$BV$15)*$BW$15+
INDEX($A680:$BM680,,$BV$16)*$BW$16+
INDEX($A680:$BM680,,$BV$17)*$BW$17+
INDEX($A680:$BM680,,$BV$18)*$BW$18+
INDEX($A680:$BM680,,$BV$19)*$BW$19+
INDEX($A680:$BM680,,$BV$20)*$BW$20+
INDEX($A680:$BM680,,$BV$21)*$BW$21+
INDEX($A680:$BM680,,$BV$22)*$BW$22+
INDEX($A680:$BM680,,$BV$23)*$BW$23+
INDEX($A680:$BM680,,$BV$25)*$BW$25+
INDEX($A680:$BM680,,$BV$26)*$BW$26+
INDEX($A680:$BM680,,$BV$27)*$BW$27+
$BN680)),
$BN680-100)</f>
        <v>-100</v>
      </c>
      <c r="BB680" t="str">
        <f t="shared" si="139"/>
        <v>Eric Saubert</v>
      </c>
      <c r="BC680" t="str">
        <f t="shared" si="133"/>
        <v>MIA</v>
      </c>
      <c r="BD680" s="430">
        <f>IFERROR(
IF(BB680="",-100,
IF($BV$2&gt;0, INDEX(Beersheet!$A:$U,MATCH(BB680,INDEX(Beersheet!$A:$U,0,FFARawStatProjections!$BV$2),0),$BV$3)+$BN680,
INDEX($A680:$BM680,,$BV$12)*$BW$12+
INDEX($A680:$BM680,,$BV$15)*$BW$15+
INDEX($A680:$BM680,,$BV$16)*$BW$16+
INDEX($A680:$BM680,,$BV$17)*$BW$17+
INDEX($A680:$BM680,,$BV$18)*$BW$18+
INDEX($A680:$BM680,,$BV$19)*$BW$19+
INDEX($A680:$BM680,,$BV$20)*$BW$20+
INDEX($A680:$BM680,,$BV$21)*$BW$21+
INDEX($A680:$BM680,,$BV$22)*$BW$22+
INDEX($A680:$BM680,,$BV$23)*$BW$23+
INDEX($A680:$BM680,,$BV$25)*$BW$25+
INDEX($A680:$BM680,,$BV$26)*$BW$26+
INDEX($A680:$BM680,,$BV$27)*$BW$27+
$BN680)),
$BN680-100)</f>
        <v>32.136790000000005</v>
      </c>
      <c r="BF680" t="str">
        <f t="shared" si="140"/>
        <v/>
      </c>
      <c r="BG680" t="str">
        <f t="shared" si="141"/>
        <v/>
      </c>
      <c r="BH680">
        <f t="shared" si="142"/>
        <v>0</v>
      </c>
      <c r="BJ680" t="str">
        <f t="shared" si="143"/>
        <v/>
      </c>
      <c r="BL680">
        <f t="shared" si="145"/>
        <v>0</v>
      </c>
      <c r="BN680">
        <v>6.79E-3</v>
      </c>
      <c r="BS680" s="4" t="s">
        <v>2550</v>
      </c>
    </row>
    <row r="681" spans="1:71" ht="15.75" thickBot="1" x14ac:dyDescent="0.3">
      <c r="A681" s="569" t="s">
        <v>2246</v>
      </c>
      <c r="B681" s="569" t="s">
        <v>136</v>
      </c>
      <c r="C681" s="569" t="s">
        <v>7</v>
      </c>
      <c r="D681" s="574">
        <v>10</v>
      </c>
      <c r="E681" s="569"/>
      <c r="F681" s="569"/>
      <c r="G681" s="569"/>
      <c r="H681" s="569"/>
      <c r="I681" s="574">
        <v>0</v>
      </c>
      <c r="J681" s="574">
        <v>0</v>
      </c>
      <c r="K681" s="574">
        <v>0</v>
      </c>
      <c r="L681" s="574">
        <v>11.4</v>
      </c>
      <c r="M681" s="574">
        <v>1</v>
      </c>
      <c r="N681" s="574">
        <v>90.9</v>
      </c>
      <c r="O681" s="574">
        <v>0</v>
      </c>
      <c r="P681" s="574">
        <v>0</v>
      </c>
      <c r="Q681" s="574">
        <v>0</v>
      </c>
      <c r="R681" s="569"/>
      <c r="S681" s="569"/>
      <c r="T681" s="569"/>
      <c r="U681" s="569"/>
      <c r="V681" s="569"/>
      <c r="W681" s="569"/>
      <c r="X681" s="569"/>
      <c r="Y681" s="569"/>
      <c r="Z681" s="569"/>
      <c r="AA681" s="569"/>
      <c r="AB681" s="569"/>
      <c r="AC681" s="569"/>
      <c r="AD681" s="569"/>
      <c r="AE681" s="569"/>
      <c r="AF681" s="569"/>
      <c r="AG681" s="569"/>
      <c r="AH681" s="569"/>
      <c r="AI681" s="569"/>
      <c r="AJ681" s="569"/>
      <c r="AK681" s="569"/>
      <c r="AL681" s="569"/>
      <c r="AM681" s="569"/>
      <c r="AN681" s="574">
        <v>17.2</v>
      </c>
      <c r="AO681">
        <v>680</v>
      </c>
      <c r="AP681" t="str">
        <f t="shared" si="144"/>
        <v/>
      </c>
      <c r="AQ681" t="str">
        <f t="shared" si="134"/>
        <v/>
      </c>
      <c r="AR681" s="430">
        <f>IFERROR(
IF(AP681="",-100,
IF($BV$2&gt;0, INDEX(Beersheet!$A:$U,MATCH(AP681,INDEX(Beersheet!$A:$U,0,FFARawStatProjections!$BV$2),0),$BV$3)+$BN681,
INDEX($A681:$BM681,,$BV$12)*$BW$12+
INDEX($A681:$BM681,,$BV$15)*$BW$15+
INDEX($A681:$BM681,,$BV$16)*$BW$16+
INDEX($A681:$BM681,,$BV$17)*$BW$17+
INDEX($A681:$BM681,,$BV$18)*$BW$18+
INDEX($A681:$BM681,,$BV$19)*$BW$19+
INDEX($A681:$BM681,,$BV$20)*$BW$20+
INDEX($A681:$BM681,,$BV$21)*$BW$21+
INDEX($A681:$BM681,,$BV$22)*$BW$22+
INDEX($A681:$BM681,,$BV$23)*$BW$23+
INDEX($A681:$BM681,,$BV$25)*$BW$25+
INDEX($A681:$BM681,,$BV$26)*$BW$26+
INDEX($A681:$BM681,,$BV$27)*$BW$27+
$BN681)),
$BN681-100)</f>
        <v>-100</v>
      </c>
      <c r="AT681" t="str">
        <f t="shared" si="135"/>
        <v/>
      </c>
      <c r="AU681" t="str">
        <f t="shared" si="136"/>
        <v/>
      </c>
      <c r="AV681" s="430">
        <f>IFERROR(
IF(AT681="",-100,
IF($BV$2&gt;0, INDEX(Beersheet!$A:$U,MATCH(AT681,INDEX(Beersheet!$A:$U,0,FFARawStatProjections!$BV$2),0),$BV$3)+$BN681,
INDEX($A681:$BM681,,$BV$12)*$BW$12+
INDEX($A681:$BM681,,$BV$15)*$BW$15+
INDEX($A681:$BM681,,$BV$16)*$BW$16+
INDEX($A681:$BM681,,$BV$17)*$BW$17+
INDEX($A681:$BM681,,$BV$18)*$BW$18+
INDEX($A681:$BM681,,$BV$19)*$BW$19+
INDEX($A681:$BM681,,$BV$20)*$BW$20+
INDEX($A681:$BM681,,$BV$21)*$BW$21+
INDEX($A681:$BM681,,$BV$22)*$BW$22+
INDEX($A681:$BM681,,$BV$23)*$BW$23+
INDEX($A681:$BM681,,$BV$25)*$BW$25+
INDEX($A681:$BM681,,$BV$26)*$BW$26+
INDEX($A681:$BM681,,$BV$27)*$BW$27+
$BN681)),
$BN681-100)</f>
        <v>-100</v>
      </c>
      <c r="AX681" t="str">
        <f t="shared" si="137"/>
        <v/>
      </c>
      <c r="AY681" t="str">
        <f t="shared" si="138"/>
        <v/>
      </c>
      <c r="AZ681" s="430">
        <f>IFERROR(
IF(AX681="",-100,
IF($BV$2&gt;0, INDEX(Beersheet!$A:$U,MATCH(AX681,INDEX(Beersheet!$A:$U,0,FFARawStatProjections!$BV$2),0),$BV$3)+$BN681,
INDEX($A681:$BM681,,$BV$12)*$BW$12+
INDEX($A681:$BM681,,$BV$15)*$BW$15+
INDEX($A681:$BM681,,$BV$16)*$BW$16+
INDEX($A681:$BM681,,$BV$17)*$BW$17+
INDEX($A681:$BM681,,$BV$18)*$BW$18+
INDEX($A681:$BM681,,$BV$19)*$BW$19+
INDEX($A681:$BM681,,$BV$20)*$BW$20+
INDEX($A681:$BM681,,$BV$21)*$BW$21+
INDEX($A681:$BM681,,$BV$22)*$BW$22+
INDEX($A681:$BM681,,$BV$23)*$BW$23+
INDEX($A681:$BM681,,$BV$25)*$BW$25+
INDEX($A681:$BM681,,$BV$26)*$BW$26+
INDEX($A681:$BM681,,$BV$27)*$BW$27+
$BN681)),
$BN681-100)</f>
        <v>-100</v>
      </c>
      <c r="BB681" t="str">
        <f t="shared" si="139"/>
        <v>Blake Bell</v>
      </c>
      <c r="BC681" t="str">
        <f t="shared" si="133"/>
        <v>KC</v>
      </c>
      <c r="BD681" s="430">
        <f>IFERROR(
IF(BB681="",-100,
IF($BV$2&gt;0, INDEX(Beersheet!$A:$U,MATCH(BB681,INDEX(Beersheet!$A:$U,0,FFARawStatProjections!$BV$2),0),$BV$3)+$BN681,
INDEX($A681:$BM681,,$BV$12)*$BW$12+
INDEX($A681:$BM681,,$BV$15)*$BW$15+
INDEX($A681:$BM681,,$BV$16)*$BW$16+
INDEX($A681:$BM681,,$BV$17)*$BW$17+
INDEX($A681:$BM681,,$BV$18)*$BW$18+
INDEX($A681:$BM681,,$BV$19)*$BW$19+
INDEX($A681:$BM681,,$BV$20)*$BW$20+
INDEX($A681:$BM681,,$BV$21)*$BW$21+
INDEX($A681:$BM681,,$BV$22)*$BW$22+
INDEX($A681:$BM681,,$BV$23)*$BW$23+
INDEX($A681:$BM681,,$BV$25)*$BW$25+
INDEX($A681:$BM681,,$BV$26)*$BW$26+
INDEX($A681:$BM681,,$BV$27)*$BW$27+
$BN681)),
$BN681-100)</f>
        <v>26.4968</v>
      </c>
      <c r="BF681" t="str">
        <f t="shared" si="140"/>
        <v/>
      </c>
      <c r="BG681" t="str">
        <f t="shared" si="141"/>
        <v/>
      </c>
      <c r="BH681">
        <f t="shared" si="142"/>
        <v>0</v>
      </c>
      <c r="BJ681" t="str">
        <f t="shared" si="143"/>
        <v/>
      </c>
      <c r="BL681">
        <f t="shared" si="145"/>
        <v>0</v>
      </c>
      <c r="BN681">
        <v>6.7999999999999996E-3</v>
      </c>
      <c r="BS681" s="4" t="s">
        <v>2397</v>
      </c>
    </row>
    <row r="682" spans="1:71" ht="15.75" thickBot="1" x14ac:dyDescent="0.3">
      <c r="A682" s="569" t="s">
        <v>2249</v>
      </c>
      <c r="B682" s="569" t="s">
        <v>152</v>
      </c>
      <c r="C682" s="569" t="s">
        <v>7</v>
      </c>
      <c r="D682" s="574">
        <v>14</v>
      </c>
      <c r="E682" s="569"/>
      <c r="F682" s="569"/>
      <c r="G682" s="569"/>
      <c r="H682" s="569"/>
      <c r="I682" s="574">
        <v>0</v>
      </c>
      <c r="J682" s="574">
        <v>0</v>
      </c>
      <c r="K682" s="574">
        <v>0</v>
      </c>
      <c r="L682" s="574">
        <v>13.4</v>
      </c>
      <c r="M682" s="574">
        <v>0.6</v>
      </c>
      <c r="N682" s="574">
        <v>132.5</v>
      </c>
      <c r="O682" s="574">
        <v>0</v>
      </c>
      <c r="P682" s="574">
        <v>0</v>
      </c>
      <c r="Q682" s="574">
        <v>0</v>
      </c>
      <c r="R682" s="569"/>
      <c r="S682" s="569"/>
      <c r="T682" s="569"/>
      <c r="U682" s="569"/>
      <c r="V682" s="569"/>
      <c r="W682" s="569"/>
      <c r="X682" s="569"/>
      <c r="Y682" s="569"/>
      <c r="Z682" s="569"/>
      <c r="AA682" s="569"/>
      <c r="AB682" s="569"/>
      <c r="AC682" s="569"/>
      <c r="AD682" s="569"/>
      <c r="AE682" s="569"/>
      <c r="AF682" s="569"/>
      <c r="AG682" s="569"/>
      <c r="AH682" s="569"/>
      <c r="AI682" s="569"/>
      <c r="AJ682" s="569"/>
      <c r="AK682" s="569"/>
      <c r="AL682" s="569"/>
      <c r="AM682" s="569"/>
      <c r="AN682" s="574">
        <v>17</v>
      </c>
      <c r="AO682">
        <v>681</v>
      </c>
      <c r="AP682" t="str">
        <f t="shared" si="144"/>
        <v/>
      </c>
      <c r="AQ682" t="str">
        <f t="shared" si="134"/>
        <v/>
      </c>
      <c r="AR682" s="430">
        <f>IFERROR(
IF(AP682="",-100,
IF($BV$2&gt;0, INDEX(Beersheet!$A:$U,MATCH(AP682,INDEX(Beersheet!$A:$U,0,FFARawStatProjections!$BV$2),0),$BV$3)+$BN682,
INDEX($A682:$BM682,,$BV$12)*$BW$12+
INDEX($A682:$BM682,,$BV$15)*$BW$15+
INDEX($A682:$BM682,,$BV$16)*$BW$16+
INDEX($A682:$BM682,,$BV$17)*$BW$17+
INDEX($A682:$BM682,,$BV$18)*$BW$18+
INDEX($A682:$BM682,,$BV$19)*$BW$19+
INDEX($A682:$BM682,,$BV$20)*$BW$20+
INDEX($A682:$BM682,,$BV$21)*$BW$21+
INDEX($A682:$BM682,,$BV$22)*$BW$22+
INDEX($A682:$BM682,,$BV$23)*$BW$23+
INDEX($A682:$BM682,,$BV$25)*$BW$25+
INDEX($A682:$BM682,,$BV$26)*$BW$26+
INDEX($A682:$BM682,,$BV$27)*$BW$27+
$BN682)),
$BN682-100)</f>
        <v>-100</v>
      </c>
      <c r="AT682" t="str">
        <f t="shared" si="135"/>
        <v/>
      </c>
      <c r="AU682" t="str">
        <f t="shared" si="136"/>
        <v/>
      </c>
      <c r="AV682" s="430">
        <f>IFERROR(
IF(AT682="",-100,
IF($BV$2&gt;0, INDEX(Beersheet!$A:$U,MATCH(AT682,INDEX(Beersheet!$A:$U,0,FFARawStatProjections!$BV$2),0),$BV$3)+$BN682,
INDEX($A682:$BM682,,$BV$12)*$BW$12+
INDEX($A682:$BM682,,$BV$15)*$BW$15+
INDEX($A682:$BM682,,$BV$16)*$BW$16+
INDEX($A682:$BM682,,$BV$17)*$BW$17+
INDEX($A682:$BM682,,$BV$18)*$BW$18+
INDEX($A682:$BM682,,$BV$19)*$BW$19+
INDEX($A682:$BM682,,$BV$20)*$BW$20+
INDEX($A682:$BM682,,$BV$21)*$BW$21+
INDEX($A682:$BM682,,$BV$22)*$BW$22+
INDEX($A682:$BM682,,$BV$23)*$BW$23+
INDEX($A682:$BM682,,$BV$25)*$BW$25+
INDEX($A682:$BM682,,$BV$26)*$BW$26+
INDEX($A682:$BM682,,$BV$27)*$BW$27+
$BN682)),
$BN682-100)</f>
        <v>-100</v>
      </c>
      <c r="AX682" t="str">
        <f t="shared" si="137"/>
        <v/>
      </c>
      <c r="AY682" t="str">
        <f t="shared" si="138"/>
        <v/>
      </c>
      <c r="AZ682" s="430">
        <f>IFERROR(
IF(AX682="",-100,
IF($BV$2&gt;0, INDEX(Beersheet!$A:$U,MATCH(AX682,INDEX(Beersheet!$A:$U,0,FFARawStatProjections!$BV$2),0),$BV$3)+$BN682,
INDEX($A682:$BM682,,$BV$12)*$BW$12+
INDEX($A682:$BM682,,$BV$15)*$BW$15+
INDEX($A682:$BM682,,$BV$16)*$BW$16+
INDEX($A682:$BM682,,$BV$17)*$BW$17+
INDEX($A682:$BM682,,$BV$18)*$BW$18+
INDEX($A682:$BM682,,$BV$19)*$BW$19+
INDEX($A682:$BM682,,$BV$20)*$BW$20+
INDEX($A682:$BM682,,$BV$21)*$BW$21+
INDEX($A682:$BM682,,$BV$22)*$BW$22+
INDEX($A682:$BM682,,$BV$23)*$BW$23+
INDEX($A682:$BM682,,$BV$25)*$BW$25+
INDEX($A682:$BM682,,$BV$26)*$BW$26+
INDEX($A682:$BM682,,$BV$27)*$BW$27+
$BN682)),
$BN682-100)</f>
        <v>-100</v>
      </c>
      <c r="BB682" t="str">
        <f t="shared" si="139"/>
        <v>John Bates</v>
      </c>
      <c r="BC682" t="str">
        <f t="shared" si="133"/>
        <v>WAS</v>
      </c>
      <c r="BD682" s="430">
        <f>IFERROR(
IF(BB682="",-100,
IF($BV$2&gt;0, INDEX(Beersheet!$A:$U,MATCH(BB682,INDEX(Beersheet!$A:$U,0,FFARawStatProjections!$BV$2),0),$BV$3)+$BN682,
INDEX($A682:$BM682,,$BV$12)*$BW$12+
INDEX($A682:$BM682,,$BV$15)*$BW$15+
INDEX($A682:$BM682,,$BV$16)*$BW$16+
INDEX($A682:$BM682,,$BV$17)*$BW$17+
INDEX($A682:$BM682,,$BV$18)*$BW$18+
INDEX($A682:$BM682,,$BV$19)*$BW$19+
INDEX($A682:$BM682,,$BV$20)*$BW$20+
INDEX($A682:$BM682,,$BV$21)*$BW$21+
INDEX($A682:$BM682,,$BV$22)*$BW$22+
INDEX($A682:$BM682,,$BV$23)*$BW$23+
INDEX($A682:$BM682,,$BV$25)*$BW$25+
INDEX($A682:$BM682,,$BV$26)*$BW$26+
INDEX($A682:$BM682,,$BV$27)*$BW$27+
$BN682)),
$BN682-100)</f>
        <v>30.256810000000002</v>
      </c>
      <c r="BF682" t="str">
        <f t="shared" si="140"/>
        <v/>
      </c>
      <c r="BG682" t="str">
        <f t="shared" si="141"/>
        <v/>
      </c>
      <c r="BH682">
        <f t="shared" si="142"/>
        <v>0</v>
      </c>
      <c r="BJ682" t="str">
        <f t="shared" si="143"/>
        <v/>
      </c>
      <c r="BL682">
        <f t="shared" si="145"/>
        <v>0</v>
      </c>
      <c r="BN682">
        <v>6.8100000000000001E-3</v>
      </c>
      <c r="BS682" s="4" t="s">
        <v>2218</v>
      </c>
    </row>
    <row r="683" spans="1:71" ht="15.75" thickBot="1" x14ac:dyDescent="0.3">
      <c r="A683" s="569" t="s">
        <v>1895</v>
      </c>
      <c r="B683" s="569" t="s">
        <v>137</v>
      </c>
      <c r="C683" s="569" t="s">
        <v>7</v>
      </c>
      <c r="D683" s="574">
        <v>10</v>
      </c>
      <c r="E683" s="569"/>
      <c r="F683" s="569"/>
      <c r="G683" s="569"/>
      <c r="H683" s="569"/>
      <c r="I683" s="574">
        <v>0</v>
      </c>
      <c r="J683" s="574">
        <v>0</v>
      </c>
      <c r="K683" s="574">
        <v>0</v>
      </c>
      <c r="L683" s="574">
        <v>8.3000000000000007</v>
      </c>
      <c r="M683" s="574">
        <v>0.7</v>
      </c>
      <c r="N683" s="574">
        <v>127.2</v>
      </c>
      <c r="O683" s="574">
        <v>0</v>
      </c>
      <c r="P683" s="574">
        <v>0</v>
      </c>
      <c r="Q683" s="574">
        <v>0</v>
      </c>
      <c r="R683" s="569"/>
      <c r="S683" s="569"/>
      <c r="T683" s="569"/>
      <c r="U683" s="569"/>
      <c r="V683" s="569"/>
      <c r="W683" s="569"/>
      <c r="X683" s="569"/>
      <c r="Y683" s="569"/>
      <c r="Z683" s="569"/>
      <c r="AA683" s="569"/>
      <c r="AB683" s="569"/>
      <c r="AC683" s="569"/>
      <c r="AD683" s="569"/>
      <c r="AE683" s="569"/>
      <c r="AF683" s="569"/>
      <c r="AG683" s="569"/>
      <c r="AH683" s="569"/>
      <c r="AI683" s="569"/>
      <c r="AJ683" s="569"/>
      <c r="AK683" s="569"/>
      <c r="AL683" s="569"/>
      <c r="AM683" s="569"/>
      <c r="AN683" s="574">
        <v>17</v>
      </c>
      <c r="AO683">
        <v>682</v>
      </c>
      <c r="AP683" t="str">
        <f t="shared" si="144"/>
        <v/>
      </c>
      <c r="AQ683" t="str">
        <f t="shared" si="134"/>
        <v/>
      </c>
      <c r="AR683" s="430">
        <f>IFERROR(
IF(AP683="",-100,
IF($BV$2&gt;0, INDEX(Beersheet!$A:$U,MATCH(AP683,INDEX(Beersheet!$A:$U,0,FFARawStatProjections!$BV$2),0),$BV$3)+$BN683,
INDEX($A683:$BM683,,$BV$12)*$BW$12+
INDEX($A683:$BM683,,$BV$15)*$BW$15+
INDEX($A683:$BM683,,$BV$16)*$BW$16+
INDEX($A683:$BM683,,$BV$17)*$BW$17+
INDEX($A683:$BM683,,$BV$18)*$BW$18+
INDEX($A683:$BM683,,$BV$19)*$BW$19+
INDEX($A683:$BM683,,$BV$20)*$BW$20+
INDEX($A683:$BM683,,$BV$21)*$BW$21+
INDEX($A683:$BM683,,$BV$22)*$BW$22+
INDEX($A683:$BM683,,$BV$23)*$BW$23+
INDEX($A683:$BM683,,$BV$25)*$BW$25+
INDEX($A683:$BM683,,$BV$26)*$BW$26+
INDEX($A683:$BM683,,$BV$27)*$BW$27+
$BN683)),
$BN683-100)</f>
        <v>-100</v>
      </c>
      <c r="AT683" t="str">
        <f t="shared" si="135"/>
        <v/>
      </c>
      <c r="AU683" t="str">
        <f t="shared" si="136"/>
        <v/>
      </c>
      <c r="AV683" s="430">
        <f>IFERROR(
IF(AT683="",-100,
IF($BV$2&gt;0, INDEX(Beersheet!$A:$U,MATCH(AT683,INDEX(Beersheet!$A:$U,0,FFARawStatProjections!$BV$2),0),$BV$3)+$BN683,
INDEX($A683:$BM683,,$BV$12)*$BW$12+
INDEX($A683:$BM683,,$BV$15)*$BW$15+
INDEX($A683:$BM683,,$BV$16)*$BW$16+
INDEX($A683:$BM683,,$BV$17)*$BW$17+
INDEX($A683:$BM683,,$BV$18)*$BW$18+
INDEX($A683:$BM683,,$BV$19)*$BW$19+
INDEX($A683:$BM683,,$BV$20)*$BW$20+
INDEX($A683:$BM683,,$BV$21)*$BW$21+
INDEX($A683:$BM683,,$BV$22)*$BW$22+
INDEX($A683:$BM683,,$BV$23)*$BW$23+
INDEX($A683:$BM683,,$BV$25)*$BW$25+
INDEX($A683:$BM683,,$BV$26)*$BW$26+
INDEX($A683:$BM683,,$BV$27)*$BW$27+
$BN683)),
$BN683-100)</f>
        <v>-100</v>
      </c>
      <c r="AX683" t="str">
        <f t="shared" si="137"/>
        <v/>
      </c>
      <c r="AY683" t="str">
        <f t="shared" si="138"/>
        <v/>
      </c>
      <c r="AZ683" s="430">
        <f>IFERROR(
IF(AX683="",-100,
IF($BV$2&gt;0, INDEX(Beersheet!$A:$U,MATCH(AX683,INDEX(Beersheet!$A:$U,0,FFARawStatProjections!$BV$2),0),$BV$3)+$BN683,
INDEX($A683:$BM683,,$BV$12)*$BW$12+
INDEX($A683:$BM683,,$BV$15)*$BW$15+
INDEX($A683:$BM683,,$BV$16)*$BW$16+
INDEX($A683:$BM683,,$BV$17)*$BW$17+
INDEX($A683:$BM683,,$BV$18)*$BW$18+
INDEX($A683:$BM683,,$BV$19)*$BW$19+
INDEX($A683:$BM683,,$BV$20)*$BW$20+
INDEX($A683:$BM683,,$BV$21)*$BW$21+
INDEX($A683:$BM683,,$BV$22)*$BW$22+
INDEX($A683:$BM683,,$BV$23)*$BW$23+
INDEX($A683:$BM683,,$BV$25)*$BW$25+
INDEX($A683:$BM683,,$BV$26)*$BW$26+
INDEX($A683:$BM683,,$BV$27)*$BW$27+
$BN683)),
$BN683-100)</f>
        <v>-100</v>
      </c>
      <c r="BB683" t="str">
        <f t="shared" si="139"/>
        <v>Dan Arnold</v>
      </c>
      <c r="BC683" t="str">
        <f t="shared" si="133"/>
        <v>PHI</v>
      </c>
      <c r="BD683" s="430">
        <f>IFERROR(
IF(BB683="",-100,
IF($BV$2&gt;0, INDEX(Beersheet!$A:$U,MATCH(BB683,INDEX(Beersheet!$A:$U,0,FFARawStatProjections!$BV$2),0),$BV$3)+$BN683,
INDEX($A683:$BM683,,$BV$12)*$BW$12+
INDEX($A683:$BM683,,$BV$15)*$BW$15+
INDEX($A683:$BM683,,$BV$16)*$BW$16+
INDEX($A683:$BM683,,$BV$17)*$BW$17+
INDEX($A683:$BM683,,$BV$18)*$BW$18+
INDEX($A683:$BM683,,$BV$19)*$BW$19+
INDEX($A683:$BM683,,$BV$20)*$BW$20+
INDEX($A683:$BM683,,$BV$21)*$BW$21+
INDEX($A683:$BM683,,$BV$22)*$BW$22+
INDEX($A683:$BM683,,$BV$23)*$BW$23+
INDEX($A683:$BM683,,$BV$25)*$BW$25+
INDEX($A683:$BM683,,$BV$26)*$BW$26+
INDEX($A683:$BM683,,$BV$27)*$BW$27+
$BN683)),
$BN683-100)</f>
        <v>25.22682</v>
      </c>
      <c r="BF683" t="str">
        <f t="shared" si="140"/>
        <v/>
      </c>
      <c r="BG683" t="str">
        <f t="shared" si="141"/>
        <v/>
      </c>
      <c r="BH683">
        <f t="shared" si="142"/>
        <v>0</v>
      </c>
      <c r="BJ683" t="str">
        <f t="shared" si="143"/>
        <v/>
      </c>
      <c r="BL683">
        <f t="shared" si="145"/>
        <v>0</v>
      </c>
      <c r="BN683">
        <v>6.8199999999999997E-3</v>
      </c>
      <c r="BS683" s="4" t="s">
        <v>2293</v>
      </c>
    </row>
    <row r="684" spans="1:71" ht="15.75" thickBot="1" x14ac:dyDescent="0.3">
      <c r="A684" s="569" t="s">
        <v>2515</v>
      </c>
      <c r="B684" s="569" t="s">
        <v>155</v>
      </c>
      <c r="C684" s="569" t="s">
        <v>7</v>
      </c>
      <c r="D684" s="574">
        <v>9</v>
      </c>
      <c r="E684" s="569"/>
      <c r="F684" s="569"/>
      <c r="G684" s="569"/>
      <c r="H684" s="569"/>
      <c r="I684" s="574">
        <v>0</v>
      </c>
      <c r="J684" s="574">
        <v>0</v>
      </c>
      <c r="K684" s="574">
        <v>0</v>
      </c>
      <c r="L684" s="574">
        <v>11.5</v>
      </c>
      <c r="M684" s="574">
        <v>0.8</v>
      </c>
      <c r="N684" s="574">
        <v>120.4</v>
      </c>
      <c r="O684" s="574">
        <v>0</v>
      </c>
      <c r="P684" s="574">
        <v>0</v>
      </c>
      <c r="Q684" s="574">
        <v>0</v>
      </c>
      <c r="R684" s="569"/>
      <c r="S684" s="569"/>
      <c r="T684" s="569"/>
      <c r="U684" s="569"/>
      <c r="V684" s="569"/>
      <c r="W684" s="569"/>
      <c r="X684" s="569"/>
      <c r="Y684" s="569"/>
      <c r="Z684" s="569"/>
      <c r="AA684" s="569"/>
      <c r="AB684" s="569"/>
      <c r="AC684" s="569"/>
      <c r="AD684" s="569"/>
      <c r="AE684" s="569"/>
      <c r="AF684" s="569"/>
      <c r="AG684" s="569"/>
      <c r="AH684" s="569"/>
      <c r="AI684" s="569"/>
      <c r="AJ684" s="569"/>
      <c r="AK684" s="569"/>
      <c r="AL684" s="569"/>
      <c r="AM684" s="569"/>
      <c r="AN684" s="574">
        <v>16.7</v>
      </c>
      <c r="AO684">
        <v>683</v>
      </c>
      <c r="AP684" t="str">
        <f t="shared" si="144"/>
        <v/>
      </c>
      <c r="AQ684" t="str">
        <f t="shared" si="134"/>
        <v/>
      </c>
      <c r="AR684" s="430">
        <f>IFERROR(
IF(AP684="",-100,
IF($BV$2&gt;0, INDEX(Beersheet!$A:$U,MATCH(AP684,INDEX(Beersheet!$A:$U,0,FFARawStatProjections!$BV$2),0),$BV$3)+$BN684,
INDEX($A684:$BM684,,$BV$12)*$BW$12+
INDEX($A684:$BM684,,$BV$15)*$BW$15+
INDEX($A684:$BM684,,$BV$16)*$BW$16+
INDEX($A684:$BM684,,$BV$17)*$BW$17+
INDEX($A684:$BM684,,$BV$18)*$BW$18+
INDEX($A684:$BM684,,$BV$19)*$BW$19+
INDEX($A684:$BM684,,$BV$20)*$BW$20+
INDEX($A684:$BM684,,$BV$21)*$BW$21+
INDEX($A684:$BM684,,$BV$22)*$BW$22+
INDEX($A684:$BM684,,$BV$23)*$BW$23+
INDEX($A684:$BM684,,$BV$25)*$BW$25+
INDEX($A684:$BM684,,$BV$26)*$BW$26+
INDEX($A684:$BM684,,$BV$27)*$BW$27+
$BN684)),
$BN684-100)</f>
        <v>-100</v>
      </c>
      <c r="AT684" t="str">
        <f t="shared" si="135"/>
        <v/>
      </c>
      <c r="AU684" t="str">
        <f t="shared" si="136"/>
        <v/>
      </c>
      <c r="AV684" s="430">
        <f>IFERROR(
IF(AT684="",-100,
IF($BV$2&gt;0, INDEX(Beersheet!$A:$U,MATCH(AT684,INDEX(Beersheet!$A:$U,0,FFARawStatProjections!$BV$2),0),$BV$3)+$BN684,
INDEX($A684:$BM684,,$BV$12)*$BW$12+
INDEX($A684:$BM684,,$BV$15)*$BW$15+
INDEX($A684:$BM684,,$BV$16)*$BW$16+
INDEX($A684:$BM684,,$BV$17)*$BW$17+
INDEX($A684:$BM684,,$BV$18)*$BW$18+
INDEX($A684:$BM684,,$BV$19)*$BW$19+
INDEX($A684:$BM684,,$BV$20)*$BW$20+
INDEX($A684:$BM684,,$BV$21)*$BW$21+
INDEX($A684:$BM684,,$BV$22)*$BW$22+
INDEX($A684:$BM684,,$BV$23)*$BW$23+
INDEX($A684:$BM684,,$BV$25)*$BW$25+
INDEX($A684:$BM684,,$BV$26)*$BW$26+
INDEX($A684:$BM684,,$BV$27)*$BW$27+
$BN684)),
$BN684-100)</f>
        <v>-100</v>
      </c>
      <c r="AX684" t="str">
        <f t="shared" si="137"/>
        <v/>
      </c>
      <c r="AY684" t="str">
        <f t="shared" si="138"/>
        <v/>
      </c>
      <c r="AZ684" s="430">
        <f>IFERROR(
IF(AX684="",-100,
IF($BV$2&gt;0, INDEX(Beersheet!$A:$U,MATCH(AX684,INDEX(Beersheet!$A:$U,0,FFARawStatProjections!$BV$2),0),$BV$3)+$BN684,
INDEX($A684:$BM684,,$BV$12)*$BW$12+
INDEX($A684:$BM684,,$BV$15)*$BW$15+
INDEX($A684:$BM684,,$BV$16)*$BW$16+
INDEX($A684:$BM684,,$BV$17)*$BW$17+
INDEX($A684:$BM684,,$BV$18)*$BW$18+
INDEX($A684:$BM684,,$BV$19)*$BW$19+
INDEX($A684:$BM684,,$BV$20)*$BW$20+
INDEX($A684:$BM684,,$BV$21)*$BW$21+
INDEX($A684:$BM684,,$BV$22)*$BW$22+
INDEX($A684:$BM684,,$BV$23)*$BW$23+
INDEX($A684:$BM684,,$BV$25)*$BW$25+
INDEX($A684:$BM684,,$BV$26)*$BW$26+
INDEX($A684:$BM684,,$BV$27)*$BW$27+
$BN684)),
$BN684-100)</f>
        <v>-100</v>
      </c>
      <c r="BB684" t="str">
        <f t="shared" si="139"/>
        <v>Cameron Latu</v>
      </c>
      <c r="BC684" t="str">
        <f t="shared" si="133"/>
        <v>SF</v>
      </c>
      <c r="BD684" s="430">
        <f>IFERROR(
IF(BB684="",-100,
IF($BV$2&gt;0, INDEX(Beersheet!$A:$U,MATCH(BB684,INDEX(Beersheet!$A:$U,0,FFARawStatProjections!$BV$2),0),$BV$3)+$BN684,
INDEX($A684:$BM684,,$BV$12)*$BW$12+
INDEX($A684:$BM684,,$BV$15)*$BW$15+
INDEX($A684:$BM684,,$BV$16)*$BW$16+
INDEX($A684:$BM684,,$BV$17)*$BW$17+
INDEX($A684:$BM684,,$BV$18)*$BW$18+
INDEX($A684:$BM684,,$BV$19)*$BW$19+
INDEX($A684:$BM684,,$BV$20)*$BW$20+
INDEX($A684:$BM684,,$BV$21)*$BW$21+
INDEX($A684:$BM684,,$BV$22)*$BW$22+
INDEX($A684:$BM684,,$BV$23)*$BW$23+
INDEX($A684:$BM684,,$BV$25)*$BW$25+
INDEX($A684:$BM684,,$BV$26)*$BW$26+
INDEX($A684:$BM684,,$BV$27)*$BW$27+
$BN684)),
$BN684-100)</f>
        <v>28.346830000000004</v>
      </c>
      <c r="BF684" t="str">
        <f t="shared" si="140"/>
        <v/>
      </c>
      <c r="BG684" t="str">
        <f t="shared" si="141"/>
        <v/>
      </c>
      <c r="BH684">
        <f t="shared" si="142"/>
        <v>0</v>
      </c>
      <c r="BJ684" t="str">
        <f t="shared" si="143"/>
        <v/>
      </c>
      <c r="BL684">
        <f t="shared" si="145"/>
        <v>0</v>
      </c>
      <c r="BN684">
        <v>6.8300000000000001E-3</v>
      </c>
      <c r="BS684" s="4" t="s">
        <v>2302</v>
      </c>
    </row>
    <row r="685" spans="1:71" ht="15.75" thickBot="1" x14ac:dyDescent="0.3">
      <c r="A685" s="569" t="s">
        <v>2238</v>
      </c>
      <c r="B685" s="569" t="s">
        <v>1389</v>
      </c>
      <c r="C685" s="569" t="s">
        <v>7</v>
      </c>
      <c r="D685" s="574">
        <v>10</v>
      </c>
      <c r="E685" s="569"/>
      <c r="F685" s="569"/>
      <c r="G685" s="569"/>
      <c r="H685" s="569"/>
      <c r="I685" s="574">
        <v>0</v>
      </c>
      <c r="J685" s="574">
        <v>0</v>
      </c>
      <c r="K685" s="574">
        <v>0</v>
      </c>
      <c r="L685" s="574">
        <v>10.3</v>
      </c>
      <c r="M685" s="574">
        <v>0.7</v>
      </c>
      <c r="N685" s="574">
        <v>125.6</v>
      </c>
      <c r="O685" s="574">
        <v>0</v>
      </c>
      <c r="P685" s="574">
        <v>0</v>
      </c>
      <c r="Q685" s="574">
        <v>0</v>
      </c>
      <c r="R685" s="569"/>
      <c r="S685" s="569"/>
      <c r="T685" s="569"/>
      <c r="U685" s="569"/>
      <c r="V685" s="569"/>
      <c r="W685" s="569"/>
      <c r="X685" s="569"/>
      <c r="Y685" s="569"/>
      <c r="Z685" s="569"/>
      <c r="AA685" s="569"/>
      <c r="AB685" s="569"/>
      <c r="AC685" s="569"/>
      <c r="AD685" s="569"/>
      <c r="AE685" s="569"/>
      <c r="AF685" s="569"/>
      <c r="AG685" s="569"/>
      <c r="AH685" s="569"/>
      <c r="AI685" s="569"/>
      <c r="AJ685" s="569"/>
      <c r="AK685" s="569"/>
      <c r="AL685" s="569"/>
      <c r="AM685" s="569"/>
      <c r="AN685" s="574">
        <v>16.7</v>
      </c>
      <c r="AO685">
        <v>684</v>
      </c>
      <c r="AP685" t="str">
        <f t="shared" si="144"/>
        <v/>
      </c>
      <c r="AQ685" t="str">
        <f t="shared" si="134"/>
        <v/>
      </c>
      <c r="AR685" s="430">
        <f>IFERROR(
IF(AP685="",-100,
IF($BV$2&gt;0, INDEX(Beersheet!$A:$U,MATCH(AP685,INDEX(Beersheet!$A:$U,0,FFARawStatProjections!$BV$2),0),$BV$3)+$BN685,
INDEX($A685:$BM685,,$BV$12)*$BW$12+
INDEX($A685:$BM685,,$BV$15)*$BW$15+
INDEX($A685:$BM685,,$BV$16)*$BW$16+
INDEX($A685:$BM685,,$BV$17)*$BW$17+
INDEX($A685:$BM685,,$BV$18)*$BW$18+
INDEX($A685:$BM685,,$BV$19)*$BW$19+
INDEX($A685:$BM685,,$BV$20)*$BW$20+
INDEX($A685:$BM685,,$BV$21)*$BW$21+
INDEX($A685:$BM685,,$BV$22)*$BW$22+
INDEX($A685:$BM685,,$BV$23)*$BW$23+
INDEX($A685:$BM685,,$BV$25)*$BW$25+
INDEX($A685:$BM685,,$BV$26)*$BW$26+
INDEX($A685:$BM685,,$BV$27)*$BW$27+
$BN685)),
$BN685-100)</f>
        <v>-100</v>
      </c>
      <c r="AT685" t="str">
        <f t="shared" si="135"/>
        <v/>
      </c>
      <c r="AU685" t="str">
        <f t="shared" si="136"/>
        <v/>
      </c>
      <c r="AV685" s="430">
        <f>IFERROR(
IF(AT685="",-100,
IF($BV$2&gt;0, INDEX(Beersheet!$A:$U,MATCH(AT685,INDEX(Beersheet!$A:$U,0,FFARawStatProjections!$BV$2),0),$BV$3)+$BN685,
INDEX($A685:$BM685,,$BV$12)*$BW$12+
INDEX($A685:$BM685,,$BV$15)*$BW$15+
INDEX($A685:$BM685,,$BV$16)*$BW$16+
INDEX($A685:$BM685,,$BV$17)*$BW$17+
INDEX($A685:$BM685,,$BV$18)*$BW$18+
INDEX($A685:$BM685,,$BV$19)*$BW$19+
INDEX($A685:$BM685,,$BV$20)*$BW$20+
INDEX($A685:$BM685,,$BV$21)*$BW$21+
INDEX($A685:$BM685,,$BV$22)*$BW$22+
INDEX($A685:$BM685,,$BV$23)*$BW$23+
INDEX($A685:$BM685,,$BV$25)*$BW$25+
INDEX($A685:$BM685,,$BV$26)*$BW$26+
INDEX($A685:$BM685,,$BV$27)*$BW$27+
$BN685)),
$BN685-100)</f>
        <v>-100</v>
      </c>
      <c r="AX685" t="str">
        <f t="shared" si="137"/>
        <v/>
      </c>
      <c r="AY685" t="str">
        <f t="shared" si="138"/>
        <v/>
      </c>
      <c r="AZ685" s="430">
        <f>IFERROR(
IF(AX685="",-100,
IF($BV$2&gt;0, INDEX(Beersheet!$A:$U,MATCH(AX685,INDEX(Beersheet!$A:$U,0,FFARawStatProjections!$BV$2),0),$BV$3)+$BN685,
INDEX($A685:$BM685,,$BV$12)*$BW$12+
INDEX($A685:$BM685,,$BV$15)*$BW$15+
INDEX($A685:$BM685,,$BV$16)*$BW$16+
INDEX($A685:$BM685,,$BV$17)*$BW$17+
INDEX($A685:$BM685,,$BV$18)*$BW$18+
INDEX($A685:$BM685,,$BV$19)*$BW$19+
INDEX($A685:$BM685,,$BV$20)*$BW$20+
INDEX($A685:$BM685,,$BV$21)*$BW$21+
INDEX($A685:$BM685,,$BV$22)*$BW$22+
INDEX($A685:$BM685,,$BV$23)*$BW$23+
INDEX($A685:$BM685,,$BV$25)*$BW$25+
INDEX($A685:$BM685,,$BV$26)*$BW$26+
INDEX($A685:$BM685,,$BV$27)*$BW$27+
$BN685)),
$BN685-100)</f>
        <v>-100</v>
      </c>
      <c r="BB685" t="str">
        <f t="shared" si="139"/>
        <v>Hunter Long</v>
      </c>
      <c r="BC685" t="str">
        <f t="shared" si="133"/>
        <v>LAR</v>
      </c>
      <c r="BD685" s="430">
        <f>IFERROR(
IF(BB685="",-100,
IF($BV$2&gt;0, INDEX(Beersheet!$A:$U,MATCH(BB685,INDEX(Beersheet!$A:$U,0,FFARawStatProjections!$BV$2),0),$BV$3)+$BN685,
INDEX($A685:$BM685,,$BV$12)*$BW$12+
INDEX($A685:$BM685,,$BV$15)*$BW$15+
INDEX($A685:$BM685,,$BV$16)*$BW$16+
INDEX($A685:$BM685,,$BV$17)*$BW$17+
INDEX($A685:$BM685,,$BV$18)*$BW$18+
INDEX($A685:$BM685,,$BV$19)*$BW$19+
INDEX($A685:$BM685,,$BV$20)*$BW$20+
INDEX($A685:$BM685,,$BV$21)*$BW$21+
INDEX($A685:$BM685,,$BV$22)*$BW$22+
INDEX($A685:$BM685,,$BV$23)*$BW$23+
INDEX($A685:$BM685,,$BV$25)*$BW$25+
INDEX($A685:$BM685,,$BV$26)*$BW$26+
INDEX($A685:$BM685,,$BV$27)*$BW$27+
$BN685)),
$BN685-100)</f>
        <v>27.066840000000003</v>
      </c>
      <c r="BF685" t="str">
        <f t="shared" si="140"/>
        <v/>
      </c>
      <c r="BG685" t="str">
        <f t="shared" si="141"/>
        <v/>
      </c>
      <c r="BH685">
        <f t="shared" si="142"/>
        <v>0</v>
      </c>
      <c r="BJ685" t="str">
        <f t="shared" si="143"/>
        <v/>
      </c>
      <c r="BL685">
        <f t="shared" si="145"/>
        <v>0</v>
      </c>
      <c r="BN685">
        <v>6.8399999999999997E-3</v>
      </c>
      <c r="BS685" s="4" t="s">
        <v>2121</v>
      </c>
    </row>
    <row r="686" spans="1:71" ht="15.75" thickBot="1" x14ac:dyDescent="0.3">
      <c r="A686" s="569" t="s">
        <v>2428</v>
      </c>
      <c r="B686" s="569" t="s">
        <v>149</v>
      </c>
      <c r="C686" s="569" t="s">
        <v>7</v>
      </c>
      <c r="D686" s="574">
        <v>5</v>
      </c>
      <c r="E686" s="569"/>
      <c r="F686" s="569"/>
      <c r="G686" s="569"/>
      <c r="H686" s="569"/>
      <c r="I686" s="574">
        <v>0</v>
      </c>
      <c r="J686" s="574">
        <v>0</v>
      </c>
      <c r="K686" s="574">
        <v>0</v>
      </c>
      <c r="L686" s="574">
        <v>13.9</v>
      </c>
      <c r="M686" s="574">
        <v>0.7</v>
      </c>
      <c r="N686" s="574">
        <v>125.5</v>
      </c>
      <c r="O686" s="574">
        <v>0</v>
      </c>
      <c r="P686" s="574">
        <v>0</v>
      </c>
      <c r="Q686" s="574">
        <v>0</v>
      </c>
      <c r="R686" s="569"/>
      <c r="S686" s="569"/>
      <c r="T686" s="569"/>
      <c r="U686" s="569"/>
      <c r="V686" s="569"/>
      <c r="W686" s="569"/>
      <c r="X686" s="569"/>
      <c r="Y686" s="569"/>
      <c r="Z686" s="569"/>
      <c r="AA686" s="569"/>
      <c r="AB686" s="569"/>
      <c r="AC686" s="569"/>
      <c r="AD686" s="569"/>
      <c r="AE686" s="569"/>
      <c r="AF686" s="569"/>
      <c r="AG686" s="569"/>
      <c r="AH686" s="569"/>
      <c r="AI686" s="569"/>
      <c r="AJ686" s="569"/>
      <c r="AK686" s="569"/>
      <c r="AL686" s="569"/>
      <c r="AM686" s="569"/>
      <c r="AN686" s="574">
        <v>16.5</v>
      </c>
      <c r="AO686">
        <v>685</v>
      </c>
      <c r="AP686" t="str">
        <f t="shared" si="144"/>
        <v/>
      </c>
      <c r="AQ686" t="str">
        <f t="shared" si="134"/>
        <v/>
      </c>
      <c r="AR686" s="430">
        <f>IFERROR(
IF(AP686="",-100,
IF($BV$2&gt;0, INDEX(Beersheet!$A:$U,MATCH(AP686,INDEX(Beersheet!$A:$U,0,FFARawStatProjections!$BV$2),0),$BV$3)+$BN686,
INDEX($A686:$BM686,,$BV$12)*$BW$12+
INDEX($A686:$BM686,,$BV$15)*$BW$15+
INDEX($A686:$BM686,,$BV$16)*$BW$16+
INDEX($A686:$BM686,,$BV$17)*$BW$17+
INDEX($A686:$BM686,,$BV$18)*$BW$18+
INDEX($A686:$BM686,,$BV$19)*$BW$19+
INDEX($A686:$BM686,,$BV$20)*$BW$20+
INDEX($A686:$BM686,,$BV$21)*$BW$21+
INDEX($A686:$BM686,,$BV$22)*$BW$22+
INDEX($A686:$BM686,,$BV$23)*$BW$23+
INDEX($A686:$BM686,,$BV$25)*$BW$25+
INDEX($A686:$BM686,,$BV$26)*$BW$26+
INDEX($A686:$BM686,,$BV$27)*$BW$27+
$BN686)),
$BN686-100)</f>
        <v>-100</v>
      </c>
      <c r="AT686" t="str">
        <f t="shared" si="135"/>
        <v/>
      </c>
      <c r="AU686" t="str">
        <f t="shared" si="136"/>
        <v/>
      </c>
      <c r="AV686" s="430">
        <f>IFERROR(
IF(AT686="",-100,
IF($BV$2&gt;0, INDEX(Beersheet!$A:$U,MATCH(AT686,INDEX(Beersheet!$A:$U,0,FFARawStatProjections!$BV$2),0),$BV$3)+$BN686,
INDEX($A686:$BM686,,$BV$12)*$BW$12+
INDEX($A686:$BM686,,$BV$15)*$BW$15+
INDEX($A686:$BM686,,$BV$16)*$BW$16+
INDEX($A686:$BM686,,$BV$17)*$BW$17+
INDEX($A686:$BM686,,$BV$18)*$BW$18+
INDEX($A686:$BM686,,$BV$19)*$BW$19+
INDEX($A686:$BM686,,$BV$20)*$BW$20+
INDEX($A686:$BM686,,$BV$21)*$BW$21+
INDEX($A686:$BM686,,$BV$22)*$BW$22+
INDEX($A686:$BM686,,$BV$23)*$BW$23+
INDEX($A686:$BM686,,$BV$25)*$BW$25+
INDEX($A686:$BM686,,$BV$26)*$BW$26+
INDEX($A686:$BM686,,$BV$27)*$BW$27+
$BN686)),
$BN686-100)</f>
        <v>-100</v>
      </c>
      <c r="AX686" t="str">
        <f t="shared" si="137"/>
        <v/>
      </c>
      <c r="AY686" t="str">
        <f t="shared" si="138"/>
        <v/>
      </c>
      <c r="AZ686" s="430">
        <f>IFERROR(
IF(AX686="",-100,
IF($BV$2&gt;0, INDEX(Beersheet!$A:$U,MATCH(AX686,INDEX(Beersheet!$A:$U,0,FFARawStatProjections!$BV$2),0),$BV$3)+$BN686,
INDEX($A686:$BM686,,$BV$12)*$BW$12+
INDEX($A686:$BM686,,$BV$15)*$BW$15+
INDEX($A686:$BM686,,$BV$16)*$BW$16+
INDEX($A686:$BM686,,$BV$17)*$BW$17+
INDEX($A686:$BM686,,$BV$18)*$BW$18+
INDEX($A686:$BM686,,$BV$19)*$BW$19+
INDEX($A686:$BM686,,$BV$20)*$BW$20+
INDEX($A686:$BM686,,$BV$21)*$BW$21+
INDEX($A686:$BM686,,$BV$22)*$BW$22+
INDEX($A686:$BM686,,$BV$23)*$BW$23+
INDEX($A686:$BM686,,$BV$25)*$BW$25+
INDEX($A686:$BM686,,$BV$26)*$BW$26+
INDEX($A686:$BM686,,$BV$27)*$BW$27+
$BN686)),
$BN686-100)</f>
        <v>-100</v>
      </c>
      <c r="BB686" t="str">
        <f t="shared" si="139"/>
        <v>Payne Durham</v>
      </c>
      <c r="BC686" t="str">
        <f t="shared" si="133"/>
        <v>TB</v>
      </c>
      <c r="BD686" s="430">
        <f>IFERROR(
IF(BB686="",-100,
IF($BV$2&gt;0, INDEX(Beersheet!$A:$U,MATCH(BB686,INDEX(Beersheet!$A:$U,0,FFARawStatProjections!$BV$2),0),$BV$3)+$BN686,
INDEX($A686:$BM686,,$BV$12)*$BW$12+
INDEX($A686:$BM686,,$BV$15)*$BW$15+
INDEX($A686:$BM686,,$BV$16)*$BW$16+
INDEX($A686:$BM686,,$BV$17)*$BW$17+
INDEX($A686:$BM686,,$BV$18)*$BW$18+
INDEX($A686:$BM686,,$BV$19)*$BW$19+
INDEX($A686:$BM686,,$BV$20)*$BW$20+
INDEX($A686:$BM686,,$BV$21)*$BW$21+
INDEX($A686:$BM686,,$BV$22)*$BW$22+
INDEX($A686:$BM686,,$BV$23)*$BW$23+
INDEX($A686:$BM686,,$BV$25)*$BW$25+
INDEX($A686:$BM686,,$BV$26)*$BW$26+
INDEX($A686:$BM686,,$BV$27)*$BW$27+
$BN686)),
$BN686-100)</f>
        <v>30.656850000000002</v>
      </c>
      <c r="BF686" t="str">
        <f t="shared" si="140"/>
        <v/>
      </c>
      <c r="BG686" t="str">
        <f t="shared" si="141"/>
        <v/>
      </c>
      <c r="BH686">
        <f t="shared" si="142"/>
        <v>0</v>
      </c>
      <c r="BJ686" t="str">
        <f t="shared" si="143"/>
        <v/>
      </c>
      <c r="BL686">
        <f t="shared" si="145"/>
        <v>0</v>
      </c>
      <c r="BN686">
        <v>6.8500000000000002E-3</v>
      </c>
      <c r="BS686" s="4" t="s">
        <v>1198</v>
      </c>
    </row>
    <row r="687" spans="1:71" ht="15.75" thickBot="1" x14ac:dyDescent="0.3">
      <c r="A687" s="569" t="s">
        <v>2235</v>
      </c>
      <c r="B687" s="569" t="s">
        <v>2272</v>
      </c>
      <c r="C687" s="569" t="s">
        <v>7</v>
      </c>
      <c r="D687" s="574">
        <v>14</v>
      </c>
      <c r="E687" s="569"/>
      <c r="F687" s="569"/>
      <c r="G687" s="569"/>
      <c r="H687" s="569"/>
      <c r="I687" s="574">
        <v>0</v>
      </c>
      <c r="J687" s="574">
        <v>0</v>
      </c>
      <c r="K687" s="574">
        <v>0</v>
      </c>
      <c r="L687" s="574">
        <v>20.9</v>
      </c>
      <c r="M687" s="574">
        <v>0.7</v>
      </c>
      <c r="N687" s="574">
        <v>120</v>
      </c>
      <c r="O687" s="574">
        <v>0</v>
      </c>
      <c r="P687" s="574">
        <v>0</v>
      </c>
      <c r="Q687" s="574">
        <v>0</v>
      </c>
      <c r="R687" s="569"/>
      <c r="S687" s="569"/>
      <c r="T687" s="569"/>
      <c r="U687" s="569"/>
      <c r="V687" s="569"/>
      <c r="W687" s="569"/>
      <c r="X687" s="569"/>
      <c r="Y687" s="569"/>
      <c r="Z687" s="569"/>
      <c r="AA687" s="569"/>
      <c r="AB687" s="569"/>
      <c r="AC687" s="569"/>
      <c r="AD687" s="569"/>
      <c r="AE687" s="569"/>
      <c r="AF687" s="569"/>
      <c r="AG687" s="569"/>
      <c r="AH687" s="569"/>
      <c r="AI687" s="569"/>
      <c r="AJ687" s="569"/>
      <c r="AK687" s="569"/>
      <c r="AL687" s="569"/>
      <c r="AM687" s="569"/>
      <c r="AN687" s="574">
        <v>16.2</v>
      </c>
      <c r="AO687">
        <v>686</v>
      </c>
      <c r="AP687" t="str">
        <f t="shared" si="144"/>
        <v/>
      </c>
      <c r="AQ687" t="str">
        <f t="shared" si="134"/>
        <v/>
      </c>
      <c r="AR687" s="430">
        <f>IFERROR(
IF(AP687="",-100,
IF($BV$2&gt;0, INDEX(Beersheet!$A:$U,MATCH(AP687,INDEX(Beersheet!$A:$U,0,FFARawStatProjections!$BV$2),0),$BV$3)+$BN687,
INDEX($A687:$BM687,,$BV$12)*$BW$12+
INDEX($A687:$BM687,,$BV$15)*$BW$15+
INDEX($A687:$BM687,,$BV$16)*$BW$16+
INDEX($A687:$BM687,,$BV$17)*$BW$17+
INDEX($A687:$BM687,,$BV$18)*$BW$18+
INDEX($A687:$BM687,,$BV$19)*$BW$19+
INDEX($A687:$BM687,,$BV$20)*$BW$20+
INDEX($A687:$BM687,,$BV$21)*$BW$21+
INDEX($A687:$BM687,,$BV$22)*$BW$22+
INDEX($A687:$BM687,,$BV$23)*$BW$23+
INDEX($A687:$BM687,,$BV$25)*$BW$25+
INDEX($A687:$BM687,,$BV$26)*$BW$26+
INDEX($A687:$BM687,,$BV$27)*$BW$27+
$BN687)),
$BN687-100)</f>
        <v>-100</v>
      </c>
      <c r="AT687" t="str">
        <f t="shared" si="135"/>
        <v/>
      </c>
      <c r="AU687" t="str">
        <f t="shared" si="136"/>
        <v/>
      </c>
      <c r="AV687" s="430">
        <f>IFERROR(
IF(AT687="",-100,
IF($BV$2&gt;0, INDEX(Beersheet!$A:$U,MATCH(AT687,INDEX(Beersheet!$A:$U,0,FFARawStatProjections!$BV$2),0),$BV$3)+$BN687,
INDEX($A687:$BM687,,$BV$12)*$BW$12+
INDEX($A687:$BM687,,$BV$15)*$BW$15+
INDEX($A687:$BM687,,$BV$16)*$BW$16+
INDEX($A687:$BM687,,$BV$17)*$BW$17+
INDEX($A687:$BM687,,$BV$18)*$BW$18+
INDEX($A687:$BM687,,$BV$19)*$BW$19+
INDEX($A687:$BM687,,$BV$20)*$BW$20+
INDEX($A687:$BM687,,$BV$21)*$BW$21+
INDEX($A687:$BM687,,$BV$22)*$BW$22+
INDEX($A687:$BM687,,$BV$23)*$BW$23+
INDEX($A687:$BM687,,$BV$25)*$BW$25+
INDEX($A687:$BM687,,$BV$26)*$BW$26+
INDEX($A687:$BM687,,$BV$27)*$BW$27+
$BN687)),
$BN687-100)</f>
        <v>-100</v>
      </c>
      <c r="AX687" t="str">
        <f t="shared" si="137"/>
        <v/>
      </c>
      <c r="AY687" t="str">
        <f t="shared" si="138"/>
        <v/>
      </c>
      <c r="AZ687" s="430">
        <f>IFERROR(
IF(AX687="",-100,
IF($BV$2&gt;0, INDEX(Beersheet!$A:$U,MATCH(AX687,INDEX(Beersheet!$A:$U,0,FFARawStatProjections!$BV$2),0),$BV$3)+$BN687,
INDEX($A687:$BM687,,$BV$12)*$BW$12+
INDEX($A687:$BM687,,$BV$15)*$BW$15+
INDEX($A687:$BM687,,$BV$16)*$BW$16+
INDEX($A687:$BM687,,$BV$17)*$BW$17+
INDEX($A687:$BM687,,$BV$18)*$BW$18+
INDEX($A687:$BM687,,$BV$19)*$BW$19+
INDEX($A687:$BM687,,$BV$20)*$BW$20+
INDEX($A687:$BM687,,$BV$21)*$BW$21+
INDEX($A687:$BM687,,$BV$22)*$BW$22+
INDEX($A687:$BM687,,$BV$23)*$BW$23+
INDEX($A687:$BM687,,$BV$25)*$BW$25+
INDEX($A687:$BM687,,$BV$26)*$BW$26+
INDEX($A687:$BM687,,$BV$27)*$BW$27+
$BN687)),
$BN687-100)</f>
        <v>-100</v>
      </c>
      <c r="BB687" t="str">
        <f t="shared" si="139"/>
        <v>Geoff Swaim</v>
      </c>
      <c r="BC687" t="str">
        <f t="shared" si="133"/>
        <v>AZ</v>
      </c>
      <c r="BD687" s="430">
        <f>IFERROR(
IF(BB687="",-100,
IF($BV$2&gt;0, INDEX(Beersheet!$A:$U,MATCH(BB687,INDEX(Beersheet!$A:$U,0,FFARawStatProjections!$BV$2),0),$BV$3)+$BN687,
INDEX($A687:$BM687,,$BV$12)*$BW$12+
INDEX($A687:$BM687,,$BV$15)*$BW$15+
INDEX($A687:$BM687,,$BV$16)*$BW$16+
INDEX($A687:$BM687,,$BV$17)*$BW$17+
INDEX($A687:$BM687,,$BV$18)*$BW$18+
INDEX($A687:$BM687,,$BV$19)*$BW$19+
INDEX($A687:$BM687,,$BV$20)*$BW$20+
INDEX($A687:$BM687,,$BV$21)*$BW$21+
INDEX($A687:$BM687,,$BV$22)*$BW$22+
INDEX($A687:$BM687,,$BV$23)*$BW$23+
INDEX($A687:$BM687,,$BV$25)*$BW$25+
INDEX($A687:$BM687,,$BV$26)*$BW$26+
INDEX($A687:$BM687,,$BV$27)*$BW$27+
$BN687)),
$BN687-100)</f>
        <v>37.106859999999998</v>
      </c>
      <c r="BF687" t="str">
        <f t="shared" si="140"/>
        <v/>
      </c>
      <c r="BG687" t="str">
        <f t="shared" si="141"/>
        <v/>
      </c>
      <c r="BH687">
        <f t="shared" si="142"/>
        <v>0</v>
      </c>
      <c r="BJ687" t="str">
        <f t="shared" si="143"/>
        <v/>
      </c>
      <c r="BL687">
        <f t="shared" si="145"/>
        <v>0</v>
      </c>
      <c r="BN687">
        <v>6.8599999999999998E-3</v>
      </c>
      <c r="BS687" s="4" t="s">
        <v>2234</v>
      </c>
    </row>
    <row r="688" spans="1:71" ht="15.75" thickBot="1" x14ac:dyDescent="0.3">
      <c r="A688" s="569" t="s">
        <v>2362</v>
      </c>
      <c r="B688" s="569" t="s">
        <v>147</v>
      </c>
      <c r="C688" s="569" t="s">
        <v>7</v>
      </c>
      <c r="D688" s="574">
        <v>6</v>
      </c>
      <c r="E688" s="569"/>
      <c r="F688" s="569"/>
      <c r="G688" s="569"/>
      <c r="H688" s="569"/>
      <c r="I688" s="574">
        <v>0</v>
      </c>
      <c r="J688" s="574">
        <v>0</v>
      </c>
      <c r="K688" s="574">
        <v>0</v>
      </c>
      <c r="L688" s="574">
        <v>9</v>
      </c>
      <c r="M688" s="574">
        <v>0.7</v>
      </c>
      <c r="N688" s="574">
        <v>104.3</v>
      </c>
      <c r="O688" s="574">
        <v>0</v>
      </c>
      <c r="P688" s="574">
        <v>0</v>
      </c>
      <c r="Q688" s="574">
        <v>0</v>
      </c>
      <c r="R688" s="569"/>
      <c r="S688" s="569"/>
      <c r="T688" s="569"/>
      <c r="U688" s="569"/>
      <c r="V688" s="569"/>
      <c r="W688" s="569"/>
      <c r="X688" s="569"/>
      <c r="Y688" s="569"/>
      <c r="Z688" s="569"/>
      <c r="AA688" s="569"/>
      <c r="AB688" s="569"/>
      <c r="AC688" s="569"/>
      <c r="AD688" s="569"/>
      <c r="AE688" s="569"/>
      <c r="AF688" s="569"/>
      <c r="AG688" s="569"/>
      <c r="AH688" s="569"/>
      <c r="AI688" s="569"/>
      <c r="AJ688" s="569"/>
      <c r="AK688" s="569"/>
      <c r="AL688" s="569"/>
      <c r="AM688" s="569"/>
      <c r="AN688" s="574">
        <v>16</v>
      </c>
      <c r="AO688">
        <v>687</v>
      </c>
      <c r="AP688" t="str">
        <f t="shared" si="144"/>
        <v/>
      </c>
      <c r="AQ688" t="str">
        <f t="shared" si="134"/>
        <v/>
      </c>
      <c r="AR688" s="430">
        <f>IFERROR(
IF(AP688="",-100,
IF($BV$2&gt;0, INDEX(Beersheet!$A:$U,MATCH(AP688,INDEX(Beersheet!$A:$U,0,FFARawStatProjections!$BV$2),0),$BV$3)+$BN688,
INDEX($A688:$BM688,,$BV$12)*$BW$12+
INDEX($A688:$BM688,,$BV$15)*$BW$15+
INDEX($A688:$BM688,,$BV$16)*$BW$16+
INDEX($A688:$BM688,,$BV$17)*$BW$17+
INDEX($A688:$BM688,,$BV$18)*$BW$18+
INDEX($A688:$BM688,,$BV$19)*$BW$19+
INDEX($A688:$BM688,,$BV$20)*$BW$20+
INDEX($A688:$BM688,,$BV$21)*$BW$21+
INDEX($A688:$BM688,,$BV$22)*$BW$22+
INDEX($A688:$BM688,,$BV$23)*$BW$23+
INDEX($A688:$BM688,,$BV$25)*$BW$25+
INDEX($A688:$BM688,,$BV$26)*$BW$26+
INDEX($A688:$BM688,,$BV$27)*$BW$27+
$BN688)),
$BN688-100)</f>
        <v>-100</v>
      </c>
      <c r="AT688" t="str">
        <f t="shared" si="135"/>
        <v/>
      </c>
      <c r="AU688" t="str">
        <f t="shared" si="136"/>
        <v/>
      </c>
      <c r="AV688" s="430">
        <f>IFERROR(
IF(AT688="",-100,
IF($BV$2&gt;0, INDEX(Beersheet!$A:$U,MATCH(AT688,INDEX(Beersheet!$A:$U,0,FFARawStatProjections!$BV$2),0),$BV$3)+$BN688,
INDEX($A688:$BM688,,$BV$12)*$BW$12+
INDEX($A688:$BM688,,$BV$15)*$BW$15+
INDEX($A688:$BM688,,$BV$16)*$BW$16+
INDEX($A688:$BM688,,$BV$17)*$BW$17+
INDEX($A688:$BM688,,$BV$18)*$BW$18+
INDEX($A688:$BM688,,$BV$19)*$BW$19+
INDEX($A688:$BM688,,$BV$20)*$BW$20+
INDEX($A688:$BM688,,$BV$21)*$BW$21+
INDEX($A688:$BM688,,$BV$22)*$BW$22+
INDEX($A688:$BM688,,$BV$23)*$BW$23+
INDEX($A688:$BM688,,$BV$25)*$BW$25+
INDEX($A688:$BM688,,$BV$26)*$BW$26+
INDEX($A688:$BM688,,$BV$27)*$BW$27+
$BN688)),
$BN688-100)</f>
        <v>-100</v>
      </c>
      <c r="AX688" t="str">
        <f t="shared" si="137"/>
        <v/>
      </c>
      <c r="AY688" t="str">
        <f t="shared" si="138"/>
        <v/>
      </c>
      <c r="AZ688" s="430">
        <f>IFERROR(
IF(AX688="",-100,
IF($BV$2&gt;0, INDEX(Beersheet!$A:$U,MATCH(AX688,INDEX(Beersheet!$A:$U,0,FFARawStatProjections!$BV$2),0),$BV$3)+$BN688,
INDEX($A688:$BM688,,$BV$12)*$BW$12+
INDEX($A688:$BM688,,$BV$15)*$BW$15+
INDEX($A688:$BM688,,$BV$16)*$BW$16+
INDEX($A688:$BM688,,$BV$17)*$BW$17+
INDEX($A688:$BM688,,$BV$18)*$BW$18+
INDEX($A688:$BM688,,$BV$19)*$BW$19+
INDEX($A688:$BM688,,$BV$20)*$BW$20+
INDEX($A688:$BM688,,$BV$21)*$BW$21+
INDEX($A688:$BM688,,$BV$22)*$BW$22+
INDEX($A688:$BM688,,$BV$23)*$BW$23+
INDEX($A688:$BM688,,$BV$25)*$BW$25+
INDEX($A688:$BM688,,$BV$26)*$BW$26+
INDEX($A688:$BM688,,$BV$27)*$BW$27+
$BN688)),
$BN688-100)</f>
        <v>-100</v>
      </c>
      <c r="BB688" t="str">
        <f t="shared" si="139"/>
        <v>Connor Heyward</v>
      </c>
      <c r="BC688" t="str">
        <f t="shared" si="133"/>
        <v>PIT</v>
      </c>
      <c r="BD688" s="430">
        <f>IFERROR(
IF(BB688="",-100,
IF($BV$2&gt;0, INDEX(Beersheet!$A:$U,MATCH(BB688,INDEX(Beersheet!$A:$U,0,FFARawStatProjections!$BV$2),0),$BV$3)+$BN688,
INDEX($A688:$BM688,,$BV$12)*$BW$12+
INDEX($A688:$BM688,,$BV$15)*$BW$15+
INDEX($A688:$BM688,,$BV$16)*$BW$16+
INDEX($A688:$BM688,,$BV$17)*$BW$17+
INDEX($A688:$BM688,,$BV$18)*$BW$18+
INDEX($A688:$BM688,,$BV$19)*$BW$19+
INDEX($A688:$BM688,,$BV$20)*$BW$20+
INDEX($A688:$BM688,,$BV$21)*$BW$21+
INDEX($A688:$BM688,,$BV$22)*$BW$22+
INDEX($A688:$BM688,,$BV$23)*$BW$23+
INDEX($A688:$BM688,,$BV$25)*$BW$25+
INDEX($A688:$BM688,,$BV$26)*$BW$26+
INDEX($A688:$BM688,,$BV$27)*$BW$27+
$BN688)),
$BN688-100)</f>
        <v>23.636869999999998</v>
      </c>
      <c r="BF688" t="str">
        <f t="shared" si="140"/>
        <v/>
      </c>
      <c r="BG688" t="str">
        <f t="shared" si="141"/>
        <v/>
      </c>
      <c r="BH688">
        <f t="shared" si="142"/>
        <v>0</v>
      </c>
      <c r="BJ688" t="str">
        <f t="shared" si="143"/>
        <v/>
      </c>
      <c r="BL688">
        <f t="shared" si="145"/>
        <v>0</v>
      </c>
      <c r="BN688">
        <v>6.8700000000000002E-3</v>
      </c>
      <c r="BS688" s="4" t="s">
        <v>2396</v>
      </c>
    </row>
    <row r="689" spans="1:71" ht="15.75" thickBot="1" x14ac:dyDescent="0.3">
      <c r="A689" s="569" t="s">
        <v>2361</v>
      </c>
      <c r="B689" s="569" t="s">
        <v>149</v>
      </c>
      <c r="C689" s="569" t="s">
        <v>7</v>
      </c>
      <c r="D689" s="574">
        <v>5</v>
      </c>
      <c r="E689" s="569"/>
      <c r="F689" s="569"/>
      <c r="G689" s="569"/>
      <c r="H689" s="569"/>
      <c r="I689" s="574">
        <v>0</v>
      </c>
      <c r="J689" s="574">
        <v>0</v>
      </c>
      <c r="K689" s="574">
        <v>0</v>
      </c>
      <c r="L689" s="574">
        <v>10.6</v>
      </c>
      <c r="M689" s="574">
        <v>0.8</v>
      </c>
      <c r="N689" s="574">
        <v>111.4</v>
      </c>
      <c r="O689" s="574">
        <v>0</v>
      </c>
      <c r="P689" s="574">
        <v>0</v>
      </c>
      <c r="Q689" s="574">
        <v>0</v>
      </c>
      <c r="R689" s="569"/>
      <c r="S689" s="569"/>
      <c r="T689" s="569"/>
      <c r="U689" s="569"/>
      <c r="V689" s="569"/>
      <c r="W689" s="569"/>
      <c r="X689" s="569"/>
      <c r="Y689" s="569"/>
      <c r="Z689" s="569"/>
      <c r="AA689" s="569"/>
      <c r="AB689" s="569"/>
      <c r="AC689" s="569"/>
      <c r="AD689" s="569"/>
      <c r="AE689" s="569"/>
      <c r="AF689" s="569"/>
      <c r="AG689" s="569"/>
      <c r="AH689" s="569"/>
      <c r="AI689" s="569"/>
      <c r="AJ689" s="569"/>
      <c r="AK689" s="569"/>
      <c r="AL689" s="569"/>
      <c r="AM689" s="569"/>
      <c r="AN689" s="574">
        <v>15.8</v>
      </c>
      <c r="AO689">
        <v>688</v>
      </c>
      <c r="AP689" t="str">
        <f t="shared" si="144"/>
        <v/>
      </c>
      <c r="AQ689" t="str">
        <f t="shared" si="134"/>
        <v/>
      </c>
      <c r="AR689" s="430">
        <f>IFERROR(
IF(AP689="",-100,
IF($BV$2&gt;0, INDEX(Beersheet!$A:$U,MATCH(AP689,INDEX(Beersheet!$A:$U,0,FFARawStatProjections!$BV$2),0),$BV$3)+$BN689,
INDEX($A689:$BM689,,$BV$12)*$BW$12+
INDEX($A689:$BM689,,$BV$15)*$BW$15+
INDEX($A689:$BM689,,$BV$16)*$BW$16+
INDEX($A689:$BM689,,$BV$17)*$BW$17+
INDEX($A689:$BM689,,$BV$18)*$BW$18+
INDEX($A689:$BM689,,$BV$19)*$BW$19+
INDEX($A689:$BM689,,$BV$20)*$BW$20+
INDEX($A689:$BM689,,$BV$21)*$BW$21+
INDEX($A689:$BM689,,$BV$22)*$BW$22+
INDEX($A689:$BM689,,$BV$23)*$BW$23+
INDEX($A689:$BM689,,$BV$25)*$BW$25+
INDEX($A689:$BM689,,$BV$26)*$BW$26+
INDEX($A689:$BM689,,$BV$27)*$BW$27+
$BN689)),
$BN689-100)</f>
        <v>-100</v>
      </c>
      <c r="AT689" t="str">
        <f t="shared" si="135"/>
        <v/>
      </c>
      <c r="AU689" t="str">
        <f t="shared" si="136"/>
        <v/>
      </c>
      <c r="AV689" s="430">
        <f>IFERROR(
IF(AT689="",-100,
IF($BV$2&gt;0, INDEX(Beersheet!$A:$U,MATCH(AT689,INDEX(Beersheet!$A:$U,0,FFARawStatProjections!$BV$2),0),$BV$3)+$BN689,
INDEX($A689:$BM689,,$BV$12)*$BW$12+
INDEX($A689:$BM689,,$BV$15)*$BW$15+
INDEX($A689:$BM689,,$BV$16)*$BW$16+
INDEX($A689:$BM689,,$BV$17)*$BW$17+
INDEX($A689:$BM689,,$BV$18)*$BW$18+
INDEX($A689:$BM689,,$BV$19)*$BW$19+
INDEX($A689:$BM689,,$BV$20)*$BW$20+
INDEX($A689:$BM689,,$BV$21)*$BW$21+
INDEX($A689:$BM689,,$BV$22)*$BW$22+
INDEX($A689:$BM689,,$BV$23)*$BW$23+
INDEX($A689:$BM689,,$BV$25)*$BW$25+
INDEX($A689:$BM689,,$BV$26)*$BW$26+
INDEX($A689:$BM689,,$BV$27)*$BW$27+
$BN689)),
$BN689-100)</f>
        <v>-100</v>
      </c>
      <c r="AX689" t="str">
        <f t="shared" si="137"/>
        <v/>
      </c>
      <c r="AY689" t="str">
        <f t="shared" si="138"/>
        <v/>
      </c>
      <c r="AZ689" s="430">
        <f>IFERROR(
IF(AX689="",-100,
IF($BV$2&gt;0, INDEX(Beersheet!$A:$U,MATCH(AX689,INDEX(Beersheet!$A:$U,0,FFARawStatProjections!$BV$2),0),$BV$3)+$BN689,
INDEX($A689:$BM689,,$BV$12)*$BW$12+
INDEX($A689:$BM689,,$BV$15)*$BW$15+
INDEX($A689:$BM689,,$BV$16)*$BW$16+
INDEX($A689:$BM689,,$BV$17)*$BW$17+
INDEX($A689:$BM689,,$BV$18)*$BW$18+
INDEX($A689:$BM689,,$BV$19)*$BW$19+
INDEX($A689:$BM689,,$BV$20)*$BW$20+
INDEX($A689:$BM689,,$BV$21)*$BW$21+
INDEX($A689:$BM689,,$BV$22)*$BW$22+
INDEX($A689:$BM689,,$BV$23)*$BW$23+
INDEX($A689:$BM689,,$BV$25)*$BW$25+
INDEX($A689:$BM689,,$BV$26)*$BW$26+
INDEX($A689:$BM689,,$BV$27)*$BW$27+
$BN689)),
$BN689-100)</f>
        <v>-100</v>
      </c>
      <c r="BB689" t="str">
        <f t="shared" si="139"/>
        <v>Ko Kieft</v>
      </c>
      <c r="BC689" t="str">
        <f t="shared" si="133"/>
        <v>TB</v>
      </c>
      <c r="BD689" s="430">
        <f>IFERROR(
IF(BB689="",-100,
IF($BV$2&gt;0, INDEX(Beersheet!$A:$U,MATCH(BB689,INDEX(Beersheet!$A:$U,0,FFARawStatProjections!$BV$2),0),$BV$3)+$BN689,
INDEX($A689:$BM689,,$BV$12)*$BW$12+
INDEX($A689:$BM689,,$BV$15)*$BW$15+
INDEX($A689:$BM689,,$BV$16)*$BW$16+
INDEX($A689:$BM689,,$BV$17)*$BW$17+
INDEX($A689:$BM689,,$BV$18)*$BW$18+
INDEX($A689:$BM689,,$BV$19)*$BW$19+
INDEX($A689:$BM689,,$BV$20)*$BW$20+
INDEX($A689:$BM689,,$BV$21)*$BW$21+
INDEX($A689:$BM689,,$BV$22)*$BW$22+
INDEX($A689:$BM689,,$BV$23)*$BW$23+
INDEX($A689:$BM689,,$BV$25)*$BW$25+
INDEX($A689:$BM689,,$BV$26)*$BW$26+
INDEX($A689:$BM689,,$BV$27)*$BW$27+
$BN689)),
$BN689-100)</f>
        <v>26.546879999999998</v>
      </c>
      <c r="BF689" t="str">
        <f t="shared" si="140"/>
        <v/>
      </c>
      <c r="BG689" t="str">
        <f t="shared" si="141"/>
        <v/>
      </c>
      <c r="BH689">
        <f t="shared" si="142"/>
        <v>0</v>
      </c>
      <c r="BJ689" t="str">
        <f t="shared" si="143"/>
        <v/>
      </c>
      <c r="BL689">
        <f t="shared" si="145"/>
        <v>0</v>
      </c>
      <c r="BN689">
        <v>6.8799999999999998E-3</v>
      </c>
      <c r="BS689" s="4" t="s">
        <v>2556</v>
      </c>
    </row>
    <row r="690" spans="1:71" ht="15.75" thickBot="1" x14ac:dyDescent="0.3">
      <c r="A690" s="569" t="s">
        <v>2370</v>
      </c>
      <c r="B690" s="569" t="s">
        <v>142</v>
      </c>
      <c r="C690" s="569" t="s">
        <v>7</v>
      </c>
      <c r="D690" s="574">
        <v>9</v>
      </c>
      <c r="E690" s="569"/>
      <c r="F690" s="569"/>
      <c r="G690" s="569"/>
      <c r="H690" s="569"/>
      <c r="I690" s="574">
        <v>0</v>
      </c>
      <c r="J690" s="574">
        <v>0</v>
      </c>
      <c r="K690" s="574">
        <v>0</v>
      </c>
      <c r="L690" s="574">
        <v>8.6999999999999993</v>
      </c>
      <c r="M690" s="574">
        <v>0.7</v>
      </c>
      <c r="N690" s="574">
        <v>111.7</v>
      </c>
      <c r="O690" s="574">
        <v>0</v>
      </c>
      <c r="P690" s="574">
        <v>0</v>
      </c>
      <c r="Q690" s="574">
        <v>0</v>
      </c>
      <c r="R690" s="569"/>
      <c r="S690" s="569"/>
      <c r="T690" s="569"/>
      <c r="U690" s="569"/>
      <c r="V690" s="569"/>
      <c r="W690" s="569"/>
      <c r="X690" s="569"/>
      <c r="Y690" s="569"/>
      <c r="Z690" s="569"/>
      <c r="AA690" s="569"/>
      <c r="AB690" s="569"/>
      <c r="AC690" s="569"/>
      <c r="AD690" s="569"/>
      <c r="AE690" s="569"/>
      <c r="AF690" s="569"/>
      <c r="AG690" s="569"/>
      <c r="AH690" s="569"/>
      <c r="AI690" s="569"/>
      <c r="AJ690" s="569"/>
      <c r="AK690" s="569"/>
      <c r="AL690" s="569"/>
      <c r="AM690" s="569"/>
      <c r="AN690" s="574">
        <v>15</v>
      </c>
      <c r="AO690">
        <v>689</v>
      </c>
      <c r="AP690" t="str">
        <f t="shared" si="144"/>
        <v/>
      </c>
      <c r="AQ690" t="str">
        <f t="shared" si="134"/>
        <v/>
      </c>
      <c r="AR690" s="430">
        <f>IFERROR(
IF(AP690="",-100,
IF($BV$2&gt;0, INDEX(Beersheet!$A:$U,MATCH(AP690,INDEX(Beersheet!$A:$U,0,FFARawStatProjections!$BV$2),0),$BV$3)+$BN690,
INDEX($A690:$BM690,,$BV$12)*$BW$12+
INDEX($A690:$BM690,,$BV$15)*$BW$15+
INDEX($A690:$BM690,,$BV$16)*$BW$16+
INDEX($A690:$BM690,,$BV$17)*$BW$17+
INDEX($A690:$BM690,,$BV$18)*$BW$18+
INDEX($A690:$BM690,,$BV$19)*$BW$19+
INDEX($A690:$BM690,,$BV$20)*$BW$20+
INDEX($A690:$BM690,,$BV$21)*$BW$21+
INDEX($A690:$BM690,,$BV$22)*$BW$22+
INDEX($A690:$BM690,,$BV$23)*$BW$23+
INDEX($A690:$BM690,,$BV$25)*$BW$25+
INDEX($A690:$BM690,,$BV$26)*$BW$26+
INDEX($A690:$BM690,,$BV$27)*$BW$27+
$BN690)),
$BN690-100)</f>
        <v>-100</v>
      </c>
      <c r="AT690" t="str">
        <f t="shared" si="135"/>
        <v/>
      </c>
      <c r="AU690" t="str">
        <f t="shared" si="136"/>
        <v/>
      </c>
      <c r="AV690" s="430">
        <f>IFERROR(
IF(AT690="",-100,
IF($BV$2&gt;0, INDEX(Beersheet!$A:$U,MATCH(AT690,INDEX(Beersheet!$A:$U,0,FFARawStatProjections!$BV$2),0),$BV$3)+$BN690,
INDEX($A690:$BM690,,$BV$12)*$BW$12+
INDEX($A690:$BM690,,$BV$15)*$BW$15+
INDEX($A690:$BM690,,$BV$16)*$BW$16+
INDEX($A690:$BM690,,$BV$17)*$BW$17+
INDEX($A690:$BM690,,$BV$18)*$BW$18+
INDEX($A690:$BM690,,$BV$19)*$BW$19+
INDEX($A690:$BM690,,$BV$20)*$BW$20+
INDEX($A690:$BM690,,$BV$21)*$BW$21+
INDEX($A690:$BM690,,$BV$22)*$BW$22+
INDEX($A690:$BM690,,$BV$23)*$BW$23+
INDEX($A690:$BM690,,$BV$25)*$BW$25+
INDEX($A690:$BM690,,$BV$26)*$BW$26+
INDEX($A690:$BM690,,$BV$27)*$BW$27+
$BN690)),
$BN690-100)</f>
        <v>-100</v>
      </c>
      <c r="AX690" t="str">
        <f t="shared" si="137"/>
        <v/>
      </c>
      <c r="AY690" t="str">
        <f t="shared" si="138"/>
        <v/>
      </c>
      <c r="AZ690" s="430">
        <f>IFERROR(
IF(AX690="",-100,
IF($BV$2&gt;0, INDEX(Beersheet!$A:$U,MATCH(AX690,INDEX(Beersheet!$A:$U,0,FFARawStatProjections!$BV$2),0),$BV$3)+$BN690,
INDEX($A690:$BM690,,$BV$12)*$BW$12+
INDEX($A690:$BM690,,$BV$15)*$BW$15+
INDEX($A690:$BM690,,$BV$16)*$BW$16+
INDEX($A690:$BM690,,$BV$17)*$BW$17+
INDEX($A690:$BM690,,$BV$18)*$BW$18+
INDEX($A690:$BM690,,$BV$19)*$BW$19+
INDEX($A690:$BM690,,$BV$20)*$BW$20+
INDEX($A690:$BM690,,$BV$21)*$BW$21+
INDEX($A690:$BM690,,$BV$22)*$BW$22+
INDEX($A690:$BM690,,$BV$23)*$BW$23+
INDEX($A690:$BM690,,$BV$25)*$BW$25+
INDEX($A690:$BM690,,$BV$26)*$BW$26+
INDEX($A690:$BM690,,$BV$27)*$BW$27+
$BN690)),
$BN690-100)</f>
        <v>-100</v>
      </c>
      <c r="BB690" t="str">
        <f t="shared" si="139"/>
        <v>James Mitchell</v>
      </c>
      <c r="BC690" t="str">
        <f t="shared" si="133"/>
        <v>DET</v>
      </c>
      <c r="BD690" s="430">
        <f>IFERROR(
IF(BB690="",-100,
IF($BV$2&gt;0, INDEX(Beersheet!$A:$U,MATCH(BB690,INDEX(Beersheet!$A:$U,0,FFARawStatProjections!$BV$2),0),$BV$3)+$BN690,
INDEX($A690:$BM690,,$BV$12)*$BW$12+
INDEX($A690:$BM690,,$BV$15)*$BW$15+
INDEX($A690:$BM690,,$BV$16)*$BW$16+
INDEX($A690:$BM690,,$BV$17)*$BW$17+
INDEX($A690:$BM690,,$BV$18)*$BW$18+
INDEX($A690:$BM690,,$BV$19)*$BW$19+
INDEX($A690:$BM690,,$BV$20)*$BW$20+
INDEX($A690:$BM690,,$BV$21)*$BW$21+
INDEX($A690:$BM690,,$BV$22)*$BW$22+
INDEX($A690:$BM690,,$BV$23)*$BW$23+
INDEX($A690:$BM690,,$BV$25)*$BW$25+
INDEX($A690:$BM690,,$BV$26)*$BW$26+
INDEX($A690:$BM690,,$BV$27)*$BW$27+
$BN690)),
$BN690-100)</f>
        <v>24.076889999999999</v>
      </c>
      <c r="BF690" t="str">
        <f t="shared" si="140"/>
        <v/>
      </c>
      <c r="BG690" t="str">
        <f t="shared" si="141"/>
        <v/>
      </c>
      <c r="BH690">
        <f t="shared" si="142"/>
        <v>0</v>
      </c>
      <c r="BJ690" t="str">
        <f t="shared" si="143"/>
        <v/>
      </c>
      <c r="BL690">
        <f t="shared" si="145"/>
        <v>0</v>
      </c>
      <c r="BN690">
        <v>6.8900000000000003E-3</v>
      </c>
      <c r="BS690" s="4" t="s">
        <v>1211</v>
      </c>
    </row>
    <row r="691" spans="1:71" ht="15.75" thickBot="1" x14ac:dyDescent="0.3">
      <c r="A691" s="569" t="s">
        <v>2254</v>
      </c>
      <c r="B691" s="569" t="s">
        <v>1388</v>
      </c>
      <c r="C691" s="569" t="s">
        <v>7</v>
      </c>
      <c r="D691" s="574">
        <v>5</v>
      </c>
      <c r="E691" s="569"/>
      <c r="F691" s="569"/>
      <c r="G691" s="569"/>
      <c r="H691" s="569"/>
      <c r="I691" s="574">
        <v>0</v>
      </c>
      <c r="J691" s="574">
        <v>0</v>
      </c>
      <c r="K691" s="574">
        <v>0</v>
      </c>
      <c r="L691" s="574">
        <v>10.6</v>
      </c>
      <c r="M691" s="574">
        <v>0.7</v>
      </c>
      <c r="N691" s="574">
        <v>110.1</v>
      </c>
      <c r="O691" s="574">
        <v>0</v>
      </c>
      <c r="P691" s="574">
        <v>0</v>
      </c>
      <c r="Q691" s="574">
        <v>0</v>
      </c>
      <c r="R691" s="569"/>
      <c r="S691" s="569"/>
      <c r="T691" s="569"/>
      <c r="U691" s="569"/>
      <c r="V691" s="569"/>
      <c r="W691" s="569"/>
      <c r="X691" s="569"/>
      <c r="Y691" s="569"/>
      <c r="Z691" s="569"/>
      <c r="AA691" s="569"/>
      <c r="AB691" s="569"/>
      <c r="AC691" s="569"/>
      <c r="AD691" s="569"/>
      <c r="AE691" s="569"/>
      <c r="AF691" s="569"/>
      <c r="AG691" s="569"/>
      <c r="AH691" s="569"/>
      <c r="AI691" s="569"/>
      <c r="AJ691" s="569"/>
      <c r="AK691" s="569"/>
      <c r="AL691" s="569"/>
      <c r="AM691" s="569"/>
      <c r="AN691" s="574">
        <v>15</v>
      </c>
      <c r="AO691">
        <v>690</v>
      </c>
      <c r="AP691" t="str">
        <f t="shared" si="144"/>
        <v/>
      </c>
      <c r="AQ691" t="str">
        <f t="shared" si="134"/>
        <v/>
      </c>
      <c r="AR691" s="430">
        <f>IFERROR(
IF(AP691="",-100,
IF($BV$2&gt;0, INDEX(Beersheet!$A:$U,MATCH(AP691,INDEX(Beersheet!$A:$U,0,FFARawStatProjections!$BV$2),0),$BV$3)+$BN691,
INDEX($A691:$BM691,,$BV$12)*$BW$12+
INDEX($A691:$BM691,,$BV$15)*$BW$15+
INDEX($A691:$BM691,,$BV$16)*$BW$16+
INDEX($A691:$BM691,,$BV$17)*$BW$17+
INDEX($A691:$BM691,,$BV$18)*$BW$18+
INDEX($A691:$BM691,,$BV$19)*$BW$19+
INDEX($A691:$BM691,,$BV$20)*$BW$20+
INDEX($A691:$BM691,,$BV$21)*$BW$21+
INDEX($A691:$BM691,,$BV$22)*$BW$22+
INDEX($A691:$BM691,,$BV$23)*$BW$23+
INDEX($A691:$BM691,,$BV$25)*$BW$25+
INDEX($A691:$BM691,,$BV$26)*$BW$26+
INDEX($A691:$BM691,,$BV$27)*$BW$27+
$BN691)),
$BN691-100)</f>
        <v>-100</v>
      </c>
      <c r="AT691" t="str">
        <f t="shared" si="135"/>
        <v/>
      </c>
      <c r="AU691" t="str">
        <f t="shared" si="136"/>
        <v/>
      </c>
      <c r="AV691" s="430">
        <f>IFERROR(
IF(AT691="",-100,
IF($BV$2&gt;0, INDEX(Beersheet!$A:$U,MATCH(AT691,INDEX(Beersheet!$A:$U,0,FFARawStatProjections!$BV$2),0),$BV$3)+$BN691,
INDEX($A691:$BM691,,$BV$12)*$BW$12+
INDEX($A691:$BM691,,$BV$15)*$BW$15+
INDEX($A691:$BM691,,$BV$16)*$BW$16+
INDEX($A691:$BM691,,$BV$17)*$BW$17+
INDEX($A691:$BM691,,$BV$18)*$BW$18+
INDEX($A691:$BM691,,$BV$19)*$BW$19+
INDEX($A691:$BM691,,$BV$20)*$BW$20+
INDEX($A691:$BM691,,$BV$21)*$BW$21+
INDEX($A691:$BM691,,$BV$22)*$BW$22+
INDEX($A691:$BM691,,$BV$23)*$BW$23+
INDEX($A691:$BM691,,$BV$25)*$BW$25+
INDEX($A691:$BM691,,$BV$26)*$BW$26+
INDEX($A691:$BM691,,$BV$27)*$BW$27+
$BN691)),
$BN691-100)</f>
        <v>-100</v>
      </c>
      <c r="AX691" t="str">
        <f t="shared" si="137"/>
        <v/>
      </c>
      <c r="AY691" t="str">
        <f t="shared" si="138"/>
        <v/>
      </c>
      <c r="AZ691" s="430">
        <f>IFERROR(
IF(AX691="",-100,
IF($BV$2&gt;0, INDEX(Beersheet!$A:$U,MATCH(AX691,INDEX(Beersheet!$A:$U,0,FFARawStatProjections!$BV$2),0),$BV$3)+$BN691,
INDEX($A691:$BM691,,$BV$12)*$BW$12+
INDEX($A691:$BM691,,$BV$15)*$BW$15+
INDEX($A691:$BM691,,$BV$16)*$BW$16+
INDEX($A691:$BM691,,$BV$17)*$BW$17+
INDEX($A691:$BM691,,$BV$18)*$BW$18+
INDEX($A691:$BM691,,$BV$19)*$BW$19+
INDEX($A691:$BM691,,$BV$20)*$BW$20+
INDEX($A691:$BM691,,$BV$21)*$BW$21+
INDEX($A691:$BM691,,$BV$22)*$BW$22+
INDEX($A691:$BM691,,$BV$23)*$BW$23+
INDEX($A691:$BM691,,$BV$25)*$BW$25+
INDEX($A691:$BM691,,$BV$26)*$BW$26+
INDEX($A691:$BM691,,$BV$27)*$BW$27+
$BN691)),
$BN691-100)</f>
        <v>-100</v>
      </c>
      <c r="BB691" t="str">
        <f t="shared" si="139"/>
        <v>Tre McKitty</v>
      </c>
      <c r="BC691" t="str">
        <f t="shared" si="133"/>
        <v>LAC</v>
      </c>
      <c r="BD691" s="430">
        <f>IFERROR(
IF(BB691="",-100,
IF($BV$2&gt;0, INDEX(Beersheet!$A:$U,MATCH(BB691,INDEX(Beersheet!$A:$U,0,FFARawStatProjections!$BV$2),0),$BV$3)+$BN691,
INDEX($A691:$BM691,,$BV$12)*$BW$12+
INDEX($A691:$BM691,,$BV$15)*$BW$15+
INDEX($A691:$BM691,,$BV$16)*$BW$16+
INDEX($A691:$BM691,,$BV$17)*$BW$17+
INDEX($A691:$BM691,,$BV$18)*$BW$18+
INDEX($A691:$BM691,,$BV$19)*$BW$19+
INDEX($A691:$BM691,,$BV$20)*$BW$20+
INDEX($A691:$BM691,,$BV$21)*$BW$21+
INDEX($A691:$BM691,,$BV$22)*$BW$22+
INDEX($A691:$BM691,,$BV$23)*$BW$23+
INDEX($A691:$BM691,,$BV$25)*$BW$25+
INDEX($A691:$BM691,,$BV$26)*$BW$26+
INDEX($A691:$BM691,,$BV$27)*$BW$27+
$BN691)),
$BN691-100)</f>
        <v>25.8169</v>
      </c>
      <c r="BF691" t="str">
        <f t="shared" si="140"/>
        <v/>
      </c>
      <c r="BG691" t="str">
        <f t="shared" si="141"/>
        <v/>
      </c>
      <c r="BH691">
        <f t="shared" si="142"/>
        <v>0</v>
      </c>
      <c r="BJ691" t="str">
        <f t="shared" si="143"/>
        <v/>
      </c>
      <c r="BL691">
        <f t="shared" si="145"/>
        <v>0</v>
      </c>
      <c r="BN691">
        <v>6.8999999999999999E-3</v>
      </c>
      <c r="BS691" s="4" t="s">
        <v>2163</v>
      </c>
    </row>
    <row r="692" spans="1:71" ht="15.75" thickBot="1" x14ac:dyDescent="0.3">
      <c r="A692" s="569" t="s">
        <v>2377</v>
      </c>
      <c r="B692" s="569" t="s">
        <v>158</v>
      </c>
      <c r="C692" s="569" t="s">
        <v>7</v>
      </c>
      <c r="D692" s="574">
        <v>11</v>
      </c>
      <c r="E692" s="569"/>
      <c r="F692" s="569"/>
      <c r="G692" s="569"/>
      <c r="H692" s="569"/>
      <c r="I692" s="574">
        <v>0</v>
      </c>
      <c r="J692" s="574">
        <v>0</v>
      </c>
      <c r="K692" s="574">
        <v>0</v>
      </c>
      <c r="L692" s="574">
        <v>10</v>
      </c>
      <c r="M692" s="574">
        <v>1</v>
      </c>
      <c r="N692" s="574">
        <v>88</v>
      </c>
      <c r="O692" s="574">
        <v>0</v>
      </c>
      <c r="P692" s="574">
        <v>0</v>
      </c>
      <c r="Q692" s="574">
        <v>0</v>
      </c>
      <c r="R692" s="569"/>
      <c r="S692" s="569"/>
      <c r="T692" s="569"/>
      <c r="U692" s="569"/>
      <c r="V692" s="569"/>
      <c r="W692" s="569"/>
      <c r="X692" s="569"/>
      <c r="Y692" s="569"/>
      <c r="Z692" s="569"/>
      <c r="AA692" s="569"/>
      <c r="AB692" s="569"/>
      <c r="AC692" s="569"/>
      <c r="AD692" s="569"/>
      <c r="AE692" s="569"/>
      <c r="AF692" s="569"/>
      <c r="AG692" s="569"/>
      <c r="AH692" s="569"/>
      <c r="AI692" s="569"/>
      <c r="AJ692" s="569"/>
      <c r="AK692" s="569"/>
      <c r="AL692" s="569"/>
      <c r="AM692" s="569"/>
      <c r="AN692" s="574">
        <v>14.8</v>
      </c>
      <c r="AO692">
        <v>691</v>
      </c>
      <c r="AP692" t="str">
        <f t="shared" si="144"/>
        <v/>
      </c>
      <c r="AQ692" t="str">
        <f t="shared" si="134"/>
        <v/>
      </c>
      <c r="AR692" s="430">
        <f>IFERROR(
IF(AP692="",-100,
IF($BV$2&gt;0, INDEX(Beersheet!$A:$U,MATCH(AP692,INDEX(Beersheet!$A:$U,0,FFARawStatProjections!$BV$2),0),$BV$3)+$BN692,
INDEX($A692:$BM692,,$BV$12)*$BW$12+
INDEX($A692:$BM692,,$BV$15)*$BW$15+
INDEX($A692:$BM692,,$BV$16)*$BW$16+
INDEX($A692:$BM692,,$BV$17)*$BW$17+
INDEX($A692:$BM692,,$BV$18)*$BW$18+
INDEX($A692:$BM692,,$BV$19)*$BW$19+
INDEX($A692:$BM692,,$BV$20)*$BW$20+
INDEX($A692:$BM692,,$BV$21)*$BW$21+
INDEX($A692:$BM692,,$BV$22)*$BW$22+
INDEX($A692:$BM692,,$BV$23)*$BW$23+
INDEX($A692:$BM692,,$BV$25)*$BW$25+
INDEX($A692:$BM692,,$BV$26)*$BW$26+
INDEX($A692:$BM692,,$BV$27)*$BW$27+
$BN692)),
$BN692-100)</f>
        <v>-100</v>
      </c>
      <c r="AT692" t="str">
        <f t="shared" si="135"/>
        <v/>
      </c>
      <c r="AU692" t="str">
        <f t="shared" si="136"/>
        <v/>
      </c>
      <c r="AV692" s="430">
        <f>IFERROR(
IF(AT692="",-100,
IF($BV$2&gt;0, INDEX(Beersheet!$A:$U,MATCH(AT692,INDEX(Beersheet!$A:$U,0,FFARawStatProjections!$BV$2),0),$BV$3)+$BN692,
INDEX($A692:$BM692,,$BV$12)*$BW$12+
INDEX($A692:$BM692,,$BV$15)*$BW$15+
INDEX($A692:$BM692,,$BV$16)*$BW$16+
INDEX($A692:$BM692,,$BV$17)*$BW$17+
INDEX($A692:$BM692,,$BV$18)*$BW$18+
INDEX($A692:$BM692,,$BV$19)*$BW$19+
INDEX($A692:$BM692,,$BV$20)*$BW$20+
INDEX($A692:$BM692,,$BV$21)*$BW$21+
INDEX($A692:$BM692,,$BV$22)*$BW$22+
INDEX($A692:$BM692,,$BV$23)*$BW$23+
INDEX($A692:$BM692,,$BV$25)*$BW$25+
INDEX($A692:$BM692,,$BV$26)*$BW$26+
INDEX($A692:$BM692,,$BV$27)*$BW$27+
$BN692)),
$BN692-100)</f>
        <v>-100</v>
      </c>
      <c r="AX692" t="str">
        <f t="shared" si="137"/>
        <v/>
      </c>
      <c r="AY692" t="str">
        <f t="shared" si="138"/>
        <v/>
      </c>
      <c r="AZ692" s="430">
        <f>IFERROR(
IF(AX692="",-100,
IF($BV$2&gt;0, INDEX(Beersheet!$A:$U,MATCH(AX692,INDEX(Beersheet!$A:$U,0,FFARawStatProjections!$BV$2),0),$BV$3)+$BN692,
INDEX($A692:$BM692,,$BV$12)*$BW$12+
INDEX($A692:$BM692,,$BV$15)*$BW$15+
INDEX($A692:$BM692,,$BV$16)*$BW$16+
INDEX($A692:$BM692,,$BV$17)*$BW$17+
INDEX($A692:$BM692,,$BV$18)*$BW$18+
INDEX($A692:$BM692,,$BV$19)*$BW$19+
INDEX($A692:$BM692,,$BV$20)*$BW$20+
INDEX($A692:$BM692,,$BV$21)*$BW$21+
INDEX($A692:$BM692,,$BV$22)*$BW$22+
INDEX($A692:$BM692,,$BV$23)*$BW$23+
INDEX($A692:$BM692,,$BV$25)*$BW$25+
INDEX($A692:$BM692,,$BV$26)*$BW$26+
INDEX($A692:$BM692,,$BV$27)*$BW$27+
$BN692)),
$BN692-100)</f>
        <v>-100</v>
      </c>
      <c r="BB692" t="str">
        <f t="shared" si="139"/>
        <v>Andrew Ogletree</v>
      </c>
      <c r="BC692" t="str">
        <f t="shared" si="133"/>
        <v>IND</v>
      </c>
      <c r="BD692" s="430">
        <f>IFERROR(
IF(BB692="",-100,
IF($BV$2&gt;0, INDEX(Beersheet!$A:$U,MATCH(BB692,INDEX(Beersheet!$A:$U,0,FFARawStatProjections!$BV$2),0),$BV$3)+$BN692,
INDEX($A692:$BM692,,$BV$12)*$BW$12+
INDEX($A692:$BM692,,$BV$15)*$BW$15+
INDEX($A692:$BM692,,$BV$16)*$BW$16+
INDEX($A692:$BM692,,$BV$17)*$BW$17+
INDEX($A692:$BM692,,$BV$18)*$BW$18+
INDEX($A692:$BM692,,$BV$19)*$BW$19+
INDEX($A692:$BM692,,$BV$20)*$BW$20+
INDEX($A692:$BM692,,$BV$21)*$BW$21+
INDEX($A692:$BM692,,$BV$22)*$BW$22+
INDEX($A692:$BM692,,$BV$23)*$BW$23+
INDEX($A692:$BM692,,$BV$25)*$BW$25+
INDEX($A692:$BM692,,$BV$26)*$BW$26+
INDEX($A692:$BM692,,$BV$27)*$BW$27+
$BN692)),
$BN692-100)</f>
        <v>24.806910000000002</v>
      </c>
      <c r="BF692" t="str">
        <f t="shared" si="140"/>
        <v/>
      </c>
      <c r="BG692" t="str">
        <f t="shared" si="141"/>
        <v/>
      </c>
      <c r="BH692">
        <f t="shared" si="142"/>
        <v>0</v>
      </c>
      <c r="BJ692" t="str">
        <f t="shared" si="143"/>
        <v/>
      </c>
      <c r="BL692">
        <f t="shared" si="145"/>
        <v>0</v>
      </c>
      <c r="BN692">
        <v>6.9100000000000003E-3</v>
      </c>
      <c r="BS692" s="4" t="s">
        <v>1148</v>
      </c>
    </row>
    <row r="693" spans="1:71" ht="15.75" thickBot="1" x14ac:dyDescent="0.3">
      <c r="A693" s="569" t="s">
        <v>2460</v>
      </c>
      <c r="B693" s="569" t="s">
        <v>163</v>
      </c>
      <c r="C693" s="569" t="s">
        <v>7</v>
      </c>
      <c r="D693" s="574">
        <v>7</v>
      </c>
      <c r="E693" s="569"/>
      <c r="F693" s="569"/>
      <c r="G693" s="569"/>
      <c r="H693" s="569"/>
      <c r="I693" s="574">
        <v>0</v>
      </c>
      <c r="J693" s="574">
        <v>0</v>
      </c>
      <c r="K693" s="574">
        <v>0</v>
      </c>
      <c r="L693" s="574">
        <v>9.1999999999999993</v>
      </c>
      <c r="M693" s="574">
        <v>0.7</v>
      </c>
      <c r="N693" s="574">
        <v>104.3</v>
      </c>
      <c r="O693" s="574">
        <v>0</v>
      </c>
      <c r="P693" s="574">
        <v>0</v>
      </c>
      <c r="Q693" s="574">
        <v>0</v>
      </c>
      <c r="R693" s="569"/>
      <c r="S693" s="569"/>
      <c r="T693" s="569"/>
      <c r="U693" s="569"/>
      <c r="V693" s="569"/>
      <c r="W693" s="569"/>
      <c r="X693" s="569"/>
      <c r="Y693" s="569"/>
      <c r="Z693" s="569"/>
      <c r="AA693" s="569"/>
      <c r="AB693" s="569"/>
      <c r="AC693" s="569"/>
      <c r="AD693" s="569"/>
      <c r="AE693" s="569"/>
      <c r="AF693" s="569"/>
      <c r="AG693" s="569"/>
      <c r="AH693" s="569"/>
      <c r="AI693" s="569"/>
      <c r="AJ693" s="569"/>
      <c r="AK693" s="569"/>
      <c r="AL693" s="569"/>
      <c r="AM693" s="569"/>
      <c r="AN693" s="574">
        <v>14.6</v>
      </c>
      <c r="AO693">
        <v>692</v>
      </c>
      <c r="AP693" t="str">
        <f t="shared" si="144"/>
        <v/>
      </c>
      <c r="AQ693" t="str">
        <f t="shared" si="134"/>
        <v/>
      </c>
      <c r="AR693" s="430">
        <f>IFERROR(
IF(AP693="",-100,
IF($BV$2&gt;0, INDEX(Beersheet!$A:$U,MATCH(AP693,INDEX(Beersheet!$A:$U,0,FFARawStatProjections!$BV$2),0),$BV$3)+$BN693,
INDEX($A693:$BM693,,$BV$12)*$BW$12+
INDEX($A693:$BM693,,$BV$15)*$BW$15+
INDEX($A693:$BM693,,$BV$16)*$BW$16+
INDEX($A693:$BM693,,$BV$17)*$BW$17+
INDEX($A693:$BM693,,$BV$18)*$BW$18+
INDEX($A693:$BM693,,$BV$19)*$BW$19+
INDEX($A693:$BM693,,$BV$20)*$BW$20+
INDEX($A693:$BM693,,$BV$21)*$BW$21+
INDEX($A693:$BM693,,$BV$22)*$BW$22+
INDEX($A693:$BM693,,$BV$23)*$BW$23+
INDEX($A693:$BM693,,$BV$25)*$BW$25+
INDEX($A693:$BM693,,$BV$26)*$BW$26+
INDEX($A693:$BM693,,$BV$27)*$BW$27+
$BN693)),
$BN693-100)</f>
        <v>-100</v>
      </c>
      <c r="AT693" t="str">
        <f t="shared" si="135"/>
        <v/>
      </c>
      <c r="AU693" t="str">
        <f t="shared" si="136"/>
        <v/>
      </c>
      <c r="AV693" s="430">
        <f>IFERROR(
IF(AT693="",-100,
IF($BV$2&gt;0, INDEX(Beersheet!$A:$U,MATCH(AT693,INDEX(Beersheet!$A:$U,0,FFARawStatProjections!$BV$2),0),$BV$3)+$BN693,
INDEX($A693:$BM693,,$BV$12)*$BW$12+
INDEX($A693:$BM693,,$BV$15)*$BW$15+
INDEX($A693:$BM693,,$BV$16)*$BW$16+
INDEX($A693:$BM693,,$BV$17)*$BW$17+
INDEX($A693:$BM693,,$BV$18)*$BW$18+
INDEX($A693:$BM693,,$BV$19)*$BW$19+
INDEX($A693:$BM693,,$BV$20)*$BW$20+
INDEX($A693:$BM693,,$BV$21)*$BW$21+
INDEX($A693:$BM693,,$BV$22)*$BW$22+
INDEX($A693:$BM693,,$BV$23)*$BW$23+
INDEX($A693:$BM693,,$BV$25)*$BW$25+
INDEX($A693:$BM693,,$BV$26)*$BW$26+
INDEX($A693:$BM693,,$BV$27)*$BW$27+
$BN693)),
$BN693-100)</f>
        <v>-100</v>
      </c>
      <c r="AX693" t="str">
        <f t="shared" si="137"/>
        <v/>
      </c>
      <c r="AY693" t="str">
        <f t="shared" si="138"/>
        <v/>
      </c>
      <c r="AZ693" s="430">
        <f>IFERROR(
IF(AX693="",-100,
IF($BV$2&gt;0, INDEX(Beersheet!$A:$U,MATCH(AX693,INDEX(Beersheet!$A:$U,0,FFARawStatProjections!$BV$2),0),$BV$3)+$BN693,
INDEX($A693:$BM693,,$BV$12)*$BW$12+
INDEX($A693:$BM693,,$BV$15)*$BW$15+
INDEX($A693:$BM693,,$BV$16)*$BW$16+
INDEX($A693:$BM693,,$BV$17)*$BW$17+
INDEX($A693:$BM693,,$BV$18)*$BW$18+
INDEX($A693:$BM693,,$BV$19)*$BW$19+
INDEX($A693:$BM693,,$BV$20)*$BW$20+
INDEX($A693:$BM693,,$BV$21)*$BW$21+
INDEX($A693:$BM693,,$BV$22)*$BW$22+
INDEX($A693:$BM693,,$BV$23)*$BW$23+
INDEX($A693:$BM693,,$BV$25)*$BW$25+
INDEX($A693:$BM693,,$BV$26)*$BW$26+
INDEX($A693:$BM693,,$BV$27)*$BW$27+
$BN693)),
$BN693-100)</f>
        <v>-100</v>
      </c>
      <c r="BB693" t="str">
        <f t="shared" si="139"/>
        <v>Josh Whyle</v>
      </c>
      <c r="BC693" t="str">
        <f t="shared" si="133"/>
        <v>TEN</v>
      </c>
      <c r="BD693" s="430">
        <f>IFERROR(
IF(BB693="",-100,
IF($BV$2&gt;0, INDEX(Beersheet!$A:$U,MATCH(BB693,INDEX(Beersheet!$A:$U,0,FFARawStatProjections!$BV$2),0),$BV$3)+$BN693,
INDEX($A693:$BM693,,$BV$12)*$BW$12+
INDEX($A693:$BM693,,$BV$15)*$BW$15+
INDEX($A693:$BM693,,$BV$16)*$BW$16+
INDEX($A693:$BM693,,$BV$17)*$BW$17+
INDEX($A693:$BM693,,$BV$18)*$BW$18+
INDEX($A693:$BM693,,$BV$19)*$BW$19+
INDEX($A693:$BM693,,$BV$20)*$BW$20+
INDEX($A693:$BM693,,$BV$21)*$BW$21+
INDEX($A693:$BM693,,$BV$22)*$BW$22+
INDEX($A693:$BM693,,$BV$23)*$BW$23+
INDEX($A693:$BM693,,$BV$25)*$BW$25+
INDEX($A693:$BM693,,$BV$26)*$BW$26+
INDEX($A693:$BM693,,$BV$27)*$BW$27+
$BN693)),
$BN693-100)</f>
        <v>23.836919999999999</v>
      </c>
      <c r="BF693" t="str">
        <f t="shared" si="140"/>
        <v/>
      </c>
      <c r="BG693" t="str">
        <f t="shared" si="141"/>
        <v/>
      </c>
      <c r="BH693">
        <f t="shared" si="142"/>
        <v>0</v>
      </c>
      <c r="BJ693" t="str">
        <f t="shared" si="143"/>
        <v/>
      </c>
      <c r="BL693">
        <f t="shared" si="145"/>
        <v>0</v>
      </c>
      <c r="BN693">
        <v>6.9199999999999999E-3</v>
      </c>
      <c r="BS693" s="4" t="s">
        <v>1109</v>
      </c>
    </row>
    <row r="694" spans="1:71" ht="15.75" thickBot="1" x14ac:dyDescent="0.3">
      <c r="A694" s="569" t="s">
        <v>2500</v>
      </c>
      <c r="B694" s="569" t="s">
        <v>1389</v>
      </c>
      <c r="C694" s="569" t="s">
        <v>7</v>
      </c>
      <c r="D694" s="574">
        <v>10</v>
      </c>
      <c r="E694" s="569"/>
      <c r="F694" s="569"/>
      <c r="G694" s="569"/>
      <c r="H694" s="569"/>
      <c r="I694" s="574">
        <v>0</v>
      </c>
      <c r="J694" s="574">
        <v>0</v>
      </c>
      <c r="K694" s="574">
        <v>0</v>
      </c>
      <c r="L694" s="574">
        <v>16.2</v>
      </c>
      <c r="M694" s="574">
        <v>0.8</v>
      </c>
      <c r="N694" s="574">
        <v>101.8</v>
      </c>
      <c r="O694" s="574">
        <v>0</v>
      </c>
      <c r="P694" s="574">
        <v>0</v>
      </c>
      <c r="Q694" s="574">
        <v>0</v>
      </c>
      <c r="R694" s="569"/>
      <c r="S694" s="569"/>
      <c r="T694" s="569"/>
      <c r="U694" s="569"/>
      <c r="V694" s="569"/>
      <c r="W694" s="569"/>
      <c r="X694" s="569"/>
      <c r="Y694" s="569"/>
      <c r="Z694" s="569"/>
      <c r="AA694" s="569"/>
      <c r="AB694" s="569"/>
      <c r="AC694" s="569"/>
      <c r="AD694" s="569"/>
      <c r="AE694" s="569"/>
      <c r="AF694" s="569"/>
      <c r="AG694" s="569"/>
      <c r="AH694" s="569"/>
      <c r="AI694" s="569"/>
      <c r="AJ694" s="569"/>
      <c r="AK694" s="569"/>
      <c r="AL694" s="569"/>
      <c r="AM694" s="569"/>
      <c r="AN694" s="574">
        <v>14.4</v>
      </c>
      <c r="AO694">
        <v>693</v>
      </c>
      <c r="AP694" t="str">
        <f t="shared" si="144"/>
        <v/>
      </c>
      <c r="AQ694" t="str">
        <f t="shared" si="134"/>
        <v/>
      </c>
      <c r="AR694" s="430">
        <f>IFERROR(
IF(AP694="",-100,
IF($BV$2&gt;0, INDEX(Beersheet!$A:$U,MATCH(AP694,INDEX(Beersheet!$A:$U,0,FFARawStatProjections!$BV$2),0),$BV$3)+$BN694,
INDEX($A694:$BM694,,$BV$12)*$BW$12+
INDEX($A694:$BM694,,$BV$15)*$BW$15+
INDEX($A694:$BM694,,$BV$16)*$BW$16+
INDEX($A694:$BM694,,$BV$17)*$BW$17+
INDEX($A694:$BM694,,$BV$18)*$BW$18+
INDEX($A694:$BM694,,$BV$19)*$BW$19+
INDEX($A694:$BM694,,$BV$20)*$BW$20+
INDEX($A694:$BM694,,$BV$21)*$BW$21+
INDEX($A694:$BM694,,$BV$22)*$BW$22+
INDEX($A694:$BM694,,$BV$23)*$BW$23+
INDEX($A694:$BM694,,$BV$25)*$BW$25+
INDEX($A694:$BM694,,$BV$26)*$BW$26+
INDEX($A694:$BM694,,$BV$27)*$BW$27+
$BN694)),
$BN694-100)</f>
        <v>-100</v>
      </c>
      <c r="AT694" t="str">
        <f t="shared" si="135"/>
        <v/>
      </c>
      <c r="AU694" t="str">
        <f t="shared" si="136"/>
        <v/>
      </c>
      <c r="AV694" s="430">
        <f>IFERROR(
IF(AT694="",-100,
IF($BV$2&gt;0, INDEX(Beersheet!$A:$U,MATCH(AT694,INDEX(Beersheet!$A:$U,0,FFARawStatProjections!$BV$2),0),$BV$3)+$BN694,
INDEX($A694:$BM694,,$BV$12)*$BW$12+
INDEX($A694:$BM694,,$BV$15)*$BW$15+
INDEX($A694:$BM694,,$BV$16)*$BW$16+
INDEX($A694:$BM694,,$BV$17)*$BW$17+
INDEX($A694:$BM694,,$BV$18)*$BW$18+
INDEX($A694:$BM694,,$BV$19)*$BW$19+
INDEX($A694:$BM694,,$BV$20)*$BW$20+
INDEX($A694:$BM694,,$BV$21)*$BW$21+
INDEX($A694:$BM694,,$BV$22)*$BW$22+
INDEX($A694:$BM694,,$BV$23)*$BW$23+
INDEX($A694:$BM694,,$BV$25)*$BW$25+
INDEX($A694:$BM694,,$BV$26)*$BW$26+
INDEX($A694:$BM694,,$BV$27)*$BW$27+
$BN694)),
$BN694-100)</f>
        <v>-100</v>
      </c>
      <c r="AX694" t="str">
        <f t="shared" si="137"/>
        <v/>
      </c>
      <c r="AY694" t="str">
        <f t="shared" si="138"/>
        <v/>
      </c>
      <c r="AZ694" s="430">
        <f>IFERROR(
IF(AX694="",-100,
IF($BV$2&gt;0, INDEX(Beersheet!$A:$U,MATCH(AX694,INDEX(Beersheet!$A:$U,0,FFARawStatProjections!$BV$2),0),$BV$3)+$BN694,
INDEX($A694:$BM694,,$BV$12)*$BW$12+
INDEX($A694:$BM694,,$BV$15)*$BW$15+
INDEX($A694:$BM694,,$BV$16)*$BW$16+
INDEX($A694:$BM694,,$BV$17)*$BW$17+
INDEX($A694:$BM694,,$BV$18)*$BW$18+
INDEX($A694:$BM694,,$BV$19)*$BW$19+
INDEX($A694:$BM694,,$BV$20)*$BW$20+
INDEX($A694:$BM694,,$BV$21)*$BW$21+
INDEX($A694:$BM694,,$BV$22)*$BW$22+
INDEX($A694:$BM694,,$BV$23)*$BW$23+
INDEX($A694:$BM694,,$BV$25)*$BW$25+
INDEX($A694:$BM694,,$BV$26)*$BW$26+
INDEX($A694:$BM694,,$BV$27)*$BW$27+
$BN694)),
$BN694-100)</f>
        <v>-100</v>
      </c>
      <c r="BB694" t="str">
        <f t="shared" si="139"/>
        <v>Davis Allen</v>
      </c>
      <c r="BC694" t="str">
        <f t="shared" si="133"/>
        <v>LAR</v>
      </c>
      <c r="BD694" s="430">
        <f>IFERROR(
IF(BB694="",-100,
IF($BV$2&gt;0, INDEX(Beersheet!$A:$U,MATCH(BB694,INDEX(Beersheet!$A:$U,0,FFARawStatProjections!$BV$2),0),$BV$3)+$BN694,
INDEX($A694:$BM694,,$BV$12)*$BW$12+
INDEX($A694:$BM694,,$BV$15)*$BW$15+
INDEX($A694:$BM694,,$BV$16)*$BW$16+
INDEX($A694:$BM694,,$BV$17)*$BW$17+
INDEX($A694:$BM694,,$BV$18)*$BW$18+
INDEX($A694:$BM694,,$BV$19)*$BW$19+
INDEX($A694:$BM694,,$BV$20)*$BW$20+
INDEX($A694:$BM694,,$BV$21)*$BW$21+
INDEX($A694:$BM694,,$BV$22)*$BW$22+
INDEX($A694:$BM694,,$BV$23)*$BW$23+
INDEX($A694:$BM694,,$BV$25)*$BW$25+
INDEX($A694:$BM694,,$BV$26)*$BW$26+
INDEX($A694:$BM694,,$BV$27)*$BW$27+
$BN694)),
$BN694-100)</f>
        <v>31.18693</v>
      </c>
      <c r="BF694" t="str">
        <f t="shared" si="140"/>
        <v/>
      </c>
      <c r="BG694" t="str">
        <f t="shared" si="141"/>
        <v/>
      </c>
      <c r="BH694">
        <f t="shared" si="142"/>
        <v>0</v>
      </c>
      <c r="BJ694" t="str">
        <f t="shared" si="143"/>
        <v/>
      </c>
      <c r="BL694">
        <f t="shared" si="145"/>
        <v>0</v>
      </c>
      <c r="BN694">
        <v>6.9300000000000004E-3</v>
      </c>
      <c r="BS694" s="4" t="s">
        <v>2375</v>
      </c>
    </row>
    <row r="695" spans="1:71" ht="15.75" thickBot="1" x14ac:dyDescent="0.3">
      <c r="A695" s="569" t="s">
        <v>2190</v>
      </c>
      <c r="B695" s="569" t="s">
        <v>151</v>
      </c>
      <c r="C695" s="569" t="s">
        <v>7</v>
      </c>
      <c r="D695" s="574">
        <v>7</v>
      </c>
      <c r="E695" s="569"/>
      <c r="F695" s="569"/>
      <c r="G695" s="569"/>
      <c r="H695" s="569"/>
      <c r="I695" s="574">
        <v>0</v>
      </c>
      <c r="J695" s="574">
        <v>0</v>
      </c>
      <c r="K695" s="574">
        <v>0</v>
      </c>
      <c r="L695" s="574">
        <v>8.6</v>
      </c>
      <c r="M695" s="574">
        <v>0.7</v>
      </c>
      <c r="N695" s="574">
        <v>85.9</v>
      </c>
      <c r="O695" s="574">
        <v>0</v>
      </c>
      <c r="P695" s="574">
        <v>0</v>
      </c>
      <c r="Q695" s="574">
        <v>0</v>
      </c>
      <c r="R695" s="569"/>
      <c r="S695" s="569"/>
      <c r="T695" s="569"/>
      <c r="U695" s="569"/>
      <c r="V695" s="569"/>
      <c r="W695" s="569"/>
      <c r="X695" s="569"/>
      <c r="Y695" s="569"/>
      <c r="Z695" s="569"/>
      <c r="AA695" s="569"/>
      <c r="AB695" s="569"/>
      <c r="AC695" s="569"/>
      <c r="AD695" s="569"/>
      <c r="AE695" s="569"/>
      <c r="AF695" s="569"/>
      <c r="AG695" s="569"/>
      <c r="AH695" s="569"/>
      <c r="AI695" s="569"/>
      <c r="AJ695" s="569"/>
      <c r="AK695" s="569"/>
      <c r="AL695" s="569"/>
      <c r="AM695" s="569"/>
      <c r="AN695" s="574">
        <v>14.1</v>
      </c>
      <c r="AO695">
        <v>694</v>
      </c>
      <c r="AP695" t="str">
        <f t="shared" si="144"/>
        <v/>
      </c>
      <c r="AQ695" t="str">
        <f t="shared" si="134"/>
        <v/>
      </c>
      <c r="AR695" s="430">
        <f>IFERROR(
IF(AP695="",-100,
IF($BV$2&gt;0, INDEX(Beersheet!$A:$U,MATCH(AP695,INDEX(Beersheet!$A:$U,0,FFARawStatProjections!$BV$2),0),$BV$3)+$BN695,
INDEX($A695:$BM695,,$BV$12)*$BW$12+
INDEX($A695:$BM695,,$BV$15)*$BW$15+
INDEX($A695:$BM695,,$BV$16)*$BW$16+
INDEX($A695:$BM695,,$BV$17)*$BW$17+
INDEX($A695:$BM695,,$BV$18)*$BW$18+
INDEX($A695:$BM695,,$BV$19)*$BW$19+
INDEX($A695:$BM695,,$BV$20)*$BW$20+
INDEX($A695:$BM695,,$BV$21)*$BW$21+
INDEX($A695:$BM695,,$BV$22)*$BW$22+
INDEX($A695:$BM695,,$BV$23)*$BW$23+
INDEX($A695:$BM695,,$BV$25)*$BW$25+
INDEX($A695:$BM695,,$BV$26)*$BW$26+
INDEX($A695:$BM695,,$BV$27)*$BW$27+
$BN695)),
$BN695-100)</f>
        <v>-100</v>
      </c>
      <c r="AT695" t="str">
        <f t="shared" si="135"/>
        <v/>
      </c>
      <c r="AU695" t="str">
        <f t="shared" si="136"/>
        <v/>
      </c>
      <c r="AV695" s="430">
        <f>IFERROR(
IF(AT695="",-100,
IF($BV$2&gt;0, INDEX(Beersheet!$A:$U,MATCH(AT695,INDEX(Beersheet!$A:$U,0,FFARawStatProjections!$BV$2),0),$BV$3)+$BN695,
INDEX($A695:$BM695,,$BV$12)*$BW$12+
INDEX($A695:$BM695,,$BV$15)*$BW$15+
INDEX($A695:$BM695,,$BV$16)*$BW$16+
INDEX($A695:$BM695,,$BV$17)*$BW$17+
INDEX($A695:$BM695,,$BV$18)*$BW$18+
INDEX($A695:$BM695,,$BV$19)*$BW$19+
INDEX($A695:$BM695,,$BV$20)*$BW$20+
INDEX($A695:$BM695,,$BV$21)*$BW$21+
INDEX($A695:$BM695,,$BV$22)*$BW$22+
INDEX($A695:$BM695,,$BV$23)*$BW$23+
INDEX($A695:$BM695,,$BV$25)*$BW$25+
INDEX($A695:$BM695,,$BV$26)*$BW$26+
INDEX($A695:$BM695,,$BV$27)*$BW$27+
$BN695)),
$BN695-100)</f>
        <v>-100</v>
      </c>
      <c r="AX695" t="str">
        <f t="shared" si="137"/>
        <v/>
      </c>
      <c r="AY695" t="str">
        <f t="shared" si="138"/>
        <v/>
      </c>
      <c r="AZ695" s="430">
        <f>IFERROR(
IF(AX695="",-100,
IF($BV$2&gt;0, INDEX(Beersheet!$A:$U,MATCH(AX695,INDEX(Beersheet!$A:$U,0,FFARawStatProjections!$BV$2),0),$BV$3)+$BN695,
INDEX($A695:$BM695,,$BV$12)*$BW$12+
INDEX($A695:$BM695,,$BV$15)*$BW$15+
INDEX($A695:$BM695,,$BV$16)*$BW$16+
INDEX($A695:$BM695,,$BV$17)*$BW$17+
INDEX($A695:$BM695,,$BV$18)*$BW$18+
INDEX($A695:$BM695,,$BV$19)*$BW$19+
INDEX($A695:$BM695,,$BV$20)*$BW$20+
INDEX($A695:$BM695,,$BV$21)*$BW$21+
INDEX($A695:$BM695,,$BV$22)*$BW$22+
INDEX($A695:$BM695,,$BV$23)*$BW$23+
INDEX($A695:$BM695,,$BV$25)*$BW$25+
INDEX($A695:$BM695,,$BV$26)*$BW$26+
INDEX($A695:$BM695,,$BV$27)*$BW$27+
$BN695)),
$BN695-100)</f>
        <v>-100</v>
      </c>
      <c r="BB695" t="str">
        <f t="shared" si="139"/>
        <v>Andrew Beck</v>
      </c>
      <c r="BC695" t="str">
        <f t="shared" si="133"/>
        <v>HOU</v>
      </c>
      <c r="BD695" s="430">
        <f>IFERROR(
IF(BB695="",-100,
IF($BV$2&gt;0, INDEX(Beersheet!$A:$U,MATCH(BB695,INDEX(Beersheet!$A:$U,0,FFARawStatProjections!$BV$2),0),$BV$3)+$BN695,
INDEX($A695:$BM695,,$BV$12)*$BW$12+
INDEX($A695:$BM695,,$BV$15)*$BW$15+
INDEX($A695:$BM695,,$BV$16)*$BW$16+
INDEX($A695:$BM695,,$BV$17)*$BW$17+
INDEX($A695:$BM695,,$BV$18)*$BW$18+
INDEX($A695:$BM695,,$BV$19)*$BW$19+
INDEX($A695:$BM695,,$BV$20)*$BW$20+
INDEX($A695:$BM695,,$BV$21)*$BW$21+
INDEX($A695:$BM695,,$BV$22)*$BW$22+
INDEX($A695:$BM695,,$BV$23)*$BW$23+
INDEX($A695:$BM695,,$BV$25)*$BW$25+
INDEX($A695:$BM695,,$BV$26)*$BW$26+
INDEX($A695:$BM695,,$BV$27)*$BW$27+
$BN695)),
$BN695-100)</f>
        <v>21.396940000000001</v>
      </c>
      <c r="BF695" t="str">
        <f t="shared" si="140"/>
        <v/>
      </c>
      <c r="BG695" t="str">
        <f t="shared" si="141"/>
        <v/>
      </c>
      <c r="BH695">
        <f t="shared" si="142"/>
        <v>0</v>
      </c>
      <c r="BJ695" t="str">
        <f t="shared" si="143"/>
        <v/>
      </c>
      <c r="BL695">
        <f t="shared" si="145"/>
        <v>0</v>
      </c>
      <c r="BN695">
        <v>6.94E-3</v>
      </c>
      <c r="BS695" s="4" t="s">
        <v>2395</v>
      </c>
    </row>
    <row r="696" spans="1:71" ht="15.75" thickBot="1" x14ac:dyDescent="0.3">
      <c r="A696" s="569" t="s">
        <v>2389</v>
      </c>
      <c r="B696" s="569" t="s">
        <v>164</v>
      </c>
      <c r="C696" s="569" t="s">
        <v>7</v>
      </c>
      <c r="D696" s="574">
        <v>7</v>
      </c>
      <c r="E696" s="569"/>
      <c r="F696" s="569"/>
      <c r="G696" s="569"/>
      <c r="H696" s="569"/>
      <c r="I696" s="574">
        <v>0</v>
      </c>
      <c r="J696" s="574">
        <v>0</v>
      </c>
      <c r="K696" s="574">
        <v>0</v>
      </c>
      <c r="L696" s="574">
        <v>7.1</v>
      </c>
      <c r="M696" s="574">
        <v>0.5</v>
      </c>
      <c r="N696" s="574">
        <v>104.4</v>
      </c>
      <c r="O696" s="574">
        <v>0</v>
      </c>
      <c r="P696" s="574">
        <v>0</v>
      </c>
      <c r="Q696" s="574">
        <v>0</v>
      </c>
      <c r="R696" s="569"/>
      <c r="S696" s="569"/>
      <c r="T696" s="569"/>
      <c r="U696" s="569"/>
      <c r="V696" s="569"/>
      <c r="W696" s="569"/>
      <c r="X696" s="569"/>
      <c r="Y696" s="569"/>
      <c r="Z696" s="569"/>
      <c r="AA696" s="569"/>
      <c r="AB696" s="569"/>
      <c r="AC696" s="569"/>
      <c r="AD696" s="569"/>
      <c r="AE696" s="569"/>
      <c r="AF696" s="569"/>
      <c r="AG696" s="569"/>
      <c r="AH696" s="569"/>
      <c r="AI696" s="569"/>
      <c r="AJ696" s="569"/>
      <c r="AK696" s="569"/>
      <c r="AL696" s="569"/>
      <c r="AM696" s="569"/>
      <c r="AN696" s="574">
        <v>13.5</v>
      </c>
      <c r="AO696">
        <v>695</v>
      </c>
      <c r="AP696" t="str">
        <f t="shared" si="144"/>
        <v/>
      </c>
      <c r="AQ696" t="str">
        <f t="shared" si="134"/>
        <v/>
      </c>
      <c r="AR696" s="430">
        <f>IFERROR(
IF(AP696="",-100,
IF($BV$2&gt;0, INDEX(Beersheet!$A:$U,MATCH(AP696,INDEX(Beersheet!$A:$U,0,FFARawStatProjections!$BV$2),0),$BV$3)+$BN696,
INDEX($A696:$BM696,,$BV$12)*$BW$12+
INDEX($A696:$BM696,,$BV$15)*$BW$15+
INDEX($A696:$BM696,,$BV$16)*$BW$16+
INDEX($A696:$BM696,,$BV$17)*$BW$17+
INDEX($A696:$BM696,,$BV$18)*$BW$18+
INDEX($A696:$BM696,,$BV$19)*$BW$19+
INDEX($A696:$BM696,,$BV$20)*$BW$20+
INDEX($A696:$BM696,,$BV$21)*$BW$21+
INDEX($A696:$BM696,,$BV$22)*$BW$22+
INDEX($A696:$BM696,,$BV$23)*$BW$23+
INDEX($A696:$BM696,,$BV$25)*$BW$25+
INDEX($A696:$BM696,,$BV$26)*$BW$26+
INDEX($A696:$BM696,,$BV$27)*$BW$27+
$BN696)),
$BN696-100)</f>
        <v>-100</v>
      </c>
      <c r="AT696" t="str">
        <f t="shared" si="135"/>
        <v/>
      </c>
      <c r="AU696" t="str">
        <f t="shared" si="136"/>
        <v/>
      </c>
      <c r="AV696" s="430">
        <f>IFERROR(
IF(AT696="",-100,
IF($BV$2&gt;0, INDEX(Beersheet!$A:$U,MATCH(AT696,INDEX(Beersheet!$A:$U,0,FFARawStatProjections!$BV$2),0),$BV$3)+$BN696,
INDEX($A696:$BM696,,$BV$12)*$BW$12+
INDEX($A696:$BM696,,$BV$15)*$BW$15+
INDEX($A696:$BM696,,$BV$16)*$BW$16+
INDEX($A696:$BM696,,$BV$17)*$BW$17+
INDEX($A696:$BM696,,$BV$18)*$BW$18+
INDEX($A696:$BM696,,$BV$19)*$BW$19+
INDEX($A696:$BM696,,$BV$20)*$BW$20+
INDEX($A696:$BM696,,$BV$21)*$BW$21+
INDEX($A696:$BM696,,$BV$22)*$BW$22+
INDEX($A696:$BM696,,$BV$23)*$BW$23+
INDEX($A696:$BM696,,$BV$25)*$BW$25+
INDEX($A696:$BM696,,$BV$26)*$BW$26+
INDEX($A696:$BM696,,$BV$27)*$BW$27+
$BN696)),
$BN696-100)</f>
        <v>-100</v>
      </c>
      <c r="AX696" t="str">
        <f t="shared" si="137"/>
        <v/>
      </c>
      <c r="AY696" t="str">
        <f t="shared" si="138"/>
        <v/>
      </c>
      <c r="AZ696" s="430">
        <f>IFERROR(
IF(AX696="",-100,
IF($BV$2&gt;0, INDEX(Beersheet!$A:$U,MATCH(AX696,INDEX(Beersheet!$A:$U,0,FFARawStatProjections!$BV$2),0),$BV$3)+$BN696,
INDEX($A696:$BM696,,$BV$12)*$BW$12+
INDEX($A696:$BM696,,$BV$15)*$BW$15+
INDEX($A696:$BM696,,$BV$16)*$BW$16+
INDEX($A696:$BM696,,$BV$17)*$BW$17+
INDEX($A696:$BM696,,$BV$18)*$BW$18+
INDEX($A696:$BM696,,$BV$19)*$BW$19+
INDEX($A696:$BM696,,$BV$20)*$BW$20+
INDEX($A696:$BM696,,$BV$21)*$BW$21+
INDEX($A696:$BM696,,$BV$22)*$BW$22+
INDEX($A696:$BM696,,$BV$23)*$BW$23+
INDEX($A696:$BM696,,$BV$25)*$BW$25+
INDEX($A696:$BM696,,$BV$26)*$BW$26+
INDEX($A696:$BM696,,$BV$27)*$BW$27+
$BN696)),
$BN696-100)</f>
        <v>-100</v>
      </c>
      <c r="BB696" t="str">
        <f t="shared" si="139"/>
        <v>Zack Kuntz</v>
      </c>
      <c r="BC696" t="str">
        <f t="shared" si="133"/>
        <v>NYJ</v>
      </c>
      <c r="BD696" s="430">
        <f>IFERROR(
IF(BB696="",-100,
IF($BV$2&gt;0, INDEX(Beersheet!$A:$U,MATCH(BB696,INDEX(Beersheet!$A:$U,0,FFARawStatProjections!$BV$2),0),$BV$3)+$BN696,
INDEX($A696:$BM696,,$BV$12)*$BW$12+
INDEX($A696:$BM696,,$BV$15)*$BW$15+
INDEX($A696:$BM696,,$BV$16)*$BW$16+
INDEX($A696:$BM696,,$BV$17)*$BW$17+
INDEX($A696:$BM696,,$BV$18)*$BW$18+
INDEX($A696:$BM696,,$BV$19)*$BW$19+
INDEX($A696:$BM696,,$BV$20)*$BW$20+
INDEX($A696:$BM696,,$BV$21)*$BW$21+
INDEX($A696:$BM696,,$BV$22)*$BW$22+
INDEX($A696:$BM696,,$BV$23)*$BW$23+
INDEX($A696:$BM696,,$BV$25)*$BW$25+
INDEX($A696:$BM696,,$BV$26)*$BW$26+
INDEX($A696:$BM696,,$BV$27)*$BW$27+
$BN696)),
$BN696-100)</f>
        <v>20.546949999999999</v>
      </c>
      <c r="BF696" t="str">
        <f t="shared" si="140"/>
        <v/>
      </c>
      <c r="BG696" t="str">
        <f t="shared" si="141"/>
        <v/>
      </c>
      <c r="BH696">
        <f t="shared" si="142"/>
        <v>0</v>
      </c>
      <c r="BJ696" t="str">
        <f t="shared" si="143"/>
        <v/>
      </c>
      <c r="BL696">
        <f t="shared" si="145"/>
        <v>0</v>
      </c>
      <c r="BN696">
        <v>6.9499999999999996E-3</v>
      </c>
      <c r="BS696" s="4" t="s">
        <v>2337</v>
      </c>
    </row>
    <row r="697" spans="1:71" ht="15.75" thickBot="1" x14ac:dyDescent="0.3">
      <c r="A697" s="569" t="s">
        <v>1148</v>
      </c>
      <c r="B697" s="569" t="s">
        <v>166</v>
      </c>
      <c r="C697" s="569" t="s">
        <v>7</v>
      </c>
      <c r="D697" s="574">
        <v>10</v>
      </c>
      <c r="E697" s="569"/>
      <c r="F697" s="569"/>
      <c r="G697" s="569"/>
      <c r="H697" s="569"/>
      <c r="I697" s="574">
        <v>0</v>
      </c>
      <c r="J697" s="574">
        <v>0</v>
      </c>
      <c r="K697" s="574">
        <v>0</v>
      </c>
      <c r="L697" s="574">
        <v>7.2</v>
      </c>
      <c r="M697" s="574">
        <v>0.7</v>
      </c>
      <c r="N697" s="574">
        <v>92</v>
      </c>
      <c r="O697" s="574">
        <v>0</v>
      </c>
      <c r="P697" s="574">
        <v>0</v>
      </c>
      <c r="Q697" s="574">
        <v>0</v>
      </c>
      <c r="R697" s="569"/>
      <c r="S697" s="569"/>
      <c r="T697" s="569"/>
      <c r="U697" s="569"/>
      <c r="V697" s="569"/>
      <c r="W697" s="569"/>
      <c r="X697" s="569"/>
      <c r="Y697" s="569"/>
      <c r="Z697" s="569"/>
      <c r="AA697" s="569"/>
      <c r="AB697" s="569"/>
      <c r="AC697" s="569"/>
      <c r="AD697" s="569"/>
      <c r="AE697" s="569"/>
      <c r="AF697" s="569"/>
      <c r="AG697" s="569"/>
      <c r="AH697" s="569"/>
      <c r="AI697" s="569"/>
      <c r="AJ697" s="569"/>
      <c r="AK697" s="569"/>
      <c r="AL697" s="569"/>
      <c r="AM697" s="569"/>
      <c r="AN697" s="574">
        <v>13.1</v>
      </c>
      <c r="AO697">
        <v>696</v>
      </c>
      <c r="AP697" t="str">
        <f t="shared" si="144"/>
        <v/>
      </c>
      <c r="AQ697" t="str">
        <f t="shared" si="134"/>
        <v/>
      </c>
      <c r="AR697" s="430">
        <f>IFERROR(
IF(AP697="",-100,
IF($BV$2&gt;0, INDEX(Beersheet!$A:$U,MATCH(AP697,INDEX(Beersheet!$A:$U,0,FFARawStatProjections!$BV$2),0),$BV$3)+$BN697,
INDEX($A697:$BM697,,$BV$12)*$BW$12+
INDEX($A697:$BM697,,$BV$15)*$BW$15+
INDEX($A697:$BM697,,$BV$16)*$BW$16+
INDEX($A697:$BM697,,$BV$17)*$BW$17+
INDEX($A697:$BM697,,$BV$18)*$BW$18+
INDEX($A697:$BM697,,$BV$19)*$BW$19+
INDEX($A697:$BM697,,$BV$20)*$BW$20+
INDEX($A697:$BM697,,$BV$21)*$BW$21+
INDEX($A697:$BM697,,$BV$22)*$BW$22+
INDEX($A697:$BM697,,$BV$23)*$BW$23+
INDEX($A697:$BM697,,$BV$25)*$BW$25+
INDEX($A697:$BM697,,$BV$26)*$BW$26+
INDEX($A697:$BM697,,$BV$27)*$BW$27+
$BN697)),
$BN697-100)</f>
        <v>-100</v>
      </c>
      <c r="AT697" t="str">
        <f t="shared" si="135"/>
        <v/>
      </c>
      <c r="AU697" t="str">
        <f t="shared" si="136"/>
        <v/>
      </c>
      <c r="AV697" s="430">
        <f>IFERROR(
IF(AT697="",-100,
IF($BV$2&gt;0, INDEX(Beersheet!$A:$U,MATCH(AT697,INDEX(Beersheet!$A:$U,0,FFARawStatProjections!$BV$2),0),$BV$3)+$BN697,
INDEX($A697:$BM697,,$BV$12)*$BW$12+
INDEX($A697:$BM697,,$BV$15)*$BW$15+
INDEX($A697:$BM697,,$BV$16)*$BW$16+
INDEX($A697:$BM697,,$BV$17)*$BW$17+
INDEX($A697:$BM697,,$BV$18)*$BW$18+
INDEX($A697:$BM697,,$BV$19)*$BW$19+
INDEX($A697:$BM697,,$BV$20)*$BW$20+
INDEX($A697:$BM697,,$BV$21)*$BW$21+
INDEX($A697:$BM697,,$BV$22)*$BW$22+
INDEX($A697:$BM697,,$BV$23)*$BW$23+
INDEX($A697:$BM697,,$BV$25)*$BW$25+
INDEX($A697:$BM697,,$BV$26)*$BW$26+
INDEX($A697:$BM697,,$BV$27)*$BW$27+
$BN697)),
$BN697-100)</f>
        <v>-100</v>
      </c>
      <c r="AX697" t="str">
        <f t="shared" si="137"/>
        <v/>
      </c>
      <c r="AY697" t="str">
        <f t="shared" si="138"/>
        <v/>
      </c>
      <c r="AZ697" s="430">
        <f>IFERROR(
IF(AX697="",-100,
IF($BV$2&gt;0, INDEX(Beersheet!$A:$U,MATCH(AX697,INDEX(Beersheet!$A:$U,0,FFARawStatProjections!$BV$2),0),$BV$3)+$BN697,
INDEX($A697:$BM697,,$BV$12)*$BW$12+
INDEX($A697:$BM697,,$BV$15)*$BW$15+
INDEX($A697:$BM697,,$BV$16)*$BW$16+
INDEX($A697:$BM697,,$BV$17)*$BW$17+
INDEX($A697:$BM697,,$BV$18)*$BW$18+
INDEX($A697:$BM697,,$BV$19)*$BW$19+
INDEX($A697:$BM697,,$BV$20)*$BW$20+
INDEX($A697:$BM697,,$BV$21)*$BW$21+
INDEX($A697:$BM697,,$BV$22)*$BW$22+
INDEX($A697:$BM697,,$BV$23)*$BW$23+
INDEX($A697:$BM697,,$BV$25)*$BW$25+
INDEX($A697:$BM697,,$BV$26)*$BW$26+
INDEX($A697:$BM697,,$BV$27)*$BW$27+
$BN697)),
$BN697-100)</f>
        <v>-100</v>
      </c>
      <c r="BB697" t="str">
        <f t="shared" si="139"/>
        <v>Tyler Kroft</v>
      </c>
      <c r="BC697" t="str">
        <f t="shared" si="133"/>
        <v>MIA</v>
      </c>
      <c r="BD697" s="430">
        <f>IFERROR(
IF(BB697="",-100,
IF($BV$2&gt;0, INDEX(Beersheet!$A:$U,MATCH(BB697,INDEX(Beersheet!$A:$U,0,FFARawStatProjections!$BV$2),0),$BV$3)+$BN697,
INDEX($A697:$BM697,,$BV$12)*$BW$12+
INDEX($A697:$BM697,,$BV$15)*$BW$15+
INDEX($A697:$BM697,,$BV$16)*$BW$16+
INDEX($A697:$BM697,,$BV$17)*$BW$17+
INDEX($A697:$BM697,,$BV$18)*$BW$18+
INDEX($A697:$BM697,,$BV$19)*$BW$19+
INDEX($A697:$BM697,,$BV$20)*$BW$20+
INDEX($A697:$BM697,,$BV$21)*$BW$21+
INDEX($A697:$BM697,,$BV$22)*$BW$22+
INDEX($A697:$BM697,,$BV$23)*$BW$23+
INDEX($A697:$BM697,,$BV$25)*$BW$25+
INDEX($A697:$BM697,,$BV$26)*$BW$26+
INDEX($A697:$BM697,,$BV$27)*$BW$27+
$BN697)),
$BN697-100)</f>
        <v>20.606960000000001</v>
      </c>
      <c r="BF697" t="str">
        <f t="shared" si="140"/>
        <v/>
      </c>
      <c r="BG697" t="str">
        <f t="shared" si="141"/>
        <v/>
      </c>
      <c r="BH697">
        <f t="shared" si="142"/>
        <v>0</v>
      </c>
      <c r="BJ697" t="str">
        <f t="shared" si="143"/>
        <v/>
      </c>
      <c r="BL697">
        <f t="shared" si="145"/>
        <v>0</v>
      </c>
      <c r="BN697">
        <v>6.96E-3</v>
      </c>
      <c r="BS697" s="4" t="s">
        <v>2561</v>
      </c>
    </row>
    <row r="698" spans="1:71" ht="15.75" thickBot="1" x14ac:dyDescent="0.3">
      <c r="A698" s="569" t="s">
        <v>2374</v>
      </c>
      <c r="B698" s="569" t="s">
        <v>164</v>
      </c>
      <c r="C698" s="569" t="s">
        <v>7</v>
      </c>
      <c r="D698" s="574">
        <v>7</v>
      </c>
      <c r="E698" s="569"/>
      <c r="F698" s="569"/>
      <c r="G698" s="569"/>
      <c r="H698" s="569"/>
      <c r="I698" s="574">
        <v>0</v>
      </c>
      <c r="J698" s="574">
        <v>0</v>
      </c>
      <c r="K698" s="574">
        <v>0</v>
      </c>
      <c r="L698" s="574">
        <v>6.2</v>
      </c>
      <c r="M698" s="574">
        <v>0.5</v>
      </c>
      <c r="N698" s="574">
        <v>100.2</v>
      </c>
      <c r="O698" s="574">
        <v>0</v>
      </c>
      <c r="P698" s="574">
        <v>0</v>
      </c>
      <c r="Q698" s="574">
        <v>0</v>
      </c>
      <c r="R698" s="569"/>
      <c r="S698" s="569"/>
      <c r="T698" s="569"/>
      <c r="U698" s="569"/>
      <c r="V698" s="569"/>
      <c r="W698" s="569"/>
      <c r="X698" s="569"/>
      <c r="Y698" s="569"/>
      <c r="Z698" s="569"/>
      <c r="AA698" s="569"/>
      <c r="AB698" s="569"/>
      <c r="AC698" s="569"/>
      <c r="AD698" s="569"/>
      <c r="AE698" s="569"/>
      <c r="AF698" s="569"/>
      <c r="AG698" s="569"/>
      <c r="AH698" s="569"/>
      <c r="AI698" s="569"/>
      <c r="AJ698" s="569"/>
      <c r="AK698" s="569"/>
      <c r="AL698" s="569"/>
      <c r="AM698" s="569"/>
      <c r="AN698" s="574">
        <v>13.1</v>
      </c>
      <c r="AO698">
        <v>697</v>
      </c>
      <c r="AP698" t="str">
        <f t="shared" si="144"/>
        <v/>
      </c>
      <c r="AQ698" t="str">
        <f t="shared" si="134"/>
        <v/>
      </c>
      <c r="AR698" s="430">
        <f>IFERROR(
IF(AP698="",-100,
IF($BV$2&gt;0, INDEX(Beersheet!$A:$U,MATCH(AP698,INDEX(Beersheet!$A:$U,0,FFARawStatProjections!$BV$2),0),$BV$3)+$BN698,
INDEX($A698:$BM698,,$BV$12)*$BW$12+
INDEX($A698:$BM698,,$BV$15)*$BW$15+
INDEX($A698:$BM698,,$BV$16)*$BW$16+
INDEX($A698:$BM698,,$BV$17)*$BW$17+
INDEX($A698:$BM698,,$BV$18)*$BW$18+
INDEX($A698:$BM698,,$BV$19)*$BW$19+
INDEX($A698:$BM698,,$BV$20)*$BW$20+
INDEX($A698:$BM698,,$BV$21)*$BW$21+
INDEX($A698:$BM698,,$BV$22)*$BW$22+
INDEX($A698:$BM698,,$BV$23)*$BW$23+
INDEX($A698:$BM698,,$BV$25)*$BW$25+
INDEX($A698:$BM698,,$BV$26)*$BW$26+
INDEX($A698:$BM698,,$BV$27)*$BW$27+
$BN698)),
$BN698-100)</f>
        <v>-100</v>
      </c>
      <c r="AT698" t="str">
        <f t="shared" si="135"/>
        <v/>
      </c>
      <c r="AU698" t="str">
        <f t="shared" si="136"/>
        <v/>
      </c>
      <c r="AV698" s="430">
        <f>IFERROR(
IF(AT698="",-100,
IF($BV$2&gt;0, INDEX(Beersheet!$A:$U,MATCH(AT698,INDEX(Beersheet!$A:$U,0,FFARawStatProjections!$BV$2),0),$BV$3)+$BN698,
INDEX($A698:$BM698,,$BV$12)*$BW$12+
INDEX($A698:$BM698,,$BV$15)*$BW$15+
INDEX($A698:$BM698,,$BV$16)*$BW$16+
INDEX($A698:$BM698,,$BV$17)*$BW$17+
INDEX($A698:$BM698,,$BV$18)*$BW$18+
INDEX($A698:$BM698,,$BV$19)*$BW$19+
INDEX($A698:$BM698,,$BV$20)*$BW$20+
INDEX($A698:$BM698,,$BV$21)*$BW$21+
INDEX($A698:$BM698,,$BV$22)*$BW$22+
INDEX($A698:$BM698,,$BV$23)*$BW$23+
INDEX($A698:$BM698,,$BV$25)*$BW$25+
INDEX($A698:$BM698,,$BV$26)*$BW$26+
INDEX($A698:$BM698,,$BV$27)*$BW$27+
$BN698)),
$BN698-100)</f>
        <v>-100</v>
      </c>
      <c r="AX698" t="str">
        <f t="shared" si="137"/>
        <v/>
      </c>
      <c r="AY698" t="str">
        <f t="shared" si="138"/>
        <v/>
      </c>
      <c r="AZ698" s="430">
        <f>IFERROR(
IF(AX698="",-100,
IF($BV$2&gt;0, INDEX(Beersheet!$A:$U,MATCH(AX698,INDEX(Beersheet!$A:$U,0,FFARawStatProjections!$BV$2),0),$BV$3)+$BN698,
INDEX($A698:$BM698,,$BV$12)*$BW$12+
INDEX($A698:$BM698,,$BV$15)*$BW$15+
INDEX($A698:$BM698,,$BV$16)*$BW$16+
INDEX($A698:$BM698,,$BV$17)*$BW$17+
INDEX($A698:$BM698,,$BV$18)*$BW$18+
INDEX($A698:$BM698,,$BV$19)*$BW$19+
INDEX($A698:$BM698,,$BV$20)*$BW$20+
INDEX($A698:$BM698,,$BV$21)*$BW$21+
INDEX($A698:$BM698,,$BV$22)*$BW$22+
INDEX($A698:$BM698,,$BV$23)*$BW$23+
INDEX($A698:$BM698,,$BV$25)*$BW$25+
INDEX($A698:$BM698,,$BV$26)*$BW$26+
INDEX($A698:$BM698,,$BV$27)*$BW$27+
$BN698)),
$BN698-100)</f>
        <v>-100</v>
      </c>
      <c r="BB698" t="str">
        <f t="shared" si="139"/>
        <v>Jeremy Ruckert</v>
      </c>
      <c r="BC698" t="str">
        <f t="shared" si="133"/>
        <v>NYJ</v>
      </c>
      <c r="BD698" s="430">
        <f>IFERROR(
IF(BB698="",-100,
IF($BV$2&gt;0, INDEX(Beersheet!$A:$U,MATCH(BB698,INDEX(Beersheet!$A:$U,0,FFARawStatProjections!$BV$2),0),$BV$3)+$BN698,
INDEX($A698:$BM698,,$BV$12)*$BW$12+
INDEX($A698:$BM698,,$BV$15)*$BW$15+
INDEX($A698:$BM698,,$BV$16)*$BW$16+
INDEX($A698:$BM698,,$BV$17)*$BW$17+
INDEX($A698:$BM698,,$BV$18)*$BW$18+
INDEX($A698:$BM698,,$BV$19)*$BW$19+
INDEX($A698:$BM698,,$BV$20)*$BW$20+
INDEX($A698:$BM698,,$BV$21)*$BW$21+
INDEX($A698:$BM698,,$BV$22)*$BW$22+
INDEX($A698:$BM698,,$BV$23)*$BW$23+
INDEX($A698:$BM698,,$BV$25)*$BW$25+
INDEX($A698:$BM698,,$BV$26)*$BW$26+
INDEX($A698:$BM698,,$BV$27)*$BW$27+
$BN698)),
$BN698-100)</f>
        <v>19.226969999999998</v>
      </c>
      <c r="BF698" t="str">
        <f t="shared" si="140"/>
        <v/>
      </c>
      <c r="BG698" t="str">
        <f t="shared" si="141"/>
        <v/>
      </c>
      <c r="BH698">
        <f t="shared" si="142"/>
        <v>0</v>
      </c>
      <c r="BJ698" t="str">
        <f t="shared" si="143"/>
        <v/>
      </c>
      <c r="BL698">
        <f t="shared" si="145"/>
        <v>0</v>
      </c>
      <c r="BN698">
        <v>6.9699999999999996E-3</v>
      </c>
      <c r="BS698" s="4" t="s">
        <v>1267</v>
      </c>
    </row>
    <row r="699" spans="1:71" ht="15.75" thickBot="1" x14ac:dyDescent="0.3">
      <c r="A699" s="569" t="s">
        <v>2378</v>
      </c>
      <c r="B699" s="569" t="s">
        <v>137</v>
      </c>
      <c r="C699" s="569" t="s">
        <v>7</v>
      </c>
      <c r="D699" s="574">
        <v>10</v>
      </c>
      <c r="E699" s="569"/>
      <c r="F699" s="569"/>
      <c r="G699" s="569"/>
      <c r="H699" s="569"/>
      <c r="I699" s="574">
        <v>0</v>
      </c>
      <c r="J699" s="574">
        <v>0</v>
      </c>
      <c r="K699" s="574">
        <v>0</v>
      </c>
      <c r="L699" s="574">
        <v>10</v>
      </c>
      <c r="M699" s="574">
        <v>0.4</v>
      </c>
      <c r="N699" s="574">
        <v>105.8</v>
      </c>
      <c r="O699" s="574">
        <v>0</v>
      </c>
      <c r="P699" s="574">
        <v>0</v>
      </c>
      <c r="Q699" s="574">
        <v>0</v>
      </c>
      <c r="R699" s="569"/>
      <c r="S699" s="569"/>
      <c r="T699" s="569"/>
      <c r="U699" s="569"/>
      <c r="V699" s="569"/>
      <c r="W699" s="569"/>
      <c r="X699" s="569"/>
      <c r="Y699" s="569"/>
      <c r="Z699" s="569"/>
      <c r="AA699" s="569"/>
      <c r="AB699" s="569"/>
      <c r="AC699" s="569"/>
      <c r="AD699" s="569"/>
      <c r="AE699" s="569"/>
      <c r="AF699" s="569"/>
      <c r="AG699" s="569"/>
      <c r="AH699" s="569"/>
      <c r="AI699" s="569"/>
      <c r="AJ699" s="569"/>
      <c r="AK699" s="569"/>
      <c r="AL699" s="569"/>
      <c r="AM699" s="569"/>
      <c r="AN699" s="574">
        <v>13.1</v>
      </c>
      <c r="AO699">
        <v>698</v>
      </c>
      <c r="AP699" t="str">
        <f t="shared" si="144"/>
        <v/>
      </c>
      <c r="AQ699" t="str">
        <f t="shared" si="134"/>
        <v/>
      </c>
      <c r="AR699" s="430">
        <f>IFERROR(
IF(AP699="",-100,
IF($BV$2&gt;0, INDEX(Beersheet!$A:$U,MATCH(AP699,INDEX(Beersheet!$A:$U,0,FFARawStatProjections!$BV$2),0),$BV$3)+$BN699,
INDEX($A699:$BM699,,$BV$12)*$BW$12+
INDEX($A699:$BM699,,$BV$15)*$BW$15+
INDEX($A699:$BM699,,$BV$16)*$BW$16+
INDEX($A699:$BM699,,$BV$17)*$BW$17+
INDEX($A699:$BM699,,$BV$18)*$BW$18+
INDEX($A699:$BM699,,$BV$19)*$BW$19+
INDEX($A699:$BM699,,$BV$20)*$BW$20+
INDEX($A699:$BM699,,$BV$21)*$BW$21+
INDEX($A699:$BM699,,$BV$22)*$BW$22+
INDEX($A699:$BM699,,$BV$23)*$BW$23+
INDEX($A699:$BM699,,$BV$25)*$BW$25+
INDEX($A699:$BM699,,$BV$26)*$BW$26+
INDEX($A699:$BM699,,$BV$27)*$BW$27+
$BN699)),
$BN699-100)</f>
        <v>-100</v>
      </c>
      <c r="AT699" t="str">
        <f t="shared" si="135"/>
        <v/>
      </c>
      <c r="AU699" t="str">
        <f t="shared" si="136"/>
        <v/>
      </c>
      <c r="AV699" s="430">
        <f>IFERROR(
IF(AT699="",-100,
IF($BV$2&gt;0, INDEX(Beersheet!$A:$U,MATCH(AT699,INDEX(Beersheet!$A:$U,0,FFARawStatProjections!$BV$2),0),$BV$3)+$BN699,
INDEX($A699:$BM699,,$BV$12)*$BW$12+
INDEX($A699:$BM699,,$BV$15)*$BW$15+
INDEX($A699:$BM699,,$BV$16)*$BW$16+
INDEX($A699:$BM699,,$BV$17)*$BW$17+
INDEX($A699:$BM699,,$BV$18)*$BW$18+
INDEX($A699:$BM699,,$BV$19)*$BW$19+
INDEX($A699:$BM699,,$BV$20)*$BW$20+
INDEX($A699:$BM699,,$BV$21)*$BW$21+
INDEX($A699:$BM699,,$BV$22)*$BW$22+
INDEX($A699:$BM699,,$BV$23)*$BW$23+
INDEX($A699:$BM699,,$BV$25)*$BW$25+
INDEX($A699:$BM699,,$BV$26)*$BW$26+
INDEX($A699:$BM699,,$BV$27)*$BW$27+
$BN699)),
$BN699-100)</f>
        <v>-100</v>
      </c>
      <c r="AX699" t="str">
        <f t="shared" si="137"/>
        <v/>
      </c>
      <c r="AY699" t="str">
        <f t="shared" si="138"/>
        <v/>
      </c>
      <c r="AZ699" s="430">
        <f>IFERROR(
IF(AX699="",-100,
IF($BV$2&gt;0, INDEX(Beersheet!$A:$U,MATCH(AX699,INDEX(Beersheet!$A:$U,0,FFARawStatProjections!$BV$2),0),$BV$3)+$BN699,
INDEX($A699:$BM699,,$BV$12)*$BW$12+
INDEX($A699:$BM699,,$BV$15)*$BW$15+
INDEX($A699:$BM699,,$BV$16)*$BW$16+
INDEX($A699:$BM699,,$BV$17)*$BW$17+
INDEX($A699:$BM699,,$BV$18)*$BW$18+
INDEX($A699:$BM699,,$BV$19)*$BW$19+
INDEX($A699:$BM699,,$BV$20)*$BW$20+
INDEX($A699:$BM699,,$BV$21)*$BW$21+
INDEX($A699:$BM699,,$BV$22)*$BW$22+
INDEX($A699:$BM699,,$BV$23)*$BW$23+
INDEX($A699:$BM699,,$BV$25)*$BW$25+
INDEX($A699:$BM699,,$BV$26)*$BW$26+
INDEX($A699:$BM699,,$BV$27)*$BW$27+
$BN699)),
$BN699-100)</f>
        <v>-100</v>
      </c>
      <c r="BB699" t="str">
        <f t="shared" si="139"/>
        <v>Jack Stoll</v>
      </c>
      <c r="BC699" t="str">
        <f t="shared" si="133"/>
        <v>PHI</v>
      </c>
      <c r="BD699" s="430">
        <f>IFERROR(
IF(BB699="",-100,
IF($BV$2&gt;0, INDEX(Beersheet!$A:$U,MATCH(BB699,INDEX(Beersheet!$A:$U,0,FFARawStatProjections!$BV$2),0),$BV$3)+$BN699,
INDEX($A699:$BM699,,$BV$12)*$BW$12+
INDEX($A699:$BM699,,$BV$15)*$BW$15+
INDEX($A699:$BM699,,$BV$16)*$BW$16+
INDEX($A699:$BM699,,$BV$17)*$BW$17+
INDEX($A699:$BM699,,$BV$18)*$BW$18+
INDEX($A699:$BM699,,$BV$19)*$BW$19+
INDEX($A699:$BM699,,$BV$20)*$BW$20+
INDEX($A699:$BM699,,$BV$21)*$BW$21+
INDEX($A699:$BM699,,$BV$22)*$BW$22+
INDEX($A699:$BM699,,$BV$23)*$BW$23+
INDEX($A699:$BM699,,$BV$25)*$BW$25+
INDEX($A699:$BM699,,$BV$26)*$BW$26+
INDEX($A699:$BM699,,$BV$27)*$BW$27+
$BN699)),
$BN699-100)</f>
        <v>22.986979999999999</v>
      </c>
      <c r="BF699" t="str">
        <f t="shared" si="140"/>
        <v/>
      </c>
      <c r="BG699" t="str">
        <f t="shared" si="141"/>
        <v/>
      </c>
      <c r="BH699">
        <f t="shared" si="142"/>
        <v>0</v>
      </c>
      <c r="BJ699" t="str">
        <f t="shared" si="143"/>
        <v/>
      </c>
      <c r="BL699">
        <f t="shared" si="145"/>
        <v>0</v>
      </c>
      <c r="BN699">
        <v>6.9800000000000001E-3</v>
      </c>
      <c r="BS699" s="4" t="s">
        <v>2300</v>
      </c>
    </row>
    <row r="700" spans="1:71" ht="15.75" thickBot="1" x14ac:dyDescent="0.3">
      <c r="A700" s="569" t="s">
        <v>2260</v>
      </c>
      <c r="B700" s="569" t="s">
        <v>147</v>
      </c>
      <c r="C700" s="569" t="s">
        <v>7</v>
      </c>
      <c r="D700" s="574">
        <v>6</v>
      </c>
      <c r="E700" s="569"/>
      <c r="F700" s="569"/>
      <c r="G700" s="569"/>
      <c r="H700" s="569"/>
      <c r="I700" s="574">
        <v>0</v>
      </c>
      <c r="J700" s="574">
        <v>0</v>
      </c>
      <c r="K700" s="574">
        <v>0</v>
      </c>
      <c r="L700" s="574">
        <v>10.6</v>
      </c>
      <c r="M700" s="574">
        <v>0.5</v>
      </c>
      <c r="N700" s="574">
        <v>94.2</v>
      </c>
      <c r="O700" s="574">
        <v>0</v>
      </c>
      <c r="P700" s="574">
        <v>0</v>
      </c>
      <c r="Q700" s="574">
        <v>0</v>
      </c>
      <c r="R700" s="569"/>
      <c r="S700" s="569"/>
      <c r="T700" s="569"/>
      <c r="U700" s="569"/>
      <c r="V700" s="569"/>
      <c r="W700" s="569"/>
      <c r="X700" s="569"/>
      <c r="Y700" s="569"/>
      <c r="Z700" s="569"/>
      <c r="AA700" s="569"/>
      <c r="AB700" s="569"/>
      <c r="AC700" s="569"/>
      <c r="AD700" s="569"/>
      <c r="AE700" s="569"/>
      <c r="AF700" s="569"/>
      <c r="AG700" s="569"/>
      <c r="AH700" s="569"/>
      <c r="AI700" s="569"/>
      <c r="AJ700" s="569"/>
      <c r="AK700" s="569"/>
      <c r="AL700" s="569"/>
      <c r="AM700" s="569"/>
      <c r="AN700" s="574">
        <v>12.6</v>
      </c>
      <c r="AO700">
        <v>699</v>
      </c>
      <c r="AP700" t="str">
        <f t="shared" si="144"/>
        <v/>
      </c>
      <c r="AQ700" t="str">
        <f t="shared" si="134"/>
        <v/>
      </c>
      <c r="AR700" s="430">
        <f>IFERROR(
IF(AP700="",-100,
IF($BV$2&gt;0, INDEX(Beersheet!$A:$U,MATCH(AP700,INDEX(Beersheet!$A:$U,0,FFARawStatProjections!$BV$2),0),$BV$3)+$BN700,
INDEX($A700:$BM700,,$BV$12)*$BW$12+
INDEX($A700:$BM700,,$BV$15)*$BW$15+
INDEX($A700:$BM700,,$BV$16)*$BW$16+
INDEX($A700:$BM700,,$BV$17)*$BW$17+
INDEX($A700:$BM700,,$BV$18)*$BW$18+
INDEX($A700:$BM700,,$BV$19)*$BW$19+
INDEX($A700:$BM700,,$BV$20)*$BW$20+
INDEX($A700:$BM700,,$BV$21)*$BW$21+
INDEX($A700:$BM700,,$BV$22)*$BW$22+
INDEX($A700:$BM700,,$BV$23)*$BW$23+
INDEX($A700:$BM700,,$BV$25)*$BW$25+
INDEX($A700:$BM700,,$BV$26)*$BW$26+
INDEX($A700:$BM700,,$BV$27)*$BW$27+
$BN700)),
$BN700-100)</f>
        <v>-100</v>
      </c>
      <c r="AT700" t="str">
        <f t="shared" si="135"/>
        <v/>
      </c>
      <c r="AU700" t="str">
        <f t="shared" si="136"/>
        <v/>
      </c>
      <c r="AV700" s="430">
        <f>IFERROR(
IF(AT700="",-100,
IF($BV$2&gt;0, INDEX(Beersheet!$A:$U,MATCH(AT700,INDEX(Beersheet!$A:$U,0,FFARawStatProjections!$BV$2),0),$BV$3)+$BN700,
INDEX($A700:$BM700,,$BV$12)*$BW$12+
INDEX($A700:$BM700,,$BV$15)*$BW$15+
INDEX($A700:$BM700,,$BV$16)*$BW$16+
INDEX($A700:$BM700,,$BV$17)*$BW$17+
INDEX($A700:$BM700,,$BV$18)*$BW$18+
INDEX($A700:$BM700,,$BV$19)*$BW$19+
INDEX($A700:$BM700,,$BV$20)*$BW$20+
INDEX($A700:$BM700,,$BV$21)*$BW$21+
INDEX($A700:$BM700,,$BV$22)*$BW$22+
INDEX($A700:$BM700,,$BV$23)*$BW$23+
INDEX($A700:$BM700,,$BV$25)*$BW$25+
INDEX($A700:$BM700,,$BV$26)*$BW$26+
INDEX($A700:$BM700,,$BV$27)*$BW$27+
$BN700)),
$BN700-100)</f>
        <v>-100</v>
      </c>
      <c r="AX700" t="str">
        <f t="shared" si="137"/>
        <v/>
      </c>
      <c r="AY700" t="str">
        <f t="shared" si="138"/>
        <v/>
      </c>
      <c r="AZ700" s="430">
        <f>IFERROR(
IF(AX700="",-100,
IF($BV$2&gt;0, INDEX(Beersheet!$A:$U,MATCH(AX700,INDEX(Beersheet!$A:$U,0,FFARawStatProjections!$BV$2),0),$BV$3)+$BN700,
INDEX($A700:$BM700,,$BV$12)*$BW$12+
INDEX($A700:$BM700,,$BV$15)*$BW$15+
INDEX($A700:$BM700,,$BV$16)*$BW$16+
INDEX($A700:$BM700,,$BV$17)*$BW$17+
INDEX($A700:$BM700,,$BV$18)*$BW$18+
INDEX($A700:$BM700,,$BV$19)*$BW$19+
INDEX($A700:$BM700,,$BV$20)*$BW$20+
INDEX($A700:$BM700,,$BV$21)*$BW$21+
INDEX($A700:$BM700,,$BV$22)*$BW$22+
INDEX($A700:$BM700,,$BV$23)*$BW$23+
INDEX($A700:$BM700,,$BV$25)*$BW$25+
INDEX($A700:$BM700,,$BV$26)*$BW$26+
INDEX($A700:$BM700,,$BV$27)*$BW$27+
$BN700)),
$BN700-100)</f>
        <v>-100</v>
      </c>
      <c r="BB700" t="str">
        <f t="shared" si="139"/>
        <v>Zach Gentry</v>
      </c>
      <c r="BC700" t="str">
        <f t="shared" si="133"/>
        <v>PIT</v>
      </c>
      <c r="BD700" s="430">
        <f>IFERROR(
IF(BB700="",-100,
IF($BV$2&gt;0, INDEX(Beersheet!$A:$U,MATCH(BB700,INDEX(Beersheet!$A:$U,0,FFARawStatProjections!$BV$2),0),$BV$3)+$BN700,
INDEX($A700:$BM700,,$BV$12)*$BW$12+
INDEX($A700:$BM700,,$BV$15)*$BW$15+
INDEX($A700:$BM700,,$BV$16)*$BW$16+
INDEX($A700:$BM700,,$BV$17)*$BW$17+
INDEX($A700:$BM700,,$BV$18)*$BW$18+
INDEX($A700:$BM700,,$BV$19)*$BW$19+
INDEX($A700:$BM700,,$BV$20)*$BW$20+
INDEX($A700:$BM700,,$BV$21)*$BW$21+
INDEX($A700:$BM700,,$BV$22)*$BW$22+
INDEX($A700:$BM700,,$BV$23)*$BW$23+
INDEX($A700:$BM700,,$BV$25)*$BW$25+
INDEX($A700:$BM700,,$BV$26)*$BW$26+
INDEX($A700:$BM700,,$BV$27)*$BW$27+
$BN700)),
$BN700-100)</f>
        <v>23.026989999999998</v>
      </c>
      <c r="BF700" t="str">
        <f t="shared" si="140"/>
        <v/>
      </c>
      <c r="BG700" t="str">
        <f t="shared" si="141"/>
        <v/>
      </c>
      <c r="BH700">
        <f t="shared" si="142"/>
        <v>0</v>
      </c>
      <c r="BJ700" t="str">
        <f t="shared" si="143"/>
        <v/>
      </c>
      <c r="BL700">
        <f t="shared" si="145"/>
        <v>0</v>
      </c>
      <c r="BN700">
        <v>6.9899999999999997E-3</v>
      </c>
      <c r="BS700" s="4" t="s">
        <v>180</v>
      </c>
    </row>
    <row r="701" spans="1:71" ht="15.75" thickBot="1" x14ac:dyDescent="0.3">
      <c r="A701" s="569" t="s">
        <v>224</v>
      </c>
      <c r="B701" s="569" t="s">
        <v>141</v>
      </c>
      <c r="C701" s="569" t="s">
        <v>7</v>
      </c>
      <c r="D701" s="574">
        <v>13</v>
      </c>
      <c r="E701" s="569"/>
      <c r="F701" s="569"/>
      <c r="G701" s="569"/>
      <c r="H701" s="569"/>
      <c r="I701" s="574">
        <v>0</v>
      </c>
      <c r="J701" s="574">
        <v>0</v>
      </c>
      <c r="K701" s="574">
        <v>0</v>
      </c>
      <c r="L701" s="574">
        <v>8</v>
      </c>
      <c r="M701" s="574">
        <v>1.1000000000000001</v>
      </c>
      <c r="N701" s="574">
        <v>59.3</v>
      </c>
      <c r="O701" s="574">
        <v>0</v>
      </c>
      <c r="P701" s="574">
        <v>0</v>
      </c>
      <c r="Q701" s="574">
        <v>0</v>
      </c>
      <c r="R701" s="569"/>
      <c r="S701" s="569"/>
      <c r="T701" s="569"/>
      <c r="U701" s="569"/>
      <c r="V701" s="569"/>
      <c r="W701" s="569"/>
      <c r="X701" s="569"/>
      <c r="Y701" s="569"/>
      <c r="Z701" s="569"/>
      <c r="AA701" s="569"/>
      <c r="AB701" s="569"/>
      <c r="AC701" s="569"/>
      <c r="AD701" s="569"/>
      <c r="AE701" s="569"/>
      <c r="AF701" s="569"/>
      <c r="AG701" s="569"/>
      <c r="AH701" s="569"/>
      <c r="AI701" s="569"/>
      <c r="AJ701" s="569"/>
      <c r="AK701" s="569"/>
      <c r="AL701" s="569"/>
      <c r="AM701" s="569"/>
      <c r="AN701" s="574">
        <v>12.4</v>
      </c>
      <c r="AO701">
        <v>700</v>
      </c>
      <c r="AP701" t="str">
        <f t="shared" si="144"/>
        <v/>
      </c>
      <c r="AQ701" t="str">
        <f t="shared" si="134"/>
        <v/>
      </c>
      <c r="AR701" s="430">
        <f>IFERROR(
IF(AP701="",-100,
IF($BV$2&gt;0, INDEX(Beersheet!$A:$U,MATCH(AP701,INDEX(Beersheet!$A:$U,0,FFARawStatProjections!$BV$2),0),$BV$3)+$BN701,
INDEX($A701:$BM701,,$BV$12)*$BW$12+
INDEX($A701:$BM701,,$BV$15)*$BW$15+
INDEX($A701:$BM701,,$BV$16)*$BW$16+
INDEX($A701:$BM701,,$BV$17)*$BW$17+
INDEX($A701:$BM701,,$BV$18)*$BW$18+
INDEX($A701:$BM701,,$BV$19)*$BW$19+
INDEX($A701:$BM701,,$BV$20)*$BW$20+
INDEX($A701:$BM701,,$BV$21)*$BW$21+
INDEX($A701:$BM701,,$BV$22)*$BW$22+
INDEX($A701:$BM701,,$BV$23)*$BW$23+
INDEX($A701:$BM701,,$BV$25)*$BW$25+
INDEX($A701:$BM701,,$BV$26)*$BW$26+
INDEX($A701:$BM701,,$BV$27)*$BW$27+
$BN701)),
$BN701-100)</f>
        <v>-100</v>
      </c>
      <c r="AT701" t="str">
        <f t="shared" si="135"/>
        <v/>
      </c>
      <c r="AU701" t="str">
        <f t="shared" si="136"/>
        <v/>
      </c>
      <c r="AV701" s="430">
        <f>IFERROR(
IF(AT701="",-100,
IF($BV$2&gt;0, INDEX(Beersheet!$A:$U,MATCH(AT701,INDEX(Beersheet!$A:$U,0,FFARawStatProjections!$BV$2),0),$BV$3)+$BN701,
INDEX($A701:$BM701,,$BV$12)*$BW$12+
INDEX($A701:$BM701,,$BV$15)*$BW$15+
INDEX($A701:$BM701,,$BV$16)*$BW$16+
INDEX($A701:$BM701,,$BV$17)*$BW$17+
INDEX($A701:$BM701,,$BV$18)*$BW$18+
INDEX($A701:$BM701,,$BV$19)*$BW$19+
INDEX($A701:$BM701,,$BV$20)*$BW$20+
INDEX($A701:$BM701,,$BV$21)*$BW$21+
INDEX($A701:$BM701,,$BV$22)*$BW$22+
INDEX($A701:$BM701,,$BV$23)*$BW$23+
INDEX($A701:$BM701,,$BV$25)*$BW$25+
INDEX($A701:$BM701,,$BV$26)*$BW$26+
INDEX($A701:$BM701,,$BV$27)*$BW$27+
$BN701)),
$BN701-100)</f>
        <v>-100</v>
      </c>
      <c r="AX701" t="str">
        <f t="shared" si="137"/>
        <v/>
      </c>
      <c r="AY701" t="str">
        <f t="shared" si="138"/>
        <v/>
      </c>
      <c r="AZ701" s="430">
        <f>IFERROR(
IF(AX701="",-100,
IF($BV$2&gt;0, INDEX(Beersheet!$A:$U,MATCH(AX701,INDEX(Beersheet!$A:$U,0,FFARawStatProjections!$BV$2),0),$BV$3)+$BN701,
INDEX($A701:$BM701,,$BV$12)*$BW$12+
INDEX($A701:$BM701,,$BV$15)*$BW$15+
INDEX($A701:$BM701,,$BV$16)*$BW$16+
INDEX($A701:$BM701,,$BV$17)*$BW$17+
INDEX($A701:$BM701,,$BV$18)*$BW$18+
INDEX($A701:$BM701,,$BV$19)*$BW$19+
INDEX($A701:$BM701,,$BV$20)*$BW$20+
INDEX($A701:$BM701,,$BV$21)*$BW$21+
INDEX($A701:$BM701,,$BV$22)*$BW$22+
INDEX($A701:$BM701,,$BV$23)*$BW$23+
INDEX($A701:$BM701,,$BV$25)*$BW$25+
INDEX($A701:$BM701,,$BV$26)*$BW$26+
INDEX($A701:$BM701,,$BV$27)*$BW$27+
$BN701)),
$BN701-100)</f>
        <v>-100</v>
      </c>
      <c r="BB701" t="str">
        <f t="shared" si="139"/>
        <v>Marcedes Lewis</v>
      </c>
      <c r="BC701" t="str">
        <f t="shared" si="133"/>
        <v>CHI</v>
      </c>
      <c r="BD701" s="430">
        <f>IFERROR(
IF(BB701="",-100,
IF($BV$2&gt;0, INDEX(Beersheet!$A:$U,MATCH(BB701,INDEX(Beersheet!$A:$U,0,FFARawStatProjections!$BV$2),0),$BV$3)+$BN701,
INDEX($A701:$BM701,,$BV$12)*$BW$12+
INDEX($A701:$BM701,,$BV$15)*$BW$15+
INDEX($A701:$BM701,,$BV$16)*$BW$16+
INDEX($A701:$BM701,,$BV$17)*$BW$17+
INDEX($A701:$BM701,,$BV$18)*$BW$18+
INDEX($A701:$BM701,,$BV$19)*$BW$19+
INDEX($A701:$BM701,,$BV$20)*$BW$20+
INDEX($A701:$BM701,,$BV$21)*$BW$21+
INDEX($A701:$BM701,,$BV$22)*$BW$22+
INDEX($A701:$BM701,,$BV$23)*$BW$23+
INDEX($A701:$BM701,,$BV$25)*$BW$25+
INDEX($A701:$BM701,,$BV$26)*$BW$26+
INDEX($A701:$BM701,,$BV$27)*$BW$27+
$BN701)),
$BN701-100)</f>
        <v>20.537000000000003</v>
      </c>
      <c r="BF701" t="str">
        <f t="shared" si="140"/>
        <v/>
      </c>
      <c r="BG701" t="str">
        <f t="shared" si="141"/>
        <v/>
      </c>
      <c r="BH701">
        <f t="shared" si="142"/>
        <v>0</v>
      </c>
      <c r="BJ701" t="str">
        <f t="shared" si="143"/>
        <v/>
      </c>
      <c r="BL701">
        <f t="shared" si="145"/>
        <v>0</v>
      </c>
      <c r="BN701">
        <v>7.0000000000000001E-3</v>
      </c>
      <c r="BS701" s="4" t="s">
        <v>2303</v>
      </c>
    </row>
    <row r="702" spans="1:71" ht="15.75" thickBot="1" x14ac:dyDescent="0.3">
      <c r="A702" s="569" t="s">
        <v>2379</v>
      </c>
      <c r="B702" s="569" t="s">
        <v>159</v>
      </c>
      <c r="C702" s="569" t="s">
        <v>7</v>
      </c>
      <c r="D702" s="574">
        <v>7</v>
      </c>
      <c r="E702" s="569"/>
      <c r="F702" s="569"/>
      <c r="G702" s="569"/>
      <c r="H702" s="569"/>
      <c r="I702" s="574">
        <v>0</v>
      </c>
      <c r="J702" s="574">
        <v>0</v>
      </c>
      <c r="K702" s="574">
        <v>0</v>
      </c>
      <c r="L702" s="574">
        <v>8.8000000000000007</v>
      </c>
      <c r="M702" s="574">
        <v>0.5</v>
      </c>
      <c r="N702" s="574">
        <v>91</v>
      </c>
      <c r="O702" s="574">
        <v>0</v>
      </c>
      <c r="P702" s="574">
        <v>0</v>
      </c>
      <c r="Q702" s="574">
        <v>0</v>
      </c>
      <c r="R702" s="569"/>
      <c r="S702" s="569"/>
      <c r="T702" s="569"/>
      <c r="U702" s="569"/>
      <c r="V702" s="569"/>
      <c r="W702" s="569"/>
      <c r="X702" s="569"/>
      <c r="Y702" s="569"/>
      <c r="Z702" s="569"/>
      <c r="AA702" s="569"/>
      <c r="AB702" s="569"/>
      <c r="AC702" s="569"/>
      <c r="AD702" s="569"/>
      <c r="AE702" s="569"/>
      <c r="AF702" s="569"/>
      <c r="AG702" s="569"/>
      <c r="AH702" s="569"/>
      <c r="AI702" s="569"/>
      <c r="AJ702" s="569"/>
      <c r="AK702" s="569"/>
      <c r="AL702" s="569"/>
      <c r="AM702" s="569"/>
      <c r="AN702" s="574">
        <v>12.3</v>
      </c>
      <c r="AO702">
        <v>701</v>
      </c>
      <c r="AP702" t="str">
        <f t="shared" ref="AP702:AP765" si="146">IF($C702="QB",A702,"")</f>
        <v/>
      </c>
      <c r="AQ702" t="str">
        <f t="shared" ref="AQ702:AQ765" si="147">IFERROR(IF(AP702="","",$B702),"")</f>
        <v/>
      </c>
      <c r="AR702" s="430">
        <f>IFERROR(
IF(AP702="",-100,
IF($BV$2&gt;0, INDEX(Beersheet!$A:$U,MATCH(AP702,INDEX(Beersheet!$A:$U,0,FFARawStatProjections!$BV$2),0),$BV$3)+$BN702,
INDEX($A702:$BM702,,$BV$12)*$BW$12+
INDEX($A702:$BM702,,$BV$15)*$BW$15+
INDEX($A702:$BM702,,$BV$16)*$BW$16+
INDEX($A702:$BM702,,$BV$17)*$BW$17+
INDEX($A702:$BM702,,$BV$18)*$BW$18+
INDEX($A702:$BM702,,$BV$19)*$BW$19+
INDEX($A702:$BM702,,$BV$20)*$BW$20+
INDEX($A702:$BM702,,$BV$21)*$BW$21+
INDEX($A702:$BM702,,$BV$22)*$BW$22+
INDEX($A702:$BM702,,$BV$23)*$BW$23+
INDEX($A702:$BM702,,$BV$25)*$BW$25+
INDEX($A702:$BM702,,$BV$26)*$BW$26+
INDEX($A702:$BM702,,$BV$27)*$BW$27+
$BN702)),
$BN702-100)</f>
        <v>-100</v>
      </c>
      <c r="AT702" t="str">
        <f t="shared" si="135"/>
        <v/>
      </c>
      <c r="AU702" t="str">
        <f t="shared" ref="AU702:AU765" si="148">IFERROR(IF(AT702="","",$B702),"")</f>
        <v/>
      </c>
      <c r="AV702" s="430">
        <f>IFERROR(
IF(AT702="",-100,
IF($BV$2&gt;0, INDEX(Beersheet!$A:$U,MATCH(AT702,INDEX(Beersheet!$A:$U,0,FFARawStatProjections!$BV$2),0),$BV$3)+$BN702,
INDEX($A702:$BM702,,$BV$12)*$BW$12+
INDEX($A702:$BM702,,$BV$15)*$BW$15+
INDEX($A702:$BM702,,$BV$16)*$BW$16+
INDEX($A702:$BM702,,$BV$17)*$BW$17+
INDEX($A702:$BM702,,$BV$18)*$BW$18+
INDEX($A702:$BM702,,$BV$19)*$BW$19+
INDEX($A702:$BM702,,$BV$20)*$BW$20+
INDEX($A702:$BM702,,$BV$21)*$BW$21+
INDEX($A702:$BM702,,$BV$22)*$BW$22+
INDEX($A702:$BM702,,$BV$23)*$BW$23+
INDEX($A702:$BM702,,$BV$25)*$BW$25+
INDEX($A702:$BM702,,$BV$26)*$BW$26+
INDEX($A702:$BM702,,$BV$27)*$BW$27+
$BN702)),
$BN702-100)</f>
        <v>-100</v>
      </c>
      <c r="AX702" t="str">
        <f t="shared" si="137"/>
        <v/>
      </c>
      <c r="AY702" t="str">
        <f t="shared" ref="AY702:AY765" si="149">IFERROR(IF(AX702="","",$B702),"")</f>
        <v/>
      </c>
      <c r="AZ702" s="430">
        <f>IFERROR(
IF(AX702="",-100,
IF($BV$2&gt;0, INDEX(Beersheet!$A:$U,MATCH(AX702,INDEX(Beersheet!$A:$U,0,FFARawStatProjections!$BV$2),0),$BV$3)+$BN702,
INDEX($A702:$BM702,,$BV$12)*$BW$12+
INDEX($A702:$BM702,,$BV$15)*$BW$15+
INDEX($A702:$BM702,,$BV$16)*$BW$16+
INDEX($A702:$BM702,,$BV$17)*$BW$17+
INDEX($A702:$BM702,,$BV$18)*$BW$18+
INDEX($A702:$BM702,,$BV$19)*$BW$19+
INDEX($A702:$BM702,,$BV$20)*$BW$20+
INDEX($A702:$BM702,,$BV$21)*$BW$21+
INDEX($A702:$BM702,,$BV$22)*$BW$22+
INDEX($A702:$BM702,,$BV$23)*$BW$23+
INDEX($A702:$BM702,,$BV$25)*$BW$25+
INDEX($A702:$BM702,,$BV$26)*$BW$26+
INDEX($A702:$BM702,,$BV$27)*$BW$27+
$BN702)),
$BN702-100)</f>
        <v>-100</v>
      </c>
      <c r="BB702" t="str">
        <f t="shared" si="139"/>
        <v>Stephen Sullivan</v>
      </c>
      <c r="BC702" t="str">
        <f t="shared" ref="BC702:BC765" si="150">IFERROR(IF(BB702="","",$B702),"")</f>
        <v>CAR</v>
      </c>
      <c r="BD702" s="430">
        <f>IFERROR(
IF(BB702="",-100,
IF($BV$2&gt;0, INDEX(Beersheet!$A:$U,MATCH(BB702,INDEX(Beersheet!$A:$U,0,FFARawStatProjections!$BV$2),0),$BV$3)+$BN702,
INDEX($A702:$BM702,,$BV$12)*$BW$12+
INDEX($A702:$BM702,,$BV$15)*$BW$15+
INDEX($A702:$BM702,,$BV$16)*$BW$16+
INDEX($A702:$BM702,,$BV$17)*$BW$17+
INDEX($A702:$BM702,,$BV$18)*$BW$18+
INDEX($A702:$BM702,,$BV$19)*$BW$19+
INDEX($A702:$BM702,,$BV$20)*$BW$20+
INDEX($A702:$BM702,,$BV$21)*$BW$21+
INDEX($A702:$BM702,,$BV$22)*$BW$22+
INDEX($A702:$BM702,,$BV$23)*$BW$23+
INDEX($A702:$BM702,,$BV$25)*$BW$25+
INDEX($A702:$BM702,,$BV$26)*$BW$26+
INDEX($A702:$BM702,,$BV$27)*$BW$27+
$BN702)),
$BN702-100)</f>
        <v>20.90701</v>
      </c>
      <c r="BF702" t="str">
        <f t="shared" si="140"/>
        <v/>
      </c>
      <c r="BG702" t="str">
        <f t="shared" ref="BG702:BG765" si="151">IFERROR(IF(BF702="","",$B702),"")</f>
        <v/>
      </c>
      <c r="BH702">
        <f t="shared" si="142"/>
        <v>0</v>
      </c>
      <c r="BJ702" t="str">
        <f t="shared" si="143"/>
        <v/>
      </c>
      <c r="BL702">
        <f t="shared" si="145"/>
        <v>0</v>
      </c>
      <c r="BN702">
        <v>7.0099999999999997E-3</v>
      </c>
      <c r="BS702" s="4" t="s">
        <v>2101</v>
      </c>
    </row>
    <row r="703" spans="1:71" ht="15.75" thickBot="1" x14ac:dyDescent="0.3">
      <c r="A703" s="569" t="s">
        <v>2366</v>
      </c>
      <c r="B703" s="569" t="s">
        <v>152</v>
      </c>
      <c r="C703" s="569" t="s">
        <v>7</v>
      </c>
      <c r="D703" s="574">
        <v>14</v>
      </c>
      <c r="E703" s="569"/>
      <c r="F703" s="569"/>
      <c r="G703" s="569"/>
      <c r="H703" s="569"/>
      <c r="I703" s="574">
        <v>0</v>
      </c>
      <c r="J703" s="574">
        <v>0</v>
      </c>
      <c r="K703" s="574">
        <v>0</v>
      </c>
      <c r="L703" s="574">
        <v>4.8</v>
      </c>
      <c r="M703" s="574">
        <v>0.4</v>
      </c>
      <c r="N703" s="574">
        <v>98.6</v>
      </c>
      <c r="O703" s="574">
        <v>0</v>
      </c>
      <c r="P703" s="574">
        <v>0</v>
      </c>
      <c r="Q703" s="574">
        <v>0</v>
      </c>
      <c r="R703" s="569"/>
      <c r="S703" s="569"/>
      <c r="T703" s="569"/>
      <c r="U703" s="569"/>
      <c r="V703" s="569"/>
      <c r="W703" s="569"/>
      <c r="X703" s="569"/>
      <c r="Y703" s="569"/>
      <c r="Z703" s="569"/>
      <c r="AA703" s="569"/>
      <c r="AB703" s="569"/>
      <c r="AC703" s="569"/>
      <c r="AD703" s="569"/>
      <c r="AE703" s="569"/>
      <c r="AF703" s="569"/>
      <c r="AG703" s="569"/>
      <c r="AH703" s="569"/>
      <c r="AI703" s="569"/>
      <c r="AJ703" s="569"/>
      <c r="AK703" s="569"/>
      <c r="AL703" s="569"/>
      <c r="AM703" s="569"/>
      <c r="AN703" s="574">
        <v>11.9</v>
      </c>
      <c r="AO703">
        <v>702</v>
      </c>
      <c r="AP703" t="str">
        <f t="shared" si="146"/>
        <v/>
      </c>
      <c r="AQ703" t="str">
        <f t="shared" si="147"/>
        <v/>
      </c>
      <c r="AR703" s="430">
        <f>IFERROR(
IF(AP703="",-100,
IF($BV$2&gt;0, INDEX(Beersheet!$A:$U,MATCH(AP703,INDEX(Beersheet!$A:$U,0,FFARawStatProjections!$BV$2),0),$BV$3)+$BN703,
INDEX($A703:$BM703,,$BV$12)*$BW$12+
INDEX($A703:$BM703,,$BV$15)*$BW$15+
INDEX($A703:$BM703,,$BV$16)*$BW$16+
INDEX($A703:$BM703,,$BV$17)*$BW$17+
INDEX($A703:$BM703,,$BV$18)*$BW$18+
INDEX($A703:$BM703,,$BV$19)*$BW$19+
INDEX($A703:$BM703,,$BV$20)*$BW$20+
INDEX($A703:$BM703,,$BV$21)*$BW$21+
INDEX($A703:$BM703,,$BV$22)*$BW$22+
INDEX($A703:$BM703,,$BV$23)*$BW$23+
INDEX($A703:$BM703,,$BV$25)*$BW$25+
INDEX($A703:$BM703,,$BV$26)*$BW$26+
INDEX($A703:$BM703,,$BV$27)*$BW$27+
$BN703)),
$BN703-100)</f>
        <v>-100</v>
      </c>
      <c r="AT703" t="str">
        <f t="shared" si="135"/>
        <v/>
      </c>
      <c r="AU703" t="str">
        <f t="shared" si="148"/>
        <v/>
      </c>
      <c r="AV703" s="430">
        <f>IFERROR(
IF(AT703="",-100,
IF($BV$2&gt;0, INDEX(Beersheet!$A:$U,MATCH(AT703,INDEX(Beersheet!$A:$U,0,FFARawStatProjections!$BV$2),0),$BV$3)+$BN703,
INDEX($A703:$BM703,,$BV$12)*$BW$12+
INDEX($A703:$BM703,,$BV$15)*$BW$15+
INDEX($A703:$BM703,,$BV$16)*$BW$16+
INDEX($A703:$BM703,,$BV$17)*$BW$17+
INDEX($A703:$BM703,,$BV$18)*$BW$18+
INDEX($A703:$BM703,,$BV$19)*$BW$19+
INDEX($A703:$BM703,,$BV$20)*$BW$20+
INDEX($A703:$BM703,,$BV$21)*$BW$21+
INDEX($A703:$BM703,,$BV$22)*$BW$22+
INDEX($A703:$BM703,,$BV$23)*$BW$23+
INDEX($A703:$BM703,,$BV$25)*$BW$25+
INDEX($A703:$BM703,,$BV$26)*$BW$26+
INDEX($A703:$BM703,,$BV$27)*$BW$27+
$BN703)),
$BN703-100)</f>
        <v>-100</v>
      </c>
      <c r="AX703" t="str">
        <f t="shared" si="137"/>
        <v/>
      </c>
      <c r="AY703" t="str">
        <f t="shared" si="149"/>
        <v/>
      </c>
      <c r="AZ703" s="430">
        <f>IFERROR(
IF(AX703="",-100,
IF($BV$2&gt;0, INDEX(Beersheet!$A:$U,MATCH(AX703,INDEX(Beersheet!$A:$U,0,FFARawStatProjections!$BV$2),0),$BV$3)+$BN703,
INDEX($A703:$BM703,,$BV$12)*$BW$12+
INDEX($A703:$BM703,,$BV$15)*$BW$15+
INDEX($A703:$BM703,,$BV$16)*$BW$16+
INDEX($A703:$BM703,,$BV$17)*$BW$17+
INDEX($A703:$BM703,,$BV$18)*$BW$18+
INDEX($A703:$BM703,,$BV$19)*$BW$19+
INDEX($A703:$BM703,,$BV$20)*$BW$20+
INDEX($A703:$BM703,,$BV$21)*$BW$21+
INDEX($A703:$BM703,,$BV$22)*$BW$22+
INDEX($A703:$BM703,,$BV$23)*$BW$23+
INDEX($A703:$BM703,,$BV$25)*$BW$25+
INDEX($A703:$BM703,,$BV$26)*$BW$26+
INDEX($A703:$BM703,,$BV$27)*$BW$27+
$BN703)),
$BN703-100)</f>
        <v>-100</v>
      </c>
      <c r="BB703" t="str">
        <f t="shared" si="139"/>
        <v>Cole Turner</v>
      </c>
      <c r="BC703" t="str">
        <f t="shared" si="150"/>
        <v>WAS</v>
      </c>
      <c r="BD703" s="430">
        <f>IFERROR(
IF(BB703="",-100,
IF($BV$2&gt;0, INDEX(Beersheet!$A:$U,MATCH(BB703,INDEX(Beersheet!$A:$U,0,FFARawStatProjections!$BV$2),0),$BV$3)+$BN703,
INDEX($A703:$BM703,,$BV$12)*$BW$12+
INDEX($A703:$BM703,,$BV$15)*$BW$15+
INDEX($A703:$BM703,,$BV$16)*$BW$16+
INDEX($A703:$BM703,,$BV$17)*$BW$17+
INDEX($A703:$BM703,,$BV$18)*$BW$18+
INDEX($A703:$BM703,,$BV$19)*$BW$19+
INDEX($A703:$BM703,,$BV$20)*$BW$20+
INDEX($A703:$BM703,,$BV$21)*$BW$21+
INDEX($A703:$BM703,,$BV$22)*$BW$22+
INDEX($A703:$BM703,,$BV$23)*$BW$23+
INDEX($A703:$BM703,,$BV$25)*$BW$25+
INDEX($A703:$BM703,,$BV$26)*$BW$26+
INDEX($A703:$BM703,,$BV$27)*$BW$27+
$BN703)),
$BN703-100)</f>
        <v>17.067019999999999</v>
      </c>
      <c r="BF703" t="str">
        <f t="shared" si="140"/>
        <v/>
      </c>
      <c r="BG703" t="str">
        <f t="shared" si="151"/>
        <v/>
      </c>
      <c r="BH703">
        <f t="shared" si="142"/>
        <v>0</v>
      </c>
      <c r="BJ703" t="str">
        <f t="shared" si="143"/>
        <v/>
      </c>
      <c r="BL703">
        <f t="shared" si="145"/>
        <v>0</v>
      </c>
      <c r="BN703">
        <v>7.0200000000000002E-3</v>
      </c>
      <c r="BS703" s="4" t="s">
        <v>2328</v>
      </c>
    </row>
    <row r="704" spans="1:71" ht="15.75" thickBot="1" x14ac:dyDescent="0.3">
      <c r="A704" s="569" t="s">
        <v>2365</v>
      </c>
      <c r="B704" s="569" t="s">
        <v>136</v>
      </c>
      <c r="C704" s="569" t="s">
        <v>7</v>
      </c>
      <c r="D704" s="574">
        <v>10</v>
      </c>
      <c r="E704" s="569"/>
      <c r="F704" s="569"/>
      <c r="G704" s="569"/>
      <c r="H704" s="569"/>
      <c r="I704" s="574">
        <v>0</v>
      </c>
      <c r="J704" s="574">
        <v>0</v>
      </c>
      <c r="K704" s="574">
        <v>0</v>
      </c>
      <c r="L704" s="574">
        <v>6.1</v>
      </c>
      <c r="M704" s="574">
        <v>0.4</v>
      </c>
      <c r="N704" s="574">
        <v>100.7</v>
      </c>
      <c r="O704" s="574">
        <v>0</v>
      </c>
      <c r="P704" s="574">
        <v>0</v>
      </c>
      <c r="Q704" s="574">
        <v>0</v>
      </c>
      <c r="R704" s="569"/>
      <c r="S704" s="569"/>
      <c r="T704" s="569"/>
      <c r="U704" s="569"/>
      <c r="V704" s="569"/>
      <c r="W704" s="569"/>
      <c r="X704" s="569"/>
      <c r="Y704" s="569"/>
      <c r="Z704" s="569"/>
      <c r="AA704" s="569"/>
      <c r="AB704" s="569"/>
      <c r="AC704" s="569"/>
      <c r="AD704" s="569"/>
      <c r="AE704" s="569"/>
      <c r="AF704" s="569"/>
      <c r="AG704" s="569"/>
      <c r="AH704" s="569"/>
      <c r="AI704" s="569"/>
      <c r="AJ704" s="569"/>
      <c r="AK704" s="569"/>
      <c r="AL704" s="569"/>
      <c r="AM704" s="569"/>
      <c r="AN704" s="574">
        <v>11.4</v>
      </c>
      <c r="AO704">
        <v>703</v>
      </c>
      <c r="AP704" t="str">
        <f t="shared" si="146"/>
        <v/>
      </c>
      <c r="AQ704" t="str">
        <f t="shared" si="147"/>
        <v/>
      </c>
      <c r="AR704" s="430">
        <f>IFERROR(
IF(AP704="",-100,
IF($BV$2&gt;0, INDEX(Beersheet!$A:$U,MATCH(AP704,INDEX(Beersheet!$A:$U,0,FFARawStatProjections!$BV$2),0),$BV$3)+$BN704,
INDEX($A704:$BM704,,$BV$12)*$BW$12+
INDEX($A704:$BM704,,$BV$15)*$BW$15+
INDEX($A704:$BM704,,$BV$16)*$BW$16+
INDEX($A704:$BM704,,$BV$17)*$BW$17+
INDEX($A704:$BM704,,$BV$18)*$BW$18+
INDEX($A704:$BM704,,$BV$19)*$BW$19+
INDEX($A704:$BM704,,$BV$20)*$BW$20+
INDEX($A704:$BM704,,$BV$21)*$BW$21+
INDEX($A704:$BM704,,$BV$22)*$BW$22+
INDEX($A704:$BM704,,$BV$23)*$BW$23+
INDEX($A704:$BM704,,$BV$25)*$BW$25+
INDEX($A704:$BM704,,$BV$26)*$BW$26+
INDEX($A704:$BM704,,$BV$27)*$BW$27+
$BN704)),
$BN704-100)</f>
        <v>-100</v>
      </c>
      <c r="AT704" t="str">
        <f t="shared" si="135"/>
        <v/>
      </c>
      <c r="AU704" t="str">
        <f t="shared" si="148"/>
        <v/>
      </c>
      <c r="AV704" s="430">
        <f>IFERROR(
IF(AT704="",-100,
IF($BV$2&gt;0, INDEX(Beersheet!$A:$U,MATCH(AT704,INDEX(Beersheet!$A:$U,0,FFARawStatProjections!$BV$2),0),$BV$3)+$BN704,
INDEX($A704:$BM704,,$BV$12)*$BW$12+
INDEX($A704:$BM704,,$BV$15)*$BW$15+
INDEX($A704:$BM704,,$BV$16)*$BW$16+
INDEX($A704:$BM704,,$BV$17)*$BW$17+
INDEX($A704:$BM704,,$BV$18)*$BW$18+
INDEX($A704:$BM704,,$BV$19)*$BW$19+
INDEX($A704:$BM704,,$BV$20)*$BW$20+
INDEX($A704:$BM704,,$BV$21)*$BW$21+
INDEX($A704:$BM704,,$BV$22)*$BW$22+
INDEX($A704:$BM704,,$BV$23)*$BW$23+
INDEX($A704:$BM704,,$BV$25)*$BW$25+
INDEX($A704:$BM704,,$BV$26)*$BW$26+
INDEX($A704:$BM704,,$BV$27)*$BW$27+
$BN704)),
$BN704-100)</f>
        <v>-100</v>
      </c>
      <c r="AX704" t="str">
        <f t="shared" si="137"/>
        <v/>
      </c>
      <c r="AY704" t="str">
        <f t="shared" si="149"/>
        <v/>
      </c>
      <c r="AZ704" s="430">
        <f>IFERROR(
IF(AX704="",-100,
IF($BV$2&gt;0, INDEX(Beersheet!$A:$U,MATCH(AX704,INDEX(Beersheet!$A:$U,0,FFARawStatProjections!$BV$2),0),$BV$3)+$BN704,
INDEX($A704:$BM704,,$BV$12)*$BW$12+
INDEX($A704:$BM704,,$BV$15)*$BW$15+
INDEX($A704:$BM704,,$BV$16)*$BW$16+
INDEX($A704:$BM704,,$BV$17)*$BW$17+
INDEX($A704:$BM704,,$BV$18)*$BW$18+
INDEX($A704:$BM704,,$BV$19)*$BW$19+
INDEX($A704:$BM704,,$BV$20)*$BW$20+
INDEX($A704:$BM704,,$BV$21)*$BW$21+
INDEX($A704:$BM704,,$BV$22)*$BW$22+
INDEX($A704:$BM704,,$BV$23)*$BW$23+
INDEX($A704:$BM704,,$BV$25)*$BW$25+
INDEX($A704:$BM704,,$BV$26)*$BW$26+
INDEX($A704:$BM704,,$BV$27)*$BW$27+
$BN704)),
$BN704-100)</f>
        <v>-100</v>
      </c>
      <c r="BB704" t="str">
        <f t="shared" si="139"/>
        <v>Jody Fortson</v>
      </c>
      <c r="BC704" t="str">
        <f t="shared" si="150"/>
        <v>KC</v>
      </c>
      <c r="BD704" s="430">
        <f>IFERROR(
IF(BB704="",-100,
IF($BV$2&gt;0, INDEX(Beersheet!$A:$U,MATCH(BB704,INDEX(Beersheet!$A:$U,0,FFARawStatProjections!$BV$2),0),$BV$3)+$BN704,
INDEX($A704:$BM704,,$BV$12)*$BW$12+
INDEX($A704:$BM704,,$BV$15)*$BW$15+
INDEX($A704:$BM704,,$BV$16)*$BW$16+
INDEX($A704:$BM704,,$BV$17)*$BW$17+
INDEX($A704:$BM704,,$BV$18)*$BW$18+
INDEX($A704:$BM704,,$BV$19)*$BW$19+
INDEX($A704:$BM704,,$BV$20)*$BW$20+
INDEX($A704:$BM704,,$BV$21)*$BW$21+
INDEX($A704:$BM704,,$BV$22)*$BW$22+
INDEX($A704:$BM704,,$BV$23)*$BW$23+
INDEX($A704:$BM704,,$BV$25)*$BW$25+
INDEX($A704:$BM704,,$BV$26)*$BW$26+
INDEX($A704:$BM704,,$BV$27)*$BW$27+
$BN704)),
$BN704-100)</f>
        <v>18.577030000000001</v>
      </c>
      <c r="BF704" t="str">
        <f t="shared" si="140"/>
        <v/>
      </c>
      <c r="BG704" t="str">
        <f t="shared" si="151"/>
        <v/>
      </c>
      <c r="BH704">
        <f t="shared" si="142"/>
        <v>0</v>
      </c>
      <c r="BJ704" t="str">
        <f t="shared" si="143"/>
        <v/>
      </c>
      <c r="BL704">
        <f t="shared" si="145"/>
        <v>0</v>
      </c>
      <c r="BN704">
        <v>7.0299999999999998E-3</v>
      </c>
      <c r="BS704" s="4" t="s">
        <v>1896</v>
      </c>
    </row>
    <row r="705" spans="1:71" ht="15.75" thickBot="1" x14ac:dyDescent="0.3">
      <c r="A705" s="569" t="s">
        <v>2263</v>
      </c>
      <c r="B705" s="569" t="s">
        <v>145</v>
      </c>
      <c r="C705" s="569" t="s">
        <v>7</v>
      </c>
      <c r="D705" s="574">
        <v>7</v>
      </c>
      <c r="E705" s="569"/>
      <c r="F705" s="569"/>
      <c r="G705" s="569"/>
      <c r="H705" s="569"/>
      <c r="I705" s="574">
        <v>0</v>
      </c>
      <c r="J705" s="574">
        <v>0</v>
      </c>
      <c r="K705" s="574">
        <v>0</v>
      </c>
      <c r="L705" s="574">
        <v>8</v>
      </c>
      <c r="M705" s="574">
        <v>0.4</v>
      </c>
      <c r="N705" s="574">
        <v>86.6</v>
      </c>
      <c r="O705" s="574">
        <v>0</v>
      </c>
      <c r="P705" s="574">
        <v>0</v>
      </c>
      <c r="Q705" s="574">
        <v>0</v>
      </c>
      <c r="R705" s="569"/>
      <c r="S705" s="569"/>
      <c r="T705" s="569"/>
      <c r="U705" s="569"/>
      <c r="V705" s="569"/>
      <c r="W705" s="569"/>
      <c r="X705" s="569"/>
      <c r="Y705" s="569"/>
      <c r="Z705" s="569"/>
      <c r="AA705" s="569"/>
      <c r="AB705" s="569"/>
      <c r="AC705" s="569"/>
      <c r="AD705" s="569"/>
      <c r="AE705" s="569"/>
      <c r="AF705" s="569"/>
      <c r="AG705" s="569"/>
      <c r="AH705" s="569"/>
      <c r="AI705" s="569"/>
      <c r="AJ705" s="569"/>
      <c r="AK705" s="569"/>
      <c r="AL705" s="569"/>
      <c r="AM705" s="569"/>
      <c r="AN705" s="574">
        <v>11.3</v>
      </c>
      <c r="AO705">
        <v>704</v>
      </c>
      <c r="AP705" t="str">
        <f t="shared" si="146"/>
        <v/>
      </c>
      <c r="AQ705" t="str">
        <f t="shared" si="147"/>
        <v/>
      </c>
      <c r="AR705" s="430">
        <f>IFERROR(
IF(AP705="",-100,
IF($BV$2&gt;0, INDEX(Beersheet!$A:$U,MATCH(AP705,INDEX(Beersheet!$A:$U,0,FFARawStatProjections!$BV$2),0),$BV$3)+$BN705,
INDEX($A705:$BM705,,$BV$12)*$BW$12+
INDEX($A705:$BM705,,$BV$15)*$BW$15+
INDEX($A705:$BM705,,$BV$16)*$BW$16+
INDEX($A705:$BM705,,$BV$17)*$BW$17+
INDEX($A705:$BM705,,$BV$18)*$BW$18+
INDEX($A705:$BM705,,$BV$19)*$BW$19+
INDEX($A705:$BM705,,$BV$20)*$BW$20+
INDEX($A705:$BM705,,$BV$21)*$BW$21+
INDEX($A705:$BM705,,$BV$22)*$BW$22+
INDEX($A705:$BM705,,$BV$23)*$BW$23+
INDEX($A705:$BM705,,$BV$25)*$BW$25+
INDEX($A705:$BM705,,$BV$26)*$BW$26+
INDEX($A705:$BM705,,$BV$27)*$BW$27+
$BN705)),
$BN705-100)</f>
        <v>-100</v>
      </c>
      <c r="AT705" t="str">
        <f t="shared" si="135"/>
        <v/>
      </c>
      <c r="AU705" t="str">
        <f t="shared" si="148"/>
        <v/>
      </c>
      <c r="AV705" s="430">
        <f>IFERROR(
IF(AT705="",-100,
IF($BV$2&gt;0, INDEX(Beersheet!$A:$U,MATCH(AT705,INDEX(Beersheet!$A:$U,0,FFARawStatProjections!$BV$2),0),$BV$3)+$BN705,
INDEX($A705:$BM705,,$BV$12)*$BW$12+
INDEX($A705:$BM705,,$BV$15)*$BW$15+
INDEX($A705:$BM705,,$BV$16)*$BW$16+
INDEX($A705:$BM705,,$BV$17)*$BW$17+
INDEX($A705:$BM705,,$BV$18)*$BW$18+
INDEX($A705:$BM705,,$BV$19)*$BW$19+
INDEX($A705:$BM705,,$BV$20)*$BW$20+
INDEX($A705:$BM705,,$BV$21)*$BW$21+
INDEX($A705:$BM705,,$BV$22)*$BW$22+
INDEX($A705:$BM705,,$BV$23)*$BW$23+
INDEX($A705:$BM705,,$BV$25)*$BW$25+
INDEX($A705:$BM705,,$BV$26)*$BW$26+
INDEX($A705:$BM705,,$BV$27)*$BW$27+
$BN705)),
$BN705-100)</f>
        <v>-100</v>
      </c>
      <c r="AX705" t="str">
        <f t="shared" si="137"/>
        <v/>
      </c>
      <c r="AY705" t="str">
        <f t="shared" si="149"/>
        <v/>
      </c>
      <c r="AZ705" s="430">
        <f>IFERROR(
IF(AX705="",-100,
IF($BV$2&gt;0, INDEX(Beersheet!$A:$U,MATCH(AX705,INDEX(Beersheet!$A:$U,0,FFARawStatProjections!$BV$2),0),$BV$3)+$BN705,
INDEX($A705:$BM705,,$BV$12)*$BW$12+
INDEX($A705:$BM705,,$BV$15)*$BW$15+
INDEX($A705:$BM705,,$BV$16)*$BW$16+
INDEX($A705:$BM705,,$BV$17)*$BW$17+
INDEX($A705:$BM705,,$BV$18)*$BW$18+
INDEX($A705:$BM705,,$BV$19)*$BW$19+
INDEX($A705:$BM705,,$BV$20)*$BW$20+
INDEX($A705:$BM705,,$BV$21)*$BW$21+
INDEX($A705:$BM705,,$BV$22)*$BW$22+
INDEX($A705:$BM705,,$BV$23)*$BW$23+
INDEX($A705:$BM705,,$BV$25)*$BW$25+
INDEX($A705:$BM705,,$BV$26)*$BW$26+
INDEX($A705:$BM705,,$BV$27)*$BW$27+
$BN705)),
$BN705-100)</f>
        <v>-100</v>
      </c>
      <c r="BB705" t="str">
        <f t="shared" si="139"/>
        <v>Tanner Hudson</v>
      </c>
      <c r="BC705" t="str">
        <f t="shared" si="150"/>
        <v>CIN</v>
      </c>
      <c r="BD705" s="430">
        <f>IFERROR(
IF(BB705="",-100,
IF($BV$2&gt;0, INDEX(Beersheet!$A:$U,MATCH(BB705,INDEX(Beersheet!$A:$U,0,FFARawStatProjections!$BV$2),0),$BV$3)+$BN705,
INDEX($A705:$BM705,,$BV$12)*$BW$12+
INDEX($A705:$BM705,,$BV$15)*$BW$15+
INDEX($A705:$BM705,,$BV$16)*$BW$16+
INDEX($A705:$BM705,,$BV$17)*$BW$17+
INDEX($A705:$BM705,,$BV$18)*$BW$18+
INDEX($A705:$BM705,,$BV$19)*$BW$19+
INDEX($A705:$BM705,,$BV$20)*$BW$20+
INDEX($A705:$BM705,,$BV$21)*$BW$21+
INDEX($A705:$BM705,,$BV$22)*$BW$22+
INDEX($A705:$BM705,,$BV$23)*$BW$23+
INDEX($A705:$BM705,,$BV$25)*$BW$25+
INDEX($A705:$BM705,,$BV$26)*$BW$26+
INDEX($A705:$BM705,,$BV$27)*$BW$27+
$BN705)),
$BN705-100)</f>
        <v>19.067040000000002</v>
      </c>
      <c r="BF705" t="str">
        <f t="shared" si="140"/>
        <v/>
      </c>
      <c r="BG705" t="str">
        <f t="shared" si="151"/>
        <v/>
      </c>
      <c r="BH705">
        <f t="shared" si="142"/>
        <v>0</v>
      </c>
      <c r="BJ705" t="str">
        <f t="shared" si="143"/>
        <v/>
      </c>
      <c r="BL705">
        <f t="shared" si="145"/>
        <v>0</v>
      </c>
      <c r="BN705">
        <v>7.0400000000000003E-3</v>
      </c>
      <c r="BS705" s="4" t="s">
        <v>2334</v>
      </c>
    </row>
    <row r="706" spans="1:71" ht="15.75" thickBot="1" x14ac:dyDescent="0.3">
      <c r="A706" s="569" t="s">
        <v>2393</v>
      </c>
      <c r="B706" s="569" t="s">
        <v>158</v>
      </c>
      <c r="C706" s="569" t="s">
        <v>7</v>
      </c>
      <c r="D706" s="574">
        <v>11</v>
      </c>
      <c r="E706" s="569"/>
      <c r="F706" s="569"/>
      <c r="G706" s="569"/>
      <c r="H706" s="569"/>
      <c r="I706" s="574">
        <v>0</v>
      </c>
      <c r="J706" s="574">
        <v>0</v>
      </c>
      <c r="K706" s="574">
        <v>0</v>
      </c>
      <c r="L706" s="574">
        <v>6.6</v>
      </c>
      <c r="M706" s="574">
        <v>0.5</v>
      </c>
      <c r="N706" s="574">
        <v>79.599999999999994</v>
      </c>
      <c r="O706" s="574">
        <v>0</v>
      </c>
      <c r="P706" s="574">
        <v>0</v>
      </c>
      <c r="Q706" s="574">
        <v>0</v>
      </c>
      <c r="R706" s="569"/>
      <c r="S706" s="569"/>
      <c r="T706" s="569"/>
      <c r="U706" s="569"/>
      <c r="V706" s="569"/>
      <c r="W706" s="569"/>
      <c r="X706" s="569"/>
      <c r="Y706" s="569"/>
      <c r="Z706" s="569"/>
      <c r="AA706" s="569"/>
      <c r="AB706" s="569"/>
      <c r="AC706" s="569"/>
      <c r="AD706" s="569"/>
      <c r="AE706" s="569"/>
      <c r="AF706" s="569"/>
      <c r="AG706" s="569"/>
      <c r="AH706" s="569"/>
      <c r="AI706" s="569"/>
      <c r="AJ706" s="569"/>
      <c r="AK706" s="569"/>
      <c r="AL706" s="569"/>
      <c r="AM706" s="569"/>
      <c r="AN706" s="574">
        <v>11.2</v>
      </c>
      <c r="AO706">
        <v>705</v>
      </c>
      <c r="AP706" t="str">
        <f t="shared" si="146"/>
        <v/>
      </c>
      <c r="AQ706" t="str">
        <f t="shared" si="147"/>
        <v/>
      </c>
      <c r="AR706" s="430">
        <f>IFERROR(
IF(AP706="",-100,
IF($BV$2&gt;0, INDEX(Beersheet!$A:$U,MATCH(AP706,INDEX(Beersheet!$A:$U,0,FFARawStatProjections!$BV$2),0),$BV$3)+$BN706,
INDEX($A706:$BM706,,$BV$12)*$BW$12+
INDEX($A706:$BM706,,$BV$15)*$BW$15+
INDEX($A706:$BM706,,$BV$16)*$BW$16+
INDEX($A706:$BM706,,$BV$17)*$BW$17+
INDEX($A706:$BM706,,$BV$18)*$BW$18+
INDEX($A706:$BM706,,$BV$19)*$BW$19+
INDEX($A706:$BM706,,$BV$20)*$BW$20+
INDEX($A706:$BM706,,$BV$21)*$BW$21+
INDEX($A706:$BM706,,$BV$22)*$BW$22+
INDEX($A706:$BM706,,$BV$23)*$BW$23+
INDEX($A706:$BM706,,$BV$25)*$BW$25+
INDEX($A706:$BM706,,$BV$26)*$BW$26+
INDEX($A706:$BM706,,$BV$27)*$BW$27+
$BN706)),
$BN706-100)</f>
        <v>-100</v>
      </c>
      <c r="AT706" t="str">
        <f t="shared" si="135"/>
        <v/>
      </c>
      <c r="AU706" t="str">
        <f t="shared" si="148"/>
        <v/>
      </c>
      <c r="AV706" s="430">
        <f>IFERROR(
IF(AT706="",-100,
IF($BV$2&gt;0, INDEX(Beersheet!$A:$U,MATCH(AT706,INDEX(Beersheet!$A:$U,0,FFARawStatProjections!$BV$2),0),$BV$3)+$BN706,
INDEX($A706:$BM706,,$BV$12)*$BW$12+
INDEX($A706:$BM706,,$BV$15)*$BW$15+
INDEX($A706:$BM706,,$BV$16)*$BW$16+
INDEX($A706:$BM706,,$BV$17)*$BW$17+
INDEX($A706:$BM706,,$BV$18)*$BW$18+
INDEX($A706:$BM706,,$BV$19)*$BW$19+
INDEX($A706:$BM706,,$BV$20)*$BW$20+
INDEX($A706:$BM706,,$BV$21)*$BW$21+
INDEX($A706:$BM706,,$BV$22)*$BW$22+
INDEX($A706:$BM706,,$BV$23)*$BW$23+
INDEX($A706:$BM706,,$BV$25)*$BW$25+
INDEX($A706:$BM706,,$BV$26)*$BW$26+
INDEX($A706:$BM706,,$BV$27)*$BW$27+
$BN706)),
$BN706-100)</f>
        <v>-100</v>
      </c>
      <c r="AX706" t="str">
        <f t="shared" si="137"/>
        <v/>
      </c>
      <c r="AY706" t="str">
        <f t="shared" si="149"/>
        <v/>
      </c>
      <c r="AZ706" s="430">
        <f>IFERROR(
IF(AX706="",-100,
IF($BV$2&gt;0, INDEX(Beersheet!$A:$U,MATCH(AX706,INDEX(Beersheet!$A:$U,0,FFARawStatProjections!$BV$2),0),$BV$3)+$BN706,
INDEX($A706:$BM706,,$BV$12)*$BW$12+
INDEX($A706:$BM706,,$BV$15)*$BW$15+
INDEX($A706:$BM706,,$BV$16)*$BW$16+
INDEX($A706:$BM706,,$BV$17)*$BW$17+
INDEX($A706:$BM706,,$BV$18)*$BW$18+
INDEX($A706:$BM706,,$BV$19)*$BW$19+
INDEX($A706:$BM706,,$BV$20)*$BW$20+
INDEX($A706:$BM706,,$BV$21)*$BW$21+
INDEX($A706:$BM706,,$BV$22)*$BW$22+
INDEX($A706:$BM706,,$BV$23)*$BW$23+
INDEX($A706:$BM706,,$BV$25)*$BW$25+
INDEX($A706:$BM706,,$BV$26)*$BW$26+
INDEX($A706:$BM706,,$BV$27)*$BW$27+
$BN706)),
$BN706-100)</f>
        <v>-100</v>
      </c>
      <c r="BB706" t="str">
        <f t="shared" si="139"/>
        <v>Will Mallory</v>
      </c>
      <c r="BC706" t="str">
        <f t="shared" si="150"/>
        <v>IND</v>
      </c>
      <c r="BD706" s="430">
        <f>IFERROR(
IF(BB706="",-100,
IF($BV$2&gt;0, INDEX(Beersheet!$A:$U,MATCH(BB706,INDEX(Beersheet!$A:$U,0,FFARawStatProjections!$BV$2),0),$BV$3)+$BN706,
INDEX($A706:$BM706,,$BV$12)*$BW$12+
INDEX($A706:$BM706,,$BV$15)*$BW$15+
INDEX($A706:$BM706,,$BV$16)*$BW$16+
INDEX($A706:$BM706,,$BV$17)*$BW$17+
INDEX($A706:$BM706,,$BV$18)*$BW$18+
INDEX($A706:$BM706,,$BV$19)*$BW$19+
INDEX($A706:$BM706,,$BV$20)*$BW$20+
INDEX($A706:$BM706,,$BV$21)*$BW$21+
INDEX($A706:$BM706,,$BV$22)*$BW$22+
INDEX($A706:$BM706,,$BV$23)*$BW$23+
INDEX($A706:$BM706,,$BV$25)*$BW$25+
INDEX($A706:$BM706,,$BV$26)*$BW$26+
INDEX($A706:$BM706,,$BV$27)*$BW$27+
$BN706)),
$BN706-100)</f>
        <v>17.567049999999998</v>
      </c>
      <c r="BF706" t="str">
        <f t="shared" si="140"/>
        <v/>
      </c>
      <c r="BG706" t="str">
        <f t="shared" si="151"/>
        <v/>
      </c>
      <c r="BH706">
        <f t="shared" si="142"/>
        <v>0</v>
      </c>
      <c r="BJ706" t="str">
        <f t="shared" si="143"/>
        <v/>
      </c>
      <c r="BL706">
        <f t="shared" si="145"/>
        <v>0</v>
      </c>
      <c r="BN706">
        <v>7.0499999999999998E-3</v>
      </c>
      <c r="BS706" s="4" t="s">
        <v>152</v>
      </c>
    </row>
    <row r="707" spans="1:71" ht="15.75" thickBot="1" x14ac:dyDescent="0.3">
      <c r="A707" s="569" t="s">
        <v>2065</v>
      </c>
      <c r="B707" s="569" t="s">
        <v>155</v>
      </c>
      <c r="C707" s="569" t="s">
        <v>7</v>
      </c>
      <c r="D707" s="574">
        <v>9</v>
      </c>
      <c r="E707" s="569"/>
      <c r="F707" s="569"/>
      <c r="G707" s="569"/>
      <c r="H707" s="569"/>
      <c r="I707" s="574">
        <v>0</v>
      </c>
      <c r="J707" s="574">
        <v>0</v>
      </c>
      <c r="K707" s="574">
        <v>0</v>
      </c>
      <c r="L707" s="574">
        <v>3.6</v>
      </c>
      <c r="M707" s="574">
        <v>0.6</v>
      </c>
      <c r="N707" s="574">
        <v>76.2</v>
      </c>
      <c r="O707" s="574">
        <v>0</v>
      </c>
      <c r="P707" s="574">
        <v>0</v>
      </c>
      <c r="Q707" s="574">
        <v>0</v>
      </c>
      <c r="R707" s="569"/>
      <c r="S707" s="569"/>
      <c r="T707" s="569"/>
      <c r="U707" s="569"/>
      <c r="V707" s="569"/>
      <c r="W707" s="569"/>
      <c r="X707" s="569"/>
      <c r="Y707" s="569"/>
      <c r="Z707" s="569"/>
      <c r="AA707" s="569"/>
      <c r="AB707" s="569"/>
      <c r="AC707" s="569"/>
      <c r="AD707" s="569"/>
      <c r="AE707" s="569"/>
      <c r="AF707" s="569"/>
      <c r="AG707" s="569"/>
      <c r="AH707" s="569"/>
      <c r="AI707" s="569"/>
      <c r="AJ707" s="569"/>
      <c r="AK707" s="569"/>
      <c r="AL707" s="569"/>
      <c r="AM707" s="569"/>
      <c r="AN707" s="574">
        <v>11.1</v>
      </c>
      <c r="AO707">
        <v>706</v>
      </c>
      <c r="AP707" t="str">
        <f t="shared" si="146"/>
        <v/>
      </c>
      <c r="AQ707" t="str">
        <f t="shared" si="147"/>
        <v/>
      </c>
      <c r="AR707" s="430">
        <f>IFERROR(
IF(AP707="",-100,
IF($BV$2&gt;0, INDEX(Beersheet!$A:$U,MATCH(AP707,INDEX(Beersheet!$A:$U,0,FFARawStatProjections!$BV$2),0),$BV$3)+$BN707,
INDEX($A707:$BM707,,$BV$12)*$BW$12+
INDEX($A707:$BM707,,$BV$15)*$BW$15+
INDEX($A707:$BM707,,$BV$16)*$BW$16+
INDEX($A707:$BM707,,$BV$17)*$BW$17+
INDEX($A707:$BM707,,$BV$18)*$BW$18+
INDEX($A707:$BM707,,$BV$19)*$BW$19+
INDEX($A707:$BM707,,$BV$20)*$BW$20+
INDEX($A707:$BM707,,$BV$21)*$BW$21+
INDEX($A707:$BM707,,$BV$22)*$BW$22+
INDEX($A707:$BM707,,$BV$23)*$BW$23+
INDEX($A707:$BM707,,$BV$25)*$BW$25+
INDEX($A707:$BM707,,$BV$26)*$BW$26+
INDEX($A707:$BM707,,$BV$27)*$BW$27+
$BN707)),
$BN707-100)</f>
        <v>-100</v>
      </c>
      <c r="AT707" t="str">
        <f t="shared" ref="AT707:AT770" si="152">IF($C707 = "RB", $A707, "")</f>
        <v/>
      </c>
      <c r="AU707" t="str">
        <f t="shared" si="148"/>
        <v/>
      </c>
      <c r="AV707" s="430">
        <f>IFERROR(
IF(AT707="",-100,
IF($BV$2&gt;0, INDEX(Beersheet!$A:$U,MATCH(AT707,INDEX(Beersheet!$A:$U,0,FFARawStatProjections!$BV$2),0),$BV$3)+$BN707,
INDEX($A707:$BM707,,$BV$12)*$BW$12+
INDEX($A707:$BM707,,$BV$15)*$BW$15+
INDEX($A707:$BM707,,$BV$16)*$BW$16+
INDEX($A707:$BM707,,$BV$17)*$BW$17+
INDEX($A707:$BM707,,$BV$18)*$BW$18+
INDEX($A707:$BM707,,$BV$19)*$BW$19+
INDEX($A707:$BM707,,$BV$20)*$BW$20+
INDEX($A707:$BM707,,$BV$21)*$BW$21+
INDEX($A707:$BM707,,$BV$22)*$BW$22+
INDEX($A707:$BM707,,$BV$23)*$BW$23+
INDEX($A707:$BM707,,$BV$25)*$BW$25+
INDEX($A707:$BM707,,$BV$26)*$BW$26+
INDEX($A707:$BM707,,$BV$27)*$BW$27+
$BN707)),
$BN707-100)</f>
        <v>-100</v>
      </c>
      <c r="AX707" t="str">
        <f t="shared" ref="AX707:AX770" si="153">IF($C707 = "WR", $A707, "")</f>
        <v/>
      </c>
      <c r="AY707" t="str">
        <f t="shared" si="149"/>
        <v/>
      </c>
      <c r="AZ707" s="430">
        <f>IFERROR(
IF(AX707="",-100,
IF($BV$2&gt;0, INDEX(Beersheet!$A:$U,MATCH(AX707,INDEX(Beersheet!$A:$U,0,FFARawStatProjections!$BV$2),0),$BV$3)+$BN707,
INDEX($A707:$BM707,,$BV$12)*$BW$12+
INDEX($A707:$BM707,,$BV$15)*$BW$15+
INDEX($A707:$BM707,,$BV$16)*$BW$16+
INDEX($A707:$BM707,,$BV$17)*$BW$17+
INDEX($A707:$BM707,,$BV$18)*$BW$18+
INDEX($A707:$BM707,,$BV$19)*$BW$19+
INDEX($A707:$BM707,,$BV$20)*$BW$20+
INDEX($A707:$BM707,,$BV$21)*$BW$21+
INDEX($A707:$BM707,,$BV$22)*$BW$22+
INDEX($A707:$BM707,,$BV$23)*$BW$23+
INDEX($A707:$BM707,,$BV$25)*$BW$25+
INDEX($A707:$BM707,,$BV$26)*$BW$26+
INDEX($A707:$BM707,,$BV$27)*$BW$27+
$BN707)),
$BN707-100)</f>
        <v>-100</v>
      </c>
      <c r="BB707" t="str">
        <f t="shared" ref="BB707:BB770" si="154">IF($C707 = "TE", $A707, "")</f>
        <v>Ross Dwelley</v>
      </c>
      <c r="BC707" t="str">
        <f t="shared" si="150"/>
        <v>SF</v>
      </c>
      <c r="BD707" s="430">
        <f>IFERROR(
IF(BB707="",-100,
IF($BV$2&gt;0, INDEX(Beersheet!$A:$U,MATCH(BB707,INDEX(Beersheet!$A:$U,0,FFARawStatProjections!$BV$2),0),$BV$3)+$BN707,
INDEX($A707:$BM707,,$BV$12)*$BW$12+
INDEX($A707:$BM707,,$BV$15)*$BW$15+
INDEX($A707:$BM707,,$BV$16)*$BW$16+
INDEX($A707:$BM707,,$BV$17)*$BW$17+
INDEX($A707:$BM707,,$BV$18)*$BW$18+
INDEX($A707:$BM707,,$BV$19)*$BW$19+
INDEX($A707:$BM707,,$BV$20)*$BW$20+
INDEX($A707:$BM707,,$BV$21)*$BW$21+
INDEX($A707:$BM707,,$BV$22)*$BW$22+
INDEX($A707:$BM707,,$BV$23)*$BW$23+
INDEX($A707:$BM707,,$BV$25)*$BW$25+
INDEX($A707:$BM707,,$BV$26)*$BW$26+
INDEX($A707:$BM707,,$BV$27)*$BW$27+
$BN707)),
$BN707-100)</f>
        <v>14.827059999999999</v>
      </c>
      <c r="BF707" t="str">
        <f t="shared" ref="BF707:BF770" si="155">IF($C707 = "K", $A707, "")</f>
        <v/>
      </c>
      <c r="BG707" t="str">
        <f t="shared" si="151"/>
        <v/>
      </c>
      <c r="BH707">
        <f t="shared" ref="BH707:BH770" si="156">IFERROR(IF(BF707="",0,
AF707*3
+AG707*3
+AH707*3
+AI707*4
+AJ707*5
+BN707+AN707),"")</f>
        <v>0</v>
      </c>
      <c r="BJ707" t="str">
        <f t="shared" ref="BJ707:BJ770" si="157">IF($C707 = "DST", $A707, "")</f>
        <v/>
      </c>
      <c r="BL707">
        <f t="shared" si="145"/>
        <v>0</v>
      </c>
      <c r="BN707">
        <v>7.0600000000000003E-3</v>
      </c>
      <c r="BS707" s="4" t="s">
        <v>1403</v>
      </c>
    </row>
    <row r="708" spans="1:71" ht="15.75" thickBot="1" x14ac:dyDescent="0.3">
      <c r="A708" s="569" t="s">
        <v>1892</v>
      </c>
      <c r="B708" s="569" t="s">
        <v>145</v>
      </c>
      <c r="C708" s="569" t="s">
        <v>7</v>
      </c>
      <c r="D708" s="574">
        <v>7</v>
      </c>
      <c r="E708" s="569"/>
      <c r="F708" s="569"/>
      <c r="G708" s="569"/>
      <c r="H708" s="569"/>
      <c r="I708" s="574">
        <v>0</v>
      </c>
      <c r="J708" s="574">
        <v>0</v>
      </c>
      <c r="K708" s="574">
        <v>0</v>
      </c>
      <c r="L708" s="574">
        <v>8.6</v>
      </c>
      <c r="M708" s="574">
        <v>0.5</v>
      </c>
      <c r="N708" s="574">
        <v>78.900000000000006</v>
      </c>
      <c r="O708" s="574">
        <v>0</v>
      </c>
      <c r="P708" s="574">
        <v>0</v>
      </c>
      <c r="Q708" s="574">
        <v>0</v>
      </c>
      <c r="R708" s="569"/>
      <c r="S708" s="569"/>
      <c r="T708" s="569"/>
      <c r="U708" s="569"/>
      <c r="V708" s="569"/>
      <c r="W708" s="569"/>
      <c r="X708" s="569"/>
      <c r="Y708" s="569"/>
      <c r="Z708" s="569"/>
      <c r="AA708" s="569"/>
      <c r="AB708" s="569"/>
      <c r="AC708" s="569"/>
      <c r="AD708" s="569"/>
      <c r="AE708" s="569"/>
      <c r="AF708" s="569"/>
      <c r="AG708" s="569"/>
      <c r="AH708" s="569"/>
      <c r="AI708" s="569"/>
      <c r="AJ708" s="569"/>
      <c r="AK708" s="569"/>
      <c r="AL708" s="569"/>
      <c r="AM708" s="569"/>
      <c r="AN708" s="574">
        <v>10.8</v>
      </c>
      <c r="AO708">
        <v>707</v>
      </c>
      <c r="AP708" t="str">
        <f t="shared" si="146"/>
        <v/>
      </c>
      <c r="AQ708" t="str">
        <f t="shared" si="147"/>
        <v/>
      </c>
      <c r="AR708" s="430">
        <f>IFERROR(
IF(AP708="",-100,
IF($BV$2&gt;0, INDEX(Beersheet!$A:$U,MATCH(AP708,INDEX(Beersheet!$A:$U,0,FFARawStatProjections!$BV$2),0),$BV$3)+$BN708,
INDEX($A708:$BM708,,$BV$12)*$BW$12+
INDEX($A708:$BM708,,$BV$15)*$BW$15+
INDEX($A708:$BM708,,$BV$16)*$BW$16+
INDEX($A708:$BM708,,$BV$17)*$BW$17+
INDEX($A708:$BM708,,$BV$18)*$BW$18+
INDEX($A708:$BM708,,$BV$19)*$BW$19+
INDEX($A708:$BM708,,$BV$20)*$BW$20+
INDEX($A708:$BM708,,$BV$21)*$BW$21+
INDEX($A708:$BM708,,$BV$22)*$BW$22+
INDEX($A708:$BM708,,$BV$23)*$BW$23+
INDEX($A708:$BM708,,$BV$25)*$BW$25+
INDEX($A708:$BM708,,$BV$26)*$BW$26+
INDEX($A708:$BM708,,$BV$27)*$BW$27+
$BN708)),
$BN708-100)</f>
        <v>-100</v>
      </c>
      <c r="AT708" t="str">
        <f t="shared" si="152"/>
        <v/>
      </c>
      <c r="AU708" t="str">
        <f t="shared" si="148"/>
        <v/>
      </c>
      <c r="AV708" s="430">
        <f>IFERROR(
IF(AT708="",-100,
IF($BV$2&gt;0, INDEX(Beersheet!$A:$U,MATCH(AT708,INDEX(Beersheet!$A:$U,0,FFARawStatProjections!$BV$2),0),$BV$3)+$BN708,
INDEX($A708:$BM708,,$BV$12)*$BW$12+
INDEX($A708:$BM708,,$BV$15)*$BW$15+
INDEX($A708:$BM708,,$BV$16)*$BW$16+
INDEX($A708:$BM708,,$BV$17)*$BW$17+
INDEX($A708:$BM708,,$BV$18)*$BW$18+
INDEX($A708:$BM708,,$BV$19)*$BW$19+
INDEX($A708:$BM708,,$BV$20)*$BW$20+
INDEX($A708:$BM708,,$BV$21)*$BW$21+
INDEX($A708:$BM708,,$BV$22)*$BW$22+
INDEX($A708:$BM708,,$BV$23)*$BW$23+
INDEX($A708:$BM708,,$BV$25)*$BW$25+
INDEX($A708:$BM708,,$BV$26)*$BW$26+
INDEX($A708:$BM708,,$BV$27)*$BW$27+
$BN708)),
$BN708-100)</f>
        <v>-100</v>
      </c>
      <c r="AX708" t="str">
        <f t="shared" si="153"/>
        <v/>
      </c>
      <c r="AY708" t="str">
        <f t="shared" si="149"/>
        <v/>
      </c>
      <c r="AZ708" s="430">
        <f>IFERROR(
IF(AX708="",-100,
IF($BV$2&gt;0, INDEX(Beersheet!$A:$U,MATCH(AX708,INDEX(Beersheet!$A:$U,0,FFARawStatProjections!$BV$2),0),$BV$3)+$BN708,
INDEX($A708:$BM708,,$BV$12)*$BW$12+
INDEX($A708:$BM708,,$BV$15)*$BW$15+
INDEX($A708:$BM708,,$BV$16)*$BW$16+
INDEX($A708:$BM708,,$BV$17)*$BW$17+
INDEX($A708:$BM708,,$BV$18)*$BW$18+
INDEX($A708:$BM708,,$BV$19)*$BW$19+
INDEX($A708:$BM708,,$BV$20)*$BW$20+
INDEX($A708:$BM708,,$BV$21)*$BW$21+
INDEX($A708:$BM708,,$BV$22)*$BW$22+
INDEX($A708:$BM708,,$BV$23)*$BW$23+
INDEX($A708:$BM708,,$BV$25)*$BW$25+
INDEX($A708:$BM708,,$BV$26)*$BW$26+
INDEX($A708:$BM708,,$BV$27)*$BW$27+
$BN708)),
$BN708-100)</f>
        <v>-100</v>
      </c>
      <c r="BB708" t="str">
        <f t="shared" si="154"/>
        <v>Drew Sample</v>
      </c>
      <c r="BC708" t="str">
        <f t="shared" si="150"/>
        <v>CIN</v>
      </c>
      <c r="BD708" s="430">
        <f>IFERROR(
IF(BB708="",-100,
IF($BV$2&gt;0, INDEX(Beersheet!$A:$U,MATCH(BB708,INDEX(Beersheet!$A:$U,0,FFARawStatProjections!$BV$2),0),$BV$3)+$BN708,
INDEX($A708:$BM708,,$BV$12)*$BW$12+
INDEX($A708:$BM708,,$BV$15)*$BW$15+
INDEX($A708:$BM708,,$BV$16)*$BW$16+
INDEX($A708:$BM708,,$BV$17)*$BW$17+
INDEX($A708:$BM708,,$BV$18)*$BW$18+
INDEX($A708:$BM708,,$BV$19)*$BW$19+
INDEX($A708:$BM708,,$BV$20)*$BW$20+
INDEX($A708:$BM708,,$BV$21)*$BW$21+
INDEX($A708:$BM708,,$BV$22)*$BW$22+
INDEX($A708:$BM708,,$BV$23)*$BW$23+
INDEX($A708:$BM708,,$BV$25)*$BW$25+
INDEX($A708:$BM708,,$BV$26)*$BW$26+
INDEX($A708:$BM708,,$BV$27)*$BW$27+
$BN708)),
$BN708-100)</f>
        <v>19.497070000000001</v>
      </c>
      <c r="BF708" t="str">
        <f t="shared" si="155"/>
        <v/>
      </c>
      <c r="BG708" t="str">
        <f t="shared" si="151"/>
        <v/>
      </c>
      <c r="BH708">
        <f t="shared" si="156"/>
        <v>0</v>
      </c>
      <c r="BJ708" t="str">
        <f t="shared" si="157"/>
        <v/>
      </c>
      <c r="BL708">
        <f t="shared" si="145"/>
        <v>0</v>
      </c>
      <c r="BN708">
        <v>7.0699999999999999E-3</v>
      </c>
      <c r="BS708" s="4" t="s">
        <v>1816</v>
      </c>
    </row>
    <row r="709" spans="1:71" ht="15.75" thickBot="1" x14ac:dyDescent="0.3">
      <c r="A709" s="569" t="s">
        <v>2264</v>
      </c>
      <c r="B709" s="569" t="s">
        <v>163</v>
      </c>
      <c r="C709" s="569" t="s">
        <v>7</v>
      </c>
      <c r="D709" s="574">
        <v>7</v>
      </c>
      <c r="E709" s="569"/>
      <c r="F709" s="569"/>
      <c r="G709" s="569"/>
      <c r="H709" s="569"/>
      <c r="I709" s="574">
        <v>0</v>
      </c>
      <c r="J709" s="574">
        <v>0</v>
      </c>
      <c r="K709" s="574">
        <v>0</v>
      </c>
      <c r="L709" s="574">
        <v>7.9</v>
      </c>
      <c r="M709" s="574">
        <v>0.6</v>
      </c>
      <c r="N709" s="574">
        <v>71.599999999999994</v>
      </c>
      <c r="O709" s="574">
        <v>0</v>
      </c>
      <c r="P709" s="574">
        <v>0</v>
      </c>
      <c r="Q709" s="574">
        <v>0</v>
      </c>
      <c r="R709" s="569"/>
      <c r="S709" s="569"/>
      <c r="T709" s="569"/>
      <c r="U709" s="569"/>
      <c r="V709" s="569"/>
      <c r="W709" s="569"/>
      <c r="X709" s="569"/>
      <c r="Y709" s="569"/>
      <c r="Z709" s="569"/>
      <c r="AA709" s="569"/>
      <c r="AB709" s="569"/>
      <c r="AC709" s="569"/>
      <c r="AD709" s="569"/>
      <c r="AE709" s="569"/>
      <c r="AF709" s="569"/>
      <c r="AG709" s="569"/>
      <c r="AH709" s="569"/>
      <c r="AI709" s="569"/>
      <c r="AJ709" s="569"/>
      <c r="AK709" s="569"/>
      <c r="AL709" s="569"/>
      <c r="AM709" s="569"/>
      <c r="AN709" s="574">
        <v>10.7</v>
      </c>
      <c r="AO709">
        <v>708</v>
      </c>
      <c r="AP709" t="str">
        <f t="shared" si="146"/>
        <v/>
      </c>
      <c r="AQ709" t="str">
        <f t="shared" si="147"/>
        <v/>
      </c>
      <c r="AR709" s="430">
        <f>IFERROR(
IF(AP709="",-100,
IF($BV$2&gt;0, INDEX(Beersheet!$A:$U,MATCH(AP709,INDEX(Beersheet!$A:$U,0,FFARawStatProjections!$BV$2),0),$BV$3)+$BN709,
INDEX($A709:$BM709,,$BV$12)*$BW$12+
INDEX($A709:$BM709,,$BV$15)*$BW$15+
INDEX($A709:$BM709,,$BV$16)*$BW$16+
INDEX($A709:$BM709,,$BV$17)*$BW$17+
INDEX($A709:$BM709,,$BV$18)*$BW$18+
INDEX($A709:$BM709,,$BV$19)*$BW$19+
INDEX($A709:$BM709,,$BV$20)*$BW$20+
INDEX($A709:$BM709,,$BV$21)*$BW$21+
INDEX($A709:$BM709,,$BV$22)*$BW$22+
INDEX($A709:$BM709,,$BV$23)*$BW$23+
INDEX($A709:$BM709,,$BV$25)*$BW$25+
INDEX($A709:$BM709,,$BV$26)*$BW$26+
INDEX($A709:$BM709,,$BV$27)*$BW$27+
$BN709)),
$BN709-100)</f>
        <v>-100</v>
      </c>
      <c r="AT709" t="str">
        <f t="shared" si="152"/>
        <v/>
      </c>
      <c r="AU709" t="str">
        <f t="shared" si="148"/>
        <v/>
      </c>
      <c r="AV709" s="430">
        <f>IFERROR(
IF(AT709="",-100,
IF($BV$2&gt;0, INDEX(Beersheet!$A:$U,MATCH(AT709,INDEX(Beersheet!$A:$U,0,FFARawStatProjections!$BV$2),0),$BV$3)+$BN709,
INDEX($A709:$BM709,,$BV$12)*$BW$12+
INDEX($A709:$BM709,,$BV$15)*$BW$15+
INDEX($A709:$BM709,,$BV$16)*$BW$16+
INDEX($A709:$BM709,,$BV$17)*$BW$17+
INDEX($A709:$BM709,,$BV$18)*$BW$18+
INDEX($A709:$BM709,,$BV$19)*$BW$19+
INDEX($A709:$BM709,,$BV$20)*$BW$20+
INDEX($A709:$BM709,,$BV$21)*$BW$21+
INDEX($A709:$BM709,,$BV$22)*$BW$22+
INDEX($A709:$BM709,,$BV$23)*$BW$23+
INDEX($A709:$BM709,,$BV$25)*$BW$25+
INDEX($A709:$BM709,,$BV$26)*$BW$26+
INDEX($A709:$BM709,,$BV$27)*$BW$27+
$BN709)),
$BN709-100)</f>
        <v>-100</v>
      </c>
      <c r="AX709" t="str">
        <f t="shared" si="153"/>
        <v/>
      </c>
      <c r="AY709" t="str">
        <f t="shared" si="149"/>
        <v/>
      </c>
      <c r="AZ709" s="430">
        <f>IFERROR(
IF(AX709="",-100,
IF($BV$2&gt;0, INDEX(Beersheet!$A:$U,MATCH(AX709,INDEX(Beersheet!$A:$U,0,FFARawStatProjections!$BV$2),0),$BV$3)+$BN709,
INDEX($A709:$BM709,,$BV$12)*$BW$12+
INDEX($A709:$BM709,,$BV$15)*$BW$15+
INDEX($A709:$BM709,,$BV$16)*$BW$16+
INDEX($A709:$BM709,,$BV$17)*$BW$17+
INDEX($A709:$BM709,,$BV$18)*$BW$18+
INDEX($A709:$BM709,,$BV$19)*$BW$19+
INDEX($A709:$BM709,,$BV$20)*$BW$20+
INDEX($A709:$BM709,,$BV$21)*$BW$21+
INDEX($A709:$BM709,,$BV$22)*$BW$22+
INDEX($A709:$BM709,,$BV$23)*$BW$23+
INDEX($A709:$BM709,,$BV$25)*$BW$25+
INDEX($A709:$BM709,,$BV$26)*$BW$26+
INDEX($A709:$BM709,,$BV$27)*$BW$27+
$BN709)),
$BN709-100)</f>
        <v>-100</v>
      </c>
      <c r="BB709" t="str">
        <f t="shared" si="154"/>
        <v>Trevon Wesco</v>
      </c>
      <c r="BC709" t="str">
        <f t="shared" si="150"/>
        <v>TEN</v>
      </c>
      <c r="BD709" s="430">
        <f>IFERROR(
IF(BB709="",-100,
IF($BV$2&gt;0, INDEX(Beersheet!$A:$U,MATCH(BB709,INDEX(Beersheet!$A:$U,0,FFARawStatProjections!$BV$2),0),$BV$3)+$BN709,
INDEX($A709:$BM709,,$BV$12)*$BW$12+
INDEX($A709:$BM709,,$BV$15)*$BW$15+
INDEX($A709:$BM709,,$BV$16)*$BW$16+
INDEX($A709:$BM709,,$BV$17)*$BW$17+
INDEX($A709:$BM709,,$BV$18)*$BW$18+
INDEX($A709:$BM709,,$BV$19)*$BW$19+
INDEX($A709:$BM709,,$BV$20)*$BW$20+
INDEX($A709:$BM709,,$BV$21)*$BW$21+
INDEX($A709:$BM709,,$BV$22)*$BW$22+
INDEX($A709:$BM709,,$BV$23)*$BW$23+
INDEX($A709:$BM709,,$BV$25)*$BW$25+
INDEX($A709:$BM709,,$BV$26)*$BW$26+
INDEX($A709:$BM709,,$BV$27)*$BW$27+
$BN709)),
$BN709-100)</f>
        <v>18.667079999999999</v>
      </c>
      <c r="BF709" t="str">
        <f t="shared" si="155"/>
        <v/>
      </c>
      <c r="BG709" t="str">
        <f t="shared" si="151"/>
        <v/>
      </c>
      <c r="BH709">
        <f t="shared" si="156"/>
        <v>0</v>
      </c>
      <c r="BJ709" t="str">
        <f t="shared" si="157"/>
        <v/>
      </c>
      <c r="BL709">
        <f t="shared" si="145"/>
        <v>0</v>
      </c>
      <c r="BN709">
        <v>7.0800000000000004E-3</v>
      </c>
      <c r="BS709" s="4" t="s">
        <v>1197</v>
      </c>
    </row>
    <row r="710" spans="1:71" ht="15.75" thickBot="1" x14ac:dyDescent="0.3">
      <c r="A710" s="569" t="s">
        <v>2242</v>
      </c>
      <c r="B710" s="569" t="s">
        <v>156</v>
      </c>
      <c r="C710" s="569" t="s">
        <v>7</v>
      </c>
      <c r="D710" s="574">
        <v>13</v>
      </c>
      <c r="E710" s="569"/>
      <c r="F710" s="569"/>
      <c r="G710" s="569"/>
      <c r="H710" s="569"/>
      <c r="I710" s="574">
        <v>0</v>
      </c>
      <c r="J710" s="574">
        <v>0</v>
      </c>
      <c r="K710" s="574">
        <v>0</v>
      </c>
      <c r="L710" s="574">
        <v>9</v>
      </c>
      <c r="M710" s="574">
        <v>0.5</v>
      </c>
      <c r="N710" s="574">
        <v>65.900000000000006</v>
      </c>
      <c r="O710" s="574">
        <v>0</v>
      </c>
      <c r="P710" s="574">
        <v>0</v>
      </c>
      <c r="Q710" s="574">
        <v>0</v>
      </c>
      <c r="R710" s="569"/>
      <c r="S710" s="569"/>
      <c r="T710" s="569"/>
      <c r="U710" s="569"/>
      <c r="V710" s="569"/>
      <c r="W710" s="569"/>
      <c r="X710" s="569"/>
      <c r="Y710" s="569"/>
      <c r="Z710" s="569"/>
      <c r="AA710" s="569"/>
      <c r="AB710" s="569"/>
      <c r="AC710" s="569"/>
      <c r="AD710" s="569"/>
      <c r="AE710" s="569"/>
      <c r="AF710" s="569"/>
      <c r="AG710" s="569"/>
      <c r="AH710" s="569"/>
      <c r="AI710" s="569"/>
      <c r="AJ710" s="569"/>
      <c r="AK710" s="569"/>
      <c r="AL710" s="569"/>
      <c r="AM710" s="569"/>
      <c r="AN710" s="574">
        <v>12.5</v>
      </c>
      <c r="AO710">
        <v>709</v>
      </c>
      <c r="AP710" t="str">
        <f t="shared" si="146"/>
        <v/>
      </c>
      <c r="AQ710" t="str">
        <f t="shared" si="147"/>
        <v/>
      </c>
      <c r="AR710" s="430">
        <f>IFERROR(
IF(AP710="",-100,
IF($BV$2&gt;0, INDEX(Beersheet!$A:$U,MATCH(AP710,INDEX(Beersheet!$A:$U,0,FFARawStatProjections!$BV$2),0),$BV$3)+$BN710,
INDEX($A710:$BM710,,$BV$12)*$BW$12+
INDEX($A710:$BM710,,$BV$15)*$BW$15+
INDEX($A710:$BM710,,$BV$16)*$BW$16+
INDEX($A710:$BM710,,$BV$17)*$BW$17+
INDEX($A710:$BM710,,$BV$18)*$BW$18+
INDEX($A710:$BM710,,$BV$19)*$BW$19+
INDEX($A710:$BM710,,$BV$20)*$BW$20+
INDEX($A710:$BM710,,$BV$21)*$BW$21+
INDEX($A710:$BM710,,$BV$22)*$BW$22+
INDEX($A710:$BM710,,$BV$23)*$BW$23+
INDEX($A710:$BM710,,$BV$25)*$BW$25+
INDEX($A710:$BM710,,$BV$26)*$BW$26+
INDEX($A710:$BM710,,$BV$27)*$BW$27+
$BN710)),
$BN710-100)</f>
        <v>-100</v>
      </c>
      <c r="AT710" t="str">
        <f t="shared" si="152"/>
        <v/>
      </c>
      <c r="AU710" t="str">
        <f t="shared" si="148"/>
        <v/>
      </c>
      <c r="AV710" s="430">
        <f>IFERROR(
IF(AT710="",-100,
IF($BV$2&gt;0, INDEX(Beersheet!$A:$U,MATCH(AT710,INDEX(Beersheet!$A:$U,0,FFARawStatProjections!$BV$2),0),$BV$3)+$BN710,
INDEX($A710:$BM710,,$BV$12)*$BW$12+
INDEX($A710:$BM710,,$BV$15)*$BW$15+
INDEX($A710:$BM710,,$BV$16)*$BW$16+
INDEX($A710:$BM710,,$BV$17)*$BW$17+
INDEX($A710:$BM710,,$BV$18)*$BW$18+
INDEX($A710:$BM710,,$BV$19)*$BW$19+
INDEX($A710:$BM710,,$BV$20)*$BW$20+
INDEX($A710:$BM710,,$BV$21)*$BW$21+
INDEX($A710:$BM710,,$BV$22)*$BW$22+
INDEX($A710:$BM710,,$BV$23)*$BW$23+
INDEX($A710:$BM710,,$BV$25)*$BW$25+
INDEX($A710:$BM710,,$BV$26)*$BW$26+
INDEX($A710:$BM710,,$BV$27)*$BW$27+
$BN710)),
$BN710-100)</f>
        <v>-100</v>
      </c>
      <c r="AX710" t="str">
        <f t="shared" si="153"/>
        <v/>
      </c>
      <c r="AY710" t="str">
        <f t="shared" si="149"/>
        <v/>
      </c>
      <c r="AZ710" s="430">
        <f>IFERROR(
IF(AX710="",-100,
IF($BV$2&gt;0, INDEX(Beersheet!$A:$U,MATCH(AX710,INDEX(Beersheet!$A:$U,0,FFARawStatProjections!$BV$2),0),$BV$3)+$BN710,
INDEX($A710:$BM710,,$BV$12)*$BW$12+
INDEX($A710:$BM710,,$BV$15)*$BW$15+
INDEX($A710:$BM710,,$BV$16)*$BW$16+
INDEX($A710:$BM710,,$BV$17)*$BW$17+
INDEX($A710:$BM710,,$BV$18)*$BW$18+
INDEX($A710:$BM710,,$BV$19)*$BW$19+
INDEX($A710:$BM710,,$BV$20)*$BW$20+
INDEX($A710:$BM710,,$BV$21)*$BW$21+
INDEX($A710:$BM710,,$BV$22)*$BW$22+
INDEX($A710:$BM710,,$BV$23)*$BW$23+
INDEX($A710:$BM710,,$BV$25)*$BW$25+
INDEX($A710:$BM710,,$BV$26)*$BW$26+
INDEX($A710:$BM710,,$BV$27)*$BW$27+
$BN710)),
$BN710-100)</f>
        <v>-100</v>
      </c>
      <c r="BB710" t="str">
        <f t="shared" si="154"/>
        <v>Reggie Gilliam</v>
      </c>
      <c r="BC710" t="str">
        <f t="shared" si="150"/>
        <v>BUF</v>
      </c>
      <c r="BD710" s="430">
        <f>IFERROR(
IF(BB710="",-100,
IF($BV$2&gt;0, INDEX(Beersheet!$A:$U,MATCH(BB710,INDEX(Beersheet!$A:$U,0,FFARawStatProjections!$BV$2),0),$BV$3)+$BN710,
INDEX($A710:$BM710,,$BV$12)*$BW$12+
INDEX($A710:$BM710,,$BV$15)*$BW$15+
INDEX($A710:$BM710,,$BV$16)*$BW$16+
INDEX($A710:$BM710,,$BV$17)*$BW$17+
INDEX($A710:$BM710,,$BV$18)*$BW$18+
INDEX($A710:$BM710,,$BV$19)*$BW$19+
INDEX($A710:$BM710,,$BV$20)*$BW$20+
INDEX($A710:$BM710,,$BV$21)*$BW$21+
INDEX($A710:$BM710,,$BV$22)*$BW$22+
INDEX($A710:$BM710,,$BV$23)*$BW$23+
INDEX($A710:$BM710,,$BV$25)*$BW$25+
INDEX($A710:$BM710,,$BV$26)*$BW$26+
INDEX($A710:$BM710,,$BV$27)*$BW$27+
$BN710)),
$BN710-100)</f>
        <v>18.597090000000001</v>
      </c>
      <c r="BF710" t="str">
        <f t="shared" si="155"/>
        <v/>
      </c>
      <c r="BG710" t="str">
        <f t="shared" si="151"/>
        <v/>
      </c>
      <c r="BH710">
        <f t="shared" si="156"/>
        <v>0</v>
      </c>
      <c r="BJ710" t="str">
        <f t="shared" si="157"/>
        <v/>
      </c>
      <c r="BL710">
        <f t="shared" si="145"/>
        <v>0</v>
      </c>
      <c r="BN710">
        <v>7.0900000000000104E-3</v>
      </c>
      <c r="BS710" s="4" t="s">
        <v>2149</v>
      </c>
    </row>
    <row r="711" spans="1:71" ht="15.75" thickBot="1" x14ac:dyDescent="0.3">
      <c r="A711" s="569" t="s">
        <v>2424</v>
      </c>
      <c r="B711" s="569" t="s">
        <v>156</v>
      </c>
      <c r="C711" s="569" t="s">
        <v>7</v>
      </c>
      <c r="D711" s="574">
        <v>13</v>
      </c>
      <c r="E711" s="569"/>
      <c r="F711" s="569"/>
      <c r="G711" s="569"/>
      <c r="H711" s="569"/>
      <c r="I711" s="574">
        <v>0</v>
      </c>
      <c r="J711" s="574">
        <v>0</v>
      </c>
      <c r="K711" s="574">
        <v>0</v>
      </c>
      <c r="L711" s="574">
        <v>5.7</v>
      </c>
      <c r="M711" s="574">
        <v>0.4</v>
      </c>
      <c r="N711" s="574">
        <v>78.400000000000006</v>
      </c>
      <c r="O711" s="574">
        <v>0</v>
      </c>
      <c r="P711" s="574">
        <v>0</v>
      </c>
      <c r="Q711" s="574">
        <v>0</v>
      </c>
      <c r="R711" s="569"/>
      <c r="S711" s="569"/>
      <c r="T711" s="569"/>
      <c r="U711" s="569"/>
      <c r="V711" s="569"/>
      <c r="W711" s="569"/>
      <c r="X711" s="569"/>
      <c r="Y711" s="569"/>
      <c r="Z711" s="569"/>
      <c r="AA711" s="569"/>
      <c r="AB711" s="569"/>
      <c r="AC711" s="569"/>
      <c r="AD711" s="569"/>
      <c r="AE711" s="569"/>
      <c r="AF711" s="569"/>
      <c r="AG711" s="569"/>
      <c r="AH711" s="569"/>
      <c r="AI711" s="569"/>
      <c r="AJ711" s="569"/>
      <c r="AK711" s="569"/>
      <c r="AL711" s="569"/>
      <c r="AM711" s="569"/>
      <c r="AN711" s="574">
        <v>10.4</v>
      </c>
      <c r="AO711">
        <v>710</v>
      </c>
      <c r="AP711" t="str">
        <f t="shared" si="146"/>
        <v/>
      </c>
      <c r="AQ711" t="str">
        <f t="shared" si="147"/>
        <v/>
      </c>
      <c r="AR711" s="430">
        <f>IFERROR(
IF(AP711="",-100,
IF($BV$2&gt;0, INDEX(Beersheet!$A:$U,MATCH(AP711,INDEX(Beersheet!$A:$U,0,FFARawStatProjections!$BV$2),0),$BV$3)+$BN711,
INDEX($A711:$BM711,,$BV$12)*$BW$12+
INDEX($A711:$BM711,,$BV$15)*$BW$15+
INDEX($A711:$BM711,,$BV$16)*$BW$16+
INDEX($A711:$BM711,,$BV$17)*$BW$17+
INDEX($A711:$BM711,,$BV$18)*$BW$18+
INDEX($A711:$BM711,,$BV$19)*$BW$19+
INDEX($A711:$BM711,,$BV$20)*$BW$20+
INDEX($A711:$BM711,,$BV$21)*$BW$21+
INDEX($A711:$BM711,,$BV$22)*$BW$22+
INDEX($A711:$BM711,,$BV$23)*$BW$23+
INDEX($A711:$BM711,,$BV$25)*$BW$25+
INDEX($A711:$BM711,,$BV$26)*$BW$26+
INDEX($A711:$BM711,,$BV$27)*$BW$27+
$BN711)),
$BN711-100)</f>
        <v>-100</v>
      </c>
      <c r="AT711" t="str">
        <f t="shared" si="152"/>
        <v/>
      </c>
      <c r="AU711" t="str">
        <f t="shared" si="148"/>
        <v/>
      </c>
      <c r="AV711" s="430">
        <f>IFERROR(
IF(AT711="",-100,
IF($BV$2&gt;0, INDEX(Beersheet!$A:$U,MATCH(AT711,INDEX(Beersheet!$A:$U,0,FFARawStatProjections!$BV$2),0),$BV$3)+$BN711,
INDEX($A711:$BM711,,$BV$12)*$BW$12+
INDEX($A711:$BM711,,$BV$15)*$BW$15+
INDEX($A711:$BM711,,$BV$16)*$BW$16+
INDEX($A711:$BM711,,$BV$17)*$BW$17+
INDEX($A711:$BM711,,$BV$18)*$BW$18+
INDEX($A711:$BM711,,$BV$19)*$BW$19+
INDEX($A711:$BM711,,$BV$20)*$BW$20+
INDEX($A711:$BM711,,$BV$21)*$BW$21+
INDEX($A711:$BM711,,$BV$22)*$BW$22+
INDEX($A711:$BM711,,$BV$23)*$BW$23+
INDEX($A711:$BM711,,$BV$25)*$BW$25+
INDEX($A711:$BM711,,$BV$26)*$BW$26+
INDEX($A711:$BM711,,$BV$27)*$BW$27+
$BN711)),
$BN711-100)</f>
        <v>-100</v>
      </c>
      <c r="AX711" t="str">
        <f t="shared" si="153"/>
        <v/>
      </c>
      <c r="AY711" t="str">
        <f t="shared" si="149"/>
        <v/>
      </c>
      <c r="AZ711" s="430">
        <f>IFERROR(
IF(AX711="",-100,
IF($BV$2&gt;0, INDEX(Beersheet!$A:$U,MATCH(AX711,INDEX(Beersheet!$A:$U,0,FFARawStatProjections!$BV$2),0),$BV$3)+$BN711,
INDEX($A711:$BM711,,$BV$12)*$BW$12+
INDEX($A711:$BM711,,$BV$15)*$BW$15+
INDEX($A711:$BM711,,$BV$16)*$BW$16+
INDEX($A711:$BM711,,$BV$17)*$BW$17+
INDEX($A711:$BM711,,$BV$18)*$BW$18+
INDEX($A711:$BM711,,$BV$19)*$BW$19+
INDEX($A711:$BM711,,$BV$20)*$BW$20+
INDEX($A711:$BM711,,$BV$21)*$BW$21+
INDEX($A711:$BM711,,$BV$22)*$BW$22+
INDEX($A711:$BM711,,$BV$23)*$BW$23+
INDEX($A711:$BM711,,$BV$25)*$BW$25+
INDEX($A711:$BM711,,$BV$26)*$BW$26+
INDEX($A711:$BM711,,$BV$27)*$BW$27+
$BN711)),
$BN711-100)</f>
        <v>-100</v>
      </c>
      <c r="BB711" t="str">
        <f t="shared" si="154"/>
        <v>Quintin Morris</v>
      </c>
      <c r="BC711" t="str">
        <f t="shared" si="150"/>
        <v>BUF</v>
      </c>
      <c r="BD711" s="430">
        <f>IFERROR(
IF(BB711="",-100,
IF($BV$2&gt;0, INDEX(Beersheet!$A:$U,MATCH(BB711,INDEX(Beersheet!$A:$U,0,FFARawStatProjections!$BV$2),0),$BV$3)+$BN711,
INDEX($A711:$BM711,,$BV$12)*$BW$12+
INDEX($A711:$BM711,,$BV$15)*$BW$15+
INDEX($A711:$BM711,,$BV$16)*$BW$16+
INDEX($A711:$BM711,,$BV$17)*$BW$17+
INDEX($A711:$BM711,,$BV$18)*$BW$18+
INDEX($A711:$BM711,,$BV$19)*$BW$19+
INDEX($A711:$BM711,,$BV$20)*$BW$20+
INDEX($A711:$BM711,,$BV$21)*$BW$21+
INDEX($A711:$BM711,,$BV$22)*$BW$22+
INDEX($A711:$BM711,,$BV$23)*$BW$23+
INDEX($A711:$BM711,,$BV$25)*$BW$25+
INDEX($A711:$BM711,,$BV$26)*$BW$26+
INDEX($A711:$BM711,,$BV$27)*$BW$27+
$BN711)),
$BN711-100)</f>
        <v>15.947100000000001</v>
      </c>
      <c r="BF711" t="str">
        <f t="shared" si="155"/>
        <v/>
      </c>
      <c r="BG711" t="str">
        <f t="shared" si="151"/>
        <v/>
      </c>
      <c r="BH711">
        <f t="shared" si="156"/>
        <v>0</v>
      </c>
      <c r="BJ711" t="str">
        <f t="shared" si="157"/>
        <v/>
      </c>
      <c r="BL711">
        <f t="shared" si="145"/>
        <v>0</v>
      </c>
      <c r="BN711">
        <v>7.1000000000000099E-3</v>
      </c>
      <c r="BS711" s="4" t="s">
        <v>2394</v>
      </c>
    </row>
    <row r="712" spans="1:71" ht="15.75" thickBot="1" x14ac:dyDescent="0.3">
      <c r="A712" s="569" t="s">
        <v>2534</v>
      </c>
      <c r="B712" s="569" t="s">
        <v>152</v>
      </c>
      <c r="C712" s="569" t="s">
        <v>7</v>
      </c>
      <c r="D712" s="574">
        <v>14</v>
      </c>
      <c r="E712" s="569"/>
      <c r="F712" s="569"/>
      <c r="G712" s="569"/>
      <c r="H712" s="569"/>
      <c r="I712" s="574">
        <v>0</v>
      </c>
      <c r="J712" s="574">
        <v>0</v>
      </c>
      <c r="K712" s="574">
        <v>0</v>
      </c>
      <c r="L712" s="574">
        <v>7.3</v>
      </c>
      <c r="M712" s="574">
        <v>0.4</v>
      </c>
      <c r="N712" s="574">
        <v>79.8</v>
      </c>
      <c r="O712" s="574">
        <v>0</v>
      </c>
      <c r="P712" s="574">
        <v>0</v>
      </c>
      <c r="Q712" s="574">
        <v>0</v>
      </c>
      <c r="R712" s="569"/>
      <c r="S712" s="569"/>
      <c r="T712" s="569"/>
      <c r="U712" s="569"/>
      <c r="V712" s="569"/>
      <c r="W712" s="569"/>
      <c r="X712" s="569"/>
      <c r="Y712" s="569"/>
      <c r="Z712" s="569"/>
      <c r="AA712" s="569"/>
      <c r="AB712" s="569"/>
      <c r="AC712" s="569"/>
      <c r="AD712" s="569"/>
      <c r="AE712" s="569"/>
      <c r="AF712" s="569"/>
      <c r="AG712" s="569"/>
      <c r="AH712" s="569"/>
      <c r="AI712" s="569"/>
      <c r="AJ712" s="569"/>
      <c r="AK712" s="569"/>
      <c r="AL712" s="569"/>
      <c r="AM712" s="569"/>
      <c r="AN712" s="574">
        <v>10.1</v>
      </c>
      <c r="AO712">
        <v>711</v>
      </c>
      <c r="AP712" t="str">
        <f t="shared" si="146"/>
        <v/>
      </c>
      <c r="AQ712" t="str">
        <f t="shared" si="147"/>
        <v/>
      </c>
      <c r="AR712" s="430">
        <f>IFERROR(
IF(AP712="",-100,
IF($BV$2&gt;0, INDEX(Beersheet!$A:$U,MATCH(AP712,INDEX(Beersheet!$A:$U,0,FFARawStatProjections!$BV$2),0),$BV$3)+$BN712,
INDEX($A712:$BM712,,$BV$12)*$BW$12+
INDEX($A712:$BM712,,$BV$15)*$BW$15+
INDEX($A712:$BM712,,$BV$16)*$BW$16+
INDEX($A712:$BM712,,$BV$17)*$BW$17+
INDEX($A712:$BM712,,$BV$18)*$BW$18+
INDEX($A712:$BM712,,$BV$19)*$BW$19+
INDEX($A712:$BM712,,$BV$20)*$BW$20+
INDEX($A712:$BM712,,$BV$21)*$BW$21+
INDEX($A712:$BM712,,$BV$22)*$BW$22+
INDEX($A712:$BM712,,$BV$23)*$BW$23+
INDEX($A712:$BM712,,$BV$25)*$BW$25+
INDEX($A712:$BM712,,$BV$26)*$BW$26+
INDEX($A712:$BM712,,$BV$27)*$BW$27+
$BN712)),
$BN712-100)</f>
        <v>-100</v>
      </c>
      <c r="AT712" t="str">
        <f t="shared" si="152"/>
        <v/>
      </c>
      <c r="AU712" t="str">
        <f t="shared" si="148"/>
        <v/>
      </c>
      <c r="AV712" s="430">
        <f>IFERROR(
IF(AT712="",-100,
IF($BV$2&gt;0, INDEX(Beersheet!$A:$U,MATCH(AT712,INDEX(Beersheet!$A:$U,0,FFARawStatProjections!$BV$2),0),$BV$3)+$BN712,
INDEX($A712:$BM712,,$BV$12)*$BW$12+
INDEX($A712:$BM712,,$BV$15)*$BW$15+
INDEX($A712:$BM712,,$BV$16)*$BW$16+
INDEX($A712:$BM712,,$BV$17)*$BW$17+
INDEX($A712:$BM712,,$BV$18)*$BW$18+
INDEX($A712:$BM712,,$BV$19)*$BW$19+
INDEX($A712:$BM712,,$BV$20)*$BW$20+
INDEX($A712:$BM712,,$BV$21)*$BW$21+
INDEX($A712:$BM712,,$BV$22)*$BW$22+
INDEX($A712:$BM712,,$BV$23)*$BW$23+
INDEX($A712:$BM712,,$BV$25)*$BW$25+
INDEX($A712:$BM712,,$BV$26)*$BW$26+
INDEX($A712:$BM712,,$BV$27)*$BW$27+
$BN712)),
$BN712-100)</f>
        <v>-100</v>
      </c>
      <c r="AX712" t="str">
        <f t="shared" si="153"/>
        <v/>
      </c>
      <c r="AY712" t="str">
        <f t="shared" si="149"/>
        <v/>
      </c>
      <c r="AZ712" s="430">
        <f>IFERROR(
IF(AX712="",-100,
IF($BV$2&gt;0, INDEX(Beersheet!$A:$U,MATCH(AX712,INDEX(Beersheet!$A:$U,0,FFARawStatProjections!$BV$2),0),$BV$3)+$BN712,
INDEX($A712:$BM712,,$BV$12)*$BW$12+
INDEX($A712:$BM712,,$BV$15)*$BW$15+
INDEX($A712:$BM712,,$BV$16)*$BW$16+
INDEX($A712:$BM712,,$BV$17)*$BW$17+
INDEX($A712:$BM712,,$BV$18)*$BW$18+
INDEX($A712:$BM712,,$BV$19)*$BW$19+
INDEX($A712:$BM712,,$BV$20)*$BW$20+
INDEX($A712:$BM712,,$BV$21)*$BW$21+
INDEX($A712:$BM712,,$BV$22)*$BW$22+
INDEX($A712:$BM712,,$BV$23)*$BW$23+
INDEX($A712:$BM712,,$BV$25)*$BW$25+
INDEX($A712:$BM712,,$BV$26)*$BW$26+
INDEX($A712:$BM712,,$BV$27)*$BW$27+
$BN712)),
$BN712-100)</f>
        <v>-100</v>
      </c>
      <c r="BB712" t="str">
        <f t="shared" si="154"/>
        <v>Armani Rogers</v>
      </c>
      <c r="BC712" t="str">
        <f t="shared" si="150"/>
        <v>WAS</v>
      </c>
      <c r="BD712" s="430">
        <f>IFERROR(
IF(BB712="",-100,
IF($BV$2&gt;0, INDEX(Beersheet!$A:$U,MATCH(BB712,INDEX(Beersheet!$A:$U,0,FFARawStatProjections!$BV$2),0),$BV$3)+$BN712,
INDEX($A712:$BM712,,$BV$12)*$BW$12+
INDEX($A712:$BM712,,$BV$15)*$BW$15+
INDEX($A712:$BM712,,$BV$16)*$BW$16+
INDEX($A712:$BM712,,$BV$17)*$BW$17+
INDEX($A712:$BM712,,$BV$18)*$BW$18+
INDEX($A712:$BM712,,$BV$19)*$BW$19+
INDEX($A712:$BM712,,$BV$20)*$BW$20+
INDEX($A712:$BM712,,$BV$21)*$BW$21+
INDEX($A712:$BM712,,$BV$22)*$BW$22+
INDEX($A712:$BM712,,$BV$23)*$BW$23+
INDEX($A712:$BM712,,$BV$25)*$BW$25+
INDEX($A712:$BM712,,$BV$26)*$BW$26+
INDEX($A712:$BM712,,$BV$27)*$BW$27+
$BN712)),
$BN712-100)</f>
        <v>17.687110000000001</v>
      </c>
      <c r="BF712" t="str">
        <f t="shared" si="155"/>
        <v/>
      </c>
      <c r="BG712" t="str">
        <f t="shared" si="151"/>
        <v/>
      </c>
      <c r="BH712">
        <f t="shared" si="156"/>
        <v>0</v>
      </c>
      <c r="BJ712" t="str">
        <f t="shared" si="157"/>
        <v/>
      </c>
      <c r="BL712">
        <f t="shared" si="145"/>
        <v>0</v>
      </c>
      <c r="BN712">
        <v>7.1100000000000104E-3</v>
      </c>
      <c r="BS712" s="4" t="s">
        <v>2393</v>
      </c>
    </row>
    <row r="713" spans="1:71" ht="15.75" thickBot="1" x14ac:dyDescent="0.3">
      <c r="A713" s="569" t="s">
        <v>2247</v>
      </c>
      <c r="B713" s="569" t="s">
        <v>165</v>
      </c>
      <c r="C713" s="569" t="s">
        <v>7</v>
      </c>
      <c r="D713" s="574">
        <v>9</v>
      </c>
      <c r="E713" s="569"/>
      <c r="F713" s="569"/>
      <c r="G713" s="569"/>
      <c r="H713" s="569"/>
      <c r="I713" s="574">
        <v>0</v>
      </c>
      <c r="J713" s="574">
        <v>0</v>
      </c>
      <c r="K713" s="574">
        <v>0</v>
      </c>
      <c r="L713" s="574">
        <v>6.5</v>
      </c>
      <c r="M713" s="574">
        <v>0.4</v>
      </c>
      <c r="N713" s="574">
        <v>75.8</v>
      </c>
      <c r="O713" s="574">
        <v>0</v>
      </c>
      <c r="P713" s="574">
        <v>0</v>
      </c>
      <c r="Q713" s="574">
        <v>0</v>
      </c>
      <c r="R713" s="569"/>
      <c r="S713" s="569"/>
      <c r="T713" s="569"/>
      <c r="U713" s="569"/>
      <c r="V713" s="569"/>
      <c r="W713" s="569"/>
      <c r="X713" s="569"/>
      <c r="Y713" s="569"/>
      <c r="Z713" s="569"/>
      <c r="AA713" s="569"/>
      <c r="AB713" s="569"/>
      <c r="AC713" s="569"/>
      <c r="AD713" s="569"/>
      <c r="AE713" s="569"/>
      <c r="AF713" s="569"/>
      <c r="AG713" s="569"/>
      <c r="AH713" s="569"/>
      <c r="AI713" s="569"/>
      <c r="AJ713" s="569"/>
      <c r="AK713" s="569"/>
      <c r="AL713" s="569"/>
      <c r="AM713" s="569"/>
      <c r="AN713" s="574">
        <v>10.1</v>
      </c>
      <c r="AO713">
        <v>712</v>
      </c>
      <c r="AP713" t="str">
        <f t="shared" si="146"/>
        <v/>
      </c>
      <c r="AQ713" t="str">
        <f t="shared" si="147"/>
        <v/>
      </c>
      <c r="AR713" s="430">
        <f>IFERROR(
IF(AP713="",-100,
IF($BV$2&gt;0, INDEX(Beersheet!$A:$U,MATCH(AP713,INDEX(Beersheet!$A:$U,0,FFARawStatProjections!$BV$2),0),$BV$3)+$BN713,
INDEX($A713:$BM713,,$BV$12)*$BW$12+
INDEX($A713:$BM713,,$BV$15)*$BW$15+
INDEX($A713:$BM713,,$BV$16)*$BW$16+
INDEX($A713:$BM713,,$BV$17)*$BW$17+
INDEX($A713:$BM713,,$BV$18)*$BW$18+
INDEX($A713:$BM713,,$BV$19)*$BW$19+
INDEX($A713:$BM713,,$BV$20)*$BW$20+
INDEX($A713:$BM713,,$BV$21)*$BW$21+
INDEX($A713:$BM713,,$BV$22)*$BW$22+
INDEX($A713:$BM713,,$BV$23)*$BW$23+
INDEX($A713:$BM713,,$BV$25)*$BW$25+
INDEX($A713:$BM713,,$BV$26)*$BW$26+
INDEX($A713:$BM713,,$BV$27)*$BW$27+
$BN713)),
$BN713-100)</f>
        <v>-100</v>
      </c>
      <c r="AT713" t="str">
        <f t="shared" si="152"/>
        <v/>
      </c>
      <c r="AU713" t="str">
        <f t="shared" si="148"/>
        <v/>
      </c>
      <c r="AV713" s="430">
        <f>IFERROR(
IF(AT713="",-100,
IF($BV$2&gt;0, INDEX(Beersheet!$A:$U,MATCH(AT713,INDEX(Beersheet!$A:$U,0,FFARawStatProjections!$BV$2),0),$BV$3)+$BN713,
INDEX($A713:$BM713,,$BV$12)*$BW$12+
INDEX($A713:$BM713,,$BV$15)*$BW$15+
INDEX($A713:$BM713,,$BV$16)*$BW$16+
INDEX($A713:$BM713,,$BV$17)*$BW$17+
INDEX($A713:$BM713,,$BV$18)*$BW$18+
INDEX($A713:$BM713,,$BV$19)*$BW$19+
INDEX($A713:$BM713,,$BV$20)*$BW$20+
INDEX($A713:$BM713,,$BV$21)*$BW$21+
INDEX($A713:$BM713,,$BV$22)*$BW$22+
INDEX($A713:$BM713,,$BV$23)*$BW$23+
INDEX($A713:$BM713,,$BV$25)*$BW$25+
INDEX($A713:$BM713,,$BV$26)*$BW$26+
INDEX($A713:$BM713,,$BV$27)*$BW$27+
$BN713)),
$BN713-100)</f>
        <v>-100</v>
      </c>
      <c r="AX713" t="str">
        <f t="shared" si="153"/>
        <v/>
      </c>
      <c r="AY713" t="str">
        <f t="shared" si="149"/>
        <v/>
      </c>
      <c r="AZ713" s="430">
        <f>IFERROR(
IF(AX713="",-100,
IF($BV$2&gt;0, INDEX(Beersheet!$A:$U,MATCH(AX713,INDEX(Beersheet!$A:$U,0,FFARawStatProjections!$BV$2),0),$BV$3)+$BN713,
INDEX($A713:$BM713,,$BV$12)*$BW$12+
INDEX($A713:$BM713,,$BV$15)*$BW$15+
INDEX($A713:$BM713,,$BV$16)*$BW$16+
INDEX($A713:$BM713,,$BV$17)*$BW$17+
INDEX($A713:$BM713,,$BV$18)*$BW$18+
INDEX($A713:$BM713,,$BV$19)*$BW$19+
INDEX($A713:$BM713,,$BV$20)*$BW$20+
INDEX($A713:$BM713,,$BV$21)*$BW$21+
INDEX($A713:$BM713,,$BV$22)*$BW$22+
INDEX($A713:$BM713,,$BV$23)*$BW$23+
INDEX($A713:$BM713,,$BV$25)*$BW$25+
INDEX($A713:$BM713,,$BV$26)*$BW$26+
INDEX($A713:$BM713,,$BV$27)*$BW$27+
$BN713)),
$BN713-100)</f>
        <v>-100</v>
      </c>
      <c r="BB713" t="str">
        <f t="shared" si="154"/>
        <v>Luke Farrell</v>
      </c>
      <c r="BC713" t="str">
        <f t="shared" si="150"/>
        <v>JAC</v>
      </c>
      <c r="BD713" s="430">
        <f>IFERROR(
IF(BB713="",-100,
IF($BV$2&gt;0, INDEX(Beersheet!$A:$U,MATCH(BB713,INDEX(Beersheet!$A:$U,0,FFARawStatProjections!$BV$2),0),$BV$3)+$BN713,
INDEX($A713:$BM713,,$BV$12)*$BW$12+
INDEX($A713:$BM713,,$BV$15)*$BW$15+
INDEX($A713:$BM713,,$BV$16)*$BW$16+
INDEX($A713:$BM713,,$BV$17)*$BW$17+
INDEX($A713:$BM713,,$BV$18)*$BW$18+
INDEX($A713:$BM713,,$BV$19)*$BW$19+
INDEX($A713:$BM713,,$BV$20)*$BW$20+
INDEX($A713:$BM713,,$BV$21)*$BW$21+
INDEX($A713:$BM713,,$BV$22)*$BW$22+
INDEX($A713:$BM713,,$BV$23)*$BW$23+
INDEX($A713:$BM713,,$BV$25)*$BW$25+
INDEX($A713:$BM713,,$BV$26)*$BW$26+
INDEX($A713:$BM713,,$BV$27)*$BW$27+
$BN713)),
$BN713-100)</f>
        <v>16.487120000000001</v>
      </c>
      <c r="BF713" t="str">
        <f t="shared" si="155"/>
        <v/>
      </c>
      <c r="BG713" t="str">
        <f t="shared" si="151"/>
        <v/>
      </c>
      <c r="BH713">
        <f t="shared" si="156"/>
        <v>0</v>
      </c>
      <c r="BJ713" t="str">
        <f t="shared" si="157"/>
        <v/>
      </c>
      <c r="BL713">
        <f t="shared" si="145"/>
        <v>0</v>
      </c>
      <c r="BN713">
        <v>7.12000000000001E-3</v>
      </c>
      <c r="BS713" s="4" t="s">
        <v>2392</v>
      </c>
    </row>
    <row r="714" spans="1:71" ht="15.75" thickBot="1" x14ac:dyDescent="0.3">
      <c r="A714" s="569" t="s">
        <v>2248</v>
      </c>
      <c r="B714" s="569" t="s">
        <v>138</v>
      </c>
      <c r="C714" s="569" t="s">
        <v>7</v>
      </c>
      <c r="D714" s="574">
        <v>13</v>
      </c>
      <c r="E714" s="569"/>
      <c r="F714" s="569"/>
      <c r="G714" s="569"/>
      <c r="H714" s="569"/>
      <c r="I714" s="574">
        <v>0</v>
      </c>
      <c r="J714" s="574">
        <v>0</v>
      </c>
      <c r="K714" s="574">
        <v>0</v>
      </c>
      <c r="L714" s="574">
        <v>6.9</v>
      </c>
      <c r="M714" s="574">
        <v>0.4</v>
      </c>
      <c r="N714" s="574">
        <v>74.5</v>
      </c>
      <c r="O714" s="574">
        <v>0</v>
      </c>
      <c r="P714" s="574">
        <v>0</v>
      </c>
      <c r="Q714" s="574">
        <v>0</v>
      </c>
      <c r="R714" s="569"/>
      <c r="S714" s="569"/>
      <c r="T714" s="569"/>
      <c r="U714" s="569"/>
      <c r="V714" s="569"/>
      <c r="W714" s="569"/>
      <c r="X714" s="569"/>
      <c r="Y714" s="569"/>
      <c r="Z714" s="569"/>
      <c r="AA714" s="569"/>
      <c r="AB714" s="569"/>
      <c r="AC714" s="569"/>
      <c r="AD714" s="569"/>
      <c r="AE714" s="569"/>
      <c r="AF714" s="569"/>
      <c r="AG714" s="569"/>
      <c r="AH714" s="569"/>
      <c r="AI714" s="569"/>
      <c r="AJ714" s="569"/>
      <c r="AK714" s="569"/>
      <c r="AL714" s="569"/>
      <c r="AM714" s="569"/>
      <c r="AN714" s="574">
        <v>9.8000000000000007</v>
      </c>
      <c r="AO714">
        <v>713</v>
      </c>
      <c r="AP714" t="str">
        <f t="shared" si="146"/>
        <v/>
      </c>
      <c r="AQ714" t="str">
        <f t="shared" si="147"/>
        <v/>
      </c>
      <c r="AR714" s="430">
        <f>IFERROR(
IF(AP714="",-100,
IF($BV$2&gt;0, INDEX(Beersheet!$A:$U,MATCH(AP714,INDEX(Beersheet!$A:$U,0,FFARawStatProjections!$BV$2),0),$BV$3)+$BN714,
INDEX($A714:$BM714,,$BV$12)*$BW$12+
INDEX($A714:$BM714,,$BV$15)*$BW$15+
INDEX($A714:$BM714,,$BV$16)*$BW$16+
INDEX($A714:$BM714,,$BV$17)*$BW$17+
INDEX($A714:$BM714,,$BV$18)*$BW$18+
INDEX($A714:$BM714,,$BV$19)*$BW$19+
INDEX($A714:$BM714,,$BV$20)*$BW$20+
INDEX($A714:$BM714,,$BV$21)*$BW$21+
INDEX($A714:$BM714,,$BV$22)*$BW$22+
INDEX($A714:$BM714,,$BV$23)*$BW$23+
INDEX($A714:$BM714,,$BV$25)*$BW$25+
INDEX($A714:$BM714,,$BV$26)*$BW$26+
INDEX($A714:$BM714,,$BV$27)*$BW$27+
$BN714)),
$BN714-100)</f>
        <v>-100</v>
      </c>
      <c r="AT714" t="str">
        <f t="shared" si="152"/>
        <v/>
      </c>
      <c r="AU714" t="str">
        <f t="shared" si="148"/>
        <v/>
      </c>
      <c r="AV714" s="430">
        <f>IFERROR(
IF(AT714="",-100,
IF($BV$2&gt;0, INDEX(Beersheet!$A:$U,MATCH(AT714,INDEX(Beersheet!$A:$U,0,FFARawStatProjections!$BV$2),0),$BV$3)+$BN714,
INDEX($A714:$BM714,,$BV$12)*$BW$12+
INDEX($A714:$BM714,,$BV$15)*$BW$15+
INDEX($A714:$BM714,,$BV$16)*$BW$16+
INDEX($A714:$BM714,,$BV$17)*$BW$17+
INDEX($A714:$BM714,,$BV$18)*$BW$18+
INDEX($A714:$BM714,,$BV$19)*$BW$19+
INDEX($A714:$BM714,,$BV$20)*$BW$20+
INDEX($A714:$BM714,,$BV$21)*$BW$21+
INDEX($A714:$BM714,,$BV$22)*$BW$22+
INDEX($A714:$BM714,,$BV$23)*$BW$23+
INDEX($A714:$BM714,,$BV$25)*$BW$25+
INDEX($A714:$BM714,,$BV$26)*$BW$26+
INDEX($A714:$BM714,,$BV$27)*$BW$27+
$BN714)),
$BN714-100)</f>
        <v>-100</v>
      </c>
      <c r="AX714" t="str">
        <f t="shared" si="153"/>
        <v/>
      </c>
      <c r="AY714" t="str">
        <f t="shared" si="149"/>
        <v/>
      </c>
      <c r="AZ714" s="430">
        <f>IFERROR(
IF(AX714="",-100,
IF($BV$2&gt;0, INDEX(Beersheet!$A:$U,MATCH(AX714,INDEX(Beersheet!$A:$U,0,FFARawStatProjections!$BV$2),0),$BV$3)+$BN714,
INDEX($A714:$BM714,,$BV$12)*$BW$12+
INDEX($A714:$BM714,,$BV$15)*$BW$15+
INDEX($A714:$BM714,,$BV$16)*$BW$16+
INDEX($A714:$BM714,,$BV$17)*$BW$17+
INDEX($A714:$BM714,,$BV$18)*$BW$18+
INDEX($A714:$BM714,,$BV$19)*$BW$19+
INDEX($A714:$BM714,,$BV$20)*$BW$20+
INDEX($A714:$BM714,,$BV$21)*$BW$21+
INDEX($A714:$BM714,,$BV$22)*$BW$22+
INDEX($A714:$BM714,,$BV$23)*$BW$23+
INDEX($A714:$BM714,,$BV$25)*$BW$25+
INDEX($A714:$BM714,,$BV$26)*$BW$26+
INDEX($A714:$BM714,,$BV$27)*$BW$27+
$BN714)),
$BN714-100)</f>
        <v>-100</v>
      </c>
      <c r="BB714" t="str">
        <f t="shared" si="154"/>
        <v>Johnny Mundt</v>
      </c>
      <c r="BC714" t="str">
        <f t="shared" si="150"/>
        <v>MIN</v>
      </c>
      <c r="BD714" s="430">
        <f>IFERROR(
IF(BB714="",-100,
IF($BV$2&gt;0, INDEX(Beersheet!$A:$U,MATCH(BB714,INDEX(Beersheet!$A:$U,0,FFARawStatProjections!$BV$2),0),$BV$3)+$BN714,
INDEX($A714:$BM714,,$BV$12)*$BW$12+
INDEX($A714:$BM714,,$BV$15)*$BW$15+
INDEX($A714:$BM714,,$BV$16)*$BW$16+
INDEX($A714:$BM714,,$BV$17)*$BW$17+
INDEX($A714:$BM714,,$BV$18)*$BW$18+
INDEX($A714:$BM714,,$BV$19)*$BW$19+
INDEX($A714:$BM714,,$BV$20)*$BW$20+
INDEX($A714:$BM714,,$BV$21)*$BW$21+
INDEX($A714:$BM714,,$BV$22)*$BW$22+
INDEX($A714:$BM714,,$BV$23)*$BW$23+
INDEX($A714:$BM714,,$BV$25)*$BW$25+
INDEX($A714:$BM714,,$BV$26)*$BW$26+
INDEX($A714:$BM714,,$BV$27)*$BW$27+
$BN714)),
$BN714-100)</f>
        <v>16.75713</v>
      </c>
      <c r="BF714" t="str">
        <f t="shared" si="155"/>
        <v/>
      </c>
      <c r="BG714" t="str">
        <f t="shared" si="151"/>
        <v/>
      </c>
      <c r="BH714">
        <f t="shared" si="156"/>
        <v>0</v>
      </c>
      <c r="BJ714" t="str">
        <f t="shared" si="157"/>
        <v/>
      </c>
      <c r="BL714">
        <f t="shared" si="145"/>
        <v>0</v>
      </c>
      <c r="BN714">
        <v>7.1300000000000096E-3</v>
      </c>
      <c r="BS714" s="4" t="s">
        <v>2098</v>
      </c>
    </row>
    <row r="715" spans="1:71" ht="15.75" thickBot="1" x14ac:dyDescent="0.3">
      <c r="A715" s="569" t="s">
        <v>2504</v>
      </c>
      <c r="B715" s="569" t="s">
        <v>152</v>
      </c>
      <c r="C715" s="569" t="s">
        <v>7</v>
      </c>
      <c r="D715" s="574">
        <v>14</v>
      </c>
      <c r="E715" s="569"/>
      <c r="F715" s="569"/>
      <c r="G715" s="569"/>
      <c r="H715" s="569"/>
      <c r="I715" s="574">
        <v>0</v>
      </c>
      <c r="J715" s="574">
        <v>0</v>
      </c>
      <c r="K715" s="574">
        <v>0</v>
      </c>
      <c r="L715" s="574">
        <v>6.3</v>
      </c>
      <c r="M715" s="574">
        <v>0.6</v>
      </c>
      <c r="N715" s="574">
        <v>59.6</v>
      </c>
      <c r="O715" s="574">
        <v>0</v>
      </c>
      <c r="P715" s="574">
        <v>0</v>
      </c>
      <c r="Q715" s="574">
        <v>0</v>
      </c>
      <c r="R715" s="569"/>
      <c r="S715" s="569"/>
      <c r="T715" s="569"/>
      <c r="U715" s="569"/>
      <c r="V715" s="569"/>
      <c r="W715" s="569"/>
      <c r="X715" s="569"/>
      <c r="Y715" s="569"/>
      <c r="Z715" s="569"/>
      <c r="AA715" s="569"/>
      <c r="AB715" s="569"/>
      <c r="AC715" s="569"/>
      <c r="AD715" s="569"/>
      <c r="AE715" s="569"/>
      <c r="AF715" s="569"/>
      <c r="AG715" s="569"/>
      <c r="AH715" s="569"/>
      <c r="AI715" s="569"/>
      <c r="AJ715" s="569"/>
      <c r="AK715" s="569"/>
      <c r="AL715" s="569"/>
      <c r="AM715" s="569"/>
      <c r="AN715" s="574">
        <v>9.6</v>
      </c>
      <c r="AO715">
        <v>714</v>
      </c>
      <c r="AP715" t="str">
        <f t="shared" si="146"/>
        <v/>
      </c>
      <c r="AQ715" t="str">
        <f t="shared" si="147"/>
        <v/>
      </c>
      <c r="AR715" s="430">
        <f>IFERROR(
IF(AP715="",-100,
IF($BV$2&gt;0, INDEX(Beersheet!$A:$U,MATCH(AP715,INDEX(Beersheet!$A:$U,0,FFARawStatProjections!$BV$2),0),$BV$3)+$BN715,
INDEX($A715:$BM715,,$BV$12)*$BW$12+
INDEX($A715:$BM715,,$BV$15)*$BW$15+
INDEX($A715:$BM715,,$BV$16)*$BW$16+
INDEX($A715:$BM715,,$BV$17)*$BW$17+
INDEX($A715:$BM715,,$BV$18)*$BW$18+
INDEX($A715:$BM715,,$BV$19)*$BW$19+
INDEX($A715:$BM715,,$BV$20)*$BW$20+
INDEX($A715:$BM715,,$BV$21)*$BW$21+
INDEX($A715:$BM715,,$BV$22)*$BW$22+
INDEX($A715:$BM715,,$BV$23)*$BW$23+
INDEX($A715:$BM715,,$BV$25)*$BW$25+
INDEX($A715:$BM715,,$BV$26)*$BW$26+
INDEX($A715:$BM715,,$BV$27)*$BW$27+
$BN715)),
$BN715-100)</f>
        <v>-100</v>
      </c>
      <c r="AT715" t="str">
        <f t="shared" si="152"/>
        <v/>
      </c>
      <c r="AU715" t="str">
        <f t="shared" si="148"/>
        <v/>
      </c>
      <c r="AV715" s="430">
        <f>IFERROR(
IF(AT715="",-100,
IF($BV$2&gt;0, INDEX(Beersheet!$A:$U,MATCH(AT715,INDEX(Beersheet!$A:$U,0,FFARawStatProjections!$BV$2),0),$BV$3)+$BN715,
INDEX($A715:$BM715,,$BV$12)*$BW$12+
INDEX($A715:$BM715,,$BV$15)*$BW$15+
INDEX($A715:$BM715,,$BV$16)*$BW$16+
INDEX($A715:$BM715,,$BV$17)*$BW$17+
INDEX($A715:$BM715,,$BV$18)*$BW$18+
INDEX($A715:$BM715,,$BV$19)*$BW$19+
INDEX($A715:$BM715,,$BV$20)*$BW$20+
INDEX($A715:$BM715,,$BV$21)*$BW$21+
INDEX($A715:$BM715,,$BV$22)*$BW$22+
INDEX($A715:$BM715,,$BV$23)*$BW$23+
INDEX($A715:$BM715,,$BV$25)*$BW$25+
INDEX($A715:$BM715,,$BV$26)*$BW$26+
INDEX($A715:$BM715,,$BV$27)*$BW$27+
$BN715)),
$BN715-100)</f>
        <v>-100</v>
      </c>
      <c r="AX715" t="str">
        <f t="shared" si="153"/>
        <v/>
      </c>
      <c r="AY715" t="str">
        <f t="shared" si="149"/>
        <v/>
      </c>
      <c r="AZ715" s="430">
        <f>IFERROR(
IF(AX715="",-100,
IF($BV$2&gt;0, INDEX(Beersheet!$A:$U,MATCH(AX715,INDEX(Beersheet!$A:$U,0,FFARawStatProjections!$BV$2),0),$BV$3)+$BN715,
INDEX($A715:$BM715,,$BV$12)*$BW$12+
INDEX($A715:$BM715,,$BV$15)*$BW$15+
INDEX($A715:$BM715,,$BV$16)*$BW$16+
INDEX($A715:$BM715,,$BV$17)*$BW$17+
INDEX($A715:$BM715,,$BV$18)*$BW$18+
INDEX($A715:$BM715,,$BV$19)*$BW$19+
INDEX($A715:$BM715,,$BV$20)*$BW$20+
INDEX($A715:$BM715,,$BV$21)*$BW$21+
INDEX($A715:$BM715,,$BV$22)*$BW$22+
INDEX($A715:$BM715,,$BV$23)*$BW$23+
INDEX($A715:$BM715,,$BV$25)*$BW$25+
INDEX($A715:$BM715,,$BV$26)*$BW$26+
INDEX($A715:$BM715,,$BV$27)*$BW$27+
$BN715)),
$BN715-100)</f>
        <v>-100</v>
      </c>
      <c r="BB715" t="str">
        <f t="shared" si="154"/>
        <v>Curtis Hodges</v>
      </c>
      <c r="BC715" t="str">
        <f t="shared" si="150"/>
        <v>WAS</v>
      </c>
      <c r="BD715" s="430">
        <f>IFERROR(
IF(BB715="",-100,
IF($BV$2&gt;0, INDEX(Beersheet!$A:$U,MATCH(BB715,INDEX(Beersheet!$A:$U,0,FFARawStatProjections!$BV$2),0),$BV$3)+$BN715,
INDEX($A715:$BM715,,$BV$12)*$BW$12+
INDEX($A715:$BM715,,$BV$15)*$BW$15+
INDEX($A715:$BM715,,$BV$16)*$BW$16+
INDEX($A715:$BM715,,$BV$17)*$BW$17+
INDEX($A715:$BM715,,$BV$18)*$BW$18+
INDEX($A715:$BM715,,$BV$19)*$BW$19+
INDEX($A715:$BM715,,$BV$20)*$BW$20+
INDEX($A715:$BM715,,$BV$21)*$BW$21+
INDEX($A715:$BM715,,$BV$22)*$BW$22+
INDEX($A715:$BM715,,$BV$23)*$BW$23+
INDEX($A715:$BM715,,$BV$25)*$BW$25+
INDEX($A715:$BM715,,$BV$26)*$BW$26+
INDEX($A715:$BM715,,$BV$27)*$BW$27+
$BN715)),
$BN715-100)</f>
        <v>15.867139999999999</v>
      </c>
      <c r="BF715" t="str">
        <f t="shared" si="155"/>
        <v/>
      </c>
      <c r="BG715" t="str">
        <f t="shared" si="151"/>
        <v/>
      </c>
      <c r="BH715">
        <f t="shared" si="156"/>
        <v>0</v>
      </c>
      <c r="BJ715" t="str">
        <f t="shared" si="157"/>
        <v/>
      </c>
      <c r="BL715">
        <f t="shared" si="145"/>
        <v>0</v>
      </c>
      <c r="BN715">
        <v>7.1400000000000101E-3</v>
      </c>
      <c r="BS715" s="4" t="s">
        <v>2391</v>
      </c>
    </row>
    <row r="716" spans="1:71" ht="15.75" thickBot="1" x14ac:dyDescent="0.3">
      <c r="A716" s="569" t="s">
        <v>2266</v>
      </c>
      <c r="B716" s="569" t="s">
        <v>163</v>
      </c>
      <c r="C716" s="569" t="s">
        <v>7</v>
      </c>
      <c r="D716" s="574">
        <v>7</v>
      </c>
      <c r="E716" s="569"/>
      <c r="F716" s="569"/>
      <c r="G716" s="569"/>
      <c r="H716" s="569"/>
      <c r="I716" s="574">
        <v>0</v>
      </c>
      <c r="J716" s="574">
        <v>0</v>
      </c>
      <c r="K716" s="574">
        <v>0</v>
      </c>
      <c r="L716" s="574">
        <v>5.5</v>
      </c>
      <c r="M716" s="574">
        <v>0.4</v>
      </c>
      <c r="N716" s="574">
        <v>69.7</v>
      </c>
      <c r="O716" s="574">
        <v>0</v>
      </c>
      <c r="P716" s="574">
        <v>0</v>
      </c>
      <c r="Q716" s="574">
        <v>0</v>
      </c>
      <c r="R716" s="569"/>
      <c r="S716" s="569"/>
      <c r="T716" s="569"/>
      <c r="U716" s="569"/>
      <c r="V716" s="569"/>
      <c r="W716" s="569"/>
      <c r="X716" s="569"/>
      <c r="Y716" s="569"/>
      <c r="Z716" s="569"/>
      <c r="AA716" s="569"/>
      <c r="AB716" s="569"/>
      <c r="AC716" s="569"/>
      <c r="AD716" s="569"/>
      <c r="AE716" s="569"/>
      <c r="AF716" s="569"/>
      <c r="AG716" s="569"/>
      <c r="AH716" s="569"/>
      <c r="AI716" s="569"/>
      <c r="AJ716" s="569"/>
      <c r="AK716" s="569"/>
      <c r="AL716" s="569"/>
      <c r="AM716" s="569"/>
      <c r="AN716" s="574">
        <v>9.6</v>
      </c>
      <c r="AO716">
        <v>715</v>
      </c>
      <c r="AP716" t="str">
        <f t="shared" si="146"/>
        <v/>
      </c>
      <c r="AQ716" t="str">
        <f t="shared" si="147"/>
        <v/>
      </c>
      <c r="AR716" s="430">
        <f>IFERROR(
IF(AP716="",-100,
IF($BV$2&gt;0, INDEX(Beersheet!$A:$U,MATCH(AP716,INDEX(Beersheet!$A:$U,0,FFARawStatProjections!$BV$2),0),$BV$3)+$BN716,
INDEX($A716:$BM716,,$BV$12)*$BW$12+
INDEX($A716:$BM716,,$BV$15)*$BW$15+
INDEX($A716:$BM716,,$BV$16)*$BW$16+
INDEX($A716:$BM716,,$BV$17)*$BW$17+
INDEX($A716:$BM716,,$BV$18)*$BW$18+
INDEX($A716:$BM716,,$BV$19)*$BW$19+
INDEX($A716:$BM716,,$BV$20)*$BW$20+
INDEX($A716:$BM716,,$BV$21)*$BW$21+
INDEX($A716:$BM716,,$BV$22)*$BW$22+
INDEX($A716:$BM716,,$BV$23)*$BW$23+
INDEX($A716:$BM716,,$BV$25)*$BW$25+
INDEX($A716:$BM716,,$BV$26)*$BW$26+
INDEX($A716:$BM716,,$BV$27)*$BW$27+
$BN716)),
$BN716-100)</f>
        <v>-100</v>
      </c>
      <c r="AT716" t="str">
        <f t="shared" si="152"/>
        <v/>
      </c>
      <c r="AU716" t="str">
        <f t="shared" si="148"/>
        <v/>
      </c>
      <c r="AV716" s="430">
        <f>IFERROR(
IF(AT716="",-100,
IF($BV$2&gt;0, INDEX(Beersheet!$A:$U,MATCH(AT716,INDEX(Beersheet!$A:$U,0,FFARawStatProjections!$BV$2),0),$BV$3)+$BN716,
INDEX($A716:$BM716,,$BV$12)*$BW$12+
INDEX($A716:$BM716,,$BV$15)*$BW$15+
INDEX($A716:$BM716,,$BV$16)*$BW$16+
INDEX($A716:$BM716,,$BV$17)*$BW$17+
INDEX($A716:$BM716,,$BV$18)*$BW$18+
INDEX($A716:$BM716,,$BV$19)*$BW$19+
INDEX($A716:$BM716,,$BV$20)*$BW$20+
INDEX($A716:$BM716,,$BV$21)*$BW$21+
INDEX($A716:$BM716,,$BV$22)*$BW$22+
INDEX($A716:$BM716,,$BV$23)*$BW$23+
INDEX($A716:$BM716,,$BV$25)*$BW$25+
INDEX($A716:$BM716,,$BV$26)*$BW$26+
INDEX($A716:$BM716,,$BV$27)*$BW$27+
$BN716)),
$BN716-100)</f>
        <v>-100</v>
      </c>
      <c r="AX716" t="str">
        <f t="shared" si="153"/>
        <v/>
      </c>
      <c r="AY716" t="str">
        <f t="shared" si="149"/>
        <v/>
      </c>
      <c r="AZ716" s="430">
        <f>IFERROR(
IF(AX716="",-100,
IF($BV$2&gt;0, INDEX(Beersheet!$A:$U,MATCH(AX716,INDEX(Beersheet!$A:$U,0,FFARawStatProjections!$BV$2),0),$BV$3)+$BN716,
INDEX($A716:$BM716,,$BV$12)*$BW$12+
INDEX($A716:$BM716,,$BV$15)*$BW$15+
INDEX($A716:$BM716,,$BV$16)*$BW$16+
INDEX($A716:$BM716,,$BV$17)*$BW$17+
INDEX($A716:$BM716,,$BV$18)*$BW$18+
INDEX($A716:$BM716,,$BV$19)*$BW$19+
INDEX($A716:$BM716,,$BV$20)*$BW$20+
INDEX($A716:$BM716,,$BV$21)*$BW$21+
INDEX($A716:$BM716,,$BV$22)*$BW$22+
INDEX($A716:$BM716,,$BV$23)*$BW$23+
INDEX($A716:$BM716,,$BV$25)*$BW$25+
INDEX($A716:$BM716,,$BV$26)*$BW$26+
INDEX($A716:$BM716,,$BV$27)*$BW$27+
$BN716)),
$BN716-100)</f>
        <v>-100</v>
      </c>
      <c r="BB716" t="str">
        <f t="shared" si="154"/>
        <v>Kevin Rader</v>
      </c>
      <c r="BC716" t="str">
        <f t="shared" si="150"/>
        <v>TEN</v>
      </c>
      <c r="BD716" s="430">
        <f>IFERROR(
IF(BB716="",-100,
IF($BV$2&gt;0, INDEX(Beersheet!$A:$U,MATCH(BB716,INDEX(Beersheet!$A:$U,0,FFARawStatProjections!$BV$2),0),$BV$3)+$BN716,
INDEX($A716:$BM716,,$BV$12)*$BW$12+
INDEX($A716:$BM716,,$BV$15)*$BW$15+
INDEX($A716:$BM716,,$BV$16)*$BW$16+
INDEX($A716:$BM716,,$BV$17)*$BW$17+
INDEX($A716:$BM716,,$BV$18)*$BW$18+
INDEX($A716:$BM716,,$BV$19)*$BW$19+
INDEX($A716:$BM716,,$BV$20)*$BW$20+
INDEX($A716:$BM716,,$BV$21)*$BW$21+
INDEX($A716:$BM716,,$BV$22)*$BW$22+
INDEX($A716:$BM716,,$BV$23)*$BW$23+
INDEX($A716:$BM716,,$BV$25)*$BW$25+
INDEX($A716:$BM716,,$BV$26)*$BW$26+
INDEX($A716:$BM716,,$BV$27)*$BW$27+
$BN716)),
$BN716-100)</f>
        <v>14.87715</v>
      </c>
      <c r="BF716" t="str">
        <f t="shared" si="155"/>
        <v/>
      </c>
      <c r="BG716" t="str">
        <f t="shared" si="151"/>
        <v/>
      </c>
      <c r="BH716">
        <f t="shared" si="156"/>
        <v>0</v>
      </c>
      <c r="BJ716" t="str">
        <f t="shared" si="157"/>
        <v/>
      </c>
      <c r="BL716">
        <f t="shared" si="145"/>
        <v>0</v>
      </c>
      <c r="BN716">
        <v>7.1500000000000096E-3</v>
      </c>
      <c r="BS716" s="4" t="s">
        <v>48</v>
      </c>
    </row>
    <row r="717" spans="1:71" ht="15.75" thickBot="1" x14ac:dyDescent="0.3">
      <c r="A717" s="569" t="s">
        <v>2261</v>
      </c>
      <c r="B717" s="569" t="s">
        <v>2073</v>
      </c>
      <c r="C717" s="569" t="s">
        <v>7</v>
      </c>
      <c r="D717" s="574">
        <v>13</v>
      </c>
      <c r="E717" s="569"/>
      <c r="F717" s="569"/>
      <c r="G717" s="569"/>
      <c r="H717" s="569"/>
      <c r="I717" s="574">
        <v>0</v>
      </c>
      <c r="J717" s="574">
        <v>0</v>
      </c>
      <c r="K717" s="574">
        <v>0</v>
      </c>
      <c r="L717" s="574">
        <v>5.8</v>
      </c>
      <c r="M717" s="574">
        <v>0.5</v>
      </c>
      <c r="N717" s="574">
        <v>65.400000000000006</v>
      </c>
      <c r="O717" s="574">
        <v>0</v>
      </c>
      <c r="P717" s="574">
        <v>0</v>
      </c>
      <c r="Q717" s="574">
        <v>0</v>
      </c>
      <c r="R717" s="569"/>
      <c r="S717" s="569"/>
      <c r="T717" s="569"/>
      <c r="U717" s="569"/>
      <c r="V717" s="569"/>
      <c r="W717" s="569"/>
      <c r="X717" s="569"/>
      <c r="Y717" s="569"/>
      <c r="Z717" s="569"/>
      <c r="AA717" s="569"/>
      <c r="AB717" s="569"/>
      <c r="AC717" s="569"/>
      <c r="AD717" s="569"/>
      <c r="AE717" s="569"/>
      <c r="AF717" s="569"/>
      <c r="AG717" s="569"/>
      <c r="AH717" s="569"/>
      <c r="AI717" s="569"/>
      <c r="AJ717" s="569"/>
      <c r="AK717" s="569"/>
      <c r="AL717" s="569"/>
      <c r="AM717" s="569"/>
      <c r="AN717" s="574">
        <v>9.4</v>
      </c>
      <c r="AO717">
        <v>716</v>
      </c>
      <c r="AP717" t="str">
        <f t="shared" si="146"/>
        <v/>
      </c>
      <c r="AQ717" t="str">
        <f t="shared" si="147"/>
        <v/>
      </c>
      <c r="AR717" s="430">
        <f>IFERROR(
IF(AP717="",-100,
IF($BV$2&gt;0, INDEX(Beersheet!$A:$U,MATCH(AP717,INDEX(Beersheet!$A:$U,0,FFARawStatProjections!$BV$2),0),$BV$3)+$BN717,
INDEX($A717:$BM717,,$BV$12)*$BW$12+
INDEX($A717:$BM717,,$BV$15)*$BW$15+
INDEX($A717:$BM717,,$BV$16)*$BW$16+
INDEX($A717:$BM717,,$BV$17)*$BW$17+
INDEX($A717:$BM717,,$BV$18)*$BW$18+
INDEX($A717:$BM717,,$BV$19)*$BW$19+
INDEX($A717:$BM717,,$BV$20)*$BW$20+
INDEX($A717:$BM717,,$BV$21)*$BW$21+
INDEX($A717:$BM717,,$BV$22)*$BW$22+
INDEX($A717:$BM717,,$BV$23)*$BW$23+
INDEX($A717:$BM717,,$BV$25)*$BW$25+
INDEX($A717:$BM717,,$BV$26)*$BW$26+
INDEX($A717:$BM717,,$BV$27)*$BW$27+
$BN717)),
$BN717-100)</f>
        <v>-100</v>
      </c>
      <c r="AT717" t="str">
        <f t="shared" si="152"/>
        <v/>
      </c>
      <c r="AU717" t="str">
        <f t="shared" si="148"/>
        <v/>
      </c>
      <c r="AV717" s="430">
        <f>IFERROR(
IF(AT717="",-100,
IF($BV$2&gt;0, INDEX(Beersheet!$A:$U,MATCH(AT717,INDEX(Beersheet!$A:$U,0,FFARawStatProjections!$BV$2),0),$BV$3)+$BN717,
INDEX($A717:$BM717,,$BV$12)*$BW$12+
INDEX($A717:$BM717,,$BV$15)*$BW$15+
INDEX($A717:$BM717,,$BV$16)*$BW$16+
INDEX($A717:$BM717,,$BV$17)*$BW$17+
INDEX($A717:$BM717,,$BV$18)*$BW$18+
INDEX($A717:$BM717,,$BV$19)*$BW$19+
INDEX($A717:$BM717,,$BV$20)*$BW$20+
INDEX($A717:$BM717,,$BV$21)*$BW$21+
INDEX($A717:$BM717,,$BV$22)*$BW$22+
INDEX($A717:$BM717,,$BV$23)*$BW$23+
INDEX($A717:$BM717,,$BV$25)*$BW$25+
INDEX($A717:$BM717,,$BV$26)*$BW$26+
INDEX($A717:$BM717,,$BV$27)*$BW$27+
$BN717)),
$BN717-100)</f>
        <v>-100</v>
      </c>
      <c r="AX717" t="str">
        <f t="shared" si="153"/>
        <v/>
      </c>
      <c r="AY717" t="str">
        <f t="shared" si="149"/>
        <v/>
      </c>
      <c r="AZ717" s="430">
        <f>IFERROR(
IF(AX717="",-100,
IF($BV$2&gt;0, INDEX(Beersheet!$A:$U,MATCH(AX717,INDEX(Beersheet!$A:$U,0,FFARawStatProjections!$BV$2),0),$BV$3)+$BN717,
INDEX($A717:$BM717,,$BV$12)*$BW$12+
INDEX($A717:$BM717,,$BV$15)*$BW$15+
INDEX($A717:$BM717,,$BV$16)*$BW$16+
INDEX($A717:$BM717,,$BV$17)*$BW$17+
INDEX($A717:$BM717,,$BV$18)*$BW$18+
INDEX($A717:$BM717,,$BV$19)*$BW$19+
INDEX($A717:$BM717,,$BV$20)*$BW$20+
INDEX($A717:$BM717,,$BV$21)*$BW$21+
INDEX($A717:$BM717,,$BV$22)*$BW$22+
INDEX($A717:$BM717,,$BV$23)*$BW$23+
INDEX($A717:$BM717,,$BV$25)*$BW$25+
INDEX($A717:$BM717,,$BV$26)*$BW$26+
INDEX($A717:$BM717,,$BV$27)*$BW$27+
$BN717)),
$BN717-100)</f>
        <v>-100</v>
      </c>
      <c r="BB717" t="str">
        <f t="shared" si="154"/>
        <v>Jesper Horsted</v>
      </c>
      <c r="BC717" t="str">
        <f t="shared" si="150"/>
        <v>LV</v>
      </c>
      <c r="BD717" s="430">
        <f>IFERROR(
IF(BB717="",-100,
IF($BV$2&gt;0, INDEX(Beersheet!$A:$U,MATCH(BB717,INDEX(Beersheet!$A:$U,0,FFARawStatProjections!$BV$2),0),$BV$3)+$BN717,
INDEX($A717:$BM717,,$BV$12)*$BW$12+
INDEX($A717:$BM717,,$BV$15)*$BW$15+
INDEX($A717:$BM717,,$BV$16)*$BW$16+
INDEX($A717:$BM717,,$BV$17)*$BW$17+
INDEX($A717:$BM717,,$BV$18)*$BW$18+
INDEX($A717:$BM717,,$BV$19)*$BW$19+
INDEX($A717:$BM717,,$BV$20)*$BW$20+
INDEX($A717:$BM717,,$BV$21)*$BW$21+
INDEX($A717:$BM717,,$BV$22)*$BW$22+
INDEX($A717:$BM717,,$BV$23)*$BW$23+
INDEX($A717:$BM717,,$BV$25)*$BW$25+
INDEX($A717:$BM717,,$BV$26)*$BW$26+
INDEX($A717:$BM717,,$BV$27)*$BW$27+
$BN717)),
$BN717-100)</f>
        <v>15.347160000000002</v>
      </c>
      <c r="BF717" t="str">
        <f t="shared" si="155"/>
        <v/>
      </c>
      <c r="BG717" t="str">
        <f t="shared" si="151"/>
        <v/>
      </c>
      <c r="BH717">
        <f t="shared" si="156"/>
        <v>0</v>
      </c>
      <c r="BJ717" t="str">
        <f t="shared" si="157"/>
        <v/>
      </c>
      <c r="BL717">
        <f t="shared" si="145"/>
        <v>0</v>
      </c>
      <c r="BN717">
        <v>7.1600000000000101E-3</v>
      </c>
      <c r="BS717" s="4" t="s">
        <v>2390</v>
      </c>
    </row>
    <row r="718" spans="1:71" ht="15.75" thickBot="1" x14ac:dyDescent="0.3">
      <c r="A718" s="569" t="s">
        <v>2408</v>
      </c>
      <c r="B718" s="569" t="s">
        <v>1388</v>
      </c>
      <c r="C718" s="569" t="s">
        <v>7</v>
      </c>
      <c r="D718" s="574">
        <v>5</v>
      </c>
      <c r="E718" s="569"/>
      <c r="F718" s="569"/>
      <c r="G718" s="569"/>
      <c r="H718" s="569"/>
      <c r="I718" s="574">
        <v>0</v>
      </c>
      <c r="J718" s="574">
        <v>0</v>
      </c>
      <c r="K718" s="574">
        <v>0</v>
      </c>
      <c r="L718" s="574">
        <v>9</v>
      </c>
      <c r="M718" s="574">
        <v>0.6</v>
      </c>
      <c r="N718" s="574">
        <v>59.3</v>
      </c>
      <c r="O718" s="574">
        <v>0</v>
      </c>
      <c r="P718" s="574">
        <v>0</v>
      </c>
      <c r="Q718" s="574">
        <v>0</v>
      </c>
      <c r="R718" s="569"/>
      <c r="S718" s="569"/>
      <c r="T718" s="569"/>
      <c r="U718" s="569"/>
      <c r="V718" s="569"/>
      <c r="W718" s="569"/>
      <c r="X718" s="569"/>
      <c r="Y718" s="569"/>
      <c r="Z718" s="569"/>
      <c r="AA718" s="569"/>
      <c r="AB718" s="569"/>
      <c r="AC718" s="569"/>
      <c r="AD718" s="569"/>
      <c r="AE718" s="569"/>
      <c r="AF718" s="569"/>
      <c r="AG718" s="569"/>
      <c r="AH718" s="569"/>
      <c r="AI718" s="569"/>
      <c r="AJ718" s="569"/>
      <c r="AK718" s="569"/>
      <c r="AL718" s="569"/>
      <c r="AM718" s="569"/>
      <c r="AN718" s="574">
        <v>9.3000000000000007</v>
      </c>
      <c r="AO718">
        <v>717</v>
      </c>
      <c r="AP718" t="str">
        <f t="shared" si="146"/>
        <v/>
      </c>
      <c r="AQ718" t="str">
        <f t="shared" si="147"/>
        <v/>
      </c>
      <c r="AR718" s="430">
        <f>IFERROR(
IF(AP718="",-100,
IF($BV$2&gt;0, INDEX(Beersheet!$A:$U,MATCH(AP718,INDEX(Beersheet!$A:$U,0,FFARawStatProjections!$BV$2),0),$BV$3)+$BN718,
INDEX($A718:$BM718,,$BV$12)*$BW$12+
INDEX($A718:$BM718,,$BV$15)*$BW$15+
INDEX($A718:$BM718,,$BV$16)*$BW$16+
INDEX($A718:$BM718,,$BV$17)*$BW$17+
INDEX($A718:$BM718,,$BV$18)*$BW$18+
INDEX($A718:$BM718,,$BV$19)*$BW$19+
INDEX($A718:$BM718,,$BV$20)*$BW$20+
INDEX($A718:$BM718,,$BV$21)*$BW$21+
INDEX($A718:$BM718,,$BV$22)*$BW$22+
INDEX($A718:$BM718,,$BV$23)*$BW$23+
INDEX($A718:$BM718,,$BV$25)*$BW$25+
INDEX($A718:$BM718,,$BV$26)*$BW$26+
INDEX($A718:$BM718,,$BV$27)*$BW$27+
$BN718)),
$BN718-100)</f>
        <v>-100</v>
      </c>
      <c r="AT718" t="str">
        <f t="shared" si="152"/>
        <v/>
      </c>
      <c r="AU718" t="str">
        <f t="shared" si="148"/>
        <v/>
      </c>
      <c r="AV718" s="430">
        <f>IFERROR(
IF(AT718="",-100,
IF($BV$2&gt;0, INDEX(Beersheet!$A:$U,MATCH(AT718,INDEX(Beersheet!$A:$U,0,FFARawStatProjections!$BV$2),0),$BV$3)+$BN718,
INDEX($A718:$BM718,,$BV$12)*$BW$12+
INDEX($A718:$BM718,,$BV$15)*$BW$15+
INDEX($A718:$BM718,,$BV$16)*$BW$16+
INDEX($A718:$BM718,,$BV$17)*$BW$17+
INDEX($A718:$BM718,,$BV$18)*$BW$18+
INDEX($A718:$BM718,,$BV$19)*$BW$19+
INDEX($A718:$BM718,,$BV$20)*$BW$20+
INDEX($A718:$BM718,,$BV$21)*$BW$21+
INDEX($A718:$BM718,,$BV$22)*$BW$22+
INDEX($A718:$BM718,,$BV$23)*$BW$23+
INDEX($A718:$BM718,,$BV$25)*$BW$25+
INDEX($A718:$BM718,,$BV$26)*$BW$26+
INDEX($A718:$BM718,,$BV$27)*$BW$27+
$BN718)),
$BN718-100)</f>
        <v>-100</v>
      </c>
      <c r="AX718" t="str">
        <f t="shared" si="153"/>
        <v/>
      </c>
      <c r="AY718" t="str">
        <f t="shared" si="149"/>
        <v/>
      </c>
      <c r="AZ718" s="430">
        <f>IFERROR(
IF(AX718="",-100,
IF($BV$2&gt;0, INDEX(Beersheet!$A:$U,MATCH(AX718,INDEX(Beersheet!$A:$U,0,FFARawStatProjections!$BV$2),0),$BV$3)+$BN718,
INDEX($A718:$BM718,,$BV$12)*$BW$12+
INDEX($A718:$BM718,,$BV$15)*$BW$15+
INDEX($A718:$BM718,,$BV$16)*$BW$16+
INDEX($A718:$BM718,,$BV$17)*$BW$17+
INDEX($A718:$BM718,,$BV$18)*$BW$18+
INDEX($A718:$BM718,,$BV$19)*$BW$19+
INDEX($A718:$BM718,,$BV$20)*$BW$20+
INDEX($A718:$BM718,,$BV$21)*$BW$21+
INDEX($A718:$BM718,,$BV$22)*$BW$22+
INDEX($A718:$BM718,,$BV$23)*$BW$23+
INDEX($A718:$BM718,,$BV$25)*$BW$25+
INDEX($A718:$BM718,,$BV$26)*$BW$26+
INDEX($A718:$BM718,,$BV$27)*$BW$27+
$BN718)),
$BN718-100)</f>
        <v>-100</v>
      </c>
      <c r="BB718" t="str">
        <f t="shared" si="154"/>
        <v>Stone Smartt</v>
      </c>
      <c r="BC718" t="str">
        <f t="shared" si="150"/>
        <v>LAC</v>
      </c>
      <c r="BD718" s="430">
        <f>IFERROR(
IF(BB718="",-100,
IF($BV$2&gt;0, INDEX(Beersheet!$A:$U,MATCH(BB718,INDEX(Beersheet!$A:$U,0,FFARawStatProjections!$BV$2),0),$BV$3)+$BN718,
INDEX($A718:$BM718,,$BV$12)*$BW$12+
INDEX($A718:$BM718,,$BV$15)*$BW$15+
INDEX($A718:$BM718,,$BV$16)*$BW$16+
INDEX($A718:$BM718,,$BV$17)*$BW$17+
INDEX($A718:$BM718,,$BV$18)*$BW$18+
INDEX($A718:$BM718,,$BV$19)*$BW$19+
INDEX($A718:$BM718,,$BV$20)*$BW$20+
INDEX($A718:$BM718,,$BV$21)*$BW$21+
INDEX($A718:$BM718,,$BV$22)*$BW$22+
INDEX($A718:$BM718,,$BV$23)*$BW$23+
INDEX($A718:$BM718,,$BV$25)*$BW$25+
INDEX($A718:$BM718,,$BV$26)*$BW$26+
INDEX($A718:$BM718,,$BV$27)*$BW$27+
$BN718)),
$BN718-100)</f>
        <v>18.53717</v>
      </c>
      <c r="BF718" t="str">
        <f t="shared" si="155"/>
        <v/>
      </c>
      <c r="BG718" t="str">
        <f t="shared" si="151"/>
        <v/>
      </c>
      <c r="BH718">
        <f t="shared" si="156"/>
        <v>0</v>
      </c>
      <c r="BJ718" t="str">
        <f t="shared" si="157"/>
        <v/>
      </c>
      <c r="BL718">
        <f t="shared" si="145"/>
        <v>0</v>
      </c>
      <c r="BN718">
        <v>7.1700000000000097E-3</v>
      </c>
      <c r="BS718" s="4" t="s">
        <v>2260</v>
      </c>
    </row>
    <row r="719" spans="1:71" ht="15.75" thickBot="1" x14ac:dyDescent="0.3">
      <c r="A719" s="569" t="s">
        <v>2106</v>
      </c>
      <c r="B719" s="569" t="s">
        <v>145</v>
      </c>
      <c r="C719" s="569" t="s">
        <v>7</v>
      </c>
      <c r="D719" s="574">
        <v>7</v>
      </c>
      <c r="E719" s="569"/>
      <c r="F719" s="569"/>
      <c r="G719" s="569"/>
      <c r="H719" s="569"/>
      <c r="I719" s="574">
        <v>0</v>
      </c>
      <c r="J719" s="574">
        <v>0</v>
      </c>
      <c r="K719" s="574">
        <v>0</v>
      </c>
      <c r="L719" s="574">
        <v>5.6</v>
      </c>
      <c r="M719" s="574">
        <v>0.4</v>
      </c>
      <c r="N719" s="574">
        <v>64.400000000000006</v>
      </c>
      <c r="O719" s="574">
        <v>0</v>
      </c>
      <c r="P719" s="574">
        <v>0</v>
      </c>
      <c r="Q719" s="574">
        <v>0</v>
      </c>
      <c r="R719" s="569"/>
      <c r="S719" s="569"/>
      <c r="T719" s="569"/>
      <c r="U719" s="569"/>
      <c r="V719" s="569"/>
      <c r="W719" s="569"/>
      <c r="X719" s="569"/>
      <c r="Y719" s="569"/>
      <c r="Z719" s="569"/>
      <c r="AA719" s="569"/>
      <c r="AB719" s="569"/>
      <c r="AC719" s="569"/>
      <c r="AD719" s="569"/>
      <c r="AE719" s="569"/>
      <c r="AF719" s="569"/>
      <c r="AG719" s="569"/>
      <c r="AH719" s="569"/>
      <c r="AI719" s="569"/>
      <c r="AJ719" s="569"/>
      <c r="AK719" s="569"/>
      <c r="AL719" s="569"/>
      <c r="AM719" s="569"/>
      <c r="AN719" s="574">
        <v>9</v>
      </c>
      <c r="AO719">
        <v>718</v>
      </c>
      <c r="AP719" t="str">
        <f t="shared" si="146"/>
        <v/>
      </c>
      <c r="AQ719" t="str">
        <f t="shared" si="147"/>
        <v/>
      </c>
      <c r="AR719" s="430">
        <f>IFERROR(
IF(AP719="",-100,
IF($BV$2&gt;0, INDEX(Beersheet!$A:$U,MATCH(AP719,INDEX(Beersheet!$A:$U,0,FFARawStatProjections!$BV$2),0),$BV$3)+$BN719,
INDEX($A719:$BM719,,$BV$12)*$BW$12+
INDEX($A719:$BM719,,$BV$15)*$BW$15+
INDEX($A719:$BM719,,$BV$16)*$BW$16+
INDEX($A719:$BM719,,$BV$17)*$BW$17+
INDEX($A719:$BM719,,$BV$18)*$BW$18+
INDEX($A719:$BM719,,$BV$19)*$BW$19+
INDEX($A719:$BM719,,$BV$20)*$BW$20+
INDEX($A719:$BM719,,$BV$21)*$BW$21+
INDEX($A719:$BM719,,$BV$22)*$BW$22+
INDEX($A719:$BM719,,$BV$23)*$BW$23+
INDEX($A719:$BM719,,$BV$25)*$BW$25+
INDEX($A719:$BM719,,$BV$26)*$BW$26+
INDEX($A719:$BM719,,$BV$27)*$BW$27+
$BN719)),
$BN719-100)</f>
        <v>-100</v>
      </c>
      <c r="AT719" t="str">
        <f t="shared" si="152"/>
        <v/>
      </c>
      <c r="AU719" t="str">
        <f t="shared" si="148"/>
        <v/>
      </c>
      <c r="AV719" s="430">
        <f>IFERROR(
IF(AT719="",-100,
IF($BV$2&gt;0, INDEX(Beersheet!$A:$U,MATCH(AT719,INDEX(Beersheet!$A:$U,0,FFARawStatProjections!$BV$2),0),$BV$3)+$BN719,
INDEX($A719:$BM719,,$BV$12)*$BW$12+
INDEX($A719:$BM719,,$BV$15)*$BW$15+
INDEX($A719:$BM719,,$BV$16)*$BW$16+
INDEX($A719:$BM719,,$BV$17)*$BW$17+
INDEX($A719:$BM719,,$BV$18)*$BW$18+
INDEX($A719:$BM719,,$BV$19)*$BW$19+
INDEX($A719:$BM719,,$BV$20)*$BW$20+
INDEX($A719:$BM719,,$BV$21)*$BW$21+
INDEX($A719:$BM719,,$BV$22)*$BW$22+
INDEX($A719:$BM719,,$BV$23)*$BW$23+
INDEX($A719:$BM719,,$BV$25)*$BW$25+
INDEX($A719:$BM719,,$BV$26)*$BW$26+
INDEX($A719:$BM719,,$BV$27)*$BW$27+
$BN719)),
$BN719-100)</f>
        <v>-100</v>
      </c>
      <c r="AX719" t="str">
        <f t="shared" si="153"/>
        <v/>
      </c>
      <c r="AY719" t="str">
        <f t="shared" si="149"/>
        <v/>
      </c>
      <c r="AZ719" s="430">
        <f>IFERROR(
IF(AX719="",-100,
IF($BV$2&gt;0, INDEX(Beersheet!$A:$U,MATCH(AX719,INDEX(Beersheet!$A:$U,0,FFARawStatProjections!$BV$2),0),$BV$3)+$BN719,
INDEX($A719:$BM719,,$BV$12)*$BW$12+
INDEX($A719:$BM719,,$BV$15)*$BW$15+
INDEX($A719:$BM719,,$BV$16)*$BW$16+
INDEX($A719:$BM719,,$BV$17)*$BW$17+
INDEX($A719:$BM719,,$BV$18)*$BW$18+
INDEX($A719:$BM719,,$BV$19)*$BW$19+
INDEX($A719:$BM719,,$BV$20)*$BW$20+
INDEX($A719:$BM719,,$BV$21)*$BW$21+
INDEX($A719:$BM719,,$BV$22)*$BW$22+
INDEX($A719:$BM719,,$BV$23)*$BW$23+
INDEX($A719:$BM719,,$BV$25)*$BW$25+
INDEX($A719:$BM719,,$BV$26)*$BW$26+
INDEX($A719:$BM719,,$BV$27)*$BW$27+
$BN719)),
$BN719-100)</f>
        <v>-100</v>
      </c>
      <c r="BB719" t="str">
        <f t="shared" si="154"/>
        <v>Devin Asiasi</v>
      </c>
      <c r="BC719" t="str">
        <f t="shared" si="150"/>
        <v>CIN</v>
      </c>
      <c r="BD719" s="430">
        <f>IFERROR(
IF(BB719="",-100,
IF($BV$2&gt;0, INDEX(Beersheet!$A:$U,MATCH(BB719,INDEX(Beersheet!$A:$U,0,FFARawStatProjections!$BV$2),0),$BV$3)+$BN719,
INDEX($A719:$BM719,,$BV$12)*$BW$12+
INDEX($A719:$BM719,,$BV$15)*$BW$15+
INDEX($A719:$BM719,,$BV$16)*$BW$16+
INDEX($A719:$BM719,,$BV$17)*$BW$17+
INDEX($A719:$BM719,,$BV$18)*$BW$18+
INDEX($A719:$BM719,,$BV$19)*$BW$19+
INDEX($A719:$BM719,,$BV$20)*$BW$20+
INDEX($A719:$BM719,,$BV$21)*$BW$21+
INDEX($A719:$BM719,,$BV$22)*$BW$22+
INDEX($A719:$BM719,,$BV$23)*$BW$23+
INDEX($A719:$BM719,,$BV$25)*$BW$25+
INDEX($A719:$BM719,,$BV$26)*$BW$26+
INDEX($A719:$BM719,,$BV$27)*$BW$27+
$BN719)),
$BN719-100)</f>
        <v>14.447180000000001</v>
      </c>
      <c r="BF719" t="str">
        <f t="shared" si="155"/>
        <v/>
      </c>
      <c r="BG719" t="str">
        <f t="shared" si="151"/>
        <v/>
      </c>
      <c r="BH719">
        <f t="shared" si="156"/>
        <v>0</v>
      </c>
      <c r="BJ719" t="str">
        <f t="shared" si="157"/>
        <v/>
      </c>
      <c r="BL719">
        <f t="shared" si="145"/>
        <v>0</v>
      </c>
      <c r="BN719">
        <v>7.1800000000000102E-3</v>
      </c>
      <c r="BS719" s="4" t="s">
        <v>1833</v>
      </c>
    </row>
    <row r="720" spans="1:71" ht="15.75" thickBot="1" x14ac:dyDescent="0.3">
      <c r="A720" s="569" t="s">
        <v>2376</v>
      </c>
      <c r="B720" s="569" t="s">
        <v>145</v>
      </c>
      <c r="C720" s="569" t="s">
        <v>7</v>
      </c>
      <c r="D720" s="574">
        <v>7</v>
      </c>
      <c r="E720" s="569"/>
      <c r="F720" s="569"/>
      <c r="G720" s="569"/>
      <c r="H720" s="569"/>
      <c r="I720" s="574">
        <v>0</v>
      </c>
      <c r="J720" s="574">
        <v>0</v>
      </c>
      <c r="K720" s="574">
        <v>0</v>
      </c>
      <c r="L720" s="574">
        <v>6.3</v>
      </c>
      <c r="M720" s="574">
        <v>0.3</v>
      </c>
      <c r="N720" s="574">
        <v>74.7</v>
      </c>
      <c r="O720" s="574">
        <v>0</v>
      </c>
      <c r="P720" s="574">
        <v>0</v>
      </c>
      <c r="Q720" s="574">
        <v>0</v>
      </c>
      <c r="R720" s="569"/>
      <c r="S720" s="569"/>
      <c r="T720" s="569"/>
      <c r="U720" s="569"/>
      <c r="V720" s="569"/>
      <c r="W720" s="569"/>
      <c r="X720" s="569"/>
      <c r="Y720" s="569"/>
      <c r="Z720" s="569"/>
      <c r="AA720" s="569"/>
      <c r="AB720" s="569"/>
      <c r="AC720" s="569"/>
      <c r="AD720" s="569"/>
      <c r="AE720" s="569"/>
      <c r="AF720" s="569"/>
      <c r="AG720" s="569"/>
      <c r="AH720" s="569"/>
      <c r="AI720" s="569"/>
      <c r="AJ720" s="569"/>
      <c r="AK720" s="569"/>
      <c r="AL720" s="569"/>
      <c r="AM720" s="569"/>
      <c r="AN720" s="574">
        <v>8.9</v>
      </c>
      <c r="AO720">
        <v>719</v>
      </c>
      <c r="AP720" t="str">
        <f t="shared" si="146"/>
        <v/>
      </c>
      <c r="AQ720" t="str">
        <f t="shared" si="147"/>
        <v/>
      </c>
      <c r="AR720" s="430">
        <f>IFERROR(
IF(AP720="",-100,
IF($BV$2&gt;0, INDEX(Beersheet!$A:$U,MATCH(AP720,INDEX(Beersheet!$A:$U,0,FFARawStatProjections!$BV$2),0),$BV$3)+$BN720,
INDEX($A720:$BM720,,$BV$12)*$BW$12+
INDEX($A720:$BM720,,$BV$15)*$BW$15+
INDEX($A720:$BM720,,$BV$16)*$BW$16+
INDEX($A720:$BM720,,$BV$17)*$BW$17+
INDEX($A720:$BM720,,$BV$18)*$BW$18+
INDEX($A720:$BM720,,$BV$19)*$BW$19+
INDEX($A720:$BM720,,$BV$20)*$BW$20+
INDEX($A720:$BM720,,$BV$21)*$BW$21+
INDEX($A720:$BM720,,$BV$22)*$BW$22+
INDEX($A720:$BM720,,$BV$23)*$BW$23+
INDEX($A720:$BM720,,$BV$25)*$BW$25+
INDEX($A720:$BM720,,$BV$26)*$BW$26+
INDEX($A720:$BM720,,$BV$27)*$BW$27+
$BN720)),
$BN720-100)</f>
        <v>-100</v>
      </c>
      <c r="AT720" t="str">
        <f t="shared" si="152"/>
        <v/>
      </c>
      <c r="AU720" t="str">
        <f t="shared" si="148"/>
        <v/>
      </c>
      <c r="AV720" s="430">
        <f>IFERROR(
IF(AT720="",-100,
IF($BV$2&gt;0, INDEX(Beersheet!$A:$U,MATCH(AT720,INDEX(Beersheet!$A:$U,0,FFARawStatProjections!$BV$2),0),$BV$3)+$BN720,
INDEX($A720:$BM720,,$BV$12)*$BW$12+
INDEX($A720:$BM720,,$BV$15)*$BW$15+
INDEX($A720:$BM720,,$BV$16)*$BW$16+
INDEX($A720:$BM720,,$BV$17)*$BW$17+
INDEX($A720:$BM720,,$BV$18)*$BW$18+
INDEX($A720:$BM720,,$BV$19)*$BW$19+
INDEX($A720:$BM720,,$BV$20)*$BW$20+
INDEX($A720:$BM720,,$BV$21)*$BW$21+
INDEX($A720:$BM720,,$BV$22)*$BW$22+
INDEX($A720:$BM720,,$BV$23)*$BW$23+
INDEX($A720:$BM720,,$BV$25)*$BW$25+
INDEX($A720:$BM720,,$BV$26)*$BW$26+
INDEX($A720:$BM720,,$BV$27)*$BW$27+
$BN720)),
$BN720-100)</f>
        <v>-100</v>
      </c>
      <c r="AX720" t="str">
        <f t="shared" si="153"/>
        <v/>
      </c>
      <c r="AY720" t="str">
        <f t="shared" si="149"/>
        <v/>
      </c>
      <c r="AZ720" s="430">
        <f>IFERROR(
IF(AX720="",-100,
IF($BV$2&gt;0, INDEX(Beersheet!$A:$U,MATCH(AX720,INDEX(Beersheet!$A:$U,0,FFARawStatProjections!$BV$2),0),$BV$3)+$BN720,
INDEX($A720:$BM720,,$BV$12)*$BW$12+
INDEX($A720:$BM720,,$BV$15)*$BW$15+
INDEX($A720:$BM720,,$BV$16)*$BW$16+
INDEX($A720:$BM720,,$BV$17)*$BW$17+
INDEX($A720:$BM720,,$BV$18)*$BW$18+
INDEX($A720:$BM720,,$BV$19)*$BW$19+
INDEX($A720:$BM720,,$BV$20)*$BW$20+
INDEX($A720:$BM720,,$BV$21)*$BW$21+
INDEX($A720:$BM720,,$BV$22)*$BW$22+
INDEX($A720:$BM720,,$BV$23)*$BW$23+
INDEX($A720:$BM720,,$BV$25)*$BW$25+
INDEX($A720:$BM720,,$BV$26)*$BW$26+
INDEX($A720:$BM720,,$BV$27)*$BW$27+
$BN720)),
$BN720-100)</f>
        <v>-100</v>
      </c>
      <c r="BB720" t="str">
        <f t="shared" si="154"/>
        <v>Mitchell Wilcox</v>
      </c>
      <c r="BC720" t="str">
        <f t="shared" si="150"/>
        <v>CIN</v>
      </c>
      <c r="BD720" s="430">
        <f>IFERROR(
IF(BB720="",-100,
IF($BV$2&gt;0, INDEX(Beersheet!$A:$U,MATCH(BB720,INDEX(Beersheet!$A:$U,0,FFARawStatProjections!$BV$2),0),$BV$3)+$BN720,
INDEX($A720:$BM720,,$BV$12)*$BW$12+
INDEX($A720:$BM720,,$BV$15)*$BW$15+
INDEX($A720:$BM720,,$BV$16)*$BW$16+
INDEX($A720:$BM720,,$BV$17)*$BW$17+
INDEX($A720:$BM720,,$BV$18)*$BW$18+
INDEX($A720:$BM720,,$BV$19)*$BW$19+
INDEX($A720:$BM720,,$BV$20)*$BW$20+
INDEX($A720:$BM720,,$BV$21)*$BW$21+
INDEX($A720:$BM720,,$BV$22)*$BW$22+
INDEX($A720:$BM720,,$BV$23)*$BW$23+
INDEX($A720:$BM720,,$BV$25)*$BW$25+
INDEX($A720:$BM720,,$BV$26)*$BW$26+
INDEX($A720:$BM720,,$BV$27)*$BW$27+
$BN720)),
$BN720-100)</f>
        <v>15.57719</v>
      </c>
      <c r="BF720" t="str">
        <f t="shared" si="155"/>
        <v/>
      </c>
      <c r="BG720" t="str">
        <f t="shared" si="151"/>
        <v/>
      </c>
      <c r="BH720">
        <f t="shared" si="156"/>
        <v>0</v>
      </c>
      <c r="BJ720" t="str">
        <f t="shared" si="157"/>
        <v/>
      </c>
      <c r="BL720">
        <f t="shared" si="145"/>
        <v>0</v>
      </c>
      <c r="BN720">
        <v>7.1900000000000098E-3</v>
      </c>
      <c r="BS720" s="4" t="s">
        <v>2155</v>
      </c>
    </row>
    <row r="721" spans="1:71" ht="15.75" thickBot="1" x14ac:dyDescent="0.3">
      <c r="A721" s="569" t="s">
        <v>2412</v>
      </c>
      <c r="B721" s="569" t="s">
        <v>142</v>
      </c>
      <c r="C721" s="569" t="s">
        <v>7</v>
      </c>
      <c r="D721" s="574">
        <v>9</v>
      </c>
      <c r="E721" s="569"/>
      <c r="F721" s="569"/>
      <c r="G721" s="569"/>
      <c r="H721" s="569"/>
      <c r="I721" s="574">
        <v>0</v>
      </c>
      <c r="J721" s="574">
        <v>0</v>
      </c>
      <c r="K721" s="574">
        <v>0</v>
      </c>
      <c r="L721" s="574">
        <v>3.9</v>
      </c>
      <c r="M721" s="574">
        <v>0.3</v>
      </c>
      <c r="N721" s="574">
        <v>66.099999999999994</v>
      </c>
      <c r="O721" s="574">
        <v>0</v>
      </c>
      <c r="P721" s="574">
        <v>0</v>
      </c>
      <c r="Q721" s="574">
        <v>0</v>
      </c>
      <c r="R721" s="569"/>
      <c r="S721" s="569"/>
      <c r="T721" s="569"/>
      <c r="U721" s="569"/>
      <c r="V721" s="569"/>
      <c r="W721" s="569"/>
      <c r="X721" s="569"/>
      <c r="Y721" s="569"/>
      <c r="Z721" s="569"/>
      <c r="AA721" s="569"/>
      <c r="AB721" s="569"/>
      <c r="AC721" s="569"/>
      <c r="AD721" s="569"/>
      <c r="AE721" s="569"/>
      <c r="AF721" s="569"/>
      <c r="AG721" s="569"/>
      <c r="AH721" s="569"/>
      <c r="AI721" s="569"/>
      <c r="AJ721" s="569"/>
      <c r="AK721" s="569"/>
      <c r="AL721" s="569"/>
      <c r="AM721" s="569"/>
      <c r="AN721" s="574">
        <v>8.4</v>
      </c>
      <c r="AO721">
        <v>720</v>
      </c>
      <c r="AP721" t="str">
        <f t="shared" si="146"/>
        <v/>
      </c>
      <c r="AQ721" t="str">
        <f t="shared" si="147"/>
        <v/>
      </c>
      <c r="AR721" s="430">
        <f>IFERROR(
IF(AP721="",-100,
IF($BV$2&gt;0, INDEX(Beersheet!$A:$U,MATCH(AP721,INDEX(Beersheet!$A:$U,0,FFARawStatProjections!$BV$2),0),$BV$3)+$BN721,
INDEX($A721:$BM721,,$BV$12)*$BW$12+
INDEX($A721:$BM721,,$BV$15)*$BW$15+
INDEX($A721:$BM721,,$BV$16)*$BW$16+
INDEX($A721:$BM721,,$BV$17)*$BW$17+
INDEX($A721:$BM721,,$BV$18)*$BW$18+
INDEX($A721:$BM721,,$BV$19)*$BW$19+
INDEX($A721:$BM721,,$BV$20)*$BW$20+
INDEX($A721:$BM721,,$BV$21)*$BW$21+
INDEX($A721:$BM721,,$BV$22)*$BW$22+
INDEX($A721:$BM721,,$BV$23)*$BW$23+
INDEX($A721:$BM721,,$BV$25)*$BW$25+
INDEX($A721:$BM721,,$BV$26)*$BW$26+
INDEX($A721:$BM721,,$BV$27)*$BW$27+
$BN721)),
$BN721-100)</f>
        <v>-100</v>
      </c>
      <c r="AT721" t="str">
        <f t="shared" si="152"/>
        <v/>
      </c>
      <c r="AU721" t="str">
        <f t="shared" si="148"/>
        <v/>
      </c>
      <c r="AV721" s="430">
        <f>IFERROR(
IF(AT721="",-100,
IF($BV$2&gt;0, INDEX(Beersheet!$A:$U,MATCH(AT721,INDEX(Beersheet!$A:$U,0,FFARawStatProjections!$BV$2),0),$BV$3)+$BN721,
INDEX($A721:$BM721,,$BV$12)*$BW$12+
INDEX($A721:$BM721,,$BV$15)*$BW$15+
INDEX($A721:$BM721,,$BV$16)*$BW$16+
INDEX($A721:$BM721,,$BV$17)*$BW$17+
INDEX($A721:$BM721,,$BV$18)*$BW$18+
INDEX($A721:$BM721,,$BV$19)*$BW$19+
INDEX($A721:$BM721,,$BV$20)*$BW$20+
INDEX($A721:$BM721,,$BV$21)*$BW$21+
INDEX($A721:$BM721,,$BV$22)*$BW$22+
INDEX($A721:$BM721,,$BV$23)*$BW$23+
INDEX($A721:$BM721,,$BV$25)*$BW$25+
INDEX($A721:$BM721,,$BV$26)*$BW$26+
INDEX($A721:$BM721,,$BV$27)*$BW$27+
$BN721)),
$BN721-100)</f>
        <v>-100</v>
      </c>
      <c r="AX721" t="str">
        <f t="shared" si="153"/>
        <v/>
      </c>
      <c r="AY721" t="str">
        <f t="shared" si="149"/>
        <v/>
      </c>
      <c r="AZ721" s="430">
        <f>IFERROR(
IF(AX721="",-100,
IF($BV$2&gt;0, INDEX(Beersheet!$A:$U,MATCH(AX721,INDEX(Beersheet!$A:$U,0,FFARawStatProjections!$BV$2),0),$BV$3)+$BN721,
INDEX($A721:$BM721,,$BV$12)*$BW$12+
INDEX($A721:$BM721,,$BV$15)*$BW$15+
INDEX($A721:$BM721,,$BV$16)*$BW$16+
INDEX($A721:$BM721,,$BV$17)*$BW$17+
INDEX($A721:$BM721,,$BV$18)*$BW$18+
INDEX($A721:$BM721,,$BV$19)*$BW$19+
INDEX($A721:$BM721,,$BV$20)*$BW$20+
INDEX($A721:$BM721,,$BV$21)*$BW$21+
INDEX($A721:$BM721,,$BV$22)*$BW$22+
INDEX($A721:$BM721,,$BV$23)*$BW$23+
INDEX($A721:$BM721,,$BV$25)*$BW$25+
INDEX($A721:$BM721,,$BV$26)*$BW$26+
INDEX($A721:$BM721,,$BV$27)*$BW$27+
$BN721)),
$BN721-100)</f>
        <v>-100</v>
      </c>
      <c r="BB721" t="str">
        <f t="shared" si="154"/>
        <v>Shane Zylstra</v>
      </c>
      <c r="BC721" t="str">
        <f t="shared" si="150"/>
        <v>DET</v>
      </c>
      <c r="BD721" s="430">
        <f>IFERROR(
IF(BB721="",-100,
IF($BV$2&gt;0, INDEX(Beersheet!$A:$U,MATCH(BB721,INDEX(Beersheet!$A:$U,0,FFARawStatProjections!$BV$2),0),$BV$3)+$BN721,
INDEX($A721:$BM721,,$BV$12)*$BW$12+
INDEX($A721:$BM721,,$BV$15)*$BW$15+
INDEX($A721:$BM721,,$BV$16)*$BW$16+
INDEX($A721:$BM721,,$BV$17)*$BW$17+
INDEX($A721:$BM721,,$BV$18)*$BW$18+
INDEX($A721:$BM721,,$BV$19)*$BW$19+
INDEX($A721:$BM721,,$BV$20)*$BW$20+
INDEX($A721:$BM721,,$BV$21)*$BW$21+
INDEX($A721:$BM721,,$BV$22)*$BW$22+
INDEX($A721:$BM721,,$BV$23)*$BW$23+
INDEX($A721:$BM721,,$BV$25)*$BW$25+
INDEX($A721:$BM721,,$BV$26)*$BW$26+
INDEX($A721:$BM721,,$BV$27)*$BW$27+
$BN721)),
$BN721-100)</f>
        <v>12.317199999999998</v>
      </c>
      <c r="BF721" t="str">
        <f t="shared" si="155"/>
        <v/>
      </c>
      <c r="BG721" t="str">
        <f t="shared" si="151"/>
        <v/>
      </c>
      <c r="BH721">
        <f t="shared" si="156"/>
        <v>0</v>
      </c>
      <c r="BJ721" t="str">
        <f t="shared" si="157"/>
        <v/>
      </c>
      <c r="BL721">
        <f t="shared" si="145"/>
        <v>0</v>
      </c>
      <c r="BN721">
        <v>7.2000000000000102E-3</v>
      </c>
      <c r="BS721" s="4" t="s">
        <v>2389</v>
      </c>
    </row>
    <row r="722" spans="1:71" ht="15.75" thickBot="1" x14ac:dyDescent="0.3">
      <c r="A722" s="569" t="s">
        <v>2369</v>
      </c>
      <c r="B722" s="569" t="s">
        <v>137</v>
      </c>
      <c r="C722" s="569" t="s">
        <v>7</v>
      </c>
      <c r="D722" s="574">
        <v>10</v>
      </c>
      <c r="E722" s="569"/>
      <c r="F722" s="569"/>
      <c r="G722" s="569"/>
      <c r="H722" s="569"/>
      <c r="I722" s="574">
        <v>0</v>
      </c>
      <c r="J722" s="574">
        <v>0</v>
      </c>
      <c r="K722" s="574">
        <v>0</v>
      </c>
      <c r="L722" s="574">
        <v>3.4</v>
      </c>
      <c r="M722" s="574">
        <v>0.3</v>
      </c>
      <c r="N722" s="574">
        <v>65.900000000000006</v>
      </c>
      <c r="O722" s="574">
        <v>0</v>
      </c>
      <c r="P722" s="574">
        <v>0</v>
      </c>
      <c r="Q722" s="574">
        <v>0</v>
      </c>
      <c r="R722" s="569"/>
      <c r="S722" s="569"/>
      <c r="T722" s="569"/>
      <c r="U722" s="569"/>
      <c r="V722" s="569"/>
      <c r="W722" s="569"/>
      <c r="X722" s="569"/>
      <c r="Y722" s="569"/>
      <c r="Z722" s="569"/>
      <c r="AA722" s="569"/>
      <c r="AB722" s="569"/>
      <c r="AC722" s="569"/>
      <c r="AD722" s="569"/>
      <c r="AE722" s="569"/>
      <c r="AF722" s="569"/>
      <c r="AG722" s="569"/>
      <c r="AH722" s="569"/>
      <c r="AI722" s="569"/>
      <c r="AJ722" s="569"/>
      <c r="AK722" s="569"/>
      <c r="AL722" s="569"/>
      <c r="AM722" s="569"/>
      <c r="AN722" s="574">
        <v>8.3000000000000007</v>
      </c>
      <c r="AO722">
        <v>721</v>
      </c>
      <c r="AP722" t="str">
        <f t="shared" si="146"/>
        <v/>
      </c>
      <c r="AQ722" t="str">
        <f t="shared" si="147"/>
        <v/>
      </c>
      <c r="AR722" s="430">
        <f>IFERROR(
IF(AP722="",-100,
IF($BV$2&gt;0, INDEX(Beersheet!$A:$U,MATCH(AP722,INDEX(Beersheet!$A:$U,0,FFARawStatProjections!$BV$2),0),$BV$3)+$BN722,
INDEX($A722:$BM722,,$BV$12)*$BW$12+
INDEX($A722:$BM722,,$BV$15)*$BW$15+
INDEX($A722:$BM722,,$BV$16)*$BW$16+
INDEX($A722:$BM722,,$BV$17)*$BW$17+
INDEX($A722:$BM722,,$BV$18)*$BW$18+
INDEX($A722:$BM722,,$BV$19)*$BW$19+
INDEX($A722:$BM722,,$BV$20)*$BW$20+
INDEX($A722:$BM722,,$BV$21)*$BW$21+
INDEX($A722:$BM722,,$BV$22)*$BW$22+
INDEX($A722:$BM722,,$BV$23)*$BW$23+
INDEX($A722:$BM722,,$BV$25)*$BW$25+
INDEX($A722:$BM722,,$BV$26)*$BW$26+
INDEX($A722:$BM722,,$BV$27)*$BW$27+
$BN722)),
$BN722-100)</f>
        <v>-100</v>
      </c>
      <c r="AT722" t="str">
        <f t="shared" si="152"/>
        <v/>
      </c>
      <c r="AU722" t="str">
        <f t="shared" si="148"/>
        <v/>
      </c>
      <c r="AV722" s="430">
        <f>IFERROR(
IF(AT722="",-100,
IF($BV$2&gt;0, INDEX(Beersheet!$A:$U,MATCH(AT722,INDEX(Beersheet!$A:$U,0,FFARawStatProjections!$BV$2),0),$BV$3)+$BN722,
INDEX($A722:$BM722,,$BV$12)*$BW$12+
INDEX($A722:$BM722,,$BV$15)*$BW$15+
INDEX($A722:$BM722,,$BV$16)*$BW$16+
INDEX($A722:$BM722,,$BV$17)*$BW$17+
INDEX($A722:$BM722,,$BV$18)*$BW$18+
INDEX($A722:$BM722,,$BV$19)*$BW$19+
INDEX($A722:$BM722,,$BV$20)*$BW$20+
INDEX($A722:$BM722,,$BV$21)*$BW$21+
INDEX($A722:$BM722,,$BV$22)*$BW$22+
INDEX($A722:$BM722,,$BV$23)*$BW$23+
INDEX($A722:$BM722,,$BV$25)*$BW$25+
INDEX($A722:$BM722,,$BV$26)*$BW$26+
INDEX($A722:$BM722,,$BV$27)*$BW$27+
$BN722)),
$BN722-100)</f>
        <v>-100</v>
      </c>
      <c r="AX722" t="str">
        <f t="shared" si="153"/>
        <v/>
      </c>
      <c r="AY722" t="str">
        <f t="shared" si="149"/>
        <v/>
      </c>
      <c r="AZ722" s="430">
        <f>IFERROR(
IF(AX722="",-100,
IF($BV$2&gt;0, INDEX(Beersheet!$A:$U,MATCH(AX722,INDEX(Beersheet!$A:$U,0,FFARawStatProjections!$BV$2),0),$BV$3)+$BN722,
INDEX($A722:$BM722,,$BV$12)*$BW$12+
INDEX($A722:$BM722,,$BV$15)*$BW$15+
INDEX($A722:$BM722,,$BV$16)*$BW$16+
INDEX($A722:$BM722,,$BV$17)*$BW$17+
INDEX($A722:$BM722,,$BV$18)*$BW$18+
INDEX($A722:$BM722,,$BV$19)*$BW$19+
INDEX($A722:$BM722,,$BV$20)*$BW$20+
INDEX($A722:$BM722,,$BV$21)*$BW$21+
INDEX($A722:$BM722,,$BV$22)*$BW$22+
INDEX($A722:$BM722,,$BV$23)*$BW$23+
INDEX($A722:$BM722,,$BV$25)*$BW$25+
INDEX($A722:$BM722,,$BV$26)*$BW$26+
INDEX($A722:$BM722,,$BV$27)*$BW$27+
$BN722)),
$BN722-100)</f>
        <v>-100</v>
      </c>
      <c r="BB722" t="str">
        <f t="shared" si="154"/>
        <v>Grant Calcaterra</v>
      </c>
      <c r="BC722" t="str">
        <f t="shared" si="150"/>
        <v>PHI</v>
      </c>
      <c r="BD722" s="430">
        <f>IFERROR(
IF(BB722="",-100,
IF($BV$2&gt;0, INDEX(Beersheet!$A:$U,MATCH(BB722,INDEX(Beersheet!$A:$U,0,FFARawStatProjections!$BV$2),0),$BV$3)+$BN722,
INDEX($A722:$BM722,,$BV$12)*$BW$12+
INDEX($A722:$BM722,,$BV$15)*$BW$15+
INDEX($A722:$BM722,,$BV$16)*$BW$16+
INDEX($A722:$BM722,,$BV$17)*$BW$17+
INDEX($A722:$BM722,,$BV$18)*$BW$18+
INDEX($A722:$BM722,,$BV$19)*$BW$19+
INDEX($A722:$BM722,,$BV$20)*$BW$20+
INDEX($A722:$BM722,,$BV$21)*$BW$21+
INDEX($A722:$BM722,,$BV$22)*$BW$22+
INDEX($A722:$BM722,,$BV$23)*$BW$23+
INDEX($A722:$BM722,,$BV$25)*$BW$25+
INDEX($A722:$BM722,,$BV$26)*$BW$26+
INDEX($A722:$BM722,,$BV$27)*$BW$27+
$BN722)),
$BN722-100)</f>
        <v>11.79721</v>
      </c>
      <c r="BF722" t="str">
        <f t="shared" si="155"/>
        <v/>
      </c>
      <c r="BG722" t="str">
        <f t="shared" si="151"/>
        <v/>
      </c>
      <c r="BH722">
        <f t="shared" si="156"/>
        <v>0</v>
      </c>
      <c r="BJ722" t="str">
        <f t="shared" si="157"/>
        <v/>
      </c>
      <c r="BL722">
        <f t="shared" si="145"/>
        <v>0</v>
      </c>
      <c r="BN722">
        <v>7.2100000000000098E-3</v>
      </c>
      <c r="BS722" s="4" t="s">
        <v>2082</v>
      </c>
    </row>
    <row r="723" spans="1:71" ht="15.75" thickBot="1" x14ac:dyDescent="0.3">
      <c r="A723" s="569" t="s">
        <v>2153</v>
      </c>
      <c r="B723" s="569" t="s">
        <v>144</v>
      </c>
      <c r="C723" s="569" t="s">
        <v>7</v>
      </c>
      <c r="D723" s="574">
        <v>9</v>
      </c>
      <c r="E723" s="569"/>
      <c r="F723" s="569"/>
      <c r="G723" s="569"/>
      <c r="H723" s="569"/>
      <c r="I723" s="574">
        <v>0</v>
      </c>
      <c r="J723" s="574">
        <v>0</v>
      </c>
      <c r="K723" s="574">
        <v>0</v>
      </c>
      <c r="L723" s="574">
        <v>4.2</v>
      </c>
      <c r="M723" s="574">
        <v>0.3</v>
      </c>
      <c r="N723" s="574">
        <v>60.3</v>
      </c>
      <c r="O723" s="574">
        <v>0</v>
      </c>
      <c r="P723" s="574">
        <v>0</v>
      </c>
      <c r="Q723" s="574">
        <v>0</v>
      </c>
      <c r="R723" s="569"/>
      <c r="S723" s="569"/>
      <c r="T723" s="569"/>
      <c r="U723" s="569"/>
      <c r="V723" s="569"/>
      <c r="W723" s="569"/>
      <c r="X723" s="569"/>
      <c r="Y723" s="569"/>
      <c r="Z723" s="569"/>
      <c r="AA723" s="569"/>
      <c r="AB723" s="569"/>
      <c r="AC723" s="569"/>
      <c r="AD723" s="569"/>
      <c r="AE723" s="569"/>
      <c r="AF723" s="569"/>
      <c r="AG723" s="569"/>
      <c r="AH723" s="569"/>
      <c r="AI723" s="569"/>
      <c r="AJ723" s="569"/>
      <c r="AK723" s="569"/>
      <c r="AL723" s="569"/>
      <c r="AM723" s="569"/>
      <c r="AN723" s="574">
        <v>7.8</v>
      </c>
      <c r="AO723">
        <v>722</v>
      </c>
      <c r="AP723" t="str">
        <f t="shared" si="146"/>
        <v/>
      </c>
      <c r="AQ723" t="str">
        <f t="shared" si="147"/>
        <v/>
      </c>
      <c r="AR723" s="430">
        <f>IFERROR(
IF(AP723="",-100,
IF($BV$2&gt;0, INDEX(Beersheet!$A:$U,MATCH(AP723,INDEX(Beersheet!$A:$U,0,FFARawStatProjections!$BV$2),0),$BV$3)+$BN723,
INDEX($A723:$BM723,,$BV$12)*$BW$12+
INDEX($A723:$BM723,,$BV$15)*$BW$15+
INDEX($A723:$BM723,,$BV$16)*$BW$16+
INDEX($A723:$BM723,,$BV$17)*$BW$17+
INDEX($A723:$BM723,,$BV$18)*$BW$18+
INDEX($A723:$BM723,,$BV$19)*$BW$19+
INDEX($A723:$BM723,,$BV$20)*$BW$20+
INDEX($A723:$BM723,,$BV$21)*$BW$21+
INDEX($A723:$BM723,,$BV$22)*$BW$22+
INDEX($A723:$BM723,,$BV$23)*$BW$23+
INDEX($A723:$BM723,,$BV$25)*$BW$25+
INDEX($A723:$BM723,,$BV$26)*$BW$26+
INDEX($A723:$BM723,,$BV$27)*$BW$27+
$BN723)),
$BN723-100)</f>
        <v>-100</v>
      </c>
      <c r="AT723" t="str">
        <f t="shared" si="152"/>
        <v/>
      </c>
      <c r="AU723" t="str">
        <f t="shared" si="148"/>
        <v/>
      </c>
      <c r="AV723" s="430">
        <f>IFERROR(
IF(AT723="",-100,
IF($BV$2&gt;0, INDEX(Beersheet!$A:$U,MATCH(AT723,INDEX(Beersheet!$A:$U,0,FFARawStatProjections!$BV$2),0),$BV$3)+$BN723,
INDEX($A723:$BM723,,$BV$12)*$BW$12+
INDEX($A723:$BM723,,$BV$15)*$BW$15+
INDEX($A723:$BM723,,$BV$16)*$BW$16+
INDEX($A723:$BM723,,$BV$17)*$BW$17+
INDEX($A723:$BM723,,$BV$18)*$BW$18+
INDEX($A723:$BM723,,$BV$19)*$BW$19+
INDEX($A723:$BM723,,$BV$20)*$BW$20+
INDEX($A723:$BM723,,$BV$21)*$BW$21+
INDEX($A723:$BM723,,$BV$22)*$BW$22+
INDEX($A723:$BM723,,$BV$23)*$BW$23+
INDEX($A723:$BM723,,$BV$25)*$BW$25+
INDEX($A723:$BM723,,$BV$26)*$BW$26+
INDEX($A723:$BM723,,$BV$27)*$BW$27+
$BN723)),
$BN723-100)</f>
        <v>-100</v>
      </c>
      <c r="AX723" t="str">
        <f t="shared" si="153"/>
        <v/>
      </c>
      <c r="AY723" t="str">
        <f t="shared" si="149"/>
        <v/>
      </c>
      <c r="AZ723" s="430">
        <f>IFERROR(
IF(AX723="",-100,
IF($BV$2&gt;0, INDEX(Beersheet!$A:$U,MATCH(AX723,INDEX(Beersheet!$A:$U,0,FFARawStatProjections!$BV$2),0),$BV$3)+$BN723,
INDEX($A723:$BM723,,$BV$12)*$BW$12+
INDEX($A723:$BM723,,$BV$15)*$BW$15+
INDEX($A723:$BM723,,$BV$16)*$BW$16+
INDEX($A723:$BM723,,$BV$17)*$BW$17+
INDEX($A723:$BM723,,$BV$18)*$BW$18+
INDEX($A723:$BM723,,$BV$19)*$BW$19+
INDEX($A723:$BM723,,$BV$20)*$BW$20+
INDEX($A723:$BM723,,$BV$21)*$BW$21+
INDEX($A723:$BM723,,$BV$22)*$BW$22+
INDEX($A723:$BM723,,$BV$23)*$BW$23+
INDEX($A723:$BM723,,$BV$25)*$BW$25+
INDEX($A723:$BM723,,$BV$26)*$BW$26+
INDEX($A723:$BM723,,$BV$27)*$BW$27+
$BN723)),
$BN723-100)</f>
        <v>-100</v>
      </c>
      <c r="BB723" t="str">
        <f t="shared" si="154"/>
        <v>Chris Manhertz</v>
      </c>
      <c r="BC723" t="str">
        <f t="shared" si="150"/>
        <v>DEN</v>
      </c>
      <c r="BD723" s="430">
        <f>IFERROR(
IF(BB723="",-100,
IF($BV$2&gt;0, INDEX(Beersheet!$A:$U,MATCH(BB723,INDEX(Beersheet!$A:$U,0,FFARawStatProjections!$BV$2),0),$BV$3)+$BN723,
INDEX($A723:$BM723,,$BV$12)*$BW$12+
INDEX($A723:$BM723,,$BV$15)*$BW$15+
INDEX($A723:$BM723,,$BV$16)*$BW$16+
INDEX($A723:$BM723,,$BV$17)*$BW$17+
INDEX($A723:$BM723,,$BV$18)*$BW$18+
INDEX($A723:$BM723,,$BV$19)*$BW$19+
INDEX($A723:$BM723,,$BV$20)*$BW$20+
INDEX($A723:$BM723,,$BV$21)*$BW$21+
INDEX($A723:$BM723,,$BV$22)*$BW$22+
INDEX($A723:$BM723,,$BV$23)*$BW$23+
INDEX($A723:$BM723,,$BV$25)*$BW$25+
INDEX($A723:$BM723,,$BV$26)*$BW$26+
INDEX($A723:$BM723,,$BV$27)*$BW$27+
$BN723)),
$BN723-100)</f>
        <v>12.037220000000001</v>
      </c>
      <c r="BF723" t="str">
        <f t="shared" si="155"/>
        <v/>
      </c>
      <c r="BG723" t="str">
        <f t="shared" si="151"/>
        <v/>
      </c>
      <c r="BH723">
        <f t="shared" si="156"/>
        <v>0</v>
      </c>
      <c r="BJ723" t="str">
        <f t="shared" si="157"/>
        <v/>
      </c>
      <c r="BL723">
        <f t="shared" si="145"/>
        <v>0</v>
      </c>
      <c r="BN723">
        <v>7.2200000000000103E-3</v>
      </c>
      <c r="BS723" s="4" t="s">
        <v>2297</v>
      </c>
    </row>
    <row r="724" spans="1:71" ht="15.75" thickBot="1" x14ac:dyDescent="0.3">
      <c r="A724" s="569" t="s">
        <v>1992</v>
      </c>
      <c r="B724" s="569" t="s">
        <v>157</v>
      </c>
      <c r="C724" s="569" t="s">
        <v>7</v>
      </c>
      <c r="D724" s="574">
        <v>11</v>
      </c>
      <c r="E724" s="569"/>
      <c r="F724" s="569"/>
      <c r="G724" s="569"/>
      <c r="H724" s="569"/>
      <c r="I724" s="574">
        <v>0</v>
      </c>
      <c r="J724" s="574">
        <v>0</v>
      </c>
      <c r="K724" s="574">
        <v>0</v>
      </c>
      <c r="L724" s="574">
        <v>5.8</v>
      </c>
      <c r="M724" s="574">
        <v>0.4</v>
      </c>
      <c r="N724" s="574">
        <v>54.3</v>
      </c>
      <c r="O724" s="574">
        <v>0</v>
      </c>
      <c r="P724" s="574">
        <v>0</v>
      </c>
      <c r="Q724" s="574">
        <v>0</v>
      </c>
      <c r="R724" s="569"/>
      <c r="S724" s="569"/>
      <c r="T724" s="569"/>
      <c r="U724" s="569"/>
      <c r="V724" s="569"/>
      <c r="W724" s="569"/>
      <c r="X724" s="569"/>
      <c r="Y724" s="569"/>
      <c r="Z724" s="569"/>
      <c r="AA724" s="569"/>
      <c r="AB724" s="569"/>
      <c r="AC724" s="569"/>
      <c r="AD724" s="569"/>
      <c r="AE724" s="569"/>
      <c r="AF724" s="569"/>
      <c r="AG724" s="569"/>
      <c r="AH724" s="569"/>
      <c r="AI724" s="569"/>
      <c r="AJ724" s="569"/>
      <c r="AK724" s="569"/>
      <c r="AL724" s="569"/>
      <c r="AM724" s="569"/>
      <c r="AN724" s="574">
        <v>7.5</v>
      </c>
      <c r="AO724">
        <v>723</v>
      </c>
      <c r="AP724" t="str">
        <f t="shared" si="146"/>
        <v/>
      </c>
      <c r="AQ724" t="str">
        <f t="shared" si="147"/>
        <v/>
      </c>
      <c r="AR724" s="430">
        <f>IFERROR(
IF(AP724="",-100,
IF($BV$2&gt;0, INDEX(Beersheet!$A:$U,MATCH(AP724,INDEX(Beersheet!$A:$U,0,FFARawStatProjections!$BV$2),0),$BV$3)+$BN724,
INDEX($A724:$BM724,,$BV$12)*$BW$12+
INDEX($A724:$BM724,,$BV$15)*$BW$15+
INDEX($A724:$BM724,,$BV$16)*$BW$16+
INDEX($A724:$BM724,,$BV$17)*$BW$17+
INDEX($A724:$BM724,,$BV$18)*$BW$18+
INDEX($A724:$BM724,,$BV$19)*$BW$19+
INDEX($A724:$BM724,,$BV$20)*$BW$20+
INDEX($A724:$BM724,,$BV$21)*$BW$21+
INDEX($A724:$BM724,,$BV$22)*$BW$22+
INDEX($A724:$BM724,,$BV$23)*$BW$23+
INDEX($A724:$BM724,,$BV$25)*$BW$25+
INDEX($A724:$BM724,,$BV$26)*$BW$26+
INDEX($A724:$BM724,,$BV$27)*$BW$27+
$BN724)),
$BN724-100)</f>
        <v>-100</v>
      </c>
      <c r="AT724" t="str">
        <f t="shared" si="152"/>
        <v/>
      </c>
      <c r="AU724" t="str">
        <f t="shared" si="148"/>
        <v/>
      </c>
      <c r="AV724" s="430">
        <f>IFERROR(
IF(AT724="",-100,
IF($BV$2&gt;0, INDEX(Beersheet!$A:$U,MATCH(AT724,INDEX(Beersheet!$A:$U,0,FFARawStatProjections!$BV$2),0),$BV$3)+$BN724,
INDEX($A724:$BM724,,$BV$12)*$BW$12+
INDEX($A724:$BM724,,$BV$15)*$BW$15+
INDEX($A724:$BM724,,$BV$16)*$BW$16+
INDEX($A724:$BM724,,$BV$17)*$BW$17+
INDEX($A724:$BM724,,$BV$18)*$BW$18+
INDEX($A724:$BM724,,$BV$19)*$BW$19+
INDEX($A724:$BM724,,$BV$20)*$BW$20+
INDEX($A724:$BM724,,$BV$21)*$BW$21+
INDEX($A724:$BM724,,$BV$22)*$BW$22+
INDEX($A724:$BM724,,$BV$23)*$BW$23+
INDEX($A724:$BM724,,$BV$25)*$BW$25+
INDEX($A724:$BM724,,$BV$26)*$BW$26+
INDEX($A724:$BM724,,$BV$27)*$BW$27+
$BN724)),
$BN724-100)</f>
        <v>-100</v>
      </c>
      <c r="AX724" t="str">
        <f t="shared" si="153"/>
        <v/>
      </c>
      <c r="AY724" t="str">
        <f t="shared" si="149"/>
        <v/>
      </c>
      <c r="AZ724" s="430">
        <f>IFERROR(
IF(AX724="",-100,
IF($BV$2&gt;0, INDEX(Beersheet!$A:$U,MATCH(AX724,INDEX(Beersheet!$A:$U,0,FFARawStatProjections!$BV$2),0),$BV$3)+$BN724,
INDEX($A724:$BM724,,$BV$12)*$BW$12+
INDEX($A724:$BM724,,$BV$15)*$BW$15+
INDEX($A724:$BM724,,$BV$16)*$BW$16+
INDEX($A724:$BM724,,$BV$17)*$BW$17+
INDEX($A724:$BM724,,$BV$18)*$BW$18+
INDEX($A724:$BM724,,$BV$19)*$BW$19+
INDEX($A724:$BM724,,$BV$20)*$BW$20+
INDEX($A724:$BM724,,$BV$21)*$BW$21+
INDEX($A724:$BM724,,$BV$22)*$BW$22+
INDEX($A724:$BM724,,$BV$23)*$BW$23+
INDEX($A724:$BM724,,$BV$25)*$BW$25+
INDEX($A724:$BM724,,$BV$26)*$BW$26+
INDEX($A724:$BM724,,$BV$27)*$BW$27+
$BN724)),
$BN724-100)</f>
        <v>-100</v>
      </c>
      <c r="BB724" t="str">
        <f t="shared" si="154"/>
        <v>Anthony Firkser</v>
      </c>
      <c r="BC724" t="str">
        <f t="shared" si="150"/>
        <v>NE</v>
      </c>
      <c r="BD724" s="430">
        <f>IFERROR(
IF(BB724="",-100,
IF($BV$2&gt;0, INDEX(Beersheet!$A:$U,MATCH(BB724,INDEX(Beersheet!$A:$U,0,FFARawStatProjections!$BV$2),0),$BV$3)+$BN724,
INDEX($A724:$BM724,,$BV$12)*$BW$12+
INDEX($A724:$BM724,,$BV$15)*$BW$15+
INDEX($A724:$BM724,,$BV$16)*$BW$16+
INDEX($A724:$BM724,,$BV$17)*$BW$17+
INDEX($A724:$BM724,,$BV$18)*$BW$18+
INDEX($A724:$BM724,,$BV$19)*$BW$19+
INDEX($A724:$BM724,,$BV$20)*$BW$20+
INDEX($A724:$BM724,,$BV$21)*$BW$21+
INDEX($A724:$BM724,,$BV$22)*$BW$22+
INDEX($A724:$BM724,,$BV$23)*$BW$23+
INDEX($A724:$BM724,,$BV$25)*$BW$25+
INDEX($A724:$BM724,,$BV$26)*$BW$26+
INDEX($A724:$BM724,,$BV$27)*$BW$27+
$BN724)),
$BN724-100)</f>
        <v>13.637229999999999</v>
      </c>
      <c r="BF724" t="str">
        <f t="shared" si="155"/>
        <v/>
      </c>
      <c r="BG724" t="str">
        <f t="shared" si="151"/>
        <v/>
      </c>
      <c r="BH724">
        <f t="shared" si="156"/>
        <v>0</v>
      </c>
      <c r="BJ724" t="str">
        <f t="shared" si="157"/>
        <v/>
      </c>
      <c r="BL724">
        <f t="shared" si="145"/>
        <v>0</v>
      </c>
      <c r="BN724">
        <v>7.2300000000000099E-3</v>
      </c>
      <c r="BS724" s="4" t="s">
        <v>2388</v>
      </c>
    </row>
    <row r="725" spans="1:71" ht="15.75" thickBot="1" x14ac:dyDescent="0.3">
      <c r="A725" s="569" t="s">
        <v>2265</v>
      </c>
      <c r="B725" s="569" t="s">
        <v>151</v>
      </c>
      <c r="C725" s="569" t="s">
        <v>7</v>
      </c>
      <c r="D725" s="574">
        <v>7</v>
      </c>
      <c r="E725" s="569"/>
      <c r="F725" s="569"/>
      <c r="G725" s="569"/>
      <c r="H725" s="569"/>
      <c r="I725" s="574">
        <v>0</v>
      </c>
      <c r="J725" s="574">
        <v>0</v>
      </c>
      <c r="K725" s="574">
        <v>0</v>
      </c>
      <c r="L725" s="574">
        <v>5.5</v>
      </c>
      <c r="M725" s="574">
        <v>0.4</v>
      </c>
      <c r="N725" s="574">
        <v>49.9</v>
      </c>
      <c r="O725" s="574">
        <v>0</v>
      </c>
      <c r="P725" s="574">
        <v>0</v>
      </c>
      <c r="Q725" s="574">
        <v>0</v>
      </c>
      <c r="R725" s="569"/>
      <c r="S725" s="569"/>
      <c r="T725" s="569"/>
      <c r="U725" s="569"/>
      <c r="V725" s="569"/>
      <c r="W725" s="569"/>
      <c r="X725" s="569"/>
      <c r="Y725" s="569"/>
      <c r="Z725" s="569"/>
      <c r="AA725" s="569"/>
      <c r="AB725" s="569"/>
      <c r="AC725" s="569"/>
      <c r="AD725" s="569"/>
      <c r="AE725" s="569"/>
      <c r="AF725" s="569"/>
      <c r="AG725" s="569"/>
      <c r="AH725" s="569"/>
      <c r="AI725" s="569"/>
      <c r="AJ725" s="569"/>
      <c r="AK725" s="569"/>
      <c r="AL725" s="569"/>
      <c r="AM725" s="569"/>
      <c r="AN725" s="574">
        <v>7.2</v>
      </c>
      <c r="AO725">
        <v>724</v>
      </c>
      <c r="AP725" t="str">
        <f t="shared" si="146"/>
        <v/>
      </c>
      <c r="AQ725" t="str">
        <f t="shared" si="147"/>
        <v/>
      </c>
      <c r="AR725" s="430">
        <f>IFERROR(
IF(AP725="",-100,
IF($BV$2&gt;0, INDEX(Beersheet!$A:$U,MATCH(AP725,INDEX(Beersheet!$A:$U,0,FFARawStatProjections!$BV$2),0),$BV$3)+$BN725,
INDEX($A725:$BM725,,$BV$12)*$BW$12+
INDEX($A725:$BM725,,$BV$15)*$BW$15+
INDEX($A725:$BM725,,$BV$16)*$BW$16+
INDEX($A725:$BM725,,$BV$17)*$BW$17+
INDEX($A725:$BM725,,$BV$18)*$BW$18+
INDEX($A725:$BM725,,$BV$19)*$BW$19+
INDEX($A725:$BM725,,$BV$20)*$BW$20+
INDEX($A725:$BM725,,$BV$21)*$BW$21+
INDEX($A725:$BM725,,$BV$22)*$BW$22+
INDEX($A725:$BM725,,$BV$23)*$BW$23+
INDEX($A725:$BM725,,$BV$25)*$BW$25+
INDEX($A725:$BM725,,$BV$26)*$BW$26+
INDEX($A725:$BM725,,$BV$27)*$BW$27+
$BN725)),
$BN725-100)</f>
        <v>-100</v>
      </c>
      <c r="AT725" t="str">
        <f t="shared" si="152"/>
        <v/>
      </c>
      <c r="AU725" t="str">
        <f t="shared" si="148"/>
        <v/>
      </c>
      <c r="AV725" s="430">
        <f>IFERROR(
IF(AT725="",-100,
IF($BV$2&gt;0, INDEX(Beersheet!$A:$U,MATCH(AT725,INDEX(Beersheet!$A:$U,0,FFARawStatProjections!$BV$2),0),$BV$3)+$BN725,
INDEX($A725:$BM725,,$BV$12)*$BW$12+
INDEX($A725:$BM725,,$BV$15)*$BW$15+
INDEX($A725:$BM725,,$BV$16)*$BW$16+
INDEX($A725:$BM725,,$BV$17)*$BW$17+
INDEX($A725:$BM725,,$BV$18)*$BW$18+
INDEX($A725:$BM725,,$BV$19)*$BW$19+
INDEX($A725:$BM725,,$BV$20)*$BW$20+
INDEX($A725:$BM725,,$BV$21)*$BW$21+
INDEX($A725:$BM725,,$BV$22)*$BW$22+
INDEX($A725:$BM725,,$BV$23)*$BW$23+
INDEX($A725:$BM725,,$BV$25)*$BW$25+
INDEX($A725:$BM725,,$BV$26)*$BW$26+
INDEX($A725:$BM725,,$BV$27)*$BW$27+
$BN725)),
$BN725-100)</f>
        <v>-100</v>
      </c>
      <c r="AX725" t="str">
        <f t="shared" si="153"/>
        <v/>
      </c>
      <c r="AY725" t="str">
        <f t="shared" si="149"/>
        <v/>
      </c>
      <c r="AZ725" s="430">
        <f>IFERROR(
IF(AX725="",-100,
IF($BV$2&gt;0, INDEX(Beersheet!$A:$U,MATCH(AX725,INDEX(Beersheet!$A:$U,0,FFARawStatProjections!$BV$2),0),$BV$3)+$BN725,
INDEX($A725:$BM725,,$BV$12)*$BW$12+
INDEX($A725:$BM725,,$BV$15)*$BW$15+
INDEX($A725:$BM725,,$BV$16)*$BW$16+
INDEX($A725:$BM725,,$BV$17)*$BW$17+
INDEX($A725:$BM725,,$BV$18)*$BW$18+
INDEX($A725:$BM725,,$BV$19)*$BW$19+
INDEX($A725:$BM725,,$BV$20)*$BW$20+
INDEX($A725:$BM725,,$BV$21)*$BW$21+
INDEX($A725:$BM725,,$BV$22)*$BW$22+
INDEX($A725:$BM725,,$BV$23)*$BW$23+
INDEX($A725:$BM725,,$BV$25)*$BW$25+
INDEX($A725:$BM725,,$BV$26)*$BW$26+
INDEX($A725:$BM725,,$BV$27)*$BW$27+
$BN725)),
$BN725-100)</f>
        <v>-100</v>
      </c>
      <c r="BB725" t="str">
        <f t="shared" si="154"/>
        <v>Eric Tomlinson</v>
      </c>
      <c r="BC725" t="str">
        <f t="shared" si="150"/>
        <v>HOU</v>
      </c>
      <c r="BD725" s="430">
        <f>IFERROR(
IF(BB725="",-100,
IF($BV$2&gt;0, INDEX(Beersheet!$A:$U,MATCH(BB725,INDEX(Beersheet!$A:$U,0,FFARawStatProjections!$BV$2),0),$BV$3)+$BN725,
INDEX($A725:$BM725,,$BV$12)*$BW$12+
INDEX($A725:$BM725,,$BV$15)*$BW$15+
INDEX($A725:$BM725,,$BV$16)*$BW$16+
INDEX($A725:$BM725,,$BV$17)*$BW$17+
INDEX($A725:$BM725,,$BV$18)*$BW$18+
INDEX($A725:$BM725,,$BV$19)*$BW$19+
INDEX($A725:$BM725,,$BV$20)*$BW$20+
INDEX($A725:$BM725,,$BV$21)*$BW$21+
INDEX($A725:$BM725,,$BV$22)*$BW$22+
INDEX($A725:$BM725,,$BV$23)*$BW$23+
INDEX($A725:$BM725,,$BV$25)*$BW$25+
INDEX($A725:$BM725,,$BV$26)*$BW$26+
INDEX($A725:$BM725,,$BV$27)*$BW$27+
$BN725)),
$BN725-100)</f>
        <v>12.89724</v>
      </c>
      <c r="BF725" t="str">
        <f t="shared" si="155"/>
        <v/>
      </c>
      <c r="BG725" t="str">
        <f t="shared" si="151"/>
        <v/>
      </c>
      <c r="BH725">
        <f t="shared" si="156"/>
        <v>0</v>
      </c>
      <c r="BJ725" t="str">
        <f t="shared" si="157"/>
        <v/>
      </c>
      <c r="BL725">
        <f t="shared" si="145"/>
        <v>0</v>
      </c>
      <c r="BN725">
        <v>7.2400000000000103E-3</v>
      </c>
      <c r="BS725" s="4" t="s">
        <v>2383</v>
      </c>
    </row>
    <row r="726" spans="1:71" ht="15.75" thickBot="1" x14ac:dyDescent="0.3">
      <c r="A726" s="569" t="s">
        <v>2255</v>
      </c>
      <c r="B726" s="569" t="s">
        <v>155</v>
      </c>
      <c r="C726" s="569" t="s">
        <v>7</v>
      </c>
      <c r="D726" s="574">
        <v>9</v>
      </c>
      <c r="E726" s="569"/>
      <c r="F726" s="569"/>
      <c r="G726" s="569"/>
      <c r="H726" s="569"/>
      <c r="I726" s="574">
        <v>0</v>
      </c>
      <c r="J726" s="574">
        <v>0</v>
      </c>
      <c r="K726" s="574">
        <v>0</v>
      </c>
      <c r="L726" s="574">
        <v>3.4</v>
      </c>
      <c r="M726" s="574">
        <v>0.3</v>
      </c>
      <c r="N726" s="574">
        <v>54.6</v>
      </c>
      <c r="O726" s="574">
        <v>0</v>
      </c>
      <c r="P726" s="574">
        <v>0</v>
      </c>
      <c r="Q726" s="574">
        <v>0</v>
      </c>
      <c r="R726" s="569"/>
      <c r="S726" s="569"/>
      <c r="T726" s="569"/>
      <c r="U726" s="569"/>
      <c r="V726" s="569"/>
      <c r="W726" s="569"/>
      <c r="X726" s="569"/>
      <c r="Y726" s="569"/>
      <c r="Z726" s="569"/>
      <c r="AA726" s="569"/>
      <c r="AB726" s="569"/>
      <c r="AC726" s="569"/>
      <c r="AD726" s="569"/>
      <c r="AE726" s="569"/>
      <c r="AF726" s="569"/>
      <c r="AG726" s="569"/>
      <c r="AH726" s="569"/>
      <c r="AI726" s="569"/>
      <c r="AJ726" s="569"/>
      <c r="AK726" s="569"/>
      <c r="AL726" s="569"/>
      <c r="AM726" s="569"/>
      <c r="AN726" s="574">
        <v>7.2</v>
      </c>
      <c r="AO726">
        <v>725</v>
      </c>
      <c r="AP726" t="str">
        <f t="shared" si="146"/>
        <v/>
      </c>
      <c r="AQ726" t="str">
        <f t="shared" si="147"/>
        <v/>
      </c>
      <c r="AR726" s="430">
        <f>IFERROR(
IF(AP726="",-100,
IF($BV$2&gt;0, INDEX(Beersheet!$A:$U,MATCH(AP726,INDEX(Beersheet!$A:$U,0,FFARawStatProjections!$BV$2),0),$BV$3)+$BN726,
INDEX($A726:$BM726,,$BV$12)*$BW$12+
INDEX($A726:$BM726,,$BV$15)*$BW$15+
INDEX($A726:$BM726,,$BV$16)*$BW$16+
INDEX($A726:$BM726,,$BV$17)*$BW$17+
INDEX($A726:$BM726,,$BV$18)*$BW$18+
INDEX($A726:$BM726,,$BV$19)*$BW$19+
INDEX($A726:$BM726,,$BV$20)*$BW$20+
INDEX($A726:$BM726,,$BV$21)*$BW$21+
INDEX($A726:$BM726,,$BV$22)*$BW$22+
INDEX($A726:$BM726,,$BV$23)*$BW$23+
INDEX($A726:$BM726,,$BV$25)*$BW$25+
INDEX($A726:$BM726,,$BV$26)*$BW$26+
INDEX($A726:$BM726,,$BV$27)*$BW$27+
$BN726)),
$BN726-100)</f>
        <v>-100</v>
      </c>
      <c r="AT726" t="str">
        <f t="shared" si="152"/>
        <v/>
      </c>
      <c r="AU726" t="str">
        <f t="shared" si="148"/>
        <v/>
      </c>
      <c r="AV726" s="430">
        <f>IFERROR(
IF(AT726="",-100,
IF($BV$2&gt;0, INDEX(Beersheet!$A:$U,MATCH(AT726,INDEX(Beersheet!$A:$U,0,FFARawStatProjections!$BV$2),0),$BV$3)+$BN726,
INDEX($A726:$BM726,,$BV$12)*$BW$12+
INDEX($A726:$BM726,,$BV$15)*$BW$15+
INDEX($A726:$BM726,,$BV$16)*$BW$16+
INDEX($A726:$BM726,,$BV$17)*$BW$17+
INDEX($A726:$BM726,,$BV$18)*$BW$18+
INDEX($A726:$BM726,,$BV$19)*$BW$19+
INDEX($A726:$BM726,,$BV$20)*$BW$20+
INDEX($A726:$BM726,,$BV$21)*$BW$21+
INDEX($A726:$BM726,,$BV$22)*$BW$22+
INDEX($A726:$BM726,,$BV$23)*$BW$23+
INDEX($A726:$BM726,,$BV$25)*$BW$25+
INDEX($A726:$BM726,,$BV$26)*$BW$26+
INDEX($A726:$BM726,,$BV$27)*$BW$27+
$BN726)),
$BN726-100)</f>
        <v>-100</v>
      </c>
      <c r="AX726" t="str">
        <f t="shared" si="153"/>
        <v/>
      </c>
      <c r="AY726" t="str">
        <f t="shared" si="149"/>
        <v/>
      </c>
      <c r="AZ726" s="430">
        <f>IFERROR(
IF(AX726="",-100,
IF($BV$2&gt;0, INDEX(Beersheet!$A:$U,MATCH(AX726,INDEX(Beersheet!$A:$U,0,FFARawStatProjections!$BV$2),0),$BV$3)+$BN726,
INDEX($A726:$BM726,,$BV$12)*$BW$12+
INDEX($A726:$BM726,,$BV$15)*$BW$15+
INDEX($A726:$BM726,,$BV$16)*$BW$16+
INDEX($A726:$BM726,,$BV$17)*$BW$17+
INDEX($A726:$BM726,,$BV$18)*$BW$18+
INDEX($A726:$BM726,,$BV$19)*$BW$19+
INDEX($A726:$BM726,,$BV$20)*$BW$20+
INDEX($A726:$BM726,,$BV$21)*$BW$21+
INDEX($A726:$BM726,,$BV$22)*$BW$22+
INDEX($A726:$BM726,,$BV$23)*$BW$23+
INDEX($A726:$BM726,,$BV$25)*$BW$25+
INDEX($A726:$BM726,,$BV$26)*$BW$26+
INDEX($A726:$BM726,,$BV$27)*$BW$27+
$BN726)),
$BN726-100)</f>
        <v>-100</v>
      </c>
      <c r="BB726" t="str">
        <f t="shared" si="154"/>
        <v>Charlie Woerner</v>
      </c>
      <c r="BC726" t="str">
        <f t="shared" si="150"/>
        <v>SF</v>
      </c>
      <c r="BD726" s="430">
        <f>IFERROR(
IF(BB726="",-100,
IF($BV$2&gt;0, INDEX(Beersheet!$A:$U,MATCH(BB726,INDEX(Beersheet!$A:$U,0,FFARawStatProjections!$BV$2),0),$BV$3)+$BN726,
INDEX($A726:$BM726,,$BV$12)*$BW$12+
INDEX($A726:$BM726,,$BV$15)*$BW$15+
INDEX($A726:$BM726,,$BV$16)*$BW$16+
INDEX($A726:$BM726,,$BV$17)*$BW$17+
INDEX($A726:$BM726,,$BV$18)*$BW$18+
INDEX($A726:$BM726,,$BV$19)*$BW$19+
INDEX($A726:$BM726,,$BV$20)*$BW$20+
INDEX($A726:$BM726,,$BV$21)*$BW$21+
INDEX($A726:$BM726,,$BV$22)*$BW$22+
INDEX($A726:$BM726,,$BV$23)*$BW$23+
INDEX($A726:$BM726,,$BV$25)*$BW$25+
INDEX($A726:$BM726,,$BV$26)*$BW$26+
INDEX($A726:$BM726,,$BV$27)*$BW$27+
$BN726)),
$BN726-100)</f>
        <v>10.667250000000001</v>
      </c>
      <c r="BF726" t="str">
        <f t="shared" si="155"/>
        <v/>
      </c>
      <c r="BG726" t="str">
        <f t="shared" si="151"/>
        <v/>
      </c>
      <c r="BH726">
        <f t="shared" si="156"/>
        <v>0</v>
      </c>
      <c r="BJ726" t="str">
        <f t="shared" si="157"/>
        <v/>
      </c>
      <c r="BL726">
        <f t="shared" si="145"/>
        <v>0</v>
      </c>
      <c r="BN726">
        <v>7.2500000000000099E-3</v>
      </c>
      <c r="BS726" s="4" t="s">
        <v>2387</v>
      </c>
    </row>
    <row r="727" spans="1:71" ht="15.75" thickBot="1" x14ac:dyDescent="0.3">
      <c r="A727" s="569" t="s">
        <v>1301</v>
      </c>
      <c r="B727" s="569" t="s">
        <v>151</v>
      </c>
      <c r="C727" s="569" t="s">
        <v>7</v>
      </c>
      <c r="D727" s="574">
        <v>7</v>
      </c>
      <c r="E727" s="569"/>
      <c r="F727" s="569"/>
      <c r="G727" s="569"/>
      <c r="H727" s="569"/>
      <c r="I727" s="574">
        <v>0</v>
      </c>
      <c r="J727" s="574">
        <v>0</v>
      </c>
      <c r="K727" s="574">
        <v>0</v>
      </c>
      <c r="L727" s="574">
        <v>4.7</v>
      </c>
      <c r="M727" s="574">
        <v>0.4</v>
      </c>
      <c r="N727" s="574">
        <v>44.3</v>
      </c>
      <c r="O727" s="574">
        <v>0</v>
      </c>
      <c r="P727" s="574">
        <v>0</v>
      </c>
      <c r="Q727" s="574">
        <v>0</v>
      </c>
      <c r="R727" s="569"/>
      <c r="S727" s="569"/>
      <c r="T727" s="569"/>
      <c r="U727" s="569"/>
      <c r="V727" s="569"/>
      <c r="W727" s="569"/>
      <c r="X727" s="569"/>
      <c r="Y727" s="569"/>
      <c r="Z727" s="569"/>
      <c r="AA727" s="569"/>
      <c r="AB727" s="569"/>
      <c r="AC727" s="569"/>
      <c r="AD727" s="569"/>
      <c r="AE727" s="569"/>
      <c r="AF727" s="569"/>
      <c r="AG727" s="569"/>
      <c r="AH727" s="569"/>
      <c r="AI727" s="569"/>
      <c r="AJ727" s="569"/>
      <c r="AK727" s="569"/>
      <c r="AL727" s="569"/>
      <c r="AM727" s="569"/>
      <c r="AN727" s="574">
        <v>6.9</v>
      </c>
      <c r="AO727">
        <v>726</v>
      </c>
      <c r="AP727" t="str">
        <f t="shared" si="146"/>
        <v/>
      </c>
      <c r="AQ727" t="str">
        <f t="shared" si="147"/>
        <v/>
      </c>
      <c r="AR727" s="430">
        <f>IFERROR(
IF(AP727="",-100,
IF($BV$2&gt;0, INDEX(Beersheet!$A:$U,MATCH(AP727,INDEX(Beersheet!$A:$U,0,FFARawStatProjections!$BV$2),0),$BV$3)+$BN727,
INDEX($A727:$BM727,,$BV$12)*$BW$12+
INDEX($A727:$BM727,,$BV$15)*$BW$15+
INDEX($A727:$BM727,,$BV$16)*$BW$16+
INDEX($A727:$BM727,,$BV$17)*$BW$17+
INDEX($A727:$BM727,,$BV$18)*$BW$18+
INDEX($A727:$BM727,,$BV$19)*$BW$19+
INDEX($A727:$BM727,,$BV$20)*$BW$20+
INDEX($A727:$BM727,,$BV$21)*$BW$21+
INDEX($A727:$BM727,,$BV$22)*$BW$22+
INDEX($A727:$BM727,,$BV$23)*$BW$23+
INDEX($A727:$BM727,,$BV$25)*$BW$25+
INDEX($A727:$BM727,,$BV$26)*$BW$26+
INDEX($A727:$BM727,,$BV$27)*$BW$27+
$BN727)),
$BN727-100)</f>
        <v>-100</v>
      </c>
      <c r="AT727" t="str">
        <f t="shared" si="152"/>
        <v/>
      </c>
      <c r="AU727" t="str">
        <f t="shared" si="148"/>
        <v/>
      </c>
      <c r="AV727" s="430">
        <f>IFERROR(
IF(AT727="",-100,
IF($BV$2&gt;0, INDEX(Beersheet!$A:$U,MATCH(AT727,INDEX(Beersheet!$A:$U,0,FFARawStatProjections!$BV$2),0),$BV$3)+$BN727,
INDEX($A727:$BM727,,$BV$12)*$BW$12+
INDEX($A727:$BM727,,$BV$15)*$BW$15+
INDEX($A727:$BM727,,$BV$16)*$BW$16+
INDEX($A727:$BM727,,$BV$17)*$BW$17+
INDEX($A727:$BM727,,$BV$18)*$BW$18+
INDEX($A727:$BM727,,$BV$19)*$BW$19+
INDEX($A727:$BM727,,$BV$20)*$BW$20+
INDEX($A727:$BM727,,$BV$21)*$BW$21+
INDEX($A727:$BM727,,$BV$22)*$BW$22+
INDEX($A727:$BM727,,$BV$23)*$BW$23+
INDEX($A727:$BM727,,$BV$25)*$BW$25+
INDEX($A727:$BM727,,$BV$26)*$BW$26+
INDEX($A727:$BM727,,$BV$27)*$BW$27+
$BN727)),
$BN727-100)</f>
        <v>-100</v>
      </c>
      <c r="AX727" t="str">
        <f t="shared" si="153"/>
        <v/>
      </c>
      <c r="AY727" t="str">
        <f t="shared" si="149"/>
        <v/>
      </c>
      <c r="AZ727" s="430">
        <f>IFERROR(
IF(AX727="",-100,
IF($BV$2&gt;0, INDEX(Beersheet!$A:$U,MATCH(AX727,INDEX(Beersheet!$A:$U,0,FFARawStatProjections!$BV$2),0),$BV$3)+$BN727,
INDEX($A727:$BM727,,$BV$12)*$BW$12+
INDEX($A727:$BM727,,$BV$15)*$BW$15+
INDEX($A727:$BM727,,$BV$16)*$BW$16+
INDEX($A727:$BM727,,$BV$17)*$BW$17+
INDEX($A727:$BM727,,$BV$18)*$BW$18+
INDEX($A727:$BM727,,$BV$19)*$BW$19+
INDEX($A727:$BM727,,$BV$20)*$BW$20+
INDEX($A727:$BM727,,$BV$21)*$BW$21+
INDEX($A727:$BM727,,$BV$22)*$BW$22+
INDEX($A727:$BM727,,$BV$23)*$BW$23+
INDEX($A727:$BM727,,$BV$25)*$BW$25+
INDEX($A727:$BM727,,$BV$26)*$BW$26+
INDEX($A727:$BM727,,$BV$27)*$BW$27+
$BN727)),
$BN727-100)</f>
        <v>-100</v>
      </c>
      <c r="BB727" t="str">
        <f t="shared" si="154"/>
        <v>Nick Vannett</v>
      </c>
      <c r="BC727" t="str">
        <f t="shared" si="150"/>
        <v>HOU</v>
      </c>
      <c r="BD727" s="430">
        <f>IFERROR(
IF(BB727="",-100,
IF($BV$2&gt;0, INDEX(Beersheet!$A:$U,MATCH(BB727,INDEX(Beersheet!$A:$U,0,FFARawStatProjections!$BV$2),0),$BV$3)+$BN727,
INDEX($A727:$BM727,,$BV$12)*$BW$12+
INDEX($A727:$BM727,,$BV$15)*$BW$15+
INDEX($A727:$BM727,,$BV$16)*$BW$16+
INDEX($A727:$BM727,,$BV$17)*$BW$17+
INDEX($A727:$BM727,,$BV$18)*$BW$18+
INDEX($A727:$BM727,,$BV$19)*$BW$19+
INDEX($A727:$BM727,,$BV$20)*$BW$20+
INDEX($A727:$BM727,,$BV$21)*$BW$21+
INDEX($A727:$BM727,,$BV$22)*$BW$22+
INDEX($A727:$BM727,,$BV$23)*$BW$23+
INDEX($A727:$BM727,,$BV$25)*$BW$25+
INDEX($A727:$BM727,,$BV$26)*$BW$26+
INDEX($A727:$BM727,,$BV$27)*$BW$27+
$BN727)),
$BN727-100)</f>
        <v>11.537260000000002</v>
      </c>
      <c r="BF727" t="str">
        <f t="shared" si="155"/>
        <v/>
      </c>
      <c r="BG727" t="str">
        <f t="shared" si="151"/>
        <v/>
      </c>
      <c r="BH727">
        <f t="shared" si="156"/>
        <v>0</v>
      </c>
      <c r="BJ727" t="str">
        <f t="shared" si="157"/>
        <v/>
      </c>
      <c r="BL727">
        <f t="shared" si="145"/>
        <v>0</v>
      </c>
      <c r="BN727">
        <v>7.2600000000000104E-3</v>
      </c>
      <c r="BS727" s="4" t="s">
        <v>1413</v>
      </c>
    </row>
    <row r="728" spans="1:71" ht="15.75" thickBot="1" x14ac:dyDescent="0.3">
      <c r="A728" s="569" t="s">
        <v>2431</v>
      </c>
      <c r="B728" s="569" t="s">
        <v>148</v>
      </c>
      <c r="C728" s="569" t="s">
        <v>7</v>
      </c>
      <c r="D728" s="574">
        <v>11</v>
      </c>
      <c r="E728" s="569"/>
      <c r="F728" s="569"/>
      <c r="G728" s="569"/>
      <c r="H728" s="569"/>
      <c r="I728" s="574">
        <v>0</v>
      </c>
      <c r="J728" s="574">
        <v>0</v>
      </c>
      <c r="K728" s="574">
        <v>0</v>
      </c>
      <c r="L728" s="574">
        <v>0</v>
      </c>
      <c r="M728" s="574">
        <v>0.4</v>
      </c>
      <c r="N728" s="574">
        <v>41.6</v>
      </c>
      <c r="O728" s="574">
        <v>0</v>
      </c>
      <c r="P728" s="574">
        <v>0</v>
      </c>
      <c r="Q728" s="574">
        <v>0</v>
      </c>
      <c r="R728" s="569"/>
      <c r="S728" s="569"/>
      <c r="T728" s="569"/>
      <c r="U728" s="569"/>
      <c r="V728" s="569"/>
      <c r="W728" s="569"/>
      <c r="X728" s="569"/>
      <c r="Y728" s="569"/>
      <c r="Z728" s="569"/>
      <c r="AA728" s="569"/>
      <c r="AB728" s="569"/>
      <c r="AC728" s="569"/>
      <c r="AD728" s="569"/>
      <c r="AE728" s="569"/>
      <c r="AF728" s="569"/>
      <c r="AG728" s="569"/>
      <c r="AH728" s="569"/>
      <c r="AI728" s="569"/>
      <c r="AJ728" s="569"/>
      <c r="AK728" s="569"/>
      <c r="AL728" s="569"/>
      <c r="AM728" s="569"/>
      <c r="AN728" s="574">
        <v>6.6</v>
      </c>
      <c r="AO728">
        <v>727</v>
      </c>
      <c r="AP728" t="str">
        <f t="shared" si="146"/>
        <v/>
      </c>
      <c r="AQ728" t="str">
        <f t="shared" si="147"/>
        <v/>
      </c>
      <c r="AR728" s="430">
        <f>IFERROR(
IF(AP728="",-100,
IF($BV$2&gt;0, INDEX(Beersheet!$A:$U,MATCH(AP728,INDEX(Beersheet!$A:$U,0,FFARawStatProjections!$BV$2),0),$BV$3)+$BN728,
INDEX($A728:$BM728,,$BV$12)*$BW$12+
INDEX($A728:$BM728,,$BV$15)*$BW$15+
INDEX($A728:$BM728,,$BV$16)*$BW$16+
INDEX($A728:$BM728,,$BV$17)*$BW$17+
INDEX($A728:$BM728,,$BV$18)*$BW$18+
INDEX($A728:$BM728,,$BV$19)*$BW$19+
INDEX($A728:$BM728,,$BV$20)*$BW$20+
INDEX($A728:$BM728,,$BV$21)*$BW$21+
INDEX($A728:$BM728,,$BV$22)*$BW$22+
INDEX($A728:$BM728,,$BV$23)*$BW$23+
INDEX($A728:$BM728,,$BV$25)*$BW$25+
INDEX($A728:$BM728,,$BV$26)*$BW$26+
INDEX($A728:$BM728,,$BV$27)*$BW$27+
$BN728)),
$BN728-100)</f>
        <v>-100</v>
      </c>
      <c r="AT728" t="str">
        <f t="shared" si="152"/>
        <v/>
      </c>
      <c r="AU728" t="str">
        <f t="shared" si="148"/>
        <v/>
      </c>
      <c r="AV728" s="430">
        <f>IFERROR(
IF(AT728="",-100,
IF($BV$2&gt;0, INDEX(Beersheet!$A:$U,MATCH(AT728,INDEX(Beersheet!$A:$U,0,FFARawStatProjections!$BV$2),0),$BV$3)+$BN728,
INDEX($A728:$BM728,,$BV$12)*$BW$12+
INDEX($A728:$BM728,,$BV$15)*$BW$15+
INDEX($A728:$BM728,,$BV$16)*$BW$16+
INDEX($A728:$BM728,,$BV$17)*$BW$17+
INDEX($A728:$BM728,,$BV$18)*$BW$18+
INDEX($A728:$BM728,,$BV$19)*$BW$19+
INDEX($A728:$BM728,,$BV$20)*$BW$20+
INDEX($A728:$BM728,,$BV$21)*$BW$21+
INDEX($A728:$BM728,,$BV$22)*$BW$22+
INDEX($A728:$BM728,,$BV$23)*$BW$23+
INDEX($A728:$BM728,,$BV$25)*$BW$25+
INDEX($A728:$BM728,,$BV$26)*$BW$26+
INDEX($A728:$BM728,,$BV$27)*$BW$27+
$BN728)),
$BN728-100)</f>
        <v>-100</v>
      </c>
      <c r="AX728" t="str">
        <f t="shared" si="153"/>
        <v/>
      </c>
      <c r="AY728" t="str">
        <f t="shared" si="149"/>
        <v/>
      </c>
      <c r="AZ728" s="430">
        <f>IFERROR(
IF(AX728="",-100,
IF($BV$2&gt;0, INDEX(Beersheet!$A:$U,MATCH(AX728,INDEX(Beersheet!$A:$U,0,FFARawStatProjections!$BV$2),0),$BV$3)+$BN728,
INDEX($A728:$BM728,,$BV$12)*$BW$12+
INDEX($A728:$BM728,,$BV$15)*$BW$15+
INDEX($A728:$BM728,,$BV$16)*$BW$16+
INDEX($A728:$BM728,,$BV$17)*$BW$17+
INDEX($A728:$BM728,,$BV$18)*$BW$18+
INDEX($A728:$BM728,,$BV$19)*$BW$19+
INDEX($A728:$BM728,,$BV$20)*$BW$20+
INDEX($A728:$BM728,,$BV$21)*$BW$21+
INDEX($A728:$BM728,,$BV$22)*$BW$22+
INDEX($A728:$BM728,,$BV$23)*$BW$23+
INDEX($A728:$BM728,,$BV$25)*$BW$25+
INDEX($A728:$BM728,,$BV$26)*$BW$26+
INDEX($A728:$BM728,,$BV$27)*$BW$27+
$BN728)),
$BN728-100)</f>
        <v>-100</v>
      </c>
      <c r="BB728" t="str">
        <f t="shared" si="154"/>
        <v>MyCole Pruitt</v>
      </c>
      <c r="BC728" t="str">
        <f t="shared" si="150"/>
        <v>ATL</v>
      </c>
      <c r="BD728" s="430">
        <f>IFERROR(
IF(BB728="",-100,
IF($BV$2&gt;0, INDEX(Beersheet!$A:$U,MATCH(BB728,INDEX(Beersheet!$A:$U,0,FFARawStatProjections!$BV$2),0),$BV$3)+$BN728,
INDEX($A728:$BM728,,$BV$12)*$BW$12+
INDEX($A728:$BM728,,$BV$15)*$BW$15+
INDEX($A728:$BM728,,$BV$16)*$BW$16+
INDEX($A728:$BM728,,$BV$17)*$BW$17+
INDEX($A728:$BM728,,$BV$18)*$BW$18+
INDEX($A728:$BM728,,$BV$19)*$BW$19+
INDEX($A728:$BM728,,$BV$20)*$BW$20+
INDEX($A728:$BM728,,$BV$21)*$BW$21+
INDEX($A728:$BM728,,$BV$22)*$BW$22+
INDEX($A728:$BM728,,$BV$23)*$BW$23+
INDEX($A728:$BM728,,$BV$25)*$BW$25+
INDEX($A728:$BM728,,$BV$26)*$BW$26+
INDEX($A728:$BM728,,$BV$27)*$BW$27+
$BN728)),
$BN728-100)</f>
        <v>6.5672700000000006</v>
      </c>
      <c r="BF728" t="str">
        <f t="shared" si="155"/>
        <v/>
      </c>
      <c r="BG728" t="str">
        <f t="shared" si="151"/>
        <v/>
      </c>
      <c r="BH728">
        <f t="shared" si="156"/>
        <v>0</v>
      </c>
      <c r="BJ728" t="str">
        <f t="shared" si="157"/>
        <v/>
      </c>
      <c r="BL728">
        <f t="shared" si="145"/>
        <v>0</v>
      </c>
      <c r="BN728">
        <v>7.27000000000001E-3</v>
      </c>
      <c r="BS728" s="4" t="s">
        <v>2386</v>
      </c>
    </row>
    <row r="729" spans="1:71" ht="15.75" thickBot="1" x14ac:dyDescent="0.3">
      <c r="A729" s="569" t="s">
        <v>2357</v>
      </c>
      <c r="B729" s="569" t="s">
        <v>136</v>
      </c>
      <c r="C729" s="569" t="s">
        <v>7</v>
      </c>
      <c r="D729" s="574">
        <v>10</v>
      </c>
      <c r="E729" s="569"/>
      <c r="F729" s="569"/>
      <c r="G729" s="569"/>
      <c r="H729" s="569"/>
      <c r="I729" s="574">
        <v>0</v>
      </c>
      <c r="J729" s="574">
        <v>0</v>
      </c>
      <c r="K729" s="574">
        <v>0</v>
      </c>
      <c r="L729" s="574">
        <v>0</v>
      </c>
      <c r="M729" s="574">
        <v>0.3</v>
      </c>
      <c r="N729" s="574">
        <v>46.1</v>
      </c>
      <c r="O729" s="574">
        <v>0</v>
      </c>
      <c r="P729" s="574">
        <v>0</v>
      </c>
      <c r="Q729" s="574">
        <v>0</v>
      </c>
      <c r="R729" s="569"/>
      <c r="S729" s="569"/>
      <c r="T729" s="569"/>
      <c r="U729" s="569"/>
      <c r="V729" s="569"/>
      <c r="W729" s="569"/>
      <c r="X729" s="569"/>
      <c r="Y729" s="569"/>
      <c r="Z729" s="569"/>
      <c r="AA729" s="569"/>
      <c r="AB729" s="569"/>
      <c r="AC729" s="569"/>
      <c r="AD729" s="569"/>
      <c r="AE729" s="569"/>
      <c r="AF729" s="569"/>
      <c r="AG729" s="569"/>
      <c r="AH729" s="569"/>
      <c r="AI729" s="569"/>
      <c r="AJ729" s="569"/>
      <c r="AK729" s="569"/>
      <c r="AL729" s="569"/>
      <c r="AM729" s="569"/>
      <c r="AN729" s="574">
        <v>6.4</v>
      </c>
      <c r="AO729">
        <v>728</v>
      </c>
      <c r="AP729" t="str">
        <f t="shared" si="146"/>
        <v/>
      </c>
      <c r="AQ729" t="str">
        <f t="shared" si="147"/>
        <v/>
      </c>
      <c r="AR729" s="430">
        <f>IFERROR(
IF(AP729="",-100,
IF($BV$2&gt;0, INDEX(Beersheet!$A:$U,MATCH(AP729,INDEX(Beersheet!$A:$U,0,FFARawStatProjections!$BV$2),0),$BV$3)+$BN729,
INDEX($A729:$BM729,,$BV$12)*$BW$12+
INDEX($A729:$BM729,,$BV$15)*$BW$15+
INDEX($A729:$BM729,,$BV$16)*$BW$16+
INDEX($A729:$BM729,,$BV$17)*$BW$17+
INDEX($A729:$BM729,,$BV$18)*$BW$18+
INDEX($A729:$BM729,,$BV$19)*$BW$19+
INDEX($A729:$BM729,,$BV$20)*$BW$20+
INDEX($A729:$BM729,,$BV$21)*$BW$21+
INDEX($A729:$BM729,,$BV$22)*$BW$22+
INDEX($A729:$BM729,,$BV$23)*$BW$23+
INDEX($A729:$BM729,,$BV$25)*$BW$25+
INDEX($A729:$BM729,,$BV$26)*$BW$26+
INDEX($A729:$BM729,,$BV$27)*$BW$27+
$BN729)),
$BN729-100)</f>
        <v>-100</v>
      </c>
      <c r="AT729" t="str">
        <f t="shared" si="152"/>
        <v/>
      </c>
      <c r="AU729" t="str">
        <f t="shared" si="148"/>
        <v/>
      </c>
      <c r="AV729" s="430">
        <f>IFERROR(
IF(AT729="",-100,
IF($BV$2&gt;0, INDEX(Beersheet!$A:$U,MATCH(AT729,INDEX(Beersheet!$A:$U,0,FFARawStatProjections!$BV$2),0),$BV$3)+$BN729,
INDEX($A729:$BM729,,$BV$12)*$BW$12+
INDEX($A729:$BM729,,$BV$15)*$BW$15+
INDEX($A729:$BM729,,$BV$16)*$BW$16+
INDEX($A729:$BM729,,$BV$17)*$BW$17+
INDEX($A729:$BM729,,$BV$18)*$BW$18+
INDEX($A729:$BM729,,$BV$19)*$BW$19+
INDEX($A729:$BM729,,$BV$20)*$BW$20+
INDEX($A729:$BM729,,$BV$21)*$BW$21+
INDEX($A729:$BM729,,$BV$22)*$BW$22+
INDEX($A729:$BM729,,$BV$23)*$BW$23+
INDEX($A729:$BM729,,$BV$25)*$BW$25+
INDEX($A729:$BM729,,$BV$26)*$BW$26+
INDEX($A729:$BM729,,$BV$27)*$BW$27+
$BN729)),
$BN729-100)</f>
        <v>-100</v>
      </c>
      <c r="AX729" t="str">
        <f t="shared" si="153"/>
        <v/>
      </c>
      <c r="AY729" t="str">
        <f t="shared" si="149"/>
        <v/>
      </c>
      <c r="AZ729" s="430">
        <f>IFERROR(
IF(AX729="",-100,
IF($BV$2&gt;0, INDEX(Beersheet!$A:$U,MATCH(AX729,INDEX(Beersheet!$A:$U,0,FFARawStatProjections!$BV$2),0),$BV$3)+$BN729,
INDEX($A729:$BM729,,$BV$12)*$BW$12+
INDEX($A729:$BM729,,$BV$15)*$BW$15+
INDEX($A729:$BM729,,$BV$16)*$BW$16+
INDEX($A729:$BM729,,$BV$17)*$BW$17+
INDEX($A729:$BM729,,$BV$18)*$BW$18+
INDEX($A729:$BM729,,$BV$19)*$BW$19+
INDEX($A729:$BM729,,$BV$20)*$BW$20+
INDEX($A729:$BM729,,$BV$21)*$BW$21+
INDEX($A729:$BM729,,$BV$22)*$BW$22+
INDEX($A729:$BM729,,$BV$23)*$BW$23+
INDEX($A729:$BM729,,$BV$25)*$BW$25+
INDEX($A729:$BM729,,$BV$26)*$BW$26+
INDEX($A729:$BM729,,$BV$27)*$BW$27+
$BN729)),
$BN729-100)</f>
        <v>-100</v>
      </c>
      <c r="BB729" t="str">
        <f t="shared" si="154"/>
        <v>Kendall Blanton</v>
      </c>
      <c r="BC729" t="str">
        <f t="shared" si="150"/>
        <v>KC</v>
      </c>
      <c r="BD729" s="430">
        <f>IFERROR(
IF(BB729="",-100,
IF($BV$2&gt;0, INDEX(Beersheet!$A:$U,MATCH(BB729,INDEX(Beersheet!$A:$U,0,FFARawStatProjections!$BV$2),0),$BV$3)+$BN729,
INDEX($A729:$BM729,,$BV$12)*$BW$12+
INDEX($A729:$BM729,,$BV$15)*$BW$15+
INDEX($A729:$BM729,,$BV$16)*$BW$16+
INDEX($A729:$BM729,,$BV$17)*$BW$17+
INDEX($A729:$BM729,,$BV$18)*$BW$18+
INDEX($A729:$BM729,,$BV$19)*$BW$19+
INDEX($A729:$BM729,,$BV$20)*$BW$20+
INDEX($A729:$BM729,,$BV$21)*$BW$21+
INDEX($A729:$BM729,,$BV$22)*$BW$22+
INDEX($A729:$BM729,,$BV$23)*$BW$23+
INDEX($A729:$BM729,,$BV$25)*$BW$25+
INDEX($A729:$BM729,,$BV$26)*$BW$26+
INDEX($A729:$BM729,,$BV$27)*$BW$27+
$BN729)),
$BN729-100)</f>
        <v>6.4172799999999999</v>
      </c>
      <c r="BF729" t="str">
        <f t="shared" si="155"/>
        <v/>
      </c>
      <c r="BG729" t="str">
        <f t="shared" si="151"/>
        <v/>
      </c>
      <c r="BH729">
        <f t="shared" si="156"/>
        <v>0</v>
      </c>
      <c r="BJ729" t="str">
        <f t="shared" si="157"/>
        <v/>
      </c>
      <c r="BL729">
        <f t="shared" ref="BL729:BL792" si="158">IFERROR(IF(BJ729="",0,
V729*2+W729*2+X729*2+Z729*6+AA729*1+AB729*2+AC729*6
+AN729+BN729),"")</f>
        <v>0</v>
      </c>
      <c r="BN729">
        <v>7.2800000000000104E-3</v>
      </c>
      <c r="BS729" s="4" t="s">
        <v>2385</v>
      </c>
    </row>
    <row r="730" spans="1:71" ht="15.75" thickBot="1" x14ac:dyDescent="0.3">
      <c r="A730" s="569" t="s">
        <v>2258</v>
      </c>
      <c r="B730" s="569" t="s">
        <v>2272</v>
      </c>
      <c r="C730" s="569" t="s">
        <v>7</v>
      </c>
      <c r="D730" s="574">
        <v>14</v>
      </c>
      <c r="E730" s="569"/>
      <c r="F730" s="569"/>
      <c r="G730" s="569"/>
      <c r="H730" s="569"/>
      <c r="I730" s="574">
        <v>0</v>
      </c>
      <c r="J730" s="574">
        <v>0</v>
      </c>
      <c r="K730" s="574">
        <v>0</v>
      </c>
      <c r="L730" s="574">
        <v>3</v>
      </c>
      <c r="M730" s="574">
        <v>0.3</v>
      </c>
      <c r="N730" s="574">
        <v>47.8</v>
      </c>
      <c r="O730" s="574">
        <v>0</v>
      </c>
      <c r="P730" s="574">
        <v>0</v>
      </c>
      <c r="Q730" s="574">
        <v>0</v>
      </c>
      <c r="R730" s="569"/>
      <c r="S730" s="569"/>
      <c r="T730" s="569"/>
      <c r="U730" s="569"/>
      <c r="V730" s="569"/>
      <c r="W730" s="569"/>
      <c r="X730" s="569"/>
      <c r="Y730" s="569"/>
      <c r="Z730" s="569"/>
      <c r="AA730" s="569"/>
      <c r="AB730" s="569"/>
      <c r="AC730" s="569"/>
      <c r="AD730" s="569"/>
      <c r="AE730" s="569"/>
      <c r="AF730" s="569"/>
      <c r="AG730" s="569"/>
      <c r="AH730" s="569"/>
      <c r="AI730" s="569"/>
      <c r="AJ730" s="569"/>
      <c r="AK730" s="569"/>
      <c r="AL730" s="569"/>
      <c r="AM730" s="569"/>
      <c r="AN730" s="574">
        <v>6.3</v>
      </c>
      <c r="AO730">
        <v>729</v>
      </c>
      <c r="AP730" t="str">
        <f t="shared" si="146"/>
        <v/>
      </c>
      <c r="AQ730" t="str">
        <f t="shared" si="147"/>
        <v/>
      </c>
      <c r="AR730" s="430">
        <f>IFERROR(
IF(AP730="",-100,
IF($BV$2&gt;0, INDEX(Beersheet!$A:$U,MATCH(AP730,INDEX(Beersheet!$A:$U,0,FFARawStatProjections!$BV$2),0),$BV$3)+$BN730,
INDEX($A730:$BM730,,$BV$12)*$BW$12+
INDEX($A730:$BM730,,$BV$15)*$BW$15+
INDEX($A730:$BM730,,$BV$16)*$BW$16+
INDEX($A730:$BM730,,$BV$17)*$BW$17+
INDEX($A730:$BM730,,$BV$18)*$BW$18+
INDEX($A730:$BM730,,$BV$19)*$BW$19+
INDEX($A730:$BM730,,$BV$20)*$BW$20+
INDEX($A730:$BM730,,$BV$21)*$BW$21+
INDEX($A730:$BM730,,$BV$22)*$BW$22+
INDEX($A730:$BM730,,$BV$23)*$BW$23+
INDEX($A730:$BM730,,$BV$25)*$BW$25+
INDEX($A730:$BM730,,$BV$26)*$BW$26+
INDEX($A730:$BM730,,$BV$27)*$BW$27+
$BN730)),
$BN730-100)</f>
        <v>-100</v>
      </c>
      <c r="AT730" t="str">
        <f t="shared" si="152"/>
        <v/>
      </c>
      <c r="AU730" t="str">
        <f t="shared" si="148"/>
        <v/>
      </c>
      <c r="AV730" s="430">
        <f>IFERROR(
IF(AT730="",-100,
IF($BV$2&gt;0, INDEX(Beersheet!$A:$U,MATCH(AT730,INDEX(Beersheet!$A:$U,0,FFARawStatProjections!$BV$2),0),$BV$3)+$BN730,
INDEX($A730:$BM730,,$BV$12)*$BW$12+
INDEX($A730:$BM730,,$BV$15)*$BW$15+
INDEX($A730:$BM730,,$BV$16)*$BW$16+
INDEX($A730:$BM730,,$BV$17)*$BW$17+
INDEX($A730:$BM730,,$BV$18)*$BW$18+
INDEX($A730:$BM730,,$BV$19)*$BW$19+
INDEX($A730:$BM730,,$BV$20)*$BW$20+
INDEX($A730:$BM730,,$BV$21)*$BW$21+
INDEX($A730:$BM730,,$BV$22)*$BW$22+
INDEX($A730:$BM730,,$BV$23)*$BW$23+
INDEX($A730:$BM730,,$BV$25)*$BW$25+
INDEX($A730:$BM730,,$BV$26)*$BW$26+
INDEX($A730:$BM730,,$BV$27)*$BW$27+
$BN730)),
$BN730-100)</f>
        <v>-100</v>
      </c>
      <c r="AX730" t="str">
        <f t="shared" si="153"/>
        <v/>
      </c>
      <c r="AY730" t="str">
        <f t="shared" si="149"/>
        <v/>
      </c>
      <c r="AZ730" s="430">
        <f>IFERROR(
IF(AX730="",-100,
IF($BV$2&gt;0, INDEX(Beersheet!$A:$U,MATCH(AX730,INDEX(Beersheet!$A:$U,0,FFARawStatProjections!$BV$2),0),$BV$3)+$BN730,
INDEX($A730:$BM730,,$BV$12)*$BW$12+
INDEX($A730:$BM730,,$BV$15)*$BW$15+
INDEX($A730:$BM730,,$BV$16)*$BW$16+
INDEX($A730:$BM730,,$BV$17)*$BW$17+
INDEX($A730:$BM730,,$BV$18)*$BW$18+
INDEX($A730:$BM730,,$BV$19)*$BW$19+
INDEX($A730:$BM730,,$BV$20)*$BW$20+
INDEX($A730:$BM730,,$BV$21)*$BW$21+
INDEX($A730:$BM730,,$BV$22)*$BW$22+
INDEX($A730:$BM730,,$BV$23)*$BW$23+
INDEX($A730:$BM730,,$BV$25)*$BW$25+
INDEX($A730:$BM730,,$BV$26)*$BW$26+
INDEX($A730:$BM730,,$BV$27)*$BW$27+
$BN730)),
$BN730-100)</f>
        <v>-100</v>
      </c>
      <c r="BB730" t="str">
        <f t="shared" si="154"/>
        <v>Noah Togiai</v>
      </c>
      <c r="BC730" t="str">
        <f t="shared" si="150"/>
        <v>AZ</v>
      </c>
      <c r="BD730" s="430">
        <f>IFERROR(
IF(BB730="",-100,
IF($BV$2&gt;0, INDEX(Beersheet!$A:$U,MATCH(BB730,INDEX(Beersheet!$A:$U,0,FFARawStatProjections!$BV$2),0),$BV$3)+$BN730,
INDEX($A730:$BM730,,$BV$12)*$BW$12+
INDEX($A730:$BM730,,$BV$15)*$BW$15+
INDEX($A730:$BM730,,$BV$16)*$BW$16+
INDEX($A730:$BM730,,$BV$17)*$BW$17+
INDEX($A730:$BM730,,$BV$18)*$BW$18+
INDEX($A730:$BM730,,$BV$19)*$BW$19+
INDEX($A730:$BM730,,$BV$20)*$BW$20+
INDEX($A730:$BM730,,$BV$21)*$BW$21+
INDEX($A730:$BM730,,$BV$22)*$BW$22+
INDEX($A730:$BM730,,$BV$23)*$BW$23+
INDEX($A730:$BM730,,$BV$25)*$BW$25+
INDEX($A730:$BM730,,$BV$26)*$BW$26+
INDEX($A730:$BM730,,$BV$27)*$BW$27+
$BN730)),
$BN730-100)</f>
        <v>9.5872899999999994</v>
      </c>
      <c r="BF730" t="str">
        <f t="shared" si="155"/>
        <v/>
      </c>
      <c r="BG730" t="str">
        <f t="shared" si="151"/>
        <v/>
      </c>
      <c r="BH730">
        <f t="shared" si="156"/>
        <v>0</v>
      </c>
      <c r="BJ730" t="str">
        <f t="shared" si="157"/>
        <v/>
      </c>
      <c r="BL730">
        <f t="shared" si="158"/>
        <v>0</v>
      </c>
      <c r="BN730">
        <v>7.29000000000001E-3</v>
      </c>
      <c r="BS730" s="4" t="s">
        <v>2071</v>
      </c>
    </row>
    <row r="731" spans="1:71" ht="15.75" thickBot="1" x14ac:dyDescent="0.3">
      <c r="A731" s="569" t="s">
        <v>2501</v>
      </c>
      <c r="B731" s="569" t="s">
        <v>149</v>
      </c>
      <c r="C731" s="569" t="s">
        <v>7</v>
      </c>
      <c r="D731" s="574">
        <v>5</v>
      </c>
      <c r="E731" s="569"/>
      <c r="F731" s="569"/>
      <c r="G731" s="569"/>
      <c r="H731" s="569"/>
      <c r="I731" s="574">
        <v>0</v>
      </c>
      <c r="J731" s="574">
        <v>0</v>
      </c>
      <c r="K731" s="574">
        <v>0</v>
      </c>
      <c r="L731" s="574">
        <v>3.2</v>
      </c>
      <c r="M731" s="574">
        <v>0.4</v>
      </c>
      <c r="N731" s="574">
        <v>31.7</v>
      </c>
      <c r="O731" s="574">
        <v>0</v>
      </c>
      <c r="P731" s="574">
        <v>0</v>
      </c>
      <c r="Q731" s="574">
        <v>0</v>
      </c>
      <c r="R731" s="569"/>
      <c r="S731" s="569"/>
      <c r="T731" s="569"/>
      <c r="U731" s="569"/>
      <c r="V731" s="569"/>
      <c r="W731" s="569"/>
      <c r="X731" s="569"/>
      <c r="Y731" s="569"/>
      <c r="Z731" s="569"/>
      <c r="AA731" s="569"/>
      <c r="AB731" s="569"/>
      <c r="AC731" s="569"/>
      <c r="AD731" s="569"/>
      <c r="AE731" s="569"/>
      <c r="AF731" s="569"/>
      <c r="AG731" s="569"/>
      <c r="AH731" s="569"/>
      <c r="AI731" s="569"/>
      <c r="AJ731" s="569"/>
      <c r="AK731" s="569"/>
      <c r="AL731" s="569"/>
      <c r="AM731" s="569"/>
      <c r="AN731" s="574">
        <v>5.9</v>
      </c>
      <c r="AO731">
        <v>730</v>
      </c>
      <c r="AP731" t="str">
        <f t="shared" si="146"/>
        <v/>
      </c>
      <c r="AQ731" t="str">
        <f t="shared" si="147"/>
        <v/>
      </c>
      <c r="AR731" s="430">
        <f>IFERROR(
IF(AP731="",-100,
IF($BV$2&gt;0, INDEX(Beersheet!$A:$U,MATCH(AP731,INDEX(Beersheet!$A:$U,0,FFARawStatProjections!$BV$2),0),$BV$3)+$BN731,
INDEX($A731:$BM731,,$BV$12)*$BW$12+
INDEX($A731:$BM731,,$BV$15)*$BW$15+
INDEX($A731:$BM731,,$BV$16)*$BW$16+
INDEX($A731:$BM731,,$BV$17)*$BW$17+
INDEX($A731:$BM731,,$BV$18)*$BW$18+
INDEX($A731:$BM731,,$BV$19)*$BW$19+
INDEX($A731:$BM731,,$BV$20)*$BW$20+
INDEX($A731:$BM731,,$BV$21)*$BW$21+
INDEX($A731:$BM731,,$BV$22)*$BW$22+
INDEX($A731:$BM731,,$BV$23)*$BW$23+
INDEX($A731:$BM731,,$BV$25)*$BW$25+
INDEX($A731:$BM731,,$BV$26)*$BW$26+
INDEX($A731:$BM731,,$BV$27)*$BW$27+
$BN731)),
$BN731-100)</f>
        <v>-100</v>
      </c>
      <c r="AT731" t="str">
        <f t="shared" si="152"/>
        <v/>
      </c>
      <c r="AU731" t="str">
        <f t="shared" si="148"/>
        <v/>
      </c>
      <c r="AV731" s="430">
        <f>IFERROR(
IF(AT731="",-100,
IF($BV$2&gt;0, INDEX(Beersheet!$A:$U,MATCH(AT731,INDEX(Beersheet!$A:$U,0,FFARawStatProjections!$BV$2),0),$BV$3)+$BN731,
INDEX($A731:$BM731,,$BV$12)*$BW$12+
INDEX($A731:$BM731,,$BV$15)*$BW$15+
INDEX($A731:$BM731,,$BV$16)*$BW$16+
INDEX($A731:$BM731,,$BV$17)*$BW$17+
INDEX($A731:$BM731,,$BV$18)*$BW$18+
INDEX($A731:$BM731,,$BV$19)*$BW$19+
INDEX($A731:$BM731,,$BV$20)*$BW$20+
INDEX($A731:$BM731,,$BV$21)*$BW$21+
INDEX($A731:$BM731,,$BV$22)*$BW$22+
INDEX($A731:$BM731,,$BV$23)*$BW$23+
INDEX($A731:$BM731,,$BV$25)*$BW$25+
INDEX($A731:$BM731,,$BV$26)*$BW$26+
INDEX($A731:$BM731,,$BV$27)*$BW$27+
$BN731)),
$BN731-100)</f>
        <v>-100</v>
      </c>
      <c r="AX731" t="str">
        <f t="shared" si="153"/>
        <v/>
      </c>
      <c r="AY731" t="str">
        <f t="shared" si="149"/>
        <v/>
      </c>
      <c r="AZ731" s="430">
        <f>IFERROR(
IF(AX731="",-100,
IF($BV$2&gt;0, INDEX(Beersheet!$A:$U,MATCH(AX731,INDEX(Beersheet!$A:$U,0,FFARawStatProjections!$BV$2),0),$BV$3)+$BN731,
INDEX($A731:$BM731,,$BV$12)*$BW$12+
INDEX($A731:$BM731,,$BV$15)*$BW$15+
INDEX($A731:$BM731,,$BV$16)*$BW$16+
INDEX($A731:$BM731,,$BV$17)*$BW$17+
INDEX($A731:$BM731,,$BV$18)*$BW$18+
INDEX($A731:$BM731,,$BV$19)*$BW$19+
INDEX($A731:$BM731,,$BV$20)*$BW$20+
INDEX($A731:$BM731,,$BV$21)*$BW$21+
INDEX($A731:$BM731,,$BV$22)*$BW$22+
INDEX($A731:$BM731,,$BV$23)*$BW$23+
INDEX($A731:$BM731,,$BV$25)*$BW$25+
INDEX($A731:$BM731,,$BV$26)*$BW$26+
INDEX($A731:$BM731,,$BV$27)*$BW$27+
$BN731)),
$BN731-100)</f>
        <v>-100</v>
      </c>
      <c r="BB731" t="str">
        <f t="shared" si="154"/>
        <v>David Wells</v>
      </c>
      <c r="BC731" t="str">
        <f t="shared" si="150"/>
        <v>TB</v>
      </c>
      <c r="BD731" s="430">
        <f>IFERROR(
IF(BB731="",-100,
IF($BV$2&gt;0, INDEX(Beersheet!$A:$U,MATCH(BB731,INDEX(Beersheet!$A:$U,0,FFARawStatProjections!$BV$2),0),$BV$3)+$BN731,
INDEX($A731:$BM731,,$BV$12)*$BW$12+
INDEX($A731:$BM731,,$BV$15)*$BW$15+
INDEX($A731:$BM731,,$BV$16)*$BW$16+
INDEX($A731:$BM731,,$BV$17)*$BW$17+
INDEX($A731:$BM731,,$BV$18)*$BW$18+
INDEX($A731:$BM731,,$BV$19)*$BW$19+
INDEX($A731:$BM731,,$BV$20)*$BW$20+
INDEX($A731:$BM731,,$BV$21)*$BW$21+
INDEX($A731:$BM731,,$BV$22)*$BW$22+
INDEX($A731:$BM731,,$BV$23)*$BW$23+
INDEX($A731:$BM731,,$BV$25)*$BW$25+
INDEX($A731:$BM731,,$BV$26)*$BW$26+
INDEX($A731:$BM731,,$BV$27)*$BW$27+
$BN731)),
$BN731-100)</f>
        <v>8.7773000000000003</v>
      </c>
      <c r="BF731" t="str">
        <f t="shared" si="155"/>
        <v/>
      </c>
      <c r="BG731" t="str">
        <f t="shared" si="151"/>
        <v/>
      </c>
      <c r="BH731">
        <f t="shared" si="156"/>
        <v>0</v>
      </c>
      <c r="BJ731" t="str">
        <f t="shared" si="157"/>
        <v/>
      </c>
      <c r="BL731">
        <f t="shared" si="158"/>
        <v>0</v>
      </c>
      <c r="BN731">
        <v>7.3000000000000096E-3</v>
      </c>
    </row>
    <row r="732" spans="1:71" ht="15.75" thickBot="1" x14ac:dyDescent="0.3">
      <c r="A732" s="569" t="s">
        <v>2250</v>
      </c>
      <c r="B732" s="569" t="s">
        <v>149</v>
      </c>
      <c r="C732" s="569" t="s">
        <v>7</v>
      </c>
      <c r="D732" s="574">
        <v>5</v>
      </c>
      <c r="E732" s="569"/>
      <c r="F732" s="569"/>
      <c r="G732" s="569"/>
      <c r="H732" s="569"/>
      <c r="I732" s="574">
        <v>0</v>
      </c>
      <c r="J732" s="574">
        <v>0</v>
      </c>
      <c r="K732" s="574">
        <v>0</v>
      </c>
      <c r="L732" s="574">
        <v>3.9</v>
      </c>
      <c r="M732" s="574">
        <v>0.3</v>
      </c>
      <c r="N732" s="574">
        <v>39.799999999999997</v>
      </c>
      <c r="O732" s="574">
        <v>0</v>
      </c>
      <c r="P732" s="574">
        <v>0</v>
      </c>
      <c r="Q732" s="574">
        <v>0</v>
      </c>
      <c r="R732" s="569"/>
      <c r="S732" s="569"/>
      <c r="T732" s="569"/>
      <c r="U732" s="569"/>
      <c r="V732" s="569"/>
      <c r="W732" s="569"/>
      <c r="X732" s="569"/>
      <c r="Y732" s="569"/>
      <c r="Z732" s="569"/>
      <c r="AA732" s="569"/>
      <c r="AB732" s="569"/>
      <c r="AC732" s="569"/>
      <c r="AD732" s="569"/>
      <c r="AE732" s="569"/>
      <c r="AF732" s="569"/>
      <c r="AG732" s="569"/>
      <c r="AH732" s="569"/>
      <c r="AI732" s="569"/>
      <c r="AJ732" s="569"/>
      <c r="AK732" s="569"/>
      <c r="AL732" s="569"/>
      <c r="AM732" s="569"/>
      <c r="AN732" s="574">
        <v>5.8</v>
      </c>
      <c r="AO732">
        <v>731</v>
      </c>
      <c r="AP732" t="str">
        <f t="shared" si="146"/>
        <v/>
      </c>
      <c r="AQ732" t="str">
        <f t="shared" si="147"/>
        <v/>
      </c>
      <c r="AR732" s="430">
        <f>IFERROR(
IF(AP732="",-100,
IF($BV$2&gt;0, INDEX(Beersheet!$A:$U,MATCH(AP732,INDEX(Beersheet!$A:$U,0,FFARawStatProjections!$BV$2),0),$BV$3)+$BN732,
INDEX($A732:$BM732,,$BV$12)*$BW$12+
INDEX($A732:$BM732,,$BV$15)*$BW$15+
INDEX($A732:$BM732,,$BV$16)*$BW$16+
INDEX($A732:$BM732,,$BV$17)*$BW$17+
INDEX($A732:$BM732,,$BV$18)*$BW$18+
INDEX($A732:$BM732,,$BV$19)*$BW$19+
INDEX($A732:$BM732,,$BV$20)*$BW$20+
INDEX($A732:$BM732,,$BV$21)*$BW$21+
INDEX($A732:$BM732,,$BV$22)*$BW$22+
INDEX($A732:$BM732,,$BV$23)*$BW$23+
INDEX($A732:$BM732,,$BV$25)*$BW$25+
INDEX($A732:$BM732,,$BV$26)*$BW$26+
INDEX($A732:$BM732,,$BV$27)*$BW$27+
$BN732)),
$BN732-100)</f>
        <v>-100</v>
      </c>
      <c r="AT732" t="str">
        <f t="shared" si="152"/>
        <v/>
      </c>
      <c r="AU732" t="str">
        <f t="shared" si="148"/>
        <v/>
      </c>
      <c r="AV732" s="430">
        <f>IFERROR(
IF(AT732="",-100,
IF($BV$2&gt;0, INDEX(Beersheet!$A:$U,MATCH(AT732,INDEX(Beersheet!$A:$U,0,FFARawStatProjections!$BV$2),0),$BV$3)+$BN732,
INDEX($A732:$BM732,,$BV$12)*$BW$12+
INDEX($A732:$BM732,,$BV$15)*$BW$15+
INDEX($A732:$BM732,,$BV$16)*$BW$16+
INDEX($A732:$BM732,,$BV$17)*$BW$17+
INDEX($A732:$BM732,,$BV$18)*$BW$18+
INDEX($A732:$BM732,,$BV$19)*$BW$19+
INDEX($A732:$BM732,,$BV$20)*$BW$20+
INDEX($A732:$BM732,,$BV$21)*$BW$21+
INDEX($A732:$BM732,,$BV$22)*$BW$22+
INDEX($A732:$BM732,,$BV$23)*$BW$23+
INDEX($A732:$BM732,,$BV$25)*$BW$25+
INDEX($A732:$BM732,,$BV$26)*$BW$26+
INDEX($A732:$BM732,,$BV$27)*$BW$27+
$BN732)),
$BN732-100)</f>
        <v>-100</v>
      </c>
      <c r="AX732" t="str">
        <f t="shared" si="153"/>
        <v/>
      </c>
      <c r="AY732" t="str">
        <f t="shared" si="149"/>
        <v/>
      </c>
      <c r="AZ732" s="430">
        <f>IFERROR(
IF(AX732="",-100,
IF($BV$2&gt;0, INDEX(Beersheet!$A:$U,MATCH(AX732,INDEX(Beersheet!$A:$U,0,FFARawStatProjections!$BV$2),0),$BV$3)+$BN732,
INDEX($A732:$BM732,,$BV$12)*$BW$12+
INDEX($A732:$BM732,,$BV$15)*$BW$15+
INDEX($A732:$BM732,,$BV$16)*$BW$16+
INDEX($A732:$BM732,,$BV$17)*$BW$17+
INDEX($A732:$BM732,,$BV$18)*$BW$18+
INDEX($A732:$BM732,,$BV$19)*$BW$19+
INDEX($A732:$BM732,,$BV$20)*$BW$20+
INDEX($A732:$BM732,,$BV$21)*$BW$21+
INDEX($A732:$BM732,,$BV$22)*$BW$22+
INDEX($A732:$BM732,,$BV$23)*$BW$23+
INDEX($A732:$BM732,,$BV$25)*$BW$25+
INDEX($A732:$BM732,,$BV$26)*$BW$26+
INDEX($A732:$BM732,,$BV$27)*$BW$27+
$BN732)),
$BN732-100)</f>
        <v>-100</v>
      </c>
      <c r="BB732" t="str">
        <f t="shared" si="154"/>
        <v>Dominique Dafney</v>
      </c>
      <c r="BC732" t="str">
        <f t="shared" si="150"/>
        <v>TB</v>
      </c>
      <c r="BD732" s="430">
        <f>IFERROR(
IF(BB732="",-100,
IF($BV$2&gt;0, INDEX(Beersheet!$A:$U,MATCH(BB732,INDEX(Beersheet!$A:$U,0,FFARawStatProjections!$BV$2),0),$BV$3)+$BN732,
INDEX($A732:$BM732,,$BV$12)*$BW$12+
INDEX($A732:$BM732,,$BV$15)*$BW$15+
INDEX($A732:$BM732,,$BV$16)*$BW$16+
INDEX($A732:$BM732,,$BV$17)*$BW$17+
INDEX($A732:$BM732,,$BV$18)*$BW$18+
INDEX($A732:$BM732,,$BV$19)*$BW$19+
INDEX($A732:$BM732,,$BV$20)*$BW$20+
INDEX($A732:$BM732,,$BV$21)*$BW$21+
INDEX($A732:$BM732,,$BV$22)*$BW$22+
INDEX($A732:$BM732,,$BV$23)*$BW$23+
INDEX($A732:$BM732,,$BV$25)*$BW$25+
INDEX($A732:$BM732,,$BV$26)*$BW$26+
INDEX($A732:$BM732,,$BV$27)*$BW$27+
$BN732)),
$BN732-100)</f>
        <v>9.6873100000000001</v>
      </c>
      <c r="BF732" t="str">
        <f t="shared" si="155"/>
        <v/>
      </c>
      <c r="BG732" t="str">
        <f t="shared" si="151"/>
        <v/>
      </c>
      <c r="BH732">
        <f t="shared" si="156"/>
        <v>0</v>
      </c>
      <c r="BJ732" t="str">
        <f t="shared" si="157"/>
        <v/>
      </c>
      <c r="BL732">
        <f t="shared" si="158"/>
        <v>0</v>
      </c>
      <c r="BN732">
        <v>7.3100000000000196E-3</v>
      </c>
    </row>
    <row r="733" spans="1:71" ht="15.75" thickBot="1" x14ac:dyDescent="0.3">
      <c r="A733" s="569" t="s">
        <v>2312</v>
      </c>
      <c r="B733" s="569" t="s">
        <v>159</v>
      </c>
      <c r="C733" s="569" t="s">
        <v>7</v>
      </c>
      <c r="D733" s="574">
        <v>7</v>
      </c>
      <c r="E733" s="569"/>
      <c r="F733" s="569"/>
      <c r="G733" s="569"/>
      <c r="H733" s="569"/>
      <c r="I733" s="574">
        <v>0</v>
      </c>
      <c r="J733" s="574">
        <v>0</v>
      </c>
      <c r="K733" s="574">
        <v>0</v>
      </c>
      <c r="L733" s="574">
        <v>4.0999999999999996</v>
      </c>
      <c r="M733" s="574">
        <v>0.2</v>
      </c>
      <c r="N733" s="574">
        <v>30</v>
      </c>
      <c r="O733" s="574">
        <v>0</v>
      </c>
      <c r="P733" s="574">
        <v>0</v>
      </c>
      <c r="Q733" s="574">
        <v>0</v>
      </c>
      <c r="R733" s="569"/>
      <c r="S733" s="569"/>
      <c r="T733" s="569"/>
      <c r="U733" s="569"/>
      <c r="V733" s="569"/>
      <c r="W733" s="569"/>
      <c r="X733" s="569"/>
      <c r="Y733" s="569"/>
      <c r="Z733" s="569"/>
      <c r="AA733" s="569"/>
      <c r="AB733" s="569"/>
      <c r="AC733" s="569"/>
      <c r="AD733" s="569"/>
      <c r="AE733" s="569"/>
      <c r="AF733" s="569"/>
      <c r="AG733" s="569"/>
      <c r="AH733" s="569"/>
      <c r="AI733" s="569"/>
      <c r="AJ733" s="569"/>
      <c r="AK733" s="569"/>
      <c r="AL733" s="569"/>
      <c r="AM733" s="569"/>
      <c r="AN733" s="574">
        <v>7</v>
      </c>
      <c r="AO733">
        <v>732</v>
      </c>
      <c r="AP733" t="str">
        <f t="shared" si="146"/>
        <v/>
      </c>
      <c r="AQ733" t="str">
        <f t="shared" si="147"/>
        <v/>
      </c>
      <c r="AR733" s="430">
        <f>IFERROR(
IF(AP733="",-100,
IF($BV$2&gt;0, INDEX(Beersheet!$A:$U,MATCH(AP733,INDEX(Beersheet!$A:$U,0,FFARawStatProjections!$BV$2),0),$BV$3)+$BN733,
INDEX($A733:$BM733,,$BV$12)*$BW$12+
INDEX($A733:$BM733,,$BV$15)*$BW$15+
INDEX($A733:$BM733,,$BV$16)*$BW$16+
INDEX($A733:$BM733,,$BV$17)*$BW$17+
INDEX($A733:$BM733,,$BV$18)*$BW$18+
INDEX($A733:$BM733,,$BV$19)*$BW$19+
INDEX($A733:$BM733,,$BV$20)*$BW$20+
INDEX($A733:$BM733,,$BV$21)*$BW$21+
INDEX($A733:$BM733,,$BV$22)*$BW$22+
INDEX($A733:$BM733,,$BV$23)*$BW$23+
INDEX($A733:$BM733,,$BV$25)*$BW$25+
INDEX($A733:$BM733,,$BV$26)*$BW$26+
INDEX($A733:$BM733,,$BV$27)*$BW$27+
$BN733)),
$BN733-100)</f>
        <v>-100</v>
      </c>
      <c r="AT733" t="str">
        <f t="shared" si="152"/>
        <v/>
      </c>
      <c r="AU733" t="str">
        <f t="shared" si="148"/>
        <v/>
      </c>
      <c r="AV733" s="430">
        <f>IFERROR(
IF(AT733="",-100,
IF($BV$2&gt;0, INDEX(Beersheet!$A:$U,MATCH(AT733,INDEX(Beersheet!$A:$U,0,FFARawStatProjections!$BV$2),0),$BV$3)+$BN733,
INDEX($A733:$BM733,,$BV$12)*$BW$12+
INDEX($A733:$BM733,,$BV$15)*$BW$15+
INDEX($A733:$BM733,,$BV$16)*$BW$16+
INDEX($A733:$BM733,,$BV$17)*$BW$17+
INDEX($A733:$BM733,,$BV$18)*$BW$18+
INDEX($A733:$BM733,,$BV$19)*$BW$19+
INDEX($A733:$BM733,,$BV$20)*$BW$20+
INDEX($A733:$BM733,,$BV$21)*$BW$21+
INDEX($A733:$BM733,,$BV$22)*$BW$22+
INDEX($A733:$BM733,,$BV$23)*$BW$23+
INDEX($A733:$BM733,,$BV$25)*$BW$25+
INDEX($A733:$BM733,,$BV$26)*$BW$26+
INDEX($A733:$BM733,,$BV$27)*$BW$27+
$BN733)),
$BN733-100)</f>
        <v>-100</v>
      </c>
      <c r="AX733" t="str">
        <f t="shared" si="153"/>
        <v/>
      </c>
      <c r="AY733" t="str">
        <f t="shared" si="149"/>
        <v/>
      </c>
      <c r="AZ733" s="430">
        <f>IFERROR(
IF(AX733="",-100,
IF($BV$2&gt;0, INDEX(Beersheet!$A:$U,MATCH(AX733,INDEX(Beersheet!$A:$U,0,FFARawStatProjections!$BV$2),0),$BV$3)+$BN733,
INDEX($A733:$BM733,,$BV$12)*$BW$12+
INDEX($A733:$BM733,,$BV$15)*$BW$15+
INDEX($A733:$BM733,,$BV$16)*$BW$16+
INDEX($A733:$BM733,,$BV$17)*$BW$17+
INDEX($A733:$BM733,,$BV$18)*$BW$18+
INDEX($A733:$BM733,,$BV$19)*$BW$19+
INDEX($A733:$BM733,,$BV$20)*$BW$20+
INDEX($A733:$BM733,,$BV$21)*$BW$21+
INDEX($A733:$BM733,,$BV$22)*$BW$22+
INDEX($A733:$BM733,,$BV$23)*$BW$23+
INDEX($A733:$BM733,,$BV$25)*$BW$25+
INDEX($A733:$BM733,,$BV$26)*$BW$26+
INDEX($A733:$BM733,,$BV$27)*$BW$27+
$BN733)),
$BN733-100)</f>
        <v>-100</v>
      </c>
      <c r="BB733" t="str">
        <f t="shared" si="154"/>
        <v>Giovanni Ricci</v>
      </c>
      <c r="BC733" t="str">
        <f t="shared" si="150"/>
        <v>CAR</v>
      </c>
      <c r="BD733" s="430">
        <f>IFERROR(
IF(BB733="",-100,
IF($BV$2&gt;0, INDEX(Beersheet!$A:$U,MATCH(BB733,INDEX(Beersheet!$A:$U,0,FFARawStatProjections!$BV$2),0),$BV$3)+$BN733,
INDEX($A733:$BM733,,$BV$12)*$BW$12+
INDEX($A733:$BM733,,$BV$15)*$BW$15+
INDEX($A733:$BM733,,$BV$16)*$BW$16+
INDEX($A733:$BM733,,$BV$17)*$BW$17+
INDEX($A733:$BM733,,$BV$18)*$BW$18+
INDEX($A733:$BM733,,$BV$19)*$BW$19+
INDEX($A733:$BM733,,$BV$20)*$BW$20+
INDEX($A733:$BM733,,$BV$21)*$BW$21+
INDEX($A733:$BM733,,$BV$22)*$BW$22+
INDEX($A733:$BM733,,$BV$23)*$BW$23+
INDEX($A733:$BM733,,$BV$25)*$BW$25+
INDEX($A733:$BM733,,$BV$26)*$BW$26+
INDEX($A733:$BM733,,$BV$27)*$BW$27+
$BN733)),
$BN733-100)</f>
        <v>8.3073200000000007</v>
      </c>
      <c r="BF733" t="str">
        <f t="shared" si="155"/>
        <v/>
      </c>
      <c r="BG733" t="str">
        <f t="shared" si="151"/>
        <v/>
      </c>
      <c r="BH733">
        <f t="shared" si="156"/>
        <v>0</v>
      </c>
      <c r="BJ733" t="str">
        <f t="shared" si="157"/>
        <v/>
      </c>
      <c r="BL733">
        <f t="shared" si="158"/>
        <v>0</v>
      </c>
      <c r="BN733">
        <v>7.3200000000000201E-3</v>
      </c>
    </row>
    <row r="734" spans="1:71" ht="15.75" thickBot="1" x14ac:dyDescent="0.3">
      <c r="A734" s="569" t="s">
        <v>2404</v>
      </c>
      <c r="B734" s="569" t="s">
        <v>166</v>
      </c>
      <c r="C734" s="569" t="s">
        <v>7</v>
      </c>
      <c r="D734" s="574">
        <v>10</v>
      </c>
      <c r="E734" s="569"/>
      <c r="F734" s="569"/>
      <c r="G734" s="569"/>
      <c r="H734" s="569"/>
      <c r="I734" s="574">
        <v>0</v>
      </c>
      <c r="J734" s="574">
        <v>0</v>
      </c>
      <c r="K734" s="574">
        <v>0</v>
      </c>
      <c r="L734" s="574">
        <v>3.9</v>
      </c>
      <c r="M734" s="574">
        <v>0.3</v>
      </c>
      <c r="N734" s="574">
        <v>37.700000000000003</v>
      </c>
      <c r="O734" s="574">
        <v>0</v>
      </c>
      <c r="P734" s="574">
        <v>0</v>
      </c>
      <c r="Q734" s="574">
        <v>0</v>
      </c>
      <c r="R734" s="569"/>
      <c r="S734" s="569"/>
      <c r="T734" s="569"/>
      <c r="U734" s="569"/>
      <c r="V734" s="569"/>
      <c r="W734" s="569"/>
      <c r="X734" s="569"/>
      <c r="Y734" s="569"/>
      <c r="Z734" s="569"/>
      <c r="AA734" s="569"/>
      <c r="AB734" s="569"/>
      <c r="AC734" s="569"/>
      <c r="AD734" s="569"/>
      <c r="AE734" s="569"/>
      <c r="AF734" s="569"/>
      <c r="AG734" s="569"/>
      <c r="AH734" s="569"/>
      <c r="AI734" s="569"/>
      <c r="AJ734" s="569"/>
      <c r="AK734" s="569"/>
      <c r="AL734" s="569"/>
      <c r="AM734" s="569"/>
      <c r="AN734" s="574">
        <v>5.5</v>
      </c>
      <c r="AO734">
        <v>733</v>
      </c>
      <c r="AP734" t="str">
        <f t="shared" si="146"/>
        <v/>
      </c>
      <c r="AQ734" t="str">
        <f t="shared" si="147"/>
        <v/>
      </c>
      <c r="AR734" s="430">
        <f>IFERROR(
IF(AP734="",-100,
IF($BV$2&gt;0, INDEX(Beersheet!$A:$U,MATCH(AP734,INDEX(Beersheet!$A:$U,0,FFARawStatProjections!$BV$2),0),$BV$3)+$BN734,
INDEX($A734:$BM734,,$BV$12)*$BW$12+
INDEX($A734:$BM734,,$BV$15)*$BW$15+
INDEX($A734:$BM734,,$BV$16)*$BW$16+
INDEX($A734:$BM734,,$BV$17)*$BW$17+
INDEX($A734:$BM734,,$BV$18)*$BW$18+
INDEX($A734:$BM734,,$BV$19)*$BW$19+
INDEX($A734:$BM734,,$BV$20)*$BW$20+
INDEX($A734:$BM734,,$BV$21)*$BW$21+
INDEX($A734:$BM734,,$BV$22)*$BW$22+
INDEX($A734:$BM734,,$BV$23)*$BW$23+
INDEX($A734:$BM734,,$BV$25)*$BW$25+
INDEX($A734:$BM734,,$BV$26)*$BW$26+
INDEX($A734:$BM734,,$BV$27)*$BW$27+
$BN734)),
$BN734-100)</f>
        <v>-100</v>
      </c>
      <c r="AT734" t="str">
        <f t="shared" si="152"/>
        <v/>
      </c>
      <c r="AU734" t="str">
        <f t="shared" si="148"/>
        <v/>
      </c>
      <c r="AV734" s="430">
        <f>IFERROR(
IF(AT734="",-100,
IF($BV$2&gt;0, INDEX(Beersheet!$A:$U,MATCH(AT734,INDEX(Beersheet!$A:$U,0,FFARawStatProjections!$BV$2),0),$BV$3)+$BN734,
INDEX($A734:$BM734,,$BV$12)*$BW$12+
INDEX($A734:$BM734,,$BV$15)*$BW$15+
INDEX($A734:$BM734,,$BV$16)*$BW$16+
INDEX($A734:$BM734,,$BV$17)*$BW$17+
INDEX($A734:$BM734,,$BV$18)*$BW$18+
INDEX($A734:$BM734,,$BV$19)*$BW$19+
INDEX($A734:$BM734,,$BV$20)*$BW$20+
INDEX($A734:$BM734,,$BV$21)*$BW$21+
INDEX($A734:$BM734,,$BV$22)*$BW$22+
INDEX($A734:$BM734,,$BV$23)*$BW$23+
INDEX($A734:$BM734,,$BV$25)*$BW$25+
INDEX($A734:$BM734,,$BV$26)*$BW$26+
INDEX($A734:$BM734,,$BV$27)*$BW$27+
$BN734)),
$BN734-100)</f>
        <v>-100</v>
      </c>
      <c r="AX734" t="str">
        <f t="shared" si="153"/>
        <v/>
      </c>
      <c r="AY734" t="str">
        <f t="shared" si="149"/>
        <v/>
      </c>
      <c r="AZ734" s="430">
        <f>IFERROR(
IF(AX734="",-100,
IF($BV$2&gt;0, INDEX(Beersheet!$A:$U,MATCH(AX734,INDEX(Beersheet!$A:$U,0,FFARawStatProjections!$BV$2),0),$BV$3)+$BN734,
INDEX($A734:$BM734,,$BV$12)*$BW$12+
INDEX($A734:$BM734,,$BV$15)*$BW$15+
INDEX($A734:$BM734,,$BV$16)*$BW$16+
INDEX($A734:$BM734,,$BV$17)*$BW$17+
INDEX($A734:$BM734,,$BV$18)*$BW$18+
INDEX($A734:$BM734,,$BV$19)*$BW$19+
INDEX($A734:$BM734,,$BV$20)*$BW$20+
INDEX($A734:$BM734,,$BV$21)*$BW$21+
INDEX($A734:$BM734,,$BV$22)*$BW$22+
INDEX($A734:$BM734,,$BV$23)*$BW$23+
INDEX($A734:$BM734,,$BV$25)*$BW$25+
INDEX($A734:$BM734,,$BV$26)*$BW$26+
INDEX($A734:$BM734,,$BV$27)*$BW$27+
$BN734)),
$BN734-100)</f>
        <v>-100</v>
      </c>
      <c r="BB734" t="str">
        <f t="shared" si="154"/>
        <v>Tanner Conner</v>
      </c>
      <c r="BC734" t="str">
        <f t="shared" si="150"/>
        <v>MIA</v>
      </c>
      <c r="BD734" s="430">
        <f>IFERROR(
IF(BB734="",-100,
IF($BV$2&gt;0, INDEX(Beersheet!$A:$U,MATCH(BB734,INDEX(Beersheet!$A:$U,0,FFARawStatProjections!$BV$2),0),$BV$3)+$BN734,
INDEX($A734:$BM734,,$BV$12)*$BW$12+
INDEX($A734:$BM734,,$BV$15)*$BW$15+
INDEX($A734:$BM734,,$BV$16)*$BW$16+
INDEX($A734:$BM734,,$BV$17)*$BW$17+
INDEX($A734:$BM734,,$BV$18)*$BW$18+
INDEX($A734:$BM734,,$BV$19)*$BW$19+
INDEX($A734:$BM734,,$BV$20)*$BW$20+
INDEX($A734:$BM734,,$BV$21)*$BW$21+
INDEX($A734:$BM734,,$BV$22)*$BW$22+
INDEX($A734:$BM734,,$BV$23)*$BW$23+
INDEX($A734:$BM734,,$BV$25)*$BW$25+
INDEX($A734:$BM734,,$BV$26)*$BW$26+
INDEX($A734:$BM734,,$BV$27)*$BW$27+
$BN734)),
$BN734-100)</f>
        <v>9.4773299999999985</v>
      </c>
      <c r="BF734" t="str">
        <f t="shared" si="155"/>
        <v/>
      </c>
      <c r="BG734" t="str">
        <f t="shared" si="151"/>
        <v/>
      </c>
      <c r="BH734">
        <f t="shared" si="156"/>
        <v>0</v>
      </c>
      <c r="BJ734" t="str">
        <f t="shared" si="157"/>
        <v/>
      </c>
      <c r="BL734">
        <f t="shared" si="158"/>
        <v>0</v>
      </c>
      <c r="BN734">
        <v>7.3300000000000197E-3</v>
      </c>
    </row>
    <row r="735" spans="1:71" ht="15.75" thickBot="1" x14ac:dyDescent="0.3">
      <c r="A735" s="569" t="s">
        <v>2396</v>
      </c>
      <c r="B735" s="569" t="s">
        <v>139</v>
      </c>
      <c r="C735" s="569" t="s">
        <v>7</v>
      </c>
      <c r="D735" s="574">
        <v>6</v>
      </c>
      <c r="E735" s="569"/>
      <c r="F735" s="569"/>
      <c r="G735" s="569"/>
      <c r="H735" s="569"/>
      <c r="I735" s="574">
        <v>0</v>
      </c>
      <c r="J735" s="574">
        <v>0</v>
      </c>
      <c r="K735" s="574">
        <v>0</v>
      </c>
      <c r="L735" s="574">
        <v>2.5</v>
      </c>
      <c r="M735" s="574">
        <v>0.3</v>
      </c>
      <c r="N735" s="574">
        <v>35.6</v>
      </c>
      <c r="O735" s="574">
        <v>0</v>
      </c>
      <c r="P735" s="574">
        <v>0</v>
      </c>
      <c r="Q735" s="574">
        <v>0</v>
      </c>
      <c r="R735" s="569"/>
      <c r="S735" s="569"/>
      <c r="T735" s="569"/>
      <c r="U735" s="569"/>
      <c r="V735" s="569"/>
      <c r="W735" s="569"/>
      <c r="X735" s="569"/>
      <c r="Y735" s="569"/>
      <c r="Z735" s="569"/>
      <c r="AA735" s="569"/>
      <c r="AB735" s="569"/>
      <c r="AC735" s="569"/>
      <c r="AD735" s="569"/>
      <c r="AE735" s="569"/>
      <c r="AF735" s="569"/>
      <c r="AG735" s="569"/>
      <c r="AH735" s="569"/>
      <c r="AI735" s="569"/>
      <c r="AJ735" s="569"/>
      <c r="AK735" s="569"/>
      <c r="AL735" s="569"/>
      <c r="AM735" s="569"/>
      <c r="AN735" s="574">
        <v>5.4</v>
      </c>
      <c r="AO735">
        <v>734</v>
      </c>
      <c r="AP735" t="str">
        <f t="shared" si="146"/>
        <v/>
      </c>
      <c r="AQ735" t="str">
        <f t="shared" si="147"/>
        <v/>
      </c>
      <c r="AR735" s="430">
        <f>IFERROR(
IF(AP735="",-100,
IF($BV$2&gt;0, INDEX(Beersheet!$A:$U,MATCH(AP735,INDEX(Beersheet!$A:$U,0,FFARawStatProjections!$BV$2),0),$BV$3)+$BN735,
INDEX($A735:$BM735,,$BV$12)*$BW$12+
INDEX($A735:$BM735,,$BV$15)*$BW$15+
INDEX($A735:$BM735,,$BV$16)*$BW$16+
INDEX($A735:$BM735,,$BV$17)*$BW$17+
INDEX($A735:$BM735,,$BV$18)*$BW$18+
INDEX($A735:$BM735,,$BV$19)*$BW$19+
INDEX($A735:$BM735,,$BV$20)*$BW$20+
INDEX($A735:$BM735,,$BV$21)*$BW$21+
INDEX($A735:$BM735,,$BV$22)*$BW$22+
INDEX($A735:$BM735,,$BV$23)*$BW$23+
INDEX($A735:$BM735,,$BV$25)*$BW$25+
INDEX($A735:$BM735,,$BV$26)*$BW$26+
INDEX($A735:$BM735,,$BV$27)*$BW$27+
$BN735)),
$BN735-100)</f>
        <v>-100</v>
      </c>
      <c r="AT735" t="str">
        <f t="shared" si="152"/>
        <v/>
      </c>
      <c r="AU735" t="str">
        <f t="shared" si="148"/>
        <v/>
      </c>
      <c r="AV735" s="430">
        <f>IFERROR(
IF(AT735="",-100,
IF($BV$2&gt;0, INDEX(Beersheet!$A:$U,MATCH(AT735,INDEX(Beersheet!$A:$U,0,FFARawStatProjections!$BV$2),0),$BV$3)+$BN735,
INDEX($A735:$BM735,,$BV$12)*$BW$12+
INDEX($A735:$BM735,,$BV$15)*$BW$15+
INDEX($A735:$BM735,,$BV$16)*$BW$16+
INDEX($A735:$BM735,,$BV$17)*$BW$17+
INDEX($A735:$BM735,,$BV$18)*$BW$18+
INDEX($A735:$BM735,,$BV$19)*$BW$19+
INDEX($A735:$BM735,,$BV$20)*$BW$20+
INDEX($A735:$BM735,,$BV$21)*$BW$21+
INDEX($A735:$BM735,,$BV$22)*$BW$22+
INDEX($A735:$BM735,,$BV$23)*$BW$23+
INDEX($A735:$BM735,,$BV$25)*$BW$25+
INDEX($A735:$BM735,,$BV$26)*$BW$26+
INDEX($A735:$BM735,,$BV$27)*$BW$27+
$BN735)),
$BN735-100)</f>
        <v>-100</v>
      </c>
      <c r="AX735" t="str">
        <f t="shared" si="153"/>
        <v/>
      </c>
      <c r="AY735" t="str">
        <f t="shared" si="149"/>
        <v/>
      </c>
      <c r="AZ735" s="430">
        <f>IFERROR(
IF(AX735="",-100,
IF($BV$2&gt;0, INDEX(Beersheet!$A:$U,MATCH(AX735,INDEX(Beersheet!$A:$U,0,FFARawStatProjections!$BV$2),0),$BV$3)+$BN735,
INDEX($A735:$BM735,,$BV$12)*$BW$12+
INDEX($A735:$BM735,,$BV$15)*$BW$15+
INDEX($A735:$BM735,,$BV$16)*$BW$16+
INDEX($A735:$BM735,,$BV$17)*$BW$17+
INDEX($A735:$BM735,,$BV$18)*$BW$18+
INDEX($A735:$BM735,,$BV$19)*$BW$19+
INDEX($A735:$BM735,,$BV$20)*$BW$20+
INDEX($A735:$BM735,,$BV$21)*$BW$21+
INDEX($A735:$BM735,,$BV$22)*$BW$22+
INDEX($A735:$BM735,,$BV$23)*$BW$23+
INDEX($A735:$BM735,,$BV$25)*$BW$25+
INDEX($A735:$BM735,,$BV$26)*$BW$26+
INDEX($A735:$BM735,,$BV$27)*$BW$27+
$BN735)),
$BN735-100)</f>
        <v>-100</v>
      </c>
      <c r="BB735" t="str">
        <f t="shared" si="154"/>
        <v>Tyler Davis</v>
      </c>
      <c r="BC735" t="str">
        <f t="shared" si="150"/>
        <v>GB</v>
      </c>
      <c r="BD735" s="430">
        <f>IFERROR(
IF(BB735="",-100,
IF($BV$2&gt;0, INDEX(Beersheet!$A:$U,MATCH(BB735,INDEX(Beersheet!$A:$U,0,FFARawStatProjections!$BV$2),0),$BV$3)+$BN735,
INDEX($A735:$BM735,,$BV$12)*$BW$12+
INDEX($A735:$BM735,,$BV$15)*$BW$15+
INDEX($A735:$BM735,,$BV$16)*$BW$16+
INDEX($A735:$BM735,,$BV$17)*$BW$17+
INDEX($A735:$BM735,,$BV$18)*$BW$18+
INDEX($A735:$BM735,,$BV$19)*$BW$19+
INDEX($A735:$BM735,,$BV$20)*$BW$20+
INDEX($A735:$BM735,,$BV$21)*$BW$21+
INDEX($A735:$BM735,,$BV$22)*$BW$22+
INDEX($A735:$BM735,,$BV$23)*$BW$23+
INDEX($A735:$BM735,,$BV$25)*$BW$25+
INDEX($A735:$BM735,,$BV$26)*$BW$26+
INDEX($A735:$BM735,,$BV$27)*$BW$27+
$BN735)),
$BN735-100)</f>
        <v>7.8673400000000004</v>
      </c>
      <c r="BF735" t="str">
        <f t="shared" si="155"/>
        <v/>
      </c>
      <c r="BG735" t="str">
        <f t="shared" si="151"/>
        <v/>
      </c>
      <c r="BH735">
        <f t="shared" si="156"/>
        <v>0</v>
      </c>
      <c r="BJ735" t="str">
        <f t="shared" si="157"/>
        <v/>
      </c>
      <c r="BL735">
        <f t="shared" si="158"/>
        <v>0</v>
      </c>
      <c r="BN735">
        <v>7.3400000000000201E-3</v>
      </c>
    </row>
    <row r="736" spans="1:71" ht="15.75" thickBot="1" x14ac:dyDescent="0.3">
      <c r="A736" s="569" t="s">
        <v>2561</v>
      </c>
      <c r="B736" s="569" t="s">
        <v>137</v>
      </c>
      <c r="C736" s="569" t="s">
        <v>7</v>
      </c>
      <c r="D736" s="574">
        <v>10</v>
      </c>
      <c r="E736" s="569"/>
      <c r="F736" s="569"/>
      <c r="G736" s="569"/>
      <c r="H736" s="569"/>
      <c r="I736" s="574">
        <v>0</v>
      </c>
      <c r="J736" s="574">
        <v>0</v>
      </c>
      <c r="K736" s="574">
        <v>0</v>
      </c>
      <c r="L736" s="574">
        <v>0</v>
      </c>
      <c r="M736" s="574">
        <v>0.3</v>
      </c>
      <c r="N736" s="574">
        <v>35</v>
      </c>
      <c r="O736" s="574">
        <v>0</v>
      </c>
      <c r="P736" s="574">
        <v>0</v>
      </c>
      <c r="Q736" s="574">
        <v>0</v>
      </c>
      <c r="R736" s="569"/>
      <c r="S736" s="569"/>
      <c r="T736" s="569"/>
      <c r="U736" s="569"/>
      <c r="V736" s="569"/>
      <c r="W736" s="569"/>
      <c r="X736" s="569"/>
      <c r="Y736" s="569"/>
      <c r="Z736" s="569"/>
      <c r="AA736" s="569"/>
      <c r="AB736" s="569"/>
      <c r="AC736" s="569"/>
      <c r="AD736" s="569"/>
      <c r="AE736" s="569"/>
      <c r="AF736" s="569"/>
      <c r="AG736" s="569"/>
      <c r="AH736" s="569"/>
      <c r="AI736" s="569"/>
      <c r="AJ736" s="569"/>
      <c r="AK736" s="569"/>
      <c r="AL736" s="569"/>
      <c r="AM736" s="569"/>
      <c r="AN736" s="574">
        <v>5.3</v>
      </c>
      <c r="AO736">
        <v>735</v>
      </c>
      <c r="AP736" t="str">
        <f t="shared" si="146"/>
        <v/>
      </c>
      <c r="AQ736" t="str">
        <f t="shared" si="147"/>
        <v/>
      </c>
      <c r="AR736" s="430">
        <f>IFERROR(
IF(AP736="",-100,
IF($BV$2&gt;0, INDEX(Beersheet!$A:$U,MATCH(AP736,INDEX(Beersheet!$A:$U,0,FFARawStatProjections!$BV$2),0),$BV$3)+$BN736,
INDEX($A736:$BM736,,$BV$12)*$BW$12+
INDEX($A736:$BM736,,$BV$15)*$BW$15+
INDEX($A736:$BM736,,$BV$16)*$BW$16+
INDEX($A736:$BM736,,$BV$17)*$BW$17+
INDEX($A736:$BM736,,$BV$18)*$BW$18+
INDEX($A736:$BM736,,$BV$19)*$BW$19+
INDEX($A736:$BM736,,$BV$20)*$BW$20+
INDEX($A736:$BM736,,$BV$21)*$BW$21+
INDEX($A736:$BM736,,$BV$22)*$BW$22+
INDEX($A736:$BM736,,$BV$23)*$BW$23+
INDEX($A736:$BM736,,$BV$25)*$BW$25+
INDEX($A736:$BM736,,$BV$26)*$BW$26+
INDEX($A736:$BM736,,$BV$27)*$BW$27+
$BN736)),
$BN736-100)</f>
        <v>-100</v>
      </c>
      <c r="AT736" t="str">
        <f t="shared" si="152"/>
        <v/>
      </c>
      <c r="AU736" t="str">
        <f t="shared" si="148"/>
        <v/>
      </c>
      <c r="AV736" s="430">
        <f>IFERROR(
IF(AT736="",-100,
IF($BV$2&gt;0, INDEX(Beersheet!$A:$U,MATCH(AT736,INDEX(Beersheet!$A:$U,0,FFARawStatProjections!$BV$2),0),$BV$3)+$BN736,
INDEX($A736:$BM736,,$BV$12)*$BW$12+
INDEX($A736:$BM736,,$BV$15)*$BW$15+
INDEX($A736:$BM736,,$BV$16)*$BW$16+
INDEX($A736:$BM736,,$BV$17)*$BW$17+
INDEX($A736:$BM736,,$BV$18)*$BW$18+
INDEX($A736:$BM736,,$BV$19)*$BW$19+
INDEX($A736:$BM736,,$BV$20)*$BW$20+
INDEX($A736:$BM736,,$BV$21)*$BW$21+
INDEX($A736:$BM736,,$BV$22)*$BW$22+
INDEX($A736:$BM736,,$BV$23)*$BW$23+
INDEX($A736:$BM736,,$BV$25)*$BW$25+
INDEX($A736:$BM736,,$BV$26)*$BW$26+
INDEX($A736:$BM736,,$BV$27)*$BW$27+
$BN736)),
$BN736-100)</f>
        <v>-100</v>
      </c>
      <c r="AX736" t="str">
        <f t="shared" si="153"/>
        <v/>
      </c>
      <c r="AY736" t="str">
        <f t="shared" si="149"/>
        <v/>
      </c>
      <c r="AZ736" s="430">
        <f>IFERROR(
IF(AX736="",-100,
IF($BV$2&gt;0, INDEX(Beersheet!$A:$U,MATCH(AX736,INDEX(Beersheet!$A:$U,0,FFARawStatProjections!$BV$2),0),$BV$3)+$BN736,
INDEX($A736:$BM736,,$BV$12)*$BW$12+
INDEX($A736:$BM736,,$BV$15)*$BW$15+
INDEX($A736:$BM736,,$BV$16)*$BW$16+
INDEX($A736:$BM736,,$BV$17)*$BW$17+
INDEX($A736:$BM736,,$BV$18)*$BW$18+
INDEX($A736:$BM736,,$BV$19)*$BW$19+
INDEX($A736:$BM736,,$BV$20)*$BW$20+
INDEX($A736:$BM736,,$BV$21)*$BW$21+
INDEX($A736:$BM736,,$BV$22)*$BW$22+
INDEX($A736:$BM736,,$BV$23)*$BW$23+
INDEX($A736:$BM736,,$BV$25)*$BW$25+
INDEX($A736:$BM736,,$BV$26)*$BW$26+
INDEX($A736:$BM736,,$BV$27)*$BW$27+
$BN736)),
$BN736-100)</f>
        <v>-100</v>
      </c>
      <c r="BB736" t="str">
        <f t="shared" si="154"/>
        <v>Tyree Jackson</v>
      </c>
      <c r="BC736" t="str">
        <f t="shared" si="150"/>
        <v>PHI</v>
      </c>
      <c r="BD736" s="430">
        <f>IFERROR(
IF(BB736="",-100,
IF($BV$2&gt;0, INDEX(Beersheet!$A:$U,MATCH(BB736,INDEX(Beersheet!$A:$U,0,FFARawStatProjections!$BV$2),0),$BV$3)+$BN736,
INDEX($A736:$BM736,,$BV$12)*$BW$12+
INDEX($A736:$BM736,,$BV$15)*$BW$15+
INDEX($A736:$BM736,,$BV$16)*$BW$16+
INDEX($A736:$BM736,,$BV$17)*$BW$17+
INDEX($A736:$BM736,,$BV$18)*$BW$18+
INDEX($A736:$BM736,,$BV$19)*$BW$19+
INDEX($A736:$BM736,,$BV$20)*$BW$20+
INDEX($A736:$BM736,,$BV$21)*$BW$21+
INDEX($A736:$BM736,,$BV$22)*$BW$22+
INDEX($A736:$BM736,,$BV$23)*$BW$23+
INDEX($A736:$BM736,,$BV$25)*$BW$25+
INDEX($A736:$BM736,,$BV$26)*$BW$26+
INDEX($A736:$BM736,,$BV$27)*$BW$27+
$BN736)),
$BN736-100)</f>
        <v>5.3073499999999996</v>
      </c>
      <c r="BF736" t="str">
        <f t="shared" si="155"/>
        <v/>
      </c>
      <c r="BG736" t="str">
        <f t="shared" si="151"/>
        <v/>
      </c>
      <c r="BH736">
        <f t="shared" si="156"/>
        <v>0</v>
      </c>
      <c r="BJ736" t="str">
        <f t="shared" si="157"/>
        <v/>
      </c>
      <c r="BL736">
        <f t="shared" si="158"/>
        <v>0</v>
      </c>
      <c r="BN736">
        <v>7.3500000000000197E-3</v>
      </c>
    </row>
    <row r="737" spans="1:66" ht="15.75" thickBot="1" x14ac:dyDescent="0.3">
      <c r="A737" s="569" t="s">
        <v>2259</v>
      </c>
      <c r="B737" s="569" t="s">
        <v>151</v>
      </c>
      <c r="C737" s="569" t="s">
        <v>7</v>
      </c>
      <c r="D737" s="574">
        <v>7</v>
      </c>
      <c r="E737" s="569"/>
      <c r="F737" s="569"/>
      <c r="G737" s="569"/>
      <c r="H737" s="569"/>
      <c r="I737" s="574">
        <v>0</v>
      </c>
      <c r="J737" s="574">
        <v>0</v>
      </c>
      <c r="K737" s="574">
        <v>0</v>
      </c>
      <c r="L737" s="574">
        <v>3.6</v>
      </c>
      <c r="M737" s="574">
        <v>0.2</v>
      </c>
      <c r="N737" s="574">
        <v>35.200000000000003</v>
      </c>
      <c r="O737" s="574">
        <v>0</v>
      </c>
      <c r="P737" s="574">
        <v>0</v>
      </c>
      <c r="Q737" s="574">
        <v>0</v>
      </c>
      <c r="R737" s="569"/>
      <c r="S737" s="569"/>
      <c r="T737" s="569"/>
      <c r="U737" s="569"/>
      <c r="V737" s="569"/>
      <c r="W737" s="569"/>
      <c r="X737" s="569"/>
      <c r="Y737" s="569"/>
      <c r="Z737" s="569"/>
      <c r="AA737" s="569"/>
      <c r="AB737" s="569"/>
      <c r="AC737" s="569"/>
      <c r="AD737" s="569"/>
      <c r="AE737" s="569"/>
      <c r="AF737" s="569"/>
      <c r="AG737" s="569"/>
      <c r="AH737" s="569"/>
      <c r="AI737" s="569"/>
      <c r="AJ737" s="569"/>
      <c r="AK737" s="569"/>
      <c r="AL737" s="569"/>
      <c r="AM737" s="569"/>
      <c r="AN737" s="574">
        <v>5</v>
      </c>
      <c r="AO737">
        <v>736</v>
      </c>
      <c r="AP737" t="str">
        <f t="shared" si="146"/>
        <v/>
      </c>
      <c r="AQ737" t="str">
        <f t="shared" si="147"/>
        <v/>
      </c>
      <c r="AR737" s="430">
        <f>IFERROR(
IF(AP737="",-100,
IF($BV$2&gt;0, INDEX(Beersheet!$A:$U,MATCH(AP737,INDEX(Beersheet!$A:$U,0,FFARawStatProjections!$BV$2),0),$BV$3)+$BN737,
INDEX($A737:$BM737,,$BV$12)*$BW$12+
INDEX($A737:$BM737,,$BV$15)*$BW$15+
INDEX($A737:$BM737,,$BV$16)*$BW$16+
INDEX($A737:$BM737,,$BV$17)*$BW$17+
INDEX($A737:$BM737,,$BV$18)*$BW$18+
INDEX($A737:$BM737,,$BV$19)*$BW$19+
INDEX($A737:$BM737,,$BV$20)*$BW$20+
INDEX($A737:$BM737,,$BV$21)*$BW$21+
INDEX($A737:$BM737,,$BV$22)*$BW$22+
INDEX($A737:$BM737,,$BV$23)*$BW$23+
INDEX($A737:$BM737,,$BV$25)*$BW$25+
INDEX($A737:$BM737,,$BV$26)*$BW$26+
INDEX($A737:$BM737,,$BV$27)*$BW$27+
$BN737)),
$BN737-100)</f>
        <v>-100</v>
      </c>
      <c r="AT737" t="str">
        <f t="shared" si="152"/>
        <v/>
      </c>
      <c r="AU737" t="str">
        <f t="shared" si="148"/>
        <v/>
      </c>
      <c r="AV737" s="430">
        <f>IFERROR(
IF(AT737="",-100,
IF($BV$2&gt;0, INDEX(Beersheet!$A:$U,MATCH(AT737,INDEX(Beersheet!$A:$U,0,FFARawStatProjections!$BV$2),0),$BV$3)+$BN737,
INDEX($A737:$BM737,,$BV$12)*$BW$12+
INDEX($A737:$BM737,,$BV$15)*$BW$15+
INDEX($A737:$BM737,,$BV$16)*$BW$16+
INDEX($A737:$BM737,,$BV$17)*$BW$17+
INDEX($A737:$BM737,,$BV$18)*$BW$18+
INDEX($A737:$BM737,,$BV$19)*$BW$19+
INDEX($A737:$BM737,,$BV$20)*$BW$20+
INDEX($A737:$BM737,,$BV$21)*$BW$21+
INDEX($A737:$BM737,,$BV$22)*$BW$22+
INDEX($A737:$BM737,,$BV$23)*$BW$23+
INDEX($A737:$BM737,,$BV$25)*$BW$25+
INDEX($A737:$BM737,,$BV$26)*$BW$26+
INDEX($A737:$BM737,,$BV$27)*$BW$27+
$BN737)),
$BN737-100)</f>
        <v>-100</v>
      </c>
      <c r="AX737" t="str">
        <f t="shared" si="153"/>
        <v/>
      </c>
      <c r="AY737" t="str">
        <f t="shared" si="149"/>
        <v/>
      </c>
      <c r="AZ737" s="430">
        <f>IFERROR(
IF(AX737="",-100,
IF($BV$2&gt;0, INDEX(Beersheet!$A:$U,MATCH(AX737,INDEX(Beersheet!$A:$U,0,FFARawStatProjections!$BV$2),0),$BV$3)+$BN737,
INDEX($A737:$BM737,,$BV$12)*$BW$12+
INDEX($A737:$BM737,,$BV$15)*$BW$15+
INDEX($A737:$BM737,,$BV$16)*$BW$16+
INDEX($A737:$BM737,,$BV$17)*$BW$17+
INDEX($A737:$BM737,,$BV$18)*$BW$18+
INDEX($A737:$BM737,,$BV$19)*$BW$19+
INDEX($A737:$BM737,,$BV$20)*$BW$20+
INDEX($A737:$BM737,,$BV$21)*$BW$21+
INDEX($A737:$BM737,,$BV$22)*$BW$22+
INDEX($A737:$BM737,,$BV$23)*$BW$23+
INDEX($A737:$BM737,,$BV$25)*$BW$25+
INDEX($A737:$BM737,,$BV$26)*$BW$26+
INDEX($A737:$BM737,,$BV$27)*$BW$27+
$BN737)),
$BN737-100)</f>
        <v>-100</v>
      </c>
      <c r="BB737" t="str">
        <f t="shared" si="154"/>
        <v>Mason Schreck</v>
      </c>
      <c r="BC737" t="str">
        <f t="shared" si="150"/>
        <v>HOU</v>
      </c>
      <c r="BD737" s="430">
        <f>IFERROR(
IF(BB737="",-100,
IF($BV$2&gt;0, INDEX(Beersheet!$A:$U,MATCH(BB737,INDEX(Beersheet!$A:$U,0,FFARawStatProjections!$BV$2),0),$BV$3)+$BN737,
INDEX($A737:$BM737,,$BV$12)*$BW$12+
INDEX($A737:$BM737,,$BV$15)*$BW$15+
INDEX($A737:$BM737,,$BV$16)*$BW$16+
INDEX($A737:$BM737,,$BV$17)*$BW$17+
INDEX($A737:$BM737,,$BV$18)*$BW$18+
INDEX($A737:$BM737,,$BV$19)*$BW$19+
INDEX($A737:$BM737,,$BV$20)*$BW$20+
INDEX($A737:$BM737,,$BV$21)*$BW$21+
INDEX($A737:$BM737,,$BV$22)*$BW$22+
INDEX($A737:$BM737,,$BV$23)*$BW$23+
INDEX($A737:$BM737,,$BV$25)*$BW$25+
INDEX($A737:$BM737,,$BV$26)*$BW$26+
INDEX($A737:$BM737,,$BV$27)*$BW$27+
$BN737)),
$BN737-100)</f>
        <v>8.3273600000000005</v>
      </c>
      <c r="BF737" t="str">
        <f t="shared" si="155"/>
        <v/>
      </c>
      <c r="BG737" t="str">
        <f t="shared" si="151"/>
        <v/>
      </c>
      <c r="BH737">
        <f t="shared" si="156"/>
        <v>0</v>
      </c>
      <c r="BJ737" t="str">
        <f t="shared" si="157"/>
        <v/>
      </c>
      <c r="BL737">
        <f t="shared" si="158"/>
        <v>0</v>
      </c>
      <c r="BN737">
        <v>7.3600000000000202E-3</v>
      </c>
    </row>
    <row r="738" spans="1:66" ht="15.75" thickBot="1" x14ac:dyDescent="0.3">
      <c r="A738" s="569" t="s">
        <v>2553</v>
      </c>
      <c r="B738" s="569" t="s">
        <v>151</v>
      </c>
      <c r="C738" s="569" t="s">
        <v>7</v>
      </c>
      <c r="D738" s="574">
        <v>7</v>
      </c>
      <c r="E738" s="569"/>
      <c r="F738" s="569"/>
      <c r="G738" s="569"/>
      <c r="H738" s="569"/>
      <c r="I738" s="574">
        <v>0</v>
      </c>
      <c r="J738" s="574">
        <v>0</v>
      </c>
      <c r="K738" s="574">
        <v>0</v>
      </c>
      <c r="L738" s="574">
        <v>3.6</v>
      </c>
      <c r="M738" s="574">
        <v>0.2</v>
      </c>
      <c r="N738" s="574">
        <v>35.1</v>
      </c>
      <c r="O738" s="574">
        <v>0</v>
      </c>
      <c r="P738" s="574">
        <v>0</v>
      </c>
      <c r="Q738" s="574">
        <v>0</v>
      </c>
      <c r="R738" s="569"/>
      <c r="S738" s="569"/>
      <c r="T738" s="569"/>
      <c r="U738" s="569"/>
      <c r="V738" s="569"/>
      <c r="W738" s="569"/>
      <c r="X738" s="569"/>
      <c r="Y738" s="569"/>
      <c r="Z738" s="569"/>
      <c r="AA738" s="569"/>
      <c r="AB738" s="569"/>
      <c r="AC738" s="569"/>
      <c r="AD738" s="569"/>
      <c r="AE738" s="569"/>
      <c r="AF738" s="569"/>
      <c r="AG738" s="569"/>
      <c r="AH738" s="569"/>
      <c r="AI738" s="569"/>
      <c r="AJ738" s="569"/>
      <c r="AK738" s="569"/>
      <c r="AL738" s="569"/>
      <c r="AM738" s="569"/>
      <c r="AN738" s="574">
        <v>5</v>
      </c>
      <c r="AO738">
        <v>737</v>
      </c>
      <c r="AP738" t="str">
        <f t="shared" si="146"/>
        <v/>
      </c>
      <c r="AQ738" t="str">
        <f t="shared" si="147"/>
        <v/>
      </c>
      <c r="AR738" s="430">
        <f>IFERROR(
IF(AP738="",-100,
IF($BV$2&gt;0, INDEX(Beersheet!$A:$U,MATCH(AP738,INDEX(Beersheet!$A:$U,0,FFARawStatProjections!$BV$2),0),$BV$3)+$BN738,
INDEX($A738:$BM738,,$BV$12)*$BW$12+
INDEX($A738:$BM738,,$BV$15)*$BW$15+
INDEX($A738:$BM738,,$BV$16)*$BW$16+
INDEX($A738:$BM738,,$BV$17)*$BW$17+
INDEX($A738:$BM738,,$BV$18)*$BW$18+
INDEX($A738:$BM738,,$BV$19)*$BW$19+
INDEX($A738:$BM738,,$BV$20)*$BW$20+
INDEX($A738:$BM738,,$BV$21)*$BW$21+
INDEX($A738:$BM738,,$BV$22)*$BW$22+
INDEX($A738:$BM738,,$BV$23)*$BW$23+
INDEX($A738:$BM738,,$BV$25)*$BW$25+
INDEX($A738:$BM738,,$BV$26)*$BW$26+
INDEX($A738:$BM738,,$BV$27)*$BW$27+
$BN738)),
$BN738-100)</f>
        <v>-100</v>
      </c>
      <c r="AT738" t="str">
        <f t="shared" si="152"/>
        <v/>
      </c>
      <c r="AU738" t="str">
        <f t="shared" si="148"/>
        <v/>
      </c>
      <c r="AV738" s="430">
        <f>IFERROR(
IF(AT738="",-100,
IF($BV$2&gt;0, INDEX(Beersheet!$A:$U,MATCH(AT738,INDEX(Beersheet!$A:$U,0,FFARawStatProjections!$BV$2),0),$BV$3)+$BN738,
INDEX($A738:$BM738,,$BV$12)*$BW$12+
INDEX($A738:$BM738,,$BV$15)*$BW$15+
INDEX($A738:$BM738,,$BV$16)*$BW$16+
INDEX($A738:$BM738,,$BV$17)*$BW$17+
INDEX($A738:$BM738,,$BV$18)*$BW$18+
INDEX($A738:$BM738,,$BV$19)*$BW$19+
INDEX($A738:$BM738,,$BV$20)*$BW$20+
INDEX($A738:$BM738,,$BV$21)*$BW$21+
INDEX($A738:$BM738,,$BV$22)*$BW$22+
INDEX($A738:$BM738,,$BV$23)*$BW$23+
INDEX($A738:$BM738,,$BV$25)*$BW$25+
INDEX($A738:$BM738,,$BV$26)*$BW$26+
INDEX($A738:$BM738,,$BV$27)*$BW$27+
$BN738)),
$BN738-100)</f>
        <v>-100</v>
      </c>
      <c r="AX738" t="str">
        <f t="shared" si="153"/>
        <v/>
      </c>
      <c r="AY738" t="str">
        <f t="shared" si="149"/>
        <v/>
      </c>
      <c r="AZ738" s="430">
        <f>IFERROR(
IF(AX738="",-100,
IF($BV$2&gt;0, INDEX(Beersheet!$A:$U,MATCH(AX738,INDEX(Beersheet!$A:$U,0,FFARawStatProjections!$BV$2),0),$BV$3)+$BN738,
INDEX($A738:$BM738,,$BV$12)*$BW$12+
INDEX($A738:$BM738,,$BV$15)*$BW$15+
INDEX($A738:$BM738,,$BV$16)*$BW$16+
INDEX($A738:$BM738,,$BV$17)*$BW$17+
INDEX($A738:$BM738,,$BV$18)*$BW$18+
INDEX($A738:$BM738,,$BV$19)*$BW$19+
INDEX($A738:$BM738,,$BV$20)*$BW$20+
INDEX($A738:$BM738,,$BV$21)*$BW$21+
INDEX($A738:$BM738,,$BV$22)*$BW$22+
INDEX($A738:$BM738,,$BV$23)*$BW$23+
INDEX($A738:$BM738,,$BV$25)*$BW$25+
INDEX($A738:$BM738,,$BV$26)*$BW$26+
INDEX($A738:$BM738,,$BV$27)*$BW$27+
$BN738)),
$BN738-100)</f>
        <v>-100</v>
      </c>
      <c r="BB738" t="str">
        <f t="shared" si="154"/>
        <v>Dalton Keene</v>
      </c>
      <c r="BC738" t="str">
        <f t="shared" si="150"/>
        <v>HOU</v>
      </c>
      <c r="BD738" s="430">
        <f>IFERROR(
IF(BB738="",-100,
IF($BV$2&gt;0, INDEX(Beersheet!$A:$U,MATCH(BB738,INDEX(Beersheet!$A:$U,0,FFARawStatProjections!$BV$2),0),$BV$3)+$BN738,
INDEX($A738:$BM738,,$BV$12)*$BW$12+
INDEX($A738:$BM738,,$BV$15)*$BW$15+
INDEX($A738:$BM738,,$BV$16)*$BW$16+
INDEX($A738:$BM738,,$BV$17)*$BW$17+
INDEX($A738:$BM738,,$BV$18)*$BW$18+
INDEX($A738:$BM738,,$BV$19)*$BW$19+
INDEX($A738:$BM738,,$BV$20)*$BW$20+
INDEX($A738:$BM738,,$BV$21)*$BW$21+
INDEX($A738:$BM738,,$BV$22)*$BW$22+
INDEX($A738:$BM738,,$BV$23)*$BW$23+
INDEX($A738:$BM738,,$BV$25)*$BW$25+
INDEX($A738:$BM738,,$BV$26)*$BW$26+
INDEX($A738:$BM738,,$BV$27)*$BW$27+
$BN738)),
$BN738-100)</f>
        <v>8.3173700000000004</v>
      </c>
      <c r="BF738" t="str">
        <f t="shared" si="155"/>
        <v/>
      </c>
      <c r="BG738" t="str">
        <f t="shared" si="151"/>
        <v/>
      </c>
      <c r="BH738">
        <f t="shared" si="156"/>
        <v>0</v>
      </c>
      <c r="BJ738" t="str">
        <f t="shared" si="157"/>
        <v/>
      </c>
      <c r="BL738">
        <f t="shared" si="158"/>
        <v>0</v>
      </c>
      <c r="BN738">
        <v>7.3700000000000198E-3</v>
      </c>
    </row>
    <row r="739" spans="1:66" ht="15.75" thickBot="1" x14ac:dyDescent="0.3">
      <c r="A739" s="569" t="s">
        <v>2251</v>
      </c>
      <c r="B739" s="569" t="s">
        <v>154</v>
      </c>
      <c r="C739" s="569" t="s">
        <v>7</v>
      </c>
      <c r="D739" s="574">
        <v>13</v>
      </c>
      <c r="E739" s="569"/>
      <c r="F739" s="569"/>
      <c r="G739" s="569"/>
      <c r="H739" s="569"/>
      <c r="I739" s="574">
        <v>0</v>
      </c>
      <c r="J739" s="574">
        <v>0</v>
      </c>
      <c r="K739" s="574">
        <v>0</v>
      </c>
      <c r="L739" s="574">
        <v>3.7</v>
      </c>
      <c r="M739" s="574">
        <v>0.3</v>
      </c>
      <c r="N739" s="574">
        <v>34</v>
      </c>
      <c r="O739" s="574">
        <v>0</v>
      </c>
      <c r="P739" s="574">
        <v>0</v>
      </c>
      <c r="Q739" s="574">
        <v>0</v>
      </c>
      <c r="R739" s="569"/>
      <c r="S739" s="569"/>
      <c r="T739" s="569"/>
      <c r="U739" s="569"/>
      <c r="V739" s="569"/>
      <c r="W739" s="569"/>
      <c r="X739" s="569"/>
      <c r="Y739" s="569"/>
      <c r="Z739" s="569"/>
      <c r="AA739" s="569"/>
      <c r="AB739" s="569"/>
      <c r="AC739" s="569"/>
      <c r="AD739" s="569"/>
      <c r="AE739" s="569"/>
      <c r="AF739" s="569"/>
      <c r="AG739" s="569"/>
      <c r="AH739" s="569"/>
      <c r="AI739" s="569"/>
      <c r="AJ739" s="569"/>
      <c r="AK739" s="569"/>
      <c r="AL739" s="569"/>
      <c r="AM739" s="569"/>
      <c r="AN739" s="574">
        <v>4.9000000000000004</v>
      </c>
      <c r="AO739">
        <v>738</v>
      </c>
      <c r="AP739" t="str">
        <f t="shared" si="146"/>
        <v/>
      </c>
      <c r="AQ739" t="str">
        <f t="shared" si="147"/>
        <v/>
      </c>
      <c r="AR739" s="430">
        <f>IFERROR(
IF(AP739="",-100,
IF($BV$2&gt;0, INDEX(Beersheet!$A:$U,MATCH(AP739,INDEX(Beersheet!$A:$U,0,FFARawStatProjections!$BV$2),0),$BV$3)+$BN739,
INDEX($A739:$BM739,,$BV$12)*$BW$12+
INDEX($A739:$BM739,,$BV$15)*$BW$15+
INDEX($A739:$BM739,,$BV$16)*$BW$16+
INDEX($A739:$BM739,,$BV$17)*$BW$17+
INDEX($A739:$BM739,,$BV$18)*$BW$18+
INDEX($A739:$BM739,,$BV$19)*$BW$19+
INDEX($A739:$BM739,,$BV$20)*$BW$20+
INDEX($A739:$BM739,,$BV$21)*$BW$21+
INDEX($A739:$BM739,,$BV$22)*$BW$22+
INDEX($A739:$BM739,,$BV$23)*$BW$23+
INDEX($A739:$BM739,,$BV$25)*$BW$25+
INDEX($A739:$BM739,,$BV$26)*$BW$26+
INDEX($A739:$BM739,,$BV$27)*$BW$27+
$BN739)),
$BN739-100)</f>
        <v>-100</v>
      </c>
      <c r="AT739" t="str">
        <f t="shared" si="152"/>
        <v/>
      </c>
      <c r="AU739" t="str">
        <f t="shared" si="148"/>
        <v/>
      </c>
      <c r="AV739" s="430">
        <f>IFERROR(
IF(AT739="",-100,
IF($BV$2&gt;0, INDEX(Beersheet!$A:$U,MATCH(AT739,INDEX(Beersheet!$A:$U,0,FFARawStatProjections!$BV$2),0),$BV$3)+$BN739,
INDEX($A739:$BM739,,$BV$12)*$BW$12+
INDEX($A739:$BM739,,$BV$15)*$BW$15+
INDEX($A739:$BM739,,$BV$16)*$BW$16+
INDEX($A739:$BM739,,$BV$17)*$BW$17+
INDEX($A739:$BM739,,$BV$18)*$BW$18+
INDEX($A739:$BM739,,$BV$19)*$BW$19+
INDEX($A739:$BM739,,$BV$20)*$BW$20+
INDEX($A739:$BM739,,$BV$21)*$BW$21+
INDEX($A739:$BM739,,$BV$22)*$BW$22+
INDEX($A739:$BM739,,$BV$23)*$BW$23+
INDEX($A739:$BM739,,$BV$25)*$BW$25+
INDEX($A739:$BM739,,$BV$26)*$BW$26+
INDEX($A739:$BM739,,$BV$27)*$BW$27+
$BN739)),
$BN739-100)</f>
        <v>-100</v>
      </c>
      <c r="AX739" t="str">
        <f t="shared" si="153"/>
        <v/>
      </c>
      <c r="AY739" t="str">
        <f t="shared" si="149"/>
        <v/>
      </c>
      <c r="AZ739" s="430">
        <f>IFERROR(
IF(AX739="",-100,
IF($BV$2&gt;0, INDEX(Beersheet!$A:$U,MATCH(AX739,INDEX(Beersheet!$A:$U,0,FFARawStatProjections!$BV$2),0),$BV$3)+$BN739,
INDEX($A739:$BM739,,$BV$12)*$BW$12+
INDEX($A739:$BM739,,$BV$15)*$BW$15+
INDEX($A739:$BM739,,$BV$16)*$BW$16+
INDEX($A739:$BM739,,$BV$17)*$BW$17+
INDEX($A739:$BM739,,$BV$18)*$BW$18+
INDEX($A739:$BM739,,$BV$19)*$BW$19+
INDEX($A739:$BM739,,$BV$20)*$BW$20+
INDEX($A739:$BM739,,$BV$21)*$BW$21+
INDEX($A739:$BM739,,$BV$22)*$BW$22+
INDEX($A739:$BM739,,$BV$23)*$BW$23+
INDEX($A739:$BM739,,$BV$25)*$BW$25+
INDEX($A739:$BM739,,$BV$26)*$BW$26+
INDEX($A739:$BM739,,$BV$27)*$BW$27+
$BN739)),
$BN739-100)</f>
        <v>-100</v>
      </c>
      <c r="BB739" t="str">
        <f t="shared" si="154"/>
        <v>Tommy Sweeney</v>
      </c>
      <c r="BC739" t="str">
        <f t="shared" si="150"/>
        <v>NYG</v>
      </c>
      <c r="BD739" s="430">
        <f>IFERROR(
IF(BB739="",-100,
IF($BV$2&gt;0, INDEX(Beersheet!$A:$U,MATCH(BB739,INDEX(Beersheet!$A:$U,0,FFARawStatProjections!$BV$2),0),$BV$3)+$BN739,
INDEX($A739:$BM739,,$BV$12)*$BW$12+
INDEX($A739:$BM739,,$BV$15)*$BW$15+
INDEX($A739:$BM739,,$BV$16)*$BW$16+
INDEX($A739:$BM739,,$BV$17)*$BW$17+
INDEX($A739:$BM739,,$BV$18)*$BW$18+
INDEX($A739:$BM739,,$BV$19)*$BW$19+
INDEX($A739:$BM739,,$BV$20)*$BW$20+
INDEX($A739:$BM739,,$BV$21)*$BW$21+
INDEX($A739:$BM739,,$BV$22)*$BW$22+
INDEX($A739:$BM739,,$BV$23)*$BW$23+
INDEX($A739:$BM739,,$BV$25)*$BW$25+
INDEX($A739:$BM739,,$BV$26)*$BW$26+
INDEX($A739:$BM739,,$BV$27)*$BW$27+
$BN739)),
$BN739-100)</f>
        <v>8.9073799999999999</v>
      </c>
      <c r="BF739" t="str">
        <f t="shared" si="155"/>
        <v/>
      </c>
      <c r="BG739" t="str">
        <f t="shared" si="151"/>
        <v/>
      </c>
      <c r="BH739">
        <f t="shared" si="156"/>
        <v>0</v>
      </c>
      <c r="BJ739" t="str">
        <f t="shared" si="157"/>
        <v/>
      </c>
      <c r="BL739">
        <f t="shared" si="158"/>
        <v>0</v>
      </c>
      <c r="BN739">
        <v>7.3800000000000202E-3</v>
      </c>
    </row>
    <row r="740" spans="1:66" ht="15.75" thickBot="1" x14ac:dyDescent="0.3">
      <c r="A740" s="569" t="s">
        <v>2373</v>
      </c>
      <c r="B740" s="569" t="s">
        <v>148</v>
      </c>
      <c r="C740" s="569" t="s">
        <v>7</v>
      </c>
      <c r="D740" s="574">
        <v>11</v>
      </c>
      <c r="E740" s="569"/>
      <c r="F740" s="569"/>
      <c r="G740" s="569"/>
      <c r="H740" s="569"/>
      <c r="I740" s="574">
        <v>0</v>
      </c>
      <c r="J740" s="574">
        <v>0</v>
      </c>
      <c r="K740" s="574">
        <v>0</v>
      </c>
      <c r="L740" s="574">
        <v>2</v>
      </c>
      <c r="M740" s="574">
        <v>0.1</v>
      </c>
      <c r="N740" s="574">
        <v>41.1</v>
      </c>
      <c r="O740" s="574">
        <v>0</v>
      </c>
      <c r="P740" s="574">
        <v>0</v>
      </c>
      <c r="Q740" s="574">
        <v>0</v>
      </c>
      <c r="R740" s="569"/>
      <c r="S740" s="569"/>
      <c r="T740" s="569"/>
      <c r="U740" s="569"/>
      <c r="V740" s="569"/>
      <c r="W740" s="569"/>
      <c r="X740" s="569"/>
      <c r="Y740" s="569"/>
      <c r="Z740" s="569"/>
      <c r="AA740" s="569"/>
      <c r="AB740" s="569"/>
      <c r="AC740" s="569"/>
      <c r="AD740" s="569"/>
      <c r="AE740" s="569"/>
      <c r="AF740" s="569"/>
      <c r="AG740" s="569"/>
      <c r="AH740" s="569"/>
      <c r="AI740" s="569"/>
      <c r="AJ740" s="569"/>
      <c r="AK740" s="569"/>
      <c r="AL740" s="569"/>
      <c r="AM740" s="569"/>
      <c r="AN740" s="574">
        <v>4.8</v>
      </c>
      <c r="AO740">
        <v>739</v>
      </c>
      <c r="AP740" t="str">
        <f t="shared" si="146"/>
        <v/>
      </c>
      <c r="AQ740" t="str">
        <f t="shared" si="147"/>
        <v/>
      </c>
      <c r="AR740" s="430">
        <f>IFERROR(
IF(AP740="",-100,
IF($BV$2&gt;0, INDEX(Beersheet!$A:$U,MATCH(AP740,INDEX(Beersheet!$A:$U,0,FFARawStatProjections!$BV$2),0),$BV$3)+$BN740,
INDEX($A740:$BM740,,$BV$12)*$BW$12+
INDEX($A740:$BM740,,$BV$15)*$BW$15+
INDEX($A740:$BM740,,$BV$16)*$BW$16+
INDEX($A740:$BM740,,$BV$17)*$BW$17+
INDEX($A740:$BM740,,$BV$18)*$BW$18+
INDEX($A740:$BM740,,$BV$19)*$BW$19+
INDEX($A740:$BM740,,$BV$20)*$BW$20+
INDEX($A740:$BM740,,$BV$21)*$BW$21+
INDEX($A740:$BM740,,$BV$22)*$BW$22+
INDEX($A740:$BM740,,$BV$23)*$BW$23+
INDEX($A740:$BM740,,$BV$25)*$BW$25+
INDEX($A740:$BM740,,$BV$26)*$BW$26+
INDEX($A740:$BM740,,$BV$27)*$BW$27+
$BN740)),
$BN740-100)</f>
        <v>-100</v>
      </c>
      <c r="AT740" t="str">
        <f t="shared" si="152"/>
        <v/>
      </c>
      <c r="AU740" t="str">
        <f t="shared" si="148"/>
        <v/>
      </c>
      <c r="AV740" s="430">
        <f>IFERROR(
IF(AT740="",-100,
IF($BV$2&gt;0, INDEX(Beersheet!$A:$U,MATCH(AT740,INDEX(Beersheet!$A:$U,0,FFARawStatProjections!$BV$2),0),$BV$3)+$BN740,
INDEX($A740:$BM740,,$BV$12)*$BW$12+
INDEX($A740:$BM740,,$BV$15)*$BW$15+
INDEX($A740:$BM740,,$BV$16)*$BW$16+
INDEX($A740:$BM740,,$BV$17)*$BW$17+
INDEX($A740:$BM740,,$BV$18)*$BW$18+
INDEX($A740:$BM740,,$BV$19)*$BW$19+
INDEX($A740:$BM740,,$BV$20)*$BW$20+
INDEX($A740:$BM740,,$BV$21)*$BW$21+
INDEX($A740:$BM740,,$BV$22)*$BW$22+
INDEX($A740:$BM740,,$BV$23)*$BW$23+
INDEX($A740:$BM740,,$BV$25)*$BW$25+
INDEX($A740:$BM740,,$BV$26)*$BW$26+
INDEX($A740:$BM740,,$BV$27)*$BW$27+
$BN740)),
$BN740-100)</f>
        <v>-100</v>
      </c>
      <c r="AX740" t="str">
        <f t="shared" si="153"/>
        <v/>
      </c>
      <c r="AY740" t="str">
        <f t="shared" si="149"/>
        <v/>
      </c>
      <c r="AZ740" s="430">
        <f>IFERROR(
IF(AX740="",-100,
IF($BV$2&gt;0, INDEX(Beersheet!$A:$U,MATCH(AX740,INDEX(Beersheet!$A:$U,0,FFARawStatProjections!$BV$2),0),$BV$3)+$BN740,
INDEX($A740:$BM740,,$BV$12)*$BW$12+
INDEX($A740:$BM740,,$BV$15)*$BW$15+
INDEX($A740:$BM740,,$BV$16)*$BW$16+
INDEX($A740:$BM740,,$BV$17)*$BW$17+
INDEX($A740:$BM740,,$BV$18)*$BW$18+
INDEX($A740:$BM740,,$BV$19)*$BW$19+
INDEX($A740:$BM740,,$BV$20)*$BW$20+
INDEX($A740:$BM740,,$BV$21)*$BW$21+
INDEX($A740:$BM740,,$BV$22)*$BW$22+
INDEX($A740:$BM740,,$BV$23)*$BW$23+
INDEX($A740:$BM740,,$BV$25)*$BW$25+
INDEX($A740:$BM740,,$BV$26)*$BW$26+
INDEX($A740:$BM740,,$BV$27)*$BW$27+
$BN740)),
$BN740-100)</f>
        <v>-100</v>
      </c>
      <c r="BB740" t="str">
        <f t="shared" si="154"/>
        <v>Parker Hesse</v>
      </c>
      <c r="BC740" t="str">
        <f t="shared" si="150"/>
        <v>ATL</v>
      </c>
      <c r="BD740" s="430">
        <f>IFERROR(
IF(BB740="",-100,
IF($BV$2&gt;0, INDEX(Beersheet!$A:$U,MATCH(BB740,INDEX(Beersheet!$A:$U,0,FFARawStatProjections!$BV$2),0),$BV$3)+$BN740,
INDEX($A740:$BM740,,$BV$12)*$BW$12+
INDEX($A740:$BM740,,$BV$15)*$BW$15+
INDEX($A740:$BM740,,$BV$16)*$BW$16+
INDEX($A740:$BM740,,$BV$17)*$BW$17+
INDEX($A740:$BM740,,$BV$18)*$BW$18+
INDEX($A740:$BM740,,$BV$19)*$BW$19+
INDEX($A740:$BM740,,$BV$20)*$BW$20+
INDEX($A740:$BM740,,$BV$21)*$BW$21+
INDEX($A740:$BM740,,$BV$22)*$BW$22+
INDEX($A740:$BM740,,$BV$23)*$BW$23+
INDEX($A740:$BM740,,$BV$25)*$BW$25+
INDEX($A740:$BM740,,$BV$26)*$BW$26+
INDEX($A740:$BM740,,$BV$27)*$BW$27+
$BN740)),
$BN740-100)</f>
        <v>6.7173900000000009</v>
      </c>
      <c r="BF740" t="str">
        <f t="shared" si="155"/>
        <v/>
      </c>
      <c r="BG740" t="str">
        <f t="shared" si="151"/>
        <v/>
      </c>
      <c r="BH740">
        <f t="shared" si="156"/>
        <v>0</v>
      </c>
      <c r="BJ740" t="str">
        <f t="shared" si="157"/>
        <v/>
      </c>
      <c r="BL740">
        <f t="shared" si="158"/>
        <v>0</v>
      </c>
      <c r="BN740">
        <v>7.3900000000000198E-3</v>
      </c>
    </row>
    <row r="741" spans="1:66" ht="15.75" thickBot="1" x14ac:dyDescent="0.3">
      <c r="A741" s="569" t="s">
        <v>2237</v>
      </c>
      <c r="B741" s="569" t="s">
        <v>158</v>
      </c>
      <c r="C741" s="569" t="s">
        <v>7</v>
      </c>
      <c r="D741" s="574">
        <v>11</v>
      </c>
      <c r="E741" s="569"/>
      <c r="F741" s="569"/>
      <c r="G741" s="569"/>
      <c r="H741" s="569"/>
      <c r="I741" s="574">
        <v>0</v>
      </c>
      <c r="J741" s="574">
        <v>0</v>
      </c>
      <c r="K741" s="574">
        <v>0</v>
      </c>
      <c r="L741" s="574">
        <v>1.9</v>
      </c>
      <c r="M741" s="574">
        <v>0.1</v>
      </c>
      <c r="N741" s="574">
        <v>41.4</v>
      </c>
      <c r="O741" s="574">
        <v>0</v>
      </c>
      <c r="P741" s="574">
        <v>0</v>
      </c>
      <c r="Q741" s="574">
        <v>0</v>
      </c>
      <c r="R741" s="569"/>
      <c r="S741" s="569"/>
      <c r="T741" s="569"/>
      <c r="U741" s="569"/>
      <c r="V741" s="569"/>
      <c r="W741" s="569"/>
      <c r="X741" s="569"/>
      <c r="Y741" s="569"/>
      <c r="Z741" s="569"/>
      <c r="AA741" s="569"/>
      <c r="AB741" s="569"/>
      <c r="AC741" s="569"/>
      <c r="AD741" s="569"/>
      <c r="AE741" s="569"/>
      <c r="AF741" s="569"/>
      <c r="AG741" s="569"/>
      <c r="AH741" s="569"/>
      <c r="AI741" s="569"/>
      <c r="AJ741" s="569"/>
      <c r="AK741" s="569"/>
      <c r="AL741" s="569"/>
      <c r="AM741" s="569"/>
      <c r="AN741" s="574">
        <v>4.5</v>
      </c>
      <c r="AO741">
        <v>740</v>
      </c>
      <c r="AP741" t="str">
        <f t="shared" si="146"/>
        <v/>
      </c>
      <c r="AQ741" t="str">
        <f t="shared" si="147"/>
        <v/>
      </c>
      <c r="AR741" s="430">
        <f>IFERROR(
IF(AP741="",-100,
IF($BV$2&gt;0, INDEX(Beersheet!$A:$U,MATCH(AP741,INDEX(Beersheet!$A:$U,0,FFARawStatProjections!$BV$2),0),$BV$3)+$BN741,
INDEX($A741:$BM741,,$BV$12)*$BW$12+
INDEX($A741:$BM741,,$BV$15)*$BW$15+
INDEX($A741:$BM741,,$BV$16)*$BW$16+
INDEX($A741:$BM741,,$BV$17)*$BW$17+
INDEX($A741:$BM741,,$BV$18)*$BW$18+
INDEX($A741:$BM741,,$BV$19)*$BW$19+
INDEX($A741:$BM741,,$BV$20)*$BW$20+
INDEX($A741:$BM741,,$BV$21)*$BW$21+
INDEX($A741:$BM741,,$BV$22)*$BW$22+
INDEX($A741:$BM741,,$BV$23)*$BW$23+
INDEX($A741:$BM741,,$BV$25)*$BW$25+
INDEX($A741:$BM741,,$BV$26)*$BW$26+
INDEX($A741:$BM741,,$BV$27)*$BW$27+
$BN741)),
$BN741-100)</f>
        <v>-100</v>
      </c>
      <c r="AT741" t="str">
        <f t="shared" si="152"/>
        <v/>
      </c>
      <c r="AU741" t="str">
        <f t="shared" si="148"/>
        <v/>
      </c>
      <c r="AV741" s="430">
        <f>IFERROR(
IF(AT741="",-100,
IF($BV$2&gt;0, INDEX(Beersheet!$A:$U,MATCH(AT741,INDEX(Beersheet!$A:$U,0,FFARawStatProjections!$BV$2),0),$BV$3)+$BN741,
INDEX($A741:$BM741,,$BV$12)*$BW$12+
INDEX($A741:$BM741,,$BV$15)*$BW$15+
INDEX($A741:$BM741,,$BV$16)*$BW$16+
INDEX($A741:$BM741,,$BV$17)*$BW$17+
INDEX($A741:$BM741,,$BV$18)*$BW$18+
INDEX($A741:$BM741,,$BV$19)*$BW$19+
INDEX($A741:$BM741,,$BV$20)*$BW$20+
INDEX($A741:$BM741,,$BV$21)*$BW$21+
INDEX($A741:$BM741,,$BV$22)*$BW$22+
INDEX($A741:$BM741,,$BV$23)*$BW$23+
INDEX($A741:$BM741,,$BV$25)*$BW$25+
INDEX($A741:$BM741,,$BV$26)*$BW$26+
INDEX($A741:$BM741,,$BV$27)*$BW$27+
$BN741)),
$BN741-100)</f>
        <v>-100</v>
      </c>
      <c r="AX741" t="str">
        <f t="shared" si="153"/>
        <v/>
      </c>
      <c r="AY741" t="str">
        <f t="shared" si="149"/>
        <v/>
      </c>
      <c r="AZ741" s="430">
        <f>IFERROR(
IF(AX741="",-100,
IF($BV$2&gt;0, INDEX(Beersheet!$A:$U,MATCH(AX741,INDEX(Beersheet!$A:$U,0,FFARawStatProjections!$BV$2),0),$BV$3)+$BN741,
INDEX($A741:$BM741,,$BV$12)*$BW$12+
INDEX($A741:$BM741,,$BV$15)*$BW$15+
INDEX($A741:$BM741,,$BV$16)*$BW$16+
INDEX($A741:$BM741,,$BV$17)*$BW$17+
INDEX($A741:$BM741,,$BV$18)*$BW$18+
INDEX($A741:$BM741,,$BV$19)*$BW$19+
INDEX($A741:$BM741,,$BV$20)*$BW$20+
INDEX($A741:$BM741,,$BV$21)*$BW$21+
INDEX($A741:$BM741,,$BV$22)*$BW$22+
INDEX($A741:$BM741,,$BV$23)*$BW$23+
INDEX($A741:$BM741,,$BV$25)*$BW$25+
INDEX($A741:$BM741,,$BV$26)*$BW$26+
INDEX($A741:$BM741,,$BV$27)*$BW$27+
$BN741)),
$BN741-100)</f>
        <v>-100</v>
      </c>
      <c r="BB741" t="str">
        <f t="shared" si="154"/>
        <v>Pharaoh Brown</v>
      </c>
      <c r="BC741" t="str">
        <f t="shared" si="150"/>
        <v>IND</v>
      </c>
      <c r="BD741" s="430">
        <f>IFERROR(
IF(BB741="",-100,
IF($BV$2&gt;0, INDEX(Beersheet!$A:$U,MATCH(BB741,INDEX(Beersheet!$A:$U,0,FFARawStatProjections!$BV$2),0),$BV$3)+$BN741,
INDEX($A741:$BM741,,$BV$12)*$BW$12+
INDEX($A741:$BM741,,$BV$15)*$BW$15+
INDEX($A741:$BM741,,$BV$16)*$BW$16+
INDEX($A741:$BM741,,$BV$17)*$BW$17+
INDEX($A741:$BM741,,$BV$18)*$BW$18+
INDEX($A741:$BM741,,$BV$19)*$BW$19+
INDEX($A741:$BM741,,$BV$20)*$BW$20+
INDEX($A741:$BM741,,$BV$21)*$BW$21+
INDEX($A741:$BM741,,$BV$22)*$BW$22+
INDEX($A741:$BM741,,$BV$23)*$BW$23+
INDEX($A741:$BM741,,$BV$25)*$BW$25+
INDEX($A741:$BM741,,$BV$26)*$BW$26+
INDEX($A741:$BM741,,$BV$27)*$BW$27+
$BN741)),
$BN741-100)</f>
        <v>6.6473999999999993</v>
      </c>
      <c r="BF741" t="str">
        <f t="shared" si="155"/>
        <v/>
      </c>
      <c r="BG741" t="str">
        <f t="shared" si="151"/>
        <v/>
      </c>
      <c r="BH741">
        <f t="shared" si="156"/>
        <v>0</v>
      </c>
      <c r="BJ741" t="str">
        <f t="shared" si="157"/>
        <v/>
      </c>
      <c r="BL741">
        <f t="shared" si="158"/>
        <v>0</v>
      </c>
      <c r="BN741">
        <v>7.4000000000000203E-3</v>
      </c>
    </row>
    <row r="742" spans="1:66" ht="15.75" thickBot="1" x14ac:dyDescent="0.3">
      <c r="A742" s="569" t="s">
        <v>2380</v>
      </c>
      <c r="B742" s="569" t="s">
        <v>154</v>
      </c>
      <c r="C742" s="569" t="s">
        <v>7</v>
      </c>
      <c r="D742" s="574">
        <v>13</v>
      </c>
      <c r="E742" s="569"/>
      <c r="F742" s="569"/>
      <c r="G742" s="569"/>
      <c r="H742" s="569"/>
      <c r="I742" s="574">
        <v>0</v>
      </c>
      <c r="J742" s="574">
        <v>0</v>
      </c>
      <c r="K742" s="574">
        <v>0</v>
      </c>
      <c r="L742" s="574">
        <v>3.7</v>
      </c>
      <c r="M742" s="574">
        <v>0.3</v>
      </c>
      <c r="N742" s="574">
        <v>28.6</v>
      </c>
      <c r="O742" s="574">
        <v>0</v>
      </c>
      <c r="P742" s="574">
        <v>0</v>
      </c>
      <c r="Q742" s="574">
        <v>0</v>
      </c>
      <c r="R742" s="569"/>
      <c r="S742" s="569"/>
      <c r="T742" s="569"/>
      <c r="U742" s="569"/>
      <c r="V742" s="569"/>
      <c r="W742" s="569"/>
      <c r="X742" s="569"/>
      <c r="Y742" s="569"/>
      <c r="Z742" s="569"/>
      <c r="AA742" s="569"/>
      <c r="AB742" s="569"/>
      <c r="AC742" s="569"/>
      <c r="AD742" s="569"/>
      <c r="AE742" s="569"/>
      <c r="AF742" s="569"/>
      <c r="AG742" s="569"/>
      <c r="AH742" s="569"/>
      <c r="AI742" s="569"/>
      <c r="AJ742" s="569"/>
      <c r="AK742" s="569"/>
      <c r="AL742" s="569"/>
      <c r="AM742" s="569"/>
      <c r="AN742" s="574">
        <v>4.4000000000000004</v>
      </c>
      <c r="AO742">
        <v>741</v>
      </c>
      <c r="AP742" t="str">
        <f t="shared" si="146"/>
        <v/>
      </c>
      <c r="AQ742" t="str">
        <f t="shared" si="147"/>
        <v/>
      </c>
      <c r="AR742" s="430">
        <f>IFERROR(
IF(AP742="",-100,
IF($BV$2&gt;0, INDEX(Beersheet!$A:$U,MATCH(AP742,INDEX(Beersheet!$A:$U,0,FFARawStatProjections!$BV$2),0),$BV$3)+$BN742,
INDEX($A742:$BM742,,$BV$12)*$BW$12+
INDEX($A742:$BM742,,$BV$15)*$BW$15+
INDEX($A742:$BM742,,$BV$16)*$BW$16+
INDEX($A742:$BM742,,$BV$17)*$BW$17+
INDEX($A742:$BM742,,$BV$18)*$BW$18+
INDEX($A742:$BM742,,$BV$19)*$BW$19+
INDEX($A742:$BM742,,$BV$20)*$BW$20+
INDEX($A742:$BM742,,$BV$21)*$BW$21+
INDEX($A742:$BM742,,$BV$22)*$BW$22+
INDEX($A742:$BM742,,$BV$23)*$BW$23+
INDEX($A742:$BM742,,$BV$25)*$BW$25+
INDEX($A742:$BM742,,$BV$26)*$BW$26+
INDEX($A742:$BM742,,$BV$27)*$BW$27+
$BN742)),
$BN742-100)</f>
        <v>-100</v>
      </c>
      <c r="AT742" t="str">
        <f t="shared" si="152"/>
        <v/>
      </c>
      <c r="AU742" t="str">
        <f t="shared" si="148"/>
        <v/>
      </c>
      <c r="AV742" s="430">
        <f>IFERROR(
IF(AT742="",-100,
IF($BV$2&gt;0, INDEX(Beersheet!$A:$U,MATCH(AT742,INDEX(Beersheet!$A:$U,0,FFARawStatProjections!$BV$2),0),$BV$3)+$BN742,
INDEX($A742:$BM742,,$BV$12)*$BW$12+
INDEX($A742:$BM742,,$BV$15)*$BW$15+
INDEX($A742:$BM742,,$BV$16)*$BW$16+
INDEX($A742:$BM742,,$BV$17)*$BW$17+
INDEX($A742:$BM742,,$BV$18)*$BW$18+
INDEX($A742:$BM742,,$BV$19)*$BW$19+
INDEX($A742:$BM742,,$BV$20)*$BW$20+
INDEX($A742:$BM742,,$BV$21)*$BW$21+
INDEX($A742:$BM742,,$BV$22)*$BW$22+
INDEX($A742:$BM742,,$BV$23)*$BW$23+
INDEX($A742:$BM742,,$BV$25)*$BW$25+
INDEX($A742:$BM742,,$BV$26)*$BW$26+
INDEX($A742:$BM742,,$BV$27)*$BW$27+
$BN742)),
$BN742-100)</f>
        <v>-100</v>
      </c>
      <c r="AX742" t="str">
        <f t="shared" si="153"/>
        <v/>
      </c>
      <c r="AY742" t="str">
        <f t="shared" si="149"/>
        <v/>
      </c>
      <c r="AZ742" s="430">
        <f>IFERROR(
IF(AX742="",-100,
IF($BV$2&gt;0, INDEX(Beersheet!$A:$U,MATCH(AX742,INDEX(Beersheet!$A:$U,0,FFARawStatProjections!$BV$2),0),$BV$3)+$BN742,
INDEX($A742:$BM742,,$BV$12)*$BW$12+
INDEX($A742:$BM742,,$BV$15)*$BW$15+
INDEX($A742:$BM742,,$BV$16)*$BW$16+
INDEX($A742:$BM742,,$BV$17)*$BW$17+
INDEX($A742:$BM742,,$BV$18)*$BW$18+
INDEX($A742:$BM742,,$BV$19)*$BW$19+
INDEX($A742:$BM742,,$BV$20)*$BW$20+
INDEX($A742:$BM742,,$BV$21)*$BW$21+
INDEX($A742:$BM742,,$BV$22)*$BW$22+
INDEX($A742:$BM742,,$BV$23)*$BW$23+
INDEX($A742:$BM742,,$BV$25)*$BW$25+
INDEX($A742:$BM742,,$BV$26)*$BW$26+
INDEX($A742:$BM742,,$BV$27)*$BW$27+
$BN742)),
$BN742-100)</f>
        <v>-100</v>
      </c>
      <c r="BB742" t="str">
        <f t="shared" si="154"/>
        <v>Chris Myarick</v>
      </c>
      <c r="BC742" t="str">
        <f t="shared" si="150"/>
        <v>NYG</v>
      </c>
      <c r="BD742" s="430">
        <f>IFERROR(
IF(BB742="",-100,
IF($BV$2&gt;0, INDEX(Beersheet!$A:$U,MATCH(BB742,INDEX(Beersheet!$A:$U,0,FFARawStatProjections!$BV$2),0),$BV$3)+$BN742,
INDEX($A742:$BM742,,$BV$12)*$BW$12+
INDEX($A742:$BM742,,$BV$15)*$BW$15+
INDEX($A742:$BM742,,$BV$16)*$BW$16+
INDEX($A742:$BM742,,$BV$17)*$BW$17+
INDEX($A742:$BM742,,$BV$18)*$BW$18+
INDEX($A742:$BM742,,$BV$19)*$BW$19+
INDEX($A742:$BM742,,$BV$20)*$BW$20+
INDEX($A742:$BM742,,$BV$21)*$BW$21+
INDEX($A742:$BM742,,$BV$22)*$BW$22+
INDEX($A742:$BM742,,$BV$23)*$BW$23+
INDEX($A742:$BM742,,$BV$25)*$BW$25+
INDEX($A742:$BM742,,$BV$26)*$BW$26+
INDEX($A742:$BM742,,$BV$27)*$BW$27+
$BN742)),
$BN742-100)</f>
        <v>8.3674099999999996</v>
      </c>
      <c r="BF742" t="str">
        <f t="shared" si="155"/>
        <v/>
      </c>
      <c r="BG742" t="str">
        <f t="shared" si="151"/>
        <v/>
      </c>
      <c r="BH742">
        <f t="shared" si="156"/>
        <v>0</v>
      </c>
      <c r="BJ742" t="str">
        <f t="shared" si="157"/>
        <v/>
      </c>
      <c r="BL742">
        <f t="shared" si="158"/>
        <v>0</v>
      </c>
      <c r="BN742">
        <v>7.4100000000000199E-3</v>
      </c>
    </row>
    <row r="743" spans="1:66" ht="15.75" thickBot="1" x14ac:dyDescent="0.3">
      <c r="A743" s="569" t="s">
        <v>2375</v>
      </c>
      <c r="B743" s="569" t="s">
        <v>140</v>
      </c>
      <c r="C743" s="569" t="s">
        <v>7</v>
      </c>
      <c r="D743" s="574">
        <v>5</v>
      </c>
      <c r="E743" s="569"/>
      <c r="F743" s="569"/>
      <c r="G743" s="569"/>
      <c r="H743" s="569"/>
      <c r="I743" s="574">
        <v>0</v>
      </c>
      <c r="J743" s="574">
        <v>0</v>
      </c>
      <c r="K743" s="574">
        <v>0</v>
      </c>
      <c r="L743" s="574">
        <v>2.8</v>
      </c>
      <c r="M743" s="574">
        <v>0.2</v>
      </c>
      <c r="N743" s="574">
        <v>29.7</v>
      </c>
      <c r="O743" s="574">
        <v>0</v>
      </c>
      <c r="P743" s="574">
        <v>0</v>
      </c>
      <c r="Q743" s="574">
        <v>0</v>
      </c>
      <c r="R743" s="569"/>
      <c r="S743" s="569"/>
      <c r="T743" s="569"/>
      <c r="U743" s="569"/>
      <c r="V743" s="569"/>
      <c r="W743" s="569"/>
      <c r="X743" s="569"/>
      <c r="Y743" s="569"/>
      <c r="Z743" s="569"/>
      <c r="AA743" s="569"/>
      <c r="AB743" s="569"/>
      <c r="AC743" s="569"/>
      <c r="AD743" s="569"/>
      <c r="AE743" s="569"/>
      <c r="AF743" s="569"/>
      <c r="AG743" s="569"/>
      <c r="AH743" s="569"/>
      <c r="AI743" s="569"/>
      <c r="AJ743" s="569"/>
      <c r="AK743" s="569"/>
      <c r="AL743" s="569"/>
      <c r="AM743" s="569"/>
      <c r="AN743" s="574">
        <v>4.3</v>
      </c>
      <c r="AO743">
        <v>742</v>
      </c>
      <c r="AP743" t="str">
        <f t="shared" si="146"/>
        <v/>
      </c>
      <c r="AQ743" t="str">
        <f t="shared" si="147"/>
        <v/>
      </c>
      <c r="AR743" s="430">
        <f>IFERROR(
IF(AP743="",-100,
IF($BV$2&gt;0, INDEX(Beersheet!$A:$U,MATCH(AP743,INDEX(Beersheet!$A:$U,0,FFARawStatProjections!$BV$2),0),$BV$3)+$BN743,
INDEX($A743:$BM743,,$BV$12)*$BW$12+
INDEX($A743:$BM743,,$BV$15)*$BW$15+
INDEX($A743:$BM743,,$BV$16)*$BW$16+
INDEX($A743:$BM743,,$BV$17)*$BW$17+
INDEX($A743:$BM743,,$BV$18)*$BW$18+
INDEX($A743:$BM743,,$BV$19)*$BW$19+
INDEX($A743:$BM743,,$BV$20)*$BW$20+
INDEX($A743:$BM743,,$BV$21)*$BW$21+
INDEX($A743:$BM743,,$BV$22)*$BW$22+
INDEX($A743:$BM743,,$BV$23)*$BW$23+
INDEX($A743:$BM743,,$BV$25)*$BW$25+
INDEX($A743:$BM743,,$BV$26)*$BW$26+
INDEX($A743:$BM743,,$BV$27)*$BW$27+
$BN743)),
$BN743-100)</f>
        <v>-100</v>
      </c>
      <c r="AT743" t="str">
        <f t="shared" si="152"/>
        <v/>
      </c>
      <c r="AU743" t="str">
        <f t="shared" si="148"/>
        <v/>
      </c>
      <c r="AV743" s="430">
        <f>IFERROR(
IF(AT743="",-100,
IF($BV$2&gt;0, INDEX(Beersheet!$A:$U,MATCH(AT743,INDEX(Beersheet!$A:$U,0,FFARawStatProjections!$BV$2),0),$BV$3)+$BN743,
INDEX($A743:$BM743,,$BV$12)*$BW$12+
INDEX($A743:$BM743,,$BV$15)*$BW$15+
INDEX($A743:$BM743,,$BV$16)*$BW$16+
INDEX($A743:$BM743,,$BV$17)*$BW$17+
INDEX($A743:$BM743,,$BV$18)*$BW$18+
INDEX($A743:$BM743,,$BV$19)*$BW$19+
INDEX($A743:$BM743,,$BV$20)*$BW$20+
INDEX($A743:$BM743,,$BV$21)*$BW$21+
INDEX($A743:$BM743,,$BV$22)*$BW$22+
INDEX($A743:$BM743,,$BV$23)*$BW$23+
INDEX($A743:$BM743,,$BV$25)*$BW$25+
INDEX($A743:$BM743,,$BV$26)*$BW$26+
INDEX($A743:$BM743,,$BV$27)*$BW$27+
$BN743)),
$BN743-100)</f>
        <v>-100</v>
      </c>
      <c r="AX743" t="str">
        <f t="shared" si="153"/>
        <v/>
      </c>
      <c r="AY743" t="str">
        <f t="shared" si="149"/>
        <v/>
      </c>
      <c r="AZ743" s="430">
        <f>IFERROR(
IF(AX743="",-100,
IF($BV$2&gt;0, INDEX(Beersheet!$A:$U,MATCH(AX743,INDEX(Beersheet!$A:$U,0,FFARawStatProjections!$BV$2),0),$BV$3)+$BN743,
INDEX($A743:$BM743,,$BV$12)*$BW$12+
INDEX($A743:$BM743,,$BV$15)*$BW$15+
INDEX($A743:$BM743,,$BV$16)*$BW$16+
INDEX($A743:$BM743,,$BV$17)*$BW$17+
INDEX($A743:$BM743,,$BV$18)*$BW$18+
INDEX($A743:$BM743,,$BV$19)*$BW$19+
INDEX($A743:$BM743,,$BV$20)*$BW$20+
INDEX($A743:$BM743,,$BV$21)*$BW$21+
INDEX($A743:$BM743,,$BV$22)*$BW$22+
INDEX($A743:$BM743,,$BV$23)*$BW$23+
INDEX($A743:$BM743,,$BV$25)*$BW$25+
INDEX($A743:$BM743,,$BV$26)*$BW$26+
INDEX($A743:$BM743,,$BV$27)*$BW$27+
$BN743)),
$BN743-100)</f>
        <v>-100</v>
      </c>
      <c r="BB743" t="str">
        <f t="shared" si="154"/>
        <v>Tyler Mabry</v>
      </c>
      <c r="BC743" t="str">
        <f t="shared" si="150"/>
        <v>SEA</v>
      </c>
      <c r="BD743" s="430">
        <f>IFERROR(
IF(BB743="",-100,
IF($BV$2&gt;0, INDEX(Beersheet!$A:$U,MATCH(BB743,INDEX(Beersheet!$A:$U,0,FFARawStatProjections!$BV$2),0),$BV$3)+$BN743,
INDEX($A743:$BM743,,$BV$12)*$BW$12+
INDEX($A743:$BM743,,$BV$15)*$BW$15+
INDEX($A743:$BM743,,$BV$16)*$BW$16+
INDEX($A743:$BM743,,$BV$17)*$BW$17+
INDEX($A743:$BM743,,$BV$18)*$BW$18+
INDEX($A743:$BM743,,$BV$19)*$BW$19+
INDEX($A743:$BM743,,$BV$20)*$BW$20+
INDEX($A743:$BM743,,$BV$21)*$BW$21+
INDEX($A743:$BM743,,$BV$22)*$BW$22+
INDEX($A743:$BM743,,$BV$23)*$BW$23+
INDEX($A743:$BM743,,$BV$25)*$BW$25+
INDEX($A743:$BM743,,$BV$26)*$BW$26+
INDEX($A743:$BM743,,$BV$27)*$BW$27+
$BN743)),
$BN743-100)</f>
        <v>6.9774200000000004</v>
      </c>
      <c r="BF743" t="str">
        <f t="shared" si="155"/>
        <v/>
      </c>
      <c r="BG743" t="str">
        <f t="shared" si="151"/>
        <v/>
      </c>
      <c r="BH743">
        <f t="shared" si="156"/>
        <v>0</v>
      </c>
      <c r="BJ743" t="str">
        <f t="shared" si="157"/>
        <v/>
      </c>
      <c r="BL743">
        <f t="shared" si="158"/>
        <v>0</v>
      </c>
      <c r="BN743">
        <v>7.4200000000000203E-3</v>
      </c>
    </row>
    <row r="744" spans="1:66" ht="15.75" thickBot="1" x14ac:dyDescent="0.3">
      <c r="A744" s="569" t="s">
        <v>2288</v>
      </c>
      <c r="B744" s="569" t="s">
        <v>148</v>
      </c>
      <c r="C744" s="569" t="s">
        <v>7</v>
      </c>
      <c r="D744" s="574">
        <v>11</v>
      </c>
      <c r="E744" s="569"/>
      <c r="F744" s="569"/>
      <c r="G744" s="569"/>
      <c r="H744" s="569"/>
      <c r="I744" s="574">
        <v>0</v>
      </c>
      <c r="J744" s="574">
        <v>0</v>
      </c>
      <c r="K744" s="574">
        <v>0</v>
      </c>
      <c r="L744" s="574">
        <v>3.1</v>
      </c>
      <c r="M744" s="574">
        <v>0.2</v>
      </c>
      <c r="N744" s="574">
        <v>29</v>
      </c>
      <c r="O744" s="574">
        <v>0</v>
      </c>
      <c r="P744" s="574">
        <v>0</v>
      </c>
      <c r="Q744" s="574">
        <v>0</v>
      </c>
      <c r="R744" s="569"/>
      <c r="S744" s="569"/>
      <c r="T744" s="569"/>
      <c r="U744" s="569"/>
      <c r="V744" s="569"/>
      <c r="W744" s="569"/>
      <c r="X744" s="569"/>
      <c r="Y744" s="569"/>
      <c r="Z744" s="569"/>
      <c r="AA744" s="569"/>
      <c r="AB744" s="569"/>
      <c r="AC744" s="569"/>
      <c r="AD744" s="569"/>
      <c r="AE744" s="569"/>
      <c r="AF744" s="569"/>
      <c r="AG744" s="569"/>
      <c r="AH744" s="569"/>
      <c r="AI744" s="569"/>
      <c r="AJ744" s="569"/>
      <c r="AK744" s="569"/>
      <c r="AL744" s="569"/>
      <c r="AM744" s="569"/>
      <c r="AN744" s="574">
        <v>4.2</v>
      </c>
      <c r="AO744">
        <v>743</v>
      </c>
      <c r="AP744" t="str">
        <f t="shared" si="146"/>
        <v/>
      </c>
      <c r="AQ744" t="str">
        <f t="shared" si="147"/>
        <v/>
      </c>
      <c r="AR744" s="430">
        <f>IFERROR(
IF(AP744="",-100,
IF($BV$2&gt;0, INDEX(Beersheet!$A:$U,MATCH(AP744,INDEX(Beersheet!$A:$U,0,FFARawStatProjections!$BV$2),0),$BV$3)+$BN744,
INDEX($A744:$BM744,,$BV$12)*$BW$12+
INDEX($A744:$BM744,,$BV$15)*$BW$15+
INDEX($A744:$BM744,,$BV$16)*$BW$16+
INDEX($A744:$BM744,,$BV$17)*$BW$17+
INDEX($A744:$BM744,,$BV$18)*$BW$18+
INDEX($A744:$BM744,,$BV$19)*$BW$19+
INDEX($A744:$BM744,,$BV$20)*$BW$20+
INDEX($A744:$BM744,,$BV$21)*$BW$21+
INDEX($A744:$BM744,,$BV$22)*$BW$22+
INDEX($A744:$BM744,,$BV$23)*$BW$23+
INDEX($A744:$BM744,,$BV$25)*$BW$25+
INDEX($A744:$BM744,,$BV$26)*$BW$26+
INDEX($A744:$BM744,,$BV$27)*$BW$27+
$BN744)),
$BN744-100)</f>
        <v>-100</v>
      </c>
      <c r="AT744" t="str">
        <f t="shared" si="152"/>
        <v/>
      </c>
      <c r="AU744" t="str">
        <f t="shared" si="148"/>
        <v/>
      </c>
      <c r="AV744" s="430">
        <f>IFERROR(
IF(AT744="",-100,
IF($BV$2&gt;0, INDEX(Beersheet!$A:$U,MATCH(AT744,INDEX(Beersheet!$A:$U,0,FFARawStatProjections!$BV$2),0),$BV$3)+$BN744,
INDEX($A744:$BM744,,$BV$12)*$BW$12+
INDEX($A744:$BM744,,$BV$15)*$BW$15+
INDEX($A744:$BM744,,$BV$16)*$BW$16+
INDEX($A744:$BM744,,$BV$17)*$BW$17+
INDEX($A744:$BM744,,$BV$18)*$BW$18+
INDEX($A744:$BM744,,$BV$19)*$BW$19+
INDEX($A744:$BM744,,$BV$20)*$BW$20+
INDEX($A744:$BM744,,$BV$21)*$BW$21+
INDEX($A744:$BM744,,$BV$22)*$BW$22+
INDEX($A744:$BM744,,$BV$23)*$BW$23+
INDEX($A744:$BM744,,$BV$25)*$BW$25+
INDEX($A744:$BM744,,$BV$26)*$BW$26+
INDEX($A744:$BM744,,$BV$27)*$BW$27+
$BN744)),
$BN744-100)</f>
        <v>-100</v>
      </c>
      <c r="AX744" t="str">
        <f t="shared" si="153"/>
        <v/>
      </c>
      <c r="AY744" t="str">
        <f t="shared" si="149"/>
        <v/>
      </c>
      <c r="AZ744" s="430">
        <f>IFERROR(
IF(AX744="",-100,
IF($BV$2&gt;0, INDEX(Beersheet!$A:$U,MATCH(AX744,INDEX(Beersheet!$A:$U,0,FFARawStatProjections!$BV$2),0),$BV$3)+$BN744,
INDEX($A744:$BM744,,$BV$12)*$BW$12+
INDEX($A744:$BM744,,$BV$15)*$BW$15+
INDEX($A744:$BM744,,$BV$16)*$BW$16+
INDEX($A744:$BM744,,$BV$17)*$BW$17+
INDEX($A744:$BM744,,$BV$18)*$BW$18+
INDEX($A744:$BM744,,$BV$19)*$BW$19+
INDEX($A744:$BM744,,$BV$20)*$BW$20+
INDEX($A744:$BM744,,$BV$21)*$BW$21+
INDEX($A744:$BM744,,$BV$22)*$BW$22+
INDEX($A744:$BM744,,$BV$23)*$BW$23+
INDEX($A744:$BM744,,$BV$25)*$BW$25+
INDEX($A744:$BM744,,$BV$26)*$BW$26+
INDEX($A744:$BM744,,$BV$27)*$BW$27+
$BN744)),
$BN744-100)</f>
        <v>-100</v>
      </c>
      <c r="BB744" t="str">
        <f t="shared" si="154"/>
        <v>Feleipe Franks</v>
      </c>
      <c r="BC744" t="str">
        <f t="shared" si="150"/>
        <v>ATL</v>
      </c>
      <c r="BD744" s="430">
        <f>IFERROR(
IF(BB744="",-100,
IF($BV$2&gt;0, INDEX(Beersheet!$A:$U,MATCH(BB744,INDEX(Beersheet!$A:$U,0,FFARawStatProjections!$BV$2),0),$BV$3)+$BN744,
INDEX($A744:$BM744,,$BV$12)*$BW$12+
INDEX($A744:$BM744,,$BV$15)*$BW$15+
INDEX($A744:$BM744,,$BV$16)*$BW$16+
INDEX($A744:$BM744,,$BV$17)*$BW$17+
INDEX($A744:$BM744,,$BV$18)*$BW$18+
INDEX($A744:$BM744,,$BV$19)*$BW$19+
INDEX($A744:$BM744,,$BV$20)*$BW$20+
INDEX($A744:$BM744,,$BV$21)*$BW$21+
INDEX($A744:$BM744,,$BV$22)*$BW$22+
INDEX($A744:$BM744,,$BV$23)*$BW$23+
INDEX($A744:$BM744,,$BV$25)*$BW$25+
INDEX($A744:$BM744,,$BV$26)*$BW$26+
INDEX($A744:$BM744,,$BV$27)*$BW$27+
$BN744)),
$BN744-100)</f>
        <v>7.2074300000000013</v>
      </c>
      <c r="BF744" t="str">
        <f t="shared" si="155"/>
        <v/>
      </c>
      <c r="BG744" t="str">
        <f t="shared" si="151"/>
        <v/>
      </c>
      <c r="BH744">
        <f t="shared" si="156"/>
        <v>0</v>
      </c>
      <c r="BJ744" t="str">
        <f t="shared" si="157"/>
        <v/>
      </c>
      <c r="BL744">
        <f t="shared" si="158"/>
        <v>0</v>
      </c>
      <c r="BN744">
        <v>7.4300000000000199E-3</v>
      </c>
    </row>
    <row r="745" spans="1:66" ht="15.75" thickBot="1" x14ac:dyDescent="0.3">
      <c r="A745" s="569" t="s">
        <v>2457</v>
      </c>
      <c r="B745" s="569" t="s">
        <v>152</v>
      </c>
      <c r="C745" s="569" t="s">
        <v>7</v>
      </c>
      <c r="D745" s="574">
        <v>14</v>
      </c>
      <c r="E745" s="569"/>
      <c r="F745" s="569"/>
      <c r="G745" s="569"/>
      <c r="H745" s="569"/>
      <c r="I745" s="574">
        <v>0</v>
      </c>
      <c r="J745" s="574">
        <v>0</v>
      </c>
      <c r="K745" s="574">
        <v>0</v>
      </c>
      <c r="L745" s="574">
        <v>3.2</v>
      </c>
      <c r="M745" s="574">
        <v>0.2</v>
      </c>
      <c r="N745" s="574">
        <v>29.2</v>
      </c>
      <c r="O745" s="574">
        <v>0</v>
      </c>
      <c r="P745" s="574">
        <v>0</v>
      </c>
      <c r="Q745" s="574">
        <v>0</v>
      </c>
      <c r="R745" s="569"/>
      <c r="S745" s="569"/>
      <c r="T745" s="569"/>
      <c r="U745" s="569"/>
      <c r="V745" s="569"/>
      <c r="W745" s="569"/>
      <c r="X745" s="569"/>
      <c r="Y745" s="569"/>
      <c r="Z745" s="569"/>
      <c r="AA745" s="569"/>
      <c r="AB745" s="569"/>
      <c r="AC745" s="569"/>
      <c r="AD745" s="569"/>
      <c r="AE745" s="569"/>
      <c r="AF745" s="569"/>
      <c r="AG745" s="569"/>
      <c r="AH745" s="569"/>
      <c r="AI745" s="569"/>
      <c r="AJ745" s="569"/>
      <c r="AK745" s="569"/>
      <c r="AL745" s="569"/>
      <c r="AM745" s="569"/>
      <c r="AN745" s="574">
        <v>3.9</v>
      </c>
      <c r="AO745">
        <v>744</v>
      </c>
      <c r="AP745" t="str">
        <f t="shared" si="146"/>
        <v/>
      </c>
      <c r="AQ745" t="str">
        <f t="shared" si="147"/>
        <v/>
      </c>
      <c r="AR745" s="430">
        <f>IFERROR(
IF(AP745="",-100,
IF($BV$2&gt;0, INDEX(Beersheet!$A:$U,MATCH(AP745,INDEX(Beersheet!$A:$U,0,FFARawStatProjections!$BV$2),0),$BV$3)+$BN745,
INDEX($A745:$BM745,,$BV$12)*$BW$12+
INDEX($A745:$BM745,,$BV$15)*$BW$15+
INDEX($A745:$BM745,,$BV$16)*$BW$16+
INDEX($A745:$BM745,,$BV$17)*$BW$17+
INDEX($A745:$BM745,,$BV$18)*$BW$18+
INDEX($A745:$BM745,,$BV$19)*$BW$19+
INDEX($A745:$BM745,,$BV$20)*$BW$20+
INDEX($A745:$BM745,,$BV$21)*$BW$21+
INDEX($A745:$BM745,,$BV$22)*$BW$22+
INDEX($A745:$BM745,,$BV$23)*$BW$23+
INDEX($A745:$BM745,,$BV$25)*$BW$25+
INDEX($A745:$BM745,,$BV$26)*$BW$26+
INDEX($A745:$BM745,,$BV$27)*$BW$27+
$BN745)),
$BN745-100)</f>
        <v>-100</v>
      </c>
      <c r="AT745" t="str">
        <f t="shared" si="152"/>
        <v/>
      </c>
      <c r="AU745" t="str">
        <f t="shared" si="148"/>
        <v/>
      </c>
      <c r="AV745" s="430">
        <f>IFERROR(
IF(AT745="",-100,
IF($BV$2&gt;0, INDEX(Beersheet!$A:$U,MATCH(AT745,INDEX(Beersheet!$A:$U,0,FFARawStatProjections!$BV$2),0),$BV$3)+$BN745,
INDEX($A745:$BM745,,$BV$12)*$BW$12+
INDEX($A745:$BM745,,$BV$15)*$BW$15+
INDEX($A745:$BM745,,$BV$16)*$BW$16+
INDEX($A745:$BM745,,$BV$17)*$BW$17+
INDEX($A745:$BM745,,$BV$18)*$BW$18+
INDEX($A745:$BM745,,$BV$19)*$BW$19+
INDEX($A745:$BM745,,$BV$20)*$BW$20+
INDEX($A745:$BM745,,$BV$21)*$BW$21+
INDEX($A745:$BM745,,$BV$22)*$BW$22+
INDEX($A745:$BM745,,$BV$23)*$BW$23+
INDEX($A745:$BM745,,$BV$25)*$BW$25+
INDEX($A745:$BM745,,$BV$26)*$BW$26+
INDEX($A745:$BM745,,$BV$27)*$BW$27+
$BN745)),
$BN745-100)</f>
        <v>-100</v>
      </c>
      <c r="AX745" t="str">
        <f t="shared" si="153"/>
        <v/>
      </c>
      <c r="AY745" t="str">
        <f t="shared" si="149"/>
        <v/>
      </c>
      <c r="AZ745" s="430">
        <f>IFERROR(
IF(AX745="",-100,
IF($BV$2&gt;0, INDEX(Beersheet!$A:$U,MATCH(AX745,INDEX(Beersheet!$A:$U,0,FFARawStatProjections!$BV$2),0),$BV$3)+$BN745,
INDEX($A745:$BM745,,$BV$12)*$BW$12+
INDEX($A745:$BM745,,$BV$15)*$BW$15+
INDEX($A745:$BM745,,$BV$16)*$BW$16+
INDEX($A745:$BM745,,$BV$17)*$BW$17+
INDEX($A745:$BM745,,$BV$18)*$BW$18+
INDEX($A745:$BM745,,$BV$19)*$BW$19+
INDEX($A745:$BM745,,$BV$20)*$BW$20+
INDEX($A745:$BM745,,$BV$21)*$BW$21+
INDEX($A745:$BM745,,$BV$22)*$BW$22+
INDEX($A745:$BM745,,$BV$23)*$BW$23+
INDEX($A745:$BM745,,$BV$25)*$BW$25+
INDEX($A745:$BM745,,$BV$26)*$BW$26+
INDEX($A745:$BM745,,$BV$27)*$BW$27+
$BN745)),
$BN745-100)</f>
        <v>-100</v>
      </c>
      <c r="BB745" t="str">
        <f t="shared" si="154"/>
        <v>Kaden Smith</v>
      </c>
      <c r="BC745" t="str">
        <f t="shared" si="150"/>
        <v>WAS</v>
      </c>
      <c r="BD745" s="430">
        <f>IFERROR(
IF(BB745="",-100,
IF($BV$2&gt;0, INDEX(Beersheet!$A:$U,MATCH(BB745,INDEX(Beersheet!$A:$U,0,FFARawStatProjections!$BV$2),0),$BV$3)+$BN745,
INDEX($A745:$BM745,,$BV$12)*$BW$12+
INDEX($A745:$BM745,,$BV$15)*$BW$15+
INDEX($A745:$BM745,,$BV$16)*$BW$16+
INDEX($A745:$BM745,,$BV$17)*$BW$17+
INDEX($A745:$BM745,,$BV$18)*$BW$18+
INDEX($A745:$BM745,,$BV$19)*$BW$19+
INDEX($A745:$BM745,,$BV$20)*$BW$20+
INDEX($A745:$BM745,,$BV$21)*$BW$21+
INDEX($A745:$BM745,,$BV$22)*$BW$22+
INDEX($A745:$BM745,,$BV$23)*$BW$23+
INDEX($A745:$BM745,,$BV$25)*$BW$25+
INDEX($A745:$BM745,,$BV$26)*$BW$26+
INDEX($A745:$BM745,,$BV$27)*$BW$27+
$BN745)),
$BN745-100)</f>
        <v>7.3274400000000002</v>
      </c>
      <c r="BF745" t="str">
        <f t="shared" si="155"/>
        <v/>
      </c>
      <c r="BG745" t="str">
        <f t="shared" si="151"/>
        <v/>
      </c>
      <c r="BH745">
        <f t="shared" si="156"/>
        <v>0</v>
      </c>
      <c r="BJ745" t="str">
        <f t="shared" si="157"/>
        <v/>
      </c>
      <c r="BL745">
        <f t="shared" si="158"/>
        <v>0</v>
      </c>
      <c r="BN745">
        <v>7.4400000000000204E-3</v>
      </c>
    </row>
    <row r="746" spans="1:66" ht="15.75" thickBot="1" x14ac:dyDescent="0.3">
      <c r="A746" s="569" t="s">
        <v>2241</v>
      </c>
      <c r="B746" s="569" t="s">
        <v>157</v>
      </c>
      <c r="C746" s="569" t="s">
        <v>7</v>
      </c>
      <c r="D746" s="574">
        <v>11</v>
      </c>
      <c r="E746" s="569"/>
      <c r="F746" s="569"/>
      <c r="G746" s="569"/>
      <c r="H746" s="569"/>
      <c r="I746" s="574">
        <v>0</v>
      </c>
      <c r="J746" s="574">
        <v>0</v>
      </c>
      <c r="K746" s="574">
        <v>0</v>
      </c>
      <c r="L746" s="574">
        <v>1.7</v>
      </c>
      <c r="M746" s="574">
        <v>0.3</v>
      </c>
      <c r="N746" s="574">
        <v>17.2</v>
      </c>
      <c r="O746" s="574">
        <v>0</v>
      </c>
      <c r="P746" s="574">
        <v>0</v>
      </c>
      <c r="Q746" s="574">
        <v>0</v>
      </c>
      <c r="R746" s="569"/>
      <c r="S746" s="569"/>
      <c r="T746" s="569"/>
      <c r="U746" s="569"/>
      <c r="V746" s="569"/>
      <c r="W746" s="569"/>
      <c r="X746" s="569"/>
      <c r="Y746" s="569"/>
      <c r="Z746" s="569"/>
      <c r="AA746" s="569"/>
      <c r="AB746" s="569"/>
      <c r="AC746" s="569"/>
      <c r="AD746" s="569"/>
      <c r="AE746" s="569"/>
      <c r="AF746" s="569"/>
      <c r="AG746" s="569"/>
      <c r="AH746" s="569"/>
      <c r="AI746" s="569"/>
      <c r="AJ746" s="569"/>
      <c r="AK746" s="569"/>
      <c r="AL746" s="569"/>
      <c r="AM746" s="569"/>
      <c r="AN746" s="574">
        <v>3.6</v>
      </c>
      <c r="AO746">
        <v>745</v>
      </c>
      <c r="AP746" t="str">
        <f t="shared" si="146"/>
        <v/>
      </c>
      <c r="AQ746" t="str">
        <f t="shared" si="147"/>
        <v/>
      </c>
      <c r="AR746" s="430">
        <f>IFERROR(
IF(AP746="",-100,
IF($BV$2&gt;0, INDEX(Beersheet!$A:$U,MATCH(AP746,INDEX(Beersheet!$A:$U,0,FFARawStatProjections!$BV$2),0),$BV$3)+$BN746,
INDEX($A746:$BM746,,$BV$12)*$BW$12+
INDEX($A746:$BM746,,$BV$15)*$BW$15+
INDEX($A746:$BM746,,$BV$16)*$BW$16+
INDEX($A746:$BM746,,$BV$17)*$BW$17+
INDEX($A746:$BM746,,$BV$18)*$BW$18+
INDEX($A746:$BM746,,$BV$19)*$BW$19+
INDEX($A746:$BM746,,$BV$20)*$BW$20+
INDEX($A746:$BM746,,$BV$21)*$BW$21+
INDEX($A746:$BM746,,$BV$22)*$BW$22+
INDEX($A746:$BM746,,$BV$23)*$BW$23+
INDEX($A746:$BM746,,$BV$25)*$BW$25+
INDEX($A746:$BM746,,$BV$26)*$BW$26+
INDEX($A746:$BM746,,$BV$27)*$BW$27+
$BN746)),
$BN746-100)</f>
        <v>-100</v>
      </c>
      <c r="AT746" t="str">
        <f t="shared" si="152"/>
        <v/>
      </c>
      <c r="AU746" t="str">
        <f t="shared" si="148"/>
        <v/>
      </c>
      <c r="AV746" s="430">
        <f>IFERROR(
IF(AT746="",-100,
IF($BV$2&gt;0, INDEX(Beersheet!$A:$U,MATCH(AT746,INDEX(Beersheet!$A:$U,0,FFARawStatProjections!$BV$2),0),$BV$3)+$BN746,
INDEX($A746:$BM746,,$BV$12)*$BW$12+
INDEX($A746:$BM746,,$BV$15)*$BW$15+
INDEX($A746:$BM746,,$BV$16)*$BW$16+
INDEX($A746:$BM746,,$BV$17)*$BW$17+
INDEX($A746:$BM746,,$BV$18)*$BW$18+
INDEX($A746:$BM746,,$BV$19)*$BW$19+
INDEX($A746:$BM746,,$BV$20)*$BW$20+
INDEX($A746:$BM746,,$BV$21)*$BW$21+
INDEX($A746:$BM746,,$BV$22)*$BW$22+
INDEX($A746:$BM746,,$BV$23)*$BW$23+
INDEX($A746:$BM746,,$BV$25)*$BW$25+
INDEX($A746:$BM746,,$BV$26)*$BW$26+
INDEX($A746:$BM746,,$BV$27)*$BW$27+
$BN746)),
$BN746-100)</f>
        <v>-100</v>
      </c>
      <c r="AX746" t="str">
        <f t="shared" si="153"/>
        <v/>
      </c>
      <c r="AY746" t="str">
        <f t="shared" si="149"/>
        <v/>
      </c>
      <c r="AZ746" s="430">
        <f>IFERROR(
IF(AX746="",-100,
IF($BV$2&gt;0, INDEX(Beersheet!$A:$U,MATCH(AX746,INDEX(Beersheet!$A:$U,0,FFARawStatProjections!$BV$2),0),$BV$3)+$BN746,
INDEX($A746:$BM746,,$BV$12)*$BW$12+
INDEX($A746:$BM746,,$BV$15)*$BW$15+
INDEX($A746:$BM746,,$BV$16)*$BW$16+
INDEX($A746:$BM746,,$BV$17)*$BW$17+
INDEX($A746:$BM746,,$BV$18)*$BW$18+
INDEX($A746:$BM746,,$BV$19)*$BW$19+
INDEX($A746:$BM746,,$BV$20)*$BW$20+
INDEX($A746:$BM746,,$BV$21)*$BW$21+
INDEX($A746:$BM746,,$BV$22)*$BW$22+
INDEX($A746:$BM746,,$BV$23)*$BW$23+
INDEX($A746:$BM746,,$BV$25)*$BW$25+
INDEX($A746:$BM746,,$BV$26)*$BW$26+
INDEX($A746:$BM746,,$BV$27)*$BW$27+
$BN746)),
$BN746-100)</f>
        <v>-100</v>
      </c>
      <c r="BB746" t="str">
        <f t="shared" si="154"/>
        <v>Matt Sokol</v>
      </c>
      <c r="BC746" t="str">
        <f t="shared" si="150"/>
        <v>NE</v>
      </c>
      <c r="BD746" s="430">
        <f>IFERROR(
IF(BB746="",-100,
IF($BV$2&gt;0, INDEX(Beersheet!$A:$U,MATCH(BB746,INDEX(Beersheet!$A:$U,0,FFARawStatProjections!$BV$2),0),$BV$3)+$BN746,
INDEX($A746:$BM746,,$BV$12)*$BW$12+
INDEX($A746:$BM746,,$BV$15)*$BW$15+
INDEX($A746:$BM746,,$BV$16)*$BW$16+
INDEX($A746:$BM746,,$BV$17)*$BW$17+
INDEX($A746:$BM746,,$BV$18)*$BW$18+
INDEX($A746:$BM746,,$BV$19)*$BW$19+
INDEX($A746:$BM746,,$BV$20)*$BW$20+
INDEX($A746:$BM746,,$BV$21)*$BW$21+
INDEX($A746:$BM746,,$BV$22)*$BW$22+
INDEX($A746:$BM746,,$BV$23)*$BW$23+
INDEX($A746:$BM746,,$BV$25)*$BW$25+
INDEX($A746:$BM746,,$BV$26)*$BW$26+
INDEX($A746:$BM746,,$BV$27)*$BW$27+
$BN746)),
$BN746-100)</f>
        <v>5.2274500000000002</v>
      </c>
      <c r="BF746" t="str">
        <f t="shared" si="155"/>
        <v/>
      </c>
      <c r="BG746" t="str">
        <f t="shared" si="151"/>
        <v/>
      </c>
      <c r="BH746">
        <f t="shared" si="156"/>
        <v>0</v>
      </c>
      <c r="BJ746" t="str">
        <f t="shared" si="157"/>
        <v/>
      </c>
      <c r="BL746">
        <f t="shared" si="158"/>
        <v>0</v>
      </c>
      <c r="BN746">
        <v>7.45000000000002E-3</v>
      </c>
    </row>
    <row r="747" spans="1:66" ht="15.75" thickBot="1" x14ac:dyDescent="0.3">
      <c r="A747" s="569" t="s">
        <v>2560</v>
      </c>
      <c r="B747" s="569" t="s">
        <v>2073</v>
      </c>
      <c r="C747" s="569" t="s">
        <v>7</v>
      </c>
      <c r="D747" s="574">
        <v>13</v>
      </c>
      <c r="E747" s="569"/>
      <c r="F747" s="569"/>
      <c r="G747" s="569"/>
      <c r="H747" s="569"/>
      <c r="I747" s="574">
        <v>0</v>
      </c>
      <c r="J747" s="574">
        <v>0</v>
      </c>
      <c r="K747" s="574">
        <v>0</v>
      </c>
      <c r="L747" s="574">
        <v>0</v>
      </c>
      <c r="M747" s="574">
        <v>0.4</v>
      </c>
      <c r="N747" s="574">
        <v>7.7</v>
      </c>
      <c r="O747" s="574">
        <v>0</v>
      </c>
      <c r="P747" s="574">
        <v>0</v>
      </c>
      <c r="Q747" s="574">
        <v>0</v>
      </c>
      <c r="R747" s="569"/>
      <c r="S747" s="569"/>
      <c r="T747" s="569"/>
      <c r="U747" s="569"/>
      <c r="V747" s="569"/>
      <c r="W747" s="569"/>
      <c r="X747" s="569"/>
      <c r="Y747" s="569"/>
      <c r="Z747" s="569"/>
      <c r="AA747" s="569"/>
      <c r="AB747" s="569"/>
      <c r="AC747" s="569"/>
      <c r="AD747" s="569"/>
      <c r="AE747" s="569"/>
      <c r="AF747" s="569"/>
      <c r="AG747" s="569"/>
      <c r="AH747" s="569"/>
      <c r="AI747" s="569"/>
      <c r="AJ747" s="569"/>
      <c r="AK747" s="569"/>
      <c r="AL747" s="569"/>
      <c r="AM747" s="569"/>
      <c r="AN747" s="574">
        <v>3.2</v>
      </c>
      <c r="AO747">
        <v>746</v>
      </c>
      <c r="AP747" t="str">
        <f t="shared" si="146"/>
        <v/>
      </c>
      <c r="AQ747" t="str">
        <f t="shared" si="147"/>
        <v/>
      </c>
      <c r="AR747" s="430">
        <f>IFERROR(
IF(AP747="",-100,
IF($BV$2&gt;0, INDEX(Beersheet!$A:$U,MATCH(AP747,INDEX(Beersheet!$A:$U,0,FFARawStatProjections!$BV$2),0),$BV$3)+$BN747,
INDEX($A747:$BM747,,$BV$12)*$BW$12+
INDEX($A747:$BM747,,$BV$15)*$BW$15+
INDEX($A747:$BM747,,$BV$16)*$BW$16+
INDEX($A747:$BM747,,$BV$17)*$BW$17+
INDEX($A747:$BM747,,$BV$18)*$BW$18+
INDEX($A747:$BM747,,$BV$19)*$BW$19+
INDEX($A747:$BM747,,$BV$20)*$BW$20+
INDEX($A747:$BM747,,$BV$21)*$BW$21+
INDEX($A747:$BM747,,$BV$22)*$BW$22+
INDEX($A747:$BM747,,$BV$23)*$BW$23+
INDEX($A747:$BM747,,$BV$25)*$BW$25+
INDEX($A747:$BM747,,$BV$26)*$BW$26+
INDEX($A747:$BM747,,$BV$27)*$BW$27+
$BN747)),
$BN747-100)</f>
        <v>-100</v>
      </c>
      <c r="AT747" t="str">
        <f t="shared" si="152"/>
        <v/>
      </c>
      <c r="AU747" t="str">
        <f t="shared" si="148"/>
        <v/>
      </c>
      <c r="AV747" s="430">
        <f>IFERROR(
IF(AT747="",-100,
IF($BV$2&gt;0, INDEX(Beersheet!$A:$U,MATCH(AT747,INDEX(Beersheet!$A:$U,0,FFARawStatProjections!$BV$2),0),$BV$3)+$BN747,
INDEX($A747:$BM747,,$BV$12)*$BW$12+
INDEX($A747:$BM747,,$BV$15)*$BW$15+
INDEX($A747:$BM747,,$BV$16)*$BW$16+
INDEX($A747:$BM747,,$BV$17)*$BW$17+
INDEX($A747:$BM747,,$BV$18)*$BW$18+
INDEX($A747:$BM747,,$BV$19)*$BW$19+
INDEX($A747:$BM747,,$BV$20)*$BW$20+
INDEX($A747:$BM747,,$BV$21)*$BW$21+
INDEX($A747:$BM747,,$BV$22)*$BW$22+
INDEX($A747:$BM747,,$BV$23)*$BW$23+
INDEX($A747:$BM747,,$BV$25)*$BW$25+
INDEX($A747:$BM747,,$BV$26)*$BW$26+
INDEX($A747:$BM747,,$BV$27)*$BW$27+
$BN747)),
$BN747-100)</f>
        <v>-100</v>
      </c>
      <c r="AX747" t="str">
        <f t="shared" si="153"/>
        <v/>
      </c>
      <c r="AY747" t="str">
        <f t="shared" si="149"/>
        <v/>
      </c>
      <c r="AZ747" s="430">
        <f>IFERROR(
IF(AX747="",-100,
IF($BV$2&gt;0, INDEX(Beersheet!$A:$U,MATCH(AX747,INDEX(Beersheet!$A:$U,0,FFARawStatProjections!$BV$2),0),$BV$3)+$BN747,
INDEX($A747:$BM747,,$BV$12)*$BW$12+
INDEX($A747:$BM747,,$BV$15)*$BW$15+
INDEX($A747:$BM747,,$BV$16)*$BW$16+
INDEX($A747:$BM747,,$BV$17)*$BW$17+
INDEX($A747:$BM747,,$BV$18)*$BW$18+
INDEX($A747:$BM747,,$BV$19)*$BW$19+
INDEX($A747:$BM747,,$BV$20)*$BW$20+
INDEX($A747:$BM747,,$BV$21)*$BW$21+
INDEX($A747:$BM747,,$BV$22)*$BW$22+
INDEX($A747:$BM747,,$BV$23)*$BW$23+
INDEX($A747:$BM747,,$BV$25)*$BW$25+
INDEX($A747:$BM747,,$BV$26)*$BW$26+
INDEX($A747:$BM747,,$BV$27)*$BW$27+
$BN747)),
$BN747-100)</f>
        <v>-100</v>
      </c>
      <c r="BB747" t="str">
        <f t="shared" si="154"/>
        <v>Jacob Hollister</v>
      </c>
      <c r="BC747" t="str">
        <f t="shared" si="150"/>
        <v>LV</v>
      </c>
      <c r="BD747" s="430">
        <f>IFERROR(
IF(BB747="",-100,
IF($BV$2&gt;0, INDEX(Beersheet!$A:$U,MATCH(BB747,INDEX(Beersheet!$A:$U,0,FFARawStatProjections!$BV$2),0),$BV$3)+$BN747,
INDEX($A747:$BM747,,$BV$12)*$BW$12+
INDEX($A747:$BM747,,$BV$15)*$BW$15+
INDEX($A747:$BM747,,$BV$16)*$BW$16+
INDEX($A747:$BM747,,$BV$17)*$BW$17+
INDEX($A747:$BM747,,$BV$18)*$BW$18+
INDEX($A747:$BM747,,$BV$19)*$BW$19+
INDEX($A747:$BM747,,$BV$20)*$BW$20+
INDEX($A747:$BM747,,$BV$21)*$BW$21+
INDEX($A747:$BM747,,$BV$22)*$BW$22+
INDEX($A747:$BM747,,$BV$23)*$BW$23+
INDEX($A747:$BM747,,$BV$25)*$BW$25+
INDEX($A747:$BM747,,$BV$26)*$BW$26+
INDEX($A747:$BM747,,$BV$27)*$BW$27+
$BN747)),
$BN747-100)</f>
        <v>3.1774600000000004</v>
      </c>
      <c r="BF747" t="str">
        <f t="shared" si="155"/>
        <v/>
      </c>
      <c r="BG747" t="str">
        <f t="shared" si="151"/>
        <v/>
      </c>
      <c r="BH747">
        <f t="shared" si="156"/>
        <v>0</v>
      </c>
      <c r="BJ747" t="str">
        <f t="shared" si="157"/>
        <v/>
      </c>
      <c r="BL747">
        <f t="shared" si="158"/>
        <v>0</v>
      </c>
      <c r="BN747">
        <v>7.4600000000000204E-3</v>
      </c>
    </row>
    <row r="748" spans="1:66" ht="15.75" thickBot="1" x14ac:dyDescent="0.3">
      <c r="A748" s="569" t="s">
        <v>2267</v>
      </c>
      <c r="B748" s="569" t="s">
        <v>146</v>
      </c>
      <c r="C748" s="569" t="s">
        <v>7</v>
      </c>
      <c r="D748" s="574">
        <v>7</v>
      </c>
      <c r="E748" s="569"/>
      <c r="F748" s="569"/>
      <c r="G748" s="569"/>
      <c r="H748" s="569"/>
      <c r="I748" s="574">
        <v>0</v>
      </c>
      <c r="J748" s="574">
        <v>0</v>
      </c>
      <c r="K748" s="574">
        <v>0</v>
      </c>
      <c r="L748" s="574">
        <v>1</v>
      </c>
      <c r="M748" s="574">
        <v>0.2</v>
      </c>
      <c r="N748" s="574">
        <v>12.7</v>
      </c>
      <c r="O748" s="574">
        <v>0</v>
      </c>
      <c r="P748" s="574">
        <v>0</v>
      </c>
      <c r="Q748" s="574">
        <v>0</v>
      </c>
      <c r="R748" s="569"/>
      <c r="S748" s="569"/>
      <c r="T748" s="569"/>
      <c r="U748" s="569"/>
      <c r="V748" s="569"/>
      <c r="W748" s="569"/>
      <c r="X748" s="569"/>
      <c r="Y748" s="569"/>
      <c r="Z748" s="569"/>
      <c r="AA748" s="569"/>
      <c r="AB748" s="569"/>
      <c r="AC748" s="569"/>
      <c r="AD748" s="569"/>
      <c r="AE748" s="569"/>
      <c r="AF748" s="569"/>
      <c r="AG748" s="569"/>
      <c r="AH748" s="569"/>
      <c r="AI748" s="569"/>
      <c r="AJ748" s="569"/>
      <c r="AK748" s="569"/>
      <c r="AL748" s="569"/>
      <c r="AM748" s="569"/>
      <c r="AN748" s="574">
        <v>2.7</v>
      </c>
      <c r="AO748">
        <v>747</v>
      </c>
      <c r="AP748" t="str">
        <f t="shared" si="146"/>
        <v/>
      </c>
      <c r="AQ748" t="str">
        <f t="shared" si="147"/>
        <v/>
      </c>
      <c r="AR748" s="430">
        <f>IFERROR(
IF(AP748="",-100,
IF($BV$2&gt;0, INDEX(Beersheet!$A:$U,MATCH(AP748,INDEX(Beersheet!$A:$U,0,FFARawStatProjections!$BV$2),0),$BV$3)+$BN748,
INDEX($A748:$BM748,,$BV$12)*$BW$12+
INDEX($A748:$BM748,,$BV$15)*$BW$15+
INDEX($A748:$BM748,,$BV$16)*$BW$16+
INDEX($A748:$BM748,,$BV$17)*$BW$17+
INDEX($A748:$BM748,,$BV$18)*$BW$18+
INDEX($A748:$BM748,,$BV$19)*$BW$19+
INDEX($A748:$BM748,,$BV$20)*$BW$20+
INDEX($A748:$BM748,,$BV$21)*$BW$21+
INDEX($A748:$BM748,,$BV$22)*$BW$22+
INDEX($A748:$BM748,,$BV$23)*$BW$23+
INDEX($A748:$BM748,,$BV$25)*$BW$25+
INDEX($A748:$BM748,,$BV$26)*$BW$26+
INDEX($A748:$BM748,,$BV$27)*$BW$27+
$BN748)),
$BN748-100)</f>
        <v>-100</v>
      </c>
      <c r="AT748" t="str">
        <f t="shared" si="152"/>
        <v/>
      </c>
      <c r="AU748" t="str">
        <f t="shared" si="148"/>
        <v/>
      </c>
      <c r="AV748" s="430">
        <f>IFERROR(
IF(AT748="",-100,
IF($BV$2&gt;0, INDEX(Beersheet!$A:$U,MATCH(AT748,INDEX(Beersheet!$A:$U,0,FFARawStatProjections!$BV$2),0),$BV$3)+$BN748,
INDEX($A748:$BM748,,$BV$12)*$BW$12+
INDEX($A748:$BM748,,$BV$15)*$BW$15+
INDEX($A748:$BM748,,$BV$16)*$BW$16+
INDEX($A748:$BM748,,$BV$17)*$BW$17+
INDEX($A748:$BM748,,$BV$18)*$BW$18+
INDEX($A748:$BM748,,$BV$19)*$BW$19+
INDEX($A748:$BM748,,$BV$20)*$BW$20+
INDEX($A748:$BM748,,$BV$21)*$BW$21+
INDEX($A748:$BM748,,$BV$22)*$BW$22+
INDEX($A748:$BM748,,$BV$23)*$BW$23+
INDEX($A748:$BM748,,$BV$25)*$BW$25+
INDEX($A748:$BM748,,$BV$26)*$BW$26+
INDEX($A748:$BM748,,$BV$27)*$BW$27+
$BN748)),
$BN748-100)</f>
        <v>-100</v>
      </c>
      <c r="AX748" t="str">
        <f t="shared" si="153"/>
        <v/>
      </c>
      <c r="AY748" t="str">
        <f t="shared" si="149"/>
        <v/>
      </c>
      <c r="AZ748" s="430">
        <f>IFERROR(
IF(AX748="",-100,
IF($BV$2&gt;0, INDEX(Beersheet!$A:$U,MATCH(AX748,INDEX(Beersheet!$A:$U,0,FFARawStatProjections!$BV$2),0),$BV$3)+$BN748,
INDEX($A748:$BM748,,$BV$12)*$BW$12+
INDEX($A748:$BM748,,$BV$15)*$BW$15+
INDEX($A748:$BM748,,$BV$16)*$BW$16+
INDEX($A748:$BM748,,$BV$17)*$BW$17+
INDEX($A748:$BM748,,$BV$18)*$BW$18+
INDEX($A748:$BM748,,$BV$19)*$BW$19+
INDEX($A748:$BM748,,$BV$20)*$BW$20+
INDEX($A748:$BM748,,$BV$21)*$BW$21+
INDEX($A748:$BM748,,$BV$22)*$BW$22+
INDEX($A748:$BM748,,$BV$23)*$BW$23+
INDEX($A748:$BM748,,$BV$25)*$BW$25+
INDEX($A748:$BM748,,$BV$26)*$BW$26+
INDEX($A748:$BM748,,$BV$27)*$BW$27+
$BN748)),
$BN748-100)</f>
        <v>-100</v>
      </c>
      <c r="BB748" t="str">
        <f t="shared" si="154"/>
        <v>Sean McKeon</v>
      </c>
      <c r="BC748" t="str">
        <f t="shared" si="150"/>
        <v>DAL</v>
      </c>
      <c r="BD748" s="430">
        <f>IFERROR(
IF(BB748="",-100,
IF($BV$2&gt;0, INDEX(Beersheet!$A:$U,MATCH(BB748,INDEX(Beersheet!$A:$U,0,FFARawStatProjections!$BV$2),0),$BV$3)+$BN748,
INDEX($A748:$BM748,,$BV$12)*$BW$12+
INDEX($A748:$BM748,,$BV$15)*$BW$15+
INDEX($A748:$BM748,,$BV$16)*$BW$16+
INDEX($A748:$BM748,,$BV$17)*$BW$17+
INDEX($A748:$BM748,,$BV$18)*$BW$18+
INDEX($A748:$BM748,,$BV$19)*$BW$19+
INDEX($A748:$BM748,,$BV$20)*$BW$20+
INDEX($A748:$BM748,,$BV$21)*$BW$21+
INDEX($A748:$BM748,,$BV$22)*$BW$22+
INDEX($A748:$BM748,,$BV$23)*$BW$23+
INDEX($A748:$BM748,,$BV$25)*$BW$25+
INDEX($A748:$BM748,,$BV$26)*$BW$26+
INDEX($A748:$BM748,,$BV$27)*$BW$27+
$BN748)),
$BN748-100)</f>
        <v>3.4774700000000003</v>
      </c>
      <c r="BF748" t="str">
        <f t="shared" si="155"/>
        <v/>
      </c>
      <c r="BG748" t="str">
        <f t="shared" si="151"/>
        <v/>
      </c>
      <c r="BH748">
        <f t="shared" si="156"/>
        <v>0</v>
      </c>
      <c r="BJ748" t="str">
        <f t="shared" si="157"/>
        <v/>
      </c>
      <c r="BL748">
        <f t="shared" si="158"/>
        <v>0</v>
      </c>
      <c r="BN748">
        <v>7.47000000000002E-3</v>
      </c>
    </row>
    <row r="749" spans="1:66" ht="15.75" thickBot="1" x14ac:dyDescent="0.3">
      <c r="A749" s="569" t="s">
        <v>2372</v>
      </c>
      <c r="B749" s="569" t="s">
        <v>1388</v>
      </c>
      <c r="C749" s="569" t="s">
        <v>7</v>
      </c>
      <c r="D749" s="574">
        <v>5</v>
      </c>
      <c r="E749" s="569"/>
      <c r="F749" s="569"/>
      <c r="G749" s="569"/>
      <c r="H749" s="569"/>
      <c r="I749" s="574">
        <v>0</v>
      </c>
      <c r="J749" s="574">
        <v>0</v>
      </c>
      <c r="K749" s="574">
        <v>0</v>
      </c>
      <c r="L749" s="574">
        <v>0.5</v>
      </c>
      <c r="M749" s="574">
        <v>0.1</v>
      </c>
      <c r="N749" s="574">
        <v>3.9</v>
      </c>
      <c r="O749" s="574">
        <v>0</v>
      </c>
      <c r="P749" s="574">
        <v>0</v>
      </c>
      <c r="Q749" s="574">
        <v>0</v>
      </c>
      <c r="R749" s="569"/>
      <c r="S749" s="569"/>
      <c r="T749" s="569"/>
      <c r="U749" s="569"/>
      <c r="V749" s="569"/>
      <c r="W749" s="569"/>
      <c r="X749" s="569"/>
      <c r="Y749" s="569"/>
      <c r="Z749" s="569"/>
      <c r="AA749" s="569"/>
      <c r="AB749" s="569"/>
      <c r="AC749" s="569"/>
      <c r="AD749" s="569"/>
      <c r="AE749" s="569"/>
      <c r="AF749" s="569"/>
      <c r="AG749" s="569"/>
      <c r="AH749" s="569"/>
      <c r="AI749" s="569"/>
      <c r="AJ749" s="569"/>
      <c r="AK749" s="569"/>
      <c r="AL749" s="569"/>
      <c r="AM749" s="569"/>
      <c r="AN749" s="574">
        <v>0.8</v>
      </c>
      <c r="AO749">
        <v>748</v>
      </c>
      <c r="AP749" t="str">
        <f t="shared" si="146"/>
        <v/>
      </c>
      <c r="AQ749" t="str">
        <f t="shared" si="147"/>
        <v/>
      </c>
      <c r="AR749" s="430">
        <f>IFERROR(
IF(AP749="",-100,
IF($BV$2&gt;0, INDEX(Beersheet!$A:$U,MATCH(AP749,INDEX(Beersheet!$A:$U,0,FFARawStatProjections!$BV$2),0),$BV$3)+$BN749,
INDEX($A749:$BM749,,$BV$12)*$BW$12+
INDEX($A749:$BM749,,$BV$15)*$BW$15+
INDEX($A749:$BM749,,$BV$16)*$BW$16+
INDEX($A749:$BM749,,$BV$17)*$BW$17+
INDEX($A749:$BM749,,$BV$18)*$BW$18+
INDEX($A749:$BM749,,$BV$19)*$BW$19+
INDEX($A749:$BM749,,$BV$20)*$BW$20+
INDEX($A749:$BM749,,$BV$21)*$BW$21+
INDEX($A749:$BM749,,$BV$22)*$BW$22+
INDEX($A749:$BM749,,$BV$23)*$BW$23+
INDEX($A749:$BM749,,$BV$25)*$BW$25+
INDEX($A749:$BM749,,$BV$26)*$BW$26+
INDEX($A749:$BM749,,$BV$27)*$BW$27+
$BN749)),
$BN749-100)</f>
        <v>-100</v>
      </c>
      <c r="AT749" t="str">
        <f t="shared" si="152"/>
        <v/>
      </c>
      <c r="AU749" t="str">
        <f t="shared" si="148"/>
        <v/>
      </c>
      <c r="AV749" s="430">
        <f>IFERROR(
IF(AT749="",-100,
IF($BV$2&gt;0, INDEX(Beersheet!$A:$U,MATCH(AT749,INDEX(Beersheet!$A:$U,0,FFARawStatProjections!$BV$2),0),$BV$3)+$BN749,
INDEX($A749:$BM749,,$BV$12)*$BW$12+
INDEX($A749:$BM749,,$BV$15)*$BW$15+
INDEX($A749:$BM749,,$BV$16)*$BW$16+
INDEX($A749:$BM749,,$BV$17)*$BW$17+
INDEX($A749:$BM749,,$BV$18)*$BW$18+
INDEX($A749:$BM749,,$BV$19)*$BW$19+
INDEX($A749:$BM749,,$BV$20)*$BW$20+
INDEX($A749:$BM749,,$BV$21)*$BW$21+
INDEX($A749:$BM749,,$BV$22)*$BW$22+
INDEX($A749:$BM749,,$BV$23)*$BW$23+
INDEX($A749:$BM749,,$BV$25)*$BW$25+
INDEX($A749:$BM749,,$BV$26)*$BW$26+
INDEX($A749:$BM749,,$BV$27)*$BW$27+
$BN749)),
$BN749-100)</f>
        <v>-100</v>
      </c>
      <c r="AX749" t="str">
        <f t="shared" si="153"/>
        <v/>
      </c>
      <c r="AY749" t="str">
        <f t="shared" si="149"/>
        <v/>
      </c>
      <c r="AZ749" s="430">
        <f>IFERROR(
IF(AX749="",-100,
IF($BV$2&gt;0, INDEX(Beersheet!$A:$U,MATCH(AX749,INDEX(Beersheet!$A:$U,0,FFARawStatProjections!$BV$2),0),$BV$3)+$BN749,
INDEX($A749:$BM749,,$BV$12)*$BW$12+
INDEX($A749:$BM749,,$BV$15)*$BW$15+
INDEX($A749:$BM749,,$BV$16)*$BW$16+
INDEX($A749:$BM749,,$BV$17)*$BW$17+
INDEX($A749:$BM749,,$BV$18)*$BW$18+
INDEX($A749:$BM749,,$BV$19)*$BW$19+
INDEX($A749:$BM749,,$BV$20)*$BW$20+
INDEX($A749:$BM749,,$BV$21)*$BW$21+
INDEX($A749:$BM749,,$BV$22)*$BW$22+
INDEX($A749:$BM749,,$BV$23)*$BW$23+
INDEX($A749:$BM749,,$BV$25)*$BW$25+
INDEX($A749:$BM749,,$BV$26)*$BW$26+
INDEX($A749:$BM749,,$BV$27)*$BW$27+
$BN749)),
$BN749-100)</f>
        <v>-100</v>
      </c>
      <c r="BB749" t="str">
        <f t="shared" si="154"/>
        <v>Hunter Kampmoyer</v>
      </c>
      <c r="BC749" t="str">
        <f t="shared" si="150"/>
        <v>LAC</v>
      </c>
      <c r="BD749" s="430">
        <f>IFERROR(
IF(BB749="",-100,
IF($BV$2&gt;0, INDEX(Beersheet!$A:$U,MATCH(BB749,INDEX(Beersheet!$A:$U,0,FFARawStatProjections!$BV$2),0),$BV$3)+$BN749,
INDEX($A749:$BM749,,$BV$12)*$BW$12+
INDEX($A749:$BM749,,$BV$15)*$BW$15+
INDEX($A749:$BM749,,$BV$16)*$BW$16+
INDEX($A749:$BM749,,$BV$17)*$BW$17+
INDEX($A749:$BM749,,$BV$18)*$BW$18+
INDEX($A749:$BM749,,$BV$19)*$BW$19+
INDEX($A749:$BM749,,$BV$20)*$BW$20+
INDEX($A749:$BM749,,$BV$21)*$BW$21+
INDEX($A749:$BM749,,$BV$22)*$BW$22+
INDEX($A749:$BM749,,$BV$23)*$BW$23+
INDEX($A749:$BM749,,$BV$25)*$BW$25+
INDEX($A749:$BM749,,$BV$26)*$BW$26+
INDEX($A749:$BM749,,$BV$27)*$BW$27+
$BN749)),
$BN749-100)</f>
        <v>1.4974800000000001</v>
      </c>
      <c r="BF749" t="str">
        <f t="shared" si="155"/>
        <v/>
      </c>
      <c r="BG749" t="str">
        <f t="shared" si="151"/>
        <v/>
      </c>
      <c r="BH749">
        <f t="shared" si="156"/>
        <v>0</v>
      </c>
      <c r="BJ749" t="str">
        <f t="shared" si="157"/>
        <v/>
      </c>
      <c r="BL749">
        <f t="shared" si="158"/>
        <v>0</v>
      </c>
      <c r="BN749">
        <v>7.4800000000000196E-3</v>
      </c>
    </row>
    <row r="750" spans="1:66" ht="15.75" thickBot="1" x14ac:dyDescent="0.3">
      <c r="A750" s="569" t="s">
        <v>2529</v>
      </c>
      <c r="B750" s="569" t="s">
        <v>162</v>
      </c>
      <c r="C750" s="569" t="s">
        <v>7</v>
      </c>
      <c r="D750" s="574">
        <v>13</v>
      </c>
      <c r="E750" s="569"/>
      <c r="F750" s="569"/>
      <c r="G750" s="569"/>
      <c r="H750" s="569"/>
      <c r="I750" s="574">
        <v>0</v>
      </c>
      <c r="J750" s="574">
        <v>0</v>
      </c>
      <c r="K750" s="574">
        <v>0</v>
      </c>
      <c r="L750" s="574">
        <v>0.3</v>
      </c>
      <c r="M750" s="574">
        <v>0</v>
      </c>
      <c r="N750" s="574">
        <v>2</v>
      </c>
      <c r="O750" s="574">
        <v>0</v>
      </c>
      <c r="P750" s="574">
        <v>0</v>
      </c>
      <c r="Q750" s="574">
        <v>0</v>
      </c>
      <c r="R750" s="569"/>
      <c r="S750" s="569"/>
      <c r="T750" s="569"/>
      <c r="U750" s="569"/>
      <c r="V750" s="569"/>
      <c r="W750" s="569"/>
      <c r="X750" s="569"/>
      <c r="Y750" s="569"/>
      <c r="Z750" s="569"/>
      <c r="AA750" s="569"/>
      <c r="AB750" s="569"/>
      <c r="AC750" s="569"/>
      <c r="AD750" s="569"/>
      <c r="AE750" s="569"/>
      <c r="AF750" s="569"/>
      <c r="AG750" s="569"/>
      <c r="AH750" s="569"/>
      <c r="AI750" s="569"/>
      <c r="AJ750" s="569"/>
      <c r="AK750" s="569"/>
      <c r="AL750" s="569"/>
      <c r="AM750" s="569"/>
      <c r="AN750" s="574">
        <v>0.2</v>
      </c>
      <c r="AO750">
        <v>749</v>
      </c>
      <c r="AP750" t="str">
        <f t="shared" si="146"/>
        <v/>
      </c>
      <c r="AQ750" t="str">
        <f t="shared" si="147"/>
        <v/>
      </c>
      <c r="AR750" s="430">
        <f>IFERROR(
IF(AP750="",-100,
IF($BV$2&gt;0, INDEX(Beersheet!$A:$U,MATCH(AP750,INDEX(Beersheet!$A:$U,0,FFARawStatProjections!$BV$2),0),$BV$3)+$BN750,
INDEX($A750:$BM750,,$BV$12)*$BW$12+
INDEX($A750:$BM750,,$BV$15)*$BW$15+
INDEX($A750:$BM750,,$BV$16)*$BW$16+
INDEX($A750:$BM750,,$BV$17)*$BW$17+
INDEX($A750:$BM750,,$BV$18)*$BW$18+
INDEX($A750:$BM750,,$BV$19)*$BW$19+
INDEX($A750:$BM750,,$BV$20)*$BW$20+
INDEX($A750:$BM750,,$BV$21)*$BW$21+
INDEX($A750:$BM750,,$BV$22)*$BW$22+
INDEX($A750:$BM750,,$BV$23)*$BW$23+
INDEX($A750:$BM750,,$BV$25)*$BW$25+
INDEX($A750:$BM750,,$BV$26)*$BW$26+
INDEX($A750:$BM750,,$BV$27)*$BW$27+
$BN750)),
$BN750-100)</f>
        <v>-100</v>
      </c>
      <c r="AT750" t="str">
        <f t="shared" si="152"/>
        <v/>
      </c>
      <c r="AU750" t="str">
        <f t="shared" si="148"/>
        <v/>
      </c>
      <c r="AV750" s="430">
        <f>IFERROR(
IF(AT750="",-100,
IF($BV$2&gt;0, INDEX(Beersheet!$A:$U,MATCH(AT750,INDEX(Beersheet!$A:$U,0,FFARawStatProjections!$BV$2),0),$BV$3)+$BN750,
INDEX($A750:$BM750,,$BV$12)*$BW$12+
INDEX($A750:$BM750,,$BV$15)*$BW$15+
INDEX($A750:$BM750,,$BV$16)*$BW$16+
INDEX($A750:$BM750,,$BV$17)*$BW$17+
INDEX($A750:$BM750,,$BV$18)*$BW$18+
INDEX($A750:$BM750,,$BV$19)*$BW$19+
INDEX($A750:$BM750,,$BV$20)*$BW$20+
INDEX($A750:$BM750,,$BV$21)*$BW$21+
INDEX($A750:$BM750,,$BV$22)*$BW$22+
INDEX($A750:$BM750,,$BV$23)*$BW$23+
INDEX($A750:$BM750,,$BV$25)*$BW$25+
INDEX($A750:$BM750,,$BV$26)*$BW$26+
INDEX($A750:$BM750,,$BV$27)*$BW$27+
$BN750)),
$BN750-100)</f>
        <v>-100</v>
      </c>
      <c r="AX750" t="str">
        <f t="shared" si="153"/>
        <v/>
      </c>
      <c r="AY750" t="str">
        <f t="shared" si="149"/>
        <v/>
      </c>
      <c r="AZ750" s="430">
        <f>IFERROR(
IF(AX750="",-100,
IF($BV$2&gt;0, INDEX(Beersheet!$A:$U,MATCH(AX750,INDEX(Beersheet!$A:$U,0,FFARawStatProjections!$BV$2),0),$BV$3)+$BN750,
INDEX($A750:$BM750,,$BV$12)*$BW$12+
INDEX($A750:$BM750,,$BV$15)*$BW$15+
INDEX($A750:$BM750,,$BV$16)*$BW$16+
INDEX($A750:$BM750,,$BV$17)*$BW$17+
INDEX($A750:$BM750,,$BV$18)*$BW$18+
INDEX($A750:$BM750,,$BV$19)*$BW$19+
INDEX($A750:$BM750,,$BV$20)*$BW$20+
INDEX($A750:$BM750,,$BV$21)*$BW$21+
INDEX($A750:$BM750,,$BV$22)*$BW$22+
INDEX($A750:$BM750,,$BV$23)*$BW$23+
INDEX($A750:$BM750,,$BV$25)*$BW$25+
INDEX($A750:$BM750,,$BV$26)*$BW$26+
INDEX($A750:$BM750,,$BV$27)*$BW$27+
$BN750)),
$BN750-100)</f>
        <v>-100</v>
      </c>
      <c r="BB750" t="str">
        <f t="shared" si="154"/>
        <v>Ben Mason</v>
      </c>
      <c r="BC750" t="str">
        <f t="shared" si="150"/>
        <v>BAL</v>
      </c>
      <c r="BD750" s="430">
        <f>IFERROR(
IF(BB750="",-100,
IF($BV$2&gt;0, INDEX(Beersheet!$A:$U,MATCH(BB750,INDEX(Beersheet!$A:$U,0,FFARawStatProjections!$BV$2),0),$BV$3)+$BN750,
INDEX($A750:$BM750,,$BV$12)*$BW$12+
INDEX($A750:$BM750,,$BV$15)*$BW$15+
INDEX($A750:$BM750,,$BV$16)*$BW$16+
INDEX($A750:$BM750,,$BV$17)*$BW$17+
INDEX($A750:$BM750,,$BV$18)*$BW$18+
INDEX($A750:$BM750,,$BV$19)*$BW$19+
INDEX($A750:$BM750,,$BV$20)*$BW$20+
INDEX($A750:$BM750,,$BV$21)*$BW$21+
INDEX($A750:$BM750,,$BV$22)*$BW$22+
INDEX($A750:$BM750,,$BV$23)*$BW$23+
INDEX($A750:$BM750,,$BV$25)*$BW$25+
INDEX($A750:$BM750,,$BV$26)*$BW$26+
INDEX($A750:$BM750,,$BV$27)*$BW$27+
$BN750)),
$BN750-100)</f>
        <v>0.50749</v>
      </c>
      <c r="BF750" t="str">
        <f t="shared" si="155"/>
        <v/>
      </c>
      <c r="BG750" t="str">
        <f t="shared" si="151"/>
        <v/>
      </c>
      <c r="BH750">
        <f t="shared" si="156"/>
        <v>0</v>
      </c>
      <c r="BJ750" t="str">
        <f t="shared" si="157"/>
        <v/>
      </c>
      <c r="BL750">
        <f t="shared" si="158"/>
        <v>0</v>
      </c>
      <c r="BN750">
        <v>7.4900000000000201E-3</v>
      </c>
    </row>
    <row r="751" spans="1:66" ht="15.75" thickBot="1" x14ac:dyDescent="0.3">
      <c r="A751" s="569"/>
      <c r="B751" s="569"/>
      <c r="C751" s="569" t="s">
        <v>7</v>
      </c>
      <c r="D751" s="574"/>
      <c r="E751" s="569"/>
      <c r="F751" s="569"/>
      <c r="G751" s="569"/>
      <c r="H751" s="569"/>
      <c r="I751" s="574">
        <v>0</v>
      </c>
      <c r="J751" s="574">
        <v>0</v>
      </c>
      <c r="K751" s="574">
        <v>0</v>
      </c>
      <c r="L751" s="574"/>
      <c r="M751" s="574"/>
      <c r="N751" s="574"/>
      <c r="O751" s="574">
        <v>0</v>
      </c>
      <c r="P751" s="574">
        <v>0</v>
      </c>
      <c r="Q751" s="574">
        <v>0</v>
      </c>
      <c r="R751" s="569"/>
      <c r="S751" s="569"/>
      <c r="T751" s="569"/>
      <c r="U751" s="569"/>
      <c r="V751" s="569"/>
      <c r="W751" s="569"/>
      <c r="X751" s="569"/>
      <c r="Y751" s="569"/>
      <c r="Z751" s="569"/>
      <c r="AA751" s="569"/>
      <c r="AB751" s="569"/>
      <c r="AC751" s="569"/>
      <c r="AD751" s="569"/>
      <c r="AE751" s="569"/>
      <c r="AF751" s="569"/>
      <c r="AG751" s="569"/>
      <c r="AH751" s="569"/>
      <c r="AI751" s="569"/>
      <c r="AJ751" s="569"/>
      <c r="AK751" s="569"/>
      <c r="AL751" s="569"/>
      <c r="AM751" s="569"/>
      <c r="AN751" s="574"/>
      <c r="AO751">
        <v>750</v>
      </c>
      <c r="AP751" t="str">
        <f t="shared" si="146"/>
        <v/>
      </c>
      <c r="AQ751" t="str">
        <f t="shared" si="147"/>
        <v/>
      </c>
      <c r="AR751" s="430">
        <f>IFERROR(
IF(AP751="",-100,
IF($BV$2&gt;0, INDEX(Beersheet!$A:$U,MATCH(AP751,INDEX(Beersheet!$A:$U,0,FFARawStatProjections!$BV$2),0),$BV$3)+$BN751,
INDEX($A751:$BM751,,$BV$12)*$BW$12+
INDEX($A751:$BM751,,$BV$15)*$BW$15+
INDEX($A751:$BM751,,$BV$16)*$BW$16+
INDEX($A751:$BM751,,$BV$17)*$BW$17+
INDEX($A751:$BM751,,$BV$18)*$BW$18+
INDEX($A751:$BM751,,$BV$19)*$BW$19+
INDEX($A751:$BM751,,$BV$20)*$BW$20+
INDEX($A751:$BM751,,$BV$21)*$BW$21+
INDEX($A751:$BM751,,$BV$22)*$BW$22+
INDEX($A751:$BM751,,$BV$23)*$BW$23+
INDEX($A751:$BM751,,$BV$25)*$BW$25+
INDEX($A751:$BM751,,$BV$26)*$BW$26+
INDEX($A751:$BM751,,$BV$27)*$BW$27+
$BN751)),
$BN751-100)</f>
        <v>-100</v>
      </c>
      <c r="AT751" t="str">
        <f t="shared" si="152"/>
        <v/>
      </c>
      <c r="AU751" t="str">
        <f t="shared" si="148"/>
        <v/>
      </c>
      <c r="AV751" s="430">
        <f>IFERROR(
IF(AT751="",-100,
IF($BV$2&gt;0, INDEX(Beersheet!$A:$U,MATCH(AT751,INDEX(Beersheet!$A:$U,0,FFARawStatProjections!$BV$2),0),$BV$3)+$BN751,
INDEX($A751:$BM751,,$BV$12)*$BW$12+
INDEX($A751:$BM751,,$BV$15)*$BW$15+
INDEX($A751:$BM751,,$BV$16)*$BW$16+
INDEX($A751:$BM751,,$BV$17)*$BW$17+
INDEX($A751:$BM751,,$BV$18)*$BW$18+
INDEX($A751:$BM751,,$BV$19)*$BW$19+
INDEX($A751:$BM751,,$BV$20)*$BW$20+
INDEX($A751:$BM751,,$BV$21)*$BW$21+
INDEX($A751:$BM751,,$BV$22)*$BW$22+
INDEX($A751:$BM751,,$BV$23)*$BW$23+
INDEX($A751:$BM751,,$BV$25)*$BW$25+
INDEX($A751:$BM751,,$BV$26)*$BW$26+
INDEX($A751:$BM751,,$BV$27)*$BW$27+
$BN751)),
$BN751-100)</f>
        <v>-100</v>
      </c>
      <c r="AX751" t="str">
        <f t="shared" si="153"/>
        <v/>
      </c>
      <c r="AY751" t="str">
        <f t="shared" si="149"/>
        <v/>
      </c>
      <c r="AZ751" s="430">
        <f>IFERROR(
IF(AX751="",-100,
IF($BV$2&gt;0, INDEX(Beersheet!$A:$U,MATCH(AX751,INDEX(Beersheet!$A:$U,0,FFARawStatProjections!$BV$2),0),$BV$3)+$BN751,
INDEX($A751:$BM751,,$BV$12)*$BW$12+
INDEX($A751:$BM751,,$BV$15)*$BW$15+
INDEX($A751:$BM751,,$BV$16)*$BW$16+
INDEX($A751:$BM751,,$BV$17)*$BW$17+
INDEX($A751:$BM751,,$BV$18)*$BW$18+
INDEX($A751:$BM751,,$BV$19)*$BW$19+
INDEX($A751:$BM751,,$BV$20)*$BW$20+
INDEX($A751:$BM751,,$BV$21)*$BW$21+
INDEX($A751:$BM751,,$BV$22)*$BW$22+
INDEX($A751:$BM751,,$BV$23)*$BW$23+
INDEX($A751:$BM751,,$BV$25)*$BW$25+
INDEX($A751:$BM751,,$BV$26)*$BW$26+
INDEX($A751:$BM751,,$BV$27)*$BW$27+
$BN751)),
$BN751-100)</f>
        <v>-100</v>
      </c>
      <c r="BB751">
        <f t="shared" si="154"/>
        <v>0</v>
      </c>
      <c r="BC751">
        <f t="shared" si="150"/>
        <v>0</v>
      </c>
      <c r="BD751" s="430">
        <f>IFERROR(
IF(BB751="",-100,
IF($BV$2&gt;0, INDEX(Beersheet!$A:$U,MATCH(BB751,INDEX(Beersheet!$A:$U,0,FFARawStatProjections!$BV$2),0),$BV$3)+$BN751,
INDEX($A751:$BM751,,$BV$12)*$BW$12+
INDEX($A751:$BM751,,$BV$15)*$BW$15+
INDEX($A751:$BM751,,$BV$16)*$BW$16+
INDEX($A751:$BM751,,$BV$17)*$BW$17+
INDEX($A751:$BM751,,$BV$18)*$BW$18+
INDEX($A751:$BM751,,$BV$19)*$BW$19+
INDEX($A751:$BM751,,$BV$20)*$BW$20+
INDEX($A751:$BM751,,$BV$21)*$BW$21+
INDEX($A751:$BM751,,$BV$22)*$BW$22+
INDEX($A751:$BM751,,$BV$23)*$BW$23+
INDEX($A751:$BM751,,$BV$25)*$BW$25+
INDEX($A751:$BM751,,$BV$26)*$BW$26+
INDEX($A751:$BM751,,$BV$27)*$BW$27+
$BN751)),
$BN751-100)</f>
        <v>7.5000000000000197E-3</v>
      </c>
      <c r="BF751" t="str">
        <f t="shared" si="155"/>
        <v/>
      </c>
      <c r="BG751" t="str">
        <f t="shared" si="151"/>
        <v/>
      </c>
      <c r="BH751">
        <f t="shared" si="156"/>
        <v>0</v>
      </c>
      <c r="BJ751" t="str">
        <f t="shared" si="157"/>
        <v/>
      </c>
      <c r="BL751">
        <f t="shared" si="158"/>
        <v>0</v>
      </c>
      <c r="BN751">
        <v>7.5000000000000197E-3</v>
      </c>
    </row>
    <row r="752" spans="1:66" ht="15.75" thickBot="1" x14ac:dyDescent="0.3">
      <c r="A752" s="569"/>
      <c r="B752" s="569"/>
      <c r="C752" s="569" t="s">
        <v>7</v>
      </c>
      <c r="D752" s="569"/>
      <c r="E752" s="569"/>
      <c r="F752" s="569"/>
      <c r="G752" s="569"/>
      <c r="H752" s="569"/>
      <c r="I752" s="574">
        <v>0</v>
      </c>
      <c r="J752" s="574">
        <v>0</v>
      </c>
      <c r="K752" s="574">
        <v>0</v>
      </c>
      <c r="L752" s="569"/>
      <c r="M752" s="569"/>
      <c r="N752" s="569"/>
      <c r="O752" s="574">
        <v>0</v>
      </c>
      <c r="P752" s="574">
        <v>0</v>
      </c>
      <c r="Q752" s="574">
        <v>0</v>
      </c>
      <c r="R752" s="569"/>
      <c r="S752" s="569"/>
      <c r="T752" s="569"/>
      <c r="U752" s="569"/>
      <c r="V752" s="569"/>
      <c r="W752" s="569"/>
      <c r="X752" s="569"/>
      <c r="Y752" s="569"/>
      <c r="Z752" s="569"/>
      <c r="AA752" s="569"/>
      <c r="AB752" s="569"/>
      <c r="AC752" s="569"/>
      <c r="AD752" s="569"/>
      <c r="AE752" s="569"/>
      <c r="AF752" s="569"/>
      <c r="AG752" s="569"/>
      <c r="AH752" s="569"/>
      <c r="AI752" s="569"/>
      <c r="AJ752" s="569"/>
      <c r="AK752" s="569"/>
      <c r="AL752" s="569"/>
      <c r="AM752" s="569"/>
      <c r="AN752" s="569"/>
      <c r="AO752">
        <v>751</v>
      </c>
      <c r="AP752" t="str">
        <f t="shared" si="146"/>
        <v/>
      </c>
      <c r="AQ752" t="str">
        <f t="shared" si="147"/>
        <v/>
      </c>
      <c r="AR752" s="430">
        <f>IFERROR(
IF(AP752="",-100,
IF($BV$2&gt;0, INDEX(Beersheet!$A:$U,MATCH(AP752,INDEX(Beersheet!$A:$U,0,FFARawStatProjections!$BV$2),0),$BV$3)+$BN752,
INDEX($A752:$BM752,,$BV$12)*$BW$12+
INDEX($A752:$BM752,,$BV$15)*$BW$15+
INDEX($A752:$BM752,,$BV$16)*$BW$16+
INDEX($A752:$BM752,,$BV$17)*$BW$17+
INDEX($A752:$BM752,,$BV$18)*$BW$18+
INDEX($A752:$BM752,,$BV$19)*$BW$19+
INDEX($A752:$BM752,,$BV$20)*$BW$20+
INDEX($A752:$BM752,,$BV$21)*$BW$21+
INDEX($A752:$BM752,,$BV$22)*$BW$22+
INDEX($A752:$BM752,,$BV$23)*$BW$23+
INDEX($A752:$BM752,,$BV$25)*$BW$25+
INDEX($A752:$BM752,,$BV$26)*$BW$26+
INDEX($A752:$BM752,,$BV$27)*$BW$27+
$BN752)),
$BN752-100)</f>
        <v>-100</v>
      </c>
      <c r="AT752" t="str">
        <f t="shared" si="152"/>
        <v/>
      </c>
      <c r="AU752" t="str">
        <f t="shared" si="148"/>
        <v/>
      </c>
      <c r="AV752" s="430">
        <f>IFERROR(
IF(AT752="",-100,
IF($BV$2&gt;0, INDEX(Beersheet!$A:$U,MATCH(AT752,INDEX(Beersheet!$A:$U,0,FFARawStatProjections!$BV$2),0),$BV$3)+$BN752,
INDEX($A752:$BM752,,$BV$12)*$BW$12+
INDEX($A752:$BM752,,$BV$15)*$BW$15+
INDEX($A752:$BM752,,$BV$16)*$BW$16+
INDEX($A752:$BM752,,$BV$17)*$BW$17+
INDEX($A752:$BM752,,$BV$18)*$BW$18+
INDEX($A752:$BM752,,$BV$19)*$BW$19+
INDEX($A752:$BM752,,$BV$20)*$BW$20+
INDEX($A752:$BM752,,$BV$21)*$BW$21+
INDEX($A752:$BM752,,$BV$22)*$BW$22+
INDEX($A752:$BM752,,$BV$23)*$BW$23+
INDEX($A752:$BM752,,$BV$25)*$BW$25+
INDEX($A752:$BM752,,$BV$26)*$BW$26+
INDEX($A752:$BM752,,$BV$27)*$BW$27+
$BN752)),
$BN752-100)</f>
        <v>-100</v>
      </c>
      <c r="AX752" t="str">
        <f t="shared" si="153"/>
        <v/>
      </c>
      <c r="AY752" t="str">
        <f t="shared" si="149"/>
        <v/>
      </c>
      <c r="AZ752" s="430">
        <f>IFERROR(
IF(AX752="",-100,
IF($BV$2&gt;0, INDEX(Beersheet!$A:$U,MATCH(AX752,INDEX(Beersheet!$A:$U,0,FFARawStatProjections!$BV$2),0),$BV$3)+$BN752,
INDEX($A752:$BM752,,$BV$12)*$BW$12+
INDEX($A752:$BM752,,$BV$15)*$BW$15+
INDEX($A752:$BM752,,$BV$16)*$BW$16+
INDEX($A752:$BM752,,$BV$17)*$BW$17+
INDEX($A752:$BM752,,$BV$18)*$BW$18+
INDEX($A752:$BM752,,$BV$19)*$BW$19+
INDEX($A752:$BM752,,$BV$20)*$BW$20+
INDEX($A752:$BM752,,$BV$21)*$BW$21+
INDEX($A752:$BM752,,$BV$22)*$BW$22+
INDEX($A752:$BM752,,$BV$23)*$BW$23+
INDEX($A752:$BM752,,$BV$25)*$BW$25+
INDEX($A752:$BM752,,$BV$26)*$BW$26+
INDEX($A752:$BM752,,$BV$27)*$BW$27+
$BN752)),
$BN752-100)</f>
        <v>-100</v>
      </c>
      <c r="BB752">
        <f t="shared" si="154"/>
        <v>0</v>
      </c>
      <c r="BC752">
        <f t="shared" si="150"/>
        <v>0</v>
      </c>
      <c r="BD752" s="430">
        <f>IFERROR(
IF(BB752="",-100,
IF($BV$2&gt;0, INDEX(Beersheet!$A:$U,MATCH(BB752,INDEX(Beersheet!$A:$U,0,FFARawStatProjections!$BV$2),0),$BV$3)+$BN752,
INDEX($A752:$BM752,,$BV$12)*$BW$12+
INDEX($A752:$BM752,,$BV$15)*$BW$15+
INDEX($A752:$BM752,,$BV$16)*$BW$16+
INDEX($A752:$BM752,,$BV$17)*$BW$17+
INDEX($A752:$BM752,,$BV$18)*$BW$18+
INDEX($A752:$BM752,,$BV$19)*$BW$19+
INDEX($A752:$BM752,,$BV$20)*$BW$20+
INDEX($A752:$BM752,,$BV$21)*$BW$21+
INDEX($A752:$BM752,,$BV$22)*$BW$22+
INDEX($A752:$BM752,,$BV$23)*$BW$23+
INDEX($A752:$BM752,,$BV$25)*$BW$25+
INDEX($A752:$BM752,,$BV$26)*$BW$26+
INDEX($A752:$BM752,,$BV$27)*$BW$27+
$BN752)),
$BN752-100)</f>
        <v>7.5100000000000201E-3</v>
      </c>
      <c r="BF752" t="str">
        <f t="shared" si="155"/>
        <v/>
      </c>
      <c r="BG752" t="str">
        <f t="shared" si="151"/>
        <v/>
      </c>
      <c r="BH752">
        <f t="shared" si="156"/>
        <v>0</v>
      </c>
      <c r="BJ752" t="str">
        <f t="shared" si="157"/>
        <v/>
      </c>
      <c r="BL752">
        <f t="shared" si="158"/>
        <v>0</v>
      </c>
      <c r="BN752">
        <v>7.5100000000000201E-3</v>
      </c>
    </row>
    <row r="753" spans="1:66" ht="15.75" thickBot="1" x14ac:dyDescent="0.3">
      <c r="A753" s="569"/>
      <c r="B753" s="569"/>
      <c r="C753" s="569" t="s">
        <v>7</v>
      </c>
      <c r="D753" s="569"/>
      <c r="E753" s="569"/>
      <c r="F753" s="569"/>
      <c r="G753" s="569"/>
      <c r="H753" s="569"/>
      <c r="I753" s="574">
        <v>0</v>
      </c>
      <c r="J753" s="574">
        <v>0</v>
      </c>
      <c r="K753" s="574">
        <v>0</v>
      </c>
      <c r="L753" s="569"/>
      <c r="M753" s="569"/>
      <c r="N753" s="569"/>
      <c r="O753" s="574">
        <v>0</v>
      </c>
      <c r="P753" s="574">
        <v>0</v>
      </c>
      <c r="Q753" s="574">
        <v>0</v>
      </c>
      <c r="R753" s="569"/>
      <c r="S753" s="569"/>
      <c r="T753" s="569"/>
      <c r="U753" s="569"/>
      <c r="V753" s="569"/>
      <c r="W753" s="569"/>
      <c r="X753" s="569"/>
      <c r="Y753" s="569"/>
      <c r="Z753" s="569"/>
      <c r="AA753" s="569"/>
      <c r="AB753" s="569"/>
      <c r="AC753" s="569"/>
      <c r="AD753" s="569"/>
      <c r="AE753" s="569"/>
      <c r="AF753" s="569"/>
      <c r="AG753" s="569"/>
      <c r="AH753" s="569"/>
      <c r="AI753" s="569"/>
      <c r="AJ753" s="569"/>
      <c r="AK753" s="569"/>
      <c r="AL753" s="569"/>
      <c r="AM753" s="569"/>
      <c r="AN753" s="569"/>
      <c r="AO753">
        <v>752</v>
      </c>
      <c r="AP753" t="str">
        <f t="shared" si="146"/>
        <v/>
      </c>
      <c r="AQ753" t="str">
        <f t="shared" si="147"/>
        <v/>
      </c>
      <c r="AR753" s="430">
        <f>IFERROR(
IF(AP753="",-100,
IF($BV$2&gt;0, INDEX(Beersheet!$A:$U,MATCH(AP753,INDEX(Beersheet!$A:$U,0,FFARawStatProjections!$BV$2),0),$BV$3)+$BN753,
INDEX($A753:$BM753,,$BV$12)*$BW$12+
INDEX($A753:$BM753,,$BV$15)*$BW$15+
INDEX($A753:$BM753,,$BV$16)*$BW$16+
INDEX($A753:$BM753,,$BV$17)*$BW$17+
INDEX($A753:$BM753,,$BV$18)*$BW$18+
INDEX($A753:$BM753,,$BV$19)*$BW$19+
INDEX($A753:$BM753,,$BV$20)*$BW$20+
INDEX($A753:$BM753,,$BV$21)*$BW$21+
INDEX($A753:$BM753,,$BV$22)*$BW$22+
INDEX($A753:$BM753,,$BV$23)*$BW$23+
INDEX($A753:$BM753,,$BV$25)*$BW$25+
INDEX($A753:$BM753,,$BV$26)*$BW$26+
INDEX($A753:$BM753,,$BV$27)*$BW$27+
$BN753)),
$BN753-100)</f>
        <v>-100</v>
      </c>
      <c r="AT753" t="str">
        <f t="shared" si="152"/>
        <v/>
      </c>
      <c r="AU753" t="str">
        <f t="shared" si="148"/>
        <v/>
      </c>
      <c r="AV753" s="430">
        <f>IFERROR(
IF(AT753="",-100,
IF($BV$2&gt;0, INDEX(Beersheet!$A:$U,MATCH(AT753,INDEX(Beersheet!$A:$U,0,FFARawStatProjections!$BV$2),0),$BV$3)+$BN753,
INDEX($A753:$BM753,,$BV$12)*$BW$12+
INDEX($A753:$BM753,,$BV$15)*$BW$15+
INDEX($A753:$BM753,,$BV$16)*$BW$16+
INDEX($A753:$BM753,,$BV$17)*$BW$17+
INDEX($A753:$BM753,,$BV$18)*$BW$18+
INDEX($A753:$BM753,,$BV$19)*$BW$19+
INDEX($A753:$BM753,,$BV$20)*$BW$20+
INDEX($A753:$BM753,,$BV$21)*$BW$21+
INDEX($A753:$BM753,,$BV$22)*$BW$22+
INDEX($A753:$BM753,,$BV$23)*$BW$23+
INDEX($A753:$BM753,,$BV$25)*$BW$25+
INDEX($A753:$BM753,,$BV$26)*$BW$26+
INDEX($A753:$BM753,,$BV$27)*$BW$27+
$BN753)),
$BN753-100)</f>
        <v>-100</v>
      </c>
      <c r="AX753" t="str">
        <f t="shared" si="153"/>
        <v/>
      </c>
      <c r="AY753" t="str">
        <f t="shared" si="149"/>
        <v/>
      </c>
      <c r="AZ753" s="430">
        <f>IFERROR(
IF(AX753="",-100,
IF($BV$2&gt;0, INDEX(Beersheet!$A:$U,MATCH(AX753,INDEX(Beersheet!$A:$U,0,FFARawStatProjections!$BV$2),0),$BV$3)+$BN753,
INDEX($A753:$BM753,,$BV$12)*$BW$12+
INDEX($A753:$BM753,,$BV$15)*$BW$15+
INDEX($A753:$BM753,,$BV$16)*$BW$16+
INDEX($A753:$BM753,,$BV$17)*$BW$17+
INDEX($A753:$BM753,,$BV$18)*$BW$18+
INDEX($A753:$BM753,,$BV$19)*$BW$19+
INDEX($A753:$BM753,,$BV$20)*$BW$20+
INDEX($A753:$BM753,,$BV$21)*$BW$21+
INDEX($A753:$BM753,,$BV$22)*$BW$22+
INDEX($A753:$BM753,,$BV$23)*$BW$23+
INDEX($A753:$BM753,,$BV$25)*$BW$25+
INDEX($A753:$BM753,,$BV$26)*$BW$26+
INDEX($A753:$BM753,,$BV$27)*$BW$27+
$BN753)),
$BN753-100)</f>
        <v>-100</v>
      </c>
      <c r="BB753">
        <f t="shared" si="154"/>
        <v>0</v>
      </c>
      <c r="BC753">
        <f t="shared" si="150"/>
        <v>0</v>
      </c>
      <c r="BD753" s="430">
        <f>IFERROR(
IF(BB753="",-100,
IF($BV$2&gt;0, INDEX(Beersheet!$A:$U,MATCH(BB753,INDEX(Beersheet!$A:$U,0,FFARawStatProjections!$BV$2),0),$BV$3)+$BN753,
INDEX($A753:$BM753,,$BV$12)*$BW$12+
INDEX($A753:$BM753,,$BV$15)*$BW$15+
INDEX($A753:$BM753,,$BV$16)*$BW$16+
INDEX($A753:$BM753,,$BV$17)*$BW$17+
INDEX($A753:$BM753,,$BV$18)*$BW$18+
INDEX($A753:$BM753,,$BV$19)*$BW$19+
INDEX($A753:$BM753,,$BV$20)*$BW$20+
INDEX($A753:$BM753,,$BV$21)*$BW$21+
INDEX($A753:$BM753,,$BV$22)*$BW$22+
INDEX($A753:$BM753,,$BV$23)*$BW$23+
INDEX($A753:$BM753,,$BV$25)*$BW$25+
INDEX($A753:$BM753,,$BV$26)*$BW$26+
INDEX($A753:$BM753,,$BV$27)*$BW$27+
$BN753)),
$BN753-100)</f>
        <v>7.5200000000000197E-3</v>
      </c>
      <c r="BF753" t="str">
        <f t="shared" si="155"/>
        <v/>
      </c>
      <c r="BG753" t="str">
        <f t="shared" si="151"/>
        <v/>
      </c>
      <c r="BH753">
        <f t="shared" si="156"/>
        <v>0</v>
      </c>
      <c r="BJ753" t="str">
        <f t="shared" si="157"/>
        <v/>
      </c>
      <c r="BL753">
        <f t="shared" si="158"/>
        <v>0</v>
      </c>
      <c r="BN753">
        <v>7.5200000000000197E-3</v>
      </c>
    </row>
    <row r="754" spans="1:66" ht="15.75" thickBot="1" x14ac:dyDescent="0.3">
      <c r="A754" s="569"/>
      <c r="B754" s="569"/>
      <c r="C754" s="569" t="s">
        <v>7</v>
      </c>
      <c r="D754" s="569"/>
      <c r="E754" s="569"/>
      <c r="F754" s="569"/>
      <c r="G754" s="569"/>
      <c r="H754" s="569"/>
      <c r="I754" s="574">
        <v>0</v>
      </c>
      <c r="J754" s="574">
        <v>0</v>
      </c>
      <c r="K754" s="574">
        <v>0</v>
      </c>
      <c r="L754" s="569"/>
      <c r="M754" s="569"/>
      <c r="N754" s="569"/>
      <c r="O754" s="574">
        <v>0</v>
      </c>
      <c r="P754" s="574">
        <v>0</v>
      </c>
      <c r="Q754" s="574">
        <v>0</v>
      </c>
      <c r="R754" s="569"/>
      <c r="S754" s="569"/>
      <c r="T754" s="569"/>
      <c r="U754" s="569"/>
      <c r="V754" s="569"/>
      <c r="W754" s="569"/>
      <c r="X754" s="569"/>
      <c r="Y754" s="569"/>
      <c r="Z754" s="569"/>
      <c r="AA754" s="569"/>
      <c r="AB754" s="569"/>
      <c r="AC754" s="569"/>
      <c r="AD754" s="569"/>
      <c r="AE754" s="569"/>
      <c r="AF754" s="569"/>
      <c r="AG754" s="569"/>
      <c r="AH754" s="569"/>
      <c r="AI754" s="569"/>
      <c r="AJ754" s="569"/>
      <c r="AK754" s="569"/>
      <c r="AL754" s="569"/>
      <c r="AM754" s="569"/>
      <c r="AN754" s="569"/>
      <c r="AO754">
        <v>753</v>
      </c>
      <c r="AP754" t="str">
        <f t="shared" si="146"/>
        <v/>
      </c>
      <c r="AQ754" t="str">
        <f t="shared" si="147"/>
        <v/>
      </c>
      <c r="AR754" s="430">
        <f>IFERROR(
IF(AP754="",-100,
IF($BV$2&gt;0, INDEX(Beersheet!$A:$U,MATCH(AP754,INDEX(Beersheet!$A:$U,0,FFARawStatProjections!$BV$2),0),$BV$3)+$BN754,
INDEX($A754:$BM754,,$BV$12)*$BW$12+
INDEX($A754:$BM754,,$BV$15)*$BW$15+
INDEX($A754:$BM754,,$BV$16)*$BW$16+
INDEX($A754:$BM754,,$BV$17)*$BW$17+
INDEX($A754:$BM754,,$BV$18)*$BW$18+
INDEX($A754:$BM754,,$BV$19)*$BW$19+
INDEX($A754:$BM754,,$BV$20)*$BW$20+
INDEX($A754:$BM754,,$BV$21)*$BW$21+
INDEX($A754:$BM754,,$BV$22)*$BW$22+
INDEX($A754:$BM754,,$BV$23)*$BW$23+
INDEX($A754:$BM754,,$BV$25)*$BW$25+
INDEX($A754:$BM754,,$BV$26)*$BW$26+
INDEX($A754:$BM754,,$BV$27)*$BW$27+
$BN754)),
$BN754-100)</f>
        <v>-100</v>
      </c>
      <c r="AT754" t="str">
        <f t="shared" si="152"/>
        <v/>
      </c>
      <c r="AU754" t="str">
        <f t="shared" si="148"/>
        <v/>
      </c>
      <c r="AV754" s="430">
        <f>IFERROR(
IF(AT754="",-100,
IF($BV$2&gt;0, INDEX(Beersheet!$A:$U,MATCH(AT754,INDEX(Beersheet!$A:$U,0,FFARawStatProjections!$BV$2),0),$BV$3)+$BN754,
INDEX($A754:$BM754,,$BV$12)*$BW$12+
INDEX($A754:$BM754,,$BV$15)*$BW$15+
INDEX($A754:$BM754,,$BV$16)*$BW$16+
INDEX($A754:$BM754,,$BV$17)*$BW$17+
INDEX($A754:$BM754,,$BV$18)*$BW$18+
INDEX($A754:$BM754,,$BV$19)*$BW$19+
INDEX($A754:$BM754,,$BV$20)*$BW$20+
INDEX($A754:$BM754,,$BV$21)*$BW$21+
INDEX($A754:$BM754,,$BV$22)*$BW$22+
INDEX($A754:$BM754,,$BV$23)*$BW$23+
INDEX($A754:$BM754,,$BV$25)*$BW$25+
INDEX($A754:$BM754,,$BV$26)*$BW$26+
INDEX($A754:$BM754,,$BV$27)*$BW$27+
$BN754)),
$BN754-100)</f>
        <v>-100</v>
      </c>
      <c r="AX754" t="str">
        <f t="shared" si="153"/>
        <v/>
      </c>
      <c r="AY754" t="str">
        <f t="shared" si="149"/>
        <v/>
      </c>
      <c r="AZ754" s="430">
        <f>IFERROR(
IF(AX754="",-100,
IF($BV$2&gt;0, INDEX(Beersheet!$A:$U,MATCH(AX754,INDEX(Beersheet!$A:$U,0,FFARawStatProjections!$BV$2),0),$BV$3)+$BN754,
INDEX($A754:$BM754,,$BV$12)*$BW$12+
INDEX($A754:$BM754,,$BV$15)*$BW$15+
INDEX($A754:$BM754,,$BV$16)*$BW$16+
INDEX($A754:$BM754,,$BV$17)*$BW$17+
INDEX($A754:$BM754,,$BV$18)*$BW$18+
INDEX($A754:$BM754,,$BV$19)*$BW$19+
INDEX($A754:$BM754,,$BV$20)*$BW$20+
INDEX($A754:$BM754,,$BV$21)*$BW$21+
INDEX($A754:$BM754,,$BV$22)*$BW$22+
INDEX($A754:$BM754,,$BV$23)*$BW$23+
INDEX($A754:$BM754,,$BV$25)*$BW$25+
INDEX($A754:$BM754,,$BV$26)*$BW$26+
INDEX($A754:$BM754,,$BV$27)*$BW$27+
$BN754)),
$BN754-100)</f>
        <v>-100</v>
      </c>
      <c r="BB754">
        <f t="shared" si="154"/>
        <v>0</v>
      </c>
      <c r="BC754">
        <f t="shared" si="150"/>
        <v>0</v>
      </c>
      <c r="BD754" s="430">
        <f>IFERROR(
IF(BB754="",-100,
IF($BV$2&gt;0, INDEX(Beersheet!$A:$U,MATCH(BB754,INDEX(Beersheet!$A:$U,0,FFARawStatProjections!$BV$2),0),$BV$3)+$BN754,
INDEX($A754:$BM754,,$BV$12)*$BW$12+
INDEX($A754:$BM754,,$BV$15)*$BW$15+
INDEX($A754:$BM754,,$BV$16)*$BW$16+
INDEX($A754:$BM754,,$BV$17)*$BW$17+
INDEX($A754:$BM754,,$BV$18)*$BW$18+
INDEX($A754:$BM754,,$BV$19)*$BW$19+
INDEX($A754:$BM754,,$BV$20)*$BW$20+
INDEX($A754:$BM754,,$BV$21)*$BW$21+
INDEX($A754:$BM754,,$BV$22)*$BW$22+
INDEX($A754:$BM754,,$BV$23)*$BW$23+
INDEX($A754:$BM754,,$BV$25)*$BW$25+
INDEX($A754:$BM754,,$BV$26)*$BW$26+
INDEX($A754:$BM754,,$BV$27)*$BW$27+
$BN754)),
$BN754-100)</f>
        <v>7.5300000000000297E-3</v>
      </c>
      <c r="BF754" t="str">
        <f t="shared" si="155"/>
        <v/>
      </c>
      <c r="BG754" t="str">
        <f t="shared" si="151"/>
        <v/>
      </c>
      <c r="BH754">
        <f t="shared" si="156"/>
        <v>0</v>
      </c>
      <c r="BJ754" t="str">
        <f t="shared" si="157"/>
        <v/>
      </c>
      <c r="BL754">
        <f t="shared" si="158"/>
        <v>0</v>
      </c>
      <c r="BN754">
        <v>7.5300000000000297E-3</v>
      </c>
    </row>
    <row r="755" spans="1:66" ht="15.75" thickBot="1" x14ac:dyDescent="0.3">
      <c r="A755" s="569"/>
      <c r="B755" s="569"/>
      <c r="C755" s="569" t="s">
        <v>7</v>
      </c>
      <c r="D755" s="569"/>
      <c r="E755" s="569"/>
      <c r="F755" s="569"/>
      <c r="G755" s="569"/>
      <c r="H755" s="569"/>
      <c r="I755" s="574">
        <v>0</v>
      </c>
      <c r="J755" s="574">
        <v>0</v>
      </c>
      <c r="K755" s="574">
        <v>0</v>
      </c>
      <c r="L755" s="569"/>
      <c r="M755" s="569"/>
      <c r="N755" s="569"/>
      <c r="O755" s="574">
        <v>0</v>
      </c>
      <c r="P755" s="574">
        <v>0</v>
      </c>
      <c r="Q755" s="574">
        <v>0</v>
      </c>
      <c r="R755" s="569"/>
      <c r="S755" s="569"/>
      <c r="T755" s="569"/>
      <c r="U755" s="569"/>
      <c r="V755" s="569"/>
      <c r="W755" s="569"/>
      <c r="X755" s="569"/>
      <c r="Y755" s="569"/>
      <c r="Z755" s="569"/>
      <c r="AA755" s="569"/>
      <c r="AB755" s="569"/>
      <c r="AC755" s="569"/>
      <c r="AD755" s="569"/>
      <c r="AE755" s="569"/>
      <c r="AF755" s="569"/>
      <c r="AG755" s="569"/>
      <c r="AH755" s="569"/>
      <c r="AI755" s="569"/>
      <c r="AJ755" s="569"/>
      <c r="AK755" s="569"/>
      <c r="AL755" s="569"/>
      <c r="AM755" s="569"/>
      <c r="AN755" s="569"/>
      <c r="AO755">
        <v>754</v>
      </c>
      <c r="AP755" t="str">
        <f t="shared" si="146"/>
        <v/>
      </c>
      <c r="AQ755" t="str">
        <f t="shared" si="147"/>
        <v/>
      </c>
      <c r="AR755" s="430">
        <f>IFERROR(
IF(AP755="",-100,
IF($BV$2&gt;0, INDEX(Beersheet!$A:$U,MATCH(AP755,INDEX(Beersheet!$A:$U,0,FFARawStatProjections!$BV$2),0),$BV$3)+$BN755,
INDEX($A755:$BM755,,$BV$12)*$BW$12+
INDEX($A755:$BM755,,$BV$15)*$BW$15+
INDEX($A755:$BM755,,$BV$16)*$BW$16+
INDEX($A755:$BM755,,$BV$17)*$BW$17+
INDEX($A755:$BM755,,$BV$18)*$BW$18+
INDEX($A755:$BM755,,$BV$19)*$BW$19+
INDEX($A755:$BM755,,$BV$20)*$BW$20+
INDEX($A755:$BM755,,$BV$21)*$BW$21+
INDEX($A755:$BM755,,$BV$22)*$BW$22+
INDEX($A755:$BM755,,$BV$23)*$BW$23+
INDEX($A755:$BM755,,$BV$25)*$BW$25+
INDEX($A755:$BM755,,$BV$26)*$BW$26+
INDEX($A755:$BM755,,$BV$27)*$BW$27+
$BN755)),
$BN755-100)</f>
        <v>-100</v>
      </c>
      <c r="AT755" t="str">
        <f t="shared" si="152"/>
        <v/>
      </c>
      <c r="AU755" t="str">
        <f t="shared" si="148"/>
        <v/>
      </c>
      <c r="AV755" s="430">
        <f>IFERROR(
IF(AT755="",-100,
IF($BV$2&gt;0, INDEX(Beersheet!$A:$U,MATCH(AT755,INDEX(Beersheet!$A:$U,0,FFARawStatProjections!$BV$2),0),$BV$3)+$BN755,
INDEX($A755:$BM755,,$BV$12)*$BW$12+
INDEX($A755:$BM755,,$BV$15)*$BW$15+
INDEX($A755:$BM755,,$BV$16)*$BW$16+
INDEX($A755:$BM755,,$BV$17)*$BW$17+
INDEX($A755:$BM755,,$BV$18)*$BW$18+
INDEX($A755:$BM755,,$BV$19)*$BW$19+
INDEX($A755:$BM755,,$BV$20)*$BW$20+
INDEX($A755:$BM755,,$BV$21)*$BW$21+
INDEX($A755:$BM755,,$BV$22)*$BW$22+
INDEX($A755:$BM755,,$BV$23)*$BW$23+
INDEX($A755:$BM755,,$BV$25)*$BW$25+
INDEX($A755:$BM755,,$BV$26)*$BW$26+
INDEX($A755:$BM755,,$BV$27)*$BW$27+
$BN755)),
$BN755-100)</f>
        <v>-100</v>
      </c>
      <c r="AX755" t="str">
        <f t="shared" si="153"/>
        <v/>
      </c>
      <c r="AY755" t="str">
        <f t="shared" si="149"/>
        <v/>
      </c>
      <c r="AZ755" s="430">
        <f>IFERROR(
IF(AX755="",-100,
IF($BV$2&gt;0, INDEX(Beersheet!$A:$U,MATCH(AX755,INDEX(Beersheet!$A:$U,0,FFARawStatProjections!$BV$2),0),$BV$3)+$BN755,
INDEX($A755:$BM755,,$BV$12)*$BW$12+
INDEX($A755:$BM755,,$BV$15)*$BW$15+
INDEX($A755:$BM755,,$BV$16)*$BW$16+
INDEX($A755:$BM755,,$BV$17)*$BW$17+
INDEX($A755:$BM755,,$BV$18)*$BW$18+
INDEX($A755:$BM755,,$BV$19)*$BW$19+
INDEX($A755:$BM755,,$BV$20)*$BW$20+
INDEX($A755:$BM755,,$BV$21)*$BW$21+
INDEX($A755:$BM755,,$BV$22)*$BW$22+
INDEX($A755:$BM755,,$BV$23)*$BW$23+
INDEX($A755:$BM755,,$BV$25)*$BW$25+
INDEX($A755:$BM755,,$BV$26)*$BW$26+
INDEX($A755:$BM755,,$BV$27)*$BW$27+
$BN755)),
$BN755-100)</f>
        <v>-100</v>
      </c>
      <c r="BB755">
        <f t="shared" si="154"/>
        <v>0</v>
      </c>
      <c r="BC755">
        <f t="shared" si="150"/>
        <v>0</v>
      </c>
      <c r="BD755" s="430">
        <f>IFERROR(
IF(BB755="",-100,
IF($BV$2&gt;0, INDEX(Beersheet!$A:$U,MATCH(BB755,INDEX(Beersheet!$A:$U,0,FFARawStatProjections!$BV$2),0),$BV$3)+$BN755,
INDEX($A755:$BM755,,$BV$12)*$BW$12+
INDEX($A755:$BM755,,$BV$15)*$BW$15+
INDEX($A755:$BM755,,$BV$16)*$BW$16+
INDEX($A755:$BM755,,$BV$17)*$BW$17+
INDEX($A755:$BM755,,$BV$18)*$BW$18+
INDEX($A755:$BM755,,$BV$19)*$BW$19+
INDEX($A755:$BM755,,$BV$20)*$BW$20+
INDEX($A755:$BM755,,$BV$21)*$BW$21+
INDEX($A755:$BM755,,$BV$22)*$BW$22+
INDEX($A755:$BM755,,$BV$23)*$BW$23+
INDEX($A755:$BM755,,$BV$25)*$BW$25+
INDEX($A755:$BM755,,$BV$26)*$BW$26+
INDEX($A755:$BM755,,$BV$27)*$BW$27+
$BN755)),
$BN755-100)</f>
        <v>7.5400000000000302E-3</v>
      </c>
      <c r="BF755" t="str">
        <f t="shared" si="155"/>
        <v/>
      </c>
      <c r="BG755" t="str">
        <f t="shared" si="151"/>
        <v/>
      </c>
      <c r="BH755">
        <f t="shared" si="156"/>
        <v>0</v>
      </c>
      <c r="BJ755" t="str">
        <f t="shared" si="157"/>
        <v/>
      </c>
      <c r="BL755">
        <f t="shared" si="158"/>
        <v>0</v>
      </c>
      <c r="BN755">
        <v>7.5400000000000302E-3</v>
      </c>
    </row>
    <row r="756" spans="1:66" ht="15.75" thickBot="1" x14ac:dyDescent="0.3">
      <c r="A756" s="569"/>
      <c r="B756" s="569"/>
      <c r="C756" s="569" t="s">
        <v>7</v>
      </c>
      <c r="D756" s="569"/>
      <c r="E756" s="569"/>
      <c r="F756" s="569"/>
      <c r="G756" s="569"/>
      <c r="H756" s="569"/>
      <c r="I756" s="574">
        <v>0</v>
      </c>
      <c r="J756" s="574">
        <v>0</v>
      </c>
      <c r="K756" s="574">
        <v>0</v>
      </c>
      <c r="L756" s="569"/>
      <c r="M756" s="569"/>
      <c r="N756" s="569"/>
      <c r="O756" s="574">
        <v>0</v>
      </c>
      <c r="P756" s="574">
        <v>0</v>
      </c>
      <c r="Q756" s="574">
        <v>0</v>
      </c>
      <c r="R756" s="569"/>
      <c r="S756" s="569"/>
      <c r="T756" s="569"/>
      <c r="U756" s="569"/>
      <c r="V756" s="569"/>
      <c r="W756" s="569"/>
      <c r="X756" s="569"/>
      <c r="Y756" s="569"/>
      <c r="Z756" s="569"/>
      <c r="AA756" s="569"/>
      <c r="AB756" s="569"/>
      <c r="AC756" s="569"/>
      <c r="AD756" s="569"/>
      <c r="AE756" s="569"/>
      <c r="AF756" s="569"/>
      <c r="AG756" s="569"/>
      <c r="AH756" s="569"/>
      <c r="AI756" s="569"/>
      <c r="AJ756" s="569"/>
      <c r="AK756" s="569"/>
      <c r="AL756" s="569"/>
      <c r="AM756" s="569"/>
      <c r="AN756" s="569"/>
      <c r="AO756">
        <v>755</v>
      </c>
      <c r="AP756" t="str">
        <f t="shared" si="146"/>
        <v/>
      </c>
      <c r="AQ756" t="str">
        <f t="shared" si="147"/>
        <v/>
      </c>
      <c r="AR756" s="430">
        <f>IFERROR(
IF(AP756="",-100,
IF($BV$2&gt;0, INDEX(Beersheet!$A:$U,MATCH(AP756,INDEX(Beersheet!$A:$U,0,FFARawStatProjections!$BV$2),0),$BV$3)+$BN756,
INDEX($A756:$BM756,,$BV$12)*$BW$12+
INDEX($A756:$BM756,,$BV$15)*$BW$15+
INDEX($A756:$BM756,,$BV$16)*$BW$16+
INDEX($A756:$BM756,,$BV$17)*$BW$17+
INDEX($A756:$BM756,,$BV$18)*$BW$18+
INDEX($A756:$BM756,,$BV$19)*$BW$19+
INDEX($A756:$BM756,,$BV$20)*$BW$20+
INDEX($A756:$BM756,,$BV$21)*$BW$21+
INDEX($A756:$BM756,,$BV$22)*$BW$22+
INDEX($A756:$BM756,,$BV$23)*$BW$23+
INDEX($A756:$BM756,,$BV$25)*$BW$25+
INDEX($A756:$BM756,,$BV$26)*$BW$26+
INDEX($A756:$BM756,,$BV$27)*$BW$27+
$BN756)),
$BN756-100)</f>
        <v>-100</v>
      </c>
      <c r="AT756" t="str">
        <f t="shared" si="152"/>
        <v/>
      </c>
      <c r="AU756" t="str">
        <f t="shared" si="148"/>
        <v/>
      </c>
      <c r="AV756" s="430">
        <f>IFERROR(
IF(AT756="",-100,
IF($BV$2&gt;0, INDEX(Beersheet!$A:$U,MATCH(AT756,INDEX(Beersheet!$A:$U,0,FFARawStatProjections!$BV$2),0),$BV$3)+$BN756,
INDEX($A756:$BM756,,$BV$12)*$BW$12+
INDEX($A756:$BM756,,$BV$15)*$BW$15+
INDEX($A756:$BM756,,$BV$16)*$BW$16+
INDEX($A756:$BM756,,$BV$17)*$BW$17+
INDEX($A756:$BM756,,$BV$18)*$BW$18+
INDEX($A756:$BM756,,$BV$19)*$BW$19+
INDEX($A756:$BM756,,$BV$20)*$BW$20+
INDEX($A756:$BM756,,$BV$21)*$BW$21+
INDEX($A756:$BM756,,$BV$22)*$BW$22+
INDEX($A756:$BM756,,$BV$23)*$BW$23+
INDEX($A756:$BM756,,$BV$25)*$BW$25+
INDEX($A756:$BM756,,$BV$26)*$BW$26+
INDEX($A756:$BM756,,$BV$27)*$BW$27+
$BN756)),
$BN756-100)</f>
        <v>-100</v>
      </c>
      <c r="AX756" t="str">
        <f t="shared" si="153"/>
        <v/>
      </c>
      <c r="AY756" t="str">
        <f t="shared" si="149"/>
        <v/>
      </c>
      <c r="AZ756" s="430">
        <f>IFERROR(
IF(AX756="",-100,
IF($BV$2&gt;0, INDEX(Beersheet!$A:$U,MATCH(AX756,INDEX(Beersheet!$A:$U,0,FFARawStatProjections!$BV$2),0),$BV$3)+$BN756,
INDEX($A756:$BM756,,$BV$12)*$BW$12+
INDEX($A756:$BM756,,$BV$15)*$BW$15+
INDEX($A756:$BM756,,$BV$16)*$BW$16+
INDEX($A756:$BM756,,$BV$17)*$BW$17+
INDEX($A756:$BM756,,$BV$18)*$BW$18+
INDEX($A756:$BM756,,$BV$19)*$BW$19+
INDEX($A756:$BM756,,$BV$20)*$BW$20+
INDEX($A756:$BM756,,$BV$21)*$BW$21+
INDEX($A756:$BM756,,$BV$22)*$BW$22+
INDEX($A756:$BM756,,$BV$23)*$BW$23+
INDEX($A756:$BM756,,$BV$25)*$BW$25+
INDEX($A756:$BM756,,$BV$26)*$BW$26+
INDEX($A756:$BM756,,$BV$27)*$BW$27+
$BN756)),
$BN756-100)</f>
        <v>-100</v>
      </c>
      <c r="BB756">
        <f t="shared" si="154"/>
        <v>0</v>
      </c>
      <c r="BC756">
        <f t="shared" si="150"/>
        <v>0</v>
      </c>
      <c r="BD756" s="430">
        <f>IFERROR(
IF(BB756="",-100,
IF($BV$2&gt;0, INDEX(Beersheet!$A:$U,MATCH(BB756,INDEX(Beersheet!$A:$U,0,FFARawStatProjections!$BV$2),0),$BV$3)+$BN756,
INDEX($A756:$BM756,,$BV$12)*$BW$12+
INDEX($A756:$BM756,,$BV$15)*$BW$15+
INDEX($A756:$BM756,,$BV$16)*$BW$16+
INDEX($A756:$BM756,,$BV$17)*$BW$17+
INDEX($A756:$BM756,,$BV$18)*$BW$18+
INDEX($A756:$BM756,,$BV$19)*$BW$19+
INDEX($A756:$BM756,,$BV$20)*$BW$20+
INDEX($A756:$BM756,,$BV$21)*$BW$21+
INDEX($A756:$BM756,,$BV$22)*$BW$22+
INDEX($A756:$BM756,,$BV$23)*$BW$23+
INDEX($A756:$BM756,,$BV$25)*$BW$25+
INDEX($A756:$BM756,,$BV$26)*$BW$26+
INDEX($A756:$BM756,,$BV$27)*$BW$27+
$BN756)),
$BN756-100)</f>
        <v>7.5500000000000298E-3</v>
      </c>
      <c r="BF756" t="str">
        <f t="shared" si="155"/>
        <v/>
      </c>
      <c r="BG756" t="str">
        <f t="shared" si="151"/>
        <v/>
      </c>
      <c r="BH756">
        <f t="shared" si="156"/>
        <v>0</v>
      </c>
      <c r="BJ756" t="str">
        <f t="shared" si="157"/>
        <v/>
      </c>
      <c r="BL756">
        <f t="shared" si="158"/>
        <v>0</v>
      </c>
      <c r="BN756">
        <v>7.5500000000000298E-3</v>
      </c>
    </row>
    <row r="757" spans="1:66" ht="15.75" thickBot="1" x14ac:dyDescent="0.3">
      <c r="A757" s="569"/>
      <c r="B757" s="569"/>
      <c r="C757" s="569" t="s">
        <v>7</v>
      </c>
      <c r="D757" s="569"/>
      <c r="E757" s="569"/>
      <c r="F757" s="569"/>
      <c r="G757" s="569"/>
      <c r="H757" s="569"/>
      <c r="I757" s="574">
        <v>0</v>
      </c>
      <c r="J757" s="574">
        <v>0</v>
      </c>
      <c r="K757" s="574">
        <v>0</v>
      </c>
      <c r="L757" s="569"/>
      <c r="M757" s="569"/>
      <c r="N757" s="569"/>
      <c r="O757" s="574">
        <v>0</v>
      </c>
      <c r="P757" s="574">
        <v>0</v>
      </c>
      <c r="Q757" s="574">
        <v>0</v>
      </c>
      <c r="R757" s="569"/>
      <c r="S757" s="569"/>
      <c r="T757" s="569"/>
      <c r="U757" s="569"/>
      <c r="V757" s="569"/>
      <c r="W757" s="569"/>
      <c r="X757" s="569"/>
      <c r="Y757" s="569"/>
      <c r="Z757" s="569"/>
      <c r="AA757" s="569"/>
      <c r="AB757" s="569"/>
      <c r="AC757" s="569"/>
      <c r="AD757" s="569"/>
      <c r="AE757" s="569"/>
      <c r="AF757" s="569"/>
      <c r="AG757" s="569"/>
      <c r="AH757" s="569"/>
      <c r="AI757" s="569"/>
      <c r="AJ757" s="569"/>
      <c r="AK757" s="569"/>
      <c r="AL757" s="569"/>
      <c r="AM757" s="569"/>
      <c r="AN757" s="569"/>
      <c r="AO757">
        <v>756</v>
      </c>
      <c r="AP757" t="str">
        <f t="shared" si="146"/>
        <v/>
      </c>
      <c r="AQ757" t="str">
        <f t="shared" si="147"/>
        <v/>
      </c>
      <c r="AR757" s="430">
        <f>IFERROR(
IF(AP757="",-100,
IF($BV$2&gt;0, INDEX(Beersheet!$A:$U,MATCH(AP757,INDEX(Beersheet!$A:$U,0,FFARawStatProjections!$BV$2),0),$BV$3)+$BN757,
INDEX($A757:$BM757,,$BV$12)*$BW$12+
INDEX($A757:$BM757,,$BV$15)*$BW$15+
INDEX($A757:$BM757,,$BV$16)*$BW$16+
INDEX($A757:$BM757,,$BV$17)*$BW$17+
INDEX($A757:$BM757,,$BV$18)*$BW$18+
INDEX($A757:$BM757,,$BV$19)*$BW$19+
INDEX($A757:$BM757,,$BV$20)*$BW$20+
INDEX($A757:$BM757,,$BV$21)*$BW$21+
INDEX($A757:$BM757,,$BV$22)*$BW$22+
INDEX($A757:$BM757,,$BV$23)*$BW$23+
INDEX($A757:$BM757,,$BV$25)*$BW$25+
INDEX($A757:$BM757,,$BV$26)*$BW$26+
INDEX($A757:$BM757,,$BV$27)*$BW$27+
$BN757)),
$BN757-100)</f>
        <v>-100</v>
      </c>
      <c r="AT757" t="str">
        <f t="shared" si="152"/>
        <v/>
      </c>
      <c r="AU757" t="str">
        <f t="shared" si="148"/>
        <v/>
      </c>
      <c r="AV757" s="430">
        <f>IFERROR(
IF(AT757="",-100,
IF($BV$2&gt;0, INDEX(Beersheet!$A:$U,MATCH(AT757,INDEX(Beersheet!$A:$U,0,FFARawStatProjections!$BV$2),0),$BV$3)+$BN757,
INDEX($A757:$BM757,,$BV$12)*$BW$12+
INDEX($A757:$BM757,,$BV$15)*$BW$15+
INDEX($A757:$BM757,,$BV$16)*$BW$16+
INDEX($A757:$BM757,,$BV$17)*$BW$17+
INDEX($A757:$BM757,,$BV$18)*$BW$18+
INDEX($A757:$BM757,,$BV$19)*$BW$19+
INDEX($A757:$BM757,,$BV$20)*$BW$20+
INDEX($A757:$BM757,,$BV$21)*$BW$21+
INDEX($A757:$BM757,,$BV$22)*$BW$22+
INDEX($A757:$BM757,,$BV$23)*$BW$23+
INDEX($A757:$BM757,,$BV$25)*$BW$25+
INDEX($A757:$BM757,,$BV$26)*$BW$26+
INDEX($A757:$BM757,,$BV$27)*$BW$27+
$BN757)),
$BN757-100)</f>
        <v>-100</v>
      </c>
      <c r="AX757" t="str">
        <f t="shared" si="153"/>
        <v/>
      </c>
      <c r="AY757" t="str">
        <f t="shared" si="149"/>
        <v/>
      </c>
      <c r="AZ757" s="430">
        <f>IFERROR(
IF(AX757="",-100,
IF($BV$2&gt;0, INDEX(Beersheet!$A:$U,MATCH(AX757,INDEX(Beersheet!$A:$U,0,FFARawStatProjections!$BV$2),0),$BV$3)+$BN757,
INDEX($A757:$BM757,,$BV$12)*$BW$12+
INDEX($A757:$BM757,,$BV$15)*$BW$15+
INDEX($A757:$BM757,,$BV$16)*$BW$16+
INDEX($A757:$BM757,,$BV$17)*$BW$17+
INDEX($A757:$BM757,,$BV$18)*$BW$18+
INDEX($A757:$BM757,,$BV$19)*$BW$19+
INDEX($A757:$BM757,,$BV$20)*$BW$20+
INDEX($A757:$BM757,,$BV$21)*$BW$21+
INDEX($A757:$BM757,,$BV$22)*$BW$22+
INDEX($A757:$BM757,,$BV$23)*$BW$23+
INDEX($A757:$BM757,,$BV$25)*$BW$25+
INDEX($A757:$BM757,,$BV$26)*$BW$26+
INDEX($A757:$BM757,,$BV$27)*$BW$27+
$BN757)),
$BN757-100)</f>
        <v>-100</v>
      </c>
      <c r="BB757">
        <f t="shared" si="154"/>
        <v>0</v>
      </c>
      <c r="BC757">
        <f t="shared" si="150"/>
        <v>0</v>
      </c>
      <c r="BD757" s="430">
        <f>IFERROR(
IF(BB757="",-100,
IF($BV$2&gt;0, INDEX(Beersheet!$A:$U,MATCH(BB757,INDEX(Beersheet!$A:$U,0,FFARawStatProjections!$BV$2),0),$BV$3)+$BN757,
INDEX($A757:$BM757,,$BV$12)*$BW$12+
INDEX($A757:$BM757,,$BV$15)*$BW$15+
INDEX($A757:$BM757,,$BV$16)*$BW$16+
INDEX($A757:$BM757,,$BV$17)*$BW$17+
INDEX($A757:$BM757,,$BV$18)*$BW$18+
INDEX($A757:$BM757,,$BV$19)*$BW$19+
INDEX($A757:$BM757,,$BV$20)*$BW$20+
INDEX($A757:$BM757,,$BV$21)*$BW$21+
INDEX($A757:$BM757,,$BV$22)*$BW$22+
INDEX($A757:$BM757,,$BV$23)*$BW$23+
INDEX($A757:$BM757,,$BV$25)*$BW$25+
INDEX($A757:$BM757,,$BV$26)*$BW$26+
INDEX($A757:$BM757,,$BV$27)*$BW$27+
$BN757)),
$BN757-100)</f>
        <v>7.5600000000000302E-3</v>
      </c>
      <c r="BF757" t="str">
        <f t="shared" si="155"/>
        <v/>
      </c>
      <c r="BG757" t="str">
        <f t="shared" si="151"/>
        <v/>
      </c>
      <c r="BH757">
        <f t="shared" si="156"/>
        <v>0</v>
      </c>
      <c r="BJ757" t="str">
        <f t="shared" si="157"/>
        <v/>
      </c>
      <c r="BL757">
        <f t="shared" si="158"/>
        <v>0</v>
      </c>
      <c r="BN757">
        <v>7.5600000000000302E-3</v>
      </c>
    </row>
    <row r="758" spans="1:66" ht="15.75" thickBot="1" x14ac:dyDescent="0.3">
      <c r="A758" s="569"/>
      <c r="B758" s="569"/>
      <c r="C758" s="569" t="s">
        <v>7</v>
      </c>
      <c r="D758" s="569"/>
      <c r="E758" s="569"/>
      <c r="F758" s="569"/>
      <c r="G758" s="569"/>
      <c r="H758" s="569"/>
      <c r="I758" s="574">
        <v>0</v>
      </c>
      <c r="J758" s="574">
        <v>0</v>
      </c>
      <c r="K758" s="574">
        <v>0</v>
      </c>
      <c r="L758" s="569"/>
      <c r="M758" s="569"/>
      <c r="N758" s="569"/>
      <c r="O758" s="574">
        <v>0</v>
      </c>
      <c r="P758" s="574">
        <v>0</v>
      </c>
      <c r="Q758" s="574">
        <v>0</v>
      </c>
      <c r="R758" s="569"/>
      <c r="S758" s="569"/>
      <c r="T758" s="569"/>
      <c r="U758" s="569"/>
      <c r="V758" s="569"/>
      <c r="W758" s="569"/>
      <c r="X758" s="569"/>
      <c r="Y758" s="569"/>
      <c r="Z758" s="569"/>
      <c r="AA758" s="569"/>
      <c r="AB758" s="569"/>
      <c r="AC758" s="569"/>
      <c r="AD758" s="569"/>
      <c r="AE758" s="569"/>
      <c r="AF758" s="569"/>
      <c r="AG758" s="569"/>
      <c r="AH758" s="569"/>
      <c r="AI758" s="569"/>
      <c r="AJ758" s="569"/>
      <c r="AK758" s="569"/>
      <c r="AL758" s="569"/>
      <c r="AM758" s="569"/>
      <c r="AN758" s="569"/>
      <c r="AO758">
        <v>757</v>
      </c>
      <c r="AP758" t="str">
        <f t="shared" si="146"/>
        <v/>
      </c>
      <c r="AQ758" t="str">
        <f t="shared" si="147"/>
        <v/>
      </c>
      <c r="AR758" s="430">
        <f>IFERROR(
IF(AP758="",-100,
IF($BV$2&gt;0, INDEX(Beersheet!$A:$U,MATCH(AP758,INDEX(Beersheet!$A:$U,0,FFARawStatProjections!$BV$2),0),$BV$3)+$BN758,
INDEX($A758:$BM758,,$BV$12)*$BW$12+
INDEX($A758:$BM758,,$BV$15)*$BW$15+
INDEX($A758:$BM758,,$BV$16)*$BW$16+
INDEX($A758:$BM758,,$BV$17)*$BW$17+
INDEX($A758:$BM758,,$BV$18)*$BW$18+
INDEX($A758:$BM758,,$BV$19)*$BW$19+
INDEX($A758:$BM758,,$BV$20)*$BW$20+
INDEX($A758:$BM758,,$BV$21)*$BW$21+
INDEX($A758:$BM758,,$BV$22)*$BW$22+
INDEX($A758:$BM758,,$BV$23)*$BW$23+
INDEX($A758:$BM758,,$BV$25)*$BW$25+
INDEX($A758:$BM758,,$BV$26)*$BW$26+
INDEX($A758:$BM758,,$BV$27)*$BW$27+
$BN758)),
$BN758-100)</f>
        <v>-100</v>
      </c>
      <c r="AT758" t="str">
        <f t="shared" si="152"/>
        <v/>
      </c>
      <c r="AU758" t="str">
        <f t="shared" si="148"/>
        <v/>
      </c>
      <c r="AV758" s="430">
        <f>IFERROR(
IF(AT758="",-100,
IF($BV$2&gt;0, INDEX(Beersheet!$A:$U,MATCH(AT758,INDEX(Beersheet!$A:$U,0,FFARawStatProjections!$BV$2),0),$BV$3)+$BN758,
INDEX($A758:$BM758,,$BV$12)*$BW$12+
INDEX($A758:$BM758,,$BV$15)*$BW$15+
INDEX($A758:$BM758,,$BV$16)*$BW$16+
INDEX($A758:$BM758,,$BV$17)*$BW$17+
INDEX($A758:$BM758,,$BV$18)*$BW$18+
INDEX($A758:$BM758,,$BV$19)*$BW$19+
INDEX($A758:$BM758,,$BV$20)*$BW$20+
INDEX($A758:$BM758,,$BV$21)*$BW$21+
INDEX($A758:$BM758,,$BV$22)*$BW$22+
INDEX($A758:$BM758,,$BV$23)*$BW$23+
INDEX($A758:$BM758,,$BV$25)*$BW$25+
INDEX($A758:$BM758,,$BV$26)*$BW$26+
INDEX($A758:$BM758,,$BV$27)*$BW$27+
$BN758)),
$BN758-100)</f>
        <v>-100</v>
      </c>
      <c r="AX758" t="str">
        <f t="shared" si="153"/>
        <v/>
      </c>
      <c r="AY758" t="str">
        <f t="shared" si="149"/>
        <v/>
      </c>
      <c r="AZ758" s="430">
        <f>IFERROR(
IF(AX758="",-100,
IF($BV$2&gt;0, INDEX(Beersheet!$A:$U,MATCH(AX758,INDEX(Beersheet!$A:$U,0,FFARawStatProjections!$BV$2),0),$BV$3)+$BN758,
INDEX($A758:$BM758,,$BV$12)*$BW$12+
INDEX($A758:$BM758,,$BV$15)*$BW$15+
INDEX($A758:$BM758,,$BV$16)*$BW$16+
INDEX($A758:$BM758,,$BV$17)*$BW$17+
INDEX($A758:$BM758,,$BV$18)*$BW$18+
INDEX($A758:$BM758,,$BV$19)*$BW$19+
INDEX($A758:$BM758,,$BV$20)*$BW$20+
INDEX($A758:$BM758,,$BV$21)*$BW$21+
INDEX($A758:$BM758,,$BV$22)*$BW$22+
INDEX($A758:$BM758,,$BV$23)*$BW$23+
INDEX($A758:$BM758,,$BV$25)*$BW$25+
INDEX($A758:$BM758,,$BV$26)*$BW$26+
INDEX($A758:$BM758,,$BV$27)*$BW$27+
$BN758)),
$BN758-100)</f>
        <v>-100</v>
      </c>
      <c r="BB758">
        <f t="shared" si="154"/>
        <v>0</v>
      </c>
      <c r="BC758">
        <f t="shared" si="150"/>
        <v>0</v>
      </c>
      <c r="BD758" s="430">
        <f>IFERROR(
IF(BB758="",-100,
IF($BV$2&gt;0, INDEX(Beersheet!$A:$U,MATCH(BB758,INDEX(Beersheet!$A:$U,0,FFARawStatProjections!$BV$2),0),$BV$3)+$BN758,
INDEX($A758:$BM758,,$BV$12)*$BW$12+
INDEX($A758:$BM758,,$BV$15)*$BW$15+
INDEX($A758:$BM758,,$BV$16)*$BW$16+
INDEX($A758:$BM758,,$BV$17)*$BW$17+
INDEX($A758:$BM758,,$BV$18)*$BW$18+
INDEX($A758:$BM758,,$BV$19)*$BW$19+
INDEX($A758:$BM758,,$BV$20)*$BW$20+
INDEX($A758:$BM758,,$BV$21)*$BW$21+
INDEX($A758:$BM758,,$BV$22)*$BW$22+
INDEX($A758:$BM758,,$BV$23)*$BW$23+
INDEX($A758:$BM758,,$BV$25)*$BW$25+
INDEX($A758:$BM758,,$BV$26)*$BW$26+
INDEX($A758:$BM758,,$BV$27)*$BW$27+
$BN758)),
$BN758-100)</f>
        <v>7.5700000000000298E-3</v>
      </c>
      <c r="BF758" t="str">
        <f t="shared" si="155"/>
        <v/>
      </c>
      <c r="BG758" t="str">
        <f t="shared" si="151"/>
        <v/>
      </c>
      <c r="BH758">
        <f t="shared" si="156"/>
        <v>0</v>
      </c>
      <c r="BJ758" t="str">
        <f t="shared" si="157"/>
        <v/>
      </c>
      <c r="BL758">
        <f t="shared" si="158"/>
        <v>0</v>
      </c>
      <c r="BN758">
        <v>7.5700000000000298E-3</v>
      </c>
    </row>
    <row r="759" spans="1:66" ht="15.75" thickBot="1" x14ac:dyDescent="0.3">
      <c r="A759" s="569"/>
      <c r="B759" s="569"/>
      <c r="C759" s="569" t="s">
        <v>7</v>
      </c>
      <c r="D759" s="569"/>
      <c r="E759" s="569"/>
      <c r="F759" s="569"/>
      <c r="G759" s="569"/>
      <c r="H759" s="569"/>
      <c r="I759" s="574">
        <v>0</v>
      </c>
      <c r="J759" s="574">
        <v>0</v>
      </c>
      <c r="K759" s="574">
        <v>0</v>
      </c>
      <c r="L759" s="569"/>
      <c r="M759" s="569"/>
      <c r="N759" s="569"/>
      <c r="O759" s="574">
        <v>0</v>
      </c>
      <c r="P759" s="574">
        <v>0</v>
      </c>
      <c r="Q759" s="574">
        <v>0</v>
      </c>
      <c r="R759" s="569"/>
      <c r="S759" s="569"/>
      <c r="T759" s="569"/>
      <c r="U759" s="569"/>
      <c r="V759" s="569"/>
      <c r="W759" s="569"/>
      <c r="X759" s="569"/>
      <c r="Y759" s="569"/>
      <c r="Z759" s="569"/>
      <c r="AA759" s="569"/>
      <c r="AB759" s="569"/>
      <c r="AC759" s="569"/>
      <c r="AD759" s="569"/>
      <c r="AE759" s="569"/>
      <c r="AF759" s="569"/>
      <c r="AG759" s="569"/>
      <c r="AH759" s="569"/>
      <c r="AI759" s="569"/>
      <c r="AJ759" s="569"/>
      <c r="AK759" s="569"/>
      <c r="AL759" s="569"/>
      <c r="AM759" s="569"/>
      <c r="AN759" s="569"/>
      <c r="AO759">
        <v>758</v>
      </c>
      <c r="AP759" t="str">
        <f t="shared" si="146"/>
        <v/>
      </c>
      <c r="AQ759" t="str">
        <f t="shared" si="147"/>
        <v/>
      </c>
      <c r="AR759" s="430">
        <f>IFERROR(
IF(AP759="",-100,
IF($BV$2&gt;0, INDEX(Beersheet!$A:$U,MATCH(AP759,INDEX(Beersheet!$A:$U,0,FFARawStatProjections!$BV$2),0),$BV$3)+$BN759,
INDEX($A759:$BM759,,$BV$12)*$BW$12+
INDEX($A759:$BM759,,$BV$15)*$BW$15+
INDEX($A759:$BM759,,$BV$16)*$BW$16+
INDEX($A759:$BM759,,$BV$17)*$BW$17+
INDEX($A759:$BM759,,$BV$18)*$BW$18+
INDEX($A759:$BM759,,$BV$19)*$BW$19+
INDEX($A759:$BM759,,$BV$20)*$BW$20+
INDEX($A759:$BM759,,$BV$21)*$BW$21+
INDEX($A759:$BM759,,$BV$22)*$BW$22+
INDEX($A759:$BM759,,$BV$23)*$BW$23+
INDEX($A759:$BM759,,$BV$25)*$BW$25+
INDEX($A759:$BM759,,$BV$26)*$BW$26+
INDEX($A759:$BM759,,$BV$27)*$BW$27+
$BN759)),
$BN759-100)</f>
        <v>-100</v>
      </c>
      <c r="AT759" t="str">
        <f t="shared" si="152"/>
        <v/>
      </c>
      <c r="AU759" t="str">
        <f t="shared" si="148"/>
        <v/>
      </c>
      <c r="AV759" s="430">
        <f>IFERROR(
IF(AT759="",-100,
IF($BV$2&gt;0, INDEX(Beersheet!$A:$U,MATCH(AT759,INDEX(Beersheet!$A:$U,0,FFARawStatProjections!$BV$2),0),$BV$3)+$BN759,
INDEX($A759:$BM759,,$BV$12)*$BW$12+
INDEX($A759:$BM759,,$BV$15)*$BW$15+
INDEX($A759:$BM759,,$BV$16)*$BW$16+
INDEX($A759:$BM759,,$BV$17)*$BW$17+
INDEX($A759:$BM759,,$BV$18)*$BW$18+
INDEX($A759:$BM759,,$BV$19)*$BW$19+
INDEX($A759:$BM759,,$BV$20)*$BW$20+
INDEX($A759:$BM759,,$BV$21)*$BW$21+
INDEX($A759:$BM759,,$BV$22)*$BW$22+
INDEX($A759:$BM759,,$BV$23)*$BW$23+
INDEX($A759:$BM759,,$BV$25)*$BW$25+
INDEX($A759:$BM759,,$BV$26)*$BW$26+
INDEX($A759:$BM759,,$BV$27)*$BW$27+
$BN759)),
$BN759-100)</f>
        <v>-100</v>
      </c>
      <c r="AX759" t="str">
        <f t="shared" si="153"/>
        <v/>
      </c>
      <c r="AY759" t="str">
        <f t="shared" si="149"/>
        <v/>
      </c>
      <c r="AZ759" s="430">
        <f>IFERROR(
IF(AX759="",-100,
IF($BV$2&gt;0, INDEX(Beersheet!$A:$U,MATCH(AX759,INDEX(Beersheet!$A:$U,0,FFARawStatProjections!$BV$2),0),$BV$3)+$BN759,
INDEX($A759:$BM759,,$BV$12)*$BW$12+
INDEX($A759:$BM759,,$BV$15)*$BW$15+
INDEX($A759:$BM759,,$BV$16)*$BW$16+
INDEX($A759:$BM759,,$BV$17)*$BW$17+
INDEX($A759:$BM759,,$BV$18)*$BW$18+
INDEX($A759:$BM759,,$BV$19)*$BW$19+
INDEX($A759:$BM759,,$BV$20)*$BW$20+
INDEX($A759:$BM759,,$BV$21)*$BW$21+
INDEX($A759:$BM759,,$BV$22)*$BW$22+
INDEX($A759:$BM759,,$BV$23)*$BW$23+
INDEX($A759:$BM759,,$BV$25)*$BW$25+
INDEX($A759:$BM759,,$BV$26)*$BW$26+
INDEX($A759:$BM759,,$BV$27)*$BW$27+
$BN759)),
$BN759-100)</f>
        <v>-100</v>
      </c>
      <c r="BB759">
        <f t="shared" si="154"/>
        <v>0</v>
      </c>
      <c r="BC759">
        <f t="shared" si="150"/>
        <v>0</v>
      </c>
      <c r="BD759" s="430">
        <f>IFERROR(
IF(BB759="",-100,
IF($BV$2&gt;0, INDEX(Beersheet!$A:$U,MATCH(BB759,INDEX(Beersheet!$A:$U,0,FFARawStatProjections!$BV$2),0),$BV$3)+$BN759,
INDEX($A759:$BM759,,$BV$12)*$BW$12+
INDEX($A759:$BM759,,$BV$15)*$BW$15+
INDEX($A759:$BM759,,$BV$16)*$BW$16+
INDEX($A759:$BM759,,$BV$17)*$BW$17+
INDEX($A759:$BM759,,$BV$18)*$BW$18+
INDEX($A759:$BM759,,$BV$19)*$BW$19+
INDEX($A759:$BM759,,$BV$20)*$BW$20+
INDEX($A759:$BM759,,$BV$21)*$BW$21+
INDEX($A759:$BM759,,$BV$22)*$BW$22+
INDEX($A759:$BM759,,$BV$23)*$BW$23+
INDEX($A759:$BM759,,$BV$25)*$BW$25+
INDEX($A759:$BM759,,$BV$26)*$BW$26+
INDEX($A759:$BM759,,$BV$27)*$BW$27+
$BN759)),
$BN759-100)</f>
        <v>7.5800000000000303E-3</v>
      </c>
      <c r="BF759" t="str">
        <f t="shared" si="155"/>
        <v/>
      </c>
      <c r="BG759" t="str">
        <f t="shared" si="151"/>
        <v/>
      </c>
      <c r="BH759">
        <f t="shared" si="156"/>
        <v>0</v>
      </c>
      <c r="BJ759" t="str">
        <f t="shared" si="157"/>
        <v/>
      </c>
      <c r="BL759">
        <f t="shared" si="158"/>
        <v>0</v>
      </c>
      <c r="BN759">
        <v>7.5800000000000303E-3</v>
      </c>
    </row>
    <row r="760" spans="1:66" ht="15.75" thickBot="1" x14ac:dyDescent="0.3">
      <c r="A760" s="569"/>
      <c r="B760" s="569"/>
      <c r="C760" s="569" t="s">
        <v>7</v>
      </c>
      <c r="D760" s="569"/>
      <c r="E760" s="569"/>
      <c r="F760" s="569"/>
      <c r="G760" s="569"/>
      <c r="H760" s="569"/>
      <c r="I760" s="574">
        <v>0</v>
      </c>
      <c r="J760" s="574">
        <v>0</v>
      </c>
      <c r="K760" s="574">
        <v>0</v>
      </c>
      <c r="L760" s="569"/>
      <c r="M760" s="569"/>
      <c r="N760" s="569"/>
      <c r="O760" s="574">
        <v>0</v>
      </c>
      <c r="P760" s="574">
        <v>0</v>
      </c>
      <c r="Q760" s="574">
        <v>0</v>
      </c>
      <c r="R760" s="569"/>
      <c r="S760" s="569"/>
      <c r="T760" s="569"/>
      <c r="U760" s="569"/>
      <c r="V760" s="569"/>
      <c r="W760" s="569"/>
      <c r="X760" s="569"/>
      <c r="Y760" s="569"/>
      <c r="Z760" s="569"/>
      <c r="AA760" s="569"/>
      <c r="AB760" s="569"/>
      <c r="AC760" s="569"/>
      <c r="AD760" s="569"/>
      <c r="AE760" s="569"/>
      <c r="AF760" s="569"/>
      <c r="AG760" s="569"/>
      <c r="AH760" s="569"/>
      <c r="AI760" s="569"/>
      <c r="AJ760" s="569"/>
      <c r="AK760" s="569"/>
      <c r="AL760" s="569"/>
      <c r="AM760" s="569"/>
      <c r="AN760" s="569"/>
      <c r="AO760">
        <v>759</v>
      </c>
      <c r="AP760" t="str">
        <f t="shared" si="146"/>
        <v/>
      </c>
      <c r="AQ760" t="str">
        <f t="shared" si="147"/>
        <v/>
      </c>
      <c r="AR760" s="430">
        <f>IFERROR(
IF(AP760="",-100,
IF($BV$2&gt;0, INDEX(Beersheet!$A:$U,MATCH(AP760,INDEX(Beersheet!$A:$U,0,FFARawStatProjections!$BV$2),0),$BV$3)+$BN760,
INDEX($A760:$BM760,,$BV$12)*$BW$12+
INDEX($A760:$BM760,,$BV$15)*$BW$15+
INDEX($A760:$BM760,,$BV$16)*$BW$16+
INDEX($A760:$BM760,,$BV$17)*$BW$17+
INDEX($A760:$BM760,,$BV$18)*$BW$18+
INDEX($A760:$BM760,,$BV$19)*$BW$19+
INDEX($A760:$BM760,,$BV$20)*$BW$20+
INDEX($A760:$BM760,,$BV$21)*$BW$21+
INDEX($A760:$BM760,,$BV$22)*$BW$22+
INDEX($A760:$BM760,,$BV$23)*$BW$23+
INDEX($A760:$BM760,,$BV$25)*$BW$25+
INDEX($A760:$BM760,,$BV$26)*$BW$26+
INDEX($A760:$BM760,,$BV$27)*$BW$27+
$BN760)),
$BN760-100)</f>
        <v>-100</v>
      </c>
      <c r="AT760" t="str">
        <f t="shared" si="152"/>
        <v/>
      </c>
      <c r="AU760" t="str">
        <f t="shared" si="148"/>
        <v/>
      </c>
      <c r="AV760" s="430">
        <f>IFERROR(
IF(AT760="",-100,
IF($BV$2&gt;0, INDEX(Beersheet!$A:$U,MATCH(AT760,INDEX(Beersheet!$A:$U,0,FFARawStatProjections!$BV$2),0),$BV$3)+$BN760,
INDEX($A760:$BM760,,$BV$12)*$BW$12+
INDEX($A760:$BM760,,$BV$15)*$BW$15+
INDEX($A760:$BM760,,$BV$16)*$BW$16+
INDEX($A760:$BM760,,$BV$17)*$BW$17+
INDEX($A760:$BM760,,$BV$18)*$BW$18+
INDEX($A760:$BM760,,$BV$19)*$BW$19+
INDEX($A760:$BM760,,$BV$20)*$BW$20+
INDEX($A760:$BM760,,$BV$21)*$BW$21+
INDEX($A760:$BM760,,$BV$22)*$BW$22+
INDEX($A760:$BM760,,$BV$23)*$BW$23+
INDEX($A760:$BM760,,$BV$25)*$BW$25+
INDEX($A760:$BM760,,$BV$26)*$BW$26+
INDEX($A760:$BM760,,$BV$27)*$BW$27+
$BN760)),
$BN760-100)</f>
        <v>-100</v>
      </c>
      <c r="AX760" t="str">
        <f t="shared" si="153"/>
        <v/>
      </c>
      <c r="AY760" t="str">
        <f t="shared" si="149"/>
        <v/>
      </c>
      <c r="AZ760" s="430">
        <f>IFERROR(
IF(AX760="",-100,
IF($BV$2&gt;0, INDEX(Beersheet!$A:$U,MATCH(AX760,INDEX(Beersheet!$A:$U,0,FFARawStatProjections!$BV$2),0),$BV$3)+$BN760,
INDEX($A760:$BM760,,$BV$12)*$BW$12+
INDEX($A760:$BM760,,$BV$15)*$BW$15+
INDEX($A760:$BM760,,$BV$16)*$BW$16+
INDEX($A760:$BM760,,$BV$17)*$BW$17+
INDEX($A760:$BM760,,$BV$18)*$BW$18+
INDEX($A760:$BM760,,$BV$19)*$BW$19+
INDEX($A760:$BM760,,$BV$20)*$BW$20+
INDEX($A760:$BM760,,$BV$21)*$BW$21+
INDEX($A760:$BM760,,$BV$22)*$BW$22+
INDEX($A760:$BM760,,$BV$23)*$BW$23+
INDEX($A760:$BM760,,$BV$25)*$BW$25+
INDEX($A760:$BM760,,$BV$26)*$BW$26+
INDEX($A760:$BM760,,$BV$27)*$BW$27+
$BN760)),
$BN760-100)</f>
        <v>-100</v>
      </c>
      <c r="BB760">
        <f t="shared" si="154"/>
        <v>0</v>
      </c>
      <c r="BC760">
        <f t="shared" si="150"/>
        <v>0</v>
      </c>
      <c r="BD760" s="430">
        <f>IFERROR(
IF(BB760="",-100,
IF($BV$2&gt;0, INDEX(Beersheet!$A:$U,MATCH(BB760,INDEX(Beersheet!$A:$U,0,FFARawStatProjections!$BV$2),0),$BV$3)+$BN760,
INDEX($A760:$BM760,,$BV$12)*$BW$12+
INDEX($A760:$BM760,,$BV$15)*$BW$15+
INDEX($A760:$BM760,,$BV$16)*$BW$16+
INDEX($A760:$BM760,,$BV$17)*$BW$17+
INDEX($A760:$BM760,,$BV$18)*$BW$18+
INDEX($A760:$BM760,,$BV$19)*$BW$19+
INDEX($A760:$BM760,,$BV$20)*$BW$20+
INDEX($A760:$BM760,,$BV$21)*$BW$21+
INDEX($A760:$BM760,,$BV$22)*$BW$22+
INDEX($A760:$BM760,,$BV$23)*$BW$23+
INDEX($A760:$BM760,,$BV$25)*$BW$25+
INDEX($A760:$BM760,,$BV$26)*$BW$26+
INDEX($A760:$BM760,,$BV$27)*$BW$27+
$BN760)),
$BN760-100)</f>
        <v>7.5900000000000299E-3</v>
      </c>
      <c r="BF760" t="str">
        <f t="shared" si="155"/>
        <v/>
      </c>
      <c r="BG760" t="str">
        <f t="shared" si="151"/>
        <v/>
      </c>
      <c r="BH760">
        <f t="shared" si="156"/>
        <v>0</v>
      </c>
      <c r="BJ760" t="str">
        <f t="shared" si="157"/>
        <v/>
      </c>
      <c r="BL760">
        <f t="shared" si="158"/>
        <v>0</v>
      </c>
      <c r="BN760">
        <v>7.5900000000000299E-3</v>
      </c>
    </row>
    <row r="761" spans="1:66" ht="15.75" thickBot="1" x14ac:dyDescent="0.3">
      <c r="A761" s="569"/>
      <c r="B761" s="569"/>
      <c r="C761" s="569" t="s">
        <v>7</v>
      </c>
      <c r="D761" s="569"/>
      <c r="E761" s="569"/>
      <c r="F761" s="569"/>
      <c r="G761" s="569"/>
      <c r="H761" s="569"/>
      <c r="I761" s="574">
        <v>0</v>
      </c>
      <c r="J761" s="574">
        <v>0</v>
      </c>
      <c r="K761" s="574">
        <v>0</v>
      </c>
      <c r="L761" s="569"/>
      <c r="M761" s="569"/>
      <c r="N761" s="569"/>
      <c r="O761" s="574">
        <v>0</v>
      </c>
      <c r="P761" s="574">
        <v>0</v>
      </c>
      <c r="Q761" s="574">
        <v>0</v>
      </c>
      <c r="R761" s="569"/>
      <c r="S761" s="569"/>
      <c r="T761" s="569"/>
      <c r="U761" s="569"/>
      <c r="V761" s="569"/>
      <c r="W761" s="569"/>
      <c r="X761" s="569"/>
      <c r="Y761" s="569"/>
      <c r="Z761" s="569"/>
      <c r="AA761" s="569"/>
      <c r="AB761" s="569"/>
      <c r="AC761" s="569"/>
      <c r="AD761" s="569"/>
      <c r="AE761" s="569"/>
      <c r="AF761" s="569"/>
      <c r="AG761" s="569"/>
      <c r="AH761" s="569"/>
      <c r="AI761" s="569"/>
      <c r="AJ761" s="569"/>
      <c r="AK761" s="569"/>
      <c r="AL761" s="569"/>
      <c r="AM761" s="569"/>
      <c r="AN761" s="569"/>
      <c r="AO761">
        <v>760</v>
      </c>
      <c r="AP761" t="str">
        <f t="shared" si="146"/>
        <v/>
      </c>
      <c r="AQ761" t="str">
        <f t="shared" si="147"/>
        <v/>
      </c>
      <c r="AR761" s="430">
        <f>IFERROR(
IF(AP761="",-100,
IF($BV$2&gt;0, INDEX(Beersheet!$A:$U,MATCH(AP761,INDEX(Beersheet!$A:$U,0,FFARawStatProjections!$BV$2),0),$BV$3)+$BN761,
INDEX($A761:$BM761,,$BV$12)*$BW$12+
INDEX($A761:$BM761,,$BV$15)*$BW$15+
INDEX($A761:$BM761,,$BV$16)*$BW$16+
INDEX($A761:$BM761,,$BV$17)*$BW$17+
INDEX($A761:$BM761,,$BV$18)*$BW$18+
INDEX($A761:$BM761,,$BV$19)*$BW$19+
INDEX($A761:$BM761,,$BV$20)*$BW$20+
INDEX($A761:$BM761,,$BV$21)*$BW$21+
INDEX($A761:$BM761,,$BV$22)*$BW$22+
INDEX($A761:$BM761,,$BV$23)*$BW$23+
INDEX($A761:$BM761,,$BV$25)*$BW$25+
INDEX($A761:$BM761,,$BV$26)*$BW$26+
INDEX($A761:$BM761,,$BV$27)*$BW$27+
$BN761)),
$BN761-100)</f>
        <v>-100</v>
      </c>
      <c r="AT761" t="str">
        <f t="shared" si="152"/>
        <v/>
      </c>
      <c r="AU761" t="str">
        <f t="shared" si="148"/>
        <v/>
      </c>
      <c r="AV761" s="430">
        <f>IFERROR(
IF(AT761="",-100,
IF($BV$2&gt;0, INDEX(Beersheet!$A:$U,MATCH(AT761,INDEX(Beersheet!$A:$U,0,FFARawStatProjections!$BV$2),0),$BV$3)+$BN761,
INDEX($A761:$BM761,,$BV$12)*$BW$12+
INDEX($A761:$BM761,,$BV$15)*$BW$15+
INDEX($A761:$BM761,,$BV$16)*$BW$16+
INDEX($A761:$BM761,,$BV$17)*$BW$17+
INDEX($A761:$BM761,,$BV$18)*$BW$18+
INDEX($A761:$BM761,,$BV$19)*$BW$19+
INDEX($A761:$BM761,,$BV$20)*$BW$20+
INDEX($A761:$BM761,,$BV$21)*$BW$21+
INDEX($A761:$BM761,,$BV$22)*$BW$22+
INDEX($A761:$BM761,,$BV$23)*$BW$23+
INDEX($A761:$BM761,,$BV$25)*$BW$25+
INDEX($A761:$BM761,,$BV$26)*$BW$26+
INDEX($A761:$BM761,,$BV$27)*$BW$27+
$BN761)),
$BN761-100)</f>
        <v>-100</v>
      </c>
      <c r="AX761" t="str">
        <f t="shared" si="153"/>
        <v/>
      </c>
      <c r="AY761" t="str">
        <f t="shared" si="149"/>
        <v/>
      </c>
      <c r="AZ761" s="430">
        <f>IFERROR(
IF(AX761="",-100,
IF($BV$2&gt;0, INDEX(Beersheet!$A:$U,MATCH(AX761,INDEX(Beersheet!$A:$U,0,FFARawStatProjections!$BV$2),0),$BV$3)+$BN761,
INDEX($A761:$BM761,,$BV$12)*$BW$12+
INDEX($A761:$BM761,,$BV$15)*$BW$15+
INDEX($A761:$BM761,,$BV$16)*$BW$16+
INDEX($A761:$BM761,,$BV$17)*$BW$17+
INDEX($A761:$BM761,,$BV$18)*$BW$18+
INDEX($A761:$BM761,,$BV$19)*$BW$19+
INDEX($A761:$BM761,,$BV$20)*$BW$20+
INDEX($A761:$BM761,,$BV$21)*$BW$21+
INDEX($A761:$BM761,,$BV$22)*$BW$22+
INDEX($A761:$BM761,,$BV$23)*$BW$23+
INDEX($A761:$BM761,,$BV$25)*$BW$25+
INDEX($A761:$BM761,,$BV$26)*$BW$26+
INDEX($A761:$BM761,,$BV$27)*$BW$27+
$BN761)),
$BN761-100)</f>
        <v>-100</v>
      </c>
      <c r="BB761">
        <f t="shared" si="154"/>
        <v>0</v>
      </c>
      <c r="BC761">
        <f t="shared" si="150"/>
        <v>0</v>
      </c>
      <c r="BD761" s="430">
        <f>IFERROR(
IF(BB761="",-100,
IF($BV$2&gt;0, INDEX(Beersheet!$A:$U,MATCH(BB761,INDEX(Beersheet!$A:$U,0,FFARawStatProjections!$BV$2),0),$BV$3)+$BN761,
INDEX($A761:$BM761,,$BV$12)*$BW$12+
INDEX($A761:$BM761,,$BV$15)*$BW$15+
INDEX($A761:$BM761,,$BV$16)*$BW$16+
INDEX($A761:$BM761,,$BV$17)*$BW$17+
INDEX($A761:$BM761,,$BV$18)*$BW$18+
INDEX($A761:$BM761,,$BV$19)*$BW$19+
INDEX($A761:$BM761,,$BV$20)*$BW$20+
INDEX($A761:$BM761,,$BV$21)*$BW$21+
INDEX($A761:$BM761,,$BV$22)*$BW$22+
INDEX($A761:$BM761,,$BV$23)*$BW$23+
INDEX($A761:$BM761,,$BV$25)*$BW$25+
INDEX($A761:$BM761,,$BV$26)*$BW$26+
INDEX($A761:$BM761,,$BV$27)*$BW$27+
$BN761)),
$BN761-100)</f>
        <v>7.6000000000000303E-3</v>
      </c>
      <c r="BF761" t="str">
        <f t="shared" si="155"/>
        <v/>
      </c>
      <c r="BG761" t="str">
        <f t="shared" si="151"/>
        <v/>
      </c>
      <c r="BH761">
        <f t="shared" si="156"/>
        <v>0</v>
      </c>
      <c r="BJ761" t="str">
        <f t="shared" si="157"/>
        <v/>
      </c>
      <c r="BL761">
        <f t="shared" si="158"/>
        <v>0</v>
      </c>
      <c r="BN761">
        <v>7.6000000000000303E-3</v>
      </c>
    </row>
    <row r="762" spans="1:66" ht="15.75" thickBot="1" x14ac:dyDescent="0.3">
      <c r="A762" s="569"/>
      <c r="B762" s="569"/>
      <c r="C762" s="569" t="s">
        <v>7</v>
      </c>
      <c r="D762" s="569"/>
      <c r="E762" s="569"/>
      <c r="F762" s="569"/>
      <c r="G762" s="569"/>
      <c r="H762" s="569"/>
      <c r="I762" s="574">
        <v>0</v>
      </c>
      <c r="J762" s="574">
        <v>0</v>
      </c>
      <c r="K762" s="574">
        <v>0</v>
      </c>
      <c r="L762" s="569"/>
      <c r="M762" s="569"/>
      <c r="N762" s="569"/>
      <c r="O762" s="574">
        <v>0</v>
      </c>
      <c r="P762" s="574">
        <v>0</v>
      </c>
      <c r="Q762" s="574">
        <v>0</v>
      </c>
      <c r="R762" s="569"/>
      <c r="S762" s="569"/>
      <c r="T762" s="569"/>
      <c r="U762" s="569"/>
      <c r="V762" s="569"/>
      <c r="W762" s="569"/>
      <c r="X762" s="569"/>
      <c r="Y762" s="569"/>
      <c r="Z762" s="569"/>
      <c r="AA762" s="569"/>
      <c r="AB762" s="569"/>
      <c r="AC762" s="569"/>
      <c r="AD762" s="569"/>
      <c r="AE762" s="569"/>
      <c r="AF762" s="569"/>
      <c r="AG762" s="569"/>
      <c r="AH762" s="569"/>
      <c r="AI762" s="569"/>
      <c r="AJ762" s="569"/>
      <c r="AK762" s="569"/>
      <c r="AL762" s="569"/>
      <c r="AM762" s="569"/>
      <c r="AN762" s="569"/>
      <c r="AO762">
        <v>761</v>
      </c>
      <c r="AP762" t="str">
        <f t="shared" si="146"/>
        <v/>
      </c>
      <c r="AQ762" t="str">
        <f t="shared" si="147"/>
        <v/>
      </c>
      <c r="AR762" s="430">
        <f>IFERROR(
IF(AP762="",-100,
IF($BV$2&gt;0, INDEX(Beersheet!$A:$U,MATCH(AP762,INDEX(Beersheet!$A:$U,0,FFARawStatProjections!$BV$2),0),$BV$3)+$BN762,
INDEX($A762:$BM762,,$BV$12)*$BW$12+
INDEX($A762:$BM762,,$BV$15)*$BW$15+
INDEX($A762:$BM762,,$BV$16)*$BW$16+
INDEX($A762:$BM762,,$BV$17)*$BW$17+
INDEX($A762:$BM762,,$BV$18)*$BW$18+
INDEX($A762:$BM762,,$BV$19)*$BW$19+
INDEX($A762:$BM762,,$BV$20)*$BW$20+
INDEX($A762:$BM762,,$BV$21)*$BW$21+
INDEX($A762:$BM762,,$BV$22)*$BW$22+
INDEX($A762:$BM762,,$BV$23)*$BW$23+
INDEX($A762:$BM762,,$BV$25)*$BW$25+
INDEX($A762:$BM762,,$BV$26)*$BW$26+
INDEX($A762:$BM762,,$BV$27)*$BW$27+
$BN762)),
$BN762-100)</f>
        <v>-100</v>
      </c>
      <c r="AT762" t="str">
        <f t="shared" si="152"/>
        <v/>
      </c>
      <c r="AU762" t="str">
        <f t="shared" si="148"/>
        <v/>
      </c>
      <c r="AV762" s="430">
        <f>IFERROR(
IF(AT762="",-100,
IF($BV$2&gt;0, INDEX(Beersheet!$A:$U,MATCH(AT762,INDEX(Beersheet!$A:$U,0,FFARawStatProjections!$BV$2),0),$BV$3)+$BN762,
INDEX($A762:$BM762,,$BV$12)*$BW$12+
INDEX($A762:$BM762,,$BV$15)*$BW$15+
INDEX($A762:$BM762,,$BV$16)*$BW$16+
INDEX($A762:$BM762,,$BV$17)*$BW$17+
INDEX($A762:$BM762,,$BV$18)*$BW$18+
INDEX($A762:$BM762,,$BV$19)*$BW$19+
INDEX($A762:$BM762,,$BV$20)*$BW$20+
INDEX($A762:$BM762,,$BV$21)*$BW$21+
INDEX($A762:$BM762,,$BV$22)*$BW$22+
INDEX($A762:$BM762,,$BV$23)*$BW$23+
INDEX($A762:$BM762,,$BV$25)*$BW$25+
INDEX($A762:$BM762,,$BV$26)*$BW$26+
INDEX($A762:$BM762,,$BV$27)*$BW$27+
$BN762)),
$BN762-100)</f>
        <v>-100</v>
      </c>
      <c r="AX762" t="str">
        <f t="shared" si="153"/>
        <v/>
      </c>
      <c r="AY762" t="str">
        <f t="shared" si="149"/>
        <v/>
      </c>
      <c r="AZ762" s="430">
        <f>IFERROR(
IF(AX762="",-100,
IF($BV$2&gt;0, INDEX(Beersheet!$A:$U,MATCH(AX762,INDEX(Beersheet!$A:$U,0,FFARawStatProjections!$BV$2),0),$BV$3)+$BN762,
INDEX($A762:$BM762,,$BV$12)*$BW$12+
INDEX($A762:$BM762,,$BV$15)*$BW$15+
INDEX($A762:$BM762,,$BV$16)*$BW$16+
INDEX($A762:$BM762,,$BV$17)*$BW$17+
INDEX($A762:$BM762,,$BV$18)*$BW$18+
INDEX($A762:$BM762,,$BV$19)*$BW$19+
INDEX($A762:$BM762,,$BV$20)*$BW$20+
INDEX($A762:$BM762,,$BV$21)*$BW$21+
INDEX($A762:$BM762,,$BV$22)*$BW$22+
INDEX($A762:$BM762,,$BV$23)*$BW$23+
INDEX($A762:$BM762,,$BV$25)*$BW$25+
INDEX($A762:$BM762,,$BV$26)*$BW$26+
INDEX($A762:$BM762,,$BV$27)*$BW$27+
$BN762)),
$BN762-100)</f>
        <v>-100</v>
      </c>
      <c r="BB762">
        <f t="shared" si="154"/>
        <v>0</v>
      </c>
      <c r="BC762">
        <f t="shared" si="150"/>
        <v>0</v>
      </c>
      <c r="BD762" s="430">
        <f>IFERROR(
IF(BB762="",-100,
IF($BV$2&gt;0, INDEX(Beersheet!$A:$U,MATCH(BB762,INDEX(Beersheet!$A:$U,0,FFARawStatProjections!$BV$2),0),$BV$3)+$BN762,
INDEX($A762:$BM762,,$BV$12)*$BW$12+
INDEX($A762:$BM762,,$BV$15)*$BW$15+
INDEX($A762:$BM762,,$BV$16)*$BW$16+
INDEX($A762:$BM762,,$BV$17)*$BW$17+
INDEX($A762:$BM762,,$BV$18)*$BW$18+
INDEX($A762:$BM762,,$BV$19)*$BW$19+
INDEX($A762:$BM762,,$BV$20)*$BW$20+
INDEX($A762:$BM762,,$BV$21)*$BW$21+
INDEX($A762:$BM762,,$BV$22)*$BW$22+
INDEX($A762:$BM762,,$BV$23)*$BW$23+
INDEX($A762:$BM762,,$BV$25)*$BW$25+
INDEX($A762:$BM762,,$BV$26)*$BW$26+
INDEX($A762:$BM762,,$BV$27)*$BW$27+
$BN762)),
$BN762-100)</f>
        <v>7.6100000000000299E-3</v>
      </c>
      <c r="BF762" t="str">
        <f t="shared" si="155"/>
        <v/>
      </c>
      <c r="BG762" t="str">
        <f t="shared" si="151"/>
        <v/>
      </c>
      <c r="BH762">
        <f t="shared" si="156"/>
        <v>0</v>
      </c>
      <c r="BJ762" t="str">
        <f t="shared" si="157"/>
        <v/>
      </c>
      <c r="BL762">
        <f t="shared" si="158"/>
        <v>0</v>
      </c>
      <c r="BN762">
        <v>7.6100000000000299E-3</v>
      </c>
    </row>
    <row r="763" spans="1:66" ht="15.75" thickBot="1" x14ac:dyDescent="0.3">
      <c r="A763" s="569"/>
      <c r="B763" s="569"/>
      <c r="C763" s="569" t="s">
        <v>7</v>
      </c>
      <c r="D763" s="569"/>
      <c r="E763" s="569"/>
      <c r="F763" s="569"/>
      <c r="G763" s="569"/>
      <c r="H763" s="569"/>
      <c r="I763" s="574">
        <v>0</v>
      </c>
      <c r="J763" s="574">
        <v>0</v>
      </c>
      <c r="K763" s="574">
        <v>0</v>
      </c>
      <c r="L763" s="569"/>
      <c r="M763" s="569"/>
      <c r="N763" s="569"/>
      <c r="O763" s="574">
        <v>0</v>
      </c>
      <c r="P763" s="574">
        <v>0</v>
      </c>
      <c r="Q763" s="574">
        <v>0</v>
      </c>
      <c r="R763" s="569"/>
      <c r="S763" s="569"/>
      <c r="T763" s="569"/>
      <c r="U763" s="569"/>
      <c r="V763" s="569"/>
      <c r="W763" s="569"/>
      <c r="X763" s="569"/>
      <c r="Y763" s="569"/>
      <c r="Z763" s="569"/>
      <c r="AA763" s="569"/>
      <c r="AB763" s="569"/>
      <c r="AC763" s="569"/>
      <c r="AD763" s="569"/>
      <c r="AE763" s="569"/>
      <c r="AF763" s="569"/>
      <c r="AG763" s="569"/>
      <c r="AH763" s="569"/>
      <c r="AI763" s="569"/>
      <c r="AJ763" s="569"/>
      <c r="AK763" s="569"/>
      <c r="AL763" s="569"/>
      <c r="AM763" s="569"/>
      <c r="AN763" s="569"/>
      <c r="AO763">
        <v>762</v>
      </c>
      <c r="AP763" t="str">
        <f t="shared" si="146"/>
        <v/>
      </c>
      <c r="AQ763" t="str">
        <f t="shared" si="147"/>
        <v/>
      </c>
      <c r="AR763" s="430">
        <f>IFERROR(
IF(AP763="",-100,
IF($BV$2&gt;0, INDEX(Beersheet!$A:$U,MATCH(AP763,INDEX(Beersheet!$A:$U,0,FFARawStatProjections!$BV$2),0),$BV$3)+$BN763,
INDEX($A763:$BM763,,$BV$12)*$BW$12+
INDEX($A763:$BM763,,$BV$15)*$BW$15+
INDEX($A763:$BM763,,$BV$16)*$BW$16+
INDEX($A763:$BM763,,$BV$17)*$BW$17+
INDEX($A763:$BM763,,$BV$18)*$BW$18+
INDEX($A763:$BM763,,$BV$19)*$BW$19+
INDEX($A763:$BM763,,$BV$20)*$BW$20+
INDEX($A763:$BM763,,$BV$21)*$BW$21+
INDEX($A763:$BM763,,$BV$22)*$BW$22+
INDEX($A763:$BM763,,$BV$23)*$BW$23+
INDEX($A763:$BM763,,$BV$25)*$BW$25+
INDEX($A763:$BM763,,$BV$26)*$BW$26+
INDEX($A763:$BM763,,$BV$27)*$BW$27+
$BN763)),
$BN763-100)</f>
        <v>-100</v>
      </c>
      <c r="AT763" t="str">
        <f t="shared" si="152"/>
        <v/>
      </c>
      <c r="AU763" t="str">
        <f t="shared" si="148"/>
        <v/>
      </c>
      <c r="AV763" s="430">
        <f>IFERROR(
IF(AT763="",-100,
IF($BV$2&gt;0, INDEX(Beersheet!$A:$U,MATCH(AT763,INDEX(Beersheet!$A:$U,0,FFARawStatProjections!$BV$2),0),$BV$3)+$BN763,
INDEX($A763:$BM763,,$BV$12)*$BW$12+
INDEX($A763:$BM763,,$BV$15)*$BW$15+
INDEX($A763:$BM763,,$BV$16)*$BW$16+
INDEX($A763:$BM763,,$BV$17)*$BW$17+
INDEX($A763:$BM763,,$BV$18)*$BW$18+
INDEX($A763:$BM763,,$BV$19)*$BW$19+
INDEX($A763:$BM763,,$BV$20)*$BW$20+
INDEX($A763:$BM763,,$BV$21)*$BW$21+
INDEX($A763:$BM763,,$BV$22)*$BW$22+
INDEX($A763:$BM763,,$BV$23)*$BW$23+
INDEX($A763:$BM763,,$BV$25)*$BW$25+
INDEX($A763:$BM763,,$BV$26)*$BW$26+
INDEX($A763:$BM763,,$BV$27)*$BW$27+
$BN763)),
$BN763-100)</f>
        <v>-100</v>
      </c>
      <c r="AX763" t="str">
        <f t="shared" si="153"/>
        <v/>
      </c>
      <c r="AY763" t="str">
        <f t="shared" si="149"/>
        <v/>
      </c>
      <c r="AZ763" s="430">
        <f>IFERROR(
IF(AX763="",-100,
IF($BV$2&gt;0, INDEX(Beersheet!$A:$U,MATCH(AX763,INDEX(Beersheet!$A:$U,0,FFARawStatProjections!$BV$2),0),$BV$3)+$BN763,
INDEX($A763:$BM763,,$BV$12)*$BW$12+
INDEX($A763:$BM763,,$BV$15)*$BW$15+
INDEX($A763:$BM763,,$BV$16)*$BW$16+
INDEX($A763:$BM763,,$BV$17)*$BW$17+
INDEX($A763:$BM763,,$BV$18)*$BW$18+
INDEX($A763:$BM763,,$BV$19)*$BW$19+
INDEX($A763:$BM763,,$BV$20)*$BW$20+
INDEX($A763:$BM763,,$BV$21)*$BW$21+
INDEX($A763:$BM763,,$BV$22)*$BW$22+
INDEX($A763:$BM763,,$BV$23)*$BW$23+
INDEX($A763:$BM763,,$BV$25)*$BW$25+
INDEX($A763:$BM763,,$BV$26)*$BW$26+
INDEX($A763:$BM763,,$BV$27)*$BW$27+
$BN763)),
$BN763-100)</f>
        <v>-100</v>
      </c>
      <c r="BB763">
        <f t="shared" si="154"/>
        <v>0</v>
      </c>
      <c r="BC763">
        <f t="shared" si="150"/>
        <v>0</v>
      </c>
      <c r="BD763" s="430">
        <f>IFERROR(
IF(BB763="",-100,
IF($BV$2&gt;0, INDEX(Beersheet!$A:$U,MATCH(BB763,INDEX(Beersheet!$A:$U,0,FFARawStatProjections!$BV$2),0),$BV$3)+$BN763,
INDEX($A763:$BM763,,$BV$12)*$BW$12+
INDEX($A763:$BM763,,$BV$15)*$BW$15+
INDEX($A763:$BM763,,$BV$16)*$BW$16+
INDEX($A763:$BM763,,$BV$17)*$BW$17+
INDEX($A763:$BM763,,$BV$18)*$BW$18+
INDEX($A763:$BM763,,$BV$19)*$BW$19+
INDEX($A763:$BM763,,$BV$20)*$BW$20+
INDEX($A763:$BM763,,$BV$21)*$BW$21+
INDEX($A763:$BM763,,$BV$22)*$BW$22+
INDEX($A763:$BM763,,$BV$23)*$BW$23+
INDEX($A763:$BM763,,$BV$25)*$BW$25+
INDEX($A763:$BM763,,$BV$26)*$BW$26+
INDEX($A763:$BM763,,$BV$27)*$BW$27+
$BN763)),
$BN763-100)</f>
        <v>7.6200000000000304E-3</v>
      </c>
      <c r="BF763" t="str">
        <f t="shared" si="155"/>
        <v/>
      </c>
      <c r="BG763" t="str">
        <f t="shared" si="151"/>
        <v/>
      </c>
      <c r="BH763">
        <f t="shared" si="156"/>
        <v>0</v>
      </c>
      <c r="BJ763" t="str">
        <f t="shared" si="157"/>
        <v/>
      </c>
      <c r="BL763">
        <f t="shared" si="158"/>
        <v>0</v>
      </c>
      <c r="BN763">
        <v>7.6200000000000304E-3</v>
      </c>
    </row>
    <row r="764" spans="1:66" ht="15.75" thickBot="1" x14ac:dyDescent="0.3">
      <c r="A764" s="569"/>
      <c r="B764" s="569"/>
      <c r="C764" s="569" t="s">
        <v>7</v>
      </c>
      <c r="D764" s="569"/>
      <c r="E764" s="569"/>
      <c r="F764" s="569"/>
      <c r="G764" s="569"/>
      <c r="H764" s="569"/>
      <c r="I764" s="574">
        <v>0</v>
      </c>
      <c r="J764" s="574">
        <v>0</v>
      </c>
      <c r="K764" s="574">
        <v>0</v>
      </c>
      <c r="L764" s="569"/>
      <c r="M764" s="569"/>
      <c r="N764" s="569"/>
      <c r="O764" s="574">
        <v>0</v>
      </c>
      <c r="P764" s="574">
        <v>0</v>
      </c>
      <c r="Q764" s="574">
        <v>0</v>
      </c>
      <c r="R764" s="569"/>
      <c r="S764" s="569"/>
      <c r="T764" s="569"/>
      <c r="U764" s="569"/>
      <c r="V764" s="569"/>
      <c r="W764" s="569"/>
      <c r="X764" s="569"/>
      <c r="Y764" s="569"/>
      <c r="Z764" s="569"/>
      <c r="AA764" s="569"/>
      <c r="AB764" s="569"/>
      <c r="AC764" s="569"/>
      <c r="AD764" s="569"/>
      <c r="AE764" s="569"/>
      <c r="AF764" s="569"/>
      <c r="AG764" s="569"/>
      <c r="AH764" s="569"/>
      <c r="AI764" s="569"/>
      <c r="AJ764" s="569"/>
      <c r="AK764" s="569"/>
      <c r="AL764" s="569"/>
      <c r="AM764" s="569"/>
      <c r="AN764" s="569"/>
      <c r="AO764">
        <v>763</v>
      </c>
      <c r="AP764" t="str">
        <f t="shared" si="146"/>
        <v/>
      </c>
      <c r="AQ764" t="str">
        <f t="shared" si="147"/>
        <v/>
      </c>
      <c r="AR764" s="430">
        <f>IFERROR(
IF(AP764="",-100,
IF($BV$2&gt;0, INDEX(Beersheet!$A:$U,MATCH(AP764,INDEX(Beersheet!$A:$U,0,FFARawStatProjections!$BV$2),0),$BV$3)+$BN764,
INDEX($A764:$BM764,,$BV$12)*$BW$12+
INDEX($A764:$BM764,,$BV$15)*$BW$15+
INDEX($A764:$BM764,,$BV$16)*$BW$16+
INDEX($A764:$BM764,,$BV$17)*$BW$17+
INDEX($A764:$BM764,,$BV$18)*$BW$18+
INDEX($A764:$BM764,,$BV$19)*$BW$19+
INDEX($A764:$BM764,,$BV$20)*$BW$20+
INDEX($A764:$BM764,,$BV$21)*$BW$21+
INDEX($A764:$BM764,,$BV$22)*$BW$22+
INDEX($A764:$BM764,,$BV$23)*$BW$23+
INDEX($A764:$BM764,,$BV$25)*$BW$25+
INDEX($A764:$BM764,,$BV$26)*$BW$26+
INDEX($A764:$BM764,,$BV$27)*$BW$27+
$BN764)),
$BN764-100)</f>
        <v>-100</v>
      </c>
      <c r="AT764" t="str">
        <f t="shared" si="152"/>
        <v/>
      </c>
      <c r="AU764" t="str">
        <f t="shared" si="148"/>
        <v/>
      </c>
      <c r="AV764" s="430">
        <f>IFERROR(
IF(AT764="",-100,
IF($BV$2&gt;0, INDEX(Beersheet!$A:$U,MATCH(AT764,INDEX(Beersheet!$A:$U,0,FFARawStatProjections!$BV$2),0),$BV$3)+$BN764,
INDEX($A764:$BM764,,$BV$12)*$BW$12+
INDEX($A764:$BM764,,$BV$15)*$BW$15+
INDEX($A764:$BM764,,$BV$16)*$BW$16+
INDEX($A764:$BM764,,$BV$17)*$BW$17+
INDEX($A764:$BM764,,$BV$18)*$BW$18+
INDEX($A764:$BM764,,$BV$19)*$BW$19+
INDEX($A764:$BM764,,$BV$20)*$BW$20+
INDEX($A764:$BM764,,$BV$21)*$BW$21+
INDEX($A764:$BM764,,$BV$22)*$BW$22+
INDEX($A764:$BM764,,$BV$23)*$BW$23+
INDEX($A764:$BM764,,$BV$25)*$BW$25+
INDEX($A764:$BM764,,$BV$26)*$BW$26+
INDEX($A764:$BM764,,$BV$27)*$BW$27+
$BN764)),
$BN764-100)</f>
        <v>-100</v>
      </c>
      <c r="AX764" t="str">
        <f t="shared" si="153"/>
        <v/>
      </c>
      <c r="AY764" t="str">
        <f t="shared" si="149"/>
        <v/>
      </c>
      <c r="AZ764" s="430">
        <f>IFERROR(
IF(AX764="",-100,
IF($BV$2&gt;0, INDEX(Beersheet!$A:$U,MATCH(AX764,INDEX(Beersheet!$A:$U,0,FFARawStatProjections!$BV$2),0),$BV$3)+$BN764,
INDEX($A764:$BM764,,$BV$12)*$BW$12+
INDEX($A764:$BM764,,$BV$15)*$BW$15+
INDEX($A764:$BM764,,$BV$16)*$BW$16+
INDEX($A764:$BM764,,$BV$17)*$BW$17+
INDEX($A764:$BM764,,$BV$18)*$BW$18+
INDEX($A764:$BM764,,$BV$19)*$BW$19+
INDEX($A764:$BM764,,$BV$20)*$BW$20+
INDEX($A764:$BM764,,$BV$21)*$BW$21+
INDEX($A764:$BM764,,$BV$22)*$BW$22+
INDEX($A764:$BM764,,$BV$23)*$BW$23+
INDEX($A764:$BM764,,$BV$25)*$BW$25+
INDEX($A764:$BM764,,$BV$26)*$BW$26+
INDEX($A764:$BM764,,$BV$27)*$BW$27+
$BN764)),
$BN764-100)</f>
        <v>-100</v>
      </c>
      <c r="BB764">
        <f t="shared" si="154"/>
        <v>0</v>
      </c>
      <c r="BC764">
        <f t="shared" si="150"/>
        <v>0</v>
      </c>
      <c r="BD764" s="430">
        <f>IFERROR(
IF(BB764="",-100,
IF($BV$2&gt;0, INDEX(Beersheet!$A:$U,MATCH(BB764,INDEX(Beersheet!$A:$U,0,FFARawStatProjections!$BV$2),0),$BV$3)+$BN764,
INDEX($A764:$BM764,,$BV$12)*$BW$12+
INDEX($A764:$BM764,,$BV$15)*$BW$15+
INDEX($A764:$BM764,,$BV$16)*$BW$16+
INDEX($A764:$BM764,,$BV$17)*$BW$17+
INDEX($A764:$BM764,,$BV$18)*$BW$18+
INDEX($A764:$BM764,,$BV$19)*$BW$19+
INDEX($A764:$BM764,,$BV$20)*$BW$20+
INDEX($A764:$BM764,,$BV$21)*$BW$21+
INDEX($A764:$BM764,,$BV$22)*$BW$22+
INDEX($A764:$BM764,,$BV$23)*$BW$23+
INDEX($A764:$BM764,,$BV$25)*$BW$25+
INDEX($A764:$BM764,,$BV$26)*$BW$26+
INDEX($A764:$BM764,,$BV$27)*$BW$27+
$BN764)),
$BN764-100)</f>
        <v>7.63000000000003E-3</v>
      </c>
      <c r="BF764" t="str">
        <f t="shared" si="155"/>
        <v/>
      </c>
      <c r="BG764" t="str">
        <f t="shared" si="151"/>
        <v/>
      </c>
      <c r="BH764">
        <f t="shared" si="156"/>
        <v>0</v>
      </c>
      <c r="BJ764" t="str">
        <f t="shared" si="157"/>
        <v/>
      </c>
      <c r="BL764">
        <f t="shared" si="158"/>
        <v>0</v>
      </c>
      <c r="BN764">
        <v>7.63000000000003E-3</v>
      </c>
    </row>
    <row r="765" spans="1:66" ht="15.75" thickBot="1" x14ac:dyDescent="0.3">
      <c r="A765" s="569"/>
      <c r="B765" s="569"/>
      <c r="C765" s="569" t="s">
        <v>7</v>
      </c>
      <c r="D765" s="569"/>
      <c r="E765" s="569"/>
      <c r="F765" s="569"/>
      <c r="G765" s="569"/>
      <c r="H765" s="569"/>
      <c r="I765" s="574">
        <v>0</v>
      </c>
      <c r="J765" s="574">
        <v>0</v>
      </c>
      <c r="K765" s="574">
        <v>0</v>
      </c>
      <c r="L765" s="569"/>
      <c r="M765" s="569"/>
      <c r="N765" s="569"/>
      <c r="O765" s="574">
        <v>0</v>
      </c>
      <c r="P765" s="574">
        <v>0</v>
      </c>
      <c r="Q765" s="574">
        <v>0</v>
      </c>
      <c r="R765" s="569"/>
      <c r="S765" s="569"/>
      <c r="T765" s="569"/>
      <c r="U765" s="569"/>
      <c r="V765" s="569"/>
      <c r="W765" s="569"/>
      <c r="X765" s="569"/>
      <c r="Y765" s="569"/>
      <c r="Z765" s="569"/>
      <c r="AA765" s="569"/>
      <c r="AB765" s="569"/>
      <c r="AC765" s="569"/>
      <c r="AD765" s="569"/>
      <c r="AE765" s="569"/>
      <c r="AF765" s="569"/>
      <c r="AG765" s="569"/>
      <c r="AH765" s="569"/>
      <c r="AI765" s="569"/>
      <c r="AJ765" s="569"/>
      <c r="AK765" s="569"/>
      <c r="AL765" s="569"/>
      <c r="AM765" s="569"/>
      <c r="AN765" s="569"/>
      <c r="AO765">
        <v>764</v>
      </c>
      <c r="AP765" t="str">
        <f t="shared" si="146"/>
        <v/>
      </c>
      <c r="AQ765" t="str">
        <f t="shared" si="147"/>
        <v/>
      </c>
      <c r="AR765" s="430">
        <f>IFERROR(
IF(AP765="",-100,
IF($BV$2&gt;0, INDEX(Beersheet!$A:$U,MATCH(AP765,INDEX(Beersheet!$A:$U,0,FFARawStatProjections!$BV$2),0),$BV$3)+$BN765,
INDEX($A765:$BM765,,$BV$12)*$BW$12+
INDEX($A765:$BM765,,$BV$15)*$BW$15+
INDEX($A765:$BM765,,$BV$16)*$BW$16+
INDEX($A765:$BM765,,$BV$17)*$BW$17+
INDEX($A765:$BM765,,$BV$18)*$BW$18+
INDEX($A765:$BM765,,$BV$19)*$BW$19+
INDEX($A765:$BM765,,$BV$20)*$BW$20+
INDEX($A765:$BM765,,$BV$21)*$BW$21+
INDEX($A765:$BM765,,$BV$22)*$BW$22+
INDEX($A765:$BM765,,$BV$23)*$BW$23+
INDEX($A765:$BM765,,$BV$25)*$BW$25+
INDEX($A765:$BM765,,$BV$26)*$BW$26+
INDEX($A765:$BM765,,$BV$27)*$BW$27+
$BN765)),
$BN765-100)</f>
        <v>-100</v>
      </c>
      <c r="AT765" t="str">
        <f t="shared" si="152"/>
        <v/>
      </c>
      <c r="AU765" t="str">
        <f t="shared" si="148"/>
        <v/>
      </c>
      <c r="AV765" s="430">
        <f>IFERROR(
IF(AT765="",-100,
IF($BV$2&gt;0, INDEX(Beersheet!$A:$U,MATCH(AT765,INDEX(Beersheet!$A:$U,0,FFARawStatProjections!$BV$2),0),$BV$3)+$BN765,
INDEX($A765:$BM765,,$BV$12)*$BW$12+
INDEX($A765:$BM765,,$BV$15)*$BW$15+
INDEX($A765:$BM765,,$BV$16)*$BW$16+
INDEX($A765:$BM765,,$BV$17)*$BW$17+
INDEX($A765:$BM765,,$BV$18)*$BW$18+
INDEX($A765:$BM765,,$BV$19)*$BW$19+
INDEX($A765:$BM765,,$BV$20)*$BW$20+
INDEX($A765:$BM765,,$BV$21)*$BW$21+
INDEX($A765:$BM765,,$BV$22)*$BW$22+
INDEX($A765:$BM765,,$BV$23)*$BW$23+
INDEX($A765:$BM765,,$BV$25)*$BW$25+
INDEX($A765:$BM765,,$BV$26)*$BW$26+
INDEX($A765:$BM765,,$BV$27)*$BW$27+
$BN765)),
$BN765-100)</f>
        <v>-100</v>
      </c>
      <c r="AX765" t="str">
        <f t="shared" si="153"/>
        <v/>
      </c>
      <c r="AY765" t="str">
        <f t="shared" si="149"/>
        <v/>
      </c>
      <c r="AZ765" s="430">
        <f>IFERROR(
IF(AX765="",-100,
IF($BV$2&gt;0, INDEX(Beersheet!$A:$U,MATCH(AX765,INDEX(Beersheet!$A:$U,0,FFARawStatProjections!$BV$2),0),$BV$3)+$BN765,
INDEX($A765:$BM765,,$BV$12)*$BW$12+
INDEX($A765:$BM765,,$BV$15)*$BW$15+
INDEX($A765:$BM765,,$BV$16)*$BW$16+
INDEX($A765:$BM765,,$BV$17)*$BW$17+
INDEX($A765:$BM765,,$BV$18)*$BW$18+
INDEX($A765:$BM765,,$BV$19)*$BW$19+
INDEX($A765:$BM765,,$BV$20)*$BW$20+
INDEX($A765:$BM765,,$BV$21)*$BW$21+
INDEX($A765:$BM765,,$BV$22)*$BW$22+
INDEX($A765:$BM765,,$BV$23)*$BW$23+
INDEX($A765:$BM765,,$BV$25)*$BW$25+
INDEX($A765:$BM765,,$BV$26)*$BW$26+
INDEX($A765:$BM765,,$BV$27)*$BW$27+
$BN765)),
$BN765-100)</f>
        <v>-100</v>
      </c>
      <c r="BB765">
        <f t="shared" si="154"/>
        <v>0</v>
      </c>
      <c r="BC765">
        <f t="shared" si="150"/>
        <v>0</v>
      </c>
      <c r="BD765" s="430">
        <f>IFERROR(
IF(BB765="",-100,
IF($BV$2&gt;0, INDEX(Beersheet!$A:$U,MATCH(BB765,INDEX(Beersheet!$A:$U,0,FFARawStatProjections!$BV$2),0),$BV$3)+$BN765,
INDEX($A765:$BM765,,$BV$12)*$BW$12+
INDEX($A765:$BM765,,$BV$15)*$BW$15+
INDEX($A765:$BM765,,$BV$16)*$BW$16+
INDEX($A765:$BM765,,$BV$17)*$BW$17+
INDEX($A765:$BM765,,$BV$18)*$BW$18+
INDEX($A765:$BM765,,$BV$19)*$BW$19+
INDEX($A765:$BM765,,$BV$20)*$BW$20+
INDEX($A765:$BM765,,$BV$21)*$BW$21+
INDEX($A765:$BM765,,$BV$22)*$BW$22+
INDEX($A765:$BM765,,$BV$23)*$BW$23+
INDEX($A765:$BM765,,$BV$25)*$BW$25+
INDEX($A765:$BM765,,$BV$26)*$BW$26+
INDEX($A765:$BM765,,$BV$27)*$BW$27+
$BN765)),
$BN765-100)</f>
        <v>7.6400000000000296E-3</v>
      </c>
      <c r="BF765" t="str">
        <f t="shared" si="155"/>
        <v/>
      </c>
      <c r="BG765" t="str">
        <f t="shared" si="151"/>
        <v/>
      </c>
      <c r="BH765">
        <f t="shared" si="156"/>
        <v>0</v>
      </c>
      <c r="BJ765" t="str">
        <f t="shared" si="157"/>
        <v/>
      </c>
      <c r="BL765">
        <f t="shared" si="158"/>
        <v>0</v>
      </c>
      <c r="BN765">
        <v>7.6400000000000296E-3</v>
      </c>
    </row>
    <row r="766" spans="1:66" ht="15.75" thickBot="1" x14ac:dyDescent="0.3">
      <c r="A766" s="569"/>
      <c r="B766" s="569"/>
      <c r="C766" s="569"/>
      <c r="D766" s="569"/>
      <c r="E766" s="569"/>
      <c r="F766" s="569"/>
      <c r="G766" s="569"/>
      <c r="H766" s="569"/>
      <c r="I766" s="574">
        <v>0</v>
      </c>
      <c r="J766" s="574">
        <v>0</v>
      </c>
      <c r="K766" s="574">
        <v>0</v>
      </c>
      <c r="L766" s="574">
        <v>0</v>
      </c>
      <c r="M766" s="574">
        <v>0</v>
      </c>
      <c r="N766" s="574">
        <v>0</v>
      </c>
      <c r="O766" s="574">
        <v>0</v>
      </c>
      <c r="P766" s="574">
        <v>0</v>
      </c>
      <c r="Q766" s="574">
        <v>0</v>
      </c>
      <c r="R766" s="569"/>
      <c r="S766" s="569"/>
      <c r="T766" s="569"/>
      <c r="U766" s="569"/>
      <c r="V766" s="569"/>
      <c r="W766" s="569"/>
      <c r="X766" s="569"/>
      <c r="Y766" s="569"/>
      <c r="Z766" s="569"/>
      <c r="AA766" s="569"/>
      <c r="AB766" s="569"/>
      <c r="AC766" s="569"/>
      <c r="AD766" s="569"/>
      <c r="AE766" s="569"/>
      <c r="AF766" s="569"/>
      <c r="AG766" s="569"/>
      <c r="AH766" s="569"/>
      <c r="AI766" s="569"/>
      <c r="AJ766" s="569"/>
      <c r="AK766" s="569"/>
      <c r="AL766" s="569"/>
      <c r="AM766" s="569"/>
      <c r="AN766" s="569"/>
      <c r="AO766">
        <v>765</v>
      </c>
      <c r="AP766" t="str">
        <f t="shared" ref="AP766:AP829" si="159">IF($C766="QB",A766,"")</f>
        <v/>
      </c>
      <c r="AQ766" t="str">
        <f t="shared" ref="AQ766:AQ829" si="160">IFERROR(IF(AP766="","",$B766),"")</f>
        <v/>
      </c>
      <c r="AR766" s="430">
        <f>IFERROR(
IF(AP766="",-100,
IF($BV$2&gt;0, INDEX(Beersheet!$A:$U,MATCH(AP766,INDEX(Beersheet!$A:$U,0,FFARawStatProjections!$BV$2),0),$BV$3)+$BN766,
INDEX($A766:$BM766,,$BV$12)*$BW$12+
INDEX($A766:$BM766,,$BV$15)*$BW$15+
INDEX($A766:$BM766,,$BV$16)*$BW$16+
INDEX($A766:$BM766,,$BV$17)*$BW$17+
INDEX($A766:$BM766,,$BV$18)*$BW$18+
INDEX($A766:$BM766,,$BV$19)*$BW$19+
INDEX($A766:$BM766,,$BV$20)*$BW$20+
INDEX($A766:$BM766,,$BV$21)*$BW$21+
INDEX($A766:$BM766,,$BV$22)*$BW$22+
INDEX($A766:$BM766,,$BV$23)*$BW$23+
INDEX($A766:$BM766,,$BV$25)*$BW$25+
INDEX($A766:$BM766,,$BV$26)*$BW$26+
INDEX($A766:$BM766,,$BV$27)*$BW$27+
$BN766)),
$BN766-100)</f>
        <v>-100</v>
      </c>
      <c r="AT766" t="str">
        <f t="shared" si="152"/>
        <v/>
      </c>
      <c r="AU766" t="str">
        <f t="shared" ref="AU766:AU829" si="161">IFERROR(IF(AT766="","",$B766),"")</f>
        <v/>
      </c>
      <c r="AV766" s="430">
        <f>IFERROR(
IF(AT766="",-100,
IF($BV$2&gt;0, INDEX(Beersheet!$A:$U,MATCH(AT766,INDEX(Beersheet!$A:$U,0,FFARawStatProjections!$BV$2),0),$BV$3)+$BN766,
INDEX($A766:$BM766,,$BV$12)*$BW$12+
INDEX($A766:$BM766,,$BV$15)*$BW$15+
INDEX($A766:$BM766,,$BV$16)*$BW$16+
INDEX($A766:$BM766,,$BV$17)*$BW$17+
INDEX($A766:$BM766,,$BV$18)*$BW$18+
INDEX($A766:$BM766,,$BV$19)*$BW$19+
INDEX($A766:$BM766,,$BV$20)*$BW$20+
INDEX($A766:$BM766,,$BV$21)*$BW$21+
INDEX($A766:$BM766,,$BV$22)*$BW$22+
INDEX($A766:$BM766,,$BV$23)*$BW$23+
INDEX($A766:$BM766,,$BV$25)*$BW$25+
INDEX($A766:$BM766,,$BV$26)*$BW$26+
INDEX($A766:$BM766,,$BV$27)*$BW$27+
$BN766)),
$BN766-100)</f>
        <v>-100</v>
      </c>
      <c r="AX766" t="str">
        <f t="shared" si="153"/>
        <v/>
      </c>
      <c r="AY766" t="str">
        <f t="shared" ref="AY766:AY829" si="162">IFERROR(IF(AX766="","",$B766),"")</f>
        <v/>
      </c>
      <c r="AZ766" s="430">
        <f>IFERROR(
IF(AX766="",-100,
IF($BV$2&gt;0, INDEX(Beersheet!$A:$U,MATCH(AX766,INDEX(Beersheet!$A:$U,0,FFARawStatProjections!$BV$2),0),$BV$3)+$BN766,
INDEX($A766:$BM766,,$BV$12)*$BW$12+
INDEX($A766:$BM766,,$BV$15)*$BW$15+
INDEX($A766:$BM766,,$BV$16)*$BW$16+
INDEX($A766:$BM766,,$BV$17)*$BW$17+
INDEX($A766:$BM766,,$BV$18)*$BW$18+
INDEX($A766:$BM766,,$BV$19)*$BW$19+
INDEX($A766:$BM766,,$BV$20)*$BW$20+
INDEX($A766:$BM766,,$BV$21)*$BW$21+
INDEX($A766:$BM766,,$BV$22)*$BW$22+
INDEX($A766:$BM766,,$BV$23)*$BW$23+
INDEX($A766:$BM766,,$BV$25)*$BW$25+
INDEX($A766:$BM766,,$BV$26)*$BW$26+
INDEX($A766:$BM766,,$BV$27)*$BW$27+
$BN766)),
$BN766-100)</f>
        <v>-100</v>
      </c>
      <c r="BB766" t="str">
        <f t="shared" si="154"/>
        <v/>
      </c>
      <c r="BC766" t="str">
        <f t="shared" ref="BC766:BC829" si="163">IFERROR(IF(BB766="","",$B766),"")</f>
        <v/>
      </c>
      <c r="BD766" s="430">
        <f>IFERROR(
IF(BB766="",-100,
IF($BV$2&gt;0, INDEX(Beersheet!$A:$U,MATCH(BB766,INDEX(Beersheet!$A:$U,0,FFARawStatProjections!$BV$2),0),$BV$3)+$BN766,
INDEX($A766:$BM766,,$BV$12)*$BW$12+
INDEX($A766:$BM766,,$BV$15)*$BW$15+
INDEX($A766:$BM766,,$BV$16)*$BW$16+
INDEX($A766:$BM766,,$BV$17)*$BW$17+
INDEX($A766:$BM766,,$BV$18)*$BW$18+
INDEX($A766:$BM766,,$BV$19)*$BW$19+
INDEX($A766:$BM766,,$BV$20)*$BW$20+
INDEX($A766:$BM766,,$BV$21)*$BW$21+
INDEX($A766:$BM766,,$BV$22)*$BW$22+
INDEX($A766:$BM766,,$BV$23)*$BW$23+
INDEX($A766:$BM766,,$BV$25)*$BW$25+
INDEX($A766:$BM766,,$BV$26)*$BW$26+
INDEX($A766:$BM766,,$BV$27)*$BW$27+
$BN766)),
$BN766-100)</f>
        <v>-100</v>
      </c>
      <c r="BF766" t="str">
        <f t="shared" si="155"/>
        <v/>
      </c>
      <c r="BG766" t="str">
        <f t="shared" ref="BG766:BG829" si="164">IFERROR(IF(BF766="","",$B766),"")</f>
        <v/>
      </c>
      <c r="BH766">
        <f t="shared" si="156"/>
        <v>0</v>
      </c>
      <c r="BJ766" t="str">
        <f t="shared" si="157"/>
        <v/>
      </c>
      <c r="BL766">
        <f t="shared" si="158"/>
        <v>0</v>
      </c>
      <c r="BN766">
        <v>7.65000000000003E-3</v>
      </c>
    </row>
    <row r="767" spans="1:66" ht="15.75" thickBot="1" x14ac:dyDescent="0.3">
      <c r="A767" s="569" t="s">
        <v>2383</v>
      </c>
      <c r="B767" s="569" t="s">
        <v>155</v>
      </c>
      <c r="C767" s="569" t="s">
        <v>11</v>
      </c>
      <c r="D767" s="574">
        <v>9</v>
      </c>
      <c r="E767" s="569"/>
      <c r="F767" s="569"/>
      <c r="G767" s="569"/>
      <c r="H767" s="569"/>
      <c r="I767" s="574">
        <v>0</v>
      </c>
      <c r="J767" s="574">
        <v>0</v>
      </c>
      <c r="K767" s="574">
        <v>0</v>
      </c>
      <c r="L767" s="574">
        <v>0</v>
      </c>
      <c r="M767" s="574">
        <v>0</v>
      </c>
      <c r="N767" s="574">
        <v>0</v>
      </c>
      <c r="O767" s="574">
        <v>0</v>
      </c>
      <c r="P767" s="574">
        <v>0</v>
      </c>
      <c r="Q767" s="574">
        <v>0</v>
      </c>
      <c r="R767" s="569"/>
      <c r="S767" s="569"/>
      <c r="T767" s="569"/>
      <c r="U767" s="569"/>
      <c r="V767" s="569"/>
      <c r="W767" s="569"/>
      <c r="X767" s="569"/>
      <c r="Y767" s="569"/>
      <c r="Z767" s="569"/>
      <c r="AA767" s="569"/>
      <c r="AB767" s="569"/>
      <c r="AC767" s="569"/>
      <c r="AD767" s="569"/>
      <c r="AE767" s="569"/>
      <c r="AF767" s="569"/>
      <c r="AG767" s="569"/>
      <c r="AH767" s="569"/>
      <c r="AI767" s="569"/>
      <c r="AJ767" s="569"/>
      <c r="AK767" s="569"/>
      <c r="AL767" s="569"/>
      <c r="AM767" s="569"/>
      <c r="AN767" s="574">
        <v>130.5</v>
      </c>
      <c r="AO767">
        <v>766</v>
      </c>
      <c r="AP767" t="str">
        <f t="shared" si="159"/>
        <v/>
      </c>
      <c r="AQ767" t="str">
        <f t="shared" si="160"/>
        <v/>
      </c>
      <c r="AR767" s="430">
        <f>IFERROR(
IF(AP767="",-100,
IF($BV$2&gt;0, INDEX(Beersheet!$A:$U,MATCH(AP767,INDEX(Beersheet!$A:$U,0,FFARawStatProjections!$BV$2),0),$BV$3)+$BN767,
INDEX($A767:$BM767,,$BV$12)*$BW$12+
INDEX($A767:$BM767,,$BV$15)*$BW$15+
INDEX($A767:$BM767,,$BV$16)*$BW$16+
INDEX($A767:$BM767,,$BV$17)*$BW$17+
INDEX($A767:$BM767,,$BV$18)*$BW$18+
INDEX($A767:$BM767,,$BV$19)*$BW$19+
INDEX($A767:$BM767,,$BV$20)*$BW$20+
INDEX($A767:$BM767,,$BV$21)*$BW$21+
INDEX($A767:$BM767,,$BV$22)*$BW$22+
INDEX($A767:$BM767,,$BV$23)*$BW$23+
INDEX($A767:$BM767,,$BV$25)*$BW$25+
INDEX($A767:$BM767,,$BV$26)*$BW$26+
INDEX($A767:$BM767,,$BV$27)*$BW$27+
$BN767)),
$BN767-100)</f>
        <v>-100</v>
      </c>
      <c r="AT767" t="str">
        <f t="shared" si="152"/>
        <v/>
      </c>
      <c r="AU767" t="str">
        <f t="shared" si="161"/>
        <v/>
      </c>
      <c r="AV767" s="430">
        <f>IFERROR(
IF(AT767="",-100,
IF($BV$2&gt;0, INDEX(Beersheet!$A:$U,MATCH(AT767,INDEX(Beersheet!$A:$U,0,FFARawStatProjections!$BV$2),0),$BV$3)+$BN767,
INDEX($A767:$BM767,,$BV$12)*$BW$12+
INDEX($A767:$BM767,,$BV$15)*$BW$15+
INDEX($A767:$BM767,,$BV$16)*$BW$16+
INDEX($A767:$BM767,,$BV$17)*$BW$17+
INDEX($A767:$BM767,,$BV$18)*$BW$18+
INDEX($A767:$BM767,,$BV$19)*$BW$19+
INDEX($A767:$BM767,,$BV$20)*$BW$20+
INDEX($A767:$BM767,,$BV$21)*$BW$21+
INDEX($A767:$BM767,,$BV$22)*$BW$22+
INDEX($A767:$BM767,,$BV$23)*$BW$23+
INDEX($A767:$BM767,,$BV$25)*$BW$25+
INDEX($A767:$BM767,,$BV$26)*$BW$26+
INDEX($A767:$BM767,,$BV$27)*$BW$27+
$BN767)),
$BN767-100)</f>
        <v>-100</v>
      </c>
      <c r="AX767" t="str">
        <f t="shared" si="153"/>
        <v/>
      </c>
      <c r="AY767" t="str">
        <f t="shared" si="162"/>
        <v/>
      </c>
      <c r="AZ767" s="430">
        <f>IFERROR(
IF(AX767="",-100,
IF($BV$2&gt;0, INDEX(Beersheet!$A:$U,MATCH(AX767,INDEX(Beersheet!$A:$U,0,FFARawStatProjections!$BV$2),0),$BV$3)+$BN767,
INDEX($A767:$BM767,,$BV$12)*$BW$12+
INDEX($A767:$BM767,,$BV$15)*$BW$15+
INDEX($A767:$BM767,,$BV$16)*$BW$16+
INDEX($A767:$BM767,,$BV$17)*$BW$17+
INDEX($A767:$BM767,,$BV$18)*$BW$18+
INDEX($A767:$BM767,,$BV$19)*$BW$19+
INDEX($A767:$BM767,,$BV$20)*$BW$20+
INDEX($A767:$BM767,,$BV$21)*$BW$21+
INDEX($A767:$BM767,,$BV$22)*$BW$22+
INDEX($A767:$BM767,,$BV$23)*$BW$23+
INDEX($A767:$BM767,,$BV$25)*$BW$25+
INDEX($A767:$BM767,,$BV$26)*$BW$26+
INDEX($A767:$BM767,,$BV$27)*$BW$27+
$BN767)),
$BN767-100)</f>
        <v>-100</v>
      </c>
      <c r="BB767" t="str">
        <f t="shared" si="154"/>
        <v/>
      </c>
      <c r="BC767" t="str">
        <f t="shared" si="163"/>
        <v/>
      </c>
      <c r="BD767" s="430">
        <f>IFERROR(
IF(BB767="",-100,
IF($BV$2&gt;0, INDEX(Beersheet!$A:$U,MATCH(BB767,INDEX(Beersheet!$A:$U,0,FFARawStatProjections!$BV$2),0),$BV$3)+$BN767,
INDEX($A767:$BM767,,$BV$12)*$BW$12+
INDEX($A767:$BM767,,$BV$15)*$BW$15+
INDEX($A767:$BM767,,$BV$16)*$BW$16+
INDEX($A767:$BM767,,$BV$17)*$BW$17+
INDEX($A767:$BM767,,$BV$18)*$BW$18+
INDEX($A767:$BM767,,$BV$19)*$BW$19+
INDEX($A767:$BM767,,$BV$20)*$BW$20+
INDEX($A767:$BM767,,$BV$21)*$BW$21+
INDEX($A767:$BM767,,$BV$22)*$BW$22+
INDEX($A767:$BM767,,$BV$23)*$BW$23+
INDEX($A767:$BM767,,$BV$25)*$BW$25+
INDEX($A767:$BM767,,$BV$26)*$BW$26+
INDEX($A767:$BM767,,$BV$27)*$BW$27+
$BN767)),
$BN767-100)</f>
        <v>-100</v>
      </c>
      <c r="BF767" t="str">
        <f t="shared" si="155"/>
        <v>Zane Gonzalez</v>
      </c>
      <c r="BG767" t="str">
        <f t="shared" si="164"/>
        <v>SF</v>
      </c>
      <c r="BH767">
        <f t="shared" si="156"/>
        <v>130.50765999999999</v>
      </c>
      <c r="BJ767" t="str">
        <f t="shared" si="157"/>
        <v/>
      </c>
      <c r="BL767">
        <f t="shared" si="158"/>
        <v>0</v>
      </c>
      <c r="BN767">
        <v>7.6600000000000296E-3</v>
      </c>
    </row>
    <row r="768" spans="1:66" ht="15.75" thickBot="1" x14ac:dyDescent="0.3">
      <c r="A768" s="569" t="s">
        <v>1872</v>
      </c>
      <c r="B768" s="569" t="s">
        <v>138</v>
      </c>
      <c r="C768" s="569" t="s">
        <v>11</v>
      </c>
      <c r="D768" s="574">
        <v>13</v>
      </c>
      <c r="E768" s="569"/>
      <c r="F768" s="569"/>
      <c r="G768" s="569"/>
      <c r="H768" s="569"/>
      <c r="I768" s="574">
        <v>0</v>
      </c>
      <c r="J768" s="574">
        <v>0</v>
      </c>
      <c r="K768" s="574">
        <v>0</v>
      </c>
      <c r="L768" s="574">
        <v>0</v>
      </c>
      <c r="M768" s="574">
        <v>0</v>
      </c>
      <c r="N768" s="574">
        <v>0</v>
      </c>
      <c r="O768" s="574">
        <v>0</v>
      </c>
      <c r="P768" s="574">
        <v>0</v>
      </c>
      <c r="Q768" s="574">
        <v>0</v>
      </c>
      <c r="R768" s="569"/>
      <c r="S768" s="569"/>
      <c r="T768" s="569"/>
      <c r="U768" s="569"/>
      <c r="V768" s="569"/>
      <c r="W768" s="569"/>
      <c r="X768" s="569"/>
      <c r="Y768" s="569"/>
      <c r="Z768" s="569"/>
      <c r="AA768" s="569"/>
      <c r="AB768" s="569"/>
      <c r="AC768" s="569"/>
      <c r="AD768" s="569"/>
      <c r="AE768" s="569"/>
      <c r="AF768" s="569"/>
      <c r="AG768" s="569"/>
      <c r="AH768" s="569"/>
      <c r="AI768" s="569"/>
      <c r="AJ768" s="569"/>
      <c r="AK768" s="569"/>
      <c r="AL768" s="569"/>
      <c r="AM768" s="569"/>
      <c r="AN768" s="574">
        <v>124.9</v>
      </c>
      <c r="AO768">
        <v>767</v>
      </c>
      <c r="AP768" t="str">
        <f t="shared" si="159"/>
        <v/>
      </c>
      <c r="AQ768" t="str">
        <f t="shared" si="160"/>
        <v/>
      </c>
      <c r="AR768" s="430">
        <f>IFERROR(
IF(AP768="",-100,
IF($BV$2&gt;0, INDEX(Beersheet!$A:$U,MATCH(AP768,INDEX(Beersheet!$A:$U,0,FFARawStatProjections!$BV$2),0),$BV$3)+$BN768,
INDEX($A768:$BM768,,$BV$12)*$BW$12+
INDEX($A768:$BM768,,$BV$15)*$BW$15+
INDEX($A768:$BM768,,$BV$16)*$BW$16+
INDEX($A768:$BM768,,$BV$17)*$BW$17+
INDEX($A768:$BM768,,$BV$18)*$BW$18+
INDEX($A768:$BM768,,$BV$19)*$BW$19+
INDEX($A768:$BM768,,$BV$20)*$BW$20+
INDEX($A768:$BM768,,$BV$21)*$BW$21+
INDEX($A768:$BM768,,$BV$22)*$BW$22+
INDEX($A768:$BM768,,$BV$23)*$BW$23+
INDEX($A768:$BM768,,$BV$25)*$BW$25+
INDEX($A768:$BM768,,$BV$26)*$BW$26+
INDEX($A768:$BM768,,$BV$27)*$BW$27+
$BN768)),
$BN768-100)</f>
        <v>-100</v>
      </c>
      <c r="AT768" t="str">
        <f t="shared" si="152"/>
        <v/>
      </c>
      <c r="AU768" t="str">
        <f t="shared" si="161"/>
        <v/>
      </c>
      <c r="AV768" s="430">
        <f>IFERROR(
IF(AT768="",-100,
IF($BV$2&gt;0, INDEX(Beersheet!$A:$U,MATCH(AT768,INDEX(Beersheet!$A:$U,0,FFARawStatProjections!$BV$2),0),$BV$3)+$BN768,
INDEX($A768:$BM768,,$BV$12)*$BW$12+
INDEX($A768:$BM768,,$BV$15)*$BW$15+
INDEX($A768:$BM768,,$BV$16)*$BW$16+
INDEX($A768:$BM768,,$BV$17)*$BW$17+
INDEX($A768:$BM768,,$BV$18)*$BW$18+
INDEX($A768:$BM768,,$BV$19)*$BW$19+
INDEX($A768:$BM768,,$BV$20)*$BW$20+
INDEX($A768:$BM768,,$BV$21)*$BW$21+
INDEX($A768:$BM768,,$BV$22)*$BW$22+
INDEX($A768:$BM768,,$BV$23)*$BW$23+
INDEX($A768:$BM768,,$BV$25)*$BW$25+
INDEX($A768:$BM768,,$BV$26)*$BW$26+
INDEX($A768:$BM768,,$BV$27)*$BW$27+
$BN768)),
$BN768-100)</f>
        <v>-100</v>
      </c>
      <c r="AX768" t="str">
        <f t="shared" si="153"/>
        <v/>
      </c>
      <c r="AY768" t="str">
        <f t="shared" si="162"/>
        <v/>
      </c>
      <c r="AZ768" s="430">
        <f>IFERROR(
IF(AX768="",-100,
IF($BV$2&gt;0, INDEX(Beersheet!$A:$U,MATCH(AX768,INDEX(Beersheet!$A:$U,0,FFARawStatProjections!$BV$2),0),$BV$3)+$BN768,
INDEX($A768:$BM768,,$BV$12)*$BW$12+
INDEX($A768:$BM768,,$BV$15)*$BW$15+
INDEX($A768:$BM768,,$BV$16)*$BW$16+
INDEX($A768:$BM768,,$BV$17)*$BW$17+
INDEX($A768:$BM768,,$BV$18)*$BW$18+
INDEX($A768:$BM768,,$BV$19)*$BW$19+
INDEX($A768:$BM768,,$BV$20)*$BW$20+
INDEX($A768:$BM768,,$BV$21)*$BW$21+
INDEX($A768:$BM768,,$BV$22)*$BW$22+
INDEX($A768:$BM768,,$BV$23)*$BW$23+
INDEX($A768:$BM768,,$BV$25)*$BW$25+
INDEX($A768:$BM768,,$BV$26)*$BW$26+
INDEX($A768:$BM768,,$BV$27)*$BW$27+
$BN768)),
$BN768-100)</f>
        <v>-100</v>
      </c>
      <c r="BB768" t="str">
        <f t="shared" si="154"/>
        <v/>
      </c>
      <c r="BC768" t="str">
        <f t="shared" si="163"/>
        <v/>
      </c>
      <c r="BD768" s="430">
        <f>IFERROR(
IF(BB768="",-100,
IF($BV$2&gt;0, INDEX(Beersheet!$A:$U,MATCH(BB768,INDEX(Beersheet!$A:$U,0,FFARawStatProjections!$BV$2),0),$BV$3)+$BN768,
INDEX($A768:$BM768,,$BV$12)*$BW$12+
INDEX($A768:$BM768,,$BV$15)*$BW$15+
INDEX($A768:$BM768,,$BV$16)*$BW$16+
INDEX($A768:$BM768,,$BV$17)*$BW$17+
INDEX($A768:$BM768,,$BV$18)*$BW$18+
INDEX($A768:$BM768,,$BV$19)*$BW$19+
INDEX($A768:$BM768,,$BV$20)*$BW$20+
INDEX($A768:$BM768,,$BV$21)*$BW$21+
INDEX($A768:$BM768,,$BV$22)*$BW$22+
INDEX($A768:$BM768,,$BV$23)*$BW$23+
INDEX($A768:$BM768,,$BV$25)*$BW$25+
INDEX($A768:$BM768,,$BV$26)*$BW$26+
INDEX($A768:$BM768,,$BV$27)*$BW$27+
$BN768)),
$BN768-100)</f>
        <v>-100</v>
      </c>
      <c r="BF768" t="str">
        <f t="shared" si="155"/>
        <v>Greg Joseph</v>
      </c>
      <c r="BG768" t="str">
        <f t="shared" si="164"/>
        <v>MIN</v>
      </c>
      <c r="BH768">
        <f t="shared" si="156"/>
        <v>124.90767000000001</v>
      </c>
      <c r="BJ768" t="str">
        <f t="shared" si="157"/>
        <v/>
      </c>
      <c r="BL768">
        <f t="shared" si="158"/>
        <v>0</v>
      </c>
      <c r="BN768">
        <v>7.6700000000000301E-3</v>
      </c>
    </row>
    <row r="769" spans="1:66" ht="15.75" thickBot="1" x14ac:dyDescent="0.3">
      <c r="A769" s="569" t="s">
        <v>19</v>
      </c>
      <c r="B769" s="569" t="s">
        <v>162</v>
      </c>
      <c r="C769" s="569" t="s">
        <v>11</v>
      </c>
      <c r="D769" s="574">
        <v>13</v>
      </c>
      <c r="E769" s="569"/>
      <c r="F769" s="569"/>
      <c r="G769" s="569"/>
      <c r="H769" s="569"/>
      <c r="I769" s="574">
        <v>0</v>
      </c>
      <c r="J769" s="574">
        <v>0</v>
      </c>
      <c r="K769" s="574">
        <v>0</v>
      </c>
      <c r="L769" s="574">
        <v>0</v>
      </c>
      <c r="M769" s="574">
        <v>0</v>
      </c>
      <c r="N769" s="574">
        <v>0</v>
      </c>
      <c r="O769" s="574">
        <v>0</v>
      </c>
      <c r="P769" s="574">
        <v>0</v>
      </c>
      <c r="Q769" s="574">
        <v>0</v>
      </c>
      <c r="R769" s="569"/>
      <c r="S769" s="569"/>
      <c r="T769" s="569"/>
      <c r="U769" s="569"/>
      <c r="V769" s="569"/>
      <c r="W769" s="569"/>
      <c r="X769" s="569"/>
      <c r="Y769" s="569"/>
      <c r="Z769" s="569"/>
      <c r="AA769" s="569"/>
      <c r="AB769" s="569"/>
      <c r="AC769" s="569"/>
      <c r="AD769" s="569"/>
      <c r="AE769" s="569"/>
      <c r="AF769" s="569"/>
      <c r="AG769" s="569"/>
      <c r="AH769" s="569"/>
      <c r="AI769" s="569"/>
      <c r="AJ769" s="569"/>
      <c r="AK769" s="569"/>
      <c r="AL769" s="569"/>
      <c r="AM769" s="569"/>
      <c r="AN769" s="574">
        <v>124.3</v>
      </c>
      <c r="AO769">
        <v>768</v>
      </c>
      <c r="AP769" t="str">
        <f t="shared" si="159"/>
        <v/>
      </c>
      <c r="AQ769" t="str">
        <f t="shared" si="160"/>
        <v/>
      </c>
      <c r="AR769" s="430">
        <f>IFERROR(
IF(AP769="",-100,
IF($BV$2&gt;0, INDEX(Beersheet!$A:$U,MATCH(AP769,INDEX(Beersheet!$A:$U,0,FFARawStatProjections!$BV$2),0),$BV$3)+$BN769,
INDEX($A769:$BM769,,$BV$12)*$BW$12+
INDEX($A769:$BM769,,$BV$15)*$BW$15+
INDEX($A769:$BM769,,$BV$16)*$BW$16+
INDEX($A769:$BM769,,$BV$17)*$BW$17+
INDEX($A769:$BM769,,$BV$18)*$BW$18+
INDEX($A769:$BM769,,$BV$19)*$BW$19+
INDEX($A769:$BM769,,$BV$20)*$BW$20+
INDEX($A769:$BM769,,$BV$21)*$BW$21+
INDEX($A769:$BM769,,$BV$22)*$BW$22+
INDEX($A769:$BM769,,$BV$23)*$BW$23+
INDEX($A769:$BM769,,$BV$25)*$BW$25+
INDEX($A769:$BM769,,$BV$26)*$BW$26+
INDEX($A769:$BM769,,$BV$27)*$BW$27+
$BN769)),
$BN769-100)</f>
        <v>-100</v>
      </c>
      <c r="AT769" t="str">
        <f t="shared" si="152"/>
        <v/>
      </c>
      <c r="AU769" t="str">
        <f t="shared" si="161"/>
        <v/>
      </c>
      <c r="AV769" s="430">
        <f>IFERROR(
IF(AT769="",-100,
IF($BV$2&gt;0, INDEX(Beersheet!$A:$U,MATCH(AT769,INDEX(Beersheet!$A:$U,0,FFARawStatProjections!$BV$2),0),$BV$3)+$BN769,
INDEX($A769:$BM769,,$BV$12)*$BW$12+
INDEX($A769:$BM769,,$BV$15)*$BW$15+
INDEX($A769:$BM769,,$BV$16)*$BW$16+
INDEX($A769:$BM769,,$BV$17)*$BW$17+
INDEX($A769:$BM769,,$BV$18)*$BW$18+
INDEX($A769:$BM769,,$BV$19)*$BW$19+
INDEX($A769:$BM769,,$BV$20)*$BW$20+
INDEX($A769:$BM769,,$BV$21)*$BW$21+
INDEX($A769:$BM769,,$BV$22)*$BW$22+
INDEX($A769:$BM769,,$BV$23)*$BW$23+
INDEX($A769:$BM769,,$BV$25)*$BW$25+
INDEX($A769:$BM769,,$BV$26)*$BW$26+
INDEX($A769:$BM769,,$BV$27)*$BW$27+
$BN769)),
$BN769-100)</f>
        <v>-100</v>
      </c>
      <c r="AX769" t="str">
        <f t="shared" si="153"/>
        <v/>
      </c>
      <c r="AY769" t="str">
        <f t="shared" si="162"/>
        <v/>
      </c>
      <c r="AZ769" s="430">
        <f>IFERROR(
IF(AX769="",-100,
IF($BV$2&gt;0, INDEX(Beersheet!$A:$U,MATCH(AX769,INDEX(Beersheet!$A:$U,0,FFARawStatProjections!$BV$2),0),$BV$3)+$BN769,
INDEX($A769:$BM769,,$BV$12)*$BW$12+
INDEX($A769:$BM769,,$BV$15)*$BW$15+
INDEX($A769:$BM769,,$BV$16)*$BW$16+
INDEX($A769:$BM769,,$BV$17)*$BW$17+
INDEX($A769:$BM769,,$BV$18)*$BW$18+
INDEX($A769:$BM769,,$BV$19)*$BW$19+
INDEX($A769:$BM769,,$BV$20)*$BW$20+
INDEX($A769:$BM769,,$BV$21)*$BW$21+
INDEX($A769:$BM769,,$BV$22)*$BW$22+
INDEX($A769:$BM769,,$BV$23)*$BW$23+
INDEX($A769:$BM769,,$BV$25)*$BW$25+
INDEX($A769:$BM769,,$BV$26)*$BW$26+
INDEX($A769:$BM769,,$BV$27)*$BW$27+
$BN769)),
$BN769-100)</f>
        <v>-100</v>
      </c>
      <c r="BB769" t="str">
        <f t="shared" si="154"/>
        <v/>
      </c>
      <c r="BC769" t="str">
        <f t="shared" si="163"/>
        <v/>
      </c>
      <c r="BD769" s="430">
        <f>IFERROR(
IF(BB769="",-100,
IF($BV$2&gt;0, INDEX(Beersheet!$A:$U,MATCH(BB769,INDEX(Beersheet!$A:$U,0,FFARawStatProjections!$BV$2),0),$BV$3)+$BN769,
INDEX($A769:$BM769,,$BV$12)*$BW$12+
INDEX($A769:$BM769,,$BV$15)*$BW$15+
INDEX($A769:$BM769,,$BV$16)*$BW$16+
INDEX($A769:$BM769,,$BV$17)*$BW$17+
INDEX($A769:$BM769,,$BV$18)*$BW$18+
INDEX($A769:$BM769,,$BV$19)*$BW$19+
INDEX($A769:$BM769,,$BV$20)*$BW$20+
INDEX($A769:$BM769,,$BV$21)*$BW$21+
INDEX($A769:$BM769,,$BV$22)*$BW$22+
INDEX($A769:$BM769,,$BV$23)*$BW$23+
INDEX($A769:$BM769,,$BV$25)*$BW$25+
INDEX($A769:$BM769,,$BV$26)*$BW$26+
INDEX($A769:$BM769,,$BV$27)*$BW$27+
$BN769)),
$BN769-100)</f>
        <v>-100</v>
      </c>
      <c r="BF769" t="str">
        <f t="shared" si="155"/>
        <v>Justin Tucker</v>
      </c>
      <c r="BG769" t="str">
        <f t="shared" si="164"/>
        <v>BAL</v>
      </c>
      <c r="BH769">
        <f t="shared" si="156"/>
        <v>124.30767999999999</v>
      </c>
      <c r="BJ769" t="str">
        <f t="shared" si="157"/>
        <v/>
      </c>
      <c r="BL769">
        <f t="shared" si="158"/>
        <v>0</v>
      </c>
      <c r="BN769">
        <v>7.6800000000000297E-3</v>
      </c>
    </row>
    <row r="770" spans="1:66" ht="15.75" thickBot="1" x14ac:dyDescent="0.3">
      <c r="A770" s="569" t="s">
        <v>1215</v>
      </c>
      <c r="B770" s="569" t="s">
        <v>140</v>
      </c>
      <c r="C770" s="569" t="s">
        <v>11</v>
      </c>
      <c r="D770" s="574">
        <v>5</v>
      </c>
      <c r="E770" s="569"/>
      <c r="F770" s="569"/>
      <c r="G770" s="569"/>
      <c r="H770" s="569"/>
      <c r="I770" s="574">
        <v>0</v>
      </c>
      <c r="J770" s="574">
        <v>0</v>
      </c>
      <c r="K770" s="574">
        <v>0</v>
      </c>
      <c r="L770" s="574">
        <v>0</v>
      </c>
      <c r="M770" s="574">
        <v>0</v>
      </c>
      <c r="N770" s="574">
        <v>0</v>
      </c>
      <c r="O770" s="574">
        <v>0</v>
      </c>
      <c r="P770" s="574">
        <v>0</v>
      </c>
      <c r="Q770" s="574">
        <v>0</v>
      </c>
      <c r="R770" s="569"/>
      <c r="S770" s="569"/>
      <c r="T770" s="569"/>
      <c r="U770" s="569"/>
      <c r="V770" s="569"/>
      <c r="W770" s="569"/>
      <c r="X770" s="569"/>
      <c r="Y770" s="569"/>
      <c r="Z770" s="569"/>
      <c r="AA770" s="569"/>
      <c r="AB770" s="569"/>
      <c r="AC770" s="569"/>
      <c r="AD770" s="569"/>
      <c r="AE770" s="569"/>
      <c r="AF770" s="569"/>
      <c r="AG770" s="569"/>
      <c r="AH770" s="569"/>
      <c r="AI770" s="569"/>
      <c r="AJ770" s="569"/>
      <c r="AK770" s="569"/>
      <c r="AL770" s="569"/>
      <c r="AM770" s="569"/>
      <c r="AN770" s="574">
        <v>124.3</v>
      </c>
      <c r="AO770">
        <v>769</v>
      </c>
      <c r="AP770" t="str">
        <f t="shared" si="159"/>
        <v/>
      </c>
      <c r="AQ770" t="str">
        <f t="shared" si="160"/>
        <v/>
      </c>
      <c r="AR770" s="430">
        <f>IFERROR(
IF(AP770="",-100,
IF($BV$2&gt;0, INDEX(Beersheet!$A:$U,MATCH(AP770,INDEX(Beersheet!$A:$U,0,FFARawStatProjections!$BV$2),0),$BV$3)+$BN770,
INDEX($A770:$BM770,,$BV$12)*$BW$12+
INDEX($A770:$BM770,,$BV$15)*$BW$15+
INDEX($A770:$BM770,,$BV$16)*$BW$16+
INDEX($A770:$BM770,,$BV$17)*$BW$17+
INDEX($A770:$BM770,,$BV$18)*$BW$18+
INDEX($A770:$BM770,,$BV$19)*$BW$19+
INDEX($A770:$BM770,,$BV$20)*$BW$20+
INDEX($A770:$BM770,,$BV$21)*$BW$21+
INDEX($A770:$BM770,,$BV$22)*$BW$22+
INDEX($A770:$BM770,,$BV$23)*$BW$23+
INDEX($A770:$BM770,,$BV$25)*$BW$25+
INDEX($A770:$BM770,,$BV$26)*$BW$26+
INDEX($A770:$BM770,,$BV$27)*$BW$27+
$BN770)),
$BN770-100)</f>
        <v>-100</v>
      </c>
      <c r="AT770" t="str">
        <f t="shared" si="152"/>
        <v/>
      </c>
      <c r="AU770" t="str">
        <f t="shared" si="161"/>
        <v/>
      </c>
      <c r="AV770" s="430">
        <f>IFERROR(
IF(AT770="",-100,
IF($BV$2&gt;0, INDEX(Beersheet!$A:$U,MATCH(AT770,INDEX(Beersheet!$A:$U,0,FFARawStatProjections!$BV$2),0),$BV$3)+$BN770,
INDEX($A770:$BM770,,$BV$12)*$BW$12+
INDEX($A770:$BM770,,$BV$15)*$BW$15+
INDEX($A770:$BM770,,$BV$16)*$BW$16+
INDEX($A770:$BM770,,$BV$17)*$BW$17+
INDEX($A770:$BM770,,$BV$18)*$BW$18+
INDEX($A770:$BM770,,$BV$19)*$BW$19+
INDEX($A770:$BM770,,$BV$20)*$BW$20+
INDEX($A770:$BM770,,$BV$21)*$BW$21+
INDEX($A770:$BM770,,$BV$22)*$BW$22+
INDEX($A770:$BM770,,$BV$23)*$BW$23+
INDEX($A770:$BM770,,$BV$25)*$BW$25+
INDEX($A770:$BM770,,$BV$26)*$BW$26+
INDEX($A770:$BM770,,$BV$27)*$BW$27+
$BN770)),
$BN770-100)</f>
        <v>-100</v>
      </c>
      <c r="AX770" t="str">
        <f t="shared" si="153"/>
        <v/>
      </c>
      <c r="AY770" t="str">
        <f t="shared" si="162"/>
        <v/>
      </c>
      <c r="AZ770" s="430">
        <f>IFERROR(
IF(AX770="",-100,
IF($BV$2&gt;0, INDEX(Beersheet!$A:$U,MATCH(AX770,INDEX(Beersheet!$A:$U,0,FFARawStatProjections!$BV$2),0),$BV$3)+$BN770,
INDEX($A770:$BM770,,$BV$12)*$BW$12+
INDEX($A770:$BM770,,$BV$15)*$BW$15+
INDEX($A770:$BM770,,$BV$16)*$BW$16+
INDEX($A770:$BM770,,$BV$17)*$BW$17+
INDEX($A770:$BM770,,$BV$18)*$BW$18+
INDEX($A770:$BM770,,$BV$19)*$BW$19+
INDEX($A770:$BM770,,$BV$20)*$BW$20+
INDEX($A770:$BM770,,$BV$21)*$BW$21+
INDEX($A770:$BM770,,$BV$22)*$BW$22+
INDEX($A770:$BM770,,$BV$23)*$BW$23+
INDEX($A770:$BM770,,$BV$25)*$BW$25+
INDEX($A770:$BM770,,$BV$26)*$BW$26+
INDEX($A770:$BM770,,$BV$27)*$BW$27+
$BN770)),
$BN770-100)</f>
        <v>-100</v>
      </c>
      <c r="BB770" t="str">
        <f t="shared" si="154"/>
        <v/>
      </c>
      <c r="BC770" t="str">
        <f t="shared" si="163"/>
        <v/>
      </c>
      <c r="BD770" s="430">
        <f>IFERROR(
IF(BB770="",-100,
IF($BV$2&gt;0, INDEX(Beersheet!$A:$U,MATCH(BB770,INDEX(Beersheet!$A:$U,0,FFARawStatProjections!$BV$2),0),$BV$3)+$BN770,
INDEX($A770:$BM770,,$BV$12)*$BW$12+
INDEX($A770:$BM770,,$BV$15)*$BW$15+
INDEX($A770:$BM770,,$BV$16)*$BW$16+
INDEX($A770:$BM770,,$BV$17)*$BW$17+
INDEX($A770:$BM770,,$BV$18)*$BW$18+
INDEX($A770:$BM770,,$BV$19)*$BW$19+
INDEX($A770:$BM770,,$BV$20)*$BW$20+
INDEX($A770:$BM770,,$BV$21)*$BW$21+
INDEX($A770:$BM770,,$BV$22)*$BW$22+
INDEX($A770:$BM770,,$BV$23)*$BW$23+
INDEX($A770:$BM770,,$BV$25)*$BW$25+
INDEX($A770:$BM770,,$BV$26)*$BW$26+
INDEX($A770:$BM770,,$BV$27)*$BW$27+
$BN770)),
$BN770-100)</f>
        <v>-100</v>
      </c>
      <c r="BF770" t="str">
        <f t="shared" si="155"/>
        <v>Jason Myers</v>
      </c>
      <c r="BG770" t="str">
        <f t="shared" si="164"/>
        <v>SEA</v>
      </c>
      <c r="BH770">
        <f t="shared" si="156"/>
        <v>124.30768999999999</v>
      </c>
      <c r="BJ770" t="str">
        <f t="shared" si="157"/>
        <v/>
      </c>
      <c r="BL770">
        <f t="shared" si="158"/>
        <v>0</v>
      </c>
      <c r="BN770">
        <v>7.6900000000000301E-3</v>
      </c>
    </row>
    <row r="771" spans="1:66" ht="15.75" thickBot="1" x14ac:dyDescent="0.3">
      <c r="A771" s="569" t="s">
        <v>1754</v>
      </c>
      <c r="B771" s="569" t="s">
        <v>136</v>
      </c>
      <c r="C771" s="569" t="s">
        <v>11</v>
      </c>
      <c r="D771" s="574">
        <v>10</v>
      </c>
      <c r="E771" s="569"/>
      <c r="F771" s="569"/>
      <c r="G771" s="569"/>
      <c r="H771" s="569"/>
      <c r="I771" s="574">
        <v>0</v>
      </c>
      <c r="J771" s="574">
        <v>0</v>
      </c>
      <c r="K771" s="574">
        <v>0</v>
      </c>
      <c r="L771" s="574">
        <v>0</v>
      </c>
      <c r="M771" s="574">
        <v>0</v>
      </c>
      <c r="N771" s="574">
        <v>0</v>
      </c>
      <c r="O771" s="574">
        <v>0</v>
      </c>
      <c r="P771" s="574">
        <v>0</v>
      </c>
      <c r="Q771" s="574">
        <v>0</v>
      </c>
      <c r="R771" s="569"/>
      <c r="S771" s="569"/>
      <c r="T771" s="569"/>
      <c r="U771" s="569"/>
      <c r="V771" s="569"/>
      <c r="W771" s="569"/>
      <c r="X771" s="569"/>
      <c r="Y771" s="569"/>
      <c r="Z771" s="569"/>
      <c r="AA771" s="569"/>
      <c r="AB771" s="569"/>
      <c r="AC771" s="569"/>
      <c r="AD771" s="569"/>
      <c r="AE771" s="569"/>
      <c r="AF771" s="569"/>
      <c r="AG771" s="569"/>
      <c r="AH771" s="569"/>
      <c r="AI771" s="569"/>
      <c r="AJ771" s="569"/>
      <c r="AK771" s="569"/>
      <c r="AL771" s="569"/>
      <c r="AM771" s="569"/>
      <c r="AN771" s="574">
        <v>124.1</v>
      </c>
      <c r="AO771">
        <v>770</v>
      </c>
      <c r="AP771" t="str">
        <f t="shared" si="159"/>
        <v/>
      </c>
      <c r="AQ771" t="str">
        <f t="shared" si="160"/>
        <v/>
      </c>
      <c r="AR771" s="430">
        <f>IFERROR(
IF(AP771="",-100,
IF($BV$2&gt;0, INDEX(Beersheet!$A:$U,MATCH(AP771,INDEX(Beersheet!$A:$U,0,FFARawStatProjections!$BV$2),0),$BV$3)+$BN771,
INDEX($A771:$BM771,,$BV$12)*$BW$12+
INDEX($A771:$BM771,,$BV$15)*$BW$15+
INDEX($A771:$BM771,,$BV$16)*$BW$16+
INDEX($A771:$BM771,,$BV$17)*$BW$17+
INDEX($A771:$BM771,,$BV$18)*$BW$18+
INDEX($A771:$BM771,,$BV$19)*$BW$19+
INDEX($A771:$BM771,,$BV$20)*$BW$20+
INDEX($A771:$BM771,,$BV$21)*$BW$21+
INDEX($A771:$BM771,,$BV$22)*$BW$22+
INDEX($A771:$BM771,,$BV$23)*$BW$23+
INDEX($A771:$BM771,,$BV$25)*$BW$25+
INDEX($A771:$BM771,,$BV$26)*$BW$26+
INDEX($A771:$BM771,,$BV$27)*$BW$27+
$BN771)),
$BN771-100)</f>
        <v>-100</v>
      </c>
      <c r="AT771" t="str">
        <f t="shared" ref="AT771:AT834" si="165">IF($C771 = "RB", $A771, "")</f>
        <v/>
      </c>
      <c r="AU771" t="str">
        <f t="shared" si="161"/>
        <v/>
      </c>
      <c r="AV771" s="430">
        <f>IFERROR(
IF(AT771="",-100,
IF($BV$2&gt;0, INDEX(Beersheet!$A:$U,MATCH(AT771,INDEX(Beersheet!$A:$U,0,FFARawStatProjections!$BV$2),0),$BV$3)+$BN771,
INDEX($A771:$BM771,,$BV$12)*$BW$12+
INDEX($A771:$BM771,,$BV$15)*$BW$15+
INDEX($A771:$BM771,,$BV$16)*$BW$16+
INDEX($A771:$BM771,,$BV$17)*$BW$17+
INDEX($A771:$BM771,,$BV$18)*$BW$18+
INDEX($A771:$BM771,,$BV$19)*$BW$19+
INDEX($A771:$BM771,,$BV$20)*$BW$20+
INDEX($A771:$BM771,,$BV$21)*$BW$21+
INDEX($A771:$BM771,,$BV$22)*$BW$22+
INDEX($A771:$BM771,,$BV$23)*$BW$23+
INDEX($A771:$BM771,,$BV$25)*$BW$25+
INDEX($A771:$BM771,,$BV$26)*$BW$26+
INDEX($A771:$BM771,,$BV$27)*$BW$27+
$BN771)),
$BN771-100)</f>
        <v>-100</v>
      </c>
      <c r="AX771" t="str">
        <f t="shared" ref="AX771:AX834" si="166">IF($C771 = "WR", $A771, "")</f>
        <v/>
      </c>
      <c r="AY771" t="str">
        <f t="shared" si="162"/>
        <v/>
      </c>
      <c r="AZ771" s="430">
        <f>IFERROR(
IF(AX771="",-100,
IF($BV$2&gt;0, INDEX(Beersheet!$A:$U,MATCH(AX771,INDEX(Beersheet!$A:$U,0,FFARawStatProjections!$BV$2),0),$BV$3)+$BN771,
INDEX($A771:$BM771,,$BV$12)*$BW$12+
INDEX($A771:$BM771,,$BV$15)*$BW$15+
INDEX($A771:$BM771,,$BV$16)*$BW$16+
INDEX($A771:$BM771,,$BV$17)*$BW$17+
INDEX($A771:$BM771,,$BV$18)*$BW$18+
INDEX($A771:$BM771,,$BV$19)*$BW$19+
INDEX($A771:$BM771,,$BV$20)*$BW$20+
INDEX($A771:$BM771,,$BV$21)*$BW$21+
INDEX($A771:$BM771,,$BV$22)*$BW$22+
INDEX($A771:$BM771,,$BV$23)*$BW$23+
INDEX($A771:$BM771,,$BV$25)*$BW$25+
INDEX($A771:$BM771,,$BV$26)*$BW$26+
INDEX($A771:$BM771,,$BV$27)*$BW$27+
$BN771)),
$BN771-100)</f>
        <v>-100</v>
      </c>
      <c r="BB771" t="str">
        <f t="shared" ref="BB771:BB834" si="167">IF($C771 = "TE", $A771, "")</f>
        <v/>
      </c>
      <c r="BC771" t="str">
        <f t="shared" si="163"/>
        <v/>
      </c>
      <c r="BD771" s="430">
        <f>IFERROR(
IF(BB771="",-100,
IF($BV$2&gt;0, INDEX(Beersheet!$A:$U,MATCH(BB771,INDEX(Beersheet!$A:$U,0,FFARawStatProjections!$BV$2),0),$BV$3)+$BN771,
INDEX($A771:$BM771,,$BV$12)*$BW$12+
INDEX($A771:$BM771,,$BV$15)*$BW$15+
INDEX($A771:$BM771,,$BV$16)*$BW$16+
INDEX($A771:$BM771,,$BV$17)*$BW$17+
INDEX($A771:$BM771,,$BV$18)*$BW$18+
INDEX($A771:$BM771,,$BV$19)*$BW$19+
INDEX($A771:$BM771,,$BV$20)*$BW$20+
INDEX($A771:$BM771,,$BV$21)*$BW$21+
INDEX($A771:$BM771,,$BV$22)*$BW$22+
INDEX($A771:$BM771,,$BV$23)*$BW$23+
INDEX($A771:$BM771,,$BV$25)*$BW$25+
INDEX($A771:$BM771,,$BV$26)*$BW$26+
INDEX($A771:$BM771,,$BV$27)*$BW$27+
$BN771)),
$BN771-100)</f>
        <v>-100</v>
      </c>
      <c r="BF771" t="str">
        <f t="shared" ref="BF771:BF834" si="168">IF($C771 = "K", $A771, "")</f>
        <v>Harrison Butker</v>
      </c>
      <c r="BG771" t="str">
        <f t="shared" si="164"/>
        <v>KC</v>
      </c>
      <c r="BH771">
        <f t="shared" ref="BH771:BH834" si="169">IFERROR(IF(BF771="",0,
AF771*3
+AG771*3
+AH771*3
+AI771*4
+AJ771*5
+BN771+AN771),"")</f>
        <v>124.10769999999999</v>
      </c>
      <c r="BJ771" t="str">
        <f t="shared" ref="BJ771:BJ834" si="170">IF($C771 = "DST", $A771, "")</f>
        <v/>
      </c>
      <c r="BL771">
        <f t="shared" si="158"/>
        <v>0</v>
      </c>
      <c r="BN771">
        <v>7.7000000000000297E-3</v>
      </c>
    </row>
    <row r="772" spans="1:66" ht="15.75" thickBot="1" x14ac:dyDescent="0.3">
      <c r="A772" s="569" t="s">
        <v>2269</v>
      </c>
      <c r="B772" s="569" t="s">
        <v>145</v>
      </c>
      <c r="C772" s="569" t="s">
        <v>11</v>
      </c>
      <c r="D772" s="574">
        <v>7</v>
      </c>
      <c r="E772" s="569"/>
      <c r="F772" s="569"/>
      <c r="G772" s="569"/>
      <c r="H772" s="569"/>
      <c r="I772" s="574">
        <v>0</v>
      </c>
      <c r="J772" s="574">
        <v>0</v>
      </c>
      <c r="K772" s="574">
        <v>0</v>
      </c>
      <c r="L772" s="574">
        <v>0</v>
      </c>
      <c r="M772" s="574">
        <v>0</v>
      </c>
      <c r="N772" s="574">
        <v>0</v>
      </c>
      <c r="O772" s="574">
        <v>0</v>
      </c>
      <c r="P772" s="574">
        <v>0</v>
      </c>
      <c r="Q772" s="574">
        <v>0</v>
      </c>
      <c r="R772" s="569"/>
      <c r="S772" s="569"/>
      <c r="T772" s="569"/>
      <c r="U772" s="569"/>
      <c r="V772" s="569"/>
      <c r="W772" s="569"/>
      <c r="X772" s="569"/>
      <c r="Y772" s="569"/>
      <c r="Z772" s="569"/>
      <c r="AA772" s="569"/>
      <c r="AB772" s="569"/>
      <c r="AC772" s="569"/>
      <c r="AD772" s="569"/>
      <c r="AE772" s="569"/>
      <c r="AF772" s="569"/>
      <c r="AG772" s="569"/>
      <c r="AH772" s="569"/>
      <c r="AI772" s="569"/>
      <c r="AJ772" s="569"/>
      <c r="AK772" s="569"/>
      <c r="AL772" s="569"/>
      <c r="AM772" s="569"/>
      <c r="AN772" s="574">
        <v>123.1</v>
      </c>
      <c r="AO772">
        <v>771</v>
      </c>
      <c r="AP772" t="str">
        <f t="shared" si="159"/>
        <v/>
      </c>
      <c r="AQ772" t="str">
        <f t="shared" si="160"/>
        <v/>
      </c>
      <c r="AR772" s="430">
        <f>IFERROR(
IF(AP772="",-100,
IF($BV$2&gt;0, INDEX(Beersheet!$A:$U,MATCH(AP772,INDEX(Beersheet!$A:$U,0,FFARawStatProjections!$BV$2),0),$BV$3)+$BN772,
INDEX($A772:$BM772,,$BV$12)*$BW$12+
INDEX($A772:$BM772,,$BV$15)*$BW$15+
INDEX($A772:$BM772,,$BV$16)*$BW$16+
INDEX($A772:$BM772,,$BV$17)*$BW$17+
INDEX($A772:$BM772,,$BV$18)*$BW$18+
INDEX($A772:$BM772,,$BV$19)*$BW$19+
INDEX($A772:$BM772,,$BV$20)*$BW$20+
INDEX($A772:$BM772,,$BV$21)*$BW$21+
INDEX($A772:$BM772,,$BV$22)*$BW$22+
INDEX($A772:$BM772,,$BV$23)*$BW$23+
INDEX($A772:$BM772,,$BV$25)*$BW$25+
INDEX($A772:$BM772,,$BV$26)*$BW$26+
INDEX($A772:$BM772,,$BV$27)*$BW$27+
$BN772)),
$BN772-100)</f>
        <v>-100</v>
      </c>
      <c r="AT772" t="str">
        <f t="shared" si="165"/>
        <v/>
      </c>
      <c r="AU772" t="str">
        <f t="shared" si="161"/>
        <v/>
      </c>
      <c r="AV772" s="430">
        <f>IFERROR(
IF(AT772="",-100,
IF($BV$2&gt;0, INDEX(Beersheet!$A:$U,MATCH(AT772,INDEX(Beersheet!$A:$U,0,FFARawStatProjections!$BV$2),0),$BV$3)+$BN772,
INDEX($A772:$BM772,,$BV$12)*$BW$12+
INDEX($A772:$BM772,,$BV$15)*$BW$15+
INDEX($A772:$BM772,,$BV$16)*$BW$16+
INDEX($A772:$BM772,,$BV$17)*$BW$17+
INDEX($A772:$BM772,,$BV$18)*$BW$18+
INDEX($A772:$BM772,,$BV$19)*$BW$19+
INDEX($A772:$BM772,,$BV$20)*$BW$20+
INDEX($A772:$BM772,,$BV$21)*$BW$21+
INDEX($A772:$BM772,,$BV$22)*$BW$22+
INDEX($A772:$BM772,,$BV$23)*$BW$23+
INDEX($A772:$BM772,,$BV$25)*$BW$25+
INDEX($A772:$BM772,,$BV$26)*$BW$26+
INDEX($A772:$BM772,,$BV$27)*$BW$27+
$BN772)),
$BN772-100)</f>
        <v>-100</v>
      </c>
      <c r="AX772" t="str">
        <f t="shared" si="166"/>
        <v/>
      </c>
      <c r="AY772" t="str">
        <f t="shared" si="162"/>
        <v/>
      </c>
      <c r="AZ772" s="430">
        <f>IFERROR(
IF(AX772="",-100,
IF($BV$2&gt;0, INDEX(Beersheet!$A:$U,MATCH(AX772,INDEX(Beersheet!$A:$U,0,FFARawStatProjections!$BV$2),0),$BV$3)+$BN772,
INDEX($A772:$BM772,,$BV$12)*$BW$12+
INDEX($A772:$BM772,,$BV$15)*$BW$15+
INDEX($A772:$BM772,,$BV$16)*$BW$16+
INDEX($A772:$BM772,,$BV$17)*$BW$17+
INDEX($A772:$BM772,,$BV$18)*$BW$18+
INDEX($A772:$BM772,,$BV$19)*$BW$19+
INDEX($A772:$BM772,,$BV$20)*$BW$20+
INDEX($A772:$BM772,,$BV$21)*$BW$21+
INDEX($A772:$BM772,,$BV$22)*$BW$22+
INDEX($A772:$BM772,,$BV$23)*$BW$23+
INDEX($A772:$BM772,,$BV$25)*$BW$25+
INDEX($A772:$BM772,,$BV$26)*$BW$26+
INDEX($A772:$BM772,,$BV$27)*$BW$27+
$BN772)),
$BN772-100)</f>
        <v>-100</v>
      </c>
      <c r="BB772" t="str">
        <f t="shared" si="167"/>
        <v/>
      </c>
      <c r="BC772" t="str">
        <f t="shared" si="163"/>
        <v/>
      </c>
      <c r="BD772" s="430">
        <f>IFERROR(
IF(BB772="",-100,
IF($BV$2&gt;0, INDEX(Beersheet!$A:$U,MATCH(BB772,INDEX(Beersheet!$A:$U,0,FFARawStatProjections!$BV$2),0),$BV$3)+$BN772,
INDEX($A772:$BM772,,$BV$12)*$BW$12+
INDEX($A772:$BM772,,$BV$15)*$BW$15+
INDEX($A772:$BM772,,$BV$16)*$BW$16+
INDEX($A772:$BM772,,$BV$17)*$BW$17+
INDEX($A772:$BM772,,$BV$18)*$BW$18+
INDEX($A772:$BM772,,$BV$19)*$BW$19+
INDEX($A772:$BM772,,$BV$20)*$BW$20+
INDEX($A772:$BM772,,$BV$21)*$BW$21+
INDEX($A772:$BM772,,$BV$22)*$BW$22+
INDEX($A772:$BM772,,$BV$23)*$BW$23+
INDEX($A772:$BM772,,$BV$25)*$BW$25+
INDEX($A772:$BM772,,$BV$26)*$BW$26+
INDEX($A772:$BM772,,$BV$27)*$BW$27+
$BN772)),
$BN772-100)</f>
        <v>-100</v>
      </c>
      <c r="BF772" t="str">
        <f t="shared" si="168"/>
        <v>Evan McPherson</v>
      </c>
      <c r="BG772" t="str">
        <f t="shared" si="164"/>
        <v>CIN</v>
      </c>
      <c r="BH772">
        <f t="shared" si="169"/>
        <v>123.10771</v>
      </c>
      <c r="BJ772" t="str">
        <f t="shared" si="170"/>
        <v/>
      </c>
      <c r="BL772">
        <f t="shared" si="158"/>
        <v>0</v>
      </c>
      <c r="BN772">
        <v>7.7100000000000302E-3</v>
      </c>
    </row>
    <row r="773" spans="1:66" ht="15.75" thickBot="1" x14ac:dyDescent="0.3">
      <c r="A773" s="569" t="s">
        <v>2121</v>
      </c>
      <c r="B773" s="569" t="s">
        <v>156</v>
      </c>
      <c r="C773" s="569" t="s">
        <v>11</v>
      </c>
      <c r="D773" s="574">
        <v>13</v>
      </c>
      <c r="E773" s="569"/>
      <c r="F773" s="569"/>
      <c r="G773" s="569"/>
      <c r="H773" s="569"/>
      <c r="I773" s="574">
        <v>0</v>
      </c>
      <c r="J773" s="574">
        <v>0</v>
      </c>
      <c r="K773" s="574">
        <v>0</v>
      </c>
      <c r="L773" s="574">
        <v>0</v>
      </c>
      <c r="M773" s="574">
        <v>0</v>
      </c>
      <c r="N773" s="574">
        <v>0</v>
      </c>
      <c r="O773" s="574">
        <v>0</v>
      </c>
      <c r="P773" s="574">
        <v>0</v>
      </c>
      <c r="Q773" s="574">
        <v>0</v>
      </c>
      <c r="R773" s="569"/>
      <c r="S773" s="569"/>
      <c r="T773" s="569"/>
      <c r="U773" s="569"/>
      <c r="V773" s="569"/>
      <c r="W773" s="569"/>
      <c r="X773" s="569"/>
      <c r="Y773" s="569"/>
      <c r="Z773" s="569"/>
      <c r="AA773" s="569"/>
      <c r="AB773" s="569"/>
      <c r="AC773" s="569"/>
      <c r="AD773" s="569"/>
      <c r="AE773" s="569"/>
      <c r="AF773" s="569"/>
      <c r="AG773" s="569"/>
      <c r="AH773" s="569"/>
      <c r="AI773" s="569"/>
      <c r="AJ773" s="569"/>
      <c r="AK773" s="569"/>
      <c r="AL773" s="569"/>
      <c r="AM773" s="569"/>
      <c r="AN773" s="574">
        <v>123</v>
      </c>
      <c r="AO773">
        <v>772</v>
      </c>
      <c r="AP773" t="str">
        <f t="shared" si="159"/>
        <v/>
      </c>
      <c r="AQ773" t="str">
        <f t="shared" si="160"/>
        <v/>
      </c>
      <c r="AR773" s="430">
        <f>IFERROR(
IF(AP773="",-100,
IF($BV$2&gt;0, INDEX(Beersheet!$A:$U,MATCH(AP773,INDEX(Beersheet!$A:$U,0,FFARawStatProjections!$BV$2),0),$BV$3)+$BN773,
INDEX($A773:$BM773,,$BV$12)*$BW$12+
INDEX($A773:$BM773,,$BV$15)*$BW$15+
INDEX($A773:$BM773,,$BV$16)*$BW$16+
INDEX($A773:$BM773,,$BV$17)*$BW$17+
INDEX($A773:$BM773,,$BV$18)*$BW$18+
INDEX($A773:$BM773,,$BV$19)*$BW$19+
INDEX($A773:$BM773,,$BV$20)*$BW$20+
INDEX($A773:$BM773,,$BV$21)*$BW$21+
INDEX($A773:$BM773,,$BV$22)*$BW$22+
INDEX($A773:$BM773,,$BV$23)*$BW$23+
INDEX($A773:$BM773,,$BV$25)*$BW$25+
INDEX($A773:$BM773,,$BV$26)*$BW$26+
INDEX($A773:$BM773,,$BV$27)*$BW$27+
$BN773)),
$BN773-100)</f>
        <v>-100</v>
      </c>
      <c r="AT773" t="str">
        <f t="shared" si="165"/>
        <v/>
      </c>
      <c r="AU773" t="str">
        <f t="shared" si="161"/>
        <v/>
      </c>
      <c r="AV773" s="430">
        <f>IFERROR(
IF(AT773="",-100,
IF($BV$2&gt;0, INDEX(Beersheet!$A:$U,MATCH(AT773,INDEX(Beersheet!$A:$U,0,FFARawStatProjections!$BV$2),0),$BV$3)+$BN773,
INDEX($A773:$BM773,,$BV$12)*$BW$12+
INDEX($A773:$BM773,,$BV$15)*$BW$15+
INDEX($A773:$BM773,,$BV$16)*$BW$16+
INDEX($A773:$BM773,,$BV$17)*$BW$17+
INDEX($A773:$BM773,,$BV$18)*$BW$18+
INDEX($A773:$BM773,,$BV$19)*$BW$19+
INDEX($A773:$BM773,,$BV$20)*$BW$20+
INDEX($A773:$BM773,,$BV$21)*$BW$21+
INDEX($A773:$BM773,,$BV$22)*$BW$22+
INDEX($A773:$BM773,,$BV$23)*$BW$23+
INDEX($A773:$BM773,,$BV$25)*$BW$25+
INDEX($A773:$BM773,,$BV$26)*$BW$26+
INDEX($A773:$BM773,,$BV$27)*$BW$27+
$BN773)),
$BN773-100)</f>
        <v>-100</v>
      </c>
      <c r="AX773" t="str">
        <f t="shared" si="166"/>
        <v/>
      </c>
      <c r="AY773" t="str">
        <f t="shared" si="162"/>
        <v/>
      </c>
      <c r="AZ773" s="430">
        <f>IFERROR(
IF(AX773="",-100,
IF($BV$2&gt;0, INDEX(Beersheet!$A:$U,MATCH(AX773,INDEX(Beersheet!$A:$U,0,FFARawStatProjections!$BV$2),0),$BV$3)+$BN773,
INDEX($A773:$BM773,,$BV$12)*$BW$12+
INDEX($A773:$BM773,,$BV$15)*$BW$15+
INDEX($A773:$BM773,,$BV$16)*$BW$16+
INDEX($A773:$BM773,,$BV$17)*$BW$17+
INDEX($A773:$BM773,,$BV$18)*$BW$18+
INDEX($A773:$BM773,,$BV$19)*$BW$19+
INDEX($A773:$BM773,,$BV$20)*$BW$20+
INDEX($A773:$BM773,,$BV$21)*$BW$21+
INDEX($A773:$BM773,,$BV$22)*$BW$22+
INDEX($A773:$BM773,,$BV$23)*$BW$23+
INDEX($A773:$BM773,,$BV$25)*$BW$25+
INDEX($A773:$BM773,,$BV$26)*$BW$26+
INDEX($A773:$BM773,,$BV$27)*$BW$27+
$BN773)),
$BN773-100)</f>
        <v>-100</v>
      </c>
      <c r="BB773" t="str">
        <f t="shared" si="167"/>
        <v/>
      </c>
      <c r="BC773" t="str">
        <f t="shared" si="163"/>
        <v/>
      </c>
      <c r="BD773" s="430">
        <f>IFERROR(
IF(BB773="",-100,
IF($BV$2&gt;0, INDEX(Beersheet!$A:$U,MATCH(BB773,INDEX(Beersheet!$A:$U,0,FFARawStatProjections!$BV$2),0),$BV$3)+$BN773,
INDEX($A773:$BM773,,$BV$12)*$BW$12+
INDEX($A773:$BM773,,$BV$15)*$BW$15+
INDEX($A773:$BM773,,$BV$16)*$BW$16+
INDEX($A773:$BM773,,$BV$17)*$BW$17+
INDEX($A773:$BM773,,$BV$18)*$BW$18+
INDEX($A773:$BM773,,$BV$19)*$BW$19+
INDEX($A773:$BM773,,$BV$20)*$BW$20+
INDEX($A773:$BM773,,$BV$21)*$BW$21+
INDEX($A773:$BM773,,$BV$22)*$BW$22+
INDEX($A773:$BM773,,$BV$23)*$BW$23+
INDEX($A773:$BM773,,$BV$25)*$BW$25+
INDEX($A773:$BM773,,$BV$26)*$BW$26+
INDEX($A773:$BM773,,$BV$27)*$BW$27+
$BN773)),
$BN773-100)</f>
        <v>-100</v>
      </c>
      <c r="BF773" t="str">
        <f t="shared" si="168"/>
        <v>Tyler Bass</v>
      </c>
      <c r="BG773" t="str">
        <f t="shared" si="164"/>
        <v>BUF</v>
      </c>
      <c r="BH773">
        <f t="shared" si="169"/>
        <v>123.00772000000001</v>
      </c>
      <c r="BJ773" t="str">
        <f t="shared" si="170"/>
        <v/>
      </c>
      <c r="BL773">
        <f t="shared" si="158"/>
        <v>0</v>
      </c>
      <c r="BN773">
        <v>7.7200000000000298E-3</v>
      </c>
    </row>
    <row r="774" spans="1:66" ht="15.75" thickBot="1" x14ac:dyDescent="0.3">
      <c r="A774" s="569" t="s">
        <v>1819</v>
      </c>
      <c r="B774" s="569" t="s">
        <v>2073</v>
      </c>
      <c r="C774" s="569" t="s">
        <v>11</v>
      </c>
      <c r="D774" s="574">
        <v>13</v>
      </c>
      <c r="E774" s="569"/>
      <c r="F774" s="569"/>
      <c r="G774" s="569"/>
      <c r="H774" s="569"/>
      <c r="I774" s="574">
        <v>0</v>
      </c>
      <c r="J774" s="574">
        <v>0</v>
      </c>
      <c r="K774" s="574">
        <v>0</v>
      </c>
      <c r="L774" s="574">
        <v>0</v>
      </c>
      <c r="M774" s="574">
        <v>0</v>
      </c>
      <c r="N774" s="574">
        <v>0</v>
      </c>
      <c r="O774" s="574">
        <v>0</v>
      </c>
      <c r="P774" s="574">
        <v>0</v>
      </c>
      <c r="Q774" s="574">
        <v>0</v>
      </c>
      <c r="R774" s="569"/>
      <c r="S774" s="569"/>
      <c r="T774" s="569"/>
      <c r="U774" s="569"/>
      <c r="V774" s="569"/>
      <c r="W774" s="569"/>
      <c r="X774" s="569"/>
      <c r="Y774" s="569"/>
      <c r="Z774" s="569"/>
      <c r="AA774" s="569"/>
      <c r="AB774" s="569"/>
      <c r="AC774" s="569"/>
      <c r="AD774" s="569"/>
      <c r="AE774" s="569"/>
      <c r="AF774" s="569"/>
      <c r="AG774" s="569"/>
      <c r="AH774" s="569"/>
      <c r="AI774" s="569"/>
      <c r="AJ774" s="569"/>
      <c r="AK774" s="569"/>
      <c r="AL774" s="569"/>
      <c r="AM774" s="569"/>
      <c r="AN774" s="574">
        <v>122.5</v>
      </c>
      <c r="AO774">
        <v>773</v>
      </c>
      <c r="AP774" t="str">
        <f t="shared" si="159"/>
        <v/>
      </c>
      <c r="AQ774" t="str">
        <f t="shared" si="160"/>
        <v/>
      </c>
      <c r="AR774" s="430">
        <f>IFERROR(
IF(AP774="",-100,
IF($BV$2&gt;0, INDEX(Beersheet!$A:$U,MATCH(AP774,INDEX(Beersheet!$A:$U,0,FFARawStatProjections!$BV$2),0),$BV$3)+$BN774,
INDEX($A774:$BM774,,$BV$12)*$BW$12+
INDEX($A774:$BM774,,$BV$15)*$BW$15+
INDEX($A774:$BM774,,$BV$16)*$BW$16+
INDEX($A774:$BM774,,$BV$17)*$BW$17+
INDEX($A774:$BM774,,$BV$18)*$BW$18+
INDEX($A774:$BM774,,$BV$19)*$BW$19+
INDEX($A774:$BM774,,$BV$20)*$BW$20+
INDEX($A774:$BM774,,$BV$21)*$BW$21+
INDEX($A774:$BM774,,$BV$22)*$BW$22+
INDEX($A774:$BM774,,$BV$23)*$BW$23+
INDEX($A774:$BM774,,$BV$25)*$BW$25+
INDEX($A774:$BM774,,$BV$26)*$BW$26+
INDEX($A774:$BM774,,$BV$27)*$BW$27+
$BN774)),
$BN774-100)</f>
        <v>-100</v>
      </c>
      <c r="AT774" t="str">
        <f t="shared" si="165"/>
        <v/>
      </c>
      <c r="AU774" t="str">
        <f t="shared" si="161"/>
        <v/>
      </c>
      <c r="AV774" s="430">
        <f>IFERROR(
IF(AT774="",-100,
IF($BV$2&gt;0, INDEX(Beersheet!$A:$U,MATCH(AT774,INDEX(Beersheet!$A:$U,0,FFARawStatProjections!$BV$2),0),$BV$3)+$BN774,
INDEX($A774:$BM774,,$BV$12)*$BW$12+
INDEX($A774:$BM774,,$BV$15)*$BW$15+
INDEX($A774:$BM774,,$BV$16)*$BW$16+
INDEX($A774:$BM774,,$BV$17)*$BW$17+
INDEX($A774:$BM774,,$BV$18)*$BW$18+
INDEX($A774:$BM774,,$BV$19)*$BW$19+
INDEX($A774:$BM774,,$BV$20)*$BW$20+
INDEX($A774:$BM774,,$BV$21)*$BW$21+
INDEX($A774:$BM774,,$BV$22)*$BW$22+
INDEX($A774:$BM774,,$BV$23)*$BW$23+
INDEX($A774:$BM774,,$BV$25)*$BW$25+
INDEX($A774:$BM774,,$BV$26)*$BW$26+
INDEX($A774:$BM774,,$BV$27)*$BW$27+
$BN774)),
$BN774-100)</f>
        <v>-100</v>
      </c>
      <c r="AX774" t="str">
        <f t="shared" si="166"/>
        <v/>
      </c>
      <c r="AY774" t="str">
        <f t="shared" si="162"/>
        <v/>
      </c>
      <c r="AZ774" s="430">
        <f>IFERROR(
IF(AX774="",-100,
IF($BV$2&gt;0, INDEX(Beersheet!$A:$U,MATCH(AX774,INDEX(Beersheet!$A:$U,0,FFARawStatProjections!$BV$2),0),$BV$3)+$BN774,
INDEX($A774:$BM774,,$BV$12)*$BW$12+
INDEX($A774:$BM774,,$BV$15)*$BW$15+
INDEX($A774:$BM774,,$BV$16)*$BW$16+
INDEX($A774:$BM774,,$BV$17)*$BW$17+
INDEX($A774:$BM774,,$BV$18)*$BW$18+
INDEX($A774:$BM774,,$BV$19)*$BW$19+
INDEX($A774:$BM774,,$BV$20)*$BW$20+
INDEX($A774:$BM774,,$BV$21)*$BW$21+
INDEX($A774:$BM774,,$BV$22)*$BW$22+
INDEX($A774:$BM774,,$BV$23)*$BW$23+
INDEX($A774:$BM774,,$BV$25)*$BW$25+
INDEX($A774:$BM774,,$BV$26)*$BW$26+
INDEX($A774:$BM774,,$BV$27)*$BW$27+
$BN774)),
$BN774-100)</f>
        <v>-100</v>
      </c>
      <c r="BB774" t="str">
        <f t="shared" si="167"/>
        <v/>
      </c>
      <c r="BC774" t="str">
        <f t="shared" si="163"/>
        <v/>
      </c>
      <c r="BD774" s="430">
        <f>IFERROR(
IF(BB774="",-100,
IF($BV$2&gt;0, INDEX(Beersheet!$A:$U,MATCH(BB774,INDEX(Beersheet!$A:$U,0,FFARawStatProjections!$BV$2),0),$BV$3)+$BN774,
INDEX($A774:$BM774,,$BV$12)*$BW$12+
INDEX($A774:$BM774,,$BV$15)*$BW$15+
INDEX($A774:$BM774,,$BV$16)*$BW$16+
INDEX($A774:$BM774,,$BV$17)*$BW$17+
INDEX($A774:$BM774,,$BV$18)*$BW$18+
INDEX($A774:$BM774,,$BV$19)*$BW$19+
INDEX($A774:$BM774,,$BV$20)*$BW$20+
INDEX($A774:$BM774,,$BV$21)*$BW$21+
INDEX($A774:$BM774,,$BV$22)*$BW$22+
INDEX($A774:$BM774,,$BV$23)*$BW$23+
INDEX($A774:$BM774,,$BV$25)*$BW$25+
INDEX($A774:$BM774,,$BV$26)*$BW$26+
INDEX($A774:$BM774,,$BV$27)*$BW$27+
$BN774)),
$BN774-100)</f>
        <v>-100</v>
      </c>
      <c r="BF774" t="str">
        <f t="shared" si="168"/>
        <v>Daniel Carlson</v>
      </c>
      <c r="BG774" t="str">
        <f t="shared" si="164"/>
        <v>LV</v>
      </c>
      <c r="BH774">
        <f t="shared" si="169"/>
        <v>122.50773</v>
      </c>
      <c r="BJ774" t="str">
        <f t="shared" si="170"/>
        <v/>
      </c>
      <c r="BL774">
        <f t="shared" si="158"/>
        <v>0</v>
      </c>
      <c r="BN774">
        <v>7.7300000000000302E-3</v>
      </c>
    </row>
    <row r="775" spans="1:66" ht="15.75" thickBot="1" x14ac:dyDescent="0.3">
      <c r="A775" s="569" t="s">
        <v>1443</v>
      </c>
      <c r="B775" s="569" t="s">
        <v>137</v>
      </c>
      <c r="C775" s="569" t="s">
        <v>11</v>
      </c>
      <c r="D775" s="574">
        <v>10</v>
      </c>
      <c r="E775" s="569"/>
      <c r="F775" s="569"/>
      <c r="G775" s="569"/>
      <c r="H775" s="569"/>
      <c r="I775" s="574">
        <v>0</v>
      </c>
      <c r="J775" s="574">
        <v>0</v>
      </c>
      <c r="K775" s="574">
        <v>0</v>
      </c>
      <c r="L775" s="574">
        <v>0</v>
      </c>
      <c r="M775" s="574">
        <v>0</v>
      </c>
      <c r="N775" s="574">
        <v>0</v>
      </c>
      <c r="O775" s="574">
        <v>0</v>
      </c>
      <c r="P775" s="574">
        <v>0</v>
      </c>
      <c r="Q775" s="574">
        <v>0</v>
      </c>
      <c r="R775" s="569"/>
      <c r="S775" s="569"/>
      <c r="T775" s="569"/>
      <c r="U775" s="569"/>
      <c r="V775" s="569"/>
      <c r="W775" s="569"/>
      <c r="X775" s="569"/>
      <c r="Y775" s="569"/>
      <c r="Z775" s="569"/>
      <c r="AA775" s="569"/>
      <c r="AB775" s="569"/>
      <c r="AC775" s="569"/>
      <c r="AD775" s="569"/>
      <c r="AE775" s="569"/>
      <c r="AF775" s="569"/>
      <c r="AG775" s="569"/>
      <c r="AH775" s="569"/>
      <c r="AI775" s="569"/>
      <c r="AJ775" s="569"/>
      <c r="AK775" s="569"/>
      <c r="AL775" s="569"/>
      <c r="AM775" s="569"/>
      <c r="AN775" s="574">
        <v>121.3</v>
      </c>
      <c r="AO775">
        <v>774</v>
      </c>
      <c r="AP775" t="str">
        <f t="shared" si="159"/>
        <v/>
      </c>
      <c r="AQ775" t="str">
        <f t="shared" si="160"/>
        <v/>
      </c>
      <c r="AR775" s="430">
        <f>IFERROR(
IF(AP775="",-100,
IF($BV$2&gt;0, INDEX(Beersheet!$A:$U,MATCH(AP775,INDEX(Beersheet!$A:$U,0,FFARawStatProjections!$BV$2),0),$BV$3)+$BN775,
INDEX($A775:$BM775,,$BV$12)*$BW$12+
INDEX($A775:$BM775,,$BV$15)*$BW$15+
INDEX($A775:$BM775,,$BV$16)*$BW$16+
INDEX($A775:$BM775,,$BV$17)*$BW$17+
INDEX($A775:$BM775,,$BV$18)*$BW$18+
INDEX($A775:$BM775,,$BV$19)*$BW$19+
INDEX($A775:$BM775,,$BV$20)*$BW$20+
INDEX($A775:$BM775,,$BV$21)*$BW$21+
INDEX($A775:$BM775,,$BV$22)*$BW$22+
INDEX($A775:$BM775,,$BV$23)*$BW$23+
INDEX($A775:$BM775,,$BV$25)*$BW$25+
INDEX($A775:$BM775,,$BV$26)*$BW$26+
INDEX($A775:$BM775,,$BV$27)*$BW$27+
$BN775)),
$BN775-100)</f>
        <v>-100</v>
      </c>
      <c r="AT775" t="str">
        <f t="shared" si="165"/>
        <v/>
      </c>
      <c r="AU775" t="str">
        <f t="shared" si="161"/>
        <v/>
      </c>
      <c r="AV775" s="430">
        <f>IFERROR(
IF(AT775="",-100,
IF($BV$2&gt;0, INDEX(Beersheet!$A:$U,MATCH(AT775,INDEX(Beersheet!$A:$U,0,FFARawStatProjections!$BV$2),0),$BV$3)+$BN775,
INDEX($A775:$BM775,,$BV$12)*$BW$12+
INDEX($A775:$BM775,,$BV$15)*$BW$15+
INDEX($A775:$BM775,,$BV$16)*$BW$16+
INDEX($A775:$BM775,,$BV$17)*$BW$17+
INDEX($A775:$BM775,,$BV$18)*$BW$18+
INDEX($A775:$BM775,,$BV$19)*$BW$19+
INDEX($A775:$BM775,,$BV$20)*$BW$20+
INDEX($A775:$BM775,,$BV$21)*$BW$21+
INDEX($A775:$BM775,,$BV$22)*$BW$22+
INDEX($A775:$BM775,,$BV$23)*$BW$23+
INDEX($A775:$BM775,,$BV$25)*$BW$25+
INDEX($A775:$BM775,,$BV$26)*$BW$26+
INDEX($A775:$BM775,,$BV$27)*$BW$27+
$BN775)),
$BN775-100)</f>
        <v>-100</v>
      </c>
      <c r="AX775" t="str">
        <f t="shared" si="166"/>
        <v/>
      </c>
      <c r="AY775" t="str">
        <f t="shared" si="162"/>
        <v/>
      </c>
      <c r="AZ775" s="430">
        <f>IFERROR(
IF(AX775="",-100,
IF($BV$2&gt;0, INDEX(Beersheet!$A:$U,MATCH(AX775,INDEX(Beersheet!$A:$U,0,FFARawStatProjections!$BV$2),0),$BV$3)+$BN775,
INDEX($A775:$BM775,,$BV$12)*$BW$12+
INDEX($A775:$BM775,,$BV$15)*$BW$15+
INDEX($A775:$BM775,,$BV$16)*$BW$16+
INDEX($A775:$BM775,,$BV$17)*$BW$17+
INDEX($A775:$BM775,,$BV$18)*$BW$18+
INDEX($A775:$BM775,,$BV$19)*$BW$19+
INDEX($A775:$BM775,,$BV$20)*$BW$20+
INDEX($A775:$BM775,,$BV$21)*$BW$21+
INDEX($A775:$BM775,,$BV$22)*$BW$22+
INDEX($A775:$BM775,,$BV$23)*$BW$23+
INDEX($A775:$BM775,,$BV$25)*$BW$25+
INDEX($A775:$BM775,,$BV$26)*$BW$26+
INDEX($A775:$BM775,,$BV$27)*$BW$27+
$BN775)),
$BN775-100)</f>
        <v>-100</v>
      </c>
      <c r="BB775" t="str">
        <f t="shared" si="167"/>
        <v/>
      </c>
      <c r="BC775" t="str">
        <f t="shared" si="163"/>
        <v/>
      </c>
      <c r="BD775" s="430">
        <f>IFERROR(
IF(BB775="",-100,
IF($BV$2&gt;0, INDEX(Beersheet!$A:$U,MATCH(BB775,INDEX(Beersheet!$A:$U,0,FFARawStatProjections!$BV$2),0),$BV$3)+$BN775,
INDEX($A775:$BM775,,$BV$12)*$BW$12+
INDEX($A775:$BM775,,$BV$15)*$BW$15+
INDEX($A775:$BM775,,$BV$16)*$BW$16+
INDEX($A775:$BM775,,$BV$17)*$BW$17+
INDEX($A775:$BM775,,$BV$18)*$BW$18+
INDEX($A775:$BM775,,$BV$19)*$BW$19+
INDEX($A775:$BM775,,$BV$20)*$BW$20+
INDEX($A775:$BM775,,$BV$21)*$BW$21+
INDEX($A775:$BM775,,$BV$22)*$BW$22+
INDEX($A775:$BM775,,$BV$23)*$BW$23+
INDEX($A775:$BM775,,$BV$25)*$BW$25+
INDEX($A775:$BM775,,$BV$26)*$BW$26+
INDEX($A775:$BM775,,$BV$27)*$BW$27+
$BN775)),
$BN775-100)</f>
        <v>-100</v>
      </c>
      <c r="BF775" t="str">
        <f t="shared" si="168"/>
        <v>Jake Elliott</v>
      </c>
      <c r="BG775" t="str">
        <f t="shared" si="164"/>
        <v>PHI</v>
      </c>
      <c r="BH775">
        <f t="shared" si="169"/>
        <v>121.30774</v>
      </c>
      <c r="BJ775" t="str">
        <f t="shared" si="170"/>
        <v/>
      </c>
      <c r="BL775">
        <f t="shared" si="158"/>
        <v>0</v>
      </c>
      <c r="BN775">
        <v>7.7400000000000403E-3</v>
      </c>
    </row>
    <row r="776" spans="1:66" ht="15.75" thickBot="1" x14ac:dyDescent="0.3">
      <c r="A776" s="569" t="s">
        <v>2098</v>
      </c>
      <c r="B776" s="569" t="s">
        <v>148</v>
      </c>
      <c r="C776" s="569" t="s">
        <v>11</v>
      </c>
      <c r="D776" s="574">
        <v>11</v>
      </c>
      <c r="E776" s="569"/>
      <c r="F776" s="569"/>
      <c r="G776" s="569"/>
      <c r="H776" s="569"/>
      <c r="I776" s="574">
        <v>0</v>
      </c>
      <c r="J776" s="574">
        <v>0</v>
      </c>
      <c r="K776" s="574">
        <v>0</v>
      </c>
      <c r="L776" s="574">
        <v>0</v>
      </c>
      <c r="M776" s="574">
        <v>0</v>
      </c>
      <c r="N776" s="574">
        <v>0</v>
      </c>
      <c r="O776" s="574">
        <v>0</v>
      </c>
      <c r="P776" s="574">
        <v>0</v>
      </c>
      <c r="Q776" s="574">
        <v>0</v>
      </c>
      <c r="R776" s="569"/>
      <c r="S776" s="569"/>
      <c r="T776" s="569"/>
      <c r="U776" s="569"/>
      <c r="V776" s="569"/>
      <c r="W776" s="569"/>
      <c r="X776" s="569"/>
      <c r="Y776" s="569"/>
      <c r="Z776" s="569"/>
      <c r="AA776" s="569"/>
      <c r="AB776" s="569"/>
      <c r="AC776" s="569"/>
      <c r="AD776" s="569"/>
      <c r="AE776" s="569"/>
      <c r="AF776" s="569"/>
      <c r="AG776" s="569"/>
      <c r="AH776" s="569"/>
      <c r="AI776" s="569"/>
      <c r="AJ776" s="569"/>
      <c r="AK776" s="569"/>
      <c r="AL776" s="569"/>
      <c r="AM776" s="569"/>
      <c r="AN776" s="574">
        <v>120.9</v>
      </c>
      <c r="AO776">
        <v>775</v>
      </c>
      <c r="AP776" t="str">
        <f t="shared" si="159"/>
        <v/>
      </c>
      <c r="AQ776" t="str">
        <f t="shared" si="160"/>
        <v/>
      </c>
      <c r="AR776" s="430">
        <f>IFERROR(
IF(AP776="",-100,
IF($BV$2&gt;0, INDEX(Beersheet!$A:$U,MATCH(AP776,INDEX(Beersheet!$A:$U,0,FFARawStatProjections!$BV$2),0),$BV$3)+$BN776,
INDEX($A776:$BM776,,$BV$12)*$BW$12+
INDEX($A776:$BM776,,$BV$15)*$BW$15+
INDEX($A776:$BM776,,$BV$16)*$BW$16+
INDEX($A776:$BM776,,$BV$17)*$BW$17+
INDEX($A776:$BM776,,$BV$18)*$BW$18+
INDEX($A776:$BM776,,$BV$19)*$BW$19+
INDEX($A776:$BM776,,$BV$20)*$BW$20+
INDEX($A776:$BM776,,$BV$21)*$BW$21+
INDEX($A776:$BM776,,$BV$22)*$BW$22+
INDEX($A776:$BM776,,$BV$23)*$BW$23+
INDEX($A776:$BM776,,$BV$25)*$BW$25+
INDEX($A776:$BM776,,$BV$26)*$BW$26+
INDEX($A776:$BM776,,$BV$27)*$BW$27+
$BN776)),
$BN776-100)</f>
        <v>-100</v>
      </c>
      <c r="AT776" t="str">
        <f t="shared" si="165"/>
        <v/>
      </c>
      <c r="AU776" t="str">
        <f t="shared" si="161"/>
        <v/>
      </c>
      <c r="AV776" s="430">
        <f>IFERROR(
IF(AT776="",-100,
IF($BV$2&gt;0, INDEX(Beersheet!$A:$U,MATCH(AT776,INDEX(Beersheet!$A:$U,0,FFARawStatProjections!$BV$2),0),$BV$3)+$BN776,
INDEX($A776:$BM776,,$BV$12)*$BW$12+
INDEX($A776:$BM776,,$BV$15)*$BW$15+
INDEX($A776:$BM776,,$BV$16)*$BW$16+
INDEX($A776:$BM776,,$BV$17)*$BW$17+
INDEX($A776:$BM776,,$BV$18)*$BW$18+
INDEX($A776:$BM776,,$BV$19)*$BW$19+
INDEX($A776:$BM776,,$BV$20)*$BW$20+
INDEX($A776:$BM776,,$BV$21)*$BW$21+
INDEX($A776:$BM776,,$BV$22)*$BW$22+
INDEX($A776:$BM776,,$BV$23)*$BW$23+
INDEX($A776:$BM776,,$BV$25)*$BW$25+
INDEX($A776:$BM776,,$BV$26)*$BW$26+
INDEX($A776:$BM776,,$BV$27)*$BW$27+
$BN776)),
$BN776-100)</f>
        <v>-100</v>
      </c>
      <c r="AX776" t="str">
        <f t="shared" si="166"/>
        <v/>
      </c>
      <c r="AY776" t="str">
        <f t="shared" si="162"/>
        <v/>
      </c>
      <c r="AZ776" s="430">
        <f>IFERROR(
IF(AX776="",-100,
IF($BV$2&gt;0, INDEX(Beersheet!$A:$U,MATCH(AX776,INDEX(Beersheet!$A:$U,0,FFARawStatProjections!$BV$2),0),$BV$3)+$BN776,
INDEX($A776:$BM776,,$BV$12)*$BW$12+
INDEX($A776:$BM776,,$BV$15)*$BW$15+
INDEX($A776:$BM776,,$BV$16)*$BW$16+
INDEX($A776:$BM776,,$BV$17)*$BW$17+
INDEX($A776:$BM776,,$BV$18)*$BW$18+
INDEX($A776:$BM776,,$BV$19)*$BW$19+
INDEX($A776:$BM776,,$BV$20)*$BW$20+
INDEX($A776:$BM776,,$BV$21)*$BW$21+
INDEX($A776:$BM776,,$BV$22)*$BW$22+
INDEX($A776:$BM776,,$BV$23)*$BW$23+
INDEX($A776:$BM776,,$BV$25)*$BW$25+
INDEX($A776:$BM776,,$BV$26)*$BW$26+
INDEX($A776:$BM776,,$BV$27)*$BW$27+
$BN776)),
$BN776-100)</f>
        <v>-100</v>
      </c>
      <c r="BB776" t="str">
        <f t="shared" si="167"/>
        <v/>
      </c>
      <c r="BC776" t="str">
        <f t="shared" si="163"/>
        <v/>
      </c>
      <c r="BD776" s="430">
        <f>IFERROR(
IF(BB776="",-100,
IF($BV$2&gt;0, INDEX(Beersheet!$A:$U,MATCH(BB776,INDEX(Beersheet!$A:$U,0,FFARawStatProjections!$BV$2),0),$BV$3)+$BN776,
INDEX($A776:$BM776,,$BV$12)*$BW$12+
INDEX($A776:$BM776,,$BV$15)*$BW$15+
INDEX($A776:$BM776,,$BV$16)*$BW$16+
INDEX($A776:$BM776,,$BV$17)*$BW$17+
INDEX($A776:$BM776,,$BV$18)*$BW$18+
INDEX($A776:$BM776,,$BV$19)*$BW$19+
INDEX($A776:$BM776,,$BV$20)*$BW$20+
INDEX($A776:$BM776,,$BV$21)*$BW$21+
INDEX($A776:$BM776,,$BV$22)*$BW$22+
INDEX($A776:$BM776,,$BV$23)*$BW$23+
INDEX($A776:$BM776,,$BV$25)*$BW$25+
INDEX($A776:$BM776,,$BV$26)*$BW$26+
INDEX($A776:$BM776,,$BV$27)*$BW$27+
$BN776)),
$BN776-100)</f>
        <v>-100</v>
      </c>
      <c r="BF776" t="str">
        <f t="shared" si="168"/>
        <v>Younghoe Koo</v>
      </c>
      <c r="BG776" t="str">
        <f t="shared" si="164"/>
        <v>ATL</v>
      </c>
      <c r="BH776">
        <f t="shared" si="169"/>
        <v>120.90775000000001</v>
      </c>
      <c r="BJ776" t="str">
        <f t="shared" si="170"/>
        <v/>
      </c>
      <c r="BL776">
        <f t="shared" si="158"/>
        <v>0</v>
      </c>
      <c r="BN776">
        <v>7.7500000000000398E-3</v>
      </c>
    </row>
    <row r="777" spans="1:66" ht="15.75" thickBot="1" x14ac:dyDescent="0.3">
      <c r="A777" s="569" t="s">
        <v>2123</v>
      </c>
      <c r="B777" s="569" t="s">
        <v>154</v>
      </c>
      <c r="C777" s="569" t="s">
        <v>11</v>
      </c>
      <c r="D777" s="574">
        <v>13</v>
      </c>
      <c r="E777" s="569"/>
      <c r="F777" s="569"/>
      <c r="G777" s="569"/>
      <c r="H777" s="569"/>
      <c r="I777" s="574">
        <v>0</v>
      </c>
      <c r="J777" s="574">
        <v>0</v>
      </c>
      <c r="K777" s="574">
        <v>0</v>
      </c>
      <c r="L777" s="574">
        <v>0</v>
      </c>
      <c r="M777" s="574">
        <v>0</v>
      </c>
      <c r="N777" s="574">
        <v>0</v>
      </c>
      <c r="O777" s="574">
        <v>0</v>
      </c>
      <c r="P777" s="574">
        <v>0</v>
      </c>
      <c r="Q777" s="574">
        <v>0</v>
      </c>
      <c r="R777" s="569"/>
      <c r="S777" s="569"/>
      <c r="T777" s="569"/>
      <c r="U777" s="569"/>
      <c r="V777" s="569"/>
      <c r="W777" s="569"/>
      <c r="X777" s="569"/>
      <c r="Y777" s="569"/>
      <c r="Z777" s="569"/>
      <c r="AA777" s="569"/>
      <c r="AB777" s="569"/>
      <c r="AC777" s="569"/>
      <c r="AD777" s="569"/>
      <c r="AE777" s="569"/>
      <c r="AF777" s="569"/>
      <c r="AG777" s="569"/>
      <c r="AH777" s="569"/>
      <c r="AI777" s="569"/>
      <c r="AJ777" s="569"/>
      <c r="AK777" s="569"/>
      <c r="AL777" s="569"/>
      <c r="AM777" s="569"/>
      <c r="AN777" s="574">
        <v>119</v>
      </c>
      <c r="AO777">
        <v>776</v>
      </c>
      <c r="AP777" t="str">
        <f t="shared" si="159"/>
        <v/>
      </c>
      <c r="AQ777" t="str">
        <f t="shared" si="160"/>
        <v/>
      </c>
      <c r="AR777" s="430">
        <f>IFERROR(
IF(AP777="",-100,
IF($BV$2&gt;0, INDEX(Beersheet!$A:$U,MATCH(AP777,INDEX(Beersheet!$A:$U,0,FFARawStatProjections!$BV$2),0),$BV$3)+$BN777,
INDEX($A777:$BM777,,$BV$12)*$BW$12+
INDEX($A777:$BM777,,$BV$15)*$BW$15+
INDEX($A777:$BM777,,$BV$16)*$BW$16+
INDEX($A777:$BM777,,$BV$17)*$BW$17+
INDEX($A777:$BM777,,$BV$18)*$BW$18+
INDEX($A777:$BM777,,$BV$19)*$BW$19+
INDEX($A777:$BM777,,$BV$20)*$BW$20+
INDEX($A777:$BM777,,$BV$21)*$BW$21+
INDEX($A777:$BM777,,$BV$22)*$BW$22+
INDEX($A777:$BM777,,$BV$23)*$BW$23+
INDEX($A777:$BM777,,$BV$25)*$BW$25+
INDEX($A777:$BM777,,$BV$26)*$BW$26+
INDEX($A777:$BM777,,$BV$27)*$BW$27+
$BN777)),
$BN777-100)</f>
        <v>-100</v>
      </c>
      <c r="AT777" t="str">
        <f t="shared" si="165"/>
        <v/>
      </c>
      <c r="AU777" t="str">
        <f t="shared" si="161"/>
        <v/>
      </c>
      <c r="AV777" s="430">
        <f>IFERROR(
IF(AT777="",-100,
IF($BV$2&gt;0, INDEX(Beersheet!$A:$U,MATCH(AT777,INDEX(Beersheet!$A:$U,0,FFARawStatProjections!$BV$2),0),$BV$3)+$BN777,
INDEX($A777:$BM777,,$BV$12)*$BW$12+
INDEX($A777:$BM777,,$BV$15)*$BW$15+
INDEX($A777:$BM777,,$BV$16)*$BW$16+
INDEX($A777:$BM777,,$BV$17)*$BW$17+
INDEX($A777:$BM777,,$BV$18)*$BW$18+
INDEX($A777:$BM777,,$BV$19)*$BW$19+
INDEX($A777:$BM777,,$BV$20)*$BW$20+
INDEX($A777:$BM777,,$BV$21)*$BW$21+
INDEX($A777:$BM777,,$BV$22)*$BW$22+
INDEX($A777:$BM777,,$BV$23)*$BW$23+
INDEX($A777:$BM777,,$BV$25)*$BW$25+
INDEX($A777:$BM777,,$BV$26)*$BW$26+
INDEX($A777:$BM777,,$BV$27)*$BW$27+
$BN777)),
$BN777-100)</f>
        <v>-100</v>
      </c>
      <c r="AX777" t="str">
        <f t="shared" si="166"/>
        <v/>
      </c>
      <c r="AY777" t="str">
        <f t="shared" si="162"/>
        <v/>
      </c>
      <c r="AZ777" s="430">
        <f>IFERROR(
IF(AX777="",-100,
IF($BV$2&gt;0, INDEX(Beersheet!$A:$U,MATCH(AX777,INDEX(Beersheet!$A:$U,0,FFARawStatProjections!$BV$2),0),$BV$3)+$BN777,
INDEX($A777:$BM777,,$BV$12)*$BW$12+
INDEX($A777:$BM777,,$BV$15)*$BW$15+
INDEX($A777:$BM777,,$BV$16)*$BW$16+
INDEX($A777:$BM777,,$BV$17)*$BW$17+
INDEX($A777:$BM777,,$BV$18)*$BW$18+
INDEX($A777:$BM777,,$BV$19)*$BW$19+
INDEX($A777:$BM777,,$BV$20)*$BW$20+
INDEX($A777:$BM777,,$BV$21)*$BW$21+
INDEX($A777:$BM777,,$BV$22)*$BW$22+
INDEX($A777:$BM777,,$BV$23)*$BW$23+
INDEX($A777:$BM777,,$BV$25)*$BW$25+
INDEX($A777:$BM777,,$BV$26)*$BW$26+
INDEX($A777:$BM777,,$BV$27)*$BW$27+
$BN777)),
$BN777-100)</f>
        <v>-100</v>
      </c>
      <c r="BB777" t="str">
        <f t="shared" si="167"/>
        <v/>
      </c>
      <c r="BC777" t="str">
        <f t="shared" si="163"/>
        <v/>
      </c>
      <c r="BD777" s="430">
        <f>IFERROR(
IF(BB777="",-100,
IF($BV$2&gt;0, INDEX(Beersheet!$A:$U,MATCH(BB777,INDEX(Beersheet!$A:$U,0,FFARawStatProjections!$BV$2),0),$BV$3)+$BN777,
INDEX($A777:$BM777,,$BV$12)*$BW$12+
INDEX($A777:$BM777,,$BV$15)*$BW$15+
INDEX($A777:$BM777,,$BV$16)*$BW$16+
INDEX($A777:$BM777,,$BV$17)*$BW$17+
INDEX($A777:$BM777,,$BV$18)*$BW$18+
INDEX($A777:$BM777,,$BV$19)*$BW$19+
INDEX($A777:$BM777,,$BV$20)*$BW$20+
INDEX($A777:$BM777,,$BV$21)*$BW$21+
INDEX($A777:$BM777,,$BV$22)*$BW$22+
INDEX($A777:$BM777,,$BV$23)*$BW$23+
INDEX($A777:$BM777,,$BV$25)*$BW$25+
INDEX($A777:$BM777,,$BV$26)*$BW$26+
INDEX($A777:$BM777,,$BV$27)*$BW$27+
$BN777)),
$BN777-100)</f>
        <v>-100</v>
      </c>
      <c r="BF777" t="str">
        <f t="shared" si="168"/>
        <v>Graham Gano</v>
      </c>
      <c r="BG777" t="str">
        <f t="shared" si="164"/>
        <v>NYG</v>
      </c>
      <c r="BH777">
        <f t="shared" si="169"/>
        <v>119.00776</v>
      </c>
      <c r="BJ777" t="str">
        <f t="shared" si="170"/>
        <v/>
      </c>
      <c r="BL777">
        <f t="shared" si="158"/>
        <v>0</v>
      </c>
      <c r="BN777">
        <v>7.7600000000000403E-3</v>
      </c>
    </row>
    <row r="778" spans="1:66" ht="15.75" thickBot="1" x14ac:dyDescent="0.3">
      <c r="A778" s="569" t="s">
        <v>2381</v>
      </c>
      <c r="B778" s="569" t="s">
        <v>142</v>
      </c>
      <c r="C778" s="569" t="s">
        <v>11</v>
      </c>
      <c r="D778" s="574">
        <v>9</v>
      </c>
      <c r="E778" s="569"/>
      <c r="F778" s="569"/>
      <c r="G778" s="569"/>
      <c r="H778" s="569"/>
      <c r="I778" s="574">
        <v>0</v>
      </c>
      <c r="J778" s="574">
        <v>0</v>
      </c>
      <c r="K778" s="574">
        <v>0</v>
      </c>
      <c r="L778" s="574">
        <v>0</v>
      </c>
      <c r="M778" s="574">
        <v>0</v>
      </c>
      <c r="N778" s="574">
        <v>0</v>
      </c>
      <c r="O778" s="574">
        <v>0</v>
      </c>
      <c r="P778" s="574">
        <v>0</v>
      </c>
      <c r="Q778" s="574">
        <v>0</v>
      </c>
      <c r="R778" s="569"/>
      <c r="S778" s="569"/>
      <c r="T778" s="569"/>
      <c r="U778" s="569"/>
      <c r="V778" s="569"/>
      <c r="W778" s="569"/>
      <c r="X778" s="569"/>
      <c r="Y778" s="569"/>
      <c r="Z778" s="569"/>
      <c r="AA778" s="569"/>
      <c r="AB778" s="569"/>
      <c r="AC778" s="569"/>
      <c r="AD778" s="569"/>
      <c r="AE778" s="569"/>
      <c r="AF778" s="569"/>
      <c r="AG778" s="569"/>
      <c r="AH778" s="569"/>
      <c r="AI778" s="569"/>
      <c r="AJ778" s="569"/>
      <c r="AK778" s="569"/>
      <c r="AL778" s="569"/>
      <c r="AM778" s="569"/>
      <c r="AN778" s="574">
        <v>118.9</v>
      </c>
      <c r="AO778">
        <v>777</v>
      </c>
      <c r="AP778" t="str">
        <f t="shared" si="159"/>
        <v/>
      </c>
      <c r="AQ778" t="str">
        <f t="shared" si="160"/>
        <v/>
      </c>
      <c r="AR778" s="430">
        <f>IFERROR(
IF(AP778="",-100,
IF($BV$2&gt;0, INDEX(Beersheet!$A:$U,MATCH(AP778,INDEX(Beersheet!$A:$U,0,FFARawStatProjections!$BV$2),0),$BV$3)+$BN778,
INDEX($A778:$BM778,,$BV$12)*$BW$12+
INDEX($A778:$BM778,,$BV$15)*$BW$15+
INDEX($A778:$BM778,,$BV$16)*$BW$16+
INDEX($A778:$BM778,,$BV$17)*$BW$17+
INDEX($A778:$BM778,,$BV$18)*$BW$18+
INDEX($A778:$BM778,,$BV$19)*$BW$19+
INDEX($A778:$BM778,,$BV$20)*$BW$20+
INDEX($A778:$BM778,,$BV$21)*$BW$21+
INDEX($A778:$BM778,,$BV$22)*$BW$22+
INDEX($A778:$BM778,,$BV$23)*$BW$23+
INDEX($A778:$BM778,,$BV$25)*$BW$25+
INDEX($A778:$BM778,,$BV$26)*$BW$26+
INDEX($A778:$BM778,,$BV$27)*$BW$27+
$BN778)),
$BN778-100)</f>
        <v>-100</v>
      </c>
      <c r="AT778" t="str">
        <f t="shared" si="165"/>
        <v/>
      </c>
      <c r="AU778" t="str">
        <f t="shared" si="161"/>
        <v/>
      </c>
      <c r="AV778" s="430">
        <f>IFERROR(
IF(AT778="",-100,
IF($BV$2&gt;0, INDEX(Beersheet!$A:$U,MATCH(AT778,INDEX(Beersheet!$A:$U,0,FFARawStatProjections!$BV$2),0),$BV$3)+$BN778,
INDEX($A778:$BM778,,$BV$12)*$BW$12+
INDEX($A778:$BM778,,$BV$15)*$BW$15+
INDEX($A778:$BM778,,$BV$16)*$BW$16+
INDEX($A778:$BM778,,$BV$17)*$BW$17+
INDEX($A778:$BM778,,$BV$18)*$BW$18+
INDEX($A778:$BM778,,$BV$19)*$BW$19+
INDEX($A778:$BM778,,$BV$20)*$BW$20+
INDEX($A778:$BM778,,$BV$21)*$BW$21+
INDEX($A778:$BM778,,$BV$22)*$BW$22+
INDEX($A778:$BM778,,$BV$23)*$BW$23+
INDEX($A778:$BM778,,$BV$25)*$BW$25+
INDEX($A778:$BM778,,$BV$26)*$BW$26+
INDEX($A778:$BM778,,$BV$27)*$BW$27+
$BN778)),
$BN778-100)</f>
        <v>-100</v>
      </c>
      <c r="AX778" t="str">
        <f t="shared" si="166"/>
        <v/>
      </c>
      <c r="AY778" t="str">
        <f t="shared" si="162"/>
        <v/>
      </c>
      <c r="AZ778" s="430">
        <f>IFERROR(
IF(AX778="",-100,
IF($BV$2&gt;0, INDEX(Beersheet!$A:$U,MATCH(AX778,INDEX(Beersheet!$A:$U,0,FFARawStatProjections!$BV$2),0),$BV$3)+$BN778,
INDEX($A778:$BM778,,$BV$12)*$BW$12+
INDEX($A778:$BM778,,$BV$15)*$BW$15+
INDEX($A778:$BM778,,$BV$16)*$BW$16+
INDEX($A778:$BM778,,$BV$17)*$BW$17+
INDEX($A778:$BM778,,$BV$18)*$BW$18+
INDEX($A778:$BM778,,$BV$19)*$BW$19+
INDEX($A778:$BM778,,$BV$20)*$BW$20+
INDEX($A778:$BM778,,$BV$21)*$BW$21+
INDEX($A778:$BM778,,$BV$22)*$BW$22+
INDEX($A778:$BM778,,$BV$23)*$BW$23+
INDEX($A778:$BM778,,$BV$25)*$BW$25+
INDEX($A778:$BM778,,$BV$26)*$BW$26+
INDEX($A778:$BM778,,$BV$27)*$BW$27+
$BN778)),
$BN778-100)</f>
        <v>-100</v>
      </c>
      <c r="BB778" t="str">
        <f t="shared" si="167"/>
        <v/>
      </c>
      <c r="BC778" t="str">
        <f t="shared" si="163"/>
        <v/>
      </c>
      <c r="BD778" s="430">
        <f>IFERROR(
IF(BB778="",-100,
IF($BV$2&gt;0, INDEX(Beersheet!$A:$U,MATCH(BB778,INDEX(Beersheet!$A:$U,0,FFARawStatProjections!$BV$2),0),$BV$3)+$BN778,
INDEX($A778:$BM778,,$BV$12)*$BW$12+
INDEX($A778:$BM778,,$BV$15)*$BW$15+
INDEX($A778:$BM778,,$BV$16)*$BW$16+
INDEX($A778:$BM778,,$BV$17)*$BW$17+
INDEX($A778:$BM778,,$BV$18)*$BW$18+
INDEX($A778:$BM778,,$BV$19)*$BW$19+
INDEX($A778:$BM778,,$BV$20)*$BW$20+
INDEX($A778:$BM778,,$BV$21)*$BW$21+
INDEX($A778:$BM778,,$BV$22)*$BW$22+
INDEX($A778:$BM778,,$BV$23)*$BW$23+
INDEX($A778:$BM778,,$BV$25)*$BW$25+
INDEX($A778:$BM778,,$BV$26)*$BW$26+
INDEX($A778:$BM778,,$BV$27)*$BW$27+
$BN778)),
$BN778-100)</f>
        <v>-100</v>
      </c>
      <c r="BF778" t="str">
        <f t="shared" si="168"/>
        <v>Riley Patterson</v>
      </c>
      <c r="BG778" t="str">
        <f t="shared" si="164"/>
        <v>DET</v>
      </c>
      <c r="BH778">
        <f t="shared" si="169"/>
        <v>118.90777</v>
      </c>
      <c r="BJ778" t="str">
        <f t="shared" si="170"/>
        <v/>
      </c>
      <c r="BL778">
        <f t="shared" si="158"/>
        <v>0</v>
      </c>
      <c r="BN778">
        <v>7.7700000000000399E-3</v>
      </c>
    </row>
    <row r="779" spans="1:66" ht="15.75" thickBot="1" x14ac:dyDescent="0.3">
      <c r="A779" s="569" t="s">
        <v>1176</v>
      </c>
      <c r="B779" s="569" t="s">
        <v>165</v>
      </c>
      <c r="C779" s="569" t="s">
        <v>11</v>
      </c>
      <c r="D779" s="574">
        <v>9</v>
      </c>
      <c r="E779" s="569"/>
      <c r="F779" s="569"/>
      <c r="G779" s="569"/>
      <c r="H779" s="569"/>
      <c r="I779" s="574">
        <v>0</v>
      </c>
      <c r="J779" s="574">
        <v>0</v>
      </c>
      <c r="K779" s="574">
        <v>0</v>
      </c>
      <c r="L779" s="574">
        <v>0</v>
      </c>
      <c r="M779" s="574">
        <v>0</v>
      </c>
      <c r="N779" s="574">
        <v>0</v>
      </c>
      <c r="O779" s="574">
        <v>0</v>
      </c>
      <c r="P779" s="574">
        <v>0</v>
      </c>
      <c r="Q779" s="574">
        <v>0</v>
      </c>
      <c r="R779" s="569"/>
      <c r="S779" s="569"/>
      <c r="T779" s="569"/>
      <c r="U779" s="569"/>
      <c r="V779" s="569"/>
      <c r="W779" s="569"/>
      <c r="X779" s="569"/>
      <c r="Y779" s="569"/>
      <c r="Z779" s="569"/>
      <c r="AA779" s="569"/>
      <c r="AB779" s="569"/>
      <c r="AC779" s="569"/>
      <c r="AD779" s="569"/>
      <c r="AE779" s="569"/>
      <c r="AF779" s="569"/>
      <c r="AG779" s="569"/>
      <c r="AH779" s="569"/>
      <c r="AI779" s="569"/>
      <c r="AJ779" s="569"/>
      <c r="AK779" s="569"/>
      <c r="AL779" s="569"/>
      <c r="AM779" s="569"/>
      <c r="AN779" s="574">
        <v>118.5</v>
      </c>
      <c r="AO779">
        <v>778</v>
      </c>
      <c r="AP779" t="str">
        <f t="shared" si="159"/>
        <v/>
      </c>
      <c r="AQ779" t="str">
        <f t="shared" si="160"/>
        <v/>
      </c>
      <c r="AR779" s="430">
        <f>IFERROR(
IF(AP779="",-100,
IF($BV$2&gt;0, INDEX(Beersheet!$A:$U,MATCH(AP779,INDEX(Beersheet!$A:$U,0,FFARawStatProjections!$BV$2),0),$BV$3)+$BN779,
INDEX($A779:$BM779,,$BV$12)*$BW$12+
INDEX($A779:$BM779,,$BV$15)*$BW$15+
INDEX($A779:$BM779,,$BV$16)*$BW$16+
INDEX($A779:$BM779,,$BV$17)*$BW$17+
INDEX($A779:$BM779,,$BV$18)*$BW$18+
INDEX($A779:$BM779,,$BV$19)*$BW$19+
INDEX($A779:$BM779,,$BV$20)*$BW$20+
INDEX($A779:$BM779,,$BV$21)*$BW$21+
INDEX($A779:$BM779,,$BV$22)*$BW$22+
INDEX($A779:$BM779,,$BV$23)*$BW$23+
INDEX($A779:$BM779,,$BV$25)*$BW$25+
INDEX($A779:$BM779,,$BV$26)*$BW$26+
INDEX($A779:$BM779,,$BV$27)*$BW$27+
$BN779)),
$BN779-100)</f>
        <v>-100</v>
      </c>
      <c r="AT779" t="str">
        <f t="shared" si="165"/>
        <v/>
      </c>
      <c r="AU779" t="str">
        <f t="shared" si="161"/>
        <v/>
      </c>
      <c r="AV779" s="430">
        <f>IFERROR(
IF(AT779="",-100,
IF($BV$2&gt;0, INDEX(Beersheet!$A:$U,MATCH(AT779,INDEX(Beersheet!$A:$U,0,FFARawStatProjections!$BV$2),0),$BV$3)+$BN779,
INDEX($A779:$BM779,,$BV$12)*$BW$12+
INDEX($A779:$BM779,,$BV$15)*$BW$15+
INDEX($A779:$BM779,,$BV$16)*$BW$16+
INDEX($A779:$BM779,,$BV$17)*$BW$17+
INDEX($A779:$BM779,,$BV$18)*$BW$18+
INDEX($A779:$BM779,,$BV$19)*$BW$19+
INDEX($A779:$BM779,,$BV$20)*$BW$20+
INDEX($A779:$BM779,,$BV$21)*$BW$21+
INDEX($A779:$BM779,,$BV$22)*$BW$22+
INDEX($A779:$BM779,,$BV$23)*$BW$23+
INDEX($A779:$BM779,,$BV$25)*$BW$25+
INDEX($A779:$BM779,,$BV$26)*$BW$26+
INDEX($A779:$BM779,,$BV$27)*$BW$27+
$BN779)),
$BN779-100)</f>
        <v>-100</v>
      </c>
      <c r="AX779" t="str">
        <f t="shared" si="166"/>
        <v/>
      </c>
      <c r="AY779" t="str">
        <f t="shared" si="162"/>
        <v/>
      </c>
      <c r="AZ779" s="430">
        <f>IFERROR(
IF(AX779="",-100,
IF($BV$2&gt;0, INDEX(Beersheet!$A:$U,MATCH(AX779,INDEX(Beersheet!$A:$U,0,FFARawStatProjections!$BV$2),0),$BV$3)+$BN779,
INDEX($A779:$BM779,,$BV$12)*$BW$12+
INDEX($A779:$BM779,,$BV$15)*$BW$15+
INDEX($A779:$BM779,,$BV$16)*$BW$16+
INDEX($A779:$BM779,,$BV$17)*$BW$17+
INDEX($A779:$BM779,,$BV$18)*$BW$18+
INDEX($A779:$BM779,,$BV$19)*$BW$19+
INDEX($A779:$BM779,,$BV$20)*$BW$20+
INDEX($A779:$BM779,,$BV$21)*$BW$21+
INDEX($A779:$BM779,,$BV$22)*$BW$22+
INDEX($A779:$BM779,,$BV$23)*$BW$23+
INDEX($A779:$BM779,,$BV$25)*$BW$25+
INDEX($A779:$BM779,,$BV$26)*$BW$26+
INDEX($A779:$BM779,,$BV$27)*$BW$27+
$BN779)),
$BN779-100)</f>
        <v>-100</v>
      </c>
      <c r="BB779" t="str">
        <f t="shared" si="167"/>
        <v/>
      </c>
      <c r="BC779" t="str">
        <f t="shared" si="163"/>
        <v/>
      </c>
      <c r="BD779" s="430">
        <f>IFERROR(
IF(BB779="",-100,
IF($BV$2&gt;0, INDEX(Beersheet!$A:$U,MATCH(BB779,INDEX(Beersheet!$A:$U,0,FFARawStatProjections!$BV$2),0),$BV$3)+$BN779,
INDEX($A779:$BM779,,$BV$12)*$BW$12+
INDEX($A779:$BM779,,$BV$15)*$BW$15+
INDEX($A779:$BM779,,$BV$16)*$BW$16+
INDEX($A779:$BM779,,$BV$17)*$BW$17+
INDEX($A779:$BM779,,$BV$18)*$BW$18+
INDEX($A779:$BM779,,$BV$19)*$BW$19+
INDEX($A779:$BM779,,$BV$20)*$BW$20+
INDEX($A779:$BM779,,$BV$21)*$BW$21+
INDEX($A779:$BM779,,$BV$22)*$BW$22+
INDEX($A779:$BM779,,$BV$23)*$BW$23+
INDEX($A779:$BM779,,$BV$25)*$BW$25+
INDEX($A779:$BM779,,$BV$26)*$BW$26+
INDEX($A779:$BM779,,$BV$27)*$BW$27+
$BN779)),
$BN779-100)</f>
        <v>-100</v>
      </c>
      <c r="BF779" t="str">
        <f t="shared" si="168"/>
        <v>Brandon McManus</v>
      </c>
      <c r="BG779" t="str">
        <f t="shared" si="164"/>
        <v>JAC</v>
      </c>
      <c r="BH779">
        <f t="shared" si="169"/>
        <v>118.50778</v>
      </c>
      <c r="BJ779" t="str">
        <f t="shared" si="170"/>
        <v/>
      </c>
      <c r="BL779">
        <f t="shared" si="158"/>
        <v>0</v>
      </c>
      <c r="BN779">
        <v>7.7800000000000404E-3</v>
      </c>
    </row>
    <row r="780" spans="1:66" ht="15.75" thickBot="1" x14ac:dyDescent="0.3">
      <c r="A780" s="569" t="s">
        <v>2516</v>
      </c>
      <c r="B780" s="569" t="s">
        <v>1388</v>
      </c>
      <c r="C780" s="569" t="s">
        <v>11</v>
      </c>
      <c r="D780" s="574">
        <v>5</v>
      </c>
      <c r="E780" s="569"/>
      <c r="F780" s="569"/>
      <c r="G780" s="569"/>
      <c r="H780" s="569"/>
      <c r="I780" s="574">
        <v>0</v>
      </c>
      <c r="J780" s="574">
        <v>0</v>
      </c>
      <c r="K780" s="574">
        <v>0</v>
      </c>
      <c r="L780" s="574">
        <v>0</v>
      </c>
      <c r="M780" s="574">
        <v>0</v>
      </c>
      <c r="N780" s="574">
        <v>0</v>
      </c>
      <c r="O780" s="574">
        <v>0</v>
      </c>
      <c r="P780" s="574">
        <v>0</v>
      </c>
      <c r="Q780" s="574">
        <v>0</v>
      </c>
      <c r="R780" s="569"/>
      <c r="S780" s="569"/>
      <c r="T780" s="569"/>
      <c r="U780" s="569"/>
      <c r="V780" s="569"/>
      <c r="W780" s="569"/>
      <c r="X780" s="569"/>
      <c r="Y780" s="569"/>
      <c r="Z780" s="569"/>
      <c r="AA780" s="569"/>
      <c r="AB780" s="569"/>
      <c r="AC780" s="569"/>
      <c r="AD780" s="569"/>
      <c r="AE780" s="569"/>
      <c r="AF780" s="569"/>
      <c r="AG780" s="569"/>
      <c r="AH780" s="569"/>
      <c r="AI780" s="569"/>
      <c r="AJ780" s="569"/>
      <c r="AK780" s="569"/>
      <c r="AL780" s="569"/>
      <c r="AM780" s="569"/>
      <c r="AN780" s="574">
        <v>118.2</v>
      </c>
      <c r="AO780">
        <v>779</v>
      </c>
      <c r="AP780" t="str">
        <f t="shared" si="159"/>
        <v/>
      </c>
      <c r="AQ780" t="str">
        <f t="shared" si="160"/>
        <v/>
      </c>
      <c r="AR780" s="430">
        <f>IFERROR(
IF(AP780="",-100,
IF($BV$2&gt;0, INDEX(Beersheet!$A:$U,MATCH(AP780,INDEX(Beersheet!$A:$U,0,FFARawStatProjections!$BV$2),0),$BV$3)+$BN780,
INDEX($A780:$BM780,,$BV$12)*$BW$12+
INDEX($A780:$BM780,,$BV$15)*$BW$15+
INDEX($A780:$BM780,,$BV$16)*$BW$16+
INDEX($A780:$BM780,,$BV$17)*$BW$17+
INDEX($A780:$BM780,,$BV$18)*$BW$18+
INDEX($A780:$BM780,,$BV$19)*$BW$19+
INDEX($A780:$BM780,,$BV$20)*$BW$20+
INDEX($A780:$BM780,,$BV$21)*$BW$21+
INDEX($A780:$BM780,,$BV$22)*$BW$22+
INDEX($A780:$BM780,,$BV$23)*$BW$23+
INDEX($A780:$BM780,,$BV$25)*$BW$25+
INDEX($A780:$BM780,,$BV$26)*$BW$26+
INDEX($A780:$BM780,,$BV$27)*$BW$27+
$BN780)),
$BN780-100)</f>
        <v>-100</v>
      </c>
      <c r="AT780" t="str">
        <f t="shared" si="165"/>
        <v/>
      </c>
      <c r="AU780" t="str">
        <f t="shared" si="161"/>
        <v/>
      </c>
      <c r="AV780" s="430">
        <f>IFERROR(
IF(AT780="",-100,
IF($BV$2&gt;0, INDEX(Beersheet!$A:$U,MATCH(AT780,INDEX(Beersheet!$A:$U,0,FFARawStatProjections!$BV$2),0),$BV$3)+$BN780,
INDEX($A780:$BM780,,$BV$12)*$BW$12+
INDEX($A780:$BM780,,$BV$15)*$BW$15+
INDEX($A780:$BM780,,$BV$16)*$BW$16+
INDEX($A780:$BM780,,$BV$17)*$BW$17+
INDEX($A780:$BM780,,$BV$18)*$BW$18+
INDEX($A780:$BM780,,$BV$19)*$BW$19+
INDEX($A780:$BM780,,$BV$20)*$BW$20+
INDEX($A780:$BM780,,$BV$21)*$BW$21+
INDEX($A780:$BM780,,$BV$22)*$BW$22+
INDEX($A780:$BM780,,$BV$23)*$BW$23+
INDEX($A780:$BM780,,$BV$25)*$BW$25+
INDEX($A780:$BM780,,$BV$26)*$BW$26+
INDEX($A780:$BM780,,$BV$27)*$BW$27+
$BN780)),
$BN780-100)</f>
        <v>-100</v>
      </c>
      <c r="AX780" t="str">
        <f t="shared" si="166"/>
        <v/>
      </c>
      <c r="AY780" t="str">
        <f t="shared" si="162"/>
        <v/>
      </c>
      <c r="AZ780" s="430">
        <f>IFERROR(
IF(AX780="",-100,
IF($BV$2&gt;0, INDEX(Beersheet!$A:$U,MATCH(AX780,INDEX(Beersheet!$A:$U,0,FFARawStatProjections!$BV$2),0),$BV$3)+$BN780,
INDEX($A780:$BM780,,$BV$12)*$BW$12+
INDEX($A780:$BM780,,$BV$15)*$BW$15+
INDEX($A780:$BM780,,$BV$16)*$BW$16+
INDEX($A780:$BM780,,$BV$17)*$BW$17+
INDEX($A780:$BM780,,$BV$18)*$BW$18+
INDEX($A780:$BM780,,$BV$19)*$BW$19+
INDEX($A780:$BM780,,$BV$20)*$BW$20+
INDEX($A780:$BM780,,$BV$21)*$BW$21+
INDEX($A780:$BM780,,$BV$22)*$BW$22+
INDEX($A780:$BM780,,$BV$23)*$BW$23+
INDEX($A780:$BM780,,$BV$25)*$BW$25+
INDEX($A780:$BM780,,$BV$26)*$BW$26+
INDEX($A780:$BM780,,$BV$27)*$BW$27+
$BN780)),
$BN780-100)</f>
        <v>-100</v>
      </c>
      <c r="BB780" t="str">
        <f t="shared" si="167"/>
        <v/>
      </c>
      <c r="BC780" t="str">
        <f t="shared" si="163"/>
        <v/>
      </c>
      <c r="BD780" s="430">
        <f>IFERROR(
IF(BB780="",-100,
IF($BV$2&gt;0, INDEX(Beersheet!$A:$U,MATCH(BB780,INDEX(Beersheet!$A:$U,0,FFARawStatProjections!$BV$2),0),$BV$3)+$BN780,
INDEX($A780:$BM780,,$BV$12)*$BW$12+
INDEX($A780:$BM780,,$BV$15)*$BW$15+
INDEX($A780:$BM780,,$BV$16)*$BW$16+
INDEX($A780:$BM780,,$BV$17)*$BW$17+
INDEX($A780:$BM780,,$BV$18)*$BW$18+
INDEX($A780:$BM780,,$BV$19)*$BW$19+
INDEX($A780:$BM780,,$BV$20)*$BW$20+
INDEX($A780:$BM780,,$BV$21)*$BW$21+
INDEX($A780:$BM780,,$BV$22)*$BW$22+
INDEX($A780:$BM780,,$BV$23)*$BW$23+
INDEX($A780:$BM780,,$BV$25)*$BW$25+
INDEX($A780:$BM780,,$BV$26)*$BW$26+
INDEX($A780:$BM780,,$BV$27)*$BW$27+
$BN780)),
$BN780-100)</f>
        <v>-100</v>
      </c>
      <c r="BF780" t="str">
        <f t="shared" si="168"/>
        <v>Cameron Dicker</v>
      </c>
      <c r="BG780" t="str">
        <f t="shared" si="164"/>
        <v>LAC</v>
      </c>
      <c r="BH780">
        <f t="shared" si="169"/>
        <v>118.20779</v>
      </c>
      <c r="BJ780" t="str">
        <f t="shared" si="170"/>
        <v/>
      </c>
      <c r="BL780">
        <f t="shared" si="158"/>
        <v>0</v>
      </c>
      <c r="BN780">
        <v>7.7900000000000399E-3</v>
      </c>
    </row>
    <row r="781" spans="1:66" ht="15.75" thickBot="1" x14ac:dyDescent="0.3">
      <c r="A781" s="569" t="s">
        <v>1820</v>
      </c>
      <c r="B781" s="569" t="s">
        <v>166</v>
      </c>
      <c r="C781" s="569" t="s">
        <v>11</v>
      </c>
      <c r="D781" s="574">
        <v>10</v>
      </c>
      <c r="E781" s="569"/>
      <c r="F781" s="569"/>
      <c r="G781" s="569"/>
      <c r="H781" s="569"/>
      <c r="I781" s="574">
        <v>0</v>
      </c>
      <c r="J781" s="574">
        <v>0</v>
      </c>
      <c r="K781" s="574">
        <v>0</v>
      </c>
      <c r="L781" s="574">
        <v>0</v>
      </c>
      <c r="M781" s="574">
        <v>0</v>
      </c>
      <c r="N781" s="574">
        <v>0</v>
      </c>
      <c r="O781" s="574">
        <v>0</v>
      </c>
      <c r="P781" s="574">
        <v>0</v>
      </c>
      <c r="Q781" s="574">
        <v>0</v>
      </c>
      <c r="R781" s="569"/>
      <c r="S781" s="569"/>
      <c r="T781" s="569"/>
      <c r="U781" s="569"/>
      <c r="V781" s="569"/>
      <c r="W781" s="569"/>
      <c r="X781" s="569"/>
      <c r="Y781" s="569"/>
      <c r="Z781" s="569"/>
      <c r="AA781" s="569"/>
      <c r="AB781" s="569"/>
      <c r="AC781" s="569"/>
      <c r="AD781" s="569"/>
      <c r="AE781" s="569"/>
      <c r="AF781" s="569"/>
      <c r="AG781" s="569"/>
      <c r="AH781" s="569"/>
      <c r="AI781" s="569"/>
      <c r="AJ781" s="569"/>
      <c r="AK781" s="569"/>
      <c r="AL781" s="569"/>
      <c r="AM781" s="569"/>
      <c r="AN781" s="574">
        <v>117.4</v>
      </c>
      <c r="AO781">
        <v>780</v>
      </c>
      <c r="AP781" t="str">
        <f t="shared" si="159"/>
        <v/>
      </c>
      <c r="AQ781" t="str">
        <f t="shared" si="160"/>
        <v/>
      </c>
      <c r="AR781" s="430">
        <f>IFERROR(
IF(AP781="",-100,
IF($BV$2&gt;0, INDEX(Beersheet!$A:$U,MATCH(AP781,INDEX(Beersheet!$A:$U,0,FFARawStatProjections!$BV$2),0),$BV$3)+$BN781,
INDEX($A781:$BM781,,$BV$12)*$BW$12+
INDEX($A781:$BM781,,$BV$15)*$BW$15+
INDEX($A781:$BM781,,$BV$16)*$BW$16+
INDEX($A781:$BM781,,$BV$17)*$BW$17+
INDEX($A781:$BM781,,$BV$18)*$BW$18+
INDEX($A781:$BM781,,$BV$19)*$BW$19+
INDEX($A781:$BM781,,$BV$20)*$BW$20+
INDEX($A781:$BM781,,$BV$21)*$BW$21+
INDEX($A781:$BM781,,$BV$22)*$BW$22+
INDEX($A781:$BM781,,$BV$23)*$BW$23+
INDEX($A781:$BM781,,$BV$25)*$BW$25+
INDEX($A781:$BM781,,$BV$26)*$BW$26+
INDEX($A781:$BM781,,$BV$27)*$BW$27+
$BN781)),
$BN781-100)</f>
        <v>-100</v>
      </c>
      <c r="AT781" t="str">
        <f t="shared" si="165"/>
        <v/>
      </c>
      <c r="AU781" t="str">
        <f t="shared" si="161"/>
        <v/>
      </c>
      <c r="AV781" s="430">
        <f>IFERROR(
IF(AT781="",-100,
IF($BV$2&gt;0, INDEX(Beersheet!$A:$U,MATCH(AT781,INDEX(Beersheet!$A:$U,0,FFARawStatProjections!$BV$2),0),$BV$3)+$BN781,
INDEX($A781:$BM781,,$BV$12)*$BW$12+
INDEX($A781:$BM781,,$BV$15)*$BW$15+
INDEX($A781:$BM781,,$BV$16)*$BW$16+
INDEX($A781:$BM781,,$BV$17)*$BW$17+
INDEX($A781:$BM781,,$BV$18)*$BW$18+
INDEX($A781:$BM781,,$BV$19)*$BW$19+
INDEX($A781:$BM781,,$BV$20)*$BW$20+
INDEX($A781:$BM781,,$BV$21)*$BW$21+
INDEX($A781:$BM781,,$BV$22)*$BW$22+
INDEX($A781:$BM781,,$BV$23)*$BW$23+
INDEX($A781:$BM781,,$BV$25)*$BW$25+
INDEX($A781:$BM781,,$BV$26)*$BW$26+
INDEX($A781:$BM781,,$BV$27)*$BW$27+
$BN781)),
$BN781-100)</f>
        <v>-100</v>
      </c>
      <c r="AX781" t="str">
        <f t="shared" si="166"/>
        <v/>
      </c>
      <c r="AY781" t="str">
        <f t="shared" si="162"/>
        <v/>
      </c>
      <c r="AZ781" s="430">
        <f>IFERROR(
IF(AX781="",-100,
IF($BV$2&gt;0, INDEX(Beersheet!$A:$U,MATCH(AX781,INDEX(Beersheet!$A:$U,0,FFARawStatProjections!$BV$2),0),$BV$3)+$BN781,
INDEX($A781:$BM781,,$BV$12)*$BW$12+
INDEX($A781:$BM781,,$BV$15)*$BW$15+
INDEX($A781:$BM781,,$BV$16)*$BW$16+
INDEX($A781:$BM781,,$BV$17)*$BW$17+
INDEX($A781:$BM781,,$BV$18)*$BW$18+
INDEX($A781:$BM781,,$BV$19)*$BW$19+
INDEX($A781:$BM781,,$BV$20)*$BW$20+
INDEX($A781:$BM781,,$BV$21)*$BW$21+
INDEX($A781:$BM781,,$BV$22)*$BW$22+
INDEX($A781:$BM781,,$BV$23)*$BW$23+
INDEX($A781:$BM781,,$BV$25)*$BW$25+
INDEX($A781:$BM781,,$BV$26)*$BW$26+
INDEX($A781:$BM781,,$BV$27)*$BW$27+
$BN781)),
$BN781-100)</f>
        <v>-100</v>
      </c>
      <c r="BB781" t="str">
        <f t="shared" si="167"/>
        <v/>
      </c>
      <c r="BC781" t="str">
        <f t="shared" si="163"/>
        <v/>
      </c>
      <c r="BD781" s="430">
        <f>IFERROR(
IF(BB781="",-100,
IF($BV$2&gt;0, INDEX(Beersheet!$A:$U,MATCH(BB781,INDEX(Beersheet!$A:$U,0,FFARawStatProjections!$BV$2),0),$BV$3)+$BN781,
INDEX($A781:$BM781,,$BV$12)*$BW$12+
INDEX($A781:$BM781,,$BV$15)*$BW$15+
INDEX($A781:$BM781,,$BV$16)*$BW$16+
INDEX($A781:$BM781,,$BV$17)*$BW$17+
INDEX($A781:$BM781,,$BV$18)*$BW$18+
INDEX($A781:$BM781,,$BV$19)*$BW$19+
INDEX($A781:$BM781,,$BV$20)*$BW$20+
INDEX($A781:$BM781,,$BV$21)*$BW$21+
INDEX($A781:$BM781,,$BV$22)*$BW$22+
INDEX($A781:$BM781,,$BV$23)*$BW$23+
INDEX($A781:$BM781,,$BV$25)*$BW$25+
INDEX($A781:$BM781,,$BV$26)*$BW$26+
INDEX($A781:$BM781,,$BV$27)*$BW$27+
$BN781)),
$BN781-100)</f>
        <v>-100</v>
      </c>
      <c r="BF781" t="str">
        <f t="shared" si="168"/>
        <v>Jason Sanders</v>
      </c>
      <c r="BG781" t="str">
        <f t="shared" si="164"/>
        <v>MIA</v>
      </c>
      <c r="BH781">
        <f t="shared" si="169"/>
        <v>117.40780000000001</v>
      </c>
      <c r="BJ781" t="str">
        <f t="shared" si="170"/>
        <v/>
      </c>
      <c r="BL781">
        <f t="shared" si="158"/>
        <v>0</v>
      </c>
      <c r="BN781">
        <v>7.8000000000000404E-3</v>
      </c>
    </row>
    <row r="782" spans="1:66" ht="15.75" thickBot="1" x14ac:dyDescent="0.3">
      <c r="A782" s="569" t="s">
        <v>2268</v>
      </c>
      <c r="B782" s="569" t="s">
        <v>141</v>
      </c>
      <c r="C782" s="569" t="s">
        <v>11</v>
      </c>
      <c r="D782" s="574">
        <v>13</v>
      </c>
      <c r="E782" s="569"/>
      <c r="F782" s="569"/>
      <c r="G782" s="569"/>
      <c r="H782" s="569"/>
      <c r="I782" s="574">
        <v>0</v>
      </c>
      <c r="J782" s="574">
        <v>0</v>
      </c>
      <c r="K782" s="574">
        <v>0</v>
      </c>
      <c r="L782" s="574">
        <v>0</v>
      </c>
      <c r="M782" s="574">
        <v>0</v>
      </c>
      <c r="N782" s="574">
        <v>0</v>
      </c>
      <c r="O782" s="574">
        <v>0</v>
      </c>
      <c r="P782" s="574">
        <v>0</v>
      </c>
      <c r="Q782" s="574">
        <v>0</v>
      </c>
      <c r="R782" s="569"/>
      <c r="S782" s="569"/>
      <c r="T782" s="569"/>
      <c r="U782" s="569"/>
      <c r="V782" s="569"/>
      <c r="W782" s="569"/>
      <c r="X782" s="569"/>
      <c r="Y782" s="569"/>
      <c r="Z782" s="569"/>
      <c r="AA782" s="569"/>
      <c r="AB782" s="569"/>
      <c r="AC782" s="569"/>
      <c r="AD782" s="569"/>
      <c r="AE782" s="569"/>
      <c r="AF782" s="569"/>
      <c r="AG782" s="569"/>
      <c r="AH782" s="569"/>
      <c r="AI782" s="569"/>
      <c r="AJ782" s="569"/>
      <c r="AK782" s="569"/>
      <c r="AL782" s="569"/>
      <c r="AM782" s="569"/>
      <c r="AN782" s="574">
        <v>116.1</v>
      </c>
      <c r="AO782">
        <v>781</v>
      </c>
      <c r="AP782" t="str">
        <f t="shared" si="159"/>
        <v/>
      </c>
      <c r="AQ782" t="str">
        <f t="shared" si="160"/>
        <v/>
      </c>
      <c r="AR782" s="430">
        <f>IFERROR(
IF(AP782="",-100,
IF($BV$2&gt;0, INDEX(Beersheet!$A:$U,MATCH(AP782,INDEX(Beersheet!$A:$U,0,FFARawStatProjections!$BV$2),0),$BV$3)+$BN782,
INDEX($A782:$BM782,,$BV$12)*$BW$12+
INDEX($A782:$BM782,,$BV$15)*$BW$15+
INDEX($A782:$BM782,,$BV$16)*$BW$16+
INDEX($A782:$BM782,,$BV$17)*$BW$17+
INDEX($A782:$BM782,,$BV$18)*$BW$18+
INDEX($A782:$BM782,,$BV$19)*$BW$19+
INDEX($A782:$BM782,,$BV$20)*$BW$20+
INDEX($A782:$BM782,,$BV$21)*$BW$21+
INDEX($A782:$BM782,,$BV$22)*$BW$22+
INDEX($A782:$BM782,,$BV$23)*$BW$23+
INDEX($A782:$BM782,,$BV$25)*$BW$25+
INDEX($A782:$BM782,,$BV$26)*$BW$26+
INDEX($A782:$BM782,,$BV$27)*$BW$27+
$BN782)),
$BN782-100)</f>
        <v>-100</v>
      </c>
      <c r="AT782" t="str">
        <f t="shared" si="165"/>
        <v/>
      </c>
      <c r="AU782" t="str">
        <f t="shared" si="161"/>
        <v/>
      </c>
      <c r="AV782" s="430">
        <f>IFERROR(
IF(AT782="",-100,
IF($BV$2&gt;0, INDEX(Beersheet!$A:$U,MATCH(AT782,INDEX(Beersheet!$A:$U,0,FFARawStatProjections!$BV$2),0),$BV$3)+$BN782,
INDEX($A782:$BM782,,$BV$12)*$BW$12+
INDEX($A782:$BM782,,$BV$15)*$BW$15+
INDEX($A782:$BM782,,$BV$16)*$BW$16+
INDEX($A782:$BM782,,$BV$17)*$BW$17+
INDEX($A782:$BM782,,$BV$18)*$BW$18+
INDEX($A782:$BM782,,$BV$19)*$BW$19+
INDEX($A782:$BM782,,$BV$20)*$BW$20+
INDEX($A782:$BM782,,$BV$21)*$BW$21+
INDEX($A782:$BM782,,$BV$22)*$BW$22+
INDEX($A782:$BM782,,$BV$23)*$BW$23+
INDEX($A782:$BM782,,$BV$25)*$BW$25+
INDEX($A782:$BM782,,$BV$26)*$BW$26+
INDEX($A782:$BM782,,$BV$27)*$BW$27+
$BN782)),
$BN782-100)</f>
        <v>-100</v>
      </c>
      <c r="AX782" t="str">
        <f t="shared" si="166"/>
        <v/>
      </c>
      <c r="AY782" t="str">
        <f t="shared" si="162"/>
        <v/>
      </c>
      <c r="AZ782" s="430">
        <f>IFERROR(
IF(AX782="",-100,
IF($BV$2&gt;0, INDEX(Beersheet!$A:$U,MATCH(AX782,INDEX(Beersheet!$A:$U,0,FFARawStatProjections!$BV$2),0),$BV$3)+$BN782,
INDEX($A782:$BM782,,$BV$12)*$BW$12+
INDEX($A782:$BM782,,$BV$15)*$BW$15+
INDEX($A782:$BM782,,$BV$16)*$BW$16+
INDEX($A782:$BM782,,$BV$17)*$BW$17+
INDEX($A782:$BM782,,$BV$18)*$BW$18+
INDEX($A782:$BM782,,$BV$19)*$BW$19+
INDEX($A782:$BM782,,$BV$20)*$BW$20+
INDEX($A782:$BM782,,$BV$21)*$BW$21+
INDEX($A782:$BM782,,$BV$22)*$BW$22+
INDEX($A782:$BM782,,$BV$23)*$BW$23+
INDEX($A782:$BM782,,$BV$25)*$BW$25+
INDEX($A782:$BM782,,$BV$26)*$BW$26+
INDEX($A782:$BM782,,$BV$27)*$BW$27+
$BN782)),
$BN782-100)</f>
        <v>-100</v>
      </c>
      <c r="BB782" t="str">
        <f t="shared" si="167"/>
        <v/>
      </c>
      <c r="BC782" t="str">
        <f t="shared" si="163"/>
        <v/>
      </c>
      <c r="BD782" s="430">
        <f>IFERROR(
IF(BB782="",-100,
IF($BV$2&gt;0, INDEX(Beersheet!$A:$U,MATCH(BB782,INDEX(Beersheet!$A:$U,0,FFARawStatProjections!$BV$2),0),$BV$3)+$BN782,
INDEX($A782:$BM782,,$BV$12)*$BW$12+
INDEX($A782:$BM782,,$BV$15)*$BW$15+
INDEX($A782:$BM782,,$BV$16)*$BW$16+
INDEX($A782:$BM782,,$BV$17)*$BW$17+
INDEX($A782:$BM782,,$BV$18)*$BW$18+
INDEX($A782:$BM782,,$BV$19)*$BW$19+
INDEX($A782:$BM782,,$BV$20)*$BW$20+
INDEX($A782:$BM782,,$BV$21)*$BW$21+
INDEX($A782:$BM782,,$BV$22)*$BW$22+
INDEX($A782:$BM782,,$BV$23)*$BW$23+
INDEX($A782:$BM782,,$BV$25)*$BW$25+
INDEX($A782:$BM782,,$BV$26)*$BW$26+
INDEX($A782:$BM782,,$BV$27)*$BW$27+
$BN782)),
$BN782-100)</f>
        <v>-100</v>
      </c>
      <c r="BF782" t="str">
        <f t="shared" si="168"/>
        <v>Cairo Santos</v>
      </c>
      <c r="BG782" t="str">
        <f t="shared" si="164"/>
        <v>CHI</v>
      </c>
      <c r="BH782">
        <f t="shared" si="169"/>
        <v>116.10781</v>
      </c>
      <c r="BJ782" t="str">
        <f t="shared" si="170"/>
        <v/>
      </c>
      <c r="BL782">
        <f t="shared" si="158"/>
        <v>0</v>
      </c>
      <c r="BN782">
        <v>7.81000000000004E-3</v>
      </c>
    </row>
    <row r="783" spans="1:66" ht="15.75" thickBot="1" x14ac:dyDescent="0.3">
      <c r="A783" s="569" t="s">
        <v>2476</v>
      </c>
      <c r="B783" s="569" t="s">
        <v>155</v>
      </c>
      <c r="C783" s="569" t="s">
        <v>11</v>
      </c>
      <c r="D783" s="574">
        <v>9</v>
      </c>
      <c r="E783" s="569"/>
      <c r="F783" s="569"/>
      <c r="G783" s="569"/>
      <c r="H783" s="569"/>
      <c r="I783" s="574">
        <v>0</v>
      </c>
      <c r="J783" s="574">
        <v>0</v>
      </c>
      <c r="K783" s="574">
        <v>0</v>
      </c>
      <c r="L783" s="574">
        <v>0</v>
      </c>
      <c r="M783" s="574">
        <v>0</v>
      </c>
      <c r="N783" s="574">
        <v>0</v>
      </c>
      <c r="O783" s="574">
        <v>0</v>
      </c>
      <c r="P783" s="574">
        <v>0</v>
      </c>
      <c r="Q783" s="574">
        <v>0</v>
      </c>
      <c r="R783" s="569"/>
      <c r="S783" s="569"/>
      <c r="T783" s="569"/>
      <c r="U783" s="569"/>
      <c r="V783" s="569"/>
      <c r="W783" s="569"/>
      <c r="X783" s="569"/>
      <c r="Y783" s="569"/>
      <c r="Z783" s="569"/>
      <c r="AA783" s="569"/>
      <c r="AB783" s="569"/>
      <c r="AC783" s="569"/>
      <c r="AD783" s="569"/>
      <c r="AE783" s="569"/>
      <c r="AF783" s="569"/>
      <c r="AG783" s="569"/>
      <c r="AH783" s="569"/>
      <c r="AI783" s="569"/>
      <c r="AJ783" s="569"/>
      <c r="AK783" s="569"/>
      <c r="AL783" s="569"/>
      <c r="AM783" s="569"/>
      <c r="AN783" s="574">
        <v>116.1</v>
      </c>
      <c r="AO783">
        <v>782</v>
      </c>
      <c r="AP783" t="str">
        <f t="shared" si="159"/>
        <v/>
      </c>
      <c r="AQ783" t="str">
        <f t="shared" si="160"/>
        <v/>
      </c>
      <c r="AR783" s="430">
        <f>IFERROR(
IF(AP783="",-100,
IF($BV$2&gt;0, INDEX(Beersheet!$A:$U,MATCH(AP783,INDEX(Beersheet!$A:$U,0,FFARawStatProjections!$BV$2),0),$BV$3)+$BN783,
INDEX($A783:$BM783,,$BV$12)*$BW$12+
INDEX($A783:$BM783,,$BV$15)*$BW$15+
INDEX($A783:$BM783,,$BV$16)*$BW$16+
INDEX($A783:$BM783,,$BV$17)*$BW$17+
INDEX($A783:$BM783,,$BV$18)*$BW$18+
INDEX($A783:$BM783,,$BV$19)*$BW$19+
INDEX($A783:$BM783,,$BV$20)*$BW$20+
INDEX($A783:$BM783,,$BV$21)*$BW$21+
INDEX($A783:$BM783,,$BV$22)*$BW$22+
INDEX($A783:$BM783,,$BV$23)*$BW$23+
INDEX($A783:$BM783,,$BV$25)*$BW$25+
INDEX($A783:$BM783,,$BV$26)*$BW$26+
INDEX($A783:$BM783,,$BV$27)*$BW$27+
$BN783)),
$BN783-100)</f>
        <v>-100</v>
      </c>
      <c r="AT783" t="str">
        <f t="shared" si="165"/>
        <v/>
      </c>
      <c r="AU783" t="str">
        <f t="shared" si="161"/>
        <v/>
      </c>
      <c r="AV783" s="430">
        <f>IFERROR(
IF(AT783="",-100,
IF($BV$2&gt;0, INDEX(Beersheet!$A:$U,MATCH(AT783,INDEX(Beersheet!$A:$U,0,FFARawStatProjections!$BV$2),0),$BV$3)+$BN783,
INDEX($A783:$BM783,,$BV$12)*$BW$12+
INDEX($A783:$BM783,,$BV$15)*$BW$15+
INDEX($A783:$BM783,,$BV$16)*$BW$16+
INDEX($A783:$BM783,,$BV$17)*$BW$17+
INDEX($A783:$BM783,,$BV$18)*$BW$18+
INDEX($A783:$BM783,,$BV$19)*$BW$19+
INDEX($A783:$BM783,,$BV$20)*$BW$20+
INDEX($A783:$BM783,,$BV$21)*$BW$21+
INDEX($A783:$BM783,,$BV$22)*$BW$22+
INDEX($A783:$BM783,,$BV$23)*$BW$23+
INDEX($A783:$BM783,,$BV$25)*$BW$25+
INDEX($A783:$BM783,,$BV$26)*$BW$26+
INDEX($A783:$BM783,,$BV$27)*$BW$27+
$BN783)),
$BN783-100)</f>
        <v>-100</v>
      </c>
      <c r="AX783" t="str">
        <f t="shared" si="166"/>
        <v/>
      </c>
      <c r="AY783" t="str">
        <f t="shared" si="162"/>
        <v/>
      </c>
      <c r="AZ783" s="430">
        <f>IFERROR(
IF(AX783="",-100,
IF($BV$2&gt;0, INDEX(Beersheet!$A:$U,MATCH(AX783,INDEX(Beersheet!$A:$U,0,FFARawStatProjections!$BV$2),0),$BV$3)+$BN783,
INDEX($A783:$BM783,,$BV$12)*$BW$12+
INDEX($A783:$BM783,,$BV$15)*$BW$15+
INDEX($A783:$BM783,,$BV$16)*$BW$16+
INDEX($A783:$BM783,,$BV$17)*$BW$17+
INDEX($A783:$BM783,,$BV$18)*$BW$18+
INDEX($A783:$BM783,,$BV$19)*$BW$19+
INDEX($A783:$BM783,,$BV$20)*$BW$20+
INDEX($A783:$BM783,,$BV$21)*$BW$21+
INDEX($A783:$BM783,,$BV$22)*$BW$22+
INDEX($A783:$BM783,,$BV$23)*$BW$23+
INDEX($A783:$BM783,,$BV$25)*$BW$25+
INDEX($A783:$BM783,,$BV$26)*$BW$26+
INDEX($A783:$BM783,,$BV$27)*$BW$27+
$BN783)),
$BN783-100)</f>
        <v>-100</v>
      </c>
      <c r="BB783" t="str">
        <f t="shared" si="167"/>
        <v/>
      </c>
      <c r="BC783" t="str">
        <f t="shared" si="163"/>
        <v/>
      </c>
      <c r="BD783" s="430">
        <f>IFERROR(
IF(BB783="",-100,
IF($BV$2&gt;0, INDEX(Beersheet!$A:$U,MATCH(BB783,INDEX(Beersheet!$A:$U,0,FFARawStatProjections!$BV$2),0),$BV$3)+$BN783,
INDEX($A783:$BM783,,$BV$12)*$BW$12+
INDEX($A783:$BM783,,$BV$15)*$BW$15+
INDEX($A783:$BM783,,$BV$16)*$BW$16+
INDEX($A783:$BM783,,$BV$17)*$BW$17+
INDEX($A783:$BM783,,$BV$18)*$BW$18+
INDEX($A783:$BM783,,$BV$19)*$BW$19+
INDEX($A783:$BM783,,$BV$20)*$BW$20+
INDEX($A783:$BM783,,$BV$21)*$BW$21+
INDEX($A783:$BM783,,$BV$22)*$BW$22+
INDEX($A783:$BM783,,$BV$23)*$BW$23+
INDEX($A783:$BM783,,$BV$25)*$BW$25+
INDEX($A783:$BM783,,$BV$26)*$BW$26+
INDEX($A783:$BM783,,$BV$27)*$BW$27+
$BN783)),
$BN783-100)</f>
        <v>-100</v>
      </c>
      <c r="BF783" t="str">
        <f t="shared" si="168"/>
        <v>Jake Moody</v>
      </c>
      <c r="BG783" t="str">
        <f t="shared" si="164"/>
        <v>SF</v>
      </c>
      <c r="BH783">
        <f t="shared" si="169"/>
        <v>116.10781999999999</v>
      </c>
      <c r="BJ783" t="str">
        <f t="shared" si="170"/>
        <v/>
      </c>
      <c r="BL783">
        <f t="shared" si="158"/>
        <v>0</v>
      </c>
      <c r="BN783">
        <v>7.8200000000000405E-3</v>
      </c>
    </row>
    <row r="784" spans="1:66" ht="15.75" thickBot="1" x14ac:dyDescent="0.3">
      <c r="A784" s="569" t="s">
        <v>2510</v>
      </c>
      <c r="B784" s="569" t="s">
        <v>149</v>
      </c>
      <c r="C784" s="569" t="s">
        <v>11</v>
      </c>
      <c r="D784" s="574">
        <v>5</v>
      </c>
      <c r="E784" s="569"/>
      <c r="F784" s="569"/>
      <c r="G784" s="569"/>
      <c r="H784" s="569"/>
      <c r="I784" s="574">
        <v>0</v>
      </c>
      <c r="J784" s="574">
        <v>0</v>
      </c>
      <c r="K784" s="574">
        <v>0</v>
      </c>
      <c r="L784" s="574">
        <v>0</v>
      </c>
      <c r="M784" s="574">
        <v>0</v>
      </c>
      <c r="N784" s="574">
        <v>0</v>
      </c>
      <c r="O784" s="574">
        <v>0</v>
      </c>
      <c r="P784" s="574">
        <v>0</v>
      </c>
      <c r="Q784" s="574">
        <v>0</v>
      </c>
      <c r="R784" s="569"/>
      <c r="S784" s="569"/>
      <c r="T784" s="569"/>
      <c r="U784" s="569"/>
      <c r="V784" s="569"/>
      <c r="W784" s="569"/>
      <c r="X784" s="569"/>
      <c r="Y784" s="569"/>
      <c r="Z784" s="569"/>
      <c r="AA784" s="569"/>
      <c r="AB784" s="569"/>
      <c r="AC784" s="569"/>
      <c r="AD784" s="569"/>
      <c r="AE784" s="569"/>
      <c r="AF784" s="569"/>
      <c r="AG784" s="569"/>
      <c r="AH784" s="569"/>
      <c r="AI784" s="569"/>
      <c r="AJ784" s="569"/>
      <c r="AK784" s="569"/>
      <c r="AL784" s="569"/>
      <c r="AM784" s="569"/>
      <c r="AN784" s="574">
        <v>115.1</v>
      </c>
      <c r="AO784">
        <v>783</v>
      </c>
      <c r="AP784" t="str">
        <f t="shared" si="159"/>
        <v/>
      </c>
      <c r="AQ784" t="str">
        <f t="shared" si="160"/>
        <v/>
      </c>
      <c r="AR784" s="430">
        <f>IFERROR(
IF(AP784="",-100,
IF($BV$2&gt;0, INDEX(Beersheet!$A:$U,MATCH(AP784,INDEX(Beersheet!$A:$U,0,FFARawStatProjections!$BV$2),0),$BV$3)+$BN784,
INDEX($A784:$BM784,,$BV$12)*$BW$12+
INDEX($A784:$BM784,,$BV$15)*$BW$15+
INDEX($A784:$BM784,,$BV$16)*$BW$16+
INDEX($A784:$BM784,,$BV$17)*$BW$17+
INDEX($A784:$BM784,,$BV$18)*$BW$18+
INDEX($A784:$BM784,,$BV$19)*$BW$19+
INDEX($A784:$BM784,,$BV$20)*$BW$20+
INDEX($A784:$BM784,,$BV$21)*$BW$21+
INDEX($A784:$BM784,,$BV$22)*$BW$22+
INDEX($A784:$BM784,,$BV$23)*$BW$23+
INDEX($A784:$BM784,,$BV$25)*$BW$25+
INDEX($A784:$BM784,,$BV$26)*$BW$26+
INDEX($A784:$BM784,,$BV$27)*$BW$27+
$BN784)),
$BN784-100)</f>
        <v>-100</v>
      </c>
      <c r="AT784" t="str">
        <f t="shared" si="165"/>
        <v/>
      </c>
      <c r="AU784" t="str">
        <f t="shared" si="161"/>
        <v/>
      </c>
      <c r="AV784" s="430">
        <f>IFERROR(
IF(AT784="",-100,
IF($BV$2&gt;0, INDEX(Beersheet!$A:$U,MATCH(AT784,INDEX(Beersheet!$A:$U,0,FFARawStatProjections!$BV$2),0),$BV$3)+$BN784,
INDEX($A784:$BM784,,$BV$12)*$BW$12+
INDEX($A784:$BM784,,$BV$15)*$BW$15+
INDEX($A784:$BM784,,$BV$16)*$BW$16+
INDEX($A784:$BM784,,$BV$17)*$BW$17+
INDEX($A784:$BM784,,$BV$18)*$BW$18+
INDEX($A784:$BM784,,$BV$19)*$BW$19+
INDEX($A784:$BM784,,$BV$20)*$BW$20+
INDEX($A784:$BM784,,$BV$21)*$BW$21+
INDEX($A784:$BM784,,$BV$22)*$BW$22+
INDEX($A784:$BM784,,$BV$23)*$BW$23+
INDEX($A784:$BM784,,$BV$25)*$BW$25+
INDEX($A784:$BM784,,$BV$26)*$BW$26+
INDEX($A784:$BM784,,$BV$27)*$BW$27+
$BN784)),
$BN784-100)</f>
        <v>-100</v>
      </c>
      <c r="AX784" t="str">
        <f t="shared" si="166"/>
        <v/>
      </c>
      <c r="AY784" t="str">
        <f t="shared" si="162"/>
        <v/>
      </c>
      <c r="AZ784" s="430">
        <f>IFERROR(
IF(AX784="",-100,
IF($BV$2&gt;0, INDEX(Beersheet!$A:$U,MATCH(AX784,INDEX(Beersheet!$A:$U,0,FFARawStatProjections!$BV$2),0),$BV$3)+$BN784,
INDEX($A784:$BM784,,$BV$12)*$BW$12+
INDEX($A784:$BM784,,$BV$15)*$BW$15+
INDEX($A784:$BM784,,$BV$16)*$BW$16+
INDEX($A784:$BM784,,$BV$17)*$BW$17+
INDEX($A784:$BM784,,$BV$18)*$BW$18+
INDEX($A784:$BM784,,$BV$19)*$BW$19+
INDEX($A784:$BM784,,$BV$20)*$BW$20+
INDEX($A784:$BM784,,$BV$21)*$BW$21+
INDEX($A784:$BM784,,$BV$22)*$BW$22+
INDEX($A784:$BM784,,$BV$23)*$BW$23+
INDEX($A784:$BM784,,$BV$25)*$BW$25+
INDEX($A784:$BM784,,$BV$26)*$BW$26+
INDEX($A784:$BM784,,$BV$27)*$BW$27+
$BN784)),
$BN784-100)</f>
        <v>-100</v>
      </c>
      <c r="BB784" t="str">
        <f t="shared" si="167"/>
        <v/>
      </c>
      <c r="BC784" t="str">
        <f t="shared" si="163"/>
        <v/>
      </c>
      <c r="BD784" s="430">
        <f>IFERROR(
IF(BB784="",-100,
IF($BV$2&gt;0, INDEX(Beersheet!$A:$U,MATCH(BB784,INDEX(Beersheet!$A:$U,0,FFARawStatProjections!$BV$2),0),$BV$3)+$BN784,
INDEX($A784:$BM784,,$BV$12)*$BW$12+
INDEX($A784:$BM784,,$BV$15)*$BW$15+
INDEX($A784:$BM784,,$BV$16)*$BW$16+
INDEX($A784:$BM784,,$BV$17)*$BW$17+
INDEX($A784:$BM784,,$BV$18)*$BW$18+
INDEX($A784:$BM784,,$BV$19)*$BW$19+
INDEX($A784:$BM784,,$BV$20)*$BW$20+
INDEX($A784:$BM784,,$BV$21)*$BW$21+
INDEX($A784:$BM784,,$BV$22)*$BW$22+
INDEX($A784:$BM784,,$BV$23)*$BW$23+
INDEX($A784:$BM784,,$BV$25)*$BW$25+
INDEX($A784:$BM784,,$BV$26)*$BW$26+
INDEX($A784:$BM784,,$BV$27)*$BW$27+
$BN784)),
$BN784-100)</f>
        <v>-100</v>
      </c>
      <c r="BF784" t="str">
        <f t="shared" si="168"/>
        <v>Chase McLaughlin</v>
      </c>
      <c r="BG784" t="str">
        <f t="shared" si="164"/>
        <v>TB</v>
      </c>
      <c r="BH784">
        <f t="shared" si="169"/>
        <v>115.10782999999999</v>
      </c>
      <c r="BJ784" t="str">
        <f t="shared" si="170"/>
        <v/>
      </c>
      <c r="BL784">
        <f t="shared" si="158"/>
        <v>0</v>
      </c>
      <c r="BN784">
        <v>7.8300000000000401E-3</v>
      </c>
    </row>
    <row r="785" spans="1:66" ht="15.75" thickBot="1" x14ac:dyDescent="0.3">
      <c r="A785" s="569" t="s">
        <v>2139</v>
      </c>
      <c r="B785" s="569" t="s">
        <v>157</v>
      </c>
      <c r="C785" s="569" t="s">
        <v>11</v>
      </c>
      <c r="D785" s="574">
        <v>11</v>
      </c>
      <c r="E785" s="569"/>
      <c r="F785" s="569"/>
      <c r="G785" s="569"/>
      <c r="H785" s="569"/>
      <c r="I785" s="574">
        <v>0</v>
      </c>
      <c r="J785" s="574">
        <v>0</v>
      </c>
      <c r="K785" s="574">
        <v>0</v>
      </c>
      <c r="L785" s="574">
        <v>0</v>
      </c>
      <c r="M785" s="574">
        <v>0</v>
      </c>
      <c r="N785" s="574">
        <v>0</v>
      </c>
      <c r="O785" s="574">
        <v>0</v>
      </c>
      <c r="P785" s="574">
        <v>0</v>
      </c>
      <c r="Q785" s="574">
        <v>0</v>
      </c>
      <c r="R785" s="569"/>
      <c r="S785" s="569"/>
      <c r="T785" s="569"/>
      <c r="U785" s="569"/>
      <c r="V785" s="569"/>
      <c r="W785" s="569"/>
      <c r="X785" s="569"/>
      <c r="Y785" s="569"/>
      <c r="Z785" s="569"/>
      <c r="AA785" s="569"/>
      <c r="AB785" s="569"/>
      <c r="AC785" s="569"/>
      <c r="AD785" s="569"/>
      <c r="AE785" s="569"/>
      <c r="AF785" s="569"/>
      <c r="AG785" s="569"/>
      <c r="AH785" s="569"/>
      <c r="AI785" s="569"/>
      <c r="AJ785" s="569"/>
      <c r="AK785" s="569"/>
      <c r="AL785" s="569"/>
      <c r="AM785" s="569"/>
      <c r="AN785" s="574">
        <v>115</v>
      </c>
      <c r="AO785">
        <v>784</v>
      </c>
      <c r="AP785" t="str">
        <f t="shared" si="159"/>
        <v/>
      </c>
      <c r="AQ785" t="str">
        <f t="shared" si="160"/>
        <v/>
      </c>
      <c r="AR785" s="430">
        <f>IFERROR(
IF(AP785="",-100,
IF($BV$2&gt;0, INDEX(Beersheet!$A:$U,MATCH(AP785,INDEX(Beersheet!$A:$U,0,FFARawStatProjections!$BV$2),0),$BV$3)+$BN785,
INDEX($A785:$BM785,,$BV$12)*$BW$12+
INDEX($A785:$BM785,,$BV$15)*$BW$15+
INDEX($A785:$BM785,,$BV$16)*$BW$16+
INDEX($A785:$BM785,,$BV$17)*$BW$17+
INDEX($A785:$BM785,,$BV$18)*$BW$18+
INDEX($A785:$BM785,,$BV$19)*$BW$19+
INDEX($A785:$BM785,,$BV$20)*$BW$20+
INDEX($A785:$BM785,,$BV$21)*$BW$21+
INDEX($A785:$BM785,,$BV$22)*$BW$22+
INDEX($A785:$BM785,,$BV$23)*$BW$23+
INDEX($A785:$BM785,,$BV$25)*$BW$25+
INDEX($A785:$BM785,,$BV$26)*$BW$26+
INDEX($A785:$BM785,,$BV$27)*$BW$27+
$BN785)),
$BN785-100)</f>
        <v>-100</v>
      </c>
      <c r="AT785" t="str">
        <f t="shared" si="165"/>
        <v/>
      </c>
      <c r="AU785" t="str">
        <f t="shared" si="161"/>
        <v/>
      </c>
      <c r="AV785" s="430">
        <f>IFERROR(
IF(AT785="",-100,
IF($BV$2&gt;0, INDEX(Beersheet!$A:$U,MATCH(AT785,INDEX(Beersheet!$A:$U,0,FFARawStatProjections!$BV$2),0),$BV$3)+$BN785,
INDEX($A785:$BM785,,$BV$12)*$BW$12+
INDEX($A785:$BM785,,$BV$15)*$BW$15+
INDEX($A785:$BM785,,$BV$16)*$BW$16+
INDEX($A785:$BM785,,$BV$17)*$BW$17+
INDEX($A785:$BM785,,$BV$18)*$BW$18+
INDEX($A785:$BM785,,$BV$19)*$BW$19+
INDEX($A785:$BM785,,$BV$20)*$BW$20+
INDEX($A785:$BM785,,$BV$21)*$BW$21+
INDEX($A785:$BM785,,$BV$22)*$BW$22+
INDEX($A785:$BM785,,$BV$23)*$BW$23+
INDEX($A785:$BM785,,$BV$25)*$BW$25+
INDEX($A785:$BM785,,$BV$26)*$BW$26+
INDEX($A785:$BM785,,$BV$27)*$BW$27+
$BN785)),
$BN785-100)</f>
        <v>-100</v>
      </c>
      <c r="AX785" t="str">
        <f t="shared" si="166"/>
        <v/>
      </c>
      <c r="AY785" t="str">
        <f t="shared" si="162"/>
        <v/>
      </c>
      <c r="AZ785" s="430">
        <f>IFERROR(
IF(AX785="",-100,
IF($BV$2&gt;0, INDEX(Beersheet!$A:$U,MATCH(AX785,INDEX(Beersheet!$A:$U,0,FFARawStatProjections!$BV$2),0),$BV$3)+$BN785,
INDEX($A785:$BM785,,$BV$12)*$BW$12+
INDEX($A785:$BM785,,$BV$15)*$BW$15+
INDEX($A785:$BM785,,$BV$16)*$BW$16+
INDEX($A785:$BM785,,$BV$17)*$BW$17+
INDEX($A785:$BM785,,$BV$18)*$BW$18+
INDEX($A785:$BM785,,$BV$19)*$BW$19+
INDEX($A785:$BM785,,$BV$20)*$BW$20+
INDEX($A785:$BM785,,$BV$21)*$BW$21+
INDEX($A785:$BM785,,$BV$22)*$BW$22+
INDEX($A785:$BM785,,$BV$23)*$BW$23+
INDEX($A785:$BM785,,$BV$25)*$BW$25+
INDEX($A785:$BM785,,$BV$26)*$BW$26+
INDEX($A785:$BM785,,$BV$27)*$BW$27+
$BN785)),
$BN785-100)</f>
        <v>-100</v>
      </c>
      <c r="BB785" t="str">
        <f t="shared" si="167"/>
        <v/>
      </c>
      <c r="BC785" t="str">
        <f t="shared" si="163"/>
        <v/>
      </c>
      <c r="BD785" s="430">
        <f>IFERROR(
IF(BB785="",-100,
IF($BV$2&gt;0, INDEX(Beersheet!$A:$U,MATCH(BB785,INDEX(Beersheet!$A:$U,0,FFARawStatProjections!$BV$2),0),$BV$3)+$BN785,
INDEX($A785:$BM785,,$BV$12)*$BW$12+
INDEX($A785:$BM785,,$BV$15)*$BW$15+
INDEX($A785:$BM785,,$BV$16)*$BW$16+
INDEX($A785:$BM785,,$BV$17)*$BW$17+
INDEX($A785:$BM785,,$BV$18)*$BW$18+
INDEX($A785:$BM785,,$BV$19)*$BW$19+
INDEX($A785:$BM785,,$BV$20)*$BW$20+
INDEX($A785:$BM785,,$BV$21)*$BW$21+
INDEX($A785:$BM785,,$BV$22)*$BW$22+
INDEX($A785:$BM785,,$BV$23)*$BW$23+
INDEX($A785:$BM785,,$BV$25)*$BW$25+
INDEX($A785:$BM785,,$BV$26)*$BW$26+
INDEX($A785:$BM785,,$BV$27)*$BW$27+
$BN785)),
$BN785-100)</f>
        <v>-100</v>
      </c>
      <c r="BF785" t="str">
        <f t="shared" si="168"/>
        <v>Nick Folk</v>
      </c>
      <c r="BG785" t="str">
        <f t="shared" si="164"/>
        <v>NE</v>
      </c>
      <c r="BH785">
        <f t="shared" si="169"/>
        <v>115.00784</v>
      </c>
      <c r="BJ785" t="str">
        <f t="shared" si="170"/>
        <v/>
      </c>
      <c r="BL785">
        <f t="shared" si="158"/>
        <v>0</v>
      </c>
      <c r="BN785">
        <v>7.8400000000000396E-3</v>
      </c>
    </row>
    <row r="786" spans="1:66" ht="15.75" thickBot="1" x14ac:dyDescent="0.3">
      <c r="A786" s="569" t="s">
        <v>1403</v>
      </c>
      <c r="B786" s="569" t="s">
        <v>143</v>
      </c>
      <c r="C786" s="569" t="s">
        <v>11</v>
      </c>
      <c r="D786" s="574">
        <v>11</v>
      </c>
      <c r="E786" s="569"/>
      <c r="F786" s="569"/>
      <c r="G786" s="569"/>
      <c r="H786" s="569"/>
      <c r="I786" s="574">
        <v>0</v>
      </c>
      <c r="J786" s="574">
        <v>0</v>
      </c>
      <c r="K786" s="574">
        <v>0</v>
      </c>
      <c r="L786" s="574">
        <v>0</v>
      </c>
      <c r="M786" s="574">
        <v>0</v>
      </c>
      <c r="N786" s="574">
        <v>0</v>
      </c>
      <c r="O786" s="574">
        <v>0</v>
      </c>
      <c r="P786" s="574">
        <v>0</v>
      </c>
      <c r="Q786" s="574">
        <v>0</v>
      </c>
      <c r="R786" s="569"/>
      <c r="S786" s="569"/>
      <c r="T786" s="569"/>
      <c r="U786" s="569"/>
      <c r="V786" s="569"/>
      <c r="W786" s="569"/>
      <c r="X786" s="569"/>
      <c r="Y786" s="569"/>
      <c r="Z786" s="569"/>
      <c r="AA786" s="569"/>
      <c r="AB786" s="569"/>
      <c r="AC786" s="569"/>
      <c r="AD786" s="569"/>
      <c r="AE786" s="569"/>
      <c r="AF786" s="569"/>
      <c r="AG786" s="569"/>
      <c r="AH786" s="569"/>
      <c r="AI786" s="569"/>
      <c r="AJ786" s="569"/>
      <c r="AK786" s="569"/>
      <c r="AL786" s="569"/>
      <c r="AM786" s="569"/>
      <c r="AN786" s="574">
        <v>114.8</v>
      </c>
      <c r="AO786">
        <v>785</v>
      </c>
      <c r="AP786" t="str">
        <f t="shared" si="159"/>
        <v/>
      </c>
      <c r="AQ786" t="str">
        <f t="shared" si="160"/>
        <v/>
      </c>
      <c r="AR786" s="430">
        <f>IFERROR(
IF(AP786="",-100,
IF($BV$2&gt;0, INDEX(Beersheet!$A:$U,MATCH(AP786,INDEX(Beersheet!$A:$U,0,FFARawStatProjections!$BV$2),0),$BV$3)+$BN786,
INDEX($A786:$BM786,,$BV$12)*$BW$12+
INDEX($A786:$BM786,,$BV$15)*$BW$15+
INDEX($A786:$BM786,,$BV$16)*$BW$16+
INDEX($A786:$BM786,,$BV$17)*$BW$17+
INDEX($A786:$BM786,,$BV$18)*$BW$18+
INDEX($A786:$BM786,,$BV$19)*$BW$19+
INDEX($A786:$BM786,,$BV$20)*$BW$20+
INDEX($A786:$BM786,,$BV$21)*$BW$21+
INDEX($A786:$BM786,,$BV$22)*$BW$22+
INDEX($A786:$BM786,,$BV$23)*$BW$23+
INDEX($A786:$BM786,,$BV$25)*$BW$25+
INDEX($A786:$BM786,,$BV$26)*$BW$26+
INDEX($A786:$BM786,,$BV$27)*$BW$27+
$BN786)),
$BN786-100)</f>
        <v>-100</v>
      </c>
      <c r="AT786" t="str">
        <f t="shared" si="165"/>
        <v/>
      </c>
      <c r="AU786" t="str">
        <f t="shared" si="161"/>
        <v/>
      </c>
      <c r="AV786" s="430">
        <f>IFERROR(
IF(AT786="",-100,
IF($BV$2&gt;0, INDEX(Beersheet!$A:$U,MATCH(AT786,INDEX(Beersheet!$A:$U,0,FFARawStatProjections!$BV$2),0),$BV$3)+$BN786,
INDEX($A786:$BM786,,$BV$12)*$BW$12+
INDEX($A786:$BM786,,$BV$15)*$BW$15+
INDEX($A786:$BM786,,$BV$16)*$BW$16+
INDEX($A786:$BM786,,$BV$17)*$BW$17+
INDEX($A786:$BM786,,$BV$18)*$BW$18+
INDEX($A786:$BM786,,$BV$19)*$BW$19+
INDEX($A786:$BM786,,$BV$20)*$BW$20+
INDEX($A786:$BM786,,$BV$21)*$BW$21+
INDEX($A786:$BM786,,$BV$22)*$BW$22+
INDEX($A786:$BM786,,$BV$23)*$BW$23+
INDEX($A786:$BM786,,$BV$25)*$BW$25+
INDEX($A786:$BM786,,$BV$26)*$BW$26+
INDEX($A786:$BM786,,$BV$27)*$BW$27+
$BN786)),
$BN786-100)</f>
        <v>-100</v>
      </c>
      <c r="AX786" t="str">
        <f t="shared" si="166"/>
        <v/>
      </c>
      <c r="AY786" t="str">
        <f t="shared" si="162"/>
        <v/>
      </c>
      <c r="AZ786" s="430">
        <f>IFERROR(
IF(AX786="",-100,
IF($BV$2&gt;0, INDEX(Beersheet!$A:$U,MATCH(AX786,INDEX(Beersheet!$A:$U,0,FFARawStatProjections!$BV$2),0),$BV$3)+$BN786,
INDEX($A786:$BM786,,$BV$12)*$BW$12+
INDEX($A786:$BM786,,$BV$15)*$BW$15+
INDEX($A786:$BM786,,$BV$16)*$BW$16+
INDEX($A786:$BM786,,$BV$17)*$BW$17+
INDEX($A786:$BM786,,$BV$18)*$BW$18+
INDEX($A786:$BM786,,$BV$19)*$BW$19+
INDEX($A786:$BM786,,$BV$20)*$BW$20+
INDEX($A786:$BM786,,$BV$21)*$BW$21+
INDEX($A786:$BM786,,$BV$22)*$BW$22+
INDEX($A786:$BM786,,$BV$23)*$BW$23+
INDEX($A786:$BM786,,$BV$25)*$BW$25+
INDEX($A786:$BM786,,$BV$26)*$BW$26+
INDEX($A786:$BM786,,$BV$27)*$BW$27+
$BN786)),
$BN786-100)</f>
        <v>-100</v>
      </c>
      <c r="BB786" t="str">
        <f t="shared" si="167"/>
        <v/>
      </c>
      <c r="BC786" t="str">
        <f t="shared" si="163"/>
        <v/>
      </c>
      <c r="BD786" s="430">
        <f>IFERROR(
IF(BB786="",-100,
IF($BV$2&gt;0, INDEX(Beersheet!$A:$U,MATCH(BB786,INDEX(Beersheet!$A:$U,0,FFARawStatProjections!$BV$2),0),$BV$3)+$BN786,
INDEX($A786:$BM786,,$BV$12)*$BW$12+
INDEX($A786:$BM786,,$BV$15)*$BW$15+
INDEX($A786:$BM786,,$BV$16)*$BW$16+
INDEX($A786:$BM786,,$BV$17)*$BW$17+
INDEX($A786:$BM786,,$BV$18)*$BW$18+
INDEX($A786:$BM786,,$BV$19)*$BW$19+
INDEX($A786:$BM786,,$BV$20)*$BW$20+
INDEX($A786:$BM786,,$BV$21)*$BW$21+
INDEX($A786:$BM786,,$BV$22)*$BW$22+
INDEX($A786:$BM786,,$BV$23)*$BW$23+
INDEX($A786:$BM786,,$BV$25)*$BW$25+
INDEX($A786:$BM786,,$BV$26)*$BW$26+
INDEX($A786:$BM786,,$BV$27)*$BW$27+
$BN786)),
$BN786-100)</f>
        <v>-100</v>
      </c>
      <c r="BF786" t="str">
        <f t="shared" si="168"/>
        <v>Wil Lutz</v>
      </c>
      <c r="BG786" t="str">
        <f t="shared" si="164"/>
        <v>NO</v>
      </c>
      <c r="BH786">
        <f t="shared" si="169"/>
        <v>114.80785</v>
      </c>
      <c r="BJ786" t="str">
        <f t="shared" si="170"/>
        <v/>
      </c>
      <c r="BL786">
        <f t="shared" si="158"/>
        <v>0</v>
      </c>
      <c r="BN786">
        <v>7.8500000000000392E-3</v>
      </c>
    </row>
    <row r="787" spans="1:66" ht="15.75" thickBot="1" x14ac:dyDescent="0.3">
      <c r="A787" s="569" t="s">
        <v>2384</v>
      </c>
      <c r="B787" s="569" t="s">
        <v>159</v>
      </c>
      <c r="C787" s="569" t="s">
        <v>11</v>
      </c>
      <c r="D787" s="574">
        <v>7</v>
      </c>
      <c r="E787" s="569"/>
      <c r="F787" s="569"/>
      <c r="G787" s="569"/>
      <c r="H787" s="569"/>
      <c r="I787" s="574">
        <v>0</v>
      </c>
      <c r="J787" s="574">
        <v>0</v>
      </c>
      <c r="K787" s="574">
        <v>0</v>
      </c>
      <c r="L787" s="574">
        <v>0</v>
      </c>
      <c r="M787" s="574">
        <v>0</v>
      </c>
      <c r="N787" s="574">
        <v>0</v>
      </c>
      <c r="O787" s="574">
        <v>0</v>
      </c>
      <c r="P787" s="574">
        <v>0</v>
      </c>
      <c r="Q787" s="574">
        <v>0</v>
      </c>
      <c r="R787" s="569"/>
      <c r="S787" s="569"/>
      <c r="T787" s="569"/>
      <c r="U787" s="569"/>
      <c r="V787" s="569"/>
      <c r="W787" s="569"/>
      <c r="X787" s="569"/>
      <c r="Y787" s="569"/>
      <c r="Z787" s="569"/>
      <c r="AA787" s="569"/>
      <c r="AB787" s="569"/>
      <c r="AC787" s="569"/>
      <c r="AD787" s="569"/>
      <c r="AE787" s="569"/>
      <c r="AF787" s="569"/>
      <c r="AG787" s="569"/>
      <c r="AH787" s="569"/>
      <c r="AI787" s="569"/>
      <c r="AJ787" s="569"/>
      <c r="AK787" s="569"/>
      <c r="AL787" s="569"/>
      <c r="AM787" s="569"/>
      <c r="AN787" s="574">
        <v>114.4</v>
      </c>
      <c r="AO787">
        <v>786</v>
      </c>
      <c r="AP787" t="str">
        <f t="shared" si="159"/>
        <v/>
      </c>
      <c r="AQ787" t="str">
        <f t="shared" si="160"/>
        <v/>
      </c>
      <c r="AR787" s="430">
        <f>IFERROR(
IF(AP787="",-100,
IF($BV$2&gt;0, INDEX(Beersheet!$A:$U,MATCH(AP787,INDEX(Beersheet!$A:$U,0,FFARawStatProjections!$BV$2),0),$BV$3)+$BN787,
INDEX($A787:$BM787,,$BV$12)*$BW$12+
INDEX($A787:$BM787,,$BV$15)*$BW$15+
INDEX($A787:$BM787,,$BV$16)*$BW$16+
INDEX($A787:$BM787,,$BV$17)*$BW$17+
INDEX($A787:$BM787,,$BV$18)*$BW$18+
INDEX($A787:$BM787,,$BV$19)*$BW$19+
INDEX($A787:$BM787,,$BV$20)*$BW$20+
INDEX($A787:$BM787,,$BV$21)*$BW$21+
INDEX($A787:$BM787,,$BV$22)*$BW$22+
INDEX($A787:$BM787,,$BV$23)*$BW$23+
INDEX($A787:$BM787,,$BV$25)*$BW$25+
INDEX($A787:$BM787,,$BV$26)*$BW$26+
INDEX($A787:$BM787,,$BV$27)*$BW$27+
$BN787)),
$BN787-100)</f>
        <v>-100</v>
      </c>
      <c r="AT787" t="str">
        <f t="shared" si="165"/>
        <v/>
      </c>
      <c r="AU787" t="str">
        <f t="shared" si="161"/>
        <v/>
      </c>
      <c r="AV787" s="430">
        <f>IFERROR(
IF(AT787="",-100,
IF($BV$2&gt;0, INDEX(Beersheet!$A:$U,MATCH(AT787,INDEX(Beersheet!$A:$U,0,FFARawStatProjections!$BV$2),0),$BV$3)+$BN787,
INDEX($A787:$BM787,,$BV$12)*$BW$12+
INDEX($A787:$BM787,,$BV$15)*$BW$15+
INDEX($A787:$BM787,,$BV$16)*$BW$16+
INDEX($A787:$BM787,,$BV$17)*$BW$17+
INDEX($A787:$BM787,,$BV$18)*$BW$18+
INDEX($A787:$BM787,,$BV$19)*$BW$19+
INDEX($A787:$BM787,,$BV$20)*$BW$20+
INDEX($A787:$BM787,,$BV$21)*$BW$21+
INDEX($A787:$BM787,,$BV$22)*$BW$22+
INDEX($A787:$BM787,,$BV$23)*$BW$23+
INDEX($A787:$BM787,,$BV$25)*$BW$25+
INDEX($A787:$BM787,,$BV$26)*$BW$26+
INDEX($A787:$BM787,,$BV$27)*$BW$27+
$BN787)),
$BN787-100)</f>
        <v>-100</v>
      </c>
      <c r="AX787" t="str">
        <f t="shared" si="166"/>
        <v/>
      </c>
      <c r="AY787" t="str">
        <f t="shared" si="162"/>
        <v/>
      </c>
      <c r="AZ787" s="430">
        <f>IFERROR(
IF(AX787="",-100,
IF($BV$2&gt;0, INDEX(Beersheet!$A:$U,MATCH(AX787,INDEX(Beersheet!$A:$U,0,FFARawStatProjections!$BV$2),0),$BV$3)+$BN787,
INDEX($A787:$BM787,,$BV$12)*$BW$12+
INDEX($A787:$BM787,,$BV$15)*$BW$15+
INDEX($A787:$BM787,,$BV$16)*$BW$16+
INDEX($A787:$BM787,,$BV$17)*$BW$17+
INDEX($A787:$BM787,,$BV$18)*$BW$18+
INDEX($A787:$BM787,,$BV$19)*$BW$19+
INDEX($A787:$BM787,,$BV$20)*$BW$20+
INDEX($A787:$BM787,,$BV$21)*$BW$21+
INDEX($A787:$BM787,,$BV$22)*$BW$22+
INDEX($A787:$BM787,,$BV$23)*$BW$23+
INDEX($A787:$BM787,,$BV$25)*$BW$25+
INDEX($A787:$BM787,,$BV$26)*$BW$26+
INDEX($A787:$BM787,,$BV$27)*$BW$27+
$BN787)),
$BN787-100)</f>
        <v>-100</v>
      </c>
      <c r="BB787" t="str">
        <f t="shared" si="167"/>
        <v/>
      </c>
      <c r="BC787" t="str">
        <f t="shared" si="163"/>
        <v/>
      </c>
      <c r="BD787" s="430">
        <f>IFERROR(
IF(BB787="",-100,
IF($BV$2&gt;0, INDEX(Beersheet!$A:$U,MATCH(BB787,INDEX(Beersheet!$A:$U,0,FFARawStatProjections!$BV$2),0),$BV$3)+$BN787,
INDEX($A787:$BM787,,$BV$12)*$BW$12+
INDEX($A787:$BM787,,$BV$15)*$BW$15+
INDEX($A787:$BM787,,$BV$16)*$BW$16+
INDEX($A787:$BM787,,$BV$17)*$BW$17+
INDEX($A787:$BM787,,$BV$18)*$BW$18+
INDEX($A787:$BM787,,$BV$19)*$BW$19+
INDEX($A787:$BM787,,$BV$20)*$BW$20+
INDEX($A787:$BM787,,$BV$21)*$BW$21+
INDEX($A787:$BM787,,$BV$22)*$BW$22+
INDEX($A787:$BM787,,$BV$23)*$BW$23+
INDEX($A787:$BM787,,$BV$25)*$BW$25+
INDEX($A787:$BM787,,$BV$26)*$BW$26+
INDEX($A787:$BM787,,$BV$27)*$BW$27+
$BN787)),
$BN787-100)</f>
        <v>-100</v>
      </c>
      <c r="BF787" t="str">
        <f t="shared" si="168"/>
        <v>Eddy Pineiro</v>
      </c>
      <c r="BG787" t="str">
        <f t="shared" si="164"/>
        <v>CAR</v>
      </c>
      <c r="BH787">
        <f t="shared" si="169"/>
        <v>114.40786</v>
      </c>
      <c r="BJ787" t="str">
        <f t="shared" si="170"/>
        <v/>
      </c>
      <c r="BL787">
        <f t="shared" si="158"/>
        <v>0</v>
      </c>
      <c r="BN787">
        <v>7.8600000000000406E-3</v>
      </c>
    </row>
    <row r="788" spans="1:66" ht="15.75" thickBot="1" x14ac:dyDescent="0.3">
      <c r="A788" s="569" t="s">
        <v>1188</v>
      </c>
      <c r="B788" s="569" t="s">
        <v>147</v>
      </c>
      <c r="C788" s="569" t="s">
        <v>11</v>
      </c>
      <c r="D788" s="574">
        <v>6</v>
      </c>
      <c r="E788" s="569"/>
      <c r="F788" s="569"/>
      <c r="G788" s="569"/>
      <c r="H788" s="569"/>
      <c r="I788" s="574">
        <v>0</v>
      </c>
      <c r="J788" s="574">
        <v>0</v>
      </c>
      <c r="K788" s="574">
        <v>0</v>
      </c>
      <c r="L788" s="574">
        <v>0</v>
      </c>
      <c r="M788" s="574">
        <v>0</v>
      </c>
      <c r="N788" s="574">
        <v>0</v>
      </c>
      <c r="O788" s="574">
        <v>0</v>
      </c>
      <c r="P788" s="574">
        <v>0</v>
      </c>
      <c r="Q788" s="574">
        <v>0</v>
      </c>
      <c r="R788" s="569"/>
      <c r="S788" s="569"/>
      <c r="T788" s="569"/>
      <c r="U788" s="569"/>
      <c r="V788" s="569"/>
      <c r="W788" s="569"/>
      <c r="X788" s="569"/>
      <c r="Y788" s="569"/>
      <c r="Z788" s="569"/>
      <c r="AA788" s="569"/>
      <c r="AB788" s="569"/>
      <c r="AC788" s="569"/>
      <c r="AD788" s="569"/>
      <c r="AE788" s="569"/>
      <c r="AF788" s="569"/>
      <c r="AG788" s="569"/>
      <c r="AH788" s="569"/>
      <c r="AI788" s="569"/>
      <c r="AJ788" s="569"/>
      <c r="AK788" s="569"/>
      <c r="AL788" s="569"/>
      <c r="AM788" s="569"/>
      <c r="AN788" s="574">
        <v>113.9</v>
      </c>
      <c r="AO788">
        <v>787</v>
      </c>
      <c r="AP788" t="str">
        <f t="shared" si="159"/>
        <v/>
      </c>
      <c r="AQ788" t="str">
        <f t="shared" si="160"/>
        <v/>
      </c>
      <c r="AR788" s="430">
        <f>IFERROR(
IF(AP788="",-100,
IF($BV$2&gt;0, INDEX(Beersheet!$A:$U,MATCH(AP788,INDEX(Beersheet!$A:$U,0,FFARawStatProjections!$BV$2),0),$BV$3)+$BN788,
INDEX($A788:$BM788,,$BV$12)*$BW$12+
INDEX($A788:$BM788,,$BV$15)*$BW$15+
INDEX($A788:$BM788,,$BV$16)*$BW$16+
INDEX($A788:$BM788,,$BV$17)*$BW$17+
INDEX($A788:$BM788,,$BV$18)*$BW$18+
INDEX($A788:$BM788,,$BV$19)*$BW$19+
INDEX($A788:$BM788,,$BV$20)*$BW$20+
INDEX($A788:$BM788,,$BV$21)*$BW$21+
INDEX($A788:$BM788,,$BV$22)*$BW$22+
INDEX($A788:$BM788,,$BV$23)*$BW$23+
INDEX($A788:$BM788,,$BV$25)*$BW$25+
INDEX($A788:$BM788,,$BV$26)*$BW$26+
INDEX($A788:$BM788,,$BV$27)*$BW$27+
$BN788)),
$BN788-100)</f>
        <v>-100</v>
      </c>
      <c r="AT788" t="str">
        <f t="shared" si="165"/>
        <v/>
      </c>
      <c r="AU788" t="str">
        <f t="shared" si="161"/>
        <v/>
      </c>
      <c r="AV788" s="430">
        <f>IFERROR(
IF(AT788="",-100,
IF($BV$2&gt;0, INDEX(Beersheet!$A:$U,MATCH(AT788,INDEX(Beersheet!$A:$U,0,FFARawStatProjections!$BV$2),0),$BV$3)+$BN788,
INDEX($A788:$BM788,,$BV$12)*$BW$12+
INDEX($A788:$BM788,,$BV$15)*$BW$15+
INDEX($A788:$BM788,,$BV$16)*$BW$16+
INDEX($A788:$BM788,,$BV$17)*$BW$17+
INDEX($A788:$BM788,,$BV$18)*$BW$18+
INDEX($A788:$BM788,,$BV$19)*$BW$19+
INDEX($A788:$BM788,,$BV$20)*$BW$20+
INDEX($A788:$BM788,,$BV$21)*$BW$21+
INDEX($A788:$BM788,,$BV$22)*$BW$22+
INDEX($A788:$BM788,,$BV$23)*$BW$23+
INDEX($A788:$BM788,,$BV$25)*$BW$25+
INDEX($A788:$BM788,,$BV$26)*$BW$26+
INDEX($A788:$BM788,,$BV$27)*$BW$27+
$BN788)),
$BN788-100)</f>
        <v>-100</v>
      </c>
      <c r="AX788" t="str">
        <f t="shared" si="166"/>
        <v/>
      </c>
      <c r="AY788" t="str">
        <f t="shared" si="162"/>
        <v/>
      </c>
      <c r="AZ788" s="430">
        <f>IFERROR(
IF(AX788="",-100,
IF($BV$2&gt;0, INDEX(Beersheet!$A:$U,MATCH(AX788,INDEX(Beersheet!$A:$U,0,FFARawStatProjections!$BV$2),0),$BV$3)+$BN788,
INDEX($A788:$BM788,,$BV$12)*$BW$12+
INDEX($A788:$BM788,,$BV$15)*$BW$15+
INDEX($A788:$BM788,,$BV$16)*$BW$16+
INDEX($A788:$BM788,,$BV$17)*$BW$17+
INDEX($A788:$BM788,,$BV$18)*$BW$18+
INDEX($A788:$BM788,,$BV$19)*$BW$19+
INDEX($A788:$BM788,,$BV$20)*$BW$20+
INDEX($A788:$BM788,,$BV$21)*$BW$21+
INDEX($A788:$BM788,,$BV$22)*$BW$22+
INDEX($A788:$BM788,,$BV$23)*$BW$23+
INDEX($A788:$BM788,,$BV$25)*$BW$25+
INDEX($A788:$BM788,,$BV$26)*$BW$26+
INDEX($A788:$BM788,,$BV$27)*$BW$27+
$BN788)),
$BN788-100)</f>
        <v>-100</v>
      </c>
      <c r="BB788" t="str">
        <f t="shared" si="167"/>
        <v/>
      </c>
      <c r="BC788" t="str">
        <f t="shared" si="163"/>
        <v/>
      </c>
      <c r="BD788" s="430">
        <f>IFERROR(
IF(BB788="",-100,
IF($BV$2&gt;0, INDEX(Beersheet!$A:$U,MATCH(BB788,INDEX(Beersheet!$A:$U,0,FFARawStatProjections!$BV$2),0),$BV$3)+$BN788,
INDEX($A788:$BM788,,$BV$12)*$BW$12+
INDEX($A788:$BM788,,$BV$15)*$BW$15+
INDEX($A788:$BM788,,$BV$16)*$BW$16+
INDEX($A788:$BM788,,$BV$17)*$BW$17+
INDEX($A788:$BM788,,$BV$18)*$BW$18+
INDEX($A788:$BM788,,$BV$19)*$BW$19+
INDEX($A788:$BM788,,$BV$20)*$BW$20+
INDEX($A788:$BM788,,$BV$21)*$BW$21+
INDEX($A788:$BM788,,$BV$22)*$BW$22+
INDEX($A788:$BM788,,$BV$23)*$BW$23+
INDEX($A788:$BM788,,$BV$25)*$BW$25+
INDEX($A788:$BM788,,$BV$26)*$BW$26+
INDEX($A788:$BM788,,$BV$27)*$BW$27+
$BN788)),
$BN788-100)</f>
        <v>-100</v>
      </c>
      <c r="BF788" t="str">
        <f t="shared" si="168"/>
        <v>Chris Boswell</v>
      </c>
      <c r="BG788" t="str">
        <f t="shared" si="164"/>
        <v>PIT</v>
      </c>
      <c r="BH788">
        <f t="shared" si="169"/>
        <v>113.90787</v>
      </c>
      <c r="BJ788" t="str">
        <f t="shared" si="170"/>
        <v/>
      </c>
      <c r="BL788">
        <f t="shared" si="158"/>
        <v>0</v>
      </c>
      <c r="BN788">
        <v>7.8700000000000402E-3</v>
      </c>
    </row>
    <row r="789" spans="1:66" ht="15.75" thickBot="1" x14ac:dyDescent="0.3">
      <c r="A789" s="569" t="s">
        <v>245</v>
      </c>
      <c r="B789" s="569" t="s">
        <v>164</v>
      </c>
      <c r="C789" s="569" t="s">
        <v>11</v>
      </c>
      <c r="D789" s="574">
        <v>7</v>
      </c>
      <c r="E789" s="569"/>
      <c r="F789" s="569"/>
      <c r="G789" s="569"/>
      <c r="H789" s="569"/>
      <c r="I789" s="574">
        <v>0</v>
      </c>
      <c r="J789" s="574">
        <v>0</v>
      </c>
      <c r="K789" s="574">
        <v>0</v>
      </c>
      <c r="L789" s="574">
        <v>0</v>
      </c>
      <c r="M789" s="574">
        <v>0</v>
      </c>
      <c r="N789" s="574">
        <v>0</v>
      </c>
      <c r="O789" s="574">
        <v>0</v>
      </c>
      <c r="P789" s="574">
        <v>0</v>
      </c>
      <c r="Q789" s="574">
        <v>0</v>
      </c>
      <c r="R789" s="569"/>
      <c r="S789" s="569"/>
      <c r="T789" s="569"/>
      <c r="U789" s="569"/>
      <c r="V789" s="569"/>
      <c r="W789" s="569"/>
      <c r="X789" s="569"/>
      <c r="Y789" s="569"/>
      <c r="Z789" s="569"/>
      <c r="AA789" s="569"/>
      <c r="AB789" s="569"/>
      <c r="AC789" s="569"/>
      <c r="AD789" s="569"/>
      <c r="AE789" s="569"/>
      <c r="AF789" s="569"/>
      <c r="AG789" s="569"/>
      <c r="AH789" s="569"/>
      <c r="AI789" s="569"/>
      <c r="AJ789" s="569"/>
      <c r="AK789" s="569"/>
      <c r="AL789" s="569"/>
      <c r="AM789" s="569"/>
      <c r="AN789" s="574">
        <v>113.7</v>
      </c>
      <c r="AO789">
        <v>788</v>
      </c>
      <c r="AP789" t="str">
        <f t="shared" si="159"/>
        <v/>
      </c>
      <c r="AQ789" t="str">
        <f t="shared" si="160"/>
        <v/>
      </c>
      <c r="AR789" s="430">
        <f>IFERROR(
IF(AP789="",-100,
IF($BV$2&gt;0, INDEX(Beersheet!$A:$U,MATCH(AP789,INDEX(Beersheet!$A:$U,0,FFARawStatProjections!$BV$2),0),$BV$3)+$BN789,
INDEX($A789:$BM789,,$BV$12)*$BW$12+
INDEX($A789:$BM789,,$BV$15)*$BW$15+
INDEX($A789:$BM789,,$BV$16)*$BW$16+
INDEX($A789:$BM789,,$BV$17)*$BW$17+
INDEX($A789:$BM789,,$BV$18)*$BW$18+
INDEX($A789:$BM789,,$BV$19)*$BW$19+
INDEX($A789:$BM789,,$BV$20)*$BW$20+
INDEX($A789:$BM789,,$BV$21)*$BW$21+
INDEX($A789:$BM789,,$BV$22)*$BW$22+
INDEX($A789:$BM789,,$BV$23)*$BW$23+
INDEX($A789:$BM789,,$BV$25)*$BW$25+
INDEX($A789:$BM789,,$BV$26)*$BW$26+
INDEX($A789:$BM789,,$BV$27)*$BW$27+
$BN789)),
$BN789-100)</f>
        <v>-100</v>
      </c>
      <c r="AT789" t="str">
        <f t="shared" si="165"/>
        <v/>
      </c>
      <c r="AU789" t="str">
        <f t="shared" si="161"/>
        <v/>
      </c>
      <c r="AV789" s="430">
        <f>IFERROR(
IF(AT789="",-100,
IF($BV$2&gt;0, INDEX(Beersheet!$A:$U,MATCH(AT789,INDEX(Beersheet!$A:$U,0,FFARawStatProjections!$BV$2),0),$BV$3)+$BN789,
INDEX($A789:$BM789,,$BV$12)*$BW$12+
INDEX($A789:$BM789,,$BV$15)*$BW$15+
INDEX($A789:$BM789,,$BV$16)*$BW$16+
INDEX($A789:$BM789,,$BV$17)*$BW$17+
INDEX($A789:$BM789,,$BV$18)*$BW$18+
INDEX($A789:$BM789,,$BV$19)*$BW$19+
INDEX($A789:$BM789,,$BV$20)*$BW$20+
INDEX($A789:$BM789,,$BV$21)*$BW$21+
INDEX($A789:$BM789,,$BV$22)*$BW$22+
INDEX($A789:$BM789,,$BV$23)*$BW$23+
INDEX($A789:$BM789,,$BV$25)*$BW$25+
INDEX($A789:$BM789,,$BV$26)*$BW$26+
INDEX($A789:$BM789,,$BV$27)*$BW$27+
$BN789)),
$BN789-100)</f>
        <v>-100</v>
      </c>
      <c r="AX789" t="str">
        <f t="shared" si="166"/>
        <v/>
      </c>
      <c r="AY789" t="str">
        <f t="shared" si="162"/>
        <v/>
      </c>
      <c r="AZ789" s="430">
        <f>IFERROR(
IF(AX789="",-100,
IF($BV$2&gt;0, INDEX(Beersheet!$A:$U,MATCH(AX789,INDEX(Beersheet!$A:$U,0,FFARawStatProjections!$BV$2),0),$BV$3)+$BN789,
INDEX($A789:$BM789,,$BV$12)*$BW$12+
INDEX($A789:$BM789,,$BV$15)*$BW$15+
INDEX($A789:$BM789,,$BV$16)*$BW$16+
INDEX($A789:$BM789,,$BV$17)*$BW$17+
INDEX($A789:$BM789,,$BV$18)*$BW$18+
INDEX($A789:$BM789,,$BV$19)*$BW$19+
INDEX($A789:$BM789,,$BV$20)*$BW$20+
INDEX($A789:$BM789,,$BV$21)*$BW$21+
INDEX($A789:$BM789,,$BV$22)*$BW$22+
INDEX($A789:$BM789,,$BV$23)*$BW$23+
INDEX($A789:$BM789,,$BV$25)*$BW$25+
INDEX($A789:$BM789,,$BV$26)*$BW$26+
INDEX($A789:$BM789,,$BV$27)*$BW$27+
$BN789)),
$BN789-100)</f>
        <v>-100</v>
      </c>
      <c r="BB789" t="str">
        <f t="shared" si="167"/>
        <v/>
      </c>
      <c r="BC789" t="str">
        <f t="shared" si="163"/>
        <v/>
      </c>
      <c r="BD789" s="430">
        <f>IFERROR(
IF(BB789="",-100,
IF($BV$2&gt;0, INDEX(Beersheet!$A:$U,MATCH(BB789,INDEX(Beersheet!$A:$U,0,FFARawStatProjections!$BV$2),0),$BV$3)+$BN789,
INDEX($A789:$BM789,,$BV$12)*$BW$12+
INDEX($A789:$BM789,,$BV$15)*$BW$15+
INDEX($A789:$BM789,,$BV$16)*$BW$16+
INDEX($A789:$BM789,,$BV$17)*$BW$17+
INDEX($A789:$BM789,,$BV$18)*$BW$18+
INDEX($A789:$BM789,,$BV$19)*$BW$19+
INDEX($A789:$BM789,,$BV$20)*$BW$20+
INDEX($A789:$BM789,,$BV$21)*$BW$21+
INDEX($A789:$BM789,,$BV$22)*$BW$22+
INDEX($A789:$BM789,,$BV$23)*$BW$23+
INDEX($A789:$BM789,,$BV$25)*$BW$25+
INDEX($A789:$BM789,,$BV$26)*$BW$26+
INDEX($A789:$BM789,,$BV$27)*$BW$27+
$BN789)),
$BN789-100)</f>
        <v>-100</v>
      </c>
      <c r="BF789" t="str">
        <f t="shared" si="168"/>
        <v>Greg Zuerlein</v>
      </c>
      <c r="BG789" t="str">
        <f t="shared" si="164"/>
        <v>NYJ</v>
      </c>
      <c r="BH789">
        <f t="shared" si="169"/>
        <v>113.70788</v>
      </c>
      <c r="BJ789" t="str">
        <f t="shared" si="170"/>
        <v/>
      </c>
      <c r="BL789">
        <f t="shared" si="158"/>
        <v>0</v>
      </c>
      <c r="BN789">
        <v>7.8800000000000398E-3</v>
      </c>
    </row>
    <row r="790" spans="1:66" ht="15.75" thickBot="1" x14ac:dyDescent="0.3">
      <c r="A790" s="569" t="s">
        <v>2524</v>
      </c>
      <c r="B790" s="569" t="s">
        <v>144</v>
      </c>
      <c r="C790" s="569" t="s">
        <v>11</v>
      </c>
      <c r="D790" s="574">
        <v>9</v>
      </c>
      <c r="E790" s="569"/>
      <c r="F790" s="569"/>
      <c r="G790" s="569"/>
      <c r="H790" s="569"/>
      <c r="I790" s="574">
        <v>0</v>
      </c>
      <c r="J790" s="574">
        <v>0</v>
      </c>
      <c r="K790" s="574">
        <v>0</v>
      </c>
      <c r="L790" s="574">
        <v>0</v>
      </c>
      <c r="M790" s="574">
        <v>0</v>
      </c>
      <c r="N790" s="574">
        <v>0</v>
      </c>
      <c r="O790" s="574">
        <v>0</v>
      </c>
      <c r="P790" s="574">
        <v>0</v>
      </c>
      <c r="Q790" s="574">
        <v>0</v>
      </c>
      <c r="R790" s="569"/>
      <c r="S790" s="569"/>
      <c r="T790" s="569"/>
      <c r="U790" s="569"/>
      <c r="V790" s="569"/>
      <c r="W790" s="569"/>
      <c r="X790" s="569"/>
      <c r="Y790" s="569"/>
      <c r="Z790" s="569"/>
      <c r="AA790" s="569"/>
      <c r="AB790" s="569"/>
      <c r="AC790" s="569"/>
      <c r="AD790" s="569"/>
      <c r="AE790" s="569"/>
      <c r="AF790" s="569"/>
      <c r="AG790" s="569"/>
      <c r="AH790" s="569"/>
      <c r="AI790" s="569"/>
      <c r="AJ790" s="569"/>
      <c r="AK790" s="569"/>
      <c r="AL790" s="569"/>
      <c r="AM790" s="569"/>
      <c r="AN790" s="574">
        <v>113.3</v>
      </c>
      <c r="AO790">
        <v>789</v>
      </c>
      <c r="AP790" t="str">
        <f t="shared" si="159"/>
        <v/>
      </c>
      <c r="AQ790" t="str">
        <f t="shared" si="160"/>
        <v/>
      </c>
      <c r="AR790" s="430">
        <f>IFERROR(
IF(AP790="",-100,
IF($BV$2&gt;0, INDEX(Beersheet!$A:$U,MATCH(AP790,INDEX(Beersheet!$A:$U,0,FFARawStatProjections!$BV$2),0),$BV$3)+$BN790,
INDEX($A790:$BM790,,$BV$12)*$BW$12+
INDEX($A790:$BM790,,$BV$15)*$BW$15+
INDEX($A790:$BM790,,$BV$16)*$BW$16+
INDEX($A790:$BM790,,$BV$17)*$BW$17+
INDEX($A790:$BM790,,$BV$18)*$BW$18+
INDEX($A790:$BM790,,$BV$19)*$BW$19+
INDEX($A790:$BM790,,$BV$20)*$BW$20+
INDEX($A790:$BM790,,$BV$21)*$BW$21+
INDEX($A790:$BM790,,$BV$22)*$BW$22+
INDEX($A790:$BM790,,$BV$23)*$BW$23+
INDEX($A790:$BM790,,$BV$25)*$BW$25+
INDEX($A790:$BM790,,$BV$26)*$BW$26+
INDEX($A790:$BM790,,$BV$27)*$BW$27+
$BN790)),
$BN790-100)</f>
        <v>-100</v>
      </c>
      <c r="AT790" t="str">
        <f t="shared" si="165"/>
        <v/>
      </c>
      <c r="AU790" t="str">
        <f t="shared" si="161"/>
        <v/>
      </c>
      <c r="AV790" s="430">
        <f>IFERROR(
IF(AT790="",-100,
IF($BV$2&gt;0, INDEX(Beersheet!$A:$U,MATCH(AT790,INDEX(Beersheet!$A:$U,0,FFARawStatProjections!$BV$2),0),$BV$3)+$BN790,
INDEX($A790:$BM790,,$BV$12)*$BW$12+
INDEX($A790:$BM790,,$BV$15)*$BW$15+
INDEX($A790:$BM790,,$BV$16)*$BW$16+
INDEX($A790:$BM790,,$BV$17)*$BW$17+
INDEX($A790:$BM790,,$BV$18)*$BW$18+
INDEX($A790:$BM790,,$BV$19)*$BW$19+
INDEX($A790:$BM790,,$BV$20)*$BW$20+
INDEX($A790:$BM790,,$BV$21)*$BW$21+
INDEX($A790:$BM790,,$BV$22)*$BW$22+
INDEX($A790:$BM790,,$BV$23)*$BW$23+
INDEX($A790:$BM790,,$BV$25)*$BW$25+
INDEX($A790:$BM790,,$BV$26)*$BW$26+
INDEX($A790:$BM790,,$BV$27)*$BW$27+
$BN790)),
$BN790-100)</f>
        <v>-100</v>
      </c>
      <c r="AX790" t="str">
        <f t="shared" si="166"/>
        <v/>
      </c>
      <c r="AY790" t="str">
        <f t="shared" si="162"/>
        <v/>
      </c>
      <c r="AZ790" s="430">
        <f>IFERROR(
IF(AX790="",-100,
IF($BV$2&gt;0, INDEX(Beersheet!$A:$U,MATCH(AX790,INDEX(Beersheet!$A:$U,0,FFARawStatProjections!$BV$2),0),$BV$3)+$BN790,
INDEX($A790:$BM790,,$BV$12)*$BW$12+
INDEX($A790:$BM790,,$BV$15)*$BW$15+
INDEX($A790:$BM790,,$BV$16)*$BW$16+
INDEX($A790:$BM790,,$BV$17)*$BW$17+
INDEX($A790:$BM790,,$BV$18)*$BW$18+
INDEX($A790:$BM790,,$BV$19)*$BW$19+
INDEX($A790:$BM790,,$BV$20)*$BW$20+
INDEX($A790:$BM790,,$BV$21)*$BW$21+
INDEX($A790:$BM790,,$BV$22)*$BW$22+
INDEX($A790:$BM790,,$BV$23)*$BW$23+
INDEX($A790:$BM790,,$BV$25)*$BW$25+
INDEX($A790:$BM790,,$BV$26)*$BW$26+
INDEX($A790:$BM790,,$BV$27)*$BW$27+
$BN790)),
$BN790-100)</f>
        <v>-100</v>
      </c>
      <c r="BB790" t="str">
        <f t="shared" si="167"/>
        <v/>
      </c>
      <c r="BC790" t="str">
        <f t="shared" si="163"/>
        <v/>
      </c>
      <c r="BD790" s="430">
        <f>IFERROR(
IF(BB790="",-100,
IF($BV$2&gt;0, INDEX(Beersheet!$A:$U,MATCH(BB790,INDEX(Beersheet!$A:$U,0,FFARawStatProjections!$BV$2),0),$BV$3)+$BN790,
INDEX($A790:$BM790,,$BV$12)*$BW$12+
INDEX($A790:$BM790,,$BV$15)*$BW$15+
INDEX($A790:$BM790,,$BV$16)*$BW$16+
INDEX($A790:$BM790,,$BV$17)*$BW$17+
INDEX($A790:$BM790,,$BV$18)*$BW$18+
INDEX($A790:$BM790,,$BV$19)*$BW$19+
INDEX($A790:$BM790,,$BV$20)*$BW$20+
INDEX($A790:$BM790,,$BV$21)*$BW$21+
INDEX($A790:$BM790,,$BV$22)*$BW$22+
INDEX($A790:$BM790,,$BV$23)*$BW$23+
INDEX($A790:$BM790,,$BV$25)*$BW$25+
INDEX($A790:$BM790,,$BV$26)*$BW$26+
INDEX($A790:$BM790,,$BV$27)*$BW$27+
$BN790)),
$BN790-100)</f>
        <v>-100</v>
      </c>
      <c r="BF790" t="str">
        <f t="shared" si="168"/>
        <v>Brett Maher</v>
      </c>
      <c r="BG790" t="str">
        <f t="shared" si="164"/>
        <v>DEN</v>
      </c>
      <c r="BH790">
        <f t="shared" si="169"/>
        <v>113.30789</v>
      </c>
      <c r="BJ790" t="str">
        <f t="shared" si="170"/>
        <v/>
      </c>
      <c r="BL790">
        <f t="shared" si="158"/>
        <v>0</v>
      </c>
      <c r="BN790">
        <v>7.8900000000000393E-3</v>
      </c>
    </row>
    <row r="791" spans="1:66" ht="15.75" thickBot="1" x14ac:dyDescent="0.3">
      <c r="A791" s="569" t="s">
        <v>2382</v>
      </c>
      <c r="B791" s="569" t="s">
        <v>161</v>
      </c>
      <c r="C791" s="569" t="s">
        <v>11</v>
      </c>
      <c r="D791" s="574">
        <v>5</v>
      </c>
      <c r="E791" s="569"/>
      <c r="F791" s="569"/>
      <c r="G791" s="569"/>
      <c r="H791" s="569"/>
      <c r="I791" s="574">
        <v>0</v>
      </c>
      <c r="J791" s="574">
        <v>0</v>
      </c>
      <c r="K791" s="574">
        <v>0</v>
      </c>
      <c r="L791" s="574">
        <v>0</v>
      </c>
      <c r="M791" s="574">
        <v>0</v>
      </c>
      <c r="N791" s="574">
        <v>0</v>
      </c>
      <c r="O791" s="574">
        <v>0</v>
      </c>
      <c r="P791" s="574">
        <v>0</v>
      </c>
      <c r="Q791" s="574">
        <v>0</v>
      </c>
      <c r="R791" s="569"/>
      <c r="S791" s="569"/>
      <c r="T791" s="569"/>
      <c r="U791" s="569"/>
      <c r="V791" s="569"/>
      <c r="W791" s="569"/>
      <c r="X791" s="569"/>
      <c r="Y791" s="569"/>
      <c r="Z791" s="569"/>
      <c r="AA791" s="569"/>
      <c r="AB791" s="569"/>
      <c r="AC791" s="569"/>
      <c r="AD791" s="569"/>
      <c r="AE791" s="569"/>
      <c r="AF791" s="569"/>
      <c r="AG791" s="569"/>
      <c r="AH791" s="569"/>
      <c r="AI791" s="569"/>
      <c r="AJ791" s="569"/>
      <c r="AK791" s="569"/>
      <c r="AL791" s="569"/>
      <c r="AM791" s="569"/>
      <c r="AN791" s="574">
        <v>113.3</v>
      </c>
      <c r="AO791">
        <v>790</v>
      </c>
      <c r="AP791" t="str">
        <f t="shared" si="159"/>
        <v/>
      </c>
      <c r="AQ791" t="str">
        <f t="shared" si="160"/>
        <v/>
      </c>
      <c r="AR791" s="430">
        <f>IFERROR(
IF(AP791="",-100,
IF($BV$2&gt;0, INDEX(Beersheet!$A:$U,MATCH(AP791,INDEX(Beersheet!$A:$U,0,FFARawStatProjections!$BV$2),0),$BV$3)+$BN791,
INDEX($A791:$BM791,,$BV$12)*$BW$12+
INDEX($A791:$BM791,,$BV$15)*$BW$15+
INDEX($A791:$BM791,,$BV$16)*$BW$16+
INDEX($A791:$BM791,,$BV$17)*$BW$17+
INDEX($A791:$BM791,,$BV$18)*$BW$18+
INDEX($A791:$BM791,,$BV$19)*$BW$19+
INDEX($A791:$BM791,,$BV$20)*$BW$20+
INDEX($A791:$BM791,,$BV$21)*$BW$21+
INDEX($A791:$BM791,,$BV$22)*$BW$22+
INDEX($A791:$BM791,,$BV$23)*$BW$23+
INDEX($A791:$BM791,,$BV$25)*$BW$25+
INDEX($A791:$BM791,,$BV$26)*$BW$26+
INDEX($A791:$BM791,,$BV$27)*$BW$27+
$BN791)),
$BN791-100)</f>
        <v>-100</v>
      </c>
      <c r="AT791" t="str">
        <f t="shared" si="165"/>
        <v/>
      </c>
      <c r="AU791" t="str">
        <f t="shared" si="161"/>
        <v/>
      </c>
      <c r="AV791" s="430">
        <f>IFERROR(
IF(AT791="",-100,
IF($BV$2&gt;0, INDEX(Beersheet!$A:$U,MATCH(AT791,INDEX(Beersheet!$A:$U,0,FFARawStatProjections!$BV$2),0),$BV$3)+$BN791,
INDEX($A791:$BM791,,$BV$12)*$BW$12+
INDEX($A791:$BM791,,$BV$15)*$BW$15+
INDEX($A791:$BM791,,$BV$16)*$BW$16+
INDEX($A791:$BM791,,$BV$17)*$BW$17+
INDEX($A791:$BM791,,$BV$18)*$BW$18+
INDEX($A791:$BM791,,$BV$19)*$BW$19+
INDEX($A791:$BM791,,$BV$20)*$BW$20+
INDEX($A791:$BM791,,$BV$21)*$BW$21+
INDEX($A791:$BM791,,$BV$22)*$BW$22+
INDEX($A791:$BM791,,$BV$23)*$BW$23+
INDEX($A791:$BM791,,$BV$25)*$BW$25+
INDEX($A791:$BM791,,$BV$26)*$BW$26+
INDEX($A791:$BM791,,$BV$27)*$BW$27+
$BN791)),
$BN791-100)</f>
        <v>-100</v>
      </c>
      <c r="AX791" t="str">
        <f t="shared" si="166"/>
        <v/>
      </c>
      <c r="AY791" t="str">
        <f t="shared" si="162"/>
        <v/>
      </c>
      <c r="AZ791" s="430">
        <f>IFERROR(
IF(AX791="",-100,
IF($BV$2&gt;0, INDEX(Beersheet!$A:$U,MATCH(AX791,INDEX(Beersheet!$A:$U,0,FFARawStatProjections!$BV$2),0),$BV$3)+$BN791,
INDEX($A791:$BM791,,$BV$12)*$BW$12+
INDEX($A791:$BM791,,$BV$15)*$BW$15+
INDEX($A791:$BM791,,$BV$16)*$BW$16+
INDEX($A791:$BM791,,$BV$17)*$BW$17+
INDEX($A791:$BM791,,$BV$18)*$BW$18+
INDEX($A791:$BM791,,$BV$19)*$BW$19+
INDEX($A791:$BM791,,$BV$20)*$BW$20+
INDEX($A791:$BM791,,$BV$21)*$BW$21+
INDEX($A791:$BM791,,$BV$22)*$BW$22+
INDEX($A791:$BM791,,$BV$23)*$BW$23+
INDEX($A791:$BM791,,$BV$25)*$BW$25+
INDEX($A791:$BM791,,$BV$26)*$BW$26+
INDEX($A791:$BM791,,$BV$27)*$BW$27+
$BN791)),
$BN791-100)</f>
        <v>-100</v>
      </c>
      <c r="BB791" t="str">
        <f t="shared" si="167"/>
        <v/>
      </c>
      <c r="BC791" t="str">
        <f t="shared" si="163"/>
        <v/>
      </c>
      <c r="BD791" s="430">
        <f>IFERROR(
IF(BB791="",-100,
IF($BV$2&gt;0, INDEX(Beersheet!$A:$U,MATCH(BB791,INDEX(Beersheet!$A:$U,0,FFARawStatProjections!$BV$2),0),$BV$3)+$BN791,
INDEX($A791:$BM791,,$BV$12)*$BW$12+
INDEX($A791:$BM791,,$BV$15)*$BW$15+
INDEX($A791:$BM791,,$BV$16)*$BW$16+
INDEX($A791:$BM791,,$BV$17)*$BW$17+
INDEX($A791:$BM791,,$BV$18)*$BW$18+
INDEX($A791:$BM791,,$BV$19)*$BW$19+
INDEX($A791:$BM791,,$BV$20)*$BW$20+
INDEX($A791:$BM791,,$BV$21)*$BW$21+
INDEX($A791:$BM791,,$BV$22)*$BW$22+
INDEX($A791:$BM791,,$BV$23)*$BW$23+
INDEX($A791:$BM791,,$BV$25)*$BW$25+
INDEX($A791:$BM791,,$BV$26)*$BW$26+
INDEX($A791:$BM791,,$BV$27)*$BW$27+
$BN791)),
$BN791-100)</f>
        <v>-100</v>
      </c>
      <c r="BF791" t="str">
        <f t="shared" si="168"/>
        <v>Cade York</v>
      </c>
      <c r="BG791" t="str">
        <f t="shared" si="164"/>
        <v>CLE</v>
      </c>
      <c r="BH791">
        <f t="shared" si="169"/>
        <v>113.3079</v>
      </c>
      <c r="BJ791" t="str">
        <f t="shared" si="170"/>
        <v/>
      </c>
      <c r="BL791">
        <f t="shared" si="158"/>
        <v>0</v>
      </c>
      <c r="BN791">
        <v>7.9000000000000407E-3</v>
      </c>
    </row>
    <row r="792" spans="1:66" ht="15.75" thickBot="1" x14ac:dyDescent="0.3">
      <c r="A792" s="569" t="s">
        <v>701</v>
      </c>
      <c r="B792" s="569" t="s">
        <v>1388</v>
      </c>
      <c r="C792" s="569" t="s">
        <v>11</v>
      </c>
      <c r="D792" s="574">
        <v>5</v>
      </c>
      <c r="E792" s="569"/>
      <c r="F792" s="569"/>
      <c r="G792" s="569"/>
      <c r="H792" s="569"/>
      <c r="I792" s="574">
        <v>0</v>
      </c>
      <c r="J792" s="574">
        <v>0</v>
      </c>
      <c r="K792" s="574">
        <v>0</v>
      </c>
      <c r="L792" s="574">
        <v>0</v>
      </c>
      <c r="M792" s="574">
        <v>0</v>
      </c>
      <c r="N792" s="574">
        <v>0</v>
      </c>
      <c r="O792" s="574">
        <v>0</v>
      </c>
      <c r="P792" s="574">
        <v>0</v>
      </c>
      <c r="Q792" s="574">
        <v>0</v>
      </c>
      <c r="R792" s="569"/>
      <c r="S792" s="569"/>
      <c r="T792" s="569"/>
      <c r="U792" s="569"/>
      <c r="V792" s="569"/>
      <c r="W792" s="569"/>
      <c r="X792" s="569"/>
      <c r="Y792" s="569"/>
      <c r="Z792" s="569"/>
      <c r="AA792" s="569"/>
      <c r="AB792" s="569"/>
      <c r="AC792" s="569"/>
      <c r="AD792" s="569"/>
      <c r="AE792" s="569"/>
      <c r="AF792" s="569"/>
      <c r="AG792" s="569"/>
      <c r="AH792" s="569"/>
      <c r="AI792" s="569"/>
      <c r="AJ792" s="569"/>
      <c r="AK792" s="569"/>
      <c r="AL792" s="569"/>
      <c r="AM792" s="569"/>
      <c r="AN792" s="574">
        <v>113.1</v>
      </c>
      <c r="AO792">
        <v>791</v>
      </c>
      <c r="AP792" t="str">
        <f t="shared" si="159"/>
        <v/>
      </c>
      <c r="AQ792" t="str">
        <f t="shared" si="160"/>
        <v/>
      </c>
      <c r="AR792" s="430">
        <f>IFERROR(
IF(AP792="",-100,
IF($BV$2&gt;0, INDEX(Beersheet!$A:$U,MATCH(AP792,INDEX(Beersheet!$A:$U,0,FFARawStatProjections!$BV$2),0),$BV$3)+$BN792,
INDEX($A792:$BM792,,$BV$12)*$BW$12+
INDEX($A792:$BM792,,$BV$15)*$BW$15+
INDEX($A792:$BM792,,$BV$16)*$BW$16+
INDEX($A792:$BM792,,$BV$17)*$BW$17+
INDEX($A792:$BM792,,$BV$18)*$BW$18+
INDEX($A792:$BM792,,$BV$19)*$BW$19+
INDEX($A792:$BM792,,$BV$20)*$BW$20+
INDEX($A792:$BM792,,$BV$21)*$BW$21+
INDEX($A792:$BM792,,$BV$22)*$BW$22+
INDEX($A792:$BM792,,$BV$23)*$BW$23+
INDEX($A792:$BM792,,$BV$25)*$BW$25+
INDEX($A792:$BM792,,$BV$26)*$BW$26+
INDEX($A792:$BM792,,$BV$27)*$BW$27+
$BN792)),
$BN792-100)</f>
        <v>-100</v>
      </c>
      <c r="AT792" t="str">
        <f t="shared" si="165"/>
        <v/>
      </c>
      <c r="AU792" t="str">
        <f t="shared" si="161"/>
        <v/>
      </c>
      <c r="AV792" s="430">
        <f>IFERROR(
IF(AT792="",-100,
IF($BV$2&gt;0, INDEX(Beersheet!$A:$U,MATCH(AT792,INDEX(Beersheet!$A:$U,0,FFARawStatProjections!$BV$2),0),$BV$3)+$BN792,
INDEX($A792:$BM792,,$BV$12)*$BW$12+
INDEX($A792:$BM792,,$BV$15)*$BW$15+
INDEX($A792:$BM792,,$BV$16)*$BW$16+
INDEX($A792:$BM792,,$BV$17)*$BW$17+
INDEX($A792:$BM792,,$BV$18)*$BW$18+
INDEX($A792:$BM792,,$BV$19)*$BW$19+
INDEX($A792:$BM792,,$BV$20)*$BW$20+
INDEX($A792:$BM792,,$BV$21)*$BW$21+
INDEX($A792:$BM792,,$BV$22)*$BW$22+
INDEX($A792:$BM792,,$BV$23)*$BW$23+
INDEX($A792:$BM792,,$BV$25)*$BW$25+
INDEX($A792:$BM792,,$BV$26)*$BW$26+
INDEX($A792:$BM792,,$BV$27)*$BW$27+
$BN792)),
$BN792-100)</f>
        <v>-100</v>
      </c>
      <c r="AX792" t="str">
        <f t="shared" si="166"/>
        <v/>
      </c>
      <c r="AY792" t="str">
        <f t="shared" si="162"/>
        <v/>
      </c>
      <c r="AZ792" s="430">
        <f>IFERROR(
IF(AX792="",-100,
IF($BV$2&gt;0, INDEX(Beersheet!$A:$U,MATCH(AX792,INDEX(Beersheet!$A:$U,0,FFARawStatProjections!$BV$2),0),$BV$3)+$BN792,
INDEX($A792:$BM792,,$BV$12)*$BW$12+
INDEX($A792:$BM792,,$BV$15)*$BW$15+
INDEX($A792:$BM792,,$BV$16)*$BW$16+
INDEX($A792:$BM792,,$BV$17)*$BW$17+
INDEX($A792:$BM792,,$BV$18)*$BW$18+
INDEX($A792:$BM792,,$BV$19)*$BW$19+
INDEX($A792:$BM792,,$BV$20)*$BW$20+
INDEX($A792:$BM792,,$BV$21)*$BW$21+
INDEX($A792:$BM792,,$BV$22)*$BW$22+
INDEX($A792:$BM792,,$BV$23)*$BW$23+
INDEX($A792:$BM792,,$BV$25)*$BW$25+
INDEX($A792:$BM792,,$BV$26)*$BW$26+
INDEX($A792:$BM792,,$BV$27)*$BW$27+
$BN792)),
$BN792-100)</f>
        <v>-100</v>
      </c>
      <c r="BB792" t="str">
        <f t="shared" si="167"/>
        <v/>
      </c>
      <c r="BC792" t="str">
        <f t="shared" si="163"/>
        <v/>
      </c>
      <c r="BD792" s="430">
        <f>IFERROR(
IF(BB792="",-100,
IF($BV$2&gt;0, INDEX(Beersheet!$A:$U,MATCH(BB792,INDEX(Beersheet!$A:$U,0,FFARawStatProjections!$BV$2),0),$BV$3)+$BN792,
INDEX($A792:$BM792,,$BV$12)*$BW$12+
INDEX($A792:$BM792,,$BV$15)*$BW$15+
INDEX($A792:$BM792,,$BV$16)*$BW$16+
INDEX($A792:$BM792,,$BV$17)*$BW$17+
INDEX($A792:$BM792,,$BV$18)*$BW$18+
INDEX($A792:$BM792,,$BV$19)*$BW$19+
INDEX($A792:$BM792,,$BV$20)*$BW$20+
INDEX($A792:$BM792,,$BV$21)*$BW$21+
INDEX($A792:$BM792,,$BV$22)*$BW$22+
INDEX($A792:$BM792,,$BV$23)*$BW$23+
INDEX($A792:$BM792,,$BV$25)*$BW$25+
INDEX($A792:$BM792,,$BV$26)*$BW$26+
INDEX($A792:$BM792,,$BV$27)*$BW$27+
$BN792)),
$BN792-100)</f>
        <v>-100</v>
      </c>
      <c r="BF792" t="str">
        <f t="shared" si="168"/>
        <v>Dustin Hopkins</v>
      </c>
      <c r="BG792" t="str">
        <f t="shared" si="164"/>
        <v>LAC</v>
      </c>
      <c r="BH792">
        <f t="shared" si="169"/>
        <v>113.10790999999999</v>
      </c>
      <c r="BJ792" t="str">
        <f t="shared" si="170"/>
        <v/>
      </c>
      <c r="BL792">
        <f t="shared" si="158"/>
        <v>0</v>
      </c>
      <c r="BN792">
        <v>7.9100000000000403E-3</v>
      </c>
    </row>
    <row r="793" spans="1:66" ht="15.75" thickBot="1" x14ac:dyDescent="0.3">
      <c r="A793" s="569" t="s">
        <v>1889</v>
      </c>
      <c r="B793" s="569" t="s">
        <v>158</v>
      </c>
      <c r="C793" s="569" t="s">
        <v>11</v>
      </c>
      <c r="D793" s="574">
        <v>11</v>
      </c>
      <c r="E793" s="569"/>
      <c r="F793" s="569"/>
      <c r="G793" s="569"/>
      <c r="H793" s="569"/>
      <c r="I793" s="574">
        <v>0</v>
      </c>
      <c r="J793" s="574">
        <v>0</v>
      </c>
      <c r="K793" s="574">
        <v>0</v>
      </c>
      <c r="L793" s="574">
        <v>0</v>
      </c>
      <c r="M793" s="574">
        <v>0</v>
      </c>
      <c r="N793" s="574">
        <v>0</v>
      </c>
      <c r="O793" s="574">
        <v>0</v>
      </c>
      <c r="P793" s="574">
        <v>0</v>
      </c>
      <c r="Q793" s="574">
        <v>0</v>
      </c>
      <c r="R793" s="569"/>
      <c r="S793" s="569"/>
      <c r="T793" s="569"/>
      <c r="U793" s="569"/>
      <c r="V793" s="569"/>
      <c r="W793" s="569"/>
      <c r="X793" s="569"/>
      <c r="Y793" s="569"/>
      <c r="Z793" s="569"/>
      <c r="AA793" s="569"/>
      <c r="AB793" s="569"/>
      <c r="AC793" s="569"/>
      <c r="AD793" s="569"/>
      <c r="AE793" s="569"/>
      <c r="AF793" s="569"/>
      <c r="AG793" s="569"/>
      <c r="AH793" s="569"/>
      <c r="AI793" s="569"/>
      <c r="AJ793" s="569"/>
      <c r="AK793" s="569"/>
      <c r="AL793" s="569"/>
      <c r="AM793" s="569"/>
      <c r="AN793" s="574">
        <v>112.9</v>
      </c>
      <c r="AO793">
        <v>792</v>
      </c>
      <c r="AP793" t="str">
        <f t="shared" si="159"/>
        <v/>
      </c>
      <c r="AQ793" t="str">
        <f t="shared" si="160"/>
        <v/>
      </c>
      <c r="AR793" s="430">
        <f>IFERROR(
IF(AP793="",-100,
IF($BV$2&gt;0, INDEX(Beersheet!$A:$U,MATCH(AP793,INDEX(Beersheet!$A:$U,0,FFARawStatProjections!$BV$2),0),$BV$3)+$BN793,
INDEX($A793:$BM793,,$BV$12)*$BW$12+
INDEX($A793:$BM793,,$BV$15)*$BW$15+
INDEX($A793:$BM793,,$BV$16)*$BW$16+
INDEX($A793:$BM793,,$BV$17)*$BW$17+
INDEX($A793:$BM793,,$BV$18)*$BW$18+
INDEX($A793:$BM793,,$BV$19)*$BW$19+
INDEX($A793:$BM793,,$BV$20)*$BW$20+
INDEX($A793:$BM793,,$BV$21)*$BW$21+
INDEX($A793:$BM793,,$BV$22)*$BW$22+
INDEX($A793:$BM793,,$BV$23)*$BW$23+
INDEX($A793:$BM793,,$BV$25)*$BW$25+
INDEX($A793:$BM793,,$BV$26)*$BW$26+
INDEX($A793:$BM793,,$BV$27)*$BW$27+
$BN793)),
$BN793-100)</f>
        <v>-100</v>
      </c>
      <c r="AT793" t="str">
        <f t="shared" si="165"/>
        <v/>
      </c>
      <c r="AU793" t="str">
        <f t="shared" si="161"/>
        <v/>
      </c>
      <c r="AV793" s="430">
        <f>IFERROR(
IF(AT793="",-100,
IF($BV$2&gt;0, INDEX(Beersheet!$A:$U,MATCH(AT793,INDEX(Beersheet!$A:$U,0,FFARawStatProjections!$BV$2),0),$BV$3)+$BN793,
INDEX($A793:$BM793,,$BV$12)*$BW$12+
INDEX($A793:$BM793,,$BV$15)*$BW$15+
INDEX($A793:$BM793,,$BV$16)*$BW$16+
INDEX($A793:$BM793,,$BV$17)*$BW$17+
INDEX($A793:$BM793,,$BV$18)*$BW$18+
INDEX($A793:$BM793,,$BV$19)*$BW$19+
INDEX($A793:$BM793,,$BV$20)*$BW$20+
INDEX($A793:$BM793,,$BV$21)*$BW$21+
INDEX($A793:$BM793,,$BV$22)*$BW$22+
INDEX($A793:$BM793,,$BV$23)*$BW$23+
INDEX($A793:$BM793,,$BV$25)*$BW$25+
INDEX($A793:$BM793,,$BV$26)*$BW$26+
INDEX($A793:$BM793,,$BV$27)*$BW$27+
$BN793)),
$BN793-100)</f>
        <v>-100</v>
      </c>
      <c r="AX793" t="str">
        <f t="shared" si="166"/>
        <v/>
      </c>
      <c r="AY793" t="str">
        <f t="shared" si="162"/>
        <v/>
      </c>
      <c r="AZ793" s="430">
        <f>IFERROR(
IF(AX793="",-100,
IF($BV$2&gt;0, INDEX(Beersheet!$A:$U,MATCH(AX793,INDEX(Beersheet!$A:$U,0,FFARawStatProjections!$BV$2),0),$BV$3)+$BN793,
INDEX($A793:$BM793,,$BV$12)*$BW$12+
INDEX($A793:$BM793,,$BV$15)*$BW$15+
INDEX($A793:$BM793,,$BV$16)*$BW$16+
INDEX($A793:$BM793,,$BV$17)*$BW$17+
INDEX($A793:$BM793,,$BV$18)*$BW$18+
INDEX($A793:$BM793,,$BV$19)*$BW$19+
INDEX($A793:$BM793,,$BV$20)*$BW$20+
INDEX($A793:$BM793,,$BV$21)*$BW$21+
INDEX($A793:$BM793,,$BV$22)*$BW$22+
INDEX($A793:$BM793,,$BV$23)*$BW$23+
INDEX($A793:$BM793,,$BV$25)*$BW$25+
INDEX($A793:$BM793,,$BV$26)*$BW$26+
INDEX($A793:$BM793,,$BV$27)*$BW$27+
$BN793)),
$BN793-100)</f>
        <v>-100</v>
      </c>
      <c r="BB793" t="str">
        <f t="shared" si="167"/>
        <v/>
      </c>
      <c r="BC793" t="str">
        <f t="shared" si="163"/>
        <v/>
      </c>
      <c r="BD793" s="430">
        <f>IFERROR(
IF(BB793="",-100,
IF($BV$2&gt;0, INDEX(Beersheet!$A:$U,MATCH(BB793,INDEX(Beersheet!$A:$U,0,FFARawStatProjections!$BV$2),0),$BV$3)+$BN793,
INDEX($A793:$BM793,,$BV$12)*$BW$12+
INDEX($A793:$BM793,,$BV$15)*$BW$15+
INDEX($A793:$BM793,,$BV$16)*$BW$16+
INDEX($A793:$BM793,,$BV$17)*$BW$17+
INDEX($A793:$BM793,,$BV$18)*$BW$18+
INDEX($A793:$BM793,,$BV$19)*$BW$19+
INDEX($A793:$BM793,,$BV$20)*$BW$20+
INDEX($A793:$BM793,,$BV$21)*$BW$21+
INDEX($A793:$BM793,,$BV$22)*$BW$22+
INDEX($A793:$BM793,,$BV$23)*$BW$23+
INDEX($A793:$BM793,,$BV$25)*$BW$25+
INDEX($A793:$BM793,,$BV$26)*$BW$26+
INDEX($A793:$BM793,,$BV$27)*$BW$27+
$BN793)),
$BN793-100)</f>
        <v>-100</v>
      </c>
      <c r="BF793" t="str">
        <f t="shared" si="168"/>
        <v>Matt Gay</v>
      </c>
      <c r="BG793" t="str">
        <f t="shared" si="164"/>
        <v>IND</v>
      </c>
      <c r="BH793">
        <f t="shared" si="169"/>
        <v>112.90792</v>
      </c>
      <c r="BJ793" t="str">
        <f t="shared" si="170"/>
        <v/>
      </c>
      <c r="BL793">
        <f t="shared" ref="BL793:BL856" si="171">IFERROR(IF(BJ793="",0,
V793*2+W793*2+X793*2+Z793*6+AA793*1+AB793*2+AC793*6
+AN793+BN793),"")</f>
        <v>0</v>
      </c>
      <c r="BN793">
        <v>7.9200000000000399E-3</v>
      </c>
    </row>
    <row r="794" spans="1:66" ht="15.75" thickBot="1" x14ac:dyDescent="0.3">
      <c r="A794" s="569" t="s">
        <v>2562</v>
      </c>
      <c r="B794" s="569" t="s">
        <v>146</v>
      </c>
      <c r="C794" s="569" t="s">
        <v>11</v>
      </c>
      <c r="D794" s="574">
        <v>7</v>
      </c>
      <c r="E794" s="569"/>
      <c r="F794" s="569"/>
      <c r="G794" s="569"/>
      <c r="H794" s="569"/>
      <c r="I794" s="574">
        <v>0</v>
      </c>
      <c r="J794" s="574">
        <v>0</v>
      </c>
      <c r="K794" s="574">
        <v>0</v>
      </c>
      <c r="L794" s="574">
        <v>0</v>
      </c>
      <c r="M794" s="574">
        <v>0</v>
      </c>
      <c r="N794" s="574">
        <v>0</v>
      </c>
      <c r="O794" s="574">
        <v>0</v>
      </c>
      <c r="P794" s="574">
        <v>0</v>
      </c>
      <c r="Q794" s="574">
        <v>0</v>
      </c>
      <c r="R794" s="569"/>
      <c r="S794" s="569"/>
      <c r="T794" s="569"/>
      <c r="U794" s="569"/>
      <c r="V794" s="569"/>
      <c r="W794" s="569"/>
      <c r="X794" s="569"/>
      <c r="Y794" s="569"/>
      <c r="Z794" s="569"/>
      <c r="AA794" s="569"/>
      <c r="AB794" s="569"/>
      <c r="AC794" s="569"/>
      <c r="AD794" s="569"/>
      <c r="AE794" s="569"/>
      <c r="AF794" s="569"/>
      <c r="AG794" s="569"/>
      <c r="AH794" s="569"/>
      <c r="AI794" s="569"/>
      <c r="AJ794" s="569"/>
      <c r="AK794" s="569"/>
      <c r="AL794" s="569"/>
      <c r="AM794" s="569"/>
      <c r="AN794" s="574">
        <v>111.8</v>
      </c>
      <c r="AO794">
        <v>793</v>
      </c>
      <c r="AP794" t="str">
        <f t="shared" si="159"/>
        <v/>
      </c>
      <c r="AQ794" t="str">
        <f t="shared" si="160"/>
        <v/>
      </c>
      <c r="AR794" s="430">
        <f>IFERROR(
IF(AP794="",-100,
IF($BV$2&gt;0, INDEX(Beersheet!$A:$U,MATCH(AP794,INDEX(Beersheet!$A:$U,0,FFARawStatProjections!$BV$2),0),$BV$3)+$BN794,
INDEX($A794:$BM794,,$BV$12)*$BW$12+
INDEX($A794:$BM794,,$BV$15)*$BW$15+
INDEX($A794:$BM794,,$BV$16)*$BW$16+
INDEX($A794:$BM794,,$BV$17)*$BW$17+
INDEX($A794:$BM794,,$BV$18)*$BW$18+
INDEX($A794:$BM794,,$BV$19)*$BW$19+
INDEX($A794:$BM794,,$BV$20)*$BW$20+
INDEX($A794:$BM794,,$BV$21)*$BW$21+
INDEX($A794:$BM794,,$BV$22)*$BW$22+
INDEX($A794:$BM794,,$BV$23)*$BW$23+
INDEX($A794:$BM794,,$BV$25)*$BW$25+
INDEX($A794:$BM794,,$BV$26)*$BW$26+
INDEX($A794:$BM794,,$BV$27)*$BW$27+
$BN794)),
$BN794-100)</f>
        <v>-100</v>
      </c>
      <c r="AT794" t="str">
        <f t="shared" si="165"/>
        <v/>
      </c>
      <c r="AU794" t="str">
        <f t="shared" si="161"/>
        <v/>
      </c>
      <c r="AV794" s="430">
        <f>IFERROR(
IF(AT794="",-100,
IF($BV$2&gt;0, INDEX(Beersheet!$A:$U,MATCH(AT794,INDEX(Beersheet!$A:$U,0,FFARawStatProjections!$BV$2),0),$BV$3)+$BN794,
INDEX($A794:$BM794,,$BV$12)*$BW$12+
INDEX($A794:$BM794,,$BV$15)*$BW$15+
INDEX($A794:$BM794,,$BV$16)*$BW$16+
INDEX($A794:$BM794,,$BV$17)*$BW$17+
INDEX($A794:$BM794,,$BV$18)*$BW$18+
INDEX($A794:$BM794,,$BV$19)*$BW$19+
INDEX($A794:$BM794,,$BV$20)*$BW$20+
INDEX($A794:$BM794,,$BV$21)*$BW$21+
INDEX($A794:$BM794,,$BV$22)*$BW$22+
INDEX($A794:$BM794,,$BV$23)*$BW$23+
INDEX($A794:$BM794,,$BV$25)*$BW$25+
INDEX($A794:$BM794,,$BV$26)*$BW$26+
INDEX($A794:$BM794,,$BV$27)*$BW$27+
$BN794)),
$BN794-100)</f>
        <v>-100</v>
      </c>
      <c r="AX794" t="str">
        <f t="shared" si="166"/>
        <v/>
      </c>
      <c r="AY794" t="str">
        <f t="shared" si="162"/>
        <v/>
      </c>
      <c r="AZ794" s="430">
        <f>IFERROR(
IF(AX794="",-100,
IF($BV$2&gt;0, INDEX(Beersheet!$A:$U,MATCH(AX794,INDEX(Beersheet!$A:$U,0,FFARawStatProjections!$BV$2),0),$BV$3)+$BN794,
INDEX($A794:$BM794,,$BV$12)*$BW$12+
INDEX($A794:$BM794,,$BV$15)*$BW$15+
INDEX($A794:$BM794,,$BV$16)*$BW$16+
INDEX($A794:$BM794,,$BV$17)*$BW$17+
INDEX($A794:$BM794,,$BV$18)*$BW$18+
INDEX($A794:$BM794,,$BV$19)*$BW$19+
INDEX($A794:$BM794,,$BV$20)*$BW$20+
INDEX($A794:$BM794,,$BV$21)*$BW$21+
INDEX($A794:$BM794,,$BV$22)*$BW$22+
INDEX($A794:$BM794,,$BV$23)*$BW$23+
INDEX($A794:$BM794,,$BV$25)*$BW$25+
INDEX($A794:$BM794,,$BV$26)*$BW$26+
INDEX($A794:$BM794,,$BV$27)*$BW$27+
$BN794)),
$BN794-100)</f>
        <v>-100</v>
      </c>
      <c r="BB794" t="str">
        <f t="shared" si="167"/>
        <v/>
      </c>
      <c r="BC794" t="str">
        <f t="shared" si="163"/>
        <v/>
      </c>
      <c r="BD794" s="430">
        <f>IFERROR(
IF(BB794="",-100,
IF($BV$2&gt;0, INDEX(Beersheet!$A:$U,MATCH(BB794,INDEX(Beersheet!$A:$U,0,FFARawStatProjections!$BV$2),0),$BV$3)+$BN794,
INDEX($A794:$BM794,,$BV$12)*$BW$12+
INDEX($A794:$BM794,,$BV$15)*$BW$15+
INDEX($A794:$BM794,,$BV$16)*$BW$16+
INDEX($A794:$BM794,,$BV$17)*$BW$17+
INDEX($A794:$BM794,,$BV$18)*$BW$18+
INDEX($A794:$BM794,,$BV$19)*$BW$19+
INDEX($A794:$BM794,,$BV$20)*$BW$20+
INDEX($A794:$BM794,,$BV$21)*$BW$21+
INDEX($A794:$BM794,,$BV$22)*$BW$22+
INDEX($A794:$BM794,,$BV$23)*$BW$23+
INDEX($A794:$BM794,,$BV$25)*$BW$25+
INDEX($A794:$BM794,,$BV$26)*$BW$26+
INDEX($A794:$BM794,,$BV$27)*$BW$27+
$BN794)),
$BN794-100)</f>
        <v>-100</v>
      </c>
      <c r="BF794" t="str">
        <f t="shared" si="168"/>
        <v>Brandon Aubrey</v>
      </c>
      <c r="BG794" t="str">
        <f t="shared" si="164"/>
        <v>DAL</v>
      </c>
      <c r="BH794">
        <f t="shared" si="169"/>
        <v>111.80793</v>
      </c>
      <c r="BJ794" t="str">
        <f t="shared" si="170"/>
        <v/>
      </c>
      <c r="BL794">
        <f t="shared" si="171"/>
        <v>0</v>
      </c>
      <c r="BN794">
        <v>7.9300000000000394E-3</v>
      </c>
    </row>
    <row r="795" spans="1:66" ht="15.75" thickBot="1" x14ac:dyDescent="0.3">
      <c r="A795" s="569" t="s">
        <v>23</v>
      </c>
      <c r="B795" s="569" t="s">
        <v>2272</v>
      </c>
      <c r="C795" s="569" t="s">
        <v>11</v>
      </c>
      <c r="D795" s="574">
        <v>14</v>
      </c>
      <c r="E795" s="569"/>
      <c r="F795" s="569"/>
      <c r="G795" s="569"/>
      <c r="H795" s="569"/>
      <c r="I795" s="574">
        <v>0</v>
      </c>
      <c r="J795" s="574">
        <v>0</v>
      </c>
      <c r="K795" s="574">
        <v>0</v>
      </c>
      <c r="L795" s="574">
        <v>0</v>
      </c>
      <c r="M795" s="574">
        <v>0</v>
      </c>
      <c r="N795" s="574">
        <v>0</v>
      </c>
      <c r="O795" s="574">
        <v>0</v>
      </c>
      <c r="P795" s="574">
        <v>0</v>
      </c>
      <c r="Q795" s="574">
        <v>0</v>
      </c>
      <c r="R795" s="569"/>
      <c r="S795" s="569"/>
      <c r="T795" s="569"/>
      <c r="U795" s="569"/>
      <c r="V795" s="569"/>
      <c r="W795" s="569"/>
      <c r="X795" s="569"/>
      <c r="Y795" s="569"/>
      <c r="Z795" s="569"/>
      <c r="AA795" s="569"/>
      <c r="AB795" s="569"/>
      <c r="AC795" s="569"/>
      <c r="AD795" s="569"/>
      <c r="AE795" s="569"/>
      <c r="AF795" s="569"/>
      <c r="AG795" s="569"/>
      <c r="AH795" s="569"/>
      <c r="AI795" s="569"/>
      <c r="AJ795" s="569"/>
      <c r="AK795" s="569"/>
      <c r="AL795" s="569"/>
      <c r="AM795" s="569"/>
      <c r="AN795" s="574">
        <v>111.1</v>
      </c>
      <c r="AO795">
        <v>794</v>
      </c>
      <c r="AP795" t="str">
        <f t="shared" si="159"/>
        <v/>
      </c>
      <c r="AQ795" t="str">
        <f t="shared" si="160"/>
        <v/>
      </c>
      <c r="AR795" s="430">
        <f>IFERROR(
IF(AP795="",-100,
IF($BV$2&gt;0, INDEX(Beersheet!$A:$U,MATCH(AP795,INDEX(Beersheet!$A:$U,0,FFARawStatProjections!$BV$2),0),$BV$3)+$BN795,
INDEX($A795:$BM795,,$BV$12)*$BW$12+
INDEX($A795:$BM795,,$BV$15)*$BW$15+
INDEX($A795:$BM795,,$BV$16)*$BW$16+
INDEX($A795:$BM795,,$BV$17)*$BW$17+
INDEX($A795:$BM795,,$BV$18)*$BW$18+
INDEX($A795:$BM795,,$BV$19)*$BW$19+
INDEX($A795:$BM795,,$BV$20)*$BW$20+
INDEX($A795:$BM795,,$BV$21)*$BW$21+
INDEX($A795:$BM795,,$BV$22)*$BW$22+
INDEX($A795:$BM795,,$BV$23)*$BW$23+
INDEX($A795:$BM795,,$BV$25)*$BW$25+
INDEX($A795:$BM795,,$BV$26)*$BW$26+
INDEX($A795:$BM795,,$BV$27)*$BW$27+
$BN795)),
$BN795-100)</f>
        <v>-100</v>
      </c>
      <c r="AT795" t="str">
        <f t="shared" si="165"/>
        <v/>
      </c>
      <c r="AU795" t="str">
        <f t="shared" si="161"/>
        <v/>
      </c>
      <c r="AV795" s="430">
        <f>IFERROR(
IF(AT795="",-100,
IF($BV$2&gt;0, INDEX(Beersheet!$A:$U,MATCH(AT795,INDEX(Beersheet!$A:$U,0,FFARawStatProjections!$BV$2),0),$BV$3)+$BN795,
INDEX($A795:$BM795,,$BV$12)*$BW$12+
INDEX($A795:$BM795,,$BV$15)*$BW$15+
INDEX($A795:$BM795,,$BV$16)*$BW$16+
INDEX($A795:$BM795,,$BV$17)*$BW$17+
INDEX($A795:$BM795,,$BV$18)*$BW$18+
INDEX($A795:$BM795,,$BV$19)*$BW$19+
INDEX($A795:$BM795,,$BV$20)*$BW$20+
INDEX($A795:$BM795,,$BV$21)*$BW$21+
INDEX($A795:$BM795,,$BV$22)*$BW$22+
INDEX($A795:$BM795,,$BV$23)*$BW$23+
INDEX($A795:$BM795,,$BV$25)*$BW$25+
INDEX($A795:$BM795,,$BV$26)*$BW$26+
INDEX($A795:$BM795,,$BV$27)*$BW$27+
$BN795)),
$BN795-100)</f>
        <v>-100</v>
      </c>
      <c r="AX795" t="str">
        <f t="shared" si="166"/>
        <v/>
      </c>
      <c r="AY795" t="str">
        <f t="shared" si="162"/>
        <v/>
      </c>
      <c r="AZ795" s="430">
        <f>IFERROR(
IF(AX795="",-100,
IF($BV$2&gt;0, INDEX(Beersheet!$A:$U,MATCH(AX795,INDEX(Beersheet!$A:$U,0,FFARawStatProjections!$BV$2),0),$BV$3)+$BN795,
INDEX($A795:$BM795,,$BV$12)*$BW$12+
INDEX($A795:$BM795,,$BV$15)*$BW$15+
INDEX($A795:$BM795,,$BV$16)*$BW$16+
INDEX($A795:$BM795,,$BV$17)*$BW$17+
INDEX($A795:$BM795,,$BV$18)*$BW$18+
INDEX($A795:$BM795,,$BV$19)*$BW$19+
INDEX($A795:$BM795,,$BV$20)*$BW$20+
INDEX($A795:$BM795,,$BV$21)*$BW$21+
INDEX($A795:$BM795,,$BV$22)*$BW$22+
INDEX($A795:$BM795,,$BV$23)*$BW$23+
INDEX($A795:$BM795,,$BV$25)*$BW$25+
INDEX($A795:$BM795,,$BV$26)*$BW$26+
INDEX($A795:$BM795,,$BV$27)*$BW$27+
$BN795)),
$BN795-100)</f>
        <v>-100</v>
      </c>
      <c r="BB795" t="str">
        <f t="shared" si="167"/>
        <v/>
      </c>
      <c r="BC795" t="str">
        <f t="shared" si="163"/>
        <v/>
      </c>
      <c r="BD795" s="430">
        <f>IFERROR(
IF(BB795="",-100,
IF($BV$2&gt;0, INDEX(Beersheet!$A:$U,MATCH(BB795,INDEX(Beersheet!$A:$U,0,FFARawStatProjections!$BV$2),0),$BV$3)+$BN795,
INDEX($A795:$BM795,,$BV$12)*$BW$12+
INDEX($A795:$BM795,,$BV$15)*$BW$15+
INDEX($A795:$BM795,,$BV$16)*$BW$16+
INDEX($A795:$BM795,,$BV$17)*$BW$17+
INDEX($A795:$BM795,,$BV$18)*$BW$18+
INDEX($A795:$BM795,,$BV$19)*$BW$19+
INDEX($A795:$BM795,,$BV$20)*$BW$20+
INDEX($A795:$BM795,,$BV$21)*$BW$21+
INDEX($A795:$BM795,,$BV$22)*$BW$22+
INDEX($A795:$BM795,,$BV$23)*$BW$23+
INDEX($A795:$BM795,,$BV$25)*$BW$25+
INDEX($A795:$BM795,,$BV$26)*$BW$26+
INDEX($A795:$BM795,,$BV$27)*$BW$27+
$BN795)),
$BN795-100)</f>
        <v>-100</v>
      </c>
      <c r="BF795" t="str">
        <f t="shared" si="168"/>
        <v>Matt Prater</v>
      </c>
      <c r="BG795" t="str">
        <f t="shared" si="164"/>
        <v>AZ</v>
      </c>
      <c r="BH795">
        <f t="shared" si="169"/>
        <v>111.10794</v>
      </c>
      <c r="BJ795" t="str">
        <f t="shared" si="170"/>
        <v/>
      </c>
      <c r="BL795">
        <f t="shared" si="171"/>
        <v>0</v>
      </c>
      <c r="BN795">
        <v>7.9400000000000408E-3</v>
      </c>
    </row>
    <row r="796" spans="1:66" ht="15.75" thickBot="1" x14ac:dyDescent="0.3">
      <c r="A796" s="569" t="s">
        <v>2538</v>
      </c>
      <c r="B796" s="569" t="s">
        <v>139</v>
      </c>
      <c r="C796" s="569" t="s">
        <v>11</v>
      </c>
      <c r="D796" s="574">
        <v>6</v>
      </c>
      <c r="E796" s="569"/>
      <c r="F796" s="569"/>
      <c r="G796" s="569"/>
      <c r="H796" s="569"/>
      <c r="I796" s="574">
        <v>0</v>
      </c>
      <c r="J796" s="574">
        <v>0</v>
      </c>
      <c r="K796" s="574">
        <v>0</v>
      </c>
      <c r="L796" s="574">
        <v>0</v>
      </c>
      <c r="M796" s="574">
        <v>0</v>
      </c>
      <c r="N796" s="574">
        <v>0</v>
      </c>
      <c r="O796" s="574">
        <v>0</v>
      </c>
      <c r="P796" s="574">
        <v>0</v>
      </c>
      <c r="Q796" s="574">
        <v>0</v>
      </c>
      <c r="R796" s="569"/>
      <c r="S796" s="569"/>
      <c r="T796" s="569"/>
      <c r="U796" s="569"/>
      <c r="V796" s="569"/>
      <c r="W796" s="569"/>
      <c r="X796" s="569"/>
      <c r="Y796" s="569"/>
      <c r="Z796" s="569"/>
      <c r="AA796" s="569"/>
      <c r="AB796" s="569"/>
      <c r="AC796" s="569"/>
      <c r="AD796" s="569"/>
      <c r="AE796" s="569"/>
      <c r="AF796" s="569"/>
      <c r="AG796" s="569"/>
      <c r="AH796" s="569"/>
      <c r="AI796" s="569"/>
      <c r="AJ796" s="569"/>
      <c r="AK796" s="569"/>
      <c r="AL796" s="569"/>
      <c r="AM796" s="569"/>
      <c r="AN796" s="574">
        <v>110.9</v>
      </c>
      <c r="AO796">
        <v>795</v>
      </c>
      <c r="AP796" t="str">
        <f t="shared" si="159"/>
        <v/>
      </c>
      <c r="AQ796" t="str">
        <f t="shared" si="160"/>
        <v/>
      </c>
      <c r="AR796" s="430">
        <f>IFERROR(
IF(AP796="",-100,
IF($BV$2&gt;0, INDEX(Beersheet!$A:$U,MATCH(AP796,INDEX(Beersheet!$A:$U,0,FFARawStatProjections!$BV$2),0),$BV$3)+$BN796,
INDEX($A796:$BM796,,$BV$12)*$BW$12+
INDEX($A796:$BM796,,$BV$15)*$BW$15+
INDEX($A796:$BM796,,$BV$16)*$BW$16+
INDEX($A796:$BM796,,$BV$17)*$BW$17+
INDEX($A796:$BM796,,$BV$18)*$BW$18+
INDEX($A796:$BM796,,$BV$19)*$BW$19+
INDEX($A796:$BM796,,$BV$20)*$BW$20+
INDEX($A796:$BM796,,$BV$21)*$BW$21+
INDEX($A796:$BM796,,$BV$22)*$BW$22+
INDEX($A796:$BM796,,$BV$23)*$BW$23+
INDEX($A796:$BM796,,$BV$25)*$BW$25+
INDEX($A796:$BM796,,$BV$26)*$BW$26+
INDEX($A796:$BM796,,$BV$27)*$BW$27+
$BN796)),
$BN796-100)</f>
        <v>-100</v>
      </c>
      <c r="AT796" t="str">
        <f t="shared" si="165"/>
        <v/>
      </c>
      <c r="AU796" t="str">
        <f t="shared" si="161"/>
        <v/>
      </c>
      <c r="AV796" s="430">
        <f>IFERROR(
IF(AT796="",-100,
IF($BV$2&gt;0, INDEX(Beersheet!$A:$U,MATCH(AT796,INDEX(Beersheet!$A:$U,0,FFARawStatProjections!$BV$2),0),$BV$3)+$BN796,
INDEX($A796:$BM796,,$BV$12)*$BW$12+
INDEX($A796:$BM796,,$BV$15)*$BW$15+
INDEX($A796:$BM796,,$BV$16)*$BW$16+
INDEX($A796:$BM796,,$BV$17)*$BW$17+
INDEX($A796:$BM796,,$BV$18)*$BW$18+
INDEX($A796:$BM796,,$BV$19)*$BW$19+
INDEX($A796:$BM796,,$BV$20)*$BW$20+
INDEX($A796:$BM796,,$BV$21)*$BW$21+
INDEX($A796:$BM796,,$BV$22)*$BW$22+
INDEX($A796:$BM796,,$BV$23)*$BW$23+
INDEX($A796:$BM796,,$BV$25)*$BW$25+
INDEX($A796:$BM796,,$BV$26)*$BW$26+
INDEX($A796:$BM796,,$BV$27)*$BW$27+
$BN796)),
$BN796-100)</f>
        <v>-100</v>
      </c>
      <c r="AX796" t="str">
        <f t="shared" si="166"/>
        <v/>
      </c>
      <c r="AY796" t="str">
        <f t="shared" si="162"/>
        <v/>
      </c>
      <c r="AZ796" s="430">
        <f>IFERROR(
IF(AX796="",-100,
IF($BV$2&gt;0, INDEX(Beersheet!$A:$U,MATCH(AX796,INDEX(Beersheet!$A:$U,0,FFARawStatProjections!$BV$2),0),$BV$3)+$BN796,
INDEX($A796:$BM796,,$BV$12)*$BW$12+
INDEX($A796:$BM796,,$BV$15)*$BW$15+
INDEX($A796:$BM796,,$BV$16)*$BW$16+
INDEX($A796:$BM796,,$BV$17)*$BW$17+
INDEX($A796:$BM796,,$BV$18)*$BW$18+
INDEX($A796:$BM796,,$BV$19)*$BW$19+
INDEX($A796:$BM796,,$BV$20)*$BW$20+
INDEX($A796:$BM796,,$BV$21)*$BW$21+
INDEX($A796:$BM796,,$BV$22)*$BW$22+
INDEX($A796:$BM796,,$BV$23)*$BW$23+
INDEX($A796:$BM796,,$BV$25)*$BW$25+
INDEX($A796:$BM796,,$BV$26)*$BW$26+
INDEX($A796:$BM796,,$BV$27)*$BW$27+
$BN796)),
$BN796-100)</f>
        <v>-100</v>
      </c>
      <c r="BB796" t="str">
        <f t="shared" si="167"/>
        <v/>
      </c>
      <c r="BC796" t="str">
        <f t="shared" si="163"/>
        <v/>
      </c>
      <c r="BD796" s="430">
        <f>IFERROR(
IF(BB796="",-100,
IF($BV$2&gt;0, INDEX(Beersheet!$A:$U,MATCH(BB796,INDEX(Beersheet!$A:$U,0,FFARawStatProjections!$BV$2),0),$BV$3)+$BN796,
INDEX($A796:$BM796,,$BV$12)*$BW$12+
INDEX($A796:$BM796,,$BV$15)*$BW$15+
INDEX($A796:$BM796,,$BV$16)*$BW$16+
INDEX($A796:$BM796,,$BV$17)*$BW$17+
INDEX($A796:$BM796,,$BV$18)*$BW$18+
INDEX($A796:$BM796,,$BV$19)*$BW$19+
INDEX($A796:$BM796,,$BV$20)*$BW$20+
INDEX($A796:$BM796,,$BV$21)*$BW$21+
INDEX($A796:$BM796,,$BV$22)*$BW$22+
INDEX($A796:$BM796,,$BV$23)*$BW$23+
INDEX($A796:$BM796,,$BV$25)*$BW$25+
INDEX($A796:$BM796,,$BV$26)*$BW$26+
INDEX($A796:$BM796,,$BV$27)*$BW$27+
$BN796)),
$BN796-100)</f>
        <v>-100</v>
      </c>
      <c r="BF796" t="str">
        <f t="shared" si="168"/>
        <v>Anders Carlson</v>
      </c>
      <c r="BG796" t="str">
        <f t="shared" si="164"/>
        <v>GB</v>
      </c>
      <c r="BH796">
        <f t="shared" si="169"/>
        <v>110.90795</v>
      </c>
      <c r="BJ796" t="str">
        <f t="shared" si="170"/>
        <v/>
      </c>
      <c r="BL796">
        <f t="shared" si="171"/>
        <v>0</v>
      </c>
      <c r="BN796">
        <v>7.9500000000000404E-3</v>
      </c>
    </row>
    <row r="797" spans="1:66" ht="15.75" thickBot="1" x14ac:dyDescent="0.3">
      <c r="A797" s="569" t="s">
        <v>1828</v>
      </c>
      <c r="B797" s="569" t="s">
        <v>151</v>
      </c>
      <c r="C797" s="569" t="s">
        <v>11</v>
      </c>
      <c r="D797" s="574">
        <v>7</v>
      </c>
      <c r="E797" s="569"/>
      <c r="F797" s="569"/>
      <c r="G797" s="569"/>
      <c r="H797" s="569"/>
      <c r="I797" s="574">
        <v>0</v>
      </c>
      <c r="J797" s="574">
        <v>0</v>
      </c>
      <c r="K797" s="574">
        <v>0</v>
      </c>
      <c r="L797" s="574">
        <v>0</v>
      </c>
      <c r="M797" s="574">
        <v>0</v>
      </c>
      <c r="N797" s="574">
        <v>0</v>
      </c>
      <c r="O797" s="574">
        <v>0</v>
      </c>
      <c r="P797" s="574">
        <v>0</v>
      </c>
      <c r="Q797" s="574">
        <v>0</v>
      </c>
      <c r="R797" s="569"/>
      <c r="S797" s="569"/>
      <c r="T797" s="569"/>
      <c r="U797" s="569"/>
      <c r="V797" s="569"/>
      <c r="W797" s="569"/>
      <c r="X797" s="569"/>
      <c r="Y797" s="569"/>
      <c r="Z797" s="569"/>
      <c r="AA797" s="569"/>
      <c r="AB797" s="569"/>
      <c r="AC797" s="569"/>
      <c r="AD797" s="569"/>
      <c r="AE797" s="569"/>
      <c r="AF797" s="569"/>
      <c r="AG797" s="569"/>
      <c r="AH797" s="569"/>
      <c r="AI797" s="569"/>
      <c r="AJ797" s="569"/>
      <c r="AK797" s="569"/>
      <c r="AL797" s="569"/>
      <c r="AM797" s="569"/>
      <c r="AN797" s="574">
        <v>110</v>
      </c>
      <c r="AO797">
        <v>796</v>
      </c>
      <c r="AP797" t="str">
        <f t="shared" si="159"/>
        <v/>
      </c>
      <c r="AQ797" t="str">
        <f t="shared" si="160"/>
        <v/>
      </c>
      <c r="AR797" s="430">
        <f>IFERROR(
IF(AP797="",-100,
IF($BV$2&gt;0, INDEX(Beersheet!$A:$U,MATCH(AP797,INDEX(Beersheet!$A:$U,0,FFARawStatProjections!$BV$2),0),$BV$3)+$BN797,
INDEX($A797:$BM797,,$BV$12)*$BW$12+
INDEX($A797:$BM797,,$BV$15)*$BW$15+
INDEX($A797:$BM797,,$BV$16)*$BW$16+
INDEX($A797:$BM797,,$BV$17)*$BW$17+
INDEX($A797:$BM797,,$BV$18)*$BW$18+
INDEX($A797:$BM797,,$BV$19)*$BW$19+
INDEX($A797:$BM797,,$BV$20)*$BW$20+
INDEX($A797:$BM797,,$BV$21)*$BW$21+
INDEX($A797:$BM797,,$BV$22)*$BW$22+
INDEX($A797:$BM797,,$BV$23)*$BW$23+
INDEX($A797:$BM797,,$BV$25)*$BW$25+
INDEX($A797:$BM797,,$BV$26)*$BW$26+
INDEX($A797:$BM797,,$BV$27)*$BW$27+
$BN797)),
$BN797-100)</f>
        <v>-100</v>
      </c>
      <c r="AT797" t="str">
        <f t="shared" si="165"/>
        <v/>
      </c>
      <c r="AU797" t="str">
        <f t="shared" si="161"/>
        <v/>
      </c>
      <c r="AV797" s="430">
        <f>IFERROR(
IF(AT797="",-100,
IF($BV$2&gt;0, INDEX(Beersheet!$A:$U,MATCH(AT797,INDEX(Beersheet!$A:$U,0,FFARawStatProjections!$BV$2),0),$BV$3)+$BN797,
INDEX($A797:$BM797,,$BV$12)*$BW$12+
INDEX($A797:$BM797,,$BV$15)*$BW$15+
INDEX($A797:$BM797,,$BV$16)*$BW$16+
INDEX($A797:$BM797,,$BV$17)*$BW$17+
INDEX($A797:$BM797,,$BV$18)*$BW$18+
INDEX($A797:$BM797,,$BV$19)*$BW$19+
INDEX($A797:$BM797,,$BV$20)*$BW$20+
INDEX($A797:$BM797,,$BV$21)*$BW$21+
INDEX($A797:$BM797,,$BV$22)*$BW$22+
INDEX($A797:$BM797,,$BV$23)*$BW$23+
INDEX($A797:$BM797,,$BV$25)*$BW$25+
INDEX($A797:$BM797,,$BV$26)*$BW$26+
INDEX($A797:$BM797,,$BV$27)*$BW$27+
$BN797)),
$BN797-100)</f>
        <v>-100</v>
      </c>
      <c r="AX797" t="str">
        <f t="shared" si="166"/>
        <v/>
      </c>
      <c r="AY797" t="str">
        <f t="shared" si="162"/>
        <v/>
      </c>
      <c r="AZ797" s="430">
        <f>IFERROR(
IF(AX797="",-100,
IF($BV$2&gt;0, INDEX(Beersheet!$A:$U,MATCH(AX797,INDEX(Beersheet!$A:$U,0,FFARawStatProjections!$BV$2),0),$BV$3)+$BN797,
INDEX($A797:$BM797,,$BV$12)*$BW$12+
INDEX($A797:$BM797,,$BV$15)*$BW$15+
INDEX($A797:$BM797,,$BV$16)*$BW$16+
INDEX($A797:$BM797,,$BV$17)*$BW$17+
INDEX($A797:$BM797,,$BV$18)*$BW$18+
INDEX($A797:$BM797,,$BV$19)*$BW$19+
INDEX($A797:$BM797,,$BV$20)*$BW$20+
INDEX($A797:$BM797,,$BV$21)*$BW$21+
INDEX($A797:$BM797,,$BV$22)*$BW$22+
INDEX($A797:$BM797,,$BV$23)*$BW$23+
INDEX($A797:$BM797,,$BV$25)*$BW$25+
INDEX($A797:$BM797,,$BV$26)*$BW$26+
INDEX($A797:$BM797,,$BV$27)*$BW$27+
$BN797)),
$BN797-100)</f>
        <v>-100</v>
      </c>
      <c r="BB797" t="str">
        <f t="shared" si="167"/>
        <v/>
      </c>
      <c r="BC797" t="str">
        <f t="shared" si="163"/>
        <v/>
      </c>
      <c r="BD797" s="430">
        <f>IFERROR(
IF(BB797="",-100,
IF($BV$2&gt;0, INDEX(Beersheet!$A:$U,MATCH(BB797,INDEX(Beersheet!$A:$U,0,FFARawStatProjections!$BV$2),0),$BV$3)+$BN797,
INDEX($A797:$BM797,,$BV$12)*$BW$12+
INDEX($A797:$BM797,,$BV$15)*$BW$15+
INDEX($A797:$BM797,,$BV$16)*$BW$16+
INDEX($A797:$BM797,,$BV$17)*$BW$17+
INDEX($A797:$BM797,,$BV$18)*$BW$18+
INDEX($A797:$BM797,,$BV$19)*$BW$19+
INDEX($A797:$BM797,,$BV$20)*$BW$20+
INDEX($A797:$BM797,,$BV$21)*$BW$21+
INDEX($A797:$BM797,,$BV$22)*$BW$22+
INDEX($A797:$BM797,,$BV$23)*$BW$23+
INDEX($A797:$BM797,,$BV$25)*$BW$25+
INDEX($A797:$BM797,,$BV$26)*$BW$26+
INDEX($A797:$BM797,,$BV$27)*$BW$27+
$BN797)),
$BN797-100)</f>
        <v>-100</v>
      </c>
      <c r="BF797" t="str">
        <f t="shared" si="168"/>
        <v>Kaimi Fairbairn</v>
      </c>
      <c r="BG797" t="str">
        <f t="shared" si="164"/>
        <v>HOU</v>
      </c>
      <c r="BH797">
        <f t="shared" si="169"/>
        <v>110.00796</v>
      </c>
      <c r="BJ797" t="str">
        <f t="shared" si="170"/>
        <v/>
      </c>
      <c r="BL797">
        <f t="shared" si="171"/>
        <v>0</v>
      </c>
      <c r="BN797">
        <v>7.9600000000000504E-3</v>
      </c>
    </row>
    <row r="798" spans="1:66" ht="15.75" thickBot="1" x14ac:dyDescent="0.3">
      <c r="A798" s="569" t="s">
        <v>2513</v>
      </c>
      <c r="B798" s="569" t="s">
        <v>157</v>
      </c>
      <c r="C798" s="569" t="s">
        <v>11</v>
      </c>
      <c r="D798" s="574">
        <v>11</v>
      </c>
      <c r="E798" s="569"/>
      <c r="F798" s="569"/>
      <c r="G798" s="569"/>
      <c r="H798" s="569"/>
      <c r="I798" s="574">
        <v>0</v>
      </c>
      <c r="J798" s="574">
        <v>0</v>
      </c>
      <c r="K798" s="574">
        <v>0</v>
      </c>
      <c r="L798" s="574">
        <v>0</v>
      </c>
      <c r="M798" s="574">
        <v>0</v>
      </c>
      <c r="N798" s="574">
        <v>0</v>
      </c>
      <c r="O798" s="574">
        <v>0</v>
      </c>
      <c r="P798" s="574">
        <v>0</v>
      </c>
      <c r="Q798" s="574">
        <v>0</v>
      </c>
      <c r="R798" s="569"/>
      <c r="S798" s="569"/>
      <c r="T798" s="569"/>
      <c r="U798" s="569"/>
      <c r="V798" s="569"/>
      <c r="W798" s="569"/>
      <c r="X798" s="569"/>
      <c r="Y798" s="569"/>
      <c r="Z798" s="569"/>
      <c r="AA798" s="569"/>
      <c r="AB798" s="569"/>
      <c r="AC798" s="569"/>
      <c r="AD798" s="569"/>
      <c r="AE798" s="569"/>
      <c r="AF798" s="569"/>
      <c r="AG798" s="569"/>
      <c r="AH798" s="569"/>
      <c r="AI798" s="569"/>
      <c r="AJ798" s="569"/>
      <c r="AK798" s="569"/>
      <c r="AL798" s="569"/>
      <c r="AM798" s="569"/>
      <c r="AN798" s="574">
        <v>107.2</v>
      </c>
      <c r="AO798">
        <v>797</v>
      </c>
      <c r="AP798" t="str">
        <f t="shared" si="159"/>
        <v/>
      </c>
      <c r="AQ798" t="str">
        <f t="shared" si="160"/>
        <v/>
      </c>
      <c r="AR798" s="430">
        <f>IFERROR(
IF(AP798="",-100,
IF($BV$2&gt;0, INDEX(Beersheet!$A:$U,MATCH(AP798,INDEX(Beersheet!$A:$U,0,FFARawStatProjections!$BV$2),0),$BV$3)+$BN798,
INDEX($A798:$BM798,,$BV$12)*$BW$12+
INDEX($A798:$BM798,,$BV$15)*$BW$15+
INDEX($A798:$BM798,,$BV$16)*$BW$16+
INDEX($A798:$BM798,,$BV$17)*$BW$17+
INDEX($A798:$BM798,,$BV$18)*$BW$18+
INDEX($A798:$BM798,,$BV$19)*$BW$19+
INDEX($A798:$BM798,,$BV$20)*$BW$20+
INDEX($A798:$BM798,,$BV$21)*$BW$21+
INDEX($A798:$BM798,,$BV$22)*$BW$22+
INDEX($A798:$BM798,,$BV$23)*$BW$23+
INDEX($A798:$BM798,,$BV$25)*$BW$25+
INDEX($A798:$BM798,,$BV$26)*$BW$26+
INDEX($A798:$BM798,,$BV$27)*$BW$27+
$BN798)),
$BN798-100)</f>
        <v>-100</v>
      </c>
      <c r="AT798" t="str">
        <f t="shared" si="165"/>
        <v/>
      </c>
      <c r="AU798" t="str">
        <f t="shared" si="161"/>
        <v/>
      </c>
      <c r="AV798" s="430">
        <f>IFERROR(
IF(AT798="",-100,
IF($BV$2&gt;0, INDEX(Beersheet!$A:$U,MATCH(AT798,INDEX(Beersheet!$A:$U,0,FFARawStatProjections!$BV$2),0),$BV$3)+$BN798,
INDEX($A798:$BM798,,$BV$12)*$BW$12+
INDEX($A798:$BM798,,$BV$15)*$BW$15+
INDEX($A798:$BM798,,$BV$16)*$BW$16+
INDEX($A798:$BM798,,$BV$17)*$BW$17+
INDEX($A798:$BM798,,$BV$18)*$BW$18+
INDEX($A798:$BM798,,$BV$19)*$BW$19+
INDEX($A798:$BM798,,$BV$20)*$BW$20+
INDEX($A798:$BM798,,$BV$21)*$BW$21+
INDEX($A798:$BM798,,$BV$22)*$BW$22+
INDEX($A798:$BM798,,$BV$23)*$BW$23+
INDEX($A798:$BM798,,$BV$25)*$BW$25+
INDEX($A798:$BM798,,$BV$26)*$BW$26+
INDEX($A798:$BM798,,$BV$27)*$BW$27+
$BN798)),
$BN798-100)</f>
        <v>-100</v>
      </c>
      <c r="AX798" t="str">
        <f t="shared" si="166"/>
        <v/>
      </c>
      <c r="AY798" t="str">
        <f t="shared" si="162"/>
        <v/>
      </c>
      <c r="AZ798" s="430">
        <f>IFERROR(
IF(AX798="",-100,
IF($BV$2&gt;0, INDEX(Beersheet!$A:$U,MATCH(AX798,INDEX(Beersheet!$A:$U,0,FFARawStatProjections!$BV$2),0),$BV$3)+$BN798,
INDEX($A798:$BM798,,$BV$12)*$BW$12+
INDEX($A798:$BM798,,$BV$15)*$BW$15+
INDEX($A798:$BM798,,$BV$16)*$BW$16+
INDEX($A798:$BM798,,$BV$17)*$BW$17+
INDEX($A798:$BM798,,$BV$18)*$BW$18+
INDEX($A798:$BM798,,$BV$19)*$BW$19+
INDEX($A798:$BM798,,$BV$20)*$BW$20+
INDEX($A798:$BM798,,$BV$21)*$BW$21+
INDEX($A798:$BM798,,$BV$22)*$BW$22+
INDEX($A798:$BM798,,$BV$23)*$BW$23+
INDEX($A798:$BM798,,$BV$25)*$BW$25+
INDEX($A798:$BM798,,$BV$26)*$BW$26+
INDEX($A798:$BM798,,$BV$27)*$BW$27+
$BN798)),
$BN798-100)</f>
        <v>-100</v>
      </c>
      <c r="BB798" t="str">
        <f t="shared" si="167"/>
        <v/>
      </c>
      <c r="BC798" t="str">
        <f t="shared" si="163"/>
        <v/>
      </c>
      <c r="BD798" s="430">
        <f>IFERROR(
IF(BB798="",-100,
IF($BV$2&gt;0, INDEX(Beersheet!$A:$U,MATCH(BB798,INDEX(Beersheet!$A:$U,0,FFARawStatProjections!$BV$2),0),$BV$3)+$BN798,
INDEX($A798:$BM798,,$BV$12)*$BW$12+
INDEX($A798:$BM798,,$BV$15)*$BW$15+
INDEX($A798:$BM798,,$BV$16)*$BW$16+
INDEX($A798:$BM798,,$BV$17)*$BW$17+
INDEX($A798:$BM798,,$BV$18)*$BW$18+
INDEX($A798:$BM798,,$BV$19)*$BW$19+
INDEX($A798:$BM798,,$BV$20)*$BW$20+
INDEX($A798:$BM798,,$BV$21)*$BW$21+
INDEX($A798:$BM798,,$BV$22)*$BW$22+
INDEX($A798:$BM798,,$BV$23)*$BW$23+
INDEX($A798:$BM798,,$BV$25)*$BW$25+
INDEX($A798:$BM798,,$BV$26)*$BW$26+
INDEX($A798:$BM798,,$BV$27)*$BW$27+
$BN798)),
$BN798-100)</f>
        <v>-100</v>
      </c>
      <c r="BF798" t="str">
        <f t="shared" si="168"/>
        <v>Chad Ryland</v>
      </c>
      <c r="BG798" t="str">
        <f t="shared" si="164"/>
        <v>NE</v>
      </c>
      <c r="BH798">
        <f t="shared" si="169"/>
        <v>107.20797</v>
      </c>
      <c r="BJ798" t="str">
        <f t="shared" si="170"/>
        <v/>
      </c>
      <c r="BL798">
        <f t="shared" si="171"/>
        <v>0</v>
      </c>
      <c r="BN798">
        <v>7.97000000000005E-3</v>
      </c>
    </row>
    <row r="799" spans="1:66" ht="15.75" thickBot="1" x14ac:dyDescent="0.3">
      <c r="A799" s="569" t="s">
        <v>2405</v>
      </c>
      <c r="B799" s="569" t="s">
        <v>1389</v>
      </c>
      <c r="C799" s="569" t="s">
        <v>11</v>
      </c>
      <c r="D799" s="574">
        <v>10</v>
      </c>
      <c r="E799" s="569"/>
      <c r="F799" s="569"/>
      <c r="G799" s="569"/>
      <c r="H799" s="569"/>
      <c r="I799" s="574">
        <v>0</v>
      </c>
      <c r="J799" s="574">
        <v>0</v>
      </c>
      <c r="K799" s="574">
        <v>0</v>
      </c>
      <c r="L799" s="574">
        <v>0</v>
      </c>
      <c r="M799" s="574">
        <v>0</v>
      </c>
      <c r="N799" s="574">
        <v>0</v>
      </c>
      <c r="O799" s="574">
        <v>0</v>
      </c>
      <c r="P799" s="574">
        <v>0</v>
      </c>
      <c r="Q799" s="574">
        <v>0</v>
      </c>
      <c r="R799" s="569"/>
      <c r="S799" s="569"/>
      <c r="T799" s="569"/>
      <c r="U799" s="569"/>
      <c r="V799" s="569"/>
      <c r="W799" s="569"/>
      <c r="X799" s="569"/>
      <c r="Y799" s="569"/>
      <c r="Z799" s="569"/>
      <c r="AA799" s="569"/>
      <c r="AB799" s="569"/>
      <c r="AC799" s="569"/>
      <c r="AD799" s="569"/>
      <c r="AE799" s="569"/>
      <c r="AF799" s="569"/>
      <c r="AG799" s="569"/>
      <c r="AH799" s="569"/>
      <c r="AI799" s="569"/>
      <c r="AJ799" s="569"/>
      <c r="AK799" s="569"/>
      <c r="AL799" s="569"/>
      <c r="AM799" s="569"/>
      <c r="AN799" s="574">
        <v>105.4</v>
      </c>
      <c r="AO799">
        <v>798</v>
      </c>
      <c r="AP799" t="str">
        <f t="shared" si="159"/>
        <v/>
      </c>
      <c r="AQ799" t="str">
        <f t="shared" si="160"/>
        <v/>
      </c>
      <c r="AR799" s="430">
        <f>IFERROR(
IF(AP799="",-100,
IF($BV$2&gt;0, INDEX(Beersheet!$A:$U,MATCH(AP799,INDEX(Beersheet!$A:$U,0,FFARawStatProjections!$BV$2),0),$BV$3)+$BN799,
INDEX($A799:$BM799,,$BV$12)*$BW$12+
INDEX($A799:$BM799,,$BV$15)*$BW$15+
INDEX($A799:$BM799,,$BV$16)*$BW$16+
INDEX($A799:$BM799,,$BV$17)*$BW$17+
INDEX($A799:$BM799,,$BV$18)*$BW$18+
INDEX($A799:$BM799,,$BV$19)*$BW$19+
INDEX($A799:$BM799,,$BV$20)*$BW$20+
INDEX($A799:$BM799,,$BV$21)*$BW$21+
INDEX($A799:$BM799,,$BV$22)*$BW$22+
INDEX($A799:$BM799,,$BV$23)*$BW$23+
INDEX($A799:$BM799,,$BV$25)*$BW$25+
INDEX($A799:$BM799,,$BV$26)*$BW$26+
INDEX($A799:$BM799,,$BV$27)*$BW$27+
$BN799)),
$BN799-100)</f>
        <v>-100</v>
      </c>
      <c r="AT799" t="str">
        <f t="shared" si="165"/>
        <v/>
      </c>
      <c r="AU799" t="str">
        <f t="shared" si="161"/>
        <v/>
      </c>
      <c r="AV799" s="430">
        <f>IFERROR(
IF(AT799="",-100,
IF($BV$2&gt;0, INDEX(Beersheet!$A:$U,MATCH(AT799,INDEX(Beersheet!$A:$U,0,FFARawStatProjections!$BV$2),0),$BV$3)+$BN799,
INDEX($A799:$BM799,,$BV$12)*$BW$12+
INDEX($A799:$BM799,,$BV$15)*$BW$15+
INDEX($A799:$BM799,,$BV$16)*$BW$16+
INDEX($A799:$BM799,,$BV$17)*$BW$17+
INDEX($A799:$BM799,,$BV$18)*$BW$18+
INDEX($A799:$BM799,,$BV$19)*$BW$19+
INDEX($A799:$BM799,,$BV$20)*$BW$20+
INDEX($A799:$BM799,,$BV$21)*$BW$21+
INDEX($A799:$BM799,,$BV$22)*$BW$22+
INDEX($A799:$BM799,,$BV$23)*$BW$23+
INDEX($A799:$BM799,,$BV$25)*$BW$25+
INDEX($A799:$BM799,,$BV$26)*$BW$26+
INDEX($A799:$BM799,,$BV$27)*$BW$27+
$BN799)),
$BN799-100)</f>
        <v>-100</v>
      </c>
      <c r="AX799" t="str">
        <f t="shared" si="166"/>
        <v/>
      </c>
      <c r="AY799" t="str">
        <f t="shared" si="162"/>
        <v/>
      </c>
      <c r="AZ799" s="430">
        <f>IFERROR(
IF(AX799="",-100,
IF($BV$2&gt;0, INDEX(Beersheet!$A:$U,MATCH(AX799,INDEX(Beersheet!$A:$U,0,FFARawStatProjections!$BV$2),0),$BV$3)+$BN799,
INDEX($A799:$BM799,,$BV$12)*$BW$12+
INDEX($A799:$BM799,,$BV$15)*$BW$15+
INDEX($A799:$BM799,,$BV$16)*$BW$16+
INDEX($A799:$BM799,,$BV$17)*$BW$17+
INDEX($A799:$BM799,,$BV$18)*$BW$18+
INDEX($A799:$BM799,,$BV$19)*$BW$19+
INDEX($A799:$BM799,,$BV$20)*$BW$20+
INDEX($A799:$BM799,,$BV$21)*$BW$21+
INDEX($A799:$BM799,,$BV$22)*$BW$22+
INDEX($A799:$BM799,,$BV$23)*$BW$23+
INDEX($A799:$BM799,,$BV$25)*$BW$25+
INDEX($A799:$BM799,,$BV$26)*$BW$26+
INDEX($A799:$BM799,,$BV$27)*$BW$27+
$BN799)),
$BN799-100)</f>
        <v>-100</v>
      </c>
      <c r="BB799" t="str">
        <f t="shared" si="167"/>
        <v/>
      </c>
      <c r="BC799" t="str">
        <f t="shared" si="163"/>
        <v/>
      </c>
      <c r="BD799" s="430">
        <f>IFERROR(
IF(BB799="",-100,
IF($BV$2&gt;0, INDEX(Beersheet!$A:$U,MATCH(BB799,INDEX(Beersheet!$A:$U,0,FFARawStatProjections!$BV$2),0),$BV$3)+$BN799,
INDEX($A799:$BM799,,$BV$12)*$BW$12+
INDEX($A799:$BM799,,$BV$15)*$BW$15+
INDEX($A799:$BM799,,$BV$16)*$BW$16+
INDEX($A799:$BM799,,$BV$17)*$BW$17+
INDEX($A799:$BM799,,$BV$18)*$BW$18+
INDEX($A799:$BM799,,$BV$19)*$BW$19+
INDEX($A799:$BM799,,$BV$20)*$BW$20+
INDEX($A799:$BM799,,$BV$21)*$BW$21+
INDEX($A799:$BM799,,$BV$22)*$BW$22+
INDEX($A799:$BM799,,$BV$23)*$BW$23+
INDEX($A799:$BM799,,$BV$25)*$BW$25+
INDEX($A799:$BM799,,$BV$26)*$BW$26+
INDEX($A799:$BM799,,$BV$27)*$BW$27+
$BN799)),
$BN799-100)</f>
        <v>-100</v>
      </c>
      <c r="BF799" t="str">
        <f t="shared" si="168"/>
        <v>Tanner Brown</v>
      </c>
      <c r="BG799" t="str">
        <f t="shared" si="164"/>
        <v>LAR</v>
      </c>
      <c r="BH799">
        <f t="shared" si="169"/>
        <v>105.40798000000001</v>
      </c>
      <c r="BJ799" t="str">
        <f t="shared" si="170"/>
        <v/>
      </c>
      <c r="BL799">
        <f t="shared" si="171"/>
        <v>0</v>
      </c>
      <c r="BN799">
        <v>7.9800000000000496E-3</v>
      </c>
    </row>
    <row r="800" spans="1:66" ht="15.75" thickBot="1" x14ac:dyDescent="0.3">
      <c r="A800" s="569" t="s">
        <v>2072</v>
      </c>
      <c r="B800" s="569" t="s">
        <v>152</v>
      </c>
      <c r="C800" s="569" t="s">
        <v>11</v>
      </c>
      <c r="D800" s="574">
        <v>14</v>
      </c>
      <c r="E800" s="569"/>
      <c r="F800" s="569"/>
      <c r="G800" s="569"/>
      <c r="H800" s="569"/>
      <c r="I800" s="574">
        <v>0</v>
      </c>
      <c r="J800" s="574">
        <v>0</v>
      </c>
      <c r="K800" s="574">
        <v>0</v>
      </c>
      <c r="L800" s="574">
        <v>0</v>
      </c>
      <c r="M800" s="574">
        <v>0</v>
      </c>
      <c r="N800" s="574">
        <v>0</v>
      </c>
      <c r="O800" s="574">
        <v>0</v>
      </c>
      <c r="P800" s="574">
        <v>0</v>
      </c>
      <c r="Q800" s="574">
        <v>0</v>
      </c>
      <c r="R800" s="569"/>
      <c r="S800" s="569"/>
      <c r="T800" s="569"/>
      <c r="U800" s="569"/>
      <c r="V800" s="569"/>
      <c r="W800" s="569"/>
      <c r="X800" s="569"/>
      <c r="Y800" s="569"/>
      <c r="Z800" s="569"/>
      <c r="AA800" s="569"/>
      <c r="AB800" s="569"/>
      <c r="AC800" s="569"/>
      <c r="AD800" s="569"/>
      <c r="AE800" s="569"/>
      <c r="AF800" s="569"/>
      <c r="AG800" s="569"/>
      <c r="AH800" s="569"/>
      <c r="AI800" s="569"/>
      <c r="AJ800" s="569"/>
      <c r="AK800" s="569"/>
      <c r="AL800" s="569"/>
      <c r="AM800" s="569"/>
      <c r="AN800" s="574">
        <v>105</v>
      </c>
      <c r="AO800">
        <v>799</v>
      </c>
      <c r="AP800" t="str">
        <f t="shared" si="159"/>
        <v/>
      </c>
      <c r="AQ800" t="str">
        <f t="shared" si="160"/>
        <v/>
      </c>
      <c r="AR800" s="430">
        <f>IFERROR(
IF(AP800="",-100,
IF($BV$2&gt;0, INDEX(Beersheet!$A:$U,MATCH(AP800,INDEX(Beersheet!$A:$U,0,FFARawStatProjections!$BV$2),0),$BV$3)+$BN800,
INDEX($A800:$BM800,,$BV$12)*$BW$12+
INDEX($A800:$BM800,,$BV$15)*$BW$15+
INDEX($A800:$BM800,,$BV$16)*$BW$16+
INDEX($A800:$BM800,,$BV$17)*$BW$17+
INDEX($A800:$BM800,,$BV$18)*$BW$18+
INDEX($A800:$BM800,,$BV$19)*$BW$19+
INDEX($A800:$BM800,,$BV$20)*$BW$20+
INDEX($A800:$BM800,,$BV$21)*$BW$21+
INDEX($A800:$BM800,,$BV$22)*$BW$22+
INDEX($A800:$BM800,,$BV$23)*$BW$23+
INDEX($A800:$BM800,,$BV$25)*$BW$25+
INDEX($A800:$BM800,,$BV$26)*$BW$26+
INDEX($A800:$BM800,,$BV$27)*$BW$27+
$BN800)),
$BN800-100)</f>
        <v>-100</v>
      </c>
      <c r="AT800" t="str">
        <f t="shared" si="165"/>
        <v/>
      </c>
      <c r="AU800" t="str">
        <f t="shared" si="161"/>
        <v/>
      </c>
      <c r="AV800" s="430">
        <f>IFERROR(
IF(AT800="",-100,
IF($BV$2&gt;0, INDEX(Beersheet!$A:$U,MATCH(AT800,INDEX(Beersheet!$A:$U,0,FFARawStatProjections!$BV$2),0),$BV$3)+$BN800,
INDEX($A800:$BM800,,$BV$12)*$BW$12+
INDEX($A800:$BM800,,$BV$15)*$BW$15+
INDEX($A800:$BM800,,$BV$16)*$BW$16+
INDEX($A800:$BM800,,$BV$17)*$BW$17+
INDEX($A800:$BM800,,$BV$18)*$BW$18+
INDEX($A800:$BM800,,$BV$19)*$BW$19+
INDEX($A800:$BM800,,$BV$20)*$BW$20+
INDEX($A800:$BM800,,$BV$21)*$BW$21+
INDEX($A800:$BM800,,$BV$22)*$BW$22+
INDEX($A800:$BM800,,$BV$23)*$BW$23+
INDEX($A800:$BM800,,$BV$25)*$BW$25+
INDEX($A800:$BM800,,$BV$26)*$BW$26+
INDEX($A800:$BM800,,$BV$27)*$BW$27+
$BN800)),
$BN800-100)</f>
        <v>-100</v>
      </c>
      <c r="AX800" t="str">
        <f t="shared" si="166"/>
        <v/>
      </c>
      <c r="AY800" t="str">
        <f t="shared" si="162"/>
        <v/>
      </c>
      <c r="AZ800" s="430">
        <f>IFERROR(
IF(AX800="",-100,
IF($BV$2&gt;0, INDEX(Beersheet!$A:$U,MATCH(AX800,INDEX(Beersheet!$A:$U,0,FFARawStatProjections!$BV$2),0),$BV$3)+$BN800,
INDEX($A800:$BM800,,$BV$12)*$BW$12+
INDEX($A800:$BM800,,$BV$15)*$BW$15+
INDEX($A800:$BM800,,$BV$16)*$BW$16+
INDEX($A800:$BM800,,$BV$17)*$BW$17+
INDEX($A800:$BM800,,$BV$18)*$BW$18+
INDEX($A800:$BM800,,$BV$19)*$BW$19+
INDEX($A800:$BM800,,$BV$20)*$BW$20+
INDEX($A800:$BM800,,$BV$21)*$BW$21+
INDEX($A800:$BM800,,$BV$22)*$BW$22+
INDEX($A800:$BM800,,$BV$23)*$BW$23+
INDEX($A800:$BM800,,$BV$25)*$BW$25+
INDEX($A800:$BM800,,$BV$26)*$BW$26+
INDEX($A800:$BM800,,$BV$27)*$BW$27+
$BN800)),
$BN800-100)</f>
        <v>-100</v>
      </c>
      <c r="BB800" t="str">
        <f t="shared" si="167"/>
        <v/>
      </c>
      <c r="BC800" t="str">
        <f t="shared" si="163"/>
        <v/>
      </c>
      <c r="BD800" s="430">
        <f>IFERROR(
IF(BB800="",-100,
IF($BV$2&gt;0, INDEX(Beersheet!$A:$U,MATCH(BB800,INDEX(Beersheet!$A:$U,0,FFARawStatProjections!$BV$2),0),$BV$3)+$BN800,
INDEX($A800:$BM800,,$BV$12)*$BW$12+
INDEX($A800:$BM800,,$BV$15)*$BW$15+
INDEX($A800:$BM800,,$BV$16)*$BW$16+
INDEX($A800:$BM800,,$BV$17)*$BW$17+
INDEX($A800:$BM800,,$BV$18)*$BW$18+
INDEX($A800:$BM800,,$BV$19)*$BW$19+
INDEX($A800:$BM800,,$BV$20)*$BW$20+
INDEX($A800:$BM800,,$BV$21)*$BW$21+
INDEX($A800:$BM800,,$BV$22)*$BW$22+
INDEX($A800:$BM800,,$BV$23)*$BW$23+
INDEX($A800:$BM800,,$BV$25)*$BW$25+
INDEX($A800:$BM800,,$BV$26)*$BW$26+
INDEX($A800:$BM800,,$BV$27)*$BW$27+
$BN800)),
$BN800-100)</f>
        <v>-100</v>
      </c>
      <c r="BF800" t="str">
        <f t="shared" si="168"/>
        <v>Joey Slye</v>
      </c>
      <c r="BG800" t="str">
        <f t="shared" si="164"/>
        <v>WAS</v>
      </c>
      <c r="BH800">
        <f t="shared" si="169"/>
        <v>105.00799000000001</v>
      </c>
      <c r="BJ800" t="str">
        <f t="shared" si="170"/>
        <v/>
      </c>
      <c r="BL800">
        <f t="shared" si="171"/>
        <v>0</v>
      </c>
      <c r="BN800">
        <v>7.9900000000000491E-3</v>
      </c>
    </row>
    <row r="801" spans="1:66" ht="15.75" thickBot="1" x14ac:dyDescent="0.3">
      <c r="A801" s="569" t="s">
        <v>2517</v>
      </c>
      <c r="B801" s="569" t="s">
        <v>163</v>
      </c>
      <c r="C801" s="569" t="s">
        <v>11</v>
      </c>
      <c r="D801" s="574">
        <v>7</v>
      </c>
      <c r="E801" s="569"/>
      <c r="F801" s="569"/>
      <c r="G801" s="569"/>
      <c r="H801" s="569"/>
      <c r="I801" s="574">
        <v>0</v>
      </c>
      <c r="J801" s="574">
        <v>0</v>
      </c>
      <c r="K801" s="574">
        <v>0</v>
      </c>
      <c r="L801" s="574">
        <v>0</v>
      </c>
      <c r="M801" s="574">
        <v>0</v>
      </c>
      <c r="N801" s="574">
        <v>0</v>
      </c>
      <c r="O801" s="574">
        <v>0</v>
      </c>
      <c r="P801" s="574">
        <v>0</v>
      </c>
      <c r="Q801" s="574">
        <v>0</v>
      </c>
      <c r="R801" s="569"/>
      <c r="S801" s="569"/>
      <c r="T801" s="569"/>
      <c r="U801" s="569"/>
      <c r="V801" s="569"/>
      <c r="W801" s="569"/>
      <c r="X801" s="569"/>
      <c r="Y801" s="569"/>
      <c r="Z801" s="569"/>
      <c r="AA801" s="569"/>
      <c r="AB801" s="569"/>
      <c r="AC801" s="569"/>
      <c r="AD801" s="569"/>
      <c r="AE801" s="569"/>
      <c r="AF801" s="569"/>
      <c r="AG801" s="569"/>
      <c r="AH801" s="569"/>
      <c r="AI801" s="569"/>
      <c r="AJ801" s="569"/>
      <c r="AK801" s="569"/>
      <c r="AL801" s="569"/>
      <c r="AM801" s="569"/>
      <c r="AN801" s="574">
        <v>82.8</v>
      </c>
      <c r="AO801">
        <v>800</v>
      </c>
      <c r="AP801" t="str">
        <f t="shared" si="159"/>
        <v/>
      </c>
      <c r="AQ801" t="str">
        <f t="shared" si="160"/>
        <v/>
      </c>
      <c r="AR801" s="430">
        <f>IFERROR(
IF(AP801="",-100,
IF($BV$2&gt;0, INDEX(Beersheet!$A:$U,MATCH(AP801,INDEX(Beersheet!$A:$U,0,FFARawStatProjections!$BV$2),0),$BV$3)+$BN801,
INDEX($A801:$BM801,,$BV$12)*$BW$12+
INDEX($A801:$BM801,,$BV$15)*$BW$15+
INDEX($A801:$BM801,,$BV$16)*$BW$16+
INDEX($A801:$BM801,,$BV$17)*$BW$17+
INDEX($A801:$BM801,,$BV$18)*$BW$18+
INDEX($A801:$BM801,,$BV$19)*$BW$19+
INDEX($A801:$BM801,,$BV$20)*$BW$20+
INDEX($A801:$BM801,,$BV$21)*$BW$21+
INDEX($A801:$BM801,,$BV$22)*$BW$22+
INDEX($A801:$BM801,,$BV$23)*$BW$23+
INDEX($A801:$BM801,,$BV$25)*$BW$25+
INDEX($A801:$BM801,,$BV$26)*$BW$26+
INDEX($A801:$BM801,,$BV$27)*$BW$27+
$BN801)),
$BN801-100)</f>
        <v>-100</v>
      </c>
      <c r="AT801" t="str">
        <f t="shared" si="165"/>
        <v/>
      </c>
      <c r="AU801" t="str">
        <f t="shared" si="161"/>
        <v/>
      </c>
      <c r="AV801" s="430">
        <f>IFERROR(
IF(AT801="",-100,
IF($BV$2&gt;0, INDEX(Beersheet!$A:$U,MATCH(AT801,INDEX(Beersheet!$A:$U,0,FFARawStatProjections!$BV$2),0),$BV$3)+$BN801,
INDEX($A801:$BM801,,$BV$12)*$BW$12+
INDEX($A801:$BM801,,$BV$15)*$BW$15+
INDEX($A801:$BM801,,$BV$16)*$BW$16+
INDEX($A801:$BM801,,$BV$17)*$BW$17+
INDEX($A801:$BM801,,$BV$18)*$BW$18+
INDEX($A801:$BM801,,$BV$19)*$BW$19+
INDEX($A801:$BM801,,$BV$20)*$BW$20+
INDEX($A801:$BM801,,$BV$21)*$BW$21+
INDEX($A801:$BM801,,$BV$22)*$BW$22+
INDEX($A801:$BM801,,$BV$23)*$BW$23+
INDEX($A801:$BM801,,$BV$25)*$BW$25+
INDEX($A801:$BM801,,$BV$26)*$BW$26+
INDEX($A801:$BM801,,$BV$27)*$BW$27+
$BN801)),
$BN801-100)</f>
        <v>-100</v>
      </c>
      <c r="AX801" t="str">
        <f t="shared" si="166"/>
        <v/>
      </c>
      <c r="AY801" t="str">
        <f t="shared" si="162"/>
        <v/>
      </c>
      <c r="AZ801" s="430">
        <f>IFERROR(
IF(AX801="",-100,
IF($BV$2&gt;0, INDEX(Beersheet!$A:$U,MATCH(AX801,INDEX(Beersheet!$A:$U,0,FFARawStatProjections!$BV$2),0),$BV$3)+$BN801,
INDEX($A801:$BM801,,$BV$12)*$BW$12+
INDEX($A801:$BM801,,$BV$15)*$BW$15+
INDEX($A801:$BM801,,$BV$16)*$BW$16+
INDEX($A801:$BM801,,$BV$17)*$BW$17+
INDEX($A801:$BM801,,$BV$18)*$BW$18+
INDEX($A801:$BM801,,$BV$19)*$BW$19+
INDEX($A801:$BM801,,$BV$20)*$BW$20+
INDEX($A801:$BM801,,$BV$21)*$BW$21+
INDEX($A801:$BM801,,$BV$22)*$BW$22+
INDEX($A801:$BM801,,$BV$23)*$BW$23+
INDEX($A801:$BM801,,$BV$25)*$BW$25+
INDEX($A801:$BM801,,$BV$26)*$BW$26+
INDEX($A801:$BM801,,$BV$27)*$BW$27+
$BN801)),
$BN801-100)</f>
        <v>-100</v>
      </c>
      <c r="BB801" t="str">
        <f t="shared" si="167"/>
        <v/>
      </c>
      <c r="BC801" t="str">
        <f t="shared" si="163"/>
        <v/>
      </c>
      <c r="BD801" s="430">
        <f>IFERROR(
IF(BB801="",-100,
IF($BV$2&gt;0, INDEX(Beersheet!$A:$U,MATCH(BB801,INDEX(Beersheet!$A:$U,0,FFARawStatProjections!$BV$2),0),$BV$3)+$BN801,
INDEX($A801:$BM801,,$BV$12)*$BW$12+
INDEX($A801:$BM801,,$BV$15)*$BW$15+
INDEX($A801:$BM801,,$BV$16)*$BW$16+
INDEX($A801:$BM801,,$BV$17)*$BW$17+
INDEX($A801:$BM801,,$BV$18)*$BW$18+
INDEX($A801:$BM801,,$BV$19)*$BW$19+
INDEX($A801:$BM801,,$BV$20)*$BW$20+
INDEX($A801:$BM801,,$BV$21)*$BW$21+
INDEX($A801:$BM801,,$BV$22)*$BW$22+
INDEX($A801:$BM801,,$BV$23)*$BW$23+
INDEX($A801:$BM801,,$BV$25)*$BW$25+
INDEX($A801:$BM801,,$BV$26)*$BW$26+
INDEX($A801:$BM801,,$BV$27)*$BW$27+
$BN801)),
$BN801-100)</f>
        <v>-100</v>
      </c>
      <c r="BF801" t="str">
        <f t="shared" si="168"/>
        <v>Caleb Shudak</v>
      </c>
      <c r="BG801" t="str">
        <f t="shared" si="164"/>
        <v>TEN</v>
      </c>
      <c r="BH801">
        <f t="shared" si="169"/>
        <v>82.807999999999993</v>
      </c>
      <c r="BJ801" t="str">
        <f t="shared" si="170"/>
        <v/>
      </c>
      <c r="BL801">
        <f t="shared" si="171"/>
        <v>0</v>
      </c>
      <c r="BN801">
        <v>8.0000000000000505E-3</v>
      </c>
    </row>
    <row r="802" spans="1:66" ht="15.75" thickBot="1" x14ac:dyDescent="0.3">
      <c r="A802" s="569"/>
      <c r="B802" s="569"/>
      <c r="C802" s="569" t="s">
        <v>11</v>
      </c>
      <c r="D802" s="574"/>
      <c r="E802" s="569"/>
      <c r="F802" s="569"/>
      <c r="G802" s="569"/>
      <c r="H802" s="569"/>
      <c r="I802" s="574">
        <v>0</v>
      </c>
      <c r="J802" s="574">
        <v>0</v>
      </c>
      <c r="K802" s="574">
        <v>0</v>
      </c>
      <c r="L802" s="574">
        <v>0</v>
      </c>
      <c r="M802" s="574">
        <v>0</v>
      </c>
      <c r="N802" s="574">
        <v>0</v>
      </c>
      <c r="O802" s="574">
        <v>0</v>
      </c>
      <c r="P802" s="574">
        <v>0</v>
      </c>
      <c r="Q802" s="574">
        <v>0</v>
      </c>
      <c r="R802" s="569"/>
      <c r="S802" s="569"/>
      <c r="T802" s="569"/>
      <c r="U802" s="569"/>
      <c r="V802" s="569"/>
      <c r="W802" s="569"/>
      <c r="X802" s="569"/>
      <c r="Y802" s="569"/>
      <c r="Z802" s="569"/>
      <c r="AA802" s="569"/>
      <c r="AB802" s="569"/>
      <c r="AC802" s="569"/>
      <c r="AD802" s="569"/>
      <c r="AE802" s="569"/>
      <c r="AF802" s="569"/>
      <c r="AG802" s="569"/>
      <c r="AH802" s="569"/>
      <c r="AI802" s="569"/>
      <c r="AJ802" s="569"/>
      <c r="AK802" s="569"/>
      <c r="AL802" s="569"/>
      <c r="AM802" s="569"/>
      <c r="AN802" s="574"/>
      <c r="AO802">
        <v>801</v>
      </c>
      <c r="AP802" t="str">
        <f t="shared" si="159"/>
        <v/>
      </c>
      <c r="AQ802" t="str">
        <f t="shared" si="160"/>
        <v/>
      </c>
      <c r="AR802" s="430">
        <f>IFERROR(
IF(AP802="",-100,
IF($BV$2&gt;0, INDEX(Beersheet!$A:$U,MATCH(AP802,INDEX(Beersheet!$A:$U,0,FFARawStatProjections!$BV$2),0),$BV$3)+$BN802,
INDEX($A802:$BM802,,$BV$12)*$BW$12+
INDEX($A802:$BM802,,$BV$15)*$BW$15+
INDEX($A802:$BM802,,$BV$16)*$BW$16+
INDEX($A802:$BM802,,$BV$17)*$BW$17+
INDEX($A802:$BM802,,$BV$18)*$BW$18+
INDEX($A802:$BM802,,$BV$19)*$BW$19+
INDEX($A802:$BM802,,$BV$20)*$BW$20+
INDEX($A802:$BM802,,$BV$21)*$BW$21+
INDEX($A802:$BM802,,$BV$22)*$BW$22+
INDEX($A802:$BM802,,$BV$23)*$BW$23+
INDEX($A802:$BM802,,$BV$25)*$BW$25+
INDEX($A802:$BM802,,$BV$26)*$BW$26+
INDEX($A802:$BM802,,$BV$27)*$BW$27+
$BN802)),
$BN802-100)</f>
        <v>-100</v>
      </c>
      <c r="AT802" t="str">
        <f t="shared" si="165"/>
        <v/>
      </c>
      <c r="AU802" t="str">
        <f t="shared" si="161"/>
        <v/>
      </c>
      <c r="AV802" s="430">
        <f>IFERROR(
IF(AT802="",-100,
IF($BV$2&gt;0, INDEX(Beersheet!$A:$U,MATCH(AT802,INDEX(Beersheet!$A:$U,0,FFARawStatProjections!$BV$2),0),$BV$3)+$BN802,
INDEX($A802:$BM802,,$BV$12)*$BW$12+
INDEX($A802:$BM802,,$BV$15)*$BW$15+
INDEX($A802:$BM802,,$BV$16)*$BW$16+
INDEX($A802:$BM802,,$BV$17)*$BW$17+
INDEX($A802:$BM802,,$BV$18)*$BW$18+
INDEX($A802:$BM802,,$BV$19)*$BW$19+
INDEX($A802:$BM802,,$BV$20)*$BW$20+
INDEX($A802:$BM802,,$BV$21)*$BW$21+
INDEX($A802:$BM802,,$BV$22)*$BW$22+
INDEX($A802:$BM802,,$BV$23)*$BW$23+
INDEX($A802:$BM802,,$BV$25)*$BW$25+
INDEX($A802:$BM802,,$BV$26)*$BW$26+
INDEX($A802:$BM802,,$BV$27)*$BW$27+
$BN802)),
$BN802-100)</f>
        <v>-100</v>
      </c>
      <c r="AX802" t="str">
        <f t="shared" si="166"/>
        <v/>
      </c>
      <c r="AY802" t="str">
        <f t="shared" si="162"/>
        <v/>
      </c>
      <c r="AZ802" s="430">
        <f>IFERROR(
IF(AX802="",-100,
IF($BV$2&gt;0, INDEX(Beersheet!$A:$U,MATCH(AX802,INDEX(Beersheet!$A:$U,0,FFARawStatProjections!$BV$2),0),$BV$3)+$BN802,
INDEX($A802:$BM802,,$BV$12)*$BW$12+
INDEX($A802:$BM802,,$BV$15)*$BW$15+
INDEX($A802:$BM802,,$BV$16)*$BW$16+
INDEX($A802:$BM802,,$BV$17)*$BW$17+
INDEX($A802:$BM802,,$BV$18)*$BW$18+
INDEX($A802:$BM802,,$BV$19)*$BW$19+
INDEX($A802:$BM802,,$BV$20)*$BW$20+
INDEX($A802:$BM802,,$BV$21)*$BW$21+
INDEX($A802:$BM802,,$BV$22)*$BW$22+
INDEX($A802:$BM802,,$BV$23)*$BW$23+
INDEX($A802:$BM802,,$BV$25)*$BW$25+
INDEX($A802:$BM802,,$BV$26)*$BW$26+
INDEX($A802:$BM802,,$BV$27)*$BW$27+
$BN802)),
$BN802-100)</f>
        <v>-100</v>
      </c>
      <c r="BB802" t="str">
        <f t="shared" si="167"/>
        <v/>
      </c>
      <c r="BC802" t="str">
        <f t="shared" si="163"/>
        <v/>
      </c>
      <c r="BD802" s="430">
        <f>IFERROR(
IF(BB802="",-100,
IF($BV$2&gt;0, INDEX(Beersheet!$A:$U,MATCH(BB802,INDEX(Beersheet!$A:$U,0,FFARawStatProjections!$BV$2),0),$BV$3)+$BN802,
INDEX($A802:$BM802,,$BV$12)*$BW$12+
INDEX($A802:$BM802,,$BV$15)*$BW$15+
INDEX($A802:$BM802,,$BV$16)*$BW$16+
INDEX($A802:$BM802,,$BV$17)*$BW$17+
INDEX($A802:$BM802,,$BV$18)*$BW$18+
INDEX($A802:$BM802,,$BV$19)*$BW$19+
INDEX($A802:$BM802,,$BV$20)*$BW$20+
INDEX($A802:$BM802,,$BV$21)*$BW$21+
INDEX($A802:$BM802,,$BV$22)*$BW$22+
INDEX($A802:$BM802,,$BV$23)*$BW$23+
INDEX($A802:$BM802,,$BV$25)*$BW$25+
INDEX($A802:$BM802,,$BV$26)*$BW$26+
INDEX($A802:$BM802,,$BV$27)*$BW$27+
$BN802)),
$BN802-100)</f>
        <v>-100</v>
      </c>
      <c r="BF802">
        <f t="shared" si="168"/>
        <v>0</v>
      </c>
      <c r="BG802">
        <f t="shared" si="164"/>
        <v>0</v>
      </c>
      <c r="BH802">
        <f t="shared" si="169"/>
        <v>8.0100000000000501E-3</v>
      </c>
      <c r="BJ802" t="str">
        <f t="shared" si="170"/>
        <v/>
      </c>
      <c r="BL802">
        <f t="shared" si="171"/>
        <v>0</v>
      </c>
      <c r="BN802">
        <v>8.0100000000000501E-3</v>
      </c>
    </row>
    <row r="803" spans="1:66" ht="15.75" thickBot="1" x14ac:dyDescent="0.3">
      <c r="A803" s="569"/>
      <c r="B803" s="569"/>
      <c r="C803" s="569" t="s">
        <v>11</v>
      </c>
      <c r="D803" s="569"/>
      <c r="E803" s="569"/>
      <c r="F803" s="569"/>
      <c r="G803" s="569"/>
      <c r="H803" s="569"/>
      <c r="I803" s="574">
        <v>0</v>
      </c>
      <c r="J803" s="574">
        <v>0</v>
      </c>
      <c r="K803" s="574">
        <v>0</v>
      </c>
      <c r="L803" s="574">
        <v>0</v>
      </c>
      <c r="M803" s="574">
        <v>0</v>
      </c>
      <c r="N803" s="574">
        <v>0</v>
      </c>
      <c r="O803" s="574">
        <v>0</v>
      </c>
      <c r="P803" s="574">
        <v>0</v>
      </c>
      <c r="Q803" s="574">
        <v>0</v>
      </c>
      <c r="R803" s="569"/>
      <c r="S803" s="569"/>
      <c r="T803" s="569"/>
      <c r="U803" s="569"/>
      <c r="V803" s="569"/>
      <c r="W803" s="569"/>
      <c r="X803" s="569"/>
      <c r="Y803" s="569"/>
      <c r="Z803" s="569"/>
      <c r="AA803" s="569"/>
      <c r="AB803" s="569"/>
      <c r="AC803" s="569"/>
      <c r="AD803" s="569"/>
      <c r="AE803" s="569"/>
      <c r="AF803" s="569"/>
      <c r="AG803" s="569"/>
      <c r="AH803" s="569"/>
      <c r="AI803" s="569"/>
      <c r="AJ803" s="569"/>
      <c r="AK803" s="569"/>
      <c r="AL803" s="569"/>
      <c r="AM803" s="569"/>
      <c r="AN803" s="569"/>
      <c r="AO803">
        <v>802</v>
      </c>
      <c r="AP803" t="str">
        <f t="shared" si="159"/>
        <v/>
      </c>
      <c r="AQ803" t="str">
        <f t="shared" si="160"/>
        <v/>
      </c>
      <c r="AR803" s="430">
        <f>IFERROR(
IF(AP803="",-100,
IF($BV$2&gt;0, INDEX(Beersheet!$A:$U,MATCH(AP803,INDEX(Beersheet!$A:$U,0,FFARawStatProjections!$BV$2),0),$BV$3)+$BN803,
INDEX($A803:$BM803,,$BV$12)*$BW$12+
INDEX($A803:$BM803,,$BV$15)*$BW$15+
INDEX($A803:$BM803,,$BV$16)*$BW$16+
INDEX($A803:$BM803,,$BV$17)*$BW$17+
INDEX($A803:$BM803,,$BV$18)*$BW$18+
INDEX($A803:$BM803,,$BV$19)*$BW$19+
INDEX($A803:$BM803,,$BV$20)*$BW$20+
INDEX($A803:$BM803,,$BV$21)*$BW$21+
INDEX($A803:$BM803,,$BV$22)*$BW$22+
INDEX($A803:$BM803,,$BV$23)*$BW$23+
INDEX($A803:$BM803,,$BV$25)*$BW$25+
INDEX($A803:$BM803,,$BV$26)*$BW$26+
INDEX($A803:$BM803,,$BV$27)*$BW$27+
$BN803)),
$BN803-100)</f>
        <v>-100</v>
      </c>
      <c r="AT803" t="str">
        <f t="shared" si="165"/>
        <v/>
      </c>
      <c r="AU803" t="str">
        <f t="shared" si="161"/>
        <v/>
      </c>
      <c r="AV803" s="430">
        <f>IFERROR(
IF(AT803="",-100,
IF($BV$2&gt;0, INDEX(Beersheet!$A:$U,MATCH(AT803,INDEX(Beersheet!$A:$U,0,FFARawStatProjections!$BV$2),0),$BV$3)+$BN803,
INDEX($A803:$BM803,,$BV$12)*$BW$12+
INDEX($A803:$BM803,,$BV$15)*$BW$15+
INDEX($A803:$BM803,,$BV$16)*$BW$16+
INDEX($A803:$BM803,,$BV$17)*$BW$17+
INDEX($A803:$BM803,,$BV$18)*$BW$18+
INDEX($A803:$BM803,,$BV$19)*$BW$19+
INDEX($A803:$BM803,,$BV$20)*$BW$20+
INDEX($A803:$BM803,,$BV$21)*$BW$21+
INDEX($A803:$BM803,,$BV$22)*$BW$22+
INDEX($A803:$BM803,,$BV$23)*$BW$23+
INDEX($A803:$BM803,,$BV$25)*$BW$25+
INDEX($A803:$BM803,,$BV$26)*$BW$26+
INDEX($A803:$BM803,,$BV$27)*$BW$27+
$BN803)),
$BN803-100)</f>
        <v>-100</v>
      </c>
      <c r="AX803" t="str">
        <f t="shared" si="166"/>
        <v/>
      </c>
      <c r="AY803" t="str">
        <f t="shared" si="162"/>
        <v/>
      </c>
      <c r="AZ803" s="430">
        <f>IFERROR(
IF(AX803="",-100,
IF($BV$2&gt;0, INDEX(Beersheet!$A:$U,MATCH(AX803,INDEX(Beersheet!$A:$U,0,FFARawStatProjections!$BV$2),0),$BV$3)+$BN803,
INDEX($A803:$BM803,,$BV$12)*$BW$12+
INDEX($A803:$BM803,,$BV$15)*$BW$15+
INDEX($A803:$BM803,,$BV$16)*$BW$16+
INDEX($A803:$BM803,,$BV$17)*$BW$17+
INDEX($A803:$BM803,,$BV$18)*$BW$18+
INDEX($A803:$BM803,,$BV$19)*$BW$19+
INDEX($A803:$BM803,,$BV$20)*$BW$20+
INDEX($A803:$BM803,,$BV$21)*$BW$21+
INDEX($A803:$BM803,,$BV$22)*$BW$22+
INDEX($A803:$BM803,,$BV$23)*$BW$23+
INDEX($A803:$BM803,,$BV$25)*$BW$25+
INDEX($A803:$BM803,,$BV$26)*$BW$26+
INDEX($A803:$BM803,,$BV$27)*$BW$27+
$BN803)),
$BN803-100)</f>
        <v>-100</v>
      </c>
      <c r="BB803" t="str">
        <f t="shared" si="167"/>
        <v/>
      </c>
      <c r="BC803" t="str">
        <f t="shared" si="163"/>
        <v/>
      </c>
      <c r="BD803" s="430">
        <f>IFERROR(
IF(BB803="",-100,
IF($BV$2&gt;0, INDEX(Beersheet!$A:$U,MATCH(BB803,INDEX(Beersheet!$A:$U,0,FFARawStatProjections!$BV$2),0),$BV$3)+$BN803,
INDEX($A803:$BM803,,$BV$12)*$BW$12+
INDEX($A803:$BM803,,$BV$15)*$BW$15+
INDEX($A803:$BM803,,$BV$16)*$BW$16+
INDEX($A803:$BM803,,$BV$17)*$BW$17+
INDEX($A803:$BM803,,$BV$18)*$BW$18+
INDEX($A803:$BM803,,$BV$19)*$BW$19+
INDEX($A803:$BM803,,$BV$20)*$BW$20+
INDEX($A803:$BM803,,$BV$21)*$BW$21+
INDEX($A803:$BM803,,$BV$22)*$BW$22+
INDEX($A803:$BM803,,$BV$23)*$BW$23+
INDEX($A803:$BM803,,$BV$25)*$BW$25+
INDEX($A803:$BM803,,$BV$26)*$BW$26+
INDEX($A803:$BM803,,$BV$27)*$BW$27+
$BN803)),
$BN803-100)</f>
        <v>-100</v>
      </c>
      <c r="BF803">
        <f t="shared" si="168"/>
        <v>0</v>
      </c>
      <c r="BG803">
        <f t="shared" si="164"/>
        <v>0</v>
      </c>
      <c r="BH803">
        <f t="shared" si="169"/>
        <v>8.0200000000000497E-3</v>
      </c>
      <c r="BJ803" t="str">
        <f t="shared" si="170"/>
        <v/>
      </c>
      <c r="BL803">
        <f t="shared" si="171"/>
        <v>0</v>
      </c>
      <c r="BN803">
        <v>8.0200000000000497E-3</v>
      </c>
    </row>
    <row r="804" spans="1:66" ht="15.75" thickBot="1" x14ac:dyDescent="0.3">
      <c r="A804" s="569"/>
      <c r="B804" s="569"/>
      <c r="C804" s="569"/>
      <c r="D804" s="569"/>
      <c r="E804" s="569"/>
      <c r="F804" s="569"/>
      <c r="G804" s="569"/>
      <c r="H804" s="569"/>
      <c r="I804" s="574">
        <v>0</v>
      </c>
      <c r="J804" s="574">
        <v>0</v>
      </c>
      <c r="K804" s="574">
        <v>0</v>
      </c>
      <c r="L804" s="574">
        <v>0</v>
      </c>
      <c r="M804" s="574">
        <v>0</v>
      </c>
      <c r="N804" s="574">
        <v>0</v>
      </c>
      <c r="O804" s="574">
        <v>0</v>
      </c>
      <c r="P804" s="574">
        <v>0</v>
      </c>
      <c r="Q804" s="574">
        <v>0</v>
      </c>
      <c r="R804" s="569"/>
      <c r="S804" s="569"/>
      <c r="T804" s="569"/>
      <c r="U804" s="569"/>
      <c r="V804" s="569"/>
      <c r="W804" s="569"/>
      <c r="X804" s="569"/>
      <c r="Y804" s="569"/>
      <c r="Z804" s="569"/>
      <c r="AA804" s="569"/>
      <c r="AB804" s="569"/>
      <c r="AC804" s="569"/>
      <c r="AD804" s="569"/>
      <c r="AE804" s="569"/>
      <c r="AF804" s="569"/>
      <c r="AG804" s="569"/>
      <c r="AH804" s="569"/>
      <c r="AI804" s="569"/>
      <c r="AJ804" s="569"/>
      <c r="AK804" s="569"/>
      <c r="AL804" s="569"/>
      <c r="AM804" s="569"/>
      <c r="AN804" s="569" t="s">
        <v>2278</v>
      </c>
      <c r="AO804">
        <v>803</v>
      </c>
      <c r="AP804" t="str">
        <f t="shared" si="159"/>
        <v/>
      </c>
      <c r="AQ804" t="str">
        <f t="shared" si="160"/>
        <v/>
      </c>
      <c r="AR804" s="430">
        <f>IFERROR(
IF(AP804="",-100,
IF($BV$2&gt;0, INDEX(Beersheet!$A:$U,MATCH(AP804,INDEX(Beersheet!$A:$U,0,FFARawStatProjections!$BV$2),0),$BV$3)+$BN804,
INDEX($A804:$BM804,,$BV$12)*$BW$12+
INDEX($A804:$BM804,,$BV$15)*$BW$15+
INDEX($A804:$BM804,,$BV$16)*$BW$16+
INDEX($A804:$BM804,,$BV$17)*$BW$17+
INDEX($A804:$BM804,,$BV$18)*$BW$18+
INDEX($A804:$BM804,,$BV$19)*$BW$19+
INDEX($A804:$BM804,,$BV$20)*$BW$20+
INDEX($A804:$BM804,,$BV$21)*$BW$21+
INDEX($A804:$BM804,,$BV$22)*$BW$22+
INDEX($A804:$BM804,,$BV$23)*$BW$23+
INDEX($A804:$BM804,,$BV$25)*$BW$25+
INDEX($A804:$BM804,,$BV$26)*$BW$26+
INDEX($A804:$BM804,,$BV$27)*$BW$27+
$BN804)),
$BN804-100)</f>
        <v>-100</v>
      </c>
      <c r="AT804" t="str">
        <f t="shared" si="165"/>
        <v/>
      </c>
      <c r="AU804" t="str">
        <f t="shared" si="161"/>
        <v/>
      </c>
      <c r="AV804" s="430">
        <f>IFERROR(
IF(AT804="",-100,
IF($BV$2&gt;0, INDEX(Beersheet!$A:$U,MATCH(AT804,INDEX(Beersheet!$A:$U,0,FFARawStatProjections!$BV$2),0),$BV$3)+$BN804,
INDEX($A804:$BM804,,$BV$12)*$BW$12+
INDEX($A804:$BM804,,$BV$15)*$BW$15+
INDEX($A804:$BM804,,$BV$16)*$BW$16+
INDEX($A804:$BM804,,$BV$17)*$BW$17+
INDEX($A804:$BM804,,$BV$18)*$BW$18+
INDEX($A804:$BM804,,$BV$19)*$BW$19+
INDEX($A804:$BM804,,$BV$20)*$BW$20+
INDEX($A804:$BM804,,$BV$21)*$BW$21+
INDEX($A804:$BM804,,$BV$22)*$BW$22+
INDEX($A804:$BM804,,$BV$23)*$BW$23+
INDEX($A804:$BM804,,$BV$25)*$BW$25+
INDEX($A804:$BM804,,$BV$26)*$BW$26+
INDEX($A804:$BM804,,$BV$27)*$BW$27+
$BN804)),
$BN804-100)</f>
        <v>-100</v>
      </c>
      <c r="AX804" t="str">
        <f t="shared" si="166"/>
        <v/>
      </c>
      <c r="AY804" t="str">
        <f t="shared" si="162"/>
        <v/>
      </c>
      <c r="AZ804" s="430">
        <f>IFERROR(
IF(AX804="",-100,
IF($BV$2&gt;0, INDEX(Beersheet!$A:$U,MATCH(AX804,INDEX(Beersheet!$A:$U,0,FFARawStatProjections!$BV$2),0),$BV$3)+$BN804,
INDEX($A804:$BM804,,$BV$12)*$BW$12+
INDEX($A804:$BM804,,$BV$15)*$BW$15+
INDEX($A804:$BM804,,$BV$16)*$BW$16+
INDEX($A804:$BM804,,$BV$17)*$BW$17+
INDEX($A804:$BM804,,$BV$18)*$BW$18+
INDEX($A804:$BM804,,$BV$19)*$BW$19+
INDEX($A804:$BM804,,$BV$20)*$BW$20+
INDEX($A804:$BM804,,$BV$21)*$BW$21+
INDEX($A804:$BM804,,$BV$22)*$BW$22+
INDEX($A804:$BM804,,$BV$23)*$BW$23+
INDEX($A804:$BM804,,$BV$25)*$BW$25+
INDEX($A804:$BM804,,$BV$26)*$BW$26+
INDEX($A804:$BM804,,$BV$27)*$BW$27+
$BN804)),
$BN804-100)</f>
        <v>-100</v>
      </c>
      <c r="BB804" t="str">
        <f t="shared" si="167"/>
        <v/>
      </c>
      <c r="BC804" t="str">
        <f t="shared" si="163"/>
        <v/>
      </c>
      <c r="BD804" s="430">
        <f>IFERROR(
IF(BB804="",-100,
IF($BV$2&gt;0, INDEX(Beersheet!$A:$U,MATCH(BB804,INDEX(Beersheet!$A:$U,0,FFARawStatProjections!$BV$2),0),$BV$3)+$BN804,
INDEX($A804:$BM804,,$BV$12)*$BW$12+
INDEX($A804:$BM804,,$BV$15)*$BW$15+
INDEX($A804:$BM804,,$BV$16)*$BW$16+
INDEX($A804:$BM804,,$BV$17)*$BW$17+
INDEX($A804:$BM804,,$BV$18)*$BW$18+
INDEX($A804:$BM804,,$BV$19)*$BW$19+
INDEX($A804:$BM804,,$BV$20)*$BW$20+
INDEX($A804:$BM804,,$BV$21)*$BW$21+
INDEX($A804:$BM804,,$BV$22)*$BW$22+
INDEX($A804:$BM804,,$BV$23)*$BW$23+
INDEX($A804:$BM804,,$BV$25)*$BW$25+
INDEX($A804:$BM804,,$BV$26)*$BW$26+
INDEX($A804:$BM804,,$BV$27)*$BW$27+
$BN804)),
$BN804-100)</f>
        <v>-100</v>
      </c>
      <c r="BF804" t="str">
        <f t="shared" si="168"/>
        <v/>
      </c>
      <c r="BG804" t="str">
        <f t="shared" si="164"/>
        <v/>
      </c>
      <c r="BH804">
        <f t="shared" si="169"/>
        <v>0</v>
      </c>
      <c r="BJ804" t="str">
        <f t="shared" si="170"/>
        <v/>
      </c>
      <c r="BL804">
        <f t="shared" si="171"/>
        <v>0</v>
      </c>
      <c r="BN804">
        <v>8.0300000000000493E-3</v>
      </c>
    </row>
    <row r="805" spans="1:66" ht="15.75" thickBot="1" x14ac:dyDescent="0.3">
      <c r="A805" s="569" t="s">
        <v>146</v>
      </c>
      <c r="B805" s="569" t="s">
        <v>146</v>
      </c>
      <c r="C805" s="569" t="s">
        <v>160</v>
      </c>
      <c r="D805" s="574">
        <v>7</v>
      </c>
      <c r="E805" s="569"/>
      <c r="F805" s="569"/>
      <c r="G805" s="569"/>
      <c r="H805" s="569"/>
      <c r="I805" s="574">
        <v>0</v>
      </c>
      <c r="J805" s="574">
        <v>0</v>
      </c>
      <c r="K805" s="574">
        <v>0</v>
      </c>
      <c r="L805" s="574">
        <v>0</v>
      </c>
      <c r="M805" s="574">
        <v>0</v>
      </c>
      <c r="N805" s="574">
        <v>0</v>
      </c>
      <c r="O805" s="574">
        <v>0</v>
      </c>
      <c r="P805" s="574">
        <v>0</v>
      </c>
      <c r="Q805" s="574">
        <v>0</v>
      </c>
      <c r="R805" s="569"/>
      <c r="S805" s="569"/>
      <c r="T805" s="569"/>
      <c r="U805" s="569"/>
      <c r="V805" s="569"/>
      <c r="W805" s="569"/>
      <c r="X805" s="569"/>
      <c r="Y805" s="569"/>
      <c r="Z805" s="569"/>
      <c r="AA805" s="569"/>
      <c r="AB805" s="569"/>
      <c r="AC805" s="569"/>
      <c r="AD805" s="569"/>
      <c r="AE805" s="569"/>
      <c r="AF805" s="569"/>
      <c r="AG805" s="569"/>
      <c r="AH805" s="569"/>
      <c r="AI805" s="569"/>
      <c r="AJ805" s="569"/>
      <c r="AK805" s="569"/>
      <c r="AL805" s="569"/>
      <c r="AM805" s="569"/>
      <c r="AN805" s="574">
        <v>115.8</v>
      </c>
      <c r="AO805">
        <v>804</v>
      </c>
      <c r="AP805" t="str">
        <f t="shared" si="159"/>
        <v/>
      </c>
      <c r="AQ805" t="str">
        <f t="shared" si="160"/>
        <v/>
      </c>
      <c r="AR805" s="430">
        <f>IFERROR(
IF(AP805="",-100,
IF($BV$2&gt;0, INDEX(Beersheet!$A:$U,MATCH(AP805,INDEX(Beersheet!$A:$U,0,FFARawStatProjections!$BV$2),0),$BV$3)+$BN805,
INDEX($A805:$BM805,,$BV$12)*$BW$12+
INDEX($A805:$BM805,,$BV$15)*$BW$15+
INDEX($A805:$BM805,,$BV$16)*$BW$16+
INDEX($A805:$BM805,,$BV$17)*$BW$17+
INDEX($A805:$BM805,,$BV$18)*$BW$18+
INDEX($A805:$BM805,,$BV$19)*$BW$19+
INDEX($A805:$BM805,,$BV$20)*$BW$20+
INDEX($A805:$BM805,,$BV$21)*$BW$21+
INDEX($A805:$BM805,,$BV$22)*$BW$22+
INDEX($A805:$BM805,,$BV$23)*$BW$23+
INDEX($A805:$BM805,,$BV$25)*$BW$25+
INDEX($A805:$BM805,,$BV$26)*$BW$26+
INDEX($A805:$BM805,,$BV$27)*$BW$27+
$BN805)),
$BN805-100)</f>
        <v>-100</v>
      </c>
      <c r="AT805" t="str">
        <f t="shared" si="165"/>
        <v/>
      </c>
      <c r="AU805" t="str">
        <f t="shared" si="161"/>
        <v/>
      </c>
      <c r="AV805" s="430">
        <f>IFERROR(
IF(AT805="",-100,
IF($BV$2&gt;0, INDEX(Beersheet!$A:$U,MATCH(AT805,INDEX(Beersheet!$A:$U,0,FFARawStatProjections!$BV$2),0),$BV$3)+$BN805,
INDEX($A805:$BM805,,$BV$12)*$BW$12+
INDEX($A805:$BM805,,$BV$15)*$BW$15+
INDEX($A805:$BM805,,$BV$16)*$BW$16+
INDEX($A805:$BM805,,$BV$17)*$BW$17+
INDEX($A805:$BM805,,$BV$18)*$BW$18+
INDEX($A805:$BM805,,$BV$19)*$BW$19+
INDEX($A805:$BM805,,$BV$20)*$BW$20+
INDEX($A805:$BM805,,$BV$21)*$BW$21+
INDEX($A805:$BM805,,$BV$22)*$BW$22+
INDEX($A805:$BM805,,$BV$23)*$BW$23+
INDEX($A805:$BM805,,$BV$25)*$BW$25+
INDEX($A805:$BM805,,$BV$26)*$BW$26+
INDEX($A805:$BM805,,$BV$27)*$BW$27+
$BN805)),
$BN805-100)</f>
        <v>-100</v>
      </c>
      <c r="AX805" t="str">
        <f t="shared" si="166"/>
        <v/>
      </c>
      <c r="AY805" t="str">
        <f t="shared" si="162"/>
        <v/>
      </c>
      <c r="AZ805" s="430">
        <f>IFERROR(
IF(AX805="",-100,
IF($BV$2&gt;0, INDEX(Beersheet!$A:$U,MATCH(AX805,INDEX(Beersheet!$A:$U,0,FFARawStatProjections!$BV$2),0),$BV$3)+$BN805,
INDEX($A805:$BM805,,$BV$12)*$BW$12+
INDEX($A805:$BM805,,$BV$15)*$BW$15+
INDEX($A805:$BM805,,$BV$16)*$BW$16+
INDEX($A805:$BM805,,$BV$17)*$BW$17+
INDEX($A805:$BM805,,$BV$18)*$BW$18+
INDEX($A805:$BM805,,$BV$19)*$BW$19+
INDEX($A805:$BM805,,$BV$20)*$BW$20+
INDEX($A805:$BM805,,$BV$21)*$BW$21+
INDEX($A805:$BM805,,$BV$22)*$BW$22+
INDEX($A805:$BM805,,$BV$23)*$BW$23+
INDEX($A805:$BM805,,$BV$25)*$BW$25+
INDEX($A805:$BM805,,$BV$26)*$BW$26+
INDEX($A805:$BM805,,$BV$27)*$BW$27+
$BN805)),
$BN805-100)</f>
        <v>-100</v>
      </c>
      <c r="BB805" t="str">
        <f t="shared" si="167"/>
        <v/>
      </c>
      <c r="BC805" t="str">
        <f t="shared" si="163"/>
        <v/>
      </c>
      <c r="BD805" s="430">
        <f>IFERROR(
IF(BB805="",-100,
IF($BV$2&gt;0, INDEX(Beersheet!$A:$U,MATCH(BB805,INDEX(Beersheet!$A:$U,0,FFARawStatProjections!$BV$2),0),$BV$3)+$BN805,
INDEX($A805:$BM805,,$BV$12)*$BW$12+
INDEX($A805:$BM805,,$BV$15)*$BW$15+
INDEX($A805:$BM805,,$BV$16)*$BW$16+
INDEX($A805:$BM805,,$BV$17)*$BW$17+
INDEX($A805:$BM805,,$BV$18)*$BW$18+
INDEX($A805:$BM805,,$BV$19)*$BW$19+
INDEX($A805:$BM805,,$BV$20)*$BW$20+
INDEX($A805:$BM805,,$BV$21)*$BW$21+
INDEX($A805:$BM805,,$BV$22)*$BW$22+
INDEX($A805:$BM805,,$BV$23)*$BW$23+
INDEX($A805:$BM805,,$BV$25)*$BW$25+
INDEX($A805:$BM805,,$BV$26)*$BW$26+
INDEX($A805:$BM805,,$BV$27)*$BW$27+
$BN805)),
$BN805-100)</f>
        <v>-100</v>
      </c>
      <c r="BF805" t="str">
        <f t="shared" si="168"/>
        <v/>
      </c>
      <c r="BG805" t="str">
        <f t="shared" si="164"/>
        <v/>
      </c>
      <c r="BH805">
        <f t="shared" si="169"/>
        <v>0</v>
      </c>
      <c r="BJ805" t="str">
        <f t="shared" si="170"/>
        <v>DAL</v>
      </c>
      <c r="BL805">
        <f t="shared" si="171"/>
        <v>115.80803999999999</v>
      </c>
      <c r="BN805">
        <v>8.0400000000000506E-3</v>
      </c>
    </row>
    <row r="806" spans="1:66" ht="15.75" thickBot="1" x14ac:dyDescent="0.3">
      <c r="A806" s="569" t="s">
        <v>137</v>
      </c>
      <c r="B806" s="569" t="s">
        <v>137</v>
      </c>
      <c r="C806" s="569" t="s">
        <v>160</v>
      </c>
      <c r="D806" s="574">
        <v>10</v>
      </c>
      <c r="E806" s="569"/>
      <c r="F806" s="569"/>
      <c r="G806" s="569"/>
      <c r="H806" s="569"/>
      <c r="I806" s="574">
        <v>0</v>
      </c>
      <c r="J806" s="574">
        <v>0</v>
      </c>
      <c r="K806" s="574">
        <v>0</v>
      </c>
      <c r="L806" s="574">
        <v>0</v>
      </c>
      <c r="M806" s="574">
        <v>0</v>
      </c>
      <c r="N806" s="574">
        <v>0</v>
      </c>
      <c r="O806" s="574">
        <v>0</v>
      </c>
      <c r="P806" s="574">
        <v>0</v>
      </c>
      <c r="Q806" s="574">
        <v>0</v>
      </c>
      <c r="R806" s="569"/>
      <c r="S806" s="569"/>
      <c r="T806" s="569"/>
      <c r="U806" s="569"/>
      <c r="V806" s="569"/>
      <c r="W806" s="569"/>
      <c r="X806" s="569"/>
      <c r="Y806" s="569"/>
      <c r="Z806" s="569"/>
      <c r="AA806" s="569"/>
      <c r="AB806" s="569"/>
      <c r="AC806" s="569"/>
      <c r="AD806" s="569"/>
      <c r="AE806" s="569"/>
      <c r="AF806" s="569"/>
      <c r="AG806" s="569"/>
      <c r="AH806" s="569"/>
      <c r="AI806" s="569"/>
      <c r="AJ806" s="569"/>
      <c r="AK806" s="569"/>
      <c r="AL806" s="569"/>
      <c r="AM806" s="569"/>
      <c r="AN806" s="574">
        <v>114.5</v>
      </c>
      <c r="AO806">
        <v>805</v>
      </c>
      <c r="AP806" t="str">
        <f t="shared" si="159"/>
        <v/>
      </c>
      <c r="AQ806" t="str">
        <f t="shared" si="160"/>
        <v/>
      </c>
      <c r="AR806" s="430">
        <f>IFERROR(
IF(AP806="",-100,
IF($BV$2&gt;0, INDEX(Beersheet!$A:$U,MATCH(AP806,INDEX(Beersheet!$A:$U,0,FFARawStatProjections!$BV$2),0),$BV$3)+$BN806,
INDEX($A806:$BM806,,$BV$12)*$BW$12+
INDEX($A806:$BM806,,$BV$15)*$BW$15+
INDEX($A806:$BM806,,$BV$16)*$BW$16+
INDEX($A806:$BM806,,$BV$17)*$BW$17+
INDEX($A806:$BM806,,$BV$18)*$BW$18+
INDEX($A806:$BM806,,$BV$19)*$BW$19+
INDEX($A806:$BM806,,$BV$20)*$BW$20+
INDEX($A806:$BM806,,$BV$21)*$BW$21+
INDEX($A806:$BM806,,$BV$22)*$BW$22+
INDEX($A806:$BM806,,$BV$23)*$BW$23+
INDEX($A806:$BM806,,$BV$25)*$BW$25+
INDEX($A806:$BM806,,$BV$26)*$BW$26+
INDEX($A806:$BM806,,$BV$27)*$BW$27+
$BN806)),
$BN806-100)</f>
        <v>-100</v>
      </c>
      <c r="AT806" t="str">
        <f t="shared" si="165"/>
        <v/>
      </c>
      <c r="AU806" t="str">
        <f t="shared" si="161"/>
        <v/>
      </c>
      <c r="AV806" s="430">
        <f>IFERROR(
IF(AT806="",-100,
IF($BV$2&gt;0, INDEX(Beersheet!$A:$U,MATCH(AT806,INDEX(Beersheet!$A:$U,0,FFARawStatProjections!$BV$2),0),$BV$3)+$BN806,
INDEX($A806:$BM806,,$BV$12)*$BW$12+
INDEX($A806:$BM806,,$BV$15)*$BW$15+
INDEX($A806:$BM806,,$BV$16)*$BW$16+
INDEX($A806:$BM806,,$BV$17)*$BW$17+
INDEX($A806:$BM806,,$BV$18)*$BW$18+
INDEX($A806:$BM806,,$BV$19)*$BW$19+
INDEX($A806:$BM806,,$BV$20)*$BW$20+
INDEX($A806:$BM806,,$BV$21)*$BW$21+
INDEX($A806:$BM806,,$BV$22)*$BW$22+
INDEX($A806:$BM806,,$BV$23)*$BW$23+
INDEX($A806:$BM806,,$BV$25)*$BW$25+
INDEX($A806:$BM806,,$BV$26)*$BW$26+
INDEX($A806:$BM806,,$BV$27)*$BW$27+
$BN806)),
$BN806-100)</f>
        <v>-100</v>
      </c>
      <c r="AX806" t="str">
        <f t="shared" si="166"/>
        <v/>
      </c>
      <c r="AY806" t="str">
        <f t="shared" si="162"/>
        <v/>
      </c>
      <c r="AZ806" s="430">
        <f>IFERROR(
IF(AX806="",-100,
IF($BV$2&gt;0, INDEX(Beersheet!$A:$U,MATCH(AX806,INDEX(Beersheet!$A:$U,0,FFARawStatProjections!$BV$2),0),$BV$3)+$BN806,
INDEX($A806:$BM806,,$BV$12)*$BW$12+
INDEX($A806:$BM806,,$BV$15)*$BW$15+
INDEX($A806:$BM806,,$BV$16)*$BW$16+
INDEX($A806:$BM806,,$BV$17)*$BW$17+
INDEX($A806:$BM806,,$BV$18)*$BW$18+
INDEX($A806:$BM806,,$BV$19)*$BW$19+
INDEX($A806:$BM806,,$BV$20)*$BW$20+
INDEX($A806:$BM806,,$BV$21)*$BW$21+
INDEX($A806:$BM806,,$BV$22)*$BW$22+
INDEX($A806:$BM806,,$BV$23)*$BW$23+
INDEX($A806:$BM806,,$BV$25)*$BW$25+
INDEX($A806:$BM806,,$BV$26)*$BW$26+
INDEX($A806:$BM806,,$BV$27)*$BW$27+
$BN806)),
$BN806-100)</f>
        <v>-100</v>
      </c>
      <c r="BB806" t="str">
        <f t="shared" si="167"/>
        <v/>
      </c>
      <c r="BC806" t="str">
        <f t="shared" si="163"/>
        <v/>
      </c>
      <c r="BD806" s="430">
        <f>IFERROR(
IF(BB806="",-100,
IF($BV$2&gt;0, INDEX(Beersheet!$A:$U,MATCH(BB806,INDEX(Beersheet!$A:$U,0,FFARawStatProjections!$BV$2),0),$BV$3)+$BN806,
INDEX($A806:$BM806,,$BV$12)*$BW$12+
INDEX($A806:$BM806,,$BV$15)*$BW$15+
INDEX($A806:$BM806,,$BV$16)*$BW$16+
INDEX($A806:$BM806,,$BV$17)*$BW$17+
INDEX($A806:$BM806,,$BV$18)*$BW$18+
INDEX($A806:$BM806,,$BV$19)*$BW$19+
INDEX($A806:$BM806,,$BV$20)*$BW$20+
INDEX($A806:$BM806,,$BV$21)*$BW$21+
INDEX($A806:$BM806,,$BV$22)*$BW$22+
INDEX($A806:$BM806,,$BV$23)*$BW$23+
INDEX($A806:$BM806,,$BV$25)*$BW$25+
INDEX($A806:$BM806,,$BV$26)*$BW$26+
INDEX($A806:$BM806,,$BV$27)*$BW$27+
$BN806)),
$BN806-100)</f>
        <v>-100</v>
      </c>
      <c r="BF806" t="str">
        <f t="shared" si="168"/>
        <v/>
      </c>
      <c r="BG806" t="str">
        <f t="shared" si="164"/>
        <v/>
      </c>
      <c r="BH806">
        <f t="shared" si="169"/>
        <v>0</v>
      </c>
      <c r="BJ806" t="str">
        <f t="shared" si="170"/>
        <v>PHI</v>
      </c>
      <c r="BL806">
        <f t="shared" si="171"/>
        <v>114.50805</v>
      </c>
      <c r="BN806">
        <v>8.0500000000000502E-3</v>
      </c>
    </row>
    <row r="807" spans="1:66" ht="15.75" thickBot="1" x14ac:dyDescent="0.3">
      <c r="A807" s="569" t="s">
        <v>157</v>
      </c>
      <c r="B807" s="569" t="s">
        <v>157</v>
      </c>
      <c r="C807" s="569" t="s">
        <v>160</v>
      </c>
      <c r="D807" s="574">
        <v>11</v>
      </c>
      <c r="E807" s="569"/>
      <c r="F807" s="569"/>
      <c r="G807" s="569"/>
      <c r="H807" s="569"/>
      <c r="I807" s="574">
        <v>0</v>
      </c>
      <c r="J807" s="574">
        <v>0</v>
      </c>
      <c r="K807" s="574">
        <v>0</v>
      </c>
      <c r="L807" s="574">
        <v>0</v>
      </c>
      <c r="M807" s="574">
        <v>0</v>
      </c>
      <c r="N807" s="574">
        <v>0</v>
      </c>
      <c r="O807" s="574">
        <v>0</v>
      </c>
      <c r="P807" s="574">
        <v>0</v>
      </c>
      <c r="Q807" s="574">
        <v>0</v>
      </c>
      <c r="R807" s="569"/>
      <c r="S807" s="569"/>
      <c r="T807" s="569"/>
      <c r="U807" s="569"/>
      <c r="V807" s="569"/>
      <c r="W807" s="569"/>
      <c r="X807" s="569"/>
      <c r="Y807" s="569"/>
      <c r="Z807" s="569"/>
      <c r="AA807" s="569"/>
      <c r="AB807" s="569"/>
      <c r="AC807" s="569"/>
      <c r="AD807" s="569"/>
      <c r="AE807" s="569"/>
      <c r="AF807" s="569"/>
      <c r="AG807" s="569"/>
      <c r="AH807" s="569"/>
      <c r="AI807" s="569"/>
      <c r="AJ807" s="569"/>
      <c r="AK807" s="569"/>
      <c r="AL807" s="569"/>
      <c r="AM807" s="569"/>
      <c r="AN807" s="574">
        <v>111.3</v>
      </c>
      <c r="AO807">
        <v>806</v>
      </c>
      <c r="AP807" t="str">
        <f t="shared" si="159"/>
        <v/>
      </c>
      <c r="AQ807" t="str">
        <f t="shared" si="160"/>
        <v/>
      </c>
      <c r="AR807" s="430">
        <f>IFERROR(
IF(AP807="",-100,
IF($BV$2&gt;0, INDEX(Beersheet!$A:$U,MATCH(AP807,INDEX(Beersheet!$A:$U,0,FFARawStatProjections!$BV$2),0),$BV$3)+$BN807,
INDEX($A807:$BM807,,$BV$12)*$BW$12+
INDEX($A807:$BM807,,$BV$15)*$BW$15+
INDEX($A807:$BM807,,$BV$16)*$BW$16+
INDEX($A807:$BM807,,$BV$17)*$BW$17+
INDEX($A807:$BM807,,$BV$18)*$BW$18+
INDEX($A807:$BM807,,$BV$19)*$BW$19+
INDEX($A807:$BM807,,$BV$20)*$BW$20+
INDEX($A807:$BM807,,$BV$21)*$BW$21+
INDEX($A807:$BM807,,$BV$22)*$BW$22+
INDEX($A807:$BM807,,$BV$23)*$BW$23+
INDEX($A807:$BM807,,$BV$25)*$BW$25+
INDEX($A807:$BM807,,$BV$26)*$BW$26+
INDEX($A807:$BM807,,$BV$27)*$BW$27+
$BN807)),
$BN807-100)</f>
        <v>-100</v>
      </c>
      <c r="AT807" t="str">
        <f t="shared" si="165"/>
        <v/>
      </c>
      <c r="AU807" t="str">
        <f t="shared" si="161"/>
        <v/>
      </c>
      <c r="AV807" s="430">
        <f>IFERROR(
IF(AT807="",-100,
IF($BV$2&gt;0, INDEX(Beersheet!$A:$U,MATCH(AT807,INDEX(Beersheet!$A:$U,0,FFARawStatProjections!$BV$2),0),$BV$3)+$BN807,
INDEX($A807:$BM807,,$BV$12)*$BW$12+
INDEX($A807:$BM807,,$BV$15)*$BW$15+
INDEX($A807:$BM807,,$BV$16)*$BW$16+
INDEX($A807:$BM807,,$BV$17)*$BW$17+
INDEX($A807:$BM807,,$BV$18)*$BW$18+
INDEX($A807:$BM807,,$BV$19)*$BW$19+
INDEX($A807:$BM807,,$BV$20)*$BW$20+
INDEX($A807:$BM807,,$BV$21)*$BW$21+
INDEX($A807:$BM807,,$BV$22)*$BW$22+
INDEX($A807:$BM807,,$BV$23)*$BW$23+
INDEX($A807:$BM807,,$BV$25)*$BW$25+
INDEX($A807:$BM807,,$BV$26)*$BW$26+
INDEX($A807:$BM807,,$BV$27)*$BW$27+
$BN807)),
$BN807-100)</f>
        <v>-100</v>
      </c>
      <c r="AX807" t="str">
        <f t="shared" si="166"/>
        <v/>
      </c>
      <c r="AY807" t="str">
        <f t="shared" si="162"/>
        <v/>
      </c>
      <c r="AZ807" s="430">
        <f>IFERROR(
IF(AX807="",-100,
IF($BV$2&gt;0, INDEX(Beersheet!$A:$U,MATCH(AX807,INDEX(Beersheet!$A:$U,0,FFARawStatProjections!$BV$2),0),$BV$3)+$BN807,
INDEX($A807:$BM807,,$BV$12)*$BW$12+
INDEX($A807:$BM807,,$BV$15)*$BW$15+
INDEX($A807:$BM807,,$BV$16)*$BW$16+
INDEX($A807:$BM807,,$BV$17)*$BW$17+
INDEX($A807:$BM807,,$BV$18)*$BW$18+
INDEX($A807:$BM807,,$BV$19)*$BW$19+
INDEX($A807:$BM807,,$BV$20)*$BW$20+
INDEX($A807:$BM807,,$BV$21)*$BW$21+
INDEX($A807:$BM807,,$BV$22)*$BW$22+
INDEX($A807:$BM807,,$BV$23)*$BW$23+
INDEX($A807:$BM807,,$BV$25)*$BW$25+
INDEX($A807:$BM807,,$BV$26)*$BW$26+
INDEX($A807:$BM807,,$BV$27)*$BW$27+
$BN807)),
$BN807-100)</f>
        <v>-100</v>
      </c>
      <c r="BB807" t="str">
        <f t="shared" si="167"/>
        <v/>
      </c>
      <c r="BC807" t="str">
        <f t="shared" si="163"/>
        <v/>
      </c>
      <c r="BD807" s="430">
        <f>IFERROR(
IF(BB807="",-100,
IF($BV$2&gt;0, INDEX(Beersheet!$A:$U,MATCH(BB807,INDEX(Beersheet!$A:$U,0,FFARawStatProjections!$BV$2),0),$BV$3)+$BN807,
INDEX($A807:$BM807,,$BV$12)*$BW$12+
INDEX($A807:$BM807,,$BV$15)*$BW$15+
INDEX($A807:$BM807,,$BV$16)*$BW$16+
INDEX($A807:$BM807,,$BV$17)*$BW$17+
INDEX($A807:$BM807,,$BV$18)*$BW$18+
INDEX($A807:$BM807,,$BV$19)*$BW$19+
INDEX($A807:$BM807,,$BV$20)*$BW$20+
INDEX($A807:$BM807,,$BV$21)*$BW$21+
INDEX($A807:$BM807,,$BV$22)*$BW$22+
INDEX($A807:$BM807,,$BV$23)*$BW$23+
INDEX($A807:$BM807,,$BV$25)*$BW$25+
INDEX($A807:$BM807,,$BV$26)*$BW$26+
INDEX($A807:$BM807,,$BV$27)*$BW$27+
$BN807)),
$BN807-100)</f>
        <v>-100</v>
      </c>
      <c r="BF807" t="str">
        <f t="shared" si="168"/>
        <v/>
      </c>
      <c r="BG807" t="str">
        <f t="shared" si="164"/>
        <v/>
      </c>
      <c r="BH807">
        <f t="shared" si="169"/>
        <v>0</v>
      </c>
      <c r="BJ807" t="str">
        <f t="shared" si="170"/>
        <v>NE</v>
      </c>
      <c r="BL807">
        <f t="shared" si="171"/>
        <v>111.30806</v>
      </c>
      <c r="BN807">
        <v>8.0600000000000498E-3</v>
      </c>
    </row>
    <row r="808" spans="1:66" ht="15.75" thickBot="1" x14ac:dyDescent="0.3">
      <c r="A808" s="569" t="s">
        <v>147</v>
      </c>
      <c r="B808" s="569" t="s">
        <v>147</v>
      </c>
      <c r="C808" s="569" t="s">
        <v>160</v>
      </c>
      <c r="D808" s="574">
        <v>6</v>
      </c>
      <c r="E808" s="569"/>
      <c r="F808" s="569"/>
      <c r="G808" s="569"/>
      <c r="H808" s="569"/>
      <c r="I808" s="574">
        <v>0</v>
      </c>
      <c r="J808" s="574">
        <v>0</v>
      </c>
      <c r="K808" s="574">
        <v>0</v>
      </c>
      <c r="L808" s="574">
        <v>0</v>
      </c>
      <c r="M808" s="574">
        <v>0</v>
      </c>
      <c r="N808" s="574">
        <v>0</v>
      </c>
      <c r="O808" s="574">
        <v>0</v>
      </c>
      <c r="P808" s="574">
        <v>0</v>
      </c>
      <c r="Q808" s="574">
        <v>0</v>
      </c>
      <c r="R808" s="569"/>
      <c r="S808" s="569"/>
      <c r="T808" s="569"/>
      <c r="U808" s="569"/>
      <c r="V808" s="569"/>
      <c r="W808" s="569"/>
      <c r="X808" s="569"/>
      <c r="Y808" s="569"/>
      <c r="Z808" s="569"/>
      <c r="AA808" s="569"/>
      <c r="AB808" s="569"/>
      <c r="AC808" s="569"/>
      <c r="AD808" s="569"/>
      <c r="AE808" s="569"/>
      <c r="AF808" s="569"/>
      <c r="AG808" s="569"/>
      <c r="AH808" s="569"/>
      <c r="AI808" s="569"/>
      <c r="AJ808" s="569"/>
      <c r="AK808" s="569"/>
      <c r="AL808" s="569"/>
      <c r="AM808" s="569"/>
      <c r="AN808" s="574">
        <v>109.4</v>
      </c>
      <c r="AO808">
        <v>807</v>
      </c>
      <c r="AP808" t="str">
        <f t="shared" si="159"/>
        <v/>
      </c>
      <c r="AQ808" t="str">
        <f t="shared" si="160"/>
        <v/>
      </c>
      <c r="AR808" s="430">
        <f>IFERROR(
IF(AP808="",-100,
IF($BV$2&gt;0, INDEX(Beersheet!$A:$U,MATCH(AP808,INDEX(Beersheet!$A:$U,0,FFARawStatProjections!$BV$2),0),$BV$3)+$BN808,
INDEX($A808:$BM808,,$BV$12)*$BW$12+
INDEX($A808:$BM808,,$BV$15)*$BW$15+
INDEX($A808:$BM808,,$BV$16)*$BW$16+
INDEX($A808:$BM808,,$BV$17)*$BW$17+
INDEX($A808:$BM808,,$BV$18)*$BW$18+
INDEX($A808:$BM808,,$BV$19)*$BW$19+
INDEX($A808:$BM808,,$BV$20)*$BW$20+
INDEX($A808:$BM808,,$BV$21)*$BW$21+
INDEX($A808:$BM808,,$BV$22)*$BW$22+
INDEX($A808:$BM808,,$BV$23)*$BW$23+
INDEX($A808:$BM808,,$BV$25)*$BW$25+
INDEX($A808:$BM808,,$BV$26)*$BW$26+
INDEX($A808:$BM808,,$BV$27)*$BW$27+
$BN808)),
$BN808-100)</f>
        <v>-100</v>
      </c>
      <c r="AT808" t="str">
        <f t="shared" si="165"/>
        <v/>
      </c>
      <c r="AU808" t="str">
        <f t="shared" si="161"/>
        <v/>
      </c>
      <c r="AV808" s="430">
        <f>IFERROR(
IF(AT808="",-100,
IF($BV$2&gt;0, INDEX(Beersheet!$A:$U,MATCH(AT808,INDEX(Beersheet!$A:$U,0,FFARawStatProjections!$BV$2),0),$BV$3)+$BN808,
INDEX($A808:$BM808,,$BV$12)*$BW$12+
INDEX($A808:$BM808,,$BV$15)*$BW$15+
INDEX($A808:$BM808,,$BV$16)*$BW$16+
INDEX($A808:$BM808,,$BV$17)*$BW$17+
INDEX($A808:$BM808,,$BV$18)*$BW$18+
INDEX($A808:$BM808,,$BV$19)*$BW$19+
INDEX($A808:$BM808,,$BV$20)*$BW$20+
INDEX($A808:$BM808,,$BV$21)*$BW$21+
INDEX($A808:$BM808,,$BV$22)*$BW$22+
INDEX($A808:$BM808,,$BV$23)*$BW$23+
INDEX($A808:$BM808,,$BV$25)*$BW$25+
INDEX($A808:$BM808,,$BV$26)*$BW$26+
INDEX($A808:$BM808,,$BV$27)*$BW$27+
$BN808)),
$BN808-100)</f>
        <v>-100</v>
      </c>
      <c r="AX808" t="str">
        <f t="shared" si="166"/>
        <v/>
      </c>
      <c r="AY808" t="str">
        <f t="shared" si="162"/>
        <v/>
      </c>
      <c r="AZ808" s="430">
        <f>IFERROR(
IF(AX808="",-100,
IF($BV$2&gt;0, INDEX(Beersheet!$A:$U,MATCH(AX808,INDEX(Beersheet!$A:$U,0,FFARawStatProjections!$BV$2),0),$BV$3)+$BN808,
INDEX($A808:$BM808,,$BV$12)*$BW$12+
INDEX($A808:$BM808,,$BV$15)*$BW$15+
INDEX($A808:$BM808,,$BV$16)*$BW$16+
INDEX($A808:$BM808,,$BV$17)*$BW$17+
INDEX($A808:$BM808,,$BV$18)*$BW$18+
INDEX($A808:$BM808,,$BV$19)*$BW$19+
INDEX($A808:$BM808,,$BV$20)*$BW$20+
INDEX($A808:$BM808,,$BV$21)*$BW$21+
INDEX($A808:$BM808,,$BV$22)*$BW$22+
INDEX($A808:$BM808,,$BV$23)*$BW$23+
INDEX($A808:$BM808,,$BV$25)*$BW$25+
INDEX($A808:$BM808,,$BV$26)*$BW$26+
INDEX($A808:$BM808,,$BV$27)*$BW$27+
$BN808)),
$BN808-100)</f>
        <v>-100</v>
      </c>
      <c r="BB808" t="str">
        <f t="shared" si="167"/>
        <v/>
      </c>
      <c r="BC808" t="str">
        <f t="shared" si="163"/>
        <v/>
      </c>
      <c r="BD808" s="430">
        <f>IFERROR(
IF(BB808="",-100,
IF($BV$2&gt;0, INDEX(Beersheet!$A:$U,MATCH(BB808,INDEX(Beersheet!$A:$U,0,FFARawStatProjections!$BV$2),0),$BV$3)+$BN808,
INDEX($A808:$BM808,,$BV$12)*$BW$12+
INDEX($A808:$BM808,,$BV$15)*$BW$15+
INDEX($A808:$BM808,,$BV$16)*$BW$16+
INDEX($A808:$BM808,,$BV$17)*$BW$17+
INDEX($A808:$BM808,,$BV$18)*$BW$18+
INDEX($A808:$BM808,,$BV$19)*$BW$19+
INDEX($A808:$BM808,,$BV$20)*$BW$20+
INDEX($A808:$BM808,,$BV$21)*$BW$21+
INDEX($A808:$BM808,,$BV$22)*$BW$22+
INDEX($A808:$BM808,,$BV$23)*$BW$23+
INDEX($A808:$BM808,,$BV$25)*$BW$25+
INDEX($A808:$BM808,,$BV$26)*$BW$26+
INDEX($A808:$BM808,,$BV$27)*$BW$27+
$BN808)),
$BN808-100)</f>
        <v>-100</v>
      </c>
      <c r="BF808" t="str">
        <f t="shared" si="168"/>
        <v/>
      </c>
      <c r="BG808" t="str">
        <f t="shared" si="164"/>
        <v/>
      </c>
      <c r="BH808">
        <f t="shared" si="169"/>
        <v>0</v>
      </c>
      <c r="BJ808" t="str">
        <f t="shared" si="170"/>
        <v>PIT</v>
      </c>
      <c r="BL808">
        <f t="shared" si="171"/>
        <v>109.40807000000001</v>
      </c>
      <c r="BN808">
        <v>8.0700000000000494E-3</v>
      </c>
    </row>
    <row r="809" spans="1:66" ht="15.75" thickBot="1" x14ac:dyDescent="0.3">
      <c r="A809" s="569" t="s">
        <v>158</v>
      </c>
      <c r="B809" s="569" t="s">
        <v>158</v>
      </c>
      <c r="C809" s="569" t="s">
        <v>160</v>
      </c>
      <c r="D809" s="574">
        <v>11</v>
      </c>
      <c r="E809" s="569"/>
      <c r="F809" s="569"/>
      <c r="G809" s="569"/>
      <c r="H809" s="569"/>
      <c r="I809" s="574">
        <v>0</v>
      </c>
      <c r="J809" s="574">
        <v>0</v>
      </c>
      <c r="K809" s="574">
        <v>0</v>
      </c>
      <c r="L809" s="574">
        <v>0</v>
      </c>
      <c r="M809" s="574">
        <v>0</v>
      </c>
      <c r="N809" s="574">
        <v>0</v>
      </c>
      <c r="O809" s="574">
        <v>0</v>
      </c>
      <c r="P809" s="574">
        <v>0</v>
      </c>
      <c r="Q809" s="574">
        <v>0</v>
      </c>
      <c r="R809" s="569"/>
      <c r="S809" s="569"/>
      <c r="T809" s="569"/>
      <c r="U809" s="569"/>
      <c r="V809" s="569"/>
      <c r="W809" s="569"/>
      <c r="X809" s="569"/>
      <c r="Y809" s="569"/>
      <c r="Z809" s="569"/>
      <c r="AA809" s="569"/>
      <c r="AB809" s="569"/>
      <c r="AC809" s="569"/>
      <c r="AD809" s="569"/>
      <c r="AE809" s="569"/>
      <c r="AF809" s="569"/>
      <c r="AG809" s="569"/>
      <c r="AH809" s="569"/>
      <c r="AI809" s="569"/>
      <c r="AJ809" s="569"/>
      <c r="AK809" s="569"/>
      <c r="AL809" s="569"/>
      <c r="AM809" s="569"/>
      <c r="AN809" s="574">
        <v>109.2</v>
      </c>
      <c r="AO809">
        <v>808</v>
      </c>
      <c r="AP809" t="str">
        <f t="shared" si="159"/>
        <v/>
      </c>
      <c r="AQ809" t="str">
        <f t="shared" si="160"/>
        <v/>
      </c>
      <c r="AR809" s="430">
        <f>IFERROR(
IF(AP809="",-100,
IF($BV$2&gt;0, INDEX(Beersheet!$A:$U,MATCH(AP809,INDEX(Beersheet!$A:$U,0,FFARawStatProjections!$BV$2),0),$BV$3)+$BN809,
INDEX($A809:$BM809,,$BV$12)*$BW$12+
INDEX($A809:$BM809,,$BV$15)*$BW$15+
INDEX($A809:$BM809,,$BV$16)*$BW$16+
INDEX($A809:$BM809,,$BV$17)*$BW$17+
INDEX($A809:$BM809,,$BV$18)*$BW$18+
INDEX($A809:$BM809,,$BV$19)*$BW$19+
INDEX($A809:$BM809,,$BV$20)*$BW$20+
INDEX($A809:$BM809,,$BV$21)*$BW$21+
INDEX($A809:$BM809,,$BV$22)*$BW$22+
INDEX($A809:$BM809,,$BV$23)*$BW$23+
INDEX($A809:$BM809,,$BV$25)*$BW$25+
INDEX($A809:$BM809,,$BV$26)*$BW$26+
INDEX($A809:$BM809,,$BV$27)*$BW$27+
$BN809)),
$BN809-100)</f>
        <v>-100</v>
      </c>
      <c r="AT809" t="str">
        <f t="shared" si="165"/>
        <v/>
      </c>
      <c r="AU809" t="str">
        <f t="shared" si="161"/>
        <v/>
      </c>
      <c r="AV809" s="430">
        <f>IFERROR(
IF(AT809="",-100,
IF($BV$2&gt;0, INDEX(Beersheet!$A:$U,MATCH(AT809,INDEX(Beersheet!$A:$U,0,FFARawStatProjections!$BV$2),0),$BV$3)+$BN809,
INDEX($A809:$BM809,,$BV$12)*$BW$12+
INDEX($A809:$BM809,,$BV$15)*$BW$15+
INDEX($A809:$BM809,,$BV$16)*$BW$16+
INDEX($A809:$BM809,,$BV$17)*$BW$17+
INDEX($A809:$BM809,,$BV$18)*$BW$18+
INDEX($A809:$BM809,,$BV$19)*$BW$19+
INDEX($A809:$BM809,,$BV$20)*$BW$20+
INDEX($A809:$BM809,,$BV$21)*$BW$21+
INDEX($A809:$BM809,,$BV$22)*$BW$22+
INDEX($A809:$BM809,,$BV$23)*$BW$23+
INDEX($A809:$BM809,,$BV$25)*$BW$25+
INDEX($A809:$BM809,,$BV$26)*$BW$26+
INDEX($A809:$BM809,,$BV$27)*$BW$27+
$BN809)),
$BN809-100)</f>
        <v>-100</v>
      </c>
      <c r="AX809" t="str">
        <f t="shared" si="166"/>
        <v/>
      </c>
      <c r="AY809" t="str">
        <f t="shared" si="162"/>
        <v/>
      </c>
      <c r="AZ809" s="430">
        <f>IFERROR(
IF(AX809="",-100,
IF($BV$2&gt;0, INDEX(Beersheet!$A:$U,MATCH(AX809,INDEX(Beersheet!$A:$U,0,FFARawStatProjections!$BV$2),0),$BV$3)+$BN809,
INDEX($A809:$BM809,,$BV$12)*$BW$12+
INDEX($A809:$BM809,,$BV$15)*$BW$15+
INDEX($A809:$BM809,,$BV$16)*$BW$16+
INDEX($A809:$BM809,,$BV$17)*$BW$17+
INDEX($A809:$BM809,,$BV$18)*$BW$18+
INDEX($A809:$BM809,,$BV$19)*$BW$19+
INDEX($A809:$BM809,,$BV$20)*$BW$20+
INDEX($A809:$BM809,,$BV$21)*$BW$21+
INDEX($A809:$BM809,,$BV$22)*$BW$22+
INDEX($A809:$BM809,,$BV$23)*$BW$23+
INDEX($A809:$BM809,,$BV$25)*$BW$25+
INDEX($A809:$BM809,,$BV$26)*$BW$26+
INDEX($A809:$BM809,,$BV$27)*$BW$27+
$BN809)),
$BN809-100)</f>
        <v>-100</v>
      </c>
      <c r="BB809" t="str">
        <f t="shared" si="167"/>
        <v/>
      </c>
      <c r="BC809" t="str">
        <f t="shared" si="163"/>
        <v/>
      </c>
      <c r="BD809" s="430">
        <f>IFERROR(
IF(BB809="",-100,
IF($BV$2&gt;0, INDEX(Beersheet!$A:$U,MATCH(BB809,INDEX(Beersheet!$A:$U,0,FFARawStatProjections!$BV$2),0),$BV$3)+$BN809,
INDEX($A809:$BM809,,$BV$12)*$BW$12+
INDEX($A809:$BM809,,$BV$15)*$BW$15+
INDEX($A809:$BM809,,$BV$16)*$BW$16+
INDEX($A809:$BM809,,$BV$17)*$BW$17+
INDEX($A809:$BM809,,$BV$18)*$BW$18+
INDEX($A809:$BM809,,$BV$19)*$BW$19+
INDEX($A809:$BM809,,$BV$20)*$BW$20+
INDEX($A809:$BM809,,$BV$21)*$BW$21+
INDEX($A809:$BM809,,$BV$22)*$BW$22+
INDEX($A809:$BM809,,$BV$23)*$BW$23+
INDEX($A809:$BM809,,$BV$25)*$BW$25+
INDEX($A809:$BM809,,$BV$26)*$BW$26+
INDEX($A809:$BM809,,$BV$27)*$BW$27+
$BN809)),
$BN809-100)</f>
        <v>-100</v>
      </c>
      <c r="BF809" t="str">
        <f t="shared" si="168"/>
        <v/>
      </c>
      <c r="BG809" t="str">
        <f t="shared" si="164"/>
        <v/>
      </c>
      <c r="BH809">
        <f t="shared" si="169"/>
        <v>0</v>
      </c>
      <c r="BJ809" t="str">
        <f t="shared" si="170"/>
        <v>IND</v>
      </c>
      <c r="BL809">
        <f t="shared" si="171"/>
        <v>109.20808000000001</v>
      </c>
      <c r="BN809">
        <v>8.0800000000000507E-3</v>
      </c>
    </row>
    <row r="810" spans="1:66" ht="15.75" thickBot="1" x14ac:dyDescent="0.3">
      <c r="A810" s="569" t="s">
        <v>161</v>
      </c>
      <c r="B810" s="569" t="s">
        <v>161</v>
      </c>
      <c r="C810" s="569" t="s">
        <v>160</v>
      </c>
      <c r="D810" s="574">
        <v>5</v>
      </c>
      <c r="E810" s="569"/>
      <c r="F810" s="569"/>
      <c r="G810" s="569"/>
      <c r="H810" s="569"/>
      <c r="I810" s="574">
        <v>0</v>
      </c>
      <c r="J810" s="574">
        <v>0</v>
      </c>
      <c r="K810" s="574">
        <v>0</v>
      </c>
      <c r="L810" s="574">
        <v>0</v>
      </c>
      <c r="M810" s="574">
        <v>0</v>
      </c>
      <c r="N810" s="574">
        <v>0</v>
      </c>
      <c r="O810" s="574">
        <v>0</v>
      </c>
      <c r="P810" s="574">
        <v>0</v>
      </c>
      <c r="Q810" s="574">
        <v>0</v>
      </c>
      <c r="R810" s="569"/>
      <c r="S810" s="569"/>
      <c r="T810" s="569"/>
      <c r="U810" s="569"/>
      <c r="V810" s="569"/>
      <c r="W810" s="569"/>
      <c r="X810" s="569"/>
      <c r="Y810" s="569"/>
      <c r="Z810" s="569"/>
      <c r="AA810" s="569"/>
      <c r="AB810" s="569"/>
      <c r="AC810" s="569"/>
      <c r="AD810" s="569"/>
      <c r="AE810" s="569"/>
      <c r="AF810" s="569"/>
      <c r="AG810" s="569"/>
      <c r="AH810" s="569"/>
      <c r="AI810" s="569"/>
      <c r="AJ810" s="569"/>
      <c r="AK810" s="569"/>
      <c r="AL810" s="569"/>
      <c r="AM810" s="569"/>
      <c r="AN810" s="574">
        <v>108.8</v>
      </c>
      <c r="AO810">
        <v>809</v>
      </c>
      <c r="AP810" t="str">
        <f t="shared" si="159"/>
        <v/>
      </c>
      <c r="AQ810" t="str">
        <f t="shared" si="160"/>
        <v/>
      </c>
      <c r="AR810" s="430">
        <f>IFERROR(
IF(AP810="",-100,
IF($BV$2&gt;0, INDEX(Beersheet!$A:$U,MATCH(AP810,INDEX(Beersheet!$A:$U,0,FFARawStatProjections!$BV$2),0),$BV$3)+$BN810,
INDEX($A810:$BM810,,$BV$12)*$BW$12+
INDEX($A810:$BM810,,$BV$15)*$BW$15+
INDEX($A810:$BM810,,$BV$16)*$BW$16+
INDEX($A810:$BM810,,$BV$17)*$BW$17+
INDEX($A810:$BM810,,$BV$18)*$BW$18+
INDEX($A810:$BM810,,$BV$19)*$BW$19+
INDEX($A810:$BM810,,$BV$20)*$BW$20+
INDEX($A810:$BM810,,$BV$21)*$BW$21+
INDEX($A810:$BM810,,$BV$22)*$BW$22+
INDEX($A810:$BM810,,$BV$23)*$BW$23+
INDEX($A810:$BM810,,$BV$25)*$BW$25+
INDEX($A810:$BM810,,$BV$26)*$BW$26+
INDEX($A810:$BM810,,$BV$27)*$BW$27+
$BN810)),
$BN810-100)</f>
        <v>-100</v>
      </c>
      <c r="AT810" t="str">
        <f t="shared" si="165"/>
        <v/>
      </c>
      <c r="AU810" t="str">
        <f t="shared" si="161"/>
        <v/>
      </c>
      <c r="AV810" s="430">
        <f>IFERROR(
IF(AT810="",-100,
IF($BV$2&gt;0, INDEX(Beersheet!$A:$U,MATCH(AT810,INDEX(Beersheet!$A:$U,0,FFARawStatProjections!$BV$2),0),$BV$3)+$BN810,
INDEX($A810:$BM810,,$BV$12)*$BW$12+
INDEX($A810:$BM810,,$BV$15)*$BW$15+
INDEX($A810:$BM810,,$BV$16)*$BW$16+
INDEX($A810:$BM810,,$BV$17)*$BW$17+
INDEX($A810:$BM810,,$BV$18)*$BW$18+
INDEX($A810:$BM810,,$BV$19)*$BW$19+
INDEX($A810:$BM810,,$BV$20)*$BW$20+
INDEX($A810:$BM810,,$BV$21)*$BW$21+
INDEX($A810:$BM810,,$BV$22)*$BW$22+
INDEX($A810:$BM810,,$BV$23)*$BW$23+
INDEX($A810:$BM810,,$BV$25)*$BW$25+
INDEX($A810:$BM810,,$BV$26)*$BW$26+
INDEX($A810:$BM810,,$BV$27)*$BW$27+
$BN810)),
$BN810-100)</f>
        <v>-100</v>
      </c>
      <c r="AX810" t="str">
        <f t="shared" si="166"/>
        <v/>
      </c>
      <c r="AY810" t="str">
        <f t="shared" si="162"/>
        <v/>
      </c>
      <c r="AZ810" s="430">
        <f>IFERROR(
IF(AX810="",-100,
IF($BV$2&gt;0, INDEX(Beersheet!$A:$U,MATCH(AX810,INDEX(Beersheet!$A:$U,0,FFARawStatProjections!$BV$2),0),$BV$3)+$BN810,
INDEX($A810:$BM810,,$BV$12)*$BW$12+
INDEX($A810:$BM810,,$BV$15)*$BW$15+
INDEX($A810:$BM810,,$BV$16)*$BW$16+
INDEX($A810:$BM810,,$BV$17)*$BW$17+
INDEX($A810:$BM810,,$BV$18)*$BW$18+
INDEX($A810:$BM810,,$BV$19)*$BW$19+
INDEX($A810:$BM810,,$BV$20)*$BW$20+
INDEX($A810:$BM810,,$BV$21)*$BW$21+
INDEX($A810:$BM810,,$BV$22)*$BW$22+
INDEX($A810:$BM810,,$BV$23)*$BW$23+
INDEX($A810:$BM810,,$BV$25)*$BW$25+
INDEX($A810:$BM810,,$BV$26)*$BW$26+
INDEX($A810:$BM810,,$BV$27)*$BW$27+
$BN810)),
$BN810-100)</f>
        <v>-100</v>
      </c>
      <c r="BB810" t="str">
        <f t="shared" si="167"/>
        <v/>
      </c>
      <c r="BC810" t="str">
        <f t="shared" si="163"/>
        <v/>
      </c>
      <c r="BD810" s="430">
        <f>IFERROR(
IF(BB810="",-100,
IF($BV$2&gt;0, INDEX(Beersheet!$A:$U,MATCH(BB810,INDEX(Beersheet!$A:$U,0,FFARawStatProjections!$BV$2),0),$BV$3)+$BN810,
INDEX($A810:$BM810,,$BV$12)*$BW$12+
INDEX($A810:$BM810,,$BV$15)*$BW$15+
INDEX($A810:$BM810,,$BV$16)*$BW$16+
INDEX($A810:$BM810,,$BV$17)*$BW$17+
INDEX($A810:$BM810,,$BV$18)*$BW$18+
INDEX($A810:$BM810,,$BV$19)*$BW$19+
INDEX($A810:$BM810,,$BV$20)*$BW$20+
INDEX($A810:$BM810,,$BV$21)*$BW$21+
INDEX($A810:$BM810,,$BV$22)*$BW$22+
INDEX($A810:$BM810,,$BV$23)*$BW$23+
INDEX($A810:$BM810,,$BV$25)*$BW$25+
INDEX($A810:$BM810,,$BV$26)*$BW$26+
INDEX($A810:$BM810,,$BV$27)*$BW$27+
$BN810)),
$BN810-100)</f>
        <v>-100</v>
      </c>
      <c r="BF810" t="str">
        <f t="shared" si="168"/>
        <v/>
      </c>
      <c r="BG810" t="str">
        <f t="shared" si="164"/>
        <v/>
      </c>
      <c r="BH810">
        <f t="shared" si="169"/>
        <v>0</v>
      </c>
      <c r="BJ810" t="str">
        <f t="shared" si="170"/>
        <v>CLE</v>
      </c>
      <c r="BL810">
        <f t="shared" si="171"/>
        <v>108.80808999999999</v>
      </c>
      <c r="BN810">
        <v>8.0900000000000503E-3</v>
      </c>
    </row>
    <row r="811" spans="1:66" ht="15.75" thickBot="1" x14ac:dyDescent="0.3">
      <c r="A811" s="569" t="s">
        <v>136</v>
      </c>
      <c r="B811" s="569" t="s">
        <v>136</v>
      </c>
      <c r="C811" s="569" t="s">
        <v>160</v>
      </c>
      <c r="D811" s="574">
        <v>10</v>
      </c>
      <c r="E811" s="569"/>
      <c r="F811" s="569"/>
      <c r="G811" s="569"/>
      <c r="H811" s="569"/>
      <c r="I811" s="574">
        <v>0</v>
      </c>
      <c r="J811" s="574">
        <v>0</v>
      </c>
      <c r="K811" s="574">
        <v>0</v>
      </c>
      <c r="L811" s="574">
        <v>0</v>
      </c>
      <c r="M811" s="574">
        <v>0</v>
      </c>
      <c r="N811" s="574">
        <v>0</v>
      </c>
      <c r="O811" s="574">
        <v>0</v>
      </c>
      <c r="P811" s="574">
        <v>0</v>
      </c>
      <c r="Q811" s="574">
        <v>0</v>
      </c>
      <c r="R811" s="569"/>
      <c r="S811" s="569"/>
      <c r="T811" s="569"/>
      <c r="U811" s="569"/>
      <c r="V811" s="569"/>
      <c r="W811" s="569"/>
      <c r="X811" s="569"/>
      <c r="Y811" s="569"/>
      <c r="Z811" s="569"/>
      <c r="AA811" s="569"/>
      <c r="AB811" s="569"/>
      <c r="AC811" s="569"/>
      <c r="AD811" s="569"/>
      <c r="AE811" s="569"/>
      <c r="AF811" s="569"/>
      <c r="AG811" s="569"/>
      <c r="AH811" s="569"/>
      <c r="AI811" s="569"/>
      <c r="AJ811" s="569"/>
      <c r="AK811" s="569"/>
      <c r="AL811" s="569"/>
      <c r="AM811" s="569"/>
      <c r="AN811" s="574">
        <v>108.4</v>
      </c>
      <c r="AO811">
        <v>810</v>
      </c>
      <c r="AP811" t="str">
        <f t="shared" si="159"/>
        <v/>
      </c>
      <c r="AQ811" t="str">
        <f t="shared" si="160"/>
        <v/>
      </c>
      <c r="AR811" s="430">
        <f>IFERROR(
IF(AP811="",-100,
IF($BV$2&gt;0, INDEX(Beersheet!$A:$U,MATCH(AP811,INDEX(Beersheet!$A:$U,0,FFARawStatProjections!$BV$2),0),$BV$3)+$BN811,
INDEX($A811:$BM811,,$BV$12)*$BW$12+
INDEX($A811:$BM811,,$BV$15)*$BW$15+
INDEX($A811:$BM811,,$BV$16)*$BW$16+
INDEX($A811:$BM811,,$BV$17)*$BW$17+
INDEX($A811:$BM811,,$BV$18)*$BW$18+
INDEX($A811:$BM811,,$BV$19)*$BW$19+
INDEX($A811:$BM811,,$BV$20)*$BW$20+
INDEX($A811:$BM811,,$BV$21)*$BW$21+
INDEX($A811:$BM811,,$BV$22)*$BW$22+
INDEX($A811:$BM811,,$BV$23)*$BW$23+
INDEX($A811:$BM811,,$BV$25)*$BW$25+
INDEX($A811:$BM811,,$BV$26)*$BW$26+
INDEX($A811:$BM811,,$BV$27)*$BW$27+
$BN811)),
$BN811-100)</f>
        <v>-100</v>
      </c>
      <c r="AT811" t="str">
        <f t="shared" si="165"/>
        <v/>
      </c>
      <c r="AU811" t="str">
        <f t="shared" si="161"/>
        <v/>
      </c>
      <c r="AV811" s="430">
        <f>IFERROR(
IF(AT811="",-100,
IF($BV$2&gt;0, INDEX(Beersheet!$A:$U,MATCH(AT811,INDEX(Beersheet!$A:$U,0,FFARawStatProjections!$BV$2),0),$BV$3)+$BN811,
INDEX($A811:$BM811,,$BV$12)*$BW$12+
INDEX($A811:$BM811,,$BV$15)*$BW$15+
INDEX($A811:$BM811,,$BV$16)*$BW$16+
INDEX($A811:$BM811,,$BV$17)*$BW$17+
INDEX($A811:$BM811,,$BV$18)*$BW$18+
INDEX($A811:$BM811,,$BV$19)*$BW$19+
INDEX($A811:$BM811,,$BV$20)*$BW$20+
INDEX($A811:$BM811,,$BV$21)*$BW$21+
INDEX($A811:$BM811,,$BV$22)*$BW$22+
INDEX($A811:$BM811,,$BV$23)*$BW$23+
INDEX($A811:$BM811,,$BV$25)*$BW$25+
INDEX($A811:$BM811,,$BV$26)*$BW$26+
INDEX($A811:$BM811,,$BV$27)*$BW$27+
$BN811)),
$BN811-100)</f>
        <v>-100</v>
      </c>
      <c r="AX811" t="str">
        <f t="shared" si="166"/>
        <v/>
      </c>
      <c r="AY811" t="str">
        <f t="shared" si="162"/>
        <v/>
      </c>
      <c r="AZ811" s="430">
        <f>IFERROR(
IF(AX811="",-100,
IF($BV$2&gt;0, INDEX(Beersheet!$A:$U,MATCH(AX811,INDEX(Beersheet!$A:$U,0,FFARawStatProjections!$BV$2),0),$BV$3)+$BN811,
INDEX($A811:$BM811,,$BV$12)*$BW$12+
INDEX($A811:$BM811,,$BV$15)*$BW$15+
INDEX($A811:$BM811,,$BV$16)*$BW$16+
INDEX($A811:$BM811,,$BV$17)*$BW$17+
INDEX($A811:$BM811,,$BV$18)*$BW$18+
INDEX($A811:$BM811,,$BV$19)*$BW$19+
INDEX($A811:$BM811,,$BV$20)*$BW$20+
INDEX($A811:$BM811,,$BV$21)*$BW$21+
INDEX($A811:$BM811,,$BV$22)*$BW$22+
INDEX($A811:$BM811,,$BV$23)*$BW$23+
INDEX($A811:$BM811,,$BV$25)*$BW$25+
INDEX($A811:$BM811,,$BV$26)*$BW$26+
INDEX($A811:$BM811,,$BV$27)*$BW$27+
$BN811)),
$BN811-100)</f>
        <v>-100</v>
      </c>
      <c r="BB811" t="str">
        <f t="shared" si="167"/>
        <v/>
      </c>
      <c r="BC811" t="str">
        <f t="shared" si="163"/>
        <v/>
      </c>
      <c r="BD811" s="430">
        <f>IFERROR(
IF(BB811="",-100,
IF($BV$2&gt;0, INDEX(Beersheet!$A:$U,MATCH(BB811,INDEX(Beersheet!$A:$U,0,FFARawStatProjections!$BV$2),0),$BV$3)+$BN811,
INDEX($A811:$BM811,,$BV$12)*$BW$12+
INDEX($A811:$BM811,,$BV$15)*$BW$15+
INDEX($A811:$BM811,,$BV$16)*$BW$16+
INDEX($A811:$BM811,,$BV$17)*$BW$17+
INDEX($A811:$BM811,,$BV$18)*$BW$18+
INDEX($A811:$BM811,,$BV$19)*$BW$19+
INDEX($A811:$BM811,,$BV$20)*$BW$20+
INDEX($A811:$BM811,,$BV$21)*$BW$21+
INDEX($A811:$BM811,,$BV$22)*$BW$22+
INDEX($A811:$BM811,,$BV$23)*$BW$23+
INDEX($A811:$BM811,,$BV$25)*$BW$25+
INDEX($A811:$BM811,,$BV$26)*$BW$26+
INDEX($A811:$BM811,,$BV$27)*$BW$27+
$BN811)),
$BN811-100)</f>
        <v>-100</v>
      </c>
      <c r="BF811" t="str">
        <f t="shared" si="168"/>
        <v/>
      </c>
      <c r="BG811" t="str">
        <f t="shared" si="164"/>
        <v/>
      </c>
      <c r="BH811">
        <f t="shared" si="169"/>
        <v>0</v>
      </c>
      <c r="BJ811" t="str">
        <f t="shared" si="170"/>
        <v>KC</v>
      </c>
      <c r="BL811">
        <f t="shared" si="171"/>
        <v>108.4081</v>
      </c>
      <c r="BN811">
        <v>8.1000000000000499E-3</v>
      </c>
    </row>
    <row r="812" spans="1:66" ht="15.75" thickBot="1" x14ac:dyDescent="0.3">
      <c r="A812" s="569" t="s">
        <v>155</v>
      </c>
      <c r="B812" s="569" t="s">
        <v>155</v>
      </c>
      <c r="C812" s="569" t="s">
        <v>160</v>
      </c>
      <c r="D812" s="574">
        <v>9</v>
      </c>
      <c r="E812" s="569"/>
      <c r="F812" s="569"/>
      <c r="G812" s="569"/>
      <c r="H812" s="569"/>
      <c r="I812" s="574">
        <v>0</v>
      </c>
      <c r="J812" s="574">
        <v>0</v>
      </c>
      <c r="K812" s="574">
        <v>0</v>
      </c>
      <c r="L812" s="574">
        <v>0</v>
      </c>
      <c r="M812" s="574">
        <v>0</v>
      </c>
      <c r="N812" s="574">
        <v>0</v>
      </c>
      <c r="O812" s="574">
        <v>0</v>
      </c>
      <c r="P812" s="574">
        <v>0</v>
      </c>
      <c r="Q812" s="574">
        <v>0</v>
      </c>
      <c r="R812" s="569"/>
      <c r="S812" s="569"/>
      <c r="T812" s="569"/>
      <c r="U812" s="569"/>
      <c r="V812" s="569"/>
      <c r="W812" s="569"/>
      <c r="X812" s="569"/>
      <c r="Y812" s="569"/>
      <c r="Z812" s="569"/>
      <c r="AA812" s="569"/>
      <c r="AB812" s="569"/>
      <c r="AC812" s="569"/>
      <c r="AD812" s="569"/>
      <c r="AE812" s="569"/>
      <c r="AF812" s="569"/>
      <c r="AG812" s="569"/>
      <c r="AH812" s="569"/>
      <c r="AI812" s="569"/>
      <c r="AJ812" s="569"/>
      <c r="AK812" s="569"/>
      <c r="AL812" s="569"/>
      <c r="AM812" s="569"/>
      <c r="AN812" s="574">
        <v>108.2</v>
      </c>
      <c r="AO812">
        <v>811</v>
      </c>
      <c r="AP812" t="str">
        <f t="shared" si="159"/>
        <v/>
      </c>
      <c r="AQ812" t="str">
        <f t="shared" si="160"/>
        <v/>
      </c>
      <c r="AR812" s="430">
        <f>IFERROR(
IF(AP812="",-100,
IF($BV$2&gt;0, INDEX(Beersheet!$A:$U,MATCH(AP812,INDEX(Beersheet!$A:$U,0,FFARawStatProjections!$BV$2),0),$BV$3)+$BN812,
INDEX($A812:$BM812,,$BV$12)*$BW$12+
INDEX($A812:$BM812,,$BV$15)*$BW$15+
INDEX($A812:$BM812,,$BV$16)*$BW$16+
INDEX($A812:$BM812,,$BV$17)*$BW$17+
INDEX($A812:$BM812,,$BV$18)*$BW$18+
INDEX($A812:$BM812,,$BV$19)*$BW$19+
INDEX($A812:$BM812,,$BV$20)*$BW$20+
INDEX($A812:$BM812,,$BV$21)*$BW$21+
INDEX($A812:$BM812,,$BV$22)*$BW$22+
INDEX($A812:$BM812,,$BV$23)*$BW$23+
INDEX($A812:$BM812,,$BV$25)*$BW$25+
INDEX($A812:$BM812,,$BV$26)*$BW$26+
INDEX($A812:$BM812,,$BV$27)*$BW$27+
$BN812)),
$BN812-100)</f>
        <v>-100</v>
      </c>
      <c r="AT812" t="str">
        <f t="shared" si="165"/>
        <v/>
      </c>
      <c r="AU812" t="str">
        <f t="shared" si="161"/>
        <v/>
      </c>
      <c r="AV812" s="430">
        <f>IFERROR(
IF(AT812="",-100,
IF($BV$2&gt;0, INDEX(Beersheet!$A:$U,MATCH(AT812,INDEX(Beersheet!$A:$U,0,FFARawStatProjections!$BV$2),0),$BV$3)+$BN812,
INDEX($A812:$BM812,,$BV$12)*$BW$12+
INDEX($A812:$BM812,,$BV$15)*$BW$15+
INDEX($A812:$BM812,,$BV$16)*$BW$16+
INDEX($A812:$BM812,,$BV$17)*$BW$17+
INDEX($A812:$BM812,,$BV$18)*$BW$18+
INDEX($A812:$BM812,,$BV$19)*$BW$19+
INDEX($A812:$BM812,,$BV$20)*$BW$20+
INDEX($A812:$BM812,,$BV$21)*$BW$21+
INDEX($A812:$BM812,,$BV$22)*$BW$22+
INDEX($A812:$BM812,,$BV$23)*$BW$23+
INDEX($A812:$BM812,,$BV$25)*$BW$25+
INDEX($A812:$BM812,,$BV$26)*$BW$26+
INDEX($A812:$BM812,,$BV$27)*$BW$27+
$BN812)),
$BN812-100)</f>
        <v>-100</v>
      </c>
      <c r="AX812" t="str">
        <f t="shared" si="166"/>
        <v/>
      </c>
      <c r="AY812" t="str">
        <f t="shared" si="162"/>
        <v/>
      </c>
      <c r="AZ812" s="430">
        <f>IFERROR(
IF(AX812="",-100,
IF($BV$2&gt;0, INDEX(Beersheet!$A:$U,MATCH(AX812,INDEX(Beersheet!$A:$U,0,FFARawStatProjections!$BV$2),0),$BV$3)+$BN812,
INDEX($A812:$BM812,,$BV$12)*$BW$12+
INDEX($A812:$BM812,,$BV$15)*$BW$15+
INDEX($A812:$BM812,,$BV$16)*$BW$16+
INDEX($A812:$BM812,,$BV$17)*$BW$17+
INDEX($A812:$BM812,,$BV$18)*$BW$18+
INDEX($A812:$BM812,,$BV$19)*$BW$19+
INDEX($A812:$BM812,,$BV$20)*$BW$20+
INDEX($A812:$BM812,,$BV$21)*$BW$21+
INDEX($A812:$BM812,,$BV$22)*$BW$22+
INDEX($A812:$BM812,,$BV$23)*$BW$23+
INDEX($A812:$BM812,,$BV$25)*$BW$25+
INDEX($A812:$BM812,,$BV$26)*$BW$26+
INDEX($A812:$BM812,,$BV$27)*$BW$27+
$BN812)),
$BN812-100)</f>
        <v>-100</v>
      </c>
      <c r="BB812" t="str">
        <f t="shared" si="167"/>
        <v/>
      </c>
      <c r="BC812" t="str">
        <f t="shared" si="163"/>
        <v/>
      </c>
      <c r="BD812" s="430">
        <f>IFERROR(
IF(BB812="",-100,
IF($BV$2&gt;0, INDEX(Beersheet!$A:$U,MATCH(BB812,INDEX(Beersheet!$A:$U,0,FFARawStatProjections!$BV$2),0),$BV$3)+$BN812,
INDEX($A812:$BM812,,$BV$12)*$BW$12+
INDEX($A812:$BM812,,$BV$15)*$BW$15+
INDEX($A812:$BM812,,$BV$16)*$BW$16+
INDEX($A812:$BM812,,$BV$17)*$BW$17+
INDEX($A812:$BM812,,$BV$18)*$BW$18+
INDEX($A812:$BM812,,$BV$19)*$BW$19+
INDEX($A812:$BM812,,$BV$20)*$BW$20+
INDEX($A812:$BM812,,$BV$21)*$BW$21+
INDEX($A812:$BM812,,$BV$22)*$BW$22+
INDEX($A812:$BM812,,$BV$23)*$BW$23+
INDEX($A812:$BM812,,$BV$25)*$BW$25+
INDEX($A812:$BM812,,$BV$26)*$BW$26+
INDEX($A812:$BM812,,$BV$27)*$BW$27+
$BN812)),
$BN812-100)</f>
        <v>-100</v>
      </c>
      <c r="BF812" t="str">
        <f t="shared" si="168"/>
        <v/>
      </c>
      <c r="BG812" t="str">
        <f t="shared" si="164"/>
        <v/>
      </c>
      <c r="BH812">
        <f t="shared" si="169"/>
        <v>0</v>
      </c>
      <c r="BJ812" t="str">
        <f t="shared" si="170"/>
        <v>SF</v>
      </c>
      <c r="BL812">
        <f t="shared" si="171"/>
        <v>108.20811</v>
      </c>
      <c r="BN812">
        <v>8.1100000000000495E-3</v>
      </c>
    </row>
    <row r="813" spans="1:66" ht="15.75" thickBot="1" x14ac:dyDescent="0.3">
      <c r="A813" s="569" t="s">
        <v>152</v>
      </c>
      <c r="B813" s="569" t="s">
        <v>152</v>
      </c>
      <c r="C813" s="569" t="s">
        <v>160</v>
      </c>
      <c r="D813" s="574">
        <v>14</v>
      </c>
      <c r="E813" s="569"/>
      <c r="F813" s="569"/>
      <c r="G813" s="569"/>
      <c r="H813" s="569"/>
      <c r="I813" s="574">
        <v>0</v>
      </c>
      <c r="J813" s="574">
        <v>0</v>
      </c>
      <c r="K813" s="574">
        <v>0</v>
      </c>
      <c r="L813" s="574">
        <v>0</v>
      </c>
      <c r="M813" s="574">
        <v>0</v>
      </c>
      <c r="N813" s="574">
        <v>0</v>
      </c>
      <c r="O813" s="574">
        <v>0</v>
      </c>
      <c r="P813" s="574">
        <v>0</v>
      </c>
      <c r="Q813" s="574">
        <v>0</v>
      </c>
      <c r="R813" s="569"/>
      <c r="S813" s="569"/>
      <c r="T813" s="569"/>
      <c r="U813" s="569"/>
      <c r="V813" s="569"/>
      <c r="W813" s="569"/>
      <c r="X813" s="569"/>
      <c r="Y813" s="569"/>
      <c r="Z813" s="569"/>
      <c r="AA813" s="569"/>
      <c r="AB813" s="569"/>
      <c r="AC813" s="569"/>
      <c r="AD813" s="569"/>
      <c r="AE813" s="569"/>
      <c r="AF813" s="569"/>
      <c r="AG813" s="569"/>
      <c r="AH813" s="569"/>
      <c r="AI813" s="569"/>
      <c r="AJ813" s="569"/>
      <c r="AK813" s="569"/>
      <c r="AL813" s="569"/>
      <c r="AM813" s="569"/>
      <c r="AN813" s="574">
        <v>107.4</v>
      </c>
      <c r="AO813">
        <v>812</v>
      </c>
      <c r="AP813" t="str">
        <f t="shared" si="159"/>
        <v/>
      </c>
      <c r="AQ813" t="str">
        <f t="shared" si="160"/>
        <v/>
      </c>
      <c r="AR813" s="430">
        <f>IFERROR(
IF(AP813="",-100,
IF($BV$2&gt;0, INDEX(Beersheet!$A:$U,MATCH(AP813,INDEX(Beersheet!$A:$U,0,FFARawStatProjections!$BV$2),0),$BV$3)+$BN813,
INDEX($A813:$BM813,,$BV$12)*$BW$12+
INDEX($A813:$BM813,,$BV$15)*$BW$15+
INDEX($A813:$BM813,,$BV$16)*$BW$16+
INDEX($A813:$BM813,,$BV$17)*$BW$17+
INDEX($A813:$BM813,,$BV$18)*$BW$18+
INDEX($A813:$BM813,,$BV$19)*$BW$19+
INDEX($A813:$BM813,,$BV$20)*$BW$20+
INDEX($A813:$BM813,,$BV$21)*$BW$21+
INDEX($A813:$BM813,,$BV$22)*$BW$22+
INDEX($A813:$BM813,,$BV$23)*$BW$23+
INDEX($A813:$BM813,,$BV$25)*$BW$25+
INDEX($A813:$BM813,,$BV$26)*$BW$26+
INDEX($A813:$BM813,,$BV$27)*$BW$27+
$BN813)),
$BN813-100)</f>
        <v>-100</v>
      </c>
      <c r="AT813" t="str">
        <f t="shared" si="165"/>
        <v/>
      </c>
      <c r="AU813" t="str">
        <f t="shared" si="161"/>
        <v/>
      </c>
      <c r="AV813" s="430">
        <f>IFERROR(
IF(AT813="",-100,
IF($BV$2&gt;0, INDEX(Beersheet!$A:$U,MATCH(AT813,INDEX(Beersheet!$A:$U,0,FFARawStatProjections!$BV$2),0),$BV$3)+$BN813,
INDEX($A813:$BM813,,$BV$12)*$BW$12+
INDEX($A813:$BM813,,$BV$15)*$BW$15+
INDEX($A813:$BM813,,$BV$16)*$BW$16+
INDEX($A813:$BM813,,$BV$17)*$BW$17+
INDEX($A813:$BM813,,$BV$18)*$BW$18+
INDEX($A813:$BM813,,$BV$19)*$BW$19+
INDEX($A813:$BM813,,$BV$20)*$BW$20+
INDEX($A813:$BM813,,$BV$21)*$BW$21+
INDEX($A813:$BM813,,$BV$22)*$BW$22+
INDEX($A813:$BM813,,$BV$23)*$BW$23+
INDEX($A813:$BM813,,$BV$25)*$BW$25+
INDEX($A813:$BM813,,$BV$26)*$BW$26+
INDEX($A813:$BM813,,$BV$27)*$BW$27+
$BN813)),
$BN813-100)</f>
        <v>-100</v>
      </c>
      <c r="AX813" t="str">
        <f t="shared" si="166"/>
        <v/>
      </c>
      <c r="AY813" t="str">
        <f t="shared" si="162"/>
        <v/>
      </c>
      <c r="AZ813" s="430">
        <f>IFERROR(
IF(AX813="",-100,
IF($BV$2&gt;0, INDEX(Beersheet!$A:$U,MATCH(AX813,INDEX(Beersheet!$A:$U,0,FFARawStatProjections!$BV$2),0),$BV$3)+$BN813,
INDEX($A813:$BM813,,$BV$12)*$BW$12+
INDEX($A813:$BM813,,$BV$15)*$BW$15+
INDEX($A813:$BM813,,$BV$16)*$BW$16+
INDEX($A813:$BM813,,$BV$17)*$BW$17+
INDEX($A813:$BM813,,$BV$18)*$BW$18+
INDEX($A813:$BM813,,$BV$19)*$BW$19+
INDEX($A813:$BM813,,$BV$20)*$BW$20+
INDEX($A813:$BM813,,$BV$21)*$BW$21+
INDEX($A813:$BM813,,$BV$22)*$BW$22+
INDEX($A813:$BM813,,$BV$23)*$BW$23+
INDEX($A813:$BM813,,$BV$25)*$BW$25+
INDEX($A813:$BM813,,$BV$26)*$BW$26+
INDEX($A813:$BM813,,$BV$27)*$BW$27+
$BN813)),
$BN813-100)</f>
        <v>-100</v>
      </c>
      <c r="BB813" t="str">
        <f t="shared" si="167"/>
        <v/>
      </c>
      <c r="BC813" t="str">
        <f t="shared" si="163"/>
        <v/>
      </c>
      <c r="BD813" s="430">
        <f>IFERROR(
IF(BB813="",-100,
IF($BV$2&gt;0, INDEX(Beersheet!$A:$U,MATCH(BB813,INDEX(Beersheet!$A:$U,0,FFARawStatProjections!$BV$2),0),$BV$3)+$BN813,
INDEX($A813:$BM813,,$BV$12)*$BW$12+
INDEX($A813:$BM813,,$BV$15)*$BW$15+
INDEX($A813:$BM813,,$BV$16)*$BW$16+
INDEX($A813:$BM813,,$BV$17)*$BW$17+
INDEX($A813:$BM813,,$BV$18)*$BW$18+
INDEX($A813:$BM813,,$BV$19)*$BW$19+
INDEX($A813:$BM813,,$BV$20)*$BW$20+
INDEX($A813:$BM813,,$BV$21)*$BW$21+
INDEX($A813:$BM813,,$BV$22)*$BW$22+
INDEX($A813:$BM813,,$BV$23)*$BW$23+
INDEX($A813:$BM813,,$BV$25)*$BW$25+
INDEX($A813:$BM813,,$BV$26)*$BW$26+
INDEX($A813:$BM813,,$BV$27)*$BW$27+
$BN813)),
$BN813-100)</f>
        <v>-100</v>
      </c>
      <c r="BF813" t="str">
        <f t="shared" si="168"/>
        <v/>
      </c>
      <c r="BG813" t="str">
        <f t="shared" si="164"/>
        <v/>
      </c>
      <c r="BH813">
        <f t="shared" si="169"/>
        <v>0</v>
      </c>
      <c r="BJ813" t="str">
        <f t="shared" si="170"/>
        <v>WAS</v>
      </c>
      <c r="BL813">
        <f t="shared" si="171"/>
        <v>107.40812000000001</v>
      </c>
      <c r="BN813">
        <v>8.1200000000000508E-3</v>
      </c>
    </row>
    <row r="814" spans="1:66" ht="15.75" thickBot="1" x14ac:dyDescent="0.3">
      <c r="A814" s="569" t="s">
        <v>166</v>
      </c>
      <c r="B814" s="569" t="s">
        <v>166</v>
      </c>
      <c r="C814" s="569" t="s">
        <v>160</v>
      </c>
      <c r="D814" s="574">
        <v>10</v>
      </c>
      <c r="E814" s="569"/>
      <c r="F814" s="569"/>
      <c r="G814" s="569"/>
      <c r="H814" s="569"/>
      <c r="I814" s="574">
        <v>0</v>
      </c>
      <c r="J814" s="574">
        <v>0</v>
      </c>
      <c r="K814" s="574">
        <v>0</v>
      </c>
      <c r="L814" s="574">
        <v>0</v>
      </c>
      <c r="M814" s="574">
        <v>0</v>
      </c>
      <c r="N814" s="574">
        <v>0</v>
      </c>
      <c r="O814" s="574">
        <v>0</v>
      </c>
      <c r="P814" s="574">
        <v>0</v>
      </c>
      <c r="Q814" s="574">
        <v>0</v>
      </c>
      <c r="R814" s="569"/>
      <c r="S814" s="569"/>
      <c r="T814" s="569"/>
      <c r="U814" s="569"/>
      <c r="V814" s="569"/>
      <c r="W814" s="569"/>
      <c r="X814" s="569"/>
      <c r="Y814" s="569"/>
      <c r="Z814" s="569"/>
      <c r="AA814" s="569"/>
      <c r="AB814" s="569"/>
      <c r="AC814" s="569"/>
      <c r="AD814" s="569"/>
      <c r="AE814" s="569"/>
      <c r="AF814" s="569"/>
      <c r="AG814" s="569"/>
      <c r="AH814" s="569"/>
      <c r="AI814" s="569"/>
      <c r="AJ814" s="569"/>
      <c r="AK814" s="569"/>
      <c r="AL814" s="569"/>
      <c r="AM814" s="569"/>
      <c r="AN814" s="574">
        <v>107.2</v>
      </c>
      <c r="AO814">
        <v>813</v>
      </c>
      <c r="AP814" t="str">
        <f t="shared" si="159"/>
        <v/>
      </c>
      <c r="AQ814" t="str">
        <f t="shared" si="160"/>
        <v/>
      </c>
      <c r="AR814" s="430">
        <f>IFERROR(
IF(AP814="",-100,
IF($BV$2&gt;0, INDEX(Beersheet!$A:$U,MATCH(AP814,INDEX(Beersheet!$A:$U,0,FFARawStatProjections!$BV$2),0),$BV$3)+$BN814,
INDEX($A814:$BM814,,$BV$12)*$BW$12+
INDEX($A814:$BM814,,$BV$15)*$BW$15+
INDEX($A814:$BM814,,$BV$16)*$BW$16+
INDEX($A814:$BM814,,$BV$17)*$BW$17+
INDEX($A814:$BM814,,$BV$18)*$BW$18+
INDEX($A814:$BM814,,$BV$19)*$BW$19+
INDEX($A814:$BM814,,$BV$20)*$BW$20+
INDEX($A814:$BM814,,$BV$21)*$BW$21+
INDEX($A814:$BM814,,$BV$22)*$BW$22+
INDEX($A814:$BM814,,$BV$23)*$BW$23+
INDEX($A814:$BM814,,$BV$25)*$BW$25+
INDEX($A814:$BM814,,$BV$26)*$BW$26+
INDEX($A814:$BM814,,$BV$27)*$BW$27+
$BN814)),
$BN814-100)</f>
        <v>-100</v>
      </c>
      <c r="AT814" t="str">
        <f t="shared" si="165"/>
        <v/>
      </c>
      <c r="AU814" t="str">
        <f t="shared" si="161"/>
        <v/>
      </c>
      <c r="AV814" s="430">
        <f>IFERROR(
IF(AT814="",-100,
IF($BV$2&gt;0, INDEX(Beersheet!$A:$U,MATCH(AT814,INDEX(Beersheet!$A:$U,0,FFARawStatProjections!$BV$2),0),$BV$3)+$BN814,
INDEX($A814:$BM814,,$BV$12)*$BW$12+
INDEX($A814:$BM814,,$BV$15)*$BW$15+
INDEX($A814:$BM814,,$BV$16)*$BW$16+
INDEX($A814:$BM814,,$BV$17)*$BW$17+
INDEX($A814:$BM814,,$BV$18)*$BW$18+
INDEX($A814:$BM814,,$BV$19)*$BW$19+
INDEX($A814:$BM814,,$BV$20)*$BW$20+
INDEX($A814:$BM814,,$BV$21)*$BW$21+
INDEX($A814:$BM814,,$BV$22)*$BW$22+
INDEX($A814:$BM814,,$BV$23)*$BW$23+
INDEX($A814:$BM814,,$BV$25)*$BW$25+
INDEX($A814:$BM814,,$BV$26)*$BW$26+
INDEX($A814:$BM814,,$BV$27)*$BW$27+
$BN814)),
$BN814-100)</f>
        <v>-100</v>
      </c>
      <c r="AX814" t="str">
        <f t="shared" si="166"/>
        <v/>
      </c>
      <c r="AY814" t="str">
        <f t="shared" si="162"/>
        <v/>
      </c>
      <c r="AZ814" s="430">
        <f>IFERROR(
IF(AX814="",-100,
IF($BV$2&gt;0, INDEX(Beersheet!$A:$U,MATCH(AX814,INDEX(Beersheet!$A:$U,0,FFARawStatProjections!$BV$2),0),$BV$3)+$BN814,
INDEX($A814:$BM814,,$BV$12)*$BW$12+
INDEX($A814:$BM814,,$BV$15)*$BW$15+
INDEX($A814:$BM814,,$BV$16)*$BW$16+
INDEX($A814:$BM814,,$BV$17)*$BW$17+
INDEX($A814:$BM814,,$BV$18)*$BW$18+
INDEX($A814:$BM814,,$BV$19)*$BW$19+
INDEX($A814:$BM814,,$BV$20)*$BW$20+
INDEX($A814:$BM814,,$BV$21)*$BW$21+
INDEX($A814:$BM814,,$BV$22)*$BW$22+
INDEX($A814:$BM814,,$BV$23)*$BW$23+
INDEX($A814:$BM814,,$BV$25)*$BW$25+
INDEX($A814:$BM814,,$BV$26)*$BW$26+
INDEX($A814:$BM814,,$BV$27)*$BW$27+
$BN814)),
$BN814-100)</f>
        <v>-100</v>
      </c>
      <c r="BB814" t="str">
        <f t="shared" si="167"/>
        <v/>
      </c>
      <c r="BC814" t="str">
        <f t="shared" si="163"/>
        <v/>
      </c>
      <c r="BD814" s="430">
        <f>IFERROR(
IF(BB814="",-100,
IF($BV$2&gt;0, INDEX(Beersheet!$A:$U,MATCH(BB814,INDEX(Beersheet!$A:$U,0,FFARawStatProjections!$BV$2),0),$BV$3)+$BN814,
INDEX($A814:$BM814,,$BV$12)*$BW$12+
INDEX($A814:$BM814,,$BV$15)*$BW$15+
INDEX($A814:$BM814,,$BV$16)*$BW$16+
INDEX($A814:$BM814,,$BV$17)*$BW$17+
INDEX($A814:$BM814,,$BV$18)*$BW$18+
INDEX($A814:$BM814,,$BV$19)*$BW$19+
INDEX($A814:$BM814,,$BV$20)*$BW$20+
INDEX($A814:$BM814,,$BV$21)*$BW$21+
INDEX($A814:$BM814,,$BV$22)*$BW$22+
INDEX($A814:$BM814,,$BV$23)*$BW$23+
INDEX($A814:$BM814,,$BV$25)*$BW$25+
INDEX($A814:$BM814,,$BV$26)*$BW$26+
INDEX($A814:$BM814,,$BV$27)*$BW$27+
$BN814)),
$BN814-100)</f>
        <v>-100</v>
      </c>
      <c r="BF814" t="str">
        <f t="shared" si="168"/>
        <v/>
      </c>
      <c r="BG814" t="str">
        <f t="shared" si="164"/>
        <v/>
      </c>
      <c r="BH814">
        <f t="shared" si="169"/>
        <v>0</v>
      </c>
      <c r="BJ814" t="str">
        <f t="shared" si="170"/>
        <v>MIA</v>
      </c>
      <c r="BL814">
        <f t="shared" si="171"/>
        <v>107.20813</v>
      </c>
      <c r="BN814">
        <v>8.1300000000000504E-3</v>
      </c>
    </row>
    <row r="815" spans="1:66" ht="15.75" thickBot="1" x14ac:dyDescent="0.3">
      <c r="A815" s="569" t="s">
        <v>143</v>
      </c>
      <c r="B815" s="569" t="s">
        <v>143</v>
      </c>
      <c r="C815" s="569" t="s">
        <v>160</v>
      </c>
      <c r="D815" s="574">
        <v>11</v>
      </c>
      <c r="E815" s="569"/>
      <c r="F815" s="569"/>
      <c r="G815" s="569"/>
      <c r="H815" s="569"/>
      <c r="I815" s="574">
        <v>0</v>
      </c>
      <c r="J815" s="574">
        <v>0</v>
      </c>
      <c r="K815" s="574">
        <v>0</v>
      </c>
      <c r="L815" s="574">
        <v>0</v>
      </c>
      <c r="M815" s="574">
        <v>0</v>
      </c>
      <c r="N815" s="574">
        <v>0</v>
      </c>
      <c r="O815" s="574">
        <v>0</v>
      </c>
      <c r="P815" s="574">
        <v>0</v>
      </c>
      <c r="Q815" s="574">
        <v>0</v>
      </c>
      <c r="R815" s="569"/>
      <c r="S815" s="569"/>
      <c r="T815" s="569"/>
      <c r="U815" s="569"/>
      <c r="V815" s="569"/>
      <c r="W815" s="569"/>
      <c r="X815" s="569"/>
      <c r="Y815" s="569"/>
      <c r="Z815" s="569"/>
      <c r="AA815" s="569"/>
      <c r="AB815" s="569"/>
      <c r="AC815" s="569"/>
      <c r="AD815" s="569"/>
      <c r="AE815" s="569"/>
      <c r="AF815" s="569"/>
      <c r="AG815" s="569"/>
      <c r="AH815" s="569"/>
      <c r="AI815" s="569"/>
      <c r="AJ815" s="569"/>
      <c r="AK815" s="569"/>
      <c r="AL815" s="569"/>
      <c r="AM815" s="569"/>
      <c r="AN815" s="574">
        <v>106.7</v>
      </c>
      <c r="AO815">
        <v>814</v>
      </c>
      <c r="AP815" t="str">
        <f t="shared" si="159"/>
        <v/>
      </c>
      <c r="AQ815" t="str">
        <f t="shared" si="160"/>
        <v/>
      </c>
      <c r="AR815" s="430">
        <f>IFERROR(
IF(AP815="",-100,
IF($BV$2&gt;0, INDEX(Beersheet!$A:$U,MATCH(AP815,INDEX(Beersheet!$A:$U,0,FFARawStatProjections!$BV$2),0),$BV$3)+$BN815,
INDEX($A815:$BM815,,$BV$12)*$BW$12+
INDEX($A815:$BM815,,$BV$15)*$BW$15+
INDEX($A815:$BM815,,$BV$16)*$BW$16+
INDEX($A815:$BM815,,$BV$17)*$BW$17+
INDEX($A815:$BM815,,$BV$18)*$BW$18+
INDEX($A815:$BM815,,$BV$19)*$BW$19+
INDEX($A815:$BM815,,$BV$20)*$BW$20+
INDEX($A815:$BM815,,$BV$21)*$BW$21+
INDEX($A815:$BM815,,$BV$22)*$BW$22+
INDEX($A815:$BM815,,$BV$23)*$BW$23+
INDEX($A815:$BM815,,$BV$25)*$BW$25+
INDEX($A815:$BM815,,$BV$26)*$BW$26+
INDEX($A815:$BM815,,$BV$27)*$BW$27+
$BN815)),
$BN815-100)</f>
        <v>-100</v>
      </c>
      <c r="AT815" t="str">
        <f t="shared" si="165"/>
        <v/>
      </c>
      <c r="AU815" t="str">
        <f t="shared" si="161"/>
        <v/>
      </c>
      <c r="AV815" s="430">
        <f>IFERROR(
IF(AT815="",-100,
IF($BV$2&gt;0, INDEX(Beersheet!$A:$U,MATCH(AT815,INDEX(Beersheet!$A:$U,0,FFARawStatProjections!$BV$2),0),$BV$3)+$BN815,
INDEX($A815:$BM815,,$BV$12)*$BW$12+
INDEX($A815:$BM815,,$BV$15)*$BW$15+
INDEX($A815:$BM815,,$BV$16)*$BW$16+
INDEX($A815:$BM815,,$BV$17)*$BW$17+
INDEX($A815:$BM815,,$BV$18)*$BW$18+
INDEX($A815:$BM815,,$BV$19)*$BW$19+
INDEX($A815:$BM815,,$BV$20)*$BW$20+
INDEX($A815:$BM815,,$BV$21)*$BW$21+
INDEX($A815:$BM815,,$BV$22)*$BW$22+
INDEX($A815:$BM815,,$BV$23)*$BW$23+
INDEX($A815:$BM815,,$BV$25)*$BW$25+
INDEX($A815:$BM815,,$BV$26)*$BW$26+
INDEX($A815:$BM815,,$BV$27)*$BW$27+
$BN815)),
$BN815-100)</f>
        <v>-100</v>
      </c>
      <c r="AX815" t="str">
        <f t="shared" si="166"/>
        <v/>
      </c>
      <c r="AY815" t="str">
        <f t="shared" si="162"/>
        <v/>
      </c>
      <c r="AZ815" s="430">
        <f>IFERROR(
IF(AX815="",-100,
IF($BV$2&gt;0, INDEX(Beersheet!$A:$U,MATCH(AX815,INDEX(Beersheet!$A:$U,0,FFARawStatProjections!$BV$2),0),$BV$3)+$BN815,
INDEX($A815:$BM815,,$BV$12)*$BW$12+
INDEX($A815:$BM815,,$BV$15)*$BW$15+
INDEX($A815:$BM815,,$BV$16)*$BW$16+
INDEX($A815:$BM815,,$BV$17)*$BW$17+
INDEX($A815:$BM815,,$BV$18)*$BW$18+
INDEX($A815:$BM815,,$BV$19)*$BW$19+
INDEX($A815:$BM815,,$BV$20)*$BW$20+
INDEX($A815:$BM815,,$BV$21)*$BW$21+
INDEX($A815:$BM815,,$BV$22)*$BW$22+
INDEX($A815:$BM815,,$BV$23)*$BW$23+
INDEX($A815:$BM815,,$BV$25)*$BW$25+
INDEX($A815:$BM815,,$BV$26)*$BW$26+
INDEX($A815:$BM815,,$BV$27)*$BW$27+
$BN815)),
$BN815-100)</f>
        <v>-100</v>
      </c>
      <c r="BB815" t="str">
        <f t="shared" si="167"/>
        <v/>
      </c>
      <c r="BC815" t="str">
        <f t="shared" si="163"/>
        <v/>
      </c>
      <c r="BD815" s="430">
        <f>IFERROR(
IF(BB815="",-100,
IF($BV$2&gt;0, INDEX(Beersheet!$A:$U,MATCH(BB815,INDEX(Beersheet!$A:$U,0,FFARawStatProjections!$BV$2),0),$BV$3)+$BN815,
INDEX($A815:$BM815,,$BV$12)*$BW$12+
INDEX($A815:$BM815,,$BV$15)*$BW$15+
INDEX($A815:$BM815,,$BV$16)*$BW$16+
INDEX($A815:$BM815,,$BV$17)*$BW$17+
INDEX($A815:$BM815,,$BV$18)*$BW$18+
INDEX($A815:$BM815,,$BV$19)*$BW$19+
INDEX($A815:$BM815,,$BV$20)*$BW$20+
INDEX($A815:$BM815,,$BV$21)*$BW$21+
INDEX($A815:$BM815,,$BV$22)*$BW$22+
INDEX($A815:$BM815,,$BV$23)*$BW$23+
INDEX($A815:$BM815,,$BV$25)*$BW$25+
INDEX($A815:$BM815,,$BV$26)*$BW$26+
INDEX($A815:$BM815,,$BV$27)*$BW$27+
$BN815)),
$BN815-100)</f>
        <v>-100</v>
      </c>
      <c r="BF815" t="str">
        <f t="shared" si="168"/>
        <v/>
      </c>
      <c r="BG815" t="str">
        <f t="shared" si="164"/>
        <v/>
      </c>
      <c r="BH815">
        <f t="shared" si="169"/>
        <v>0</v>
      </c>
      <c r="BJ815" t="str">
        <f t="shared" si="170"/>
        <v>NO</v>
      </c>
      <c r="BL815">
        <f t="shared" si="171"/>
        <v>106.70814</v>
      </c>
      <c r="BN815">
        <v>8.14000000000005E-3</v>
      </c>
    </row>
    <row r="816" spans="1:66" ht="15.75" thickBot="1" x14ac:dyDescent="0.3">
      <c r="A816" s="569" t="s">
        <v>156</v>
      </c>
      <c r="B816" s="569" t="s">
        <v>156</v>
      </c>
      <c r="C816" s="569" t="s">
        <v>160</v>
      </c>
      <c r="D816" s="574">
        <v>13</v>
      </c>
      <c r="E816" s="569"/>
      <c r="F816" s="569"/>
      <c r="G816" s="569"/>
      <c r="H816" s="569"/>
      <c r="I816" s="574">
        <v>0</v>
      </c>
      <c r="J816" s="574">
        <v>0</v>
      </c>
      <c r="K816" s="574">
        <v>0</v>
      </c>
      <c r="L816" s="574">
        <v>0</v>
      </c>
      <c r="M816" s="574">
        <v>0</v>
      </c>
      <c r="N816" s="574">
        <v>0</v>
      </c>
      <c r="O816" s="574">
        <v>0</v>
      </c>
      <c r="P816" s="574">
        <v>0</v>
      </c>
      <c r="Q816" s="574">
        <v>0</v>
      </c>
      <c r="R816" s="569"/>
      <c r="S816" s="569"/>
      <c r="T816" s="569"/>
      <c r="U816" s="569"/>
      <c r="V816" s="569"/>
      <c r="W816" s="569"/>
      <c r="X816" s="569"/>
      <c r="Y816" s="569"/>
      <c r="Z816" s="569"/>
      <c r="AA816" s="569"/>
      <c r="AB816" s="569"/>
      <c r="AC816" s="569"/>
      <c r="AD816" s="569"/>
      <c r="AE816" s="569"/>
      <c r="AF816" s="569"/>
      <c r="AG816" s="569"/>
      <c r="AH816" s="569"/>
      <c r="AI816" s="569"/>
      <c r="AJ816" s="569"/>
      <c r="AK816" s="569"/>
      <c r="AL816" s="569"/>
      <c r="AM816" s="569"/>
      <c r="AN816" s="574">
        <v>106.2</v>
      </c>
      <c r="AO816">
        <v>815</v>
      </c>
      <c r="AP816" t="str">
        <f t="shared" si="159"/>
        <v/>
      </c>
      <c r="AQ816" t="str">
        <f t="shared" si="160"/>
        <v/>
      </c>
      <c r="AR816" s="430">
        <f>IFERROR(
IF(AP816="",-100,
IF($BV$2&gt;0, INDEX(Beersheet!$A:$U,MATCH(AP816,INDEX(Beersheet!$A:$U,0,FFARawStatProjections!$BV$2),0),$BV$3)+$BN816,
INDEX($A816:$BM816,,$BV$12)*$BW$12+
INDEX($A816:$BM816,,$BV$15)*$BW$15+
INDEX($A816:$BM816,,$BV$16)*$BW$16+
INDEX($A816:$BM816,,$BV$17)*$BW$17+
INDEX($A816:$BM816,,$BV$18)*$BW$18+
INDEX($A816:$BM816,,$BV$19)*$BW$19+
INDEX($A816:$BM816,,$BV$20)*$BW$20+
INDEX($A816:$BM816,,$BV$21)*$BW$21+
INDEX($A816:$BM816,,$BV$22)*$BW$22+
INDEX($A816:$BM816,,$BV$23)*$BW$23+
INDEX($A816:$BM816,,$BV$25)*$BW$25+
INDEX($A816:$BM816,,$BV$26)*$BW$26+
INDEX($A816:$BM816,,$BV$27)*$BW$27+
$BN816)),
$BN816-100)</f>
        <v>-100</v>
      </c>
      <c r="AT816" t="str">
        <f t="shared" si="165"/>
        <v/>
      </c>
      <c r="AU816" t="str">
        <f t="shared" si="161"/>
        <v/>
      </c>
      <c r="AV816" s="430">
        <f>IFERROR(
IF(AT816="",-100,
IF($BV$2&gt;0, INDEX(Beersheet!$A:$U,MATCH(AT816,INDEX(Beersheet!$A:$U,0,FFARawStatProjections!$BV$2),0),$BV$3)+$BN816,
INDEX($A816:$BM816,,$BV$12)*$BW$12+
INDEX($A816:$BM816,,$BV$15)*$BW$15+
INDEX($A816:$BM816,,$BV$16)*$BW$16+
INDEX($A816:$BM816,,$BV$17)*$BW$17+
INDEX($A816:$BM816,,$BV$18)*$BW$18+
INDEX($A816:$BM816,,$BV$19)*$BW$19+
INDEX($A816:$BM816,,$BV$20)*$BW$20+
INDEX($A816:$BM816,,$BV$21)*$BW$21+
INDEX($A816:$BM816,,$BV$22)*$BW$22+
INDEX($A816:$BM816,,$BV$23)*$BW$23+
INDEX($A816:$BM816,,$BV$25)*$BW$25+
INDEX($A816:$BM816,,$BV$26)*$BW$26+
INDEX($A816:$BM816,,$BV$27)*$BW$27+
$BN816)),
$BN816-100)</f>
        <v>-100</v>
      </c>
      <c r="AX816" t="str">
        <f t="shared" si="166"/>
        <v/>
      </c>
      <c r="AY816" t="str">
        <f t="shared" si="162"/>
        <v/>
      </c>
      <c r="AZ816" s="430">
        <f>IFERROR(
IF(AX816="",-100,
IF($BV$2&gt;0, INDEX(Beersheet!$A:$U,MATCH(AX816,INDEX(Beersheet!$A:$U,0,FFARawStatProjections!$BV$2),0),$BV$3)+$BN816,
INDEX($A816:$BM816,,$BV$12)*$BW$12+
INDEX($A816:$BM816,,$BV$15)*$BW$15+
INDEX($A816:$BM816,,$BV$16)*$BW$16+
INDEX($A816:$BM816,,$BV$17)*$BW$17+
INDEX($A816:$BM816,,$BV$18)*$BW$18+
INDEX($A816:$BM816,,$BV$19)*$BW$19+
INDEX($A816:$BM816,,$BV$20)*$BW$20+
INDEX($A816:$BM816,,$BV$21)*$BW$21+
INDEX($A816:$BM816,,$BV$22)*$BW$22+
INDEX($A816:$BM816,,$BV$23)*$BW$23+
INDEX($A816:$BM816,,$BV$25)*$BW$25+
INDEX($A816:$BM816,,$BV$26)*$BW$26+
INDEX($A816:$BM816,,$BV$27)*$BW$27+
$BN816)),
$BN816-100)</f>
        <v>-100</v>
      </c>
      <c r="BB816" t="str">
        <f t="shared" si="167"/>
        <v/>
      </c>
      <c r="BC816" t="str">
        <f t="shared" si="163"/>
        <v/>
      </c>
      <c r="BD816" s="430">
        <f>IFERROR(
IF(BB816="",-100,
IF($BV$2&gt;0, INDEX(Beersheet!$A:$U,MATCH(BB816,INDEX(Beersheet!$A:$U,0,FFARawStatProjections!$BV$2),0),$BV$3)+$BN816,
INDEX($A816:$BM816,,$BV$12)*$BW$12+
INDEX($A816:$BM816,,$BV$15)*$BW$15+
INDEX($A816:$BM816,,$BV$16)*$BW$16+
INDEX($A816:$BM816,,$BV$17)*$BW$17+
INDEX($A816:$BM816,,$BV$18)*$BW$18+
INDEX($A816:$BM816,,$BV$19)*$BW$19+
INDEX($A816:$BM816,,$BV$20)*$BW$20+
INDEX($A816:$BM816,,$BV$21)*$BW$21+
INDEX($A816:$BM816,,$BV$22)*$BW$22+
INDEX($A816:$BM816,,$BV$23)*$BW$23+
INDEX($A816:$BM816,,$BV$25)*$BW$25+
INDEX($A816:$BM816,,$BV$26)*$BW$26+
INDEX($A816:$BM816,,$BV$27)*$BW$27+
$BN816)),
$BN816-100)</f>
        <v>-100</v>
      </c>
      <c r="BF816" t="str">
        <f t="shared" si="168"/>
        <v/>
      </c>
      <c r="BG816" t="str">
        <f t="shared" si="164"/>
        <v/>
      </c>
      <c r="BH816">
        <f t="shared" si="169"/>
        <v>0</v>
      </c>
      <c r="BJ816" t="str">
        <f t="shared" si="170"/>
        <v>BUF</v>
      </c>
      <c r="BL816">
        <f t="shared" si="171"/>
        <v>106.20815</v>
      </c>
      <c r="BN816">
        <v>8.1500000000000496E-3</v>
      </c>
    </row>
    <row r="817" spans="1:66" ht="15.75" thickBot="1" x14ac:dyDescent="0.3">
      <c r="A817" s="569" t="s">
        <v>139</v>
      </c>
      <c r="B817" s="569" t="s">
        <v>139</v>
      </c>
      <c r="C817" s="569" t="s">
        <v>160</v>
      </c>
      <c r="D817" s="574">
        <v>6</v>
      </c>
      <c r="E817" s="569"/>
      <c r="F817" s="569"/>
      <c r="G817" s="569"/>
      <c r="H817" s="569"/>
      <c r="I817" s="574">
        <v>0</v>
      </c>
      <c r="J817" s="574">
        <v>0</v>
      </c>
      <c r="K817" s="574">
        <v>0</v>
      </c>
      <c r="L817" s="574">
        <v>0</v>
      </c>
      <c r="M817" s="574">
        <v>0</v>
      </c>
      <c r="N817" s="574">
        <v>0</v>
      </c>
      <c r="O817" s="574">
        <v>0</v>
      </c>
      <c r="P817" s="574">
        <v>0</v>
      </c>
      <c r="Q817" s="574">
        <v>0</v>
      </c>
      <c r="R817" s="569"/>
      <c r="S817" s="569"/>
      <c r="T817" s="569"/>
      <c r="U817" s="569"/>
      <c r="V817" s="569"/>
      <c r="W817" s="569"/>
      <c r="X817" s="569"/>
      <c r="Y817" s="569"/>
      <c r="Z817" s="569"/>
      <c r="AA817" s="569"/>
      <c r="AB817" s="569"/>
      <c r="AC817" s="569"/>
      <c r="AD817" s="569"/>
      <c r="AE817" s="569"/>
      <c r="AF817" s="569"/>
      <c r="AG817" s="569"/>
      <c r="AH817" s="569"/>
      <c r="AI817" s="569"/>
      <c r="AJ817" s="569"/>
      <c r="AK817" s="569"/>
      <c r="AL817" s="569"/>
      <c r="AM817" s="569"/>
      <c r="AN817" s="574">
        <v>105.6</v>
      </c>
      <c r="AO817">
        <v>816</v>
      </c>
      <c r="AP817" t="str">
        <f t="shared" si="159"/>
        <v/>
      </c>
      <c r="AQ817" t="str">
        <f t="shared" si="160"/>
        <v/>
      </c>
      <c r="AR817" s="430">
        <f>IFERROR(
IF(AP817="",-100,
IF($BV$2&gt;0, INDEX(Beersheet!$A:$U,MATCH(AP817,INDEX(Beersheet!$A:$U,0,FFARawStatProjections!$BV$2),0),$BV$3)+$BN817,
INDEX($A817:$BM817,,$BV$12)*$BW$12+
INDEX($A817:$BM817,,$BV$15)*$BW$15+
INDEX($A817:$BM817,,$BV$16)*$BW$16+
INDEX($A817:$BM817,,$BV$17)*$BW$17+
INDEX($A817:$BM817,,$BV$18)*$BW$18+
INDEX($A817:$BM817,,$BV$19)*$BW$19+
INDEX($A817:$BM817,,$BV$20)*$BW$20+
INDEX($A817:$BM817,,$BV$21)*$BW$21+
INDEX($A817:$BM817,,$BV$22)*$BW$22+
INDEX($A817:$BM817,,$BV$23)*$BW$23+
INDEX($A817:$BM817,,$BV$25)*$BW$25+
INDEX($A817:$BM817,,$BV$26)*$BW$26+
INDEX($A817:$BM817,,$BV$27)*$BW$27+
$BN817)),
$BN817-100)</f>
        <v>-100</v>
      </c>
      <c r="AT817" t="str">
        <f t="shared" si="165"/>
        <v/>
      </c>
      <c r="AU817" t="str">
        <f t="shared" si="161"/>
        <v/>
      </c>
      <c r="AV817" s="430">
        <f>IFERROR(
IF(AT817="",-100,
IF($BV$2&gt;0, INDEX(Beersheet!$A:$U,MATCH(AT817,INDEX(Beersheet!$A:$U,0,FFARawStatProjections!$BV$2),0),$BV$3)+$BN817,
INDEX($A817:$BM817,,$BV$12)*$BW$12+
INDEX($A817:$BM817,,$BV$15)*$BW$15+
INDEX($A817:$BM817,,$BV$16)*$BW$16+
INDEX($A817:$BM817,,$BV$17)*$BW$17+
INDEX($A817:$BM817,,$BV$18)*$BW$18+
INDEX($A817:$BM817,,$BV$19)*$BW$19+
INDEX($A817:$BM817,,$BV$20)*$BW$20+
INDEX($A817:$BM817,,$BV$21)*$BW$21+
INDEX($A817:$BM817,,$BV$22)*$BW$22+
INDEX($A817:$BM817,,$BV$23)*$BW$23+
INDEX($A817:$BM817,,$BV$25)*$BW$25+
INDEX($A817:$BM817,,$BV$26)*$BW$26+
INDEX($A817:$BM817,,$BV$27)*$BW$27+
$BN817)),
$BN817-100)</f>
        <v>-100</v>
      </c>
      <c r="AX817" t="str">
        <f t="shared" si="166"/>
        <v/>
      </c>
      <c r="AY817" t="str">
        <f t="shared" si="162"/>
        <v/>
      </c>
      <c r="AZ817" s="430">
        <f>IFERROR(
IF(AX817="",-100,
IF($BV$2&gt;0, INDEX(Beersheet!$A:$U,MATCH(AX817,INDEX(Beersheet!$A:$U,0,FFARawStatProjections!$BV$2),0),$BV$3)+$BN817,
INDEX($A817:$BM817,,$BV$12)*$BW$12+
INDEX($A817:$BM817,,$BV$15)*$BW$15+
INDEX($A817:$BM817,,$BV$16)*$BW$16+
INDEX($A817:$BM817,,$BV$17)*$BW$17+
INDEX($A817:$BM817,,$BV$18)*$BW$18+
INDEX($A817:$BM817,,$BV$19)*$BW$19+
INDEX($A817:$BM817,,$BV$20)*$BW$20+
INDEX($A817:$BM817,,$BV$21)*$BW$21+
INDEX($A817:$BM817,,$BV$22)*$BW$22+
INDEX($A817:$BM817,,$BV$23)*$BW$23+
INDEX($A817:$BM817,,$BV$25)*$BW$25+
INDEX($A817:$BM817,,$BV$26)*$BW$26+
INDEX($A817:$BM817,,$BV$27)*$BW$27+
$BN817)),
$BN817-100)</f>
        <v>-100</v>
      </c>
      <c r="BB817" t="str">
        <f t="shared" si="167"/>
        <v/>
      </c>
      <c r="BC817" t="str">
        <f t="shared" si="163"/>
        <v/>
      </c>
      <c r="BD817" s="430">
        <f>IFERROR(
IF(BB817="",-100,
IF($BV$2&gt;0, INDEX(Beersheet!$A:$U,MATCH(BB817,INDEX(Beersheet!$A:$U,0,FFARawStatProjections!$BV$2),0),$BV$3)+$BN817,
INDEX($A817:$BM817,,$BV$12)*$BW$12+
INDEX($A817:$BM817,,$BV$15)*$BW$15+
INDEX($A817:$BM817,,$BV$16)*$BW$16+
INDEX($A817:$BM817,,$BV$17)*$BW$17+
INDEX($A817:$BM817,,$BV$18)*$BW$18+
INDEX($A817:$BM817,,$BV$19)*$BW$19+
INDEX($A817:$BM817,,$BV$20)*$BW$20+
INDEX($A817:$BM817,,$BV$21)*$BW$21+
INDEX($A817:$BM817,,$BV$22)*$BW$22+
INDEX($A817:$BM817,,$BV$23)*$BW$23+
INDEX($A817:$BM817,,$BV$25)*$BW$25+
INDEX($A817:$BM817,,$BV$26)*$BW$26+
INDEX($A817:$BM817,,$BV$27)*$BW$27+
$BN817)),
$BN817-100)</f>
        <v>-100</v>
      </c>
      <c r="BF817" t="str">
        <f t="shared" si="168"/>
        <v/>
      </c>
      <c r="BG817" t="str">
        <f t="shared" si="164"/>
        <v/>
      </c>
      <c r="BH817">
        <f t="shared" si="169"/>
        <v>0</v>
      </c>
      <c r="BJ817" t="str">
        <f t="shared" si="170"/>
        <v>GB</v>
      </c>
      <c r="BL817">
        <f t="shared" si="171"/>
        <v>105.60816</v>
      </c>
      <c r="BN817">
        <v>8.1600000000000492E-3</v>
      </c>
    </row>
    <row r="818" spans="1:66" ht="15.75" thickBot="1" x14ac:dyDescent="0.3">
      <c r="A818" s="569" t="s">
        <v>164</v>
      </c>
      <c r="B818" s="569" t="s">
        <v>164</v>
      </c>
      <c r="C818" s="569" t="s">
        <v>160</v>
      </c>
      <c r="D818" s="574">
        <v>7</v>
      </c>
      <c r="E818" s="569"/>
      <c r="F818" s="569"/>
      <c r="G818" s="569"/>
      <c r="H818" s="569"/>
      <c r="I818" s="574">
        <v>0</v>
      </c>
      <c r="J818" s="574">
        <v>0</v>
      </c>
      <c r="K818" s="574">
        <v>0</v>
      </c>
      <c r="L818" s="574">
        <v>0</v>
      </c>
      <c r="M818" s="574">
        <v>0</v>
      </c>
      <c r="N818" s="574">
        <v>0</v>
      </c>
      <c r="O818" s="574">
        <v>0</v>
      </c>
      <c r="P818" s="574">
        <v>0</v>
      </c>
      <c r="Q818" s="574">
        <v>0</v>
      </c>
      <c r="R818" s="569"/>
      <c r="S818" s="569"/>
      <c r="T818" s="569"/>
      <c r="U818" s="569"/>
      <c r="V818" s="569"/>
      <c r="W818" s="569"/>
      <c r="X818" s="569"/>
      <c r="Y818" s="569"/>
      <c r="Z818" s="569"/>
      <c r="AA818" s="569"/>
      <c r="AB818" s="569"/>
      <c r="AC818" s="569"/>
      <c r="AD818" s="569"/>
      <c r="AE818" s="569"/>
      <c r="AF818" s="569"/>
      <c r="AG818" s="569"/>
      <c r="AH818" s="569"/>
      <c r="AI818" s="569"/>
      <c r="AJ818" s="569"/>
      <c r="AK818" s="569"/>
      <c r="AL818" s="569"/>
      <c r="AM818" s="569"/>
      <c r="AN818" s="574">
        <v>105.4</v>
      </c>
      <c r="AO818">
        <v>817</v>
      </c>
      <c r="AP818" t="str">
        <f t="shared" si="159"/>
        <v/>
      </c>
      <c r="AQ818" t="str">
        <f t="shared" si="160"/>
        <v/>
      </c>
      <c r="AR818" s="430">
        <f>IFERROR(
IF(AP818="",-100,
IF($BV$2&gt;0, INDEX(Beersheet!$A:$U,MATCH(AP818,INDEX(Beersheet!$A:$U,0,FFARawStatProjections!$BV$2),0),$BV$3)+$BN818,
INDEX($A818:$BM818,,$BV$12)*$BW$12+
INDEX($A818:$BM818,,$BV$15)*$BW$15+
INDEX($A818:$BM818,,$BV$16)*$BW$16+
INDEX($A818:$BM818,,$BV$17)*$BW$17+
INDEX($A818:$BM818,,$BV$18)*$BW$18+
INDEX($A818:$BM818,,$BV$19)*$BW$19+
INDEX($A818:$BM818,,$BV$20)*$BW$20+
INDEX($A818:$BM818,,$BV$21)*$BW$21+
INDEX($A818:$BM818,,$BV$22)*$BW$22+
INDEX($A818:$BM818,,$BV$23)*$BW$23+
INDEX($A818:$BM818,,$BV$25)*$BW$25+
INDEX($A818:$BM818,,$BV$26)*$BW$26+
INDEX($A818:$BM818,,$BV$27)*$BW$27+
$BN818)),
$BN818-100)</f>
        <v>-100</v>
      </c>
      <c r="AT818" t="str">
        <f t="shared" si="165"/>
        <v/>
      </c>
      <c r="AU818" t="str">
        <f t="shared" si="161"/>
        <v/>
      </c>
      <c r="AV818" s="430">
        <f>IFERROR(
IF(AT818="",-100,
IF($BV$2&gt;0, INDEX(Beersheet!$A:$U,MATCH(AT818,INDEX(Beersheet!$A:$U,0,FFARawStatProjections!$BV$2),0),$BV$3)+$BN818,
INDEX($A818:$BM818,,$BV$12)*$BW$12+
INDEX($A818:$BM818,,$BV$15)*$BW$15+
INDEX($A818:$BM818,,$BV$16)*$BW$16+
INDEX($A818:$BM818,,$BV$17)*$BW$17+
INDEX($A818:$BM818,,$BV$18)*$BW$18+
INDEX($A818:$BM818,,$BV$19)*$BW$19+
INDEX($A818:$BM818,,$BV$20)*$BW$20+
INDEX($A818:$BM818,,$BV$21)*$BW$21+
INDEX($A818:$BM818,,$BV$22)*$BW$22+
INDEX($A818:$BM818,,$BV$23)*$BW$23+
INDEX($A818:$BM818,,$BV$25)*$BW$25+
INDEX($A818:$BM818,,$BV$26)*$BW$26+
INDEX($A818:$BM818,,$BV$27)*$BW$27+
$BN818)),
$BN818-100)</f>
        <v>-100</v>
      </c>
      <c r="AX818" t="str">
        <f t="shared" si="166"/>
        <v/>
      </c>
      <c r="AY818" t="str">
        <f t="shared" si="162"/>
        <v/>
      </c>
      <c r="AZ818" s="430">
        <f>IFERROR(
IF(AX818="",-100,
IF($BV$2&gt;0, INDEX(Beersheet!$A:$U,MATCH(AX818,INDEX(Beersheet!$A:$U,0,FFARawStatProjections!$BV$2),0),$BV$3)+$BN818,
INDEX($A818:$BM818,,$BV$12)*$BW$12+
INDEX($A818:$BM818,,$BV$15)*$BW$15+
INDEX($A818:$BM818,,$BV$16)*$BW$16+
INDEX($A818:$BM818,,$BV$17)*$BW$17+
INDEX($A818:$BM818,,$BV$18)*$BW$18+
INDEX($A818:$BM818,,$BV$19)*$BW$19+
INDEX($A818:$BM818,,$BV$20)*$BW$20+
INDEX($A818:$BM818,,$BV$21)*$BW$21+
INDEX($A818:$BM818,,$BV$22)*$BW$22+
INDEX($A818:$BM818,,$BV$23)*$BW$23+
INDEX($A818:$BM818,,$BV$25)*$BW$25+
INDEX($A818:$BM818,,$BV$26)*$BW$26+
INDEX($A818:$BM818,,$BV$27)*$BW$27+
$BN818)),
$BN818-100)</f>
        <v>-100</v>
      </c>
      <c r="BB818" t="str">
        <f t="shared" si="167"/>
        <v/>
      </c>
      <c r="BC818" t="str">
        <f t="shared" si="163"/>
        <v/>
      </c>
      <c r="BD818" s="430">
        <f>IFERROR(
IF(BB818="",-100,
IF($BV$2&gt;0, INDEX(Beersheet!$A:$U,MATCH(BB818,INDEX(Beersheet!$A:$U,0,FFARawStatProjections!$BV$2),0),$BV$3)+$BN818,
INDEX($A818:$BM818,,$BV$12)*$BW$12+
INDEX($A818:$BM818,,$BV$15)*$BW$15+
INDEX($A818:$BM818,,$BV$16)*$BW$16+
INDEX($A818:$BM818,,$BV$17)*$BW$17+
INDEX($A818:$BM818,,$BV$18)*$BW$18+
INDEX($A818:$BM818,,$BV$19)*$BW$19+
INDEX($A818:$BM818,,$BV$20)*$BW$20+
INDEX($A818:$BM818,,$BV$21)*$BW$21+
INDEX($A818:$BM818,,$BV$22)*$BW$22+
INDEX($A818:$BM818,,$BV$23)*$BW$23+
INDEX($A818:$BM818,,$BV$25)*$BW$25+
INDEX($A818:$BM818,,$BV$26)*$BW$26+
INDEX($A818:$BM818,,$BV$27)*$BW$27+
$BN818)),
$BN818-100)</f>
        <v>-100</v>
      </c>
      <c r="BF818" t="str">
        <f t="shared" si="168"/>
        <v/>
      </c>
      <c r="BG818" t="str">
        <f t="shared" si="164"/>
        <v/>
      </c>
      <c r="BH818">
        <f t="shared" si="169"/>
        <v>0</v>
      </c>
      <c r="BJ818" t="str">
        <f t="shared" si="170"/>
        <v>NYJ</v>
      </c>
      <c r="BL818">
        <f t="shared" si="171"/>
        <v>105.40817000000001</v>
      </c>
      <c r="BN818">
        <v>8.1700000000000592E-3</v>
      </c>
    </row>
    <row r="819" spans="1:66" ht="15.75" thickBot="1" x14ac:dyDescent="0.3">
      <c r="A819" s="569" t="s">
        <v>140</v>
      </c>
      <c r="B819" s="569" t="s">
        <v>140</v>
      </c>
      <c r="C819" s="569" t="s">
        <v>160</v>
      </c>
      <c r="D819" s="574">
        <v>5</v>
      </c>
      <c r="E819" s="569"/>
      <c r="F819" s="569"/>
      <c r="G819" s="569"/>
      <c r="H819" s="569"/>
      <c r="I819" s="574">
        <v>0</v>
      </c>
      <c r="J819" s="574">
        <v>0</v>
      </c>
      <c r="K819" s="574">
        <v>0</v>
      </c>
      <c r="L819" s="574">
        <v>0</v>
      </c>
      <c r="M819" s="574">
        <v>0</v>
      </c>
      <c r="N819" s="574">
        <v>0</v>
      </c>
      <c r="O819" s="574">
        <v>0</v>
      </c>
      <c r="P819" s="574">
        <v>0</v>
      </c>
      <c r="Q819" s="574">
        <v>0</v>
      </c>
      <c r="R819" s="569"/>
      <c r="S819" s="569"/>
      <c r="T819" s="569"/>
      <c r="U819" s="569"/>
      <c r="V819" s="569"/>
      <c r="W819" s="569"/>
      <c r="X819" s="569"/>
      <c r="Y819" s="569"/>
      <c r="Z819" s="569"/>
      <c r="AA819" s="569"/>
      <c r="AB819" s="569"/>
      <c r="AC819" s="569"/>
      <c r="AD819" s="569"/>
      <c r="AE819" s="569"/>
      <c r="AF819" s="569"/>
      <c r="AG819" s="569"/>
      <c r="AH819" s="569"/>
      <c r="AI819" s="569"/>
      <c r="AJ819" s="569"/>
      <c r="AK819" s="569"/>
      <c r="AL819" s="569"/>
      <c r="AM819" s="569"/>
      <c r="AN819" s="574">
        <v>104.7</v>
      </c>
      <c r="AO819">
        <v>818</v>
      </c>
      <c r="AP819" t="str">
        <f t="shared" si="159"/>
        <v/>
      </c>
      <c r="AQ819" t="str">
        <f t="shared" si="160"/>
        <v/>
      </c>
      <c r="AR819" s="430">
        <f>IFERROR(
IF(AP819="",-100,
IF($BV$2&gt;0, INDEX(Beersheet!$A:$U,MATCH(AP819,INDEX(Beersheet!$A:$U,0,FFARawStatProjections!$BV$2),0),$BV$3)+$BN819,
INDEX($A819:$BM819,,$BV$12)*$BW$12+
INDEX($A819:$BM819,,$BV$15)*$BW$15+
INDEX($A819:$BM819,,$BV$16)*$BW$16+
INDEX($A819:$BM819,,$BV$17)*$BW$17+
INDEX($A819:$BM819,,$BV$18)*$BW$18+
INDEX($A819:$BM819,,$BV$19)*$BW$19+
INDEX($A819:$BM819,,$BV$20)*$BW$20+
INDEX($A819:$BM819,,$BV$21)*$BW$21+
INDEX($A819:$BM819,,$BV$22)*$BW$22+
INDEX($A819:$BM819,,$BV$23)*$BW$23+
INDEX($A819:$BM819,,$BV$25)*$BW$25+
INDEX($A819:$BM819,,$BV$26)*$BW$26+
INDEX($A819:$BM819,,$BV$27)*$BW$27+
$BN819)),
$BN819-100)</f>
        <v>-100</v>
      </c>
      <c r="AT819" t="str">
        <f t="shared" si="165"/>
        <v/>
      </c>
      <c r="AU819" t="str">
        <f t="shared" si="161"/>
        <v/>
      </c>
      <c r="AV819" s="430">
        <f>IFERROR(
IF(AT819="",-100,
IF($BV$2&gt;0, INDEX(Beersheet!$A:$U,MATCH(AT819,INDEX(Beersheet!$A:$U,0,FFARawStatProjections!$BV$2),0),$BV$3)+$BN819,
INDEX($A819:$BM819,,$BV$12)*$BW$12+
INDEX($A819:$BM819,,$BV$15)*$BW$15+
INDEX($A819:$BM819,,$BV$16)*$BW$16+
INDEX($A819:$BM819,,$BV$17)*$BW$17+
INDEX($A819:$BM819,,$BV$18)*$BW$18+
INDEX($A819:$BM819,,$BV$19)*$BW$19+
INDEX($A819:$BM819,,$BV$20)*$BW$20+
INDEX($A819:$BM819,,$BV$21)*$BW$21+
INDEX($A819:$BM819,,$BV$22)*$BW$22+
INDEX($A819:$BM819,,$BV$23)*$BW$23+
INDEX($A819:$BM819,,$BV$25)*$BW$25+
INDEX($A819:$BM819,,$BV$26)*$BW$26+
INDEX($A819:$BM819,,$BV$27)*$BW$27+
$BN819)),
$BN819-100)</f>
        <v>-100</v>
      </c>
      <c r="AX819" t="str">
        <f t="shared" si="166"/>
        <v/>
      </c>
      <c r="AY819" t="str">
        <f t="shared" si="162"/>
        <v/>
      </c>
      <c r="AZ819" s="430">
        <f>IFERROR(
IF(AX819="",-100,
IF($BV$2&gt;0, INDEX(Beersheet!$A:$U,MATCH(AX819,INDEX(Beersheet!$A:$U,0,FFARawStatProjections!$BV$2),0),$BV$3)+$BN819,
INDEX($A819:$BM819,,$BV$12)*$BW$12+
INDEX($A819:$BM819,,$BV$15)*$BW$15+
INDEX($A819:$BM819,,$BV$16)*$BW$16+
INDEX($A819:$BM819,,$BV$17)*$BW$17+
INDEX($A819:$BM819,,$BV$18)*$BW$18+
INDEX($A819:$BM819,,$BV$19)*$BW$19+
INDEX($A819:$BM819,,$BV$20)*$BW$20+
INDEX($A819:$BM819,,$BV$21)*$BW$21+
INDEX($A819:$BM819,,$BV$22)*$BW$22+
INDEX($A819:$BM819,,$BV$23)*$BW$23+
INDEX($A819:$BM819,,$BV$25)*$BW$25+
INDEX($A819:$BM819,,$BV$26)*$BW$26+
INDEX($A819:$BM819,,$BV$27)*$BW$27+
$BN819)),
$BN819-100)</f>
        <v>-100</v>
      </c>
      <c r="BB819" t="str">
        <f t="shared" si="167"/>
        <v/>
      </c>
      <c r="BC819" t="str">
        <f t="shared" si="163"/>
        <v/>
      </c>
      <c r="BD819" s="430">
        <f>IFERROR(
IF(BB819="",-100,
IF($BV$2&gt;0, INDEX(Beersheet!$A:$U,MATCH(BB819,INDEX(Beersheet!$A:$U,0,FFARawStatProjections!$BV$2),0),$BV$3)+$BN819,
INDEX($A819:$BM819,,$BV$12)*$BW$12+
INDEX($A819:$BM819,,$BV$15)*$BW$15+
INDEX($A819:$BM819,,$BV$16)*$BW$16+
INDEX($A819:$BM819,,$BV$17)*$BW$17+
INDEX($A819:$BM819,,$BV$18)*$BW$18+
INDEX($A819:$BM819,,$BV$19)*$BW$19+
INDEX($A819:$BM819,,$BV$20)*$BW$20+
INDEX($A819:$BM819,,$BV$21)*$BW$21+
INDEX($A819:$BM819,,$BV$22)*$BW$22+
INDEX($A819:$BM819,,$BV$23)*$BW$23+
INDEX($A819:$BM819,,$BV$25)*$BW$25+
INDEX($A819:$BM819,,$BV$26)*$BW$26+
INDEX($A819:$BM819,,$BV$27)*$BW$27+
$BN819)),
$BN819-100)</f>
        <v>-100</v>
      </c>
      <c r="BF819" t="str">
        <f t="shared" si="168"/>
        <v/>
      </c>
      <c r="BG819" t="str">
        <f t="shared" si="164"/>
        <v/>
      </c>
      <c r="BH819">
        <f t="shared" si="169"/>
        <v>0</v>
      </c>
      <c r="BJ819" t="str">
        <f t="shared" si="170"/>
        <v>SEA</v>
      </c>
      <c r="BL819">
        <f t="shared" si="171"/>
        <v>104.70818</v>
      </c>
      <c r="BN819">
        <v>8.1800000000000605E-3</v>
      </c>
    </row>
    <row r="820" spans="1:66" ht="15.75" thickBot="1" x14ac:dyDescent="0.3">
      <c r="A820" s="569" t="s">
        <v>1388</v>
      </c>
      <c r="B820" s="569" t="s">
        <v>1388</v>
      </c>
      <c r="C820" s="569" t="s">
        <v>160</v>
      </c>
      <c r="D820" s="574">
        <v>5</v>
      </c>
      <c r="E820" s="569"/>
      <c r="F820" s="569"/>
      <c r="G820" s="569"/>
      <c r="H820" s="569"/>
      <c r="I820" s="574">
        <v>0</v>
      </c>
      <c r="J820" s="574">
        <v>0</v>
      </c>
      <c r="K820" s="574">
        <v>0</v>
      </c>
      <c r="L820" s="574">
        <v>0</v>
      </c>
      <c r="M820" s="574">
        <v>0</v>
      </c>
      <c r="N820" s="574">
        <v>0</v>
      </c>
      <c r="O820" s="574">
        <v>0</v>
      </c>
      <c r="P820" s="574">
        <v>0</v>
      </c>
      <c r="Q820" s="574">
        <v>0</v>
      </c>
      <c r="R820" s="569"/>
      <c r="S820" s="569"/>
      <c r="T820" s="569"/>
      <c r="U820" s="569"/>
      <c r="V820" s="569"/>
      <c r="W820" s="569"/>
      <c r="X820" s="569"/>
      <c r="Y820" s="569"/>
      <c r="Z820" s="569"/>
      <c r="AA820" s="569"/>
      <c r="AB820" s="569"/>
      <c r="AC820" s="569"/>
      <c r="AD820" s="569"/>
      <c r="AE820" s="569"/>
      <c r="AF820" s="569"/>
      <c r="AG820" s="569"/>
      <c r="AH820" s="569"/>
      <c r="AI820" s="569"/>
      <c r="AJ820" s="569"/>
      <c r="AK820" s="569"/>
      <c r="AL820" s="569"/>
      <c r="AM820" s="569"/>
      <c r="AN820" s="574">
        <v>104.1</v>
      </c>
      <c r="AO820">
        <v>819</v>
      </c>
      <c r="AP820" t="str">
        <f t="shared" si="159"/>
        <v/>
      </c>
      <c r="AQ820" t="str">
        <f t="shared" si="160"/>
        <v/>
      </c>
      <c r="AR820" s="430">
        <f>IFERROR(
IF(AP820="",-100,
IF($BV$2&gt;0, INDEX(Beersheet!$A:$U,MATCH(AP820,INDEX(Beersheet!$A:$U,0,FFARawStatProjections!$BV$2),0),$BV$3)+$BN820,
INDEX($A820:$BM820,,$BV$12)*$BW$12+
INDEX($A820:$BM820,,$BV$15)*$BW$15+
INDEX($A820:$BM820,,$BV$16)*$BW$16+
INDEX($A820:$BM820,,$BV$17)*$BW$17+
INDEX($A820:$BM820,,$BV$18)*$BW$18+
INDEX($A820:$BM820,,$BV$19)*$BW$19+
INDEX($A820:$BM820,,$BV$20)*$BW$20+
INDEX($A820:$BM820,,$BV$21)*$BW$21+
INDEX($A820:$BM820,,$BV$22)*$BW$22+
INDEX($A820:$BM820,,$BV$23)*$BW$23+
INDEX($A820:$BM820,,$BV$25)*$BW$25+
INDEX($A820:$BM820,,$BV$26)*$BW$26+
INDEX($A820:$BM820,,$BV$27)*$BW$27+
$BN820)),
$BN820-100)</f>
        <v>-100</v>
      </c>
      <c r="AT820" t="str">
        <f t="shared" si="165"/>
        <v/>
      </c>
      <c r="AU820" t="str">
        <f t="shared" si="161"/>
        <v/>
      </c>
      <c r="AV820" s="430">
        <f>IFERROR(
IF(AT820="",-100,
IF($BV$2&gt;0, INDEX(Beersheet!$A:$U,MATCH(AT820,INDEX(Beersheet!$A:$U,0,FFARawStatProjections!$BV$2),0),$BV$3)+$BN820,
INDEX($A820:$BM820,,$BV$12)*$BW$12+
INDEX($A820:$BM820,,$BV$15)*$BW$15+
INDEX($A820:$BM820,,$BV$16)*$BW$16+
INDEX($A820:$BM820,,$BV$17)*$BW$17+
INDEX($A820:$BM820,,$BV$18)*$BW$18+
INDEX($A820:$BM820,,$BV$19)*$BW$19+
INDEX($A820:$BM820,,$BV$20)*$BW$20+
INDEX($A820:$BM820,,$BV$21)*$BW$21+
INDEX($A820:$BM820,,$BV$22)*$BW$22+
INDEX($A820:$BM820,,$BV$23)*$BW$23+
INDEX($A820:$BM820,,$BV$25)*$BW$25+
INDEX($A820:$BM820,,$BV$26)*$BW$26+
INDEX($A820:$BM820,,$BV$27)*$BW$27+
$BN820)),
$BN820-100)</f>
        <v>-100</v>
      </c>
      <c r="AX820" t="str">
        <f t="shared" si="166"/>
        <v/>
      </c>
      <c r="AY820" t="str">
        <f t="shared" si="162"/>
        <v/>
      </c>
      <c r="AZ820" s="430">
        <f>IFERROR(
IF(AX820="",-100,
IF($BV$2&gt;0, INDEX(Beersheet!$A:$U,MATCH(AX820,INDEX(Beersheet!$A:$U,0,FFARawStatProjections!$BV$2),0),$BV$3)+$BN820,
INDEX($A820:$BM820,,$BV$12)*$BW$12+
INDEX($A820:$BM820,,$BV$15)*$BW$15+
INDEX($A820:$BM820,,$BV$16)*$BW$16+
INDEX($A820:$BM820,,$BV$17)*$BW$17+
INDEX($A820:$BM820,,$BV$18)*$BW$18+
INDEX($A820:$BM820,,$BV$19)*$BW$19+
INDEX($A820:$BM820,,$BV$20)*$BW$20+
INDEX($A820:$BM820,,$BV$21)*$BW$21+
INDEX($A820:$BM820,,$BV$22)*$BW$22+
INDEX($A820:$BM820,,$BV$23)*$BW$23+
INDEX($A820:$BM820,,$BV$25)*$BW$25+
INDEX($A820:$BM820,,$BV$26)*$BW$26+
INDEX($A820:$BM820,,$BV$27)*$BW$27+
$BN820)),
$BN820-100)</f>
        <v>-100</v>
      </c>
      <c r="BB820" t="str">
        <f t="shared" si="167"/>
        <v/>
      </c>
      <c r="BC820" t="str">
        <f t="shared" si="163"/>
        <v/>
      </c>
      <c r="BD820" s="430">
        <f>IFERROR(
IF(BB820="",-100,
IF($BV$2&gt;0, INDEX(Beersheet!$A:$U,MATCH(BB820,INDEX(Beersheet!$A:$U,0,FFARawStatProjections!$BV$2),0),$BV$3)+$BN820,
INDEX($A820:$BM820,,$BV$12)*$BW$12+
INDEX($A820:$BM820,,$BV$15)*$BW$15+
INDEX($A820:$BM820,,$BV$16)*$BW$16+
INDEX($A820:$BM820,,$BV$17)*$BW$17+
INDEX($A820:$BM820,,$BV$18)*$BW$18+
INDEX($A820:$BM820,,$BV$19)*$BW$19+
INDEX($A820:$BM820,,$BV$20)*$BW$20+
INDEX($A820:$BM820,,$BV$21)*$BW$21+
INDEX($A820:$BM820,,$BV$22)*$BW$22+
INDEX($A820:$BM820,,$BV$23)*$BW$23+
INDEX($A820:$BM820,,$BV$25)*$BW$25+
INDEX($A820:$BM820,,$BV$26)*$BW$26+
INDEX($A820:$BM820,,$BV$27)*$BW$27+
$BN820)),
$BN820-100)</f>
        <v>-100</v>
      </c>
      <c r="BF820" t="str">
        <f t="shared" si="168"/>
        <v/>
      </c>
      <c r="BG820" t="str">
        <f t="shared" si="164"/>
        <v/>
      </c>
      <c r="BH820">
        <f t="shared" si="169"/>
        <v>0</v>
      </c>
      <c r="BJ820" t="str">
        <f t="shared" si="170"/>
        <v>LAC</v>
      </c>
      <c r="BL820">
        <f t="shared" si="171"/>
        <v>104.10818999999999</v>
      </c>
      <c r="BN820">
        <v>8.1900000000000601E-3</v>
      </c>
    </row>
    <row r="821" spans="1:66" ht="15.75" thickBot="1" x14ac:dyDescent="0.3">
      <c r="A821" s="569" t="s">
        <v>142</v>
      </c>
      <c r="B821" s="569" t="s">
        <v>142</v>
      </c>
      <c r="C821" s="569" t="s">
        <v>160</v>
      </c>
      <c r="D821" s="574">
        <v>9</v>
      </c>
      <c r="E821" s="569"/>
      <c r="F821" s="569"/>
      <c r="G821" s="569"/>
      <c r="H821" s="569"/>
      <c r="I821" s="574">
        <v>0</v>
      </c>
      <c r="J821" s="574">
        <v>0</v>
      </c>
      <c r="K821" s="574">
        <v>0</v>
      </c>
      <c r="L821" s="574">
        <v>0</v>
      </c>
      <c r="M821" s="574">
        <v>0</v>
      </c>
      <c r="N821" s="574">
        <v>0</v>
      </c>
      <c r="O821" s="574">
        <v>0</v>
      </c>
      <c r="P821" s="574">
        <v>0</v>
      </c>
      <c r="Q821" s="574">
        <v>0</v>
      </c>
      <c r="R821" s="569"/>
      <c r="S821" s="569"/>
      <c r="T821" s="569"/>
      <c r="U821" s="569"/>
      <c r="V821" s="569"/>
      <c r="W821" s="569"/>
      <c r="X821" s="569"/>
      <c r="Y821" s="569"/>
      <c r="Z821" s="569"/>
      <c r="AA821" s="569"/>
      <c r="AB821" s="569"/>
      <c r="AC821" s="569"/>
      <c r="AD821" s="569"/>
      <c r="AE821" s="569"/>
      <c r="AF821" s="569"/>
      <c r="AG821" s="569"/>
      <c r="AH821" s="569"/>
      <c r="AI821" s="569"/>
      <c r="AJ821" s="569"/>
      <c r="AK821" s="569"/>
      <c r="AL821" s="569"/>
      <c r="AM821" s="569"/>
      <c r="AN821" s="574">
        <v>104</v>
      </c>
      <c r="AO821">
        <v>820</v>
      </c>
      <c r="AP821" t="str">
        <f t="shared" si="159"/>
        <v/>
      </c>
      <c r="AQ821" t="str">
        <f t="shared" si="160"/>
        <v/>
      </c>
      <c r="AR821" s="430">
        <f>IFERROR(
IF(AP821="",-100,
IF($BV$2&gt;0, INDEX(Beersheet!$A:$U,MATCH(AP821,INDEX(Beersheet!$A:$U,0,FFARawStatProjections!$BV$2),0),$BV$3)+$BN821,
INDEX($A821:$BM821,,$BV$12)*$BW$12+
INDEX($A821:$BM821,,$BV$15)*$BW$15+
INDEX($A821:$BM821,,$BV$16)*$BW$16+
INDEX($A821:$BM821,,$BV$17)*$BW$17+
INDEX($A821:$BM821,,$BV$18)*$BW$18+
INDEX($A821:$BM821,,$BV$19)*$BW$19+
INDEX($A821:$BM821,,$BV$20)*$BW$20+
INDEX($A821:$BM821,,$BV$21)*$BW$21+
INDEX($A821:$BM821,,$BV$22)*$BW$22+
INDEX($A821:$BM821,,$BV$23)*$BW$23+
INDEX($A821:$BM821,,$BV$25)*$BW$25+
INDEX($A821:$BM821,,$BV$26)*$BW$26+
INDEX($A821:$BM821,,$BV$27)*$BW$27+
$BN821)),
$BN821-100)</f>
        <v>-100</v>
      </c>
      <c r="AT821" t="str">
        <f t="shared" si="165"/>
        <v/>
      </c>
      <c r="AU821" t="str">
        <f t="shared" si="161"/>
        <v/>
      </c>
      <c r="AV821" s="430">
        <f>IFERROR(
IF(AT821="",-100,
IF($BV$2&gt;0, INDEX(Beersheet!$A:$U,MATCH(AT821,INDEX(Beersheet!$A:$U,0,FFARawStatProjections!$BV$2),0),$BV$3)+$BN821,
INDEX($A821:$BM821,,$BV$12)*$BW$12+
INDEX($A821:$BM821,,$BV$15)*$BW$15+
INDEX($A821:$BM821,,$BV$16)*$BW$16+
INDEX($A821:$BM821,,$BV$17)*$BW$17+
INDEX($A821:$BM821,,$BV$18)*$BW$18+
INDEX($A821:$BM821,,$BV$19)*$BW$19+
INDEX($A821:$BM821,,$BV$20)*$BW$20+
INDEX($A821:$BM821,,$BV$21)*$BW$21+
INDEX($A821:$BM821,,$BV$22)*$BW$22+
INDEX($A821:$BM821,,$BV$23)*$BW$23+
INDEX($A821:$BM821,,$BV$25)*$BW$25+
INDEX($A821:$BM821,,$BV$26)*$BW$26+
INDEX($A821:$BM821,,$BV$27)*$BW$27+
$BN821)),
$BN821-100)</f>
        <v>-100</v>
      </c>
      <c r="AX821" t="str">
        <f t="shared" si="166"/>
        <v/>
      </c>
      <c r="AY821" t="str">
        <f t="shared" si="162"/>
        <v/>
      </c>
      <c r="AZ821" s="430">
        <f>IFERROR(
IF(AX821="",-100,
IF($BV$2&gt;0, INDEX(Beersheet!$A:$U,MATCH(AX821,INDEX(Beersheet!$A:$U,0,FFARawStatProjections!$BV$2),0),$BV$3)+$BN821,
INDEX($A821:$BM821,,$BV$12)*$BW$12+
INDEX($A821:$BM821,,$BV$15)*$BW$15+
INDEX($A821:$BM821,,$BV$16)*$BW$16+
INDEX($A821:$BM821,,$BV$17)*$BW$17+
INDEX($A821:$BM821,,$BV$18)*$BW$18+
INDEX($A821:$BM821,,$BV$19)*$BW$19+
INDEX($A821:$BM821,,$BV$20)*$BW$20+
INDEX($A821:$BM821,,$BV$21)*$BW$21+
INDEX($A821:$BM821,,$BV$22)*$BW$22+
INDEX($A821:$BM821,,$BV$23)*$BW$23+
INDEX($A821:$BM821,,$BV$25)*$BW$25+
INDEX($A821:$BM821,,$BV$26)*$BW$26+
INDEX($A821:$BM821,,$BV$27)*$BW$27+
$BN821)),
$BN821-100)</f>
        <v>-100</v>
      </c>
      <c r="BB821" t="str">
        <f t="shared" si="167"/>
        <v/>
      </c>
      <c r="BC821" t="str">
        <f t="shared" si="163"/>
        <v/>
      </c>
      <c r="BD821" s="430">
        <f>IFERROR(
IF(BB821="",-100,
IF($BV$2&gt;0, INDEX(Beersheet!$A:$U,MATCH(BB821,INDEX(Beersheet!$A:$U,0,FFARawStatProjections!$BV$2),0),$BV$3)+$BN821,
INDEX($A821:$BM821,,$BV$12)*$BW$12+
INDEX($A821:$BM821,,$BV$15)*$BW$15+
INDEX($A821:$BM821,,$BV$16)*$BW$16+
INDEX($A821:$BM821,,$BV$17)*$BW$17+
INDEX($A821:$BM821,,$BV$18)*$BW$18+
INDEX($A821:$BM821,,$BV$19)*$BW$19+
INDEX($A821:$BM821,,$BV$20)*$BW$20+
INDEX($A821:$BM821,,$BV$21)*$BW$21+
INDEX($A821:$BM821,,$BV$22)*$BW$22+
INDEX($A821:$BM821,,$BV$23)*$BW$23+
INDEX($A821:$BM821,,$BV$25)*$BW$25+
INDEX($A821:$BM821,,$BV$26)*$BW$26+
INDEX($A821:$BM821,,$BV$27)*$BW$27+
$BN821)),
$BN821-100)</f>
        <v>-100</v>
      </c>
      <c r="BF821" t="str">
        <f t="shared" si="168"/>
        <v/>
      </c>
      <c r="BG821" t="str">
        <f t="shared" si="164"/>
        <v/>
      </c>
      <c r="BH821">
        <f t="shared" si="169"/>
        <v>0</v>
      </c>
      <c r="BJ821" t="str">
        <f t="shared" si="170"/>
        <v>DET</v>
      </c>
      <c r="BL821">
        <f t="shared" si="171"/>
        <v>104.0082</v>
      </c>
      <c r="BN821">
        <v>8.2000000000000597E-3</v>
      </c>
    </row>
    <row r="822" spans="1:66" ht="15.75" thickBot="1" x14ac:dyDescent="0.3">
      <c r="A822" s="569" t="s">
        <v>151</v>
      </c>
      <c r="B822" s="569" t="s">
        <v>151</v>
      </c>
      <c r="C822" s="569" t="s">
        <v>160</v>
      </c>
      <c r="D822" s="574">
        <v>7</v>
      </c>
      <c r="E822" s="569"/>
      <c r="F822" s="569"/>
      <c r="G822" s="569"/>
      <c r="H822" s="569"/>
      <c r="I822" s="574">
        <v>0</v>
      </c>
      <c r="J822" s="574">
        <v>0</v>
      </c>
      <c r="K822" s="574">
        <v>0</v>
      </c>
      <c r="L822" s="574">
        <v>0</v>
      </c>
      <c r="M822" s="574">
        <v>0</v>
      </c>
      <c r="N822" s="574">
        <v>0</v>
      </c>
      <c r="O822" s="574">
        <v>0</v>
      </c>
      <c r="P822" s="574">
        <v>0</v>
      </c>
      <c r="Q822" s="574">
        <v>0</v>
      </c>
      <c r="R822" s="569"/>
      <c r="S822" s="569"/>
      <c r="T822" s="569"/>
      <c r="U822" s="569"/>
      <c r="V822" s="569"/>
      <c r="W822" s="569"/>
      <c r="X822" s="569"/>
      <c r="Y822" s="569"/>
      <c r="Z822" s="569"/>
      <c r="AA822" s="569"/>
      <c r="AB822" s="569"/>
      <c r="AC822" s="569"/>
      <c r="AD822" s="569"/>
      <c r="AE822" s="569"/>
      <c r="AF822" s="569"/>
      <c r="AG822" s="569"/>
      <c r="AH822" s="569"/>
      <c r="AI822" s="569"/>
      <c r="AJ822" s="569"/>
      <c r="AK822" s="569"/>
      <c r="AL822" s="569"/>
      <c r="AM822" s="569"/>
      <c r="AN822" s="574">
        <v>103.5</v>
      </c>
      <c r="AO822">
        <v>821</v>
      </c>
      <c r="AP822" t="str">
        <f t="shared" si="159"/>
        <v/>
      </c>
      <c r="AQ822" t="str">
        <f t="shared" si="160"/>
        <v/>
      </c>
      <c r="AR822" s="430">
        <f>IFERROR(
IF(AP822="",-100,
IF($BV$2&gt;0, INDEX(Beersheet!$A:$U,MATCH(AP822,INDEX(Beersheet!$A:$U,0,FFARawStatProjections!$BV$2),0),$BV$3)+$BN822,
INDEX($A822:$BM822,,$BV$12)*$BW$12+
INDEX($A822:$BM822,,$BV$15)*$BW$15+
INDEX($A822:$BM822,,$BV$16)*$BW$16+
INDEX($A822:$BM822,,$BV$17)*$BW$17+
INDEX($A822:$BM822,,$BV$18)*$BW$18+
INDEX($A822:$BM822,,$BV$19)*$BW$19+
INDEX($A822:$BM822,,$BV$20)*$BW$20+
INDEX($A822:$BM822,,$BV$21)*$BW$21+
INDEX($A822:$BM822,,$BV$22)*$BW$22+
INDEX($A822:$BM822,,$BV$23)*$BW$23+
INDEX($A822:$BM822,,$BV$25)*$BW$25+
INDEX($A822:$BM822,,$BV$26)*$BW$26+
INDEX($A822:$BM822,,$BV$27)*$BW$27+
$BN822)),
$BN822-100)</f>
        <v>-100</v>
      </c>
      <c r="AT822" t="str">
        <f t="shared" si="165"/>
        <v/>
      </c>
      <c r="AU822" t="str">
        <f t="shared" si="161"/>
        <v/>
      </c>
      <c r="AV822" s="430">
        <f>IFERROR(
IF(AT822="",-100,
IF($BV$2&gt;0, INDEX(Beersheet!$A:$U,MATCH(AT822,INDEX(Beersheet!$A:$U,0,FFARawStatProjections!$BV$2),0),$BV$3)+$BN822,
INDEX($A822:$BM822,,$BV$12)*$BW$12+
INDEX($A822:$BM822,,$BV$15)*$BW$15+
INDEX($A822:$BM822,,$BV$16)*$BW$16+
INDEX($A822:$BM822,,$BV$17)*$BW$17+
INDEX($A822:$BM822,,$BV$18)*$BW$18+
INDEX($A822:$BM822,,$BV$19)*$BW$19+
INDEX($A822:$BM822,,$BV$20)*$BW$20+
INDEX($A822:$BM822,,$BV$21)*$BW$21+
INDEX($A822:$BM822,,$BV$22)*$BW$22+
INDEX($A822:$BM822,,$BV$23)*$BW$23+
INDEX($A822:$BM822,,$BV$25)*$BW$25+
INDEX($A822:$BM822,,$BV$26)*$BW$26+
INDEX($A822:$BM822,,$BV$27)*$BW$27+
$BN822)),
$BN822-100)</f>
        <v>-100</v>
      </c>
      <c r="AX822" t="str">
        <f t="shared" si="166"/>
        <v/>
      </c>
      <c r="AY822" t="str">
        <f t="shared" si="162"/>
        <v/>
      </c>
      <c r="AZ822" s="430">
        <f>IFERROR(
IF(AX822="",-100,
IF($BV$2&gt;0, INDEX(Beersheet!$A:$U,MATCH(AX822,INDEX(Beersheet!$A:$U,0,FFARawStatProjections!$BV$2),0),$BV$3)+$BN822,
INDEX($A822:$BM822,,$BV$12)*$BW$12+
INDEX($A822:$BM822,,$BV$15)*$BW$15+
INDEX($A822:$BM822,,$BV$16)*$BW$16+
INDEX($A822:$BM822,,$BV$17)*$BW$17+
INDEX($A822:$BM822,,$BV$18)*$BW$18+
INDEX($A822:$BM822,,$BV$19)*$BW$19+
INDEX($A822:$BM822,,$BV$20)*$BW$20+
INDEX($A822:$BM822,,$BV$21)*$BW$21+
INDEX($A822:$BM822,,$BV$22)*$BW$22+
INDEX($A822:$BM822,,$BV$23)*$BW$23+
INDEX($A822:$BM822,,$BV$25)*$BW$25+
INDEX($A822:$BM822,,$BV$26)*$BW$26+
INDEX($A822:$BM822,,$BV$27)*$BW$27+
$BN822)),
$BN822-100)</f>
        <v>-100</v>
      </c>
      <c r="BB822" t="str">
        <f t="shared" si="167"/>
        <v/>
      </c>
      <c r="BC822" t="str">
        <f t="shared" si="163"/>
        <v/>
      </c>
      <c r="BD822" s="430">
        <f>IFERROR(
IF(BB822="",-100,
IF($BV$2&gt;0, INDEX(Beersheet!$A:$U,MATCH(BB822,INDEX(Beersheet!$A:$U,0,FFARawStatProjections!$BV$2),0),$BV$3)+$BN822,
INDEX($A822:$BM822,,$BV$12)*$BW$12+
INDEX($A822:$BM822,,$BV$15)*$BW$15+
INDEX($A822:$BM822,,$BV$16)*$BW$16+
INDEX($A822:$BM822,,$BV$17)*$BW$17+
INDEX($A822:$BM822,,$BV$18)*$BW$18+
INDEX($A822:$BM822,,$BV$19)*$BW$19+
INDEX($A822:$BM822,,$BV$20)*$BW$20+
INDEX($A822:$BM822,,$BV$21)*$BW$21+
INDEX($A822:$BM822,,$BV$22)*$BW$22+
INDEX($A822:$BM822,,$BV$23)*$BW$23+
INDEX($A822:$BM822,,$BV$25)*$BW$25+
INDEX($A822:$BM822,,$BV$26)*$BW$26+
INDEX($A822:$BM822,,$BV$27)*$BW$27+
$BN822)),
$BN822-100)</f>
        <v>-100</v>
      </c>
      <c r="BF822" t="str">
        <f t="shared" si="168"/>
        <v/>
      </c>
      <c r="BG822" t="str">
        <f t="shared" si="164"/>
        <v/>
      </c>
      <c r="BH822">
        <f t="shared" si="169"/>
        <v>0</v>
      </c>
      <c r="BJ822" t="str">
        <f t="shared" si="170"/>
        <v>HOU</v>
      </c>
      <c r="BL822">
        <f t="shared" si="171"/>
        <v>103.50821000000001</v>
      </c>
      <c r="BN822">
        <v>8.2100000000000593E-3</v>
      </c>
    </row>
    <row r="823" spans="1:66" ht="15.75" thickBot="1" x14ac:dyDescent="0.3">
      <c r="A823" s="569" t="s">
        <v>138</v>
      </c>
      <c r="B823" s="569" t="s">
        <v>138</v>
      </c>
      <c r="C823" s="569" t="s">
        <v>160</v>
      </c>
      <c r="D823" s="574">
        <v>13</v>
      </c>
      <c r="E823" s="569"/>
      <c r="F823" s="569"/>
      <c r="G823" s="569"/>
      <c r="H823" s="569"/>
      <c r="I823" s="574">
        <v>0</v>
      </c>
      <c r="J823" s="574">
        <v>0</v>
      </c>
      <c r="K823" s="574">
        <v>0</v>
      </c>
      <c r="L823" s="574">
        <v>0</v>
      </c>
      <c r="M823" s="574">
        <v>0</v>
      </c>
      <c r="N823" s="574">
        <v>0</v>
      </c>
      <c r="O823" s="574">
        <v>0</v>
      </c>
      <c r="P823" s="574">
        <v>0</v>
      </c>
      <c r="Q823" s="574">
        <v>0</v>
      </c>
      <c r="R823" s="569"/>
      <c r="S823" s="569"/>
      <c r="T823" s="569"/>
      <c r="U823" s="569"/>
      <c r="V823" s="569"/>
      <c r="W823" s="569"/>
      <c r="X823" s="569"/>
      <c r="Y823" s="569"/>
      <c r="Z823" s="569"/>
      <c r="AA823" s="569"/>
      <c r="AB823" s="569"/>
      <c r="AC823" s="569"/>
      <c r="AD823" s="569"/>
      <c r="AE823" s="569"/>
      <c r="AF823" s="569"/>
      <c r="AG823" s="569"/>
      <c r="AH823" s="569"/>
      <c r="AI823" s="569"/>
      <c r="AJ823" s="569"/>
      <c r="AK823" s="569"/>
      <c r="AL823" s="569"/>
      <c r="AM823" s="569"/>
      <c r="AN823" s="574">
        <v>103.3</v>
      </c>
      <c r="AO823">
        <v>822</v>
      </c>
      <c r="AP823" t="str">
        <f t="shared" si="159"/>
        <v/>
      </c>
      <c r="AQ823" t="str">
        <f t="shared" si="160"/>
        <v/>
      </c>
      <c r="AR823" s="430">
        <f>IFERROR(
IF(AP823="",-100,
IF($BV$2&gt;0, INDEX(Beersheet!$A:$U,MATCH(AP823,INDEX(Beersheet!$A:$U,0,FFARawStatProjections!$BV$2),0),$BV$3)+$BN823,
INDEX($A823:$BM823,,$BV$12)*$BW$12+
INDEX($A823:$BM823,,$BV$15)*$BW$15+
INDEX($A823:$BM823,,$BV$16)*$BW$16+
INDEX($A823:$BM823,,$BV$17)*$BW$17+
INDEX($A823:$BM823,,$BV$18)*$BW$18+
INDEX($A823:$BM823,,$BV$19)*$BW$19+
INDEX($A823:$BM823,,$BV$20)*$BW$20+
INDEX($A823:$BM823,,$BV$21)*$BW$21+
INDEX($A823:$BM823,,$BV$22)*$BW$22+
INDEX($A823:$BM823,,$BV$23)*$BW$23+
INDEX($A823:$BM823,,$BV$25)*$BW$25+
INDEX($A823:$BM823,,$BV$26)*$BW$26+
INDEX($A823:$BM823,,$BV$27)*$BW$27+
$BN823)),
$BN823-100)</f>
        <v>-100</v>
      </c>
      <c r="AT823" t="str">
        <f t="shared" si="165"/>
        <v/>
      </c>
      <c r="AU823" t="str">
        <f t="shared" si="161"/>
        <v/>
      </c>
      <c r="AV823" s="430">
        <f>IFERROR(
IF(AT823="",-100,
IF($BV$2&gt;0, INDEX(Beersheet!$A:$U,MATCH(AT823,INDEX(Beersheet!$A:$U,0,FFARawStatProjections!$BV$2),0),$BV$3)+$BN823,
INDEX($A823:$BM823,,$BV$12)*$BW$12+
INDEX($A823:$BM823,,$BV$15)*$BW$15+
INDEX($A823:$BM823,,$BV$16)*$BW$16+
INDEX($A823:$BM823,,$BV$17)*$BW$17+
INDEX($A823:$BM823,,$BV$18)*$BW$18+
INDEX($A823:$BM823,,$BV$19)*$BW$19+
INDEX($A823:$BM823,,$BV$20)*$BW$20+
INDEX($A823:$BM823,,$BV$21)*$BW$21+
INDEX($A823:$BM823,,$BV$22)*$BW$22+
INDEX($A823:$BM823,,$BV$23)*$BW$23+
INDEX($A823:$BM823,,$BV$25)*$BW$25+
INDEX($A823:$BM823,,$BV$26)*$BW$26+
INDEX($A823:$BM823,,$BV$27)*$BW$27+
$BN823)),
$BN823-100)</f>
        <v>-100</v>
      </c>
      <c r="AX823" t="str">
        <f t="shared" si="166"/>
        <v/>
      </c>
      <c r="AY823" t="str">
        <f t="shared" si="162"/>
        <v/>
      </c>
      <c r="AZ823" s="430">
        <f>IFERROR(
IF(AX823="",-100,
IF($BV$2&gt;0, INDEX(Beersheet!$A:$U,MATCH(AX823,INDEX(Beersheet!$A:$U,0,FFARawStatProjections!$BV$2),0),$BV$3)+$BN823,
INDEX($A823:$BM823,,$BV$12)*$BW$12+
INDEX($A823:$BM823,,$BV$15)*$BW$15+
INDEX($A823:$BM823,,$BV$16)*$BW$16+
INDEX($A823:$BM823,,$BV$17)*$BW$17+
INDEX($A823:$BM823,,$BV$18)*$BW$18+
INDEX($A823:$BM823,,$BV$19)*$BW$19+
INDEX($A823:$BM823,,$BV$20)*$BW$20+
INDEX($A823:$BM823,,$BV$21)*$BW$21+
INDEX($A823:$BM823,,$BV$22)*$BW$22+
INDEX($A823:$BM823,,$BV$23)*$BW$23+
INDEX($A823:$BM823,,$BV$25)*$BW$25+
INDEX($A823:$BM823,,$BV$26)*$BW$26+
INDEX($A823:$BM823,,$BV$27)*$BW$27+
$BN823)),
$BN823-100)</f>
        <v>-100</v>
      </c>
      <c r="BB823" t="str">
        <f t="shared" si="167"/>
        <v/>
      </c>
      <c r="BC823" t="str">
        <f t="shared" si="163"/>
        <v/>
      </c>
      <c r="BD823" s="430">
        <f>IFERROR(
IF(BB823="",-100,
IF($BV$2&gt;0, INDEX(Beersheet!$A:$U,MATCH(BB823,INDEX(Beersheet!$A:$U,0,FFARawStatProjections!$BV$2),0),$BV$3)+$BN823,
INDEX($A823:$BM823,,$BV$12)*$BW$12+
INDEX($A823:$BM823,,$BV$15)*$BW$15+
INDEX($A823:$BM823,,$BV$16)*$BW$16+
INDEX($A823:$BM823,,$BV$17)*$BW$17+
INDEX($A823:$BM823,,$BV$18)*$BW$18+
INDEX($A823:$BM823,,$BV$19)*$BW$19+
INDEX($A823:$BM823,,$BV$20)*$BW$20+
INDEX($A823:$BM823,,$BV$21)*$BW$21+
INDEX($A823:$BM823,,$BV$22)*$BW$22+
INDEX($A823:$BM823,,$BV$23)*$BW$23+
INDEX($A823:$BM823,,$BV$25)*$BW$25+
INDEX($A823:$BM823,,$BV$26)*$BW$26+
INDEX($A823:$BM823,,$BV$27)*$BW$27+
$BN823)),
$BN823-100)</f>
        <v>-100</v>
      </c>
      <c r="BF823" t="str">
        <f t="shared" si="168"/>
        <v/>
      </c>
      <c r="BG823" t="str">
        <f t="shared" si="164"/>
        <v/>
      </c>
      <c r="BH823">
        <f t="shared" si="169"/>
        <v>0</v>
      </c>
      <c r="BJ823" t="str">
        <f t="shared" si="170"/>
        <v>MIN</v>
      </c>
      <c r="BL823">
        <f t="shared" si="171"/>
        <v>103.30821999999999</v>
      </c>
      <c r="BN823">
        <v>8.2200000000000606E-3</v>
      </c>
    </row>
    <row r="824" spans="1:66" ht="15.75" thickBot="1" x14ac:dyDescent="0.3">
      <c r="A824" s="569" t="s">
        <v>162</v>
      </c>
      <c r="B824" s="569" t="s">
        <v>162</v>
      </c>
      <c r="C824" s="569" t="s">
        <v>160</v>
      </c>
      <c r="D824" s="574">
        <v>13</v>
      </c>
      <c r="E824" s="569"/>
      <c r="F824" s="569"/>
      <c r="G824" s="569"/>
      <c r="H824" s="569"/>
      <c r="I824" s="574">
        <v>0</v>
      </c>
      <c r="J824" s="574">
        <v>0</v>
      </c>
      <c r="K824" s="574">
        <v>0</v>
      </c>
      <c r="L824" s="574">
        <v>0</v>
      </c>
      <c r="M824" s="574">
        <v>0</v>
      </c>
      <c r="N824" s="574">
        <v>0</v>
      </c>
      <c r="O824" s="574">
        <v>0</v>
      </c>
      <c r="P824" s="574">
        <v>0</v>
      </c>
      <c r="Q824" s="574">
        <v>0</v>
      </c>
      <c r="R824" s="569"/>
      <c r="S824" s="569"/>
      <c r="T824" s="569"/>
      <c r="U824" s="569"/>
      <c r="V824" s="569"/>
      <c r="W824" s="569"/>
      <c r="X824" s="569"/>
      <c r="Y824" s="569"/>
      <c r="Z824" s="569"/>
      <c r="AA824" s="569"/>
      <c r="AB824" s="569"/>
      <c r="AC824" s="569"/>
      <c r="AD824" s="569"/>
      <c r="AE824" s="569"/>
      <c r="AF824" s="569"/>
      <c r="AG824" s="569"/>
      <c r="AH824" s="569"/>
      <c r="AI824" s="569"/>
      <c r="AJ824" s="569"/>
      <c r="AK824" s="569"/>
      <c r="AL824" s="569"/>
      <c r="AM824" s="569"/>
      <c r="AN824" s="574">
        <v>102.9</v>
      </c>
      <c r="AO824">
        <v>823</v>
      </c>
      <c r="AP824" t="str">
        <f t="shared" si="159"/>
        <v/>
      </c>
      <c r="AQ824" t="str">
        <f t="shared" si="160"/>
        <v/>
      </c>
      <c r="AR824" s="430">
        <f>IFERROR(
IF(AP824="",-100,
IF($BV$2&gt;0, INDEX(Beersheet!$A:$U,MATCH(AP824,INDEX(Beersheet!$A:$U,0,FFARawStatProjections!$BV$2),0),$BV$3)+$BN824,
INDEX($A824:$BM824,,$BV$12)*$BW$12+
INDEX($A824:$BM824,,$BV$15)*$BW$15+
INDEX($A824:$BM824,,$BV$16)*$BW$16+
INDEX($A824:$BM824,,$BV$17)*$BW$17+
INDEX($A824:$BM824,,$BV$18)*$BW$18+
INDEX($A824:$BM824,,$BV$19)*$BW$19+
INDEX($A824:$BM824,,$BV$20)*$BW$20+
INDEX($A824:$BM824,,$BV$21)*$BW$21+
INDEX($A824:$BM824,,$BV$22)*$BW$22+
INDEX($A824:$BM824,,$BV$23)*$BW$23+
INDEX($A824:$BM824,,$BV$25)*$BW$25+
INDEX($A824:$BM824,,$BV$26)*$BW$26+
INDEX($A824:$BM824,,$BV$27)*$BW$27+
$BN824)),
$BN824-100)</f>
        <v>-100</v>
      </c>
      <c r="AT824" t="str">
        <f t="shared" si="165"/>
        <v/>
      </c>
      <c r="AU824" t="str">
        <f t="shared" si="161"/>
        <v/>
      </c>
      <c r="AV824" s="430">
        <f>IFERROR(
IF(AT824="",-100,
IF($BV$2&gt;0, INDEX(Beersheet!$A:$U,MATCH(AT824,INDEX(Beersheet!$A:$U,0,FFARawStatProjections!$BV$2),0),$BV$3)+$BN824,
INDEX($A824:$BM824,,$BV$12)*$BW$12+
INDEX($A824:$BM824,,$BV$15)*$BW$15+
INDEX($A824:$BM824,,$BV$16)*$BW$16+
INDEX($A824:$BM824,,$BV$17)*$BW$17+
INDEX($A824:$BM824,,$BV$18)*$BW$18+
INDEX($A824:$BM824,,$BV$19)*$BW$19+
INDEX($A824:$BM824,,$BV$20)*$BW$20+
INDEX($A824:$BM824,,$BV$21)*$BW$21+
INDEX($A824:$BM824,,$BV$22)*$BW$22+
INDEX($A824:$BM824,,$BV$23)*$BW$23+
INDEX($A824:$BM824,,$BV$25)*$BW$25+
INDEX($A824:$BM824,,$BV$26)*$BW$26+
INDEX($A824:$BM824,,$BV$27)*$BW$27+
$BN824)),
$BN824-100)</f>
        <v>-100</v>
      </c>
      <c r="AX824" t="str">
        <f t="shared" si="166"/>
        <v/>
      </c>
      <c r="AY824" t="str">
        <f t="shared" si="162"/>
        <v/>
      </c>
      <c r="AZ824" s="430">
        <f>IFERROR(
IF(AX824="",-100,
IF($BV$2&gt;0, INDEX(Beersheet!$A:$U,MATCH(AX824,INDEX(Beersheet!$A:$U,0,FFARawStatProjections!$BV$2),0),$BV$3)+$BN824,
INDEX($A824:$BM824,,$BV$12)*$BW$12+
INDEX($A824:$BM824,,$BV$15)*$BW$15+
INDEX($A824:$BM824,,$BV$16)*$BW$16+
INDEX($A824:$BM824,,$BV$17)*$BW$17+
INDEX($A824:$BM824,,$BV$18)*$BW$18+
INDEX($A824:$BM824,,$BV$19)*$BW$19+
INDEX($A824:$BM824,,$BV$20)*$BW$20+
INDEX($A824:$BM824,,$BV$21)*$BW$21+
INDEX($A824:$BM824,,$BV$22)*$BW$22+
INDEX($A824:$BM824,,$BV$23)*$BW$23+
INDEX($A824:$BM824,,$BV$25)*$BW$25+
INDEX($A824:$BM824,,$BV$26)*$BW$26+
INDEX($A824:$BM824,,$BV$27)*$BW$27+
$BN824)),
$BN824-100)</f>
        <v>-100</v>
      </c>
      <c r="BB824" t="str">
        <f t="shared" si="167"/>
        <v/>
      </c>
      <c r="BC824" t="str">
        <f t="shared" si="163"/>
        <v/>
      </c>
      <c r="BD824" s="430">
        <f>IFERROR(
IF(BB824="",-100,
IF($BV$2&gt;0, INDEX(Beersheet!$A:$U,MATCH(BB824,INDEX(Beersheet!$A:$U,0,FFARawStatProjections!$BV$2),0),$BV$3)+$BN824,
INDEX($A824:$BM824,,$BV$12)*$BW$12+
INDEX($A824:$BM824,,$BV$15)*$BW$15+
INDEX($A824:$BM824,,$BV$16)*$BW$16+
INDEX($A824:$BM824,,$BV$17)*$BW$17+
INDEX($A824:$BM824,,$BV$18)*$BW$18+
INDEX($A824:$BM824,,$BV$19)*$BW$19+
INDEX($A824:$BM824,,$BV$20)*$BW$20+
INDEX($A824:$BM824,,$BV$21)*$BW$21+
INDEX($A824:$BM824,,$BV$22)*$BW$22+
INDEX($A824:$BM824,,$BV$23)*$BW$23+
INDEX($A824:$BM824,,$BV$25)*$BW$25+
INDEX($A824:$BM824,,$BV$26)*$BW$26+
INDEX($A824:$BM824,,$BV$27)*$BW$27+
$BN824)),
$BN824-100)</f>
        <v>-100</v>
      </c>
      <c r="BF824" t="str">
        <f t="shared" si="168"/>
        <v/>
      </c>
      <c r="BG824" t="str">
        <f t="shared" si="164"/>
        <v/>
      </c>
      <c r="BH824">
        <f t="shared" si="169"/>
        <v>0</v>
      </c>
      <c r="BJ824" t="str">
        <f t="shared" si="170"/>
        <v>BAL</v>
      </c>
      <c r="BL824">
        <f t="shared" si="171"/>
        <v>102.90823</v>
      </c>
      <c r="BN824">
        <v>8.2300000000000602E-3</v>
      </c>
    </row>
    <row r="825" spans="1:66" ht="15.75" thickBot="1" x14ac:dyDescent="0.3">
      <c r="A825" s="569" t="s">
        <v>149</v>
      </c>
      <c r="B825" s="569" t="s">
        <v>149</v>
      </c>
      <c r="C825" s="569" t="s">
        <v>160</v>
      </c>
      <c r="D825" s="574">
        <v>5</v>
      </c>
      <c r="E825" s="569"/>
      <c r="F825" s="569"/>
      <c r="G825" s="569"/>
      <c r="H825" s="569"/>
      <c r="I825" s="574">
        <v>0</v>
      </c>
      <c r="J825" s="574">
        <v>0</v>
      </c>
      <c r="K825" s="574">
        <v>0</v>
      </c>
      <c r="L825" s="574">
        <v>0</v>
      </c>
      <c r="M825" s="574">
        <v>0</v>
      </c>
      <c r="N825" s="574">
        <v>0</v>
      </c>
      <c r="O825" s="574">
        <v>0</v>
      </c>
      <c r="P825" s="574">
        <v>0</v>
      </c>
      <c r="Q825" s="574">
        <v>0</v>
      </c>
      <c r="R825" s="569"/>
      <c r="S825" s="569"/>
      <c r="T825" s="569"/>
      <c r="U825" s="569"/>
      <c r="V825" s="569"/>
      <c r="W825" s="569"/>
      <c r="X825" s="569"/>
      <c r="Y825" s="569"/>
      <c r="Z825" s="569"/>
      <c r="AA825" s="569"/>
      <c r="AB825" s="569"/>
      <c r="AC825" s="569"/>
      <c r="AD825" s="569"/>
      <c r="AE825" s="569"/>
      <c r="AF825" s="569"/>
      <c r="AG825" s="569"/>
      <c r="AH825" s="569"/>
      <c r="AI825" s="569"/>
      <c r="AJ825" s="569"/>
      <c r="AK825" s="569"/>
      <c r="AL825" s="569"/>
      <c r="AM825" s="569"/>
      <c r="AN825" s="574">
        <v>101.9</v>
      </c>
      <c r="AO825">
        <v>824</v>
      </c>
      <c r="AP825" t="str">
        <f t="shared" si="159"/>
        <v/>
      </c>
      <c r="AQ825" t="str">
        <f t="shared" si="160"/>
        <v/>
      </c>
      <c r="AR825" s="430">
        <f>IFERROR(
IF(AP825="",-100,
IF($BV$2&gt;0, INDEX(Beersheet!$A:$U,MATCH(AP825,INDEX(Beersheet!$A:$U,0,FFARawStatProjections!$BV$2),0),$BV$3)+$BN825,
INDEX($A825:$BM825,,$BV$12)*$BW$12+
INDEX($A825:$BM825,,$BV$15)*$BW$15+
INDEX($A825:$BM825,,$BV$16)*$BW$16+
INDEX($A825:$BM825,,$BV$17)*$BW$17+
INDEX($A825:$BM825,,$BV$18)*$BW$18+
INDEX($A825:$BM825,,$BV$19)*$BW$19+
INDEX($A825:$BM825,,$BV$20)*$BW$20+
INDEX($A825:$BM825,,$BV$21)*$BW$21+
INDEX($A825:$BM825,,$BV$22)*$BW$22+
INDEX($A825:$BM825,,$BV$23)*$BW$23+
INDEX($A825:$BM825,,$BV$25)*$BW$25+
INDEX($A825:$BM825,,$BV$26)*$BW$26+
INDEX($A825:$BM825,,$BV$27)*$BW$27+
$BN825)),
$BN825-100)</f>
        <v>-100</v>
      </c>
      <c r="AT825" t="str">
        <f t="shared" si="165"/>
        <v/>
      </c>
      <c r="AU825" t="str">
        <f t="shared" si="161"/>
        <v/>
      </c>
      <c r="AV825" s="430">
        <f>IFERROR(
IF(AT825="",-100,
IF($BV$2&gt;0, INDEX(Beersheet!$A:$U,MATCH(AT825,INDEX(Beersheet!$A:$U,0,FFARawStatProjections!$BV$2),0),$BV$3)+$BN825,
INDEX($A825:$BM825,,$BV$12)*$BW$12+
INDEX($A825:$BM825,,$BV$15)*$BW$15+
INDEX($A825:$BM825,,$BV$16)*$BW$16+
INDEX($A825:$BM825,,$BV$17)*$BW$17+
INDEX($A825:$BM825,,$BV$18)*$BW$18+
INDEX($A825:$BM825,,$BV$19)*$BW$19+
INDEX($A825:$BM825,,$BV$20)*$BW$20+
INDEX($A825:$BM825,,$BV$21)*$BW$21+
INDEX($A825:$BM825,,$BV$22)*$BW$22+
INDEX($A825:$BM825,,$BV$23)*$BW$23+
INDEX($A825:$BM825,,$BV$25)*$BW$25+
INDEX($A825:$BM825,,$BV$26)*$BW$26+
INDEX($A825:$BM825,,$BV$27)*$BW$27+
$BN825)),
$BN825-100)</f>
        <v>-100</v>
      </c>
      <c r="AX825" t="str">
        <f t="shared" si="166"/>
        <v/>
      </c>
      <c r="AY825" t="str">
        <f t="shared" si="162"/>
        <v/>
      </c>
      <c r="AZ825" s="430">
        <f>IFERROR(
IF(AX825="",-100,
IF($BV$2&gt;0, INDEX(Beersheet!$A:$U,MATCH(AX825,INDEX(Beersheet!$A:$U,0,FFARawStatProjections!$BV$2),0),$BV$3)+$BN825,
INDEX($A825:$BM825,,$BV$12)*$BW$12+
INDEX($A825:$BM825,,$BV$15)*$BW$15+
INDEX($A825:$BM825,,$BV$16)*$BW$16+
INDEX($A825:$BM825,,$BV$17)*$BW$17+
INDEX($A825:$BM825,,$BV$18)*$BW$18+
INDEX($A825:$BM825,,$BV$19)*$BW$19+
INDEX($A825:$BM825,,$BV$20)*$BW$20+
INDEX($A825:$BM825,,$BV$21)*$BW$21+
INDEX($A825:$BM825,,$BV$22)*$BW$22+
INDEX($A825:$BM825,,$BV$23)*$BW$23+
INDEX($A825:$BM825,,$BV$25)*$BW$25+
INDEX($A825:$BM825,,$BV$26)*$BW$26+
INDEX($A825:$BM825,,$BV$27)*$BW$27+
$BN825)),
$BN825-100)</f>
        <v>-100</v>
      </c>
      <c r="BB825" t="str">
        <f t="shared" si="167"/>
        <v/>
      </c>
      <c r="BC825" t="str">
        <f t="shared" si="163"/>
        <v/>
      </c>
      <c r="BD825" s="430">
        <f>IFERROR(
IF(BB825="",-100,
IF($BV$2&gt;0, INDEX(Beersheet!$A:$U,MATCH(BB825,INDEX(Beersheet!$A:$U,0,FFARawStatProjections!$BV$2),0),$BV$3)+$BN825,
INDEX($A825:$BM825,,$BV$12)*$BW$12+
INDEX($A825:$BM825,,$BV$15)*$BW$15+
INDEX($A825:$BM825,,$BV$16)*$BW$16+
INDEX($A825:$BM825,,$BV$17)*$BW$17+
INDEX($A825:$BM825,,$BV$18)*$BW$18+
INDEX($A825:$BM825,,$BV$19)*$BW$19+
INDEX($A825:$BM825,,$BV$20)*$BW$20+
INDEX($A825:$BM825,,$BV$21)*$BW$21+
INDEX($A825:$BM825,,$BV$22)*$BW$22+
INDEX($A825:$BM825,,$BV$23)*$BW$23+
INDEX($A825:$BM825,,$BV$25)*$BW$25+
INDEX($A825:$BM825,,$BV$26)*$BW$26+
INDEX($A825:$BM825,,$BV$27)*$BW$27+
$BN825)),
$BN825-100)</f>
        <v>-100</v>
      </c>
      <c r="BF825" t="str">
        <f t="shared" si="168"/>
        <v/>
      </c>
      <c r="BG825" t="str">
        <f t="shared" si="164"/>
        <v/>
      </c>
      <c r="BH825">
        <f t="shared" si="169"/>
        <v>0</v>
      </c>
      <c r="BJ825" t="str">
        <f t="shared" si="170"/>
        <v>TB</v>
      </c>
      <c r="BL825">
        <f t="shared" si="171"/>
        <v>101.90824000000001</v>
      </c>
      <c r="BN825">
        <v>8.2400000000000598E-3</v>
      </c>
    </row>
    <row r="826" spans="1:66" ht="15.75" thickBot="1" x14ac:dyDescent="0.3">
      <c r="A826" s="569" t="s">
        <v>165</v>
      </c>
      <c r="B826" s="569" t="s">
        <v>165</v>
      </c>
      <c r="C826" s="569" t="s">
        <v>160</v>
      </c>
      <c r="D826" s="574">
        <v>9</v>
      </c>
      <c r="E826" s="569"/>
      <c r="F826" s="569"/>
      <c r="G826" s="569"/>
      <c r="H826" s="569"/>
      <c r="I826" s="574">
        <v>0</v>
      </c>
      <c r="J826" s="574">
        <v>0</v>
      </c>
      <c r="K826" s="574">
        <v>0</v>
      </c>
      <c r="L826" s="574">
        <v>0</v>
      </c>
      <c r="M826" s="574">
        <v>0</v>
      </c>
      <c r="N826" s="574">
        <v>0</v>
      </c>
      <c r="O826" s="574">
        <v>0</v>
      </c>
      <c r="P826" s="574">
        <v>0</v>
      </c>
      <c r="Q826" s="574">
        <v>0</v>
      </c>
      <c r="R826" s="569"/>
      <c r="S826" s="569"/>
      <c r="T826" s="569"/>
      <c r="U826" s="569"/>
      <c r="V826" s="569"/>
      <c r="W826" s="569"/>
      <c r="X826" s="569"/>
      <c r="Y826" s="569"/>
      <c r="Z826" s="569"/>
      <c r="AA826" s="569"/>
      <c r="AB826" s="569"/>
      <c r="AC826" s="569"/>
      <c r="AD826" s="569"/>
      <c r="AE826" s="569"/>
      <c r="AF826" s="569"/>
      <c r="AG826" s="569"/>
      <c r="AH826" s="569"/>
      <c r="AI826" s="569"/>
      <c r="AJ826" s="569"/>
      <c r="AK826" s="569"/>
      <c r="AL826" s="569"/>
      <c r="AM826" s="569"/>
      <c r="AN826" s="574">
        <v>100.4</v>
      </c>
      <c r="AO826">
        <v>825</v>
      </c>
      <c r="AP826" t="str">
        <f t="shared" si="159"/>
        <v/>
      </c>
      <c r="AQ826" t="str">
        <f t="shared" si="160"/>
        <v/>
      </c>
      <c r="AR826" s="430">
        <f>IFERROR(
IF(AP826="",-100,
IF($BV$2&gt;0, INDEX(Beersheet!$A:$U,MATCH(AP826,INDEX(Beersheet!$A:$U,0,FFARawStatProjections!$BV$2),0),$BV$3)+$BN826,
INDEX($A826:$BM826,,$BV$12)*$BW$12+
INDEX($A826:$BM826,,$BV$15)*$BW$15+
INDEX($A826:$BM826,,$BV$16)*$BW$16+
INDEX($A826:$BM826,,$BV$17)*$BW$17+
INDEX($A826:$BM826,,$BV$18)*$BW$18+
INDEX($A826:$BM826,,$BV$19)*$BW$19+
INDEX($A826:$BM826,,$BV$20)*$BW$20+
INDEX($A826:$BM826,,$BV$21)*$BW$21+
INDEX($A826:$BM826,,$BV$22)*$BW$22+
INDEX($A826:$BM826,,$BV$23)*$BW$23+
INDEX($A826:$BM826,,$BV$25)*$BW$25+
INDEX($A826:$BM826,,$BV$26)*$BW$26+
INDEX($A826:$BM826,,$BV$27)*$BW$27+
$BN826)),
$BN826-100)</f>
        <v>-100</v>
      </c>
      <c r="AT826" t="str">
        <f t="shared" si="165"/>
        <v/>
      </c>
      <c r="AU826" t="str">
        <f t="shared" si="161"/>
        <v/>
      </c>
      <c r="AV826" s="430">
        <f>IFERROR(
IF(AT826="",-100,
IF($BV$2&gt;0, INDEX(Beersheet!$A:$U,MATCH(AT826,INDEX(Beersheet!$A:$U,0,FFARawStatProjections!$BV$2),0),$BV$3)+$BN826,
INDEX($A826:$BM826,,$BV$12)*$BW$12+
INDEX($A826:$BM826,,$BV$15)*$BW$15+
INDEX($A826:$BM826,,$BV$16)*$BW$16+
INDEX($A826:$BM826,,$BV$17)*$BW$17+
INDEX($A826:$BM826,,$BV$18)*$BW$18+
INDEX($A826:$BM826,,$BV$19)*$BW$19+
INDEX($A826:$BM826,,$BV$20)*$BW$20+
INDEX($A826:$BM826,,$BV$21)*$BW$21+
INDEX($A826:$BM826,,$BV$22)*$BW$22+
INDEX($A826:$BM826,,$BV$23)*$BW$23+
INDEX($A826:$BM826,,$BV$25)*$BW$25+
INDEX($A826:$BM826,,$BV$26)*$BW$26+
INDEX($A826:$BM826,,$BV$27)*$BW$27+
$BN826)),
$BN826-100)</f>
        <v>-100</v>
      </c>
      <c r="AX826" t="str">
        <f t="shared" si="166"/>
        <v/>
      </c>
      <c r="AY826" t="str">
        <f t="shared" si="162"/>
        <v/>
      </c>
      <c r="AZ826" s="430">
        <f>IFERROR(
IF(AX826="",-100,
IF($BV$2&gt;0, INDEX(Beersheet!$A:$U,MATCH(AX826,INDEX(Beersheet!$A:$U,0,FFARawStatProjections!$BV$2),0),$BV$3)+$BN826,
INDEX($A826:$BM826,,$BV$12)*$BW$12+
INDEX($A826:$BM826,,$BV$15)*$BW$15+
INDEX($A826:$BM826,,$BV$16)*$BW$16+
INDEX($A826:$BM826,,$BV$17)*$BW$17+
INDEX($A826:$BM826,,$BV$18)*$BW$18+
INDEX($A826:$BM826,,$BV$19)*$BW$19+
INDEX($A826:$BM826,,$BV$20)*$BW$20+
INDEX($A826:$BM826,,$BV$21)*$BW$21+
INDEX($A826:$BM826,,$BV$22)*$BW$22+
INDEX($A826:$BM826,,$BV$23)*$BW$23+
INDEX($A826:$BM826,,$BV$25)*$BW$25+
INDEX($A826:$BM826,,$BV$26)*$BW$26+
INDEX($A826:$BM826,,$BV$27)*$BW$27+
$BN826)),
$BN826-100)</f>
        <v>-100</v>
      </c>
      <c r="BB826" t="str">
        <f t="shared" si="167"/>
        <v/>
      </c>
      <c r="BC826" t="str">
        <f t="shared" si="163"/>
        <v/>
      </c>
      <c r="BD826" s="430">
        <f>IFERROR(
IF(BB826="",-100,
IF($BV$2&gt;0, INDEX(Beersheet!$A:$U,MATCH(BB826,INDEX(Beersheet!$A:$U,0,FFARawStatProjections!$BV$2),0),$BV$3)+$BN826,
INDEX($A826:$BM826,,$BV$12)*$BW$12+
INDEX($A826:$BM826,,$BV$15)*$BW$15+
INDEX($A826:$BM826,,$BV$16)*$BW$16+
INDEX($A826:$BM826,,$BV$17)*$BW$17+
INDEX($A826:$BM826,,$BV$18)*$BW$18+
INDEX($A826:$BM826,,$BV$19)*$BW$19+
INDEX($A826:$BM826,,$BV$20)*$BW$20+
INDEX($A826:$BM826,,$BV$21)*$BW$21+
INDEX($A826:$BM826,,$BV$22)*$BW$22+
INDEX($A826:$BM826,,$BV$23)*$BW$23+
INDEX($A826:$BM826,,$BV$25)*$BW$25+
INDEX($A826:$BM826,,$BV$26)*$BW$26+
INDEX($A826:$BM826,,$BV$27)*$BW$27+
$BN826)),
$BN826-100)</f>
        <v>-100</v>
      </c>
      <c r="BF826" t="str">
        <f t="shared" si="168"/>
        <v/>
      </c>
      <c r="BG826" t="str">
        <f t="shared" si="164"/>
        <v/>
      </c>
      <c r="BH826">
        <f t="shared" si="169"/>
        <v>0</v>
      </c>
      <c r="BJ826" t="str">
        <f t="shared" si="170"/>
        <v>JAC</v>
      </c>
      <c r="BL826">
        <f t="shared" si="171"/>
        <v>100.40825000000001</v>
      </c>
      <c r="BN826">
        <v>8.2500000000000594E-3</v>
      </c>
    </row>
    <row r="827" spans="1:66" ht="15.75" thickBot="1" x14ac:dyDescent="0.3">
      <c r="A827" s="569" t="s">
        <v>154</v>
      </c>
      <c r="B827" s="569" t="s">
        <v>154</v>
      </c>
      <c r="C827" s="569" t="s">
        <v>160</v>
      </c>
      <c r="D827" s="574">
        <v>13</v>
      </c>
      <c r="E827" s="569"/>
      <c r="F827" s="569"/>
      <c r="G827" s="569"/>
      <c r="H827" s="569"/>
      <c r="I827" s="574">
        <v>0</v>
      </c>
      <c r="J827" s="574">
        <v>0</v>
      </c>
      <c r="K827" s="574">
        <v>0</v>
      </c>
      <c r="L827" s="574">
        <v>0</v>
      </c>
      <c r="M827" s="574">
        <v>0</v>
      </c>
      <c r="N827" s="574">
        <v>0</v>
      </c>
      <c r="O827" s="574">
        <v>0</v>
      </c>
      <c r="P827" s="574">
        <v>0</v>
      </c>
      <c r="Q827" s="574">
        <v>0</v>
      </c>
      <c r="R827" s="569"/>
      <c r="S827" s="569"/>
      <c r="T827" s="569"/>
      <c r="U827" s="569"/>
      <c r="V827" s="569"/>
      <c r="W827" s="569"/>
      <c r="X827" s="569"/>
      <c r="Y827" s="569"/>
      <c r="Z827" s="569"/>
      <c r="AA827" s="569"/>
      <c r="AB827" s="569"/>
      <c r="AC827" s="569"/>
      <c r="AD827" s="569"/>
      <c r="AE827" s="569"/>
      <c r="AF827" s="569"/>
      <c r="AG827" s="569"/>
      <c r="AH827" s="569"/>
      <c r="AI827" s="569"/>
      <c r="AJ827" s="569"/>
      <c r="AK827" s="569"/>
      <c r="AL827" s="569"/>
      <c r="AM827" s="569"/>
      <c r="AN827" s="574">
        <v>100</v>
      </c>
      <c r="AO827">
        <v>826</v>
      </c>
      <c r="AP827" t="str">
        <f t="shared" si="159"/>
        <v/>
      </c>
      <c r="AQ827" t="str">
        <f t="shared" si="160"/>
        <v/>
      </c>
      <c r="AR827" s="430">
        <f>IFERROR(
IF(AP827="",-100,
IF($BV$2&gt;0, INDEX(Beersheet!$A:$U,MATCH(AP827,INDEX(Beersheet!$A:$U,0,FFARawStatProjections!$BV$2),0),$BV$3)+$BN827,
INDEX($A827:$BM827,,$BV$12)*$BW$12+
INDEX($A827:$BM827,,$BV$15)*$BW$15+
INDEX($A827:$BM827,,$BV$16)*$BW$16+
INDEX($A827:$BM827,,$BV$17)*$BW$17+
INDEX($A827:$BM827,,$BV$18)*$BW$18+
INDEX($A827:$BM827,,$BV$19)*$BW$19+
INDEX($A827:$BM827,,$BV$20)*$BW$20+
INDEX($A827:$BM827,,$BV$21)*$BW$21+
INDEX($A827:$BM827,,$BV$22)*$BW$22+
INDEX($A827:$BM827,,$BV$23)*$BW$23+
INDEX($A827:$BM827,,$BV$25)*$BW$25+
INDEX($A827:$BM827,,$BV$26)*$BW$26+
INDEX($A827:$BM827,,$BV$27)*$BW$27+
$BN827)),
$BN827-100)</f>
        <v>-100</v>
      </c>
      <c r="AT827" t="str">
        <f t="shared" si="165"/>
        <v/>
      </c>
      <c r="AU827" t="str">
        <f t="shared" si="161"/>
        <v/>
      </c>
      <c r="AV827" s="430">
        <f>IFERROR(
IF(AT827="",-100,
IF($BV$2&gt;0, INDEX(Beersheet!$A:$U,MATCH(AT827,INDEX(Beersheet!$A:$U,0,FFARawStatProjections!$BV$2),0),$BV$3)+$BN827,
INDEX($A827:$BM827,,$BV$12)*$BW$12+
INDEX($A827:$BM827,,$BV$15)*$BW$15+
INDEX($A827:$BM827,,$BV$16)*$BW$16+
INDEX($A827:$BM827,,$BV$17)*$BW$17+
INDEX($A827:$BM827,,$BV$18)*$BW$18+
INDEX($A827:$BM827,,$BV$19)*$BW$19+
INDEX($A827:$BM827,,$BV$20)*$BW$20+
INDEX($A827:$BM827,,$BV$21)*$BW$21+
INDEX($A827:$BM827,,$BV$22)*$BW$22+
INDEX($A827:$BM827,,$BV$23)*$BW$23+
INDEX($A827:$BM827,,$BV$25)*$BW$25+
INDEX($A827:$BM827,,$BV$26)*$BW$26+
INDEX($A827:$BM827,,$BV$27)*$BW$27+
$BN827)),
$BN827-100)</f>
        <v>-100</v>
      </c>
      <c r="AX827" t="str">
        <f t="shared" si="166"/>
        <v/>
      </c>
      <c r="AY827" t="str">
        <f t="shared" si="162"/>
        <v/>
      </c>
      <c r="AZ827" s="430">
        <f>IFERROR(
IF(AX827="",-100,
IF($BV$2&gt;0, INDEX(Beersheet!$A:$U,MATCH(AX827,INDEX(Beersheet!$A:$U,0,FFARawStatProjections!$BV$2),0),$BV$3)+$BN827,
INDEX($A827:$BM827,,$BV$12)*$BW$12+
INDEX($A827:$BM827,,$BV$15)*$BW$15+
INDEX($A827:$BM827,,$BV$16)*$BW$16+
INDEX($A827:$BM827,,$BV$17)*$BW$17+
INDEX($A827:$BM827,,$BV$18)*$BW$18+
INDEX($A827:$BM827,,$BV$19)*$BW$19+
INDEX($A827:$BM827,,$BV$20)*$BW$20+
INDEX($A827:$BM827,,$BV$21)*$BW$21+
INDEX($A827:$BM827,,$BV$22)*$BW$22+
INDEX($A827:$BM827,,$BV$23)*$BW$23+
INDEX($A827:$BM827,,$BV$25)*$BW$25+
INDEX($A827:$BM827,,$BV$26)*$BW$26+
INDEX($A827:$BM827,,$BV$27)*$BW$27+
$BN827)),
$BN827-100)</f>
        <v>-100</v>
      </c>
      <c r="BB827" t="str">
        <f t="shared" si="167"/>
        <v/>
      </c>
      <c r="BC827" t="str">
        <f t="shared" si="163"/>
        <v/>
      </c>
      <c r="BD827" s="430">
        <f>IFERROR(
IF(BB827="",-100,
IF($BV$2&gt;0, INDEX(Beersheet!$A:$U,MATCH(BB827,INDEX(Beersheet!$A:$U,0,FFARawStatProjections!$BV$2),0),$BV$3)+$BN827,
INDEX($A827:$BM827,,$BV$12)*$BW$12+
INDEX($A827:$BM827,,$BV$15)*$BW$15+
INDEX($A827:$BM827,,$BV$16)*$BW$16+
INDEX($A827:$BM827,,$BV$17)*$BW$17+
INDEX($A827:$BM827,,$BV$18)*$BW$18+
INDEX($A827:$BM827,,$BV$19)*$BW$19+
INDEX($A827:$BM827,,$BV$20)*$BW$20+
INDEX($A827:$BM827,,$BV$21)*$BW$21+
INDEX($A827:$BM827,,$BV$22)*$BW$22+
INDEX($A827:$BM827,,$BV$23)*$BW$23+
INDEX($A827:$BM827,,$BV$25)*$BW$25+
INDEX($A827:$BM827,,$BV$26)*$BW$26+
INDEX($A827:$BM827,,$BV$27)*$BW$27+
$BN827)),
$BN827-100)</f>
        <v>-100</v>
      </c>
      <c r="BF827" t="str">
        <f t="shared" si="168"/>
        <v/>
      </c>
      <c r="BG827" t="str">
        <f t="shared" si="164"/>
        <v/>
      </c>
      <c r="BH827">
        <f t="shared" si="169"/>
        <v>0</v>
      </c>
      <c r="BJ827" t="str">
        <f t="shared" si="170"/>
        <v>NYG</v>
      </c>
      <c r="BL827">
        <f t="shared" si="171"/>
        <v>100.00826000000001</v>
      </c>
      <c r="BN827">
        <v>8.2600000000000607E-3</v>
      </c>
    </row>
    <row r="828" spans="1:66" ht="15.75" thickBot="1" x14ac:dyDescent="0.3">
      <c r="A828" s="569" t="s">
        <v>1389</v>
      </c>
      <c r="B828" s="569" t="s">
        <v>1389</v>
      </c>
      <c r="C828" s="569" t="s">
        <v>160</v>
      </c>
      <c r="D828" s="574">
        <v>10</v>
      </c>
      <c r="E828" s="569"/>
      <c r="F828" s="569"/>
      <c r="G828" s="569"/>
      <c r="H828" s="569"/>
      <c r="I828" s="574">
        <v>0</v>
      </c>
      <c r="J828" s="574">
        <v>0</v>
      </c>
      <c r="K828" s="574">
        <v>0</v>
      </c>
      <c r="L828" s="574">
        <v>0</v>
      </c>
      <c r="M828" s="574">
        <v>0</v>
      </c>
      <c r="N828" s="574">
        <v>0</v>
      </c>
      <c r="O828" s="574">
        <v>0</v>
      </c>
      <c r="P828" s="574">
        <v>0</v>
      </c>
      <c r="Q828" s="574">
        <v>0</v>
      </c>
      <c r="R828" s="569"/>
      <c r="S828" s="569"/>
      <c r="T828" s="569"/>
      <c r="U828" s="569"/>
      <c r="V828" s="569"/>
      <c r="W828" s="569"/>
      <c r="X828" s="569"/>
      <c r="Y828" s="569"/>
      <c r="Z828" s="569"/>
      <c r="AA828" s="569"/>
      <c r="AB828" s="569"/>
      <c r="AC828" s="569"/>
      <c r="AD828" s="569"/>
      <c r="AE828" s="569"/>
      <c r="AF828" s="569"/>
      <c r="AG828" s="569"/>
      <c r="AH828" s="569"/>
      <c r="AI828" s="569"/>
      <c r="AJ828" s="569"/>
      <c r="AK828" s="569"/>
      <c r="AL828" s="569"/>
      <c r="AM828" s="569"/>
      <c r="AN828" s="574">
        <v>99.9</v>
      </c>
      <c r="AO828">
        <v>827</v>
      </c>
      <c r="AP828" t="str">
        <f t="shared" si="159"/>
        <v/>
      </c>
      <c r="AQ828" t="str">
        <f t="shared" si="160"/>
        <v/>
      </c>
      <c r="AR828" s="430">
        <f>IFERROR(
IF(AP828="",-100,
IF($BV$2&gt;0, INDEX(Beersheet!$A:$U,MATCH(AP828,INDEX(Beersheet!$A:$U,0,FFARawStatProjections!$BV$2),0),$BV$3)+$BN828,
INDEX($A828:$BM828,,$BV$12)*$BW$12+
INDEX($A828:$BM828,,$BV$15)*$BW$15+
INDEX($A828:$BM828,,$BV$16)*$BW$16+
INDEX($A828:$BM828,,$BV$17)*$BW$17+
INDEX($A828:$BM828,,$BV$18)*$BW$18+
INDEX($A828:$BM828,,$BV$19)*$BW$19+
INDEX($A828:$BM828,,$BV$20)*$BW$20+
INDEX($A828:$BM828,,$BV$21)*$BW$21+
INDEX($A828:$BM828,,$BV$22)*$BW$22+
INDEX($A828:$BM828,,$BV$23)*$BW$23+
INDEX($A828:$BM828,,$BV$25)*$BW$25+
INDEX($A828:$BM828,,$BV$26)*$BW$26+
INDEX($A828:$BM828,,$BV$27)*$BW$27+
$BN828)),
$BN828-100)</f>
        <v>-100</v>
      </c>
      <c r="AT828" t="str">
        <f t="shared" si="165"/>
        <v/>
      </c>
      <c r="AU828" t="str">
        <f t="shared" si="161"/>
        <v/>
      </c>
      <c r="AV828" s="430">
        <f>IFERROR(
IF(AT828="",-100,
IF($BV$2&gt;0, INDEX(Beersheet!$A:$U,MATCH(AT828,INDEX(Beersheet!$A:$U,0,FFARawStatProjections!$BV$2),0),$BV$3)+$BN828,
INDEX($A828:$BM828,,$BV$12)*$BW$12+
INDEX($A828:$BM828,,$BV$15)*$BW$15+
INDEX($A828:$BM828,,$BV$16)*$BW$16+
INDEX($A828:$BM828,,$BV$17)*$BW$17+
INDEX($A828:$BM828,,$BV$18)*$BW$18+
INDEX($A828:$BM828,,$BV$19)*$BW$19+
INDEX($A828:$BM828,,$BV$20)*$BW$20+
INDEX($A828:$BM828,,$BV$21)*$BW$21+
INDEX($A828:$BM828,,$BV$22)*$BW$22+
INDEX($A828:$BM828,,$BV$23)*$BW$23+
INDEX($A828:$BM828,,$BV$25)*$BW$25+
INDEX($A828:$BM828,,$BV$26)*$BW$26+
INDEX($A828:$BM828,,$BV$27)*$BW$27+
$BN828)),
$BN828-100)</f>
        <v>-100</v>
      </c>
      <c r="AX828" t="str">
        <f t="shared" si="166"/>
        <v/>
      </c>
      <c r="AY828" t="str">
        <f t="shared" si="162"/>
        <v/>
      </c>
      <c r="AZ828" s="430">
        <f>IFERROR(
IF(AX828="",-100,
IF($BV$2&gt;0, INDEX(Beersheet!$A:$U,MATCH(AX828,INDEX(Beersheet!$A:$U,0,FFARawStatProjections!$BV$2),0),$BV$3)+$BN828,
INDEX($A828:$BM828,,$BV$12)*$BW$12+
INDEX($A828:$BM828,,$BV$15)*$BW$15+
INDEX($A828:$BM828,,$BV$16)*$BW$16+
INDEX($A828:$BM828,,$BV$17)*$BW$17+
INDEX($A828:$BM828,,$BV$18)*$BW$18+
INDEX($A828:$BM828,,$BV$19)*$BW$19+
INDEX($A828:$BM828,,$BV$20)*$BW$20+
INDEX($A828:$BM828,,$BV$21)*$BW$21+
INDEX($A828:$BM828,,$BV$22)*$BW$22+
INDEX($A828:$BM828,,$BV$23)*$BW$23+
INDEX($A828:$BM828,,$BV$25)*$BW$25+
INDEX($A828:$BM828,,$BV$26)*$BW$26+
INDEX($A828:$BM828,,$BV$27)*$BW$27+
$BN828)),
$BN828-100)</f>
        <v>-100</v>
      </c>
      <c r="BB828" t="str">
        <f t="shared" si="167"/>
        <v/>
      </c>
      <c r="BC828" t="str">
        <f t="shared" si="163"/>
        <v/>
      </c>
      <c r="BD828" s="430">
        <f>IFERROR(
IF(BB828="",-100,
IF($BV$2&gt;0, INDEX(Beersheet!$A:$U,MATCH(BB828,INDEX(Beersheet!$A:$U,0,FFARawStatProjections!$BV$2),0),$BV$3)+$BN828,
INDEX($A828:$BM828,,$BV$12)*$BW$12+
INDEX($A828:$BM828,,$BV$15)*$BW$15+
INDEX($A828:$BM828,,$BV$16)*$BW$16+
INDEX($A828:$BM828,,$BV$17)*$BW$17+
INDEX($A828:$BM828,,$BV$18)*$BW$18+
INDEX($A828:$BM828,,$BV$19)*$BW$19+
INDEX($A828:$BM828,,$BV$20)*$BW$20+
INDEX($A828:$BM828,,$BV$21)*$BW$21+
INDEX($A828:$BM828,,$BV$22)*$BW$22+
INDEX($A828:$BM828,,$BV$23)*$BW$23+
INDEX($A828:$BM828,,$BV$25)*$BW$25+
INDEX($A828:$BM828,,$BV$26)*$BW$26+
INDEX($A828:$BM828,,$BV$27)*$BW$27+
$BN828)),
$BN828-100)</f>
        <v>-100</v>
      </c>
      <c r="BF828" t="str">
        <f t="shared" si="168"/>
        <v/>
      </c>
      <c r="BG828" t="str">
        <f t="shared" si="164"/>
        <v/>
      </c>
      <c r="BH828">
        <f t="shared" si="169"/>
        <v>0</v>
      </c>
      <c r="BJ828" t="str">
        <f t="shared" si="170"/>
        <v>LAR</v>
      </c>
      <c r="BL828">
        <f t="shared" si="171"/>
        <v>99.908270000000002</v>
      </c>
      <c r="BN828">
        <v>8.2700000000000603E-3</v>
      </c>
    </row>
    <row r="829" spans="1:66" ht="15.75" thickBot="1" x14ac:dyDescent="0.3">
      <c r="A829" s="569" t="s">
        <v>163</v>
      </c>
      <c r="B829" s="569" t="s">
        <v>163</v>
      </c>
      <c r="C829" s="569" t="s">
        <v>160</v>
      </c>
      <c r="D829" s="574">
        <v>7</v>
      </c>
      <c r="E829" s="569"/>
      <c r="F829" s="569"/>
      <c r="G829" s="569"/>
      <c r="H829" s="569"/>
      <c r="I829" s="574">
        <v>0</v>
      </c>
      <c r="J829" s="574">
        <v>0</v>
      </c>
      <c r="K829" s="574">
        <v>0</v>
      </c>
      <c r="L829" s="574">
        <v>0</v>
      </c>
      <c r="M829" s="574">
        <v>0</v>
      </c>
      <c r="N829" s="574">
        <v>0</v>
      </c>
      <c r="O829" s="574">
        <v>0</v>
      </c>
      <c r="P829" s="574">
        <v>0</v>
      </c>
      <c r="Q829" s="574">
        <v>0</v>
      </c>
      <c r="R829" s="569"/>
      <c r="S829" s="569"/>
      <c r="T829" s="569"/>
      <c r="U829" s="569"/>
      <c r="V829" s="569"/>
      <c r="W829" s="569"/>
      <c r="X829" s="569"/>
      <c r="Y829" s="569"/>
      <c r="Z829" s="569"/>
      <c r="AA829" s="569"/>
      <c r="AB829" s="569"/>
      <c r="AC829" s="569"/>
      <c r="AD829" s="569"/>
      <c r="AE829" s="569"/>
      <c r="AF829" s="569"/>
      <c r="AG829" s="569"/>
      <c r="AH829" s="569"/>
      <c r="AI829" s="569"/>
      <c r="AJ829" s="569"/>
      <c r="AK829" s="569"/>
      <c r="AL829" s="569"/>
      <c r="AM829" s="569"/>
      <c r="AN829" s="574">
        <v>99.8</v>
      </c>
      <c r="AO829">
        <v>828</v>
      </c>
      <c r="AP829" t="str">
        <f t="shared" si="159"/>
        <v/>
      </c>
      <c r="AQ829" t="str">
        <f t="shared" si="160"/>
        <v/>
      </c>
      <c r="AR829" s="430">
        <f>IFERROR(
IF(AP829="",-100,
IF($BV$2&gt;0, INDEX(Beersheet!$A:$U,MATCH(AP829,INDEX(Beersheet!$A:$U,0,FFARawStatProjections!$BV$2),0),$BV$3)+$BN829,
INDEX($A829:$BM829,,$BV$12)*$BW$12+
INDEX($A829:$BM829,,$BV$15)*$BW$15+
INDEX($A829:$BM829,,$BV$16)*$BW$16+
INDEX($A829:$BM829,,$BV$17)*$BW$17+
INDEX($A829:$BM829,,$BV$18)*$BW$18+
INDEX($A829:$BM829,,$BV$19)*$BW$19+
INDEX($A829:$BM829,,$BV$20)*$BW$20+
INDEX($A829:$BM829,,$BV$21)*$BW$21+
INDEX($A829:$BM829,,$BV$22)*$BW$22+
INDEX($A829:$BM829,,$BV$23)*$BW$23+
INDEX($A829:$BM829,,$BV$25)*$BW$25+
INDEX($A829:$BM829,,$BV$26)*$BW$26+
INDEX($A829:$BM829,,$BV$27)*$BW$27+
$BN829)),
$BN829-100)</f>
        <v>-100</v>
      </c>
      <c r="AT829" t="str">
        <f t="shared" si="165"/>
        <v/>
      </c>
      <c r="AU829" t="str">
        <f t="shared" si="161"/>
        <v/>
      </c>
      <c r="AV829" s="430">
        <f>IFERROR(
IF(AT829="",-100,
IF($BV$2&gt;0, INDEX(Beersheet!$A:$U,MATCH(AT829,INDEX(Beersheet!$A:$U,0,FFARawStatProjections!$BV$2),0),$BV$3)+$BN829,
INDEX($A829:$BM829,,$BV$12)*$BW$12+
INDEX($A829:$BM829,,$BV$15)*$BW$15+
INDEX($A829:$BM829,,$BV$16)*$BW$16+
INDEX($A829:$BM829,,$BV$17)*$BW$17+
INDEX($A829:$BM829,,$BV$18)*$BW$18+
INDEX($A829:$BM829,,$BV$19)*$BW$19+
INDEX($A829:$BM829,,$BV$20)*$BW$20+
INDEX($A829:$BM829,,$BV$21)*$BW$21+
INDEX($A829:$BM829,,$BV$22)*$BW$22+
INDEX($A829:$BM829,,$BV$23)*$BW$23+
INDEX($A829:$BM829,,$BV$25)*$BW$25+
INDEX($A829:$BM829,,$BV$26)*$BW$26+
INDEX($A829:$BM829,,$BV$27)*$BW$27+
$BN829)),
$BN829-100)</f>
        <v>-100</v>
      </c>
      <c r="AX829" t="str">
        <f t="shared" si="166"/>
        <v/>
      </c>
      <c r="AY829" t="str">
        <f t="shared" si="162"/>
        <v/>
      </c>
      <c r="AZ829" s="430">
        <f>IFERROR(
IF(AX829="",-100,
IF($BV$2&gt;0, INDEX(Beersheet!$A:$U,MATCH(AX829,INDEX(Beersheet!$A:$U,0,FFARawStatProjections!$BV$2),0),$BV$3)+$BN829,
INDEX($A829:$BM829,,$BV$12)*$BW$12+
INDEX($A829:$BM829,,$BV$15)*$BW$15+
INDEX($A829:$BM829,,$BV$16)*$BW$16+
INDEX($A829:$BM829,,$BV$17)*$BW$17+
INDEX($A829:$BM829,,$BV$18)*$BW$18+
INDEX($A829:$BM829,,$BV$19)*$BW$19+
INDEX($A829:$BM829,,$BV$20)*$BW$20+
INDEX($A829:$BM829,,$BV$21)*$BW$21+
INDEX($A829:$BM829,,$BV$22)*$BW$22+
INDEX($A829:$BM829,,$BV$23)*$BW$23+
INDEX($A829:$BM829,,$BV$25)*$BW$25+
INDEX($A829:$BM829,,$BV$26)*$BW$26+
INDEX($A829:$BM829,,$BV$27)*$BW$27+
$BN829)),
$BN829-100)</f>
        <v>-100</v>
      </c>
      <c r="BB829" t="str">
        <f t="shared" si="167"/>
        <v/>
      </c>
      <c r="BC829" t="str">
        <f t="shared" si="163"/>
        <v/>
      </c>
      <c r="BD829" s="430">
        <f>IFERROR(
IF(BB829="",-100,
IF($BV$2&gt;0, INDEX(Beersheet!$A:$U,MATCH(BB829,INDEX(Beersheet!$A:$U,0,FFARawStatProjections!$BV$2),0),$BV$3)+$BN829,
INDEX($A829:$BM829,,$BV$12)*$BW$12+
INDEX($A829:$BM829,,$BV$15)*$BW$15+
INDEX($A829:$BM829,,$BV$16)*$BW$16+
INDEX($A829:$BM829,,$BV$17)*$BW$17+
INDEX($A829:$BM829,,$BV$18)*$BW$18+
INDEX($A829:$BM829,,$BV$19)*$BW$19+
INDEX($A829:$BM829,,$BV$20)*$BW$20+
INDEX($A829:$BM829,,$BV$21)*$BW$21+
INDEX($A829:$BM829,,$BV$22)*$BW$22+
INDEX($A829:$BM829,,$BV$23)*$BW$23+
INDEX($A829:$BM829,,$BV$25)*$BW$25+
INDEX($A829:$BM829,,$BV$26)*$BW$26+
INDEX($A829:$BM829,,$BV$27)*$BW$27+
$BN829)),
$BN829-100)</f>
        <v>-100</v>
      </c>
      <c r="BF829" t="str">
        <f t="shared" si="168"/>
        <v/>
      </c>
      <c r="BG829" t="str">
        <f t="shared" si="164"/>
        <v/>
      </c>
      <c r="BH829">
        <f t="shared" si="169"/>
        <v>0</v>
      </c>
      <c r="BJ829" t="str">
        <f t="shared" si="170"/>
        <v>TEN</v>
      </c>
      <c r="BL829">
        <f t="shared" si="171"/>
        <v>99.808279999999996</v>
      </c>
      <c r="BN829">
        <v>8.2800000000000599E-3</v>
      </c>
    </row>
    <row r="830" spans="1:66" ht="15.75" thickBot="1" x14ac:dyDescent="0.3">
      <c r="A830" s="569" t="s">
        <v>145</v>
      </c>
      <c r="B830" s="569" t="s">
        <v>145</v>
      </c>
      <c r="C830" s="569" t="s">
        <v>160</v>
      </c>
      <c r="D830" s="574">
        <v>7</v>
      </c>
      <c r="E830" s="569"/>
      <c r="F830" s="569"/>
      <c r="G830" s="569"/>
      <c r="H830" s="569"/>
      <c r="I830" s="574">
        <v>0</v>
      </c>
      <c r="J830" s="574">
        <v>0</v>
      </c>
      <c r="K830" s="574">
        <v>0</v>
      </c>
      <c r="L830" s="574">
        <v>0</v>
      </c>
      <c r="M830" s="574">
        <v>0</v>
      </c>
      <c r="N830" s="574">
        <v>0</v>
      </c>
      <c r="O830" s="574">
        <v>0</v>
      </c>
      <c r="P830" s="574">
        <v>0</v>
      </c>
      <c r="Q830" s="574">
        <v>0</v>
      </c>
      <c r="R830" s="569"/>
      <c r="S830" s="569"/>
      <c r="T830" s="569"/>
      <c r="U830" s="569"/>
      <c r="V830" s="569"/>
      <c r="W830" s="569"/>
      <c r="X830" s="569"/>
      <c r="Y830" s="569"/>
      <c r="Z830" s="569"/>
      <c r="AA830" s="569"/>
      <c r="AB830" s="569"/>
      <c r="AC830" s="569"/>
      <c r="AD830" s="569"/>
      <c r="AE830" s="569"/>
      <c r="AF830" s="569"/>
      <c r="AG830" s="569"/>
      <c r="AH830" s="569"/>
      <c r="AI830" s="569"/>
      <c r="AJ830" s="569"/>
      <c r="AK830" s="569"/>
      <c r="AL830" s="569"/>
      <c r="AM830" s="569"/>
      <c r="AN830" s="574">
        <v>99.8</v>
      </c>
      <c r="AO830">
        <v>829</v>
      </c>
      <c r="AP830" t="str">
        <f t="shared" ref="AP830:AP850" si="172">IF($C830="QB",A830,"")</f>
        <v/>
      </c>
      <c r="AQ830" t="str">
        <f t="shared" ref="AQ830:AQ850" si="173">IFERROR(IF(AP830="","",$B830),"")</f>
        <v/>
      </c>
      <c r="AR830" s="430">
        <f>IFERROR(
IF(AP830="",-100,
IF($BV$2&gt;0, INDEX(Beersheet!$A:$U,MATCH(AP830,INDEX(Beersheet!$A:$U,0,FFARawStatProjections!$BV$2),0),$BV$3)+$BN830,
INDEX($A830:$BM830,,$BV$12)*$BW$12+
INDEX($A830:$BM830,,$BV$15)*$BW$15+
INDEX($A830:$BM830,,$BV$16)*$BW$16+
INDEX($A830:$BM830,,$BV$17)*$BW$17+
INDEX($A830:$BM830,,$BV$18)*$BW$18+
INDEX($A830:$BM830,,$BV$19)*$BW$19+
INDEX($A830:$BM830,,$BV$20)*$BW$20+
INDEX($A830:$BM830,,$BV$21)*$BW$21+
INDEX($A830:$BM830,,$BV$22)*$BW$22+
INDEX($A830:$BM830,,$BV$23)*$BW$23+
INDEX($A830:$BM830,,$BV$25)*$BW$25+
INDEX($A830:$BM830,,$BV$26)*$BW$26+
INDEX($A830:$BM830,,$BV$27)*$BW$27+
$BN830)),
$BN830-100)</f>
        <v>-100</v>
      </c>
      <c r="AT830" t="str">
        <f t="shared" si="165"/>
        <v/>
      </c>
      <c r="AU830" t="str">
        <f t="shared" ref="AU830:AU850" si="174">IFERROR(IF(AT830="","",$B830),"")</f>
        <v/>
      </c>
      <c r="AV830" s="430">
        <f>IFERROR(
IF(AT830="",-100,
IF($BV$2&gt;0, INDEX(Beersheet!$A:$U,MATCH(AT830,INDEX(Beersheet!$A:$U,0,FFARawStatProjections!$BV$2),0),$BV$3)+$BN830,
INDEX($A830:$BM830,,$BV$12)*$BW$12+
INDEX($A830:$BM830,,$BV$15)*$BW$15+
INDEX($A830:$BM830,,$BV$16)*$BW$16+
INDEX($A830:$BM830,,$BV$17)*$BW$17+
INDEX($A830:$BM830,,$BV$18)*$BW$18+
INDEX($A830:$BM830,,$BV$19)*$BW$19+
INDEX($A830:$BM830,,$BV$20)*$BW$20+
INDEX($A830:$BM830,,$BV$21)*$BW$21+
INDEX($A830:$BM830,,$BV$22)*$BW$22+
INDEX($A830:$BM830,,$BV$23)*$BW$23+
INDEX($A830:$BM830,,$BV$25)*$BW$25+
INDEX($A830:$BM830,,$BV$26)*$BW$26+
INDEX($A830:$BM830,,$BV$27)*$BW$27+
$BN830)),
$BN830-100)</f>
        <v>-100</v>
      </c>
      <c r="AX830" t="str">
        <f t="shared" si="166"/>
        <v/>
      </c>
      <c r="AY830" t="str">
        <f t="shared" ref="AY830:AY850" si="175">IFERROR(IF(AX830="","",$B830),"")</f>
        <v/>
      </c>
      <c r="AZ830" s="430">
        <f>IFERROR(
IF(AX830="",-100,
IF($BV$2&gt;0, INDEX(Beersheet!$A:$U,MATCH(AX830,INDEX(Beersheet!$A:$U,0,FFARawStatProjections!$BV$2),0),$BV$3)+$BN830,
INDEX($A830:$BM830,,$BV$12)*$BW$12+
INDEX($A830:$BM830,,$BV$15)*$BW$15+
INDEX($A830:$BM830,,$BV$16)*$BW$16+
INDEX($A830:$BM830,,$BV$17)*$BW$17+
INDEX($A830:$BM830,,$BV$18)*$BW$18+
INDEX($A830:$BM830,,$BV$19)*$BW$19+
INDEX($A830:$BM830,,$BV$20)*$BW$20+
INDEX($A830:$BM830,,$BV$21)*$BW$21+
INDEX($A830:$BM830,,$BV$22)*$BW$22+
INDEX($A830:$BM830,,$BV$23)*$BW$23+
INDEX($A830:$BM830,,$BV$25)*$BW$25+
INDEX($A830:$BM830,,$BV$26)*$BW$26+
INDEX($A830:$BM830,,$BV$27)*$BW$27+
$BN830)),
$BN830-100)</f>
        <v>-100</v>
      </c>
      <c r="BB830" t="str">
        <f t="shared" si="167"/>
        <v/>
      </c>
      <c r="BC830" t="str">
        <f t="shared" ref="BC830:BC850" si="176">IFERROR(IF(BB830="","",$B830),"")</f>
        <v/>
      </c>
      <c r="BD830" s="430">
        <f>IFERROR(
IF(BB830="",-100,
IF($BV$2&gt;0, INDEX(Beersheet!$A:$U,MATCH(BB830,INDEX(Beersheet!$A:$U,0,FFARawStatProjections!$BV$2),0),$BV$3)+$BN830,
INDEX($A830:$BM830,,$BV$12)*$BW$12+
INDEX($A830:$BM830,,$BV$15)*$BW$15+
INDEX($A830:$BM830,,$BV$16)*$BW$16+
INDEX($A830:$BM830,,$BV$17)*$BW$17+
INDEX($A830:$BM830,,$BV$18)*$BW$18+
INDEX($A830:$BM830,,$BV$19)*$BW$19+
INDEX($A830:$BM830,,$BV$20)*$BW$20+
INDEX($A830:$BM830,,$BV$21)*$BW$21+
INDEX($A830:$BM830,,$BV$22)*$BW$22+
INDEX($A830:$BM830,,$BV$23)*$BW$23+
INDEX($A830:$BM830,,$BV$25)*$BW$25+
INDEX($A830:$BM830,,$BV$26)*$BW$26+
INDEX($A830:$BM830,,$BV$27)*$BW$27+
$BN830)),
$BN830-100)</f>
        <v>-100</v>
      </c>
      <c r="BF830" t="str">
        <f t="shared" si="168"/>
        <v/>
      </c>
      <c r="BG830" t="str">
        <f t="shared" ref="BG830:BG850" si="177">IFERROR(IF(BF830="","",$B830),"")</f>
        <v/>
      </c>
      <c r="BH830">
        <f t="shared" si="169"/>
        <v>0</v>
      </c>
      <c r="BJ830" t="str">
        <f t="shared" si="170"/>
        <v>CIN</v>
      </c>
      <c r="BL830">
        <f t="shared" si="171"/>
        <v>99.80829</v>
      </c>
      <c r="BN830">
        <v>8.2900000000000595E-3</v>
      </c>
    </row>
    <row r="831" spans="1:66" ht="15.75" thickBot="1" x14ac:dyDescent="0.3">
      <c r="A831" s="569" t="s">
        <v>159</v>
      </c>
      <c r="B831" s="569" t="s">
        <v>159</v>
      </c>
      <c r="C831" s="569" t="s">
        <v>160</v>
      </c>
      <c r="D831" s="574">
        <v>7</v>
      </c>
      <c r="E831" s="569"/>
      <c r="F831" s="569"/>
      <c r="G831" s="569"/>
      <c r="H831" s="569"/>
      <c r="I831" s="574">
        <v>0</v>
      </c>
      <c r="J831" s="574">
        <v>0</v>
      </c>
      <c r="K831" s="574">
        <v>0</v>
      </c>
      <c r="L831" s="574">
        <v>0</v>
      </c>
      <c r="M831" s="574">
        <v>0</v>
      </c>
      <c r="N831" s="574">
        <v>0</v>
      </c>
      <c r="O831" s="574">
        <v>0</v>
      </c>
      <c r="P831" s="574">
        <v>0</v>
      </c>
      <c r="Q831" s="574">
        <v>0</v>
      </c>
      <c r="R831" s="569"/>
      <c r="S831" s="569"/>
      <c r="T831" s="569"/>
      <c r="U831" s="569"/>
      <c r="V831" s="569"/>
      <c r="W831" s="569"/>
      <c r="X831" s="569"/>
      <c r="Y831" s="569"/>
      <c r="Z831" s="569"/>
      <c r="AA831" s="569"/>
      <c r="AB831" s="569"/>
      <c r="AC831" s="569"/>
      <c r="AD831" s="569"/>
      <c r="AE831" s="569"/>
      <c r="AF831" s="569"/>
      <c r="AG831" s="569"/>
      <c r="AH831" s="569"/>
      <c r="AI831" s="569"/>
      <c r="AJ831" s="569"/>
      <c r="AK831" s="569"/>
      <c r="AL831" s="569"/>
      <c r="AM831" s="569"/>
      <c r="AN831" s="574">
        <v>99.3</v>
      </c>
      <c r="AO831">
        <v>830</v>
      </c>
      <c r="AP831" t="str">
        <f t="shared" si="172"/>
        <v/>
      </c>
      <c r="AQ831" t="str">
        <f t="shared" si="173"/>
        <v/>
      </c>
      <c r="AR831" s="430">
        <f>IFERROR(
IF(AP831="",-100,
IF($BV$2&gt;0, INDEX(Beersheet!$A:$U,MATCH(AP831,INDEX(Beersheet!$A:$U,0,FFARawStatProjections!$BV$2),0),$BV$3)+$BN831,
INDEX($A831:$BM831,,$BV$12)*$BW$12+
INDEX($A831:$BM831,,$BV$15)*$BW$15+
INDEX($A831:$BM831,,$BV$16)*$BW$16+
INDEX($A831:$BM831,,$BV$17)*$BW$17+
INDEX($A831:$BM831,,$BV$18)*$BW$18+
INDEX($A831:$BM831,,$BV$19)*$BW$19+
INDEX($A831:$BM831,,$BV$20)*$BW$20+
INDEX($A831:$BM831,,$BV$21)*$BW$21+
INDEX($A831:$BM831,,$BV$22)*$BW$22+
INDEX($A831:$BM831,,$BV$23)*$BW$23+
INDEX($A831:$BM831,,$BV$25)*$BW$25+
INDEX($A831:$BM831,,$BV$26)*$BW$26+
INDEX($A831:$BM831,,$BV$27)*$BW$27+
$BN831)),
$BN831-100)</f>
        <v>-100</v>
      </c>
      <c r="AT831" t="str">
        <f t="shared" si="165"/>
        <v/>
      </c>
      <c r="AU831" t="str">
        <f t="shared" si="174"/>
        <v/>
      </c>
      <c r="AV831" s="430">
        <f>IFERROR(
IF(AT831="",-100,
IF($BV$2&gt;0, INDEX(Beersheet!$A:$U,MATCH(AT831,INDEX(Beersheet!$A:$U,0,FFARawStatProjections!$BV$2),0),$BV$3)+$BN831,
INDEX($A831:$BM831,,$BV$12)*$BW$12+
INDEX($A831:$BM831,,$BV$15)*$BW$15+
INDEX($A831:$BM831,,$BV$16)*$BW$16+
INDEX($A831:$BM831,,$BV$17)*$BW$17+
INDEX($A831:$BM831,,$BV$18)*$BW$18+
INDEX($A831:$BM831,,$BV$19)*$BW$19+
INDEX($A831:$BM831,,$BV$20)*$BW$20+
INDEX($A831:$BM831,,$BV$21)*$BW$21+
INDEX($A831:$BM831,,$BV$22)*$BW$22+
INDEX($A831:$BM831,,$BV$23)*$BW$23+
INDEX($A831:$BM831,,$BV$25)*$BW$25+
INDEX($A831:$BM831,,$BV$26)*$BW$26+
INDEX($A831:$BM831,,$BV$27)*$BW$27+
$BN831)),
$BN831-100)</f>
        <v>-100</v>
      </c>
      <c r="AX831" t="str">
        <f t="shared" si="166"/>
        <v/>
      </c>
      <c r="AY831" t="str">
        <f t="shared" si="175"/>
        <v/>
      </c>
      <c r="AZ831" s="430">
        <f>IFERROR(
IF(AX831="",-100,
IF($BV$2&gt;0, INDEX(Beersheet!$A:$U,MATCH(AX831,INDEX(Beersheet!$A:$U,0,FFARawStatProjections!$BV$2),0),$BV$3)+$BN831,
INDEX($A831:$BM831,,$BV$12)*$BW$12+
INDEX($A831:$BM831,,$BV$15)*$BW$15+
INDEX($A831:$BM831,,$BV$16)*$BW$16+
INDEX($A831:$BM831,,$BV$17)*$BW$17+
INDEX($A831:$BM831,,$BV$18)*$BW$18+
INDEX($A831:$BM831,,$BV$19)*$BW$19+
INDEX($A831:$BM831,,$BV$20)*$BW$20+
INDEX($A831:$BM831,,$BV$21)*$BW$21+
INDEX($A831:$BM831,,$BV$22)*$BW$22+
INDEX($A831:$BM831,,$BV$23)*$BW$23+
INDEX($A831:$BM831,,$BV$25)*$BW$25+
INDEX($A831:$BM831,,$BV$26)*$BW$26+
INDEX($A831:$BM831,,$BV$27)*$BW$27+
$BN831)),
$BN831-100)</f>
        <v>-100</v>
      </c>
      <c r="BB831" t="str">
        <f t="shared" si="167"/>
        <v/>
      </c>
      <c r="BC831" t="str">
        <f t="shared" si="176"/>
        <v/>
      </c>
      <c r="BD831" s="430">
        <f>IFERROR(
IF(BB831="",-100,
IF($BV$2&gt;0, INDEX(Beersheet!$A:$U,MATCH(BB831,INDEX(Beersheet!$A:$U,0,FFARawStatProjections!$BV$2),0),$BV$3)+$BN831,
INDEX($A831:$BM831,,$BV$12)*$BW$12+
INDEX($A831:$BM831,,$BV$15)*$BW$15+
INDEX($A831:$BM831,,$BV$16)*$BW$16+
INDEX($A831:$BM831,,$BV$17)*$BW$17+
INDEX($A831:$BM831,,$BV$18)*$BW$18+
INDEX($A831:$BM831,,$BV$19)*$BW$19+
INDEX($A831:$BM831,,$BV$20)*$BW$20+
INDEX($A831:$BM831,,$BV$21)*$BW$21+
INDEX($A831:$BM831,,$BV$22)*$BW$22+
INDEX($A831:$BM831,,$BV$23)*$BW$23+
INDEX($A831:$BM831,,$BV$25)*$BW$25+
INDEX($A831:$BM831,,$BV$26)*$BW$26+
INDEX($A831:$BM831,,$BV$27)*$BW$27+
$BN831)),
$BN831-100)</f>
        <v>-100</v>
      </c>
      <c r="BF831" t="str">
        <f t="shared" si="168"/>
        <v/>
      </c>
      <c r="BG831" t="str">
        <f t="shared" si="177"/>
        <v/>
      </c>
      <c r="BH831">
        <f t="shared" si="169"/>
        <v>0</v>
      </c>
      <c r="BJ831" t="str">
        <f t="shared" si="170"/>
        <v>CAR</v>
      </c>
      <c r="BL831">
        <f t="shared" si="171"/>
        <v>99.308300000000003</v>
      </c>
      <c r="BN831">
        <v>8.3000000000000608E-3</v>
      </c>
    </row>
    <row r="832" spans="1:66" ht="15.75" thickBot="1" x14ac:dyDescent="0.3">
      <c r="A832" s="569" t="s">
        <v>144</v>
      </c>
      <c r="B832" s="569" t="s">
        <v>144</v>
      </c>
      <c r="C832" s="569" t="s">
        <v>160</v>
      </c>
      <c r="D832" s="574">
        <v>9</v>
      </c>
      <c r="E832" s="569"/>
      <c r="F832" s="569"/>
      <c r="G832" s="569"/>
      <c r="H832" s="569"/>
      <c r="I832" s="574">
        <v>0</v>
      </c>
      <c r="J832" s="574">
        <v>0</v>
      </c>
      <c r="K832" s="574">
        <v>0</v>
      </c>
      <c r="L832" s="574">
        <v>0</v>
      </c>
      <c r="M832" s="574">
        <v>0</v>
      </c>
      <c r="N832" s="574">
        <v>0</v>
      </c>
      <c r="O832" s="574">
        <v>0</v>
      </c>
      <c r="P832" s="574">
        <v>0</v>
      </c>
      <c r="Q832" s="574">
        <v>0</v>
      </c>
      <c r="R832" s="569"/>
      <c r="S832" s="569"/>
      <c r="T832" s="569"/>
      <c r="U832" s="569"/>
      <c r="V832" s="569"/>
      <c r="W832" s="569"/>
      <c r="X832" s="569"/>
      <c r="Y832" s="569"/>
      <c r="Z832" s="569"/>
      <c r="AA832" s="569"/>
      <c r="AB832" s="569"/>
      <c r="AC832" s="569"/>
      <c r="AD832" s="569"/>
      <c r="AE832" s="569"/>
      <c r="AF832" s="569"/>
      <c r="AG832" s="569"/>
      <c r="AH832" s="569"/>
      <c r="AI832" s="569"/>
      <c r="AJ832" s="569"/>
      <c r="AK832" s="569"/>
      <c r="AL832" s="569"/>
      <c r="AM832" s="569"/>
      <c r="AN832" s="574">
        <v>98.9</v>
      </c>
      <c r="AO832">
        <v>831</v>
      </c>
      <c r="AP832" t="str">
        <f t="shared" si="172"/>
        <v/>
      </c>
      <c r="AQ832" t="str">
        <f t="shared" si="173"/>
        <v/>
      </c>
      <c r="AR832" s="430">
        <f>IFERROR(
IF(AP832="",-100,
IF($BV$2&gt;0, INDEX(Beersheet!$A:$U,MATCH(AP832,INDEX(Beersheet!$A:$U,0,FFARawStatProjections!$BV$2),0),$BV$3)+$BN832,
INDEX($A832:$BM832,,$BV$12)*$BW$12+
INDEX($A832:$BM832,,$BV$15)*$BW$15+
INDEX($A832:$BM832,,$BV$16)*$BW$16+
INDEX($A832:$BM832,,$BV$17)*$BW$17+
INDEX($A832:$BM832,,$BV$18)*$BW$18+
INDEX($A832:$BM832,,$BV$19)*$BW$19+
INDEX($A832:$BM832,,$BV$20)*$BW$20+
INDEX($A832:$BM832,,$BV$21)*$BW$21+
INDEX($A832:$BM832,,$BV$22)*$BW$22+
INDEX($A832:$BM832,,$BV$23)*$BW$23+
INDEX($A832:$BM832,,$BV$25)*$BW$25+
INDEX($A832:$BM832,,$BV$26)*$BW$26+
INDEX($A832:$BM832,,$BV$27)*$BW$27+
$BN832)),
$BN832-100)</f>
        <v>-100</v>
      </c>
      <c r="AT832" t="str">
        <f t="shared" si="165"/>
        <v/>
      </c>
      <c r="AU832" t="str">
        <f t="shared" si="174"/>
        <v/>
      </c>
      <c r="AV832" s="430">
        <f>IFERROR(
IF(AT832="",-100,
IF($BV$2&gt;0, INDEX(Beersheet!$A:$U,MATCH(AT832,INDEX(Beersheet!$A:$U,0,FFARawStatProjections!$BV$2),0),$BV$3)+$BN832,
INDEX($A832:$BM832,,$BV$12)*$BW$12+
INDEX($A832:$BM832,,$BV$15)*$BW$15+
INDEX($A832:$BM832,,$BV$16)*$BW$16+
INDEX($A832:$BM832,,$BV$17)*$BW$17+
INDEX($A832:$BM832,,$BV$18)*$BW$18+
INDEX($A832:$BM832,,$BV$19)*$BW$19+
INDEX($A832:$BM832,,$BV$20)*$BW$20+
INDEX($A832:$BM832,,$BV$21)*$BW$21+
INDEX($A832:$BM832,,$BV$22)*$BW$22+
INDEX($A832:$BM832,,$BV$23)*$BW$23+
INDEX($A832:$BM832,,$BV$25)*$BW$25+
INDEX($A832:$BM832,,$BV$26)*$BW$26+
INDEX($A832:$BM832,,$BV$27)*$BW$27+
$BN832)),
$BN832-100)</f>
        <v>-100</v>
      </c>
      <c r="AX832" t="str">
        <f t="shared" si="166"/>
        <v/>
      </c>
      <c r="AY832" t="str">
        <f t="shared" si="175"/>
        <v/>
      </c>
      <c r="AZ832" s="430">
        <f>IFERROR(
IF(AX832="",-100,
IF($BV$2&gt;0, INDEX(Beersheet!$A:$U,MATCH(AX832,INDEX(Beersheet!$A:$U,0,FFARawStatProjections!$BV$2),0),$BV$3)+$BN832,
INDEX($A832:$BM832,,$BV$12)*$BW$12+
INDEX($A832:$BM832,,$BV$15)*$BW$15+
INDEX($A832:$BM832,,$BV$16)*$BW$16+
INDEX($A832:$BM832,,$BV$17)*$BW$17+
INDEX($A832:$BM832,,$BV$18)*$BW$18+
INDEX($A832:$BM832,,$BV$19)*$BW$19+
INDEX($A832:$BM832,,$BV$20)*$BW$20+
INDEX($A832:$BM832,,$BV$21)*$BW$21+
INDEX($A832:$BM832,,$BV$22)*$BW$22+
INDEX($A832:$BM832,,$BV$23)*$BW$23+
INDEX($A832:$BM832,,$BV$25)*$BW$25+
INDEX($A832:$BM832,,$BV$26)*$BW$26+
INDEX($A832:$BM832,,$BV$27)*$BW$27+
$BN832)),
$BN832-100)</f>
        <v>-100</v>
      </c>
      <c r="BB832" t="str">
        <f t="shared" si="167"/>
        <v/>
      </c>
      <c r="BC832" t="str">
        <f t="shared" si="176"/>
        <v/>
      </c>
      <c r="BD832" s="430">
        <f>IFERROR(
IF(BB832="",-100,
IF($BV$2&gt;0, INDEX(Beersheet!$A:$U,MATCH(BB832,INDEX(Beersheet!$A:$U,0,FFARawStatProjections!$BV$2),0),$BV$3)+$BN832,
INDEX($A832:$BM832,,$BV$12)*$BW$12+
INDEX($A832:$BM832,,$BV$15)*$BW$15+
INDEX($A832:$BM832,,$BV$16)*$BW$16+
INDEX($A832:$BM832,,$BV$17)*$BW$17+
INDEX($A832:$BM832,,$BV$18)*$BW$18+
INDEX($A832:$BM832,,$BV$19)*$BW$19+
INDEX($A832:$BM832,,$BV$20)*$BW$20+
INDEX($A832:$BM832,,$BV$21)*$BW$21+
INDEX($A832:$BM832,,$BV$22)*$BW$22+
INDEX($A832:$BM832,,$BV$23)*$BW$23+
INDEX($A832:$BM832,,$BV$25)*$BW$25+
INDEX($A832:$BM832,,$BV$26)*$BW$26+
INDEX($A832:$BM832,,$BV$27)*$BW$27+
$BN832)),
$BN832-100)</f>
        <v>-100</v>
      </c>
      <c r="BF832" t="str">
        <f t="shared" si="168"/>
        <v/>
      </c>
      <c r="BG832" t="str">
        <f t="shared" si="177"/>
        <v/>
      </c>
      <c r="BH832">
        <f t="shared" si="169"/>
        <v>0</v>
      </c>
      <c r="BJ832" t="str">
        <f t="shared" si="170"/>
        <v>DEN</v>
      </c>
      <c r="BL832">
        <f t="shared" si="171"/>
        <v>98.90831</v>
      </c>
      <c r="BN832">
        <v>8.3100000000000604E-3</v>
      </c>
    </row>
    <row r="833" spans="1:66" ht="15.75" thickBot="1" x14ac:dyDescent="0.3">
      <c r="A833" s="569" t="s">
        <v>148</v>
      </c>
      <c r="B833" s="569" t="s">
        <v>148</v>
      </c>
      <c r="C833" s="569" t="s">
        <v>160</v>
      </c>
      <c r="D833" s="574">
        <v>11</v>
      </c>
      <c r="E833" s="569"/>
      <c r="F833" s="569"/>
      <c r="G833" s="569"/>
      <c r="H833" s="569"/>
      <c r="I833" s="574">
        <v>0</v>
      </c>
      <c r="J833" s="574">
        <v>0</v>
      </c>
      <c r="K833" s="574">
        <v>0</v>
      </c>
      <c r="L833" s="574">
        <v>0</v>
      </c>
      <c r="M833" s="574">
        <v>0</v>
      </c>
      <c r="N833" s="574">
        <v>0</v>
      </c>
      <c r="O833" s="574">
        <v>0</v>
      </c>
      <c r="P833" s="574">
        <v>0</v>
      </c>
      <c r="Q833" s="574">
        <v>0</v>
      </c>
      <c r="R833" s="569"/>
      <c r="S833" s="569"/>
      <c r="T833" s="569"/>
      <c r="U833" s="569"/>
      <c r="V833" s="569"/>
      <c r="W833" s="569"/>
      <c r="X833" s="569"/>
      <c r="Y833" s="569"/>
      <c r="Z833" s="569"/>
      <c r="AA833" s="569"/>
      <c r="AB833" s="569"/>
      <c r="AC833" s="569"/>
      <c r="AD833" s="569"/>
      <c r="AE833" s="569"/>
      <c r="AF833" s="569"/>
      <c r="AG833" s="569"/>
      <c r="AH833" s="569"/>
      <c r="AI833" s="569"/>
      <c r="AJ833" s="569"/>
      <c r="AK833" s="569"/>
      <c r="AL833" s="569"/>
      <c r="AM833" s="569"/>
      <c r="AN833" s="574">
        <v>98</v>
      </c>
      <c r="AO833">
        <v>832</v>
      </c>
      <c r="AP833" t="str">
        <f t="shared" si="172"/>
        <v/>
      </c>
      <c r="AQ833" t="str">
        <f t="shared" si="173"/>
        <v/>
      </c>
      <c r="AR833" s="430">
        <f>IFERROR(
IF(AP833="",-100,
IF($BV$2&gt;0, INDEX(Beersheet!$A:$U,MATCH(AP833,INDEX(Beersheet!$A:$U,0,FFARawStatProjections!$BV$2),0),$BV$3)+$BN833,
INDEX($A833:$BM833,,$BV$12)*$BW$12+
INDEX($A833:$BM833,,$BV$15)*$BW$15+
INDEX($A833:$BM833,,$BV$16)*$BW$16+
INDEX($A833:$BM833,,$BV$17)*$BW$17+
INDEX($A833:$BM833,,$BV$18)*$BW$18+
INDEX($A833:$BM833,,$BV$19)*$BW$19+
INDEX($A833:$BM833,,$BV$20)*$BW$20+
INDEX($A833:$BM833,,$BV$21)*$BW$21+
INDEX($A833:$BM833,,$BV$22)*$BW$22+
INDEX($A833:$BM833,,$BV$23)*$BW$23+
INDEX($A833:$BM833,,$BV$25)*$BW$25+
INDEX($A833:$BM833,,$BV$26)*$BW$26+
INDEX($A833:$BM833,,$BV$27)*$BW$27+
$BN833)),
$BN833-100)</f>
        <v>-100</v>
      </c>
      <c r="AT833" t="str">
        <f t="shared" si="165"/>
        <v/>
      </c>
      <c r="AU833" t="str">
        <f t="shared" si="174"/>
        <v/>
      </c>
      <c r="AV833" s="430">
        <f>IFERROR(
IF(AT833="",-100,
IF($BV$2&gt;0, INDEX(Beersheet!$A:$U,MATCH(AT833,INDEX(Beersheet!$A:$U,0,FFARawStatProjections!$BV$2),0),$BV$3)+$BN833,
INDEX($A833:$BM833,,$BV$12)*$BW$12+
INDEX($A833:$BM833,,$BV$15)*$BW$15+
INDEX($A833:$BM833,,$BV$16)*$BW$16+
INDEX($A833:$BM833,,$BV$17)*$BW$17+
INDEX($A833:$BM833,,$BV$18)*$BW$18+
INDEX($A833:$BM833,,$BV$19)*$BW$19+
INDEX($A833:$BM833,,$BV$20)*$BW$20+
INDEX($A833:$BM833,,$BV$21)*$BW$21+
INDEX($A833:$BM833,,$BV$22)*$BW$22+
INDEX($A833:$BM833,,$BV$23)*$BW$23+
INDEX($A833:$BM833,,$BV$25)*$BW$25+
INDEX($A833:$BM833,,$BV$26)*$BW$26+
INDEX($A833:$BM833,,$BV$27)*$BW$27+
$BN833)),
$BN833-100)</f>
        <v>-100</v>
      </c>
      <c r="AX833" t="str">
        <f t="shared" si="166"/>
        <v/>
      </c>
      <c r="AY833" t="str">
        <f t="shared" si="175"/>
        <v/>
      </c>
      <c r="AZ833" s="430">
        <f>IFERROR(
IF(AX833="",-100,
IF($BV$2&gt;0, INDEX(Beersheet!$A:$U,MATCH(AX833,INDEX(Beersheet!$A:$U,0,FFARawStatProjections!$BV$2),0),$BV$3)+$BN833,
INDEX($A833:$BM833,,$BV$12)*$BW$12+
INDEX($A833:$BM833,,$BV$15)*$BW$15+
INDEX($A833:$BM833,,$BV$16)*$BW$16+
INDEX($A833:$BM833,,$BV$17)*$BW$17+
INDEX($A833:$BM833,,$BV$18)*$BW$18+
INDEX($A833:$BM833,,$BV$19)*$BW$19+
INDEX($A833:$BM833,,$BV$20)*$BW$20+
INDEX($A833:$BM833,,$BV$21)*$BW$21+
INDEX($A833:$BM833,,$BV$22)*$BW$22+
INDEX($A833:$BM833,,$BV$23)*$BW$23+
INDEX($A833:$BM833,,$BV$25)*$BW$25+
INDEX($A833:$BM833,,$BV$26)*$BW$26+
INDEX($A833:$BM833,,$BV$27)*$BW$27+
$BN833)),
$BN833-100)</f>
        <v>-100</v>
      </c>
      <c r="BB833" t="str">
        <f t="shared" si="167"/>
        <v/>
      </c>
      <c r="BC833" t="str">
        <f t="shared" si="176"/>
        <v/>
      </c>
      <c r="BD833" s="430">
        <f>IFERROR(
IF(BB833="",-100,
IF($BV$2&gt;0, INDEX(Beersheet!$A:$U,MATCH(BB833,INDEX(Beersheet!$A:$U,0,FFARawStatProjections!$BV$2),0),$BV$3)+$BN833,
INDEX($A833:$BM833,,$BV$12)*$BW$12+
INDEX($A833:$BM833,,$BV$15)*$BW$15+
INDEX($A833:$BM833,,$BV$16)*$BW$16+
INDEX($A833:$BM833,,$BV$17)*$BW$17+
INDEX($A833:$BM833,,$BV$18)*$BW$18+
INDEX($A833:$BM833,,$BV$19)*$BW$19+
INDEX($A833:$BM833,,$BV$20)*$BW$20+
INDEX($A833:$BM833,,$BV$21)*$BW$21+
INDEX($A833:$BM833,,$BV$22)*$BW$22+
INDEX($A833:$BM833,,$BV$23)*$BW$23+
INDEX($A833:$BM833,,$BV$25)*$BW$25+
INDEX($A833:$BM833,,$BV$26)*$BW$26+
INDEX($A833:$BM833,,$BV$27)*$BW$27+
$BN833)),
$BN833-100)</f>
        <v>-100</v>
      </c>
      <c r="BF833" t="str">
        <f t="shared" si="168"/>
        <v/>
      </c>
      <c r="BG833" t="str">
        <f t="shared" si="177"/>
        <v/>
      </c>
      <c r="BH833">
        <f t="shared" si="169"/>
        <v>0</v>
      </c>
      <c r="BJ833" t="str">
        <f t="shared" si="170"/>
        <v>ATL</v>
      </c>
      <c r="BL833">
        <f t="shared" si="171"/>
        <v>98.008319999999998</v>
      </c>
      <c r="BN833">
        <v>8.32000000000006E-3</v>
      </c>
    </row>
    <row r="834" spans="1:66" ht="15.75" thickBot="1" x14ac:dyDescent="0.3">
      <c r="A834" s="569" t="s">
        <v>2272</v>
      </c>
      <c r="B834" s="569" t="s">
        <v>2272</v>
      </c>
      <c r="C834" s="569" t="s">
        <v>160</v>
      </c>
      <c r="D834" s="574">
        <v>14</v>
      </c>
      <c r="E834" s="569"/>
      <c r="F834" s="569"/>
      <c r="G834" s="569"/>
      <c r="H834" s="569"/>
      <c r="I834" s="574">
        <v>0</v>
      </c>
      <c r="J834" s="574">
        <v>0</v>
      </c>
      <c r="K834" s="574">
        <v>0</v>
      </c>
      <c r="L834" s="574">
        <v>0</v>
      </c>
      <c r="M834" s="574">
        <v>0</v>
      </c>
      <c r="N834" s="574">
        <v>0</v>
      </c>
      <c r="O834" s="574">
        <v>0</v>
      </c>
      <c r="P834" s="574">
        <v>0</v>
      </c>
      <c r="Q834" s="574">
        <v>0</v>
      </c>
      <c r="R834" s="569"/>
      <c r="S834" s="569"/>
      <c r="T834" s="569"/>
      <c r="U834" s="569"/>
      <c r="V834" s="569"/>
      <c r="W834" s="569"/>
      <c r="X834" s="569"/>
      <c r="Y834" s="569"/>
      <c r="Z834" s="569"/>
      <c r="AA834" s="569"/>
      <c r="AB834" s="569"/>
      <c r="AC834" s="569"/>
      <c r="AD834" s="569"/>
      <c r="AE834" s="569"/>
      <c r="AF834" s="569"/>
      <c r="AG834" s="569"/>
      <c r="AH834" s="569"/>
      <c r="AI834" s="569"/>
      <c r="AJ834" s="569"/>
      <c r="AK834" s="569"/>
      <c r="AL834" s="569"/>
      <c r="AM834" s="569"/>
      <c r="AN834" s="574">
        <v>97.8</v>
      </c>
      <c r="AO834">
        <v>833</v>
      </c>
      <c r="AP834" t="str">
        <f t="shared" si="172"/>
        <v/>
      </c>
      <c r="AQ834" t="str">
        <f t="shared" si="173"/>
        <v/>
      </c>
      <c r="AR834" s="430">
        <f>IFERROR(
IF(AP834="",-100,
IF($BV$2&gt;0, INDEX(Beersheet!$A:$U,MATCH(AP834,INDEX(Beersheet!$A:$U,0,FFARawStatProjections!$BV$2),0),$BV$3)+$BN834,
INDEX($A834:$BM834,,$BV$12)*$BW$12+
INDEX($A834:$BM834,,$BV$15)*$BW$15+
INDEX($A834:$BM834,,$BV$16)*$BW$16+
INDEX($A834:$BM834,,$BV$17)*$BW$17+
INDEX($A834:$BM834,,$BV$18)*$BW$18+
INDEX($A834:$BM834,,$BV$19)*$BW$19+
INDEX($A834:$BM834,,$BV$20)*$BW$20+
INDEX($A834:$BM834,,$BV$21)*$BW$21+
INDEX($A834:$BM834,,$BV$22)*$BW$22+
INDEX($A834:$BM834,,$BV$23)*$BW$23+
INDEX($A834:$BM834,,$BV$25)*$BW$25+
INDEX($A834:$BM834,,$BV$26)*$BW$26+
INDEX($A834:$BM834,,$BV$27)*$BW$27+
$BN834)),
$BN834-100)</f>
        <v>-100</v>
      </c>
      <c r="AT834" t="str">
        <f t="shared" si="165"/>
        <v/>
      </c>
      <c r="AU834" t="str">
        <f t="shared" si="174"/>
        <v/>
      </c>
      <c r="AV834" s="430">
        <f>IFERROR(
IF(AT834="",-100,
IF($BV$2&gt;0, INDEX(Beersheet!$A:$U,MATCH(AT834,INDEX(Beersheet!$A:$U,0,FFARawStatProjections!$BV$2),0),$BV$3)+$BN834,
INDEX($A834:$BM834,,$BV$12)*$BW$12+
INDEX($A834:$BM834,,$BV$15)*$BW$15+
INDEX($A834:$BM834,,$BV$16)*$BW$16+
INDEX($A834:$BM834,,$BV$17)*$BW$17+
INDEX($A834:$BM834,,$BV$18)*$BW$18+
INDEX($A834:$BM834,,$BV$19)*$BW$19+
INDEX($A834:$BM834,,$BV$20)*$BW$20+
INDEX($A834:$BM834,,$BV$21)*$BW$21+
INDEX($A834:$BM834,,$BV$22)*$BW$22+
INDEX($A834:$BM834,,$BV$23)*$BW$23+
INDEX($A834:$BM834,,$BV$25)*$BW$25+
INDEX($A834:$BM834,,$BV$26)*$BW$26+
INDEX($A834:$BM834,,$BV$27)*$BW$27+
$BN834)),
$BN834-100)</f>
        <v>-100</v>
      </c>
      <c r="AX834" t="str">
        <f t="shared" si="166"/>
        <v/>
      </c>
      <c r="AY834" t="str">
        <f t="shared" si="175"/>
        <v/>
      </c>
      <c r="AZ834" s="430">
        <f>IFERROR(
IF(AX834="",-100,
IF($BV$2&gt;0, INDEX(Beersheet!$A:$U,MATCH(AX834,INDEX(Beersheet!$A:$U,0,FFARawStatProjections!$BV$2),0),$BV$3)+$BN834,
INDEX($A834:$BM834,,$BV$12)*$BW$12+
INDEX($A834:$BM834,,$BV$15)*$BW$15+
INDEX($A834:$BM834,,$BV$16)*$BW$16+
INDEX($A834:$BM834,,$BV$17)*$BW$17+
INDEX($A834:$BM834,,$BV$18)*$BW$18+
INDEX($A834:$BM834,,$BV$19)*$BW$19+
INDEX($A834:$BM834,,$BV$20)*$BW$20+
INDEX($A834:$BM834,,$BV$21)*$BW$21+
INDEX($A834:$BM834,,$BV$22)*$BW$22+
INDEX($A834:$BM834,,$BV$23)*$BW$23+
INDEX($A834:$BM834,,$BV$25)*$BW$25+
INDEX($A834:$BM834,,$BV$26)*$BW$26+
INDEX($A834:$BM834,,$BV$27)*$BW$27+
$BN834)),
$BN834-100)</f>
        <v>-100</v>
      </c>
      <c r="BB834" t="str">
        <f t="shared" si="167"/>
        <v/>
      </c>
      <c r="BC834" t="str">
        <f t="shared" si="176"/>
        <v/>
      </c>
      <c r="BD834" s="430">
        <f>IFERROR(
IF(BB834="",-100,
IF($BV$2&gt;0, INDEX(Beersheet!$A:$U,MATCH(BB834,INDEX(Beersheet!$A:$U,0,FFARawStatProjections!$BV$2),0),$BV$3)+$BN834,
INDEX($A834:$BM834,,$BV$12)*$BW$12+
INDEX($A834:$BM834,,$BV$15)*$BW$15+
INDEX($A834:$BM834,,$BV$16)*$BW$16+
INDEX($A834:$BM834,,$BV$17)*$BW$17+
INDEX($A834:$BM834,,$BV$18)*$BW$18+
INDEX($A834:$BM834,,$BV$19)*$BW$19+
INDEX($A834:$BM834,,$BV$20)*$BW$20+
INDEX($A834:$BM834,,$BV$21)*$BW$21+
INDEX($A834:$BM834,,$BV$22)*$BW$22+
INDEX($A834:$BM834,,$BV$23)*$BW$23+
INDEX($A834:$BM834,,$BV$25)*$BW$25+
INDEX($A834:$BM834,,$BV$26)*$BW$26+
INDEX($A834:$BM834,,$BV$27)*$BW$27+
$BN834)),
$BN834-100)</f>
        <v>-100</v>
      </c>
      <c r="BF834" t="str">
        <f t="shared" si="168"/>
        <v/>
      </c>
      <c r="BG834" t="str">
        <f t="shared" si="177"/>
        <v/>
      </c>
      <c r="BH834">
        <f t="shared" si="169"/>
        <v>0</v>
      </c>
      <c r="BJ834" t="str">
        <f t="shared" si="170"/>
        <v>AZ</v>
      </c>
      <c r="BL834">
        <f t="shared" si="171"/>
        <v>97.808329999999998</v>
      </c>
      <c r="BN834">
        <v>8.3300000000000596E-3</v>
      </c>
    </row>
    <row r="835" spans="1:66" ht="15.75" thickBot="1" x14ac:dyDescent="0.3">
      <c r="A835" s="569" t="s">
        <v>141</v>
      </c>
      <c r="B835" s="569" t="s">
        <v>141</v>
      </c>
      <c r="C835" s="569" t="s">
        <v>160</v>
      </c>
      <c r="D835" s="574">
        <v>13</v>
      </c>
      <c r="E835" s="569"/>
      <c r="F835" s="569"/>
      <c r="G835" s="569"/>
      <c r="H835" s="569"/>
      <c r="I835" s="574">
        <v>0</v>
      </c>
      <c r="J835" s="574">
        <v>0</v>
      </c>
      <c r="K835" s="574">
        <v>0</v>
      </c>
      <c r="L835" s="574">
        <v>0</v>
      </c>
      <c r="M835" s="574">
        <v>0</v>
      </c>
      <c r="N835" s="574">
        <v>0</v>
      </c>
      <c r="O835" s="574">
        <v>0</v>
      </c>
      <c r="P835" s="574">
        <v>0</v>
      </c>
      <c r="Q835" s="574">
        <v>0</v>
      </c>
      <c r="R835" s="569"/>
      <c r="S835" s="569"/>
      <c r="T835" s="569"/>
      <c r="U835" s="569"/>
      <c r="V835" s="569"/>
      <c r="W835" s="569"/>
      <c r="X835" s="569"/>
      <c r="Y835" s="569"/>
      <c r="Z835" s="569"/>
      <c r="AA835" s="569"/>
      <c r="AB835" s="569"/>
      <c r="AC835" s="569"/>
      <c r="AD835" s="569"/>
      <c r="AE835" s="569"/>
      <c r="AF835" s="569"/>
      <c r="AG835" s="569"/>
      <c r="AH835" s="569"/>
      <c r="AI835" s="569"/>
      <c r="AJ835" s="569"/>
      <c r="AK835" s="569"/>
      <c r="AL835" s="569"/>
      <c r="AM835" s="569"/>
      <c r="AN835" s="574">
        <v>93.3</v>
      </c>
      <c r="AO835">
        <v>834</v>
      </c>
      <c r="AP835" t="str">
        <f t="shared" si="172"/>
        <v/>
      </c>
      <c r="AQ835" t="str">
        <f t="shared" si="173"/>
        <v/>
      </c>
      <c r="AR835" s="430">
        <f>IFERROR(
IF(AP835="",-100,
IF($BV$2&gt;0, INDEX(Beersheet!$A:$U,MATCH(AP835,INDEX(Beersheet!$A:$U,0,FFARawStatProjections!$BV$2),0),$BV$3)+$BN835,
INDEX($A835:$BM835,,$BV$12)*$BW$12+
INDEX($A835:$BM835,,$BV$15)*$BW$15+
INDEX($A835:$BM835,,$BV$16)*$BW$16+
INDEX($A835:$BM835,,$BV$17)*$BW$17+
INDEX($A835:$BM835,,$BV$18)*$BW$18+
INDEX($A835:$BM835,,$BV$19)*$BW$19+
INDEX($A835:$BM835,,$BV$20)*$BW$20+
INDEX($A835:$BM835,,$BV$21)*$BW$21+
INDEX($A835:$BM835,,$BV$22)*$BW$22+
INDEX($A835:$BM835,,$BV$23)*$BW$23+
INDEX($A835:$BM835,,$BV$25)*$BW$25+
INDEX($A835:$BM835,,$BV$26)*$BW$26+
INDEX($A835:$BM835,,$BV$27)*$BW$27+
$BN835)),
$BN835-100)</f>
        <v>-100</v>
      </c>
      <c r="AT835" t="str">
        <f t="shared" ref="AT835:AT868" si="178">IF($C835 = "RB", $A835, "")</f>
        <v/>
      </c>
      <c r="AU835" t="str">
        <f t="shared" si="174"/>
        <v/>
      </c>
      <c r="AV835" s="430">
        <f>IFERROR(
IF(AT835="",-100,
IF($BV$2&gt;0, INDEX(Beersheet!$A:$U,MATCH(AT835,INDEX(Beersheet!$A:$U,0,FFARawStatProjections!$BV$2),0),$BV$3)+$BN835,
INDEX($A835:$BM835,,$BV$12)*$BW$12+
INDEX($A835:$BM835,,$BV$15)*$BW$15+
INDEX($A835:$BM835,,$BV$16)*$BW$16+
INDEX($A835:$BM835,,$BV$17)*$BW$17+
INDEX($A835:$BM835,,$BV$18)*$BW$18+
INDEX($A835:$BM835,,$BV$19)*$BW$19+
INDEX($A835:$BM835,,$BV$20)*$BW$20+
INDEX($A835:$BM835,,$BV$21)*$BW$21+
INDEX($A835:$BM835,,$BV$22)*$BW$22+
INDEX($A835:$BM835,,$BV$23)*$BW$23+
INDEX($A835:$BM835,,$BV$25)*$BW$25+
INDEX($A835:$BM835,,$BV$26)*$BW$26+
INDEX($A835:$BM835,,$BV$27)*$BW$27+
$BN835)),
$BN835-100)</f>
        <v>-100</v>
      </c>
      <c r="AX835" t="str">
        <f t="shared" ref="AX835:AX868" si="179">IF($C835 = "WR", $A835, "")</f>
        <v/>
      </c>
      <c r="AY835" t="str">
        <f t="shared" si="175"/>
        <v/>
      </c>
      <c r="AZ835" s="430">
        <f>IFERROR(
IF(AX835="",-100,
IF($BV$2&gt;0, INDEX(Beersheet!$A:$U,MATCH(AX835,INDEX(Beersheet!$A:$U,0,FFARawStatProjections!$BV$2),0),$BV$3)+$BN835,
INDEX($A835:$BM835,,$BV$12)*$BW$12+
INDEX($A835:$BM835,,$BV$15)*$BW$15+
INDEX($A835:$BM835,,$BV$16)*$BW$16+
INDEX($A835:$BM835,,$BV$17)*$BW$17+
INDEX($A835:$BM835,,$BV$18)*$BW$18+
INDEX($A835:$BM835,,$BV$19)*$BW$19+
INDEX($A835:$BM835,,$BV$20)*$BW$20+
INDEX($A835:$BM835,,$BV$21)*$BW$21+
INDEX($A835:$BM835,,$BV$22)*$BW$22+
INDEX($A835:$BM835,,$BV$23)*$BW$23+
INDEX($A835:$BM835,,$BV$25)*$BW$25+
INDEX($A835:$BM835,,$BV$26)*$BW$26+
INDEX($A835:$BM835,,$BV$27)*$BW$27+
$BN835)),
$BN835-100)</f>
        <v>-100</v>
      </c>
      <c r="BB835" t="str">
        <f t="shared" ref="BB835:BB868" si="180">IF($C835 = "TE", $A835, "")</f>
        <v/>
      </c>
      <c r="BC835" t="str">
        <f t="shared" si="176"/>
        <v/>
      </c>
      <c r="BD835" s="430">
        <f>IFERROR(
IF(BB835="",-100,
IF($BV$2&gt;0, INDEX(Beersheet!$A:$U,MATCH(BB835,INDEX(Beersheet!$A:$U,0,FFARawStatProjections!$BV$2),0),$BV$3)+$BN835,
INDEX($A835:$BM835,,$BV$12)*$BW$12+
INDEX($A835:$BM835,,$BV$15)*$BW$15+
INDEX($A835:$BM835,,$BV$16)*$BW$16+
INDEX($A835:$BM835,,$BV$17)*$BW$17+
INDEX($A835:$BM835,,$BV$18)*$BW$18+
INDEX($A835:$BM835,,$BV$19)*$BW$19+
INDEX($A835:$BM835,,$BV$20)*$BW$20+
INDEX($A835:$BM835,,$BV$21)*$BW$21+
INDEX($A835:$BM835,,$BV$22)*$BW$22+
INDEX($A835:$BM835,,$BV$23)*$BW$23+
INDEX($A835:$BM835,,$BV$25)*$BW$25+
INDEX($A835:$BM835,,$BV$26)*$BW$26+
INDEX($A835:$BM835,,$BV$27)*$BW$27+
$BN835)),
$BN835-100)</f>
        <v>-100</v>
      </c>
      <c r="BF835" t="str">
        <f t="shared" ref="BF835:BF868" si="181">IF($C835 = "K", $A835, "")</f>
        <v/>
      </c>
      <c r="BG835" t="str">
        <f t="shared" si="177"/>
        <v/>
      </c>
      <c r="BH835">
        <f t="shared" ref="BH835:BH868" si="182">IFERROR(IF(BF835="",0,
AF835*3
+AG835*3
+AH835*3
+AI835*4
+AJ835*5
+BN835+AN835),"")</f>
        <v>0</v>
      </c>
      <c r="BJ835" t="str">
        <f t="shared" ref="BJ835:BJ868" si="183">IF($C835 = "DST", $A835, "")</f>
        <v>CHI</v>
      </c>
      <c r="BL835">
        <f t="shared" si="171"/>
        <v>93.308340000000001</v>
      </c>
      <c r="BN835">
        <v>8.3400000000000592E-3</v>
      </c>
    </row>
    <row r="836" spans="1:66" ht="15.75" thickBot="1" x14ac:dyDescent="0.3">
      <c r="A836" s="569" t="s">
        <v>2073</v>
      </c>
      <c r="B836" s="569" t="s">
        <v>2073</v>
      </c>
      <c r="C836" s="569" t="s">
        <v>160</v>
      </c>
      <c r="D836" s="574">
        <v>13</v>
      </c>
      <c r="E836" s="569"/>
      <c r="F836" s="569"/>
      <c r="G836" s="569"/>
      <c r="H836" s="569"/>
      <c r="I836" s="574">
        <v>0</v>
      </c>
      <c r="J836" s="574">
        <v>0</v>
      </c>
      <c r="K836" s="574">
        <v>0</v>
      </c>
      <c r="L836" s="574">
        <v>0</v>
      </c>
      <c r="M836" s="574">
        <v>0</v>
      </c>
      <c r="N836" s="574">
        <v>0</v>
      </c>
      <c r="O836" s="574">
        <v>0</v>
      </c>
      <c r="P836" s="574">
        <v>0</v>
      </c>
      <c r="Q836" s="574">
        <v>0</v>
      </c>
      <c r="R836" s="569"/>
      <c r="S836" s="569"/>
      <c r="T836" s="569"/>
      <c r="U836" s="569"/>
      <c r="V836" s="569"/>
      <c r="W836" s="569"/>
      <c r="X836" s="569"/>
      <c r="Y836" s="569"/>
      <c r="Z836" s="569"/>
      <c r="AA836" s="569"/>
      <c r="AB836" s="569"/>
      <c r="AC836" s="569"/>
      <c r="AD836" s="569"/>
      <c r="AE836" s="569"/>
      <c r="AF836" s="569"/>
      <c r="AG836" s="569"/>
      <c r="AH836" s="569"/>
      <c r="AI836" s="569"/>
      <c r="AJ836" s="569"/>
      <c r="AK836" s="569"/>
      <c r="AL836" s="569"/>
      <c r="AM836" s="569"/>
      <c r="AN836" s="574">
        <v>89.7</v>
      </c>
      <c r="AO836">
        <v>835</v>
      </c>
      <c r="AP836" t="str">
        <f t="shared" si="172"/>
        <v/>
      </c>
      <c r="AQ836" t="str">
        <f t="shared" si="173"/>
        <v/>
      </c>
      <c r="AR836" s="430">
        <f>IFERROR(
IF(AP836="",-100,
IF($BV$2&gt;0, INDEX(Beersheet!$A:$U,MATCH(AP836,INDEX(Beersheet!$A:$U,0,FFARawStatProjections!$BV$2),0),$BV$3)+$BN836,
INDEX($A836:$BM836,,$BV$12)*$BW$12+
INDEX($A836:$BM836,,$BV$15)*$BW$15+
INDEX($A836:$BM836,,$BV$16)*$BW$16+
INDEX($A836:$BM836,,$BV$17)*$BW$17+
INDEX($A836:$BM836,,$BV$18)*$BW$18+
INDEX($A836:$BM836,,$BV$19)*$BW$19+
INDEX($A836:$BM836,,$BV$20)*$BW$20+
INDEX($A836:$BM836,,$BV$21)*$BW$21+
INDEX($A836:$BM836,,$BV$22)*$BW$22+
INDEX($A836:$BM836,,$BV$23)*$BW$23+
INDEX($A836:$BM836,,$BV$25)*$BW$25+
INDEX($A836:$BM836,,$BV$26)*$BW$26+
INDEX($A836:$BM836,,$BV$27)*$BW$27+
$BN836)),
$BN836-100)</f>
        <v>-100</v>
      </c>
      <c r="AT836" t="str">
        <f t="shared" si="178"/>
        <v/>
      </c>
      <c r="AU836" t="str">
        <f t="shared" si="174"/>
        <v/>
      </c>
      <c r="AV836" s="430">
        <f>IFERROR(
IF(AT836="",-100,
IF($BV$2&gt;0, INDEX(Beersheet!$A:$U,MATCH(AT836,INDEX(Beersheet!$A:$U,0,FFARawStatProjections!$BV$2),0),$BV$3)+$BN836,
INDEX($A836:$BM836,,$BV$12)*$BW$12+
INDEX($A836:$BM836,,$BV$15)*$BW$15+
INDEX($A836:$BM836,,$BV$16)*$BW$16+
INDEX($A836:$BM836,,$BV$17)*$BW$17+
INDEX($A836:$BM836,,$BV$18)*$BW$18+
INDEX($A836:$BM836,,$BV$19)*$BW$19+
INDEX($A836:$BM836,,$BV$20)*$BW$20+
INDEX($A836:$BM836,,$BV$21)*$BW$21+
INDEX($A836:$BM836,,$BV$22)*$BW$22+
INDEX($A836:$BM836,,$BV$23)*$BW$23+
INDEX($A836:$BM836,,$BV$25)*$BW$25+
INDEX($A836:$BM836,,$BV$26)*$BW$26+
INDEX($A836:$BM836,,$BV$27)*$BW$27+
$BN836)),
$BN836-100)</f>
        <v>-100</v>
      </c>
      <c r="AX836" t="str">
        <f t="shared" si="179"/>
        <v/>
      </c>
      <c r="AY836" t="str">
        <f t="shared" si="175"/>
        <v/>
      </c>
      <c r="AZ836" s="430">
        <f>IFERROR(
IF(AX836="",-100,
IF($BV$2&gt;0, INDEX(Beersheet!$A:$U,MATCH(AX836,INDEX(Beersheet!$A:$U,0,FFARawStatProjections!$BV$2),0),$BV$3)+$BN836,
INDEX($A836:$BM836,,$BV$12)*$BW$12+
INDEX($A836:$BM836,,$BV$15)*$BW$15+
INDEX($A836:$BM836,,$BV$16)*$BW$16+
INDEX($A836:$BM836,,$BV$17)*$BW$17+
INDEX($A836:$BM836,,$BV$18)*$BW$18+
INDEX($A836:$BM836,,$BV$19)*$BW$19+
INDEX($A836:$BM836,,$BV$20)*$BW$20+
INDEX($A836:$BM836,,$BV$21)*$BW$21+
INDEX($A836:$BM836,,$BV$22)*$BW$22+
INDEX($A836:$BM836,,$BV$23)*$BW$23+
INDEX($A836:$BM836,,$BV$25)*$BW$25+
INDEX($A836:$BM836,,$BV$26)*$BW$26+
INDEX($A836:$BM836,,$BV$27)*$BW$27+
$BN836)),
$BN836-100)</f>
        <v>-100</v>
      </c>
      <c r="BB836" t="str">
        <f t="shared" si="180"/>
        <v/>
      </c>
      <c r="BC836" t="str">
        <f t="shared" si="176"/>
        <v/>
      </c>
      <c r="BD836" s="430">
        <f>IFERROR(
IF(BB836="",-100,
IF($BV$2&gt;0, INDEX(Beersheet!$A:$U,MATCH(BB836,INDEX(Beersheet!$A:$U,0,FFARawStatProjections!$BV$2),0),$BV$3)+$BN836,
INDEX($A836:$BM836,,$BV$12)*$BW$12+
INDEX($A836:$BM836,,$BV$15)*$BW$15+
INDEX($A836:$BM836,,$BV$16)*$BW$16+
INDEX($A836:$BM836,,$BV$17)*$BW$17+
INDEX($A836:$BM836,,$BV$18)*$BW$18+
INDEX($A836:$BM836,,$BV$19)*$BW$19+
INDEX($A836:$BM836,,$BV$20)*$BW$20+
INDEX($A836:$BM836,,$BV$21)*$BW$21+
INDEX($A836:$BM836,,$BV$22)*$BW$22+
INDEX($A836:$BM836,,$BV$23)*$BW$23+
INDEX($A836:$BM836,,$BV$25)*$BW$25+
INDEX($A836:$BM836,,$BV$26)*$BW$26+
INDEX($A836:$BM836,,$BV$27)*$BW$27+
$BN836)),
$BN836-100)</f>
        <v>-100</v>
      </c>
      <c r="BF836" t="str">
        <f t="shared" si="181"/>
        <v/>
      </c>
      <c r="BG836" t="str">
        <f t="shared" si="177"/>
        <v/>
      </c>
      <c r="BH836">
        <f t="shared" si="182"/>
        <v>0</v>
      </c>
      <c r="BJ836" t="str">
        <f t="shared" si="183"/>
        <v>LV</v>
      </c>
      <c r="BL836">
        <f t="shared" si="171"/>
        <v>89.708349999999996</v>
      </c>
      <c r="BN836">
        <v>8.3500000000000605E-3</v>
      </c>
    </row>
    <row r="837" spans="1:66" ht="15.75" thickBot="1" x14ac:dyDescent="0.3">
      <c r="A837" s="569"/>
      <c r="B837" s="569"/>
      <c r="C837" s="569"/>
      <c r="D837" s="569"/>
      <c r="E837" s="569"/>
      <c r="F837" s="569"/>
      <c r="G837" s="569"/>
      <c r="H837" s="569"/>
      <c r="I837" s="569"/>
      <c r="J837" s="569"/>
      <c r="K837" s="569"/>
      <c r="L837" s="569"/>
      <c r="M837" s="569"/>
      <c r="N837" s="569"/>
      <c r="O837" s="569"/>
      <c r="P837" s="569"/>
      <c r="Q837" s="569"/>
      <c r="R837" s="569"/>
      <c r="S837" s="569"/>
      <c r="T837" s="569"/>
      <c r="U837" s="569"/>
      <c r="V837" s="569"/>
      <c r="W837" s="569"/>
      <c r="X837" s="569"/>
      <c r="Y837" s="569"/>
      <c r="Z837" s="569"/>
      <c r="AA837" s="569"/>
      <c r="AB837" s="569"/>
      <c r="AC837" s="569"/>
      <c r="AD837" s="569"/>
      <c r="AE837" s="569"/>
      <c r="AF837" s="569"/>
      <c r="AG837" s="569"/>
      <c r="AH837" s="569"/>
      <c r="AI837" s="569"/>
      <c r="AJ837" s="569"/>
      <c r="AK837" s="569"/>
      <c r="AL837" s="569"/>
      <c r="AM837" s="569"/>
      <c r="AN837" s="569"/>
      <c r="AO837">
        <v>836</v>
      </c>
      <c r="AP837" t="str">
        <f t="shared" si="172"/>
        <v/>
      </c>
      <c r="AQ837" t="str">
        <f t="shared" si="173"/>
        <v/>
      </c>
      <c r="AR837" s="430">
        <f>IFERROR(
IF(AP837="",-100,
IF($BV$2&gt;0, INDEX(Beersheet!$A:$U,MATCH(AP837,INDEX(Beersheet!$A:$U,0,FFARawStatProjections!$BV$2),0),$BV$3)+$BN837,
INDEX($A837:$BM837,,$BV$12)*$BW$12+
INDEX($A837:$BM837,,$BV$15)*$BW$15+
INDEX($A837:$BM837,,$BV$16)*$BW$16+
INDEX($A837:$BM837,,$BV$17)*$BW$17+
INDEX($A837:$BM837,,$BV$18)*$BW$18+
INDEX($A837:$BM837,,$BV$19)*$BW$19+
INDEX($A837:$BM837,,$BV$20)*$BW$20+
INDEX($A837:$BM837,,$BV$21)*$BW$21+
INDEX($A837:$BM837,,$BV$22)*$BW$22+
INDEX($A837:$BM837,,$BV$23)*$BW$23+
INDEX($A837:$BM837,,$BV$25)*$BW$25+
INDEX($A837:$BM837,,$BV$26)*$BW$26+
INDEX($A837:$BM837,,$BV$27)*$BW$27+
$BN837)),
$BN837-100)</f>
        <v>-100</v>
      </c>
      <c r="AT837" t="str">
        <f t="shared" si="178"/>
        <v/>
      </c>
      <c r="AU837" t="str">
        <f t="shared" si="174"/>
        <v/>
      </c>
      <c r="AV837" s="430">
        <f>IFERROR(
IF(AT837="",-100,
IF($BV$2&gt;0, INDEX(Beersheet!$A:$U,MATCH(AT837,INDEX(Beersheet!$A:$U,0,FFARawStatProjections!$BV$2),0),$BV$3)+$BN837,
INDEX($A837:$BM837,,$BV$12)*$BW$12+
INDEX($A837:$BM837,,$BV$15)*$BW$15+
INDEX($A837:$BM837,,$BV$16)*$BW$16+
INDEX($A837:$BM837,,$BV$17)*$BW$17+
INDEX($A837:$BM837,,$BV$18)*$BW$18+
INDEX($A837:$BM837,,$BV$19)*$BW$19+
INDEX($A837:$BM837,,$BV$20)*$BW$20+
INDEX($A837:$BM837,,$BV$21)*$BW$21+
INDEX($A837:$BM837,,$BV$22)*$BW$22+
INDEX($A837:$BM837,,$BV$23)*$BW$23+
INDEX($A837:$BM837,,$BV$25)*$BW$25+
INDEX($A837:$BM837,,$BV$26)*$BW$26+
INDEX($A837:$BM837,,$BV$27)*$BW$27+
$BN837)),
$BN837-100)</f>
        <v>-100</v>
      </c>
      <c r="AX837" t="str">
        <f t="shared" si="179"/>
        <v/>
      </c>
      <c r="AY837" t="str">
        <f t="shared" si="175"/>
        <v/>
      </c>
      <c r="AZ837" s="430">
        <f>IFERROR(
IF(AX837="",-100,
IF($BV$2&gt;0, INDEX(Beersheet!$A:$U,MATCH(AX837,INDEX(Beersheet!$A:$U,0,FFARawStatProjections!$BV$2),0),$BV$3)+$BN837,
INDEX($A837:$BM837,,$BV$12)*$BW$12+
INDEX($A837:$BM837,,$BV$15)*$BW$15+
INDEX($A837:$BM837,,$BV$16)*$BW$16+
INDEX($A837:$BM837,,$BV$17)*$BW$17+
INDEX($A837:$BM837,,$BV$18)*$BW$18+
INDEX($A837:$BM837,,$BV$19)*$BW$19+
INDEX($A837:$BM837,,$BV$20)*$BW$20+
INDEX($A837:$BM837,,$BV$21)*$BW$21+
INDEX($A837:$BM837,,$BV$22)*$BW$22+
INDEX($A837:$BM837,,$BV$23)*$BW$23+
INDEX($A837:$BM837,,$BV$25)*$BW$25+
INDEX($A837:$BM837,,$BV$26)*$BW$26+
INDEX($A837:$BM837,,$BV$27)*$BW$27+
$BN837)),
$BN837-100)</f>
        <v>-100</v>
      </c>
      <c r="BB837" t="str">
        <f t="shared" si="180"/>
        <v/>
      </c>
      <c r="BC837" t="str">
        <f t="shared" si="176"/>
        <v/>
      </c>
      <c r="BD837" s="430">
        <f>IFERROR(
IF(BB837="",-100,
IF($BV$2&gt;0, INDEX(Beersheet!$A:$U,MATCH(BB837,INDEX(Beersheet!$A:$U,0,FFARawStatProjections!$BV$2),0),$BV$3)+$BN837,
INDEX($A837:$BM837,,$BV$12)*$BW$12+
INDEX($A837:$BM837,,$BV$15)*$BW$15+
INDEX($A837:$BM837,,$BV$16)*$BW$16+
INDEX($A837:$BM837,,$BV$17)*$BW$17+
INDEX($A837:$BM837,,$BV$18)*$BW$18+
INDEX($A837:$BM837,,$BV$19)*$BW$19+
INDEX($A837:$BM837,,$BV$20)*$BW$20+
INDEX($A837:$BM837,,$BV$21)*$BW$21+
INDEX($A837:$BM837,,$BV$22)*$BW$22+
INDEX($A837:$BM837,,$BV$23)*$BW$23+
INDEX($A837:$BM837,,$BV$25)*$BW$25+
INDEX($A837:$BM837,,$BV$26)*$BW$26+
INDEX($A837:$BM837,,$BV$27)*$BW$27+
$BN837)),
$BN837-100)</f>
        <v>-100</v>
      </c>
      <c r="BF837" t="str">
        <f t="shared" si="181"/>
        <v/>
      </c>
      <c r="BG837" t="str">
        <f t="shared" si="177"/>
        <v/>
      </c>
      <c r="BH837">
        <f t="shared" si="182"/>
        <v>0</v>
      </c>
      <c r="BJ837" t="str">
        <f t="shared" si="183"/>
        <v/>
      </c>
      <c r="BL837">
        <f t="shared" si="171"/>
        <v>0</v>
      </c>
      <c r="BN837">
        <v>8.3600000000000601E-3</v>
      </c>
    </row>
    <row r="838" spans="1:66" ht="15.75" thickBot="1" x14ac:dyDescent="0.3">
      <c r="A838" s="569"/>
      <c r="B838" s="569"/>
      <c r="C838" s="569"/>
      <c r="D838" s="569"/>
      <c r="E838" s="569"/>
      <c r="F838" s="569"/>
      <c r="G838" s="569"/>
      <c r="H838" s="569"/>
      <c r="I838" s="569"/>
      <c r="J838" s="569"/>
      <c r="K838" s="569"/>
      <c r="L838" s="569"/>
      <c r="M838" s="569"/>
      <c r="N838" s="569"/>
      <c r="O838" s="569"/>
      <c r="P838" s="569"/>
      <c r="Q838" s="569"/>
      <c r="R838" s="569"/>
      <c r="S838" s="569"/>
      <c r="T838" s="569"/>
      <c r="U838" s="569"/>
      <c r="V838" s="569"/>
      <c r="W838" s="569"/>
      <c r="X838" s="569"/>
      <c r="Y838" s="569"/>
      <c r="Z838" s="569"/>
      <c r="AA838" s="569"/>
      <c r="AB838" s="569"/>
      <c r="AC838" s="569"/>
      <c r="AD838" s="569"/>
      <c r="AE838" s="569"/>
      <c r="AF838" s="569"/>
      <c r="AG838" s="569"/>
      <c r="AH838" s="569"/>
      <c r="AI838" s="569"/>
      <c r="AJ838" s="569"/>
      <c r="AK838" s="569"/>
      <c r="AL838" s="569"/>
      <c r="AM838" s="569"/>
      <c r="AN838" s="569"/>
      <c r="AO838">
        <v>837</v>
      </c>
      <c r="AP838" t="str">
        <f t="shared" si="172"/>
        <v/>
      </c>
      <c r="AQ838" t="str">
        <f t="shared" si="173"/>
        <v/>
      </c>
      <c r="AR838" s="430">
        <f>IFERROR(
IF(AP838="",-100,
IF($BV$2&gt;0, INDEX(Beersheet!$A:$U,MATCH(AP838,INDEX(Beersheet!$A:$U,0,FFARawStatProjections!$BV$2),0),$BV$3)+$BN838,
INDEX($A838:$BM838,,$BV$12)*$BW$12+
INDEX($A838:$BM838,,$BV$15)*$BW$15+
INDEX($A838:$BM838,,$BV$16)*$BW$16+
INDEX($A838:$BM838,,$BV$17)*$BW$17+
INDEX($A838:$BM838,,$BV$18)*$BW$18+
INDEX($A838:$BM838,,$BV$19)*$BW$19+
INDEX($A838:$BM838,,$BV$20)*$BW$20+
INDEX($A838:$BM838,,$BV$21)*$BW$21+
INDEX($A838:$BM838,,$BV$22)*$BW$22+
INDEX($A838:$BM838,,$BV$23)*$BW$23+
INDEX($A838:$BM838,,$BV$25)*$BW$25+
INDEX($A838:$BM838,,$BV$26)*$BW$26+
INDEX($A838:$BM838,,$BV$27)*$BW$27+
$BN838)),
$BN838-100)</f>
        <v>-100</v>
      </c>
      <c r="AT838" t="str">
        <f t="shared" si="178"/>
        <v/>
      </c>
      <c r="AU838" t="str">
        <f t="shared" si="174"/>
        <v/>
      </c>
      <c r="AV838" s="430">
        <f>IFERROR(
IF(AT838="",-100,
IF($BV$2&gt;0, INDEX(Beersheet!$A:$U,MATCH(AT838,INDEX(Beersheet!$A:$U,0,FFARawStatProjections!$BV$2),0),$BV$3)+$BN838,
INDEX($A838:$BM838,,$BV$12)*$BW$12+
INDEX($A838:$BM838,,$BV$15)*$BW$15+
INDEX($A838:$BM838,,$BV$16)*$BW$16+
INDEX($A838:$BM838,,$BV$17)*$BW$17+
INDEX($A838:$BM838,,$BV$18)*$BW$18+
INDEX($A838:$BM838,,$BV$19)*$BW$19+
INDEX($A838:$BM838,,$BV$20)*$BW$20+
INDEX($A838:$BM838,,$BV$21)*$BW$21+
INDEX($A838:$BM838,,$BV$22)*$BW$22+
INDEX($A838:$BM838,,$BV$23)*$BW$23+
INDEX($A838:$BM838,,$BV$25)*$BW$25+
INDEX($A838:$BM838,,$BV$26)*$BW$26+
INDEX($A838:$BM838,,$BV$27)*$BW$27+
$BN838)),
$BN838-100)</f>
        <v>-100</v>
      </c>
      <c r="AX838" t="str">
        <f t="shared" si="179"/>
        <v/>
      </c>
      <c r="AY838" t="str">
        <f t="shared" si="175"/>
        <v/>
      </c>
      <c r="AZ838" s="430">
        <f>IFERROR(
IF(AX838="",-100,
IF($BV$2&gt;0, INDEX(Beersheet!$A:$U,MATCH(AX838,INDEX(Beersheet!$A:$U,0,FFARawStatProjections!$BV$2),0),$BV$3)+$BN838,
INDEX($A838:$BM838,,$BV$12)*$BW$12+
INDEX($A838:$BM838,,$BV$15)*$BW$15+
INDEX($A838:$BM838,,$BV$16)*$BW$16+
INDEX($A838:$BM838,,$BV$17)*$BW$17+
INDEX($A838:$BM838,,$BV$18)*$BW$18+
INDEX($A838:$BM838,,$BV$19)*$BW$19+
INDEX($A838:$BM838,,$BV$20)*$BW$20+
INDEX($A838:$BM838,,$BV$21)*$BW$21+
INDEX($A838:$BM838,,$BV$22)*$BW$22+
INDEX($A838:$BM838,,$BV$23)*$BW$23+
INDEX($A838:$BM838,,$BV$25)*$BW$25+
INDEX($A838:$BM838,,$BV$26)*$BW$26+
INDEX($A838:$BM838,,$BV$27)*$BW$27+
$BN838)),
$BN838-100)</f>
        <v>-100</v>
      </c>
      <c r="BB838" t="str">
        <f t="shared" si="180"/>
        <v/>
      </c>
      <c r="BC838" t="str">
        <f t="shared" si="176"/>
        <v/>
      </c>
      <c r="BD838" s="430">
        <f>IFERROR(
IF(BB838="",-100,
IF($BV$2&gt;0, INDEX(Beersheet!$A:$U,MATCH(BB838,INDEX(Beersheet!$A:$U,0,FFARawStatProjections!$BV$2),0),$BV$3)+$BN838,
INDEX($A838:$BM838,,$BV$12)*$BW$12+
INDEX($A838:$BM838,,$BV$15)*$BW$15+
INDEX($A838:$BM838,,$BV$16)*$BW$16+
INDEX($A838:$BM838,,$BV$17)*$BW$17+
INDEX($A838:$BM838,,$BV$18)*$BW$18+
INDEX($A838:$BM838,,$BV$19)*$BW$19+
INDEX($A838:$BM838,,$BV$20)*$BW$20+
INDEX($A838:$BM838,,$BV$21)*$BW$21+
INDEX($A838:$BM838,,$BV$22)*$BW$22+
INDEX($A838:$BM838,,$BV$23)*$BW$23+
INDEX($A838:$BM838,,$BV$25)*$BW$25+
INDEX($A838:$BM838,,$BV$26)*$BW$26+
INDEX($A838:$BM838,,$BV$27)*$BW$27+
$BN838)),
$BN838-100)</f>
        <v>-100</v>
      </c>
      <c r="BF838" t="str">
        <f t="shared" si="181"/>
        <v/>
      </c>
      <c r="BG838" t="str">
        <f t="shared" si="177"/>
        <v/>
      </c>
      <c r="BH838">
        <f t="shared" si="182"/>
        <v>0</v>
      </c>
      <c r="BJ838" t="str">
        <f t="shared" si="183"/>
        <v/>
      </c>
      <c r="BL838">
        <f t="shared" si="171"/>
        <v>0</v>
      </c>
      <c r="BN838">
        <v>8.3700000000000597E-3</v>
      </c>
    </row>
    <row r="839" spans="1:66" ht="15.75" thickBot="1" x14ac:dyDescent="0.3">
      <c r="A839" s="569"/>
      <c r="B839" s="569"/>
      <c r="C839" s="569"/>
      <c r="D839" s="569"/>
      <c r="E839" s="569"/>
      <c r="F839" s="569"/>
      <c r="G839" s="569"/>
      <c r="H839" s="569"/>
      <c r="I839" s="569"/>
      <c r="J839" s="569"/>
      <c r="K839" s="569"/>
      <c r="L839" s="569"/>
      <c r="M839" s="569"/>
      <c r="N839" s="569"/>
      <c r="O839" s="569"/>
      <c r="P839" s="569"/>
      <c r="Q839" s="569"/>
      <c r="R839" s="569"/>
      <c r="S839" s="569"/>
      <c r="T839" s="569"/>
      <c r="U839" s="569"/>
      <c r="V839" s="569"/>
      <c r="W839" s="569"/>
      <c r="X839" s="569"/>
      <c r="Y839" s="569"/>
      <c r="Z839" s="569"/>
      <c r="AA839" s="569"/>
      <c r="AB839" s="569"/>
      <c r="AC839" s="569"/>
      <c r="AD839" s="569"/>
      <c r="AE839" s="569"/>
      <c r="AF839" s="569"/>
      <c r="AG839" s="569"/>
      <c r="AH839" s="569"/>
      <c r="AI839" s="569"/>
      <c r="AJ839" s="569"/>
      <c r="AK839" s="569"/>
      <c r="AL839" s="569"/>
      <c r="AM839" s="569"/>
      <c r="AN839" s="569"/>
      <c r="AO839">
        <v>838</v>
      </c>
      <c r="AP839" t="str">
        <f t="shared" si="172"/>
        <v/>
      </c>
      <c r="AQ839" t="str">
        <f t="shared" si="173"/>
        <v/>
      </c>
      <c r="AR839" s="430">
        <f>IFERROR(
IF(AP839="",-100,
IF($BV$2&gt;0, INDEX(Beersheet!$A:$U,MATCH(AP839,INDEX(Beersheet!$A:$U,0,FFARawStatProjections!$BV$2),0),$BV$3)+$BN839,
INDEX($A839:$BM839,,$BV$12)*$BW$12+
INDEX($A839:$BM839,,$BV$15)*$BW$15+
INDEX($A839:$BM839,,$BV$16)*$BW$16+
INDEX($A839:$BM839,,$BV$17)*$BW$17+
INDEX($A839:$BM839,,$BV$18)*$BW$18+
INDEX($A839:$BM839,,$BV$19)*$BW$19+
INDEX($A839:$BM839,,$BV$20)*$BW$20+
INDEX($A839:$BM839,,$BV$21)*$BW$21+
INDEX($A839:$BM839,,$BV$22)*$BW$22+
INDEX($A839:$BM839,,$BV$23)*$BW$23+
INDEX($A839:$BM839,,$BV$25)*$BW$25+
INDEX($A839:$BM839,,$BV$26)*$BW$26+
INDEX($A839:$BM839,,$BV$27)*$BW$27+
$BN839)),
$BN839-100)</f>
        <v>-100</v>
      </c>
      <c r="AT839" t="str">
        <f t="shared" si="178"/>
        <v/>
      </c>
      <c r="AU839" t="str">
        <f t="shared" si="174"/>
        <v/>
      </c>
      <c r="AV839" s="430">
        <f>IFERROR(
IF(AT839="",-100,
IF($BV$2&gt;0, INDEX(Beersheet!$A:$U,MATCH(AT839,INDEX(Beersheet!$A:$U,0,FFARawStatProjections!$BV$2),0),$BV$3)+$BN839,
INDEX($A839:$BM839,,$BV$12)*$BW$12+
INDEX($A839:$BM839,,$BV$15)*$BW$15+
INDEX($A839:$BM839,,$BV$16)*$BW$16+
INDEX($A839:$BM839,,$BV$17)*$BW$17+
INDEX($A839:$BM839,,$BV$18)*$BW$18+
INDEX($A839:$BM839,,$BV$19)*$BW$19+
INDEX($A839:$BM839,,$BV$20)*$BW$20+
INDEX($A839:$BM839,,$BV$21)*$BW$21+
INDEX($A839:$BM839,,$BV$22)*$BW$22+
INDEX($A839:$BM839,,$BV$23)*$BW$23+
INDEX($A839:$BM839,,$BV$25)*$BW$25+
INDEX($A839:$BM839,,$BV$26)*$BW$26+
INDEX($A839:$BM839,,$BV$27)*$BW$27+
$BN839)),
$BN839-100)</f>
        <v>-100</v>
      </c>
      <c r="AX839" t="str">
        <f t="shared" si="179"/>
        <v/>
      </c>
      <c r="AY839" t="str">
        <f t="shared" si="175"/>
        <v/>
      </c>
      <c r="AZ839" s="430">
        <f>IFERROR(
IF(AX839="",-100,
IF($BV$2&gt;0, INDEX(Beersheet!$A:$U,MATCH(AX839,INDEX(Beersheet!$A:$U,0,FFARawStatProjections!$BV$2),0),$BV$3)+$BN839,
INDEX($A839:$BM839,,$BV$12)*$BW$12+
INDEX($A839:$BM839,,$BV$15)*$BW$15+
INDEX($A839:$BM839,,$BV$16)*$BW$16+
INDEX($A839:$BM839,,$BV$17)*$BW$17+
INDEX($A839:$BM839,,$BV$18)*$BW$18+
INDEX($A839:$BM839,,$BV$19)*$BW$19+
INDEX($A839:$BM839,,$BV$20)*$BW$20+
INDEX($A839:$BM839,,$BV$21)*$BW$21+
INDEX($A839:$BM839,,$BV$22)*$BW$22+
INDEX($A839:$BM839,,$BV$23)*$BW$23+
INDEX($A839:$BM839,,$BV$25)*$BW$25+
INDEX($A839:$BM839,,$BV$26)*$BW$26+
INDEX($A839:$BM839,,$BV$27)*$BW$27+
$BN839)),
$BN839-100)</f>
        <v>-100</v>
      </c>
      <c r="BB839" t="str">
        <f t="shared" si="180"/>
        <v/>
      </c>
      <c r="BC839" t="str">
        <f t="shared" si="176"/>
        <v/>
      </c>
      <c r="BD839" s="430">
        <f>IFERROR(
IF(BB839="",-100,
IF($BV$2&gt;0, INDEX(Beersheet!$A:$U,MATCH(BB839,INDEX(Beersheet!$A:$U,0,FFARawStatProjections!$BV$2),0),$BV$3)+$BN839,
INDEX($A839:$BM839,,$BV$12)*$BW$12+
INDEX($A839:$BM839,,$BV$15)*$BW$15+
INDEX($A839:$BM839,,$BV$16)*$BW$16+
INDEX($A839:$BM839,,$BV$17)*$BW$17+
INDEX($A839:$BM839,,$BV$18)*$BW$18+
INDEX($A839:$BM839,,$BV$19)*$BW$19+
INDEX($A839:$BM839,,$BV$20)*$BW$20+
INDEX($A839:$BM839,,$BV$21)*$BW$21+
INDEX($A839:$BM839,,$BV$22)*$BW$22+
INDEX($A839:$BM839,,$BV$23)*$BW$23+
INDEX($A839:$BM839,,$BV$25)*$BW$25+
INDEX($A839:$BM839,,$BV$26)*$BW$26+
INDEX($A839:$BM839,,$BV$27)*$BW$27+
$BN839)),
$BN839-100)</f>
        <v>-100</v>
      </c>
      <c r="BF839" t="str">
        <f t="shared" si="181"/>
        <v/>
      </c>
      <c r="BG839" t="str">
        <f t="shared" si="177"/>
        <v/>
      </c>
      <c r="BH839">
        <f t="shared" si="182"/>
        <v>0</v>
      </c>
      <c r="BJ839" t="str">
        <f t="shared" si="183"/>
        <v/>
      </c>
      <c r="BL839">
        <f t="shared" si="171"/>
        <v>0</v>
      </c>
      <c r="BN839">
        <v>8.3800000000000593E-3</v>
      </c>
    </row>
    <row r="840" spans="1:66" ht="15.75" thickBot="1" x14ac:dyDescent="0.3">
      <c r="A840" s="569"/>
      <c r="B840" s="569"/>
      <c r="C840" s="569"/>
      <c r="D840" s="569"/>
      <c r="E840" s="569"/>
      <c r="F840" s="569"/>
      <c r="G840" s="569"/>
      <c r="H840" s="569"/>
      <c r="I840" s="569"/>
      <c r="J840" s="569"/>
      <c r="K840" s="569"/>
      <c r="L840" s="569"/>
      <c r="M840" s="569"/>
      <c r="N840" s="569"/>
      <c r="O840" s="569"/>
      <c r="P840" s="569"/>
      <c r="Q840" s="569"/>
      <c r="R840" s="569"/>
      <c r="S840" s="569"/>
      <c r="T840" s="569"/>
      <c r="U840" s="569"/>
      <c r="V840" s="569"/>
      <c r="W840" s="569"/>
      <c r="X840" s="569"/>
      <c r="Y840" s="569"/>
      <c r="Z840" s="569"/>
      <c r="AA840" s="569"/>
      <c r="AB840" s="569"/>
      <c r="AC840" s="569"/>
      <c r="AD840" s="569"/>
      <c r="AE840" s="569"/>
      <c r="AF840" s="569"/>
      <c r="AG840" s="569"/>
      <c r="AH840" s="569"/>
      <c r="AI840" s="569"/>
      <c r="AJ840" s="569"/>
      <c r="AK840" s="569"/>
      <c r="AL840" s="569"/>
      <c r="AM840" s="569"/>
      <c r="AN840" s="569"/>
      <c r="AO840">
        <v>839</v>
      </c>
      <c r="AP840" t="str">
        <f t="shared" si="172"/>
        <v/>
      </c>
      <c r="AQ840" t="str">
        <f t="shared" si="173"/>
        <v/>
      </c>
      <c r="AR840" s="430">
        <f>IFERROR(
IF(AP840="",-100,
IF($BV$2&gt;0, INDEX(Beersheet!$A:$U,MATCH(AP840,INDEX(Beersheet!$A:$U,0,FFARawStatProjections!$BV$2),0),$BV$3)+$BN840,
INDEX($A840:$BM840,,$BV$12)*$BW$12+
INDEX($A840:$BM840,,$BV$15)*$BW$15+
INDEX($A840:$BM840,,$BV$16)*$BW$16+
INDEX($A840:$BM840,,$BV$17)*$BW$17+
INDEX($A840:$BM840,,$BV$18)*$BW$18+
INDEX($A840:$BM840,,$BV$19)*$BW$19+
INDEX($A840:$BM840,,$BV$20)*$BW$20+
INDEX($A840:$BM840,,$BV$21)*$BW$21+
INDEX($A840:$BM840,,$BV$22)*$BW$22+
INDEX($A840:$BM840,,$BV$23)*$BW$23+
INDEX($A840:$BM840,,$BV$25)*$BW$25+
INDEX($A840:$BM840,,$BV$26)*$BW$26+
INDEX($A840:$BM840,,$BV$27)*$BW$27+
$BN840)),
$BN840-100)</f>
        <v>-100</v>
      </c>
      <c r="AT840" t="str">
        <f t="shared" si="178"/>
        <v/>
      </c>
      <c r="AU840" t="str">
        <f t="shared" si="174"/>
        <v/>
      </c>
      <c r="AV840" s="430">
        <f>IFERROR(
IF(AT840="",-100,
IF($BV$2&gt;0, INDEX(Beersheet!$A:$U,MATCH(AT840,INDEX(Beersheet!$A:$U,0,FFARawStatProjections!$BV$2),0),$BV$3)+$BN840,
INDEX($A840:$BM840,,$BV$12)*$BW$12+
INDEX($A840:$BM840,,$BV$15)*$BW$15+
INDEX($A840:$BM840,,$BV$16)*$BW$16+
INDEX($A840:$BM840,,$BV$17)*$BW$17+
INDEX($A840:$BM840,,$BV$18)*$BW$18+
INDEX($A840:$BM840,,$BV$19)*$BW$19+
INDEX($A840:$BM840,,$BV$20)*$BW$20+
INDEX($A840:$BM840,,$BV$21)*$BW$21+
INDEX($A840:$BM840,,$BV$22)*$BW$22+
INDEX($A840:$BM840,,$BV$23)*$BW$23+
INDEX($A840:$BM840,,$BV$25)*$BW$25+
INDEX($A840:$BM840,,$BV$26)*$BW$26+
INDEX($A840:$BM840,,$BV$27)*$BW$27+
$BN840)),
$BN840-100)</f>
        <v>-100</v>
      </c>
      <c r="AX840" t="str">
        <f t="shared" si="179"/>
        <v/>
      </c>
      <c r="AY840" t="str">
        <f t="shared" si="175"/>
        <v/>
      </c>
      <c r="AZ840" s="430">
        <f>IFERROR(
IF(AX840="",-100,
IF($BV$2&gt;0, INDEX(Beersheet!$A:$U,MATCH(AX840,INDEX(Beersheet!$A:$U,0,FFARawStatProjections!$BV$2),0),$BV$3)+$BN840,
INDEX($A840:$BM840,,$BV$12)*$BW$12+
INDEX($A840:$BM840,,$BV$15)*$BW$15+
INDEX($A840:$BM840,,$BV$16)*$BW$16+
INDEX($A840:$BM840,,$BV$17)*$BW$17+
INDEX($A840:$BM840,,$BV$18)*$BW$18+
INDEX($A840:$BM840,,$BV$19)*$BW$19+
INDEX($A840:$BM840,,$BV$20)*$BW$20+
INDEX($A840:$BM840,,$BV$21)*$BW$21+
INDEX($A840:$BM840,,$BV$22)*$BW$22+
INDEX($A840:$BM840,,$BV$23)*$BW$23+
INDEX($A840:$BM840,,$BV$25)*$BW$25+
INDEX($A840:$BM840,,$BV$26)*$BW$26+
INDEX($A840:$BM840,,$BV$27)*$BW$27+
$BN840)),
$BN840-100)</f>
        <v>-100</v>
      </c>
      <c r="BB840" t="str">
        <f t="shared" si="180"/>
        <v/>
      </c>
      <c r="BC840" t="str">
        <f t="shared" si="176"/>
        <v/>
      </c>
      <c r="BD840" s="430">
        <f>IFERROR(
IF(BB840="",-100,
IF($BV$2&gt;0, INDEX(Beersheet!$A:$U,MATCH(BB840,INDEX(Beersheet!$A:$U,0,FFARawStatProjections!$BV$2),0),$BV$3)+$BN840,
INDEX($A840:$BM840,,$BV$12)*$BW$12+
INDEX($A840:$BM840,,$BV$15)*$BW$15+
INDEX($A840:$BM840,,$BV$16)*$BW$16+
INDEX($A840:$BM840,,$BV$17)*$BW$17+
INDEX($A840:$BM840,,$BV$18)*$BW$18+
INDEX($A840:$BM840,,$BV$19)*$BW$19+
INDEX($A840:$BM840,,$BV$20)*$BW$20+
INDEX($A840:$BM840,,$BV$21)*$BW$21+
INDEX($A840:$BM840,,$BV$22)*$BW$22+
INDEX($A840:$BM840,,$BV$23)*$BW$23+
INDEX($A840:$BM840,,$BV$25)*$BW$25+
INDEX($A840:$BM840,,$BV$26)*$BW$26+
INDEX($A840:$BM840,,$BV$27)*$BW$27+
$BN840)),
$BN840-100)</f>
        <v>-100</v>
      </c>
      <c r="BF840" t="str">
        <f t="shared" si="181"/>
        <v/>
      </c>
      <c r="BG840" t="str">
        <f t="shared" si="177"/>
        <v/>
      </c>
      <c r="BH840">
        <f t="shared" si="182"/>
        <v>0</v>
      </c>
      <c r="BJ840" t="str">
        <f t="shared" si="183"/>
        <v/>
      </c>
      <c r="BL840">
        <f t="shared" si="171"/>
        <v>0</v>
      </c>
      <c r="BN840">
        <v>8.3900000000000693E-3</v>
      </c>
    </row>
    <row r="841" spans="1:66" ht="15.75" thickBot="1" x14ac:dyDescent="0.3">
      <c r="A841" s="569" t="s">
        <v>1197</v>
      </c>
      <c r="B841" s="569" t="s">
        <v>2540</v>
      </c>
      <c r="C841" s="569" t="s">
        <v>6</v>
      </c>
      <c r="D841" s="569"/>
      <c r="E841" s="569"/>
      <c r="F841" s="569"/>
      <c r="G841" s="569"/>
      <c r="H841" s="569"/>
      <c r="I841" s="569"/>
      <c r="J841" s="569"/>
      <c r="K841" s="569"/>
      <c r="L841" s="569"/>
      <c r="M841" s="569"/>
      <c r="N841" s="569"/>
      <c r="O841" s="569"/>
      <c r="P841" s="569"/>
      <c r="Q841" s="569"/>
      <c r="R841" s="569"/>
      <c r="S841" s="569"/>
      <c r="T841" s="569"/>
      <c r="U841" s="569"/>
      <c r="V841" s="569"/>
      <c r="W841" s="569"/>
      <c r="X841" s="569"/>
      <c r="Y841" s="569"/>
      <c r="Z841" s="569"/>
      <c r="AA841" s="569"/>
      <c r="AB841" s="569"/>
      <c r="AC841" s="569"/>
      <c r="AD841" s="569"/>
      <c r="AE841" s="569"/>
      <c r="AF841" s="569"/>
      <c r="AG841" s="569"/>
      <c r="AH841" s="569"/>
      <c r="AI841" s="569"/>
      <c r="AJ841" s="569"/>
      <c r="AK841" s="569"/>
      <c r="AL841" s="569"/>
      <c r="AM841" s="569"/>
      <c r="AN841" s="569"/>
      <c r="AO841">
        <v>840</v>
      </c>
      <c r="AP841" t="str">
        <f t="shared" si="172"/>
        <v/>
      </c>
      <c r="AQ841" t="str">
        <f t="shared" si="173"/>
        <v/>
      </c>
      <c r="AR841" s="430">
        <f>IFERROR(
IF(AP841="",-100,
IF($BV$2&gt;0, INDEX(Beersheet!$A:$U,MATCH(AP841,INDEX(Beersheet!$A:$U,0,FFARawStatProjections!$BV$2),0),$BV$3)+$BN841,
INDEX($A841:$BM841,,$BV$12)*$BW$12+
INDEX($A841:$BM841,,$BV$15)*$BW$15+
INDEX($A841:$BM841,,$BV$16)*$BW$16+
INDEX($A841:$BM841,,$BV$17)*$BW$17+
INDEX($A841:$BM841,,$BV$18)*$BW$18+
INDEX($A841:$BM841,,$BV$19)*$BW$19+
INDEX($A841:$BM841,,$BV$20)*$BW$20+
INDEX($A841:$BM841,,$BV$21)*$BW$21+
INDEX($A841:$BM841,,$BV$22)*$BW$22+
INDEX($A841:$BM841,,$BV$23)*$BW$23+
INDEX($A841:$BM841,,$BV$25)*$BW$25+
INDEX($A841:$BM841,,$BV$26)*$BW$26+
INDEX($A841:$BM841,,$BV$27)*$BW$27+
$BN841)),
$BN841-100)</f>
        <v>-100</v>
      </c>
      <c r="AT841" t="str">
        <f t="shared" si="178"/>
        <v/>
      </c>
      <c r="AU841" t="str">
        <f t="shared" si="174"/>
        <v/>
      </c>
      <c r="AV841" s="430">
        <f>IFERROR(
IF(AT841="",-100,
IF($BV$2&gt;0, INDEX(Beersheet!$A:$U,MATCH(AT841,INDEX(Beersheet!$A:$U,0,FFARawStatProjections!$BV$2),0),$BV$3)+$BN841,
INDEX($A841:$BM841,,$BV$12)*$BW$12+
INDEX($A841:$BM841,,$BV$15)*$BW$15+
INDEX($A841:$BM841,,$BV$16)*$BW$16+
INDEX($A841:$BM841,,$BV$17)*$BW$17+
INDEX($A841:$BM841,,$BV$18)*$BW$18+
INDEX($A841:$BM841,,$BV$19)*$BW$19+
INDEX($A841:$BM841,,$BV$20)*$BW$20+
INDEX($A841:$BM841,,$BV$21)*$BW$21+
INDEX($A841:$BM841,,$BV$22)*$BW$22+
INDEX($A841:$BM841,,$BV$23)*$BW$23+
INDEX($A841:$BM841,,$BV$25)*$BW$25+
INDEX($A841:$BM841,,$BV$26)*$BW$26+
INDEX($A841:$BM841,,$BV$27)*$BW$27+
$BN841)),
$BN841-100)</f>
        <v>-100</v>
      </c>
      <c r="AX841" t="str">
        <f t="shared" si="179"/>
        <v>Will Fuller</v>
      </c>
      <c r="AY841" t="str">
        <f t="shared" si="175"/>
        <v>FA</v>
      </c>
      <c r="AZ841" s="430">
        <f>IFERROR(
IF(AX841="",-100,
IF($BV$2&gt;0, INDEX(Beersheet!$A:$U,MATCH(AX841,INDEX(Beersheet!$A:$U,0,FFARawStatProjections!$BV$2),0),$BV$3)+$BN841,
INDEX($A841:$BM841,,$BV$12)*$BW$12+
INDEX($A841:$BM841,,$BV$15)*$BW$15+
INDEX($A841:$BM841,,$BV$16)*$BW$16+
INDEX($A841:$BM841,,$BV$17)*$BW$17+
INDEX($A841:$BM841,,$BV$18)*$BW$18+
INDEX($A841:$BM841,,$BV$19)*$BW$19+
INDEX($A841:$BM841,,$BV$20)*$BW$20+
INDEX($A841:$BM841,,$BV$21)*$BW$21+
INDEX($A841:$BM841,,$BV$22)*$BW$22+
INDEX($A841:$BM841,,$BV$23)*$BW$23+
INDEX($A841:$BM841,,$BV$25)*$BW$25+
INDEX($A841:$BM841,,$BV$26)*$BW$26+
INDEX($A841:$BM841,,$BV$27)*$BW$27+
$BN841)),
$BN841-100)</f>
        <v>8.4000000000000706E-3</v>
      </c>
      <c r="BB841" t="str">
        <f t="shared" si="180"/>
        <v/>
      </c>
      <c r="BC841" t="str">
        <f t="shared" si="176"/>
        <v/>
      </c>
      <c r="BD841" s="430">
        <f>IFERROR(
IF(BB841="",-100,
IF($BV$2&gt;0, INDEX(Beersheet!$A:$U,MATCH(BB841,INDEX(Beersheet!$A:$U,0,FFARawStatProjections!$BV$2),0),$BV$3)+$BN841,
INDEX($A841:$BM841,,$BV$12)*$BW$12+
INDEX($A841:$BM841,,$BV$15)*$BW$15+
INDEX($A841:$BM841,,$BV$16)*$BW$16+
INDEX($A841:$BM841,,$BV$17)*$BW$17+
INDEX($A841:$BM841,,$BV$18)*$BW$18+
INDEX($A841:$BM841,,$BV$19)*$BW$19+
INDEX($A841:$BM841,,$BV$20)*$BW$20+
INDEX($A841:$BM841,,$BV$21)*$BW$21+
INDEX($A841:$BM841,,$BV$22)*$BW$22+
INDEX($A841:$BM841,,$BV$23)*$BW$23+
INDEX($A841:$BM841,,$BV$25)*$BW$25+
INDEX($A841:$BM841,,$BV$26)*$BW$26+
INDEX($A841:$BM841,,$BV$27)*$BW$27+
$BN841)),
$BN841-100)</f>
        <v>-100</v>
      </c>
      <c r="BF841" t="str">
        <f t="shared" si="181"/>
        <v/>
      </c>
      <c r="BG841" t="str">
        <f t="shared" si="177"/>
        <v/>
      </c>
      <c r="BH841">
        <f t="shared" si="182"/>
        <v>0</v>
      </c>
      <c r="BJ841" t="str">
        <f t="shared" si="183"/>
        <v/>
      </c>
      <c r="BL841">
        <f t="shared" si="171"/>
        <v>0</v>
      </c>
      <c r="BN841">
        <v>8.4000000000000706E-3</v>
      </c>
    </row>
    <row r="842" spans="1:66" ht="15.75" thickBot="1" x14ac:dyDescent="0.3">
      <c r="A842" s="569" t="s">
        <v>1417</v>
      </c>
      <c r="B842" s="569" t="s">
        <v>2540</v>
      </c>
      <c r="C842" s="569" t="s">
        <v>3</v>
      </c>
      <c r="D842" s="569"/>
      <c r="E842" s="569"/>
      <c r="F842" s="569"/>
      <c r="G842" s="569"/>
      <c r="H842" s="569"/>
      <c r="I842" s="569"/>
      <c r="J842" s="569"/>
      <c r="K842" s="569"/>
      <c r="L842" s="569">
        <v>25</v>
      </c>
      <c r="M842" s="569">
        <v>0.2</v>
      </c>
      <c r="N842" s="569">
        <v>150</v>
      </c>
      <c r="O842" s="569"/>
      <c r="P842" s="569">
        <v>2</v>
      </c>
      <c r="Q842" s="569">
        <v>400</v>
      </c>
      <c r="R842" s="569"/>
      <c r="S842" s="569"/>
      <c r="T842" s="569"/>
      <c r="U842" s="569"/>
      <c r="V842" s="569"/>
      <c r="W842" s="569"/>
      <c r="X842" s="569"/>
      <c r="Y842" s="569"/>
      <c r="Z842" s="569"/>
      <c r="AA842" s="569"/>
      <c r="AB842" s="569"/>
      <c r="AC842" s="569"/>
      <c r="AD842" s="569"/>
      <c r="AE842" s="569"/>
      <c r="AF842" s="569"/>
      <c r="AG842" s="569"/>
      <c r="AH842" s="569"/>
      <c r="AI842" s="569"/>
      <c r="AJ842" s="569"/>
      <c r="AK842" s="569"/>
      <c r="AL842" s="569"/>
      <c r="AM842" s="569"/>
      <c r="AN842" s="569"/>
      <c r="AO842">
        <v>841</v>
      </c>
      <c r="AP842" t="str">
        <f t="shared" si="172"/>
        <v/>
      </c>
      <c r="AQ842" t="str">
        <f t="shared" si="173"/>
        <v/>
      </c>
      <c r="AR842" s="430">
        <f>IFERROR(
IF(AP842="",-100,
IF($BV$2&gt;0, INDEX(Beersheet!$A:$U,MATCH(AP842,INDEX(Beersheet!$A:$U,0,FFARawStatProjections!$BV$2),0),$BV$3)+$BN842,
INDEX($A842:$BM842,,$BV$12)*$BW$12+
INDEX($A842:$BM842,,$BV$15)*$BW$15+
INDEX($A842:$BM842,,$BV$16)*$BW$16+
INDEX($A842:$BM842,,$BV$17)*$BW$17+
INDEX($A842:$BM842,,$BV$18)*$BW$18+
INDEX($A842:$BM842,,$BV$19)*$BW$19+
INDEX($A842:$BM842,,$BV$20)*$BW$20+
INDEX($A842:$BM842,,$BV$21)*$BW$21+
INDEX($A842:$BM842,,$BV$22)*$BW$22+
INDEX($A842:$BM842,,$BV$23)*$BW$23+
INDEX($A842:$BM842,,$BV$25)*$BW$25+
INDEX($A842:$BM842,,$BV$26)*$BW$26+
INDEX($A842:$BM842,,$BV$27)*$BW$27+
$BN842)),
$BN842-100)</f>
        <v>-100</v>
      </c>
      <c r="AT842" t="str">
        <f t="shared" si="178"/>
        <v>Kareem Hunt</v>
      </c>
      <c r="AU842" t="str">
        <f t="shared" si="174"/>
        <v>FA</v>
      </c>
      <c r="AV842" s="430">
        <f>IFERROR(
IF(AT842="",-100,
IF($BV$2&gt;0, INDEX(Beersheet!$A:$U,MATCH(AT842,INDEX(Beersheet!$A:$U,0,FFARawStatProjections!$BV$2),0),$BV$3)+$BN842,
INDEX($A842:$BM842,,$BV$12)*$BW$12+
INDEX($A842:$BM842,,$BV$15)*$BW$15+
INDEX($A842:$BM842,,$BV$16)*$BW$16+
INDEX($A842:$BM842,,$BV$17)*$BW$17+
INDEX($A842:$BM842,,$BV$18)*$BW$18+
INDEX($A842:$BM842,,$BV$19)*$BW$19+
INDEX($A842:$BM842,,$BV$20)*$BW$20+
INDEX($A842:$BM842,,$BV$21)*$BW$21+
INDEX($A842:$BM842,,$BV$22)*$BW$22+
INDEX($A842:$BM842,,$BV$23)*$BW$23+
INDEX($A842:$BM842,,$BV$25)*$BW$25+
INDEX($A842:$BM842,,$BV$26)*$BW$26+
INDEX($A842:$BM842,,$BV$27)*$BW$27+
$BN842)),
$BN842-100)</f>
        <v>93.208410000000001</v>
      </c>
      <c r="AX842" t="str">
        <f t="shared" si="179"/>
        <v/>
      </c>
      <c r="AY842" t="str">
        <f t="shared" si="175"/>
        <v/>
      </c>
      <c r="AZ842" s="430">
        <f>IFERROR(
IF(AX842="",-100,
IF($BV$2&gt;0, INDEX(Beersheet!$A:$U,MATCH(AX842,INDEX(Beersheet!$A:$U,0,FFARawStatProjections!$BV$2),0),$BV$3)+$BN842,
INDEX($A842:$BM842,,$BV$12)*$BW$12+
INDEX($A842:$BM842,,$BV$15)*$BW$15+
INDEX($A842:$BM842,,$BV$16)*$BW$16+
INDEX($A842:$BM842,,$BV$17)*$BW$17+
INDEX($A842:$BM842,,$BV$18)*$BW$18+
INDEX($A842:$BM842,,$BV$19)*$BW$19+
INDEX($A842:$BM842,,$BV$20)*$BW$20+
INDEX($A842:$BM842,,$BV$21)*$BW$21+
INDEX($A842:$BM842,,$BV$22)*$BW$22+
INDEX($A842:$BM842,,$BV$23)*$BW$23+
INDEX($A842:$BM842,,$BV$25)*$BW$25+
INDEX($A842:$BM842,,$BV$26)*$BW$26+
INDEX($A842:$BM842,,$BV$27)*$BW$27+
$BN842)),
$BN842-100)</f>
        <v>-100</v>
      </c>
      <c r="BB842" t="str">
        <f t="shared" si="180"/>
        <v/>
      </c>
      <c r="BC842" t="str">
        <f t="shared" si="176"/>
        <v/>
      </c>
      <c r="BD842" s="430">
        <f>IFERROR(
IF(BB842="",-100,
IF($BV$2&gt;0, INDEX(Beersheet!$A:$U,MATCH(BB842,INDEX(Beersheet!$A:$U,0,FFARawStatProjections!$BV$2),0),$BV$3)+$BN842,
INDEX($A842:$BM842,,$BV$12)*$BW$12+
INDEX($A842:$BM842,,$BV$15)*$BW$15+
INDEX($A842:$BM842,,$BV$16)*$BW$16+
INDEX($A842:$BM842,,$BV$17)*$BW$17+
INDEX($A842:$BM842,,$BV$18)*$BW$18+
INDEX($A842:$BM842,,$BV$19)*$BW$19+
INDEX($A842:$BM842,,$BV$20)*$BW$20+
INDEX($A842:$BM842,,$BV$21)*$BW$21+
INDEX($A842:$BM842,,$BV$22)*$BW$22+
INDEX($A842:$BM842,,$BV$23)*$BW$23+
INDEX($A842:$BM842,,$BV$25)*$BW$25+
INDEX($A842:$BM842,,$BV$26)*$BW$26+
INDEX($A842:$BM842,,$BV$27)*$BW$27+
$BN842)),
$BN842-100)</f>
        <v>-100</v>
      </c>
      <c r="BF842" t="str">
        <f t="shared" si="181"/>
        <v/>
      </c>
      <c r="BG842" t="str">
        <f t="shared" si="177"/>
        <v/>
      </c>
      <c r="BH842">
        <f t="shared" si="182"/>
        <v>0</v>
      </c>
      <c r="BJ842" t="str">
        <f t="shared" si="183"/>
        <v/>
      </c>
      <c r="BL842">
        <f t="shared" si="171"/>
        <v>0</v>
      </c>
      <c r="BN842">
        <v>8.4100000000000702E-3</v>
      </c>
    </row>
    <row r="843" spans="1:66" ht="15.75" thickBot="1" x14ac:dyDescent="0.3">
      <c r="A843" s="569"/>
      <c r="B843" s="569"/>
      <c r="C843" s="569"/>
      <c r="D843" s="569"/>
      <c r="E843" s="569"/>
      <c r="F843" s="569"/>
      <c r="G843" s="569"/>
      <c r="H843" s="569"/>
      <c r="I843" s="569"/>
      <c r="J843" s="569"/>
      <c r="K843" s="569"/>
      <c r="L843" s="569"/>
      <c r="M843" s="569"/>
      <c r="N843" s="569"/>
      <c r="O843" s="569"/>
      <c r="P843" s="569"/>
      <c r="Q843" s="569"/>
      <c r="R843" s="569"/>
      <c r="S843" s="569"/>
      <c r="T843" s="569"/>
      <c r="U843" s="569"/>
      <c r="V843" s="569"/>
      <c r="W843" s="569"/>
      <c r="X843" s="569"/>
      <c r="Y843" s="569"/>
      <c r="Z843" s="569"/>
      <c r="AA843" s="569"/>
      <c r="AB843" s="569"/>
      <c r="AC843" s="569"/>
      <c r="AD843" s="569"/>
      <c r="AE843" s="569"/>
      <c r="AF843" s="569"/>
      <c r="AG843" s="569"/>
      <c r="AH843" s="569"/>
      <c r="AI843" s="569"/>
      <c r="AJ843" s="569"/>
      <c r="AK843" s="569"/>
      <c r="AL843" s="569"/>
      <c r="AM843" s="569"/>
      <c r="AN843" s="569"/>
      <c r="AO843">
        <v>842</v>
      </c>
      <c r="AP843" t="str">
        <f t="shared" si="172"/>
        <v/>
      </c>
      <c r="AQ843" t="str">
        <f t="shared" si="173"/>
        <v/>
      </c>
      <c r="AR843" s="430">
        <f>IFERROR(
IF(AP843="",-100,
IF($BV$2&gt;0, INDEX(Beersheet!$A:$U,MATCH(AP843,INDEX(Beersheet!$A:$U,0,FFARawStatProjections!$BV$2),0),$BV$3)+$BN843,
INDEX($A843:$BM843,,$BV$12)*$BW$12+
INDEX($A843:$BM843,,$BV$15)*$BW$15+
INDEX($A843:$BM843,,$BV$16)*$BW$16+
INDEX($A843:$BM843,,$BV$17)*$BW$17+
INDEX($A843:$BM843,,$BV$18)*$BW$18+
INDEX($A843:$BM843,,$BV$19)*$BW$19+
INDEX($A843:$BM843,,$BV$20)*$BW$20+
INDEX($A843:$BM843,,$BV$21)*$BW$21+
INDEX($A843:$BM843,,$BV$22)*$BW$22+
INDEX($A843:$BM843,,$BV$23)*$BW$23+
INDEX($A843:$BM843,,$BV$25)*$BW$25+
INDEX($A843:$BM843,,$BV$26)*$BW$26+
INDEX($A843:$BM843,,$BV$27)*$BW$27+
$BN843)),
$BN843-100)</f>
        <v>-100</v>
      </c>
      <c r="AT843" t="str">
        <f t="shared" si="178"/>
        <v/>
      </c>
      <c r="AU843" t="str">
        <f t="shared" si="174"/>
        <v/>
      </c>
      <c r="AV843" s="430">
        <f>IFERROR(
IF(AT843="",-100,
IF($BV$2&gt;0, INDEX(Beersheet!$A:$U,MATCH(AT843,INDEX(Beersheet!$A:$U,0,FFARawStatProjections!$BV$2),0),$BV$3)+$BN843,
INDEX($A843:$BM843,,$BV$12)*$BW$12+
INDEX($A843:$BM843,,$BV$15)*$BW$15+
INDEX($A843:$BM843,,$BV$16)*$BW$16+
INDEX($A843:$BM843,,$BV$17)*$BW$17+
INDEX($A843:$BM843,,$BV$18)*$BW$18+
INDEX($A843:$BM843,,$BV$19)*$BW$19+
INDEX($A843:$BM843,,$BV$20)*$BW$20+
INDEX($A843:$BM843,,$BV$21)*$BW$21+
INDEX($A843:$BM843,,$BV$22)*$BW$22+
INDEX($A843:$BM843,,$BV$23)*$BW$23+
INDEX($A843:$BM843,,$BV$25)*$BW$25+
INDEX($A843:$BM843,,$BV$26)*$BW$26+
INDEX($A843:$BM843,,$BV$27)*$BW$27+
$BN843)),
$BN843-100)</f>
        <v>-100</v>
      </c>
      <c r="AX843" t="str">
        <f t="shared" si="179"/>
        <v/>
      </c>
      <c r="AY843" t="str">
        <f t="shared" si="175"/>
        <v/>
      </c>
      <c r="AZ843" s="430">
        <f>IFERROR(
IF(AX843="",-100,
IF($BV$2&gt;0, INDEX(Beersheet!$A:$U,MATCH(AX843,INDEX(Beersheet!$A:$U,0,FFARawStatProjections!$BV$2),0),$BV$3)+$BN843,
INDEX($A843:$BM843,,$BV$12)*$BW$12+
INDEX($A843:$BM843,,$BV$15)*$BW$15+
INDEX($A843:$BM843,,$BV$16)*$BW$16+
INDEX($A843:$BM843,,$BV$17)*$BW$17+
INDEX($A843:$BM843,,$BV$18)*$BW$18+
INDEX($A843:$BM843,,$BV$19)*$BW$19+
INDEX($A843:$BM843,,$BV$20)*$BW$20+
INDEX($A843:$BM843,,$BV$21)*$BW$21+
INDEX($A843:$BM843,,$BV$22)*$BW$22+
INDEX($A843:$BM843,,$BV$23)*$BW$23+
INDEX($A843:$BM843,,$BV$25)*$BW$25+
INDEX($A843:$BM843,,$BV$26)*$BW$26+
INDEX($A843:$BM843,,$BV$27)*$BW$27+
$BN843)),
$BN843-100)</f>
        <v>-100</v>
      </c>
      <c r="BB843" t="str">
        <f t="shared" si="180"/>
        <v/>
      </c>
      <c r="BC843" t="str">
        <f t="shared" si="176"/>
        <v/>
      </c>
      <c r="BD843" s="430">
        <f>IFERROR(
IF(BB843="",-100,
IF($BV$2&gt;0, INDEX(Beersheet!$A:$U,MATCH(BB843,INDEX(Beersheet!$A:$U,0,FFARawStatProjections!$BV$2),0),$BV$3)+$BN843,
INDEX($A843:$BM843,,$BV$12)*$BW$12+
INDEX($A843:$BM843,,$BV$15)*$BW$15+
INDEX($A843:$BM843,,$BV$16)*$BW$16+
INDEX($A843:$BM843,,$BV$17)*$BW$17+
INDEX($A843:$BM843,,$BV$18)*$BW$18+
INDEX($A843:$BM843,,$BV$19)*$BW$19+
INDEX($A843:$BM843,,$BV$20)*$BW$20+
INDEX($A843:$BM843,,$BV$21)*$BW$21+
INDEX($A843:$BM843,,$BV$22)*$BW$22+
INDEX($A843:$BM843,,$BV$23)*$BW$23+
INDEX($A843:$BM843,,$BV$25)*$BW$25+
INDEX($A843:$BM843,,$BV$26)*$BW$26+
INDEX($A843:$BM843,,$BV$27)*$BW$27+
$BN843)),
$BN843-100)</f>
        <v>-100</v>
      </c>
      <c r="BF843" t="str">
        <f t="shared" si="181"/>
        <v/>
      </c>
      <c r="BG843" t="str">
        <f t="shared" si="177"/>
        <v/>
      </c>
      <c r="BH843">
        <f t="shared" si="182"/>
        <v>0</v>
      </c>
      <c r="BJ843" t="str">
        <f t="shared" si="183"/>
        <v/>
      </c>
      <c r="BL843">
        <f t="shared" si="171"/>
        <v>0</v>
      </c>
      <c r="BN843">
        <v>8.4200000000000698E-3</v>
      </c>
    </row>
    <row r="844" spans="1:66" ht="15.75" thickBot="1" x14ac:dyDescent="0.3">
      <c r="A844" s="569"/>
      <c r="B844" s="569"/>
      <c r="C844" s="569"/>
      <c r="D844" s="569"/>
      <c r="E844" s="569"/>
      <c r="F844" s="569"/>
      <c r="G844" s="569"/>
      <c r="H844" s="569"/>
      <c r="I844" s="569"/>
      <c r="J844" s="569"/>
      <c r="K844" s="569"/>
      <c r="L844" s="569"/>
      <c r="M844" s="569"/>
      <c r="N844" s="569"/>
      <c r="O844" s="569"/>
      <c r="P844" s="569"/>
      <c r="Q844" s="569"/>
      <c r="R844" s="569"/>
      <c r="S844" s="569"/>
      <c r="T844" s="569"/>
      <c r="U844" s="569"/>
      <c r="V844" s="569"/>
      <c r="W844" s="569"/>
      <c r="X844" s="569"/>
      <c r="Y844" s="569"/>
      <c r="Z844" s="569"/>
      <c r="AA844" s="569"/>
      <c r="AB844" s="569"/>
      <c r="AC844" s="569"/>
      <c r="AD844" s="569"/>
      <c r="AE844" s="569"/>
      <c r="AF844" s="569"/>
      <c r="AG844" s="569"/>
      <c r="AH844" s="569"/>
      <c r="AI844" s="569"/>
      <c r="AJ844" s="569"/>
      <c r="AK844" s="569"/>
      <c r="AL844" s="569"/>
      <c r="AM844" s="569"/>
      <c r="AN844" s="569"/>
      <c r="AO844">
        <v>843</v>
      </c>
      <c r="AP844" t="str">
        <f t="shared" si="172"/>
        <v/>
      </c>
      <c r="AQ844" t="str">
        <f t="shared" si="173"/>
        <v/>
      </c>
      <c r="AR844" s="430">
        <f>IFERROR(
IF(AP844="",-100,
IF($BV$2&gt;0, INDEX(Beersheet!$A:$U,MATCH(AP844,INDEX(Beersheet!$A:$U,0,FFARawStatProjections!$BV$2),0),$BV$3)+$BN844,
INDEX($A844:$BM844,,$BV$12)*$BW$12+
INDEX($A844:$BM844,,$BV$15)*$BW$15+
INDEX($A844:$BM844,,$BV$16)*$BW$16+
INDEX($A844:$BM844,,$BV$17)*$BW$17+
INDEX($A844:$BM844,,$BV$18)*$BW$18+
INDEX($A844:$BM844,,$BV$19)*$BW$19+
INDEX($A844:$BM844,,$BV$20)*$BW$20+
INDEX($A844:$BM844,,$BV$21)*$BW$21+
INDEX($A844:$BM844,,$BV$22)*$BW$22+
INDEX($A844:$BM844,,$BV$23)*$BW$23+
INDEX($A844:$BM844,,$BV$25)*$BW$25+
INDEX($A844:$BM844,,$BV$26)*$BW$26+
INDEX($A844:$BM844,,$BV$27)*$BW$27+
$BN844)),
$BN844-100)</f>
        <v>-100</v>
      </c>
      <c r="AT844" t="str">
        <f t="shared" si="178"/>
        <v/>
      </c>
      <c r="AU844" t="str">
        <f t="shared" si="174"/>
        <v/>
      </c>
      <c r="AV844" s="430">
        <f>IFERROR(
IF(AT844="",-100,
IF($BV$2&gt;0, INDEX(Beersheet!$A:$U,MATCH(AT844,INDEX(Beersheet!$A:$U,0,FFARawStatProjections!$BV$2),0),$BV$3)+$BN844,
INDEX($A844:$BM844,,$BV$12)*$BW$12+
INDEX($A844:$BM844,,$BV$15)*$BW$15+
INDEX($A844:$BM844,,$BV$16)*$BW$16+
INDEX($A844:$BM844,,$BV$17)*$BW$17+
INDEX($A844:$BM844,,$BV$18)*$BW$18+
INDEX($A844:$BM844,,$BV$19)*$BW$19+
INDEX($A844:$BM844,,$BV$20)*$BW$20+
INDEX($A844:$BM844,,$BV$21)*$BW$21+
INDEX($A844:$BM844,,$BV$22)*$BW$22+
INDEX($A844:$BM844,,$BV$23)*$BW$23+
INDEX($A844:$BM844,,$BV$25)*$BW$25+
INDEX($A844:$BM844,,$BV$26)*$BW$26+
INDEX($A844:$BM844,,$BV$27)*$BW$27+
$BN844)),
$BN844-100)</f>
        <v>-100</v>
      </c>
      <c r="AX844" t="str">
        <f t="shared" si="179"/>
        <v/>
      </c>
      <c r="AY844" t="str">
        <f t="shared" si="175"/>
        <v/>
      </c>
      <c r="AZ844" s="430">
        <f>IFERROR(
IF(AX844="",-100,
IF($BV$2&gt;0, INDEX(Beersheet!$A:$U,MATCH(AX844,INDEX(Beersheet!$A:$U,0,FFARawStatProjections!$BV$2),0),$BV$3)+$BN844,
INDEX($A844:$BM844,,$BV$12)*$BW$12+
INDEX($A844:$BM844,,$BV$15)*$BW$15+
INDEX($A844:$BM844,,$BV$16)*$BW$16+
INDEX($A844:$BM844,,$BV$17)*$BW$17+
INDEX($A844:$BM844,,$BV$18)*$BW$18+
INDEX($A844:$BM844,,$BV$19)*$BW$19+
INDEX($A844:$BM844,,$BV$20)*$BW$20+
INDEX($A844:$BM844,,$BV$21)*$BW$21+
INDEX($A844:$BM844,,$BV$22)*$BW$22+
INDEX($A844:$BM844,,$BV$23)*$BW$23+
INDEX($A844:$BM844,,$BV$25)*$BW$25+
INDEX($A844:$BM844,,$BV$26)*$BW$26+
INDEX($A844:$BM844,,$BV$27)*$BW$27+
$BN844)),
$BN844-100)</f>
        <v>-100</v>
      </c>
      <c r="BB844" t="str">
        <f t="shared" si="180"/>
        <v/>
      </c>
      <c r="BC844" t="str">
        <f t="shared" si="176"/>
        <v/>
      </c>
      <c r="BD844" s="430">
        <f>IFERROR(
IF(BB844="",-100,
IF($BV$2&gt;0, INDEX(Beersheet!$A:$U,MATCH(BB844,INDEX(Beersheet!$A:$U,0,FFARawStatProjections!$BV$2),0),$BV$3)+$BN844,
INDEX($A844:$BM844,,$BV$12)*$BW$12+
INDEX($A844:$BM844,,$BV$15)*$BW$15+
INDEX($A844:$BM844,,$BV$16)*$BW$16+
INDEX($A844:$BM844,,$BV$17)*$BW$17+
INDEX($A844:$BM844,,$BV$18)*$BW$18+
INDEX($A844:$BM844,,$BV$19)*$BW$19+
INDEX($A844:$BM844,,$BV$20)*$BW$20+
INDEX($A844:$BM844,,$BV$21)*$BW$21+
INDEX($A844:$BM844,,$BV$22)*$BW$22+
INDEX($A844:$BM844,,$BV$23)*$BW$23+
INDEX($A844:$BM844,,$BV$25)*$BW$25+
INDEX($A844:$BM844,,$BV$26)*$BW$26+
INDEX($A844:$BM844,,$BV$27)*$BW$27+
$BN844)),
$BN844-100)</f>
        <v>-100</v>
      </c>
      <c r="BF844" t="str">
        <f t="shared" si="181"/>
        <v/>
      </c>
      <c r="BG844" t="str">
        <f t="shared" si="177"/>
        <v/>
      </c>
      <c r="BH844">
        <f t="shared" si="182"/>
        <v>0</v>
      </c>
      <c r="BJ844" t="str">
        <f t="shared" si="183"/>
        <v/>
      </c>
      <c r="BL844">
        <f t="shared" si="171"/>
        <v>0</v>
      </c>
      <c r="BN844">
        <v>8.4300000000000694E-3</v>
      </c>
    </row>
    <row r="845" spans="1:66" ht="15.75" thickBot="1" x14ac:dyDescent="0.3">
      <c r="A845" s="569"/>
      <c r="B845" s="569"/>
      <c r="C845" s="569"/>
      <c r="D845" s="569"/>
      <c r="E845" s="569"/>
      <c r="F845" s="569"/>
      <c r="G845" s="569"/>
      <c r="H845" s="569"/>
      <c r="I845" s="569"/>
      <c r="J845" s="569"/>
      <c r="K845" s="569"/>
      <c r="L845" s="569"/>
      <c r="M845" s="569"/>
      <c r="N845" s="569"/>
      <c r="O845" s="569"/>
      <c r="P845" s="569"/>
      <c r="Q845" s="569"/>
      <c r="R845" s="569"/>
      <c r="S845" s="569"/>
      <c r="T845" s="569"/>
      <c r="U845" s="569"/>
      <c r="V845" s="569"/>
      <c r="W845" s="569"/>
      <c r="X845" s="569"/>
      <c r="Y845" s="569"/>
      <c r="Z845" s="569"/>
      <c r="AA845" s="569"/>
      <c r="AB845" s="569"/>
      <c r="AC845" s="569"/>
      <c r="AD845" s="569"/>
      <c r="AE845" s="569"/>
      <c r="AF845" s="569"/>
      <c r="AG845" s="569"/>
      <c r="AH845" s="569"/>
      <c r="AI845" s="569"/>
      <c r="AJ845" s="569"/>
      <c r="AK845" s="569"/>
      <c r="AL845" s="569"/>
      <c r="AM845" s="569"/>
      <c r="AN845" s="569"/>
      <c r="AO845">
        <v>844</v>
      </c>
      <c r="AP845" t="str">
        <f t="shared" si="172"/>
        <v/>
      </c>
      <c r="AQ845" t="str">
        <f t="shared" si="173"/>
        <v/>
      </c>
      <c r="AR845" s="430">
        <f>IFERROR(
IF(AP845="",-100,
IF($BV$2&gt;0, INDEX(Beersheet!$A:$U,MATCH(AP845,INDEX(Beersheet!$A:$U,0,FFARawStatProjections!$BV$2),0),$BV$3)+$BN845,
INDEX($A845:$BM845,,$BV$12)*$BW$12+
INDEX($A845:$BM845,,$BV$15)*$BW$15+
INDEX($A845:$BM845,,$BV$16)*$BW$16+
INDEX($A845:$BM845,,$BV$17)*$BW$17+
INDEX($A845:$BM845,,$BV$18)*$BW$18+
INDEX($A845:$BM845,,$BV$19)*$BW$19+
INDEX($A845:$BM845,,$BV$20)*$BW$20+
INDEX($A845:$BM845,,$BV$21)*$BW$21+
INDEX($A845:$BM845,,$BV$22)*$BW$22+
INDEX($A845:$BM845,,$BV$23)*$BW$23+
INDEX($A845:$BM845,,$BV$25)*$BW$25+
INDEX($A845:$BM845,,$BV$26)*$BW$26+
INDEX($A845:$BM845,,$BV$27)*$BW$27+
$BN845)),
$BN845-100)</f>
        <v>-100</v>
      </c>
      <c r="AT845" t="str">
        <f t="shared" si="178"/>
        <v/>
      </c>
      <c r="AU845" t="str">
        <f t="shared" si="174"/>
        <v/>
      </c>
      <c r="AV845" s="430">
        <f>IFERROR(
IF(AT845="",-100,
IF($BV$2&gt;0, INDEX(Beersheet!$A:$U,MATCH(AT845,INDEX(Beersheet!$A:$U,0,FFARawStatProjections!$BV$2),0),$BV$3)+$BN845,
INDEX($A845:$BM845,,$BV$12)*$BW$12+
INDEX($A845:$BM845,,$BV$15)*$BW$15+
INDEX($A845:$BM845,,$BV$16)*$BW$16+
INDEX($A845:$BM845,,$BV$17)*$BW$17+
INDEX($A845:$BM845,,$BV$18)*$BW$18+
INDEX($A845:$BM845,,$BV$19)*$BW$19+
INDEX($A845:$BM845,,$BV$20)*$BW$20+
INDEX($A845:$BM845,,$BV$21)*$BW$21+
INDEX($A845:$BM845,,$BV$22)*$BW$22+
INDEX($A845:$BM845,,$BV$23)*$BW$23+
INDEX($A845:$BM845,,$BV$25)*$BW$25+
INDEX($A845:$BM845,,$BV$26)*$BW$26+
INDEX($A845:$BM845,,$BV$27)*$BW$27+
$BN845)),
$BN845-100)</f>
        <v>-100</v>
      </c>
      <c r="AX845" t="str">
        <f t="shared" si="179"/>
        <v/>
      </c>
      <c r="AY845" t="str">
        <f t="shared" si="175"/>
        <v/>
      </c>
      <c r="AZ845" s="430">
        <f>IFERROR(
IF(AX845="",-100,
IF($BV$2&gt;0, INDEX(Beersheet!$A:$U,MATCH(AX845,INDEX(Beersheet!$A:$U,0,FFARawStatProjections!$BV$2),0),$BV$3)+$BN845,
INDEX($A845:$BM845,,$BV$12)*$BW$12+
INDEX($A845:$BM845,,$BV$15)*$BW$15+
INDEX($A845:$BM845,,$BV$16)*$BW$16+
INDEX($A845:$BM845,,$BV$17)*$BW$17+
INDEX($A845:$BM845,,$BV$18)*$BW$18+
INDEX($A845:$BM845,,$BV$19)*$BW$19+
INDEX($A845:$BM845,,$BV$20)*$BW$20+
INDEX($A845:$BM845,,$BV$21)*$BW$21+
INDEX($A845:$BM845,,$BV$22)*$BW$22+
INDEX($A845:$BM845,,$BV$23)*$BW$23+
INDEX($A845:$BM845,,$BV$25)*$BW$25+
INDEX($A845:$BM845,,$BV$26)*$BW$26+
INDEX($A845:$BM845,,$BV$27)*$BW$27+
$BN845)),
$BN845-100)</f>
        <v>-100</v>
      </c>
      <c r="BB845" t="str">
        <f t="shared" si="180"/>
        <v/>
      </c>
      <c r="BC845" t="str">
        <f t="shared" si="176"/>
        <v/>
      </c>
      <c r="BD845" s="430">
        <f>IFERROR(
IF(BB845="",-100,
IF($BV$2&gt;0, INDEX(Beersheet!$A:$U,MATCH(BB845,INDEX(Beersheet!$A:$U,0,FFARawStatProjections!$BV$2),0),$BV$3)+$BN845,
INDEX($A845:$BM845,,$BV$12)*$BW$12+
INDEX($A845:$BM845,,$BV$15)*$BW$15+
INDEX($A845:$BM845,,$BV$16)*$BW$16+
INDEX($A845:$BM845,,$BV$17)*$BW$17+
INDEX($A845:$BM845,,$BV$18)*$BW$18+
INDEX($A845:$BM845,,$BV$19)*$BW$19+
INDEX($A845:$BM845,,$BV$20)*$BW$20+
INDEX($A845:$BM845,,$BV$21)*$BW$21+
INDEX($A845:$BM845,,$BV$22)*$BW$22+
INDEX($A845:$BM845,,$BV$23)*$BW$23+
INDEX($A845:$BM845,,$BV$25)*$BW$25+
INDEX($A845:$BM845,,$BV$26)*$BW$26+
INDEX($A845:$BM845,,$BV$27)*$BW$27+
$BN845)),
$BN845-100)</f>
        <v>-100</v>
      </c>
      <c r="BF845" t="str">
        <f t="shared" si="181"/>
        <v/>
      </c>
      <c r="BG845" t="str">
        <f t="shared" si="177"/>
        <v/>
      </c>
      <c r="BH845">
        <f t="shared" si="182"/>
        <v>0</v>
      </c>
      <c r="BJ845" t="str">
        <f t="shared" si="183"/>
        <v/>
      </c>
      <c r="BL845">
        <f t="shared" si="171"/>
        <v>0</v>
      </c>
      <c r="BN845">
        <v>8.4400000000000707E-3</v>
      </c>
    </row>
    <row r="846" spans="1:66" ht="15.75" thickBot="1" x14ac:dyDescent="0.3">
      <c r="A846" s="569"/>
      <c r="B846" s="569"/>
      <c r="C846" s="569"/>
      <c r="D846" s="569"/>
      <c r="E846" s="569"/>
      <c r="F846" s="569"/>
      <c r="G846" s="569"/>
      <c r="H846" s="569"/>
      <c r="I846" s="569"/>
      <c r="J846" s="569"/>
      <c r="K846" s="569"/>
      <c r="L846" s="569"/>
      <c r="M846" s="569"/>
      <c r="N846" s="569"/>
      <c r="O846" s="569"/>
      <c r="P846" s="569"/>
      <c r="Q846" s="569"/>
      <c r="R846" s="569"/>
      <c r="S846" s="569"/>
      <c r="T846" s="569"/>
      <c r="U846" s="569"/>
      <c r="V846" s="569"/>
      <c r="W846" s="569"/>
      <c r="X846" s="569"/>
      <c r="Y846" s="569"/>
      <c r="Z846" s="569"/>
      <c r="AA846" s="569"/>
      <c r="AB846" s="569"/>
      <c r="AC846" s="569"/>
      <c r="AD846" s="569"/>
      <c r="AE846" s="569"/>
      <c r="AF846" s="569"/>
      <c r="AG846" s="569"/>
      <c r="AH846" s="569"/>
      <c r="AI846" s="569"/>
      <c r="AJ846" s="569"/>
      <c r="AK846" s="569"/>
      <c r="AL846" s="569"/>
      <c r="AM846" s="569"/>
      <c r="AN846" s="569"/>
      <c r="AO846">
        <v>845</v>
      </c>
      <c r="AP846" t="str">
        <f t="shared" si="172"/>
        <v/>
      </c>
      <c r="AQ846" t="str">
        <f t="shared" si="173"/>
        <v/>
      </c>
      <c r="AR846" s="430">
        <f>IFERROR(
IF(AP846="",-100,
IF($BV$2&gt;0, INDEX(Beersheet!$A:$U,MATCH(AP846,INDEX(Beersheet!$A:$U,0,FFARawStatProjections!$BV$2),0),$BV$3)+$BN846,
INDEX($A846:$BM846,,$BV$12)*$BW$12+
INDEX($A846:$BM846,,$BV$15)*$BW$15+
INDEX($A846:$BM846,,$BV$16)*$BW$16+
INDEX($A846:$BM846,,$BV$17)*$BW$17+
INDEX($A846:$BM846,,$BV$18)*$BW$18+
INDEX($A846:$BM846,,$BV$19)*$BW$19+
INDEX($A846:$BM846,,$BV$20)*$BW$20+
INDEX($A846:$BM846,,$BV$21)*$BW$21+
INDEX($A846:$BM846,,$BV$22)*$BW$22+
INDEX($A846:$BM846,,$BV$23)*$BW$23+
INDEX($A846:$BM846,,$BV$25)*$BW$25+
INDEX($A846:$BM846,,$BV$26)*$BW$26+
INDEX($A846:$BM846,,$BV$27)*$BW$27+
$BN846)),
$BN846-100)</f>
        <v>-100</v>
      </c>
      <c r="AT846" t="str">
        <f t="shared" si="178"/>
        <v/>
      </c>
      <c r="AU846" t="str">
        <f t="shared" si="174"/>
        <v/>
      </c>
      <c r="AV846" s="430">
        <f>IFERROR(
IF(AT846="",-100,
IF($BV$2&gt;0, INDEX(Beersheet!$A:$U,MATCH(AT846,INDEX(Beersheet!$A:$U,0,FFARawStatProjections!$BV$2),0),$BV$3)+$BN846,
INDEX($A846:$BM846,,$BV$12)*$BW$12+
INDEX($A846:$BM846,,$BV$15)*$BW$15+
INDEX($A846:$BM846,,$BV$16)*$BW$16+
INDEX($A846:$BM846,,$BV$17)*$BW$17+
INDEX($A846:$BM846,,$BV$18)*$BW$18+
INDEX($A846:$BM846,,$BV$19)*$BW$19+
INDEX($A846:$BM846,,$BV$20)*$BW$20+
INDEX($A846:$BM846,,$BV$21)*$BW$21+
INDEX($A846:$BM846,,$BV$22)*$BW$22+
INDEX($A846:$BM846,,$BV$23)*$BW$23+
INDEX($A846:$BM846,,$BV$25)*$BW$25+
INDEX($A846:$BM846,,$BV$26)*$BW$26+
INDEX($A846:$BM846,,$BV$27)*$BW$27+
$BN846)),
$BN846-100)</f>
        <v>-100</v>
      </c>
      <c r="AX846" t="str">
        <f t="shared" si="179"/>
        <v/>
      </c>
      <c r="AY846" t="str">
        <f t="shared" si="175"/>
        <v/>
      </c>
      <c r="AZ846" s="430">
        <f>IFERROR(
IF(AX846="",-100,
IF($BV$2&gt;0, INDEX(Beersheet!$A:$U,MATCH(AX846,INDEX(Beersheet!$A:$U,0,FFARawStatProjections!$BV$2),0),$BV$3)+$BN846,
INDEX($A846:$BM846,,$BV$12)*$BW$12+
INDEX($A846:$BM846,,$BV$15)*$BW$15+
INDEX($A846:$BM846,,$BV$16)*$BW$16+
INDEX($A846:$BM846,,$BV$17)*$BW$17+
INDEX($A846:$BM846,,$BV$18)*$BW$18+
INDEX($A846:$BM846,,$BV$19)*$BW$19+
INDEX($A846:$BM846,,$BV$20)*$BW$20+
INDEX($A846:$BM846,,$BV$21)*$BW$21+
INDEX($A846:$BM846,,$BV$22)*$BW$22+
INDEX($A846:$BM846,,$BV$23)*$BW$23+
INDEX($A846:$BM846,,$BV$25)*$BW$25+
INDEX($A846:$BM846,,$BV$26)*$BW$26+
INDEX($A846:$BM846,,$BV$27)*$BW$27+
$BN846)),
$BN846-100)</f>
        <v>-100</v>
      </c>
      <c r="BB846" t="str">
        <f t="shared" si="180"/>
        <v/>
      </c>
      <c r="BC846" t="str">
        <f t="shared" si="176"/>
        <v/>
      </c>
      <c r="BD846" s="430">
        <f>IFERROR(
IF(BB846="",-100,
IF($BV$2&gt;0, INDEX(Beersheet!$A:$U,MATCH(BB846,INDEX(Beersheet!$A:$U,0,FFARawStatProjections!$BV$2),0),$BV$3)+$BN846,
INDEX($A846:$BM846,,$BV$12)*$BW$12+
INDEX($A846:$BM846,,$BV$15)*$BW$15+
INDEX($A846:$BM846,,$BV$16)*$BW$16+
INDEX($A846:$BM846,,$BV$17)*$BW$17+
INDEX($A846:$BM846,,$BV$18)*$BW$18+
INDEX($A846:$BM846,,$BV$19)*$BW$19+
INDEX($A846:$BM846,,$BV$20)*$BW$20+
INDEX($A846:$BM846,,$BV$21)*$BW$21+
INDEX($A846:$BM846,,$BV$22)*$BW$22+
INDEX($A846:$BM846,,$BV$23)*$BW$23+
INDEX($A846:$BM846,,$BV$25)*$BW$25+
INDEX($A846:$BM846,,$BV$26)*$BW$26+
INDEX($A846:$BM846,,$BV$27)*$BW$27+
$BN846)),
$BN846-100)</f>
        <v>-100</v>
      </c>
      <c r="BF846" t="str">
        <f t="shared" si="181"/>
        <v/>
      </c>
      <c r="BG846" t="str">
        <f t="shared" si="177"/>
        <v/>
      </c>
      <c r="BH846">
        <f t="shared" si="182"/>
        <v>0</v>
      </c>
      <c r="BJ846" t="str">
        <f t="shared" si="183"/>
        <v/>
      </c>
      <c r="BL846">
        <f t="shared" si="171"/>
        <v>0</v>
      </c>
      <c r="BN846">
        <v>8.4500000000000703E-3</v>
      </c>
    </row>
    <row r="847" spans="1:66" ht="15.75" thickBot="1" x14ac:dyDescent="0.3">
      <c r="A847" s="569"/>
      <c r="B847" s="569"/>
      <c r="C847" s="569"/>
      <c r="D847" s="569"/>
      <c r="E847" s="569"/>
      <c r="F847" s="569"/>
      <c r="G847" s="569"/>
      <c r="H847" s="569"/>
      <c r="I847" s="569"/>
      <c r="J847" s="569"/>
      <c r="K847" s="569"/>
      <c r="L847" s="569"/>
      <c r="M847" s="569"/>
      <c r="N847" s="569"/>
      <c r="O847" s="569"/>
      <c r="P847" s="569"/>
      <c r="Q847" s="569"/>
      <c r="R847" s="569"/>
      <c r="S847" s="569"/>
      <c r="T847" s="569"/>
      <c r="U847" s="569"/>
      <c r="V847" s="569"/>
      <c r="W847" s="569"/>
      <c r="X847" s="569"/>
      <c r="Y847" s="569"/>
      <c r="Z847" s="569"/>
      <c r="AA847" s="569"/>
      <c r="AB847" s="569"/>
      <c r="AC847" s="569"/>
      <c r="AD847" s="569"/>
      <c r="AE847" s="569"/>
      <c r="AF847" s="569"/>
      <c r="AG847" s="569"/>
      <c r="AH847" s="569"/>
      <c r="AI847" s="569"/>
      <c r="AJ847" s="569"/>
      <c r="AK847" s="569"/>
      <c r="AL847" s="569"/>
      <c r="AM847" s="569"/>
      <c r="AN847" s="569"/>
      <c r="AO847">
        <v>846</v>
      </c>
      <c r="AP847" t="str">
        <f t="shared" si="172"/>
        <v/>
      </c>
      <c r="AQ847" t="str">
        <f t="shared" si="173"/>
        <v/>
      </c>
      <c r="AR847" s="430">
        <f>IFERROR(
IF(AP847="",-100,
IF($BV$2&gt;0, INDEX(Beersheet!$A:$U,MATCH(AP847,INDEX(Beersheet!$A:$U,0,FFARawStatProjections!$BV$2),0),$BV$3)+$BN847,
INDEX($A847:$BM847,,$BV$12)*$BW$12+
INDEX($A847:$BM847,,$BV$15)*$BW$15+
INDEX($A847:$BM847,,$BV$16)*$BW$16+
INDEX($A847:$BM847,,$BV$17)*$BW$17+
INDEX($A847:$BM847,,$BV$18)*$BW$18+
INDEX($A847:$BM847,,$BV$19)*$BW$19+
INDEX($A847:$BM847,,$BV$20)*$BW$20+
INDEX($A847:$BM847,,$BV$21)*$BW$21+
INDEX($A847:$BM847,,$BV$22)*$BW$22+
INDEX($A847:$BM847,,$BV$23)*$BW$23+
INDEX($A847:$BM847,,$BV$25)*$BW$25+
INDEX($A847:$BM847,,$BV$26)*$BW$26+
INDEX($A847:$BM847,,$BV$27)*$BW$27+
$BN847)),
$BN847-100)</f>
        <v>-100</v>
      </c>
      <c r="AT847" t="str">
        <f t="shared" si="178"/>
        <v/>
      </c>
      <c r="AU847" t="str">
        <f t="shared" si="174"/>
        <v/>
      </c>
      <c r="AV847" s="430">
        <f>IFERROR(
IF(AT847="",-100,
IF($BV$2&gt;0, INDEX(Beersheet!$A:$U,MATCH(AT847,INDEX(Beersheet!$A:$U,0,FFARawStatProjections!$BV$2),0),$BV$3)+$BN847,
INDEX($A847:$BM847,,$BV$12)*$BW$12+
INDEX($A847:$BM847,,$BV$15)*$BW$15+
INDEX($A847:$BM847,,$BV$16)*$BW$16+
INDEX($A847:$BM847,,$BV$17)*$BW$17+
INDEX($A847:$BM847,,$BV$18)*$BW$18+
INDEX($A847:$BM847,,$BV$19)*$BW$19+
INDEX($A847:$BM847,,$BV$20)*$BW$20+
INDEX($A847:$BM847,,$BV$21)*$BW$21+
INDEX($A847:$BM847,,$BV$22)*$BW$22+
INDEX($A847:$BM847,,$BV$23)*$BW$23+
INDEX($A847:$BM847,,$BV$25)*$BW$25+
INDEX($A847:$BM847,,$BV$26)*$BW$26+
INDEX($A847:$BM847,,$BV$27)*$BW$27+
$BN847)),
$BN847-100)</f>
        <v>-100</v>
      </c>
      <c r="AX847" t="str">
        <f t="shared" si="179"/>
        <v/>
      </c>
      <c r="AY847" t="str">
        <f t="shared" si="175"/>
        <v/>
      </c>
      <c r="AZ847" s="430">
        <f>IFERROR(
IF(AX847="",-100,
IF($BV$2&gt;0, INDEX(Beersheet!$A:$U,MATCH(AX847,INDEX(Beersheet!$A:$U,0,FFARawStatProjections!$BV$2),0),$BV$3)+$BN847,
INDEX($A847:$BM847,,$BV$12)*$BW$12+
INDEX($A847:$BM847,,$BV$15)*$BW$15+
INDEX($A847:$BM847,,$BV$16)*$BW$16+
INDEX($A847:$BM847,,$BV$17)*$BW$17+
INDEX($A847:$BM847,,$BV$18)*$BW$18+
INDEX($A847:$BM847,,$BV$19)*$BW$19+
INDEX($A847:$BM847,,$BV$20)*$BW$20+
INDEX($A847:$BM847,,$BV$21)*$BW$21+
INDEX($A847:$BM847,,$BV$22)*$BW$22+
INDEX($A847:$BM847,,$BV$23)*$BW$23+
INDEX($A847:$BM847,,$BV$25)*$BW$25+
INDEX($A847:$BM847,,$BV$26)*$BW$26+
INDEX($A847:$BM847,,$BV$27)*$BW$27+
$BN847)),
$BN847-100)</f>
        <v>-100</v>
      </c>
      <c r="BB847" t="str">
        <f t="shared" si="180"/>
        <v/>
      </c>
      <c r="BC847" t="str">
        <f t="shared" si="176"/>
        <v/>
      </c>
      <c r="BD847" s="430">
        <f>IFERROR(
IF(BB847="",-100,
IF($BV$2&gt;0, INDEX(Beersheet!$A:$U,MATCH(BB847,INDEX(Beersheet!$A:$U,0,FFARawStatProjections!$BV$2),0),$BV$3)+$BN847,
INDEX($A847:$BM847,,$BV$12)*$BW$12+
INDEX($A847:$BM847,,$BV$15)*$BW$15+
INDEX($A847:$BM847,,$BV$16)*$BW$16+
INDEX($A847:$BM847,,$BV$17)*$BW$17+
INDEX($A847:$BM847,,$BV$18)*$BW$18+
INDEX($A847:$BM847,,$BV$19)*$BW$19+
INDEX($A847:$BM847,,$BV$20)*$BW$20+
INDEX($A847:$BM847,,$BV$21)*$BW$21+
INDEX($A847:$BM847,,$BV$22)*$BW$22+
INDEX($A847:$BM847,,$BV$23)*$BW$23+
INDEX($A847:$BM847,,$BV$25)*$BW$25+
INDEX($A847:$BM847,,$BV$26)*$BW$26+
INDEX($A847:$BM847,,$BV$27)*$BW$27+
$BN847)),
$BN847-100)</f>
        <v>-100</v>
      </c>
      <c r="BF847" t="str">
        <f t="shared" si="181"/>
        <v/>
      </c>
      <c r="BG847" t="str">
        <f t="shared" si="177"/>
        <v/>
      </c>
      <c r="BH847">
        <f t="shared" si="182"/>
        <v>0</v>
      </c>
      <c r="BJ847" t="str">
        <f t="shared" si="183"/>
        <v/>
      </c>
      <c r="BL847">
        <f t="shared" si="171"/>
        <v>0</v>
      </c>
      <c r="BN847">
        <v>8.4600000000000699E-3</v>
      </c>
    </row>
    <row r="848" spans="1:66" ht="15.75" thickBot="1" x14ac:dyDescent="0.3">
      <c r="A848" s="569"/>
      <c r="B848" s="569"/>
      <c r="C848" s="569"/>
      <c r="D848" s="569"/>
      <c r="E848" s="569"/>
      <c r="F848" s="569"/>
      <c r="G848" s="569"/>
      <c r="H848" s="569"/>
      <c r="I848" s="569"/>
      <c r="J848" s="569"/>
      <c r="K848" s="569"/>
      <c r="L848" s="569"/>
      <c r="M848" s="569"/>
      <c r="N848" s="569"/>
      <c r="O848" s="569"/>
      <c r="P848" s="569"/>
      <c r="Q848" s="569"/>
      <c r="R848" s="569"/>
      <c r="S848" s="569"/>
      <c r="T848" s="569"/>
      <c r="U848" s="569"/>
      <c r="V848" s="569"/>
      <c r="W848" s="569"/>
      <c r="X848" s="569"/>
      <c r="Y848" s="569"/>
      <c r="Z848" s="569"/>
      <c r="AA848" s="569"/>
      <c r="AB848" s="569"/>
      <c r="AC848" s="569"/>
      <c r="AD848" s="569"/>
      <c r="AE848" s="569"/>
      <c r="AF848" s="569"/>
      <c r="AG848" s="569"/>
      <c r="AH848" s="569"/>
      <c r="AI848" s="569"/>
      <c r="AJ848" s="569"/>
      <c r="AK848" s="569"/>
      <c r="AL848" s="569"/>
      <c r="AM848" s="569"/>
      <c r="AN848" s="569"/>
      <c r="AO848">
        <v>847</v>
      </c>
      <c r="AP848" t="str">
        <f t="shared" si="172"/>
        <v/>
      </c>
      <c r="AQ848" t="str">
        <f t="shared" si="173"/>
        <v/>
      </c>
      <c r="AR848" s="430">
        <f>IFERROR(
IF(AP848="",-100,
IF($BV$2&gt;0, INDEX(Beersheet!$A:$U,MATCH(AP848,INDEX(Beersheet!$A:$U,0,FFARawStatProjections!$BV$2),0),$BV$3)+$BN848,
INDEX($A848:$BM848,,$BV$12)*$BW$12+
INDEX($A848:$BM848,,$BV$15)*$BW$15+
INDEX($A848:$BM848,,$BV$16)*$BW$16+
INDEX($A848:$BM848,,$BV$17)*$BW$17+
INDEX($A848:$BM848,,$BV$18)*$BW$18+
INDEX($A848:$BM848,,$BV$19)*$BW$19+
INDEX($A848:$BM848,,$BV$20)*$BW$20+
INDEX($A848:$BM848,,$BV$21)*$BW$21+
INDEX($A848:$BM848,,$BV$22)*$BW$22+
INDEX($A848:$BM848,,$BV$23)*$BW$23+
INDEX($A848:$BM848,,$BV$25)*$BW$25+
INDEX($A848:$BM848,,$BV$26)*$BW$26+
INDEX($A848:$BM848,,$BV$27)*$BW$27+
$BN848)),
$BN848-100)</f>
        <v>-100</v>
      </c>
      <c r="AT848" t="str">
        <f t="shared" si="178"/>
        <v/>
      </c>
      <c r="AU848" t="str">
        <f t="shared" si="174"/>
        <v/>
      </c>
      <c r="AV848" s="430">
        <f>IFERROR(
IF(AT848="",-100,
IF($BV$2&gt;0, INDEX(Beersheet!$A:$U,MATCH(AT848,INDEX(Beersheet!$A:$U,0,FFARawStatProjections!$BV$2),0),$BV$3)+$BN848,
INDEX($A848:$BM848,,$BV$12)*$BW$12+
INDEX($A848:$BM848,,$BV$15)*$BW$15+
INDEX($A848:$BM848,,$BV$16)*$BW$16+
INDEX($A848:$BM848,,$BV$17)*$BW$17+
INDEX($A848:$BM848,,$BV$18)*$BW$18+
INDEX($A848:$BM848,,$BV$19)*$BW$19+
INDEX($A848:$BM848,,$BV$20)*$BW$20+
INDEX($A848:$BM848,,$BV$21)*$BW$21+
INDEX($A848:$BM848,,$BV$22)*$BW$22+
INDEX($A848:$BM848,,$BV$23)*$BW$23+
INDEX($A848:$BM848,,$BV$25)*$BW$25+
INDEX($A848:$BM848,,$BV$26)*$BW$26+
INDEX($A848:$BM848,,$BV$27)*$BW$27+
$BN848)),
$BN848-100)</f>
        <v>-100</v>
      </c>
      <c r="AX848" t="str">
        <f t="shared" si="179"/>
        <v/>
      </c>
      <c r="AY848" t="str">
        <f t="shared" si="175"/>
        <v/>
      </c>
      <c r="AZ848" s="430">
        <f>IFERROR(
IF(AX848="",-100,
IF($BV$2&gt;0, INDEX(Beersheet!$A:$U,MATCH(AX848,INDEX(Beersheet!$A:$U,0,FFARawStatProjections!$BV$2),0),$BV$3)+$BN848,
INDEX($A848:$BM848,,$BV$12)*$BW$12+
INDEX($A848:$BM848,,$BV$15)*$BW$15+
INDEX($A848:$BM848,,$BV$16)*$BW$16+
INDEX($A848:$BM848,,$BV$17)*$BW$17+
INDEX($A848:$BM848,,$BV$18)*$BW$18+
INDEX($A848:$BM848,,$BV$19)*$BW$19+
INDEX($A848:$BM848,,$BV$20)*$BW$20+
INDEX($A848:$BM848,,$BV$21)*$BW$21+
INDEX($A848:$BM848,,$BV$22)*$BW$22+
INDEX($A848:$BM848,,$BV$23)*$BW$23+
INDEX($A848:$BM848,,$BV$25)*$BW$25+
INDEX($A848:$BM848,,$BV$26)*$BW$26+
INDEX($A848:$BM848,,$BV$27)*$BW$27+
$BN848)),
$BN848-100)</f>
        <v>-100</v>
      </c>
      <c r="BB848" t="str">
        <f t="shared" si="180"/>
        <v/>
      </c>
      <c r="BC848" t="str">
        <f t="shared" si="176"/>
        <v/>
      </c>
      <c r="BD848" s="430">
        <f>IFERROR(
IF(BB848="",-100,
IF($BV$2&gt;0, INDEX(Beersheet!$A:$U,MATCH(BB848,INDEX(Beersheet!$A:$U,0,FFARawStatProjections!$BV$2),0),$BV$3)+$BN848,
INDEX($A848:$BM848,,$BV$12)*$BW$12+
INDEX($A848:$BM848,,$BV$15)*$BW$15+
INDEX($A848:$BM848,,$BV$16)*$BW$16+
INDEX($A848:$BM848,,$BV$17)*$BW$17+
INDEX($A848:$BM848,,$BV$18)*$BW$18+
INDEX($A848:$BM848,,$BV$19)*$BW$19+
INDEX($A848:$BM848,,$BV$20)*$BW$20+
INDEX($A848:$BM848,,$BV$21)*$BW$21+
INDEX($A848:$BM848,,$BV$22)*$BW$22+
INDEX($A848:$BM848,,$BV$23)*$BW$23+
INDEX($A848:$BM848,,$BV$25)*$BW$25+
INDEX($A848:$BM848,,$BV$26)*$BW$26+
INDEX($A848:$BM848,,$BV$27)*$BW$27+
$BN848)),
$BN848-100)</f>
        <v>-100</v>
      </c>
      <c r="BF848" t="str">
        <f t="shared" si="181"/>
        <v/>
      </c>
      <c r="BG848" t="str">
        <f t="shared" si="177"/>
        <v/>
      </c>
      <c r="BH848">
        <f t="shared" si="182"/>
        <v>0</v>
      </c>
      <c r="BJ848" t="str">
        <f t="shared" si="183"/>
        <v/>
      </c>
      <c r="BL848">
        <f t="shared" si="171"/>
        <v>0</v>
      </c>
      <c r="BN848">
        <v>8.4700000000000695E-3</v>
      </c>
    </row>
    <row r="849" spans="1:66" ht="15.75" thickBot="1" x14ac:dyDescent="0.3">
      <c r="A849" s="569"/>
      <c r="B849" s="569"/>
      <c r="C849" s="569"/>
      <c r="D849" s="569"/>
      <c r="E849" s="569"/>
      <c r="F849" s="569"/>
      <c r="G849" s="569"/>
      <c r="H849" s="569"/>
      <c r="I849" s="569"/>
      <c r="J849" s="569"/>
      <c r="K849" s="569"/>
      <c r="L849" s="569"/>
      <c r="M849" s="569"/>
      <c r="N849" s="569"/>
      <c r="O849" s="569"/>
      <c r="P849" s="569"/>
      <c r="Q849" s="569"/>
      <c r="R849" s="569"/>
      <c r="S849" s="569"/>
      <c r="T849" s="569"/>
      <c r="U849" s="569"/>
      <c r="V849" s="569"/>
      <c r="W849" s="569"/>
      <c r="X849" s="569"/>
      <c r="Y849" s="569"/>
      <c r="Z849" s="569"/>
      <c r="AA849" s="569"/>
      <c r="AB849" s="569"/>
      <c r="AC849" s="569"/>
      <c r="AD849" s="569"/>
      <c r="AE849" s="569"/>
      <c r="AF849" s="569"/>
      <c r="AG849" s="569"/>
      <c r="AH849" s="569"/>
      <c r="AI849" s="569"/>
      <c r="AJ849" s="569"/>
      <c r="AK849" s="569"/>
      <c r="AL849" s="569"/>
      <c r="AM849" s="569"/>
      <c r="AN849" s="569"/>
      <c r="AO849">
        <v>848</v>
      </c>
      <c r="AP849" t="str">
        <f t="shared" si="172"/>
        <v/>
      </c>
      <c r="AQ849" t="str">
        <f t="shared" si="173"/>
        <v/>
      </c>
      <c r="AR849" s="430">
        <f>IFERROR(
IF(AP849="",-100,
IF($BV$2&gt;0, INDEX(Beersheet!$A:$U,MATCH(AP849,INDEX(Beersheet!$A:$U,0,FFARawStatProjections!$BV$2),0),$BV$3)+$BN849,
INDEX($A849:$BM849,,$BV$12)*$BW$12+
INDEX($A849:$BM849,,$BV$15)*$BW$15+
INDEX($A849:$BM849,,$BV$16)*$BW$16+
INDEX($A849:$BM849,,$BV$17)*$BW$17+
INDEX($A849:$BM849,,$BV$18)*$BW$18+
INDEX($A849:$BM849,,$BV$19)*$BW$19+
INDEX($A849:$BM849,,$BV$20)*$BW$20+
INDEX($A849:$BM849,,$BV$21)*$BW$21+
INDEX($A849:$BM849,,$BV$22)*$BW$22+
INDEX($A849:$BM849,,$BV$23)*$BW$23+
INDEX($A849:$BM849,,$BV$25)*$BW$25+
INDEX($A849:$BM849,,$BV$26)*$BW$26+
INDEX($A849:$BM849,,$BV$27)*$BW$27+
$BN849)),
$BN849-100)</f>
        <v>-100</v>
      </c>
      <c r="AT849" t="str">
        <f t="shared" si="178"/>
        <v/>
      </c>
      <c r="AU849" t="str">
        <f t="shared" si="174"/>
        <v/>
      </c>
      <c r="AV849" s="430">
        <f>IFERROR(
IF(AT849="",-100,
IF($BV$2&gt;0, INDEX(Beersheet!$A:$U,MATCH(AT849,INDEX(Beersheet!$A:$U,0,FFARawStatProjections!$BV$2),0),$BV$3)+$BN849,
INDEX($A849:$BM849,,$BV$12)*$BW$12+
INDEX($A849:$BM849,,$BV$15)*$BW$15+
INDEX($A849:$BM849,,$BV$16)*$BW$16+
INDEX($A849:$BM849,,$BV$17)*$BW$17+
INDEX($A849:$BM849,,$BV$18)*$BW$18+
INDEX($A849:$BM849,,$BV$19)*$BW$19+
INDEX($A849:$BM849,,$BV$20)*$BW$20+
INDEX($A849:$BM849,,$BV$21)*$BW$21+
INDEX($A849:$BM849,,$BV$22)*$BW$22+
INDEX($A849:$BM849,,$BV$23)*$BW$23+
INDEX($A849:$BM849,,$BV$25)*$BW$25+
INDEX($A849:$BM849,,$BV$26)*$BW$26+
INDEX($A849:$BM849,,$BV$27)*$BW$27+
$BN849)),
$BN849-100)</f>
        <v>-100</v>
      </c>
      <c r="AX849" t="str">
        <f t="shared" si="179"/>
        <v/>
      </c>
      <c r="AY849" t="str">
        <f t="shared" si="175"/>
        <v/>
      </c>
      <c r="AZ849" s="430">
        <f>IFERROR(
IF(AX849="",-100,
IF($BV$2&gt;0, INDEX(Beersheet!$A:$U,MATCH(AX849,INDEX(Beersheet!$A:$U,0,FFARawStatProjections!$BV$2),0),$BV$3)+$BN849,
INDEX($A849:$BM849,,$BV$12)*$BW$12+
INDEX($A849:$BM849,,$BV$15)*$BW$15+
INDEX($A849:$BM849,,$BV$16)*$BW$16+
INDEX($A849:$BM849,,$BV$17)*$BW$17+
INDEX($A849:$BM849,,$BV$18)*$BW$18+
INDEX($A849:$BM849,,$BV$19)*$BW$19+
INDEX($A849:$BM849,,$BV$20)*$BW$20+
INDEX($A849:$BM849,,$BV$21)*$BW$21+
INDEX($A849:$BM849,,$BV$22)*$BW$22+
INDEX($A849:$BM849,,$BV$23)*$BW$23+
INDEX($A849:$BM849,,$BV$25)*$BW$25+
INDEX($A849:$BM849,,$BV$26)*$BW$26+
INDEX($A849:$BM849,,$BV$27)*$BW$27+
$BN849)),
$BN849-100)</f>
        <v>-100</v>
      </c>
      <c r="BB849" t="str">
        <f t="shared" si="180"/>
        <v/>
      </c>
      <c r="BC849" t="str">
        <f t="shared" si="176"/>
        <v/>
      </c>
      <c r="BD849" s="430">
        <f>IFERROR(
IF(BB849="",-100,
IF($BV$2&gt;0, INDEX(Beersheet!$A:$U,MATCH(BB849,INDEX(Beersheet!$A:$U,0,FFARawStatProjections!$BV$2),0),$BV$3)+$BN849,
INDEX($A849:$BM849,,$BV$12)*$BW$12+
INDEX($A849:$BM849,,$BV$15)*$BW$15+
INDEX($A849:$BM849,,$BV$16)*$BW$16+
INDEX($A849:$BM849,,$BV$17)*$BW$17+
INDEX($A849:$BM849,,$BV$18)*$BW$18+
INDEX($A849:$BM849,,$BV$19)*$BW$19+
INDEX($A849:$BM849,,$BV$20)*$BW$20+
INDEX($A849:$BM849,,$BV$21)*$BW$21+
INDEX($A849:$BM849,,$BV$22)*$BW$22+
INDEX($A849:$BM849,,$BV$23)*$BW$23+
INDEX($A849:$BM849,,$BV$25)*$BW$25+
INDEX($A849:$BM849,,$BV$26)*$BW$26+
INDEX($A849:$BM849,,$BV$27)*$BW$27+
$BN849)),
$BN849-100)</f>
        <v>-100</v>
      </c>
      <c r="BF849" t="str">
        <f t="shared" si="181"/>
        <v/>
      </c>
      <c r="BG849" t="str">
        <f t="shared" si="177"/>
        <v/>
      </c>
      <c r="BH849">
        <f t="shared" si="182"/>
        <v>0</v>
      </c>
      <c r="BJ849" t="str">
        <f t="shared" si="183"/>
        <v/>
      </c>
      <c r="BL849">
        <f t="shared" si="171"/>
        <v>0</v>
      </c>
      <c r="BN849">
        <v>8.4800000000000708E-3</v>
      </c>
    </row>
    <row r="850" spans="1:66" ht="15.75" thickBot="1" x14ac:dyDescent="0.3">
      <c r="A850" s="569"/>
      <c r="B850" s="569"/>
      <c r="C850" s="569"/>
      <c r="D850" s="569"/>
      <c r="E850" s="569"/>
      <c r="F850" s="569"/>
      <c r="G850" s="569"/>
      <c r="H850" s="569"/>
      <c r="I850" s="569"/>
      <c r="J850" s="569"/>
      <c r="K850" s="569"/>
      <c r="L850" s="569"/>
      <c r="M850" s="569"/>
      <c r="N850" s="569"/>
      <c r="O850" s="569"/>
      <c r="P850" s="569"/>
      <c r="Q850" s="569"/>
      <c r="R850" s="569"/>
      <c r="S850" s="569"/>
      <c r="T850" s="569"/>
      <c r="U850" s="569"/>
      <c r="V850" s="569"/>
      <c r="W850" s="569"/>
      <c r="X850" s="569"/>
      <c r="Y850" s="569"/>
      <c r="Z850" s="569"/>
      <c r="AA850" s="569"/>
      <c r="AB850" s="569"/>
      <c r="AC850" s="569"/>
      <c r="AD850" s="569"/>
      <c r="AE850" s="569"/>
      <c r="AF850" s="569"/>
      <c r="AG850" s="569"/>
      <c r="AH850" s="569"/>
      <c r="AI850" s="569"/>
      <c r="AJ850" s="569"/>
      <c r="AK850" s="569"/>
      <c r="AL850" s="569"/>
      <c r="AM850" s="569"/>
      <c r="AN850" s="569"/>
      <c r="AO850">
        <v>849</v>
      </c>
      <c r="AP850" t="str">
        <f t="shared" si="172"/>
        <v/>
      </c>
      <c r="AQ850" t="str">
        <f t="shared" si="173"/>
        <v/>
      </c>
      <c r="AR850" s="430">
        <f>IFERROR(
IF(AP850="",-100,
IF($BV$2&gt;0, INDEX(Beersheet!$A:$U,MATCH(AP850,INDEX(Beersheet!$A:$U,0,FFARawStatProjections!$BV$2),0),$BV$3)+$BN850,
INDEX($A850:$BM850,,$BV$12)*$BW$12+
INDEX($A850:$BM850,,$BV$15)*$BW$15+
INDEX($A850:$BM850,,$BV$16)*$BW$16+
INDEX($A850:$BM850,,$BV$17)*$BW$17+
INDEX($A850:$BM850,,$BV$18)*$BW$18+
INDEX($A850:$BM850,,$BV$19)*$BW$19+
INDEX($A850:$BM850,,$BV$20)*$BW$20+
INDEX($A850:$BM850,,$BV$21)*$BW$21+
INDEX($A850:$BM850,,$BV$22)*$BW$22+
INDEX($A850:$BM850,,$BV$23)*$BW$23+
INDEX($A850:$BM850,,$BV$25)*$BW$25+
INDEX($A850:$BM850,,$BV$26)*$BW$26+
INDEX($A850:$BM850,,$BV$27)*$BW$27+
$BN850)),
$BN850-100)</f>
        <v>-100</v>
      </c>
      <c r="AT850" t="str">
        <f t="shared" si="178"/>
        <v/>
      </c>
      <c r="AU850" t="str">
        <f t="shared" si="174"/>
        <v/>
      </c>
      <c r="AV850" s="430">
        <f>IFERROR(
IF(AT850="",-100,
IF($BV$2&gt;0, INDEX(Beersheet!$A:$U,MATCH(AT850,INDEX(Beersheet!$A:$U,0,FFARawStatProjections!$BV$2),0),$BV$3)+$BN850,
INDEX($A850:$BM850,,$BV$12)*$BW$12+
INDEX($A850:$BM850,,$BV$15)*$BW$15+
INDEX($A850:$BM850,,$BV$16)*$BW$16+
INDEX($A850:$BM850,,$BV$17)*$BW$17+
INDEX($A850:$BM850,,$BV$18)*$BW$18+
INDEX($A850:$BM850,,$BV$19)*$BW$19+
INDEX($A850:$BM850,,$BV$20)*$BW$20+
INDEX($A850:$BM850,,$BV$21)*$BW$21+
INDEX($A850:$BM850,,$BV$22)*$BW$22+
INDEX($A850:$BM850,,$BV$23)*$BW$23+
INDEX($A850:$BM850,,$BV$25)*$BW$25+
INDEX($A850:$BM850,,$BV$26)*$BW$26+
INDEX($A850:$BM850,,$BV$27)*$BW$27+
$BN850)),
$BN850-100)</f>
        <v>-100</v>
      </c>
      <c r="AX850" t="str">
        <f t="shared" si="179"/>
        <v/>
      </c>
      <c r="AY850" t="str">
        <f t="shared" si="175"/>
        <v/>
      </c>
      <c r="AZ850" s="430">
        <f>IFERROR(
IF(AX850="",-100,
IF($BV$2&gt;0, INDEX(Beersheet!$A:$U,MATCH(AX850,INDEX(Beersheet!$A:$U,0,FFARawStatProjections!$BV$2),0),$BV$3)+$BN850,
INDEX($A850:$BM850,,$BV$12)*$BW$12+
INDEX($A850:$BM850,,$BV$15)*$BW$15+
INDEX($A850:$BM850,,$BV$16)*$BW$16+
INDEX($A850:$BM850,,$BV$17)*$BW$17+
INDEX($A850:$BM850,,$BV$18)*$BW$18+
INDEX($A850:$BM850,,$BV$19)*$BW$19+
INDEX($A850:$BM850,,$BV$20)*$BW$20+
INDEX($A850:$BM850,,$BV$21)*$BW$21+
INDEX($A850:$BM850,,$BV$22)*$BW$22+
INDEX($A850:$BM850,,$BV$23)*$BW$23+
INDEX($A850:$BM850,,$BV$25)*$BW$25+
INDEX($A850:$BM850,,$BV$26)*$BW$26+
INDEX($A850:$BM850,,$BV$27)*$BW$27+
$BN850)),
$BN850-100)</f>
        <v>-100</v>
      </c>
      <c r="BB850" t="str">
        <f t="shared" si="180"/>
        <v/>
      </c>
      <c r="BC850" t="str">
        <f t="shared" si="176"/>
        <v/>
      </c>
      <c r="BD850" s="430">
        <f>IFERROR(
IF(BB850="",-100,
IF($BV$2&gt;0, INDEX(Beersheet!$A:$U,MATCH(BB850,INDEX(Beersheet!$A:$U,0,FFARawStatProjections!$BV$2),0),$BV$3)+$BN850,
INDEX($A850:$BM850,,$BV$12)*$BW$12+
INDEX($A850:$BM850,,$BV$15)*$BW$15+
INDEX($A850:$BM850,,$BV$16)*$BW$16+
INDEX($A850:$BM850,,$BV$17)*$BW$17+
INDEX($A850:$BM850,,$BV$18)*$BW$18+
INDEX($A850:$BM850,,$BV$19)*$BW$19+
INDEX($A850:$BM850,,$BV$20)*$BW$20+
INDEX($A850:$BM850,,$BV$21)*$BW$21+
INDEX($A850:$BM850,,$BV$22)*$BW$22+
INDEX($A850:$BM850,,$BV$23)*$BW$23+
INDEX($A850:$BM850,,$BV$25)*$BW$25+
INDEX($A850:$BM850,,$BV$26)*$BW$26+
INDEX($A850:$BM850,,$BV$27)*$BW$27+
$BN850)),
$BN850-100)</f>
        <v>-100</v>
      </c>
      <c r="BF850" t="str">
        <f t="shared" si="181"/>
        <v/>
      </c>
      <c r="BG850" t="str">
        <f t="shared" si="177"/>
        <v/>
      </c>
      <c r="BH850">
        <f t="shared" si="182"/>
        <v>0</v>
      </c>
      <c r="BJ850" t="str">
        <f t="shared" si="183"/>
        <v/>
      </c>
      <c r="BL850">
        <f t="shared" si="171"/>
        <v>0</v>
      </c>
      <c r="BN850">
        <v>8.4900000000000704E-3</v>
      </c>
    </row>
    <row r="851" spans="1:66" ht="15.75" thickBot="1" x14ac:dyDescent="0.3">
      <c r="A851" s="569"/>
      <c r="B851" s="569"/>
      <c r="C851" s="569"/>
      <c r="D851" s="569"/>
      <c r="E851" s="569"/>
      <c r="F851" s="569"/>
      <c r="G851" s="569"/>
      <c r="H851" s="569"/>
      <c r="I851" s="569"/>
      <c r="J851" s="569"/>
      <c r="K851" s="569"/>
      <c r="L851" s="569"/>
      <c r="M851" s="569"/>
      <c r="N851" s="569"/>
      <c r="O851" s="569"/>
      <c r="P851" s="569"/>
      <c r="Q851" s="569"/>
      <c r="R851" s="569"/>
      <c r="S851" s="569"/>
      <c r="T851" s="569"/>
      <c r="U851" s="569"/>
      <c r="V851" s="569"/>
      <c r="W851" s="569"/>
      <c r="X851" s="569"/>
      <c r="Y851" s="569"/>
      <c r="Z851" s="569"/>
      <c r="AA851" s="569"/>
      <c r="AB851" s="569"/>
      <c r="AC851" s="569"/>
      <c r="AD851" s="569"/>
      <c r="AE851" s="569"/>
      <c r="AF851" s="569"/>
      <c r="AG851" s="569"/>
      <c r="AH851" s="569"/>
      <c r="AI851" s="569"/>
      <c r="AJ851" s="569"/>
      <c r="AK851" s="569"/>
      <c r="AL851" s="569"/>
      <c r="AM851" s="569"/>
      <c r="AN851" s="569"/>
      <c r="AP851" t="str">
        <f t="shared" ref="AP851:AP868" si="184">IF($C851="QB",A851,"")</f>
        <v/>
      </c>
      <c r="AQ851" t="str">
        <f t="shared" ref="AQ851:AQ868" si="185">IFERROR(IF(AP851="","",$B851),"")</f>
        <v/>
      </c>
      <c r="AR851" s="430">
        <f>IFERROR(
IF(AP851="",-100,
IF($BV$2&gt;0, INDEX(Beersheet!$A:$U,MATCH(AP851,INDEX(Beersheet!$A:$U,0,FFARawStatProjections!$BV$2),0),$BV$3)+$BN851,
INDEX($A851:$BM851,,$BV$12)*$BW$12+
INDEX($A851:$BM851,,$BV$15)*$BW$15+
INDEX($A851:$BM851,,$BV$16)*$BW$16+
INDEX($A851:$BM851,,$BV$17)*$BW$17+
INDEX($A851:$BM851,,$BV$18)*$BW$18+
INDEX($A851:$BM851,,$BV$19)*$BW$19+
INDEX($A851:$BM851,,$BV$20)*$BW$20+
INDEX($A851:$BM851,,$BV$21)*$BW$21+
INDEX($A851:$BM851,,$BV$22)*$BW$22+
INDEX($A851:$BM851,,$BV$23)*$BW$23+
INDEX($A851:$BM851,,$BV$25)*$BW$25+
INDEX($A851:$BM851,,$BV$26)*$BW$26+
INDEX($A851:$BM851,,$BV$27)*$BW$27+
$BN851)),
$BN851-100)</f>
        <v>-100</v>
      </c>
      <c r="AT851" t="str">
        <f t="shared" si="178"/>
        <v/>
      </c>
      <c r="AU851" t="str">
        <f t="shared" ref="AU851:AU868" si="186">IFERROR(IF(AT851="","",$B851),"")</f>
        <v/>
      </c>
      <c r="AV851" s="430">
        <f>IFERROR(
IF(AT851="",-100,
IF($BV$2&gt;0, INDEX(Beersheet!$A:$U,MATCH(AT851,INDEX(Beersheet!$A:$U,0,FFARawStatProjections!$BV$2),0),$BV$3)+$BN851,
INDEX($A851:$BM851,,$BV$12)*$BW$12+
INDEX($A851:$BM851,,$BV$15)*$BW$15+
INDEX($A851:$BM851,,$BV$16)*$BW$16+
INDEX($A851:$BM851,,$BV$17)*$BW$17+
INDEX($A851:$BM851,,$BV$18)*$BW$18+
INDEX($A851:$BM851,,$BV$19)*$BW$19+
INDEX($A851:$BM851,,$BV$20)*$BW$20+
INDEX($A851:$BM851,,$BV$21)*$BW$21+
INDEX($A851:$BM851,,$BV$22)*$BW$22+
INDEX($A851:$BM851,,$BV$23)*$BW$23+
INDEX($A851:$BM851,,$BV$25)*$BW$25+
INDEX($A851:$BM851,,$BV$26)*$BW$26+
INDEX($A851:$BM851,,$BV$27)*$BW$27+
$BN851)),
$BN851-100)</f>
        <v>-100</v>
      </c>
      <c r="AX851" t="str">
        <f t="shared" si="179"/>
        <v/>
      </c>
      <c r="AY851" t="str">
        <f t="shared" ref="AY851:AY868" si="187">IFERROR(IF(AX851="","",$B851),"")</f>
        <v/>
      </c>
      <c r="AZ851" s="430">
        <f>IFERROR(
IF(AX851="",-100,
IF($BV$2&gt;0, INDEX(Beersheet!$A:$U,MATCH(AX851,INDEX(Beersheet!$A:$U,0,FFARawStatProjections!$BV$2),0),$BV$3)+$BN851,
INDEX($A851:$BM851,,$BV$12)*$BW$12+
INDEX($A851:$BM851,,$BV$15)*$BW$15+
INDEX($A851:$BM851,,$BV$16)*$BW$16+
INDEX($A851:$BM851,,$BV$17)*$BW$17+
INDEX($A851:$BM851,,$BV$18)*$BW$18+
INDEX($A851:$BM851,,$BV$19)*$BW$19+
INDEX($A851:$BM851,,$BV$20)*$BW$20+
INDEX($A851:$BM851,,$BV$21)*$BW$21+
INDEX($A851:$BM851,,$BV$22)*$BW$22+
INDEX($A851:$BM851,,$BV$23)*$BW$23+
INDEX($A851:$BM851,,$BV$25)*$BW$25+
INDEX($A851:$BM851,,$BV$26)*$BW$26+
INDEX($A851:$BM851,,$BV$27)*$BW$27+
$BN851)),
$BN851-100)</f>
        <v>-100</v>
      </c>
      <c r="BB851" t="str">
        <f t="shared" si="180"/>
        <v/>
      </c>
      <c r="BC851" t="str">
        <f t="shared" ref="BC851:BC868" si="188">IFERROR(IF(BB851="","",$B851),"")</f>
        <v/>
      </c>
      <c r="BD851" s="430">
        <f>IFERROR(
IF(BB851="",-100,
IF($BV$2&gt;0, INDEX(Beersheet!$A:$U,MATCH(BB851,INDEX(Beersheet!$A:$U,0,FFARawStatProjections!$BV$2),0),$BV$3)+$BN851,
INDEX($A851:$BM851,,$BV$12)*$BW$12+
INDEX($A851:$BM851,,$BV$15)*$BW$15+
INDEX($A851:$BM851,,$BV$16)*$BW$16+
INDEX($A851:$BM851,,$BV$17)*$BW$17+
INDEX($A851:$BM851,,$BV$18)*$BW$18+
INDEX($A851:$BM851,,$BV$19)*$BW$19+
INDEX($A851:$BM851,,$BV$20)*$BW$20+
INDEX($A851:$BM851,,$BV$21)*$BW$21+
INDEX($A851:$BM851,,$BV$22)*$BW$22+
INDEX($A851:$BM851,,$BV$23)*$BW$23+
INDEX($A851:$BM851,,$BV$25)*$BW$25+
INDEX($A851:$BM851,,$BV$26)*$BW$26+
INDEX($A851:$BM851,,$BV$27)*$BW$27+
$BN851)),
$BN851-100)</f>
        <v>-100</v>
      </c>
      <c r="BF851" t="str">
        <f t="shared" si="181"/>
        <v/>
      </c>
      <c r="BG851" t="str">
        <f t="shared" ref="BG851:BG868" si="189">IFERROR(IF(BF851="","",$B851),"")</f>
        <v/>
      </c>
      <c r="BH851">
        <f t="shared" si="182"/>
        <v>0</v>
      </c>
      <c r="BJ851" t="str">
        <f t="shared" si="183"/>
        <v/>
      </c>
      <c r="BL851">
        <f t="shared" si="171"/>
        <v>0</v>
      </c>
      <c r="BN851">
        <v>8.50000000000007E-3</v>
      </c>
    </row>
    <row r="852" spans="1:66" ht="15.75" thickBot="1" x14ac:dyDescent="0.3">
      <c r="A852" s="569"/>
      <c r="B852" s="569"/>
      <c r="C852" s="569"/>
      <c r="D852" s="569"/>
      <c r="E852" s="569"/>
      <c r="F852" s="569"/>
      <c r="G852" s="569"/>
      <c r="H852" s="569"/>
      <c r="I852" s="569"/>
      <c r="J852" s="569"/>
      <c r="K852" s="569"/>
      <c r="L852" s="569"/>
      <c r="M852" s="569"/>
      <c r="N852" s="569"/>
      <c r="O852" s="569"/>
      <c r="P852" s="569"/>
      <c r="Q852" s="569"/>
      <c r="R852" s="569"/>
      <c r="S852" s="569"/>
      <c r="T852" s="569"/>
      <c r="U852" s="569"/>
      <c r="V852" s="569"/>
      <c r="W852" s="569"/>
      <c r="X852" s="569"/>
      <c r="Y852" s="569"/>
      <c r="Z852" s="569"/>
      <c r="AA852" s="569"/>
      <c r="AB852" s="569"/>
      <c r="AC852" s="569"/>
      <c r="AD852" s="569"/>
      <c r="AE852" s="569"/>
      <c r="AF852" s="569"/>
      <c r="AG852" s="569"/>
      <c r="AH852" s="569"/>
      <c r="AI852" s="569"/>
      <c r="AJ852" s="569"/>
      <c r="AK852" s="569"/>
      <c r="AL852" s="569"/>
      <c r="AM852" s="569"/>
      <c r="AN852" s="569"/>
      <c r="AP852" t="str">
        <f t="shared" si="184"/>
        <v/>
      </c>
      <c r="AQ852" t="str">
        <f t="shared" si="185"/>
        <v/>
      </c>
      <c r="AR852" s="430">
        <f>IFERROR(
IF(AP852="",-100,
IF($BV$2&gt;0, INDEX(Beersheet!$A:$U,MATCH(AP852,INDEX(Beersheet!$A:$U,0,FFARawStatProjections!$BV$2),0),$BV$3)+$BN852,
INDEX($A852:$BM852,,$BV$12)*$BW$12+
INDEX($A852:$BM852,,$BV$15)*$BW$15+
INDEX($A852:$BM852,,$BV$16)*$BW$16+
INDEX($A852:$BM852,,$BV$17)*$BW$17+
INDEX($A852:$BM852,,$BV$18)*$BW$18+
INDEX($A852:$BM852,,$BV$19)*$BW$19+
INDEX($A852:$BM852,,$BV$20)*$BW$20+
INDEX($A852:$BM852,,$BV$21)*$BW$21+
INDEX($A852:$BM852,,$BV$22)*$BW$22+
INDEX($A852:$BM852,,$BV$23)*$BW$23+
INDEX($A852:$BM852,,$BV$25)*$BW$25+
INDEX($A852:$BM852,,$BV$26)*$BW$26+
INDEX($A852:$BM852,,$BV$27)*$BW$27+
$BN852)),
$BN852-100)</f>
        <v>-100</v>
      </c>
      <c r="AT852" t="str">
        <f t="shared" si="178"/>
        <v/>
      </c>
      <c r="AU852" t="str">
        <f t="shared" si="186"/>
        <v/>
      </c>
      <c r="AV852" s="430">
        <f>IFERROR(
IF(AT852="",-100,
IF($BV$2&gt;0, INDEX(Beersheet!$A:$U,MATCH(AT852,INDEX(Beersheet!$A:$U,0,FFARawStatProjections!$BV$2),0),$BV$3)+$BN852,
INDEX($A852:$BM852,,$BV$12)*$BW$12+
INDEX($A852:$BM852,,$BV$15)*$BW$15+
INDEX($A852:$BM852,,$BV$16)*$BW$16+
INDEX($A852:$BM852,,$BV$17)*$BW$17+
INDEX($A852:$BM852,,$BV$18)*$BW$18+
INDEX($A852:$BM852,,$BV$19)*$BW$19+
INDEX($A852:$BM852,,$BV$20)*$BW$20+
INDEX($A852:$BM852,,$BV$21)*$BW$21+
INDEX($A852:$BM852,,$BV$22)*$BW$22+
INDEX($A852:$BM852,,$BV$23)*$BW$23+
INDEX($A852:$BM852,,$BV$25)*$BW$25+
INDEX($A852:$BM852,,$BV$26)*$BW$26+
INDEX($A852:$BM852,,$BV$27)*$BW$27+
$BN852)),
$BN852-100)</f>
        <v>-100</v>
      </c>
      <c r="AX852" t="str">
        <f t="shared" si="179"/>
        <v/>
      </c>
      <c r="AY852" t="str">
        <f t="shared" si="187"/>
        <v/>
      </c>
      <c r="AZ852" s="430">
        <f>IFERROR(
IF(AX852="",-100,
IF($BV$2&gt;0, INDEX(Beersheet!$A:$U,MATCH(AX852,INDEX(Beersheet!$A:$U,0,FFARawStatProjections!$BV$2),0),$BV$3)+$BN852,
INDEX($A852:$BM852,,$BV$12)*$BW$12+
INDEX($A852:$BM852,,$BV$15)*$BW$15+
INDEX($A852:$BM852,,$BV$16)*$BW$16+
INDEX($A852:$BM852,,$BV$17)*$BW$17+
INDEX($A852:$BM852,,$BV$18)*$BW$18+
INDEX($A852:$BM852,,$BV$19)*$BW$19+
INDEX($A852:$BM852,,$BV$20)*$BW$20+
INDEX($A852:$BM852,,$BV$21)*$BW$21+
INDEX($A852:$BM852,,$BV$22)*$BW$22+
INDEX($A852:$BM852,,$BV$23)*$BW$23+
INDEX($A852:$BM852,,$BV$25)*$BW$25+
INDEX($A852:$BM852,,$BV$26)*$BW$26+
INDEX($A852:$BM852,,$BV$27)*$BW$27+
$BN852)),
$BN852-100)</f>
        <v>-100</v>
      </c>
      <c r="BB852" t="str">
        <f t="shared" si="180"/>
        <v/>
      </c>
      <c r="BC852" t="str">
        <f t="shared" si="188"/>
        <v/>
      </c>
      <c r="BD852" s="430">
        <f>IFERROR(
IF(BB852="",-100,
IF($BV$2&gt;0, INDEX(Beersheet!$A:$U,MATCH(BB852,INDEX(Beersheet!$A:$U,0,FFARawStatProjections!$BV$2),0),$BV$3)+$BN852,
INDEX($A852:$BM852,,$BV$12)*$BW$12+
INDEX($A852:$BM852,,$BV$15)*$BW$15+
INDEX($A852:$BM852,,$BV$16)*$BW$16+
INDEX($A852:$BM852,,$BV$17)*$BW$17+
INDEX($A852:$BM852,,$BV$18)*$BW$18+
INDEX($A852:$BM852,,$BV$19)*$BW$19+
INDEX($A852:$BM852,,$BV$20)*$BW$20+
INDEX($A852:$BM852,,$BV$21)*$BW$21+
INDEX($A852:$BM852,,$BV$22)*$BW$22+
INDEX($A852:$BM852,,$BV$23)*$BW$23+
INDEX($A852:$BM852,,$BV$25)*$BW$25+
INDEX($A852:$BM852,,$BV$26)*$BW$26+
INDEX($A852:$BM852,,$BV$27)*$BW$27+
$BN852)),
$BN852-100)</f>
        <v>-100</v>
      </c>
      <c r="BF852" t="str">
        <f t="shared" si="181"/>
        <v/>
      </c>
      <c r="BG852" t="str">
        <f t="shared" si="189"/>
        <v/>
      </c>
      <c r="BH852">
        <f t="shared" si="182"/>
        <v>0</v>
      </c>
      <c r="BJ852" t="str">
        <f t="shared" si="183"/>
        <v/>
      </c>
      <c r="BL852">
        <f t="shared" si="171"/>
        <v>0</v>
      </c>
      <c r="BN852">
        <v>8.5100000000000696E-3</v>
      </c>
    </row>
    <row r="853" spans="1:66" ht="15.75" thickBot="1" x14ac:dyDescent="0.3">
      <c r="A853" s="569"/>
      <c r="B853" s="569"/>
      <c r="C853" s="569"/>
      <c r="D853" s="569"/>
      <c r="E853" s="569"/>
      <c r="F853" s="569"/>
      <c r="G853" s="569"/>
      <c r="H853" s="569"/>
      <c r="I853" s="569"/>
      <c r="J853" s="569"/>
      <c r="K853" s="569"/>
      <c r="L853" s="569"/>
      <c r="M853" s="569"/>
      <c r="N853" s="569"/>
      <c r="O853" s="569"/>
      <c r="P853" s="569"/>
      <c r="Q853" s="569"/>
      <c r="R853" s="569"/>
      <c r="S853" s="569"/>
      <c r="T853" s="569"/>
      <c r="U853" s="569"/>
      <c r="V853" s="569"/>
      <c r="W853" s="569"/>
      <c r="X853" s="569"/>
      <c r="Y853" s="569"/>
      <c r="Z853" s="569"/>
      <c r="AA853" s="569"/>
      <c r="AB853" s="569"/>
      <c r="AC853" s="569"/>
      <c r="AD853" s="569"/>
      <c r="AE853" s="569"/>
      <c r="AF853" s="569"/>
      <c r="AG853" s="569"/>
      <c r="AH853" s="569"/>
      <c r="AI853" s="569"/>
      <c r="AJ853" s="569"/>
      <c r="AK853" s="569"/>
      <c r="AL853" s="569"/>
      <c r="AM853" s="569"/>
      <c r="AN853" s="569"/>
      <c r="AP853" t="str">
        <f t="shared" si="184"/>
        <v/>
      </c>
      <c r="AQ853" t="str">
        <f t="shared" si="185"/>
        <v/>
      </c>
      <c r="AR853" s="430">
        <f>IFERROR(
IF(AP853="",-100,
IF($BV$2&gt;0, INDEX(Beersheet!$A:$U,MATCH(AP853,INDEX(Beersheet!$A:$U,0,FFARawStatProjections!$BV$2),0),$BV$3)+$BN853,
INDEX($A853:$BM853,,$BV$12)*$BW$12+
INDEX($A853:$BM853,,$BV$15)*$BW$15+
INDEX($A853:$BM853,,$BV$16)*$BW$16+
INDEX($A853:$BM853,,$BV$17)*$BW$17+
INDEX($A853:$BM853,,$BV$18)*$BW$18+
INDEX($A853:$BM853,,$BV$19)*$BW$19+
INDEX($A853:$BM853,,$BV$20)*$BW$20+
INDEX($A853:$BM853,,$BV$21)*$BW$21+
INDEX($A853:$BM853,,$BV$22)*$BW$22+
INDEX($A853:$BM853,,$BV$23)*$BW$23+
INDEX($A853:$BM853,,$BV$25)*$BW$25+
INDEX($A853:$BM853,,$BV$26)*$BW$26+
INDEX($A853:$BM853,,$BV$27)*$BW$27+
$BN853)),
$BN853-100)</f>
        <v>-100</v>
      </c>
      <c r="AT853" t="str">
        <f t="shared" si="178"/>
        <v/>
      </c>
      <c r="AU853" t="str">
        <f t="shared" si="186"/>
        <v/>
      </c>
      <c r="AV853" s="430">
        <f>IFERROR(
IF(AT853="",-100,
IF($BV$2&gt;0, INDEX(Beersheet!$A:$U,MATCH(AT853,INDEX(Beersheet!$A:$U,0,FFARawStatProjections!$BV$2),0),$BV$3)+$BN853,
INDEX($A853:$BM853,,$BV$12)*$BW$12+
INDEX($A853:$BM853,,$BV$15)*$BW$15+
INDEX($A853:$BM853,,$BV$16)*$BW$16+
INDEX($A853:$BM853,,$BV$17)*$BW$17+
INDEX($A853:$BM853,,$BV$18)*$BW$18+
INDEX($A853:$BM853,,$BV$19)*$BW$19+
INDEX($A853:$BM853,,$BV$20)*$BW$20+
INDEX($A853:$BM853,,$BV$21)*$BW$21+
INDEX($A853:$BM853,,$BV$22)*$BW$22+
INDEX($A853:$BM853,,$BV$23)*$BW$23+
INDEX($A853:$BM853,,$BV$25)*$BW$25+
INDEX($A853:$BM853,,$BV$26)*$BW$26+
INDEX($A853:$BM853,,$BV$27)*$BW$27+
$BN853)),
$BN853-100)</f>
        <v>-100</v>
      </c>
      <c r="AX853" t="str">
        <f t="shared" si="179"/>
        <v/>
      </c>
      <c r="AY853" t="str">
        <f t="shared" si="187"/>
        <v/>
      </c>
      <c r="AZ853" s="430">
        <f>IFERROR(
IF(AX853="",-100,
IF($BV$2&gt;0, INDEX(Beersheet!$A:$U,MATCH(AX853,INDEX(Beersheet!$A:$U,0,FFARawStatProjections!$BV$2),0),$BV$3)+$BN853,
INDEX($A853:$BM853,,$BV$12)*$BW$12+
INDEX($A853:$BM853,,$BV$15)*$BW$15+
INDEX($A853:$BM853,,$BV$16)*$BW$16+
INDEX($A853:$BM853,,$BV$17)*$BW$17+
INDEX($A853:$BM853,,$BV$18)*$BW$18+
INDEX($A853:$BM853,,$BV$19)*$BW$19+
INDEX($A853:$BM853,,$BV$20)*$BW$20+
INDEX($A853:$BM853,,$BV$21)*$BW$21+
INDEX($A853:$BM853,,$BV$22)*$BW$22+
INDEX($A853:$BM853,,$BV$23)*$BW$23+
INDEX($A853:$BM853,,$BV$25)*$BW$25+
INDEX($A853:$BM853,,$BV$26)*$BW$26+
INDEX($A853:$BM853,,$BV$27)*$BW$27+
$BN853)),
$BN853-100)</f>
        <v>-100</v>
      </c>
      <c r="BB853" t="str">
        <f t="shared" si="180"/>
        <v/>
      </c>
      <c r="BC853" t="str">
        <f t="shared" si="188"/>
        <v/>
      </c>
      <c r="BD853" s="430">
        <f>IFERROR(
IF(BB853="",-100,
IF($BV$2&gt;0, INDEX(Beersheet!$A:$U,MATCH(BB853,INDEX(Beersheet!$A:$U,0,FFARawStatProjections!$BV$2),0),$BV$3)+$BN853,
INDEX($A853:$BM853,,$BV$12)*$BW$12+
INDEX($A853:$BM853,,$BV$15)*$BW$15+
INDEX($A853:$BM853,,$BV$16)*$BW$16+
INDEX($A853:$BM853,,$BV$17)*$BW$17+
INDEX($A853:$BM853,,$BV$18)*$BW$18+
INDEX($A853:$BM853,,$BV$19)*$BW$19+
INDEX($A853:$BM853,,$BV$20)*$BW$20+
INDEX($A853:$BM853,,$BV$21)*$BW$21+
INDEX($A853:$BM853,,$BV$22)*$BW$22+
INDEX($A853:$BM853,,$BV$23)*$BW$23+
INDEX($A853:$BM853,,$BV$25)*$BW$25+
INDEX($A853:$BM853,,$BV$26)*$BW$26+
INDEX($A853:$BM853,,$BV$27)*$BW$27+
$BN853)),
$BN853-100)</f>
        <v>-100</v>
      </c>
      <c r="BF853" t="str">
        <f t="shared" si="181"/>
        <v/>
      </c>
      <c r="BG853" t="str">
        <f t="shared" si="189"/>
        <v/>
      </c>
      <c r="BH853">
        <f t="shared" si="182"/>
        <v>0</v>
      </c>
      <c r="BJ853" t="str">
        <f t="shared" si="183"/>
        <v/>
      </c>
      <c r="BL853">
        <f t="shared" si="171"/>
        <v>0</v>
      </c>
      <c r="BN853">
        <v>8.5200000000000692E-3</v>
      </c>
    </row>
    <row r="854" spans="1:66" ht="15.75" thickBot="1" x14ac:dyDescent="0.3">
      <c r="A854" s="569"/>
      <c r="B854" s="569"/>
      <c r="C854" s="569"/>
      <c r="D854" s="569"/>
      <c r="E854" s="569"/>
      <c r="F854" s="569"/>
      <c r="G854" s="569"/>
      <c r="H854" s="569"/>
      <c r="I854" s="569"/>
      <c r="J854" s="569"/>
      <c r="K854" s="569"/>
      <c r="L854" s="569"/>
      <c r="M854" s="569"/>
      <c r="N854" s="569"/>
      <c r="O854" s="569"/>
      <c r="P854" s="569"/>
      <c r="Q854" s="569"/>
      <c r="R854" s="569"/>
      <c r="S854" s="569"/>
      <c r="T854" s="569"/>
      <c r="U854" s="569"/>
      <c r="V854" s="569"/>
      <c r="W854" s="569"/>
      <c r="X854" s="569"/>
      <c r="Y854" s="569"/>
      <c r="Z854" s="569"/>
      <c r="AA854" s="569"/>
      <c r="AB854" s="569"/>
      <c r="AC854" s="569"/>
      <c r="AD854" s="569"/>
      <c r="AE854" s="569"/>
      <c r="AF854" s="569"/>
      <c r="AG854" s="569"/>
      <c r="AH854" s="569"/>
      <c r="AI854" s="569"/>
      <c r="AJ854" s="569"/>
      <c r="AK854" s="569"/>
      <c r="AL854" s="569"/>
      <c r="AM854" s="569"/>
      <c r="AN854" s="569"/>
      <c r="AP854" t="str">
        <f t="shared" si="184"/>
        <v/>
      </c>
      <c r="AQ854" t="str">
        <f t="shared" si="185"/>
        <v/>
      </c>
      <c r="AR854" s="430">
        <f>IFERROR(
IF(AP854="",-100,
IF($BV$2&gt;0, INDEX(Beersheet!$A:$U,MATCH(AP854,INDEX(Beersheet!$A:$U,0,FFARawStatProjections!$BV$2),0),$BV$3)+$BN854,
INDEX($A854:$BM854,,$BV$12)*$BW$12+
INDEX($A854:$BM854,,$BV$15)*$BW$15+
INDEX($A854:$BM854,,$BV$16)*$BW$16+
INDEX($A854:$BM854,,$BV$17)*$BW$17+
INDEX($A854:$BM854,,$BV$18)*$BW$18+
INDEX($A854:$BM854,,$BV$19)*$BW$19+
INDEX($A854:$BM854,,$BV$20)*$BW$20+
INDEX($A854:$BM854,,$BV$21)*$BW$21+
INDEX($A854:$BM854,,$BV$22)*$BW$22+
INDEX($A854:$BM854,,$BV$23)*$BW$23+
INDEX($A854:$BM854,,$BV$25)*$BW$25+
INDEX($A854:$BM854,,$BV$26)*$BW$26+
INDEX($A854:$BM854,,$BV$27)*$BW$27+
$BN854)),
$BN854-100)</f>
        <v>-100</v>
      </c>
      <c r="AT854" t="str">
        <f t="shared" si="178"/>
        <v/>
      </c>
      <c r="AU854" t="str">
        <f t="shared" si="186"/>
        <v/>
      </c>
      <c r="AV854" s="430">
        <f>IFERROR(
IF(AT854="",-100,
IF($BV$2&gt;0, INDEX(Beersheet!$A:$U,MATCH(AT854,INDEX(Beersheet!$A:$U,0,FFARawStatProjections!$BV$2),0),$BV$3)+$BN854,
INDEX($A854:$BM854,,$BV$12)*$BW$12+
INDEX($A854:$BM854,,$BV$15)*$BW$15+
INDEX($A854:$BM854,,$BV$16)*$BW$16+
INDEX($A854:$BM854,,$BV$17)*$BW$17+
INDEX($A854:$BM854,,$BV$18)*$BW$18+
INDEX($A854:$BM854,,$BV$19)*$BW$19+
INDEX($A854:$BM854,,$BV$20)*$BW$20+
INDEX($A854:$BM854,,$BV$21)*$BW$21+
INDEX($A854:$BM854,,$BV$22)*$BW$22+
INDEX($A854:$BM854,,$BV$23)*$BW$23+
INDEX($A854:$BM854,,$BV$25)*$BW$25+
INDEX($A854:$BM854,,$BV$26)*$BW$26+
INDEX($A854:$BM854,,$BV$27)*$BW$27+
$BN854)),
$BN854-100)</f>
        <v>-100</v>
      </c>
      <c r="AX854" t="str">
        <f t="shared" si="179"/>
        <v/>
      </c>
      <c r="AY854" t="str">
        <f t="shared" si="187"/>
        <v/>
      </c>
      <c r="AZ854" s="430">
        <f>IFERROR(
IF(AX854="",-100,
IF($BV$2&gt;0, INDEX(Beersheet!$A:$U,MATCH(AX854,INDEX(Beersheet!$A:$U,0,FFARawStatProjections!$BV$2),0),$BV$3)+$BN854,
INDEX($A854:$BM854,,$BV$12)*$BW$12+
INDEX($A854:$BM854,,$BV$15)*$BW$15+
INDEX($A854:$BM854,,$BV$16)*$BW$16+
INDEX($A854:$BM854,,$BV$17)*$BW$17+
INDEX($A854:$BM854,,$BV$18)*$BW$18+
INDEX($A854:$BM854,,$BV$19)*$BW$19+
INDEX($A854:$BM854,,$BV$20)*$BW$20+
INDEX($A854:$BM854,,$BV$21)*$BW$21+
INDEX($A854:$BM854,,$BV$22)*$BW$22+
INDEX($A854:$BM854,,$BV$23)*$BW$23+
INDEX($A854:$BM854,,$BV$25)*$BW$25+
INDEX($A854:$BM854,,$BV$26)*$BW$26+
INDEX($A854:$BM854,,$BV$27)*$BW$27+
$BN854)),
$BN854-100)</f>
        <v>-100</v>
      </c>
      <c r="BB854" t="str">
        <f t="shared" si="180"/>
        <v/>
      </c>
      <c r="BC854" t="str">
        <f t="shared" si="188"/>
        <v/>
      </c>
      <c r="BD854" s="430">
        <f>IFERROR(
IF(BB854="",-100,
IF($BV$2&gt;0, INDEX(Beersheet!$A:$U,MATCH(BB854,INDEX(Beersheet!$A:$U,0,FFARawStatProjections!$BV$2),0),$BV$3)+$BN854,
INDEX($A854:$BM854,,$BV$12)*$BW$12+
INDEX($A854:$BM854,,$BV$15)*$BW$15+
INDEX($A854:$BM854,,$BV$16)*$BW$16+
INDEX($A854:$BM854,,$BV$17)*$BW$17+
INDEX($A854:$BM854,,$BV$18)*$BW$18+
INDEX($A854:$BM854,,$BV$19)*$BW$19+
INDEX($A854:$BM854,,$BV$20)*$BW$20+
INDEX($A854:$BM854,,$BV$21)*$BW$21+
INDEX($A854:$BM854,,$BV$22)*$BW$22+
INDEX($A854:$BM854,,$BV$23)*$BW$23+
INDEX($A854:$BM854,,$BV$25)*$BW$25+
INDEX($A854:$BM854,,$BV$26)*$BW$26+
INDEX($A854:$BM854,,$BV$27)*$BW$27+
$BN854)),
$BN854-100)</f>
        <v>-100</v>
      </c>
      <c r="BF854" t="str">
        <f t="shared" si="181"/>
        <v/>
      </c>
      <c r="BG854" t="str">
        <f t="shared" si="189"/>
        <v/>
      </c>
      <c r="BH854">
        <f t="shared" si="182"/>
        <v>0</v>
      </c>
      <c r="BJ854" t="str">
        <f t="shared" si="183"/>
        <v/>
      </c>
      <c r="BL854">
        <f t="shared" si="171"/>
        <v>0</v>
      </c>
      <c r="BN854">
        <v>8.5300000000000705E-3</v>
      </c>
    </row>
    <row r="855" spans="1:66" ht="15.75" thickBot="1" x14ac:dyDescent="0.3">
      <c r="A855" s="569"/>
      <c r="B855" s="569"/>
      <c r="C855" s="569"/>
      <c r="D855" s="569"/>
      <c r="E855" s="569"/>
      <c r="F855" s="569"/>
      <c r="G855" s="569"/>
      <c r="H855" s="569"/>
      <c r="I855" s="569"/>
      <c r="J855" s="569"/>
      <c r="K855" s="569"/>
      <c r="L855" s="569"/>
      <c r="M855" s="569"/>
      <c r="N855" s="569"/>
      <c r="O855" s="569"/>
      <c r="P855" s="569"/>
      <c r="Q855" s="569"/>
      <c r="R855" s="569"/>
      <c r="S855" s="569"/>
      <c r="T855" s="569"/>
      <c r="U855" s="569"/>
      <c r="V855" s="569"/>
      <c r="W855" s="569"/>
      <c r="X855" s="569"/>
      <c r="Y855" s="569"/>
      <c r="Z855" s="569"/>
      <c r="AA855" s="569"/>
      <c r="AB855" s="569"/>
      <c r="AC855" s="569"/>
      <c r="AD855" s="569"/>
      <c r="AE855" s="569"/>
      <c r="AF855" s="569"/>
      <c r="AG855" s="569"/>
      <c r="AH855" s="569"/>
      <c r="AI855" s="569"/>
      <c r="AJ855" s="569"/>
      <c r="AK855" s="569"/>
      <c r="AL855" s="569"/>
      <c r="AM855" s="569"/>
      <c r="AN855" s="569"/>
      <c r="AP855" t="str">
        <f t="shared" si="184"/>
        <v/>
      </c>
      <c r="AQ855" t="str">
        <f t="shared" si="185"/>
        <v/>
      </c>
      <c r="AR855" s="430">
        <f>IFERROR(
IF(AP855="",-100,
IF($BV$2&gt;0, INDEX(Beersheet!$A:$U,MATCH(AP855,INDEX(Beersheet!$A:$U,0,FFARawStatProjections!$BV$2),0),$BV$3)+$BN855,
INDEX($A855:$BM855,,$BV$12)*$BW$12+
INDEX($A855:$BM855,,$BV$15)*$BW$15+
INDEX($A855:$BM855,,$BV$16)*$BW$16+
INDEX($A855:$BM855,,$BV$17)*$BW$17+
INDEX($A855:$BM855,,$BV$18)*$BW$18+
INDEX($A855:$BM855,,$BV$19)*$BW$19+
INDEX($A855:$BM855,,$BV$20)*$BW$20+
INDEX($A855:$BM855,,$BV$21)*$BW$21+
INDEX($A855:$BM855,,$BV$22)*$BW$22+
INDEX($A855:$BM855,,$BV$23)*$BW$23+
INDEX($A855:$BM855,,$BV$25)*$BW$25+
INDEX($A855:$BM855,,$BV$26)*$BW$26+
INDEX($A855:$BM855,,$BV$27)*$BW$27+
$BN855)),
$BN855-100)</f>
        <v>-100</v>
      </c>
      <c r="AT855" t="str">
        <f t="shared" si="178"/>
        <v/>
      </c>
      <c r="AU855" t="str">
        <f t="shared" si="186"/>
        <v/>
      </c>
      <c r="AV855" s="430">
        <f>IFERROR(
IF(AT855="",-100,
IF($BV$2&gt;0, INDEX(Beersheet!$A:$U,MATCH(AT855,INDEX(Beersheet!$A:$U,0,FFARawStatProjections!$BV$2),0),$BV$3)+$BN855,
INDEX($A855:$BM855,,$BV$12)*$BW$12+
INDEX($A855:$BM855,,$BV$15)*$BW$15+
INDEX($A855:$BM855,,$BV$16)*$BW$16+
INDEX($A855:$BM855,,$BV$17)*$BW$17+
INDEX($A855:$BM855,,$BV$18)*$BW$18+
INDEX($A855:$BM855,,$BV$19)*$BW$19+
INDEX($A855:$BM855,,$BV$20)*$BW$20+
INDEX($A855:$BM855,,$BV$21)*$BW$21+
INDEX($A855:$BM855,,$BV$22)*$BW$22+
INDEX($A855:$BM855,,$BV$23)*$BW$23+
INDEX($A855:$BM855,,$BV$25)*$BW$25+
INDEX($A855:$BM855,,$BV$26)*$BW$26+
INDEX($A855:$BM855,,$BV$27)*$BW$27+
$BN855)),
$BN855-100)</f>
        <v>-100</v>
      </c>
      <c r="AX855" t="str">
        <f t="shared" si="179"/>
        <v/>
      </c>
      <c r="AY855" t="str">
        <f t="shared" si="187"/>
        <v/>
      </c>
      <c r="AZ855" s="430">
        <f>IFERROR(
IF(AX855="",-100,
IF($BV$2&gt;0, INDEX(Beersheet!$A:$U,MATCH(AX855,INDEX(Beersheet!$A:$U,0,FFARawStatProjections!$BV$2),0),$BV$3)+$BN855,
INDEX($A855:$BM855,,$BV$12)*$BW$12+
INDEX($A855:$BM855,,$BV$15)*$BW$15+
INDEX($A855:$BM855,,$BV$16)*$BW$16+
INDEX($A855:$BM855,,$BV$17)*$BW$17+
INDEX($A855:$BM855,,$BV$18)*$BW$18+
INDEX($A855:$BM855,,$BV$19)*$BW$19+
INDEX($A855:$BM855,,$BV$20)*$BW$20+
INDEX($A855:$BM855,,$BV$21)*$BW$21+
INDEX($A855:$BM855,,$BV$22)*$BW$22+
INDEX($A855:$BM855,,$BV$23)*$BW$23+
INDEX($A855:$BM855,,$BV$25)*$BW$25+
INDEX($A855:$BM855,,$BV$26)*$BW$26+
INDEX($A855:$BM855,,$BV$27)*$BW$27+
$BN855)),
$BN855-100)</f>
        <v>-100</v>
      </c>
      <c r="BB855" t="str">
        <f t="shared" si="180"/>
        <v/>
      </c>
      <c r="BC855" t="str">
        <f t="shared" si="188"/>
        <v/>
      </c>
      <c r="BD855" s="430">
        <f>IFERROR(
IF(BB855="",-100,
IF($BV$2&gt;0, INDEX(Beersheet!$A:$U,MATCH(BB855,INDEX(Beersheet!$A:$U,0,FFARawStatProjections!$BV$2),0),$BV$3)+$BN855,
INDEX($A855:$BM855,,$BV$12)*$BW$12+
INDEX($A855:$BM855,,$BV$15)*$BW$15+
INDEX($A855:$BM855,,$BV$16)*$BW$16+
INDEX($A855:$BM855,,$BV$17)*$BW$17+
INDEX($A855:$BM855,,$BV$18)*$BW$18+
INDEX($A855:$BM855,,$BV$19)*$BW$19+
INDEX($A855:$BM855,,$BV$20)*$BW$20+
INDEX($A855:$BM855,,$BV$21)*$BW$21+
INDEX($A855:$BM855,,$BV$22)*$BW$22+
INDEX($A855:$BM855,,$BV$23)*$BW$23+
INDEX($A855:$BM855,,$BV$25)*$BW$25+
INDEX($A855:$BM855,,$BV$26)*$BW$26+
INDEX($A855:$BM855,,$BV$27)*$BW$27+
$BN855)),
$BN855-100)</f>
        <v>-100</v>
      </c>
      <c r="BF855" t="str">
        <f t="shared" si="181"/>
        <v/>
      </c>
      <c r="BG855" t="str">
        <f t="shared" si="189"/>
        <v/>
      </c>
      <c r="BH855">
        <f t="shared" si="182"/>
        <v>0</v>
      </c>
      <c r="BJ855" t="str">
        <f t="shared" si="183"/>
        <v/>
      </c>
      <c r="BL855">
        <f t="shared" si="171"/>
        <v>0</v>
      </c>
      <c r="BN855">
        <v>8.5400000000000701E-3</v>
      </c>
    </row>
    <row r="856" spans="1:66" ht="15.75" thickBot="1" x14ac:dyDescent="0.3">
      <c r="A856" s="569"/>
      <c r="B856" s="569"/>
      <c r="C856" s="569"/>
      <c r="D856" s="569"/>
      <c r="E856" s="569"/>
      <c r="F856" s="569"/>
      <c r="G856" s="569"/>
      <c r="H856" s="569"/>
      <c r="I856" s="569"/>
      <c r="J856" s="569"/>
      <c r="K856" s="569"/>
      <c r="L856" s="569"/>
      <c r="M856" s="569"/>
      <c r="N856" s="569"/>
      <c r="O856" s="569"/>
      <c r="P856" s="569"/>
      <c r="Q856" s="569"/>
      <c r="R856" s="569"/>
      <c r="S856" s="569"/>
      <c r="T856" s="569"/>
      <c r="U856" s="569"/>
      <c r="V856" s="569"/>
      <c r="W856" s="569"/>
      <c r="X856" s="569"/>
      <c r="Y856" s="569"/>
      <c r="Z856" s="569"/>
      <c r="AA856" s="569"/>
      <c r="AB856" s="569"/>
      <c r="AC856" s="569"/>
      <c r="AD856" s="569"/>
      <c r="AE856" s="569"/>
      <c r="AF856" s="569"/>
      <c r="AG856" s="569"/>
      <c r="AH856" s="569"/>
      <c r="AI856" s="569"/>
      <c r="AJ856" s="569"/>
      <c r="AK856" s="569"/>
      <c r="AL856" s="569"/>
      <c r="AM856" s="569"/>
      <c r="AN856" s="569"/>
      <c r="AP856" t="str">
        <f t="shared" si="184"/>
        <v/>
      </c>
      <c r="AQ856" t="str">
        <f t="shared" si="185"/>
        <v/>
      </c>
      <c r="AR856" s="430">
        <f>IFERROR(
IF(AP856="",-100,
IF($BV$2&gt;0, INDEX(Beersheet!$A:$U,MATCH(AP856,INDEX(Beersheet!$A:$U,0,FFARawStatProjections!$BV$2),0),$BV$3)+$BN856,
INDEX($A856:$BM856,,$BV$12)*$BW$12+
INDEX($A856:$BM856,,$BV$15)*$BW$15+
INDEX($A856:$BM856,,$BV$16)*$BW$16+
INDEX($A856:$BM856,,$BV$17)*$BW$17+
INDEX($A856:$BM856,,$BV$18)*$BW$18+
INDEX($A856:$BM856,,$BV$19)*$BW$19+
INDEX($A856:$BM856,,$BV$20)*$BW$20+
INDEX($A856:$BM856,,$BV$21)*$BW$21+
INDEX($A856:$BM856,,$BV$22)*$BW$22+
INDEX($A856:$BM856,,$BV$23)*$BW$23+
INDEX($A856:$BM856,,$BV$25)*$BW$25+
INDEX($A856:$BM856,,$BV$26)*$BW$26+
INDEX($A856:$BM856,,$BV$27)*$BW$27+
$BN856)),
$BN856-100)</f>
        <v>-100</v>
      </c>
      <c r="AT856" t="str">
        <f t="shared" si="178"/>
        <v/>
      </c>
      <c r="AU856" t="str">
        <f t="shared" si="186"/>
        <v/>
      </c>
      <c r="AV856" s="430">
        <f>IFERROR(
IF(AT856="",-100,
IF($BV$2&gt;0, INDEX(Beersheet!$A:$U,MATCH(AT856,INDEX(Beersheet!$A:$U,0,FFARawStatProjections!$BV$2),0),$BV$3)+$BN856,
INDEX($A856:$BM856,,$BV$12)*$BW$12+
INDEX($A856:$BM856,,$BV$15)*$BW$15+
INDEX($A856:$BM856,,$BV$16)*$BW$16+
INDEX($A856:$BM856,,$BV$17)*$BW$17+
INDEX($A856:$BM856,,$BV$18)*$BW$18+
INDEX($A856:$BM856,,$BV$19)*$BW$19+
INDEX($A856:$BM856,,$BV$20)*$BW$20+
INDEX($A856:$BM856,,$BV$21)*$BW$21+
INDEX($A856:$BM856,,$BV$22)*$BW$22+
INDEX($A856:$BM856,,$BV$23)*$BW$23+
INDEX($A856:$BM856,,$BV$25)*$BW$25+
INDEX($A856:$BM856,,$BV$26)*$BW$26+
INDEX($A856:$BM856,,$BV$27)*$BW$27+
$BN856)),
$BN856-100)</f>
        <v>-100</v>
      </c>
      <c r="AX856" t="str">
        <f t="shared" si="179"/>
        <v/>
      </c>
      <c r="AY856" t="str">
        <f t="shared" si="187"/>
        <v/>
      </c>
      <c r="AZ856" s="430">
        <f>IFERROR(
IF(AX856="",-100,
IF($BV$2&gt;0, INDEX(Beersheet!$A:$U,MATCH(AX856,INDEX(Beersheet!$A:$U,0,FFARawStatProjections!$BV$2),0),$BV$3)+$BN856,
INDEX($A856:$BM856,,$BV$12)*$BW$12+
INDEX($A856:$BM856,,$BV$15)*$BW$15+
INDEX($A856:$BM856,,$BV$16)*$BW$16+
INDEX($A856:$BM856,,$BV$17)*$BW$17+
INDEX($A856:$BM856,,$BV$18)*$BW$18+
INDEX($A856:$BM856,,$BV$19)*$BW$19+
INDEX($A856:$BM856,,$BV$20)*$BW$20+
INDEX($A856:$BM856,,$BV$21)*$BW$21+
INDEX($A856:$BM856,,$BV$22)*$BW$22+
INDEX($A856:$BM856,,$BV$23)*$BW$23+
INDEX($A856:$BM856,,$BV$25)*$BW$25+
INDEX($A856:$BM856,,$BV$26)*$BW$26+
INDEX($A856:$BM856,,$BV$27)*$BW$27+
$BN856)),
$BN856-100)</f>
        <v>-100</v>
      </c>
      <c r="BB856" t="str">
        <f t="shared" si="180"/>
        <v/>
      </c>
      <c r="BC856" t="str">
        <f t="shared" si="188"/>
        <v/>
      </c>
      <c r="BD856" s="430">
        <f>IFERROR(
IF(BB856="",-100,
IF($BV$2&gt;0, INDEX(Beersheet!$A:$U,MATCH(BB856,INDEX(Beersheet!$A:$U,0,FFARawStatProjections!$BV$2),0),$BV$3)+$BN856,
INDEX($A856:$BM856,,$BV$12)*$BW$12+
INDEX($A856:$BM856,,$BV$15)*$BW$15+
INDEX($A856:$BM856,,$BV$16)*$BW$16+
INDEX($A856:$BM856,,$BV$17)*$BW$17+
INDEX($A856:$BM856,,$BV$18)*$BW$18+
INDEX($A856:$BM856,,$BV$19)*$BW$19+
INDEX($A856:$BM856,,$BV$20)*$BW$20+
INDEX($A856:$BM856,,$BV$21)*$BW$21+
INDEX($A856:$BM856,,$BV$22)*$BW$22+
INDEX($A856:$BM856,,$BV$23)*$BW$23+
INDEX($A856:$BM856,,$BV$25)*$BW$25+
INDEX($A856:$BM856,,$BV$26)*$BW$26+
INDEX($A856:$BM856,,$BV$27)*$BW$27+
$BN856)),
$BN856-100)</f>
        <v>-100</v>
      </c>
      <c r="BF856" t="str">
        <f t="shared" si="181"/>
        <v/>
      </c>
      <c r="BG856" t="str">
        <f t="shared" si="189"/>
        <v/>
      </c>
      <c r="BH856">
        <f t="shared" si="182"/>
        <v>0</v>
      </c>
      <c r="BJ856" t="str">
        <f t="shared" si="183"/>
        <v/>
      </c>
      <c r="BL856">
        <f t="shared" si="171"/>
        <v>0</v>
      </c>
      <c r="BN856">
        <v>8.5500000000000697E-3</v>
      </c>
    </row>
    <row r="857" spans="1:66" ht="15.75" thickBot="1" x14ac:dyDescent="0.3">
      <c r="A857" s="569"/>
      <c r="B857" s="569"/>
      <c r="C857" s="569"/>
      <c r="D857" s="569"/>
      <c r="E857" s="569"/>
      <c r="F857" s="569"/>
      <c r="G857" s="569"/>
      <c r="H857" s="569"/>
      <c r="I857" s="569"/>
      <c r="J857" s="569"/>
      <c r="K857" s="569"/>
      <c r="L857" s="569"/>
      <c r="M857" s="569"/>
      <c r="N857" s="569"/>
      <c r="O857" s="569"/>
      <c r="P857" s="569"/>
      <c r="Q857" s="569"/>
      <c r="R857" s="569"/>
      <c r="S857" s="569"/>
      <c r="T857" s="569"/>
      <c r="U857" s="569"/>
      <c r="V857" s="569"/>
      <c r="W857" s="569"/>
      <c r="X857" s="569"/>
      <c r="Y857" s="569"/>
      <c r="Z857" s="569"/>
      <c r="AA857" s="569"/>
      <c r="AB857" s="569"/>
      <c r="AC857" s="569"/>
      <c r="AD857" s="569"/>
      <c r="AE857" s="569"/>
      <c r="AF857" s="569"/>
      <c r="AG857" s="569"/>
      <c r="AH857" s="569"/>
      <c r="AI857" s="569"/>
      <c r="AJ857" s="569"/>
      <c r="AK857" s="569"/>
      <c r="AL857" s="569"/>
      <c r="AM857" s="569"/>
      <c r="AN857" s="569"/>
      <c r="AP857" t="str">
        <f t="shared" si="184"/>
        <v/>
      </c>
      <c r="AQ857" t="str">
        <f t="shared" si="185"/>
        <v/>
      </c>
      <c r="AR857" s="430">
        <f>IFERROR(
IF(AP857="",-100,
IF($BV$2&gt;0, INDEX(Beersheet!$A:$U,MATCH(AP857,INDEX(Beersheet!$A:$U,0,FFARawStatProjections!$BV$2),0),$BV$3)+$BN857,
INDEX($A857:$BM857,,$BV$12)*$BW$12+
INDEX($A857:$BM857,,$BV$15)*$BW$15+
INDEX($A857:$BM857,,$BV$16)*$BW$16+
INDEX($A857:$BM857,,$BV$17)*$BW$17+
INDEX($A857:$BM857,,$BV$18)*$BW$18+
INDEX($A857:$BM857,,$BV$19)*$BW$19+
INDEX($A857:$BM857,,$BV$20)*$BW$20+
INDEX($A857:$BM857,,$BV$21)*$BW$21+
INDEX($A857:$BM857,,$BV$22)*$BW$22+
INDEX($A857:$BM857,,$BV$23)*$BW$23+
INDEX($A857:$BM857,,$BV$25)*$BW$25+
INDEX($A857:$BM857,,$BV$26)*$BW$26+
INDEX($A857:$BM857,,$BV$27)*$BW$27+
$BN857)),
$BN857-100)</f>
        <v>-100</v>
      </c>
      <c r="AT857" t="str">
        <f t="shared" si="178"/>
        <v/>
      </c>
      <c r="AU857" t="str">
        <f t="shared" si="186"/>
        <v/>
      </c>
      <c r="AV857" s="430">
        <f>IFERROR(
IF(AT857="",-100,
IF($BV$2&gt;0, INDEX(Beersheet!$A:$U,MATCH(AT857,INDEX(Beersheet!$A:$U,0,FFARawStatProjections!$BV$2),0),$BV$3)+$BN857,
INDEX($A857:$BM857,,$BV$12)*$BW$12+
INDEX($A857:$BM857,,$BV$15)*$BW$15+
INDEX($A857:$BM857,,$BV$16)*$BW$16+
INDEX($A857:$BM857,,$BV$17)*$BW$17+
INDEX($A857:$BM857,,$BV$18)*$BW$18+
INDEX($A857:$BM857,,$BV$19)*$BW$19+
INDEX($A857:$BM857,,$BV$20)*$BW$20+
INDEX($A857:$BM857,,$BV$21)*$BW$21+
INDEX($A857:$BM857,,$BV$22)*$BW$22+
INDEX($A857:$BM857,,$BV$23)*$BW$23+
INDEX($A857:$BM857,,$BV$25)*$BW$25+
INDEX($A857:$BM857,,$BV$26)*$BW$26+
INDEX($A857:$BM857,,$BV$27)*$BW$27+
$BN857)),
$BN857-100)</f>
        <v>-100</v>
      </c>
      <c r="AX857" t="str">
        <f t="shared" si="179"/>
        <v/>
      </c>
      <c r="AY857" t="str">
        <f t="shared" si="187"/>
        <v/>
      </c>
      <c r="AZ857" s="430">
        <f>IFERROR(
IF(AX857="",-100,
IF($BV$2&gt;0, INDEX(Beersheet!$A:$U,MATCH(AX857,INDEX(Beersheet!$A:$U,0,FFARawStatProjections!$BV$2),0),$BV$3)+$BN857,
INDEX($A857:$BM857,,$BV$12)*$BW$12+
INDEX($A857:$BM857,,$BV$15)*$BW$15+
INDEX($A857:$BM857,,$BV$16)*$BW$16+
INDEX($A857:$BM857,,$BV$17)*$BW$17+
INDEX($A857:$BM857,,$BV$18)*$BW$18+
INDEX($A857:$BM857,,$BV$19)*$BW$19+
INDEX($A857:$BM857,,$BV$20)*$BW$20+
INDEX($A857:$BM857,,$BV$21)*$BW$21+
INDEX($A857:$BM857,,$BV$22)*$BW$22+
INDEX($A857:$BM857,,$BV$23)*$BW$23+
INDEX($A857:$BM857,,$BV$25)*$BW$25+
INDEX($A857:$BM857,,$BV$26)*$BW$26+
INDEX($A857:$BM857,,$BV$27)*$BW$27+
$BN857)),
$BN857-100)</f>
        <v>-100</v>
      </c>
      <c r="BB857" t="str">
        <f t="shared" si="180"/>
        <v/>
      </c>
      <c r="BC857" t="str">
        <f t="shared" si="188"/>
        <v/>
      </c>
      <c r="BD857" s="430">
        <f>IFERROR(
IF(BB857="",-100,
IF($BV$2&gt;0, INDEX(Beersheet!$A:$U,MATCH(BB857,INDEX(Beersheet!$A:$U,0,FFARawStatProjections!$BV$2),0),$BV$3)+$BN857,
INDEX($A857:$BM857,,$BV$12)*$BW$12+
INDEX($A857:$BM857,,$BV$15)*$BW$15+
INDEX($A857:$BM857,,$BV$16)*$BW$16+
INDEX($A857:$BM857,,$BV$17)*$BW$17+
INDEX($A857:$BM857,,$BV$18)*$BW$18+
INDEX($A857:$BM857,,$BV$19)*$BW$19+
INDEX($A857:$BM857,,$BV$20)*$BW$20+
INDEX($A857:$BM857,,$BV$21)*$BW$21+
INDEX($A857:$BM857,,$BV$22)*$BW$22+
INDEX($A857:$BM857,,$BV$23)*$BW$23+
INDEX($A857:$BM857,,$BV$25)*$BW$25+
INDEX($A857:$BM857,,$BV$26)*$BW$26+
INDEX($A857:$BM857,,$BV$27)*$BW$27+
$BN857)),
$BN857-100)</f>
        <v>-100</v>
      </c>
      <c r="BF857" t="str">
        <f t="shared" si="181"/>
        <v/>
      </c>
      <c r="BG857" t="str">
        <f t="shared" si="189"/>
        <v/>
      </c>
      <c r="BH857">
        <f t="shared" si="182"/>
        <v>0</v>
      </c>
      <c r="BJ857" t="str">
        <f t="shared" si="183"/>
        <v/>
      </c>
      <c r="BL857">
        <f t="shared" ref="BL857:BL868" si="190">IFERROR(IF(BJ857="",0,
V857*2+W857*2+X857*2+Z857*6+AA857*1+AB857*2+AC857*6
+AN857+BN857),"")</f>
        <v>0</v>
      </c>
      <c r="BN857">
        <v>8.5600000000000693E-3</v>
      </c>
    </row>
    <row r="858" spans="1:66" ht="15.75" thickBot="1" x14ac:dyDescent="0.3">
      <c r="A858" s="569"/>
      <c r="B858" s="569"/>
      <c r="C858" s="569"/>
      <c r="D858" s="569"/>
      <c r="E858" s="569"/>
      <c r="F858" s="569"/>
      <c r="G858" s="569"/>
      <c r="H858" s="569"/>
      <c r="I858" s="569"/>
      <c r="J858" s="569"/>
      <c r="K858" s="569"/>
      <c r="L858" s="569"/>
      <c r="M858" s="569"/>
      <c r="N858" s="569"/>
      <c r="O858" s="569"/>
      <c r="P858" s="569"/>
      <c r="Q858" s="569"/>
      <c r="R858" s="569"/>
      <c r="S858" s="569"/>
      <c r="T858" s="569"/>
      <c r="U858" s="569"/>
      <c r="V858" s="569"/>
      <c r="W858" s="569"/>
      <c r="X858" s="569"/>
      <c r="Y858" s="569"/>
      <c r="Z858" s="569"/>
      <c r="AA858" s="569"/>
      <c r="AB858" s="569"/>
      <c r="AC858" s="569"/>
      <c r="AD858" s="569"/>
      <c r="AE858" s="569"/>
      <c r="AF858" s="569"/>
      <c r="AG858" s="569"/>
      <c r="AH858" s="569"/>
      <c r="AI858" s="569"/>
      <c r="AJ858" s="569"/>
      <c r="AK858" s="569"/>
      <c r="AL858" s="569"/>
      <c r="AM858" s="569"/>
      <c r="AN858" s="569"/>
      <c r="AP858" t="str">
        <f t="shared" si="184"/>
        <v/>
      </c>
      <c r="AQ858" t="str">
        <f t="shared" si="185"/>
        <v/>
      </c>
      <c r="AR858" s="430">
        <f>IFERROR(
IF(AP858="",-100,
IF($BV$2&gt;0, INDEX(Beersheet!$A:$U,MATCH(AP858,INDEX(Beersheet!$A:$U,0,FFARawStatProjections!$BV$2),0),$BV$3)+$BN858,
INDEX($A858:$BM858,,$BV$12)*$BW$12+
INDEX($A858:$BM858,,$BV$15)*$BW$15+
INDEX($A858:$BM858,,$BV$16)*$BW$16+
INDEX($A858:$BM858,,$BV$17)*$BW$17+
INDEX($A858:$BM858,,$BV$18)*$BW$18+
INDEX($A858:$BM858,,$BV$19)*$BW$19+
INDEX($A858:$BM858,,$BV$20)*$BW$20+
INDEX($A858:$BM858,,$BV$21)*$BW$21+
INDEX($A858:$BM858,,$BV$22)*$BW$22+
INDEX($A858:$BM858,,$BV$23)*$BW$23+
INDEX($A858:$BM858,,$BV$25)*$BW$25+
INDEX($A858:$BM858,,$BV$26)*$BW$26+
INDEX($A858:$BM858,,$BV$27)*$BW$27+
$BN858)),
$BN858-100)</f>
        <v>-100</v>
      </c>
      <c r="AT858" t="str">
        <f t="shared" si="178"/>
        <v/>
      </c>
      <c r="AU858" t="str">
        <f t="shared" si="186"/>
        <v/>
      </c>
      <c r="AV858" s="430">
        <f>IFERROR(
IF(AT858="",-100,
IF($BV$2&gt;0, INDEX(Beersheet!$A:$U,MATCH(AT858,INDEX(Beersheet!$A:$U,0,FFARawStatProjections!$BV$2),0),$BV$3)+$BN858,
INDEX($A858:$BM858,,$BV$12)*$BW$12+
INDEX($A858:$BM858,,$BV$15)*$BW$15+
INDEX($A858:$BM858,,$BV$16)*$BW$16+
INDEX($A858:$BM858,,$BV$17)*$BW$17+
INDEX($A858:$BM858,,$BV$18)*$BW$18+
INDEX($A858:$BM858,,$BV$19)*$BW$19+
INDEX($A858:$BM858,,$BV$20)*$BW$20+
INDEX($A858:$BM858,,$BV$21)*$BW$21+
INDEX($A858:$BM858,,$BV$22)*$BW$22+
INDEX($A858:$BM858,,$BV$23)*$BW$23+
INDEX($A858:$BM858,,$BV$25)*$BW$25+
INDEX($A858:$BM858,,$BV$26)*$BW$26+
INDEX($A858:$BM858,,$BV$27)*$BW$27+
$BN858)),
$BN858-100)</f>
        <v>-100</v>
      </c>
      <c r="AX858" t="str">
        <f t="shared" si="179"/>
        <v/>
      </c>
      <c r="AY858" t="str">
        <f t="shared" si="187"/>
        <v/>
      </c>
      <c r="AZ858" s="430">
        <f>IFERROR(
IF(AX858="",-100,
IF($BV$2&gt;0, INDEX(Beersheet!$A:$U,MATCH(AX858,INDEX(Beersheet!$A:$U,0,FFARawStatProjections!$BV$2),0),$BV$3)+$BN858,
INDEX($A858:$BM858,,$BV$12)*$BW$12+
INDEX($A858:$BM858,,$BV$15)*$BW$15+
INDEX($A858:$BM858,,$BV$16)*$BW$16+
INDEX($A858:$BM858,,$BV$17)*$BW$17+
INDEX($A858:$BM858,,$BV$18)*$BW$18+
INDEX($A858:$BM858,,$BV$19)*$BW$19+
INDEX($A858:$BM858,,$BV$20)*$BW$20+
INDEX($A858:$BM858,,$BV$21)*$BW$21+
INDEX($A858:$BM858,,$BV$22)*$BW$22+
INDEX($A858:$BM858,,$BV$23)*$BW$23+
INDEX($A858:$BM858,,$BV$25)*$BW$25+
INDEX($A858:$BM858,,$BV$26)*$BW$26+
INDEX($A858:$BM858,,$BV$27)*$BW$27+
$BN858)),
$BN858-100)</f>
        <v>-100</v>
      </c>
      <c r="BB858" t="str">
        <f t="shared" si="180"/>
        <v/>
      </c>
      <c r="BC858" t="str">
        <f t="shared" si="188"/>
        <v/>
      </c>
      <c r="BD858" s="430">
        <f>IFERROR(
IF(BB858="",-100,
IF($BV$2&gt;0, INDEX(Beersheet!$A:$U,MATCH(BB858,INDEX(Beersheet!$A:$U,0,FFARawStatProjections!$BV$2),0),$BV$3)+$BN858,
INDEX($A858:$BM858,,$BV$12)*$BW$12+
INDEX($A858:$BM858,,$BV$15)*$BW$15+
INDEX($A858:$BM858,,$BV$16)*$BW$16+
INDEX($A858:$BM858,,$BV$17)*$BW$17+
INDEX($A858:$BM858,,$BV$18)*$BW$18+
INDEX($A858:$BM858,,$BV$19)*$BW$19+
INDEX($A858:$BM858,,$BV$20)*$BW$20+
INDEX($A858:$BM858,,$BV$21)*$BW$21+
INDEX($A858:$BM858,,$BV$22)*$BW$22+
INDEX($A858:$BM858,,$BV$23)*$BW$23+
INDEX($A858:$BM858,,$BV$25)*$BW$25+
INDEX($A858:$BM858,,$BV$26)*$BW$26+
INDEX($A858:$BM858,,$BV$27)*$BW$27+
$BN858)),
$BN858-100)</f>
        <v>-100</v>
      </c>
      <c r="BF858" t="str">
        <f t="shared" si="181"/>
        <v/>
      </c>
      <c r="BG858" t="str">
        <f t="shared" si="189"/>
        <v/>
      </c>
      <c r="BH858">
        <f t="shared" si="182"/>
        <v>0</v>
      </c>
      <c r="BJ858" t="str">
        <f t="shared" si="183"/>
        <v/>
      </c>
      <c r="BL858">
        <f t="shared" si="190"/>
        <v>0</v>
      </c>
      <c r="BN858">
        <v>8.5700000000000706E-3</v>
      </c>
    </row>
    <row r="859" spans="1:66" ht="15.75" thickBot="1" x14ac:dyDescent="0.3">
      <c r="A859" s="569"/>
      <c r="B859" s="569"/>
      <c r="C859" s="569"/>
      <c r="D859" s="569"/>
      <c r="E859" s="569"/>
      <c r="F859" s="569"/>
      <c r="G859" s="569"/>
      <c r="H859" s="569"/>
      <c r="I859" s="569"/>
      <c r="J859" s="569"/>
      <c r="K859" s="569"/>
      <c r="L859" s="569"/>
      <c r="M859" s="569"/>
      <c r="N859" s="569"/>
      <c r="O859" s="569"/>
      <c r="P859" s="569"/>
      <c r="Q859" s="569"/>
      <c r="R859" s="569"/>
      <c r="S859" s="569"/>
      <c r="T859" s="569"/>
      <c r="U859" s="569"/>
      <c r="V859" s="569"/>
      <c r="W859" s="569"/>
      <c r="X859" s="569"/>
      <c r="Y859" s="569"/>
      <c r="Z859" s="569"/>
      <c r="AA859" s="569"/>
      <c r="AB859" s="569"/>
      <c r="AC859" s="569"/>
      <c r="AD859" s="569"/>
      <c r="AE859" s="569"/>
      <c r="AF859" s="569"/>
      <c r="AG859" s="569"/>
      <c r="AH859" s="569"/>
      <c r="AI859" s="569"/>
      <c r="AJ859" s="569"/>
      <c r="AK859" s="569"/>
      <c r="AL859" s="569"/>
      <c r="AM859" s="569"/>
      <c r="AN859" s="569"/>
      <c r="AP859" t="str">
        <f t="shared" si="184"/>
        <v/>
      </c>
      <c r="AQ859" t="str">
        <f t="shared" si="185"/>
        <v/>
      </c>
      <c r="AR859" s="430">
        <f>IFERROR(
IF(AP859="",-100,
IF($BV$2&gt;0, INDEX(Beersheet!$A:$U,MATCH(AP859,INDEX(Beersheet!$A:$U,0,FFARawStatProjections!$BV$2),0),$BV$3)+$BN859,
INDEX($A859:$BM859,,$BV$12)*$BW$12+
INDEX($A859:$BM859,,$BV$15)*$BW$15+
INDEX($A859:$BM859,,$BV$16)*$BW$16+
INDEX($A859:$BM859,,$BV$17)*$BW$17+
INDEX($A859:$BM859,,$BV$18)*$BW$18+
INDEX($A859:$BM859,,$BV$19)*$BW$19+
INDEX($A859:$BM859,,$BV$20)*$BW$20+
INDEX($A859:$BM859,,$BV$21)*$BW$21+
INDEX($A859:$BM859,,$BV$22)*$BW$22+
INDEX($A859:$BM859,,$BV$23)*$BW$23+
INDEX($A859:$BM859,,$BV$25)*$BW$25+
INDEX($A859:$BM859,,$BV$26)*$BW$26+
INDEX($A859:$BM859,,$BV$27)*$BW$27+
$BN859)),
$BN859-100)</f>
        <v>-100</v>
      </c>
      <c r="AT859" t="str">
        <f t="shared" si="178"/>
        <v/>
      </c>
      <c r="AU859" t="str">
        <f t="shared" si="186"/>
        <v/>
      </c>
      <c r="AV859" s="430">
        <f>IFERROR(
IF(AT859="",-100,
IF($BV$2&gt;0, INDEX(Beersheet!$A:$U,MATCH(AT859,INDEX(Beersheet!$A:$U,0,FFARawStatProjections!$BV$2),0),$BV$3)+$BN859,
INDEX($A859:$BM859,,$BV$12)*$BW$12+
INDEX($A859:$BM859,,$BV$15)*$BW$15+
INDEX($A859:$BM859,,$BV$16)*$BW$16+
INDEX($A859:$BM859,,$BV$17)*$BW$17+
INDEX($A859:$BM859,,$BV$18)*$BW$18+
INDEX($A859:$BM859,,$BV$19)*$BW$19+
INDEX($A859:$BM859,,$BV$20)*$BW$20+
INDEX($A859:$BM859,,$BV$21)*$BW$21+
INDEX($A859:$BM859,,$BV$22)*$BW$22+
INDEX($A859:$BM859,,$BV$23)*$BW$23+
INDEX($A859:$BM859,,$BV$25)*$BW$25+
INDEX($A859:$BM859,,$BV$26)*$BW$26+
INDEX($A859:$BM859,,$BV$27)*$BW$27+
$BN859)),
$BN859-100)</f>
        <v>-100</v>
      </c>
      <c r="AX859" t="str">
        <f t="shared" si="179"/>
        <v/>
      </c>
      <c r="AY859" t="str">
        <f t="shared" si="187"/>
        <v/>
      </c>
      <c r="AZ859" s="430">
        <f>IFERROR(
IF(AX859="",-100,
IF($BV$2&gt;0, INDEX(Beersheet!$A:$U,MATCH(AX859,INDEX(Beersheet!$A:$U,0,FFARawStatProjections!$BV$2),0),$BV$3)+$BN859,
INDEX($A859:$BM859,,$BV$12)*$BW$12+
INDEX($A859:$BM859,,$BV$15)*$BW$15+
INDEX($A859:$BM859,,$BV$16)*$BW$16+
INDEX($A859:$BM859,,$BV$17)*$BW$17+
INDEX($A859:$BM859,,$BV$18)*$BW$18+
INDEX($A859:$BM859,,$BV$19)*$BW$19+
INDEX($A859:$BM859,,$BV$20)*$BW$20+
INDEX($A859:$BM859,,$BV$21)*$BW$21+
INDEX($A859:$BM859,,$BV$22)*$BW$22+
INDEX($A859:$BM859,,$BV$23)*$BW$23+
INDEX($A859:$BM859,,$BV$25)*$BW$25+
INDEX($A859:$BM859,,$BV$26)*$BW$26+
INDEX($A859:$BM859,,$BV$27)*$BW$27+
$BN859)),
$BN859-100)</f>
        <v>-100</v>
      </c>
      <c r="BB859" t="str">
        <f t="shared" si="180"/>
        <v/>
      </c>
      <c r="BC859" t="str">
        <f t="shared" si="188"/>
        <v/>
      </c>
      <c r="BD859" s="430">
        <f>IFERROR(
IF(BB859="",-100,
IF($BV$2&gt;0, INDEX(Beersheet!$A:$U,MATCH(BB859,INDEX(Beersheet!$A:$U,0,FFARawStatProjections!$BV$2),0),$BV$3)+$BN859,
INDEX($A859:$BM859,,$BV$12)*$BW$12+
INDEX($A859:$BM859,,$BV$15)*$BW$15+
INDEX($A859:$BM859,,$BV$16)*$BW$16+
INDEX($A859:$BM859,,$BV$17)*$BW$17+
INDEX($A859:$BM859,,$BV$18)*$BW$18+
INDEX($A859:$BM859,,$BV$19)*$BW$19+
INDEX($A859:$BM859,,$BV$20)*$BW$20+
INDEX($A859:$BM859,,$BV$21)*$BW$21+
INDEX($A859:$BM859,,$BV$22)*$BW$22+
INDEX($A859:$BM859,,$BV$23)*$BW$23+
INDEX($A859:$BM859,,$BV$25)*$BW$25+
INDEX($A859:$BM859,,$BV$26)*$BW$26+
INDEX($A859:$BM859,,$BV$27)*$BW$27+
$BN859)),
$BN859-100)</f>
        <v>-100</v>
      </c>
      <c r="BF859" t="str">
        <f t="shared" si="181"/>
        <v/>
      </c>
      <c r="BG859" t="str">
        <f t="shared" si="189"/>
        <v/>
      </c>
      <c r="BH859">
        <f t="shared" si="182"/>
        <v>0</v>
      </c>
      <c r="BJ859" t="str">
        <f t="shared" si="183"/>
        <v/>
      </c>
      <c r="BL859">
        <f t="shared" si="190"/>
        <v>0</v>
      </c>
      <c r="BN859">
        <v>8.5800000000000702E-3</v>
      </c>
    </row>
    <row r="860" spans="1:66" ht="15.75" thickBot="1" x14ac:dyDescent="0.3">
      <c r="A860" s="569"/>
      <c r="B860" s="569"/>
      <c r="C860" s="569"/>
      <c r="D860" s="569"/>
      <c r="E860" s="569"/>
      <c r="F860" s="569"/>
      <c r="G860" s="569"/>
      <c r="H860" s="569"/>
      <c r="I860" s="569"/>
      <c r="J860" s="569"/>
      <c r="K860" s="569"/>
      <c r="L860" s="569"/>
      <c r="M860" s="569"/>
      <c r="N860" s="569"/>
      <c r="O860" s="569"/>
      <c r="P860" s="569"/>
      <c r="Q860" s="569"/>
      <c r="R860" s="569"/>
      <c r="S860" s="569"/>
      <c r="T860" s="569"/>
      <c r="U860" s="569"/>
      <c r="V860" s="569"/>
      <c r="W860" s="569"/>
      <c r="X860" s="569"/>
      <c r="Y860" s="569"/>
      <c r="Z860" s="569"/>
      <c r="AA860" s="569"/>
      <c r="AB860" s="569"/>
      <c r="AC860" s="569"/>
      <c r="AD860" s="569"/>
      <c r="AE860" s="569"/>
      <c r="AF860" s="569"/>
      <c r="AG860" s="569"/>
      <c r="AH860" s="569"/>
      <c r="AI860" s="569"/>
      <c r="AJ860" s="569"/>
      <c r="AK860" s="569"/>
      <c r="AL860" s="569"/>
      <c r="AM860" s="569"/>
      <c r="AN860" s="569"/>
      <c r="AP860" t="str">
        <f t="shared" si="184"/>
        <v/>
      </c>
      <c r="AQ860" t="str">
        <f t="shared" si="185"/>
        <v/>
      </c>
      <c r="AR860" s="430">
        <f>IFERROR(
IF(AP860="",-100,
IF($BV$2&gt;0, INDEX(Beersheet!$A:$U,MATCH(AP860,INDEX(Beersheet!$A:$U,0,FFARawStatProjections!$BV$2),0),$BV$3)+$BN860,
INDEX($A860:$BM860,,$BV$12)*$BW$12+
INDEX($A860:$BM860,,$BV$15)*$BW$15+
INDEX($A860:$BM860,,$BV$16)*$BW$16+
INDEX($A860:$BM860,,$BV$17)*$BW$17+
INDEX($A860:$BM860,,$BV$18)*$BW$18+
INDEX($A860:$BM860,,$BV$19)*$BW$19+
INDEX($A860:$BM860,,$BV$20)*$BW$20+
INDEX($A860:$BM860,,$BV$21)*$BW$21+
INDEX($A860:$BM860,,$BV$22)*$BW$22+
INDEX($A860:$BM860,,$BV$23)*$BW$23+
INDEX($A860:$BM860,,$BV$25)*$BW$25+
INDEX($A860:$BM860,,$BV$26)*$BW$26+
INDEX($A860:$BM860,,$BV$27)*$BW$27+
$BN860)),
$BN860-100)</f>
        <v>-100</v>
      </c>
      <c r="AT860" t="str">
        <f t="shared" si="178"/>
        <v/>
      </c>
      <c r="AU860" t="str">
        <f t="shared" si="186"/>
        <v/>
      </c>
      <c r="AV860" s="430">
        <f>IFERROR(
IF(AT860="",-100,
IF($BV$2&gt;0, INDEX(Beersheet!$A:$U,MATCH(AT860,INDEX(Beersheet!$A:$U,0,FFARawStatProjections!$BV$2),0),$BV$3)+$BN860,
INDEX($A860:$BM860,,$BV$12)*$BW$12+
INDEX($A860:$BM860,,$BV$15)*$BW$15+
INDEX($A860:$BM860,,$BV$16)*$BW$16+
INDEX($A860:$BM860,,$BV$17)*$BW$17+
INDEX($A860:$BM860,,$BV$18)*$BW$18+
INDEX($A860:$BM860,,$BV$19)*$BW$19+
INDEX($A860:$BM860,,$BV$20)*$BW$20+
INDEX($A860:$BM860,,$BV$21)*$BW$21+
INDEX($A860:$BM860,,$BV$22)*$BW$22+
INDEX($A860:$BM860,,$BV$23)*$BW$23+
INDEX($A860:$BM860,,$BV$25)*$BW$25+
INDEX($A860:$BM860,,$BV$26)*$BW$26+
INDEX($A860:$BM860,,$BV$27)*$BW$27+
$BN860)),
$BN860-100)</f>
        <v>-100</v>
      </c>
      <c r="AX860" t="str">
        <f t="shared" si="179"/>
        <v/>
      </c>
      <c r="AY860" t="str">
        <f t="shared" si="187"/>
        <v/>
      </c>
      <c r="AZ860" s="430">
        <f>IFERROR(
IF(AX860="",-100,
IF($BV$2&gt;0, INDEX(Beersheet!$A:$U,MATCH(AX860,INDEX(Beersheet!$A:$U,0,FFARawStatProjections!$BV$2),0),$BV$3)+$BN860,
INDEX($A860:$BM860,,$BV$12)*$BW$12+
INDEX($A860:$BM860,,$BV$15)*$BW$15+
INDEX($A860:$BM860,,$BV$16)*$BW$16+
INDEX($A860:$BM860,,$BV$17)*$BW$17+
INDEX($A860:$BM860,,$BV$18)*$BW$18+
INDEX($A860:$BM860,,$BV$19)*$BW$19+
INDEX($A860:$BM860,,$BV$20)*$BW$20+
INDEX($A860:$BM860,,$BV$21)*$BW$21+
INDEX($A860:$BM860,,$BV$22)*$BW$22+
INDEX($A860:$BM860,,$BV$23)*$BW$23+
INDEX($A860:$BM860,,$BV$25)*$BW$25+
INDEX($A860:$BM860,,$BV$26)*$BW$26+
INDEX($A860:$BM860,,$BV$27)*$BW$27+
$BN860)),
$BN860-100)</f>
        <v>-100</v>
      </c>
      <c r="BB860" t="str">
        <f t="shared" si="180"/>
        <v/>
      </c>
      <c r="BC860" t="str">
        <f t="shared" si="188"/>
        <v/>
      </c>
      <c r="BD860" s="430">
        <f>IFERROR(
IF(BB860="",-100,
IF($BV$2&gt;0, INDEX(Beersheet!$A:$U,MATCH(BB860,INDEX(Beersheet!$A:$U,0,FFARawStatProjections!$BV$2),0),$BV$3)+$BN860,
INDEX($A860:$BM860,,$BV$12)*$BW$12+
INDEX($A860:$BM860,,$BV$15)*$BW$15+
INDEX($A860:$BM860,,$BV$16)*$BW$16+
INDEX($A860:$BM860,,$BV$17)*$BW$17+
INDEX($A860:$BM860,,$BV$18)*$BW$18+
INDEX($A860:$BM860,,$BV$19)*$BW$19+
INDEX($A860:$BM860,,$BV$20)*$BW$20+
INDEX($A860:$BM860,,$BV$21)*$BW$21+
INDEX($A860:$BM860,,$BV$22)*$BW$22+
INDEX($A860:$BM860,,$BV$23)*$BW$23+
INDEX($A860:$BM860,,$BV$25)*$BW$25+
INDEX($A860:$BM860,,$BV$26)*$BW$26+
INDEX($A860:$BM860,,$BV$27)*$BW$27+
$BN860)),
$BN860-100)</f>
        <v>-100</v>
      </c>
      <c r="BF860" t="str">
        <f t="shared" si="181"/>
        <v/>
      </c>
      <c r="BG860" t="str">
        <f t="shared" si="189"/>
        <v/>
      </c>
      <c r="BH860">
        <f t="shared" si="182"/>
        <v>0</v>
      </c>
      <c r="BJ860" t="str">
        <f t="shared" si="183"/>
        <v/>
      </c>
      <c r="BL860">
        <f t="shared" si="190"/>
        <v>0</v>
      </c>
      <c r="BN860">
        <v>8.5900000000000698E-3</v>
      </c>
    </row>
    <row r="861" spans="1:66" ht="15.75" thickBot="1" x14ac:dyDescent="0.3">
      <c r="A861" s="569"/>
      <c r="B861" s="569"/>
      <c r="C861" s="569"/>
      <c r="D861" s="569"/>
      <c r="E861" s="569"/>
      <c r="F861" s="569"/>
      <c r="G861" s="569"/>
      <c r="H861" s="569"/>
      <c r="I861" s="569"/>
      <c r="J861" s="569"/>
      <c r="K861" s="569"/>
      <c r="L861" s="569"/>
      <c r="M861" s="569"/>
      <c r="N861" s="569"/>
      <c r="O861" s="569"/>
      <c r="P861" s="569"/>
      <c r="Q861" s="569"/>
      <c r="R861" s="569"/>
      <c r="S861" s="569"/>
      <c r="T861" s="569"/>
      <c r="U861" s="569"/>
      <c r="V861" s="569"/>
      <c r="W861" s="569"/>
      <c r="X861" s="569"/>
      <c r="Y861" s="569"/>
      <c r="Z861" s="569"/>
      <c r="AA861" s="569"/>
      <c r="AB861" s="569"/>
      <c r="AC861" s="569"/>
      <c r="AD861" s="569"/>
      <c r="AE861" s="569"/>
      <c r="AF861" s="569"/>
      <c r="AG861" s="569"/>
      <c r="AH861" s="569"/>
      <c r="AI861" s="569"/>
      <c r="AJ861" s="569"/>
      <c r="AK861" s="569"/>
      <c r="AL861" s="569"/>
      <c r="AM861" s="569"/>
      <c r="AN861" s="569"/>
      <c r="AP861" t="str">
        <f t="shared" si="184"/>
        <v/>
      </c>
      <c r="AQ861" t="str">
        <f t="shared" si="185"/>
        <v/>
      </c>
      <c r="AR861" s="430">
        <f>IFERROR(
IF(AP861="",-100,
IF($BV$2&gt;0, INDEX(Beersheet!$A:$U,MATCH(AP861,INDEX(Beersheet!$A:$U,0,FFARawStatProjections!$BV$2),0),$BV$3)+$BN861,
INDEX($A861:$BM861,,$BV$12)*$BW$12+
INDEX($A861:$BM861,,$BV$15)*$BW$15+
INDEX($A861:$BM861,,$BV$16)*$BW$16+
INDEX($A861:$BM861,,$BV$17)*$BW$17+
INDEX($A861:$BM861,,$BV$18)*$BW$18+
INDEX($A861:$BM861,,$BV$19)*$BW$19+
INDEX($A861:$BM861,,$BV$20)*$BW$20+
INDEX($A861:$BM861,,$BV$21)*$BW$21+
INDEX($A861:$BM861,,$BV$22)*$BW$22+
INDEX($A861:$BM861,,$BV$23)*$BW$23+
INDEX($A861:$BM861,,$BV$25)*$BW$25+
INDEX($A861:$BM861,,$BV$26)*$BW$26+
INDEX($A861:$BM861,,$BV$27)*$BW$27+
$BN861)),
$BN861-100)</f>
        <v>-100</v>
      </c>
      <c r="AT861" t="str">
        <f t="shared" si="178"/>
        <v/>
      </c>
      <c r="AU861" t="str">
        <f t="shared" si="186"/>
        <v/>
      </c>
      <c r="AV861" s="430">
        <f>IFERROR(
IF(AT861="",-100,
IF($BV$2&gt;0, INDEX(Beersheet!$A:$U,MATCH(AT861,INDEX(Beersheet!$A:$U,0,FFARawStatProjections!$BV$2),0),$BV$3)+$BN861,
INDEX($A861:$BM861,,$BV$12)*$BW$12+
INDEX($A861:$BM861,,$BV$15)*$BW$15+
INDEX($A861:$BM861,,$BV$16)*$BW$16+
INDEX($A861:$BM861,,$BV$17)*$BW$17+
INDEX($A861:$BM861,,$BV$18)*$BW$18+
INDEX($A861:$BM861,,$BV$19)*$BW$19+
INDEX($A861:$BM861,,$BV$20)*$BW$20+
INDEX($A861:$BM861,,$BV$21)*$BW$21+
INDEX($A861:$BM861,,$BV$22)*$BW$22+
INDEX($A861:$BM861,,$BV$23)*$BW$23+
INDEX($A861:$BM861,,$BV$25)*$BW$25+
INDEX($A861:$BM861,,$BV$26)*$BW$26+
INDEX($A861:$BM861,,$BV$27)*$BW$27+
$BN861)),
$BN861-100)</f>
        <v>-100</v>
      </c>
      <c r="AX861" t="str">
        <f t="shared" si="179"/>
        <v/>
      </c>
      <c r="AY861" t="str">
        <f t="shared" si="187"/>
        <v/>
      </c>
      <c r="AZ861" s="430">
        <f>IFERROR(
IF(AX861="",-100,
IF($BV$2&gt;0, INDEX(Beersheet!$A:$U,MATCH(AX861,INDEX(Beersheet!$A:$U,0,FFARawStatProjections!$BV$2),0),$BV$3)+$BN861,
INDEX($A861:$BM861,,$BV$12)*$BW$12+
INDEX($A861:$BM861,,$BV$15)*$BW$15+
INDEX($A861:$BM861,,$BV$16)*$BW$16+
INDEX($A861:$BM861,,$BV$17)*$BW$17+
INDEX($A861:$BM861,,$BV$18)*$BW$18+
INDEX($A861:$BM861,,$BV$19)*$BW$19+
INDEX($A861:$BM861,,$BV$20)*$BW$20+
INDEX($A861:$BM861,,$BV$21)*$BW$21+
INDEX($A861:$BM861,,$BV$22)*$BW$22+
INDEX($A861:$BM861,,$BV$23)*$BW$23+
INDEX($A861:$BM861,,$BV$25)*$BW$25+
INDEX($A861:$BM861,,$BV$26)*$BW$26+
INDEX($A861:$BM861,,$BV$27)*$BW$27+
$BN861)),
$BN861-100)</f>
        <v>-100</v>
      </c>
      <c r="BB861" t="str">
        <f t="shared" si="180"/>
        <v/>
      </c>
      <c r="BC861" t="str">
        <f t="shared" si="188"/>
        <v/>
      </c>
      <c r="BD861" s="430">
        <f>IFERROR(
IF(BB861="",-100,
IF($BV$2&gt;0, INDEX(Beersheet!$A:$U,MATCH(BB861,INDEX(Beersheet!$A:$U,0,FFARawStatProjections!$BV$2),0),$BV$3)+$BN861,
INDEX($A861:$BM861,,$BV$12)*$BW$12+
INDEX($A861:$BM861,,$BV$15)*$BW$15+
INDEX($A861:$BM861,,$BV$16)*$BW$16+
INDEX($A861:$BM861,,$BV$17)*$BW$17+
INDEX($A861:$BM861,,$BV$18)*$BW$18+
INDEX($A861:$BM861,,$BV$19)*$BW$19+
INDEX($A861:$BM861,,$BV$20)*$BW$20+
INDEX($A861:$BM861,,$BV$21)*$BW$21+
INDEX($A861:$BM861,,$BV$22)*$BW$22+
INDEX($A861:$BM861,,$BV$23)*$BW$23+
INDEX($A861:$BM861,,$BV$25)*$BW$25+
INDEX($A861:$BM861,,$BV$26)*$BW$26+
INDEX($A861:$BM861,,$BV$27)*$BW$27+
$BN861)),
$BN861-100)</f>
        <v>-100</v>
      </c>
      <c r="BF861" t="str">
        <f t="shared" si="181"/>
        <v/>
      </c>
      <c r="BG861" t="str">
        <f t="shared" si="189"/>
        <v/>
      </c>
      <c r="BH861">
        <f t="shared" si="182"/>
        <v>0</v>
      </c>
      <c r="BJ861" t="str">
        <f t="shared" si="183"/>
        <v/>
      </c>
      <c r="BL861">
        <f t="shared" si="190"/>
        <v>0</v>
      </c>
      <c r="BN861">
        <v>8.6000000000000694E-3</v>
      </c>
    </row>
    <row r="862" spans="1:66" ht="15.75" thickBot="1" x14ac:dyDescent="0.3">
      <c r="A862" s="569"/>
      <c r="B862" s="569"/>
      <c r="C862" s="569"/>
      <c r="D862" s="569"/>
      <c r="E862" s="569"/>
      <c r="F862" s="569"/>
      <c r="G862" s="569"/>
      <c r="H862" s="569"/>
      <c r="I862" s="569"/>
      <c r="J862" s="569"/>
      <c r="K862" s="569"/>
      <c r="L862" s="569"/>
      <c r="M862" s="569"/>
      <c r="N862" s="569"/>
      <c r="O862" s="569"/>
      <c r="P862" s="569"/>
      <c r="Q862" s="569"/>
      <c r="R862" s="569"/>
      <c r="S862" s="569"/>
      <c r="T862" s="569"/>
      <c r="U862" s="569"/>
      <c r="V862" s="569"/>
      <c r="W862" s="569"/>
      <c r="X862" s="569"/>
      <c r="Y862" s="569"/>
      <c r="Z862" s="569"/>
      <c r="AA862" s="569"/>
      <c r="AB862" s="569"/>
      <c r="AC862" s="569"/>
      <c r="AD862" s="569"/>
      <c r="AE862" s="569"/>
      <c r="AF862" s="569"/>
      <c r="AG862" s="569"/>
      <c r="AH862" s="569"/>
      <c r="AI862" s="569"/>
      <c r="AJ862" s="569"/>
      <c r="AK862" s="569"/>
      <c r="AL862" s="569"/>
      <c r="AM862" s="569"/>
      <c r="AN862" s="569"/>
      <c r="AP862" t="str">
        <f t="shared" si="184"/>
        <v/>
      </c>
      <c r="AQ862" t="str">
        <f t="shared" si="185"/>
        <v/>
      </c>
      <c r="AR862" s="430">
        <f>IFERROR(
IF(AP862="",-100,
IF($BV$2&gt;0, INDEX(Beersheet!$A:$U,MATCH(AP862,INDEX(Beersheet!$A:$U,0,FFARawStatProjections!$BV$2),0),$BV$3)+$BN862,
INDEX($A862:$BM862,,$BV$12)*$BW$12+
INDEX($A862:$BM862,,$BV$15)*$BW$15+
INDEX($A862:$BM862,,$BV$16)*$BW$16+
INDEX($A862:$BM862,,$BV$17)*$BW$17+
INDEX($A862:$BM862,,$BV$18)*$BW$18+
INDEX($A862:$BM862,,$BV$19)*$BW$19+
INDEX($A862:$BM862,,$BV$20)*$BW$20+
INDEX($A862:$BM862,,$BV$21)*$BW$21+
INDEX($A862:$BM862,,$BV$22)*$BW$22+
INDEX($A862:$BM862,,$BV$23)*$BW$23+
INDEX($A862:$BM862,,$BV$25)*$BW$25+
INDEX($A862:$BM862,,$BV$26)*$BW$26+
INDEX($A862:$BM862,,$BV$27)*$BW$27+
$BN862)),
$BN862-100)</f>
        <v>-100</v>
      </c>
      <c r="AT862" t="str">
        <f t="shared" si="178"/>
        <v/>
      </c>
      <c r="AU862" t="str">
        <f t="shared" si="186"/>
        <v/>
      </c>
      <c r="AV862" s="430">
        <f>IFERROR(
IF(AT862="",-100,
IF($BV$2&gt;0, INDEX(Beersheet!$A:$U,MATCH(AT862,INDEX(Beersheet!$A:$U,0,FFARawStatProjections!$BV$2),0),$BV$3)+$BN862,
INDEX($A862:$BM862,,$BV$12)*$BW$12+
INDEX($A862:$BM862,,$BV$15)*$BW$15+
INDEX($A862:$BM862,,$BV$16)*$BW$16+
INDEX($A862:$BM862,,$BV$17)*$BW$17+
INDEX($A862:$BM862,,$BV$18)*$BW$18+
INDEX($A862:$BM862,,$BV$19)*$BW$19+
INDEX($A862:$BM862,,$BV$20)*$BW$20+
INDEX($A862:$BM862,,$BV$21)*$BW$21+
INDEX($A862:$BM862,,$BV$22)*$BW$22+
INDEX($A862:$BM862,,$BV$23)*$BW$23+
INDEX($A862:$BM862,,$BV$25)*$BW$25+
INDEX($A862:$BM862,,$BV$26)*$BW$26+
INDEX($A862:$BM862,,$BV$27)*$BW$27+
$BN862)),
$BN862-100)</f>
        <v>-100</v>
      </c>
      <c r="AX862" t="str">
        <f t="shared" si="179"/>
        <v/>
      </c>
      <c r="AY862" t="str">
        <f t="shared" si="187"/>
        <v/>
      </c>
      <c r="AZ862" s="430">
        <f>IFERROR(
IF(AX862="",-100,
IF($BV$2&gt;0, INDEX(Beersheet!$A:$U,MATCH(AX862,INDEX(Beersheet!$A:$U,0,FFARawStatProjections!$BV$2),0),$BV$3)+$BN862,
INDEX($A862:$BM862,,$BV$12)*$BW$12+
INDEX($A862:$BM862,,$BV$15)*$BW$15+
INDEX($A862:$BM862,,$BV$16)*$BW$16+
INDEX($A862:$BM862,,$BV$17)*$BW$17+
INDEX($A862:$BM862,,$BV$18)*$BW$18+
INDEX($A862:$BM862,,$BV$19)*$BW$19+
INDEX($A862:$BM862,,$BV$20)*$BW$20+
INDEX($A862:$BM862,,$BV$21)*$BW$21+
INDEX($A862:$BM862,,$BV$22)*$BW$22+
INDEX($A862:$BM862,,$BV$23)*$BW$23+
INDEX($A862:$BM862,,$BV$25)*$BW$25+
INDEX($A862:$BM862,,$BV$26)*$BW$26+
INDEX($A862:$BM862,,$BV$27)*$BW$27+
$BN862)),
$BN862-100)</f>
        <v>-100</v>
      </c>
      <c r="BB862" t="str">
        <f t="shared" si="180"/>
        <v/>
      </c>
      <c r="BC862" t="str">
        <f t="shared" si="188"/>
        <v/>
      </c>
      <c r="BD862" s="430">
        <f>IFERROR(
IF(BB862="",-100,
IF($BV$2&gt;0, INDEX(Beersheet!$A:$U,MATCH(BB862,INDEX(Beersheet!$A:$U,0,FFARawStatProjections!$BV$2),0),$BV$3)+$BN862,
INDEX($A862:$BM862,,$BV$12)*$BW$12+
INDEX($A862:$BM862,,$BV$15)*$BW$15+
INDEX($A862:$BM862,,$BV$16)*$BW$16+
INDEX($A862:$BM862,,$BV$17)*$BW$17+
INDEX($A862:$BM862,,$BV$18)*$BW$18+
INDEX($A862:$BM862,,$BV$19)*$BW$19+
INDEX($A862:$BM862,,$BV$20)*$BW$20+
INDEX($A862:$BM862,,$BV$21)*$BW$21+
INDEX($A862:$BM862,,$BV$22)*$BW$22+
INDEX($A862:$BM862,,$BV$23)*$BW$23+
INDEX($A862:$BM862,,$BV$25)*$BW$25+
INDEX($A862:$BM862,,$BV$26)*$BW$26+
INDEX($A862:$BM862,,$BV$27)*$BW$27+
$BN862)),
$BN862-100)</f>
        <v>-100</v>
      </c>
      <c r="BF862" t="str">
        <f t="shared" si="181"/>
        <v/>
      </c>
      <c r="BG862" t="str">
        <f t="shared" si="189"/>
        <v/>
      </c>
      <c r="BH862">
        <f t="shared" si="182"/>
        <v>0</v>
      </c>
      <c r="BJ862" t="str">
        <f t="shared" si="183"/>
        <v/>
      </c>
      <c r="BL862">
        <f t="shared" si="190"/>
        <v>0</v>
      </c>
      <c r="BN862">
        <v>8.6100000000000707E-3</v>
      </c>
    </row>
    <row r="863" spans="1:66" ht="15.75" thickBot="1" x14ac:dyDescent="0.3">
      <c r="A863" s="569"/>
      <c r="B863" s="569"/>
      <c r="C863" s="569"/>
      <c r="D863" s="569"/>
      <c r="E863" s="569"/>
      <c r="F863" s="569"/>
      <c r="G863" s="569"/>
      <c r="H863" s="569"/>
      <c r="I863" s="569"/>
      <c r="J863" s="569"/>
      <c r="K863" s="569"/>
      <c r="L863" s="569"/>
      <c r="M863" s="569"/>
      <c r="N863" s="569"/>
      <c r="O863" s="569"/>
      <c r="P863" s="569"/>
      <c r="Q863" s="569"/>
      <c r="R863" s="569"/>
      <c r="S863" s="569"/>
      <c r="T863" s="569"/>
      <c r="U863" s="569"/>
      <c r="V863" s="569"/>
      <c r="W863" s="569"/>
      <c r="X863" s="569"/>
      <c r="Y863" s="569"/>
      <c r="Z863" s="569"/>
      <c r="AA863" s="569"/>
      <c r="AB863" s="569"/>
      <c r="AC863" s="569"/>
      <c r="AD863" s="569"/>
      <c r="AE863" s="569"/>
      <c r="AF863" s="569"/>
      <c r="AG863" s="569"/>
      <c r="AH863" s="569"/>
      <c r="AI863" s="569"/>
      <c r="AJ863" s="569"/>
      <c r="AK863" s="569"/>
      <c r="AL863" s="569"/>
      <c r="AM863" s="569"/>
      <c r="AN863" s="569"/>
      <c r="AP863" t="str">
        <f t="shared" si="184"/>
        <v/>
      </c>
      <c r="AQ863" t="str">
        <f t="shared" si="185"/>
        <v/>
      </c>
      <c r="AR863" s="430">
        <f>IFERROR(
IF(AP863="",-100,
IF($BV$2&gt;0, INDEX(Beersheet!$A:$U,MATCH(AP863,INDEX(Beersheet!$A:$U,0,FFARawStatProjections!$BV$2),0),$BV$3)+$BN863,
INDEX($A863:$BM863,,$BV$12)*$BW$12+
INDEX($A863:$BM863,,$BV$15)*$BW$15+
INDEX($A863:$BM863,,$BV$16)*$BW$16+
INDEX($A863:$BM863,,$BV$17)*$BW$17+
INDEX($A863:$BM863,,$BV$18)*$BW$18+
INDEX($A863:$BM863,,$BV$19)*$BW$19+
INDEX($A863:$BM863,,$BV$20)*$BW$20+
INDEX($A863:$BM863,,$BV$21)*$BW$21+
INDEX($A863:$BM863,,$BV$22)*$BW$22+
INDEX($A863:$BM863,,$BV$23)*$BW$23+
INDEX($A863:$BM863,,$BV$25)*$BW$25+
INDEX($A863:$BM863,,$BV$26)*$BW$26+
INDEX($A863:$BM863,,$BV$27)*$BW$27+
$BN863)),
$BN863-100)</f>
        <v>-100</v>
      </c>
      <c r="AT863" t="str">
        <f t="shared" si="178"/>
        <v/>
      </c>
      <c r="AU863" t="str">
        <f t="shared" si="186"/>
        <v/>
      </c>
      <c r="AV863" s="430">
        <f>IFERROR(
IF(AT863="",-100,
IF($BV$2&gt;0, INDEX(Beersheet!$A:$U,MATCH(AT863,INDEX(Beersheet!$A:$U,0,FFARawStatProjections!$BV$2),0),$BV$3)+$BN863,
INDEX($A863:$BM863,,$BV$12)*$BW$12+
INDEX($A863:$BM863,,$BV$15)*$BW$15+
INDEX($A863:$BM863,,$BV$16)*$BW$16+
INDEX($A863:$BM863,,$BV$17)*$BW$17+
INDEX($A863:$BM863,,$BV$18)*$BW$18+
INDEX($A863:$BM863,,$BV$19)*$BW$19+
INDEX($A863:$BM863,,$BV$20)*$BW$20+
INDEX($A863:$BM863,,$BV$21)*$BW$21+
INDEX($A863:$BM863,,$BV$22)*$BW$22+
INDEX($A863:$BM863,,$BV$23)*$BW$23+
INDEX($A863:$BM863,,$BV$25)*$BW$25+
INDEX($A863:$BM863,,$BV$26)*$BW$26+
INDEX($A863:$BM863,,$BV$27)*$BW$27+
$BN863)),
$BN863-100)</f>
        <v>-100</v>
      </c>
      <c r="AX863" t="str">
        <f t="shared" si="179"/>
        <v/>
      </c>
      <c r="AY863" t="str">
        <f t="shared" si="187"/>
        <v/>
      </c>
      <c r="AZ863" s="430">
        <f>IFERROR(
IF(AX863="",-100,
IF($BV$2&gt;0, INDEX(Beersheet!$A:$U,MATCH(AX863,INDEX(Beersheet!$A:$U,0,FFARawStatProjections!$BV$2),0),$BV$3)+$BN863,
INDEX($A863:$BM863,,$BV$12)*$BW$12+
INDEX($A863:$BM863,,$BV$15)*$BW$15+
INDEX($A863:$BM863,,$BV$16)*$BW$16+
INDEX($A863:$BM863,,$BV$17)*$BW$17+
INDEX($A863:$BM863,,$BV$18)*$BW$18+
INDEX($A863:$BM863,,$BV$19)*$BW$19+
INDEX($A863:$BM863,,$BV$20)*$BW$20+
INDEX($A863:$BM863,,$BV$21)*$BW$21+
INDEX($A863:$BM863,,$BV$22)*$BW$22+
INDEX($A863:$BM863,,$BV$23)*$BW$23+
INDEX($A863:$BM863,,$BV$25)*$BW$25+
INDEX($A863:$BM863,,$BV$26)*$BW$26+
INDEX($A863:$BM863,,$BV$27)*$BW$27+
$BN863)),
$BN863-100)</f>
        <v>-100</v>
      </c>
      <c r="BB863" t="str">
        <f t="shared" si="180"/>
        <v/>
      </c>
      <c r="BC863" t="str">
        <f t="shared" si="188"/>
        <v/>
      </c>
      <c r="BD863" s="430">
        <f>IFERROR(
IF(BB863="",-100,
IF($BV$2&gt;0, INDEX(Beersheet!$A:$U,MATCH(BB863,INDEX(Beersheet!$A:$U,0,FFARawStatProjections!$BV$2),0),$BV$3)+$BN863,
INDEX($A863:$BM863,,$BV$12)*$BW$12+
INDEX($A863:$BM863,,$BV$15)*$BW$15+
INDEX($A863:$BM863,,$BV$16)*$BW$16+
INDEX($A863:$BM863,,$BV$17)*$BW$17+
INDEX($A863:$BM863,,$BV$18)*$BW$18+
INDEX($A863:$BM863,,$BV$19)*$BW$19+
INDEX($A863:$BM863,,$BV$20)*$BW$20+
INDEX($A863:$BM863,,$BV$21)*$BW$21+
INDEX($A863:$BM863,,$BV$22)*$BW$22+
INDEX($A863:$BM863,,$BV$23)*$BW$23+
INDEX($A863:$BM863,,$BV$25)*$BW$25+
INDEX($A863:$BM863,,$BV$26)*$BW$26+
INDEX($A863:$BM863,,$BV$27)*$BW$27+
$BN863)),
$BN863-100)</f>
        <v>-100</v>
      </c>
      <c r="BF863" t="str">
        <f t="shared" si="181"/>
        <v/>
      </c>
      <c r="BG863" t="str">
        <f t="shared" si="189"/>
        <v/>
      </c>
      <c r="BH863">
        <f t="shared" si="182"/>
        <v>0</v>
      </c>
      <c r="BJ863" t="str">
        <f t="shared" si="183"/>
        <v/>
      </c>
      <c r="BL863">
        <f t="shared" si="190"/>
        <v>0</v>
      </c>
      <c r="BN863">
        <v>8.6200000000000703E-3</v>
      </c>
    </row>
    <row r="864" spans="1:66" ht="15.75" thickBot="1" x14ac:dyDescent="0.3">
      <c r="A864" s="569"/>
      <c r="B864" s="569"/>
      <c r="C864" s="569"/>
      <c r="D864" s="569"/>
      <c r="E864" s="569"/>
      <c r="F864" s="569"/>
      <c r="G864" s="569"/>
      <c r="H864" s="569"/>
      <c r="I864" s="569"/>
      <c r="J864" s="569"/>
      <c r="K864" s="569"/>
      <c r="L864" s="569"/>
      <c r="M864" s="569"/>
      <c r="N864" s="569"/>
      <c r="O864" s="569"/>
      <c r="P864" s="569"/>
      <c r="Q864" s="569"/>
      <c r="R864" s="569"/>
      <c r="S864" s="569"/>
      <c r="T864" s="569"/>
      <c r="U864" s="569"/>
      <c r="V864" s="569"/>
      <c r="W864" s="569"/>
      <c r="X864" s="569"/>
      <c r="Y864" s="569"/>
      <c r="Z864" s="569"/>
      <c r="AA864" s="569"/>
      <c r="AB864" s="569"/>
      <c r="AC864" s="569"/>
      <c r="AD864" s="569"/>
      <c r="AE864" s="569"/>
      <c r="AF864" s="569"/>
      <c r="AG864" s="569"/>
      <c r="AH864" s="569"/>
      <c r="AI864" s="569"/>
      <c r="AJ864" s="569"/>
      <c r="AK864" s="569"/>
      <c r="AL864" s="569"/>
      <c r="AM864" s="569"/>
      <c r="AN864" s="569"/>
      <c r="AP864" t="str">
        <f t="shared" si="184"/>
        <v/>
      </c>
      <c r="AQ864" t="str">
        <f t="shared" si="185"/>
        <v/>
      </c>
      <c r="AR864" s="430">
        <f>IFERROR(
IF(AP864="",-100,
IF($BV$2&gt;0, INDEX(Beersheet!$A:$U,MATCH(AP864,INDEX(Beersheet!$A:$U,0,FFARawStatProjections!$BV$2),0),$BV$3)+$BN864,
INDEX($A864:$BM864,,$BV$12)*$BW$12+
INDEX($A864:$BM864,,$BV$15)*$BW$15+
INDEX($A864:$BM864,,$BV$16)*$BW$16+
INDEX($A864:$BM864,,$BV$17)*$BW$17+
INDEX($A864:$BM864,,$BV$18)*$BW$18+
INDEX($A864:$BM864,,$BV$19)*$BW$19+
INDEX($A864:$BM864,,$BV$20)*$BW$20+
INDEX($A864:$BM864,,$BV$21)*$BW$21+
INDEX($A864:$BM864,,$BV$22)*$BW$22+
INDEX($A864:$BM864,,$BV$23)*$BW$23+
INDEX($A864:$BM864,,$BV$25)*$BW$25+
INDEX($A864:$BM864,,$BV$26)*$BW$26+
INDEX($A864:$BM864,,$BV$27)*$BW$27+
$BN864)),
$BN864-100)</f>
        <v>-100</v>
      </c>
      <c r="AT864" t="str">
        <f t="shared" si="178"/>
        <v/>
      </c>
      <c r="AU864" t="str">
        <f t="shared" si="186"/>
        <v/>
      </c>
      <c r="AV864" s="430">
        <f>IFERROR(
IF(AT864="",-100,
IF($BV$2&gt;0, INDEX(Beersheet!$A:$U,MATCH(AT864,INDEX(Beersheet!$A:$U,0,FFARawStatProjections!$BV$2),0),$BV$3)+$BN864,
INDEX($A864:$BM864,,$BV$12)*$BW$12+
INDEX($A864:$BM864,,$BV$15)*$BW$15+
INDEX($A864:$BM864,,$BV$16)*$BW$16+
INDEX($A864:$BM864,,$BV$17)*$BW$17+
INDEX($A864:$BM864,,$BV$18)*$BW$18+
INDEX($A864:$BM864,,$BV$19)*$BW$19+
INDEX($A864:$BM864,,$BV$20)*$BW$20+
INDEX($A864:$BM864,,$BV$21)*$BW$21+
INDEX($A864:$BM864,,$BV$22)*$BW$22+
INDEX($A864:$BM864,,$BV$23)*$BW$23+
INDEX($A864:$BM864,,$BV$25)*$BW$25+
INDEX($A864:$BM864,,$BV$26)*$BW$26+
INDEX($A864:$BM864,,$BV$27)*$BW$27+
$BN864)),
$BN864-100)</f>
        <v>-100</v>
      </c>
      <c r="AX864" t="str">
        <f t="shared" si="179"/>
        <v/>
      </c>
      <c r="AY864" t="str">
        <f t="shared" si="187"/>
        <v/>
      </c>
      <c r="AZ864" s="430">
        <f>IFERROR(
IF(AX864="",-100,
IF($BV$2&gt;0, INDEX(Beersheet!$A:$U,MATCH(AX864,INDEX(Beersheet!$A:$U,0,FFARawStatProjections!$BV$2),0),$BV$3)+$BN864,
INDEX($A864:$BM864,,$BV$12)*$BW$12+
INDEX($A864:$BM864,,$BV$15)*$BW$15+
INDEX($A864:$BM864,,$BV$16)*$BW$16+
INDEX($A864:$BM864,,$BV$17)*$BW$17+
INDEX($A864:$BM864,,$BV$18)*$BW$18+
INDEX($A864:$BM864,,$BV$19)*$BW$19+
INDEX($A864:$BM864,,$BV$20)*$BW$20+
INDEX($A864:$BM864,,$BV$21)*$BW$21+
INDEX($A864:$BM864,,$BV$22)*$BW$22+
INDEX($A864:$BM864,,$BV$23)*$BW$23+
INDEX($A864:$BM864,,$BV$25)*$BW$25+
INDEX($A864:$BM864,,$BV$26)*$BW$26+
INDEX($A864:$BM864,,$BV$27)*$BW$27+
$BN864)),
$BN864-100)</f>
        <v>-100</v>
      </c>
      <c r="BB864" t="str">
        <f t="shared" si="180"/>
        <v/>
      </c>
      <c r="BC864" t="str">
        <f t="shared" si="188"/>
        <v/>
      </c>
      <c r="BD864" s="430">
        <f>IFERROR(
IF(BB864="",-100,
IF($BV$2&gt;0, INDEX(Beersheet!$A:$U,MATCH(BB864,INDEX(Beersheet!$A:$U,0,FFARawStatProjections!$BV$2),0),$BV$3)+$BN864,
INDEX($A864:$BM864,,$BV$12)*$BW$12+
INDEX($A864:$BM864,,$BV$15)*$BW$15+
INDEX($A864:$BM864,,$BV$16)*$BW$16+
INDEX($A864:$BM864,,$BV$17)*$BW$17+
INDEX($A864:$BM864,,$BV$18)*$BW$18+
INDEX($A864:$BM864,,$BV$19)*$BW$19+
INDEX($A864:$BM864,,$BV$20)*$BW$20+
INDEX($A864:$BM864,,$BV$21)*$BW$21+
INDEX($A864:$BM864,,$BV$22)*$BW$22+
INDEX($A864:$BM864,,$BV$23)*$BW$23+
INDEX($A864:$BM864,,$BV$25)*$BW$25+
INDEX($A864:$BM864,,$BV$26)*$BW$26+
INDEX($A864:$BM864,,$BV$27)*$BW$27+
$BN864)),
$BN864-100)</f>
        <v>-100</v>
      </c>
      <c r="BF864" t="str">
        <f t="shared" si="181"/>
        <v/>
      </c>
      <c r="BG864" t="str">
        <f t="shared" si="189"/>
        <v/>
      </c>
      <c r="BH864">
        <f t="shared" si="182"/>
        <v>0</v>
      </c>
      <c r="BJ864" t="str">
        <f t="shared" si="183"/>
        <v/>
      </c>
      <c r="BL864">
        <f t="shared" si="190"/>
        <v>0</v>
      </c>
      <c r="BN864">
        <v>8.6300000000000595E-3</v>
      </c>
    </row>
    <row r="865" spans="1:66" ht="15.75" thickBot="1" x14ac:dyDescent="0.3">
      <c r="A865" s="569"/>
      <c r="B865" s="569"/>
      <c r="C865" s="569"/>
      <c r="D865" s="569"/>
      <c r="E865" s="569"/>
      <c r="F865" s="569"/>
      <c r="G865" s="569"/>
      <c r="H865" s="569"/>
      <c r="I865" s="569"/>
      <c r="J865" s="569"/>
      <c r="K865" s="569"/>
      <c r="L865" s="569"/>
      <c r="M865" s="569"/>
      <c r="N865" s="569"/>
      <c r="O865" s="569"/>
      <c r="P865" s="569"/>
      <c r="Q865" s="569"/>
      <c r="R865" s="569"/>
      <c r="S865" s="569"/>
      <c r="T865" s="569"/>
      <c r="U865" s="569"/>
      <c r="V865" s="569"/>
      <c r="W865" s="569"/>
      <c r="X865" s="569"/>
      <c r="Y865" s="569"/>
      <c r="Z865" s="569"/>
      <c r="AA865" s="569"/>
      <c r="AB865" s="569"/>
      <c r="AC865" s="569"/>
      <c r="AD865" s="569"/>
      <c r="AE865" s="569"/>
      <c r="AF865" s="569"/>
      <c r="AG865" s="569"/>
      <c r="AH865" s="569"/>
      <c r="AI865" s="569"/>
      <c r="AJ865" s="569"/>
      <c r="AK865" s="569"/>
      <c r="AL865" s="569"/>
      <c r="AM865" s="569"/>
      <c r="AN865" s="569"/>
      <c r="AP865" t="str">
        <f t="shared" si="184"/>
        <v/>
      </c>
      <c r="AQ865" t="str">
        <f t="shared" si="185"/>
        <v/>
      </c>
      <c r="AR865" s="430">
        <f>IFERROR(
IF(AP865="",-100,
IF($BV$2&gt;0, INDEX(Beersheet!$A:$U,MATCH(AP865,INDEX(Beersheet!$A:$U,0,FFARawStatProjections!$BV$2),0),$BV$3)+$BN865,
INDEX($A865:$BM865,,$BV$12)*$BW$12+
INDEX($A865:$BM865,,$BV$15)*$BW$15+
INDEX($A865:$BM865,,$BV$16)*$BW$16+
INDEX($A865:$BM865,,$BV$17)*$BW$17+
INDEX($A865:$BM865,,$BV$18)*$BW$18+
INDEX($A865:$BM865,,$BV$19)*$BW$19+
INDEX($A865:$BM865,,$BV$20)*$BW$20+
INDEX($A865:$BM865,,$BV$21)*$BW$21+
INDEX($A865:$BM865,,$BV$22)*$BW$22+
INDEX($A865:$BM865,,$BV$23)*$BW$23+
INDEX($A865:$BM865,,$BV$25)*$BW$25+
INDEX($A865:$BM865,,$BV$26)*$BW$26+
INDEX($A865:$BM865,,$BV$27)*$BW$27+
$BN865)),
$BN865-100)</f>
        <v>-100</v>
      </c>
      <c r="AT865" t="str">
        <f t="shared" si="178"/>
        <v/>
      </c>
      <c r="AU865" t="str">
        <f t="shared" si="186"/>
        <v/>
      </c>
      <c r="AV865" s="430">
        <f>IFERROR(
IF(AT865="",-100,
IF($BV$2&gt;0, INDEX(Beersheet!$A:$U,MATCH(AT865,INDEX(Beersheet!$A:$U,0,FFARawStatProjections!$BV$2),0),$BV$3)+$BN865,
INDEX($A865:$BM865,,$BV$12)*$BW$12+
INDEX($A865:$BM865,,$BV$15)*$BW$15+
INDEX($A865:$BM865,,$BV$16)*$BW$16+
INDEX($A865:$BM865,,$BV$17)*$BW$17+
INDEX($A865:$BM865,,$BV$18)*$BW$18+
INDEX($A865:$BM865,,$BV$19)*$BW$19+
INDEX($A865:$BM865,,$BV$20)*$BW$20+
INDEX($A865:$BM865,,$BV$21)*$BW$21+
INDEX($A865:$BM865,,$BV$22)*$BW$22+
INDEX($A865:$BM865,,$BV$23)*$BW$23+
INDEX($A865:$BM865,,$BV$25)*$BW$25+
INDEX($A865:$BM865,,$BV$26)*$BW$26+
INDEX($A865:$BM865,,$BV$27)*$BW$27+
$BN865)),
$BN865-100)</f>
        <v>-100</v>
      </c>
      <c r="AX865" t="str">
        <f t="shared" si="179"/>
        <v/>
      </c>
      <c r="AY865" t="str">
        <f t="shared" si="187"/>
        <v/>
      </c>
      <c r="AZ865" s="430">
        <f>IFERROR(
IF(AX865="",-100,
IF($BV$2&gt;0, INDEX(Beersheet!$A:$U,MATCH(AX865,INDEX(Beersheet!$A:$U,0,FFARawStatProjections!$BV$2),0),$BV$3)+$BN865,
INDEX($A865:$BM865,,$BV$12)*$BW$12+
INDEX($A865:$BM865,,$BV$15)*$BW$15+
INDEX($A865:$BM865,,$BV$16)*$BW$16+
INDEX($A865:$BM865,,$BV$17)*$BW$17+
INDEX($A865:$BM865,,$BV$18)*$BW$18+
INDEX($A865:$BM865,,$BV$19)*$BW$19+
INDEX($A865:$BM865,,$BV$20)*$BW$20+
INDEX($A865:$BM865,,$BV$21)*$BW$21+
INDEX($A865:$BM865,,$BV$22)*$BW$22+
INDEX($A865:$BM865,,$BV$23)*$BW$23+
INDEX($A865:$BM865,,$BV$25)*$BW$25+
INDEX($A865:$BM865,,$BV$26)*$BW$26+
INDEX($A865:$BM865,,$BV$27)*$BW$27+
$BN865)),
$BN865-100)</f>
        <v>-100</v>
      </c>
      <c r="BB865" t="str">
        <f t="shared" si="180"/>
        <v/>
      </c>
      <c r="BC865" t="str">
        <f t="shared" si="188"/>
        <v/>
      </c>
      <c r="BD865" s="430">
        <f>IFERROR(
IF(BB865="",-100,
IF($BV$2&gt;0, INDEX(Beersheet!$A:$U,MATCH(BB865,INDEX(Beersheet!$A:$U,0,FFARawStatProjections!$BV$2),0),$BV$3)+$BN865,
INDEX($A865:$BM865,,$BV$12)*$BW$12+
INDEX($A865:$BM865,,$BV$15)*$BW$15+
INDEX($A865:$BM865,,$BV$16)*$BW$16+
INDEX($A865:$BM865,,$BV$17)*$BW$17+
INDEX($A865:$BM865,,$BV$18)*$BW$18+
INDEX($A865:$BM865,,$BV$19)*$BW$19+
INDEX($A865:$BM865,,$BV$20)*$BW$20+
INDEX($A865:$BM865,,$BV$21)*$BW$21+
INDEX($A865:$BM865,,$BV$22)*$BW$22+
INDEX($A865:$BM865,,$BV$23)*$BW$23+
INDEX($A865:$BM865,,$BV$25)*$BW$25+
INDEX($A865:$BM865,,$BV$26)*$BW$26+
INDEX($A865:$BM865,,$BV$27)*$BW$27+
$BN865)),
$BN865-100)</f>
        <v>-100</v>
      </c>
      <c r="BF865" t="str">
        <f t="shared" si="181"/>
        <v/>
      </c>
      <c r="BG865" t="str">
        <f t="shared" si="189"/>
        <v/>
      </c>
      <c r="BH865">
        <f t="shared" si="182"/>
        <v>0</v>
      </c>
      <c r="BJ865" t="str">
        <f t="shared" si="183"/>
        <v/>
      </c>
      <c r="BL865">
        <f t="shared" si="190"/>
        <v>0</v>
      </c>
      <c r="BN865">
        <v>8.6400000000000608E-3</v>
      </c>
    </row>
    <row r="866" spans="1:66" ht="15.75" thickBot="1" x14ac:dyDescent="0.3">
      <c r="A866" s="569"/>
      <c r="B866" s="569"/>
      <c r="C866" s="569"/>
      <c r="D866" s="569"/>
      <c r="E866" s="569"/>
      <c r="F866" s="569"/>
      <c r="G866" s="569"/>
      <c r="H866" s="569"/>
      <c r="I866" s="569"/>
      <c r="J866" s="569"/>
      <c r="K866" s="569"/>
      <c r="L866" s="569"/>
      <c r="M866" s="569"/>
      <c r="N866" s="569"/>
      <c r="O866" s="569"/>
      <c r="P866" s="569"/>
      <c r="Q866" s="569"/>
      <c r="R866" s="569"/>
      <c r="S866" s="569"/>
      <c r="T866" s="569"/>
      <c r="U866" s="569"/>
      <c r="V866" s="569"/>
      <c r="W866" s="569"/>
      <c r="X866" s="569"/>
      <c r="Y866" s="569"/>
      <c r="Z866" s="569"/>
      <c r="AA866" s="569"/>
      <c r="AB866" s="569"/>
      <c r="AC866" s="569"/>
      <c r="AD866" s="569"/>
      <c r="AE866" s="569"/>
      <c r="AF866" s="569"/>
      <c r="AG866" s="569"/>
      <c r="AH866" s="569"/>
      <c r="AI866" s="569"/>
      <c r="AJ866" s="569"/>
      <c r="AK866" s="569"/>
      <c r="AL866" s="569"/>
      <c r="AM866" s="569"/>
      <c r="AN866" s="569"/>
      <c r="AP866" t="str">
        <f t="shared" si="184"/>
        <v/>
      </c>
      <c r="AQ866" t="str">
        <f t="shared" si="185"/>
        <v/>
      </c>
      <c r="AR866" s="430">
        <f>IFERROR(
IF(AP866="",-100,
IF($BV$2&gt;0, INDEX(Beersheet!$A:$U,MATCH(AP866,INDEX(Beersheet!$A:$U,0,FFARawStatProjections!$BV$2),0),$BV$3)+$BN866,
INDEX($A866:$BM866,,$BV$12)*$BW$12+
INDEX($A866:$BM866,,$BV$15)*$BW$15+
INDEX($A866:$BM866,,$BV$16)*$BW$16+
INDEX($A866:$BM866,,$BV$17)*$BW$17+
INDEX($A866:$BM866,,$BV$18)*$BW$18+
INDEX($A866:$BM866,,$BV$19)*$BW$19+
INDEX($A866:$BM866,,$BV$20)*$BW$20+
INDEX($A866:$BM866,,$BV$21)*$BW$21+
INDEX($A866:$BM866,,$BV$22)*$BW$22+
INDEX($A866:$BM866,,$BV$23)*$BW$23+
INDEX($A866:$BM866,,$BV$25)*$BW$25+
INDEX($A866:$BM866,,$BV$26)*$BW$26+
INDEX($A866:$BM866,,$BV$27)*$BW$27+
$BN866)),
$BN866-100)</f>
        <v>-100</v>
      </c>
      <c r="AT866" t="str">
        <f t="shared" si="178"/>
        <v/>
      </c>
      <c r="AU866" t="str">
        <f t="shared" si="186"/>
        <v/>
      </c>
      <c r="AV866" s="430">
        <f>IFERROR(
IF(AT866="",-100,
IF($BV$2&gt;0, INDEX(Beersheet!$A:$U,MATCH(AT866,INDEX(Beersheet!$A:$U,0,FFARawStatProjections!$BV$2),0),$BV$3)+$BN866,
INDEX($A866:$BM866,,$BV$12)*$BW$12+
INDEX($A866:$BM866,,$BV$15)*$BW$15+
INDEX($A866:$BM866,,$BV$16)*$BW$16+
INDEX($A866:$BM866,,$BV$17)*$BW$17+
INDEX($A866:$BM866,,$BV$18)*$BW$18+
INDEX($A866:$BM866,,$BV$19)*$BW$19+
INDEX($A866:$BM866,,$BV$20)*$BW$20+
INDEX($A866:$BM866,,$BV$21)*$BW$21+
INDEX($A866:$BM866,,$BV$22)*$BW$22+
INDEX($A866:$BM866,,$BV$23)*$BW$23+
INDEX($A866:$BM866,,$BV$25)*$BW$25+
INDEX($A866:$BM866,,$BV$26)*$BW$26+
INDEX($A866:$BM866,,$BV$27)*$BW$27+
$BN866)),
$BN866-100)</f>
        <v>-100</v>
      </c>
      <c r="AX866" t="str">
        <f t="shared" si="179"/>
        <v/>
      </c>
      <c r="AY866" t="str">
        <f t="shared" si="187"/>
        <v/>
      </c>
      <c r="AZ866" s="430">
        <f>IFERROR(
IF(AX866="",-100,
IF($BV$2&gt;0, INDEX(Beersheet!$A:$U,MATCH(AX866,INDEX(Beersheet!$A:$U,0,FFARawStatProjections!$BV$2),0),$BV$3)+$BN866,
INDEX($A866:$BM866,,$BV$12)*$BW$12+
INDEX($A866:$BM866,,$BV$15)*$BW$15+
INDEX($A866:$BM866,,$BV$16)*$BW$16+
INDEX($A866:$BM866,,$BV$17)*$BW$17+
INDEX($A866:$BM866,,$BV$18)*$BW$18+
INDEX($A866:$BM866,,$BV$19)*$BW$19+
INDEX($A866:$BM866,,$BV$20)*$BW$20+
INDEX($A866:$BM866,,$BV$21)*$BW$21+
INDEX($A866:$BM866,,$BV$22)*$BW$22+
INDEX($A866:$BM866,,$BV$23)*$BW$23+
INDEX($A866:$BM866,,$BV$25)*$BW$25+
INDEX($A866:$BM866,,$BV$26)*$BW$26+
INDEX($A866:$BM866,,$BV$27)*$BW$27+
$BN866)),
$BN866-100)</f>
        <v>-100</v>
      </c>
      <c r="BB866" t="str">
        <f t="shared" si="180"/>
        <v/>
      </c>
      <c r="BC866" t="str">
        <f t="shared" si="188"/>
        <v/>
      </c>
      <c r="BD866" s="430">
        <f>IFERROR(
IF(BB866="",-100,
IF($BV$2&gt;0, INDEX(Beersheet!$A:$U,MATCH(BB866,INDEX(Beersheet!$A:$U,0,FFARawStatProjections!$BV$2),0),$BV$3)+$BN866,
INDEX($A866:$BM866,,$BV$12)*$BW$12+
INDEX($A866:$BM866,,$BV$15)*$BW$15+
INDEX($A866:$BM866,,$BV$16)*$BW$16+
INDEX($A866:$BM866,,$BV$17)*$BW$17+
INDEX($A866:$BM866,,$BV$18)*$BW$18+
INDEX($A866:$BM866,,$BV$19)*$BW$19+
INDEX($A866:$BM866,,$BV$20)*$BW$20+
INDEX($A866:$BM866,,$BV$21)*$BW$21+
INDEX($A866:$BM866,,$BV$22)*$BW$22+
INDEX($A866:$BM866,,$BV$23)*$BW$23+
INDEX($A866:$BM866,,$BV$25)*$BW$25+
INDEX($A866:$BM866,,$BV$26)*$BW$26+
INDEX($A866:$BM866,,$BV$27)*$BW$27+
$BN866)),
$BN866-100)</f>
        <v>-100</v>
      </c>
      <c r="BF866" t="str">
        <f t="shared" si="181"/>
        <v/>
      </c>
      <c r="BG866" t="str">
        <f t="shared" si="189"/>
        <v/>
      </c>
      <c r="BH866">
        <f t="shared" si="182"/>
        <v>0</v>
      </c>
      <c r="BJ866" t="str">
        <f t="shared" si="183"/>
        <v/>
      </c>
      <c r="BL866">
        <f t="shared" si="190"/>
        <v>0</v>
      </c>
      <c r="BN866">
        <v>8.6500000000000604E-3</v>
      </c>
    </row>
    <row r="867" spans="1:66" ht="15.75" thickBot="1" x14ac:dyDescent="0.3">
      <c r="A867" s="569"/>
      <c r="B867" s="569"/>
      <c r="C867" s="569"/>
      <c r="D867" s="569"/>
      <c r="E867" s="569"/>
      <c r="F867" s="569"/>
      <c r="G867" s="569"/>
      <c r="H867" s="569"/>
      <c r="I867" s="569"/>
      <c r="J867" s="569"/>
      <c r="K867" s="569"/>
      <c r="L867" s="569"/>
      <c r="M867" s="569"/>
      <c r="N867" s="569"/>
      <c r="O867" s="569"/>
      <c r="P867" s="569"/>
      <c r="Q867" s="569"/>
      <c r="R867" s="569"/>
      <c r="S867" s="569"/>
      <c r="T867" s="569"/>
      <c r="U867" s="569"/>
      <c r="V867" s="569"/>
      <c r="W867" s="569"/>
      <c r="X867" s="569"/>
      <c r="Y867" s="569"/>
      <c r="Z867" s="569"/>
      <c r="AA867" s="569"/>
      <c r="AB867" s="569"/>
      <c r="AC867" s="569"/>
      <c r="AD867" s="569"/>
      <c r="AE867" s="569"/>
      <c r="AF867" s="569"/>
      <c r="AG867" s="569"/>
      <c r="AH867" s="569"/>
      <c r="AI867" s="569"/>
      <c r="AJ867" s="569"/>
      <c r="AK867" s="569"/>
      <c r="AL867" s="569"/>
      <c r="AM867" s="569"/>
      <c r="AN867" s="569"/>
      <c r="AP867" t="str">
        <f t="shared" si="184"/>
        <v/>
      </c>
      <c r="AQ867" t="str">
        <f t="shared" si="185"/>
        <v/>
      </c>
      <c r="AR867" s="430">
        <f>IFERROR(
IF(AP867="",-100,
IF($BV$2&gt;0, INDEX(Beersheet!$A:$U,MATCH(AP867,INDEX(Beersheet!$A:$U,0,FFARawStatProjections!$BV$2),0),$BV$3)+$BN867,
INDEX($A867:$BM867,,$BV$12)*$BW$12+
INDEX($A867:$BM867,,$BV$15)*$BW$15+
INDEX($A867:$BM867,,$BV$16)*$BW$16+
INDEX($A867:$BM867,,$BV$17)*$BW$17+
INDEX($A867:$BM867,,$BV$18)*$BW$18+
INDEX($A867:$BM867,,$BV$19)*$BW$19+
INDEX($A867:$BM867,,$BV$20)*$BW$20+
INDEX($A867:$BM867,,$BV$21)*$BW$21+
INDEX($A867:$BM867,,$BV$22)*$BW$22+
INDEX($A867:$BM867,,$BV$23)*$BW$23+
INDEX($A867:$BM867,,$BV$25)*$BW$25+
INDEX($A867:$BM867,,$BV$26)*$BW$26+
INDEX($A867:$BM867,,$BV$27)*$BW$27+
$BN867)),
$BN867-100)</f>
        <v>-100</v>
      </c>
      <c r="AT867" t="str">
        <f t="shared" si="178"/>
        <v/>
      </c>
      <c r="AU867" t="str">
        <f t="shared" si="186"/>
        <v/>
      </c>
      <c r="AV867" s="430">
        <f>IFERROR(
IF(AT867="",-100,
IF($BV$2&gt;0, INDEX(Beersheet!$A:$U,MATCH(AT867,INDEX(Beersheet!$A:$U,0,FFARawStatProjections!$BV$2),0),$BV$3)+$BN867,
INDEX($A867:$BM867,,$BV$12)*$BW$12+
INDEX($A867:$BM867,,$BV$15)*$BW$15+
INDEX($A867:$BM867,,$BV$16)*$BW$16+
INDEX($A867:$BM867,,$BV$17)*$BW$17+
INDEX($A867:$BM867,,$BV$18)*$BW$18+
INDEX($A867:$BM867,,$BV$19)*$BW$19+
INDEX($A867:$BM867,,$BV$20)*$BW$20+
INDEX($A867:$BM867,,$BV$21)*$BW$21+
INDEX($A867:$BM867,,$BV$22)*$BW$22+
INDEX($A867:$BM867,,$BV$23)*$BW$23+
INDEX($A867:$BM867,,$BV$25)*$BW$25+
INDEX($A867:$BM867,,$BV$26)*$BW$26+
INDEX($A867:$BM867,,$BV$27)*$BW$27+
$BN867)),
$BN867-100)</f>
        <v>-100</v>
      </c>
      <c r="AX867" t="str">
        <f t="shared" si="179"/>
        <v/>
      </c>
      <c r="AY867" t="str">
        <f t="shared" si="187"/>
        <v/>
      </c>
      <c r="AZ867" s="430">
        <f>IFERROR(
IF(AX867="",-100,
IF($BV$2&gt;0, INDEX(Beersheet!$A:$U,MATCH(AX867,INDEX(Beersheet!$A:$U,0,FFARawStatProjections!$BV$2),0),$BV$3)+$BN867,
INDEX($A867:$BM867,,$BV$12)*$BW$12+
INDEX($A867:$BM867,,$BV$15)*$BW$15+
INDEX($A867:$BM867,,$BV$16)*$BW$16+
INDEX($A867:$BM867,,$BV$17)*$BW$17+
INDEX($A867:$BM867,,$BV$18)*$BW$18+
INDEX($A867:$BM867,,$BV$19)*$BW$19+
INDEX($A867:$BM867,,$BV$20)*$BW$20+
INDEX($A867:$BM867,,$BV$21)*$BW$21+
INDEX($A867:$BM867,,$BV$22)*$BW$22+
INDEX($A867:$BM867,,$BV$23)*$BW$23+
INDEX($A867:$BM867,,$BV$25)*$BW$25+
INDEX($A867:$BM867,,$BV$26)*$BW$26+
INDEX($A867:$BM867,,$BV$27)*$BW$27+
$BN867)),
$BN867-100)</f>
        <v>-100</v>
      </c>
      <c r="BB867" t="str">
        <f t="shared" si="180"/>
        <v/>
      </c>
      <c r="BC867" t="str">
        <f t="shared" si="188"/>
        <v/>
      </c>
      <c r="BD867" s="430">
        <f>IFERROR(
IF(BB867="",-100,
IF($BV$2&gt;0, INDEX(Beersheet!$A:$U,MATCH(BB867,INDEX(Beersheet!$A:$U,0,FFARawStatProjections!$BV$2),0),$BV$3)+$BN867,
INDEX($A867:$BM867,,$BV$12)*$BW$12+
INDEX($A867:$BM867,,$BV$15)*$BW$15+
INDEX($A867:$BM867,,$BV$16)*$BW$16+
INDEX($A867:$BM867,,$BV$17)*$BW$17+
INDEX($A867:$BM867,,$BV$18)*$BW$18+
INDEX($A867:$BM867,,$BV$19)*$BW$19+
INDEX($A867:$BM867,,$BV$20)*$BW$20+
INDEX($A867:$BM867,,$BV$21)*$BW$21+
INDEX($A867:$BM867,,$BV$22)*$BW$22+
INDEX($A867:$BM867,,$BV$23)*$BW$23+
INDEX($A867:$BM867,,$BV$25)*$BW$25+
INDEX($A867:$BM867,,$BV$26)*$BW$26+
INDEX($A867:$BM867,,$BV$27)*$BW$27+
$BN867)),
$BN867-100)</f>
        <v>-100</v>
      </c>
      <c r="BF867" t="str">
        <f t="shared" si="181"/>
        <v/>
      </c>
      <c r="BG867" t="str">
        <f t="shared" si="189"/>
        <v/>
      </c>
      <c r="BH867">
        <f t="shared" si="182"/>
        <v>0</v>
      </c>
      <c r="BJ867" t="str">
        <f t="shared" si="183"/>
        <v/>
      </c>
      <c r="BL867">
        <f t="shared" si="190"/>
        <v>0</v>
      </c>
      <c r="BN867">
        <v>8.66000000000006E-3</v>
      </c>
    </row>
    <row r="868" spans="1:66" ht="15.75" thickBot="1" x14ac:dyDescent="0.3">
      <c r="A868" s="569"/>
      <c r="B868" s="569"/>
      <c r="C868" s="569"/>
      <c r="D868" s="569"/>
      <c r="E868" s="569"/>
      <c r="F868" s="569"/>
      <c r="G868" s="569"/>
      <c r="H868" s="569"/>
      <c r="I868" s="569"/>
      <c r="J868" s="569"/>
      <c r="K868" s="569"/>
      <c r="L868" s="569"/>
      <c r="M868" s="569"/>
      <c r="N868" s="569"/>
      <c r="O868" s="569"/>
      <c r="P868" s="569"/>
      <c r="Q868" s="569"/>
      <c r="R868" s="569"/>
      <c r="S868" s="569"/>
      <c r="T868" s="569"/>
      <c r="U868" s="569"/>
      <c r="V868" s="569"/>
      <c r="W868" s="569"/>
      <c r="X868" s="569"/>
      <c r="Y868" s="569"/>
      <c r="Z868" s="569"/>
      <c r="AA868" s="569"/>
      <c r="AB868" s="569"/>
      <c r="AC868" s="569"/>
      <c r="AD868" s="569"/>
      <c r="AE868" s="569"/>
      <c r="AF868" s="569"/>
      <c r="AG868" s="569"/>
      <c r="AH868" s="569"/>
      <c r="AI868" s="569"/>
      <c r="AJ868" s="569"/>
      <c r="AK868" s="569"/>
      <c r="AL868" s="569"/>
      <c r="AM868" s="569"/>
      <c r="AN868" s="569"/>
      <c r="AP868" t="str">
        <f t="shared" si="184"/>
        <v/>
      </c>
      <c r="AQ868" t="str">
        <f t="shared" si="185"/>
        <v/>
      </c>
      <c r="AR868" s="430">
        <f>IFERROR(
IF(AP868="",-100,
IF($BV$2&gt;0, INDEX(Beersheet!$A:$U,MATCH(AP868,INDEX(Beersheet!$A:$U,0,FFARawStatProjections!$BV$2),0),$BV$3)+$BN868,
INDEX($A868:$BM868,,$BV$12)*$BW$12+
INDEX($A868:$BM868,,$BV$15)*$BW$15+
INDEX($A868:$BM868,,$BV$16)*$BW$16+
INDEX($A868:$BM868,,$BV$17)*$BW$17+
INDEX($A868:$BM868,,$BV$18)*$BW$18+
INDEX($A868:$BM868,,$BV$19)*$BW$19+
INDEX($A868:$BM868,,$BV$20)*$BW$20+
INDEX($A868:$BM868,,$BV$21)*$BW$21+
INDEX($A868:$BM868,,$BV$22)*$BW$22+
INDEX($A868:$BM868,,$BV$23)*$BW$23+
INDEX($A868:$BM868,,$BV$25)*$BW$25+
INDEX($A868:$BM868,,$BV$26)*$BW$26+
INDEX($A868:$BM868,,$BV$27)*$BW$27+
$BN868)),
$BN868-100)</f>
        <v>-100</v>
      </c>
      <c r="AT868" t="str">
        <f t="shared" si="178"/>
        <v/>
      </c>
      <c r="AU868" t="str">
        <f t="shared" si="186"/>
        <v/>
      </c>
      <c r="AV868" s="430">
        <f>IFERROR(
IF(AT868="",-100,
IF($BV$2&gt;0, INDEX(Beersheet!$A:$U,MATCH(AT868,INDEX(Beersheet!$A:$U,0,FFARawStatProjections!$BV$2),0),$BV$3)+$BN868,
INDEX($A868:$BM868,,$BV$12)*$BW$12+
INDEX($A868:$BM868,,$BV$15)*$BW$15+
INDEX($A868:$BM868,,$BV$16)*$BW$16+
INDEX($A868:$BM868,,$BV$17)*$BW$17+
INDEX($A868:$BM868,,$BV$18)*$BW$18+
INDEX($A868:$BM868,,$BV$19)*$BW$19+
INDEX($A868:$BM868,,$BV$20)*$BW$20+
INDEX($A868:$BM868,,$BV$21)*$BW$21+
INDEX($A868:$BM868,,$BV$22)*$BW$22+
INDEX($A868:$BM868,,$BV$23)*$BW$23+
INDEX($A868:$BM868,,$BV$25)*$BW$25+
INDEX($A868:$BM868,,$BV$26)*$BW$26+
INDEX($A868:$BM868,,$BV$27)*$BW$27+
$BN868)),
$BN868-100)</f>
        <v>-100</v>
      </c>
      <c r="AX868" t="str">
        <f t="shared" si="179"/>
        <v/>
      </c>
      <c r="AY868" t="str">
        <f t="shared" si="187"/>
        <v/>
      </c>
      <c r="AZ868" s="430">
        <f>IFERROR(
IF(AX868="",-100,
IF($BV$2&gt;0, INDEX(Beersheet!$A:$U,MATCH(AX868,INDEX(Beersheet!$A:$U,0,FFARawStatProjections!$BV$2),0),$BV$3)+$BN868,
INDEX($A868:$BM868,,$BV$12)*$BW$12+
INDEX($A868:$BM868,,$BV$15)*$BW$15+
INDEX($A868:$BM868,,$BV$16)*$BW$16+
INDEX($A868:$BM868,,$BV$17)*$BW$17+
INDEX($A868:$BM868,,$BV$18)*$BW$18+
INDEX($A868:$BM868,,$BV$19)*$BW$19+
INDEX($A868:$BM868,,$BV$20)*$BW$20+
INDEX($A868:$BM868,,$BV$21)*$BW$21+
INDEX($A868:$BM868,,$BV$22)*$BW$22+
INDEX($A868:$BM868,,$BV$23)*$BW$23+
INDEX($A868:$BM868,,$BV$25)*$BW$25+
INDEX($A868:$BM868,,$BV$26)*$BW$26+
INDEX($A868:$BM868,,$BV$27)*$BW$27+
$BN868)),
$BN868-100)</f>
        <v>-100</v>
      </c>
      <c r="BB868" t="str">
        <f t="shared" si="180"/>
        <v/>
      </c>
      <c r="BC868" t="str">
        <f t="shared" si="188"/>
        <v/>
      </c>
      <c r="BD868" s="430">
        <f>IFERROR(
IF(BB868="",-100,
IF($BV$2&gt;0, INDEX(Beersheet!$A:$U,MATCH(BB868,INDEX(Beersheet!$A:$U,0,FFARawStatProjections!$BV$2),0),$BV$3)+$BN868,
INDEX($A868:$BM868,,$BV$12)*$BW$12+
INDEX($A868:$BM868,,$BV$15)*$BW$15+
INDEX($A868:$BM868,,$BV$16)*$BW$16+
INDEX($A868:$BM868,,$BV$17)*$BW$17+
INDEX($A868:$BM868,,$BV$18)*$BW$18+
INDEX($A868:$BM868,,$BV$19)*$BW$19+
INDEX($A868:$BM868,,$BV$20)*$BW$20+
INDEX($A868:$BM868,,$BV$21)*$BW$21+
INDEX($A868:$BM868,,$BV$22)*$BW$22+
INDEX($A868:$BM868,,$BV$23)*$BW$23+
INDEX($A868:$BM868,,$BV$25)*$BW$25+
INDEX($A868:$BM868,,$BV$26)*$BW$26+
INDEX($A868:$BM868,,$BV$27)*$BW$27+
$BN868)),
$BN868-100)</f>
        <v>-100</v>
      </c>
      <c r="BF868" t="str">
        <f t="shared" si="181"/>
        <v/>
      </c>
      <c r="BG868" t="str">
        <f t="shared" si="189"/>
        <v/>
      </c>
      <c r="BH868">
        <f t="shared" si="182"/>
        <v>0</v>
      </c>
      <c r="BJ868" t="str">
        <f t="shared" si="183"/>
        <v/>
      </c>
      <c r="BL868">
        <f t="shared" si="190"/>
        <v>0</v>
      </c>
      <c r="BN868">
        <v>8.6700000000000596E-3</v>
      </c>
    </row>
    <row r="869" spans="1:66" ht="15.75" thickBot="1" x14ac:dyDescent="0.3">
      <c r="A869" s="569"/>
      <c r="B869" s="569"/>
      <c r="C869" s="569"/>
      <c r="D869" s="569"/>
      <c r="E869" s="569"/>
      <c r="F869" s="569"/>
      <c r="G869" s="569"/>
      <c r="H869" s="569"/>
      <c r="I869" s="569"/>
      <c r="J869" s="569"/>
      <c r="K869" s="569"/>
      <c r="L869" s="569"/>
      <c r="M869" s="569"/>
      <c r="N869" s="569"/>
      <c r="O869" s="569"/>
      <c r="P869" s="569"/>
      <c r="Q869" s="569"/>
      <c r="R869" s="569"/>
      <c r="S869" s="569"/>
      <c r="T869" s="569"/>
      <c r="U869" s="569"/>
      <c r="V869" s="569"/>
      <c r="W869" s="569"/>
      <c r="X869" s="569"/>
      <c r="Y869" s="569"/>
      <c r="Z869" s="569"/>
      <c r="AA869" s="569"/>
      <c r="AB869" s="569"/>
      <c r="AC869" s="569"/>
      <c r="AD869" s="569"/>
      <c r="AE869" s="569"/>
      <c r="AF869" s="569"/>
      <c r="AG869" s="569"/>
      <c r="AH869" s="569"/>
      <c r="AI869" s="569"/>
      <c r="AJ869" s="569"/>
      <c r="AK869" s="569"/>
      <c r="AL869" s="569"/>
      <c r="AM869" s="569"/>
      <c r="AN869" s="569"/>
    </row>
    <row r="870" spans="1:66" ht="15.75" thickBot="1" x14ac:dyDescent="0.3">
      <c r="A870" s="569"/>
      <c r="B870" s="569"/>
      <c r="C870" s="569"/>
      <c r="D870" s="569"/>
      <c r="E870" s="569"/>
      <c r="F870" s="569"/>
      <c r="G870" s="569"/>
      <c r="H870" s="569"/>
      <c r="I870" s="569"/>
      <c r="J870" s="569"/>
      <c r="K870" s="569"/>
      <c r="L870" s="569"/>
      <c r="M870" s="569"/>
      <c r="N870" s="569"/>
      <c r="O870" s="569"/>
      <c r="P870" s="569"/>
      <c r="Q870" s="569"/>
      <c r="R870" s="569"/>
      <c r="S870" s="569"/>
      <c r="T870" s="569"/>
      <c r="U870" s="569"/>
      <c r="V870" s="569"/>
      <c r="W870" s="569"/>
      <c r="X870" s="569"/>
      <c r="Y870" s="569"/>
      <c r="Z870" s="569"/>
      <c r="AA870" s="569"/>
      <c r="AB870" s="569"/>
      <c r="AC870" s="569"/>
      <c r="AD870" s="569"/>
      <c r="AE870" s="569"/>
      <c r="AF870" s="569"/>
      <c r="AG870" s="569"/>
      <c r="AH870" s="569"/>
      <c r="AI870" s="569"/>
      <c r="AJ870" s="569"/>
      <c r="AK870" s="569"/>
      <c r="AL870" s="569"/>
      <c r="AM870" s="569"/>
      <c r="AN870" s="569"/>
    </row>
    <row r="871" spans="1:66" ht="15.75" thickBot="1" x14ac:dyDescent="0.3">
      <c r="A871" s="569"/>
      <c r="B871" s="569"/>
      <c r="C871" s="569"/>
      <c r="D871" s="569"/>
      <c r="E871" s="569"/>
      <c r="F871" s="569"/>
      <c r="G871" s="569"/>
      <c r="H871" s="569"/>
      <c r="I871" s="569"/>
      <c r="J871" s="569"/>
      <c r="K871" s="569"/>
      <c r="L871" s="569"/>
      <c r="M871" s="569"/>
      <c r="N871" s="569"/>
      <c r="O871" s="569"/>
      <c r="P871" s="569"/>
      <c r="Q871" s="569"/>
      <c r="R871" s="569"/>
      <c r="S871" s="569"/>
      <c r="T871" s="569"/>
      <c r="U871" s="569"/>
      <c r="V871" s="569"/>
      <c r="W871" s="569"/>
      <c r="X871" s="569"/>
      <c r="Y871" s="569"/>
      <c r="Z871" s="569"/>
      <c r="AA871" s="569"/>
      <c r="AB871" s="569"/>
      <c r="AC871" s="569"/>
      <c r="AD871" s="569"/>
      <c r="AE871" s="569"/>
      <c r="AF871" s="569"/>
      <c r="AG871" s="569"/>
      <c r="AH871" s="569"/>
      <c r="AI871" s="569"/>
      <c r="AJ871" s="569"/>
      <c r="AK871" s="569"/>
      <c r="AL871" s="569"/>
      <c r="AM871" s="569"/>
      <c r="AN871" s="569"/>
    </row>
    <row r="872" spans="1:66" ht="15.75" thickBot="1" x14ac:dyDescent="0.3">
      <c r="A872" s="569"/>
      <c r="B872" s="569"/>
      <c r="C872" s="569"/>
      <c r="D872" s="569"/>
      <c r="E872" s="569"/>
      <c r="F872" s="569"/>
      <c r="G872" s="569"/>
      <c r="H872" s="569"/>
      <c r="I872" s="569"/>
      <c r="J872" s="569"/>
      <c r="K872" s="569"/>
      <c r="L872" s="569"/>
      <c r="M872" s="569"/>
      <c r="N872" s="569"/>
      <c r="O872" s="569"/>
      <c r="P872" s="569"/>
      <c r="Q872" s="569"/>
      <c r="R872" s="569"/>
      <c r="S872" s="569"/>
      <c r="T872" s="569"/>
      <c r="U872" s="569"/>
      <c r="V872" s="569"/>
      <c r="W872" s="569"/>
      <c r="X872" s="569"/>
      <c r="Y872" s="569"/>
      <c r="Z872" s="569"/>
      <c r="AA872" s="569"/>
      <c r="AB872" s="569"/>
      <c r="AC872" s="569"/>
      <c r="AD872" s="569"/>
      <c r="AE872" s="569"/>
      <c r="AF872" s="569"/>
      <c r="AG872" s="569"/>
      <c r="AH872" s="569"/>
      <c r="AI872" s="569"/>
      <c r="AJ872" s="569"/>
      <c r="AK872" s="569"/>
      <c r="AL872" s="569"/>
      <c r="AM872" s="569"/>
      <c r="AN872" s="569"/>
    </row>
    <row r="873" spans="1:66" ht="15.75" thickBot="1" x14ac:dyDescent="0.3">
      <c r="A873" s="569"/>
      <c r="B873" s="569"/>
      <c r="C873" s="569"/>
      <c r="D873" s="569"/>
      <c r="E873" s="569"/>
      <c r="F873" s="569"/>
      <c r="G873" s="569"/>
      <c r="H873" s="569"/>
      <c r="I873" s="569"/>
      <c r="J873" s="569"/>
      <c r="K873" s="569"/>
      <c r="L873" s="569"/>
      <c r="M873" s="569"/>
      <c r="N873" s="569"/>
      <c r="O873" s="569"/>
      <c r="P873" s="569"/>
      <c r="Q873" s="569"/>
      <c r="R873" s="569"/>
      <c r="S873" s="569"/>
      <c r="T873" s="569"/>
      <c r="U873" s="569"/>
      <c r="V873" s="569"/>
      <c r="W873" s="569"/>
      <c r="X873" s="569"/>
      <c r="Y873" s="569"/>
      <c r="Z873" s="569"/>
      <c r="AA873" s="569"/>
      <c r="AB873" s="569"/>
      <c r="AC873" s="569"/>
      <c r="AD873" s="569"/>
      <c r="AE873" s="569"/>
      <c r="AF873" s="569"/>
      <c r="AG873" s="569"/>
      <c r="AH873" s="569"/>
      <c r="AI873" s="569"/>
      <c r="AJ873" s="569"/>
      <c r="AK873" s="569"/>
      <c r="AL873" s="569"/>
      <c r="AM873" s="569"/>
      <c r="AN873" s="569"/>
    </row>
    <row r="874" spans="1:66" ht="15.75" thickBot="1" x14ac:dyDescent="0.3">
      <c r="A874" s="569"/>
      <c r="B874" s="569"/>
      <c r="C874" s="569"/>
      <c r="D874" s="569"/>
      <c r="E874" s="569"/>
      <c r="F874" s="569"/>
      <c r="G874" s="569"/>
      <c r="H874" s="569"/>
      <c r="I874" s="569"/>
      <c r="J874" s="569"/>
      <c r="K874" s="569"/>
      <c r="L874" s="569"/>
      <c r="M874" s="569"/>
      <c r="N874" s="569"/>
      <c r="O874" s="569"/>
      <c r="P874" s="569"/>
      <c r="Q874" s="569"/>
      <c r="R874" s="569"/>
      <c r="S874" s="569"/>
      <c r="T874" s="569"/>
      <c r="U874" s="569"/>
      <c r="V874" s="569"/>
      <c r="W874" s="569"/>
      <c r="X874" s="569"/>
      <c r="Y874" s="569"/>
      <c r="Z874" s="569"/>
      <c r="AA874" s="569"/>
      <c r="AB874" s="569"/>
      <c r="AC874" s="569"/>
      <c r="AD874" s="569"/>
      <c r="AE874" s="569"/>
      <c r="AF874" s="569"/>
      <c r="AG874" s="569"/>
      <c r="AH874" s="569"/>
      <c r="AI874" s="569"/>
      <c r="AJ874" s="569"/>
      <c r="AK874" s="569"/>
      <c r="AL874" s="569"/>
      <c r="AM874" s="569"/>
      <c r="AN874" s="569"/>
    </row>
    <row r="875" spans="1:66" ht="15.75" thickBot="1" x14ac:dyDescent="0.3">
      <c r="A875" s="569"/>
      <c r="B875" s="569"/>
      <c r="C875" s="569"/>
      <c r="D875" s="569"/>
      <c r="E875" s="569"/>
      <c r="F875" s="569"/>
      <c r="G875" s="569"/>
      <c r="H875" s="569"/>
      <c r="I875" s="569"/>
      <c r="J875" s="569"/>
      <c r="K875" s="569"/>
      <c r="L875" s="569"/>
      <c r="M875" s="569"/>
      <c r="N875" s="569"/>
      <c r="O875" s="569"/>
      <c r="P875" s="569"/>
      <c r="Q875" s="569"/>
      <c r="R875" s="569"/>
      <c r="S875" s="569"/>
      <c r="T875" s="569"/>
      <c r="U875" s="569"/>
      <c r="V875" s="569"/>
      <c r="W875" s="569"/>
      <c r="X875" s="569"/>
      <c r="Y875" s="569"/>
      <c r="Z875" s="569"/>
      <c r="AA875" s="569"/>
      <c r="AB875" s="569"/>
      <c r="AC875" s="569"/>
      <c r="AD875" s="569"/>
      <c r="AE875" s="569"/>
      <c r="AF875" s="569"/>
      <c r="AG875" s="569"/>
      <c r="AH875" s="569"/>
      <c r="AI875" s="569"/>
      <c r="AJ875" s="569"/>
      <c r="AK875" s="569"/>
      <c r="AL875" s="569"/>
      <c r="AM875" s="569"/>
      <c r="AN875" s="569"/>
    </row>
    <row r="876" spans="1:66" ht="15.75" thickBot="1" x14ac:dyDescent="0.3">
      <c r="A876" s="569"/>
      <c r="B876" s="569"/>
      <c r="C876" s="569"/>
      <c r="D876" s="569"/>
      <c r="E876" s="569"/>
      <c r="F876" s="569"/>
      <c r="G876" s="569"/>
      <c r="H876" s="569"/>
      <c r="I876" s="569"/>
      <c r="J876" s="569"/>
      <c r="K876" s="569"/>
      <c r="L876" s="569"/>
      <c r="M876" s="569"/>
      <c r="N876" s="569"/>
      <c r="O876" s="569"/>
      <c r="P876" s="569"/>
      <c r="Q876" s="569"/>
      <c r="R876" s="569"/>
      <c r="S876" s="569"/>
      <c r="T876" s="569"/>
      <c r="U876" s="569"/>
      <c r="V876" s="569"/>
      <c r="W876" s="569"/>
      <c r="X876" s="569"/>
      <c r="Y876" s="569"/>
      <c r="Z876" s="569"/>
      <c r="AA876" s="569"/>
      <c r="AB876" s="569"/>
      <c r="AC876" s="569"/>
      <c r="AD876" s="569"/>
      <c r="AE876" s="569"/>
      <c r="AF876" s="569"/>
      <c r="AG876" s="569"/>
      <c r="AH876" s="569"/>
      <c r="AI876" s="569"/>
      <c r="AJ876" s="569"/>
      <c r="AK876" s="569"/>
      <c r="AL876" s="569"/>
      <c r="AM876" s="569"/>
      <c r="AN876" s="569"/>
    </row>
    <row r="877" spans="1:66" ht="15.75" thickBot="1" x14ac:dyDescent="0.3">
      <c r="A877" s="569"/>
      <c r="B877" s="569"/>
      <c r="C877" s="569"/>
      <c r="D877" s="569"/>
      <c r="E877" s="569"/>
      <c r="F877" s="569"/>
      <c r="G877" s="569"/>
      <c r="H877" s="569"/>
      <c r="I877" s="569"/>
      <c r="J877" s="569"/>
      <c r="K877" s="569"/>
      <c r="L877" s="569"/>
      <c r="M877" s="569"/>
      <c r="N877" s="569"/>
      <c r="O877" s="569"/>
      <c r="P877" s="569"/>
      <c r="Q877" s="569"/>
      <c r="R877" s="569"/>
      <c r="S877" s="569"/>
      <c r="T877" s="569"/>
      <c r="U877" s="569"/>
      <c r="V877" s="569"/>
      <c r="W877" s="569"/>
      <c r="X877" s="569"/>
      <c r="Y877" s="569"/>
      <c r="Z877" s="569"/>
      <c r="AA877" s="569"/>
      <c r="AB877" s="569"/>
      <c r="AC877" s="569"/>
      <c r="AD877" s="569"/>
      <c r="AE877" s="569"/>
      <c r="AF877" s="569"/>
      <c r="AG877" s="569"/>
      <c r="AH877" s="569"/>
      <c r="AI877" s="569"/>
      <c r="AJ877" s="569"/>
      <c r="AK877" s="569"/>
      <c r="AL877" s="569"/>
      <c r="AM877" s="569"/>
      <c r="AN877" s="569"/>
    </row>
    <row r="878" spans="1:66" ht="15.75" thickBot="1" x14ac:dyDescent="0.3">
      <c r="A878" s="569"/>
      <c r="B878" s="569"/>
      <c r="C878" s="569"/>
      <c r="D878" s="569"/>
      <c r="E878" s="569"/>
      <c r="F878" s="569"/>
      <c r="G878" s="569"/>
      <c r="H878" s="569"/>
      <c r="I878" s="569"/>
      <c r="J878" s="569"/>
      <c r="K878" s="569"/>
      <c r="L878" s="569"/>
      <c r="M878" s="569"/>
      <c r="N878" s="569"/>
      <c r="O878" s="569"/>
      <c r="P878" s="569"/>
      <c r="Q878" s="569"/>
      <c r="R878" s="569"/>
      <c r="S878" s="569"/>
      <c r="T878" s="569"/>
      <c r="U878" s="569"/>
      <c r="V878" s="569"/>
      <c r="W878" s="569"/>
      <c r="X878" s="569"/>
      <c r="Y878" s="569"/>
      <c r="Z878" s="569"/>
      <c r="AA878" s="569"/>
      <c r="AB878" s="569"/>
      <c r="AC878" s="569"/>
      <c r="AD878" s="569"/>
      <c r="AE878" s="569"/>
      <c r="AF878" s="569"/>
      <c r="AG878" s="569"/>
      <c r="AH878" s="569"/>
      <c r="AI878" s="569"/>
      <c r="AJ878" s="569"/>
      <c r="AK878" s="569"/>
      <c r="AL878" s="569"/>
      <c r="AM878" s="569"/>
      <c r="AN878" s="569"/>
    </row>
    <row r="879" spans="1:66" ht="15.75" thickBot="1" x14ac:dyDescent="0.3">
      <c r="A879" s="569"/>
      <c r="B879" s="569"/>
      <c r="C879" s="569"/>
      <c r="D879" s="569"/>
      <c r="E879" s="569"/>
      <c r="F879" s="569"/>
      <c r="G879" s="569"/>
      <c r="H879" s="569"/>
      <c r="I879" s="569"/>
      <c r="J879" s="569"/>
      <c r="K879" s="569"/>
      <c r="L879" s="569"/>
      <c r="M879" s="569"/>
      <c r="N879" s="569"/>
      <c r="O879" s="569"/>
      <c r="P879" s="569"/>
      <c r="Q879" s="569"/>
      <c r="R879" s="569"/>
      <c r="S879" s="569"/>
      <c r="T879" s="569"/>
      <c r="U879" s="569"/>
      <c r="V879" s="569"/>
      <c r="W879" s="569"/>
      <c r="X879" s="569"/>
      <c r="Y879" s="569"/>
      <c r="Z879" s="569"/>
      <c r="AA879" s="569"/>
      <c r="AB879" s="569"/>
      <c r="AC879" s="569"/>
      <c r="AD879" s="569"/>
      <c r="AE879" s="569"/>
      <c r="AF879" s="569"/>
      <c r="AG879" s="569"/>
      <c r="AH879" s="569"/>
      <c r="AI879" s="569"/>
      <c r="AJ879" s="569"/>
      <c r="AK879" s="569"/>
      <c r="AL879" s="569"/>
      <c r="AM879" s="569"/>
      <c r="AN879" s="569"/>
    </row>
    <row r="880" spans="1:66" ht="15.75" thickBot="1" x14ac:dyDescent="0.3">
      <c r="A880" s="569"/>
      <c r="B880" s="569"/>
      <c r="C880" s="569"/>
      <c r="D880" s="569"/>
      <c r="E880" s="569"/>
      <c r="F880" s="569"/>
      <c r="G880" s="569"/>
      <c r="H880" s="569"/>
      <c r="I880" s="569"/>
      <c r="J880" s="569"/>
      <c r="K880" s="569"/>
      <c r="L880" s="569"/>
      <c r="M880" s="569"/>
      <c r="N880" s="569"/>
      <c r="O880" s="569"/>
      <c r="P880" s="569"/>
      <c r="Q880" s="569"/>
      <c r="R880" s="569"/>
      <c r="S880" s="569"/>
      <c r="T880" s="569"/>
      <c r="U880" s="569"/>
      <c r="V880" s="569"/>
      <c r="W880" s="569"/>
      <c r="X880" s="569"/>
      <c r="Y880" s="569"/>
      <c r="Z880" s="569"/>
      <c r="AA880" s="569"/>
      <c r="AB880" s="569"/>
      <c r="AC880" s="569"/>
      <c r="AD880" s="569"/>
      <c r="AE880" s="569"/>
      <c r="AF880" s="569"/>
      <c r="AG880" s="569"/>
      <c r="AH880" s="569"/>
      <c r="AI880" s="569"/>
      <c r="AJ880" s="569"/>
      <c r="AK880" s="569"/>
      <c r="AL880" s="569"/>
      <c r="AM880" s="569"/>
      <c r="AN880" s="569"/>
    </row>
    <row r="881" spans="1:40" ht="15.75" thickBot="1" x14ac:dyDescent="0.3">
      <c r="A881" s="569"/>
      <c r="B881" s="569"/>
      <c r="C881" s="569"/>
      <c r="D881" s="569"/>
      <c r="E881" s="569"/>
      <c r="F881" s="569"/>
      <c r="G881" s="569"/>
      <c r="H881" s="569"/>
      <c r="I881" s="569"/>
      <c r="J881" s="569"/>
      <c r="K881" s="569"/>
      <c r="L881" s="569"/>
      <c r="M881" s="569"/>
      <c r="N881" s="569"/>
      <c r="O881" s="569"/>
      <c r="P881" s="569"/>
      <c r="Q881" s="569"/>
      <c r="R881" s="569"/>
      <c r="S881" s="569"/>
      <c r="T881" s="569"/>
      <c r="U881" s="569"/>
      <c r="V881" s="569"/>
      <c r="W881" s="569"/>
      <c r="X881" s="569"/>
      <c r="Y881" s="569"/>
      <c r="Z881" s="569"/>
      <c r="AA881" s="569"/>
      <c r="AB881" s="569"/>
      <c r="AC881" s="569"/>
      <c r="AD881" s="569"/>
      <c r="AE881" s="569"/>
      <c r="AF881" s="569"/>
      <c r="AG881" s="569"/>
      <c r="AH881" s="569"/>
      <c r="AI881" s="569"/>
      <c r="AJ881" s="569"/>
      <c r="AK881" s="569"/>
      <c r="AL881" s="569"/>
      <c r="AM881" s="569"/>
      <c r="AN881" s="569"/>
    </row>
    <row r="882" spans="1:40" ht="15.75" thickBot="1" x14ac:dyDescent="0.3">
      <c r="A882" s="569"/>
      <c r="B882" s="569"/>
      <c r="C882" s="569"/>
      <c r="D882" s="569"/>
      <c r="E882" s="569"/>
      <c r="F882" s="569"/>
      <c r="G882" s="569"/>
      <c r="H882" s="569"/>
      <c r="I882" s="569"/>
      <c r="J882" s="569"/>
      <c r="K882" s="569"/>
      <c r="L882" s="569"/>
      <c r="M882" s="569"/>
      <c r="N882" s="569"/>
      <c r="O882" s="569"/>
      <c r="P882" s="569"/>
      <c r="Q882" s="569"/>
      <c r="R882" s="569"/>
      <c r="S882" s="569"/>
      <c r="T882" s="569"/>
      <c r="U882" s="569"/>
      <c r="V882" s="569"/>
      <c r="W882" s="569"/>
      <c r="X882" s="569"/>
      <c r="Y882" s="569"/>
      <c r="Z882" s="569"/>
      <c r="AA882" s="569"/>
      <c r="AB882" s="569"/>
      <c r="AC882" s="569"/>
      <c r="AD882" s="569"/>
      <c r="AE882" s="569"/>
      <c r="AF882" s="569"/>
      <c r="AG882" s="569"/>
      <c r="AH882" s="569"/>
      <c r="AI882" s="569"/>
      <c r="AJ882" s="569"/>
      <c r="AK882" s="569"/>
      <c r="AL882" s="569"/>
      <c r="AM882" s="569"/>
      <c r="AN882" s="569"/>
    </row>
    <row r="883" spans="1:40" ht="15.75" thickBot="1" x14ac:dyDescent="0.3">
      <c r="A883" s="569"/>
      <c r="B883" s="569"/>
      <c r="C883" s="569"/>
      <c r="D883" s="569"/>
      <c r="E883" s="569"/>
      <c r="F883" s="569"/>
      <c r="G883" s="569"/>
      <c r="H883" s="569"/>
      <c r="I883" s="569"/>
      <c r="J883" s="569"/>
      <c r="K883" s="569"/>
      <c r="L883" s="569"/>
      <c r="M883" s="569"/>
      <c r="N883" s="569"/>
      <c r="O883" s="569"/>
      <c r="P883" s="569"/>
      <c r="Q883" s="569"/>
      <c r="R883" s="569"/>
      <c r="S883" s="569"/>
      <c r="T883" s="569"/>
      <c r="U883" s="569"/>
      <c r="V883" s="569"/>
      <c r="W883" s="569"/>
      <c r="X883" s="569"/>
      <c r="Y883" s="569"/>
      <c r="Z883" s="569"/>
      <c r="AA883" s="569"/>
      <c r="AB883" s="569"/>
      <c r="AC883" s="569"/>
      <c r="AD883" s="569"/>
      <c r="AE883" s="569"/>
      <c r="AF883" s="569"/>
      <c r="AG883" s="569"/>
      <c r="AH883" s="569"/>
      <c r="AI883" s="569"/>
      <c r="AJ883" s="569"/>
      <c r="AK883" s="569"/>
      <c r="AL883" s="569"/>
      <c r="AM883" s="569"/>
      <c r="AN883" s="569"/>
    </row>
    <row r="884" spans="1:40" ht="15.75" thickBot="1" x14ac:dyDescent="0.3">
      <c r="A884" s="569"/>
      <c r="B884" s="569"/>
      <c r="C884" s="569"/>
      <c r="D884" s="569"/>
      <c r="E884" s="569"/>
      <c r="F884" s="569"/>
      <c r="G884" s="569"/>
      <c r="H884" s="569"/>
      <c r="I884" s="569"/>
      <c r="J884" s="569"/>
      <c r="K884" s="569"/>
      <c r="L884" s="569"/>
      <c r="M884" s="569"/>
      <c r="N884" s="569"/>
      <c r="O884" s="569"/>
      <c r="P884" s="569"/>
      <c r="Q884" s="569"/>
      <c r="R884" s="569"/>
      <c r="S884" s="569"/>
      <c r="T884" s="569"/>
      <c r="U884" s="569"/>
      <c r="V884" s="569"/>
      <c r="W884" s="569"/>
      <c r="X884" s="569"/>
      <c r="Y884" s="569"/>
      <c r="Z884" s="569"/>
      <c r="AA884" s="569"/>
      <c r="AB884" s="569"/>
      <c r="AC884" s="569"/>
      <c r="AD884" s="569"/>
      <c r="AE884" s="569"/>
      <c r="AF884" s="569"/>
      <c r="AG884" s="569"/>
      <c r="AH884" s="569"/>
      <c r="AI884" s="569"/>
      <c r="AJ884" s="569"/>
      <c r="AK884" s="569"/>
      <c r="AL884" s="569"/>
      <c r="AM884" s="569"/>
      <c r="AN884" s="569"/>
    </row>
    <row r="885" spans="1:40" ht="15.75" thickBot="1" x14ac:dyDescent="0.3">
      <c r="A885" s="569"/>
      <c r="B885" s="569"/>
      <c r="C885" s="569"/>
      <c r="D885" s="569"/>
      <c r="E885" s="569"/>
      <c r="F885" s="569"/>
      <c r="G885" s="569"/>
      <c r="H885" s="569"/>
      <c r="I885" s="569"/>
      <c r="J885" s="569"/>
      <c r="K885" s="569"/>
      <c r="L885" s="569"/>
      <c r="M885" s="569"/>
      <c r="N885" s="569"/>
      <c r="O885" s="569"/>
      <c r="P885" s="569"/>
      <c r="Q885" s="569"/>
      <c r="R885" s="569"/>
      <c r="S885" s="569"/>
      <c r="T885" s="569"/>
      <c r="U885" s="569"/>
      <c r="V885" s="569"/>
      <c r="W885" s="569"/>
      <c r="X885" s="569"/>
      <c r="Y885" s="569"/>
      <c r="Z885" s="569"/>
      <c r="AA885" s="569"/>
      <c r="AB885" s="569"/>
      <c r="AC885" s="569"/>
      <c r="AD885" s="569"/>
      <c r="AE885" s="569"/>
      <c r="AF885" s="569"/>
      <c r="AG885" s="569"/>
      <c r="AH885" s="569"/>
      <c r="AI885" s="569"/>
      <c r="AJ885" s="569"/>
      <c r="AK885" s="569"/>
      <c r="AL885" s="569"/>
      <c r="AM885" s="569"/>
      <c r="AN885" s="569"/>
    </row>
    <row r="886" spans="1:40" ht="15.75" thickBot="1" x14ac:dyDescent="0.3">
      <c r="A886" s="569"/>
      <c r="B886" s="569"/>
      <c r="C886" s="569"/>
      <c r="D886" s="569"/>
      <c r="E886" s="569"/>
      <c r="F886" s="569"/>
      <c r="G886" s="569"/>
      <c r="H886" s="569"/>
      <c r="I886" s="569"/>
      <c r="J886" s="569"/>
      <c r="K886" s="569"/>
      <c r="L886" s="569"/>
      <c r="M886" s="569"/>
      <c r="N886" s="569"/>
      <c r="O886" s="569"/>
      <c r="P886" s="569"/>
      <c r="Q886" s="569"/>
      <c r="R886" s="569"/>
      <c r="S886" s="569"/>
      <c r="T886" s="569"/>
      <c r="U886" s="569"/>
      <c r="V886" s="569"/>
      <c r="W886" s="569"/>
      <c r="X886" s="569"/>
      <c r="Y886" s="569"/>
      <c r="Z886" s="569"/>
      <c r="AA886" s="569"/>
      <c r="AB886" s="569"/>
      <c r="AC886" s="569"/>
      <c r="AD886" s="569"/>
      <c r="AE886" s="569"/>
      <c r="AF886" s="569"/>
      <c r="AG886" s="569"/>
      <c r="AH886" s="569"/>
      <c r="AI886" s="569"/>
      <c r="AJ886" s="569"/>
      <c r="AK886" s="569"/>
      <c r="AL886" s="569"/>
      <c r="AM886" s="569"/>
      <c r="AN886" s="569"/>
    </row>
    <row r="887" spans="1:40" ht="15.75" thickBot="1" x14ac:dyDescent="0.3">
      <c r="A887" s="569"/>
      <c r="B887" s="569"/>
      <c r="C887" s="569"/>
      <c r="D887" s="569"/>
      <c r="E887" s="569"/>
      <c r="F887" s="569"/>
      <c r="G887" s="569"/>
      <c r="H887" s="569"/>
      <c r="I887" s="569"/>
      <c r="J887" s="569"/>
      <c r="K887" s="569"/>
      <c r="L887" s="569"/>
      <c r="M887" s="569"/>
      <c r="N887" s="569"/>
      <c r="O887" s="569"/>
      <c r="P887" s="569"/>
      <c r="Q887" s="569"/>
      <c r="R887" s="569"/>
      <c r="S887" s="569"/>
      <c r="T887" s="569"/>
      <c r="U887" s="569"/>
      <c r="V887" s="569"/>
      <c r="W887" s="569"/>
      <c r="X887" s="569"/>
      <c r="Y887" s="569"/>
      <c r="Z887" s="569"/>
      <c r="AA887" s="569"/>
      <c r="AB887" s="569"/>
      <c r="AC887" s="569"/>
      <c r="AD887" s="569"/>
      <c r="AE887" s="569"/>
      <c r="AF887" s="569"/>
      <c r="AG887" s="569"/>
      <c r="AH887" s="569"/>
      <c r="AI887" s="569"/>
      <c r="AJ887" s="569"/>
      <c r="AK887" s="569"/>
      <c r="AL887" s="569"/>
      <c r="AM887" s="569"/>
      <c r="AN887" s="569"/>
    </row>
    <row r="888" spans="1:40" ht="15.75" thickBot="1" x14ac:dyDescent="0.3">
      <c r="A888" s="569"/>
      <c r="B888" s="569"/>
      <c r="C888" s="569"/>
      <c r="D888" s="569"/>
      <c r="E888" s="569"/>
      <c r="F888" s="569"/>
      <c r="G888" s="569"/>
      <c r="H888" s="569"/>
      <c r="I888" s="569"/>
      <c r="J888" s="569"/>
      <c r="K888" s="569"/>
      <c r="L888" s="569"/>
      <c r="M888" s="569"/>
      <c r="N888" s="569"/>
      <c r="O888" s="569"/>
      <c r="P888" s="569"/>
      <c r="Q888" s="569"/>
      <c r="R888" s="569"/>
      <c r="S888" s="569"/>
      <c r="T888" s="569"/>
      <c r="U888" s="569"/>
      <c r="V888" s="569"/>
      <c r="W888" s="569"/>
      <c r="X888" s="569"/>
      <c r="Y888" s="569"/>
      <c r="Z888" s="569"/>
      <c r="AA888" s="569"/>
      <c r="AB888" s="569"/>
      <c r="AC888" s="569"/>
      <c r="AD888" s="569"/>
      <c r="AE888" s="569"/>
      <c r="AF888" s="569"/>
      <c r="AG888" s="569"/>
      <c r="AH888" s="569"/>
      <c r="AI888" s="569"/>
      <c r="AJ888" s="569"/>
      <c r="AK888" s="569"/>
      <c r="AL888" s="569"/>
      <c r="AM888" s="569"/>
      <c r="AN888" s="569"/>
    </row>
    <row r="889" spans="1:40" ht="15.75" thickBot="1" x14ac:dyDescent="0.3">
      <c r="A889" s="569"/>
      <c r="B889" s="569"/>
      <c r="C889" s="569"/>
      <c r="D889" s="569"/>
      <c r="E889" s="569"/>
      <c r="F889" s="569"/>
      <c r="G889" s="569"/>
      <c r="H889" s="569"/>
      <c r="I889" s="569"/>
      <c r="J889" s="569"/>
      <c r="K889" s="569"/>
      <c r="L889" s="569"/>
      <c r="M889" s="569"/>
      <c r="N889" s="569"/>
      <c r="O889" s="569"/>
      <c r="P889" s="569"/>
      <c r="Q889" s="569"/>
      <c r="R889" s="569"/>
      <c r="S889" s="569"/>
      <c r="T889" s="569"/>
      <c r="U889" s="569"/>
      <c r="V889" s="569"/>
      <c r="W889" s="569"/>
      <c r="X889" s="569"/>
      <c r="Y889" s="569"/>
      <c r="Z889" s="569"/>
      <c r="AA889" s="569"/>
      <c r="AB889" s="569"/>
      <c r="AC889" s="569"/>
      <c r="AD889" s="569"/>
      <c r="AE889" s="569"/>
      <c r="AF889" s="569"/>
      <c r="AG889" s="569"/>
      <c r="AH889" s="569"/>
      <c r="AI889" s="569"/>
      <c r="AJ889" s="569"/>
      <c r="AK889" s="569"/>
      <c r="AL889" s="569"/>
      <c r="AM889" s="569"/>
      <c r="AN889" s="569"/>
    </row>
    <row r="890" spans="1:40" ht="15.75" thickBot="1" x14ac:dyDescent="0.3">
      <c r="A890" s="569"/>
      <c r="B890" s="569"/>
      <c r="C890" s="569"/>
      <c r="D890" s="569"/>
      <c r="E890" s="569"/>
      <c r="F890" s="569"/>
      <c r="G890" s="569"/>
      <c r="H890" s="569"/>
      <c r="I890" s="569"/>
      <c r="J890" s="569"/>
      <c r="K890" s="569"/>
      <c r="L890" s="569"/>
      <c r="M890" s="569"/>
      <c r="N890" s="569"/>
      <c r="O890" s="569"/>
      <c r="P890" s="569"/>
      <c r="Q890" s="569"/>
      <c r="R890" s="569"/>
      <c r="S890" s="569"/>
      <c r="T890" s="569"/>
      <c r="U890" s="569"/>
      <c r="V890" s="569"/>
      <c r="W890" s="569"/>
      <c r="X890" s="569"/>
      <c r="Y890" s="569"/>
      <c r="Z890" s="569"/>
      <c r="AA890" s="569"/>
      <c r="AB890" s="569"/>
      <c r="AC890" s="569"/>
      <c r="AD890" s="569"/>
      <c r="AE890" s="569"/>
      <c r="AF890" s="569"/>
      <c r="AG890" s="569"/>
      <c r="AH890" s="569"/>
      <c r="AI890" s="569"/>
      <c r="AJ890" s="569"/>
      <c r="AK890" s="569"/>
      <c r="AL890" s="569"/>
      <c r="AM890" s="569"/>
      <c r="AN890" s="569"/>
    </row>
    <row r="891" spans="1:40" ht="15.75" thickBot="1" x14ac:dyDescent="0.3">
      <c r="A891" s="569"/>
      <c r="B891" s="569"/>
      <c r="C891" s="569"/>
      <c r="D891" s="569"/>
      <c r="E891" s="569"/>
      <c r="F891" s="569"/>
      <c r="G891" s="569"/>
      <c r="H891" s="569"/>
      <c r="I891" s="569"/>
      <c r="J891" s="569"/>
      <c r="K891" s="569"/>
      <c r="L891" s="569"/>
      <c r="M891" s="569"/>
      <c r="N891" s="569"/>
      <c r="O891" s="569"/>
      <c r="P891" s="569"/>
      <c r="Q891" s="569"/>
      <c r="R891" s="569"/>
      <c r="S891" s="569"/>
      <c r="T891" s="569"/>
      <c r="U891" s="569"/>
      <c r="V891" s="569"/>
      <c r="W891" s="569"/>
      <c r="X891" s="569"/>
      <c r="Y891" s="569"/>
      <c r="Z891" s="569"/>
      <c r="AA891" s="569"/>
      <c r="AB891" s="569"/>
      <c r="AC891" s="569"/>
      <c r="AD891" s="569"/>
      <c r="AE891" s="569"/>
      <c r="AF891" s="569"/>
      <c r="AG891" s="569"/>
      <c r="AH891" s="569"/>
      <c r="AI891" s="569"/>
      <c r="AJ891" s="569"/>
      <c r="AK891" s="569"/>
      <c r="AL891" s="569"/>
      <c r="AM891" s="569"/>
      <c r="AN891" s="569"/>
    </row>
    <row r="892" spans="1:40" ht="15.75" thickBot="1" x14ac:dyDescent="0.3">
      <c r="A892" s="569"/>
      <c r="B892" s="569"/>
      <c r="C892" s="569"/>
      <c r="D892" s="569"/>
      <c r="E892" s="569"/>
      <c r="F892" s="569"/>
      <c r="G892" s="569"/>
      <c r="H892" s="569"/>
      <c r="I892" s="569"/>
      <c r="J892" s="569"/>
      <c r="K892" s="569"/>
      <c r="L892" s="569"/>
      <c r="M892" s="569"/>
      <c r="N892" s="569"/>
      <c r="O892" s="569"/>
      <c r="P892" s="569"/>
      <c r="Q892" s="569"/>
      <c r="R892" s="569"/>
      <c r="S892" s="569"/>
      <c r="T892" s="569"/>
      <c r="U892" s="569"/>
      <c r="V892" s="569"/>
      <c r="W892" s="569"/>
      <c r="X892" s="569"/>
      <c r="Y892" s="569"/>
      <c r="Z892" s="569"/>
      <c r="AA892" s="569"/>
      <c r="AB892" s="569"/>
      <c r="AC892" s="569"/>
      <c r="AD892" s="569"/>
      <c r="AE892" s="569"/>
      <c r="AF892" s="569"/>
      <c r="AG892" s="569"/>
      <c r="AH892" s="569"/>
      <c r="AI892" s="569"/>
      <c r="AJ892" s="569"/>
      <c r="AK892" s="569"/>
      <c r="AL892" s="569"/>
      <c r="AM892" s="569"/>
      <c r="AN892" s="569"/>
    </row>
    <row r="893" spans="1:40" ht="15.75" thickBot="1" x14ac:dyDescent="0.3">
      <c r="A893" s="569"/>
      <c r="B893" s="569"/>
      <c r="C893" s="569"/>
      <c r="D893" s="569"/>
      <c r="E893" s="569"/>
      <c r="F893" s="569"/>
      <c r="G893" s="569"/>
      <c r="H893" s="569"/>
      <c r="I893" s="569"/>
      <c r="J893" s="569"/>
      <c r="K893" s="569"/>
      <c r="L893" s="569"/>
      <c r="M893" s="569"/>
      <c r="N893" s="569"/>
      <c r="O893" s="569"/>
      <c r="P893" s="569"/>
      <c r="Q893" s="569"/>
      <c r="R893" s="569"/>
      <c r="S893" s="569"/>
      <c r="T893" s="569"/>
      <c r="U893" s="569"/>
      <c r="V893" s="569"/>
      <c r="W893" s="569"/>
      <c r="X893" s="569"/>
      <c r="Y893" s="569"/>
      <c r="Z893" s="569"/>
      <c r="AA893" s="569"/>
      <c r="AB893" s="569"/>
      <c r="AC893" s="569"/>
      <c r="AD893" s="569"/>
      <c r="AE893" s="569"/>
      <c r="AF893" s="569"/>
      <c r="AG893" s="569"/>
      <c r="AH893" s="569"/>
      <c r="AI893" s="569"/>
      <c r="AJ893" s="569"/>
      <c r="AK893" s="569"/>
      <c r="AL893" s="569"/>
      <c r="AM893" s="569"/>
      <c r="AN893" s="569"/>
    </row>
    <row r="894" spans="1:40" ht="15.75" thickBot="1" x14ac:dyDescent="0.3">
      <c r="A894" s="569"/>
      <c r="B894" s="569"/>
      <c r="C894" s="569"/>
      <c r="D894" s="569"/>
      <c r="E894" s="569"/>
      <c r="F894" s="569"/>
      <c r="G894" s="569"/>
      <c r="H894" s="569"/>
      <c r="I894" s="569"/>
      <c r="J894" s="569"/>
      <c r="K894" s="569"/>
      <c r="L894" s="569"/>
      <c r="M894" s="569"/>
      <c r="N894" s="569"/>
      <c r="O894" s="569"/>
      <c r="P894" s="569"/>
      <c r="Q894" s="569"/>
      <c r="R894" s="569"/>
      <c r="S894" s="569"/>
      <c r="T894" s="569"/>
      <c r="U894" s="569"/>
      <c r="V894" s="569"/>
      <c r="W894" s="569"/>
      <c r="X894" s="569"/>
      <c r="Y894" s="569"/>
      <c r="Z894" s="569"/>
      <c r="AA894" s="569"/>
      <c r="AB894" s="569"/>
      <c r="AC894" s="569"/>
      <c r="AD894" s="569"/>
      <c r="AE894" s="569"/>
      <c r="AF894" s="569"/>
      <c r="AG894" s="569"/>
      <c r="AH894" s="569"/>
      <c r="AI894" s="569"/>
      <c r="AJ894" s="569"/>
      <c r="AK894" s="569"/>
      <c r="AL894" s="569"/>
      <c r="AM894" s="569"/>
      <c r="AN894" s="569"/>
    </row>
    <row r="895" spans="1:40" ht="15.75" thickBot="1" x14ac:dyDescent="0.3">
      <c r="A895" s="569"/>
      <c r="B895" s="569"/>
      <c r="C895" s="569"/>
      <c r="D895" s="569"/>
      <c r="E895" s="569"/>
      <c r="F895" s="569"/>
      <c r="G895" s="569"/>
      <c r="H895" s="569"/>
      <c r="I895" s="569"/>
      <c r="J895" s="569"/>
      <c r="K895" s="569"/>
      <c r="L895" s="569"/>
      <c r="M895" s="569"/>
      <c r="N895" s="569"/>
      <c r="O895" s="569"/>
      <c r="P895" s="569"/>
      <c r="Q895" s="569"/>
      <c r="R895" s="569"/>
      <c r="S895" s="569"/>
      <c r="T895" s="569"/>
      <c r="U895" s="569"/>
      <c r="V895" s="569"/>
      <c r="W895" s="569"/>
      <c r="X895" s="569"/>
      <c r="Y895" s="569"/>
      <c r="Z895" s="569"/>
      <c r="AA895" s="569"/>
      <c r="AB895" s="569"/>
      <c r="AC895" s="569"/>
      <c r="AD895" s="569"/>
      <c r="AE895" s="569"/>
      <c r="AF895" s="569"/>
      <c r="AG895" s="569"/>
      <c r="AH895" s="569"/>
      <c r="AI895" s="569"/>
      <c r="AJ895" s="569"/>
      <c r="AK895" s="569"/>
      <c r="AL895" s="569"/>
      <c r="AM895" s="569"/>
      <c r="AN895" s="569"/>
    </row>
    <row r="896" spans="1:40" ht="15.75" thickBot="1" x14ac:dyDescent="0.3">
      <c r="A896" s="569"/>
      <c r="B896" s="569"/>
      <c r="C896" s="569"/>
      <c r="D896" s="569"/>
      <c r="E896" s="569"/>
      <c r="F896" s="569"/>
      <c r="G896" s="569"/>
      <c r="H896" s="569"/>
      <c r="I896" s="569"/>
      <c r="J896" s="569"/>
      <c r="K896" s="569"/>
      <c r="L896" s="569"/>
      <c r="M896" s="569"/>
      <c r="N896" s="569"/>
      <c r="O896" s="569"/>
      <c r="P896" s="569"/>
      <c r="Q896" s="569"/>
      <c r="R896" s="569"/>
      <c r="S896" s="569"/>
      <c r="T896" s="569"/>
      <c r="U896" s="569"/>
      <c r="V896" s="569"/>
      <c r="W896" s="569"/>
      <c r="X896" s="569"/>
      <c r="Y896" s="569"/>
      <c r="Z896" s="569"/>
      <c r="AA896" s="569"/>
      <c r="AB896" s="569"/>
      <c r="AC896" s="569"/>
      <c r="AD896" s="569"/>
      <c r="AE896" s="569"/>
      <c r="AF896" s="569"/>
      <c r="AG896" s="569"/>
      <c r="AH896" s="569"/>
      <c r="AI896" s="569"/>
      <c r="AJ896" s="569"/>
      <c r="AK896" s="569"/>
      <c r="AL896" s="569"/>
      <c r="AM896" s="569"/>
      <c r="AN896" s="569"/>
    </row>
    <row r="897" spans="1:40" ht="15.75" thickBot="1" x14ac:dyDescent="0.3">
      <c r="A897" s="569"/>
      <c r="B897" s="569"/>
      <c r="C897" s="569"/>
      <c r="D897" s="569"/>
      <c r="E897" s="569"/>
      <c r="F897" s="569"/>
      <c r="G897" s="569"/>
      <c r="H897" s="569"/>
      <c r="I897" s="569"/>
      <c r="J897" s="569"/>
      <c r="K897" s="569"/>
      <c r="L897" s="569"/>
      <c r="M897" s="569"/>
      <c r="N897" s="569"/>
      <c r="O897" s="569"/>
      <c r="P897" s="569"/>
      <c r="Q897" s="569"/>
      <c r="R897" s="569"/>
      <c r="S897" s="569"/>
      <c r="T897" s="569"/>
      <c r="U897" s="569"/>
      <c r="V897" s="569"/>
      <c r="W897" s="569"/>
      <c r="X897" s="569"/>
      <c r="Y897" s="569"/>
      <c r="Z897" s="569"/>
      <c r="AA897" s="569"/>
      <c r="AB897" s="569"/>
      <c r="AC897" s="569"/>
      <c r="AD897" s="569"/>
      <c r="AE897" s="569"/>
      <c r="AF897" s="569"/>
      <c r="AG897" s="569"/>
      <c r="AH897" s="569"/>
      <c r="AI897" s="569"/>
      <c r="AJ897" s="569"/>
      <c r="AK897" s="569"/>
      <c r="AL897" s="569"/>
      <c r="AM897" s="569"/>
      <c r="AN897" s="569"/>
    </row>
    <row r="898" spans="1:40" ht="15.75" thickBot="1" x14ac:dyDescent="0.3">
      <c r="A898" s="569"/>
      <c r="B898" s="569"/>
      <c r="C898" s="569"/>
      <c r="D898" s="569"/>
      <c r="E898" s="569"/>
      <c r="F898" s="569"/>
      <c r="G898" s="569"/>
      <c r="H898" s="569"/>
      <c r="I898" s="569"/>
      <c r="J898" s="569"/>
      <c r="K898" s="569"/>
      <c r="L898" s="569"/>
      <c r="M898" s="569"/>
      <c r="N898" s="569"/>
      <c r="O898" s="569"/>
      <c r="P898" s="569"/>
      <c r="Q898" s="569"/>
      <c r="R898" s="569"/>
      <c r="S898" s="569"/>
      <c r="T898" s="569"/>
      <c r="U898" s="569"/>
      <c r="V898" s="569"/>
      <c r="W898" s="569"/>
      <c r="X898" s="569"/>
      <c r="Y898" s="569"/>
      <c r="Z898" s="569"/>
      <c r="AA898" s="569"/>
      <c r="AB898" s="569"/>
      <c r="AC898" s="569"/>
      <c r="AD898" s="569"/>
      <c r="AE898" s="569"/>
      <c r="AF898" s="569"/>
      <c r="AG898" s="569"/>
      <c r="AH898" s="569"/>
      <c r="AI898" s="569"/>
      <c r="AJ898" s="569"/>
      <c r="AK898" s="569"/>
      <c r="AL898" s="569"/>
      <c r="AM898" s="569"/>
      <c r="AN898" s="569"/>
    </row>
    <row r="899" spans="1:40" ht="15.75" thickBot="1" x14ac:dyDescent="0.3">
      <c r="A899" s="569"/>
      <c r="B899" s="569"/>
      <c r="C899" s="569"/>
      <c r="D899" s="569"/>
      <c r="E899" s="569"/>
      <c r="F899" s="569"/>
      <c r="G899" s="569"/>
      <c r="H899" s="569"/>
      <c r="I899" s="569"/>
      <c r="J899" s="569"/>
      <c r="K899" s="569"/>
      <c r="L899" s="569"/>
      <c r="M899" s="569"/>
      <c r="N899" s="569"/>
      <c r="O899" s="569"/>
      <c r="P899" s="569"/>
      <c r="Q899" s="569"/>
      <c r="R899" s="569"/>
      <c r="S899" s="569"/>
      <c r="T899" s="569"/>
      <c r="U899" s="569"/>
      <c r="V899" s="569"/>
      <c r="W899" s="569"/>
      <c r="X899" s="569"/>
      <c r="Y899" s="569"/>
      <c r="Z899" s="569"/>
      <c r="AA899" s="569"/>
      <c r="AB899" s="569"/>
      <c r="AC899" s="569"/>
      <c r="AD899" s="569"/>
      <c r="AE899" s="569"/>
      <c r="AF899" s="569"/>
      <c r="AG899" s="569"/>
      <c r="AH899" s="569"/>
      <c r="AI899" s="569"/>
      <c r="AJ899" s="569"/>
      <c r="AK899" s="569"/>
      <c r="AL899" s="569"/>
      <c r="AM899" s="569"/>
      <c r="AN899" s="569"/>
    </row>
    <row r="900" spans="1:40" ht="15.75" thickBot="1" x14ac:dyDescent="0.3">
      <c r="A900" s="569"/>
      <c r="B900" s="569"/>
      <c r="C900" s="569"/>
      <c r="D900" s="569"/>
      <c r="E900" s="569"/>
      <c r="F900" s="569"/>
      <c r="G900" s="569"/>
      <c r="H900" s="569"/>
      <c r="I900" s="569"/>
      <c r="J900" s="569"/>
      <c r="K900" s="569"/>
      <c r="L900" s="569"/>
      <c r="M900" s="569"/>
      <c r="N900" s="569"/>
      <c r="O900" s="569"/>
      <c r="P900" s="569"/>
      <c r="Q900" s="569"/>
      <c r="R900" s="569"/>
      <c r="S900" s="569"/>
      <c r="T900" s="569"/>
      <c r="U900" s="569"/>
      <c r="V900" s="569"/>
      <c r="W900" s="569"/>
      <c r="X900" s="569"/>
      <c r="Y900" s="569"/>
      <c r="Z900" s="569"/>
      <c r="AA900" s="569"/>
      <c r="AB900" s="569"/>
      <c r="AC900" s="569"/>
      <c r="AD900" s="569"/>
      <c r="AE900" s="569"/>
      <c r="AF900" s="569"/>
      <c r="AG900" s="569"/>
      <c r="AH900" s="569"/>
      <c r="AI900" s="569"/>
      <c r="AJ900" s="569"/>
      <c r="AK900" s="569"/>
      <c r="AL900" s="569"/>
      <c r="AM900" s="569"/>
      <c r="AN900" s="569"/>
    </row>
    <row r="901" spans="1:40" ht="15.75" thickBot="1" x14ac:dyDescent="0.3">
      <c r="A901" s="569"/>
      <c r="B901" s="569"/>
      <c r="C901" s="569"/>
      <c r="D901" s="569"/>
      <c r="E901" s="569"/>
      <c r="F901" s="569"/>
      <c r="G901" s="569"/>
      <c r="H901" s="569"/>
      <c r="I901" s="569"/>
      <c r="J901" s="569"/>
      <c r="K901" s="569"/>
      <c r="L901" s="569"/>
      <c r="M901" s="569"/>
      <c r="N901" s="569"/>
      <c r="O901" s="569"/>
      <c r="P901" s="569"/>
      <c r="Q901" s="569"/>
      <c r="R901" s="569"/>
      <c r="S901" s="569"/>
      <c r="T901" s="569"/>
      <c r="U901" s="569"/>
      <c r="V901" s="569"/>
      <c r="W901" s="569"/>
      <c r="X901" s="569"/>
      <c r="Y901" s="569"/>
      <c r="Z901" s="569"/>
      <c r="AA901" s="569"/>
      <c r="AB901" s="569"/>
      <c r="AC901" s="569"/>
      <c r="AD901" s="569"/>
      <c r="AE901" s="569"/>
      <c r="AF901" s="569"/>
      <c r="AG901" s="569"/>
      <c r="AH901" s="569"/>
      <c r="AI901" s="569"/>
      <c r="AJ901" s="569"/>
      <c r="AK901" s="569"/>
      <c r="AL901" s="569"/>
      <c r="AM901" s="569"/>
      <c r="AN901" s="569"/>
    </row>
    <row r="902" spans="1:40" ht="15.75" thickBot="1" x14ac:dyDescent="0.3">
      <c r="A902" s="569"/>
      <c r="B902" s="569"/>
      <c r="C902" s="569"/>
      <c r="D902" s="569"/>
      <c r="E902" s="569"/>
      <c r="F902" s="569"/>
      <c r="G902" s="569"/>
      <c r="H902" s="569"/>
      <c r="I902" s="569"/>
      <c r="J902" s="569"/>
      <c r="K902" s="569"/>
      <c r="L902" s="569"/>
      <c r="M902" s="569"/>
      <c r="N902" s="569"/>
      <c r="O902" s="569"/>
      <c r="P902" s="569"/>
      <c r="Q902" s="569"/>
      <c r="R902" s="569"/>
      <c r="S902" s="569"/>
      <c r="T902" s="569"/>
      <c r="U902" s="569"/>
      <c r="V902" s="569"/>
      <c r="W902" s="569"/>
      <c r="X902" s="569"/>
      <c r="Y902" s="569"/>
      <c r="Z902" s="569"/>
      <c r="AA902" s="569"/>
      <c r="AB902" s="569"/>
      <c r="AC902" s="569"/>
      <c r="AD902" s="569"/>
      <c r="AE902" s="569"/>
      <c r="AF902" s="569"/>
      <c r="AG902" s="569"/>
      <c r="AH902" s="569"/>
      <c r="AI902" s="569"/>
      <c r="AJ902" s="569"/>
      <c r="AK902" s="569"/>
      <c r="AL902" s="569"/>
      <c r="AM902" s="569"/>
      <c r="AN902" s="569"/>
    </row>
    <row r="903" spans="1:40" ht="15.75" thickBot="1" x14ac:dyDescent="0.3">
      <c r="A903" s="569"/>
      <c r="B903" s="569"/>
      <c r="C903" s="569"/>
      <c r="D903" s="569"/>
      <c r="E903" s="569"/>
      <c r="F903" s="569"/>
      <c r="G903" s="569"/>
      <c r="H903" s="569"/>
      <c r="I903" s="569"/>
      <c r="J903" s="569"/>
      <c r="K903" s="569"/>
      <c r="L903" s="569"/>
      <c r="M903" s="569"/>
      <c r="N903" s="569"/>
      <c r="O903" s="569"/>
      <c r="P903" s="569"/>
      <c r="Q903" s="569"/>
      <c r="R903" s="569"/>
      <c r="S903" s="569"/>
      <c r="T903" s="569"/>
      <c r="U903" s="569"/>
      <c r="V903" s="569"/>
      <c r="W903" s="569"/>
      <c r="X903" s="569"/>
      <c r="Y903" s="569"/>
      <c r="Z903" s="569"/>
      <c r="AA903" s="569"/>
      <c r="AB903" s="569"/>
      <c r="AC903" s="569"/>
      <c r="AD903" s="569"/>
      <c r="AE903" s="569"/>
      <c r="AF903" s="569"/>
      <c r="AG903" s="569"/>
      <c r="AH903" s="569"/>
      <c r="AI903" s="569"/>
      <c r="AJ903" s="569"/>
      <c r="AK903" s="569"/>
      <c r="AL903" s="569"/>
      <c r="AM903" s="569"/>
      <c r="AN903" s="569"/>
    </row>
    <row r="904" spans="1:40" ht="15.75" thickBot="1" x14ac:dyDescent="0.3">
      <c r="A904" s="569"/>
      <c r="B904" s="569"/>
      <c r="C904" s="569"/>
      <c r="D904" s="569"/>
      <c r="E904" s="569"/>
      <c r="F904" s="569"/>
      <c r="G904" s="569"/>
      <c r="H904" s="569"/>
      <c r="I904" s="569"/>
      <c r="J904" s="569"/>
      <c r="K904" s="569"/>
      <c r="L904" s="569"/>
      <c r="M904" s="569"/>
      <c r="N904" s="569"/>
      <c r="O904" s="569"/>
      <c r="P904" s="569"/>
      <c r="Q904" s="569"/>
      <c r="R904" s="569"/>
      <c r="S904" s="569"/>
      <c r="T904" s="569"/>
      <c r="U904" s="569"/>
      <c r="V904" s="569"/>
      <c r="W904" s="569"/>
      <c r="X904" s="569"/>
      <c r="Y904" s="569"/>
      <c r="Z904" s="569"/>
      <c r="AA904" s="569"/>
      <c r="AB904" s="569"/>
      <c r="AC904" s="569"/>
      <c r="AD904" s="569"/>
      <c r="AE904" s="569"/>
      <c r="AF904" s="569"/>
      <c r="AG904" s="569"/>
      <c r="AH904" s="569"/>
      <c r="AI904" s="569"/>
      <c r="AJ904" s="569"/>
      <c r="AK904" s="569"/>
      <c r="AL904" s="569"/>
      <c r="AM904" s="569"/>
      <c r="AN904" s="569"/>
    </row>
    <row r="905" spans="1:40" ht="15.75" thickBot="1" x14ac:dyDescent="0.3">
      <c r="A905" s="569"/>
      <c r="B905" s="569"/>
      <c r="C905" s="569"/>
      <c r="D905" s="569"/>
      <c r="E905" s="569"/>
      <c r="F905" s="569"/>
      <c r="G905" s="569"/>
      <c r="H905" s="569"/>
      <c r="I905" s="569"/>
      <c r="J905" s="569"/>
      <c r="K905" s="569"/>
      <c r="L905" s="569"/>
      <c r="M905" s="569"/>
      <c r="N905" s="569"/>
      <c r="O905" s="569"/>
      <c r="P905" s="569"/>
      <c r="Q905" s="569"/>
      <c r="R905" s="569"/>
      <c r="S905" s="569"/>
      <c r="T905" s="569"/>
      <c r="U905" s="569"/>
      <c r="V905" s="569"/>
      <c r="W905" s="569"/>
      <c r="X905" s="569"/>
      <c r="Y905" s="569"/>
      <c r="Z905" s="569"/>
      <c r="AA905" s="569"/>
      <c r="AB905" s="569"/>
      <c r="AC905" s="569"/>
      <c r="AD905" s="569"/>
      <c r="AE905" s="569"/>
      <c r="AF905" s="569"/>
      <c r="AG905" s="569"/>
      <c r="AH905" s="569"/>
      <c r="AI905" s="569"/>
      <c r="AJ905" s="569"/>
      <c r="AK905" s="569"/>
      <c r="AL905" s="569"/>
      <c r="AM905" s="569"/>
      <c r="AN905" s="569"/>
    </row>
    <row r="906" spans="1:40" ht="15.75" thickBot="1" x14ac:dyDescent="0.3">
      <c r="A906" s="569"/>
      <c r="B906" s="569"/>
      <c r="C906" s="569"/>
      <c r="D906" s="569"/>
      <c r="E906" s="569"/>
      <c r="F906" s="569"/>
      <c r="G906" s="569"/>
      <c r="H906" s="569"/>
      <c r="I906" s="569"/>
      <c r="J906" s="569"/>
      <c r="K906" s="569"/>
      <c r="L906" s="569"/>
      <c r="M906" s="569"/>
      <c r="N906" s="569"/>
      <c r="O906" s="569"/>
      <c r="P906" s="569"/>
      <c r="Q906" s="569"/>
      <c r="R906" s="569"/>
      <c r="S906" s="569"/>
      <c r="T906" s="569"/>
      <c r="U906" s="569"/>
      <c r="V906" s="569"/>
      <c r="W906" s="569"/>
      <c r="X906" s="569"/>
      <c r="Y906" s="569"/>
      <c r="Z906" s="569"/>
      <c r="AA906" s="569"/>
      <c r="AB906" s="569"/>
      <c r="AC906" s="569"/>
      <c r="AD906" s="569"/>
      <c r="AE906" s="569"/>
      <c r="AF906" s="569"/>
      <c r="AG906" s="569"/>
      <c r="AH906" s="569"/>
      <c r="AI906" s="569"/>
      <c r="AJ906" s="569"/>
      <c r="AK906" s="569"/>
      <c r="AL906" s="569"/>
      <c r="AM906" s="569"/>
      <c r="AN906" s="569"/>
    </row>
    <row r="907" spans="1:40" ht="15.75" thickBot="1" x14ac:dyDescent="0.3">
      <c r="A907" s="569"/>
      <c r="B907" s="569"/>
      <c r="C907" s="569"/>
      <c r="D907" s="569"/>
      <c r="E907" s="569"/>
      <c r="F907" s="569"/>
      <c r="G907" s="569"/>
      <c r="H907" s="569"/>
      <c r="I907" s="569"/>
      <c r="J907" s="569"/>
      <c r="K907" s="569"/>
      <c r="L907" s="569"/>
      <c r="M907" s="569"/>
      <c r="N907" s="569"/>
      <c r="O907" s="569"/>
      <c r="P907" s="569"/>
      <c r="Q907" s="569"/>
      <c r="R907" s="569"/>
      <c r="S907" s="569"/>
      <c r="T907" s="569"/>
      <c r="U907" s="569"/>
      <c r="V907" s="569"/>
      <c r="W907" s="569"/>
      <c r="X907" s="569"/>
      <c r="Y907" s="569"/>
      <c r="Z907" s="569"/>
      <c r="AA907" s="569"/>
      <c r="AB907" s="569"/>
      <c r="AC907" s="569"/>
      <c r="AD907" s="569"/>
      <c r="AE907" s="569"/>
      <c r="AF907" s="569"/>
      <c r="AG907" s="569"/>
      <c r="AH907" s="569"/>
      <c r="AI907" s="569"/>
      <c r="AJ907" s="569"/>
      <c r="AK907" s="569"/>
      <c r="AL907" s="569"/>
      <c r="AM907" s="569"/>
      <c r="AN907" s="569"/>
    </row>
    <row r="908" spans="1:40" ht="15.75" thickBot="1" x14ac:dyDescent="0.3">
      <c r="A908" s="569"/>
      <c r="B908" s="569"/>
      <c r="C908" s="569"/>
      <c r="D908" s="569"/>
      <c r="E908" s="569"/>
      <c r="F908" s="569"/>
      <c r="G908" s="569"/>
      <c r="H908" s="569"/>
      <c r="I908" s="569"/>
      <c r="J908" s="569"/>
      <c r="K908" s="569"/>
      <c r="L908" s="569"/>
      <c r="M908" s="569"/>
      <c r="N908" s="569"/>
      <c r="O908" s="569"/>
      <c r="P908" s="569"/>
      <c r="Q908" s="569"/>
      <c r="R908" s="569"/>
      <c r="S908" s="569"/>
      <c r="T908" s="569"/>
      <c r="U908" s="569"/>
      <c r="V908" s="569"/>
      <c r="W908" s="569"/>
      <c r="X908" s="569"/>
      <c r="Y908" s="569"/>
      <c r="Z908" s="569"/>
      <c r="AA908" s="569"/>
      <c r="AB908" s="569"/>
      <c r="AC908" s="569"/>
      <c r="AD908" s="569"/>
      <c r="AE908" s="569"/>
      <c r="AF908" s="569"/>
      <c r="AG908" s="569"/>
      <c r="AH908" s="569"/>
      <c r="AI908" s="569"/>
      <c r="AJ908" s="569"/>
      <c r="AK908" s="569"/>
      <c r="AL908" s="569"/>
      <c r="AM908" s="569"/>
      <c r="AN908" s="569"/>
    </row>
    <row r="909" spans="1:40" ht="15.75" thickBot="1" x14ac:dyDescent="0.3">
      <c r="A909" s="569"/>
      <c r="B909" s="569"/>
      <c r="C909" s="569"/>
      <c r="D909" s="569"/>
      <c r="E909" s="569"/>
      <c r="F909" s="569"/>
      <c r="G909" s="569"/>
      <c r="H909" s="569"/>
      <c r="I909" s="569"/>
      <c r="J909" s="569"/>
      <c r="K909" s="569"/>
      <c r="L909" s="569"/>
      <c r="M909" s="569"/>
      <c r="N909" s="569"/>
      <c r="O909" s="569"/>
      <c r="P909" s="569"/>
      <c r="Q909" s="569"/>
      <c r="R909" s="569"/>
      <c r="S909" s="569"/>
      <c r="T909" s="569"/>
      <c r="U909" s="569"/>
      <c r="V909" s="569"/>
      <c r="W909" s="569"/>
      <c r="X909" s="569"/>
      <c r="Y909" s="569"/>
      <c r="Z909" s="569"/>
      <c r="AA909" s="569"/>
      <c r="AB909" s="569"/>
      <c r="AC909" s="569"/>
      <c r="AD909" s="569"/>
      <c r="AE909" s="569"/>
      <c r="AF909" s="569"/>
      <c r="AG909" s="569"/>
      <c r="AH909" s="569"/>
      <c r="AI909" s="569"/>
      <c r="AJ909" s="569"/>
      <c r="AK909" s="569"/>
      <c r="AL909" s="569"/>
      <c r="AM909" s="569"/>
      <c r="AN909" s="569"/>
    </row>
    <row r="910" spans="1:40" ht="15.75" thickBot="1" x14ac:dyDescent="0.3">
      <c r="A910" s="569"/>
      <c r="B910" s="569"/>
      <c r="C910" s="569"/>
      <c r="D910" s="569"/>
      <c r="E910" s="569"/>
      <c r="F910" s="569"/>
      <c r="G910" s="569"/>
      <c r="H910" s="569"/>
      <c r="I910" s="569"/>
      <c r="J910" s="569"/>
      <c r="K910" s="569"/>
      <c r="L910" s="569"/>
      <c r="M910" s="569"/>
      <c r="N910" s="569"/>
      <c r="O910" s="569"/>
      <c r="P910" s="569"/>
      <c r="Q910" s="569"/>
      <c r="R910" s="569"/>
      <c r="S910" s="569"/>
      <c r="T910" s="569"/>
      <c r="U910" s="569"/>
      <c r="V910" s="569"/>
      <c r="W910" s="569"/>
      <c r="X910" s="569"/>
      <c r="Y910" s="569"/>
      <c r="Z910" s="569"/>
      <c r="AA910" s="569"/>
      <c r="AB910" s="569"/>
      <c r="AC910" s="569"/>
      <c r="AD910" s="569"/>
      <c r="AE910" s="569"/>
      <c r="AF910" s="569"/>
      <c r="AG910" s="569"/>
      <c r="AH910" s="569"/>
      <c r="AI910" s="569"/>
      <c r="AJ910" s="569"/>
      <c r="AK910" s="569"/>
      <c r="AL910" s="569"/>
      <c r="AM910" s="569"/>
      <c r="AN910" s="569"/>
    </row>
    <row r="911" spans="1:40" ht="15.75" thickBot="1" x14ac:dyDescent="0.3">
      <c r="A911" s="569"/>
      <c r="B911" s="569"/>
      <c r="C911" s="569"/>
      <c r="D911" s="569"/>
      <c r="E911" s="569"/>
      <c r="F911" s="569"/>
      <c r="G911" s="569"/>
      <c r="H911" s="569"/>
      <c r="I911" s="569"/>
      <c r="J911" s="569"/>
      <c r="K911" s="569"/>
      <c r="L911" s="569"/>
      <c r="M911" s="569"/>
      <c r="N911" s="569"/>
      <c r="O911" s="569"/>
      <c r="P911" s="569"/>
      <c r="Q911" s="569"/>
      <c r="R911" s="569"/>
      <c r="S911" s="569"/>
      <c r="T911" s="569"/>
      <c r="U911" s="569"/>
      <c r="V911" s="569"/>
      <c r="W911" s="569"/>
      <c r="X911" s="569"/>
      <c r="Y911" s="569"/>
      <c r="Z911" s="569"/>
      <c r="AA911" s="569"/>
      <c r="AB911" s="569"/>
      <c r="AC911" s="569"/>
      <c r="AD911" s="569"/>
      <c r="AE911" s="569"/>
      <c r="AF911" s="569"/>
      <c r="AG911" s="569"/>
      <c r="AH911" s="569"/>
      <c r="AI911" s="569"/>
      <c r="AJ911" s="569"/>
      <c r="AK911" s="569"/>
      <c r="AL911" s="569"/>
      <c r="AM911" s="569"/>
      <c r="AN911" s="569"/>
    </row>
    <row r="912" spans="1:40" ht="15.75" thickBot="1" x14ac:dyDescent="0.3">
      <c r="A912" s="569"/>
      <c r="B912" s="569"/>
      <c r="C912" s="569"/>
      <c r="D912" s="569"/>
      <c r="E912" s="569"/>
      <c r="F912" s="569"/>
      <c r="G912" s="569"/>
      <c r="H912" s="569"/>
      <c r="I912" s="569"/>
      <c r="J912" s="569"/>
      <c r="K912" s="569"/>
      <c r="L912" s="569"/>
      <c r="M912" s="569"/>
      <c r="N912" s="569"/>
      <c r="O912" s="569"/>
      <c r="P912" s="569"/>
      <c r="Q912" s="569"/>
      <c r="R912" s="569"/>
      <c r="S912" s="569"/>
      <c r="T912" s="569"/>
      <c r="U912" s="569"/>
      <c r="V912" s="569"/>
      <c r="W912" s="569"/>
      <c r="X912" s="569"/>
      <c r="Y912" s="569"/>
      <c r="Z912" s="569"/>
      <c r="AA912" s="569"/>
      <c r="AB912" s="569"/>
      <c r="AC912" s="569"/>
      <c r="AD912" s="569"/>
      <c r="AE912" s="569"/>
      <c r="AF912" s="569"/>
      <c r="AG912" s="569"/>
      <c r="AH912" s="569"/>
      <c r="AI912" s="569"/>
      <c r="AJ912" s="569"/>
      <c r="AK912" s="569"/>
      <c r="AL912" s="569"/>
      <c r="AM912" s="569"/>
      <c r="AN912" s="569"/>
    </row>
    <row r="913" spans="1:40" ht="15.75" thickBot="1" x14ac:dyDescent="0.3">
      <c r="A913" s="569"/>
      <c r="B913" s="569"/>
      <c r="C913" s="569"/>
      <c r="D913" s="569"/>
      <c r="E913" s="569"/>
      <c r="F913" s="569"/>
      <c r="G913" s="569"/>
      <c r="H913" s="569"/>
      <c r="I913" s="569"/>
      <c r="J913" s="569"/>
      <c r="K913" s="569"/>
      <c r="L913" s="569"/>
      <c r="M913" s="569"/>
      <c r="N913" s="569"/>
      <c r="O913" s="569"/>
      <c r="P913" s="569"/>
      <c r="Q913" s="569"/>
      <c r="R913" s="569"/>
      <c r="S913" s="569"/>
      <c r="T913" s="569"/>
      <c r="U913" s="569"/>
      <c r="V913" s="569"/>
      <c r="W913" s="569"/>
      <c r="X913" s="569"/>
      <c r="Y913" s="569"/>
      <c r="Z913" s="569"/>
      <c r="AA913" s="569"/>
      <c r="AB913" s="569"/>
      <c r="AC913" s="569"/>
      <c r="AD913" s="569"/>
      <c r="AE913" s="569"/>
      <c r="AF913" s="569"/>
      <c r="AG913" s="569"/>
      <c r="AH913" s="569"/>
      <c r="AI913" s="569"/>
      <c r="AJ913" s="569"/>
      <c r="AK913" s="569"/>
      <c r="AL913" s="569"/>
      <c r="AM913" s="569"/>
      <c r="AN913" s="569"/>
    </row>
    <row r="914" spans="1:40" ht="15.75" thickBot="1" x14ac:dyDescent="0.3">
      <c r="A914" s="569"/>
      <c r="B914" s="569"/>
      <c r="C914" s="569"/>
      <c r="D914" s="569"/>
      <c r="E914" s="569"/>
      <c r="F914" s="569"/>
      <c r="G914" s="569"/>
      <c r="H914" s="569"/>
      <c r="I914" s="569"/>
      <c r="J914" s="569"/>
      <c r="K914" s="569"/>
      <c r="L914" s="569"/>
      <c r="M914" s="569"/>
      <c r="N914" s="569"/>
      <c r="O914" s="569"/>
      <c r="P914" s="569"/>
      <c r="Q914" s="569"/>
      <c r="R914" s="569"/>
      <c r="S914" s="569"/>
      <c r="T914" s="569"/>
      <c r="U914" s="569"/>
      <c r="V914" s="569"/>
      <c r="W914" s="569"/>
      <c r="X914" s="569"/>
      <c r="Y914" s="569"/>
      <c r="Z914" s="569"/>
      <c r="AA914" s="569"/>
      <c r="AB914" s="569"/>
      <c r="AC914" s="569"/>
      <c r="AD914" s="569"/>
      <c r="AE914" s="569"/>
      <c r="AF914" s="569"/>
      <c r="AG914" s="569"/>
      <c r="AH914" s="569"/>
      <c r="AI914" s="569"/>
      <c r="AJ914" s="569"/>
      <c r="AK914" s="569"/>
      <c r="AL914" s="569"/>
      <c r="AM914" s="569"/>
      <c r="AN914" s="569"/>
    </row>
    <row r="915" spans="1:40" ht="15.75" thickBot="1" x14ac:dyDescent="0.3">
      <c r="A915" s="569"/>
      <c r="B915" s="569"/>
      <c r="C915" s="569"/>
      <c r="D915" s="569"/>
      <c r="E915" s="569"/>
      <c r="F915" s="569"/>
      <c r="G915" s="569"/>
      <c r="H915" s="569"/>
      <c r="I915" s="569"/>
      <c r="J915" s="569"/>
      <c r="K915" s="569"/>
      <c r="L915" s="569"/>
      <c r="M915" s="569"/>
      <c r="N915" s="569"/>
      <c r="O915" s="569"/>
      <c r="P915" s="569"/>
      <c r="Q915" s="569"/>
      <c r="R915" s="569"/>
      <c r="S915" s="569"/>
      <c r="T915" s="569"/>
      <c r="U915" s="569"/>
      <c r="V915" s="569"/>
      <c r="W915" s="569"/>
      <c r="X915" s="569"/>
      <c r="Y915" s="569"/>
      <c r="Z915" s="569"/>
      <c r="AA915" s="569"/>
      <c r="AB915" s="569"/>
      <c r="AC915" s="569"/>
      <c r="AD915" s="569"/>
      <c r="AE915" s="569"/>
      <c r="AF915" s="569"/>
      <c r="AG915" s="569"/>
      <c r="AH915" s="569"/>
      <c r="AI915" s="569"/>
      <c r="AJ915" s="569"/>
      <c r="AK915" s="569"/>
      <c r="AL915" s="569"/>
      <c r="AM915" s="569"/>
      <c r="AN915" s="569"/>
    </row>
    <row r="916" spans="1:40" ht="15.75" thickBot="1" x14ac:dyDescent="0.3">
      <c r="A916" s="569"/>
      <c r="B916" s="569"/>
      <c r="C916" s="569"/>
      <c r="D916" s="569"/>
      <c r="E916" s="569"/>
      <c r="F916" s="569"/>
      <c r="G916" s="569"/>
      <c r="H916" s="569"/>
      <c r="I916" s="569"/>
      <c r="J916" s="569"/>
      <c r="K916" s="569"/>
      <c r="L916" s="569"/>
      <c r="M916" s="569"/>
      <c r="N916" s="569"/>
      <c r="O916" s="569"/>
      <c r="P916" s="569"/>
      <c r="Q916" s="569"/>
      <c r="R916" s="569"/>
      <c r="S916" s="569"/>
      <c r="T916" s="569"/>
      <c r="U916" s="569"/>
      <c r="V916" s="569"/>
      <c r="W916" s="569"/>
      <c r="X916" s="569"/>
      <c r="Y916" s="569"/>
      <c r="Z916" s="569"/>
      <c r="AA916" s="569"/>
      <c r="AB916" s="569"/>
      <c r="AC916" s="569"/>
      <c r="AD916" s="569"/>
      <c r="AE916" s="569"/>
      <c r="AF916" s="569"/>
      <c r="AG916" s="569"/>
      <c r="AH916" s="569"/>
      <c r="AI916" s="569"/>
      <c r="AJ916" s="569"/>
      <c r="AK916" s="569"/>
      <c r="AL916" s="569"/>
      <c r="AM916" s="569"/>
      <c r="AN916" s="569"/>
    </row>
    <row r="917" spans="1:40" ht="15.75" thickBot="1" x14ac:dyDescent="0.3">
      <c r="A917" s="569"/>
      <c r="B917" s="569"/>
      <c r="C917" s="569"/>
      <c r="D917" s="569"/>
      <c r="E917" s="569"/>
      <c r="F917" s="569"/>
      <c r="G917" s="569"/>
      <c r="H917" s="569"/>
      <c r="I917" s="569"/>
      <c r="J917" s="569"/>
      <c r="K917" s="569"/>
      <c r="L917" s="569"/>
      <c r="M917" s="569"/>
      <c r="N917" s="569"/>
      <c r="O917" s="569"/>
      <c r="P917" s="569"/>
      <c r="Q917" s="569"/>
      <c r="R917" s="569"/>
      <c r="S917" s="569"/>
      <c r="T917" s="569"/>
      <c r="U917" s="569"/>
      <c r="V917" s="569"/>
      <c r="W917" s="569"/>
      <c r="X917" s="569"/>
      <c r="Y917" s="569"/>
      <c r="Z917" s="569"/>
      <c r="AA917" s="569"/>
      <c r="AB917" s="569"/>
      <c r="AC917" s="569"/>
      <c r="AD917" s="569"/>
      <c r="AE917" s="569"/>
      <c r="AF917" s="569"/>
      <c r="AG917" s="569"/>
      <c r="AH917" s="569"/>
      <c r="AI917" s="569"/>
      <c r="AJ917" s="569"/>
      <c r="AK917" s="569"/>
      <c r="AL917" s="569"/>
      <c r="AM917" s="569"/>
      <c r="AN917" s="569"/>
    </row>
    <row r="918" spans="1:40" ht="15.75" thickBot="1" x14ac:dyDescent="0.3">
      <c r="A918" s="569"/>
      <c r="B918" s="569"/>
      <c r="C918" s="569"/>
      <c r="D918" s="569"/>
      <c r="E918" s="569"/>
      <c r="F918" s="569"/>
      <c r="G918" s="569"/>
      <c r="H918" s="569"/>
      <c r="I918" s="569"/>
      <c r="J918" s="569"/>
      <c r="K918" s="569"/>
      <c r="L918" s="569"/>
      <c r="M918" s="569"/>
      <c r="N918" s="569"/>
      <c r="O918" s="569"/>
      <c r="P918" s="569"/>
      <c r="Q918" s="569"/>
      <c r="R918" s="569"/>
      <c r="S918" s="569"/>
      <c r="T918" s="569"/>
      <c r="U918" s="569"/>
      <c r="V918" s="569"/>
      <c r="W918" s="569"/>
      <c r="X918" s="569"/>
      <c r="Y918" s="569"/>
      <c r="Z918" s="569"/>
      <c r="AA918" s="569"/>
      <c r="AB918" s="569"/>
      <c r="AC918" s="569"/>
      <c r="AD918" s="569"/>
      <c r="AE918" s="569"/>
      <c r="AF918" s="569"/>
      <c r="AG918" s="569"/>
      <c r="AH918" s="569"/>
      <c r="AI918" s="569"/>
      <c r="AJ918" s="569"/>
      <c r="AK918" s="569"/>
      <c r="AL918" s="569"/>
      <c r="AM918" s="569"/>
      <c r="AN918" s="569"/>
    </row>
    <row r="919" spans="1:40" ht="15.75" thickBot="1" x14ac:dyDescent="0.3">
      <c r="A919" s="569"/>
      <c r="B919" s="569"/>
      <c r="C919" s="569"/>
      <c r="D919" s="569"/>
      <c r="E919" s="569"/>
      <c r="F919" s="569"/>
      <c r="G919" s="569"/>
      <c r="H919" s="569"/>
      <c r="I919" s="569"/>
      <c r="J919" s="569"/>
      <c r="K919" s="569"/>
      <c r="L919" s="569"/>
      <c r="M919" s="569"/>
      <c r="N919" s="569"/>
      <c r="O919" s="569"/>
      <c r="P919" s="569"/>
      <c r="Q919" s="569"/>
      <c r="R919" s="569"/>
      <c r="S919" s="569"/>
      <c r="T919" s="569"/>
      <c r="U919" s="569"/>
      <c r="V919" s="569"/>
      <c r="W919" s="569"/>
      <c r="X919" s="569"/>
      <c r="Y919" s="569"/>
      <c r="Z919" s="569"/>
      <c r="AA919" s="569"/>
      <c r="AB919" s="569"/>
      <c r="AC919" s="569"/>
      <c r="AD919" s="569"/>
      <c r="AE919" s="569"/>
      <c r="AF919" s="569"/>
      <c r="AG919" s="569"/>
      <c r="AH919" s="569"/>
      <c r="AI919" s="569"/>
      <c r="AJ919" s="569"/>
      <c r="AK919" s="569"/>
      <c r="AL919" s="569"/>
      <c r="AM919" s="569"/>
      <c r="AN919" s="569"/>
    </row>
    <row r="920" spans="1:40" ht="15.75" thickBot="1" x14ac:dyDescent="0.3">
      <c r="A920" s="569"/>
      <c r="B920" s="569"/>
      <c r="C920" s="569"/>
      <c r="D920" s="569"/>
      <c r="E920" s="569"/>
      <c r="F920" s="569"/>
      <c r="G920" s="569"/>
      <c r="H920" s="569"/>
      <c r="I920" s="569"/>
      <c r="J920" s="569"/>
      <c r="K920" s="569"/>
      <c r="L920" s="569"/>
      <c r="M920" s="569"/>
      <c r="N920" s="569"/>
      <c r="O920" s="569"/>
      <c r="P920" s="569"/>
      <c r="Q920" s="569"/>
      <c r="R920" s="569"/>
      <c r="S920" s="569"/>
      <c r="T920" s="569"/>
      <c r="U920" s="569"/>
      <c r="V920" s="569"/>
      <c r="W920" s="569"/>
      <c r="X920" s="569"/>
      <c r="Y920" s="569"/>
      <c r="Z920" s="569"/>
      <c r="AA920" s="569"/>
      <c r="AB920" s="569"/>
      <c r="AC920" s="569"/>
      <c r="AD920" s="569"/>
      <c r="AE920" s="569"/>
      <c r="AF920" s="569"/>
      <c r="AG920" s="569"/>
      <c r="AH920" s="569"/>
      <c r="AI920" s="569"/>
      <c r="AJ920" s="569"/>
      <c r="AK920" s="569"/>
      <c r="AL920" s="569"/>
      <c r="AM920" s="569"/>
      <c r="AN920" s="569"/>
    </row>
    <row r="921" spans="1:40" ht="15.75" thickBot="1" x14ac:dyDescent="0.3">
      <c r="A921" s="569"/>
      <c r="B921" s="569"/>
      <c r="C921" s="569"/>
      <c r="D921" s="569"/>
      <c r="E921" s="569"/>
      <c r="F921" s="569"/>
      <c r="G921" s="569"/>
      <c r="H921" s="569"/>
      <c r="I921" s="569"/>
      <c r="J921" s="569"/>
      <c r="K921" s="569"/>
      <c r="L921" s="569"/>
      <c r="M921" s="569"/>
      <c r="N921" s="569"/>
      <c r="O921" s="569"/>
      <c r="P921" s="569"/>
      <c r="Q921" s="569"/>
      <c r="R921" s="569"/>
      <c r="S921" s="569"/>
      <c r="T921" s="569"/>
      <c r="U921" s="569"/>
      <c r="V921" s="569"/>
      <c r="W921" s="569"/>
      <c r="X921" s="569"/>
      <c r="Y921" s="569"/>
      <c r="Z921" s="569"/>
      <c r="AA921" s="569"/>
      <c r="AB921" s="569"/>
      <c r="AC921" s="569"/>
      <c r="AD921" s="569"/>
      <c r="AE921" s="569"/>
      <c r="AF921" s="569"/>
      <c r="AG921" s="569"/>
      <c r="AH921" s="569"/>
      <c r="AI921" s="569"/>
      <c r="AJ921" s="569"/>
      <c r="AK921" s="569"/>
      <c r="AL921" s="569"/>
      <c r="AM921" s="569"/>
      <c r="AN921" s="569"/>
    </row>
    <row r="922" spans="1:40" ht="15.75" thickBot="1" x14ac:dyDescent="0.3">
      <c r="A922" s="569"/>
      <c r="B922" s="569"/>
      <c r="C922" s="569"/>
      <c r="D922" s="569"/>
      <c r="E922" s="569"/>
      <c r="F922" s="569"/>
      <c r="G922" s="569"/>
      <c r="H922" s="569"/>
      <c r="I922" s="569"/>
      <c r="J922" s="569"/>
      <c r="K922" s="569"/>
      <c r="L922" s="569"/>
      <c r="M922" s="569"/>
      <c r="N922" s="569"/>
      <c r="O922" s="569"/>
      <c r="P922" s="569"/>
      <c r="Q922" s="569"/>
      <c r="R922" s="569"/>
      <c r="S922" s="569"/>
      <c r="T922" s="569"/>
      <c r="U922" s="569"/>
      <c r="V922" s="569"/>
      <c r="W922" s="569"/>
      <c r="X922" s="569"/>
      <c r="Y922" s="569"/>
      <c r="Z922" s="569"/>
      <c r="AA922" s="569"/>
      <c r="AB922" s="569"/>
      <c r="AC922" s="569"/>
      <c r="AD922" s="569"/>
      <c r="AE922" s="569"/>
      <c r="AF922" s="569"/>
      <c r="AG922" s="569"/>
      <c r="AH922" s="569"/>
      <c r="AI922" s="569"/>
      <c r="AJ922" s="569"/>
      <c r="AK922" s="569"/>
      <c r="AL922" s="569"/>
      <c r="AM922" s="569"/>
      <c r="AN922" s="569"/>
    </row>
    <row r="923" spans="1:40" ht="15.75" thickBot="1" x14ac:dyDescent="0.3">
      <c r="A923" s="569"/>
      <c r="B923" s="569"/>
      <c r="C923" s="569"/>
      <c r="D923" s="569"/>
      <c r="E923" s="569"/>
      <c r="F923" s="569"/>
      <c r="G923" s="569"/>
      <c r="H923" s="569"/>
      <c r="I923" s="569"/>
      <c r="J923" s="569"/>
      <c r="K923" s="569"/>
      <c r="L923" s="569"/>
      <c r="M923" s="569"/>
      <c r="N923" s="569"/>
      <c r="O923" s="569"/>
      <c r="P923" s="569"/>
      <c r="Q923" s="569"/>
      <c r="R923" s="569"/>
      <c r="S923" s="569"/>
      <c r="T923" s="569"/>
      <c r="U923" s="569"/>
      <c r="V923" s="569"/>
      <c r="W923" s="569"/>
      <c r="X923" s="569"/>
      <c r="Y923" s="569"/>
      <c r="Z923" s="569"/>
      <c r="AA923" s="569"/>
      <c r="AB923" s="569"/>
      <c r="AC923" s="569"/>
      <c r="AD923" s="569"/>
      <c r="AE923" s="569"/>
      <c r="AF923" s="569"/>
      <c r="AG923" s="569"/>
      <c r="AH923" s="569"/>
      <c r="AI923" s="569"/>
      <c r="AJ923" s="569"/>
      <c r="AK923" s="569"/>
      <c r="AL923" s="569"/>
      <c r="AM923" s="569"/>
      <c r="AN923" s="569"/>
    </row>
    <row r="924" spans="1:40" ht="15.75" thickBot="1" x14ac:dyDescent="0.3">
      <c r="A924" s="569"/>
      <c r="B924" s="569"/>
      <c r="C924" s="569"/>
      <c r="D924" s="569"/>
      <c r="E924" s="569"/>
      <c r="F924" s="569"/>
      <c r="G924" s="569"/>
      <c r="H924" s="569"/>
      <c r="I924" s="569"/>
      <c r="J924" s="569"/>
      <c r="K924" s="569"/>
      <c r="L924" s="569"/>
      <c r="M924" s="569"/>
      <c r="N924" s="569"/>
      <c r="O924" s="569"/>
      <c r="P924" s="569"/>
      <c r="Q924" s="569"/>
      <c r="R924" s="569"/>
      <c r="S924" s="569"/>
      <c r="T924" s="569"/>
      <c r="U924" s="569"/>
      <c r="V924" s="569"/>
      <c r="W924" s="569"/>
      <c r="X924" s="569"/>
      <c r="Y924" s="569"/>
      <c r="Z924" s="569"/>
      <c r="AA924" s="569"/>
      <c r="AB924" s="569"/>
      <c r="AC924" s="569"/>
      <c r="AD924" s="569"/>
      <c r="AE924" s="569"/>
      <c r="AF924" s="569"/>
      <c r="AG924" s="569"/>
      <c r="AH924" s="569"/>
      <c r="AI924" s="569"/>
      <c r="AJ924" s="569"/>
      <c r="AK924" s="569"/>
      <c r="AL924" s="569"/>
      <c r="AM924" s="569"/>
      <c r="AN924" s="569"/>
    </row>
    <row r="925" spans="1:40" ht="15.75" thickBot="1" x14ac:dyDescent="0.3">
      <c r="A925" s="569"/>
      <c r="B925" s="569"/>
      <c r="C925" s="569"/>
      <c r="D925" s="569"/>
      <c r="E925" s="569"/>
      <c r="F925" s="569"/>
      <c r="G925" s="569"/>
      <c r="H925" s="569"/>
      <c r="I925" s="569"/>
      <c r="J925" s="569"/>
      <c r="K925" s="569"/>
      <c r="L925" s="569"/>
      <c r="M925" s="569"/>
      <c r="N925" s="569"/>
      <c r="O925" s="569"/>
      <c r="P925" s="569"/>
      <c r="Q925" s="569"/>
      <c r="R925" s="569"/>
      <c r="S925" s="569"/>
      <c r="T925" s="569"/>
      <c r="U925" s="569"/>
      <c r="V925" s="569"/>
      <c r="W925" s="569"/>
      <c r="X925" s="569"/>
      <c r="Y925" s="569"/>
      <c r="Z925" s="569"/>
      <c r="AA925" s="569"/>
      <c r="AB925" s="569"/>
      <c r="AC925" s="569"/>
      <c r="AD925" s="569"/>
      <c r="AE925" s="569"/>
      <c r="AF925" s="569"/>
      <c r="AG925" s="569"/>
      <c r="AH925" s="569"/>
      <c r="AI925" s="569"/>
      <c r="AJ925" s="569"/>
      <c r="AK925" s="569"/>
      <c r="AL925" s="569"/>
      <c r="AM925" s="569"/>
      <c r="AN925" s="569"/>
    </row>
    <row r="926" spans="1:40" ht="15.75" thickBot="1" x14ac:dyDescent="0.3">
      <c r="A926" s="569"/>
      <c r="B926" s="569"/>
      <c r="C926" s="569"/>
      <c r="D926" s="569"/>
      <c r="E926" s="569"/>
      <c r="F926" s="569"/>
      <c r="G926" s="569"/>
      <c r="H926" s="569"/>
      <c r="I926" s="569"/>
      <c r="J926" s="569"/>
      <c r="K926" s="569"/>
      <c r="L926" s="569"/>
      <c r="M926" s="569"/>
      <c r="N926" s="569"/>
      <c r="O926" s="569"/>
      <c r="P926" s="569"/>
      <c r="Q926" s="569"/>
      <c r="R926" s="569"/>
      <c r="S926" s="569"/>
      <c r="T926" s="569"/>
      <c r="U926" s="569"/>
      <c r="V926" s="569"/>
      <c r="W926" s="569"/>
      <c r="X926" s="569"/>
      <c r="Y926" s="569"/>
      <c r="Z926" s="569"/>
      <c r="AA926" s="569"/>
      <c r="AB926" s="569"/>
      <c r="AC926" s="569"/>
      <c r="AD926" s="569"/>
      <c r="AE926" s="569"/>
      <c r="AF926" s="569"/>
      <c r="AG926" s="569"/>
      <c r="AH926" s="569"/>
      <c r="AI926" s="569"/>
      <c r="AJ926" s="569"/>
      <c r="AK926" s="569"/>
      <c r="AL926" s="569"/>
      <c r="AM926" s="569"/>
      <c r="AN926" s="569"/>
    </row>
    <row r="927" spans="1:40" ht="15.75" thickBot="1" x14ac:dyDescent="0.3">
      <c r="A927" s="569"/>
      <c r="B927" s="569"/>
      <c r="C927" s="569"/>
      <c r="D927" s="569"/>
      <c r="E927" s="569"/>
      <c r="F927" s="569"/>
      <c r="G927" s="569"/>
      <c r="H927" s="569"/>
      <c r="I927" s="569"/>
      <c r="J927" s="569"/>
      <c r="K927" s="569"/>
      <c r="L927" s="569"/>
      <c r="M927" s="569"/>
      <c r="N927" s="569"/>
      <c r="O927" s="569"/>
      <c r="P927" s="569"/>
      <c r="Q927" s="569"/>
      <c r="R927" s="569"/>
      <c r="S927" s="569"/>
      <c r="T927" s="569"/>
      <c r="U927" s="569"/>
      <c r="V927" s="569"/>
      <c r="W927" s="569"/>
      <c r="X927" s="569"/>
      <c r="Y927" s="569"/>
      <c r="Z927" s="569"/>
      <c r="AA927" s="569"/>
      <c r="AB927" s="569"/>
      <c r="AC927" s="569"/>
      <c r="AD927" s="569"/>
      <c r="AE927" s="569"/>
      <c r="AF927" s="569"/>
      <c r="AG927" s="569"/>
      <c r="AH927" s="569"/>
      <c r="AI927" s="569"/>
      <c r="AJ927" s="569"/>
      <c r="AK927" s="569"/>
      <c r="AL927" s="569"/>
      <c r="AM927" s="569"/>
      <c r="AN927" s="569"/>
    </row>
    <row r="928" spans="1:40" ht="15.75" thickBot="1" x14ac:dyDescent="0.3">
      <c r="A928" s="569"/>
      <c r="B928" s="569"/>
      <c r="C928" s="569"/>
      <c r="D928" s="569"/>
      <c r="E928" s="569"/>
      <c r="F928" s="569"/>
      <c r="G928" s="569"/>
      <c r="H928" s="569"/>
      <c r="I928" s="569"/>
      <c r="J928" s="569"/>
      <c r="K928" s="569"/>
      <c r="L928" s="569"/>
      <c r="M928" s="569"/>
      <c r="N928" s="569"/>
      <c r="O928" s="569"/>
      <c r="P928" s="569"/>
      <c r="Q928" s="569"/>
      <c r="R928" s="569"/>
      <c r="S928" s="569"/>
      <c r="T928" s="569"/>
      <c r="U928" s="569"/>
      <c r="V928" s="569"/>
      <c r="W928" s="569"/>
      <c r="X928" s="569"/>
      <c r="Y928" s="569"/>
      <c r="Z928" s="569"/>
      <c r="AA928" s="569"/>
      <c r="AB928" s="569"/>
      <c r="AC928" s="569"/>
      <c r="AD928" s="569"/>
      <c r="AE928" s="569"/>
      <c r="AF928" s="569"/>
      <c r="AG928" s="569"/>
      <c r="AH928" s="569"/>
      <c r="AI928" s="569"/>
      <c r="AJ928" s="569"/>
      <c r="AK928" s="569"/>
      <c r="AL928" s="569"/>
      <c r="AM928" s="569"/>
      <c r="AN928" s="569"/>
    </row>
    <row r="929" spans="1:40" ht="15.75" thickBot="1" x14ac:dyDescent="0.3">
      <c r="A929" s="569"/>
      <c r="B929" s="569"/>
      <c r="C929" s="569"/>
      <c r="D929" s="569"/>
      <c r="E929" s="569"/>
      <c r="F929" s="569"/>
      <c r="G929" s="569"/>
      <c r="H929" s="569"/>
      <c r="I929" s="569"/>
      <c r="J929" s="569"/>
      <c r="K929" s="569"/>
      <c r="L929" s="569"/>
      <c r="M929" s="569"/>
      <c r="N929" s="569"/>
      <c r="O929" s="569"/>
      <c r="P929" s="569"/>
      <c r="Q929" s="569"/>
      <c r="R929" s="569"/>
      <c r="S929" s="569"/>
      <c r="T929" s="569"/>
      <c r="U929" s="569"/>
      <c r="V929" s="569"/>
      <c r="W929" s="569"/>
      <c r="X929" s="569"/>
      <c r="Y929" s="569"/>
      <c r="Z929" s="569"/>
      <c r="AA929" s="569"/>
      <c r="AB929" s="569"/>
      <c r="AC929" s="569"/>
      <c r="AD929" s="569"/>
      <c r="AE929" s="569"/>
      <c r="AF929" s="569"/>
      <c r="AG929" s="569"/>
      <c r="AH929" s="569"/>
      <c r="AI929" s="569"/>
      <c r="AJ929" s="569"/>
      <c r="AK929" s="569"/>
      <c r="AL929" s="569"/>
      <c r="AM929" s="569"/>
      <c r="AN929" s="569"/>
    </row>
    <row r="930" spans="1:40" ht="15.75" thickBot="1" x14ac:dyDescent="0.3">
      <c r="A930" s="569"/>
      <c r="B930" s="569"/>
      <c r="C930" s="569"/>
      <c r="D930" s="569"/>
      <c r="E930" s="569"/>
      <c r="F930" s="569"/>
      <c r="G930" s="569"/>
      <c r="H930" s="569"/>
      <c r="I930" s="569"/>
      <c r="J930" s="569"/>
      <c r="K930" s="569"/>
      <c r="L930" s="569"/>
      <c r="M930" s="569"/>
      <c r="N930" s="569"/>
      <c r="O930" s="569"/>
      <c r="P930" s="569"/>
      <c r="Q930" s="569"/>
      <c r="R930" s="569"/>
      <c r="S930" s="569"/>
      <c r="T930" s="569"/>
      <c r="U930" s="569"/>
      <c r="V930" s="569"/>
      <c r="W930" s="569"/>
      <c r="X930" s="569"/>
      <c r="Y930" s="569"/>
      <c r="Z930" s="569"/>
      <c r="AA930" s="569"/>
      <c r="AB930" s="569"/>
      <c r="AC930" s="569"/>
      <c r="AD930" s="569"/>
      <c r="AE930" s="569"/>
      <c r="AF930" s="569"/>
      <c r="AG930" s="569"/>
      <c r="AH930" s="569"/>
      <c r="AI930" s="569"/>
      <c r="AJ930" s="569"/>
      <c r="AK930" s="569"/>
      <c r="AL930" s="569"/>
      <c r="AM930" s="569"/>
      <c r="AN930" s="569"/>
    </row>
    <row r="931" spans="1:40" ht="15.75" thickBot="1" x14ac:dyDescent="0.3">
      <c r="A931" s="569"/>
      <c r="B931" s="569"/>
      <c r="C931" s="569"/>
      <c r="D931" s="569"/>
      <c r="E931" s="569"/>
      <c r="F931" s="569"/>
      <c r="G931" s="569"/>
      <c r="H931" s="569"/>
      <c r="I931" s="569"/>
      <c r="J931" s="569"/>
      <c r="K931" s="569"/>
      <c r="L931" s="569"/>
      <c r="M931" s="569"/>
      <c r="N931" s="569"/>
      <c r="O931" s="569"/>
      <c r="P931" s="569"/>
      <c r="Q931" s="569"/>
      <c r="R931" s="569"/>
      <c r="S931" s="569"/>
      <c r="T931" s="569"/>
      <c r="U931" s="569"/>
      <c r="V931" s="569"/>
      <c r="W931" s="569"/>
      <c r="X931" s="569"/>
      <c r="Y931" s="569"/>
      <c r="Z931" s="569"/>
      <c r="AA931" s="569"/>
      <c r="AB931" s="569"/>
      <c r="AC931" s="569"/>
      <c r="AD931" s="569"/>
      <c r="AE931" s="569"/>
      <c r="AF931" s="569"/>
      <c r="AG931" s="569"/>
      <c r="AH931" s="569"/>
      <c r="AI931" s="569"/>
      <c r="AJ931" s="569"/>
      <c r="AK931" s="569"/>
      <c r="AL931" s="569"/>
      <c r="AM931" s="569"/>
      <c r="AN931" s="569"/>
    </row>
    <row r="932" spans="1:40" ht="15.75" thickBot="1" x14ac:dyDescent="0.3">
      <c r="A932" s="569"/>
      <c r="B932" s="569"/>
      <c r="C932" s="569"/>
      <c r="D932" s="569"/>
      <c r="E932" s="569"/>
      <c r="F932" s="569"/>
      <c r="G932" s="569"/>
      <c r="H932" s="569"/>
      <c r="I932" s="569"/>
      <c r="J932" s="569"/>
      <c r="K932" s="569"/>
      <c r="L932" s="569"/>
      <c r="M932" s="569"/>
      <c r="N932" s="569"/>
      <c r="O932" s="569"/>
      <c r="P932" s="569"/>
      <c r="Q932" s="569"/>
      <c r="R932" s="569"/>
      <c r="S932" s="569"/>
      <c r="T932" s="569"/>
      <c r="U932" s="569"/>
      <c r="V932" s="569"/>
      <c r="W932" s="569"/>
      <c r="X932" s="569"/>
      <c r="Y932" s="569"/>
      <c r="Z932" s="569"/>
      <c r="AA932" s="569"/>
      <c r="AB932" s="569"/>
      <c r="AC932" s="569"/>
      <c r="AD932" s="569"/>
      <c r="AE932" s="569"/>
      <c r="AF932" s="569"/>
      <c r="AG932" s="569"/>
      <c r="AH932" s="569"/>
      <c r="AI932" s="569"/>
      <c r="AJ932" s="569"/>
      <c r="AK932" s="569"/>
      <c r="AL932" s="569"/>
      <c r="AM932" s="569"/>
      <c r="AN932" s="569"/>
    </row>
    <row r="933" spans="1:40" ht="15.75" thickBot="1" x14ac:dyDescent="0.3">
      <c r="A933" s="569"/>
      <c r="B933" s="569"/>
      <c r="C933" s="569"/>
      <c r="D933" s="569"/>
      <c r="E933" s="569"/>
      <c r="F933" s="569"/>
      <c r="G933" s="569"/>
      <c r="H933" s="569"/>
      <c r="I933" s="569"/>
      <c r="J933" s="569"/>
      <c r="K933" s="569"/>
      <c r="L933" s="569"/>
      <c r="M933" s="569"/>
      <c r="N933" s="569"/>
      <c r="O933" s="569"/>
      <c r="P933" s="569"/>
      <c r="Q933" s="569"/>
      <c r="R933" s="569"/>
      <c r="S933" s="569"/>
      <c r="T933" s="569"/>
      <c r="U933" s="569"/>
      <c r="V933" s="569"/>
      <c r="W933" s="569"/>
      <c r="X933" s="569"/>
      <c r="Y933" s="569"/>
      <c r="Z933" s="569"/>
      <c r="AA933" s="569"/>
      <c r="AB933" s="569"/>
      <c r="AC933" s="569"/>
      <c r="AD933" s="569"/>
      <c r="AE933" s="569"/>
      <c r="AF933" s="569"/>
      <c r="AG933" s="569"/>
      <c r="AH933" s="569"/>
      <c r="AI933" s="569"/>
      <c r="AJ933" s="569"/>
      <c r="AK933" s="569"/>
      <c r="AL933" s="569"/>
      <c r="AM933" s="569"/>
      <c r="AN933" s="569"/>
    </row>
    <row r="934" spans="1:40" ht="15.75" thickBot="1" x14ac:dyDescent="0.3">
      <c r="A934" s="569"/>
      <c r="B934" s="569"/>
      <c r="C934" s="569"/>
      <c r="D934" s="569"/>
      <c r="E934" s="569"/>
      <c r="F934" s="569"/>
      <c r="G934" s="569"/>
      <c r="H934" s="569"/>
      <c r="I934" s="569"/>
      <c r="J934" s="569"/>
      <c r="K934" s="569"/>
      <c r="L934" s="569"/>
      <c r="M934" s="569"/>
      <c r="N934" s="569"/>
      <c r="O934" s="569"/>
      <c r="P934" s="569"/>
      <c r="Q934" s="569"/>
      <c r="R934" s="569"/>
      <c r="S934" s="569"/>
      <c r="T934" s="569"/>
      <c r="U934" s="569"/>
      <c r="V934" s="569"/>
      <c r="W934" s="569"/>
      <c r="X934" s="569"/>
      <c r="Y934" s="569"/>
      <c r="Z934" s="569"/>
      <c r="AA934" s="569"/>
      <c r="AB934" s="569"/>
      <c r="AC934" s="569"/>
      <c r="AD934" s="569"/>
      <c r="AE934" s="569"/>
      <c r="AF934" s="569"/>
      <c r="AG934" s="569"/>
      <c r="AH934" s="569"/>
      <c r="AI934" s="569"/>
      <c r="AJ934" s="569"/>
      <c r="AK934" s="569"/>
      <c r="AL934" s="569"/>
      <c r="AM934" s="569"/>
      <c r="AN934" s="569"/>
    </row>
    <row r="935" spans="1:40" ht="15.75" thickBot="1" x14ac:dyDescent="0.3">
      <c r="A935" s="569"/>
      <c r="B935" s="569"/>
      <c r="C935" s="569"/>
      <c r="D935" s="569"/>
      <c r="E935" s="569"/>
      <c r="F935" s="569"/>
      <c r="G935" s="569"/>
      <c r="H935" s="569"/>
      <c r="I935" s="569"/>
      <c r="J935" s="569"/>
      <c r="K935" s="569"/>
      <c r="L935" s="569"/>
      <c r="M935" s="569"/>
      <c r="N935" s="569"/>
      <c r="O935" s="569"/>
      <c r="P935" s="569"/>
      <c r="Q935" s="569"/>
      <c r="R935" s="569"/>
      <c r="S935" s="569"/>
      <c r="T935" s="569"/>
      <c r="U935" s="569"/>
      <c r="V935" s="569"/>
      <c r="W935" s="569"/>
      <c r="X935" s="569"/>
      <c r="Y935" s="569"/>
      <c r="Z935" s="569"/>
      <c r="AA935" s="569"/>
      <c r="AB935" s="569"/>
      <c r="AC935" s="569"/>
      <c r="AD935" s="569"/>
      <c r="AE935" s="569"/>
      <c r="AF935" s="569"/>
      <c r="AG935" s="569"/>
      <c r="AH935" s="569"/>
      <c r="AI935" s="569"/>
      <c r="AJ935" s="569"/>
      <c r="AK935" s="569"/>
      <c r="AL935" s="569"/>
      <c r="AM935" s="569"/>
      <c r="AN935" s="569"/>
    </row>
    <row r="936" spans="1:40" ht="15.75" thickBot="1" x14ac:dyDescent="0.3">
      <c r="A936" s="569"/>
      <c r="B936" s="569"/>
      <c r="C936" s="569"/>
      <c r="D936" s="569"/>
      <c r="E936" s="569"/>
      <c r="F936" s="569"/>
      <c r="G936" s="569"/>
      <c r="H936" s="569"/>
      <c r="I936" s="569"/>
      <c r="J936" s="569"/>
      <c r="K936" s="569"/>
      <c r="L936" s="569"/>
      <c r="M936" s="569"/>
      <c r="N936" s="569"/>
      <c r="O936" s="569"/>
      <c r="P936" s="569"/>
      <c r="Q936" s="569"/>
      <c r="R936" s="569"/>
      <c r="S936" s="569"/>
      <c r="T936" s="569"/>
      <c r="U936" s="569"/>
      <c r="V936" s="569"/>
      <c r="W936" s="569"/>
      <c r="X936" s="569"/>
      <c r="Y936" s="569"/>
      <c r="Z936" s="569"/>
      <c r="AA936" s="569"/>
      <c r="AB936" s="569"/>
      <c r="AC936" s="569"/>
      <c r="AD936" s="569"/>
      <c r="AE936" s="569"/>
      <c r="AF936" s="569"/>
      <c r="AG936" s="569"/>
      <c r="AH936" s="569"/>
      <c r="AI936" s="569"/>
      <c r="AJ936" s="569"/>
      <c r="AK936" s="569"/>
      <c r="AL936" s="569"/>
      <c r="AM936" s="569"/>
      <c r="AN936" s="569"/>
    </row>
    <row r="937" spans="1:40" ht="15.75" thickBot="1" x14ac:dyDescent="0.3">
      <c r="A937" s="569"/>
      <c r="B937" s="569"/>
      <c r="C937" s="569"/>
      <c r="D937" s="569"/>
      <c r="E937" s="569"/>
      <c r="F937" s="569"/>
      <c r="G937" s="569"/>
      <c r="H937" s="569"/>
      <c r="I937" s="569"/>
      <c r="J937" s="569"/>
      <c r="K937" s="569"/>
      <c r="L937" s="569"/>
      <c r="M937" s="569"/>
      <c r="N937" s="569"/>
      <c r="O937" s="569"/>
      <c r="P937" s="569"/>
      <c r="Q937" s="569"/>
      <c r="R937" s="569"/>
      <c r="S937" s="569"/>
      <c r="T937" s="569"/>
      <c r="U937" s="569"/>
      <c r="V937" s="569"/>
      <c r="W937" s="569"/>
      <c r="X937" s="569"/>
      <c r="Y937" s="569"/>
      <c r="Z937" s="569"/>
      <c r="AA937" s="569"/>
      <c r="AB937" s="569"/>
      <c r="AC937" s="569"/>
      <c r="AD937" s="569"/>
      <c r="AE937" s="569"/>
      <c r="AF937" s="569"/>
      <c r="AG937" s="569"/>
      <c r="AH937" s="569"/>
      <c r="AI937" s="569"/>
      <c r="AJ937" s="569"/>
      <c r="AK937" s="569"/>
      <c r="AL937" s="569"/>
      <c r="AM937" s="569"/>
      <c r="AN937" s="569"/>
    </row>
    <row r="938" spans="1:40" ht="15.75" thickBot="1" x14ac:dyDescent="0.3">
      <c r="A938" s="569"/>
      <c r="B938" s="569"/>
      <c r="C938" s="569"/>
      <c r="D938" s="569"/>
      <c r="E938" s="569"/>
      <c r="F938" s="569"/>
      <c r="G938" s="569"/>
      <c r="H938" s="569"/>
      <c r="I938" s="569"/>
      <c r="J938" s="569"/>
      <c r="K938" s="569"/>
      <c r="L938" s="569"/>
      <c r="M938" s="569"/>
      <c r="N938" s="569"/>
      <c r="O938" s="569"/>
      <c r="P938" s="569"/>
      <c r="Q938" s="569"/>
      <c r="R938" s="569"/>
      <c r="S938" s="569"/>
      <c r="T938" s="569"/>
      <c r="U938" s="569"/>
      <c r="V938" s="569"/>
      <c r="W938" s="569"/>
      <c r="X938" s="569"/>
      <c r="Y938" s="569"/>
      <c r="Z938" s="569"/>
      <c r="AA938" s="569"/>
      <c r="AB938" s="569"/>
      <c r="AC938" s="569"/>
      <c r="AD938" s="569"/>
      <c r="AE938" s="569"/>
      <c r="AF938" s="569"/>
      <c r="AG938" s="569"/>
      <c r="AH938" s="569"/>
      <c r="AI938" s="569"/>
      <c r="AJ938" s="569"/>
      <c r="AK938" s="569"/>
      <c r="AL938" s="569"/>
      <c r="AM938" s="569"/>
      <c r="AN938" s="569"/>
    </row>
    <row r="939" spans="1:40" ht="15.75" thickBot="1" x14ac:dyDescent="0.3">
      <c r="A939" s="569"/>
      <c r="B939" s="569"/>
      <c r="C939" s="569"/>
      <c r="D939" s="569"/>
      <c r="E939" s="569"/>
      <c r="F939" s="569"/>
      <c r="G939" s="569"/>
      <c r="H939" s="569"/>
      <c r="I939" s="569"/>
      <c r="J939" s="569"/>
      <c r="K939" s="569"/>
      <c r="L939" s="569"/>
      <c r="M939" s="569"/>
      <c r="N939" s="569"/>
      <c r="O939" s="569"/>
      <c r="P939" s="569"/>
      <c r="Q939" s="569"/>
      <c r="R939" s="569"/>
      <c r="S939" s="569"/>
      <c r="T939" s="569"/>
      <c r="U939" s="569"/>
      <c r="V939" s="569"/>
      <c r="W939" s="569"/>
      <c r="X939" s="569"/>
      <c r="Y939" s="569"/>
      <c r="Z939" s="569"/>
      <c r="AA939" s="569"/>
      <c r="AB939" s="569"/>
      <c r="AC939" s="569"/>
      <c r="AD939" s="569"/>
      <c r="AE939" s="569"/>
      <c r="AF939" s="569"/>
      <c r="AG939" s="569"/>
      <c r="AH939" s="569"/>
      <c r="AI939" s="569"/>
      <c r="AJ939" s="569"/>
      <c r="AK939" s="569"/>
      <c r="AL939" s="569"/>
      <c r="AM939" s="569"/>
      <c r="AN939" s="569"/>
    </row>
    <row r="940" spans="1:40" ht="15.75" thickBot="1" x14ac:dyDescent="0.3">
      <c r="A940" s="569"/>
      <c r="B940" s="569"/>
      <c r="C940" s="569"/>
      <c r="D940" s="569"/>
      <c r="E940" s="569"/>
      <c r="F940" s="569"/>
      <c r="G940" s="569"/>
      <c r="H940" s="569"/>
      <c r="I940" s="569"/>
      <c r="J940" s="569"/>
      <c r="K940" s="569"/>
      <c r="L940" s="569"/>
      <c r="M940" s="569"/>
      <c r="N940" s="569"/>
      <c r="O940" s="569"/>
      <c r="P940" s="569"/>
      <c r="Q940" s="569"/>
      <c r="R940" s="569"/>
      <c r="S940" s="569"/>
      <c r="T940" s="569"/>
      <c r="U940" s="569"/>
      <c r="V940" s="569"/>
      <c r="W940" s="569"/>
      <c r="X940" s="569"/>
      <c r="Y940" s="569"/>
      <c r="Z940" s="569"/>
      <c r="AA940" s="569"/>
      <c r="AB940" s="569"/>
      <c r="AC940" s="569"/>
      <c r="AD940" s="569"/>
      <c r="AE940" s="569"/>
      <c r="AF940" s="569"/>
      <c r="AG940" s="569"/>
      <c r="AH940" s="569"/>
      <c r="AI940" s="569"/>
      <c r="AJ940" s="569"/>
      <c r="AK940" s="569"/>
      <c r="AL940" s="569"/>
      <c r="AM940" s="569"/>
      <c r="AN940" s="569"/>
    </row>
    <row r="941" spans="1:40" ht="15.75" thickBot="1" x14ac:dyDescent="0.3">
      <c r="A941" s="569"/>
      <c r="B941" s="569"/>
      <c r="C941" s="569"/>
      <c r="D941" s="569"/>
      <c r="E941" s="569"/>
      <c r="F941" s="569"/>
      <c r="G941" s="569"/>
      <c r="H941" s="569"/>
      <c r="I941" s="569"/>
      <c r="J941" s="569"/>
      <c r="K941" s="569"/>
      <c r="L941" s="569"/>
      <c r="M941" s="569"/>
      <c r="N941" s="569"/>
      <c r="O941" s="569"/>
      <c r="P941" s="569"/>
      <c r="Q941" s="569"/>
      <c r="R941" s="569"/>
      <c r="S941" s="569"/>
      <c r="T941" s="569"/>
      <c r="U941" s="569"/>
      <c r="V941" s="569"/>
      <c r="W941" s="569"/>
      <c r="X941" s="569"/>
      <c r="Y941" s="569"/>
      <c r="Z941" s="569"/>
      <c r="AA941" s="569"/>
      <c r="AB941" s="569"/>
      <c r="AC941" s="569"/>
      <c r="AD941" s="569"/>
      <c r="AE941" s="569"/>
      <c r="AF941" s="569"/>
      <c r="AG941" s="569"/>
      <c r="AH941" s="569"/>
      <c r="AI941" s="569"/>
      <c r="AJ941" s="569"/>
      <c r="AK941" s="569"/>
      <c r="AL941" s="569"/>
      <c r="AM941" s="569"/>
      <c r="AN941" s="569"/>
    </row>
    <row r="942" spans="1:40" ht="15.75" thickBot="1" x14ac:dyDescent="0.3">
      <c r="A942" s="569"/>
      <c r="B942" s="569"/>
      <c r="C942" s="569"/>
      <c r="D942" s="569"/>
      <c r="E942" s="569"/>
      <c r="F942" s="569"/>
      <c r="G942" s="569"/>
      <c r="H942" s="569"/>
      <c r="I942" s="569"/>
      <c r="J942" s="569"/>
      <c r="K942" s="569"/>
      <c r="L942" s="569"/>
      <c r="M942" s="569"/>
      <c r="N942" s="569"/>
      <c r="O942" s="569"/>
      <c r="P942" s="569"/>
      <c r="Q942" s="569"/>
      <c r="R942" s="569"/>
      <c r="S942" s="569"/>
      <c r="T942" s="569"/>
      <c r="U942" s="569"/>
      <c r="V942" s="569"/>
      <c r="W942" s="569"/>
      <c r="X942" s="569"/>
      <c r="Y942" s="569"/>
      <c r="Z942" s="569"/>
      <c r="AA942" s="569"/>
      <c r="AB942" s="569"/>
      <c r="AC942" s="569"/>
      <c r="AD942" s="569"/>
      <c r="AE942" s="569"/>
      <c r="AF942" s="569"/>
      <c r="AG942" s="569"/>
      <c r="AH942" s="569"/>
      <c r="AI942" s="569"/>
      <c r="AJ942" s="569"/>
      <c r="AK942" s="569"/>
      <c r="AL942" s="569"/>
      <c r="AM942" s="569"/>
      <c r="AN942" s="569"/>
    </row>
    <row r="943" spans="1:40" ht="15.75" thickBot="1" x14ac:dyDescent="0.3">
      <c r="A943" s="569"/>
      <c r="B943" s="569"/>
      <c r="C943" s="569"/>
      <c r="D943" s="569"/>
      <c r="E943" s="569"/>
      <c r="F943" s="569"/>
      <c r="G943" s="569"/>
      <c r="H943" s="569"/>
      <c r="I943" s="569"/>
      <c r="J943" s="569"/>
      <c r="K943" s="569"/>
      <c r="L943" s="569"/>
      <c r="M943" s="569"/>
      <c r="N943" s="569"/>
      <c r="O943" s="569"/>
      <c r="P943" s="569"/>
      <c r="Q943" s="569"/>
      <c r="R943" s="569"/>
      <c r="S943" s="569"/>
      <c r="T943" s="569"/>
      <c r="U943" s="569"/>
      <c r="V943" s="569"/>
      <c r="W943" s="569"/>
      <c r="X943" s="569"/>
      <c r="Y943" s="569"/>
      <c r="Z943" s="569"/>
      <c r="AA943" s="569"/>
      <c r="AB943" s="569"/>
      <c r="AC943" s="569"/>
      <c r="AD943" s="569"/>
      <c r="AE943" s="569"/>
      <c r="AF943" s="569"/>
      <c r="AG943" s="569"/>
      <c r="AH943" s="569"/>
      <c r="AI943" s="569"/>
      <c r="AJ943" s="569"/>
      <c r="AK943" s="569"/>
      <c r="AL943" s="569"/>
      <c r="AM943" s="569"/>
      <c r="AN943" s="569"/>
    </row>
    <row r="944" spans="1:40" ht="15.75" thickBot="1" x14ac:dyDescent="0.3">
      <c r="A944" s="569"/>
      <c r="B944" s="569"/>
      <c r="C944" s="569"/>
      <c r="D944" s="569"/>
      <c r="E944" s="569"/>
      <c r="F944" s="569"/>
      <c r="G944" s="569"/>
      <c r="H944" s="569"/>
      <c r="I944" s="569"/>
      <c r="J944" s="569"/>
      <c r="K944" s="569"/>
      <c r="L944" s="569"/>
      <c r="M944" s="569"/>
      <c r="N944" s="569"/>
      <c r="O944" s="569"/>
      <c r="P944" s="569"/>
      <c r="Q944" s="569"/>
      <c r="R944" s="569"/>
      <c r="S944" s="569"/>
      <c r="T944" s="569"/>
      <c r="U944" s="569"/>
      <c r="V944" s="569"/>
      <c r="W944" s="569"/>
      <c r="X944" s="569"/>
      <c r="Y944" s="569"/>
      <c r="Z944" s="569"/>
      <c r="AA944" s="569"/>
      <c r="AB944" s="569"/>
      <c r="AC944" s="569"/>
      <c r="AD944" s="569"/>
      <c r="AE944" s="569"/>
      <c r="AF944" s="569"/>
      <c r="AG944" s="569"/>
      <c r="AH944" s="569"/>
      <c r="AI944" s="569"/>
      <c r="AJ944" s="569"/>
      <c r="AK944" s="569"/>
      <c r="AL944" s="569"/>
      <c r="AM944" s="569"/>
      <c r="AN944" s="569"/>
    </row>
    <row r="945" spans="1:40" ht="15.75" thickBot="1" x14ac:dyDescent="0.3">
      <c r="A945" s="569"/>
      <c r="B945" s="569"/>
      <c r="C945" s="569"/>
      <c r="D945" s="569"/>
      <c r="E945" s="569"/>
      <c r="F945" s="569"/>
      <c r="G945" s="569"/>
      <c r="H945" s="569"/>
      <c r="I945" s="569"/>
      <c r="J945" s="569"/>
      <c r="K945" s="569"/>
      <c r="L945" s="569"/>
      <c r="M945" s="569"/>
      <c r="N945" s="569"/>
      <c r="O945" s="569"/>
      <c r="P945" s="569"/>
      <c r="Q945" s="569"/>
      <c r="R945" s="569"/>
      <c r="S945" s="569"/>
      <c r="T945" s="569"/>
      <c r="U945" s="569"/>
      <c r="V945" s="569"/>
      <c r="W945" s="569"/>
      <c r="X945" s="569"/>
      <c r="Y945" s="569"/>
      <c r="Z945" s="569"/>
      <c r="AA945" s="569"/>
      <c r="AB945" s="569"/>
      <c r="AC945" s="569"/>
      <c r="AD945" s="569"/>
      <c r="AE945" s="569"/>
      <c r="AF945" s="569"/>
      <c r="AG945" s="569"/>
      <c r="AH945" s="569"/>
      <c r="AI945" s="569"/>
      <c r="AJ945" s="569"/>
      <c r="AK945" s="569"/>
      <c r="AL945" s="569"/>
      <c r="AM945" s="569"/>
      <c r="AN945" s="569"/>
    </row>
    <row r="946" spans="1:40" ht="15.75" thickBot="1" x14ac:dyDescent="0.3">
      <c r="A946" s="569"/>
      <c r="B946" s="569"/>
      <c r="C946" s="569"/>
      <c r="D946" s="569"/>
      <c r="E946" s="569"/>
      <c r="F946" s="569"/>
      <c r="G946" s="569"/>
      <c r="H946" s="569"/>
      <c r="I946" s="569"/>
      <c r="J946" s="569"/>
      <c r="K946" s="569"/>
      <c r="L946" s="569"/>
      <c r="M946" s="569"/>
      <c r="N946" s="569"/>
      <c r="O946" s="569"/>
      <c r="P946" s="569"/>
      <c r="Q946" s="569"/>
      <c r="R946" s="569"/>
      <c r="S946" s="569"/>
      <c r="T946" s="569"/>
      <c r="U946" s="569"/>
      <c r="V946" s="569"/>
      <c r="W946" s="569"/>
      <c r="X946" s="569"/>
      <c r="Y946" s="569"/>
      <c r="Z946" s="569"/>
      <c r="AA946" s="569"/>
      <c r="AB946" s="569"/>
      <c r="AC946" s="569"/>
      <c r="AD946" s="569"/>
      <c r="AE946" s="569"/>
      <c r="AF946" s="569"/>
      <c r="AG946" s="569"/>
      <c r="AH946" s="569"/>
      <c r="AI946" s="569"/>
      <c r="AJ946" s="569"/>
      <c r="AK946" s="569"/>
      <c r="AL946" s="569"/>
      <c r="AM946" s="569"/>
      <c r="AN946" s="569"/>
    </row>
    <row r="947" spans="1:40" ht="15.75" thickBot="1" x14ac:dyDescent="0.3">
      <c r="A947" s="569"/>
      <c r="B947" s="569"/>
      <c r="C947" s="569"/>
      <c r="D947" s="569"/>
      <c r="E947" s="569"/>
      <c r="F947" s="569"/>
      <c r="G947" s="569"/>
      <c r="H947" s="569"/>
      <c r="I947" s="569"/>
      <c r="J947" s="569"/>
      <c r="K947" s="569"/>
      <c r="L947" s="569"/>
      <c r="M947" s="569"/>
      <c r="N947" s="569"/>
      <c r="O947" s="569"/>
      <c r="P947" s="569"/>
      <c r="Q947" s="569"/>
      <c r="R947" s="569"/>
      <c r="S947" s="569"/>
      <c r="T947" s="569"/>
      <c r="U947" s="569"/>
      <c r="V947" s="569"/>
      <c r="W947" s="569"/>
      <c r="X947" s="569"/>
      <c r="Y947" s="569"/>
      <c r="Z947" s="569"/>
      <c r="AA947" s="569"/>
      <c r="AB947" s="569"/>
      <c r="AC947" s="569"/>
      <c r="AD947" s="569"/>
      <c r="AE947" s="569"/>
      <c r="AF947" s="569"/>
      <c r="AG947" s="569"/>
      <c r="AH947" s="569"/>
      <c r="AI947" s="569"/>
      <c r="AJ947" s="569"/>
      <c r="AK947" s="569"/>
      <c r="AL947" s="569"/>
      <c r="AM947" s="569"/>
      <c r="AN947" s="569"/>
    </row>
    <row r="948" spans="1:40" ht="15.75" thickBot="1" x14ac:dyDescent="0.3">
      <c r="A948" s="569"/>
      <c r="B948" s="569"/>
      <c r="C948" s="569"/>
      <c r="D948" s="569"/>
      <c r="E948" s="569"/>
      <c r="F948" s="569"/>
      <c r="G948" s="569"/>
      <c r="H948" s="569"/>
      <c r="I948" s="569"/>
      <c r="J948" s="569"/>
      <c r="K948" s="569"/>
      <c r="L948" s="569"/>
      <c r="M948" s="569"/>
      <c r="N948" s="569"/>
      <c r="O948" s="569"/>
      <c r="P948" s="569"/>
      <c r="Q948" s="569"/>
      <c r="R948" s="569"/>
      <c r="S948" s="569"/>
      <c r="T948" s="569"/>
      <c r="U948" s="569"/>
      <c r="V948" s="569"/>
      <c r="W948" s="569"/>
      <c r="X948" s="569"/>
      <c r="Y948" s="569"/>
      <c r="Z948" s="569"/>
      <c r="AA948" s="569"/>
      <c r="AB948" s="569"/>
      <c r="AC948" s="569"/>
      <c r="AD948" s="569"/>
      <c r="AE948" s="569"/>
      <c r="AF948" s="569"/>
      <c r="AG948" s="569"/>
      <c r="AH948" s="569"/>
      <c r="AI948" s="569"/>
      <c r="AJ948" s="569"/>
      <c r="AK948" s="569"/>
      <c r="AL948" s="569"/>
      <c r="AM948" s="569"/>
      <c r="AN948" s="569"/>
    </row>
    <row r="949" spans="1:40" ht="15.75" thickBot="1" x14ac:dyDescent="0.3">
      <c r="A949" s="569"/>
      <c r="B949" s="569"/>
      <c r="C949" s="569"/>
      <c r="D949" s="569"/>
      <c r="E949" s="569"/>
      <c r="F949" s="569"/>
      <c r="G949" s="569"/>
      <c r="H949" s="569"/>
      <c r="I949" s="569"/>
      <c r="J949" s="569"/>
      <c r="K949" s="569"/>
      <c r="L949" s="569"/>
      <c r="M949" s="569"/>
      <c r="N949" s="569"/>
      <c r="O949" s="569"/>
      <c r="P949" s="569"/>
      <c r="Q949" s="569"/>
      <c r="R949" s="569"/>
      <c r="S949" s="569"/>
      <c r="T949" s="569"/>
      <c r="U949" s="569"/>
      <c r="V949" s="569"/>
      <c r="W949" s="569"/>
      <c r="X949" s="569"/>
      <c r="Y949" s="569"/>
      <c r="Z949" s="569"/>
      <c r="AA949" s="569"/>
      <c r="AB949" s="569"/>
      <c r="AC949" s="569"/>
      <c r="AD949" s="569"/>
      <c r="AE949" s="569"/>
      <c r="AF949" s="569"/>
      <c r="AG949" s="569"/>
      <c r="AH949" s="569"/>
      <c r="AI949" s="569"/>
      <c r="AJ949" s="569"/>
      <c r="AK949" s="569"/>
      <c r="AL949" s="569"/>
      <c r="AM949" s="569"/>
      <c r="AN949" s="569"/>
    </row>
    <row r="950" spans="1:40" ht="15.75" thickBot="1" x14ac:dyDescent="0.3">
      <c r="A950" s="569"/>
      <c r="B950" s="569"/>
      <c r="C950" s="569"/>
      <c r="D950" s="569"/>
      <c r="E950" s="569"/>
      <c r="F950" s="569"/>
      <c r="G950" s="569"/>
      <c r="H950" s="569"/>
      <c r="I950" s="569"/>
      <c r="J950" s="569"/>
      <c r="K950" s="569"/>
      <c r="L950" s="569"/>
      <c r="M950" s="569"/>
      <c r="N950" s="569"/>
      <c r="O950" s="569"/>
      <c r="P950" s="569"/>
      <c r="Q950" s="569"/>
      <c r="R950" s="569"/>
      <c r="S950" s="569"/>
      <c r="T950" s="569"/>
      <c r="U950" s="569"/>
      <c r="V950" s="569"/>
      <c r="W950" s="569"/>
      <c r="X950" s="569"/>
      <c r="Y950" s="569"/>
      <c r="Z950" s="569"/>
      <c r="AA950" s="569"/>
      <c r="AB950" s="569"/>
      <c r="AC950" s="569"/>
      <c r="AD950" s="569"/>
      <c r="AE950" s="569"/>
      <c r="AF950" s="569"/>
      <c r="AG950" s="569"/>
      <c r="AH950" s="569"/>
      <c r="AI950" s="569"/>
      <c r="AJ950" s="569"/>
      <c r="AK950" s="569"/>
      <c r="AL950" s="569"/>
      <c r="AM950" s="569"/>
      <c r="AN950" s="569"/>
    </row>
    <row r="951" spans="1:40" ht="15.75" thickBot="1" x14ac:dyDescent="0.3">
      <c r="A951" s="569"/>
      <c r="B951" s="569"/>
      <c r="C951" s="569"/>
      <c r="D951" s="569"/>
      <c r="E951" s="569"/>
      <c r="F951" s="569"/>
      <c r="G951" s="569"/>
      <c r="H951" s="569"/>
      <c r="I951" s="569"/>
      <c r="J951" s="569"/>
      <c r="K951" s="569"/>
      <c r="L951" s="569"/>
      <c r="M951" s="569"/>
      <c r="N951" s="569"/>
      <c r="O951" s="569"/>
      <c r="P951" s="569"/>
      <c r="Q951" s="569"/>
      <c r="R951" s="569"/>
      <c r="S951" s="569"/>
      <c r="T951" s="569"/>
      <c r="U951" s="569"/>
      <c r="V951" s="569"/>
      <c r="W951" s="569"/>
      <c r="X951" s="569"/>
      <c r="Y951" s="569"/>
      <c r="Z951" s="569"/>
      <c r="AA951" s="569"/>
      <c r="AB951" s="569"/>
      <c r="AC951" s="569"/>
      <c r="AD951" s="569"/>
      <c r="AE951" s="569"/>
      <c r="AF951" s="569"/>
      <c r="AG951" s="569"/>
      <c r="AH951" s="569"/>
      <c r="AI951" s="569"/>
      <c r="AJ951" s="569"/>
      <c r="AK951" s="569"/>
      <c r="AL951" s="569"/>
      <c r="AM951" s="569"/>
      <c r="AN951" s="569"/>
    </row>
    <row r="952" spans="1:40" ht="15.75" thickBot="1" x14ac:dyDescent="0.3">
      <c r="A952" s="569"/>
      <c r="B952" s="569"/>
      <c r="C952" s="569"/>
      <c r="D952" s="569"/>
      <c r="E952" s="569"/>
      <c r="F952" s="569"/>
      <c r="G952" s="569"/>
      <c r="H952" s="569"/>
      <c r="I952" s="569"/>
      <c r="J952" s="569"/>
      <c r="K952" s="569"/>
      <c r="L952" s="569"/>
      <c r="M952" s="569"/>
      <c r="N952" s="569"/>
      <c r="O952" s="569"/>
      <c r="P952" s="569"/>
      <c r="Q952" s="569"/>
      <c r="R952" s="569"/>
      <c r="S952" s="569"/>
      <c r="T952" s="569"/>
      <c r="U952" s="569"/>
      <c r="V952" s="569"/>
      <c r="W952" s="569"/>
      <c r="X952" s="569"/>
      <c r="Y952" s="569"/>
      <c r="Z952" s="569"/>
      <c r="AA952" s="569"/>
      <c r="AB952" s="569"/>
      <c r="AC952" s="569"/>
      <c r="AD952" s="569"/>
      <c r="AE952" s="569"/>
      <c r="AF952" s="569"/>
      <c r="AG952" s="569"/>
      <c r="AH952" s="569"/>
      <c r="AI952" s="569"/>
      <c r="AJ952" s="569"/>
      <c r="AK952" s="569"/>
      <c r="AL952" s="569"/>
      <c r="AM952" s="569"/>
      <c r="AN952" s="569"/>
    </row>
    <row r="953" spans="1:40" ht="15.75" thickBot="1" x14ac:dyDescent="0.3">
      <c r="A953" s="569"/>
      <c r="B953" s="569"/>
      <c r="C953" s="569"/>
      <c r="D953" s="569"/>
      <c r="E953" s="569"/>
      <c r="F953" s="569"/>
      <c r="G953" s="569"/>
      <c r="H953" s="569"/>
      <c r="I953" s="569"/>
      <c r="J953" s="569"/>
      <c r="K953" s="569"/>
      <c r="L953" s="569"/>
      <c r="M953" s="569"/>
      <c r="N953" s="569"/>
      <c r="O953" s="569"/>
      <c r="P953" s="569"/>
      <c r="Q953" s="569"/>
      <c r="R953" s="569"/>
      <c r="S953" s="569"/>
      <c r="T953" s="569"/>
      <c r="U953" s="569"/>
      <c r="V953" s="569"/>
      <c r="W953" s="569"/>
      <c r="X953" s="569"/>
      <c r="Y953" s="569"/>
      <c r="Z953" s="569"/>
      <c r="AA953" s="569"/>
      <c r="AB953" s="569"/>
      <c r="AC953" s="569"/>
      <c r="AD953" s="569"/>
      <c r="AE953" s="569"/>
      <c r="AF953" s="569"/>
      <c r="AG953" s="569"/>
      <c r="AH953" s="569"/>
      <c r="AI953" s="569"/>
      <c r="AJ953" s="569"/>
      <c r="AK953" s="569"/>
      <c r="AL953" s="569"/>
      <c r="AM953" s="569"/>
      <c r="AN953" s="569"/>
    </row>
    <row r="954" spans="1:40" ht="15.75" thickBot="1" x14ac:dyDescent="0.3">
      <c r="A954" s="569"/>
      <c r="B954" s="569"/>
      <c r="C954" s="569"/>
      <c r="D954" s="569"/>
      <c r="E954" s="569"/>
      <c r="F954" s="569"/>
      <c r="G954" s="569"/>
      <c r="H954" s="569"/>
      <c r="I954" s="569"/>
      <c r="J954" s="569"/>
      <c r="K954" s="569"/>
      <c r="L954" s="569"/>
      <c r="M954" s="569"/>
      <c r="N954" s="569"/>
      <c r="O954" s="569"/>
      <c r="P954" s="569"/>
      <c r="Q954" s="569"/>
      <c r="R954" s="569"/>
      <c r="S954" s="569"/>
      <c r="T954" s="569"/>
      <c r="U954" s="569"/>
      <c r="V954" s="569"/>
      <c r="W954" s="569"/>
      <c r="X954" s="569"/>
      <c r="Y954" s="569"/>
      <c r="Z954" s="569"/>
      <c r="AA954" s="569"/>
      <c r="AB954" s="569"/>
      <c r="AC954" s="569"/>
      <c r="AD954" s="569"/>
      <c r="AE954" s="569"/>
      <c r="AF954" s="569"/>
      <c r="AG954" s="569"/>
      <c r="AH954" s="569"/>
      <c r="AI954" s="569"/>
      <c r="AJ954" s="569"/>
      <c r="AK954" s="569"/>
      <c r="AL954" s="569"/>
      <c r="AM954" s="569"/>
      <c r="AN954" s="569"/>
    </row>
    <row r="955" spans="1:40" ht="15.75" thickBot="1" x14ac:dyDescent="0.3">
      <c r="A955" s="569"/>
      <c r="B955" s="569"/>
      <c r="C955" s="569"/>
      <c r="D955" s="569"/>
      <c r="E955" s="569"/>
      <c r="F955" s="569"/>
      <c r="G955" s="569"/>
      <c r="H955" s="569"/>
      <c r="I955" s="569"/>
      <c r="J955" s="569"/>
      <c r="K955" s="569"/>
      <c r="L955" s="569"/>
      <c r="M955" s="569"/>
      <c r="N955" s="569"/>
      <c r="O955" s="569"/>
      <c r="P955" s="569"/>
      <c r="Q955" s="569"/>
      <c r="R955" s="569"/>
      <c r="S955" s="569"/>
      <c r="T955" s="569"/>
      <c r="U955" s="569"/>
      <c r="V955" s="569"/>
      <c r="W955" s="569"/>
      <c r="X955" s="569"/>
      <c r="Y955" s="569"/>
      <c r="Z955" s="569"/>
      <c r="AA955" s="569"/>
      <c r="AB955" s="569"/>
      <c r="AC955" s="569"/>
      <c r="AD955" s="569"/>
      <c r="AE955" s="569"/>
      <c r="AF955" s="569"/>
      <c r="AG955" s="569"/>
      <c r="AH955" s="569"/>
      <c r="AI955" s="569"/>
      <c r="AJ955" s="569"/>
      <c r="AK955" s="569"/>
      <c r="AL955" s="569"/>
      <c r="AM955" s="569"/>
      <c r="AN955" s="569"/>
    </row>
    <row r="956" spans="1:40" ht="15.75" thickBot="1" x14ac:dyDescent="0.3">
      <c r="A956" s="569"/>
      <c r="B956" s="569"/>
      <c r="C956" s="569"/>
      <c r="D956" s="569"/>
      <c r="E956" s="569"/>
      <c r="F956" s="569"/>
      <c r="G956" s="569"/>
      <c r="H956" s="569"/>
      <c r="I956" s="569"/>
      <c r="J956" s="569"/>
      <c r="K956" s="569"/>
      <c r="L956" s="569"/>
      <c r="M956" s="569"/>
      <c r="N956" s="569"/>
      <c r="O956" s="569"/>
      <c r="P956" s="569"/>
      <c r="Q956" s="569"/>
      <c r="R956" s="569"/>
      <c r="S956" s="569"/>
      <c r="T956" s="569"/>
      <c r="U956" s="569"/>
      <c r="V956" s="569"/>
      <c r="W956" s="569"/>
      <c r="X956" s="569"/>
      <c r="Y956" s="569"/>
      <c r="Z956" s="569"/>
      <c r="AA956" s="569"/>
      <c r="AB956" s="569"/>
      <c r="AC956" s="569"/>
      <c r="AD956" s="569"/>
      <c r="AE956" s="569"/>
      <c r="AF956" s="569"/>
      <c r="AG956" s="569"/>
      <c r="AH956" s="569"/>
      <c r="AI956" s="569"/>
      <c r="AJ956" s="569"/>
      <c r="AK956" s="569"/>
      <c r="AL956" s="569"/>
      <c r="AM956" s="569"/>
      <c r="AN956" s="569"/>
    </row>
    <row r="957" spans="1:40" ht="15.75" thickBot="1" x14ac:dyDescent="0.3">
      <c r="A957" s="569"/>
      <c r="B957" s="569"/>
      <c r="C957" s="569"/>
      <c r="D957" s="569"/>
      <c r="E957" s="569"/>
      <c r="F957" s="569"/>
      <c r="G957" s="569"/>
      <c r="H957" s="569"/>
      <c r="I957" s="569"/>
      <c r="J957" s="569"/>
      <c r="K957" s="569"/>
      <c r="L957" s="569"/>
      <c r="M957" s="569"/>
      <c r="N957" s="569"/>
      <c r="O957" s="569"/>
      <c r="P957" s="569"/>
      <c r="Q957" s="569"/>
      <c r="R957" s="569"/>
      <c r="S957" s="569"/>
      <c r="T957" s="569"/>
      <c r="U957" s="569"/>
      <c r="V957" s="569"/>
      <c r="W957" s="569"/>
      <c r="X957" s="569"/>
      <c r="Y957" s="569"/>
      <c r="Z957" s="569"/>
      <c r="AA957" s="569"/>
      <c r="AB957" s="569"/>
      <c r="AC957" s="569"/>
      <c r="AD957" s="569"/>
      <c r="AE957" s="569"/>
      <c r="AF957" s="569"/>
      <c r="AG957" s="569"/>
      <c r="AH957" s="569"/>
      <c r="AI957" s="569"/>
      <c r="AJ957" s="569"/>
      <c r="AK957" s="569"/>
      <c r="AL957" s="569"/>
      <c r="AM957" s="569"/>
      <c r="AN957" s="569"/>
    </row>
    <row r="958" spans="1:40" ht="15.75" thickBot="1" x14ac:dyDescent="0.3">
      <c r="A958" s="569"/>
      <c r="B958" s="569"/>
      <c r="C958" s="569"/>
      <c r="D958" s="569"/>
      <c r="E958" s="569"/>
      <c r="F958" s="569"/>
      <c r="G958" s="569"/>
      <c r="H958" s="569"/>
      <c r="I958" s="569"/>
      <c r="J958" s="569"/>
      <c r="K958" s="569"/>
      <c r="L958" s="569"/>
      <c r="M958" s="569"/>
      <c r="N958" s="569"/>
      <c r="O958" s="569"/>
      <c r="P958" s="569"/>
      <c r="Q958" s="569"/>
      <c r="R958" s="569"/>
      <c r="S958" s="569"/>
      <c r="T958" s="569"/>
      <c r="U958" s="569"/>
      <c r="V958" s="569"/>
      <c r="W958" s="569"/>
      <c r="X958" s="569"/>
      <c r="Y958" s="569"/>
      <c r="Z958" s="569"/>
      <c r="AA958" s="569"/>
      <c r="AB958" s="569"/>
      <c r="AC958" s="569"/>
      <c r="AD958" s="569"/>
      <c r="AE958" s="569"/>
      <c r="AF958" s="569"/>
      <c r="AG958" s="569"/>
      <c r="AH958" s="569"/>
      <c r="AI958" s="569"/>
      <c r="AJ958" s="569"/>
      <c r="AK958" s="569"/>
      <c r="AL958" s="569"/>
      <c r="AM958" s="569"/>
      <c r="AN958" s="569"/>
    </row>
    <row r="959" spans="1:40" ht="15.75" thickBot="1" x14ac:dyDescent="0.3">
      <c r="A959" s="569"/>
      <c r="B959" s="569"/>
      <c r="C959" s="569"/>
      <c r="D959" s="569"/>
      <c r="E959" s="569"/>
      <c r="F959" s="569"/>
      <c r="G959" s="569"/>
      <c r="H959" s="569"/>
      <c r="I959" s="569"/>
      <c r="J959" s="569"/>
      <c r="K959" s="569"/>
      <c r="L959" s="569"/>
      <c r="M959" s="569"/>
      <c r="N959" s="569"/>
      <c r="O959" s="569"/>
      <c r="P959" s="569"/>
      <c r="Q959" s="569"/>
      <c r="R959" s="569"/>
      <c r="S959" s="569"/>
      <c r="T959" s="569"/>
      <c r="U959" s="569"/>
      <c r="V959" s="569"/>
      <c r="W959" s="569"/>
      <c r="X959" s="569"/>
      <c r="Y959" s="569"/>
      <c r="Z959" s="569"/>
      <c r="AA959" s="569"/>
      <c r="AB959" s="569"/>
      <c r="AC959" s="569"/>
      <c r="AD959" s="569"/>
      <c r="AE959" s="569"/>
      <c r="AF959" s="569"/>
      <c r="AG959" s="569"/>
      <c r="AH959" s="569"/>
      <c r="AI959" s="569"/>
      <c r="AJ959" s="569"/>
      <c r="AK959" s="569"/>
      <c r="AL959" s="569"/>
      <c r="AM959" s="569"/>
      <c r="AN959" s="569"/>
    </row>
    <row r="960" spans="1:40" ht="15.75" thickBot="1" x14ac:dyDescent="0.3">
      <c r="A960" s="569"/>
      <c r="B960" s="569"/>
      <c r="C960" s="569"/>
      <c r="D960" s="569"/>
      <c r="E960" s="569"/>
      <c r="F960" s="569"/>
      <c r="G960" s="569"/>
      <c r="H960" s="569"/>
      <c r="I960" s="569"/>
      <c r="J960" s="569"/>
      <c r="K960" s="569"/>
      <c r="L960" s="569"/>
      <c r="M960" s="569"/>
      <c r="N960" s="569"/>
      <c r="O960" s="569"/>
      <c r="P960" s="569"/>
      <c r="Q960" s="569"/>
      <c r="R960" s="569"/>
      <c r="S960" s="569"/>
      <c r="T960" s="569"/>
      <c r="U960" s="569"/>
      <c r="V960" s="569"/>
      <c r="W960" s="569"/>
      <c r="X960" s="569"/>
      <c r="Y960" s="569"/>
      <c r="Z960" s="569"/>
      <c r="AA960" s="569"/>
      <c r="AB960" s="569"/>
      <c r="AC960" s="569"/>
      <c r="AD960" s="569"/>
      <c r="AE960" s="569"/>
      <c r="AF960" s="569"/>
      <c r="AG960" s="569"/>
      <c r="AH960" s="569"/>
      <c r="AI960" s="569"/>
      <c r="AJ960" s="569"/>
      <c r="AK960" s="569"/>
      <c r="AL960" s="569"/>
      <c r="AM960" s="569"/>
      <c r="AN960" s="569"/>
    </row>
    <row r="961" spans="1:40" ht="15.75" thickBot="1" x14ac:dyDescent="0.3">
      <c r="A961" s="569"/>
      <c r="B961" s="569"/>
      <c r="C961" s="569"/>
      <c r="D961" s="569"/>
      <c r="E961" s="569"/>
      <c r="F961" s="569"/>
      <c r="G961" s="569"/>
      <c r="H961" s="569"/>
      <c r="I961" s="569"/>
      <c r="J961" s="569"/>
      <c r="K961" s="569"/>
      <c r="L961" s="569"/>
      <c r="M961" s="569"/>
      <c r="N961" s="569"/>
      <c r="O961" s="569"/>
      <c r="P961" s="569"/>
      <c r="Q961" s="569"/>
      <c r="R961" s="569"/>
      <c r="S961" s="569"/>
      <c r="T961" s="569"/>
      <c r="U961" s="569"/>
      <c r="V961" s="569"/>
      <c r="W961" s="569"/>
      <c r="X961" s="569"/>
      <c r="Y961" s="569"/>
      <c r="Z961" s="569"/>
      <c r="AA961" s="569"/>
      <c r="AB961" s="569"/>
      <c r="AC961" s="569"/>
      <c r="AD961" s="569"/>
      <c r="AE961" s="569"/>
      <c r="AF961" s="569"/>
      <c r="AG961" s="569"/>
      <c r="AH961" s="569"/>
      <c r="AI961" s="569"/>
      <c r="AJ961" s="569"/>
      <c r="AK961" s="569"/>
      <c r="AL961" s="569"/>
      <c r="AM961" s="569"/>
      <c r="AN961" s="569"/>
    </row>
    <row r="962" spans="1:40" ht="15.75" thickBot="1" x14ac:dyDescent="0.3">
      <c r="A962" s="569"/>
      <c r="B962" s="569"/>
      <c r="C962" s="569"/>
      <c r="D962" s="569"/>
      <c r="E962" s="569"/>
      <c r="F962" s="569"/>
      <c r="G962" s="569"/>
      <c r="H962" s="569"/>
      <c r="I962" s="569"/>
      <c r="J962" s="569"/>
      <c r="K962" s="569"/>
      <c r="L962" s="569"/>
      <c r="M962" s="569"/>
      <c r="N962" s="569"/>
      <c r="O962" s="569"/>
      <c r="P962" s="569"/>
      <c r="Q962" s="569"/>
      <c r="R962" s="569"/>
      <c r="S962" s="569"/>
      <c r="T962" s="569"/>
      <c r="U962" s="569"/>
      <c r="V962" s="569"/>
      <c r="W962" s="569"/>
      <c r="X962" s="569"/>
      <c r="Y962" s="569"/>
      <c r="Z962" s="569"/>
      <c r="AA962" s="569"/>
      <c r="AB962" s="569"/>
      <c r="AC962" s="569"/>
      <c r="AD962" s="569"/>
      <c r="AE962" s="569"/>
      <c r="AF962" s="569"/>
      <c r="AG962" s="569"/>
      <c r="AH962" s="569"/>
      <c r="AI962" s="569"/>
      <c r="AJ962" s="569"/>
      <c r="AK962" s="569"/>
      <c r="AL962" s="569"/>
      <c r="AM962" s="569"/>
      <c r="AN962" s="569"/>
    </row>
    <row r="963" spans="1:40" ht="15.75" thickBot="1" x14ac:dyDescent="0.3">
      <c r="A963" s="569"/>
      <c r="B963" s="569"/>
      <c r="C963" s="569"/>
      <c r="D963" s="569"/>
      <c r="E963" s="569"/>
      <c r="F963" s="569"/>
      <c r="G963" s="569"/>
      <c r="H963" s="569"/>
      <c r="I963" s="569"/>
      <c r="J963" s="569"/>
      <c r="K963" s="569"/>
      <c r="L963" s="569"/>
      <c r="M963" s="569"/>
      <c r="N963" s="569"/>
      <c r="O963" s="569"/>
      <c r="P963" s="569"/>
      <c r="Q963" s="569"/>
      <c r="R963" s="569"/>
      <c r="S963" s="569"/>
      <c r="T963" s="569"/>
      <c r="U963" s="569"/>
      <c r="V963" s="569"/>
      <c r="W963" s="569"/>
      <c r="X963" s="569"/>
      <c r="Y963" s="569"/>
      <c r="Z963" s="569"/>
      <c r="AA963" s="569"/>
      <c r="AB963" s="569"/>
      <c r="AC963" s="569"/>
      <c r="AD963" s="569"/>
      <c r="AE963" s="569"/>
      <c r="AF963" s="569"/>
      <c r="AG963" s="569"/>
      <c r="AH963" s="569"/>
      <c r="AI963" s="569"/>
      <c r="AJ963" s="569"/>
      <c r="AK963" s="569"/>
      <c r="AL963" s="569"/>
      <c r="AM963" s="569"/>
      <c r="AN963" s="569"/>
    </row>
    <row r="964" spans="1:40" ht="15.75" thickBot="1" x14ac:dyDescent="0.3">
      <c r="A964" s="569"/>
      <c r="B964" s="569"/>
      <c r="C964" s="569"/>
      <c r="D964" s="569"/>
      <c r="E964" s="569"/>
      <c r="F964" s="569"/>
      <c r="G964" s="569"/>
      <c r="H964" s="569"/>
      <c r="I964" s="569"/>
      <c r="J964" s="569"/>
      <c r="K964" s="569"/>
      <c r="L964" s="569"/>
      <c r="M964" s="569"/>
      <c r="N964" s="569"/>
      <c r="O964" s="569"/>
      <c r="P964" s="569"/>
      <c r="Q964" s="569"/>
      <c r="R964" s="569"/>
      <c r="S964" s="569"/>
      <c r="T964" s="569"/>
      <c r="U964" s="569"/>
      <c r="V964" s="569"/>
      <c r="W964" s="569"/>
      <c r="X964" s="569"/>
      <c r="Y964" s="569"/>
      <c r="Z964" s="569"/>
      <c r="AA964" s="569"/>
      <c r="AB964" s="569"/>
      <c r="AC964" s="569"/>
      <c r="AD964" s="569"/>
      <c r="AE964" s="569"/>
      <c r="AF964" s="569"/>
      <c r="AG964" s="569"/>
      <c r="AH964" s="569"/>
      <c r="AI964" s="569"/>
      <c r="AJ964" s="569"/>
      <c r="AK964" s="569"/>
      <c r="AL964" s="569"/>
      <c r="AM964" s="569"/>
      <c r="AN964" s="569"/>
    </row>
    <row r="965" spans="1:40" ht="15.75" thickBot="1" x14ac:dyDescent="0.3">
      <c r="A965" s="569"/>
      <c r="B965" s="569"/>
      <c r="C965" s="569"/>
      <c r="D965" s="569"/>
      <c r="E965" s="569"/>
      <c r="F965" s="569"/>
      <c r="G965" s="569"/>
      <c r="H965" s="569"/>
      <c r="I965" s="569"/>
      <c r="J965" s="569"/>
      <c r="K965" s="569"/>
      <c r="L965" s="569"/>
      <c r="M965" s="569"/>
      <c r="N965" s="569"/>
      <c r="O965" s="569"/>
      <c r="P965" s="569"/>
      <c r="Q965" s="569"/>
      <c r="R965" s="569"/>
      <c r="S965" s="569"/>
      <c r="T965" s="569"/>
      <c r="U965" s="569"/>
      <c r="V965" s="569"/>
      <c r="W965" s="569"/>
      <c r="X965" s="569"/>
      <c r="Y965" s="569"/>
      <c r="Z965" s="569"/>
      <c r="AA965" s="569"/>
      <c r="AB965" s="569"/>
      <c r="AC965" s="569"/>
      <c r="AD965" s="569"/>
      <c r="AE965" s="569"/>
      <c r="AF965" s="569"/>
      <c r="AG965" s="569"/>
      <c r="AH965" s="569"/>
      <c r="AI965" s="569"/>
      <c r="AJ965" s="569"/>
      <c r="AK965" s="569"/>
      <c r="AL965" s="569"/>
      <c r="AM965" s="569"/>
      <c r="AN965" s="569"/>
    </row>
    <row r="966" spans="1:40" ht="15.75" thickBot="1" x14ac:dyDescent="0.3">
      <c r="A966" s="569"/>
      <c r="B966" s="569"/>
      <c r="C966" s="569"/>
      <c r="D966" s="569"/>
      <c r="E966" s="569"/>
      <c r="F966" s="569"/>
      <c r="G966" s="569"/>
      <c r="H966" s="569"/>
      <c r="I966" s="569"/>
      <c r="J966" s="569"/>
      <c r="K966" s="569"/>
      <c r="L966" s="569"/>
      <c r="M966" s="569"/>
      <c r="N966" s="569"/>
      <c r="O966" s="569"/>
      <c r="P966" s="569"/>
      <c r="Q966" s="569"/>
      <c r="R966" s="569"/>
      <c r="S966" s="569"/>
      <c r="T966" s="569"/>
      <c r="U966" s="569"/>
      <c r="V966" s="569"/>
      <c r="W966" s="569"/>
      <c r="X966" s="569"/>
      <c r="Y966" s="569"/>
      <c r="Z966" s="569"/>
      <c r="AA966" s="569"/>
      <c r="AB966" s="569"/>
      <c r="AC966" s="569"/>
      <c r="AD966" s="569"/>
      <c r="AE966" s="569"/>
      <c r="AF966" s="569"/>
      <c r="AG966" s="569"/>
      <c r="AH966" s="569"/>
      <c r="AI966" s="569"/>
      <c r="AJ966" s="569"/>
      <c r="AK966" s="569"/>
      <c r="AL966" s="569"/>
      <c r="AM966" s="569"/>
      <c r="AN966" s="569"/>
    </row>
    <row r="967" spans="1:40" ht="15.75" thickBot="1" x14ac:dyDescent="0.3">
      <c r="A967" s="569"/>
      <c r="B967" s="569"/>
      <c r="C967" s="569"/>
      <c r="D967" s="569"/>
      <c r="E967" s="569"/>
      <c r="F967" s="569"/>
      <c r="G967" s="569"/>
      <c r="H967" s="569"/>
      <c r="I967" s="569"/>
      <c r="J967" s="569"/>
      <c r="K967" s="569"/>
      <c r="L967" s="569"/>
      <c r="M967" s="569"/>
      <c r="N967" s="569"/>
      <c r="O967" s="569"/>
      <c r="P967" s="569"/>
      <c r="Q967" s="569"/>
      <c r="R967" s="569"/>
      <c r="S967" s="569"/>
      <c r="T967" s="569"/>
      <c r="U967" s="569"/>
      <c r="V967" s="569"/>
      <c r="W967" s="569"/>
      <c r="X967" s="569"/>
      <c r="Y967" s="569"/>
      <c r="Z967" s="569"/>
      <c r="AA967" s="569"/>
      <c r="AB967" s="569"/>
      <c r="AC967" s="569"/>
      <c r="AD967" s="569"/>
      <c r="AE967" s="569"/>
      <c r="AF967" s="569"/>
      <c r="AG967" s="569"/>
      <c r="AH967" s="569"/>
      <c r="AI967" s="569"/>
      <c r="AJ967" s="569"/>
      <c r="AK967" s="569"/>
      <c r="AL967" s="569"/>
      <c r="AM967" s="569"/>
      <c r="AN967" s="569"/>
    </row>
    <row r="968" spans="1:40" ht="15.75" thickBot="1" x14ac:dyDescent="0.3">
      <c r="A968" s="569"/>
      <c r="B968" s="569"/>
      <c r="C968" s="569"/>
      <c r="D968" s="569"/>
      <c r="E968" s="569"/>
      <c r="F968" s="569"/>
      <c r="G968" s="569"/>
      <c r="H968" s="569"/>
      <c r="I968" s="569"/>
      <c r="J968" s="569"/>
      <c r="K968" s="569"/>
      <c r="L968" s="569"/>
      <c r="M968" s="569"/>
      <c r="N968" s="569"/>
      <c r="O968" s="569"/>
      <c r="P968" s="569"/>
      <c r="Q968" s="569"/>
      <c r="R968" s="569"/>
      <c r="S968" s="569"/>
      <c r="T968" s="569"/>
      <c r="U968" s="569"/>
      <c r="V968" s="569"/>
      <c r="W968" s="569"/>
      <c r="X968" s="569"/>
      <c r="Y968" s="569"/>
      <c r="Z968" s="569"/>
      <c r="AA968" s="569"/>
      <c r="AB968" s="569"/>
      <c r="AC968" s="569"/>
      <c r="AD968" s="569"/>
      <c r="AE968" s="569"/>
      <c r="AF968" s="569"/>
      <c r="AG968" s="569"/>
      <c r="AH968" s="569"/>
      <c r="AI968" s="569"/>
      <c r="AJ968" s="569"/>
      <c r="AK968" s="569"/>
      <c r="AL968" s="569"/>
      <c r="AM968" s="569"/>
      <c r="AN968" s="569"/>
    </row>
    <row r="969" spans="1:40" ht="15.75" thickBot="1" x14ac:dyDescent="0.3">
      <c r="A969" s="569"/>
      <c r="B969" s="569"/>
      <c r="C969" s="569"/>
      <c r="D969" s="569"/>
      <c r="E969" s="569"/>
      <c r="F969" s="569"/>
      <c r="G969" s="569"/>
      <c r="H969" s="569"/>
      <c r="I969" s="569"/>
      <c r="J969" s="569"/>
      <c r="K969" s="569"/>
      <c r="L969" s="569"/>
      <c r="M969" s="569"/>
      <c r="N969" s="569"/>
      <c r="O969" s="569"/>
      <c r="P969" s="569"/>
      <c r="Q969" s="569"/>
      <c r="R969" s="569"/>
      <c r="S969" s="569"/>
      <c r="T969" s="569"/>
      <c r="U969" s="569"/>
      <c r="V969" s="569"/>
      <c r="W969" s="569"/>
      <c r="X969" s="569"/>
      <c r="Y969" s="569"/>
      <c r="Z969" s="569"/>
      <c r="AA969" s="569"/>
      <c r="AB969" s="569"/>
      <c r="AC969" s="569"/>
      <c r="AD969" s="569"/>
      <c r="AE969" s="569"/>
      <c r="AF969" s="569"/>
      <c r="AG969" s="569"/>
      <c r="AH969" s="569"/>
      <c r="AI969" s="569"/>
      <c r="AJ969" s="569"/>
      <c r="AK969" s="569"/>
      <c r="AL969" s="569"/>
      <c r="AM969" s="569"/>
      <c r="AN969" s="569"/>
    </row>
    <row r="970" spans="1:40" ht="15.75" thickBot="1" x14ac:dyDescent="0.3">
      <c r="A970" s="569"/>
      <c r="B970" s="569"/>
      <c r="C970" s="569"/>
      <c r="D970" s="569"/>
      <c r="E970" s="569"/>
      <c r="F970" s="569"/>
      <c r="G970" s="569"/>
      <c r="H970" s="569"/>
      <c r="I970" s="569"/>
      <c r="J970" s="569"/>
      <c r="K970" s="569"/>
      <c r="L970" s="569"/>
      <c r="M970" s="569"/>
      <c r="N970" s="569"/>
      <c r="O970" s="569"/>
      <c r="P970" s="569"/>
      <c r="Q970" s="569"/>
      <c r="R970" s="569"/>
      <c r="S970" s="569"/>
      <c r="T970" s="569"/>
      <c r="U970" s="569"/>
      <c r="V970" s="569"/>
      <c r="W970" s="569"/>
      <c r="X970" s="569"/>
      <c r="Y970" s="569"/>
      <c r="Z970" s="569"/>
      <c r="AA970" s="569"/>
      <c r="AB970" s="569"/>
      <c r="AC970" s="569"/>
      <c r="AD970" s="569"/>
      <c r="AE970" s="569"/>
      <c r="AF970" s="569"/>
      <c r="AG970" s="569"/>
      <c r="AH970" s="569"/>
      <c r="AI970" s="569"/>
      <c r="AJ970" s="569"/>
      <c r="AK970" s="569"/>
      <c r="AL970" s="569"/>
      <c r="AM970" s="569"/>
      <c r="AN970" s="569"/>
    </row>
  </sheetData>
  <sheetProtection sheet="1" objects="1" scenarios="1"/>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AH1000"/>
  <sheetViews>
    <sheetView workbookViewId="0">
      <pane xSplit="3" ySplit="1" topLeftCell="D2" activePane="bottomRight" state="frozen"/>
      <selection pane="topRight" activeCell="D1" sqref="D1"/>
      <selection pane="bottomLeft" activeCell="A2" sqref="A2"/>
      <selection pane="bottomRight" sqref="A1:AE1000"/>
    </sheetView>
  </sheetViews>
  <sheetFormatPr defaultRowHeight="15" x14ac:dyDescent="0.25"/>
  <cols>
    <col min="1" max="1" width="22.42578125" bestFit="1" customWidth="1"/>
    <col min="2" max="2" width="5.5703125" customWidth="1"/>
    <col min="3" max="3" width="8.28515625" customWidth="1"/>
    <col min="8" max="8" width="9.140625" customWidth="1"/>
    <col min="9" max="9" width="12.5703125" bestFit="1" customWidth="1"/>
    <col min="18" max="18" width="9.140625" customWidth="1"/>
    <col min="19" max="19" width="12.5703125" bestFit="1" customWidth="1"/>
    <col min="33" max="33" width="9.5703125" bestFit="1" customWidth="1"/>
  </cols>
  <sheetData>
    <row r="1" spans="1:34" ht="34.5" customHeight="1" thickBot="1" x14ac:dyDescent="0.3">
      <c r="A1" s="569" t="s">
        <v>967</v>
      </c>
      <c r="B1" s="569" t="s">
        <v>918</v>
      </c>
      <c r="C1" s="569" t="s">
        <v>2023</v>
      </c>
      <c r="D1" s="569" t="s">
        <v>1897</v>
      </c>
      <c r="E1" s="569" t="s">
        <v>1898</v>
      </c>
      <c r="F1" s="569" t="s">
        <v>1899</v>
      </c>
      <c r="G1" s="569" t="s">
        <v>1900</v>
      </c>
      <c r="H1" s="569" t="s">
        <v>1901</v>
      </c>
      <c r="I1" s="569" t="s">
        <v>1902</v>
      </c>
      <c r="J1" s="569" t="s">
        <v>1903</v>
      </c>
      <c r="K1" s="569" t="s">
        <v>1904</v>
      </c>
      <c r="L1" s="569" t="s">
        <v>1905</v>
      </c>
      <c r="M1" s="569" t="s">
        <v>1906</v>
      </c>
      <c r="N1" s="569" t="s">
        <v>1907</v>
      </c>
      <c r="O1" s="569" t="s">
        <v>1908</v>
      </c>
      <c r="P1" s="569" t="s">
        <v>1909</v>
      </c>
      <c r="Q1" s="569" t="s">
        <v>1910</v>
      </c>
      <c r="R1" s="569" t="s">
        <v>1911</v>
      </c>
      <c r="S1" s="569" t="s">
        <v>1912</v>
      </c>
      <c r="T1" s="569" t="s">
        <v>1913</v>
      </c>
      <c r="U1" s="569" t="s">
        <v>1914</v>
      </c>
      <c r="V1" s="569" t="s">
        <v>1915</v>
      </c>
      <c r="W1" s="569" t="s">
        <v>1916</v>
      </c>
      <c r="X1" s="569" t="s">
        <v>1917</v>
      </c>
      <c r="Y1" s="569" t="s">
        <v>1918</v>
      </c>
      <c r="Z1" s="569" t="s">
        <v>1919</v>
      </c>
      <c r="AA1" s="569" t="s">
        <v>1920</v>
      </c>
      <c r="AB1" s="569" t="s">
        <v>1921</v>
      </c>
      <c r="AC1" s="569" t="s">
        <v>1922</v>
      </c>
      <c r="AD1" s="569" t="s">
        <v>1923</v>
      </c>
      <c r="AE1" s="569" t="s">
        <v>1924</v>
      </c>
    </row>
    <row r="2" spans="1:34" ht="15.75" customHeight="1" thickBot="1" x14ac:dyDescent="0.45">
      <c r="A2" s="573" t="s">
        <v>2386</v>
      </c>
      <c r="B2" s="569" t="s">
        <v>164</v>
      </c>
      <c r="C2" s="569" t="s">
        <v>3</v>
      </c>
      <c r="D2" s="569"/>
      <c r="E2" s="569"/>
      <c r="F2" s="569"/>
      <c r="G2" s="569"/>
      <c r="H2" s="569"/>
      <c r="I2" s="569"/>
      <c r="J2" s="569"/>
      <c r="K2" s="569"/>
      <c r="L2" s="569"/>
      <c r="M2" s="569"/>
      <c r="N2" s="569"/>
      <c r="O2" s="569"/>
      <c r="P2" s="569"/>
      <c r="Q2" s="569"/>
      <c r="R2" s="569"/>
      <c r="S2" s="569"/>
      <c r="T2" s="569"/>
      <c r="U2" s="569"/>
      <c r="V2" s="569"/>
      <c r="W2" s="569"/>
      <c r="X2" s="569"/>
      <c r="Y2" s="569"/>
      <c r="Z2" s="569"/>
      <c r="AA2" s="569"/>
      <c r="AB2" s="569"/>
      <c r="AC2" s="569"/>
      <c r="AD2" s="569"/>
      <c r="AE2" s="569"/>
      <c r="AF2">
        <v>2</v>
      </c>
      <c r="AG2" s="438" t="str">
        <f>IF(INDEX(D:AE,AF2,ADP!$AF$6)=0,"",INDEX(D:AE,AF2,ADP!$AF$6)+AH2)</f>
        <v/>
      </c>
      <c r="AH2">
        <v>9.9999999999999995E-7</v>
      </c>
    </row>
    <row r="3" spans="1:34" ht="15.75" thickBot="1" x14ac:dyDescent="0.3">
      <c r="A3" s="569" t="s">
        <v>1413</v>
      </c>
      <c r="B3" s="569" t="s">
        <v>165</v>
      </c>
      <c r="C3" s="569" t="s">
        <v>6</v>
      </c>
      <c r="D3" s="574">
        <v>143.1</v>
      </c>
      <c r="E3" s="574">
        <v>16.399999999999999</v>
      </c>
      <c r="F3" s="574">
        <v>146.19999999999999</v>
      </c>
      <c r="G3" s="574">
        <v>13.7</v>
      </c>
      <c r="H3" s="574">
        <v>133.5</v>
      </c>
      <c r="I3" s="574">
        <v>10</v>
      </c>
      <c r="J3" s="574">
        <v>143.1</v>
      </c>
      <c r="K3" s="574">
        <v>16.399999999999999</v>
      </c>
      <c r="L3" s="574">
        <v>146.19999999999999</v>
      </c>
      <c r="M3" s="574">
        <v>13.7</v>
      </c>
      <c r="N3" s="574">
        <v>133.5</v>
      </c>
      <c r="O3" s="574">
        <v>10</v>
      </c>
      <c r="P3" s="574">
        <v>137.4</v>
      </c>
      <c r="Q3" s="574">
        <v>6.4</v>
      </c>
      <c r="R3" s="574">
        <v>143.1</v>
      </c>
      <c r="S3" s="574">
        <v>16.399999999999999</v>
      </c>
      <c r="T3" s="574">
        <v>146.19999999999999</v>
      </c>
      <c r="U3" s="574">
        <v>13.7</v>
      </c>
      <c r="V3" s="574">
        <v>133.5</v>
      </c>
      <c r="W3" s="574">
        <v>10</v>
      </c>
      <c r="X3" s="574">
        <v>137.4</v>
      </c>
      <c r="Y3" s="574">
        <v>6.4</v>
      </c>
      <c r="Z3" s="574">
        <v>143.1</v>
      </c>
      <c r="AA3" s="574">
        <v>16.399999999999999</v>
      </c>
      <c r="AB3" s="574">
        <v>146.19999999999999</v>
      </c>
      <c r="AC3" s="574">
        <v>13.7</v>
      </c>
      <c r="AD3" s="574">
        <v>133.5</v>
      </c>
      <c r="AE3" s="574">
        <v>10</v>
      </c>
      <c r="AF3">
        <v>3</v>
      </c>
      <c r="AG3" s="438">
        <f>IF(INDEX(D:AE,AF3,ADP!$AF$6)=0,"",INDEX(D:AE,AF3,ADP!$AF$6)+AH3)</f>
        <v>133.50000199999999</v>
      </c>
      <c r="AH3">
        <f>AH2+0.000001</f>
        <v>1.9999999999999999E-6</v>
      </c>
    </row>
    <row r="4" spans="1:34" ht="15.75" thickBot="1" x14ac:dyDescent="0.3">
      <c r="A4" s="569" t="s">
        <v>2387</v>
      </c>
      <c r="B4" s="569" t="s">
        <v>162</v>
      </c>
      <c r="C4" s="569" t="s">
        <v>6</v>
      </c>
      <c r="D4" s="569">
        <v>100.4</v>
      </c>
      <c r="E4" s="569">
        <v>7.8</v>
      </c>
      <c r="F4" s="569">
        <v>105.9</v>
      </c>
      <c r="G4" s="569">
        <v>7.3</v>
      </c>
      <c r="H4" s="569">
        <v>102.4</v>
      </c>
      <c r="I4" s="569">
        <v>8</v>
      </c>
      <c r="J4" s="569">
        <v>100.4</v>
      </c>
      <c r="K4" s="569">
        <v>7.8</v>
      </c>
      <c r="L4" s="569">
        <v>105.9</v>
      </c>
      <c r="M4" s="569">
        <v>7.3</v>
      </c>
      <c r="N4" s="569">
        <v>102.4</v>
      </c>
      <c r="O4" s="569">
        <v>8</v>
      </c>
      <c r="P4" s="574">
        <v>139.6</v>
      </c>
      <c r="Q4" s="574">
        <v>16.5</v>
      </c>
      <c r="R4" s="569">
        <v>100.4</v>
      </c>
      <c r="S4" s="569">
        <v>7.8</v>
      </c>
      <c r="T4" s="569">
        <v>105.9</v>
      </c>
      <c r="U4" s="569">
        <v>7.3</v>
      </c>
      <c r="V4" s="569">
        <v>102.4</v>
      </c>
      <c r="W4" s="569">
        <v>8</v>
      </c>
      <c r="X4" s="574">
        <v>139.6</v>
      </c>
      <c r="Y4" s="574">
        <v>16.5</v>
      </c>
      <c r="Z4" s="569">
        <v>100.4</v>
      </c>
      <c r="AA4" s="569">
        <v>7.8</v>
      </c>
      <c r="AB4" s="569">
        <v>105.9</v>
      </c>
      <c r="AC4" s="569">
        <v>7.3</v>
      </c>
      <c r="AD4" s="569">
        <v>102.4</v>
      </c>
      <c r="AE4" s="569">
        <v>8</v>
      </c>
      <c r="AF4">
        <v>4</v>
      </c>
      <c r="AG4" s="438">
        <f>IF(INDEX(D:AE,AF4,ADP!$AF$6)=0,"",INDEX(D:AE,AF4,ADP!$AF$6)+AH4)</f>
        <v>102.40000300000001</v>
      </c>
      <c r="AH4">
        <f t="shared" ref="AH4:AH67" si="0">AH3+0.000001</f>
        <v>3.0000000000000001E-6</v>
      </c>
    </row>
    <row r="5" spans="1:34" ht="15.75" thickBot="1" x14ac:dyDescent="0.3">
      <c r="A5" s="569" t="s">
        <v>2383</v>
      </c>
      <c r="B5" s="569" t="s">
        <v>155</v>
      </c>
      <c r="C5" s="569" t="s">
        <v>11</v>
      </c>
      <c r="D5" s="569"/>
      <c r="E5" s="569"/>
      <c r="F5" s="569"/>
      <c r="G5" s="569"/>
      <c r="H5" s="569"/>
      <c r="I5" s="569"/>
      <c r="J5" s="569"/>
      <c r="K5" s="569"/>
      <c r="L5" s="569"/>
      <c r="M5" s="569"/>
      <c r="N5" s="569"/>
      <c r="O5" s="569"/>
      <c r="P5" s="569"/>
      <c r="Q5" s="569"/>
      <c r="R5" s="569"/>
      <c r="S5" s="569"/>
      <c r="T5" s="569"/>
      <c r="U5" s="569"/>
      <c r="V5" s="569"/>
      <c r="W5" s="569"/>
      <c r="X5" s="569"/>
      <c r="Y5" s="569"/>
      <c r="Z5" s="569"/>
      <c r="AA5" s="569"/>
      <c r="AB5" s="569"/>
      <c r="AC5" s="569"/>
      <c r="AD5" s="569"/>
      <c r="AE5" s="569"/>
      <c r="AF5">
        <v>5</v>
      </c>
      <c r="AG5" s="438" t="str">
        <f>IF(INDEX(D:AE,AF5,ADP!$AF$6)=0,"",INDEX(D:AE,AF5,ADP!$AF$6)+AH5)</f>
        <v/>
      </c>
      <c r="AH5">
        <f t="shared" si="0"/>
        <v>3.9999999999999998E-6</v>
      </c>
    </row>
    <row r="6" spans="1:34" ht="15.75" thickBot="1" x14ac:dyDescent="0.3">
      <c r="A6" s="569" t="s">
        <v>2388</v>
      </c>
      <c r="B6" s="569" t="s">
        <v>1388</v>
      </c>
      <c r="C6" s="569" t="s">
        <v>3</v>
      </c>
      <c r="D6" s="569"/>
      <c r="E6" s="569"/>
      <c r="F6" s="569"/>
      <c r="G6" s="569"/>
      <c r="H6" s="569"/>
      <c r="I6" s="569"/>
      <c r="J6" s="569"/>
      <c r="K6" s="569"/>
      <c r="L6" s="569"/>
      <c r="M6" s="569"/>
      <c r="N6" s="569"/>
      <c r="O6" s="569"/>
      <c r="P6" s="569"/>
      <c r="Q6" s="569"/>
      <c r="R6" s="569"/>
      <c r="S6" s="569"/>
      <c r="T6" s="569"/>
      <c r="U6" s="569"/>
      <c r="V6" s="569"/>
      <c r="W6" s="569"/>
      <c r="X6" s="569"/>
      <c r="Y6" s="569"/>
      <c r="Z6" s="569"/>
      <c r="AA6" s="569"/>
      <c r="AB6" s="569"/>
      <c r="AC6" s="569"/>
      <c r="AD6" s="569"/>
      <c r="AE6" s="569"/>
      <c r="AF6">
        <v>6</v>
      </c>
      <c r="AG6" s="438" t="str">
        <f>IF(INDEX(D:AE,AF6,ADP!$AF$6)=0,"",INDEX(D:AE,AF6,ADP!$AF$6)+AH6)</f>
        <v/>
      </c>
      <c r="AH6">
        <f t="shared" si="0"/>
        <v>4.9999999999999996E-6</v>
      </c>
    </row>
    <row r="7" spans="1:34" ht="15.75" thickBot="1" x14ac:dyDescent="0.3">
      <c r="A7" s="569" t="s">
        <v>2297</v>
      </c>
      <c r="B7" s="569" t="s">
        <v>2073</v>
      </c>
      <c r="C7" s="569" t="s">
        <v>3</v>
      </c>
      <c r="D7" s="574">
        <v>154.69999999999999</v>
      </c>
      <c r="E7" s="574">
        <v>15</v>
      </c>
      <c r="F7" s="574">
        <v>129.19999999999999</v>
      </c>
      <c r="G7" s="574">
        <v>11.7</v>
      </c>
      <c r="H7" s="574">
        <v>147.4</v>
      </c>
      <c r="I7" s="574">
        <v>14</v>
      </c>
      <c r="J7" s="574">
        <v>154.69999999999999</v>
      </c>
      <c r="K7" s="574">
        <v>15</v>
      </c>
      <c r="L7" s="574">
        <v>129.19999999999999</v>
      </c>
      <c r="M7" s="574">
        <v>11.7</v>
      </c>
      <c r="N7" s="574">
        <v>147.4</v>
      </c>
      <c r="O7" s="574">
        <v>14</v>
      </c>
      <c r="P7" s="574">
        <v>140.80000000000001</v>
      </c>
      <c r="Q7" s="574">
        <v>17.5</v>
      </c>
      <c r="R7" s="574">
        <v>154.69999999999999</v>
      </c>
      <c r="S7" s="574">
        <v>15</v>
      </c>
      <c r="T7" s="574">
        <v>129.19999999999999</v>
      </c>
      <c r="U7" s="574">
        <v>11.7</v>
      </c>
      <c r="V7" s="574">
        <v>147.4</v>
      </c>
      <c r="W7" s="574">
        <v>14</v>
      </c>
      <c r="X7" s="574">
        <v>140.80000000000001</v>
      </c>
      <c r="Y7" s="574">
        <v>17.5</v>
      </c>
      <c r="Z7" s="574">
        <v>154.69999999999999</v>
      </c>
      <c r="AA7" s="574">
        <v>15</v>
      </c>
      <c r="AB7" s="574">
        <v>129.19999999999999</v>
      </c>
      <c r="AC7" s="574">
        <v>11.7</v>
      </c>
      <c r="AD7" s="574">
        <v>147.4</v>
      </c>
      <c r="AE7" s="574">
        <v>147.4</v>
      </c>
      <c r="AF7">
        <v>7</v>
      </c>
      <c r="AG7" s="438">
        <f>IF(INDEX(D:AE,AF7,ADP!$AF$6)=0,"",INDEX(D:AE,AF7,ADP!$AF$6)+AH7)</f>
        <v>147.40000600000002</v>
      </c>
      <c r="AH7">
        <f t="shared" si="0"/>
        <v>5.9999999999999993E-6</v>
      </c>
    </row>
    <row r="8" spans="1:34" ht="15.75" thickBot="1" x14ac:dyDescent="0.3">
      <c r="A8" s="569" t="s">
        <v>2082</v>
      </c>
      <c r="B8" s="569" t="s">
        <v>158</v>
      </c>
      <c r="C8" s="569" t="s">
        <v>3</v>
      </c>
      <c r="D8" s="569"/>
      <c r="E8" s="569"/>
      <c r="F8" s="569"/>
      <c r="G8" s="569"/>
      <c r="H8" s="569"/>
      <c r="I8" s="569"/>
      <c r="J8" s="569"/>
      <c r="K8" s="569"/>
      <c r="L8" s="569"/>
      <c r="M8" s="569"/>
      <c r="N8" s="569"/>
      <c r="O8" s="569"/>
      <c r="P8" s="569"/>
      <c r="Q8" s="569"/>
      <c r="R8" s="569"/>
      <c r="S8" s="569"/>
      <c r="T8" s="569"/>
      <c r="U8" s="569"/>
      <c r="V8" s="569"/>
      <c r="W8" s="569"/>
      <c r="X8" s="569"/>
      <c r="Y8" s="569"/>
      <c r="Z8" s="569"/>
      <c r="AA8" s="569"/>
      <c r="AB8" s="569"/>
      <c r="AC8" s="569"/>
      <c r="AD8" s="569"/>
      <c r="AE8" s="569"/>
      <c r="AF8">
        <v>8</v>
      </c>
      <c r="AG8" s="438" t="str">
        <f>IF(INDEX(D:AE,AF8,ADP!$AF$6)=0,"",INDEX(D:AE,AF8,ADP!$AF$6)+AH8)</f>
        <v/>
      </c>
      <c r="AH8">
        <f t="shared" si="0"/>
        <v>6.999999999999999E-6</v>
      </c>
    </row>
    <row r="9" spans="1:34" ht="15.75" thickBot="1" x14ac:dyDescent="0.3">
      <c r="A9" s="569" t="s">
        <v>2389</v>
      </c>
      <c r="B9" s="569" t="s">
        <v>164</v>
      </c>
      <c r="C9" s="569" t="s">
        <v>7</v>
      </c>
      <c r="D9" s="574"/>
      <c r="E9" s="574"/>
      <c r="F9" s="574"/>
      <c r="G9" s="574"/>
      <c r="H9" s="574"/>
      <c r="I9" s="574"/>
      <c r="J9" s="574"/>
      <c r="K9" s="574"/>
      <c r="L9" s="574"/>
      <c r="M9" s="574"/>
      <c r="N9" s="574"/>
      <c r="O9" s="574"/>
      <c r="P9" s="574"/>
      <c r="Q9" s="574"/>
      <c r="R9" s="574"/>
      <c r="S9" s="574"/>
      <c r="T9" s="574"/>
      <c r="U9" s="574"/>
      <c r="V9" s="574"/>
      <c r="W9" s="574"/>
      <c r="X9" s="574"/>
      <c r="Y9" s="574"/>
      <c r="Z9" s="574"/>
      <c r="AA9" s="574"/>
      <c r="AB9" s="574"/>
      <c r="AC9" s="574"/>
      <c r="AD9" s="574"/>
      <c r="AE9" s="574"/>
      <c r="AF9">
        <v>9</v>
      </c>
      <c r="AG9" s="438" t="str">
        <f>IF(INDEX(D:AE,AF9,ADP!$AF$6)=0,"",INDEX(D:AE,AF9,ADP!$AF$6)+AH9)</f>
        <v/>
      </c>
      <c r="AH9">
        <f t="shared" si="0"/>
        <v>7.9999999999999996E-6</v>
      </c>
    </row>
    <row r="10" spans="1:34" ht="15.75" thickBot="1" x14ac:dyDescent="0.3">
      <c r="A10" s="569" t="s">
        <v>2155</v>
      </c>
      <c r="B10" s="569" t="s">
        <v>164</v>
      </c>
      <c r="C10" s="569" t="s">
        <v>1</v>
      </c>
      <c r="D10" s="574"/>
      <c r="E10" s="574"/>
      <c r="F10" s="574"/>
      <c r="G10" s="574"/>
      <c r="H10" s="574"/>
      <c r="I10" s="574"/>
      <c r="J10" s="574"/>
      <c r="K10" s="574"/>
      <c r="L10" s="574"/>
      <c r="M10" s="574"/>
      <c r="N10" s="574"/>
      <c r="O10" s="574"/>
      <c r="P10" s="574"/>
      <c r="Q10" s="574"/>
      <c r="R10" s="574"/>
      <c r="S10" s="574"/>
      <c r="T10" s="574"/>
      <c r="U10" s="574"/>
      <c r="V10" s="574"/>
      <c r="W10" s="574"/>
      <c r="X10" s="574"/>
      <c r="Y10" s="574"/>
      <c r="Z10" s="574"/>
      <c r="AA10" s="574"/>
      <c r="AB10" s="574"/>
      <c r="AC10" s="574"/>
      <c r="AD10" s="574"/>
      <c r="AE10" s="574"/>
      <c r="AF10">
        <v>10</v>
      </c>
      <c r="AG10" s="438" t="str">
        <f>IF(INDEX(D:AE,AF10,ADP!$AF$6)=0,"",INDEX(D:AE,AF10,ADP!$AF$6)+AH10)</f>
        <v/>
      </c>
      <c r="AH10">
        <f t="shared" si="0"/>
        <v>9.0000000000000002E-6</v>
      </c>
    </row>
    <row r="11" spans="1:34" ht="15.75" thickBot="1" x14ac:dyDescent="0.3">
      <c r="A11" s="569" t="s">
        <v>1833</v>
      </c>
      <c r="B11" s="569" t="s">
        <v>2272</v>
      </c>
      <c r="C11" s="569" t="s">
        <v>6</v>
      </c>
      <c r="D11" s="569"/>
      <c r="E11" s="569"/>
      <c r="F11" s="569"/>
      <c r="G11" s="569"/>
      <c r="H11" s="569"/>
      <c r="I11" s="569"/>
      <c r="J11" s="569"/>
      <c r="K11" s="569"/>
      <c r="L11" s="569"/>
      <c r="M11" s="569"/>
      <c r="N11" s="569"/>
      <c r="O11" s="569"/>
      <c r="P11" s="569"/>
      <c r="Q11" s="569"/>
      <c r="R11" s="569"/>
      <c r="S11" s="569"/>
      <c r="T11" s="569"/>
      <c r="U11" s="569"/>
      <c r="V11" s="569"/>
      <c r="W11" s="569"/>
      <c r="X11" s="569"/>
      <c r="Y11" s="569"/>
      <c r="Z11" s="569"/>
      <c r="AA11" s="569"/>
      <c r="AB11" s="569"/>
      <c r="AC11" s="569"/>
      <c r="AD11" s="569"/>
      <c r="AE11" s="569"/>
      <c r="AF11">
        <v>11</v>
      </c>
      <c r="AG11" s="438" t="str">
        <f>IF(INDEX(D:AE,AF11,ADP!$AF$6)=0,"",INDEX(D:AE,AF11,ADP!$AF$6)+AH11)</f>
        <v/>
      </c>
      <c r="AH11">
        <f t="shared" si="0"/>
        <v>1.0000000000000001E-5</v>
      </c>
    </row>
    <row r="12" spans="1:34" ht="15.75" thickBot="1" x14ac:dyDescent="0.3">
      <c r="A12" s="569" t="s">
        <v>2260</v>
      </c>
      <c r="B12" s="569" t="s">
        <v>147</v>
      </c>
      <c r="C12" s="569" t="s">
        <v>7</v>
      </c>
      <c r="D12" s="569"/>
      <c r="E12" s="569"/>
      <c r="F12" s="569"/>
      <c r="G12" s="569"/>
      <c r="H12" s="569"/>
      <c r="I12" s="569"/>
      <c r="J12" s="569"/>
      <c r="K12" s="569"/>
      <c r="L12" s="569"/>
      <c r="M12" s="569"/>
      <c r="N12" s="569"/>
      <c r="O12" s="569"/>
      <c r="P12" s="569"/>
      <c r="Q12" s="569"/>
      <c r="R12" s="569"/>
      <c r="S12" s="569"/>
      <c r="T12" s="569"/>
      <c r="U12" s="569"/>
      <c r="V12" s="569"/>
      <c r="W12" s="569"/>
      <c r="X12" s="569"/>
      <c r="Y12" s="569"/>
      <c r="Z12" s="569"/>
      <c r="AA12" s="569"/>
      <c r="AB12" s="569"/>
      <c r="AC12" s="569"/>
      <c r="AD12" s="569"/>
      <c r="AE12" s="569"/>
      <c r="AF12">
        <v>12</v>
      </c>
      <c r="AG12" s="438" t="str">
        <f>IF(INDEX(D:AE,AF12,ADP!$AF$6)=0,"",INDEX(D:AE,AF12,ADP!$AF$6)+AH12)</f>
        <v/>
      </c>
      <c r="AH12">
        <f t="shared" si="0"/>
        <v>1.1000000000000001E-5</v>
      </c>
    </row>
    <row r="13" spans="1:34" ht="15.75" thickBot="1" x14ac:dyDescent="0.3">
      <c r="A13" s="569" t="s">
        <v>2390</v>
      </c>
      <c r="B13" s="569" t="s">
        <v>1389</v>
      </c>
      <c r="C13" s="569" t="s">
        <v>3</v>
      </c>
      <c r="D13" s="574"/>
      <c r="E13" s="574"/>
      <c r="F13" s="574"/>
      <c r="G13" s="574"/>
      <c r="H13" s="574"/>
      <c r="I13" s="574"/>
      <c r="J13" s="574"/>
      <c r="K13" s="574"/>
      <c r="L13" s="574"/>
      <c r="M13" s="574"/>
      <c r="N13" s="574"/>
      <c r="O13" s="574"/>
      <c r="P13" s="574"/>
      <c r="Q13" s="574"/>
      <c r="R13" s="574"/>
      <c r="S13" s="574"/>
      <c r="T13" s="574"/>
      <c r="U13" s="574"/>
      <c r="V13" s="574"/>
      <c r="W13" s="574"/>
      <c r="X13" s="574"/>
      <c r="Y13" s="574"/>
      <c r="Z13" s="574"/>
      <c r="AA13" s="574"/>
      <c r="AB13" s="574"/>
      <c r="AC13" s="574"/>
      <c r="AD13" s="574"/>
      <c r="AE13" s="574"/>
      <c r="AF13">
        <v>13</v>
      </c>
      <c r="AG13" s="438" t="str">
        <f>IF(INDEX(D:AE,AF13,ADP!$AF$6)=0,"",INDEX(D:AE,AF13,ADP!$AF$6)+AH13)</f>
        <v/>
      </c>
      <c r="AH13">
        <f t="shared" si="0"/>
        <v>1.2000000000000002E-5</v>
      </c>
    </row>
    <row r="14" spans="1:34" ht="15.75" thickBot="1" x14ac:dyDescent="0.3">
      <c r="A14" s="569" t="s">
        <v>48</v>
      </c>
      <c r="B14" s="569" t="s">
        <v>2272</v>
      </c>
      <c r="C14" s="569" t="s">
        <v>7</v>
      </c>
      <c r="D14" s="569"/>
      <c r="E14" s="569"/>
      <c r="F14" s="569">
        <v>165.8</v>
      </c>
      <c r="G14" s="569">
        <v>38.5</v>
      </c>
      <c r="H14" s="569">
        <v>165.9</v>
      </c>
      <c r="I14" s="569">
        <v>18</v>
      </c>
      <c r="J14" s="569"/>
      <c r="K14" s="569"/>
      <c r="L14" s="569">
        <v>165.8</v>
      </c>
      <c r="M14" s="569">
        <v>38.5</v>
      </c>
      <c r="N14" s="569">
        <v>165.9</v>
      </c>
      <c r="O14" s="569">
        <v>18</v>
      </c>
      <c r="P14" s="569">
        <v>150.80000000000001</v>
      </c>
      <c r="Q14" s="569">
        <v>29.1</v>
      </c>
      <c r="R14" s="569"/>
      <c r="S14" s="569"/>
      <c r="T14" s="569">
        <v>165.8</v>
      </c>
      <c r="U14" s="569">
        <v>38.5</v>
      </c>
      <c r="V14" s="569">
        <v>165.9</v>
      </c>
      <c r="W14" s="569">
        <v>18</v>
      </c>
      <c r="X14" s="569">
        <v>150.80000000000001</v>
      </c>
      <c r="Y14" s="569">
        <v>29.1</v>
      </c>
      <c r="Z14" s="569"/>
      <c r="AA14" s="569"/>
      <c r="AB14" s="569">
        <v>165.8</v>
      </c>
      <c r="AC14" s="569">
        <v>38.5</v>
      </c>
      <c r="AD14" s="569">
        <v>165.9</v>
      </c>
      <c r="AE14" s="569">
        <v>165.9</v>
      </c>
      <c r="AF14">
        <v>14</v>
      </c>
      <c r="AG14" s="438">
        <f>IF(INDEX(D:AE,AF14,ADP!$AF$6)=0,"",INDEX(D:AE,AF14,ADP!$AF$6)+AH14)</f>
        <v>165.900013</v>
      </c>
      <c r="AH14">
        <f t="shared" si="0"/>
        <v>1.3000000000000003E-5</v>
      </c>
    </row>
    <row r="15" spans="1:34" ht="15.75" thickBot="1" x14ac:dyDescent="0.3">
      <c r="A15" s="569" t="s">
        <v>2391</v>
      </c>
      <c r="B15" s="569" t="s">
        <v>140</v>
      </c>
      <c r="C15" s="569" t="s">
        <v>3</v>
      </c>
      <c r="D15" s="574">
        <v>77.099999999999994</v>
      </c>
      <c r="E15" s="574">
        <v>5.4</v>
      </c>
      <c r="F15" s="574">
        <v>97.2</v>
      </c>
      <c r="G15" s="574">
        <v>7.1</v>
      </c>
      <c r="H15" s="574">
        <v>106.5</v>
      </c>
      <c r="I15" s="574">
        <v>8.3000000000000007</v>
      </c>
      <c r="J15" s="574">
        <v>77.099999999999994</v>
      </c>
      <c r="K15" s="574">
        <v>5.4</v>
      </c>
      <c r="L15" s="574">
        <v>97.2</v>
      </c>
      <c r="M15" s="574">
        <v>7.1</v>
      </c>
      <c r="N15" s="574">
        <v>106.5</v>
      </c>
      <c r="O15" s="574">
        <v>8.3000000000000007</v>
      </c>
      <c r="P15" s="574">
        <v>135</v>
      </c>
      <c r="Q15" s="574">
        <v>23.4</v>
      </c>
      <c r="R15" s="574">
        <v>77.099999999999994</v>
      </c>
      <c r="S15" s="574">
        <v>5.4</v>
      </c>
      <c r="T15" s="574">
        <v>97.2</v>
      </c>
      <c r="U15" s="574">
        <v>7.1</v>
      </c>
      <c r="V15" s="574">
        <v>106.5</v>
      </c>
      <c r="W15" s="574">
        <v>8.3000000000000007</v>
      </c>
      <c r="X15" s="574">
        <v>135</v>
      </c>
      <c r="Y15" s="574">
        <v>23.4</v>
      </c>
      <c r="Z15" s="574">
        <v>77.099999999999994</v>
      </c>
      <c r="AA15" s="574">
        <v>5.4</v>
      </c>
      <c r="AB15" s="574">
        <v>97.2</v>
      </c>
      <c r="AC15" s="574">
        <v>7.1</v>
      </c>
      <c r="AD15" s="574">
        <v>106.5</v>
      </c>
      <c r="AE15" s="574">
        <v>106.5</v>
      </c>
      <c r="AF15">
        <v>15</v>
      </c>
      <c r="AG15" s="438">
        <f>IF(INDEX(D:AE,AF15,ADP!$AF$6)=0,"",INDEX(D:AE,AF15,ADP!$AF$6)+AH15)</f>
        <v>106.50001399999999</v>
      </c>
      <c r="AH15">
        <f t="shared" si="0"/>
        <v>1.4000000000000003E-5</v>
      </c>
    </row>
    <row r="16" spans="1:34" ht="15.75" thickBot="1" x14ac:dyDescent="0.3">
      <c r="A16" s="569" t="s">
        <v>2098</v>
      </c>
      <c r="B16" s="569" t="s">
        <v>148</v>
      </c>
      <c r="C16" s="569" t="s">
        <v>11</v>
      </c>
      <c r="D16" s="569">
        <v>160.69999999999999</v>
      </c>
      <c r="E16" s="569">
        <v>12.3</v>
      </c>
      <c r="F16" s="569">
        <v>148.69999999999999</v>
      </c>
      <c r="G16" s="569">
        <v>17.2</v>
      </c>
      <c r="H16" s="569">
        <v>152.5</v>
      </c>
      <c r="I16" s="569">
        <v>14.1</v>
      </c>
      <c r="J16" s="569">
        <v>160.69999999999999</v>
      </c>
      <c r="K16" s="569">
        <v>12.3</v>
      </c>
      <c r="L16" s="569">
        <v>148.69999999999999</v>
      </c>
      <c r="M16" s="569">
        <v>17.2</v>
      </c>
      <c r="N16" s="569">
        <v>152.5</v>
      </c>
      <c r="O16" s="569">
        <v>14.1</v>
      </c>
      <c r="P16" s="569">
        <v>150.5</v>
      </c>
      <c r="Q16" s="569">
        <v>12.5</v>
      </c>
      <c r="R16" s="569">
        <v>160.69999999999999</v>
      </c>
      <c r="S16" s="569">
        <v>12.3</v>
      </c>
      <c r="T16" s="569">
        <v>148.69999999999999</v>
      </c>
      <c r="U16" s="569">
        <v>17.2</v>
      </c>
      <c r="V16" s="569">
        <v>152.5</v>
      </c>
      <c r="W16" s="569">
        <v>14.1</v>
      </c>
      <c r="X16" s="569">
        <v>150.5</v>
      </c>
      <c r="Y16" s="569">
        <v>12.5</v>
      </c>
      <c r="Z16" s="569">
        <v>160.69999999999999</v>
      </c>
      <c r="AA16" s="569">
        <v>12.3</v>
      </c>
      <c r="AB16" s="569">
        <v>148.69999999999999</v>
      </c>
      <c r="AC16" s="569">
        <v>17.2</v>
      </c>
      <c r="AD16" s="569">
        <v>152.5</v>
      </c>
      <c r="AE16" s="569">
        <v>152.5</v>
      </c>
      <c r="AF16">
        <v>16</v>
      </c>
      <c r="AG16" s="438">
        <f>IF(INDEX(D:AE,AF16,ADP!$AF$6)=0,"",INDEX(D:AE,AF16,ADP!$AF$6)+AH16)</f>
        <v>152.50001499999999</v>
      </c>
      <c r="AH16">
        <f t="shared" si="0"/>
        <v>1.5000000000000004E-5</v>
      </c>
    </row>
    <row r="17" spans="1:34" ht="15.75" thickBot="1" x14ac:dyDescent="0.3">
      <c r="A17" s="569" t="s">
        <v>2392</v>
      </c>
      <c r="B17" s="569" t="s">
        <v>151</v>
      </c>
      <c r="C17" s="569" t="s">
        <v>6</v>
      </c>
      <c r="D17" s="574"/>
      <c r="E17" s="574"/>
      <c r="F17" s="574"/>
      <c r="G17" s="574"/>
      <c r="H17" s="574"/>
      <c r="I17" s="574"/>
      <c r="J17" s="574"/>
      <c r="K17" s="574"/>
      <c r="L17" s="574"/>
      <c r="M17" s="574"/>
      <c r="N17" s="574"/>
      <c r="O17" s="574"/>
      <c r="P17" s="574"/>
      <c r="Q17" s="574"/>
      <c r="R17" s="574"/>
      <c r="S17" s="574"/>
      <c r="T17" s="574"/>
      <c r="U17" s="574"/>
      <c r="V17" s="574"/>
      <c r="W17" s="574"/>
      <c r="X17" s="574"/>
      <c r="Y17" s="574"/>
      <c r="Z17" s="574"/>
      <c r="AA17" s="574"/>
      <c r="AB17" s="574"/>
      <c r="AC17" s="574"/>
      <c r="AD17" s="574"/>
      <c r="AE17" s="574"/>
      <c r="AF17">
        <v>17</v>
      </c>
      <c r="AG17" s="438" t="str">
        <f>IF(INDEX(D:AE,AF17,ADP!$AF$6)=0,"",INDEX(D:AE,AF17,ADP!$AF$6)+AH17)</f>
        <v/>
      </c>
      <c r="AH17">
        <f t="shared" si="0"/>
        <v>1.6000000000000003E-5</v>
      </c>
    </row>
    <row r="18" spans="1:34" ht="15.75" thickBot="1" x14ac:dyDescent="0.3">
      <c r="A18" s="569" t="s">
        <v>2393</v>
      </c>
      <c r="B18" s="569" t="s">
        <v>158</v>
      </c>
      <c r="C18" s="569" t="s">
        <v>7</v>
      </c>
      <c r="D18" s="569"/>
      <c r="E18" s="569"/>
      <c r="F18" s="569"/>
      <c r="G18" s="569"/>
      <c r="H18" s="569"/>
      <c r="I18" s="569"/>
      <c r="J18" s="569"/>
      <c r="K18" s="569"/>
      <c r="L18" s="569"/>
      <c r="M18" s="569"/>
      <c r="N18" s="569"/>
      <c r="O18" s="569"/>
      <c r="P18" s="569"/>
      <c r="Q18" s="569"/>
      <c r="R18" s="569"/>
      <c r="S18" s="569"/>
      <c r="T18" s="569"/>
      <c r="U18" s="569"/>
      <c r="V18" s="569"/>
      <c r="W18" s="569"/>
      <c r="X18" s="569"/>
      <c r="Y18" s="569"/>
      <c r="Z18" s="569"/>
      <c r="AA18" s="569"/>
      <c r="AB18" s="569"/>
      <c r="AC18" s="569"/>
      <c r="AD18" s="569"/>
      <c r="AE18" s="569"/>
      <c r="AF18">
        <v>18</v>
      </c>
      <c r="AG18" s="438" t="str">
        <f>IF(INDEX(D:AE,AF18,ADP!$AF$6)=0,"",INDEX(D:AE,AF18,ADP!$AF$6)+AH18)</f>
        <v/>
      </c>
      <c r="AH18">
        <f t="shared" si="0"/>
        <v>1.7000000000000003E-5</v>
      </c>
    </row>
    <row r="19" spans="1:34" ht="15.75" thickBot="1" x14ac:dyDescent="0.3">
      <c r="A19" s="569" t="s">
        <v>2394</v>
      </c>
      <c r="B19" s="569" t="s">
        <v>163</v>
      </c>
      <c r="C19" s="569" t="s">
        <v>1</v>
      </c>
      <c r="D19" s="569"/>
      <c r="E19" s="569"/>
      <c r="F19" s="569"/>
      <c r="G19" s="569"/>
      <c r="H19" s="569"/>
      <c r="I19" s="569"/>
      <c r="J19" s="569"/>
      <c r="K19" s="569"/>
      <c r="L19" s="569"/>
      <c r="M19" s="569"/>
      <c r="N19" s="569"/>
      <c r="O19" s="569"/>
      <c r="P19" s="569"/>
      <c r="Q19" s="569"/>
      <c r="R19" s="569"/>
      <c r="S19" s="569"/>
      <c r="T19" s="569"/>
      <c r="U19" s="569"/>
      <c r="V19" s="569"/>
      <c r="W19" s="569"/>
      <c r="X19" s="569"/>
      <c r="Y19" s="569"/>
      <c r="Z19" s="569"/>
      <c r="AA19" s="569"/>
      <c r="AB19" s="569"/>
      <c r="AC19" s="569"/>
      <c r="AD19" s="569"/>
      <c r="AE19" s="569"/>
      <c r="AF19">
        <v>19</v>
      </c>
      <c r="AG19" s="438" t="str">
        <f>IF(INDEX(D:AE,AF19,ADP!$AF$6)=0,"",INDEX(D:AE,AF19,ADP!$AF$6)+AH19)</f>
        <v/>
      </c>
      <c r="AH19">
        <f t="shared" si="0"/>
        <v>1.8000000000000004E-5</v>
      </c>
    </row>
    <row r="20" spans="1:34" ht="15.75" thickBot="1" x14ac:dyDescent="0.3">
      <c r="A20" s="569" t="s">
        <v>2149</v>
      </c>
      <c r="B20" s="569" t="s">
        <v>146</v>
      </c>
      <c r="C20" s="569" t="s">
        <v>1</v>
      </c>
      <c r="D20" s="569"/>
      <c r="E20" s="569"/>
      <c r="F20" s="569"/>
      <c r="G20" s="569"/>
      <c r="H20" s="569"/>
      <c r="I20" s="569"/>
      <c r="J20" s="569"/>
      <c r="K20" s="569"/>
      <c r="L20" s="569"/>
      <c r="M20" s="569"/>
      <c r="N20" s="569"/>
      <c r="O20" s="569"/>
      <c r="P20" s="569"/>
      <c r="Q20" s="569"/>
      <c r="R20" s="569"/>
      <c r="S20" s="569"/>
      <c r="T20" s="569"/>
      <c r="U20" s="569"/>
      <c r="V20" s="569"/>
      <c r="W20" s="569"/>
      <c r="X20" s="569"/>
      <c r="Y20" s="569"/>
      <c r="Z20" s="569"/>
      <c r="AA20" s="569"/>
      <c r="AB20" s="569"/>
      <c r="AC20" s="569"/>
      <c r="AD20" s="569"/>
      <c r="AE20" s="569"/>
      <c r="AF20">
        <v>20</v>
      </c>
      <c r="AG20" s="438" t="str">
        <f>IF(INDEX(D:AE,AF20,ADP!$AF$6)=0,"",INDEX(D:AE,AF20,ADP!$AF$6)+AH20)</f>
        <v/>
      </c>
      <c r="AH20">
        <f t="shared" si="0"/>
        <v>1.9000000000000004E-5</v>
      </c>
    </row>
    <row r="21" spans="1:34" ht="15.75" thickBot="1" x14ac:dyDescent="0.3">
      <c r="A21" s="569" t="s">
        <v>1816</v>
      </c>
      <c r="B21" s="569" t="s">
        <v>140</v>
      </c>
      <c r="C21" s="569" t="s">
        <v>7</v>
      </c>
      <c r="D21" s="569"/>
      <c r="E21" s="569"/>
      <c r="F21" s="569"/>
      <c r="G21" s="569"/>
      <c r="H21" s="569"/>
      <c r="I21" s="569"/>
      <c r="J21" s="569"/>
      <c r="K21" s="569"/>
      <c r="L21" s="569"/>
      <c r="M21" s="569"/>
      <c r="N21" s="569"/>
      <c r="O21" s="569"/>
      <c r="P21" s="569"/>
      <c r="Q21" s="569"/>
      <c r="R21" s="569"/>
      <c r="S21" s="569"/>
      <c r="T21" s="569"/>
      <c r="U21" s="569"/>
      <c r="V21" s="569"/>
      <c r="W21" s="569"/>
      <c r="X21" s="569"/>
      <c r="Y21" s="569"/>
      <c r="Z21" s="569"/>
      <c r="AA21" s="569"/>
      <c r="AB21" s="569"/>
      <c r="AC21" s="569"/>
      <c r="AD21" s="569"/>
      <c r="AE21" s="569"/>
      <c r="AF21">
        <v>21</v>
      </c>
      <c r="AG21" s="438" t="str">
        <f>IF(INDEX(D:AE,AF21,ADP!$AF$6)=0,"",INDEX(D:AE,AF21,ADP!$AF$6)+AH21)</f>
        <v/>
      </c>
      <c r="AH21">
        <f t="shared" si="0"/>
        <v>2.0000000000000005E-5</v>
      </c>
    </row>
    <row r="22" spans="1:34" ht="15.75" thickBot="1" x14ac:dyDescent="0.3">
      <c r="A22" s="569" t="s">
        <v>1403</v>
      </c>
      <c r="B22" s="569" t="s">
        <v>143</v>
      </c>
      <c r="C22" s="569" t="s">
        <v>11</v>
      </c>
      <c r="D22" s="569"/>
      <c r="E22" s="569"/>
      <c r="F22" s="569"/>
      <c r="G22" s="569"/>
      <c r="H22" s="569"/>
      <c r="I22" s="569"/>
      <c r="J22" s="569"/>
      <c r="K22" s="569"/>
      <c r="L22" s="569"/>
      <c r="M22" s="569"/>
      <c r="N22" s="569"/>
      <c r="O22" s="569"/>
      <c r="P22" s="569"/>
      <c r="Q22" s="569"/>
      <c r="R22" s="569"/>
      <c r="S22" s="569"/>
      <c r="T22" s="569"/>
      <c r="U22" s="569"/>
      <c r="V22" s="569"/>
      <c r="W22" s="569"/>
      <c r="X22" s="569"/>
      <c r="Y22" s="569"/>
      <c r="Z22" s="569"/>
      <c r="AA22" s="569"/>
      <c r="AB22" s="569"/>
      <c r="AC22" s="569"/>
      <c r="AD22" s="569"/>
      <c r="AE22" s="569"/>
      <c r="AF22">
        <v>22</v>
      </c>
      <c r="AG22" s="438" t="str">
        <f>IF(INDEX(D:AE,AF22,ADP!$AF$6)=0,"",INDEX(D:AE,AF22,ADP!$AF$6)+AH22)</f>
        <v/>
      </c>
      <c r="AH22">
        <f t="shared" si="0"/>
        <v>2.1000000000000006E-5</v>
      </c>
    </row>
    <row r="23" spans="1:34" ht="15.75" thickBot="1" x14ac:dyDescent="0.3">
      <c r="A23" s="569" t="s">
        <v>152</v>
      </c>
      <c r="B23" s="569" t="s">
        <v>152</v>
      </c>
      <c r="C23" s="569" t="s">
        <v>160</v>
      </c>
      <c r="D23" s="569"/>
      <c r="E23" s="569"/>
      <c r="F23" s="569"/>
      <c r="G23" s="569"/>
      <c r="H23" s="569"/>
      <c r="I23" s="569"/>
      <c r="J23" s="569"/>
      <c r="K23" s="569"/>
      <c r="L23" s="569"/>
      <c r="M23" s="569"/>
      <c r="N23" s="569"/>
      <c r="O23" s="569"/>
      <c r="P23" s="574"/>
      <c r="Q23" s="574"/>
      <c r="R23" s="569"/>
      <c r="S23" s="569"/>
      <c r="T23" s="569"/>
      <c r="U23" s="569"/>
      <c r="V23" s="569"/>
      <c r="W23" s="569"/>
      <c r="X23" s="574"/>
      <c r="Y23" s="574"/>
      <c r="Z23" s="569"/>
      <c r="AA23" s="569"/>
      <c r="AB23" s="569"/>
      <c r="AC23" s="569"/>
      <c r="AD23" s="569"/>
      <c r="AE23" s="569"/>
      <c r="AF23">
        <v>23</v>
      </c>
      <c r="AG23" s="438" t="str">
        <f>IF(INDEX(D:AE,AF23,ADP!$AF$6)=0,"",INDEX(D:AE,AF23,ADP!$AF$6)+AH23)</f>
        <v/>
      </c>
      <c r="AH23">
        <f t="shared" si="0"/>
        <v>2.2000000000000006E-5</v>
      </c>
    </row>
    <row r="24" spans="1:34" ht="15.75" thickBot="1" x14ac:dyDescent="0.3">
      <c r="A24" s="569" t="s">
        <v>2334</v>
      </c>
      <c r="B24" s="569" t="s">
        <v>154</v>
      </c>
      <c r="C24" s="569" t="s">
        <v>6</v>
      </c>
      <c r="D24" s="569">
        <v>163.30000000000001</v>
      </c>
      <c r="E24" s="569">
        <v>10.5</v>
      </c>
      <c r="F24" s="569"/>
      <c r="G24" s="569"/>
      <c r="H24" s="569">
        <v>165.8</v>
      </c>
      <c r="I24" s="569">
        <v>10.7</v>
      </c>
      <c r="J24" s="569">
        <v>163.30000000000001</v>
      </c>
      <c r="K24" s="569">
        <v>10.5</v>
      </c>
      <c r="L24" s="569"/>
      <c r="M24" s="569"/>
      <c r="N24" s="569">
        <v>165.8</v>
      </c>
      <c r="O24" s="569">
        <v>10.7</v>
      </c>
      <c r="P24" s="569"/>
      <c r="Q24" s="569"/>
      <c r="R24" s="569">
        <v>163.30000000000001</v>
      </c>
      <c r="S24" s="569">
        <v>10.5</v>
      </c>
      <c r="T24" s="569"/>
      <c r="U24" s="569"/>
      <c r="V24" s="569">
        <v>165.8</v>
      </c>
      <c r="W24" s="569">
        <v>10.7</v>
      </c>
      <c r="X24" s="569"/>
      <c r="Y24" s="569"/>
      <c r="Z24" s="569">
        <v>163.30000000000001</v>
      </c>
      <c r="AA24" s="569">
        <v>10.5</v>
      </c>
      <c r="AB24" s="569"/>
      <c r="AC24" s="569"/>
      <c r="AD24" s="569">
        <v>165.8</v>
      </c>
      <c r="AE24" s="569">
        <v>165.8</v>
      </c>
      <c r="AF24">
        <v>24</v>
      </c>
      <c r="AG24" s="438">
        <f>IF(INDEX(D:AE,AF24,ADP!$AF$6)=0,"",INDEX(D:AE,AF24,ADP!$AF$6)+AH24)</f>
        <v>165.80002300000001</v>
      </c>
      <c r="AH24">
        <f t="shared" si="0"/>
        <v>2.3000000000000007E-5</v>
      </c>
    </row>
    <row r="25" spans="1:34" ht="15.75" thickBot="1" x14ac:dyDescent="0.3">
      <c r="A25" s="569" t="s">
        <v>1896</v>
      </c>
      <c r="B25" s="569" t="s">
        <v>158</v>
      </c>
      <c r="C25" s="569" t="s">
        <v>6</v>
      </c>
      <c r="D25" s="569"/>
      <c r="E25" s="569"/>
      <c r="F25" s="569"/>
      <c r="G25" s="569"/>
      <c r="H25" s="569"/>
      <c r="I25" s="569"/>
      <c r="J25" s="569"/>
      <c r="K25" s="569"/>
      <c r="L25" s="569"/>
      <c r="M25" s="569"/>
      <c r="N25" s="569"/>
      <c r="O25" s="569"/>
      <c r="P25" s="569"/>
      <c r="Q25" s="569"/>
      <c r="R25" s="569"/>
      <c r="S25" s="569"/>
      <c r="T25" s="569"/>
      <c r="U25" s="569"/>
      <c r="V25" s="569"/>
      <c r="W25" s="569"/>
      <c r="X25" s="569"/>
      <c r="Y25" s="569"/>
      <c r="Z25" s="569"/>
      <c r="AA25" s="569"/>
      <c r="AB25" s="569"/>
      <c r="AC25" s="569"/>
      <c r="AD25" s="569"/>
      <c r="AE25" s="569"/>
      <c r="AF25">
        <v>25</v>
      </c>
      <c r="AG25" s="438" t="str">
        <f>IF(INDEX(D:AE,AF25,ADP!$AF$6)=0,"",INDEX(D:AE,AF25,ADP!$AF$6)+AH25)</f>
        <v/>
      </c>
      <c r="AH25">
        <f t="shared" si="0"/>
        <v>2.4000000000000007E-5</v>
      </c>
    </row>
    <row r="26" spans="1:34" ht="15.75" thickBot="1" x14ac:dyDescent="0.3">
      <c r="A26" s="569" t="s">
        <v>2328</v>
      </c>
      <c r="B26" s="569" t="s">
        <v>141</v>
      </c>
      <c r="C26" s="569" t="s">
        <v>6</v>
      </c>
      <c r="D26" s="574"/>
      <c r="E26" s="574"/>
      <c r="F26" s="574"/>
      <c r="G26" s="574"/>
      <c r="H26" s="574"/>
      <c r="I26" s="574"/>
      <c r="J26" s="574"/>
      <c r="K26" s="574"/>
      <c r="L26" s="574"/>
      <c r="M26" s="574"/>
      <c r="N26" s="574"/>
      <c r="O26" s="574"/>
      <c r="P26" s="574"/>
      <c r="Q26" s="574"/>
      <c r="R26" s="574"/>
      <c r="S26" s="574"/>
      <c r="T26" s="574"/>
      <c r="U26" s="574"/>
      <c r="V26" s="574"/>
      <c r="W26" s="574"/>
      <c r="X26" s="574"/>
      <c r="Y26" s="574"/>
      <c r="Z26" s="574"/>
      <c r="AA26" s="574"/>
      <c r="AB26" s="574"/>
      <c r="AC26" s="574"/>
      <c r="AD26" s="574"/>
      <c r="AE26" s="574"/>
      <c r="AF26">
        <v>26</v>
      </c>
      <c r="AG26" s="438" t="str">
        <f>IF(INDEX(D:AE,AF26,ADP!$AF$6)=0,"",INDEX(D:AE,AF26,ADP!$AF$6)+AH26)</f>
        <v/>
      </c>
      <c r="AH26">
        <f t="shared" si="0"/>
        <v>2.5000000000000008E-5</v>
      </c>
    </row>
    <row r="27" spans="1:34" ht="15.75" thickBot="1" x14ac:dyDescent="0.3">
      <c r="A27" s="569" t="s">
        <v>2101</v>
      </c>
      <c r="B27" s="569" t="s">
        <v>1389</v>
      </c>
      <c r="C27" s="569" t="s">
        <v>6</v>
      </c>
      <c r="D27" s="569"/>
      <c r="E27" s="569"/>
      <c r="F27" s="569"/>
      <c r="G27" s="569"/>
      <c r="H27" s="569"/>
      <c r="I27" s="569"/>
      <c r="J27" s="569"/>
      <c r="K27" s="569"/>
      <c r="L27" s="569"/>
      <c r="M27" s="569"/>
      <c r="N27" s="569"/>
      <c r="O27" s="569"/>
      <c r="P27" s="569"/>
      <c r="Q27" s="569"/>
      <c r="R27" s="569"/>
      <c r="S27" s="569"/>
      <c r="T27" s="569"/>
      <c r="U27" s="569"/>
      <c r="V27" s="569"/>
      <c r="W27" s="569"/>
      <c r="X27" s="569"/>
      <c r="Y27" s="569"/>
      <c r="Z27" s="569"/>
      <c r="AA27" s="569"/>
      <c r="AB27" s="569"/>
      <c r="AC27" s="569"/>
      <c r="AD27" s="569"/>
      <c r="AE27" s="569"/>
      <c r="AF27">
        <v>27</v>
      </c>
      <c r="AG27" s="438" t="str">
        <f>IF(INDEX(D:AE,AF27,ADP!$AF$6)=0,"",INDEX(D:AE,AF27,ADP!$AF$6)+AH27)</f>
        <v/>
      </c>
      <c r="AH27">
        <f t="shared" si="0"/>
        <v>2.6000000000000009E-5</v>
      </c>
    </row>
    <row r="28" spans="1:34" ht="15.75" thickBot="1" x14ac:dyDescent="0.3">
      <c r="A28" s="569" t="s">
        <v>2303</v>
      </c>
      <c r="B28" s="569" t="s">
        <v>2272</v>
      </c>
      <c r="C28" s="569" t="s">
        <v>3</v>
      </c>
      <c r="D28" s="574"/>
      <c r="E28" s="574"/>
      <c r="F28" s="574"/>
      <c r="G28" s="574"/>
      <c r="H28" s="574"/>
      <c r="I28" s="574"/>
      <c r="J28" s="574"/>
      <c r="K28" s="574"/>
      <c r="L28" s="574"/>
      <c r="M28" s="574"/>
      <c r="N28" s="574"/>
      <c r="O28" s="574"/>
      <c r="P28" s="574"/>
      <c r="Q28" s="574"/>
      <c r="R28" s="574"/>
      <c r="S28" s="574"/>
      <c r="T28" s="574"/>
      <c r="U28" s="574"/>
      <c r="V28" s="574"/>
      <c r="W28" s="574"/>
      <c r="X28" s="574"/>
      <c r="Y28" s="574"/>
      <c r="Z28" s="574"/>
      <c r="AA28" s="574"/>
      <c r="AB28" s="574"/>
      <c r="AC28" s="574"/>
      <c r="AD28" s="574"/>
      <c r="AE28" s="574"/>
      <c r="AF28">
        <v>28</v>
      </c>
      <c r="AG28" s="438" t="str">
        <f>IF(INDEX(D:AE,AF28,ADP!$AF$6)=0,"",INDEX(D:AE,AF28,ADP!$AF$6)+AH28)</f>
        <v/>
      </c>
      <c r="AH28">
        <f t="shared" si="0"/>
        <v>2.7000000000000009E-5</v>
      </c>
    </row>
    <row r="29" spans="1:34" ht="15.75" thickBot="1" x14ac:dyDescent="0.3">
      <c r="A29" s="569" t="s">
        <v>180</v>
      </c>
      <c r="B29" s="569" t="s">
        <v>154</v>
      </c>
      <c r="C29" s="569" t="s">
        <v>1</v>
      </c>
      <c r="D29" s="569"/>
      <c r="E29" s="569"/>
      <c r="F29" s="569"/>
      <c r="G29" s="569"/>
      <c r="H29" s="569"/>
      <c r="I29" s="569"/>
      <c r="J29" s="569"/>
      <c r="K29" s="569"/>
      <c r="L29" s="569"/>
      <c r="M29" s="569"/>
      <c r="N29" s="569"/>
      <c r="O29" s="569"/>
      <c r="P29" s="569"/>
      <c r="Q29" s="569"/>
      <c r="R29" s="569"/>
      <c r="S29" s="569"/>
      <c r="T29" s="569"/>
      <c r="U29" s="569"/>
      <c r="V29" s="569"/>
      <c r="W29" s="569"/>
      <c r="X29" s="569"/>
      <c r="Y29" s="569"/>
      <c r="Z29" s="569"/>
      <c r="AA29" s="569"/>
      <c r="AB29" s="569"/>
      <c r="AC29" s="569"/>
      <c r="AD29" s="569"/>
      <c r="AE29" s="569"/>
      <c r="AF29">
        <v>29</v>
      </c>
      <c r="AG29" s="438" t="str">
        <f>IF(INDEX(D:AE,AF29,ADP!$AF$6)=0,"",INDEX(D:AE,AF29,ADP!$AF$6)+AH29)</f>
        <v/>
      </c>
      <c r="AH29">
        <f t="shared" si="0"/>
        <v>2.800000000000001E-5</v>
      </c>
    </row>
    <row r="30" spans="1:34" ht="15.75" thickBot="1" x14ac:dyDescent="0.3">
      <c r="A30" s="569" t="s">
        <v>2300</v>
      </c>
      <c r="B30" s="569" t="s">
        <v>155</v>
      </c>
      <c r="C30" s="569" t="s">
        <v>3</v>
      </c>
      <c r="D30" s="569"/>
      <c r="E30" s="569"/>
      <c r="F30" s="569"/>
      <c r="G30" s="569"/>
      <c r="H30" s="569"/>
      <c r="I30" s="569"/>
      <c r="J30" s="569"/>
      <c r="K30" s="569"/>
      <c r="L30" s="569"/>
      <c r="M30" s="569"/>
      <c r="N30" s="569"/>
      <c r="O30" s="569"/>
      <c r="P30" s="569"/>
      <c r="Q30" s="569"/>
      <c r="R30" s="569"/>
      <c r="S30" s="569"/>
      <c r="T30" s="569"/>
      <c r="U30" s="569"/>
      <c r="V30" s="569"/>
      <c r="W30" s="569"/>
      <c r="X30" s="569"/>
      <c r="Y30" s="569"/>
      <c r="Z30" s="569"/>
      <c r="AA30" s="569"/>
      <c r="AB30" s="569"/>
      <c r="AC30" s="569"/>
      <c r="AD30" s="569"/>
      <c r="AE30" s="569"/>
      <c r="AF30">
        <v>30</v>
      </c>
      <c r="AG30" s="438" t="str">
        <f>IF(INDEX(D:AE,AF30,ADP!$AF$6)=0,"",INDEX(D:AE,AF30,ADP!$AF$6)+AH30)</f>
        <v/>
      </c>
      <c r="AH30">
        <f t="shared" si="0"/>
        <v>2.900000000000001E-5</v>
      </c>
    </row>
    <row r="31" spans="1:34" ht="15.75" thickBot="1" x14ac:dyDescent="0.3">
      <c r="A31" s="569" t="s">
        <v>1267</v>
      </c>
      <c r="B31" s="569" t="s">
        <v>166</v>
      </c>
      <c r="C31" s="569" t="s">
        <v>6</v>
      </c>
      <c r="D31" s="569">
        <v>7.3</v>
      </c>
      <c r="E31" s="569">
        <v>1.9</v>
      </c>
      <c r="F31" s="569">
        <v>4.2</v>
      </c>
      <c r="G31" s="569">
        <v>1.3</v>
      </c>
      <c r="H31" s="569">
        <v>4.5</v>
      </c>
      <c r="I31" s="569">
        <v>1.2</v>
      </c>
      <c r="J31" s="569">
        <v>7.3</v>
      </c>
      <c r="K31" s="569">
        <v>1.9</v>
      </c>
      <c r="L31" s="569">
        <v>4.2</v>
      </c>
      <c r="M31" s="569">
        <v>1.3</v>
      </c>
      <c r="N31" s="569">
        <v>4.5</v>
      </c>
      <c r="O31" s="569">
        <v>1.2</v>
      </c>
      <c r="P31" s="569">
        <v>10.8</v>
      </c>
      <c r="Q31" s="569">
        <v>3</v>
      </c>
      <c r="R31" s="569">
        <v>7.3</v>
      </c>
      <c r="S31" s="569">
        <v>1.9</v>
      </c>
      <c r="T31" s="569">
        <v>4.2</v>
      </c>
      <c r="U31" s="569">
        <v>1.3</v>
      </c>
      <c r="V31" s="569">
        <v>4.5</v>
      </c>
      <c r="W31" s="569">
        <v>1.2</v>
      </c>
      <c r="X31" s="569">
        <v>10.8</v>
      </c>
      <c r="Y31" s="569">
        <v>3</v>
      </c>
      <c r="Z31" s="569">
        <v>7.3</v>
      </c>
      <c r="AA31" s="569">
        <v>1.9</v>
      </c>
      <c r="AB31" s="569">
        <v>4.2</v>
      </c>
      <c r="AC31" s="569">
        <v>1.3</v>
      </c>
      <c r="AD31" s="569">
        <v>4.5</v>
      </c>
      <c r="AE31" s="569">
        <v>4.5</v>
      </c>
      <c r="AF31">
        <v>31</v>
      </c>
      <c r="AG31" s="438">
        <f>IF(INDEX(D:AE,AF31,ADP!$AF$6)=0,"",INDEX(D:AE,AF31,ADP!$AF$6)+AH31)</f>
        <v>4.5000299999999998</v>
      </c>
      <c r="AH31">
        <f t="shared" si="0"/>
        <v>3.0000000000000011E-5</v>
      </c>
    </row>
    <row r="32" spans="1:34" ht="15.75" thickBot="1" x14ac:dyDescent="0.3">
      <c r="A32" s="569" t="s">
        <v>2561</v>
      </c>
      <c r="B32" s="569" t="s">
        <v>137</v>
      </c>
      <c r="C32" s="569" t="s">
        <v>7</v>
      </c>
      <c r="D32" s="574"/>
      <c r="E32" s="574"/>
      <c r="F32" s="574"/>
      <c r="G32" s="574"/>
      <c r="H32" s="574"/>
      <c r="I32" s="574"/>
      <c r="J32" s="574"/>
      <c r="K32" s="574"/>
      <c r="L32" s="574"/>
      <c r="M32" s="574"/>
      <c r="N32" s="574"/>
      <c r="O32" s="574"/>
      <c r="P32" s="574"/>
      <c r="Q32" s="574"/>
      <c r="R32" s="574"/>
      <c r="S32" s="574"/>
      <c r="T32" s="574"/>
      <c r="U32" s="574"/>
      <c r="V32" s="574"/>
      <c r="W32" s="574"/>
      <c r="X32" s="574"/>
      <c r="Y32" s="574"/>
      <c r="Z32" s="574"/>
      <c r="AA32" s="574"/>
      <c r="AB32" s="574"/>
      <c r="AC32" s="574"/>
      <c r="AD32" s="574"/>
      <c r="AE32" s="574"/>
      <c r="AF32">
        <v>32</v>
      </c>
      <c r="AG32" s="438" t="str">
        <f>IF(INDEX(D:AE,AF32,ADP!$AF$6)=0,"",INDEX(D:AE,AF32,ADP!$AF$6)+AH32)</f>
        <v/>
      </c>
      <c r="AH32">
        <f t="shared" si="0"/>
        <v>3.1000000000000008E-5</v>
      </c>
    </row>
    <row r="33" spans="1:34" ht="15.75" thickBot="1" x14ac:dyDescent="0.3">
      <c r="A33" s="569" t="s">
        <v>2337</v>
      </c>
      <c r="B33" s="569" t="s">
        <v>157</v>
      </c>
      <c r="C33" s="569" t="s">
        <v>6</v>
      </c>
      <c r="D33" s="569"/>
      <c r="E33" s="569"/>
      <c r="F33" s="569"/>
      <c r="G33" s="569"/>
      <c r="H33" s="569"/>
      <c r="I33" s="569"/>
      <c r="J33" s="569"/>
      <c r="K33" s="569"/>
      <c r="L33" s="569"/>
      <c r="M33" s="569"/>
      <c r="N33" s="569"/>
      <c r="O33" s="569"/>
      <c r="P33" s="569"/>
      <c r="Q33" s="569"/>
      <c r="R33" s="569"/>
      <c r="S33" s="569"/>
      <c r="T33" s="569"/>
      <c r="U33" s="569"/>
      <c r="V33" s="569"/>
      <c r="W33" s="569"/>
      <c r="X33" s="569"/>
      <c r="Y33" s="569"/>
      <c r="Z33" s="569"/>
      <c r="AA33" s="569"/>
      <c r="AB33" s="569"/>
      <c r="AC33" s="569"/>
      <c r="AD33" s="569"/>
      <c r="AE33" s="569"/>
      <c r="AF33">
        <v>33</v>
      </c>
      <c r="AG33" s="438" t="str">
        <f>IF(INDEX(D:AE,AF33,ADP!$AF$6)=0,"",INDEX(D:AE,AF33,ADP!$AF$6)+AH33)</f>
        <v/>
      </c>
      <c r="AH33">
        <f t="shared" si="0"/>
        <v>3.2000000000000005E-5</v>
      </c>
    </row>
    <row r="34" spans="1:34" ht="15.75" thickBot="1" x14ac:dyDescent="0.3">
      <c r="A34" s="569" t="s">
        <v>2395</v>
      </c>
      <c r="B34" s="569" t="s">
        <v>141</v>
      </c>
      <c r="C34" s="569" t="s">
        <v>6</v>
      </c>
      <c r="D34" s="574"/>
      <c r="E34" s="574"/>
      <c r="F34" s="574"/>
      <c r="G34" s="574"/>
      <c r="H34" s="574"/>
      <c r="I34" s="574"/>
      <c r="J34" s="574"/>
      <c r="K34" s="574"/>
      <c r="L34" s="574"/>
      <c r="M34" s="574"/>
      <c r="N34" s="574"/>
      <c r="O34" s="574"/>
      <c r="P34" s="574"/>
      <c r="Q34" s="574"/>
      <c r="R34" s="574"/>
      <c r="S34" s="574"/>
      <c r="T34" s="574"/>
      <c r="U34" s="574"/>
      <c r="V34" s="574"/>
      <c r="W34" s="574"/>
      <c r="X34" s="574"/>
      <c r="Y34" s="574"/>
      <c r="Z34" s="574"/>
      <c r="AA34" s="574"/>
      <c r="AB34" s="574"/>
      <c r="AC34" s="574"/>
      <c r="AD34" s="574"/>
      <c r="AE34" s="574"/>
      <c r="AF34">
        <v>34</v>
      </c>
      <c r="AG34" s="438" t="str">
        <f>IF(INDEX(D:AE,AF34,ADP!$AF$6)=0,"",INDEX(D:AE,AF34,ADP!$AF$6)+AH34)</f>
        <v/>
      </c>
      <c r="AH34">
        <f t="shared" si="0"/>
        <v>3.3000000000000003E-5</v>
      </c>
    </row>
    <row r="35" spans="1:34" ht="15.75" thickBot="1" x14ac:dyDescent="0.3">
      <c r="A35" s="569" t="s">
        <v>2375</v>
      </c>
      <c r="B35" s="569" t="s">
        <v>140</v>
      </c>
      <c r="C35" s="569" t="s">
        <v>7</v>
      </c>
      <c r="D35" s="574"/>
      <c r="E35" s="574"/>
      <c r="F35" s="574"/>
      <c r="G35" s="574"/>
      <c r="H35" s="574"/>
      <c r="I35" s="574"/>
      <c r="J35" s="574"/>
      <c r="K35" s="574"/>
      <c r="L35" s="574"/>
      <c r="M35" s="574"/>
      <c r="N35" s="574"/>
      <c r="O35" s="574"/>
      <c r="P35" s="574"/>
      <c r="Q35" s="574"/>
      <c r="R35" s="574"/>
      <c r="S35" s="574"/>
      <c r="T35" s="574"/>
      <c r="U35" s="574"/>
      <c r="V35" s="574"/>
      <c r="W35" s="574"/>
      <c r="X35" s="574"/>
      <c r="Y35" s="574"/>
      <c r="Z35" s="574"/>
      <c r="AA35" s="574"/>
      <c r="AB35" s="574"/>
      <c r="AC35" s="574"/>
      <c r="AD35" s="574"/>
      <c r="AE35" s="574"/>
      <c r="AF35">
        <v>35</v>
      </c>
      <c r="AG35" s="438" t="str">
        <f>IF(INDEX(D:AE,AF35,ADP!$AF$6)=0,"",INDEX(D:AE,AF35,ADP!$AF$6)+AH35)</f>
        <v/>
      </c>
      <c r="AH35">
        <f t="shared" si="0"/>
        <v>3.4E-5</v>
      </c>
    </row>
    <row r="36" spans="1:34" ht="15.75" thickBot="1" x14ac:dyDescent="0.3">
      <c r="A36" s="569" t="s">
        <v>1109</v>
      </c>
      <c r="B36" s="569" t="s">
        <v>140</v>
      </c>
      <c r="C36" s="569" t="s">
        <v>6</v>
      </c>
      <c r="D36" s="569">
        <v>54.8</v>
      </c>
      <c r="E36" s="569">
        <v>4.5</v>
      </c>
      <c r="F36" s="569">
        <v>63.1</v>
      </c>
      <c r="G36" s="569">
        <v>6.3</v>
      </c>
      <c r="H36" s="569">
        <v>55.8</v>
      </c>
      <c r="I36" s="569">
        <v>5.2</v>
      </c>
      <c r="J36" s="569">
        <v>54.8</v>
      </c>
      <c r="K36" s="569">
        <v>4.5</v>
      </c>
      <c r="L36" s="569">
        <v>63.1</v>
      </c>
      <c r="M36" s="569">
        <v>6.3</v>
      </c>
      <c r="N36" s="569">
        <v>55.8</v>
      </c>
      <c r="O36" s="569">
        <v>5.2</v>
      </c>
      <c r="P36" s="569">
        <v>82.4</v>
      </c>
      <c r="Q36" s="569">
        <v>8.4</v>
      </c>
      <c r="R36" s="569">
        <v>54.8</v>
      </c>
      <c r="S36" s="569">
        <v>4.5</v>
      </c>
      <c r="T36" s="569">
        <v>63.1</v>
      </c>
      <c r="U36" s="569">
        <v>6.3</v>
      </c>
      <c r="V36" s="569">
        <v>55.8</v>
      </c>
      <c r="W36" s="569">
        <v>5.2</v>
      </c>
      <c r="X36" s="569">
        <v>82.4</v>
      </c>
      <c r="Y36" s="569">
        <v>8.4</v>
      </c>
      <c r="Z36" s="569">
        <v>54.8</v>
      </c>
      <c r="AA36" s="569">
        <v>4.5</v>
      </c>
      <c r="AB36" s="569">
        <v>63.1</v>
      </c>
      <c r="AC36" s="569">
        <v>6.3</v>
      </c>
      <c r="AD36" s="569">
        <v>55.8</v>
      </c>
      <c r="AE36" s="569">
        <v>55.8</v>
      </c>
      <c r="AF36">
        <v>36</v>
      </c>
      <c r="AG36" s="438">
        <f>IF(INDEX(D:AE,AF36,ADP!$AF$6)=0,"",INDEX(D:AE,AF36,ADP!$AF$6)+AH36)</f>
        <v>55.800034999999994</v>
      </c>
      <c r="AH36">
        <f t="shared" si="0"/>
        <v>3.4999999999999997E-5</v>
      </c>
    </row>
    <row r="37" spans="1:34" ht="15.75" thickBot="1" x14ac:dyDescent="0.3">
      <c r="A37" s="569" t="s">
        <v>1148</v>
      </c>
      <c r="B37" s="569" t="s">
        <v>166</v>
      </c>
      <c r="C37" s="569" t="s">
        <v>7</v>
      </c>
      <c r="D37" s="569"/>
      <c r="E37" s="569"/>
      <c r="F37" s="569"/>
      <c r="G37" s="569"/>
      <c r="H37" s="569"/>
      <c r="I37" s="569"/>
      <c r="J37" s="569"/>
      <c r="K37" s="569"/>
      <c r="L37" s="569"/>
      <c r="M37" s="569"/>
      <c r="N37" s="569"/>
      <c r="O37" s="569"/>
      <c r="P37" s="569"/>
      <c r="Q37" s="569"/>
      <c r="R37" s="569"/>
      <c r="S37" s="569"/>
      <c r="T37" s="569"/>
      <c r="U37" s="569"/>
      <c r="V37" s="569"/>
      <c r="W37" s="569"/>
      <c r="X37" s="569"/>
      <c r="Y37" s="569"/>
      <c r="Z37" s="569"/>
      <c r="AA37" s="569"/>
      <c r="AB37" s="569"/>
      <c r="AC37" s="569"/>
      <c r="AD37" s="569"/>
      <c r="AE37" s="569"/>
      <c r="AF37">
        <v>37</v>
      </c>
      <c r="AG37" s="438" t="str">
        <f>IF(INDEX(D:AE,AF37,ADP!$AF$6)=0,"",INDEX(D:AE,AF37,ADP!$AF$6)+AH37)</f>
        <v/>
      </c>
      <c r="AH37">
        <f t="shared" si="0"/>
        <v>3.5999999999999994E-5</v>
      </c>
    </row>
    <row r="38" spans="1:34" ht="15.75" thickBot="1" x14ac:dyDescent="0.3">
      <c r="A38" s="569" t="s">
        <v>2163</v>
      </c>
      <c r="B38" s="569" t="s">
        <v>162</v>
      </c>
      <c r="C38" s="569" t="s">
        <v>1</v>
      </c>
      <c r="D38" s="569"/>
      <c r="E38" s="569"/>
      <c r="F38" s="569"/>
      <c r="G38" s="569"/>
      <c r="H38" s="569"/>
      <c r="I38" s="569"/>
      <c r="J38" s="569"/>
      <c r="K38" s="569"/>
      <c r="L38" s="569"/>
      <c r="M38" s="569"/>
      <c r="N38" s="569"/>
      <c r="O38" s="569"/>
      <c r="P38" s="569"/>
      <c r="Q38" s="569"/>
      <c r="R38" s="569"/>
      <c r="S38" s="569"/>
      <c r="T38" s="569"/>
      <c r="U38" s="569"/>
      <c r="V38" s="569"/>
      <c r="W38" s="569"/>
      <c r="X38" s="569"/>
      <c r="Y38" s="569"/>
      <c r="Z38" s="569"/>
      <c r="AA38" s="569"/>
      <c r="AB38" s="569"/>
      <c r="AC38" s="569"/>
      <c r="AD38" s="569"/>
      <c r="AE38" s="569"/>
      <c r="AF38">
        <v>38</v>
      </c>
      <c r="AG38" s="438" t="str">
        <f>IF(INDEX(D:AE,AF38,ADP!$AF$6)=0,"",INDEX(D:AE,AF38,ADP!$AF$6)+AH38)</f>
        <v/>
      </c>
      <c r="AH38">
        <f t="shared" si="0"/>
        <v>3.6999999999999991E-5</v>
      </c>
    </row>
    <row r="39" spans="1:34" ht="15.75" thickBot="1" x14ac:dyDescent="0.3">
      <c r="A39" s="569" t="s">
        <v>1211</v>
      </c>
      <c r="B39" s="569" t="s">
        <v>1389</v>
      </c>
      <c r="C39" s="569" t="s">
        <v>7</v>
      </c>
      <c r="D39" s="569">
        <v>143.30000000000001</v>
      </c>
      <c r="E39" s="569">
        <v>15.4</v>
      </c>
      <c r="F39" s="569">
        <v>156.4</v>
      </c>
      <c r="G39" s="569">
        <v>18.399999999999999</v>
      </c>
      <c r="H39" s="569">
        <v>133.4</v>
      </c>
      <c r="I39" s="569">
        <v>15.6</v>
      </c>
      <c r="J39" s="569">
        <v>143.30000000000001</v>
      </c>
      <c r="K39" s="569">
        <v>15.4</v>
      </c>
      <c r="L39" s="569">
        <v>156.4</v>
      </c>
      <c r="M39" s="569">
        <v>18.399999999999999</v>
      </c>
      <c r="N39" s="569">
        <v>133.4</v>
      </c>
      <c r="O39" s="569">
        <v>15.6</v>
      </c>
      <c r="P39" s="569">
        <v>140.4</v>
      </c>
      <c r="Q39" s="569">
        <v>17</v>
      </c>
      <c r="R39" s="569">
        <v>143.30000000000001</v>
      </c>
      <c r="S39" s="569">
        <v>15.4</v>
      </c>
      <c r="T39" s="569">
        <v>156.4</v>
      </c>
      <c r="U39" s="569">
        <v>18.399999999999999</v>
      </c>
      <c r="V39" s="569">
        <v>133.4</v>
      </c>
      <c r="W39" s="569">
        <v>15.6</v>
      </c>
      <c r="X39" s="569">
        <v>140.4</v>
      </c>
      <c r="Y39" s="569">
        <v>17</v>
      </c>
      <c r="Z39" s="569">
        <v>143.30000000000001</v>
      </c>
      <c r="AA39" s="569">
        <v>15.4</v>
      </c>
      <c r="AB39" s="569">
        <v>156.4</v>
      </c>
      <c r="AC39" s="569">
        <v>18.399999999999999</v>
      </c>
      <c r="AD39" s="569">
        <v>133.4</v>
      </c>
      <c r="AE39" s="569">
        <v>133.4</v>
      </c>
      <c r="AF39">
        <v>39</v>
      </c>
      <c r="AG39" s="438">
        <f>IF(INDEX(D:AE,AF39,ADP!$AF$6)=0,"",INDEX(D:AE,AF39,ADP!$AF$6)+AH39)</f>
        <v>133.400038</v>
      </c>
      <c r="AH39">
        <f t="shared" si="0"/>
        <v>3.7999999999999989E-5</v>
      </c>
    </row>
    <row r="40" spans="1:34" ht="15.75" thickBot="1" x14ac:dyDescent="0.3">
      <c r="A40" s="569" t="s">
        <v>2556</v>
      </c>
      <c r="B40" s="569" t="s">
        <v>139</v>
      </c>
      <c r="C40" s="569" t="s">
        <v>3</v>
      </c>
      <c r="D40" s="574"/>
      <c r="E40" s="574"/>
      <c r="F40" s="574"/>
      <c r="G40" s="574"/>
      <c r="H40" s="574"/>
      <c r="I40" s="574"/>
      <c r="J40" s="574"/>
      <c r="K40" s="574"/>
      <c r="L40" s="574"/>
      <c r="M40" s="574"/>
      <c r="N40" s="574"/>
      <c r="O40" s="574"/>
      <c r="P40" s="574"/>
      <c r="Q40" s="574"/>
      <c r="R40" s="574"/>
      <c r="S40" s="574"/>
      <c r="T40" s="574"/>
      <c r="U40" s="574"/>
      <c r="V40" s="574"/>
      <c r="W40" s="574"/>
      <c r="X40" s="574"/>
      <c r="Y40" s="574"/>
      <c r="Z40" s="574"/>
      <c r="AA40" s="574"/>
      <c r="AB40" s="574"/>
      <c r="AC40" s="574"/>
      <c r="AD40" s="574"/>
      <c r="AE40" s="574"/>
      <c r="AF40">
        <v>40</v>
      </c>
      <c r="AG40" s="438" t="str">
        <f>IF(INDEX(D:AE,AF40,ADP!$AF$6)=0,"",INDEX(D:AE,AF40,ADP!$AF$6)+AH40)</f>
        <v/>
      </c>
      <c r="AH40">
        <f t="shared" si="0"/>
        <v>3.8999999999999986E-5</v>
      </c>
    </row>
    <row r="41" spans="1:34" ht="15.75" thickBot="1" x14ac:dyDescent="0.3">
      <c r="A41" s="569" t="s">
        <v>2396</v>
      </c>
      <c r="B41" s="569" t="s">
        <v>139</v>
      </c>
      <c r="C41" s="569" t="s">
        <v>7</v>
      </c>
      <c r="D41" s="569"/>
      <c r="E41" s="569"/>
      <c r="F41" s="569"/>
      <c r="G41" s="569"/>
      <c r="H41" s="569"/>
      <c r="I41" s="569"/>
      <c r="J41" s="569"/>
      <c r="K41" s="569"/>
      <c r="L41" s="569"/>
      <c r="M41" s="569"/>
      <c r="N41" s="569"/>
      <c r="O41" s="569"/>
      <c r="P41" s="569"/>
      <c r="Q41" s="569"/>
      <c r="R41" s="569"/>
      <c r="S41" s="569"/>
      <c r="T41" s="569"/>
      <c r="U41" s="569"/>
      <c r="V41" s="569"/>
      <c r="W41" s="569"/>
      <c r="X41" s="569"/>
      <c r="Y41" s="569"/>
      <c r="Z41" s="569"/>
      <c r="AA41" s="569"/>
      <c r="AB41" s="569"/>
      <c r="AC41" s="569"/>
      <c r="AD41" s="569"/>
      <c r="AE41" s="569"/>
      <c r="AF41">
        <v>41</v>
      </c>
      <c r="AG41" s="438" t="str">
        <f>IF(INDEX(D:AE,AF41,ADP!$AF$6)=0,"",INDEX(D:AE,AF41,ADP!$AF$6)+AH41)</f>
        <v/>
      </c>
      <c r="AH41">
        <f t="shared" si="0"/>
        <v>3.9999999999999983E-5</v>
      </c>
    </row>
    <row r="42" spans="1:34" ht="15.75" thickBot="1" x14ac:dyDescent="0.3">
      <c r="A42" s="569" t="s">
        <v>2234</v>
      </c>
      <c r="B42" s="569" t="s">
        <v>164</v>
      </c>
      <c r="C42" s="569" t="s">
        <v>7</v>
      </c>
      <c r="D42" s="569"/>
      <c r="E42" s="569"/>
      <c r="F42" s="569"/>
      <c r="G42" s="569"/>
      <c r="H42" s="569"/>
      <c r="I42" s="569"/>
      <c r="J42" s="569"/>
      <c r="K42" s="569"/>
      <c r="L42" s="569"/>
      <c r="M42" s="569"/>
      <c r="N42" s="569"/>
      <c r="O42" s="569"/>
      <c r="P42" s="569"/>
      <c r="Q42" s="569"/>
      <c r="R42" s="569"/>
      <c r="S42" s="569"/>
      <c r="T42" s="569"/>
      <c r="U42" s="569"/>
      <c r="V42" s="569"/>
      <c r="W42" s="569"/>
      <c r="X42" s="569"/>
      <c r="Y42" s="569"/>
      <c r="Z42" s="569"/>
      <c r="AA42" s="569"/>
      <c r="AB42" s="569"/>
      <c r="AC42" s="569"/>
      <c r="AD42" s="569"/>
      <c r="AE42" s="569"/>
      <c r="AF42">
        <v>42</v>
      </c>
      <c r="AG42" s="438" t="str">
        <f>IF(INDEX(D:AE,AF42,ADP!$AF$6)=0,"",INDEX(D:AE,AF42,ADP!$AF$6)+AH42)</f>
        <v/>
      </c>
      <c r="AH42">
        <f t="shared" si="0"/>
        <v>4.099999999999998E-5</v>
      </c>
    </row>
    <row r="43" spans="1:34" ht="15.75" thickBot="1" x14ac:dyDescent="0.3">
      <c r="A43" s="569" t="s">
        <v>1198</v>
      </c>
      <c r="B43" s="569" t="s">
        <v>145</v>
      </c>
      <c r="C43" s="569" t="s">
        <v>6</v>
      </c>
      <c r="D43" s="574">
        <v>133.4</v>
      </c>
      <c r="E43" s="574">
        <v>10.7</v>
      </c>
      <c r="F43" s="574">
        <v>134.69999999999999</v>
      </c>
      <c r="G43" s="574">
        <v>7.8</v>
      </c>
      <c r="H43" s="574">
        <v>130.80000000000001</v>
      </c>
      <c r="I43" s="574">
        <v>9.5</v>
      </c>
      <c r="J43" s="574">
        <v>133.4</v>
      </c>
      <c r="K43" s="574">
        <v>10.7</v>
      </c>
      <c r="L43" s="574">
        <v>134.69999999999999</v>
      </c>
      <c r="M43" s="574">
        <v>7.8</v>
      </c>
      <c r="N43" s="574">
        <v>130.80000000000001</v>
      </c>
      <c r="O43" s="574">
        <v>9.5</v>
      </c>
      <c r="P43" s="574">
        <v>135.5</v>
      </c>
      <c r="Q43" s="574">
        <v>10.1</v>
      </c>
      <c r="R43" s="574">
        <v>133.4</v>
      </c>
      <c r="S43" s="574">
        <v>10.7</v>
      </c>
      <c r="T43" s="574">
        <v>134.69999999999999</v>
      </c>
      <c r="U43" s="574">
        <v>7.8</v>
      </c>
      <c r="V43" s="574">
        <v>130.80000000000001</v>
      </c>
      <c r="W43" s="574">
        <v>9.5</v>
      </c>
      <c r="X43" s="574">
        <v>135.5</v>
      </c>
      <c r="Y43" s="574">
        <v>10.1</v>
      </c>
      <c r="Z43" s="574">
        <v>133.4</v>
      </c>
      <c r="AA43" s="574">
        <v>10.7</v>
      </c>
      <c r="AB43" s="574">
        <v>134.69999999999999</v>
      </c>
      <c r="AC43" s="574">
        <v>7.8</v>
      </c>
      <c r="AD43" s="574">
        <v>130.80000000000001</v>
      </c>
      <c r="AE43" s="574">
        <v>130.80000000000001</v>
      </c>
      <c r="AF43">
        <v>43</v>
      </c>
      <c r="AG43" s="438">
        <f>IF(INDEX(D:AE,AF43,ADP!$AF$6)=0,"",INDEX(D:AE,AF43,ADP!$AF$6)+AH43)</f>
        <v>130.80004200000002</v>
      </c>
      <c r="AH43">
        <f t="shared" si="0"/>
        <v>4.1999999999999977E-5</v>
      </c>
    </row>
    <row r="44" spans="1:34" ht="15.75" thickBot="1" x14ac:dyDescent="0.3">
      <c r="A44" s="569" t="s">
        <v>2121</v>
      </c>
      <c r="B44" s="569" t="s">
        <v>156</v>
      </c>
      <c r="C44" s="569" t="s">
        <v>11</v>
      </c>
      <c r="D44" s="569">
        <v>148.6</v>
      </c>
      <c r="E44" s="569">
        <v>14.5</v>
      </c>
      <c r="F44" s="569">
        <v>143.4</v>
      </c>
      <c r="G44" s="569">
        <v>22.2</v>
      </c>
      <c r="H44" s="569">
        <v>144.30000000000001</v>
      </c>
      <c r="I44" s="569">
        <v>16.2</v>
      </c>
      <c r="J44" s="569">
        <v>148.6</v>
      </c>
      <c r="K44" s="569">
        <v>14.5</v>
      </c>
      <c r="L44" s="569">
        <v>143.4</v>
      </c>
      <c r="M44" s="569">
        <v>22.2</v>
      </c>
      <c r="N44" s="569">
        <v>144.30000000000001</v>
      </c>
      <c r="O44" s="569">
        <v>16.2</v>
      </c>
      <c r="P44" s="569">
        <v>137.30000000000001</v>
      </c>
      <c r="Q44" s="569">
        <v>13.1</v>
      </c>
      <c r="R44" s="569">
        <v>148.6</v>
      </c>
      <c r="S44" s="569">
        <v>14.5</v>
      </c>
      <c r="T44" s="569">
        <v>143.4</v>
      </c>
      <c r="U44" s="569">
        <v>22.2</v>
      </c>
      <c r="V44" s="569">
        <v>144.30000000000001</v>
      </c>
      <c r="W44" s="569">
        <v>16.2</v>
      </c>
      <c r="X44" s="569">
        <v>137.30000000000001</v>
      </c>
      <c r="Y44" s="569">
        <v>13.1</v>
      </c>
      <c r="Z44" s="569">
        <v>148.6</v>
      </c>
      <c r="AA44" s="569">
        <v>14.5</v>
      </c>
      <c r="AB44" s="569">
        <v>143.4</v>
      </c>
      <c r="AC44" s="569">
        <v>22.2</v>
      </c>
      <c r="AD44" s="569">
        <v>144.30000000000001</v>
      </c>
      <c r="AE44" s="569">
        <v>144.30000000000001</v>
      </c>
      <c r="AF44">
        <v>44</v>
      </c>
      <c r="AG44" s="438">
        <f>IF(INDEX(D:AE,AF44,ADP!$AF$6)=0,"",INDEX(D:AE,AF44,ADP!$AF$6)+AH44)</f>
        <v>144.30004300000002</v>
      </c>
      <c r="AH44">
        <f t="shared" si="0"/>
        <v>4.2999999999999975E-5</v>
      </c>
    </row>
    <row r="45" spans="1:34" ht="15.75" thickBot="1" x14ac:dyDescent="0.3">
      <c r="A45" s="569" t="s">
        <v>2302</v>
      </c>
      <c r="B45" s="569" t="s">
        <v>144</v>
      </c>
      <c r="C45" s="569" t="s">
        <v>3</v>
      </c>
      <c r="D45" s="574"/>
      <c r="E45" s="574"/>
      <c r="F45" s="574"/>
      <c r="G45" s="574"/>
      <c r="H45" s="574"/>
      <c r="I45" s="574"/>
      <c r="J45" s="574"/>
      <c r="K45" s="574"/>
      <c r="L45" s="574"/>
      <c r="M45" s="574"/>
      <c r="N45" s="574"/>
      <c r="O45" s="574"/>
      <c r="P45" s="574"/>
      <c r="Q45" s="574"/>
      <c r="R45" s="574"/>
      <c r="S45" s="574"/>
      <c r="T45" s="574"/>
      <c r="U45" s="574"/>
      <c r="V45" s="574"/>
      <c r="W45" s="574"/>
      <c r="X45" s="574"/>
      <c r="Y45" s="574"/>
      <c r="Z45" s="574"/>
      <c r="AA45" s="574"/>
      <c r="AB45" s="574"/>
      <c r="AC45" s="574"/>
      <c r="AD45" s="574"/>
      <c r="AE45" s="574"/>
      <c r="AF45">
        <v>45</v>
      </c>
      <c r="AG45" s="438" t="str">
        <f>IF(INDEX(D:AE,AF45,ADP!$AF$6)=0,"",INDEX(D:AE,AF45,ADP!$AF$6)+AH45)</f>
        <v/>
      </c>
      <c r="AH45">
        <f t="shared" si="0"/>
        <v>4.3999999999999972E-5</v>
      </c>
    </row>
    <row r="46" spans="1:34" ht="15.75" thickBot="1" x14ac:dyDescent="0.3">
      <c r="A46" s="569" t="s">
        <v>2293</v>
      </c>
      <c r="B46" s="569" t="s">
        <v>148</v>
      </c>
      <c r="C46" s="569" t="s">
        <v>3</v>
      </c>
      <c r="D46" s="569">
        <v>74.2</v>
      </c>
      <c r="E46" s="569">
        <v>6.2</v>
      </c>
      <c r="F46" s="569">
        <v>108.1</v>
      </c>
      <c r="G46" s="569">
        <v>7.3</v>
      </c>
      <c r="H46" s="569">
        <v>125.5</v>
      </c>
      <c r="I46" s="569">
        <v>12.2</v>
      </c>
      <c r="J46" s="569">
        <v>74.2</v>
      </c>
      <c r="K46" s="569">
        <v>6.2</v>
      </c>
      <c r="L46" s="569">
        <v>108.1</v>
      </c>
      <c r="M46" s="569">
        <v>7.3</v>
      </c>
      <c r="N46" s="569">
        <v>125.5</v>
      </c>
      <c r="O46" s="569">
        <v>12.2</v>
      </c>
      <c r="P46" s="569">
        <v>99.6</v>
      </c>
      <c r="Q46" s="569">
        <v>7.9</v>
      </c>
      <c r="R46" s="569">
        <v>74.2</v>
      </c>
      <c r="S46" s="569">
        <v>6.2</v>
      </c>
      <c r="T46" s="569">
        <v>108.1</v>
      </c>
      <c r="U46" s="569">
        <v>7.3</v>
      </c>
      <c r="V46" s="569">
        <v>125.5</v>
      </c>
      <c r="W46" s="569">
        <v>12.2</v>
      </c>
      <c r="X46" s="569">
        <v>99.6</v>
      </c>
      <c r="Y46" s="569">
        <v>7.9</v>
      </c>
      <c r="Z46" s="569">
        <v>74.2</v>
      </c>
      <c r="AA46" s="569">
        <v>6.2</v>
      </c>
      <c r="AB46" s="569">
        <v>108.1</v>
      </c>
      <c r="AC46" s="569">
        <v>7.3</v>
      </c>
      <c r="AD46" s="569">
        <v>125.5</v>
      </c>
      <c r="AE46" s="569">
        <v>125.5</v>
      </c>
      <c r="AF46">
        <v>46</v>
      </c>
      <c r="AG46" s="438">
        <f>IF(INDEX(D:AE,AF46,ADP!$AF$6)=0,"",INDEX(D:AE,AF46,ADP!$AF$6)+AH46)</f>
        <v>125.500045</v>
      </c>
      <c r="AH46">
        <f t="shared" si="0"/>
        <v>4.4999999999999969E-5</v>
      </c>
    </row>
    <row r="47" spans="1:34" ht="15.75" thickBot="1" x14ac:dyDescent="0.3">
      <c r="A47" s="569" t="s">
        <v>2218</v>
      </c>
      <c r="B47" s="569" t="s">
        <v>162</v>
      </c>
      <c r="C47" s="569" t="s">
        <v>6</v>
      </c>
      <c r="D47" s="574"/>
      <c r="E47" s="574"/>
      <c r="F47" s="574"/>
      <c r="G47" s="574"/>
      <c r="H47" s="574"/>
      <c r="I47" s="574"/>
      <c r="J47" s="574"/>
      <c r="K47" s="574"/>
      <c r="L47" s="574"/>
      <c r="M47" s="574"/>
      <c r="N47" s="574"/>
      <c r="O47" s="574"/>
      <c r="P47" s="574"/>
      <c r="Q47" s="574"/>
      <c r="R47" s="574"/>
      <c r="S47" s="574"/>
      <c r="T47" s="574"/>
      <c r="U47" s="574"/>
      <c r="V47" s="574"/>
      <c r="W47" s="574"/>
      <c r="X47" s="574"/>
      <c r="Y47" s="574"/>
      <c r="Z47" s="574"/>
      <c r="AA47" s="574"/>
      <c r="AB47" s="574"/>
      <c r="AC47" s="574"/>
      <c r="AD47" s="574"/>
      <c r="AE47" s="574"/>
      <c r="AF47">
        <v>47</v>
      </c>
      <c r="AG47" s="438" t="str">
        <f>IF(INDEX(D:AE,AF47,ADP!$AF$6)=0,"",INDEX(D:AE,AF47,ADP!$AF$6)+AH47)</f>
        <v/>
      </c>
      <c r="AH47">
        <f t="shared" si="0"/>
        <v>4.5999999999999966E-5</v>
      </c>
    </row>
    <row r="48" spans="1:34" ht="15.75" thickBot="1" x14ac:dyDescent="0.3">
      <c r="A48" s="569" t="s">
        <v>2397</v>
      </c>
      <c r="B48" s="569" t="s">
        <v>163</v>
      </c>
      <c r="C48" s="569" t="s">
        <v>3</v>
      </c>
      <c r="D48" s="569"/>
      <c r="E48" s="569"/>
      <c r="F48" s="569"/>
      <c r="G48" s="569"/>
      <c r="H48" s="569"/>
      <c r="I48" s="569"/>
      <c r="J48" s="569"/>
      <c r="K48" s="569"/>
      <c r="L48" s="569"/>
      <c r="M48" s="569"/>
      <c r="N48" s="569"/>
      <c r="O48" s="569"/>
      <c r="P48" s="569"/>
      <c r="Q48" s="569"/>
      <c r="R48" s="569"/>
      <c r="S48" s="569"/>
      <c r="T48" s="569"/>
      <c r="U48" s="569"/>
      <c r="V48" s="569"/>
      <c r="W48" s="569"/>
      <c r="X48" s="569"/>
      <c r="Y48" s="569"/>
      <c r="Z48" s="569"/>
      <c r="AA48" s="569"/>
      <c r="AB48" s="569"/>
      <c r="AC48" s="569"/>
      <c r="AD48" s="569"/>
      <c r="AE48" s="569"/>
      <c r="AF48">
        <v>48</v>
      </c>
      <c r="AG48" s="438" t="str">
        <f>IF(INDEX(D:AE,AF48,ADP!$AF$6)=0,"",INDEX(D:AE,AF48,ADP!$AF$6)+AH48)</f>
        <v/>
      </c>
      <c r="AH48">
        <f t="shared" si="0"/>
        <v>4.6999999999999963E-5</v>
      </c>
    </row>
    <row r="49" spans="1:34" ht="15.75" thickBot="1" x14ac:dyDescent="0.3">
      <c r="A49" s="569" t="s">
        <v>1114</v>
      </c>
      <c r="B49" s="569" t="s">
        <v>157</v>
      </c>
      <c r="C49" s="569" t="s">
        <v>3</v>
      </c>
      <c r="D49" s="569"/>
      <c r="E49" s="569"/>
      <c r="F49" s="569"/>
      <c r="G49" s="569"/>
      <c r="H49" s="569"/>
      <c r="I49" s="569"/>
      <c r="J49" s="569"/>
      <c r="K49" s="569"/>
      <c r="L49" s="569"/>
      <c r="M49" s="569"/>
      <c r="N49" s="569"/>
      <c r="O49" s="569"/>
      <c r="P49" s="569"/>
      <c r="Q49" s="569"/>
      <c r="R49" s="569"/>
      <c r="S49" s="569"/>
      <c r="T49" s="569"/>
      <c r="U49" s="569"/>
      <c r="V49" s="569"/>
      <c r="W49" s="569"/>
      <c r="X49" s="569"/>
      <c r="Y49" s="569"/>
      <c r="Z49" s="569"/>
      <c r="AA49" s="569"/>
      <c r="AB49" s="569"/>
      <c r="AC49" s="569"/>
      <c r="AD49" s="569"/>
      <c r="AE49" s="569"/>
      <c r="AF49">
        <v>49</v>
      </c>
      <c r="AG49" s="438" t="str">
        <f>IF(INDEX(D:AE,AF49,ADP!$AF$6)=0,"",INDEX(D:AE,AF49,ADP!$AF$6)+AH49)</f>
        <v/>
      </c>
      <c r="AH49">
        <f t="shared" si="0"/>
        <v>4.7999999999999961E-5</v>
      </c>
    </row>
    <row r="50" spans="1:34" ht="15.75" thickBot="1" x14ac:dyDescent="0.3">
      <c r="A50" s="569" t="s">
        <v>2565</v>
      </c>
      <c r="B50" s="569" t="s">
        <v>156</v>
      </c>
      <c r="C50" s="569" t="s">
        <v>3</v>
      </c>
      <c r="D50" s="574"/>
      <c r="E50" s="574"/>
      <c r="F50" s="574"/>
      <c r="G50" s="574"/>
      <c r="H50" s="574"/>
      <c r="I50" s="574"/>
      <c r="J50" s="574"/>
      <c r="K50" s="574"/>
      <c r="L50" s="574"/>
      <c r="M50" s="574"/>
      <c r="N50" s="574"/>
      <c r="O50" s="574"/>
      <c r="P50" s="574"/>
      <c r="Q50" s="574"/>
      <c r="R50" s="574"/>
      <c r="S50" s="574"/>
      <c r="T50" s="574"/>
      <c r="U50" s="574"/>
      <c r="V50" s="574"/>
      <c r="W50" s="574"/>
      <c r="X50" s="574"/>
      <c r="Y50" s="574"/>
      <c r="Z50" s="574"/>
      <c r="AA50" s="574"/>
      <c r="AB50" s="574"/>
      <c r="AC50" s="574"/>
      <c r="AD50" s="574"/>
      <c r="AE50" s="574"/>
      <c r="AF50">
        <v>50</v>
      </c>
      <c r="AG50" s="438" t="str">
        <f>IF(INDEX(D:AE,AF50,ADP!$AF$6)=0,"",INDEX(D:AE,AF50,ADP!$AF$6)+AH50)</f>
        <v/>
      </c>
      <c r="AH50">
        <f t="shared" si="0"/>
        <v>4.8999999999999958E-5</v>
      </c>
    </row>
    <row r="51" spans="1:34" ht="15.75" thickBot="1" x14ac:dyDescent="0.3">
      <c r="A51" s="569" t="s">
        <v>2309</v>
      </c>
      <c r="B51" s="569" t="s">
        <v>138</v>
      </c>
      <c r="C51" s="569" t="s">
        <v>3</v>
      </c>
      <c r="D51" s="569"/>
      <c r="E51" s="569"/>
      <c r="F51" s="569"/>
      <c r="G51" s="569"/>
      <c r="H51" s="569"/>
      <c r="I51" s="569"/>
      <c r="J51" s="569"/>
      <c r="K51" s="569"/>
      <c r="L51" s="569"/>
      <c r="M51" s="569"/>
      <c r="N51" s="569"/>
      <c r="O51" s="569"/>
      <c r="P51" s="569"/>
      <c r="Q51" s="569"/>
      <c r="R51" s="569"/>
      <c r="S51" s="569"/>
      <c r="T51" s="569"/>
      <c r="U51" s="569"/>
      <c r="V51" s="569"/>
      <c r="W51" s="569"/>
      <c r="X51" s="569"/>
      <c r="Y51" s="569"/>
      <c r="Z51" s="569"/>
      <c r="AA51" s="569"/>
      <c r="AB51" s="569"/>
      <c r="AC51" s="569"/>
      <c r="AD51" s="569"/>
      <c r="AE51" s="569"/>
      <c r="AF51">
        <v>51</v>
      </c>
      <c r="AG51" s="438" t="str">
        <f>IF(INDEX(D:AE,AF51,ADP!$AF$6)=0,"",INDEX(D:AE,AF51,ADP!$AF$6)+AH51)</f>
        <v/>
      </c>
      <c r="AH51">
        <f t="shared" si="0"/>
        <v>4.9999999999999955E-5</v>
      </c>
    </row>
    <row r="52" spans="1:34" ht="15.75" thickBot="1" x14ac:dyDescent="0.3">
      <c r="A52" s="569" t="s">
        <v>2207</v>
      </c>
      <c r="B52" s="569" t="s">
        <v>1389</v>
      </c>
      <c r="C52" s="569" t="s">
        <v>6</v>
      </c>
      <c r="D52" s="574"/>
      <c r="E52" s="574"/>
      <c r="F52" s="574"/>
      <c r="G52" s="574"/>
      <c r="H52" s="574"/>
      <c r="I52" s="574"/>
      <c r="J52" s="574"/>
      <c r="K52" s="574"/>
      <c r="L52" s="574"/>
      <c r="M52" s="574"/>
      <c r="N52" s="574"/>
      <c r="O52" s="574"/>
      <c r="P52" s="569"/>
      <c r="Q52" s="569"/>
      <c r="R52" s="574"/>
      <c r="S52" s="574"/>
      <c r="T52" s="574"/>
      <c r="U52" s="574"/>
      <c r="V52" s="574"/>
      <c r="W52" s="574"/>
      <c r="X52" s="569"/>
      <c r="Y52" s="569"/>
      <c r="Z52" s="574"/>
      <c r="AA52" s="574"/>
      <c r="AB52" s="574"/>
      <c r="AC52" s="574"/>
      <c r="AD52" s="574"/>
      <c r="AE52" s="574"/>
      <c r="AF52">
        <v>52</v>
      </c>
      <c r="AG52" s="438" t="str">
        <f>IF(INDEX(D:AE,AF52,ADP!$AF$6)=0,"",INDEX(D:AE,AF52,ADP!$AF$6)+AH52)</f>
        <v/>
      </c>
      <c r="AH52">
        <f t="shared" si="0"/>
        <v>5.0999999999999952E-5</v>
      </c>
    </row>
    <row r="53" spans="1:34" ht="15.75" thickBot="1" x14ac:dyDescent="0.3">
      <c r="A53" s="569" t="s">
        <v>2398</v>
      </c>
      <c r="B53" s="569" t="s">
        <v>139</v>
      </c>
      <c r="C53" s="569" t="s">
        <v>7</v>
      </c>
      <c r="D53" s="569"/>
      <c r="E53" s="569"/>
      <c r="F53" s="569"/>
      <c r="G53" s="569"/>
      <c r="H53" s="569"/>
      <c r="I53" s="569"/>
      <c r="J53" s="569"/>
      <c r="K53" s="569"/>
      <c r="L53" s="569"/>
      <c r="M53" s="569"/>
      <c r="N53" s="569"/>
      <c r="O53" s="569"/>
      <c r="P53" s="569"/>
      <c r="Q53" s="569"/>
      <c r="R53" s="569"/>
      <c r="S53" s="569"/>
      <c r="T53" s="569"/>
      <c r="U53" s="569"/>
      <c r="V53" s="569"/>
      <c r="W53" s="569"/>
      <c r="X53" s="569"/>
      <c r="Y53" s="569"/>
      <c r="Z53" s="569"/>
      <c r="AA53" s="569"/>
      <c r="AB53" s="569"/>
      <c r="AC53" s="569"/>
      <c r="AD53" s="569"/>
      <c r="AE53" s="569"/>
      <c r="AF53">
        <v>53</v>
      </c>
      <c r="AG53" s="438" t="str">
        <f>IF(INDEX(D:AE,AF53,ADP!$AF$6)=0,"",INDEX(D:AE,AF53,ADP!$AF$6)+AH53)</f>
        <v/>
      </c>
      <c r="AH53">
        <f t="shared" si="0"/>
        <v>5.1999999999999949E-5</v>
      </c>
    </row>
    <row r="54" spans="1:34" ht="15.75" thickBot="1" x14ac:dyDescent="0.3">
      <c r="A54" s="569" t="s">
        <v>2099</v>
      </c>
      <c r="B54" s="569" t="s">
        <v>166</v>
      </c>
      <c r="C54" s="569" t="s">
        <v>1</v>
      </c>
      <c r="D54" s="569">
        <v>101.3</v>
      </c>
      <c r="E54" s="569">
        <v>9.6999999999999993</v>
      </c>
      <c r="F54" s="569">
        <v>81.099999999999994</v>
      </c>
      <c r="G54" s="569">
        <v>9.3000000000000007</v>
      </c>
      <c r="H54" s="569">
        <v>84</v>
      </c>
      <c r="I54" s="569">
        <v>9.5</v>
      </c>
      <c r="J54" s="569">
        <v>101.3</v>
      </c>
      <c r="K54" s="569">
        <v>9.6999999999999993</v>
      </c>
      <c r="L54" s="569">
        <v>81.099999999999994</v>
      </c>
      <c r="M54" s="569">
        <v>9.3000000000000007</v>
      </c>
      <c r="N54" s="569">
        <v>84</v>
      </c>
      <c r="O54" s="569">
        <v>9.5</v>
      </c>
      <c r="P54" s="569">
        <v>32.9</v>
      </c>
      <c r="Q54" s="569">
        <v>5.8</v>
      </c>
      <c r="R54" s="569">
        <v>101.3</v>
      </c>
      <c r="S54" s="569">
        <v>9.6999999999999993</v>
      </c>
      <c r="T54" s="569">
        <v>81.099999999999994</v>
      </c>
      <c r="U54" s="569">
        <v>9.3000000000000007</v>
      </c>
      <c r="V54" s="569">
        <v>84</v>
      </c>
      <c r="W54" s="569">
        <v>9.5</v>
      </c>
      <c r="X54" s="569">
        <v>32.9</v>
      </c>
      <c r="Y54" s="569">
        <v>5.8</v>
      </c>
      <c r="Z54" s="569">
        <v>101.3</v>
      </c>
      <c r="AA54" s="569">
        <v>9.6999999999999993</v>
      </c>
      <c r="AB54" s="569">
        <v>81.099999999999994</v>
      </c>
      <c r="AC54" s="569">
        <v>9.3000000000000007</v>
      </c>
      <c r="AD54" s="569">
        <v>84</v>
      </c>
      <c r="AE54" s="569">
        <v>84</v>
      </c>
      <c r="AF54">
        <v>54</v>
      </c>
      <c r="AG54" s="438">
        <f>IF(INDEX(D:AE,AF54,ADP!$AF$6)=0,"",INDEX(D:AE,AF54,ADP!$AF$6)+AH54)</f>
        <v>84.000052999999994</v>
      </c>
      <c r="AH54">
        <f t="shared" si="0"/>
        <v>5.2999999999999947E-5</v>
      </c>
    </row>
    <row r="55" spans="1:34" ht="15.75" thickBot="1" x14ac:dyDescent="0.3">
      <c r="A55" s="569" t="s">
        <v>2347</v>
      </c>
      <c r="B55" s="569" t="s">
        <v>142</v>
      </c>
      <c r="C55" s="569" t="s">
        <v>6</v>
      </c>
      <c r="D55" s="569"/>
      <c r="E55" s="569"/>
      <c r="F55" s="569"/>
      <c r="G55" s="569"/>
      <c r="H55" s="569"/>
      <c r="I55" s="569"/>
      <c r="J55" s="569"/>
      <c r="K55" s="569"/>
      <c r="L55" s="569"/>
      <c r="M55" s="569"/>
      <c r="N55" s="569"/>
      <c r="O55" s="569"/>
      <c r="P55" s="569"/>
      <c r="Q55" s="569"/>
      <c r="R55" s="569"/>
      <c r="S55" s="569"/>
      <c r="T55" s="569"/>
      <c r="U55" s="569"/>
      <c r="V55" s="569"/>
      <c r="W55" s="569"/>
      <c r="X55" s="569"/>
      <c r="Y55" s="569"/>
      <c r="Z55" s="569"/>
      <c r="AA55" s="569"/>
      <c r="AB55" s="569"/>
      <c r="AC55" s="569"/>
      <c r="AD55" s="569"/>
      <c r="AE55" s="569"/>
      <c r="AF55">
        <v>55</v>
      </c>
      <c r="AG55" s="438" t="str">
        <f>IF(INDEX(D:AE,AF55,ADP!$AF$6)=0,"",INDEX(D:AE,AF55,ADP!$AF$6)+AH55)</f>
        <v/>
      </c>
      <c r="AH55">
        <f t="shared" si="0"/>
        <v>5.3999999999999944E-5</v>
      </c>
    </row>
    <row r="56" spans="1:34" ht="15.75" thickBot="1" x14ac:dyDescent="0.3">
      <c r="A56" s="569" t="s">
        <v>2317</v>
      </c>
      <c r="B56" s="569" t="s">
        <v>163</v>
      </c>
      <c r="C56" s="569" t="s">
        <v>6</v>
      </c>
      <c r="D56" s="569">
        <v>92.4</v>
      </c>
      <c r="E56" s="569">
        <v>5.2</v>
      </c>
      <c r="F56" s="569">
        <v>92.5</v>
      </c>
      <c r="G56" s="569">
        <v>6.7</v>
      </c>
      <c r="H56" s="569">
        <v>88.9</v>
      </c>
      <c r="I56" s="569">
        <v>6.2</v>
      </c>
      <c r="J56" s="569">
        <v>92.4</v>
      </c>
      <c r="K56" s="569">
        <v>5.2</v>
      </c>
      <c r="L56" s="569">
        <v>92.5</v>
      </c>
      <c r="M56" s="569">
        <v>6.7</v>
      </c>
      <c r="N56" s="569">
        <v>88.9</v>
      </c>
      <c r="O56" s="569">
        <v>6.2</v>
      </c>
      <c r="P56" s="569">
        <v>96.8</v>
      </c>
      <c r="Q56" s="569">
        <v>6.3</v>
      </c>
      <c r="R56" s="569">
        <v>92.4</v>
      </c>
      <c r="S56" s="569">
        <v>5.2</v>
      </c>
      <c r="T56" s="569">
        <v>92.5</v>
      </c>
      <c r="U56" s="569">
        <v>6.7</v>
      </c>
      <c r="V56" s="569">
        <v>88.9</v>
      </c>
      <c r="W56" s="569">
        <v>6.2</v>
      </c>
      <c r="X56" s="569">
        <v>96.8</v>
      </c>
      <c r="Y56" s="569">
        <v>6.3</v>
      </c>
      <c r="Z56" s="569">
        <v>92.4</v>
      </c>
      <c r="AA56" s="569">
        <v>5.2</v>
      </c>
      <c r="AB56" s="569">
        <v>92.5</v>
      </c>
      <c r="AC56" s="569">
        <v>6.7</v>
      </c>
      <c r="AD56" s="569">
        <v>88.9</v>
      </c>
      <c r="AE56" s="569">
        <v>88.9</v>
      </c>
      <c r="AF56">
        <v>56</v>
      </c>
      <c r="AG56" s="438">
        <f>IF(INDEX(D:AE,AF56,ADP!$AF$6)=0,"",INDEX(D:AE,AF56,ADP!$AF$6)+AH56)</f>
        <v>88.900055000000009</v>
      </c>
      <c r="AH56">
        <f t="shared" si="0"/>
        <v>5.4999999999999941E-5</v>
      </c>
    </row>
    <row r="57" spans="1:34" ht="15.75" thickBot="1" x14ac:dyDescent="0.3">
      <c r="A57" s="569" t="s">
        <v>2175</v>
      </c>
      <c r="B57" s="569" t="s">
        <v>137</v>
      </c>
      <c r="C57" s="569" t="s">
        <v>3</v>
      </c>
      <c r="D57" s="569"/>
      <c r="E57" s="569"/>
      <c r="F57" s="569"/>
      <c r="G57" s="569"/>
      <c r="H57" s="569"/>
      <c r="I57" s="569"/>
      <c r="J57" s="569"/>
      <c r="K57" s="569"/>
      <c r="L57" s="569"/>
      <c r="M57" s="569"/>
      <c r="N57" s="569"/>
      <c r="O57" s="569"/>
      <c r="P57" s="569"/>
      <c r="Q57" s="569"/>
      <c r="R57" s="569"/>
      <c r="S57" s="569"/>
      <c r="T57" s="569"/>
      <c r="U57" s="569"/>
      <c r="V57" s="569"/>
      <c r="W57" s="569"/>
      <c r="X57" s="569"/>
      <c r="Y57" s="569"/>
      <c r="Z57" s="569"/>
      <c r="AA57" s="569"/>
      <c r="AB57" s="569"/>
      <c r="AC57" s="569"/>
      <c r="AD57" s="569"/>
      <c r="AE57" s="569"/>
      <c r="AF57">
        <v>57</v>
      </c>
      <c r="AG57" s="438" t="str">
        <f>IF(INDEX(D:AE,AF57,ADP!$AF$6)=0,"",INDEX(D:AE,AF57,ADP!$AF$6)+AH57)</f>
        <v/>
      </c>
      <c r="AH57">
        <f t="shared" si="0"/>
        <v>5.5999999999999938E-5</v>
      </c>
    </row>
    <row r="58" spans="1:34" ht="15.75" thickBot="1" x14ac:dyDescent="0.3">
      <c r="A58" s="569" t="s">
        <v>2399</v>
      </c>
      <c r="B58" s="569" t="s">
        <v>149</v>
      </c>
      <c r="C58" s="569" t="s">
        <v>6</v>
      </c>
      <c r="D58" s="569"/>
      <c r="E58" s="569"/>
      <c r="F58" s="569"/>
      <c r="G58" s="569"/>
      <c r="H58" s="569"/>
      <c r="I58" s="569"/>
      <c r="J58" s="569"/>
      <c r="K58" s="569"/>
      <c r="L58" s="569"/>
      <c r="M58" s="569"/>
      <c r="N58" s="569"/>
      <c r="O58" s="569"/>
      <c r="P58" s="569"/>
      <c r="Q58" s="569"/>
      <c r="R58" s="569"/>
      <c r="S58" s="569"/>
      <c r="T58" s="569"/>
      <c r="U58" s="569"/>
      <c r="V58" s="569"/>
      <c r="W58" s="569"/>
      <c r="X58" s="569"/>
      <c r="Y58" s="569"/>
      <c r="Z58" s="569"/>
      <c r="AA58" s="569"/>
      <c r="AB58" s="569"/>
      <c r="AC58" s="569"/>
      <c r="AD58" s="569"/>
      <c r="AE58" s="569"/>
      <c r="AF58">
        <v>58</v>
      </c>
      <c r="AG58" s="438" t="str">
        <f>IF(INDEX(D:AE,AF58,ADP!$AF$6)=0,"",INDEX(D:AE,AF58,ADP!$AF$6)+AH58)</f>
        <v/>
      </c>
      <c r="AH58">
        <f t="shared" si="0"/>
        <v>5.6999999999999935E-5</v>
      </c>
    </row>
    <row r="59" spans="1:34" ht="15.75" thickBot="1" x14ac:dyDescent="0.3">
      <c r="A59" s="569" t="s">
        <v>2356</v>
      </c>
      <c r="B59" s="569" t="s">
        <v>2272</v>
      </c>
      <c r="C59" s="569" t="s">
        <v>7</v>
      </c>
      <c r="D59" s="574"/>
      <c r="E59" s="574"/>
      <c r="F59" s="574"/>
      <c r="G59" s="574"/>
      <c r="H59" s="574"/>
      <c r="I59" s="574"/>
      <c r="J59" s="574"/>
      <c r="K59" s="574"/>
      <c r="L59" s="574"/>
      <c r="M59" s="574"/>
      <c r="N59" s="574"/>
      <c r="O59" s="574"/>
      <c r="P59" s="574"/>
      <c r="Q59" s="574"/>
      <c r="R59" s="574"/>
      <c r="S59" s="574"/>
      <c r="T59" s="574"/>
      <c r="U59" s="574"/>
      <c r="V59" s="574"/>
      <c r="W59" s="574"/>
      <c r="X59" s="574"/>
      <c r="Y59" s="574"/>
      <c r="Z59" s="574"/>
      <c r="AA59" s="574"/>
      <c r="AB59" s="574"/>
      <c r="AC59" s="574"/>
      <c r="AD59" s="574"/>
      <c r="AE59" s="574"/>
      <c r="AF59">
        <v>59</v>
      </c>
      <c r="AG59" s="438" t="str">
        <f>IF(INDEX(D:AE,AF59,ADP!$AF$6)=0,"",INDEX(D:AE,AF59,ADP!$AF$6)+AH59)</f>
        <v/>
      </c>
      <c r="AH59">
        <f t="shared" si="0"/>
        <v>5.7999999999999933E-5</v>
      </c>
    </row>
    <row r="60" spans="1:34" ht="15.75" thickBot="1" x14ac:dyDescent="0.3">
      <c r="A60" s="569" t="s">
        <v>2157</v>
      </c>
      <c r="B60" s="569" t="s">
        <v>155</v>
      </c>
      <c r="C60" s="569" t="s">
        <v>1</v>
      </c>
      <c r="D60" s="569"/>
      <c r="E60" s="569"/>
      <c r="F60" s="569"/>
      <c r="G60" s="569"/>
      <c r="H60" s="569"/>
      <c r="I60" s="569"/>
      <c r="J60" s="569"/>
      <c r="K60" s="569"/>
      <c r="L60" s="569"/>
      <c r="M60" s="569"/>
      <c r="N60" s="569"/>
      <c r="O60" s="569"/>
      <c r="P60" s="569">
        <v>101.3</v>
      </c>
      <c r="Q60" s="569">
        <v>17.899999999999999</v>
      </c>
      <c r="R60" s="569"/>
      <c r="S60" s="569"/>
      <c r="T60" s="569"/>
      <c r="U60" s="569"/>
      <c r="V60" s="569"/>
      <c r="W60" s="569"/>
      <c r="X60" s="569">
        <v>101.3</v>
      </c>
      <c r="Y60" s="569">
        <v>17.899999999999999</v>
      </c>
      <c r="Z60" s="569"/>
      <c r="AA60" s="569"/>
      <c r="AB60" s="569"/>
      <c r="AC60" s="569"/>
      <c r="AD60" s="569"/>
      <c r="AE60" s="569"/>
      <c r="AF60">
        <v>60</v>
      </c>
      <c r="AG60" s="438" t="str">
        <f>IF(INDEX(D:AE,AF60,ADP!$AF$6)=0,"",INDEX(D:AE,AF60,ADP!$AF$6)+AH60)</f>
        <v/>
      </c>
      <c r="AH60">
        <f t="shared" si="0"/>
        <v>5.899999999999993E-5</v>
      </c>
    </row>
    <row r="61" spans="1:34" ht="15.75" thickBot="1" x14ac:dyDescent="0.3">
      <c r="A61" s="569" t="s">
        <v>1225</v>
      </c>
      <c r="B61" s="569" t="s">
        <v>145</v>
      </c>
      <c r="C61" s="569" t="s">
        <v>1</v>
      </c>
      <c r="D61" s="569"/>
      <c r="E61" s="569"/>
      <c r="F61" s="569"/>
      <c r="G61" s="569"/>
      <c r="H61" s="569"/>
      <c r="I61" s="569"/>
      <c r="J61" s="569"/>
      <c r="K61" s="569"/>
      <c r="L61" s="569"/>
      <c r="M61" s="569"/>
      <c r="N61" s="569"/>
      <c r="O61" s="569"/>
      <c r="P61" s="569"/>
      <c r="Q61" s="569"/>
      <c r="R61" s="569"/>
      <c r="S61" s="569"/>
      <c r="T61" s="569"/>
      <c r="U61" s="569"/>
      <c r="V61" s="569"/>
      <c r="W61" s="569"/>
      <c r="X61" s="569"/>
      <c r="Y61" s="569"/>
      <c r="Z61" s="569"/>
      <c r="AA61" s="569"/>
      <c r="AB61" s="569"/>
      <c r="AC61" s="569"/>
      <c r="AD61" s="569"/>
      <c r="AE61" s="569"/>
      <c r="AF61">
        <v>61</v>
      </c>
      <c r="AG61" s="438" t="str">
        <f>IF(INDEX(D:AE,AF61,ADP!$AF$6)=0,"",INDEX(D:AE,AF61,ADP!$AF$6)+AH61)</f>
        <v/>
      </c>
      <c r="AH61">
        <f t="shared" si="0"/>
        <v>5.9999999999999927E-5</v>
      </c>
    </row>
    <row r="62" spans="1:34" ht="15.75" thickBot="1" x14ac:dyDescent="0.3">
      <c r="A62" s="569" t="s">
        <v>2154</v>
      </c>
      <c r="B62" s="569" t="s">
        <v>165</v>
      </c>
      <c r="C62" s="569" t="s">
        <v>1</v>
      </c>
      <c r="D62" s="574">
        <v>75.599999999999994</v>
      </c>
      <c r="E62" s="574">
        <v>8.8000000000000007</v>
      </c>
      <c r="F62" s="574">
        <v>55.9</v>
      </c>
      <c r="G62" s="574">
        <v>4.7</v>
      </c>
      <c r="H62" s="574">
        <v>58.4</v>
      </c>
      <c r="I62" s="574">
        <v>6</v>
      </c>
      <c r="J62" s="574">
        <v>75.599999999999994</v>
      </c>
      <c r="K62" s="574">
        <v>8.8000000000000007</v>
      </c>
      <c r="L62" s="574">
        <v>55.9</v>
      </c>
      <c r="M62" s="574">
        <v>4.7</v>
      </c>
      <c r="N62" s="574">
        <v>58.4</v>
      </c>
      <c r="O62" s="574">
        <v>6</v>
      </c>
      <c r="P62" s="574">
        <v>19.5</v>
      </c>
      <c r="Q62" s="574">
        <v>5.5</v>
      </c>
      <c r="R62" s="574">
        <v>75.599999999999994</v>
      </c>
      <c r="S62" s="574">
        <v>8.8000000000000007</v>
      </c>
      <c r="T62" s="574">
        <v>55.9</v>
      </c>
      <c r="U62" s="574">
        <v>4.7</v>
      </c>
      <c r="V62" s="574">
        <v>58.4</v>
      </c>
      <c r="W62" s="574">
        <v>6</v>
      </c>
      <c r="X62" s="574">
        <v>19.5</v>
      </c>
      <c r="Y62" s="574">
        <v>5.5</v>
      </c>
      <c r="Z62" s="574">
        <v>75.599999999999994</v>
      </c>
      <c r="AA62" s="574">
        <v>8.8000000000000007</v>
      </c>
      <c r="AB62" s="574">
        <v>55.9</v>
      </c>
      <c r="AC62" s="574">
        <v>4.7</v>
      </c>
      <c r="AD62" s="574">
        <v>58.4</v>
      </c>
      <c r="AE62" s="574">
        <v>58.4</v>
      </c>
      <c r="AF62">
        <v>62</v>
      </c>
      <c r="AG62" s="438">
        <f>IF(INDEX(D:AE,AF62,ADP!$AF$6)=0,"",INDEX(D:AE,AF62,ADP!$AF$6)+AH62)</f>
        <v>58.400061000000001</v>
      </c>
      <c r="AH62">
        <f t="shared" si="0"/>
        <v>6.0999999999999924E-5</v>
      </c>
    </row>
    <row r="63" spans="1:34" ht="15.75" thickBot="1" x14ac:dyDescent="0.3">
      <c r="A63" s="569" t="s">
        <v>2264</v>
      </c>
      <c r="B63" s="569" t="s">
        <v>163</v>
      </c>
      <c r="C63" s="569" t="s">
        <v>7</v>
      </c>
      <c r="D63" s="569"/>
      <c r="E63" s="569"/>
      <c r="F63" s="569"/>
      <c r="G63" s="569"/>
      <c r="H63" s="569"/>
      <c r="I63" s="569"/>
      <c r="J63" s="569"/>
      <c r="K63" s="569"/>
      <c r="L63" s="569"/>
      <c r="M63" s="569"/>
      <c r="N63" s="569"/>
      <c r="O63" s="569"/>
      <c r="P63" s="569"/>
      <c r="Q63" s="569"/>
      <c r="R63" s="569"/>
      <c r="S63" s="569"/>
      <c r="T63" s="569"/>
      <c r="U63" s="569"/>
      <c r="V63" s="569"/>
      <c r="W63" s="569"/>
      <c r="X63" s="569"/>
      <c r="Y63" s="569"/>
      <c r="Z63" s="569"/>
      <c r="AA63" s="569"/>
      <c r="AB63" s="569"/>
      <c r="AC63" s="569"/>
      <c r="AD63" s="569"/>
      <c r="AE63" s="569"/>
      <c r="AF63">
        <v>63</v>
      </c>
      <c r="AG63" s="438" t="str">
        <f>IF(INDEX(D:AE,AF63,ADP!$AF$6)=0,"",INDEX(D:AE,AF63,ADP!$AF$6)+AH63)</f>
        <v/>
      </c>
      <c r="AH63">
        <f t="shared" si="0"/>
        <v>6.1999999999999921E-5</v>
      </c>
    </row>
    <row r="64" spans="1:34" ht="15.75" thickBot="1" x14ac:dyDescent="0.3">
      <c r="A64" s="569" t="s">
        <v>2306</v>
      </c>
      <c r="B64" s="569" t="s">
        <v>141</v>
      </c>
      <c r="C64" s="569" t="s">
        <v>3</v>
      </c>
      <c r="D64" s="569"/>
      <c r="E64" s="569"/>
      <c r="F64" s="569"/>
      <c r="G64" s="569"/>
      <c r="H64" s="569"/>
      <c r="I64" s="569"/>
      <c r="J64" s="569"/>
      <c r="K64" s="569"/>
      <c r="L64" s="569"/>
      <c r="M64" s="569"/>
      <c r="N64" s="569"/>
      <c r="O64" s="569"/>
      <c r="P64" s="569"/>
      <c r="Q64" s="569"/>
      <c r="R64" s="569"/>
      <c r="S64" s="569"/>
      <c r="T64" s="569"/>
      <c r="U64" s="569"/>
      <c r="V64" s="569"/>
      <c r="W64" s="569"/>
      <c r="X64" s="569"/>
      <c r="Y64" s="569"/>
      <c r="Z64" s="569"/>
      <c r="AA64" s="569"/>
      <c r="AB64" s="569"/>
      <c r="AC64" s="569"/>
      <c r="AD64" s="569"/>
      <c r="AE64" s="569"/>
      <c r="AF64">
        <v>64</v>
      </c>
      <c r="AG64" s="438" t="str">
        <f>IF(INDEX(D:AE,AF64,ADP!$AF$6)=0,"",INDEX(D:AE,AF64,ADP!$AF$6)+AH64)</f>
        <v/>
      </c>
      <c r="AH64">
        <f t="shared" si="0"/>
        <v>6.2999999999999919E-5</v>
      </c>
    </row>
    <row r="65" spans="1:34" ht="15.75" thickBot="1" x14ac:dyDescent="0.3">
      <c r="A65" s="569" t="s">
        <v>1859</v>
      </c>
      <c r="B65" s="569" t="s">
        <v>143</v>
      </c>
      <c r="C65" s="569" t="s">
        <v>6</v>
      </c>
      <c r="D65" s="574"/>
      <c r="E65" s="574"/>
      <c r="F65" s="574"/>
      <c r="G65" s="574"/>
      <c r="H65" s="574"/>
      <c r="I65" s="574"/>
      <c r="J65" s="574"/>
      <c r="K65" s="574"/>
      <c r="L65" s="574"/>
      <c r="M65" s="574"/>
      <c r="N65" s="574"/>
      <c r="O65" s="574"/>
      <c r="P65" s="574"/>
      <c r="Q65" s="574"/>
      <c r="R65" s="574"/>
      <c r="S65" s="574"/>
      <c r="T65" s="574"/>
      <c r="U65" s="574"/>
      <c r="V65" s="574"/>
      <c r="W65" s="574"/>
      <c r="X65" s="574"/>
      <c r="Y65" s="574"/>
      <c r="Z65" s="574"/>
      <c r="AA65" s="574"/>
      <c r="AB65" s="574"/>
      <c r="AC65" s="574"/>
      <c r="AD65" s="574"/>
      <c r="AE65" s="574"/>
      <c r="AF65">
        <v>65</v>
      </c>
      <c r="AG65" s="438" t="str">
        <f>IF(INDEX(D:AE,AF65,ADP!$AF$6)=0,"",INDEX(D:AE,AF65,ADP!$AF$6)+AH65)</f>
        <v/>
      </c>
      <c r="AH65">
        <f t="shared" si="0"/>
        <v>6.3999999999999916E-5</v>
      </c>
    </row>
    <row r="66" spans="1:34" ht="15.75" thickBot="1" x14ac:dyDescent="0.3">
      <c r="A66" s="569" t="s">
        <v>2228</v>
      </c>
      <c r="B66" s="569" t="s">
        <v>145</v>
      </c>
      <c r="C66" s="569" t="s">
        <v>6</v>
      </c>
      <c r="D66" s="569"/>
      <c r="E66" s="569"/>
      <c r="F66" s="569"/>
      <c r="G66" s="569"/>
      <c r="H66" s="569"/>
      <c r="I66" s="569"/>
      <c r="J66" s="569"/>
      <c r="K66" s="569"/>
      <c r="L66" s="569"/>
      <c r="M66" s="569"/>
      <c r="N66" s="569"/>
      <c r="O66" s="569"/>
      <c r="P66" s="569"/>
      <c r="Q66" s="569"/>
      <c r="R66" s="569"/>
      <c r="S66" s="569"/>
      <c r="T66" s="569"/>
      <c r="U66" s="569"/>
      <c r="V66" s="569"/>
      <c r="W66" s="569"/>
      <c r="X66" s="569"/>
      <c r="Y66" s="569"/>
      <c r="Z66" s="569"/>
      <c r="AA66" s="569"/>
      <c r="AB66" s="569"/>
      <c r="AC66" s="569"/>
      <c r="AD66" s="569"/>
      <c r="AE66" s="569"/>
      <c r="AF66">
        <v>66</v>
      </c>
      <c r="AG66" s="438" t="str">
        <f>IF(INDEX(D:AE,AF66,ADP!$AF$6)=0,"",INDEX(D:AE,AF66,ADP!$AF$6)+AH66)</f>
        <v/>
      </c>
      <c r="AH66">
        <f t="shared" si="0"/>
        <v>6.4999999999999913E-5</v>
      </c>
    </row>
    <row r="67" spans="1:34" ht="15.75" thickBot="1" x14ac:dyDescent="0.3">
      <c r="A67" s="569" t="s">
        <v>1445</v>
      </c>
      <c r="B67" s="569" t="s">
        <v>145</v>
      </c>
      <c r="C67" s="569" t="s">
        <v>6</v>
      </c>
      <c r="D67" s="569"/>
      <c r="E67" s="569"/>
      <c r="F67" s="569"/>
      <c r="G67" s="569"/>
      <c r="H67" s="569"/>
      <c r="I67" s="569"/>
      <c r="J67" s="569"/>
      <c r="K67" s="569"/>
      <c r="L67" s="569"/>
      <c r="M67" s="569"/>
      <c r="N67" s="569"/>
      <c r="O67" s="569"/>
      <c r="P67" s="569"/>
      <c r="Q67" s="569"/>
      <c r="R67" s="569"/>
      <c r="S67" s="569"/>
      <c r="T67" s="569"/>
      <c r="U67" s="569"/>
      <c r="V67" s="569"/>
      <c r="W67" s="569"/>
      <c r="X67" s="569"/>
      <c r="Y67" s="569"/>
      <c r="Z67" s="569"/>
      <c r="AA67" s="569"/>
      <c r="AB67" s="569"/>
      <c r="AC67" s="569"/>
      <c r="AD67" s="569"/>
      <c r="AE67" s="569"/>
      <c r="AF67">
        <v>67</v>
      </c>
      <c r="AG67" s="438" t="str">
        <f>IF(INDEX(D:AE,AF67,ADP!$AF$6)=0,"",INDEX(D:AE,AF67,ADP!$AF$6)+AH67)</f>
        <v/>
      </c>
      <c r="AH67">
        <f t="shared" si="0"/>
        <v>6.599999999999991E-5</v>
      </c>
    </row>
    <row r="68" spans="1:34" ht="15.75" thickBot="1" x14ac:dyDescent="0.3">
      <c r="A68" s="569" t="s">
        <v>1970</v>
      </c>
      <c r="B68" s="569" t="s">
        <v>156</v>
      </c>
      <c r="C68" s="569" t="s">
        <v>6</v>
      </c>
      <c r="D68" s="569"/>
      <c r="E68" s="569"/>
      <c r="F68" s="569"/>
      <c r="G68" s="569"/>
      <c r="H68" s="569"/>
      <c r="I68" s="569"/>
      <c r="J68" s="569"/>
      <c r="K68" s="569"/>
      <c r="L68" s="569"/>
      <c r="M68" s="569"/>
      <c r="N68" s="569"/>
      <c r="O68" s="569"/>
      <c r="P68" s="569"/>
      <c r="Q68" s="569"/>
      <c r="R68" s="569"/>
      <c r="S68" s="569"/>
      <c r="T68" s="569"/>
      <c r="U68" s="569"/>
      <c r="V68" s="569"/>
      <c r="W68" s="569"/>
      <c r="X68" s="569"/>
      <c r="Y68" s="569"/>
      <c r="Z68" s="569"/>
      <c r="AA68" s="569"/>
      <c r="AB68" s="569"/>
      <c r="AC68" s="569"/>
      <c r="AD68" s="569"/>
      <c r="AE68" s="569"/>
      <c r="AF68">
        <v>68</v>
      </c>
      <c r="AG68" s="438" t="str">
        <f>IF(INDEX(D:AE,AF68,ADP!$AF$6)=0,"",INDEX(D:AE,AF68,ADP!$AF$6)+AH68)</f>
        <v/>
      </c>
      <c r="AH68">
        <f t="shared" ref="AH68:AH131" si="1">AH67+0.000001</f>
        <v>6.6999999999999907E-5</v>
      </c>
    </row>
    <row r="69" spans="1:34" ht="15.75" thickBot="1" x14ac:dyDescent="0.3">
      <c r="A69" s="569" t="s">
        <v>2400</v>
      </c>
      <c r="B69" s="569" t="s">
        <v>2073</v>
      </c>
      <c r="C69" s="569" t="s">
        <v>6</v>
      </c>
      <c r="D69" s="569"/>
      <c r="E69" s="569"/>
      <c r="F69" s="569"/>
      <c r="G69" s="569"/>
      <c r="H69" s="569"/>
      <c r="I69" s="569"/>
      <c r="J69" s="569"/>
      <c r="K69" s="569"/>
      <c r="L69" s="569"/>
      <c r="M69" s="569"/>
      <c r="N69" s="569"/>
      <c r="O69" s="569"/>
      <c r="P69" s="569"/>
      <c r="Q69" s="569"/>
      <c r="R69" s="569"/>
      <c r="S69" s="569"/>
      <c r="T69" s="569"/>
      <c r="U69" s="569"/>
      <c r="V69" s="569"/>
      <c r="W69" s="569"/>
      <c r="X69" s="569"/>
      <c r="Y69" s="569"/>
      <c r="Z69" s="569"/>
      <c r="AA69" s="569"/>
      <c r="AB69" s="569"/>
      <c r="AC69" s="569"/>
      <c r="AD69" s="569"/>
      <c r="AE69" s="569"/>
      <c r="AF69">
        <v>69</v>
      </c>
      <c r="AG69" s="438" t="str">
        <f>IF(INDEX(D:AE,AF69,ADP!$AF$6)=0,"",INDEX(D:AE,AF69,ADP!$AF$6)+AH69)</f>
        <v/>
      </c>
      <c r="AH69">
        <f t="shared" si="1"/>
        <v>6.7999999999999905E-5</v>
      </c>
    </row>
    <row r="70" spans="1:34" ht="15.75" thickBot="1" x14ac:dyDescent="0.3">
      <c r="A70" s="569" t="s">
        <v>2351</v>
      </c>
      <c r="B70" s="569" t="s">
        <v>157</v>
      </c>
      <c r="C70" s="569" t="s">
        <v>6</v>
      </c>
      <c r="D70" s="574"/>
      <c r="E70" s="574"/>
      <c r="F70" s="574"/>
      <c r="G70" s="574"/>
      <c r="H70" s="574"/>
      <c r="I70" s="574"/>
      <c r="J70" s="574"/>
      <c r="K70" s="574"/>
      <c r="L70" s="574"/>
      <c r="M70" s="574"/>
      <c r="N70" s="574"/>
      <c r="O70" s="574"/>
      <c r="P70" s="574"/>
      <c r="Q70" s="574"/>
      <c r="R70" s="574"/>
      <c r="S70" s="574"/>
      <c r="T70" s="574"/>
      <c r="U70" s="574"/>
      <c r="V70" s="574"/>
      <c r="W70" s="574"/>
      <c r="X70" s="574"/>
      <c r="Y70" s="574"/>
      <c r="Z70" s="574"/>
      <c r="AA70" s="574"/>
      <c r="AB70" s="574"/>
      <c r="AC70" s="574"/>
      <c r="AD70" s="574"/>
      <c r="AE70" s="574"/>
      <c r="AF70">
        <v>70</v>
      </c>
      <c r="AG70" s="438" t="str">
        <f>IF(INDEX(D:AE,AF70,ADP!$AF$6)=0,"",INDEX(D:AE,AF70,ADP!$AF$6)+AH70)</f>
        <v/>
      </c>
      <c r="AH70">
        <f t="shared" si="1"/>
        <v>6.8999999999999902E-5</v>
      </c>
    </row>
    <row r="71" spans="1:34" ht="15.75" thickBot="1" x14ac:dyDescent="0.3">
      <c r="A71" s="569" t="s">
        <v>2254</v>
      </c>
      <c r="B71" s="569" t="s">
        <v>1388</v>
      </c>
      <c r="C71" s="569" t="s">
        <v>7</v>
      </c>
      <c r="D71" s="574"/>
      <c r="E71" s="574"/>
      <c r="F71" s="574"/>
      <c r="G71" s="574"/>
      <c r="H71" s="574"/>
      <c r="I71" s="574"/>
      <c r="J71" s="574"/>
      <c r="K71" s="574"/>
      <c r="L71" s="574"/>
      <c r="M71" s="574"/>
      <c r="N71" s="574"/>
      <c r="O71" s="574"/>
      <c r="P71" s="574"/>
      <c r="Q71" s="574"/>
      <c r="R71" s="574"/>
      <c r="S71" s="574"/>
      <c r="T71" s="574"/>
      <c r="U71" s="574"/>
      <c r="V71" s="574"/>
      <c r="W71" s="574"/>
      <c r="X71" s="574"/>
      <c r="Y71" s="574"/>
      <c r="Z71" s="574"/>
      <c r="AA71" s="574"/>
      <c r="AB71" s="574"/>
      <c r="AC71" s="574"/>
      <c r="AD71" s="574"/>
      <c r="AE71" s="574"/>
      <c r="AF71">
        <v>71</v>
      </c>
      <c r="AG71" s="438" t="str">
        <f>IF(INDEX(D:AE,AF71,ADP!$AF$6)=0,"",INDEX(D:AE,AF71,ADP!$AF$6)+AH71)</f>
        <v/>
      </c>
      <c r="AH71">
        <f t="shared" si="1"/>
        <v>6.9999999999999899E-5</v>
      </c>
    </row>
    <row r="72" spans="1:34" ht="15.75" thickBot="1" x14ac:dyDescent="0.3">
      <c r="A72" s="569" t="s">
        <v>1883</v>
      </c>
      <c r="B72" s="569" t="s">
        <v>145</v>
      </c>
      <c r="C72" s="569" t="s">
        <v>3</v>
      </c>
      <c r="D72" s="569"/>
      <c r="E72" s="569"/>
      <c r="F72" s="569"/>
      <c r="G72" s="569"/>
      <c r="H72" s="569"/>
      <c r="I72" s="569"/>
      <c r="J72" s="569"/>
      <c r="K72" s="569"/>
      <c r="L72" s="569"/>
      <c r="M72" s="569"/>
      <c r="N72" s="569"/>
      <c r="O72" s="569"/>
      <c r="P72" s="569"/>
      <c r="Q72" s="569"/>
      <c r="R72" s="569"/>
      <c r="S72" s="569"/>
      <c r="T72" s="569"/>
      <c r="U72" s="569"/>
      <c r="V72" s="569"/>
      <c r="W72" s="569"/>
      <c r="X72" s="569"/>
      <c r="Y72" s="569"/>
      <c r="Z72" s="569"/>
      <c r="AA72" s="569"/>
      <c r="AB72" s="569"/>
      <c r="AC72" s="569"/>
      <c r="AD72" s="569"/>
      <c r="AE72" s="569"/>
      <c r="AF72">
        <v>72</v>
      </c>
      <c r="AG72" s="438" t="str">
        <f>IF(INDEX(D:AE,AF72,ADP!$AF$6)=0,"",INDEX(D:AE,AF72,ADP!$AF$6)+AH72)</f>
        <v/>
      </c>
      <c r="AH72">
        <f t="shared" si="1"/>
        <v>7.0999999999999896E-5</v>
      </c>
    </row>
    <row r="73" spans="1:34" ht="15.75" thickBot="1" x14ac:dyDescent="0.3">
      <c r="A73" s="569" t="s">
        <v>228</v>
      </c>
      <c r="B73" s="569" t="s">
        <v>136</v>
      </c>
      <c r="C73" s="569" t="s">
        <v>7</v>
      </c>
      <c r="D73" s="569">
        <v>4.0999999999999996</v>
      </c>
      <c r="E73" s="569">
        <v>1.4</v>
      </c>
      <c r="F73" s="569">
        <v>5</v>
      </c>
      <c r="G73" s="569">
        <v>1.8</v>
      </c>
      <c r="H73" s="569">
        <v>6</v>
      </c>
      <c r="I73" s="569">
        <v>1.9</v>
      </c>
      <c r="J73" s="569">
        <v>4.0999999999999996</v>
      </c>
      <c r="K73" s="569">
        <v>1.4</v>
      </c>
      <c r="L73" s="569">
        <v>5</v>
      </c>
      <c r="M73" s="569">
        <v>1.8</v>
      </c>
      <c r="N73" s="569">
        <v>6</v>
      </c>
      <c r="O73" s="569">
        <v>1.9</v>
      </c>
      <c r="P73" s="569">
        <v>8.8000000000000007</v>
      </c>
      <c r="Q73" s="569">
        <v>2.8</v>
      </c>
      <c r="R73" s="569">
        <v>4.0999999999999996</v>
      </c>
      <c r="S73" s="569">
        <v>1.4</v>
      </c>
      <c r="T73" s="569">
        <v>5</v>
      </c>
      <c r="U73" s="569">
        <v>1.8</v>
      </c>
      <c r="V73" s="569">
        <v>6</v>
      </c>
      <c r="W73" s="569">
        <v>1.9</v>
      </c>
      <c r="X73" s="569">
        <v>8.8000000000000007</v>
      </c>
      <c r="Y73" s="569">
        <v>2.8</v>
      </c>
      <c r="Z73" s="569">
        <v>4.0999999999999996</v>
      </c>
      <c r="AA73" s="569">
        <v>1.4</v>
      </c>
      <c r="AB73" s="569">
        <v>5</v>
      </c>
      <c r="AC73" s="569">
        <v>1.8</v>
      </c>
      <c r="AD73" s="569">
        <v>6</v>
      </c>
      <c r="AE73" s="569">
        <v>6</v>
      </c>
      <c r="AF73">
        <v>73</v>
      </c>
      <c r="AG73" s="438">
        <f>IF(INDEX(D:AE,AF73,ADP!$AF$6)=0,"",INDEX(D:AE,AF73,ADP!$AF$6)+AH73)</f>
        <v>6.0000720000000003</v>
      </c>
      <c r="AH73">
        <f t="shared" si="1"/>
        <v>7.1999999999999893E-5</v>
      </c>
    </row>
    <row r="74" spans="1:34" ht="15.75" thickBot="1" x14ac:dyDescent="0.3">
      <c r="A74" s="569" t="s">
        <v>1890</v>
      </c>
      <c r="B74" s="569" t="s">
        <v>141</v>
      </c>
      <c r="C74" s="569" t="s">
        <v>3</v>
      </c>
      <c r="D74" s="569"/>
      <c r="E74" s="569"/>
      <c r="F74" s="569"/>
      <c r="G74" s="569"/>
      <c r="H74" s="569"/>
      <c r="I74" s="569"/>
      <c r="J74" s="569"/>
      <c r="K74" s="569"/>
      <c r="L74" s="569"/>
      <c r="M74" s="569"/>
      <c r="N74" s="569"/>
      <c r="O74" s="569"/>
      <c r="P74" s="569"/>
      <c r="Q74" s="569"/>
      <c r="R74" s="569"/>
      <c r="S74" s="569"/>
      <c r="T74" s="569"/>
      <c r="U74" s="569"/>
      <c r="V74" s="569"/>
      <c r="W74" s="569"/>
      <c r="X74" s="569"/>
      <c r="Y74" s="569"/>
      <c r="Z74" s="569"/>
      <c r="AA74" s="569"/>
      <c r="AB74" s="569"/>
      <c r="AC74" s="569"/>
      <c r="AD74" s="569"/>
      <c r="AE74" s="569"/>
      <c r="AF74">
        <v>74</v>
      </c>
      <c r="AG74" s="438" t="str">
        <f>IF(INDEX(D:AE,AF74,ADP!$AF$6)=0,"",INDEX(D:AE,AF74,ADP!$AF$6)+AH74)</f>
        <v/>
      </c>
      <c r="AH74">
        <f t="shared" si="1"/>
        <v>7.2999999999999891E-5</v>
      </c>
    </row>
    <row r="75" spans="1:34" ht="15.75" thickBot="1" x14ac:dyDescent="0.3">
      <c r="A75" s="569" t="s">
        <v>2173</v>
      </c>
      <c r="B75" s="569" t="s">
        <v>165</v>
      </c>
      <c r="C75" s="569" t="s">
        <v>3</v>
      </c>
      <c r="D75" s="569">
        <v>28.6</v>
      </c>
      <c r="E75" s="569">
        <v>3.9</v>
      </c>
      <c r="F75" s="569">
        <v>27.5</v>
      </c>
      <c r="G75" s="569">
        <v>3.9</v>
      </c>
      <c r="H75" s="569">
        <v>35</v>
      </c>
      <c r="I75" s="569">
        <v>5</v>
      </c>
      <c r="J75" s="569">
        <v>28.6</v>
      </c>
      <c r="K75" s="569">
        <v>3.9</v>
      </c>
      <c r="L75" s="569">
        <v>27.5</v>
      </c>
      <c r="M75" s="569">
        <v>3.9</v>
      </c>
      <c r="N75" s="569">
        <v>35</v>
      </c>
      <c r="O75" s="569">
        <v>5</v>
      </c>
      <c r="P75" s="569">
        <v>33</v>
      </c>
      <c r="Q75" s="569">
        <v>4</v>
      </c>
      <c r="R75" s="569">
        <v>28.6</v>
      </c>
      <c r="S75" s="569">
        <v>3.9</v>
      </c>
      <c r="T75" s="569">
        <v>27.5</v>
      </c>
      <c r="U75" s="569">
        <v>3.9</v>
      </c>
      <c r="V75" s="569">
        <v>35</v>
      </c>
      <c r="W75" s="569">
        <v>5</v>
      </c>
      <c r="X75" s="569">
        <v>33</v>
      </c>
      <c r="Y75" s="569">
        <v>4</v>
      </c>
      <c r="Z75" s="569">
        <v>28.6</v>
      </c>
      <c r="AA75" s="569">
        <v>3.9</v>
      </c>
      <c r="AB75" s="569">
        <v>27.5</v>
      </c>
      <c r="AC75" s="569">
        <v>3.9</v>
      </c>
      <c r="AD75" s="569">
        <v>35</v>
      </c>
      <c r="AE75" s="569">
        <v>35</v>
      </c>
      <c r="AF75">
        <v>75</v>
      </c>
      <c r="AG75" s="438">
        <f>IF(INDEX(D:AE,AF75,ADP!$AF$6)=0,"",INDEX(D:AE,AF75,ADP!$AF$6)+AH75)</f>
        <v>35.000073999999998</v>
      </c>
      <c r="AH75">
        <f t="shared" si="1"/>
        <v>7.3999999999999888E-5</v>
      </c>
    </row>
    <row r="76" spans="1:34" ht="15.75" thickBot="1" x14ac:dyDescent="0.3">
      <c r="A76" s="569" t="s">
        <v>1881</v>
      </c>
      <c r="B76" s="569" t="s">
        <v>146</v>
      </c>
      <c r="C76" s="569" t="s">
        <v>3</v>
      </c>
      <c r="D76" s="574">
        <v>15.5</v>
      </c>
      <c r="E76" s="574">
        <v>2.9</v>
      </c>
      <c r="F76" s="574">
        <v>13.5</v>
      </c>
      <c r="G76" s="574">
        <v>2.7</v>
      </c>
      <c r="H76" s="574">
        <v>15.4</v>
      </c>
      <c r="I76" s="574">
        <v>2.7</v>
      </c>
      <c r="J76" s="574">
        <v>15.5</v>
      </c>
      <c r="K76" s="574">
        <v>2.9</v>
      </c>
      <c r="L76" s="574">
        <v>13.5</v>
      </c>
      <c r="M76" s="574">
        <v>2.7</v>
      </c>
      <c r="N76" s="574">
        <v>15.4</v>
      </c>
      <c r="O76" s="574">
        <v>2.7</v>
      </c>
      <c r="P76" s="569">
        <v>27.6</v>
      </c>
      <c r="Q76" s="569">
        <v>4.4000000000000004</v>
      </c>
      <c r="R76" s="574">
        <v>15.5</v>
      </c>
      <c r="S76" s="574">
        <v>2.9</v>
      </c>
      <c r="T76" s="574">
        <v>13.5</v>
      </c>
      <c r="U76" s="574">
        <v>2.7</v>
      </c>
      <c r="V76" s="574">
        <v>15.4</v>
      </c>
      <c r="W76" s="574">
        <v>2.7</v>
      </c>
      <c r="X76" s="569">
        <v>27.6</v>
      </c>
      <c r="Y76" s="569">
        <v>4.4000000000000004</v>
      </c>
      <c r="Z76" s="574">
        <v>15.5</v>
      </c>
      <c r="AA76" s="574">
        <v>2.9</v>
      </c>
      <c r="AB76" s="574">
        <v>13.5</v>
      </c>
      <c r="AC76" s="574">
        <v>2.7</v>
      </c>
      <c r="AD76" s="574">
        <v>15.4</v>
      </c>
      <c r="AE76" s="574">
        <v>15.4</v>
      </c>
      <c r="AF76">
        <v>76</v>
      </c>
      <c r="AG76" s="438">
        <f>IF(INDEX(D:AE,AF76,ADP!$AF$6)=0,"",INDEX(D:AE,AF76,ADP!$AF$6)+AH76)</f>
        <v>15.400075000000001</v>
      </c>
      <c r="AH76">
        <f t="shared" si="1"/>
        <v>7.4999999999999885E-5</v>
      </c>
    </row>
    <row r="77" spans="1:34" ht="15.75" thickBot="1" x14ac:dyDescent="0.3">
      <c r="A77" s="569" t="s">
        <v>2194</v>
      </c>
      <c r="B77" s="569" t="s">
        <v>144</v>
      </c>
      <c r="C77" s="569" t="s">
        <v>3</v>
      </c>
      <c r="D77" s="574"/>
      <c r="E77" s="574"/>
      <c r="F77" s="574"/>
      <c r="G77" s="574"/>
      <c r="H77" s="574"/>
      <c r="I77" s="574"/>
      <c r="J77" s="574"/>
      <c r="K77" s="574"/>
      <c r="L77" s="574"/>
      <c r="M77" s="574"/>
      <c r="N77" s="574"/>
      <c r="O77" s="574"/>
      <c r="P77" s="574"/>
      <c r="Q77" s="574"/>
      <c r="R77" s="574"/>
      <c r="S77" s="574"/>
      <c r="T77" s="574"/>
      <c r="U77" s="574"/>
      <c r="V77" s="574"/>
      <c r="W77" s="574"/>
      <c r="X77" s="574"/>
      <c r="Y77" s="574"/>
      <c r="Z77" s="574"/>
      <c r="AA77" s="574"/>
      <c r="AB77" s="574"/>
      <c r="AC77" s="574"/>
      <c r="AD77" s="574"/>
      <c r="AE77" s="574"/>
      <c r="AF77">
        <v>77</v>
      </c>
      <c r="AG77" s="438" t="str">
        <f>IF(INDEX(D:AE,AF77,ADP!$AF$6)=0,"",INDEX(D:AE,AF77,ADP!$AF$6)+AH77)</f>
        <v/>
      </c>
      <c r="AH77">
        <f t="shared" si="1"/>
        <v>7.5999999999999882E-5</v>
      </c>
    </row>
    <row r="78" spans="1:34" ht="15.75" thickBot="1" x14ac:dyDescent="0.3">
      <c r="A78" s="569" t="s">
        <v>2252</v>
      </c>
      <c r="B78" s="569" t="s">
        <v>159</v>
      </c>
      <c r="C78" s="569" t="s">
        <v>7</v>
      </c>
      <c r="D78" s="569"/>
      <c r="E78" s="569"/>
      <c r="F78" s="569"/>
      <c r="G78" s="569"/>
      <c r="H78" s="569"/>
      <c r="I78" s="569"/>
      <c r="J78" s="569"/>
      <c r="K78" s="569"/>
      <c r="L78" s="569"/>
      <c r="M78" s="569"/>
      <c r="N78" s="569"/>
      <c r="O78" s="569"/>
      <c r="P78" s="569"/>
      <c r="Q78" s="569"/>
      <c r="R78" s="569"/>
      <c r="S78" s="569"/>
      <c r="T78" s="569"/>
      <c r="U78" s="569"/>
      <c r="V78" s="569"/>
      <c r="W78" s="569"/>
      <c r="X78" s="569"/>
      <c r="Y78" s="569"/>
      <c r="Z78" s="569"/>
      <c r="AA78" s="569"/>
      <c r="AB78" s="569"/>
      <c r="AC78" s="569"/>
      <c r="AD78" s="569"/>
      <c r="AE78" s="569"/>
      <c r="AF78">
        <v>78</v>
      </c>
      <c r="AG78" s="438" t="str">
        <f>IF(INDEX(D:AE,AF78,ADP!$AF$6)=0,"",INDEX(D:AE,AF78,ADP!$AF$6)+AH78)</f>
        <v/>
      </c>
      <c r="AH78">
        <f t="shared" si="1"/>
        <v>7.6999999999999879E-5</v>
      </c>
    </row>
    <row r="79" spans="1:34" ht="15.75" thickBot="1" x14ac:dyDescent="0.3">
      <c r="A79" s="569" t="s">
        <v>2251</v>
      </c>
      <c r="B79" s="569" t="s">
        <v>154</v>
      </c>
      <c r="C79" s="569" t="s">
        <v>7</v>
      </c>
      <c r="D79" s="569"/>
      <c r="E79" s="569"/>
      <c r="F79" s="569"/>
      <c r="G79" s="569"/>
      <c r="H79" s="569"/>
      <c r="I79" s="569"/>
      <c r="J79" s="569"/>
      <c r="K79" s="569"/>
      <c r="L79" s="569"/>
      <c r="M79" s="569"/>
      <c r="N79" s="569"/>
      <c r="O79" s="569"/>
      <c r="P79" s="569"/>
      <c r="Q79" s="569"/>
      <c r="R79" s="569"/>
      <c r="S79" s="569"/>
      <c r="T79" s="569"/>
      <c r="U79" s="569"/>
      <c r="V79" s="569"/>
      <c r="W79" s="569"/>
      <c r="X79" s="569"/>
      <c r="Y79" s="569"/>
      <c r="Z79" s="569"/>
      <c r="AA79" s="569"/>
      <c r="AB79" s="569"/>
      <c r="AC79" s="569"/>
      <c r="AD79" s="569"/>
      <c r="AE79" s="569"/>
      <c r="AF79">
        <v>79</v>
      </c>
      <c r="AG79" s="438" t="str">
        <f>IF(INDEX(D:AE,AF79,ADP!$AF$6)=0,"",INDEX(D:AE,AF79,ADP!$AF$6)+AH79)</f>
        <v/>
      </c>
      <c r="AH79">
        <f t="shared" si="1"/>
        <v>7.7999999999999877E-5</v>
      </c>
    </row>
    <row r="80" spans="1:34" ht="15.75" thickBot="1" x14ac:dyDescent="0.3">
      <c r="A80" s="569" t="s">
        <v>2401</v>
      </c>
      <c r="B80" s="569" t="s">
        <v>154</v>
      </c>
      <c r="C80" s="569" t="s">
        <v>1</v>
      </c>
      <c r="D80" s="569"/>
      <c r="E80" s="569"/>
      <c r="F80" s="569"/>
      <c r="G80" s="569"/>
      <c r="H80" s="569"/>
      <c r="I80" s="569"/>
      <c r="J80" s="569"/>
      <c r="K80" s="569"/>
      <c r="L80" s="569"/>
      <c r="M80" s="569"/>
      <c r="N80" s="569"/>
      <c r="O80" s="569"/>
      <c r="P80" s="569"/>
      <c r="Q80" s="569"/>
      <c r="R80" s="569"/>
      <c r="S80" s="569"/>
      <c r="T80" s="569"/>
      <c r="U80" s="569"/>
      <c r="V80" s="569"/>
      <c r="W80" s="569"/>
      <c r="X80" s="569"/>
      <c r="Y80" s="569"/>
      <c r="Z80" s="569"/>
      <c r="AA80" s="569"/>
      <c r="AB80" s="569"/>
      <c r="AC80" s="569"/>
      <c r="AD80" s="569"/>
      <c r="AE80" s="569"/>
      <c r="AF80">
        <v>80</v>
      </c>
      <c r="AG80" s="438" t="str">
        <f>IF(INDEX(D:AE,AF80,ADP!$AF$6)=0,"",INDEX(D:AE,AF80,ADP!$AF$6)+AH80)</f>
        <v/>
      </c>
      <c r="AH80">
        <f t="shared" si="1"/>
        <v>7.8999999999999874E-5</v>
      </c>
    </row>
    <row r="81" spans="1:34" ht="15.75" thickBot="1" x14ac:dyDescent="0.3">
      <c r="A81" s="569" t="s">
        <v>1862</v>
      </c>
      <c r="B81" s="569" t="s">
        <v>138</v>
      </c>
      <c r="C81" s="569" t="s">
        <v>7</v>
      </c>
      <c r="D81" s="569">
        <v>42.6</v>
      </c>
      <c r="E81" s="569">
        <v>6.1</v>
      </c>
      <c r="F81" s="569">
        <v>51.5</v>
      </c>
      <c r="G81" s="569">
        <v>7.1</v>
      </c>
      <c r="H81" s="569">
        <v>43.3</v>
      </c>
      <c r="I81" s="569">
        <v>5.7</v>
      </c>
      <c r="J81" s="569">
        <v>42.6</v>
      </c>
      <c r="K81" s="569">
        <v>6.1</v>
      </c>
      <c r="L81" s="569">
        <v>51.5</v>
      </c>
      <c r="M81" s="569">
        <v>7.1</v>
      </c>
      <c r="N81" s="569">
        <v>43.3</v>
      </c>
      <c r="O81" s="569">
        <v>5.7</v>
      </c>
      <c r="P81" s="569">
        <v>45.8</v>
      </c>
      <c r="Q81" s="569">
        <v>6</v>
      </c>
      <c r="R81" s="569">
        <v>42.6</v>
      </c>
      <c r="S81" s="569">
        <v>6.1</v>
      </c>
      <c r="T81" s="569">
        <v>51.5</v>
      </c>
      <c r="U81" s="569">
        <v>7.1</v>
      </c>
      <c r="V81" s="569">
        <v>43.3</v>
      </c>
      <c r="W81" s="569">
        <v>5.7</v>
      </c>
      <c r="X81" s="569">
        <v>45.8</v>
      </c>
      <c r="Y81" s="569">
        <v>6</v>
      </c>
      <c r="Z81" s="569">
        <v>42.6</v>
      </c>
      <c r="AA81" s="569">
        <v>6.1</v>
      </c>
      <c r="AB81" s="569">
        <v>51.5</v>
      </c>
      <c r="AC81" s="569">
        <v>7.1</v>
      </c>
      <c r="AD81" s="569">
        <v>43.3</v>
      </c>
      <c r="AE81" s="569">
        <v>43.3</v>
      </c>
      <c r="AF81">
        <v>81</v>
      </c>
      <c r="AG81" s="438">
        <f>IF(INDEX(D:AE,AF81,ADP!$AF$6)=0,"",INDEX(D:AE,AF81,ADP!$AF$6)+AH81)</f>
        <v>43.300079999999994</v>
      </c>
      <c r="AH81">
        <f t="shared" si="1"/>
        <v>7.9999999999999871E-5</v>
      </c>
    </row>
    <row r="82" spans="1:34" ht="15.75" thickBot="1" x14ac:dyDescent="0.3">
      <c r="A82" s="569" t="s">
        <v>2402</v>
      </c>
      <c r="B82" s="569" t="s">
        <v>165</v>
      </c>
      <c r="C82" s="569" t="s">
        <v>6</v>
      </c>
      <c r="D82" s="574"/>
      <c r="E82" s="574"/>
      <c r="F82" s="574"/>
      <c r="G82" s="574"/>
      <c r="H82" s="574"/>
      <c r="I82" s="574"/>
      <c r="J82" s="574"/>
      <c r="K82" s="574"/>
      <c r="L82" s="574"/>
      <c r="M82" s="574"/>
      <c r="N82" s="574"/>
      <c r="O82" s="574"/>
      <c r="P82" s="574"/>
      <c r="Q82" s="574"/>
      <c r="R82" s="574"/>
      <c r="S82" s="574"/>
      <c r="T82" s="574"/>
      <c r="U82" s="574"/>
      <c r="V82" s="574"/>
      <c r="W82" s="574"/>
      <c r="X82" s="574"/>
      <c r="Y82" s="574"/>
      <c r="Z82" s="574"/>
      <c r="AA82" s="574"/>
      <c r="AB82" s="574"/>
      <c r="AC82" s="574"/>
      <c r="AD82" s="574"/>
      <c r="AE82" s="574"/>
      <c r="AF82">
        <v>82</v>
      </c>
      <c r="AG82" s="438" t="str">
        <f>IF(INDEX(D:AE,AF82,ADP!$AF$6)=0,"",INDEX(D:AE,AF82,ADP!$AF$6)+AH82)</f>
        <v/>
      </c>
      <c r="AH82">
        <f t="shared" si="1"/>
        <v>8.0999999999999868E-5</v>
      </c>
    </row>
    <row r="83" spans="1:34" ht="15.75" thickBot="1" x14ac:dyDescent="0.3">
      <c r="A83" s="569" t="s">
        <v>1878</v>
      </c>
      <c r="B83" s="569" t="s">
        <v>152</v>
      </c>
      <c r="C83" s="569" t="s">
        <v>6</v>
      </c>
      <c r="D83" s="569">
        <v>47.2</v>
      </c>
      <c r="E83" s="569">
        <v>5.3</v>
      </c>
      <c r="F83" s="569">
        <v>50.6</v>
      </c>
      <c r="G83" s="569">
        <v>4.8</v>
      </c>
      <c r="H83" s="569">
        <v>49.2</v>
      </c>
      <c r="I83" s="569">
        <v>5.2</v>
      </c>
      <c r="J83" s="569">
        <v>47.2</v>
      </c>
      <c r="K83" s="569">
        <v>5.3</v>
      </c>
      <c r="L83" s="569">
        <v>50.6</v>
      </c>
      <c r="M83" s="569">
        <v>4.8</v>
      </c>
      <c r="N83" s="569">
        <v>49.2</v>
      </c>
      <c r="O83" s="569">
        <v>5.2</v>
      </c>
      <c r="P83" s="569">
        <v>70.599999999999994</v>
      </c>
      <c r="Q83" s="569">
        <v>6.5</v>
      </c>
      <c r="R83" s="569">
        <v>47.2</v>
      </c>
      <c r="S83" s="569">
        <v>5.3</v>
      </c>
      <c r="T83" s="569">
        <v>50.6</v>
      </c>
      <c r="U83" s="569">
        <v>4.8</v>
      </c>
      <c r="V83" s="569">
        <v>49.2</v>
      </c>
      <c r="W83" s="569">
        <v>5.2</v>
      </c>
      <c r="X83" s="569">
        <v>70.599999999999994</v>
      </c>
      <c r="Y83" s="569">
        <v>6.5</v>
      </c>
      <c r="Z83" s="569">
        <v>47.2</v>
      </c>
      <c r="AA83" s="569">
        <v>5.3</v>
      </c>
      <c r="AB83" s="569">
        <v>50.6</v>
      </c>
      <c r="AC83" s="569">
        <v>4.8</v>
      </c>
      <c r="AD83" s="569">
        <v>49.2</v>
      </c>
      <c r="AE83" s="569">
        <v>49.2</v>
      </c>
      <c r="AF83">
        <v>83</v>
      </c>
      <c r="AG83" s="438">
        <f>IF(INDEX(D:AE,AF83,ADP!$AF$6)=0,"",INDEX(D:AE,AF83,ADP!$AF$6)+AH83)</f>
        <v>49.200082000000002</v>
      </c>
      <c r="AH83">
        <f t="shared" si="1"/>
        <v>8.1999999999999865E-5</v>
      </c>
    </row>
    <row r="84" spans="1:34" ht="15.75" thickBot="1" x14ac:dyDescent="0.3">
      <c r="A84" s="569" t="s">
        <v>2200</v>
      </c>
      <c r="B84" s="569" t="s">
        <v>159</v>
      </c>
      <c r="C84" s="569" t="s">
        <v>6</v>
      </c>
      <c r="D84" s="569"/>
      <c r="E84" s="569"/>
      <c r="F84" s="569"/>
      <c r="G84" s="569"/>
      <c r="H84" s="569"/>
      <c r="I84" s="569"/>
      <c r="J84" s="569"/>
      <c r="K84" s="569"/>
      <c r="L84" s="569"/>
      <c r="M84" s="569"/>
      <c r="N84" s="569"/>
      <c r="O84" s="569"/>
      <c r="P84" s="569"/>
      <c r="Q84" s="569"/>
      <c r="R84" s="569"/>
      <c r="S84" s="569"/>
      <c r="T84" s="569"/>
      <c r="U84" s="569"/>
      <c r="V84" s="569"/>
      <c r="W84" s="569"/>
      <c r="X84" s="569"/>
      <c r="Y84" s="569"/>
      <c r="Z84" s="569"/>
      <c r="AA84" s="569"/>
      <c r="AB84" s="569"/>
      <c r="AC84" s="569"/>
      <c r="AD84" s="569"/>
      <c r="AE84" s="569"/>
      <c r="AF84">
        <v>84</v>
      </c>
      <c r="AG84" s="438" t="str">
        <f>IF(INDEX(D:AE,AF84,ADP!$AF$6)=0,"",INDEX(D:AE,AF84,ADP!$AF$6)+AH84)</f>
        <v/>
      </c>
      <c r="AH84">
        <f t="shared" si="1"/>
        <v>8.2999999999999863E-5</v>
      </c>
    </row>
    <row r="85" spans="1:34" ht="15.75" thickBot="1" x14ac:dyDescent="0.3">
      <c r="A85" s="569" t="s">
        <v>163</v>
      </c>
      <c r="B85" s="569" t="s">
        <v>163</v>
      </c>
      <c r="C85" s="569" t="s">
        <v>160</v>
      </c>
      <c r="D85" s="574"/>
      <c r="E85" s="574"/>
      <c r="F85" s="574"/>
      <c r="G85" s="574"/>
      <c r="H85" s="574"/>
      <c r="I85" s="574"/>
      <c r="J85" s="574"/>
      <c r="K85" s="574"/>
      <c r="L85" s="574"/>
      <c r="M85" s="574"/>
      <c r="N85" s="574"/>
      <c r="O85" s="574"/>
      <c r="P85" s="574"/>
      <c r="Q85" s="574"/>
      <c r="R85" s="574"/>
      <c r="S85" s="574"/>
      <c r="T85" s="574"/>
      <c r="U85" s="574"/>
      <c r="V85" s="574"/>
      <c r="W85" s="574"/>
      <c r="X85" s="574"/>
      <c r="Y85" s="574"/>
      <c r="Z85" s="574"/>
      <c r="AA85" s="574"/>
      <c r="AB85" s="574"/>
      <c r="AC85" s="574"/>
      <c r="AD85" s="574"/>
      <c r="AE85" s="574"/>
      <c r="AF85">
        <v>85</v>
      </c>
      <c r="AG85" s="438" t="str">
        <f>IF(INDEX(D:AE,AF85,ADP!$AF$6)=0,"",INDEX(D:AE,AF85,ADP!$AF$6)+AH85)</f>
        <v/>
      </c>
      <c r="AH85">
        <f t="shared" si="1"/>
        <v>8.399999999999986E-5</v>
      </c>
    </row>
    <row r="86" spans="1:34" ht="15.75" thickBot="1" x14ac:dyDescent="0.3">
      <c r="A86" s="569" t="s">
        <v>2092</v>
      </c>
      <c r="B86" s="569" t="s">
        <v>145</v>
      </c>
      <c r="C86" s="569" t="s">
        <v>6</v>
      </c>
      <c r="D86" s="574">
        <v>25.5</v>
      </c>
      <c r="E86" s="574">
        <v>2.8</v>
      </c>
      <c r="F86" s="574">
        <v>27.5</v>
      </c>
      <c r="G86" s="574">
        <v>3.4</v>
      </c>
      <c r="H86" s="569">
        <v>26.4</v>
      </c>
      <c r="I86" s="569">
        <v>3.5</v>
      </c>
      <c r="J86" s="574">
        <v>25.5</v>
      </c>
      <c r="K86" s="574">
        <v>2.8</v>
      </c>
      <c r="L86" s="574">
        <v>27.5</v>
      </c>
      <c r="M86" s="574">
        <v>3.4</v>
      </c>
      <c r="N86" s="569">
        <v>26.4</v>
      </c>
      <c r="O86" s="569">
        <v>3.5</v>
      </c>
      <c r="P86" s="574">
        <v>31.3</v>
      </c>
      <c r="Q86" s="574">
        <v>3.6</v>
      </c>
      <c r="R86" s="574">
        <v>25.5</v>
      </c>
      <c r="S86" s="574">
        <v>2.8</v>
      </c>
      <c r="T86" s="574">
        <v>27.5</v>
      </c>
      <c r="U86" s="574">
        <v>3.4</v>
      </c>
      <c r="V86" s="569">
        <v>26.4</v>
      </c>
      <c r="W86" s="569">
        <v>3.5</v>
      </c>
      <c r="X86" s="574">
        <v>31.3</v>
      </c>
      <c r="Y86" s="574">
        <v>3.6</v>
      </c>
      <c r="Z86" s="574">
        <v>25.5</v>
      </c>
      <c r="AA86" s="574">
        <v>2.8</v>
      </c>
      <c r="AB86" s="574">
        <v>27.5</v>
      </c>
      <c r="AC86" s="574">
        <v>3.4</v>
      </c>
      <c r="AD86" s="569">
        <v>26.4</v>
      </c>
      <c r="AE86" s="569">
        <v>26.4</v>
      </c>
      <c r="AF86">
        <v>86</v>
      </c>
      <c r="AG86" s="438">
        <f>IF(INDEX(D:AE,AF86,ADP!$AF$6)=0,"",INDEX(D:AE,AF86,ADP!$AF$6)+AH86)</f>
        <v>26.400084999999997</v>
      </c>
      <c r="AH86">
        <f t="shared" si="1"/>
        <v>8.4999999999999857E-5</v>
      </c>
    </row>
    <row r="87" spans="1:34" ht="15.75" thickBot="1" x14ac:dyDescent="0.3">
      <c r="A87" s="569" t="s">
        <v>73</v>
      </c>
      <c r="B87" s="569" t="s">
        <v>142</v>
      </c>
      <c r="C87" s="569" t="s">
        <v>1</v>
      </c>
      <c r="D87" s="569"/>
      <c r="E87" s="569"/>
      <c r="F87" s="569"/>
      <c r="G87" s="569"/>
      <c r="H87" s="569"/>
      <c r="I87" s="569"/>
      <c r="J87" s="569"/>
      <c r="K87" s="569"/>
      <c r="L87" s="569"/>
      <c r="M87" s="569"/>
      <c r="N87" s="569"/>
      <c r="O87" s="569"/>
      <c r="P87" s="569"/>
      <c r="Q87" s="569"/>
      <c r="R87" s="569"/>
      <c r="S87" s="569"/>
      <c r="T87" s="569"/>
      <c r="U87" s="569"/>
      <c r="V87" s="569"/>
      <c r="W87" s="569"/>
      <c r="X87" s="569"/>
      <c r="Y87" s="569"/>
      <c r="Z87" s="569"/>
      <c r="AA87" s="569"/>
      <c r="AB87" s="569"/>
      <c r="AC87" s="569"/>
      <c r="AD87" s="569"/>
      <c r="AE87" s="569"/>
      <c r="AF87">
        <v>87</v>
      </c>
      <c r="AG87" s="438" t="str">
        <f>IF(INDEX(D:AE,AF87,ADP!$AF$6)=0,"",INDEX(D:AE,AF87,ADP!$AF$6)+AH87)</f>
        <v/>
      </c>
      <c r="AH87">
        <f t="shared" si="1"/>
        <v>8.5999999999999854E-5</v>
      </c>
    </row>
    <row r="88" spans="1:34" ht="15.75" thickBot="1" x14ac:dyDescent="0.3">
      <c r="A88" s="569" t="s">
        <v>2368</v>
      </c>
      <c r="B88" s="569" t="s">
        <v>151</v>
      </c>
      <c r="C88" s="569" t="s">
        <v>7</v>
      </c>
      <c r="D88" s="574"/>
      <c r="E88" s="574"/>
      <c r="F88" s="574"/>
      <c r="G88" s="574"/>
      <c r="H88" s="574"/>
      <c r="I88" s="574"/>
      <c r="J88" s="574"/>
      <c r="K88" s="574"/>
      <c r="L88" s="574"/>
      <c r="M88" s="574"/>
      <c r="N88" s="574"/>
      <c r="O88" s="574"/>
      <c r="P88" s="569"/>
      <c r="Q88" s="569"/>
      <c r="R88" s="574"/>
      <c r="S88" s="574"/>
      <c r="T88" s="574"/>
      <c r="U88" s="574"/>
      <c r="V88" s="574"/>
      <c r="W88" s="574"/>
      <c r="X88" s="569"/>
      <c r="Y88" s="569"/>
      <c r="Z88" s="574"/>
      <c r="AA88" s="574"/>
      <c r="AB88" s="574"/>
      <c r="AC88" s="574"/>
      <c r="AD88" s="574"/>
      <c r="AE88" s="574"/>
      <c r="AF88">
        <v>88</v>
      </c>
      <c r="AG88" s="438" t="str">
        <f>IF(INDEX(D:AE,AF88,ADP!$AF$6)=0,"",INDEX(D:AE,AF88,ADP!$AF$6)+AH88)</f>
        <v/>
      </c>
      <c r="AH88">
        <f t="shared" si="1"/>
        <v>8.6999999999999851E-5</v>
      </c>
    </row>
    <row r="89" spans="1:34" ht="15.75" thickBot="1" x14ac:dyDescent="0.3">
      <c r="A89" s="569"/>
      <c r="B89" s="569"/>
      <c r="C89" s="569"/>
      <c r="D89" s="569"/>
      <c r="E89" s="569"/>
      <c r="F89" s="569"/>
      <c r="G89" s="569"/>
      <c r="H89" s="569"/>
      <c r="I89" s="569"/>
      <c r="J89" s="569"/>
      <c r="K89" s="569"/>
      <c r="L89" s="569"/>
      <c r="M89" s="569"/>
      <c r="N89" s="569"/>
      <c r="O89" s="569"/>
      <c r="P89" s="569"/>
      <c r="Q89" s="569"/>
      <c r="R89" s="569"/>
      <c r="S89" s="569"/>
      <c r="T89" s="569"/>
      <c r="U89" s="569"/>
      <c r="V89" s="569"/>
      <c r="W89" s="569"/>
      <c r="X89" s="569"/>
      <c r="Y89" s="569"/>
      <c r="Z89" s="569"/>
      <c r="AA89" s="569"/>
      <c r="AB89" s="569"/>
      <c r="AC89" s="569"/>
      <c r="AD89" s="569"/>
      <c r="AE89" s="569"/>
      <c r="AF89">
        <v>89</v>
      </c>
      <c r="AG89" s="438" t="str">
        <f>IF(INDEX(D:AE,AF89,ADP!$AF$6)=0,"",INDEX(D:AE,AF89,ADP!$AF$6)+AH89)</f>
        <v/>
      </c>
      <c r="AH89">
        <f t="shared" si="1"/>
        <v>8.7999999999999849E-5</v>
      </c>
    </row>
    <row r="90" spans="1:34" ht="15.75" thickBot="1" x14ac:dyDescent="0.3">
      <c r="A90" s="569" t="s">
        <v>149</v>
      </c>
      <c r="B90" s="569" t="s">
        <v>149</v>
      </c>
      <c r="C90" s="569" t="s">
        <v>160</v>
      </c>
      <c r="D90" s="569">
        <v>150.80000000000001</v>
      </c>
      <c r="E90" s="569">
        <v>22.5</v>
      </c>
      <c r="F90" s="569"/>
      <c r="G90" s="569"/>
      <c r="H90" s="569"/>
      <c r="I90" s="569"/>
      <c r="J90" s="569">
        <v>150.80000000000001</v>
      </c>
      <c r="K90" s="569">
        <v>22.5</v>
      </c>
      <c r="L90" s="569"/>
      <c r="M90" s="569"/>
      <c r="N90" s="569"/>
      <c r="O90" s="569"/>
      <c r="P90" s="569"/>
      <c r="Q90" s="569"/>
      <c r="R90" s="569">
        <v>150.80000000000001</v>
      </c>
      <c r="S90" s="569">
        <v>22.5</v>
      </c>
      <c r="T90" s="569"/>
      <c r="U90" s="569"/>
      <c r="V90" s="569"/>
      <c r="W90" s="569"/>
      <c r="X90" s="569"/>
      <c r="Y90" s="569"/>
      <c r="Z90" s="569">
        <v>150.80000000000001</v>
      </c>
      <c r="AA90" s="569">
        <v>22.5</v>
      </c>
      <c r="AB90" s="569"/>
      <c r="AC90" s="569"/>
      <c r="AD90" s="569"/>
      <c r="AE90" s="569"/>
      <c r="AF90">
        <v>90</v>
      </c>
      <c r="AG90" s="438" t="str">
        <f>IF(INDEX(D:AE,AF90,ADP!$AF$6)=0,"",INDEX(D:AE,AF90,ADP!$AF$6)+AH90)</f>
        <v/>
      </c>
      <c r="AH90">
        <f t="shared" si="1"/>
        <v>8.8999999999999846E-5</v>
      </c>
    </row>
    <row r="91" spans="1:34" ht="15.75" thickBot="1" x14ac:dyDescent="0.3">
      <c r="A91" s="569" t="s">
        <v>1765</v>
      </c>
      <c r="B91" s="569" t="s">
        <v>143</v>
      </c>
      <c r="C91" s="569" t="s">
        <v>7</v>
      </c>
      <c r="D91" s="569">
        <v>147.5</v>
      </c>
      <c r="E91" s="569">
        <v>15.7</v>
      </c>
      <c r="F91" s="569"/>
      <c r="G91" s="569"/>
      <c r="H91" s="569">
        <v>162.80000000000001</v>
      </c>
      <c r="I91" s="569">
        <v>24.1</v>
      </c>
      <c r="J91" s="569">
        <v>147.5</v>
      </c>
      <c r="K91" s="569">
        <v>15.7</v>
      </c>
      <c r="L91" s="569"/>
      <c r="M91" s="569"/>
      <c r="N91" s="569">
        <v>162.80000000000001</v>
      </c>
      <c r="O91" s="569">
        <v>24.1</v>
      </c>
      <c r="P91" s="569"/>
      <c r="Q91" s="569"/>
      <c r="R91" s="569">
        <v>147.5</v>
      </c>
      <c r="S91" s="569">
        <v>15.7</v>
      </c>
      <c r="T91" s="569"/>
      <c r="U91" s="569"/>
      <c r="V91" s="569">
        <v>162.80000000000001</v>
      </c>
      <c r="W91" s="569">
        <v>24.1</v>
      </c>
      <c r="X91" s="569"/>
      <c r="Y91" s="569"/>
      <c r="Z91" s="569">
        <v>147.5</v>
      </c>
      <c r="AA91" s="569">
        <v>15.7</v>
      </c>
      <c r="AB91" s="569"/>
      <c r="AC91" s="569"/>
      <c r="AD91" s="569">
        <v>162.80000000000001</v>
      </c>
      <c r="AE91" s="569">
        <v>162.80000000000001</v>
      </c>
      <c r="AF91">
        <v>91</v>
      </c>
      <c r="AG91" s="438">
        <f>IF(INDEX(D:AE,AF91,ADP!$AF$6)=0,"",INDEX(D:AE,AF91,ADP!$AF$6)+AH91)</f>
        <v>162.80009000000001</v>
      </c>
      <c r="AH91">
        <f t="shared" si="1"/>
        <v>8.9999999999999843E-5</v>
      </c>
    </row>
    <row r="92" spans="1:34" ht="15.75" thickBot="1" x14ac:dyDescent="0.3">
      <c r="A92" s="569" t="s">
        <v>2161</v>
      </c>
      <c r="B92" s="569" t="s">
        <v>148</v>
      </c>
      <c r="C92" s="569" t="s">
        <v>1</v>
      </c>
      <c r="D92" s="569"/>
      <c r="E92" s="569"/>
      <c r="F92" s="569"/>
      <c r="G92" s="569"/>
      <c r="H92" s="569"/>
      <c r="I92" s="569"/>
      <c r="J92" s="569"/>
      <c r="K92" s="569"/>
      <c r="L92" s="569"/>
      <c r="M92" s="569"/>
      <c r="N92" s="569"/>
      <c r="O92" s="569"/>
      <c r="P92" s="569"/>
      <c r="Q92" s="569"/>
      <c r="R92" s="569"/>
      <c r="S92" s="569"/>
      <c r="T92" s="569"/>
      <c r="U92" s="569"/>
      <c r="V92" s="569"/>
      <c r="W92" s="569"/>
      <c r="X92" s="569"/>
      <c r="Y92" s="569"/>
      <c r="Z92" s="569"/>
      <c r="AA92" s="569"/>
      <c r="AB92" s="569"/>
      <c r="AC92" s="569"/>
      <c r="AD92" s="569"/>
      <c r="AE92" s="569"/>
      <c r="AF92">
        <v>92</v>
      </c>
      <c r="AG92" s="438" t="str">
        <f>IF(INDEX(D:AE,AF92,ADP!$AF$6)=0,"",INDEX(D:AE,AF92,ADP!$AF$6)+AH92)</f>
        <v/>
      </c>
      <c r="AH92">
        <f t="shared" si="1"/>
        <v>9.099999999999984E-5</v>
      </c>
    </row>
    <row r="93" spans="1:34" ht="15.75" thickBot="1" x14ac:dyDescent="0.3">
      <c r="A93" s="569" t="s">
        <v>2403</v>
      </c>
      <c r="B93" s="569" t="s">
        <v>137</v>
      </c>
      <c r="C93" s="569" t="s">
        <v>1</v>
      </c>
      <c r="D93" s="569"/>
      <c r="E93" s="569"/>
      <c r="F93" s="569"/>
      <c r="G93" s="569"/>
      <c r="H93" s="569"/>
      <c r="I93" s="569"/>
      <c r="J93" s="569"/>
      <c r="K93" s="569"/>
      <c r="L93" s="569"/>
      <c r="M93" s="569"/>
      <c r="N93" s="569"/>
      <c r="O93" s="569"/>
      <c r="P93" s="569"/>
      <c r="Q93" s="569"/>
      <c r="R93" s="569"/>
      <c r="S93" s="569"/>
      <c r="T93" s="569"/>
      <c r="U93" s="569"/>
      <c r="V93" s="569"/>
      <c r="W93" s="569"/>
      <c r="X93" s="569"/>
      <c r="Y93" s="569"/>
      <c r="Z93" s="569"/>
      <c r="AA93" s="569"/>
      <c r="AB93" s="569"/>
      <c r="AC93" s="569"/>
      <c r="AD93" s="569"/>
      <c r="AE93" s="569"/>
      <c r="AF93">
        <v>93</v>
      </c>
      <c r="AG93" s="438" t="str">
        <f>IF(INDEX(D:AE,AF93,ADP!$AF$6)=0,"",INDEX(D:AE,AF93,ADP!$AF$6)+AH93)</f>
        <v/>
      </c>
      <c r="AH93">
        <f t="shared" si="1"/>
        <v>9.1999999999999837E-5</v>
      </c>
    </row>
    <row r="94" spans="1:34" ht="15.75" thickBot="1" x14ac:dyDescent="0.3">
      <c r="A94" s="569" t="s">
        <v>2263</v>
      </c>
      <c r="B94" s="569" t="s">
        <v>145</v>
      </c>
      <c r="C94" s="569" t="s">
        <v>7</v>
      </c>
      <c r="D94" s="569"/>
      <c r="E94" s="569"/>
      <c r="F94" s="569"/>
      <c r="G94" s="569"/>
      <c r="H94" s="569"/>
      <c r="I94" s="569"/>
      <c r="J94" s="569"/>
      <c r="K94" s="569"/>
      <c r="L94" s="569"/>
      <c r="M94" s="569"/>
      <c r="N94" s="569"/>
      <c r="O94" s="569"/>
      <c r="P94" s="569"/>
      <c r="Q94" s="569"/>
      <c r="R94" s="569"/>
      <c r="S94" s="569"/>
      <c r="T94" s="569"/>
      <c r="U94" s="569"/>
      <c r="V94" s="569"/>
      <c r="W94" s="569"/>
      <c r="X94" s="569"/>
      <c r="Y94" s="569"/>
      <c r="Z94" s="569"/>
      <c r="AA94" s="569"/>
      <c r="AB94" s="569"/>
      <c r="AC94" s="569"/>
      <c r="AD94" s="569"/>
      <c r="AE94" s="569"/>
      <c r="AF94">
        <v>94</v>
      </c>
      <c r="AG94" s="438" t="str">
        <f>IF(INDEX(D:AE,AF94,ADP!$AF$6)=0,"",INDEX(D:AE,AF94,ADP!$AF$6)+AH94)</f>
        <v/>
      </c>
      <c r="AH94">
        <f t="shared" si="1"/>
        <v>9.2999999999999835E-5</v>
      </c>
    </row>
    <row r="95" spans="1:34" ht="15.75" thickBot="1" x14ac:dyDescent="0.3">
      <c r="A95" s="569" t="s">
        <v>2404</v>
      </c>
      <c r="B95" s="569" t="s">
        <v>166</v>
      </c>
      <c r="C95" s="569" t="s">
        <v>7</v>
      </c>
      <c r="D95" s="569"/>
      <c r="E95" s="569"/>
      <c r="F95" s="569"/>
      <c r="G95" s="569"/>
      <c r="H95" s="569"/>
      <c r="I95" s="569"/>
      <c r="J95" s="569"/>
      <c r="K95" s="569"/>
      <c r="L95" s="569"/>
      <c r="M95" s="569"/>
      <c r="N95" s="569"/>
      <c r="O95" s="569"/>
      <c r="P95" s="569"/>
      <c r="Q95" s="569"/>
      <c r="R95" s="569"/>
      <c r="S95" s="569"/>
      <c r="T95" s="569"/>
      <c r="U95" s="569"/>
      <c r="V95" s="569"/>
      <c r="W95" s="569"/>
      <c r="X95" s="569"/>
      <c r="Y95" s="569"/>
      <c r="Z95" s="569"/>
      <c r="AA95" s="569"/>
      <c r="AB95" s="569"/>
      <c r="AC95" s="569"/>
      <c r="AD95" s="569"/>
      <c r="AE95" s="569"/>
      <c r="AF95">
        <v>95</v>
      </c>
      <c r="AG95" s="438" t="str">
        <f>IF(INDEX(D:AE,AF95,ADP!$AF$6)=0,"",INDEX(D:AE,AF95,ADP!$AF$6)+AH95)</f>
        <v/>
      </c>
      <c r="AH95">
        <f t="shared" si="1"/>
        <v>9.3999999999999832E-5</v>
      </c>
    </row>
    <row r="96" spans="1:34" ht="15.75" thickBot="1" x14ac:dyDescent="0.3">
      <c r="A96" s="569" t="s">
        <v>2405</v>
      </c>
      <c r="B96" s="569" t="s">
        <v>1389</v>
      </c>
      <c r="C96" s="569" t="s">
        <v>11</v>
      </c>
      <c r="D96" s="569"/>
      <c r="E96" s="569"/>
      <c r="F96" s="569"/>
      <c r="G96" s="569"/>
      <c r="H96" s="569"/>
      <c r="I96" s="569"/>
      <c r="J96" s="569"/>
      <c r="K96" s="569"/>
      <c r="L96" s="569"/>
      <c r="M96" s="569"/>
      <c r="N96" s="569"/>
      <c r="O96" s="569"/>
      <c r="P96" s="569"/>
      <c r="Q96" s="569"/>
      <c r="R96" s="569"/>
      <c r="S96" s="569"/>
      <c r="T96" s="569"/>
      <c r="U96" s="569"/>
      <c r="V96" s="569"/>
      <c r="W96" s="569"/>
      <c r="X96" s="569"/>
      <c r="Y96" s="569"/>
      <c r="Z96" s="569"/>
      <c r="AA96" s="569"/>
      <c r="AB96" s="569"/>
      <c r="AC96" s="569"/>
      <c r="AD96" s="569"/>
      <c r="AE96" s="569"/>
      <c r="AF96">
        <v>96</v>
      </c>
      <c r="AG96" s="438" t="str">
        <f>IF(INDEX(D:AE,AF96,ADP!$AF$6)=0,"",INDEX(D:AE,AF96,ADP!$AF$6)+AH96)</f>
        <v/>
      </c>
      <c r="AH96">
        <f t="shared" si="1"/>
        <v>9.4999999999999829E-5</v>
      </c>
    </row>
    <row r="97" spans="1:34" ht="15.75" thickBot="1" x14ac:dyDescent="0.3">
      <c r="A97" s="569" t="s">
        <v>2406</v>
      </c>
      <c r="B97" s="569" t="s">
        <v>151</v>
      </c>
      <c r="C97" s="569" t="s">
        <v>6</v>
      </c>
      <c r="D97" s="569"/>
      <c r="E97" s="569"/>
      <c r="F97" s="569"/>
      <c r="G97" s="569"/>
      <c r="H97" s="569"/>
      <c r="I97" s="569"/>
      <c r="J97" s="569"/>
      <c r="K97" s="569"/>
      <c r="L97" s="569"/>
      <c r="M97" s="569"/>
      <c r="N97" s="569"/>
      <c r="O97" s="569"/>
      <c r="P97" s="569"/>
      <c r="Q97" s="569"/>
      <c r="R97" s="569"/>
      <c r="S97" s="569"/>
      <c r="T97" s="569"/>
      <c r="U97" s="569"/>
      <c r="V97" s="569"/>
      <c r="W97" s="569"/>
      <c r="X97" s="569"/>
      <c r="Y97" s="569"/>
      <c r="Z97" s="569"/>
      <c r="AA97" s="569"/>
      <c r="AB97" s="569"/>
      <c r="AC97" s="569"/>
      <c r="AD97" s="569"/>
      <c r="AE97" s="569"/>
      <c r="AF97">
        <v>97</v>
      </c>
      <c r="AG97" s="438" t="str">
        <f>IF(INDEX(D:AE,AF97,ADP!$AF$6)=0,"",INDEX(D:AE,AF97,ADP!$AF$6)+AH97)</f>
        <v/>
      </c>
      <c r="AH97">
        <f t="shared" si="1"/>
        <v>9.5999999999999826E-5</v>
      </c>
    </row>
    <row r="98" spans="1:34" ht="15.75" thickBot="1" x14ac:dyDescent="0.3">
      <c r="A98" s="569" t="s">
        <v>2407</v>
      </c>
      <c r="B98" s="569" t="s">
        <v>165</v>
      </c>
      <c r="C98" s="569" t="s">
        <v>3</v>
      </c>
      <c r="D98" s="574">
        <v>116.9</v>
      </c>
      <c r="E98" s="574">
        <v>10.6</v>
      </c>
      <c r="F98" s="574">
        <v>136.9</v>
      </c>
      <c r="G98" s="574">
        <v>13.6</v>
      </c>
      <c r="H98" s="574">
        <v>137.80000000000001</v>
      </c>
      <c r="I98" s="574">
        <v>13.8</v>
      </c>
      <c r="J98" s="574">
        <v>116.9</v>
      </c>
      <c r="K98" s="574">
        <v>10.6</v>
      </c>
      <c r="L98" s="574">
        <v>136.9</v>
      </c>
      <c r="M98" s="574">
        <v>13.6</v>
      </c>
      <c r="N98" s="574">
        <v>137.80000000000001</v>
      </c>
      <c r="O98" s="574">
        <v>13.8</v>
      </c>
      <c r="P98" s="574">
        <v>144.6</v>
      </c>
      <c r="Q98" s="574">
        <v>19.8</v>
      </c>
      <c r="R98" s="574">
        <v>116.9</v>
      </c>
      <c r="S98" s="574">
        <v>10.6</v>
      </c>
      <c r="T98" s="574">
        <v>136.9</v>
      </c>
      <c r="U98" s="574">
        <v>13.6</v>
      </c>
      <c r="V98" s="574">
        <v>137.80000000000001</v>
      </c>
      <c r="W98" s="574">
        <v>13.8</v>
      </c>
      <c r="X98" s="574">
        <v>144.6</v>
      </c>
      <c r="Y98" s="574">
        <v>19.8</v>
      </c>
      <c r="Z98" s="574">
        <v>116.9</v>
      </c>
      <c r="AA98" s="574">
        <v>10.6</v>
      </c>
      <c r="AB98" s="574">
        <v>136.9</v>
      </c>
      <c r="AC98" s="574">
        <v>13.6</v>
      </c>
      <c r="AD98" s="574">
        <v>137.80000000000001</v>
      </c>
      <c r="AE98" s="574">
        <v>137.80000000000001</v>
      </c>
      <c r="AF98">
        <v>98</v>
      </c>
      <c r="AG98" s="438">
        <f>IF(INDEX(D:AE,AF98,ADP!$AF$6)=0,"",INDEX(D:AE,AF98,ADP!$AF$6)+AH98)</f>
        <v>137.80009700000002</v>
      </c>
      <c r="AH98">
        <f t="shared" si="1"/>
        <v>9.6999999999999823E-5</v>
      </c>
    </row>
    <row r="99" spans="1:34" ht="15.75" thickBot="1" x14ac:dyDescent="0.3">
      <c r="A99" s="569" t="s">
        <v>2408</v>
      </c>
      <c r="B99" s="569" t="s">
        <v>1388</v>
      </c>
      <c r="C99" s="569" t="s">
        <v>7</v>
      </c>
      <c r="D99" s="569"/>
      <c r="E99" s="569"/>
      <c r="F99" s="569"/>
      <c r="G99" s="569"/>
      <c r="H99" s="569"/>
      <c r="I99" s="569"/>
      <c r="J99" s="569"/>
      <c r="K99" s="569"/>
      <c r="L99" s="569"/>
      <c r="M99" s="569"/>
      <c r="N99" s="569"/>
      <c r="O99" s="569"/>
      <c r="P99" s="569"/>
      <c r="Q99" s="569"/>
      <c r="R99" s="569"/>
      <c r="S99" s="569"/>
      <c r="T99" s="569"/>
      <c r="U99" s="569"/>
      <c r="V99" s="569"/>
      <c r="W99" s="569"/>
      <c r="X99" s="569"/>
      <c r="Y99" s="569"/>
      <c r="Z99" s="569"/>
      <c r="AA99" s="569"/>
      <c r="AB99" s="569"/>
      <c r="AC99" s="569"/>
      <c r="AD99" s="569"/>
      <c r="AE99" s="569"/>
      <c r="AF99">
        <v>99</v>
      </c>
      <c r="AG99" s="438" t="str">
        <f>IF(INDEX(D:AE,AF99,ADP!$AF$6)=0,"",INDEX(D:AE,AF99,ADP!$AF$6)+AH99)</f>
        <v/>
      </c>
      <c r="AH99">
        <f t="shared" si="1"/>
        <v>9.7999999999999821E-5</v>
      </c>
    </row>
    <row r="100" spans="1:34" ht="15.75" thickBot="1" x14ac:dyDescent="0.3">
      <c r="A100" s="569" t="s">
        <v>2097</v>
      </c>
      <c r="B100" s="569" t="s">
        <v>151</v>
      </c>
      <c r="C100" s="569" t="s">
        <v>6</v>
      </c>
      <c r="D100" s="574"/>
      <c r="E100" s="574"/>
      <c r="F100" s="574"/>
      <c r="G100" s="574"/>
      <c r="H100" s="574"/>
      <c r="I100" s="574"/>
      <c r="J100" s="574"/>
      <c r="K100" s="574"/>
      <c r="L100" s="574"/>
      <c r="M100" s="574"/>
      <c r="N100" s="574"/>
      <c r="O100" s="574"/>
      <c r="P100" s="569"/>
      <c r="Q100" s="569"/>
      <c r="R100" s="574"/>
      <c r="S100" s="574"/>
      <c r="T100" s="574"/>
      <c r="U100" s="574"/>
      <c r="V100" s="574"/>
      <c r="W100" s="574"/>
      <c r="X100" s="569"/>
      <c r="Y100" s="569"/>
      <c r="Z100" s="574"/>
      <c r="AA100" s="574"/>
      <c r="AB100" s="574"/>
      <c r="AC100" s="574"/>
      <c r="AD100" s="574"/>
      <c r="AE100" s="574"/>
      <c r="AF100">
        <v>100</v>
      </c>
      <c r="AG100" s="438" t="str">
        <f>IF(INDEX(D:AE,AF100,ADP!$AF$6)=0,"",INDEX(D:AE,AF100,ADP!$AF$6)+AH100)</f>
        <v/>
      </c>
      <c r="AH100">
        <f t="shared" si="1"/>
        <v>9.8999999999999818E-5</v>
      </c>
    </row>
    <row r="101" spans="1:34" ht="15.75" thickBot="1" x14ac:dyDescent="0.3">
      <c r="A101" s="569" t="s">
        <v>2409</v>
      </c>
      <c r="B101" s="569" t="s">
        <v>1389</v>
      </c>
      <c r="C101" s="569" t="s">
        <v>1</v>
      </c>
      <c r="D101" s="569"/>
      <c r="E101" s="569"/>
      <c r="F101" s="569"/>
      <c r="G101" s="569"/>
      <c r="H101" s="569"/>
      <c r="I101" s="569"/>
      <c r="J101" s="569"/>
      <c r="K101" s="569"/>
      <c r="L101" s="569"/>
      <c r="M101" s="569"/>
      <c r="N101" s="569"/>
      <c r="O101" s="569"/>
      <c r="P101" s="569"/>
      <c r="Q101" s="569"/>
      <c r="R101" s="569"/>
      <c r="S101" s="569"/>
      <c r="T101" s="569"/>
      <c r="U101" s="569"/>
      <c r="V101" s="569"/>
      <c r="W101" s="569"/>
      <c r="X101" s="569"/>
      <c r="Y101" s="569"/>
      <c r="Z101" s="569"/>
      <c r="AA101" s="569"/>
      <c r="AB101" s="569"/>
      <c r="AC101" s="569"/>
      <c r="AD101" s="569"/>
      <c r="AE101" s="569"/>
      <c r="AF101">
        <v>101</v>
      </c>
      <c r="AG101" s="438" t="str">
        <f>IF(INDEX(D:AE,AF101,ADP!$AF$6)=0,"",INDEX(D:AE,AF101,ADP!$AF$6)+AH101)</f>
        <v/>
      </c>
      <c r="AH101">
        <f t="shared" si="1"/>
        <v>9.9999999999999815E-5</v>
      </c>
    </row>
    <row r="102" spans="1:34" ht="15.75" thickBot="1" x14ac:dyDescent="0.3">
      <c r="A102" s="569" t="s">
        <v>1183</v>
      </c>
      <c r="B102" s="569" t="s">
        <v>154</v>
      </c>
      <c r="C102" s="569" t="s">
        <v>6</v>
      </c>
      <c r="D102" s="569"/>
      <c r="E102" s="569"/>
      <c r="F102" s="569"/>
      <c r="G102" s="569"/>
      <c r="H102" s="569"/>
      <c r="I102" s="569"/>
      <c r="J102" s="569"/>
      <c r="K102" s="569"/>
      <c r="L102" s="569"/>
      <c r="M102" s="569"/>
      <c r="N102" s="569"/>
      <c r="O102" s="569"/>
      <c r="P102" s="569"/>
      <c r="Q102" s="569"/>
      <c r="R102" s="569"/>
      <c r="S102" s="569"/>
      <c r="T102" s="569"/>
      <c r="U102" s="569"/>
      <c r="V102" s="569"/>
      <c r="W102" s="569"/>
      <c r="X102" s="569"/>
      <c r="Y102" s="569"/>
      <c r="Z102" s="569"/>
      <c r="AA102" s="569"/>
      <c r="AB102" s="569"/>
      <c r="AC102" s="569"/>
      <c r="AD102" s="569"/>
      <c r="AE102" s="569"/>
      <c r="AF102">
        <v>102</v>
      </c>
      <c r="AG102" s="438" t="str">
        <f>IF(INDEX(D:AE,AF102,ADP!$AF$6)=0,"",INDEX(D:AE,AF102,ADP!$AF$6)+AH102)</f>
        <v/>
      </c>
      <c r="AH102">
        <f t="shared" si="1"/>
        <v>1.0099999999999981E-4</v>
      </c>
    </row>
    <row r="103" spans="1:34" ht="15.75" thickBot="1" x14ac:dyDescent="0.3">
      <c r="A103" s="569" t="s">
        <v>2379</v>
      </c>
      <c r="B103" s="569" t="s">
        <v>159</v>
      </c>
      <c r="C103" s="569" t="s">
        <v>7</v>
      </c>
      <c r="D103" s="574"/>
      <c r="E103" s="574"/>
      <c r="F103" s="574"/>
      <c r="G103" s="574"/>
      <c r="H103" s="574"/>
      <c r="I103" s="574"/>
      <c r="J103" s="574"/>
      <c r="K103" s="574"/>
      <c r="L103" s="574"/>
      <c r="M103" s="574"/>
      <c r="N103" s="574"/>
      <c r="O103" s="574"/>
      <c r="P103" s="574"/>
      <c r="Q103" s="574"/>
      <c r="R103" s="574"/>
      <c r="S103" s="574"/>
      <c r="T103" s="574"/>
      <c r="U103" s="574"/>
      <c r="V103" s="574"/>
      <c r="W103" s="574"/>
      <c r="X103" s="574"/>
      <c r="Y103" s="574"/>
      <c r="Z103" s="574"/>
      <c r="AA103" s="574"/>
      <c r="AB103" s="574"/>
      <c r="AC103" s="574"/>
      <c r="AD103" s="574"/>
      <c r="AE103" s="574"/>
      <c r="AF103">
        <v>103</v>
      </c>
      <c r="AG103" s="438" t="str">
        <f>IF(INDEX(D:AE,AF103,ADP!$AF$6)=0,"",INDEX(D:AE,AF103,ADP!$AF$6)+AH103)</f>
        <v/>
      </c>
      <c r="AH103">
        <f t="shared" si="1"/>
        <v>1.0199999999999981E-4</v>
      </c>
    </row>
    <row r="104" spans="1:34" ht="15.75" thickBot="1" x14ac:dyDescent="0.3">
      <c r="A104" s="569" t="s">
        <v>1124</v>
      </c>
      <c r="B104" s="569" t="s">
        <v>156</v>
      </c>
      <c r="C104" s="569" t="s">
        <v>6</v>
      </c>
      <c r="D104" s="569">
        <v>11.8</v>
      </c>
      <c r="E104" s="569">
        <v>2.2000000000000002</v>
      </c>
      <c r="F104" s="569">
        <v>11</v>
      </c>
      <c r="G104" s="569">
        <v>1.9</v>
      </c>
      <c r="H104" s="569">
        <v>8.6</v>
      </c>
      <c r="I104" s="569">
        <v>1.8</v>
      </c>
      <c r="J104" s="569">
        <v>11.8</v>
      </c>
      <c r="K104" s="569">
        <v>2.2000000000000002</v>
      </c>
      <c r="L104" s="569">
        <v>11</v>
      </c>
      <c r="M104" s="569">
        <v>1.9</v>
      </c>
      <c r="N104" s="569">
        <v>8.6</v>
      </c>
      <c r="O104" s="569">
        <v>1.8</v>
      </c>
      <c r="P104" s="569">
        <v>14.8</v>
      </c>
      <c r="Q104" s="569">
        <v>2.7</v>
      </c>
      <c r="R104" s="569">
        <v>11.8</v>
      </c>
      <c r="S104" s="569">
        <v>2.2000000000000002</v>
      </c>
      <c r="T104" s="569">
        <v>11</v>
      </c>
      <c r="U104" s="569">
        <v>1.9</v>
      </c>
      <c r="V104" s="569">
        <v>8.6</v>
      </c>
      <c r="W104" s="569">
        <v>1.8</v>
      </c>
      <c r="X104" s="569">
        <v>14.8</v>
      </c>
      <c r="Y104" s="569">
        <v>2.7</v>
      </c>
      <c r="Z104" s="569">
        <v>11.8</v>
      </c>
      <c r="AA104" s="569">
        <v>2.2000000000000002</v>
      </c>
      <c r="AB104" s="569">
        <v>11</v>
      </c>
      <c r="AC104" s="569">
        <v>1.9</v>
      </c>
      <c r="AD104" s="569">
        <v>8.6</v>
      </c>
      <c r="AE104" s="569">
        <v>8.6</v>
      </c>
      <c r="AF104">
        <v>104</v>
      </c>
      <c r="AG104" s="438">
        <f>IF(INDEX(D:AE,AF104,ADP!$AF$6)=0,"",INDEX(D:AE,AF104,ADP!$AF$6)+AH104)</f>
        <v>8.6001029999999989</v>
      </c>
      <c r="AH104">
        <f t="shared" si="1"/>
        <v>1.0299999999999981E-4</v>
      </c>
    </row>
    <row r="105" spans="1:34" ht="15.75" thickBot="1" x14ac:dyDescent="0.3">
      <c r="A105" s="569" t="s">
        <v>2229</v>
      </c>
      <c r="B105" s="569" t="s">
        <v>145</v>
      </c>
      <c r="C105" s="569" t="s">
        <v>6</v>
      </c>
      <c r="D105" s="569"/>
      <c r="E105" s="569"/>
      <c r="F105" s="569"/>
      <c r="G105" s="569"/>
      <c r="H105" s="569"/>
      <c r="I105" s="569"/>
      <c r="J105" s="569"/>
      <c r="K105" s="569"/>
      <c r="L105" s="569"/>
      <c r="M105" s="569"/>
      <c r="N105" s="569"/>
      <c r="O105" s="569"/>
      <c r="P105" s="569"/>
      <c r="Q105" s="569"/>
      <c r="R105" s="569"/>
      <c r="S105" s="569"/>
      <c r="T105" s="569"/>
      <c r="U105" s="569"/>
      <c r="V105" s="569"/>
      <c r="W105" s="569"/>
      <c r="X105" s="569"/>
      <c r="Y105" s="569"/>
      <c r="Z105" s="569"/>
      <c r="AA105" s="569"/>
      <c r="AB105" s="569"/>
      <c r="AC105" s="569"/>
      <c r="AD105" s="569"/>
      <c r="AE105" s="569"/>
      <c r="AF105">
        <v>105</v>
      </c>
      <c r="AG105" s="438" t="str">
        <f>IF(INDEX(D:AE,AF105,ADP!$AF$6)=0,"",INDEX(D:AE,AF105,ADP!$AF$6)+AH105)</f>
        <v/>
      </c>
      <c r="AH105">
        <f t="shared" si="1"/>
        <v>1.039999999999998E-4</v>
      </c>
    </row>
    <row r="106" spans="1:34" ht="15.75" thickBot="1" x14ac:dyDescent="0.3">
      <c r="A106" s="569" t="s">
        <v>2315</v>
      </c>
      <c r="B106" s="569" t="s">
        <v>159</v>
      </c>
      <c r="C106" s="569" t="s">
        <v>3</v>
      </c>
      <c r="D106" s="569"/>
      <c r="E106" s="569"/>
      <c r="F106" s="569"/>
      <c r="G106" s="569"/>
      <c r="H106" s="569"/>
      <c r="I106" s="569"/>
      <c r="J106" s="569"/>
      <c r="K106" s="569"/>
      <c r="L106" s="569"/>
      <c r="M106" s="569"/>
      <c r="N106" s="569"/>
      <c r="O106" s="569"/>
      <c r="P106" s="569"/>
      <c r="Q106" s="569"/>
      <c r="R106" s="569"/>
      <c r="S106" s="569"/>
      <c r="T106" s="569"/>
      <c r="U106" s="569"/>
      <c r="V106" s="569"/>
      <c r="W106" s="569"/>
      <c r="X106" s="569"/>
      <c r="Y106" s="569"/>
      <c r="Z106" s="569"/>
      <c r="AA106" s="569"/>
      <c r="AB106" s="569"/>
      <c r="AC106" s="569"/>
      <c r="AD106" s="569"/>
      <c r="AE106" s="569"/>
      <c r="AF106">
        <v>106</v>
      </c>
      <c r="AG106" s="438" t="str">
        <f>IF(INDEX(D:AE,AF106,ADP!$AF$6)=0,"",INDEX(D:AE,AF106,ADP!$AF$6)+AH106)</f>
        <v/>
      </c>
      <c r="AH106">
        <f t="shared" si="1"/>
        <v>1.049999999999998E-4</v>
      </c>
    </row>
    <row r="107" spans="1:34" ht="15.75" thickBot="1" x14ac:dyDescent="0.3">
      <c r="A107" s="569" t="s">
        <v>2301</v>
      </c>
      <c r="B107" s="569" t="s">
        <v>165</v>
      </c>
      <c r="C107" s="569" t="s">
        <v>3</v>
      </c>
      <c r="D107" s="569"/>
      <c r="E107" s="569"/>
      <c r="F107" s="569"/>
      <c r="G107" s="569"/>
      <c r="H107" s="569"/>
      <c r="I107" s="569"/>
      <c r="J107" s="569"/>
      <c r="K107" s="569"/>
      <c r="L107" s="569"/>
      <c r="M107" s="569"/>
      <c r="N107" s="569"/>
      <c r="O107" s="569"/>
      <c r="P107" s="569"/>
      <c r="Q107" s="569"/>
      <c r="R107" s="569"/>
      <c r="S107" s="569"/>
      <c r="T107" s="569"/>
      <c r="U107" s="569"/>
      <c r="V107" s="569"/>
      <c r="W107" s="569"/>
      <c r="X107" s="569"/>
      <c r="Y107" s="569"/>
      <c r="Z107" s="569"/>
      <c r="AA107" s="569"/>
      <c r="AB107" s="569"/>
      <c r="AC107" s="569"/>
      <c r="AD107" s="569"/>
      <c r="AE107" s="569"/>
      <c r="AF107">
        <v>107</v>
      </c>
      <c r="AG107" s="438" t="str">
        <f>IF(INDEX(D:AE,AF107,ADP!$AF$6)=0,"",INDEX(D:AE,AF107,ADP!$AF$6)+AH107)</f>
        <v/>
      </c>
      <c r="AH107">
        <f t="shared" si="1"/>
        <v>1.059999999999998E-4</v>
      </c>
    </row>
    <row r="108" spans="1:34" ht="15.75" thickBot="1" x14ac:dyDescent="0.3">
      <c r="A108" s="569" t="s">
        <v>2322</v>
      </c>
      <c r="B108" s="569" t="s">
        <v>136</v>
      </c>
      <c r="C108" s="569" t="s">
        <v>6</v>
      </c>
      <c r="D108" s="569">
        <v>128.9</v>
      </c>
      <c r="E108" s="569">
        <v>14.9</v>
      </c>
      <c r="F108" s="569">
        <v>122.2</v>
      </c>
      <c r="G108" s="569">
        <v>10.199999999999999</v>
      </c>
      <c r="H108" s="569">
        <v>108.1</v>
      </c>
      <c r="I108" s="569">
        <v>8.9</v>
      </c>
      <c r="J108" s="569">
        <v>128.9</v>
      </c>
      <c r="K108" s="569">
        <v>14.9</v>
      </c>
      <c r="L108" s="569">
        <v>122.2</v>
      </c>
      <c r="M108" s="569">
        <v>10.199999999999999</v>
      </c>
      <c r="N108" s="569">
        <v>108.1</v>
      </c>
      <c r="O108" s="569">
        <v>8.9</v>
      </c>
      <c r="P108" s="569">
        <v>131</v>
      </c>
      <c r="Q108" s="569">
        <v>12.8</v>
      </c>
      <c r="R108" s="569">
        <v>128.9</v>
      </c>
      <c r="S108" s="569">
        <v>14.9</v>
      </c>
      <c r="T108" s="569">
        <v>122.2</v>
      </c>
      <c r="U108" s="569">
        <v>10.199999999999999</v>
      </c>
      <c r="V108" s="569">
        <v>108.1</v>
      </c>
      <c r="W108" s="569">
        <v>8.9</v>
      </c>
      <c r="X108" s="569">
        <v>131</v>
      </c>
      <c r="Y108" s="569">
        <v>12.8</v>
      </c>
      <c r="Z108" s="569">
        <v>128.9</v>
      </c>
      <c r="AA108" s="569">
        <v>14.9</v>
      </c>
      <c r="AB108" s="569">
        <v>122.2</v>
      </c>
      <c r="AC108" s="569">
        <v>10.199999999999999</v>
      </c>
      <c r="AD108" s="569">
        <v>108.1</v>
      </c>
      <c r="AE108" s="569">
        <v>108.1</v>
      </c>
      <c r="AF108">
        <v>108</v>
      </c>
      <c r="AG108" s="438">
        <f>IF(INDEX(D:AE,AF108,ADP!$AF$6)=0,"",INDEX(D:AE,AF108,ADP!$AF$6)+AH108)</f>
        <v>108.10010699999999</v>
      </c>
      <c r="AH108">
        <f t="shared" si="1"/>
        <v>1.069999999999998E-4</v>
      </c>
    </row>
    <row r="109" spans="1:34" ht="15.75" thickBot="1" x14ac:dyDescent="0.3">
      <c r="A109" s="569" t="s">
        <v>2410</v>
      </c>
      <c r="B109" s="569" t="s">
        <v>166</v>
      </c>
      <c r="C109" s="569" t="s">
        <v>1</v>
      </c>
      <c r="D109" s="569"/>
      <c r="E109" s="569"/>
      <c r="F109" s="569"/>
      <c r="G109" s="569"/>
      <c r="H109" s="569"/>
      <c r="I109" s="569"/>
      <c r="J109" s="569"/>
      <c r="K109" s="569"/>
      <c r="L109" s="569"/>
      <c r="M109" s="569"/>
      <c r="N109" s="569"/>
      <c r="O109" s="569"/>
      <c r="P109" s="569"/>
      <c r="Q109" s="569"/>
      <c r="R109" s="569"/>
      <c r="S109" s="569"/>
      <c r="T109" s="569"/>
      <c r="U109" s="569"/>
      <c r="V109" s="569"/>
      <c r="W109" s="569"/>
      <c r="X109" s="569"/>
      <c r="Y109" s="569"/>
      <c r="Z109" s="569"/>
      <c r="AA109" s="569"/>
      <c r="AB109" s="569"/>
      <c r="AC109" s="569"/>
      <c r="AD109" s="569"/>
      <c r="AE109" s="569"/>
      <c r="AF109">
        <v>109</v>
      </c>
      <c r="AG109" s="438" t="str">
        <f>IF(INDEX(D:AE,AF109,ADP!$AF$6)=0,"",INDEX(D:AE,AF109,ADP!$AF$6)+AH109)</f>
        <v/>
      </c>
      <c r="AH109">
        <f t="shared" si="1"/>
        <v>1.0799999999999979E-4</v>
      </c>
    </row>
    <row r="110" spans="1:34" ht="15.75" thickBot="1" x14ac:dyDescent="0.3">
      <c r="A110" s="569" t="s">
        <v>2411</v>
      </c>
      <c r="B110" s="569" t="s">
        <v>2073</v>
      </c>
      <c r="C110" s="569" t="s">
        <v>3</v>
      </c>
      <c r="D110" s="574"/>
      <c r="E110" s="574"/>
      <c r="F110" s="574"/>
      <c r="G110" s="574"/>
      <c r="H110" s="574"/>
      <c r="I110" s="574"/>
      <c r="J110" s="574"/>
      <c r="K110" s="574"/>
      <c r="L110" s="574"/>
      <c r="M110" s="574"/>
      <c r="N110" s="574"/>
      <c r="O110" s="574"/>
      <c r="P110" s="574"/>
      <c r="Q110" s="574"/>
      <c r="R110" s="574"/>
      <c r="S110" s="574"/>
      <c r="T110" s="574"/>
      <c r="U110" s="574"/>
      <c r="V110" s="574"/>
      <c r="W110" s="574"/>
      <c r="X110" s="574"/>
      <c r="Y110" s="574"/>
      <c r="Z110" s="574"/>
      <c r="AA110" s="574"/>
      <c r="AB110" s="574"/>
      <c r="AC110" s="574"/>
      <c r="AD110" s="574"/>
      <c r="AE110" s="574"/>
      <c r="AF110">
        <v>110</v>
      </c>
      <c r="AG110" s="438" t="str">
        <f>IF(INDEX(D:AE,AF110,ADP!$AF$6)=0,"",INDEX(D:AE,AF110,ADP!$AF$6)+AH110)</f>
        <v/>
      </c>
      <c r="AH110">
        <f t="shared" si="1"/>
        <v>1.0899999999999979E-4</v>
      </c>
    </row>
    <row r="111" spans="1:34" ht="15.75" thickBot="1" x14ac:dyDescent="0.3">
      <c r="A111" s="569" t="s">
        <v>2221</v>
      </c>
      <c r="B111" s="569" t="s">
        <v>146</v>
      </c>
      <c r="C111" s="569" t="s">
        <v>6</v>
      </c>
      <c r="D111" s="574"/>
      <c r="E111" s="574"/>
      <c r="F111" s="574"/>
      <c r="G111" s="574"/>
      <c r="H111" s="574"/>
      <c r="I111" s="574"/>
      <c r="J111" s="574"/>
      <c r="K111" s="574"/>
      <c r="L111" s="574"/>
      <c r="M111" s="574"/>
      <c r="N111" s="574"/>
      <c r="O111" s="574"/>
      <c r="P111" s="569"/>
      <c r="Q111" s="569"/>
      <c r="R111" s="574"/>
      <c r="S111" s="574"/>
      <c r="T111" s="574"/>
      <c r="U111" s="574"/>
      <c r="V111" s="574"/>
      <c r="W111" s="574"/>
      <c r="X111" s="569"/>
      <c r="Y111" s="569"/>
      <c r="Z111" s="574"/>
      <c r="AA111" s="574"/>
      <c r="AB111" s="574"/>
      <c r="AC111" s="574"/>
      <c r="AD111" s="574"/>
      <c r="AE111" s="574"/>
      <c r="AF111">
        <v>111</v>
      </c>
      <c r="AG111" s="438" t="str">
        <f>IF(INDEX(D:AE,AF111,ADP!$AF$6)=0,"",INDEX(D:AE,AF111,ADP!$AF$6)+AH111)</f>
        <v/>
      </c>
      <c r="AH111">
        <f t="shared" si="1"/>
        <v>1.0999999999999979E-4</v>
      </c>
    </row>
    <row r="112" spans="1:34" ht="15.75" thickBot="1" x14ac:dyDescent="0.3">
      <c r="A112" s="569" t="s">
        <v>2225</v>
      </c>
      <c r="B112" s="569" t="s">
        <v>159</v>
      </c>
      <c r="C112" s="569" t="s">
        <v>6</v>
      </c>
      <c r="D112" s="569"/>
      <c r="E112" s="569"/>
      <c r="F112" s="569"/>
      <c r="G112" s="569"/>
      <c r="H112" s="569"/>
      <c r="I112" s="569"/>
      <c r="J112" s="569"/>
      <c r="K112" s="569"/>
      <c r="L112" s="569"/>
      <c r="M112" s="569"/>
      <c r="N112" s="569"/>
      <c r="O112" s="569"/>
      <c r="P112" s="569"/>
      <c r="Q112" s="569"/>
      <c r="R112" s="569"/>
      <c r="S112" s="569"/>
      <c r="T112" s="569"/>
      <c r="U112" s="569"/>
      <c r="V112" s="569"/>
      <c r="W112" s="569"/>
      <c r="X112" s="569"/>
      <c r="Y112" s="569"/>
      <c r="Z112" s="569"/>
      <c r="AA112" s="569"/>
      <c r="AB112" s="569"/>
      <c r="AC112" s="569"/>
      <c r="AD112" s="569"/>
      <c r="AE112" s="569"/>
      <c r="AF112">
        <v>112</v>
      </c>
      <c r="AG112" s="438" t="str">
        <f>IF(INDEX(D:AE,AF112,ADP!$AF$6)=0,"",INDEX(D:AE,AF112,ADP!$AF$6)+AH112)</f>
        <v/>
      </c>
      <c r="AH112">
        <f t="shared" si="1"/>
        <v>1.1099999999999978E-4</v>
      </c>
    </row>
    <row r="113" spans="1:34" ht="15.75" thickBot="1" x14ac:dyDescent="0.3">
      <c r="A113" s="569" t="s">
        <v>2412</v>
      </c>
      <c r="B113" s="569" t="s">
        <v>142</v>
      </c>
      <c r="C113" s="569" t="s">
        <v>7</v>
      </c>
      <c r="D113" s="569"/>
      <c r="E113" s="569"/>
      <c r="F113" s="569"/>
      <c r="G113" s="569"/>
      <c r="H113" s="569"/>
      <c r="I113" s="569"/>
      <c r="J113" s="569"/>
      <c r="K113" s="569"/>
      <c r="L113" s="569"/>
      <c r="M113" s="569"/>
      <c r="N113" s="569"/>
      <c r="O113" s="569"/>
      <c r="P113" s="569"/>
      <c r="Q113" s="569"/>
      <c r="R113" s="569"/>
      <c r="S113" s="569"/>
      <c r="T113" s="569"/>
      <c r="U113" s="569"/>
      <c r="V113" s="569"/>
      <c r="W113" s="569"/>
      <c r="X113" s="569"/>
      <c r="Y113" s="569"/>
      <c r="Z113" s="569"/>
      <c r="AA113" s="569"/>
      <c r="AB113" s="569"/>
      <c r="AC113" s="569"/>
      <c r="AD113" s="569"/>
      <c r="AE113" s="569"/>
      <c r="AF113">
        <v>113</v>
      </c>
      <c r="AG113" s="438" t="str">
        <f>IF(INDEX(D:AE,AF113,ADP!$AF$6)=0,"",INDEX(D:AE,AF113,ADP!$AF$6)+AH113)</f>
        <v/>
      </c>
      <c r="AH113">
        <f t="shared" si="1"/>
        <v>1.1199999999999978E-4</v>
      </c>
    </row>
    <row r="114" spans="1:34" ht="15.75" thickBot="1" x14ac:dyDescent="0.3">
      <c r="A114" s="569" t="s">
        <v>2413</v>
      </c>
      <c r="B114" s="569" t="s">
        <v>136</v>
      </c>
      <c r="C114" s="569" t="s">
        <v>1</v>
      </c>
      <c r="D114" s="569"/>
      <c r="E114" s="569"/>
      <c r="F114" s="569"/>
      <c r="G114" s="569"/>
      <c r="H114" s="569"/>
      <c r="I114" s="569"/>
      <c r="J114" s="569"/>
      <c r="K114" s="569"/>
      <c r="L114" s="569"/>
      <c r="M114" s="569"/>
      <c r="N114" s="569"/>
      <c r="O114" s="569"/>
      <c r="P114" s="569"/>
      <c r="Q114" s="569"/>
      <c r="R114" s="569"/>
      <c r="S114" s="569"/>
      <c r="T114" s="569"/>
      <c r="U114" s="569"/>
      <c r="V114" s="569"/>
      <c r="W114" s="569"/>
      <c r="X114" s="569"/>
      <c r="Y114" s="569"/>
      <c r="Z114" s="569"/>
      <c r="AA114" s="569"/>
      <c r="AB114" s="569"/>
      <c r="AC114" s="569"/>
      <c r="AD114" s="569"/>
      <c r="AE114" s="569"/>
      <c r="AF114">
        <v>114</v>
      </c>
      <c r="AG114" s="438" t="str">
        <f>IF(INDEX(D:AE,AF114,ADP!$AF$6)=0,"",INDEX(D:AE,AF114,ADP!$AF$6)+AH114)</f>
        <v/>
      </c>
      <c r="AH114">
        <f t="shared" si="1"/>
        <v>1.1299999999999978E-4</v>
      </c>
    </row>
    <row r="115" spans="1:34" ht="15.75" thickBot="1" x14ac:dyDescent="0.3">
      <c r="A115" s="569" t="s">
        <v>155</v>
      </c>
      <c r="B115" s="569" t="s">
        <v>155</v>
      </c>
      <c r="C115" s="569" t="s">
        <v>160</v>
      </c>
      <c r="D115" s="569">
        <v>124.6</v>
      </c>
      <c r="E115" s="569">
        <v>14.8</v>
      </c>
      <c r="F115" s="569">
        <v>123.6</v>
      </c>
      <c r="G115" s="569">
        <v>14.5</v>
      </c>
      <c r="H115" s="569">
        <v>122</v>
      </c>
      <c r="I115" s="569">
        <v>15.3</v>
      </c>
      <c r="J115" s="569">
        <v>124.6</v>
      </c>
      <c r="K115" s="569">
        <v>14.8</v>
      </c>
      <c r="L115" s="569">
        <v>123.6</v>
      </c>
      <c r="M115" s="569">
        <v>14.5</v>
      </c>
      <c r="N115" s="569">
        <v>122</v>
      </c>
      <c r="O115" s="569">
        <v>15.3</v>
      </c>
      <c r="P115" s="574">
        <v>125.6</v>
      </c>
      <c r="Q115" s="574">
        <v>14.5</v>
      </c>
      <c r="R115" s="569">
        <v>124.6</v>
      </c>
      <c r="S115" s="569">
        <v>14.8</v>
      </c>
      <c r="T115" s="569">
        <v>123.6</v>
      </c>
      <c r="U115" s="569">
        <v>14.5</v>
      </c>
      <c r="V115" s="569">
        <v>122</v>
      </c>
      <c r="W115" s="569">
        <v>15.3</v>
      </c>
      <c r="X115" s="574">
        <v>125.6</v>
      </c>
      <c r="Y115" s="574">
        <v>14.5</v>
      </c>
      <c r="Z115" s="569">
        <v>124.6</v>
      </c>
      <c r="AA115" s="569">
        <v>14.8</v>
      </c>
      <c r="AB115" s="569">
        <v>123.6</v>
      </c>
      <c r="AC115" s="569">
        <v>14.5</v>
      </c>
      <c r="AD115" s="569">
        <v>122</v>
      </c>
      <c r="AE115" s="569">
        <v>122</v>
      </c>
      <c r="AF115">
        <v>115</v>
      </c>
      <c r="AG115" s="438">
        <f>IF(INDEX(D:AE,AF115,ADP!$AF$6)=0,"",INDEX(D:AE,AF115,ADP!$AF$6)+AH115)</f>
        <v>122.000114</v>
      </c>
      <c r="AH115">
        <f t="shared" si="1"/>
        <v>1.1399999999999978E-4</v>
      </c>
    </row>
    <row r="116" spans="1:34" ht="15.75" thickBot="1" x14ac:dyDescent="0.3">
      <c r="A116" s="569" t="s">
        <v>2224</v>
      </c>
      <c r="B116" s="569" t="s">
        <v>165</v>
      </c>
      <c r="C116" s="569" t="s">
        <v>6</v>
      </c>
      <c r="D116" s="569"/>
      <c r="E116" s="569"/>
      <c r="F116" s="574"/>
      <c r="G116" s="574"/>
      <c r="H116" s="574"/>
      <c r="I116" s="574"/>
      <c r="J116" s="569"/>
      <c r="K116" s="569"/>
      <c r="L116" s="574"/>
      <c r="M116" s="574"/>
      <c r="N116" s="574"/>
      <c r="O116" s="574"/>
      <c r="P116" s="569"/>
      <c r="Q116" s="569"/>
      <c r="R116" s="569"/>
      <c r="S116" s="569"/>
      <c r="T116" s="574"/>
      <c r="U116" s="574"/>
      <c r="V116" s="574"/>
      <c r="W116" s="574"/>
      <c r="X116" s="569"/>
      <c r="Y116" s="569"/>
      <c r="Z116" s="569"/>
      <c r="AA116" s="569"/>
      <c r="AB116" s="574"/>
      <c r="AC116" s="574"/>
      <c r="AD116" s="574"/>
      <c r="AE116" s="574"/>
      <c r="AF116">
        <v>116</v>
      </c>
      <c r="AG116" s="438" t="str">
        <f>IF(INDEX(D:AE,AF116,ADP!$AF$6)=0,"",INDEX(D:AE,AF116,ADP!$AF$6)+AH116)</f>
        <v/>
      </c>
      <c r="AH116">
        <f t="shared" si="1"/>
        <v>1.1499999999999977E-4</v>
      </c>
    </row>
    <row r="117" spans="1:34" ht="15.75" thickBot="1" x14ac:dyDescent="0.3">
      <c r="A117" s="569" t="s">
        <v>2414</v>
      </c>
      <c r="B117" s="569" t="s">
        <v>149</v>
      </c>
      <c r="C117" s="569" t="s">
        <v>3</v>
      </c>
      <c r="D117" s="574"/>
      <c r="E117" s="574"/>
      <c r="F117" s="574"/>
      <c r="G117" s="574"/>
      <c r="H117" s="574"/>
      <c r="I117" s="574"/>
      <c r="J117" s="574"/>
      <c r="K117" s="574"/>
      <c r="L117" s="574"/>
      <c r="M117" s="574"/>
      <c r="N117" s="574"/>
      <c r="O117" s="574"/>
      <c r="P117" s="574"/>
      <c r="Q117" s="574"/>
      <c r="R117" s="574"/>
      <c r="S117" s="574"/>
      <c r="T117" s="574"/>
      <c r="U117" s="574"/>
      <c r="V117" s="574"/>
      <c r="W117" s="574"/>
      <c r="X117" s="574"/>
      <c r="Y117" s="574"/>
      <c r="Z117" s="574"/>
      <c r="AA117" s="574"/>
      <c r="AB117" s="574"/>
      <c r="AC117" s="574"/>
      <c r="AD117" s="574"/>
      <c r="AE117" s="574"/>
      <c r="AF117">
        <v>117</v>
      </c>
      <c r="AG117" s="438" t="str">
        <f>IF(INDEX(D:AE,AF117,ADP!$AF$6)=0,"",INDEX(D:AE,AF117,ADP!$AF$6)+AH117)</f>
        <v/>
      </c>
      <c r="AH117">
        <f t="shared" si="1"/>
        <v>1.1599999999999977E-4</v>
      </c>
    </row>
    <row r="118" spans="1:34" ht="15.75" thickBot="1" x14ac:dyDescent="0.3">
      <c r="A118" s="569" t="s">
        <v>2267</v>
      </c>
      <c r="B118" s="569" t="s">
        <v>146</v>
      </c>
      <c r="C118" s="569" t="s">
        <v>7</v>
      </c>
      <c r="D118" s="569"/>
      <c r="E118" s="569"/>
      <c r="F118" s="569"/>
      <c r="G118" s="569"/>
      <c r="H118" s="569"/>
      <c r="I118" s="569"/>
      <c r="J118" s="569"/>
      <c r="K118" s="569"/>
      <c r="L118" s="569"/>
      <c r="M118" s="569"/>
      <c r="N118" s="569"/>
      <c r="O118" s="569"/>
      <c r="P118" s="569"/>
      <c r="Q118" s="569"/>
      <c r="R118" s="569"/>
      <c r="S118" s="569"/>
      <c r="T118" s="569"/>
      <c r="U118" s="569"/>
      <c r="V118" s="569"/>
      <c r="W118" s="569"/>
      <c r="X118" s="569"/>
      <c r="Y118" s="569"/>
      <c r="Z118" s="569"/>
      <c r="AA118" s="569"/>
      <c r="AB118" s="569"/>
      <c r="AC118" s="569"/>
      <c r="AD118" s="569"/>
      <c r="AE118" s="569"/>
      <c r="AF118">
        <v>118</v>
      </c>
      <c r="AG118" s="438" t="str">
        <f>IF(INDEX(D:AE,AF118,ADP!$AF$6)=0,"",INDEX(D:AE,AF118,ADP!$AF$6)+AH118)</f>
        <v/>
      </c>
      <c r="AH118">
        <f t="shared" si="1"/>
        <v>1.1699999999999977E-4</v>
      </c>
    </row>
    <row r="119" spans="1:34" ht="15.75" thickBot="1" x14ac:dyDescent="0.3">
      <c r="A119" s="569" t="s">
        <v>2415</v>
      </c>
      <c r="B119" s="569" t="s">
        <v>139</v>
      </c>
      <c r="C119" s="569" t="s">
        <v>1</v>
      </c>
      <c r="D119" s="574"/>
      <c r="E119" s="574"/>
      <c r="F119" s="574"/>
      <c r="G119" s="574"/>
      <c r="H119" s="574"/>
      <c r="I119" s="574"/>
      <c r="J119" s="574"/>
      <c r="K119" s="574"/>
      <c r="L119" s="574"/>
      <c r="M119" s="574"/>
      <c r="N119" s="574"/>
      <c r="O119" s="574"/>
      <c r="P119" s="574"/>
      <c r="Q119" s="574"/>
      <c r="R119" s="574"/>
      <c r="S119" s="574"/>
      <c r="T119" s="574"/>
      <c r="U119" s="574"/>
      <c r="V119" s="574"/>
      <c r="W119" s="574"/>
      <c r="X119" s="574"/>
      <c r="Y119" s="574"/>
      <c r="Z119" s="574"/>
      <c r="AA119" s="574"/>
      <c r="AB119" s="574"/>
      <c r="AC119" s="574"/>
      <c r="AD119" s="574"/>
      <c r="AE119" s="574"/>
      <c r="AF119">
        <v>119</v>
      </c>
      <c r="AG119" s="438" t="str">
        <f>IF(INDEX(D:AE,AF119,ADP!$AF$6)=0,"",INDEX(D:AE,AF119,ADP!$AF$6)+AH119)</f>
        <v/>
      </c>
      <c r="AH119">
        <f t="shared" si="1"/>
        <v>1.1799999999999976E-4</v>
      </c>
    </row>
    <row r="120" spans="1:34" ht="15.75" thickBot="1" x14ac:dyDescent="0.3">
      <c r="A120" s="569" t="s">
        <v>140</v>
      </c>
      <c r="B120" s="569" t="s">
        <v>140</v>
      </c>
      <c r="C120" s="569" t="s">
        <v>160</v>
      </c>
      <c r="D120" s="569"/>
      <c r="E120" s="569"/>
      <c r="F120" s="569"/>
      <c r="G120" s="569"/>
      <c r="H120" s="569"/>
      <c r="I120" s="569"/>
      <c r="J120" s="569"/>
      <c r="K120" s="569"/>
      <c r="L120" s="569"/>
      <c r="M120" s="569"/>
      <c r="N120" s="569"/>
      <c r="O120" s="569"/>
      <c r="P120" s="569"/>
      <c r="Q120" s="569"/>
      <c r="R120" s="569"/>
      <c r="S120" s="569"/>
      <c r="T120" s="569"/>
      <c r="U120" s="569"/>
      <c r="V120" s="569"/>
      <c r="W120" s="569"/>
      <c r="X120" s="569"/>
      <c r="Y120" s="569"/>
      <c r="Z120" s="569"/>
      <c r="AA120" s="569"/>
      <c r="AB120" s="569"/>
      <c r="AC120" s="569"/>
      <c r="AD120" s="569"/>
      <c r="AE120" s="569"/>
      <c r="AF120">
        <v>120</v>
      </c>
      <c r="AG120" s="438" t="str">
        <f>IF(INDEX(D:AE,AF120,ADP!$AF$6)=0,"",INDEX(D:AE,AF120,ADP!$AF$6)+AH120)</f>
        <v/>
      </c>
      <c r="AH120">
        <f t="shared" si="1"/>
        <v>1.1899999999999976E-4</v>
      </c>
    </row>
    <row r="121" spans="1:34" ht="15.75" thickBot="1" x14ac:dyDescent="0.3">
      <c r="A121" s="569" t="s">
        <v>2416</v>
      </c>
      <c r="B121" s="569" t="s">
        <v>148</v>
      </c>
      <c r="C121" s="569" t="s">
        <v>6</v>
      </c>
      <c r="D121" s="569"/>
      <c r="E121" s="569"/>
      <c r="F121" s="569"/>
      <c r="G121" s="569"/>
      <c r="H121" s="569"/>
      <c r="I121" s="569"/>
      <c r="J121" s="569"/>
      <c r="K121" s="569"/>
      <c r="L121" s="569"/>
      <c r="M121" s="569"/>
      <c r="N121" s="569"/>
      <c r="O121" s="569"/>
      <c r="P121" s="569"/>
      <c r="Q121" s="569"/>
      <c r="R121" s="569"/>
      <c r="S121" s="569"/>
      <c r="T121" s="569"/>
      <c r="U121" s="569"/>
      <c r="V121" s="569"/>
      <c r="W121" s="569"/>
      <c r="X121" s="569"/>
      <c r="Y121" s="569"/>
      <c r="Z121" s="569"/>
      <c r="AA121" s="569"/>
      <c r="AB121" s="569"/>
      <c r="AC121" s="569"/>
      <c r="AD121" s="569"/>
      <c r="AE121" s="569"/>
      <c r="AF121">
        <v>121</v>
      </c>
      <c r="AG121" s="438" t="str">
        <f>IF(INDEX(D:AE,AF121,ADP!$AF$6)=0,"",INDEX(D:AE,AF121,ADP!$AF$6)+AH121)</f>
        <v/>
      </c>
      <c r="AH121">
        <f t="shared" si="1"/>
        <v>1.1999999999999976E-4</v>
      </c>
    </row>
    <row r="122" spans="1:34" ht="15.75" thickBot="1" x14ac:dyDescent="0.3">
      <c r="A122" s="569" t="s">
        <v>1766</v>
      </c>
      <c r="B122" s="569" t="s">
        <v>154</v>
      </c>
      <c r="C122" s="569" t="s">
        <v>3</v>
      </c>
      <c r="D122" s="569">
        <v>10.5</v>
      </c>
      <c r="E122" s="569">
        <v>2</v>
      </c>
      <c r="F122" s="569">
        <v>9.6</v>
      </c>
      <c r="G122" s="569">
        <v>2.5</v>
      </c>
      <c r="H122" s="569">
        <v>8.9</v>
      </c>
      <c r="I122" s="569">
        <v>2.2000000000000002</v>
      </c>
      <c r="J122" s="569">
        <v>10.5</v>
      </c>
      <c r="K122" s="569">
        <v>2</v>
      </c>
      <c r="L122" s="569">
        <v>9.6</v>
      </c>
      <c r="M122" s="569">
        <v>2.5</v>
      </c>
      <c r="N122" s="569">
        <v>8.9</v>
      </c>
      <c r="O122" s="569">
        <v>2.2000000000000002</v>
      </c>
      <c r="P122" s="569">
        <v>16.899999999999999</v>
      </c>
      <c r="Q122" s="569">
        <v>3.2</v>
      </c>
      <c r="R122" s="569">
        <v>10.5</v>
      </c>
      <c r="S122" s="569">
        <v>2</v>
      </c>
      <c r="T122" s="569">
        <v>9.6</v>
      </c>
      <c r="U122" s="569">
        <v>2.5</v>
      </c>
      <c r="V122" s="569">
        <v>8.9</v>
      </c>
      <c r="W122" s="569">
        <v>2.2000000000000002</v>
      </c>
      <c r="X122" s="569">
        <v>16.899999999999999</v>
      </c>
      <c r="Y122" s="569">
        <v>3.2</v>
      </c>
      <c r="Z122" s="569">
        <v>10.5</v>
      </c>
      <c r="AA122" s="569">
        <v>2</v>
      </c>
      <c r="AB122" s="569">
        <v>9.6</v>
      </c>
      <c r="AC122" s="569">
        <v>2.5</v>
      </c>
      <c r="AD122" s="569">
        <v>8.9</v>
      </c>
      <c r="AE122" s="569">
        <v>8.9</v>
      </c>
      <c r="AF122">
        <v>122</v>
      </c>
      <c r="AG122" s="438">
        <f>IF(INDEX(D:AE,AF122,ADP!$AF$6)=0,"",INDEX(D:AE,AF122,ADP!$AF$6)+AH122)</f>
        <v>8.9001210000000004</v>
      </c>
      <c r="AH122">
        <f t="shared" si="1"/>
        <v>1.2099999999999976E-4</v>
      </c>
    </row>
    <row r="123" spans="1:34" ht="15.75" thickBot="1" x14ac:dyDescent="0.3">
      <c r="A123" s="569" t="s">
        <v>2343</v>
      </c>
      <c r="B123" s="569" t="s">
        <v>139</v>
      </c>
      <c r="C123" s="569" t="s">
        <v>6</v>
      </c>
      <c r="D123" s="569"/>
      <c r="E123" s="569"/>
      <c r="F123" s="569"/>
      <c r="G123" s="569"/>
      <c r="H123" s="569"/>
      <c r="I123" s="569"/>
      <c r="J123" s="569"/>
      <c r="K123" s="569"/>
      <c r="L123" s="569"/>
      <c r="M123" s="569"/>
      <c r="N123" s="569"/>
      <c r="O123" s="569"/>
      <c r="P123" s="569"/>
      <c r="Q123" s="569"/>
      <c r="R123" s="569"/>
      <c r="S123" s="569"/>
      <c r="T123" s="569"/>
      <c r="U123" s="569"/>
      <c r="V123" s="569"/>
      <c r="W123" s="569"/>
      <c r="X123" s="569"/>
      <c r="Y123" s="569"/>
      <c r="Z123" s="569"/>
      <c r="AA123" s="569"/>
      <c r="AB123" s="569"/>
      <c r="AC123" s="569"/>
      <c r="AD123" s="569"/>
      <c r="AE123" s="569"/>
      <c r="AF123">
        <v>123</v>
      </c>
      <c r="AG123" s="438" t="str">
        <f>IF(INDEX(D:AE,AF123,ADP!$AF$6)=0,"",INDEX(D:AE,AF123,ADP!$AF$6)+AH123)</f>
        <v/>
      </c>
      <c r="AH123">
        <f t="shared" si="1"/>
        <v>1.2199999999999975E-4</v>
      </c>
    </row>
    <row r="124" spans="1:34" ht="15.75" thickBot="1" x14ac:dyDescent="0.3">
      <c r="A124" s="569" t="s">
        <v>1440</v>
      </c>
      <c r="B124" s="569" t="s">
        <v>144</v>
      </c>
      <c r="C124" s="569" t="s">
        <v>3</v>
      </c>
      <c r="D124" s="574">
        <v>132.1</v>
      </c>
      <c r="E124" s="574">
        <v>13.6</v>
      </c>
      <c r="F124" s="574">
        <v>94.1</v>
      </c>
      <c r="G124" s="574">
        <v>7.3</v>
      </c>
      <c r="H124" s="574">
        <v>97.8</v>
      </c>
      <c r="I124" s="574">
        <v>7.7</v>
      </c>
      <c r="J124" s="574">
        <v>132.1</v>
      </c>
      <c r="K124" s="574">
        <v>13.6</v>
      </c>
      <c r="L124" s="574">
        <v>94.1</v>
      </c>
      <c r="M124" s="574">
        <v>7.3</v>
      </c>
      <c r="N124" s="574">
        <v>97.8</v>
      </c>
      <c r="O124" s="574">
        <v>7.7</v>
      </c>
      <c r="P124" s="574">
        <v>132.80000000000001</v>
      </c>
      <c r="Q124" s="574">
        <v>12</v>
      </c>
      <c r="R124" s="574">
        <v>132.1</v>
      </c>
      <c r="S124" s="574">
        <v>13.6</v>
      </c>
      <c r="T124" s="574">
        <v>94.1</v>
      </c>
      <c r="U124" s="574">
        <v>7.3</v>
      </c>
      <c r="V124" s="574">
        <v>97.8</v>
      </c>
      <c r="W124" s="574">
        <v>7.7</v>
      </c>
      <c r="X124" s="574">
        <v>132.80000000000001</v>
      </c>
      <c r="Y124" s="574">
        <v>12</v>
      </c>
      <c r="Z124" s="574">
        <v>132.1</v>
      </c>
      <c r="AA124" s="574">
        <v>13.6</v>
      </c>
      <c r="AB124" s="574">
        <v>94.1</v>
      </c>
      <c r="AC124" s="574">
        <v>7.3</v>
      </c>
      <c r="AD124" s="574">
        <v>97.8</v>
      </c>
      <c r="AE124" s="574">
        <v>97.8</v>
      </c>
      <c r="AF124">
        <v>124</v>
      </c>
      <c r="AG124" s="438">
        <f>IF(INDEX(D:AE,AF124,ADP!$AF$6)=0,"",INDEX(D:AE,AF124,ADP!$AF$6)+AH124)</f>
        <v>97.800122999999999</v>
      </c>
      <c r="AH124">
        <f t="shared" si="1"/>
        <v>1.2299999999999976E-4</v>
      </c>
    </row>
    <row r="125" spans="1:34" ht="15.75" thickBot="1" x14ac:dyDescent="0.3">
      <c r="A125" s="569" t="s">
        <v>2417</v>
      </c>
      <c r="B125" s="569" t="s">
        <v>142</v>
      </c>
      <c r="C125" s="569" t="s">
        <v>7</v>
      </c>
      <c r="D125" s="574">
        <v>153.4</v>
      </c>
      <c r="E125" s="574">
        <v>13.9</v>
      </c>
      <c r="F125" s="574">
        <v>163.69999999999999</v>
      </c>
      <c r="G125" s="574">
        <v>21.4</v>
      </c>
      <c r="H125" s="574">
        <v>157.80000000000001</v>
      </c>
      <c r="I125" s="574">
        <v>19.3</v>
      </c>
      <c r="J125" s="574">
        <v>153.4</v>
      </c>
      <c r="K125" s="574">
        <v>13.9</v>
      </c>
      <c r="L125" s="574">
        <v>163.69999999999999</v>
      </c>
      <c r="M125" s="574">
        <v>21.4</v>
      </c>
      <c r="N125" s="574">
        <v>157.80000000000001</v>
      </c>
      <c r="O125" s="574">
        <v>19.3</v>
      </c>
      <c r="P125" s="574">
        <v>142.1</v>
      </c>
      <c r="Q125" s="574">
        <v>30.3</v>
      </c>
      <c r="R125" s="574">
        <v>153.4</v>
      </c>
      <c r="S125" s="574">
        <v>13.9</v>
      </c>
      <c r="T125" s="574">
        <v>163.69999999999999</v>
      </c>
      <c r="U125" s="574">
        <v>21.4</v>
      </c>
      <c r="V125" s="574">
        <v>157.80000000000001</v>
      </c>
      <c r="W125" s="574">
        <v>19.3</v>
      </c>
      <c r="X125" s="574">
        <v>142.1</v>
      </c>
      <c r="Y125" s="574">
        <v>30.3</v>
      </c>
      <c r="Z125" s="574">
        <v>153.4</v>
      </c>
      <c r="AA125" s="574">
        <v>13.9</v>
      </c>
      <c r="AB125" s="574">
        <v>163.69999999999999</v>
      </c>
      <c r="AC125" s="574">
        <v>21.4</v>
      </c>
      <c r="AD125" s="574">
        <v>157.80000000000001</v>
      </c>
      <c r="AE125" s="574">
        <v>157.80000000000001</v>
      </c>
      <c r="AF125">
        <v>125</v>
      </c>
      <c r="AG125" s="438">
        <f>IF(INDEX(D:AE,AF125,ADP!$AF$6)=0,"",INDEX(D:AE,AF125,ADP!$AF$6)+AH125)</f>
        <v>157.80012400000001</v>
      </c>
      <c r="AH125">
        <f t="shared" si="1"/>
        <v>1.2399999999999976E-4</v>
      </c>
    </row>
    <row r="126" spans="1:34" ht="15.75" thickBot="1" x14ac:dyDescent="0.3">
      <c r="A126" s="569" t="s">
        <v>2286</v>
      </c>
      <c r="B126" s="569" t="s">
        <v>152</v>
      </c>
      <c r="C126" s="569" t="s">
        <v>1</v>
      </c>
      <c r="D126" s="574"/>
      <c r="E126" s="574"/>
      <c r="F126" s="574"/>
      <c r="G126" s="574"/>
      <c r="H126" s="574"/>
      <c r="I126" s="574"/>
      <c r="J126" s="574"/>
      <c r="K126" s="574"/>
      <c r="L126" s="574"/>
      <c r="M126" s="574"/>
      <c r="N126" s="574"/>
      <c r="O126" s="574"/>
      <c r="P126" s="574">
        <v>133.30000000000001</v>
      </c>
      <c r="Q126" s="574">
        <v>25</v>
      </c>
      <c r="R126" s="574"/>
      <c r="S126" s="574"/>
      <c r="T126" s="574"/>
      <c r="U126" s="574"/>
      <c r="V126" s="574"/>
      <c r="W126" s="574"/>
      <c r="X126" s="574">
        <v>133.30000000000001</v>
      </c>
      <c r="Y126" s="574">
        <v>25</v>
      </c>
      <c r="Z126" s="574"/>
      <c r="AA126" s="574"/>
      <c r="AB126" s="574"/>
      <c r="AC126" s="574"/>
      <c r="AD126" s="574"/>
      <c r="AE126" s="574"/>
      <c r="AF126">
        <v>126</v>
      </c>
      <c r="AG126" s="438" t="str">
        <f>IF(INDEX(D:AE,AF126,ADP!$AF$6)=0,"",INDEX(D:AE,AF126,ADP!$AF$6)+AH126)</f>
        <v/>
      </c>
      <c r="AH126">
        <f t="shared" si="1"/>
        <v>1.2499999999999976E-4</v>
      </c>
    </row>
    <row r="127" spans="1:34" ht="15.75" thickBot="1" x14ac:dyDescent="0.3">
      <c r="A127" s="569" t="s">
        <v>1762</v>
      </c>
      <c r="B127" s="569" t="s">
        <v>155</v>
      </c>
      <c r="C127" s="569" t="s">
        <v>1</v>
      </c>
      <c r="D127" s="569"/>
      <c r="E127" s="569"/>
      <c r="F127" s="569"/>
      <c r="G127" s="569"/>
      <c r="H127" s="569"/>
      <c r="I127" s="569"/>
      <c r="J127" s="569"/>
      <c r="K127" s="569"/>
      <c r="L127" s="569"/>
      <c r="M127" s="569"/>
      <c r="N127" s="569"/>
      <c r="O127" s="569"/>
      <c r="P127" s="569"/>
      <c r="Q127" s="569"/>
      <c r="R127" s="569"/>
      <c r="S127" s="569"/>
      <c r="T127" s="569"/>
      <c r="U127" s="569"/>
      <c r="V127" s="569"/>
      <c r="W127" s="569"/>
      <c r="X127" s="569"/>
      <c r="Y127" s="569"/>
      <c r="Z127" s="569"/>
      <c r="AA127" s="569"/>
      <c r="AB127" s="569"/>
      <c r="AC127" s="569"/>
      <c r="AD127" s="569"/>
      <c r="AE127" s="569"/>
      <c r="AF127">
        <v>127</v>
      </c>
      <c r="AG127" s="438" t="str">
        <f>IF(INDEX(D:AE,AF127,ADP!$AF$6)=0,"",INDEX(D:AE,AF127,ADP!$AF$6)+AH127)</f>
        <v/>
      </c>
      <c r="AH127">
        <f t="shared" si="1"/>
        <v>1.2599999999999976E-4</v>
      </c>
    </row>
    <row r="128" spans="1:34" ht="15.75" thickBot="1" x14ac:dyDescent="0.3">
      <c r="A128" s="569" t="s">
        <v>2177</v>
      </c>
      <c r="B128" s="569" t="s">
        <v>166</v>
      </c>
      <c r="C128" s="569" t="s">
        <v>3</v>
      </c>
      <c r="D128" s="569"/>
      <c r="E128" s="569"/>
      <c r="F128" s="569"/>
      <c r="G128" s="569"/>
      <c r="H128" s="569"/>
      <c r="I128" s="569"/>
      <c r="J128" s="569"/>
      <c r="K128" s="569"/>
      <c r="L128" s="569"/>
      <c r="M128" s="569"/>
      <c r="N128" s="569"/>
      <c r="O128" s="569"/>
      <c r="P128" s="569"/>
      <c r="Q128" s="569"/>
      <c r="R128" s="569"/>
      <c r="S128" s="569"/>
      <c r="T128" s="569"/>
      <c r="U128" s="569"/>
      <c r="V128" s="569"/>
      <c r="W128" s="569"/>
      <c r="X128" s="569"/>
      <c r="Y128" s="569"/>
      <c r="Z128" s="569"/>
      <c r="AA128" s="569"/>
      <c r="AB128" s="569"/>
      <c r="AC128" s="569"/>
      <c r="AD128" s="569"/>
      <c r="AE128" s="569"/>
      <c r="AF128">
        <v>128</v>
      </c>
      <c r="AG128" s="438" t="str">
        <f>IF(INDEX(D:AE,AF128,ADP!$AF$6)=0,"",INDEX(D:AE,AF128,ADP!$AF$6)+AH128)</f>
        <v/>
      </c>
      <c r="AH128">
        <f t="shared" si="1"/>
        <v>1.2699999999999975E-4</v>
      </c>
    </row>
    <row r="129" spans="1:34" ht="15.75" thickBot="1" x14ac:dyDescent="0.3">
      <c r="A129" s="569" t="s">
        <v>79</v>
      </c>
      <c r="B129" s="569" t="s">
        <v>163</v>
      </c>
      <c r="C129" s="569" t="s">
        <v>1</v>
      </c>
      <c r="D129" s="574"/>
      <c r="E129" s="574"/>
      <c r="F129" s="574"/>
      <c r="G129" s="574"/>
      <c r="H129" s="574"/>
      <c r="I129" s="574"/>
      <c r="J129" s="574"/>
      <c r="K129" s="574"/>
      <c r="L129" s="574"/>
      <c r="M129" s="574"/>
      <c r="N129" s="574"/>
      <c r="O129" s="574"/>
      <c r="P129" s="569">
        <v>129</v>
      </c>
      <c r="Q129" s="569">
        <v>24.9</v>
      </c>
      <c r="R129" s="574"/>
      <c r="S129" s="574"/>
      <c r="T129" s="574"/>
      <c r="U129" s="574"/>
      <c r="V129" s="574"/>
      <c r="W129" s="574"/>
      <c r="X129" s="569">
        <v>129</v>
      </c>
      <c r="Y129" s="569">
        <v>24.9</v>
      </c>
      <c r="Z129" s="574"/>
      <c r="AA129" s="574"/>
      <c r="AB129" s="574"/>
      <c r="AC129" s="574"/>
      <c r="AD129" s="574"/>
      <c r="AE129" s="574"/>
      <c r="AF129">
        <v>129</v>
      </c>
      <c r="AG129" s="438" t="str">
        <f>IF(INDEX(D:AE,AF129,ADP!$AF$6)=0,"",INDEX(D:AE,AF129,ADP!$AF$6)+AH129)</f>
        <v/>
      </c>
      <c r="AH129">
        <f t="shared" si="1"/>
        <v>1.2799999999999975E-4</v>
      </c>
    </row>
    <row r="130" spans="1:34" ht="15.75" thickBot="1" x14ac:dyDescent="0.3">
      <c r="A130" s="569" t="s">
        <v>45</v>
      </c>
      <c r="B130" s="569" t="s">
        <v>144</v>
      </c>
      <c r="C130" s="569" t="s">
        <v>1</v>
      </c>
      <c r="D130" s="574">
        <v>125.2</v>
      </c>
      <c r="E130" s="574">
        <v>12.6</v>
      </c>
      <c r="F130" s="574">
        <v>130.4</v>
      </c>
      <c r="G130" s="574">
        <v>13.6</v>
      </c>
      <c r="H130" s="574">
        <v>133.1</v>
      </c>
      <c r="I130" s="574">
        <v>15.3</v>
      </c>
      <c r="J130" s="574">
        <v>125.2</v>
      </c>
      <c r="K130" s="574">
        <v>12.6</v>
      </c>
      <c r="L130" s="574">
        <v>130.4</v>
      </c>
      <c r="M130" s="574">
        <v>13.6</v>
      </c>
      <c r="N130" s="574">
        <v>133.1</v>
      </c>
      <c r="O130" s="574">
        <v>15.3</v>
      </c>
      <c r="P130" s="574">
        <v>47.5</v>
      </c>
      <c r="Q130" s="574">
        <v>8.9</v>
      </c>
      <c r="R130" s="574">
        <v>125.2</v>
      </c>
      <c r="S130" s="574">
        <v>12.6</v>
      </c>
      <c r="T130" s="574">
        <v>130.4</v>
      </c>
      <c r="U130" s="574">
        <v>13.6</v>
      </c>
      <c r="V130" s="574">
        <v>133.1</v>
      </c>
      <c r="W130" s="574">
        <v>15.3</v>
      </c>
      <c r="X130" s="574">
        <v>47.5</v>
      </c>
      <c r="Y130" s="574">
        <v>8.9</v>
      </c>
      <c r="Z130" s="574">
        <v>125.2</v>
      </c>
      <c r="AA130" s="574">
        <v>12.6</v>
      </c>
      <c r="AB130" s="574">
        <v>130.4</v>
      </c>
      <c r="AC130" s="574">
        <v>13.6</v>
      </c>
      <c r="AD130" s="574">
        <v>133.1</v>
      </c>
      <c r="AE130" s="574">
        <v>133.1</v>
      </c>
      <c r="AF130">
        <v>130</v>
      </c>
      <c r="AG130" s="438">
        <f>IF(INDEX(D:AE,AF130,ADP!$AF$6)=0,"",INDEX(D:AE,AF130,ADP!$AF$6)+AH130)</f>
        <v>133.10012899999998</v>
      </c>
      <c r="AH130">
        <f t="shared" si="1"/>
        <v>1.2899999999999975E-4</v>
      </c>
    </row>
    <row r="131" spans="1:34" ht="15.75" thickBot="1" x14ac:dyDescent="0.3">
      <c r="A131" s="569" t="s">
        <v>1806</v>
      </c>
      <c r="B131" s="569" t="s">
        <v>149</v>
      </c>
      <c r="C131" s="569" t="s">
        <v>6</v>
      </c>
      <c r="D131" s="574"/>
      <c r="E131" s="574"/>
      <c r="F131" s="574"/>
      <c r="G131" s="574"/>
      <c r="H131" s="574"/>
      <c r="I131" s="574"/>
      <c r="J131" s="574"/>
      <c r="K131" s="574"/>
      <c r="L131" s="574"/>
      <c r="M131" s="574"/>
      <c r="N131" s="574"/>
      <c r="O131" s="574"/>
      <c r="P131" s="574"/>
      <c r="Q131" s="574"/>
      <c r="R131" s="574"/>
      <c r="S131" s="574"/>
      <c r="T131" s="574"/>
      <c r="U131" s="574"/>
      <c r="V131" s="574"/>
      <c r="W131" s="574"/>
      <c r="X131" s="574"/>
      <c r="Y131" s="574"/>
      <c r="Z131" s="574"/>
      <c r="AA131" s="574"/>
      <c r="AB131" s="574"/>
      <c r="AC131" s="574"/>
      <c r="AD131" s="574"/>
      <c r="AE131" s="574"/>
      <c r="AF131">
        <v>131</v>
      </c>
      <c r="AG131" s="438" t="str">
        <f>IF(INDEX(D:AE,AF131,ADP!$AF$6)=0,"",INDEX(D:AE,AF131,ADP!$AF$6)+AH131)</f>
        <v/>
      </c>
      <c r="AH131">
        <f t="shared" si="1"/>
        <v>1.2999999999999974E-4</v>
      </c>
    </row>
    <row r="132" spans="1:34" ht="15.75" thickBot="1" x14ac:dyDescent="0.3">
      <c r="A132" s="569" t="s">
        <v>1768</v>
      </c>
      <c r="B132" s="569" t="s">
        <v>1389</v>
      </c>
      <c r="C132" s="569" t="s">
        <v>3</v>
      </c>
      <c r="D132" s="574"/>
      <c r="E132" s="574"/>
      <c r="F132" s="574"/>
      <c r="G132" s="574"/>
      <c r="H132" s="574"/>
      <c r="I132" s="574"/>
      <c r="J132" s="574"/>
      <c r="K132" s="574"/>
      <c r="L132" s="574"/>
      <c r="M132" s="574"/>
      <c r="N132" s="574"/>
      <c r="O132" s="574"/>
      <c r="P132" s="574"/>
      <c r="Q132" s="574"/>
      <c r="R132" s="574"/>
      <c r="S132" s="574"/>
      <c r="T132" s="574"/>
      <c r="U132" s="574"/>
      <c r="V132" s="574"/>
      <c r="W132" s="574"/>
      <c r="X132" s="574"/>
      <c r="Y132" s="574"/>
      <c r="Z132" s="574"/>
      <c r="AA132" s="574"/>
      <c r="AB132" s="574"/>
      <c r="AC132" s="574"/>
      <c r="AD132" s="574"/>
      <c r="AE132" s="574"/>
      <c r="AF132">
        <v>132</v>
      </c>
      <c r="AG132" s="438" t="str">
        <f>IF(INDEX(D:AE,AF132,ADP!$AF$6)=0,"",INDEX(D:AE,AF132,ADP!$AF$6)+AH132)</f>
        <v/>
      </c>
      <c r="AH132">
        <f t="shared" ref="AH132:AH195" si="2">AH131+0.000001</f>
        <v>1.3099999999999974E-4</v>
      </c>
    </row>
    <row r="133" spans="1:34" ht="15.75" thickBot="1" x14ac:dyDescent="0.3">
      <c r="A133" s="569" t="s">
        <v>2065</v>
      </c>
      <c r="B133" s="569" t="s">
        <v>155</v>
      </c>
      <c r="C133" s="569" t="s">
        <v>7</v>
      </c>
      <c r="D133" s="574"/>
      <c r="E133" s="574"/>
      <c r="F133" s="574"/>
      <c r="G133" s="574"/>
      <c r="H133" s="574"/>
      <c r="I133" s="574"/>
      <c r="J133" s="574"/>
      <c r="K133" s="574"/>
      <c r="L133" s="574"/>
      <c r="M133" s="574"/>
      <c r="N133" s="574"/>
      <c r="O133" s="574"/>
      <c r="P133" s="574"/>
      <c r="Q133" s="574"/>
      <c r="R133" s="574"/>
      <c r="S133" s="574"/>
      <c r="T133" s="574"/>
      <c r="U133" s="574"/>
      <c r="V133" s="574"/>
      <c r="W133" s="574"/>
      <c r="X133" s="574"/>
      <c r="Y133" s="574"/>
      <c r="Z133" s="574"/>
      <c r="AA133" s="574"/>
      <c r="AB133" s="574"/>
      <c r="AC133" s="574"/>
      <c r="AD133" s="574"/>
      <c r="AE133" s="574"/>
      <c r="AF133">
        <v>133</v>
      </c>
      <c r="AG133" s="438" t="str">
        <f>IF(INDEX(D:AE,AF133,ADP!$AF$6)=0,"",INDEX(D:AE,AF133,ADP!$AF$6)+AH133)</f>
        <v/>
      </c>
      <c r="AH133">
        <f t="shared" si="2"/>
        <v>1.3199999999999974E-4</v>
      </c>
    </row>
    <row r="134" spans="1:34" ht="15.75" thickBot="1" x14ac:dyDescent="0.3">
      <c r="A134" s="569" t="s">
        <v>2418</v>
      </c>
      <c r="B134" s="569" t="s">
        <v>141</v>
      </c>
      <c r="C134" s="569" t="s">
        <v>3</v>
      </c>
      <c r="D134" s="569">
        <v>127.1</v>
      </c>
      <c r="E134" s="569">
        <v>10.9</v>
      </c>
      <c r="F134" s="569">
        <v>160.9</v>
      </c>
      <c r="G134" s="569">
        <v>23</v>
      </c>
      <c r="H134" s="569">
        <v>157.80000000000001</v>
      </c>
      <c r="I134" s="569">
        <v>23.9</v>
      </c>
      <c r="J134" s="569">
        <v>127.1</v>
      </c>
      <c r="K134" s="569">
        <v>10.9</v>
      </c>
      <c r="L134" s="569">
        <v>160.9</v>
      </c>
      <c r="M134" s="569">
        <v>23</v>
      </c>
      <c r="N134" s="569">
        <v>157.80000000000001</v>
      </c>
      <c r="O134" s="569">
        <v>23.9</v>
      </c>
      <c r="P134" s="569"/>
      <c r="Q134" s="569"/>
      <c r="R134" s="569">
        <v>127.1</v>
      </c>
      <c r="S134" s="569">
        <v>10.9</v>
      </c>
      <c r="T134" s="569">
        <v>160.9</v>
      </c>
      <c r="U134" s="569">
        <v>23</v>
      </c>
      <c r="V134" s="569">
        <v>157.80000000000001</v>
      </c>
      <c r="W134" s="569">
        <v>23.9</v>
      </c>
      <c r="X134" s="569"/>
      <c r="Y134" s="569"/>
      <c r="Z134" s="569">
        <v>127.1</v>
      </c>
      <c r="AA134" s="569">
        <v>10.9</v>
      </c>
      <c r="AB134" s="569">
        <v>160.9</v>
      </c>
      <c r="AC134" s="569">
        <v>23</v>
      </c>
      <c r="AD134" s="569">
        <v>157.80000000000001</v>
      </c>
      <c r="AE134" s="569">
        <v>157.80000000000001</v>
      </c>
      <c r="AF134">
        <v>134</v>
      </c>
      <c r="AG134" s="438">
        <f>IF(INDEX(D:AE,AF134,ADP!$AF$6)=0,"",INDEX(D:AE,AF134,ADP!$AF$6)+AH134)</f>
        <v>157.80013300000002</v>
      </c>
      <c r="AH134">
        <f t="shared" si="2"/>
        <v>1.3299999999999974E-4</v>
      </c>
    </row>
    <row r="135" spans="1:34" ht="15.75" thickBot="1" x14ac:dyDescent="0.3">
      <c r="A135" s="569" t="s">
        <v>2419</v>
      </c>
      <c r="B135" s="569" t="s">
        <v>1389</v>
      </c>
      <c r="C135" s="569" t="s">
        <v>3</v>
      </c>
      <c r="D135" s="574"/>
      <c r="E135" s="574"/>
      <c r="F135" s="574"/>
      <c r="G135" s="574"/>
      <c r="H135" s="574"/>
      <c r="I135" s="574"/>
      <c r="J135" s="574"/>
      <c r="K135" s="574"/>
      <c r="L135" s="574"/>
      <c r="M135" s="574"/>
      <c r="N135" s="574"/>
      <c r="O135" s="574"/>
      <c r="P135" s="574"/>
      <c r="Q135" s="574"/>
      <c r="R135" s="574"/>
      <c r="S135" s="574"/>
      <c r="T135" s="574"/>
      <c r="U135" s="574"/>
      <c r="V135" s="574"/>
      <c r="W135" s="574"/>
      <c r="X135" s="574"/>
      <c r="Y135" s="574"/>
      <c r="Z135" s="574"/>
      <c r="AA135" s="574"/>
      <c r="AB135" s="574"/>
      <c r="AC135" s="574"/>
      <c r="AD135" s="574"/>
      <c r="AE135" s="574"/>
      <c r="AF135">
        <v>135</v>
      </c>
      <c r="AG135" s="438" t="str">
        <f>IF(INDEX(D:AE,AF135,ADP!$AF$6)=0,"",INDEX(D:AE,AF135,ADP!$AF$6)+AH135)</f>
        <v/>
      </c>
      <c r="AH135">
        <f t="shared" si="2"/>
        <v>1.3399999999999973E-4</v>
      </c>
    </row>
    <row r="136" spans="1:34" ht="15.75" thickBot="1" x14ac:dyDescent="0.3">
      <c r="A136" s="569" t="s">
        <v>2557</v>
      </c>
      <c r="B136" s="569" t="s">
        <v>155</v>
      </c>
      <c r="C136" s="569" t="s">
        <v>6</v>
      </c>
      <c r="D136" s="574"/>
      <c r="E136" s="574"/>
      <c r="F136" s="574"/>
      <c r="G136" s="574"/>
      <c r="H136" s="574"/>
      <c r="I136" s="574"/>
      <c r="J136" s="574"/>
      <c r="K136" s="574"/>
      <c r="L136" s="574"/>
      <c r="M136" s="574"/>
      <c r="N136" s="574"/>
      <c r="O136" s="574"/>
      <c r="P136" s="574"/>
      <c r="Q136" s="574"/>
      <c r="R136" s="574"/>
      <c r="S136" s="574"/>
      <c r="T136" s="574"/>
      <c r="U136" s="574"/>
      <c r="V136" s="574"/>
      <c r="W136" s="574"/>
      <c r="X136" s="574"/>
      <c r="Y136" s="574"/>
      <c r="Z136" s="574"/>
      <c r="AA136" s="574"/>
      <c r="AB136" s="574"/>
      <c r="AC136" s="574"/>
      <c r="AD136" s="574"/>
      <c r="AE136" s="574"/>
      <c r="AF136">
        <v>136</v>
      </c>
      <c r="AG136" s="438" t="str">
        <f>IF(INDEX(D:AE,AF136,ADP!$AF$6)=0,"",INDEX(D:AE,AF136,ADP!$AF$6)+AH136)</f>
        <v/>
      </c>
      <c r="AH136">
        <f t="shared" si="2"/>
        <v>1.3499999999999973E-4</v>
      </c>
    </row>
    <row r="137" spans="1:34" ht="15.75" thickBot="1" x14ac:dyDescent="0.3">
      <c r="A137" s="569" t="s">
        <v>2201</v>
      </c>
      <c r="B137" s="569" t="s">
        <v>2272</v>
      </c>
      <c r="C137" s="569" t="s">
        <v>6</v>
      </c>
      <c r="D137" s="574">
        <v>160.6</v>
      </c>
      <c r="E137" s="574">
        <v>26.6</v>
      </c>
      <c r="F137" s="574">
        <v>136.80000000000001</v>
      </c>
      <c r="G137" s="574">
        <v>6.2</v>
      </c>
      <c r="H137" s="574">
        <v>122</v>
      </c>
      <c r="I137" s="574">
        <v>9.1999999999999993</v>
      </c>
      <c r="J137" s="574">
        <v>160.6</v>
      </c>
      <c r="K137" s="574">
        <v>26.6</v>
      </c>
      <c r="L137" s="574">
        <v>136.80000000000001</v>
      </c>
      <c r="M137" s="574">
        <v>6.2</v>
      </c>
      <c r="N137" s="574">
        <v>122</v>
      </c>
      <c r="O137" s="574">
        <v>9.1999999999999993</v>
      </c>
      <c r="P137" s="574">
        <v>133.80000000000001</v>
      </c>
      <c r="Q137" s="574">
        <v>10.9</v>
      </c>
      <c r="R137" s="574">
        <v>160.6</v>
      </c>
      <c r="S137" s="574">
        <v>26.6</v>
      </c>
      <c r="T137" s="574">
        <v>136.80000000000001</v>
      </c>
      <c r="U137" s="574">
        <v>6.2</v>
      </c>
      <c r="V137" s="574">
        <v>122</v>
      </c>
      <c r="W137" s="574">
        <v>9.1999999999999993</v>
      </c>
      <c r="X137" s="574">
        <v>133.80000000000001</v>
      </c>
      <c r="Y137" s="574">
        <v>10.9</v>
      </c>
      <c r="Z137" s="574">
        <v>160.6</v>
      </c>
      <c r="AA137" s="574">
        <v>26.6</v>
      </c>
      <c r="AB137" s="574">
        <v>136.80000000000001</v>
      </c>
      <c r="AC137" s="574">
        <v>6.2</v>
      </c>
      <c r="AD137" s="574">
        <v>122</v>
      </c>
      <c r="AE137" s="574">
        <v>122</v>
      </c>
      <c r="AF137">
        <v>137</v>
      </c>
      <c r="AG137" s="438">
        <f>IF(INDEX(D:AE,AF137,ADP!$AF$6)=0,"",INDEX(D:AE,AF137,ADP!$AF$6)+AH137)</f>
        <v>122.000136</v>
      </c>
      <c r="AH137">
        <f t="shared" si="2"/>
        <v>1.3599999999999973E-4</v>
      </c>
    </row>
    <row r="138" spans="1:34" ht="15.75" thickBot="1" x14ac:dyDescent="0.3">
      <c r="A138" s="569" t="s">
        <v>1955</v>
      </c>
      <c r="B138" s="569" t="s">
        <v>146</v>
      </c>
      <c r="C138" s="569" t="s">
        <v>3</v>
      </c>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569"/>
      <c r="AB138" s="569"/>
      <c r="AC138" s="569"/>
      <c r="AD138" s="569"/>
      <c r="AE138" s="569"/>
      <c r="AF138">
        <v>138</v>
      </c>
      <c r="AG138" s="438" t="str">
        <f>IF(INDEX(D:AE,AF138,ADP!$AF$6)=0,"",INDEX(D:AE,AF138,ADP!$AF$6)+AH138)</f>
        <v/>
      </c>
      <c r="AH138">
        <f t="shared" si="2"/>
        <v>1.3699999999999973E-4</v>
      </c>
    </row>
    <row r="139" spans="1:34" ht="15.75" thickBot="1" x14ac:dyDescent="0.3">
      <c r="A139" s="569" t="s">
        <v>2335</v>
      </c>
      <c r="B139" s="569" t="s">
        <v>139</v>
      </c>
      <c r="C139" s="569" t="s">
        <v>6</v>
      </c>
      <c r="D139" s="569">
        <v>158.30000000000001</v>
      </c>
      <c r="E139" s="569">
        <v>15.3</v>
      </c>
      <c r="F139" s="569">
        <v>148</v>
      </c>
      <c r="G139" s="569">
        <v>16.7</v>
      </c>
      <c r="H139" s="569">
        <v>126.9</v>
      </c>
      <c r="I139" s="569">
        <v>11.1</v>
      </c>
      <c r="J139" s="569">
        <v>158.30000000000001</v>
      </c>
      <c r="K139" s="569">
        <v>15.3</v>
      </c>
      <c r="L139" s="569">
        <v>148</v>
      </c>
      <c r="M139" s="569">
        <v>16.7</v>
      </c>
      <c r="N139" s="569">
        <v>126.9</v>
      </c>
      <c r="O139" s="569">
        <v>11.1</v>
      </c>
      <c r="P139" s="569">
        <v>150.4</v>
      </c>
      <c r="Q139" s="569">
        <v>16.7</v>
      </c>
      <c r="R139" s="569">
        <v>158.30000000000001</v>
      </c>
      <c r="S139" s="569">
        <v>15.3</v>
      </c>
      <c r="T139" s="569">
        <v>148</v>
      </c>
      <c r="U139" s="569">
        <v>16.7</v>
      </c>
      <c r="V139" s="569">
        <v>126.9</v>
      </c>
      <c r="W139" s="569">
        <v>11.1</v>
      </c>
      <c r="X139" s="569">
        <v>150.4</v>
      </c>
      <c r="Y139" s="569">
        <v>16.7</v>
      </c>
      <c r="Z139" s="569">
        <v>158.30000000000001</v>
      </c>
      <c r="AA139" s="569">
        <v>15.3</v>
      </c>
      <c r="AB139" s="569">
        <v>148</v>
      </c>
      <c r="AC139" s="569">
        <v>16.7</v>
      </c>
      <c r="AD139" s="569">
        <v>126.9</v>
      </c>
      <c r="AE139" s="569">
        <v>126.9</v>
      </c>
      <c r="AF139">
        <v>139</v>
      </c>
      <c r="AG139" s="438">
        <f>IF(INDEX(D:AE,AF139,ADP!$AF$6)=0,"",INDEX(D:AE,AF139,ADP!$AF$6)+AH139)</f>
        <v>126.90013800000001</v>
      </c>
      <c r="AH139">
        <f t="shared" si="2"/>
        <v>1.3799999999999972E-4</v>
      </c>
    </row>
    <row r="140" spans="1:34" ht="15.75" thickBot="1" x14ac:dyDescent="0.3">
      <c r="A140" s="569" t="s">
        <v>130</v>
      </c>
      <c r="B140" s="569" t="s">
        <v>151</v>
      </c>
      <c r="C140" s="569" t="s">
        <v>6</v>
      </c>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569"/>
      <c r="AB140" s="569"/>
      <c r="AC140" s="569"/>
      <c r="AD140" s="569"/>
      <c r="AE140" s="569"/>
      <c r="AF140">
        <v>140</v>
      </c>
      <c r="AG140" s="438" t="str">
        <f>IF(INDEX(D:AE,AF140,ADP!$AF$6)=0,"",INDEX(D:AE,AF140,ADP!$AF$6)+AH140)</f>
        <v/>
      </c>
      <c r="AH140">
        <f t="shared" si="2"/>
        <v>1.3899999999999972E-4</v>
      </c>
    </row>
    <row r="141" spans="1:34" ht="15.75" thickBot="1" x14ac:dyDescent="0.3">
      <c r="A141" s="569" t="s">
        <v>2124</v>
      </c>
      <c r="B141" s="569" t="s">
        <v>141</v>
      </c>
      <c r="C141" s="569" t="s">
        <v>7</v>
      </c>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569"/>
      <c r="AB141" s="569"/>
      <c r="AC141" s="569"/>
      <c r="AD141" s="569"/>
      <c r="AE141" s="569"/>
      <c r="AF141">
        <v>141</v>
      </c>
      <c r="AG141" s="438" t="str">
        <f>IF(INDEX(D:AE,AF141,ADP!$AF$6)=0,"",INDEX(D:AE,AF141,ADP!$AF$6)+AH141)</f>
        <v/>
      </c>
      <c r="AH141">
        <f t="shared" si="2"/>
        <v>1.3999999999999972E-4</v>
      </c>
    </row>
    <row r="142" spans="1:34" ht="15.75" thickBot="1" x14ac:dyDescent="0.3">
      <c r="A142" s="569" t="s">
        <v>2420</v>
      </c>
      <c r="B142" s="569" t="s">
        <v>166</v>
      </c>
      <c r="C142" s="569" t="s">
        <v>6</v>
      </c>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569"/>
      <c r="AB142" s="569"/>
      <c r="AC142" s="569"/>
      <c r="AD142" s="569"/>
      <c r="AE142" s="569"/>
      <c r="AF142">
        <v>142</v>
      </c>
      <c r="AG142" s="438" t="str">
        <f>IF(INDEX(D:AE,AF142,ADP!$AF$6)=0,"",INDEX(D:AE,AF142,ADP!$AF$6)+AH142)</f>
        <v/>
      </c>
      <c r="AH142">
        <f t="shared" si="2"/>
        <v>1.4099999999999971E-4</v>
      </c>
    </row>
    <row r="143" spans="1:34" ht="15.75" thickBot="1" x14ac:dyDescent="0.3">
      <c r="A143" s="569" t="s">
        <v>1977</v>
      </c>
      <c r="B143" s="569" t="s">
        <v>166</v>
      </c>
      <c r="C143" s="569" t="s">
        <v>6</v>
      </c>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569"/>
      <c r="AB143" s="569"/>
      <c r="AC143" s="569"/>
      <c r="AD143" s="569"/>
      <c r="AE143" s="569"/>
      <c r="AF143">
        <v>143</v>
      </c>
      <c r="AG143" s="438" t="str">
        <f>IF(INDEX(D:AE,AF143,ADP!$AF$6)=0,"",INDEX(D:AE,AF143,ADP!$AF$6)+AH143)</f>
        <v/>
      </c>
      <c r="AH143">
        <f t="shared" si="2"/>
        <v>1.4199999999999971E-4</v>
      </c>
    </row>
    <row r="144" spans="1:34" ht="15.75" thickBot="1" x14ac:dyDescent="0.3">
      <c r="A144" s="569" t="s">
        <v>2381</v>
      </c>
      <c r="B144" s="569" t="s">
        <v>142</v>
      </c>
      <c r="C144" s="569" t="s">
        <v>11</v>
      </c>
      <c r="D144" s="574"/>
      <c r="E144" s="574"/>
      <c r="F144" s="574"/>
      <c r="G144" s="574"/>
      <c r="H144" s="574"/>
      <c r="I144" s="574"/>
      <c r="J144" s="574"/>
      <c r="K144" s="574"/>
      <c r="L144" s="574"/>
      <c r="M144" s="574"/>
      <c r="N144" s="574"/>
      <c r="O144" s="574"/>
      <c r="P144" s="574"/>
      <c r="Q144" s="574"/>
      <c r="R144" s="574"/>
      <c r="S144" s="574"/>
      <c r="T144" s="574"/>
      <c r="U144" s="574"/>
      <c r="V144" s="574"/>
      <c r="W144" s="574"/>
      <c r="X144" s="574"/>
      <c r="Y144" s="574"/>
      <c r="Z144" s="574"/>
      <c r="AA144" s="574"/>
      <c r="AB144" s="574"/>
      <c r="AC144" s="574"/>
      <c r="AD144" s="574"/>
      <c r="AE144" s="574"/>
      <c r="AF144">
        <v>144</v>
      </c>
      <c r="AG144" s="438" t="str">
        <f>IF(INDEX(D:AE,AF144,ADP!$AF$6)=0,"",INDEX(D:AE,AF144,ADP!$AF$6)+AH144)</f>
        <v/>
      </c>
      <c r="AH144">
        <f t="shared" si="2"/>
        <v>1.4299999999999971E-4</v>
      </c>
    </row>
    <row r="145" spans="1:34" ht="15.75" thickBot="1" x14ac:dyDescent="0.3">
      <c r="A145" s="569" t="s">
        <v>2184</v>
      </c>
      <c r="B145" s="569" t="s">
        <v>146</v>
      </c>
      <c r="C145" s="569" t="s">
        <v>3</v>
      </c>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569"/>
      <c r="AB145" s="569"/>
      <c r="AC145" s="569"/>
      <c r="AD145" s="569"/>
      <c r="AE145" s="569"/>
      <c r="AF145">
        <v>145</v>
      </c>
      <c r="AG145" s="438" t="str">
        <f>IF(INDEX(D:AE,AF145,ADP!$AF$6)=0,"",INDEX(D:AE,AF145,ADP!$AF$6)+AH145)</f>
        <v/>
      </c>
      <c r="AH145">
        <f t="shared" si="2"/>
        <v>1.4399999999999971E-4</v>
      </c>
    </row>
    <row r="146" spans="1:34" ht="15.75" thickBot="1" x14ac:dyDescent="0.3">
      <c r="A146" s="569" t="s">
        <v>1803</v>
      </c>
      <c r="B146" s="569" t="s">
        <v>136</v>
      </c>
      <c r="C146" s="569" t="s">
        <v>6</v>
      </c>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569"/>
      <c r="AB146" s="569"/>
      <c r="AC146" s="569"/>
      <c r="AD146" s="569"/>
      <c r="AE146" s="569"/>
      <c r="AF146">
        <v>146</v>
      </c>
      <c r="AG146" s="438" t="str">
        <f>IF(INDEX(D:AE,AF146,ADP!$AF$6)=0,"",INDEX(D:AE,AF146,ADP!$AF$6)+AH146)</f>
        <v/>
      </c>
      <c r="AH146">
        <f t="shared" si="2"/>
        <v>1.449999999999997E-4</v>
      </c>
    </row>
    <row r="147" spans="1:34" ht="15.75" thickBot="1" x14ac:dyDescent="0.3">
      <c r="A147" s="569" t="s">
        <v>2180</v>
      </c>
      <c r="B147" s="569" t="s">
        <v>157</v>
      </c>
      <c r="C147" s="569" t="s">
        <v>3</v>
      </c>
      <c r="D147" s="569">
        <v>24</v>
      </c>
      <c r="E147" s="569">
        <v>3.8</v>
      </c>
      <c r="F147" s="569">
        <v>23.9</v>
      </c>
      <c r="G147" s="569">
        <v>3.6</v>
      </c>
      <c r="H147" s="569">
        <v>23</v>
      </c>
      <c r="I147" s="569">
        <v>3.2</v>
      </c>
      <c r="J147" s="569">
        <v>24</v>
      </c>
      <c r="K147" s="569">
        <v>3.8</v>
      </c>
      <c r="L147" s="569">
        <v>23.9</v>
      </c>
      <c r="M147" s="569">
        <v>3.6</v>
      </c>
      <c r="N147" s="569">
        <v>23</v>
      </c>
      <c r="O147" s="569">
        <v>3.2</v>
      </c>
      <c r="P147" s="569">
        <v>36.299999999999997</v>
      </c>
      <c r="Q147" s="569">
        <v>4.5999999999999996</v>
      </c>
      <c r="R147" s="569">
        <v>24</v>
      </c>
      <c r="S147" s="569">
        <v>3.8</v>
      </c>
      <c r="T147" s="569">
        <v>23.9</v>
      </c>
      <c r="U147" s="569">
        <v>3.6</v>
      </c>
      <c r="V147" s="569">
        <v>23</v>
      </c>
      <c r="W147" s="569">
        <v>3.2</v>
      </c>
      <c r="X147" s="569">
        <v>36.299999999999997</v>
      </c>
      <c r="Y147" s="569">
        <v>4.5999999999999996</v>
      </c>
      <c r="Z147" s="569">
        <v>24</v>
      </c>
      <c r="AA147" s="569">
        <v>3.8</v>
      </c>
      <c r="AB147" s="569">
        <v>23.9</v>
      </c>
      <c r="AC147" s="569">
        <v>3.6</v>
      </c>
      <c r="AD147" s="569">
        <v>23</v>
      </c>
      <c r="AE147" s="569">
        <v>23</v>
      </c>
      <c r="AF147">
        <v>147</v>
      </c>
      <c r="AG147" s="438">
        <f>IF(INDEX(D:AE,AF147,ADP!$AF$6)=0,"",INDEX(D:AE,AF147,ADP!$AF$6)+AH147)</f>
        <v>23.000146000000001</v>
      </c>
      <c r="AH147">
        <f t="shared" si="2"/>
        <v>1.459999999999997E-4</v>
      </c>
    </row>
    <row r="148" spans="1:34" ht="15.75" thickBot="1" x14ac:dyDescent="0.3">
      <c r="A148" s="569" t="s">
        <v>2242</v>
      </c>
      <c r="B148" s="569" t="s">
        <v>156</v>
      </c>
      <c r="C148" s="569" t="s">
        <v>3</v>
      </c>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569"/>
      <c r="AB148" s="569"/>
      <c r="AC148" s="569"/>
      <c r="AD148" s="569"/>
      <c r="AE148" s="569"/>
      <c r="AF148">
        <v>148</v>
      </c>
      <c r="AG148" s="438" t="str">
        <f>IF(INDEX(D:AE,AF148,ADP!$AF$6)=0,"",INDEX(D:AE,AF148,ADP!$AF$6)+AH148)</f>
        <v/>
      </c>
      <c r="AH148">
        <f t="shared" si="2"/>
        <v>1.469999999999997E-4</v>
      </c>
    </row>
    <row r="149" spans="1:34" ht="15.75" thickBot="1" x14ac:dyDescent="0.3">
      <c r="A149" s="569" t="s">
        <v>2242</v>
      </c>
      <c r="B149" s="569" t="s">
        <v>156</v>
      </c>
      <c r="C149" s="569" t="s">
        <v>7</v>
      </c>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569"/>
      <c r="AB149" s="569"/>
      <c r="AC149" s="569"/>
      <c r="AD149" s="569"/>
      <c r="AE149" s="569"/>
      <c r="AF149">
        <v>149</v>
      </c>
      <c r="AG149" s="438" t="str">
        <f>IF(INDEX(D:AE,AF149,ADP!$AF$6)=0,"",INDEX(D:AE,AF149,ADP!$AF$6)+AH149)</f>
        <v/>
      </c>
      <c r="AH149">
        <f t="shared" si="2"/>
        <v>1.4799999999999969E-4</v>
      </c>
    </row>
    <row r="150" spans="1:34" ht="15.75" thickBot="1" x14ac:dyDescent="0.3">
      <c r="A150" s="569" t="s">
        <v>2211</v>
      </c>
      <c r="B150" s="569" t="s">
        <v>155</v>
      </c>
      <c r="C150" s="569" t="s">
        <v>6</v>
      </c>
      <c r="D150" s="574"/>
      <c r="E150" s="574"/>
      <c r="F150" s="574"/>
      <c r="G150" s="574"/>
      <c r="H150" s="574"/>
      <c r="I150" s="574"/>
      <c r="J150" s="574"/>
      <c r="K150" s="574"/>
      <c r="L150" s="574"/>
      <c r="M150" s="574"/>
      <c r="N150" s="574"/>
      <c r="O150" s="574"/>
      <c r="P150" s="569"/>
      <c r="Q150" s="569"/>
      <c r="R150" s="574"/>
      <c r="S150" s="574"/>
      <c r="T150" s="574"/>
      <c r="U150" s="574"/>
      <c r="V150" s="574"/>
      <c r="W150" s="574"/>
      <c r="X150" s="569"/>
      <c r="Y150" s="569"/>
      <c r="Z150" s="574"/>
      <c r="AA150" s="574"/>
      <c r="AB150" s="574"/>
      <c r="AC150" s="574"/>
      <c r="AD150" s="574"/>
      <c r="AE150" s="574"/>
      <c r="AF150">
        <v>150</v>
      </c>
      <c r="AG150" s="438" t="str">
        <f>IF(INDEX(D:AE,AF150,ADP!$AF$6)=0,"",INDEX(D:AE,AF150,ADP!$AF$6)+AH150)</f>
        <v/>
      </c>
      <c r="AH150">
        <f t="shared" si="2"/>
        <v>1.4899999999999969E-4</v>
      </c>
    </row>
    <row r="151" spans="1:34" ht="15.75" thickBot="1" x14ac:dyDescent="0.3">
      <c r="A151" s="569" t="s">
        <v>2198</v>
      </c>
      <c r="B151" s="569" t="s">
        <v>162</v>
      </c>
      <c r="C151" s="569" t="s">
        <v>6</v>
      </c>
      <c r="D151" s="569">
        <v>84.7</v>
      </c>
      <c r="E151" s="569">
        <v>6.8</v>
      </c>
      <c r="F151" s="569">
        <v>106</v>
      </c>
      <c r="G151" s="569">
        <v>7.2</v>
      </c>
      <c r="H151" s="569">
        <v>102</v>
      </c>
      <c r="I151" s="569">
        <v>8.1</v>
      </c>
      <c r="J151" s="569">
        <v>84.7</v>
      </c>
      <c r="K151" s="569">
        <v>6.8</v>
      </c>
      <c r="L151" s="569">
        <v>106</v>
      </c>
      <c r="M151" s="569">
        <v>7.2</v>
      </c>
      <c r="N151" s="569">
        <v>102</v>
      </c>
      <c r="O151" s="569">
        <v>8.1</v>
      </c>
      <c r="P151" s="569">
        <v>102.3</v>
      </c>
      <c r="Q151" s="569">
        <v>7.4</v>
      </c>
      <c r="R151" s="569">
        <v>84.7</v>
      </c>
      <c r="S151" s="569">
        <v>6.8</v>
      </c>
      <c r="T151" s="569">
        <v>106</v>
      </c>
      <c r="U151" s="569">
        <v>7.2</v>
      </c>
      <c r="V151" s="569">
        <v>102</v>
      </c>
      <c r="W151" s="569">
        <v>8.1</v>
      </c>
      <c r="X151" s="569">
        <v>102.3</v>
      </c>
      <c r="Y151" s="569">
        <v>7.4</v>
      </c>
      <c r="Z151" s="569">
        <v>84.7</v>
      </c>
      <c r="AA151" s="569">
        <v>6.8</v>
      </c>
      <c r="AB151" s="569">
        <v>106</v>
      </c>
      <c r="AC151" s="569">
        <v>7.2</v>
      </c>
      <c r="AD151" s="569">
        <v>102</v>
      </c>
      <c r="AE151" s="569">
        <v>102</v>
      </c>
      <c r="AF151">
        <v>151</v>
      </c>
      <c r="AG151" s="438">
        <f>IF(INDEX(D:AE,AF151,ADP!$AF$6)=0,"",INDEX(D:AE,AF151,ADP!$AF$6)+AH151)</f>
        <v>102.00015</v>
      </c>
      <c r="AH151">
        <f t="shared" si="2"/>
        <v>1.4999999999999969E-4</v>
      </c>
    </row>
    <row r="152" spans="1:34" ht="15.75" thickBot="1" x14ac:dyDescent="0.3">
      <c r="A152" s="569" t="s">
        <v>2421</v>
      </c>
      <c r="B152" s="569" t="s">
        <v>143</v>
      </c>
      <c r="C152" s="569" t="s">
        <v>6</v>
      </c>
      <c r="D152" s="574"/>
      <c r="E152" s="574"/>
      <c r="F152" s="574"/>
      <c r="G152" s="574"/>
      <c r="H152" s="574"/>
      <c r="I152" s="574"/>
      <c r="J152" s="574"/>
      <c r="K152" s="574"/>
      <c r="L152" s="574"/>
      <c r="M152" s="574"/>
      <c r="N152" s="574"/>
      <c r="O152" s="574"/>
      <c r="P152" s="574"/>
      <c r="Q152" s="574"/>
      <c r="R152" s="574"/>
      <c r="S152" s="574"/>
      <c r="T152" s="574"/>
      <c r="U152" s="574"/>
      <c r="V152" s="574"/>
      <c r="W152" s="574"/>
      <c r="X152" s="574"/>
      <c r="Y152" s="574"/>
      <c r="Z152" s="574"/>
      <c r="AA152" s="574"/>
      <c r="AB152" s="574"/>
      <c r="AC152" s="574"/>
      <c r="AD152" s="574"/>
      <c r="AE152" s="574"/>
      <c r="AF152">
        <v>152</v>
      </c>
      <c r="AG152" s="438" t="str">
        <f>IF(INDEX(D:AE,AF152,ADP!$AF$6)=0,"",INDEX(D:AE,AF152,ADP!$AF$6)+AH152)</f>
        <v/>
      </c>
      <c r="AH152">
        <f t="shared" si="2"/>
        <v>1.5099999999999969E-4</v>
      </c>
    </row>
    <row r="153" spans="1:34" ht="15.75" thickBot="1" x14ac:dyDescent="0.3">
      <c r="A153" s="569" t="s">
        <v>2422</v>
      </c>
      <c r="B153" s="569" t="s">
        <v>136</v>
      </c>
      <c r="C153" s="569" t="s">
        <v>6</v>
      </c>
      <c r="D153" s="569"/>
      <c r="E153" s="569"/>
      <c r="F153" s="569"/>
      <c r="G153" s="569"/>
      <c r="H153" s="569"/>
      <c r="I153" s="569"/>
      <c r="J153" s="569"/>
      <c r="K153" s="569"/>
      <c r="L153" s="569"/>
      <c r="M153" s="569"/>
      <c r="N153" s="569"/>
      <c r="O153" s="569"/>
      <c r="P153" s="569"/>
      <c r="Q153" s="569"/>
      <c r="R153" s="569"/>
      <c r="S153" s="569"/>
      <c r="T153" s="569"/>
      <c r="U153" s="569"/>
      <c r="V153" s="569"/>
      <c r="W153" s="569"/>
      <c r="X153" s="569"/>
      <c r="Y153" s="569"/>
      <c r="Z153" s="569"/>
      <c r="AA153" s="569"/>
      <c r="AB153" s="569"/>
      <c r="AC153" s="569"/>
      <c r="AD153" s="569"/>
      <c r="AE153" s="569"/>
      <c r="AF153">
        <v>153</v>
      </c>
      <c r="AG153" s="438" t="str">
        <f>IF(INDEX(D:AE,AF153,ADP!$AF$6)=0,"",INDEX(D:AE,AF153,ADP!$AF$6)+AH153)</f>
        <v/>
      </c>
      <c r="AH153">
        <f t="shared" si="2"/>
        <v>1.5199999999999968E-4</v>
      </c>
    </row>
    <row r="154" spans="1:34" ht="15.75" thickBot="1" x14ac:dyDescent="0.3">
      <c r="A154" s="569" t="s">
        <v>1767</v>
      </c>
      <c r="B154" s="569" t="s">
        <v>137</v>
      </c>
      <c r="C154" s="569" t="s">
        <v>3</v>
      </c>
      <c r="D154" s="574">
        <v>84.8</v>
      </c>
      <c r="E154" s="574">
        <v>4.7</v>
      </c>
      <c r="F154" s="574">
        <v>83.9</v>
      </c>
      <c r="G154" s="574">
        <v>5.0999999999999996</v>
      </c>
      <c r="H154" s="574">
        <v>96.8</v>
      </c>
      <c r="I154" s="574">
        <v>7.3</v>
      </c>
      <c r="J154" s="574">
        <v>84.8</v>
      </c>
      <c r="K154" s="574">
        <v>4.7</v>
      </c>
      <c r="L154" s="574">
        <v>83.9</v>
      </c>
      <c r="M154" s="574">
        <v>5.0999999999999996</v>
      </c>
      <c r="N154" s="574">
        <v>96.8</v>
      </c>
      <c r="O154" s="574">
        <v>7.3</v>
      </c>
      <c r="P154" s="574">
        <v>91.3</v>
      </c>
      <c r="Q154" s="574">
        <v>6.3</v>
      </c>
      <c r="R154" s="574">
        <v>84.8</v>
      </c>
      <c r="S154" s="574">
        <v>4.7</v>
      </c>
      <c r="T154" s="574">
        <v>83.9</v>
      </c>
      <c r="U154" s="574">
        <v>5.0999999999999996</v>
      </c>
      <c r="V154" s="574">
        <v>96.8</v>
      </c>
      <c r="W154" s="574">
        <v>7.3</v>
      </c>
      <c r="X154" s="574">
        <v>91.3</v>
      </c>
      <c r="Y154" s="574">
        <v>6.3</v>
      </c>
      <c r="Z154" s="574">
        <v>84.8</v>
      </c>
      <c r="AA154" s="574">
        <v>4.7</v>
      </c>
      <c r="AB154" s="574">
        <v>83.9</v>
      </c>
      <c r="AC154" s="574">
        <v>5.0999999999999996</v>
      </c>
      <c r="AD154" s="574">
        <v>96.8</v>
      </c>
      <c r="AE154" s="574">
        <v>96.8</v>
      </c>
      <c r="AF154">
        <v>154</v>
      </c>
      <c r="AG154" s="438">
        <f>IF(INDEX(D:AE,AF154,ADP!$AF$6)=0,"",INDEX(D:AE,AF154,ADP!$AF$6)+AH154)</f>
        <v>96.800152999999995</v>
      </c>
      <c r="AH154">
        <f t="shared" si="2"/>
        <v>1.5299999999999968E-4</v>
      </c>
    </row>
    <row r="155" spans="1:34" ht="15.75" thickBot="1" x14ac:dyDescent="0.3">
      <c r="A155" s="569" t="s">
        <v>40</v>
      </c>
      <c r="B155" s="569" t="s">
        <v>164</v>
      </c>
      <c r="C155" s="569" t="s">
        <v>6</v>
      </c>
      <c r="D155" s="574"/>
      <c r="E155" s="574"/>
      <c r="F155" s="574"/>
      <c r="G155" s="574"/>
      <c r="H155" s="574"/>
      <c r="I155" s="574"/>
      <c r="J155" s="574"/>
      <c r="K155" s="574"/>
      <c r="L155" s="574"/>
      <c r="M155" s="574"/>
      <c r="N155" s="574"/>
      <c r="O155" s="574"/>
      <c r="P155" s="574"/>
      <c r="Q155" s="574"/>
      <c r="R155" s="574"/>
      <c r="S155" s="574"/>
      <c r="T155" s="574"/>
      <c r="U155" s="574"/>
      <c r="V155" s="574"/>
      <c r="W155" s="574"/>
      <c r="X155" s="574"/>
      <c r="Y155" s="574"/>
      <c r="Z155" s="574"/>
      <c r="AA155" s="574"/>
      <c r="AB155" s="574"/>
      <c r="AC155" s="574"/>
      <c r="AD155" s="574"/>
      <c r="AE155" s="574"/>
      <c r="AF155">
        <v>155</v>
      </c>
      <c r="AG155" s="438" t="str">
        <f>IF(INDEX(D:AE,AF155,ADP!$AF$6)=0,"",INDEX(D:AE,AF155,ADP!$AF$6)+AH155)</f>
        <v/>
      </c>
      <c r="AH155">
        <f t="shared" si="2"/>
        <v>1.5399999999999968E-4</v>
      </c>
    </row>
    <row r="156" spans="1:34" ht="15.75" thickBot="1" x14ac:dyDescent="0.3">
      <c r="A156" s="569" t="s">
        <v>2559</v>
      </c>
      <c r="B156" s="569" t="s">
        <v>149</v>
      </c>
      <c r="C156" s="569" t="s">
        <v>6</v>
      </c>
      <c r="D156" s="569"/>
      <c r="E156" s="569"/>
      <c r="F156" s="569"/>
      <c r="G156" s="569"/>
      <c r="H156" s="569"/>
      <c r="I156" s="569"/>
      <c r="J156" s="569"/>
      <c r="K156" s="569"/>
      <c r="L156" s="569"/>
      <c r="M156" s="569"/>
      <c r="N156" s="569"/>
      <c r="O156" s="569"/>
      <c r="P156" s="569"/>
      <c r="Q156" s="569"/>
      <c r="R156" s="569"/>
      <c r="S156" s="569"/>
      <c r="T156" s="569"/>
      <c r="U156" s="569"/>
      <c r="V156" s="569"/>
      <c r="W156" s="569"/>
      <c r="X156" s="569"/>
      <c r="Y156" s="569"/>
      <c r="Z156" s="569"/>
      <c r="AA156" s="569"/>
      <c r="AB156" s="569"/>
      <c r="AC156" s="569"/>
      <c r="AD156" s="569"/>
      <c r="AE156" s="569"/>
      <c r="AF156">
        <v>156</v>
      </c>
      <c r="AG156" s="438" t="str">
        <f>IF(INDEX(D:AE,AF156,ADP!$AF$6)=0,"",INDEX(D:AE,AF156,ADP!$AF$6)+AH156)</f>
        <v/>
      </c>
      <c r="AH156">
        <f t="shared" si="2"/>
        <v>1.5499999999999967E-4</v>
      </c>
    </row>
    <row r="157" spans="1:34" ht="15.75" thickBot="1" x14ac:dyDescent="0.3">
      <c r="A157" s="569" t="s">
        <v>1280</v>
      </c>
      <c r="B157" s="569" t="s">
        <v>166</v>
      </c>
      <c r="C157" s="569" t="s">
        <v>3</v>
      </c>
      <c r="D157" s="569">
        <v>113</v>
      </c>
      <c r="E157" s="569">
        <v>8.6999999999999993</v>
      </c>
      <c r="F157" s="569">
        <v>110.9</v>
      </c>
      <c r="G157" s="569">
        <v>7.6</v>
      </c>
      <c r="H157" s="569">
        <v>124.6</v>
      </c>
      <c r="I157" s="569">
        <v>11.4</v>
      </c>
      <c r="J157" s="569">
        <v>113</v>
      </c>
      <c r="K157" s="569">
        <v>8.6999999999999993</v>
      </c>
      <c r="L157" s="569">
        <v>110.9</v>
      </c>
      <c r="M157" s="569">
        <v>7.6</v>
      </c>
      <c r="N157" s="569">
        <v>124.6</v>
      </c>
      <c r="O157" s="569">
        <v>11.4</v>
      </c>
      <c r="P157" s="569">
        <v>114.2</v>
      </c>
      <c r="Q157" s="569">
        <v>9.9</v>
      </c>
      <c r="R157" s="569">
        <v>113</v>
      </c>
      <c r="S157" s="569">
        <v>8.6999999999999993</v>
      </c>
      <c r="T157" s="569">
        <v>110.9</v>
      </c>
      <c r="U157" s="569">
        <v>7.6</v>
      </c>
      <c r="V157" s="569">
        <v>124.6</v>
      </c>
      <c r="W157" s="569">
        <v>11.4</v>
      </c>
      <c r="X157" s="569">
        <v>114.2</v>
      </c>
      <c r="Y157" s="569">
        <v>9.9</v>
      </c>
      <c r="Z157" s="569">
        <v>113</v>
      </c>
      <c r="AA157" s="569">
        <v>8.6999999999999993</v>
      </c>
      <c r="AB157" s="569">
        <v>110.9</v>
      </c>
      <c r="AC157" s="569">
        <v>7.6</v>
      </c>
      <c r="AD157" s="569">
        <v>124.6</v>
      </c>
      <c r="AE157" s="569">
        <v>124.6</v>
      </c>
      <c r="AF157">
        <v>157</v>
      </c>
      <c r="AG157" s="438">
        <f>IF(INDEX(D:AE,AF157,ADP!$AF$6)=0,"",INDEX(D:AE,AF157,ADP!$AF$6)+AH157)</f>
        <v>124.600156</v>
      </c>
      <c r="AH157">
        <f t="shared" si="2"/>
        <v>1.5599999999999967E-4</v>
      </c>
    </row>
    <row r="158" spans="1:34" ht="15.75" thickBot="1" x14ac:dyDescent="0.3">
      <c r="A158" s="569" t="s">
        <v>2423</v>
      </c>
      <c r="B158" s="569" t="s">
        <v>159</v>
      </c>
      <c r="C158" s="569" t="s">
        <v>3</v>
      </c>
      <c r="D158" s="569"/>
      <c r="E158" s="569"/>
      <c r="F158" s="569"/>
      <c r="G158" s="569"/>
      <c r="H158" s="569"/>
      <c r="I158" s="569"/>
      <c r="J158" s="569"/>
      <c r="K158" s="569"/>
      <c r="L158" s="569"/>
      <c r="M158" s="569"/>
      <c r="N158" s="569"/>
      <c r="O158" s="569"/>
      <c r="P158" s="569"/>
      <c r="Q158" s="569"/>
      <c r="R158" s="569"/>
      <c r="S158" s="569"/>
      <c r="T158" s="569"/>
      <c r="U158" s="569"/>
      <c r="V158" s="569"/>
      <c r="W158" s="569"/>
      <c r="X158" s="569"/>
      <c r="Y158" s="569"/>
      <c r="Z158" s="569"/>
      <c r="AA158" s="569"/>
      <c r="AB158" s="569"/>
      <c r="AC158" s="569"/>
      <c r="AD158" s="569"/>
      <c r="AE158" s="569"/>
      <c r="AF158">
        <v>158</v>
      </c>
      <c r="AG158" s="438" t="str">
        <f>IF(INDEX(D:AE,AF158,ADP!$AF$6)=0,"",INDEX(D:AE,AF158,ADP!$AF$6)+AH158)</f>
        <v/>
      </c>
      <c r="AH158">
        <f t="shared" si="2"/>
        <v>1.5699999999999967E-4</v>
      </c>
    </row>
    <row r="159" spans="1:34" ht="15.75" thickBot="1" x14ac:dyDescent="0.3">
      <c r="A159" s="569" t="s">
        <v>2295</v>
      </c>
      <c r="B159" s="569" t="s">
        <v>149</v>
      </c>
      <c r="C159" s="569" t="s">
        <v>3</v>
      </c>
      <c r="D159" s="569">
        <v>78.8</v>
      </c>
      <c r="E159" s="569">
        <v>6.6</v>
      </c>
      <c r="F159" s="569">
        <v>64.099999999999994</v>
      </c>
      <c r="G159" s="569">
        <v>5</v>
      </c>
      <c r="H159" s="569">
        <v>67.7</v>
      </c>
      <c r="I159" s="569">
        <v>6.6</v>
      </c>
      <c r="J159" s="569">
        <v>78.8</v>
      </c>
      <c r="K159" s="569">
        <v>6.6</v>
      </c>
      <c r="L159" s="569">
        <v>64.099999999999994</v>
      </c>
      <c r="M159" s="569">
        <v>5</v>
      </c>
      <c r="N159" s="569">
        <v>67.7</v>
      </c>
      <c r="O159" s="569">
        <v>6.6</v>
      </c>
      <c r="P159" s="569">
        <v>74.3</v>
      </c>
      <c r="Q159" s="569">
        <v>7.2</v>
      </c>
      <c r="R159" s="569">
        <v>78.8</v>
      </c>
      <c r="S159" s="569">
        <v>6.6</v>
      </c>
      <c r="T159" s="569">
        <v>64.099999999999994</v>
      </c>
      <c r="U159" s="569">
        <v>5</v>
      </c>
      <c r="V159" s="569">
        <v>67.7</v>
      </c>
      <c r="W159" s="569">
        <v>6.6</v>
      </c>
      <c r="X159" s="569">
        <v>74.3</v>
      </c>
      <c r="Y159" s="569">
        <v>7.2</v>
      </c>
      <c r="Z159" s="569">
        <v>78.8</v>
      </c>
      <c r="AA159" s="569">
        <v>6.6</v>
      </c>
      <c r="AB159" s="569">
        <v>64.099999999999994</v>
      </c>
      <c r="AC159" s="569">
        <v>5</v>
      </c>
      <c r="AD159" s="569">
        <v>67.7</v>
      </c>
      <c r="AE159" s="569">
        <v>67.7</v>
      </c>
      <c r="AF159">
        <v>159</v>
      </c>
      <c r="AG159" s="438">
        <f>IF(INDEX(D:AE,AF159,ADP!$AF$6)=0,"",INDEX(D:AE,AF159,ADP!$AF$6)+AH159)</f>
        <v>67.700158000000002</v>
      </c>
      <c r="AH159">
        <f t="shared" si="2"/>
        <v>1.5799999999999967E-4</v>
      </c>
    </row>
    <row r="160" spans="1:34" ht="15.75" thickBot="1" x14ac:dyDescent="0.3">
      <c r="A160" s="569" t="s">
        <v>2273</v>
      </c>
      <c r="B160" s="569" t="s">
        <v>163</v>
      </c>
      <c r="C160" s="569" t="s">
        <v>6</v>
      </c>
      <c r="D160" s="569"/>
      <c r="E160" s="569"/>
      <c r="F160" s="569"/>
      <c r="G160" s="569"/>
      <c r="H160" s="569"/>
      <c r="I160" s="569"/>
      <c r="J160" s="569"/>
      <c r="K160" s="569"/>
      <c r="L160" s="569"/>
      <c r="M160" s="569"/>
      <c r="N160" s="569"/>
      <c r="O160" s="569"/>
      <c r="P160" s="569"/>
      <c r="Q160" s="569"/>
      <c r="R160" s="569"/>
      <c r="S160" s="569"/>
      <c r="T160" s="569"/>
      <c r="U160" s="569"/>
      <c r="V160" s="569"/>
      <c r="W160" s="569"/>
      <c r="X160" s="569"/>
      <c r="Y160" s="569"/>
      <c r="Z160" s="569"/>
      <c r="AA160" s="569"/>
      <c r="AB160" s="569"/>
      <c r="AC160" s="569"/>
      <c r="AD160" s="569"/>
      <c r="AE160" s="569"/>
      <c r="AF160">
        <v>160</v>
      </c>
      <c r="AG160" s="438" t="str">
        <f>IF(INDEX(D:AE,AF160,ADP!$AF$6)=0,"",INDEX(D:AE,AF160,ADP!$AF$6)+AH160)</f>
        <v/>
      </c>
      <c r="AH160">
        <f t="shared" si="2"/>
        <v>1.5899999999999966E-4</v>
      </c>
    </row>
    <row r="161" spans="1:34" ht="15.75" thickBot="1" x14ac:dyDescent="0.3">
      <c r="A161" s="569" t="s">
        <v>2424</v>
      </c>
      <c r="B161" s="569" t="s">
        <v>156</v>
      </c>
      <c r="C161" s="569" t="s">
        <v>7</v>
      </c>
      <c r="D161" s="569"/>
      <c r="E161" s="569"/>
      <c r="F161" s="569"/>
      <c r="G161" s="569"/>
      <c r="H161" s="569"/>
      <c r="I161" s="569"/>
      <c r="J161" s="569"/>
      <c r="K161" s="569"/>
      <c r="L161" s="569"/>
      <c r="M161" s="569"/>
      <c r="N161" s="569"/>
      <c r="O161" s="569"/>
      <c r="P161" s="569"/>
      <c r="Q161" s="569"/>
      <c r="R161" s="569"/>
      <c r="S161" s="569"/>
      <c r="T161" s="569"/>
      <c r="U161" s="569"/>
      <c r="V161" s="569"/>
      <c r="W161" s="569"/>
      <c r="X161" s="569"/>
      <c r="Y161" s="569"/>
      <c r="Z161" s="569"/>
      <c r="AA161" s="569"/>
      <c r="AB161" s="569"/>
      <c r="AC161" s="569"/>
      <c r="AD161" s="569"/>
      <c r="AE161" s="569"/>
      <c r="AF161">
        <v>161</v>
      </c>
      <c r="AG161" s="438" t="str">
        <f>IF(INDEX(D:AE,AF161,ADP!$AF$6)=0,"",INDEX(D:AE,AF161,ADP!$AF$6)+AH161)</f>
        <v/>
      </c>
      <c r="AH161">
        <f t="shared" si="2"/>
        <v>1.5999999999999966E-4</v>
      </c>
    </row>
    <row r="162" spans="1:34" ht="15.75" thickBot="1" x14ac:dyDescent="0.3">
      <c r="A162" s="569" t="s">
        <v>2219</v>
      </c>
      <c r="B162" s="569" t="s">
        <v>137</v>
      </c>
      <c r="C162" s="569" t="s">
        <v>6</v>
      </c>
      <c r="D162" s="569"/>
      <c r="E162" s="569"/>
      <c r="F162" s="569"/>
      <c r="G162" s="569"/>
      <c r="H162" s="569"/>
      <c r="I162" s="569"/>
      <c r="J162" s="569"/>
      <c r="K162" s="569"/>
      <c r="L162" s="569"/>
      <c r="M162" s="569"/>
      <c r="N162" s="569"/>
      <c r="O162" s="569"/>
      <c r="P162" s="569"/>
      <c r="Q162" s="569"/>
      <c r="R162" s="569"/>
      <c r="S162" s="569"/>
      <c r="T162" s="569"/>
      <c r="U162" s="569"/>
      <c r="V162" s="569"/>
      <c r="W162" s="569"/>
      <c r="X162" s="569"/>
      <c r="Y162" s="569"/>
      <c r="Z162" s="569"/>
      <c r="AA162" s="569"/>
      <c r="AB162" s="569"/>
      <c r="AC162" s="569"/>
      <c r="AD162" s="569"/>
      <c r="AE162" s="569"/>
      <c r="AF162">
        <v>162</v>
      </c>
      <c r="AG162" s="438" t="str">
        <f>IF(INDEX(D:AE,AF162,ADP!$AF$6)=0,"",INDEX(D:AE,AF162,ADP!$AF$6)+AH162)</f>
        <v/>
      </c>
      <c r="AH162">
        <f t="shared" si="2"/>
        <v>1.6099999999999966E-4</v>
      </c>
    </row>
    <row r="163" spans="1:34" ht="15.75" thickBot="1" x14ac:dyDescent="0.3">
      <c r="A163" s="569" t="s">
        <v>2425</v>
      </c>
      <c r="B163" s="569" t="s">
        <v>1388</v>
      </c>
      <c r="C163" s="569" t="s">
        <v>6</v>
      </c>
      <c r="D163" s="574">
        <v>120.2</v>
      </c>
      <c r="E163" s="574">
        <v>12.2</v>
      </c>
      <c r="F163" s="574">
        <v>96.4</v>
      </c>
      <c r="G163" s="574">
        <v>7</v>
      </c>
      <c r="H163" s="574">
        <v>96.2</v>
      </c>
      <c r="I163" s="574">
        <v>7.7</v>
      </c>
      <c r="J163" s="574">
        <v>120.2</v>
      </c>
      <c r="K163" s="574">
        <v>12.2</v>
      </c>
      <c r="L163" s="574">
        <v>96.4</v>
      </c>
      <c r="M163" s="574">
        <v>7</v>
      </c>
      <c r="N163" s="574">
        <v>96.2</v>
      </c>
      <c r="O163" s="574">
        <v>7.7</v>
      </c>
      <c r="P163" s="574">
        <v>144.5</v>
      </c>
      <c r="Q163" s="574">
        <v>15.1</v>
      </c>
      <c r="R163" s="574">
        <v>120.2</v>
      </c>
      <c r="S163" s="574">
        <v>12.2</v>
      </c>
      <c r="T163" s="574">
        <v>96.4</v>
      </c>
      <c r="U163" s="574">
        <v>7</v>
      </c>
      <c r="V163" s="574">
        <v>96.2</v>
      </c>
      <c r="W163" s="574">
        <v>7.7</v>
      </c>
      <c r="X163" s="574">
        <v>144.5</v>
      </c>
      <c r="Y163" s="574">
        <v>15.1</v>
      </c>
      <c r="Z163" s="574">
        <v>120.2</v>
      </c>
      <c r="AA163" s="574">
        <v>12.2</v>
      </c>
      <c r="AB163" s="574">
        <v>96.4</v>
      </c>
      <c r="AC163" s="574">
        <v>7</v>
      </c>
      <c r="AD163" s="574">
        <v>96.2</v>
      </c>
      <c r="AE163" s="574">
        <v>96.2</v>
      </c>
      <c r="AF163">
        <v>163</v>
      </c>
      <c r="AG163" s="438">
        <f>IF(INDEX(D:AE,AF163,ADP!$AF$6)=0,"",INDEX(D:AE,AF163,ADP!$AF$6)+AH163)</f>
        <v>96.200162000000006</v>
      </c>
      <c r="AH163">
        <f t="shared" si="2"/>
        <v>1.6199999999999966E-4</v>
      </c>
    </row>
    <row r="164" spans="1:34" ht="15.75" thickBot="1" x14ac:dyDescent="0.3">
      <c r="A164" s="569" t="s">
        <v>1888</v>
      </c>
      <c r="B164" s="569" t="s">
        <v>165</v>
      </c>
      <c r="C164" s="569" t="s">
        <v>3</v>
      </c>
      <c r="D164" s="569"/>
      <c r="E164" s="569"/>
      <c r="F164" s="569"/>
      <c r="G164" s="569"/>
      <c r="H164" s="569"/>
      <c r="I164" s="569"/>
      <c r="J164" s="569"/>
      <c r="K164" s="569"/>
      <c r="L164" s="569"/>
      <c r="M164" s="569"/>
      <c r="N164" s="569"/>
      <c r="O164" s="569"/>
      <c r="P164" s="569"/>
      <c r="Q164" s="569"/>
      <c r="R164" s="569"/>
      <c r="S164" s="569"/>
      <c r="T164" s="569"/>
      <c r="U164" s="569"/>
      <c r="V164" s="569"/>
      <c r="W164" s="569"/>
      <c r="X164" s="569"/>
      <c r="Y164" s="569"/>
      <c r="Z164" s="569"/>
      <c r="AA164" s="569"/>
      <c r="AB164" s="569"/>
      <c r="AC164" s="569"/>
      <c r="AD164" s="569"/>
      <c r="AE164" s="569"/>
      <c r="AF164">
        <v>164</v>
      </c>
      <c r="AG164" s="438" t="str">
        <f>IF(INDEX(D:AE,AF164,ADP!$AF$6)=0,"",INDEX(D:AE,AF164,ADP!$AF$6)+AH164)</f>
        <v/>
      </c>
      <c r="AH164">
        <f t="shared" si="2"/>
        <v>1.6299999999999965E-4</v>
      </c>
    </row>
    <row r="165" spans="1:34" ht="15.75" thickBot="1" x14ac:dyDescent="0.3">
      <c r="A165" s="569" t="s">
        <v>2426</v>
      </c>
      <c r="B165" s="569" t="s">
        <v>1389</v>
      </c>
      <c r="C165" s="569" t="s">
        <v>6</v>
      </c>
      <c r="D165" s="574"/>
      <c r="E165" s="574"/>
      <c r="F165" s="574"/>
      <c r="G165" s="574"/>
      <c r="H165" s="574"/>
      <c r="I165" s="574"/>
      <c r="J165" s="574"/>
      <c r="K165" s="574"/>
      <c r="L165" s="574"/>
      <c r="M165" s="574"/>
      <c r="N165" s="574"/>
      <c r="O165" s="574"/>
      <c r="P165" s="574"/>
      <c r="Q165" s="574"/>
      <c r="R165" s="574"/>
      <c r="S165" s="574"/>
      <c r="T165" s="574"/>
      <c r="U165" s="574"/>
      <c r="V165" s="574"/>
      <c r="W165" s="574"/>
      <c r="X165" s="574"/>
      <c r="Y165" s="574"/>
      <c r="Z165" s="574"/>
      <c r="AA165" s="574"/>
      <c r="AB165" s="574"/>
      <c r="AC165" s="574"/>
      <c r="AD165" s="574"/>
      <c r="AE165" s="574"/>
      <c r="AF165">
        <v>165</v>
      </c>
      <c r="AG165" s="438" t="str">
        <f>IF(INDEX(D:AE,AF165,ADP!$AF$6)=0,"",INDEX(D:AE,AF165,ADP!$AF$6)+AH165)</f>
        <v/>
      </c>
      <c r="AH165">
        <f t="shared" si="2"/>
        <v>1.6399999999999965E-4</v>
      </c>
    </row>
    <row r="166" spans="1:34" ht="15.75" thickBot="1" x14ac:dyDescent="0.3">
      <c r="A166" s="569" t="s">
        <v>2022</v>
      </c>
      <c r="B166" s="569" t="s">
        <v>2024</v>
      </c>
      <c r="C166" s="569" t="s">
        <v>2023</v>
      </c>
      <c r="D166" s="569"/>
      <c r="E166" s="569"/>
      <c r="F166" s="569"/>
      <c r="G166" s="569"/>
      <c r="H166" s="569"/>
      <c r="I166" s="569"/>
      <c r="J166" s="569"/>
      <c r="K166" s="569"/>
      <c r="L166" s="569"/>
      <c r="M166" s="569"/>
      <c r="N166" s="569"/>
      <c r="O166" s="569"/>
      <c r="P166" s="569"/>
      <c r="Q166" s="569"/>
      <c r="R166" s="569"/>
      <c r="S166" s="569"/>
      <c r="T166" s="569"/>
      <c r="U166" s="569"/>
      <c r="V166" s="569"/>
      <c r="W166" s="569"/>
      <c r="X166" s="569"/>
      <c r="Y166" s="569"/>
      <c r="Z166" s="569"/>
      <c r="AA166" s="569"/>
      <c r="AB166" s="569"/>
      <c r="AC166" s="569"/>
      <c r="AD166" s="569"/>
      <c r="AE166" s="569"/>
      <c r="AF166">
        <v>166</v>
      </c>
      <c r="AG166" s="438" t="str">
        <f>IF(INDEX(D:AE,AF166,ADP!$AF$6)=0,"",INDEX(D:AE,AF166,ADP!$AF$6)+AH166)</f>
        <v/>
      </c>
      <c r="AH166">
        <f t="shared" si="2"/>
        <v>1.6499999999999965E-4</v>
      </c>
    </row>
    <row r="167" spans="1:34" ht="15.75" thickBot="1" x14ac:dyDescent="0.3">
      <c r="A167" s="569" t="s">
        <v>2274</v>
      </c>
      <c r="B167" s="569"/>
      <c r="C167" s="569"/>
      <c r="D167" s="569"/>
      <c r="E167" s="569"/>
      <c r="F167" s="569"/>
      <c r="G167" s="569"/>
      <c r="H167" s="569"/>
      <c r="I167" s="569"/>
      <c r="J167" s="569"/>
      <c r="K167" s="569"/>
      <c r="L167" s="569"/>
      <c r="M167" s="569"/>
      <c r="N167" s="569"/>
      <c r="O167" s="569"/>
      <c r="P167" s="569"/>
      <c r="Q167" s="569"/>
      <c r="R167" s="569"/>
      <c r="S167" s="569"/>
      <c r="T167" s="569"/>
      <c r="U167" s="569"/>
      <c r="V167" s="569"/>
      <c r="W167" s="569"/>
      <c r="X167" s="569"/>
      <c r="Y167" s="569"/>
      <c r="Z167" s="569"/>
      <c r="AA167" s="569"/>
      <c r="AB167" s="569"/>
      <c r="AC167" s="569"/>
      <c r="AD167" s="569"/>
      <c r="AE167" s="569"/>
      <c r="AF167">
        <v>167</v>
      </c>
      <c r="AG167" s="438" t="str">
        <f>IF(INDEX(D:AE,AF167,ADP!$AF$6)=0,"",INDEX(D:AE,AF167,ADP!$AF$6)+AH167)</f>
        <v/>
      </c>
      <c r="AH167">
        <f t="shared" si="2"/>
        <v>1.6599999999999964E-4</v>
      </c>
    </row>
    <row r="168" spans="1:34" ht="15.75" thickBot="1" x14ac:dyDescent="0.3">
      <c r="A168" s="569" t="s">
        <v>2287</v>
      </c>
      <c r="B168" s="569" t="s">
        <v>141</v>
      </c>
      <c r="C168" s="569" t="s">
        <v>1</v>
      </c>
      <c r="D168" s="569"/>
      <c r="E168" s="569"/>
      <c r="F168" s="569"/>
      <c r="G168" s="569"/>
      <c r="H168" s="569"/>
      <c r="I168" s="569"/>
      <c r="J168" s="569"/>
      <c r="K168" s="569"/>
      <c r="L168" s="569"/>
      <c r="M168" s="569"/>
      <c r="N168" s="569"/>
      <c r="O168" s="569"/>
      <c r="P168" s="569"/>
      <c r="Q168" s="569"/>
      <c r="R168" s="569"/>
      <c r="S168" s="569"/>
      <c r="T168" s="569"/>
      <c r="U168" s="569"/>
      <c r="V168" s="569"/>
      <c r="W168" s="569"/>
      <c r="X168" s="569"/>
      <c r="Y168" s="569"/>
      <c r="Z168" s="569"/>
      <c r="AA168" s="569"/>
      <c r="AB168" s="569"/>
      <c r="AC168" s="569"/>
      <c r="AD168" s="569"/>
      <c r="AE168" s="569"/>
      <c r="AF168">
        <v>168</v>
      </c>
      <c r="AG168" s="438" t="str">
        <f>IF(INDEX(D:AE,AF168,ADP!$AF$6)=0,"",INDEX(D:AE,AF168,ADP!$AF$6)+AH168)</f>
        <v/>
      </c>
      <c r="AH168">
        <f t="shared" si="2"/>
        <v>1.6699999999999964E-4</v>
      </c>
    </row>
    <row r="169" spans="1:34" ht="15.75" thickBot="1" x14ac:dyDescent="0.3">
      <c r="A169" s="569" t="s">
        <v>147</v>
      </c>
      <c r="B169" s="569" t="s">
        <v>147</v>
      </c>
      <c r="C169" s="569" t="s">
        <v>160</v>
      </c>
      <c r="D169" s="569">
        <v>159.69999999999999</v>
      </c>
      <c r="E169" s="569">
        <v>15.2</v>
      </c>
      <c r="F169" s="569">
        <v>164.7</v>
      </c>
      <c r="G169" s="569">
        <v>17.899999999999999</v>
      </c>
      <c r="H169" s="569">
        <v>160.6</v>
      </c>
      <c r="I169" s="569">
        <v>18.7</v>
      </c>
      <c r="J169" s="569">
        <v>159.69999999999999</v>
      </c>
      <c r="K169" s="569">
        <v>15.2</v>
      </c>
      <c r="L169" s="569">
        <v>164.7</v>
      </c>
      <c r="M169" s="569">
        <v>17.899999999999999</v>
      </c>
      <c r="N169" s="569">
        <v>160.6</v>
      </c>
      <c r="O169" s="569">
        <v>18.7</v>
      </c>
      <c r="P169" s="569">
        <v>152.9</v>
      </c>
      <c r="Q169" s="569">
        <v>15.5</v>
      </c>
      <c r="R169" s="569">
        <v>159.69999999999999</v>
      </c>
      <c r="S169" s="569">
        <v>15.2</v>
      </c>
      <c r="T169" s="569">
        <v>164.7</v>
      </c>
      <c r="U169" s="569">
        <v>17.899999999999999</v>
      </c>
      <c r="V169" s="569">
        <v>160.6</v>
      </c>
      <c r="W169" s="569">
        <v>18.7</v>
      </c>
      <c r="X169" s="569">
        <v>152.9</v>
      </c>
      <c r="Y169" s="569">
        <v>15.5</v>
      </c>
      <c r="Z169" s="569">
        <v>159.69999999999999</v>
      </c>
      <c r="AA169" s="569">
        <v>15.2</v>
      </c>
      <c r="AB169" s="569">
        <v>164.7</v>
      </c>
      <c r="AC169" s="569">
        <v>17.899999999999999</v>
      </c>
      <c r="AD169" s="569">
        <v>160.6</v>
      </c>
      <c r="AE169" s="569">
        <v>160.6</v>
      </c>
      <c r="AF169">
        <v>169</v>
      </c>
      <c r="AG169" s="438">
        <f>IF(INDEX(D:AE,AF169,ADP!$AF$6)=0,"",INDEX(D:AE,AF169,ADP!$AF$6)+AH169)</f>
        <v>160.600168</v>
      </c>
      <c r="AH169">
        <f t="shared" si="2"/>
        <v>1.6799999999999964E-4</v>
      </c>
    </row>
    <row r="170" spans="1:34" ht="15.75" thickBot="1" x14ac:dyDescent="0.3">
      <c r="A170" s="569" t="s">
        <v>2310</v>
      </c>
      <c r="B170" s="569" t="s">
        <v>157</v>
      </c>
      <c r="C170" s="569" t="s">
        <v>3</v>
      </c>
      <c r="D170" s="569"/>
      <c r="E170" s="569"/>
      <c r="F170" s="569"/>
      <c r="G170" s="569"/>
      <c r="H170" s="569"/>
      <c r="I170" s="569"/>
      <c r="J170" s="569"/>
      <c r="K170" s="569"/>
      <c r="L170" s="569"/>
      <c r="M170" s="569"/>
      <c r="N170" s="569"/>
      <c r="O170" s="569"/>
      <c r="P170" s="569"/>
      <c r="Q170" s="569"/>
      <c r="R170" s="569"/>
      <c r="S170" s="569"/>
      <c r="T170" s="569"/>
      <c r="U170" s="569"/>
      <c r="V170" s="569"/>
      <c r="W170" s="569"/>
      <c r="X170" s="569"/>
      <c r="Y170" s="569"/>
      <c r="Z170" s="569"/>
      <c r="AA170" s="569"/>
      <c r="AB170" s="569"/>
      <c r="AC170" s="569"/>
      <c r="AD170" s="569"/>
      <c r="AE170" s="569"/>
      <c r="AF170">
        <v>170</v>
      </c>
      <c r="AG170" s="438" t="str">
        <f>IF(INDEX(D:AE,AF170,ADP!$AF$6)=0,"",INDEX(D:AE,AF170,ADP!$AF$6)+AH170)</f>
        <v/>
      </c>
      <c r="AH170">
        <f t="shared" si="2"/>
        <v>1.6899999999999964E-4</v>
      </c>
    </row>
    <row r="171" spans="1:34" ht="15.75" thickBot="1" x14ac:dyDescent="0.3">
      <c r="A171" s="569" t="s">
        <v>1108</v>
      </c>
      <c r="B171" s="569" t="s">
        <v>2073</v>
      </c>
      <c r="C171" s="569" t="s">
        <v>6</v>
      </c>
      <c r="D171" s="569"/>
      <c r="E171" s="569"/>
      <c r="F171" s="569"/>
      <c r="G171" s="569"/>
      <c r="H171" s="569"/>
      <c r="I171" s="569"/>
      <c r="J171" s="569"/>
      <c r="K171" s="569"/>
      <c r="L171" s="569"/>
      <c r="M171" s="569"/>
      <c r="N171" s="569"/>
      <c r="O171" s="569"/>
      <c r="P171" s="569"/>
      <c r="Q171" s="569"/>
      <c r="R171" s="569"/>
      <c r="S171" s="569"/>
      <c r="T171" s="569"/>
      <c r="U171" s="569"/>
      <c r="V171" s="569"/>
      <c r="W171" s="569"/>
      <c r="X171" s="569"/>
      <c r="Y171" s="569"/>
      <c r="Z171" s="569"/>
      <c r="AA171" s="569"/>
      <c r="AB171" s="569"/>
      <c r="AC171" s="569"/>
      <c r="AD171" s="569"/>
      <c r="AE171" s="569"/>
      <c r="AF171">
        <v>171</v>
      </c>
      <c r="AG171" s="438" t="str">
        <f>IF(INDEX(D:AE,AF171,ADP!$AF$6)=0,"",INDEX(D:AE,AF171,ADP!$AF$6)+AH171)</f>
        <v/>
      </c>
      <c r="AH171">
        <f t="shared" si="2"/>
        <v>1.6999999999999963E-4</v>
      </c>
    </row>
    <row r="172" spans="1:34" ht="15.75" thickBot="1" x14ac:dyDescent="0.3">
      <c r="A172" s="569" t="s">
        <v>137</v>
      </c>
      <c r="B172" s="569" t="s">
        <v>137</v>
      </c>
      <c r="C172" s="569" t="s">
        <v>160</v>
      </c>
      <c r="D172" s="574">
        <v>141.19999999999999</v>
      </c>
      <c r="E172" s="574">
        <v>16.2</v>
      </c>
      <c r="F172" s="574">
        <v>141.69999999999999</v>
      </c>
      <c r="G172" s="574">
        <v>15.6</v>
      </c>
      <c r="H172" s="574">
        <v>139.19999999999999</v>
      </c>
      <c r="I172" s="574">
        <v>16.7</v>
      </c>
      <c r="J172" s="574">
        <v>141.19999999999999</v>
      </c>
      <c r="K172" s="574">
        <v>16.2</v>
      </c>
      <c r="L172" s="574">
        <v>141.69999999999999</v>
      </c>
      <c r="M172" s="574">
        <v>15.6</v>
      </c>
      <c r="N172" s="574">
        <v>139.19999999999999</v>
      </c>
      <c r="O172" s="574">
        <v>16.7</v>
      </c>
      <c r="P172" s="574">
        <v>141</v>
      </c>
      <c r="Q172" s="574">
        <v>15.5</v>
      </c>
      <c r="R172" s="574">
        <v>141.19999999999999</v>
      </c>
      <c r="S172" s="574">
        <v>16.2</v>
      </c>
      <c r="T172" s="574">
        <v>141.69999999999999</v>
      </c>
      <c r="U172" s="574">
        <v>15.6</v>
      </c>
      <c r="V172" s="574">
        <v>139.19999999999999</v>
      </c>
      <c r="W172" s="574">
        <v>16.7</v>
      </c>
      <c r="X172" s="574">
        <v>141</v>
      </c>
      <c r="Y172" s="574">
        <v>15.5</v>
      </c>
      <c r="Z172" s="574">
        <v>141.19999999999999</v>
      </c>
      <c r="AA172" s="574">
        <v>16.2</v>
      </c>
      <c r="AB172" s="574">
        <v>141.69999999999999</v>
      </c>
      <c r="AC172" s="574">
        <v>15.6</v>
      </c>
      <c r="AD172" s="574">
        <v>139.19999999999999</v>
      </c>
      <c r="AE172" s="574">
        <v>139.19999999999999</v>
      </c>
      <c r="AF172">
        <v>172</v>
      </c>
      <c r="AG172" s="438">
        <f>IF(INDEX(D:AE,AF172,ADP!$AF$6)=0,"",INDEX(D:AE,AF172,ADP!$AF$6)+AH172)</f>
        <v>139.20017099999998</v>
      </c>
      <c r="AH172">
        <f t="shared" si="2"/>
        <v>1.7099999999999963E-4</v>
      </c>
    </row>
    <row r="173" spans="1:34" ht="15.75" thickBot="1" x14ac:dyDescent="0.3">
      <c r="A173" s="569" t="s">
        <v>2237</v>
      </c>
      <c r="B173" s="569" t="s">
        <v>158</v>
      </c>
      <c r="C173" s="569" t="s">
        <v>7</v>
      </c>
      <c r="D173" s="569"/>
      <c r="E173" s="569"/>
      <c r="F173" s="569"/>
      <c r="G173" s="569"/>
      <c r="H173" s="569"/>
      <c r="I173" s="569"/>
      <c r="J173" s="569"/>
      <c r="K173" s="569"/>
      <c r="L173" s="569"/>
      <c r="M173" s="569"/>
      <c r="N173" s="569"/>
      <c r="O173" s="569"/>
      <c r="P173" s="569"/>
      <c r="Q173" s="569"/>
      <c r="R173" s="569"/>
      <c r="S173" s="569"/>
      <c r="T173" s="569"/>
      <c r="U173" s="569"/>
      <c r="V173" s="569"/>
      <c r="W173" s="569"/>
      <c r="X173" s="569"/>
      <c r="Y173" s="569"/>
      <c r="Z173" s="569"/>
      <c r="AA173" s="569"/>
      <c r="AB173" s="569"/>
      <c r="AC173" s="569"/>
      <c r="AD173" s="569"/>
      <c r="AE173" s="569"/>
      <c r="AF173">
        <v>173</v>
      </c>
      <c r="AG173" s="438" t="str">
        <f>IF(INDEX(D:AE,AF173,ADP!$AF$6)=0,"",INDEX(D:AE,AF173,ADP!$AF$6)+AH173)</f>
        <v/>
      </c>
      <c r="AH173">
        <f t="shared" si="2"/>
        <v>1.7199999999999963E-4</v>
      </c>
    </row>
    <row r="174" spans="1:34" ht="15.75" thickBot="1" x14ac:dyDescent="0.3">
      <c r="A174" s="569" t="s">
        <v>2427</v>
      </c>
      <c r="B174" s="569" t="s">
        <v>146</v>
      </c>
      <c r="C174" s="569" t="s">
        <v>7</v>
      </c>
      <c r="D174" s="569"/>
      <c r="E174" s="569"/>
      <c r="F174" s="569"/>
      <c r="G174" s="569"/>
      <c r="H174" s="569"/>
      <c r="I174" s="569"/>
      <c r="J174" s="569"/>
      <c r="K174" s="569"/>
      <c r="L174" s="569"/>
      <c r="M174" s="569"/>
      <c r="N174" s="569"/>
      <c r="O174" s="569"/>
      <c r="P174" s="569"/>
      <c r="Q174" s="569"/>
      <c r="R174" s="569"/>
      <c r="S174" s="569"/>
      <c r="T174" s="569"/>
      <c r="U174" s="569"/>
      <c r="V174" s="569"/>
      <c r="W174" s="569"/>
      <c r="X174" s="569"/>
      <c r="Y174" s="569"/>
      <c r="Z174" s="569"/>
      <c r="AA174" s="569"/>
      <c r="AB174" s="569"/>
      <c r="AC174" s="569"/>
      <c r="AD174" s="569"/>
      <c r="AE174" s="569"/>
      <c r="AF174">
        <v>174</v>
      </c>
      <c r="AG174" s="438" t="str">
        <f>IF(INDEX(D:AE,AF174,ADP!$AF$6)=0,"",INDEX(D:AE,AF174,ADP!$AF$6)+AH174)</f>
        <v/>
      </c>
      <c r="AH174">
        <f t="shared" si="2"/>
        <v>1.7299999999999962E-4</v>
      </c>
    </row>
    <row r="175" spans="1:34" ht="15.75" thickBot="1" x14ac:dyDescent="0.3">
      <c r="A175" s="569" t="s">
        <v>2568</v>
      </c>
      <c r="B175" s="569" t="s">
        <v>148</v>
      </c>
      <c r="C175" s="569" t="s">
        <v>6</v>
      </c>
      <c r="D175" s="569"/>
      <c r="E175" s="569"/>
      <c r="F175" s="569"/>
      <c r="G175" s="569"/>
      <c r="H175" s="569"/>
      <c r="I175" s="569"/>
      <c r="J175" s="569"/>
      <c r="K175" s="569"/>
      <c r="L175" s="569"/>
      <c r="M175" s="569"/>
      <c r="N175" s="569"/>
      <c r="O175" s="569"/>
      <c r="P175" s="569"/>
      <c r="Q175" s="569"/>
      <c r="R175" s="569"/>
      <c r="S175" s="569"/>
      <c r="T175" s="569"/>
      <c r="U175" s="569"/>
      <c r="V175" s="569"/>
      <c r="W175" s="569"/>
      <c r="X175" s="569"/>
      <c r="Y175" s="569"/>
      <c r="Z175" s="569"/>
      <c r="AA175" s="569"/>
      <c r="AB175" s="569"/>
      <c r="AC175" s="569"/>
      <c r="AD175" s="569"/>
      <c r="AE175" s="569"/>
      <c r="AF175">
        <v>175</v>
      </c>
      <c r="AG175" s="438" t="str">
        <f>IF(INDEX(D:AE,AF175,ADP!$AF$6)=0,"",INDEX(D:AE,AF175,ADP!$AF$6)+AH175)</f>
        <v/>
      </c>
      <c r="AH175">
        <f t="shared" si="2"/>
        <v>1.7399999999999962E-4</v>
      </c>
    </row>
    <row r="176" spans="1:34" ht="15.75" thickBot="1" x14ac:dyDescent="0.3">
      <c r="A176" s="569" t="s">
        <v>2428</v>
      </c>
      <c r="B176" s="569" t="s">
        <v>149</v>
      </c>
      <c r="C176" s="569" t="s">
        <v>7</v>
      </c>
      <c r="D176" s="569"/>
      <c r="E176" s="569"/>
      <c r="F176" s="569"/>
      <c r="G176" s="569"/>
      <c r="H176" s="569"/>
      <c r="I176" s="569"/>
      <c r="J176" s="569"/>
      <c r="K176" s="569"/>
      <c r="L176" s="569"/>
      <c r="M176" s="569"/>
      <c r="N176" s="569"/>
      <c r="O176" s="569"/>
      <c r="P176" s="569"/>
      <c r="Q176" s="569"/>
      <c r="R176" s="569"/>
      <c r="S176" s="569"/>
      <c r="T176" s="569"/>
      <c r="U176" s="569"/>
      <c r="V176" s="569"/>
      <c r="W176" s="569"/>
      <c r="X176" s="569"/>
      <c r="Y176" s="569"/>
      <c r="Z176" s="569"/>
      <c r="AA176" s="569"/>
      <c r="AB176" s="569"/>
      <c r="AC176" s="569"/>
      <c r="AD176" s="569"/>
      <c r="AE176" s="569"/>
      <c r="AF176">
        <v>176</v>
      </c>
      <c r="AG176" s="438" t="str">
        <f>IF(INDEX(D:AE,AF176,ADP!$AF$6)=0,"",INDEX(D:AE,AF176,ADP!$AF$6)+AH176)</f>
        <v/>
      </c>
      <c r="AH176">
        <f t="shared" si="2"/>
        <v>1.7499999999999962E-4</v>
      </c>
    </row>
    <row r="177" spans="1:34" ht="15.75" thickBot="1" x14ac:dyDescent="0.3">
      <c r="A177" s="569" t="s">
        <v>2311</v>
      </c>
      <c r="B177" s="569" t="s">
        <v>139</v>
      </c>
      <c r="C177" s="569" t="s">
        <v>3</v>
      </c>
      <c r="D177" s="569"/>
      <c r="E177" s="569"/>
      <c r="F177" s="569"/>
      <c r="G177" s="569"/>
      <c r="H177" s="569"/>
      <c r="I177" s="569"/>
      <c r="J177" s="569"/>
      <c r="K177" s="569"/>
      <c r="L177" s="569"/>
      <c r="M177" s="569"/>
      <c r="N177" s="569"/>
      <c r="O177" s="569"/>
      <c r="P177" s="569"/>
      <c r="Q177" s="569"/>
      <c r="R177" s="569"/>
      <c r="S177" s="569"/>
      <c r="T177" s="569"/>
      <c r="U177" s="569"/>
      <c r="V177" s="569"/>
      <c r="W177" s="569"/>
      <c r="X177" s="569"/>
      <c r="Y177" s="569"/>
      <c r="Z177" s="569"/>
      <c r="AA177" s="569"/>
      <c r="AB177" s="569"/>
      <c r="AC177" s="569"/>
      <c r="AD177" s="569"/>
      <c r="AE177" s="569"/>
      <c r="AF177">
        <v>177</v>
      </c>
      <c r="AG177" s="438" t="str">
        <f>IF(INDEX(D:AE,AF177,ADP!$AF$6)=0,"",INDEX(D:AE,AF177,ADP!$AF$6)+AH177)</f>
        <v/>
      </c>
      <c r="AH177">
        <f t="shared" si="2"/>
        <v>1.7599999999999962E-4</v>
      </c>
    </row>
    <row r="178" spans="1:34" ht="15.75" thickBot="1" x14ac:dyDescent="0.3">
      <c r="A178" s="569" t="s">
        <v>2187</v>
      </c>
      <c r="B178" s="569" t="s">
        <v>162</v>
      </c>
      <c r="C178" s="569" t="s">
        <v>3</v>
      </c>
      <c r="D178" s="574"/>
      <c r="E178" s="574"/>
      <c r="F178" s="574"/>
      <c r="G178" s="574"/>
      <c r="H178" s="574"/>
      <c r="I178" s="574"/>
      <c r="J178" s="574"/>
      <c r="K178" s="574"/>
      <c r="L178" s="574"/>
      <c r="M178" s="574"/>
      <c r="N178" s="574"/>
      <c r="O178" s="574"/>
      <c r="P178" s="574"/>
      <c r="Q178" s="574"/>
      <c r="R178" s="574"/>
      <c r="S178" s="574"/>
      <c r="T178" s="574"/>
      <c r="U178" s="574"/>
      <c r="V178" s="574"/>
      <c r="W178" s="574"/>
      <c r="X178" s="574"/>
      <c r="Y178" s="574"/>
      <c r="Z178" s="574"/>
      <c r="AA178" s="574"/>
      <c r="AB178" s="574"/>
      <c r="AC178" s="574"/>
      <c r="AD178" s="574"/>
      <c r="AE178" s="574"/>
      <c r="AF178">
        <v>178</v>
      </c>
      <c r="AG178" s="438" t="str">
        <f>IF(INDEX(D:AE,AF178,ADP!$AF$6)=0,"",INDEX(D:AE,AF178,ADP!$AF$6)+AH178)</f>
        <v/>
      </c>
      <c r="AH178">
        <f t="shared" si="2"/>
        <v>1.7699999999999961E-4</v>
      </c>
    </row>
    <row r="179" spans="1:34" ht="15.75" thickBot="1" x14ac:dyDescent="0.3">
      <c r="A179" s="569" t="s">
        <v>1928</v>
      </c>
      <c r="B179" s="569" t="s">
        <v>136</v>
      </c>
      <c r="C179" s="569" t="s">
        <v>1</v>
      </c>
      <c r="D179" s="569">
        <v>17.600000000000001</v>
      </c>
      <c r="E179" s="569">
        <v>7</v>
      </c>
      <c r="F179" s="569">
        <v>17.399999999999999</v>
      </c>
      <c r="G179" s="569">
        <v>3.9</v>
      </c>
      <c r="H179" s="569">
        <v>19.3</v>
      </c>
      <c r="I179" s="569">
        <v>4.9000000000000004</v>
      </c>
      <c r="J179" s="569">
        <v>17.600000000000001</v>
      </c>
      <c r="K179" s="569">
        <v>7</v>
      </c>
      <c r="L179" s="569">
        <v>17.399999999999999</v>
      </c>
      <c r="M179" s="569">
        <v>3.9</v>
      </c>
      <c r="N179" s="569">
        <v>19.3</v>
      </c>
      <c r="O179" s="569">
        <v>4.9000000000000004</v>
      </c>
      <c r="P179" s="569">
        <v>1.7</v>
      </c>
      <c r="Q179" s="569">
        <v>1</v>
      </c>
      <c r="R179" s="569">
        <v>17.600000000000001</v>
      </c>
      <c r="S179" s="569">
        <v>7</v>
      </c>
      <c r="T179" s="569">
        <v>17.399999999999999</v>
      </c>
      <c r="U179" s="569">
        <v>3.9</v>
      </c>
      <c r="V179" s="569">
        <v>19.3</v>
      </c>
      <c r="W179" s="569">
        <v>4.9000000000000004</v>
      </c>
      <c r="X179" s="569">
        <v>1.7</v>
      </c>
      <c r="Y179" s="569">
        <v>1</v>
      </c>
      <c r="Z179" s="569">
        <v>17.600000000000001</v>
      </c>
      <c r="AA179" s="569">
        <v>7</v>
      </c>
      <c r="AB179" s="569">
        <v>17.399999999999999</v>
      </c>
      <c r="AC179" s="569">
        <v>3.9</v>
      </c>
      <c r="AD179" s="569">
        <v>19.3</v>
      </c>
      <c r="AE179" s="569">
        <v>19.3</v>
      </c>
      <c r="AF179">
        <v>179</v>
      </c>
      <c r="AG179" s="438">
        <f>IF(INDEX(D:AE,AF179,ADP!$AF$6)=0,"",INDEX(D:AE,AF179,ADP!$AF$6)+AH179)</f>
        <v>19.300177999999999</v>
      </c>
      <c r="AH179">
        <f t="shared" si="2"/>
        <v>1.7799999999999961E-4</v>
      </c>
    </row>
    <row r="180" spans="1:34" ht="15.75" thickBot="1" x14ac:dyDescent="0.3">
      <c r="A180" s="569" t="s">
        <v>2429</v>
      </c>
      <c r="B180" s="569" t="s">
        <v>149</v>
      </c>
      <c r="C180" s="569" t="s">
        <v>3</v>
      </c>
      <c r="D180" s="574"/>
      <c r="E180" s="574"/>
      <c r="F180" s="574"/>
      <c r="G180" s="574"/>
      <c r="H180" s="574"/>
      <c r="I180" s="574"/>
      <c r="J180" s="574"/>
      <c r="K180" s="574"/>
      <c r="L180" s="574"/>
      <c r="M180" s="574"/>
      <c r="N180" s="574"/>
      <c r="O180" s="574"/>
      <c r="P180" s="574"/>
      <c r="Q180" s="574"/>
      <c r="R180" s="574"/>
      <c r="S180" s="574"/>
      <c r="T180" s="574"/>
      <c r="U180" s="574"/>
      <c r="V180" s="574"/>
      <c r="W180" s="574"/>
      <c r="X180" s="574"/>
      <c r="Y180" s="574"/>
      <c r="Z180" s="574"/>
      <c r="AA180" s="574"/>
      <c r="AB180" s="574"/>
      <c r="AC180" s="574"/>
      <c r="AD180" s="574"/>
      <c r="AE180" s="574"/>
      <c r="AF180">
        <v>180</v>
      </c>
      <c r="AG180" s="438" t="str">
        <f>IF(INDEX(D:AE,AF180,ADP!$AF$6)=0,"",INDEX(D:AE,AF180,ADP!$AF$6)+AH180)</f>
        <v/>
      </c>
      <c r="AH180">
        <f t="shared" si="2"/>
        <v>1.7899999999999961E-4</v>
      </c>
    </row>
    <row r="181" spans="1:34" ht="15.75" thickBot="1" x14ac:dyDescent="0.3">
      <c r="A181" s="569" t="s">
        <v>2236</v>
      </c>
      <c r="B181" s="569" t="s">
        <v>147</v>
      </c>
      <c r="C181" s="569" t="s">
        <v>7</v>
      </c>
      <c r="D181" s="569">
        <v>84</v>
      </c>
      <c r="E181" s="569">
        <v>8.8000000000000007</v>
      </c>
      <c r="F181" s="569">
        <v>99.1</v>
      </c>
      <c r="G181" s="569">
        <v>11.3</v>
      </c>
      <c r="H181" s="569">
        <v>95.4</v>
      </c>
      <c r="I181" s="569">
        <v>10.1</v>
      </c>
      <c r="J181" s="569">
        <v>84</v>
      </c>
      <c r="K181" s="569">
        <v>8.8000000000000007</v>
      </c>
      <c r="L181" s="569">
        <v>99.1</v>
      </c>
      <c r="M181" s="569">
        <v>11.3</v>
      </c>
      <c r="N181" s="569">
        <v>95.4</v>
      </c>
      <c r="O181" s="569">
        <v>10.1</v>
      </c>
      <c r="P181" s="569">
        <v>97.3</v>
      </c>
      <c r="Q181" s="569">
        <v>8.1999999999999993</v>
      </c>
      <c r="R181" s="569">
        <v>84</v>
      </c>
      <c r="S181" s="569">
        <v>8.8000000000000007</v>
      </c>
      <c r="T181" s="569">
        <v>99.1</v>
      </c>
      <c r="U181" s="569">
        <v>11.3</v>
      </c>
      <c r="V181" s="569">
        <v>95.4</v>
      </c>
      <c r="W181" s="569">
        <v>10.1</v>
      </c>
      <c r="X181" s="569">
        <v>97.3</v>
      </c>
      <c r="Y181" s="569">
        <v>8.1999999999999993</v>
      </c>
      <c r="Z181" s="569">
        <v>84</v>
      </c>
      <c r="AA181" s="569">
        <v>8.8000000000000007</v>
      </c>
      <c r="AB181" s="569">
        <v>99.1</v>
      </c>
      <c r="AC181" s="569">
        <v>11.3</v>
      </c>
      <c r="AD181" s="569">
        <v>95.4</v>
      </c>
      <c r="AE181" s="569">
        <v>95.4</v>
      </c>
      <c r="AF181">
        <v>181</v>
      </c>
      <c r="AG181" s="438">
        <f>IF(INDEX(D:AE,AF181,ADP!$AF$6)=0,"",INDEX(D:AE,AF181,ADP!$AF$6)+AH181)</f>
        <v>95.400180000000006</v>
      </c>
      <c r="AH181">
        <f t="shared" si="2"/>
        <v>1.799999999999996E-4</v>
      </c>
    </row>
    <row r="182" spans="1:34" ht="15.75" thickBot="1" x14ac:dyDescent="0.3">
      <c r="A182" s="569" t="s">
        <v>1860</v>
      </c>
      <c r="B182" s="569" t="s">
        <v>154</v>
      </c>
      <c r="C182" s="569" t="s">
        <v>6</v>
      </c>
      <c r="D182" s="569"/>
      <c r="E182" s="569"/>
      <c r="F182" s="569"/>
      <c r="G182" s="569"/>
      <c r="H182" s="569"/>
      <c r="I182" s="569"/>
      <c r="J182" s="569"/>
      <c r="K182" s="569"/>
      <c r="L182" s="569"/>
      <c r="M182" s="569"/>
      <c r="N182" s="569"/>
      <c r="O182" s="569"/>
      <c r="P182" s="569"/>
      <c r="Q182" s="569"/>
      <c r="R182" s="569"/>
      <c r="S182" s="569"/>
      <c r="T182" s="569"/>
      <c r="U182" s="569"/>
      <c r="V182" s="569"/>
      <c r="W182" s="569"/>
      <c r="X182" s="569"/>
      <c r="Y182" s="569"/>
      <c r="Z182" s="569"/>
      <c r="AA182" s="569"/>
      <c r="AB182" s="569"/>
      <c r="AC182" s="569"/>
      <c r="AD182" s="569"/>
      <c r="AE182" s="569"/>
      <c r="AF182">
        <v>182</v>
      </c>
      <c r="AG182" s="438" t="str">
        <f>IF(INDEX(D:AE,AF182,ADP!$AF$6)=0,"",INDEX(D:AE,AF182,ADP!$AF$6)+AH182)</f>
        <v/>
      </c>
      <c r="AH182">
        <f t="shared" si="2"/>
        <v>1.809999999999996E-4</v>
      </c>
    </row>
    <row r="183" spans="1:34" ht="15.75" thickBot="1" x14ac:dyDescent="0.3">
      <c r="A183" s="569" t="s">
        <v>2430</v>
      </c>
      <c r="B183" s="569" t="s">
        <v>165</v>
      </c>
      <c r="C183" s="569" t="s">
        <v>6</v>
      </c>
      <c r="D183" s="569"/>
      <c r="E183" s="569"/>
      <c r="F183" s="569"/>
      <c r="G183" s="569"/>
      <c r="H183" s="569"/>
      <c r="I183" s="569"/>
      <c r="J183" s="569"/>
      <c r="K183" s="569"/>
      <c r="L183" s="569"/>
      <c r="M183" s="569"/>
      <c r="N183" s="569"/>
      <c r="O183" s="569"/>
      <c r="P183" s="569"/>
      <c r="Q183" s="569"/>
      <c r="R183" s="569"/>
      <c r="S183" s="569"/>
      <c r="T183" s="569"/>
      <c r="U183" s="569"/>
      <c r="V183" s="569"/>
      <c r="W183" s="569"/>
      <c r="X183" s="569"/>
      <c r="Y183" s="569"/>
      <c r="Z183" s="569"/>
      <c r="AA183" s="569"/>
      <c r="AB183" s="569"/>
      <c r="AC183" s="569"/>
      <c r="AD183" s="569"/>
      <c r="AE183" s="569"/>
      <c r="AF183">
        <v>183</v>
      </c>
      <c r="AG183" s="438" t="str">
        <f>IF(INDEX(D:AE,AF183,ADP!$AF$6)=0,"",INDEX(D:AE,AF183,ADP!$AF$6)+AH183)</f>
        <v/>
      </c>
      <c r="AH183">
        <f t="shared" si="2"/>
        <v>1.819999999999996E-4</v>
      </c>
    </row>
    <row r="184" spans="1:34" ht="15.75" thickBot="1" x14ac:dyDescent="0.3">
      <c r="A184" s="569" t="s">
        <v>2373</v>
      </c>
      <c r="B184" s="569" t="s">
        <v>148</v>
      </c>
      <c r="C184" s="569" t="s">
        <v>7</v>
      </c>
      <c r="D184" s="569"/>
      <c r="E184" s="569"/>
      <c r="F184" s="569"/>
      <c r="G184" s="569"/>
      <c r="H184" s="569"/>
      <c r="I184" s="569"/>
      <c r="J184" s="569"/>
      <c r="K184" s="569"/>
      <c r="L184" s="569"/>
      <c r="M184" s="569"/>
      <c r="N184" s="569"/>
      <c r="O184" s="569"/>
      <c r="P184" s="569"/>
      <c r="Q184" s="569"/>
      <c r="R184" s="569"/>
      <c r="S184" s="569"/>
      <c r="T184" s="569"/>
      <c r="U184" s="569"/>
      <c r="V184" s="569"/>
      <c r="W184" s="569"/>
      <c r="X184" s="569"/>
      <c r="Y184" s="569"/>
      <c r="Z184" s="569"/>
      <c r="AA184" s="569"/>
      <c r="AB184" s="569"/>
      <c r="AC184" s="569"/>
      <c r="AD184" s="569"/>
      <c r="AE184" s="569"/>
      <c r="AF184">
        <v>184</v>
      </c>
      <c r="AG184" s="438" t="str">
        <f>IF(INDEX(D:AE,AF184,ADP!$AF$6)=0,"",INDEX(D:AE,AF184,ADP!$AF$6)+AH184)</f>
        <v/>
      </c>
      <c r="AH184">
        <f t="shared" si="2"/>
        <v>1.829999999999996E-4</v>
      </c>
    </row>
    <row r="185" spans="1:34" ht="15.75" thickBot="1" x14ac:dyDescent="0.3">
      <c r="A185" s="569" t="s">
        <v>2151</v>
      </c>
      <c r="B185" s="569" t="s">
        <v>137</v>
      </c>
      <c r="C185" s="569" t="s">
        <v>6</v>
      </c>
      <c r="D185" s="574"/>
      <c r="E185" s="574"/>
      <c r="F185" s="574"/>
      <c r="G185" s="574"/>
      <c r="H185" s="574"/>
      <c r="I185" s="574"/>
      <c r="J185" s="574"/>
      <c r="K185" s="574"/>
      <c r="L185" s="574"/>
      <c r="M185" s="574"/>
      <c r="N185" s="574"/>
      <c r="O185" s="574"/>
      <c r="P185" s="574"/>
      <c r="Q185" s="574"/>
      <c r="R185" s="574"/>
      <c r="S185" s="574"/>
      <c r="T185" s="574"/>
      <c r="U185" s="574"/>
      <c r="V185" s="574"/>
      <c r="W185" s="574"/>
      <c r="X185" s="574"/>
      <c r="Y185" s="574"/>
      <c r="Z185" s="574"/>
      <c r="AA185" s="574"/>
      <c r="AB185" s="574"/>
      <c r="AC185" s="574"/>
      <c r="AD185" s="574"/>
      <c r="AE185" s="574"/>
      <c r="AF185">
        <v>185</v>
      </c>
      <c r="AG185" s="438" t="str">
        <f>IF(INDEX(D:AE,AF185,ADP!$AF$6)=0,"",INDEX(D:AE,AF185,ADP!$AF$6)+AH185)</f>
        <v/>
      </c>
      <c r="AH185">
        <f t="shared" si="2"/>
        <v>1.8399999999999959E-4</v>
      </c>
    </row>
    <row r="186" spans="1:34" ht="15.75" thickBot="1" x14ac:dyDescent="0.3">
      <c r="A186" s="569" t="s">
        <v>1206</v>
      </c>
      <c r="B186" s="569" t="s">
        <v>162</v>
      </c>
      <c r="C186" s="569" t="s">
        <v>6</v>
      </c>
      <c r="D186" s="569">
        <v>122.3</v>
      </c>
      <c r="E186" s="569">
        <v>12.3</v>
      </c>
      <c r="F186" s="569">
        <v>115.5</v>
      </c>
      <c r="G186" s="569">
        <v>10.8</v>
      </c>
      <c r="H186" s="569">
        <v>119.7</v>
      </c>
      <c r="I186" s="569">
        <v>12.7</v>
      </c>
      <c r="J186" s="569">
        <v>122.3</v>
      </c>
      <c r="K186" s="569">
        <v>12.3</v>
      </c>
      <c r="L186" s="569">
        <v>115.5</v>
      </c>
      <c r="M186" s="569">
        <v>10.8</v>
      </c>
      <c r="N186" s="569">
        <v>119.7</v>
      </c>
      <c r="O186" s="569">
        <v>12.7</v>
      </c>
      <c r="P186" s="569"/>
      <c r="Q186" s="569"/>
      <c r="R186" s="569">
        <v>122.3</v>
      </c>
      <c r="S186" s="569">
        <v>12.3</v>
      </c>
      <c r="T186" s="569">
        <v>115.5</v>
      </c>
      <c r="U186" s="569">
        <v>10.8</v>
      </c>
      <c r="V186" s="569">
        <v>119.7</v>
      </c>
      <c r="W186" s="569">
        <v>12.7</v>
      </c>
      <c r="X186" s="569"/>
      <c r="Y186" s="569"/>
      <c r="Z186" s="569">
        <v>122.3</v>
      </c>
      <c r="AA186" s="569">
        <v>12.3</v>
      </c>
      <c r="AB186" s="569">
        <v>115.5</v>
      </c>
      <c r="AC186" s="569">
        <v>10.8</v>
      </c>
      <c r="AD186" s="569">
        <v>119.7</v>
      </c>
      <c r="AE186" s="569">
        <v>119.7</v>
      </c>
      <c r="AF186">
        <v>186</v>
      </c>
      <c r="AG186" s="438">
        <f>IF(INDEX(D:AE,AF186,ADP!$AF$6)=0,"",INDEX(D:AE,AF186,ADP!$AF$6)+AH186)</f>
        <v>119.700185</v>
      </c>
      <c r="AH186">
        <f t="shared" si="2"/>
        <v>1.8499999999999959E-4</v>
      </c>
    </row>
    <row r="187" spans="1:34" ht="15.75" thickBot="1" x14ac:dyDescent="0.3">
      <c r="A187" s="569" t="s">
        <v>164</v>
      </c>
      <c r="B187" s="569" t="s">
        <v>164</v>
      </c>
      <c r="C187" s="569" t="s">
        <v>160</v>
      </c>
      <c r="D187" s="569"/>
      <c r="E187" s="569"/>
      <c r="F187" s="569"/>
      <c r="G187" s="569"/>
      <c r="H187" s="569"/>
      <c r="I187" s="569"/>
      <c r="J187" s="569"/>
      <c r="K187" s="569"/>
      <c r="L187" s="569"/>
      <c r="M187" s="569"/>
      <c r="N187" s="569"/>
      <c r="O187" s="569"/>
      <c r="P187" s="569"/>
      <c r="Q187" s="569"/>
      <c r="R187" s="569"/>
      <c r="S187" s="569"/>
      <c r="T187" s="569"/>
      <c r="U187" s="569"/>
      <c r="V187" s="569"/>
      <c r="W187" s="569"/>
      <c r="X187" s="569"/>
      <c r="Y187" s="569"/>
      <c r="Z187" s="569"/>
      <c r="AA187" s="569"/>
      <c r="AB187" s="569"/>
      <c r="AC187" s="569"/>
      <c r="AD187" s="569"/>
      <c r="AE187" s="569"/>
      <c r="AF187">
        <v>187</v>
      </c>
      <c r="AG187" s="438" t="str">
        <f>IF(INDEX(D:AE,AF187,ADP!$AF$6)=0,"",INDEX(D:AE,AF187,ADP!$AF$6)+AH187)</f>
        <v/>
      </c>
      <c r="AH187">
        <f t="shared" si="2"/>
        <v>1.8599999999999959E-4</v>
      </c>
    </row>
    <row r="188" spans="1:34" ht="15.75" thickBot="1" x14ac:dyDescent="0.3">
      <c r="A188" s="569" t="s">
        <v>154</v>
      </c>
      <c r="B188" s="569" t="s">
        <v>154</v>
      </c>
      <c r="C188" s="569" t="s">
        <v>160</v>
      </c>
      <c r="D188" s="569"/>
      <c r="E188" s="569"/>
      <c r="F188" s="569"/>
      <c r="G188" s="569"/>
      <c r="H188" s="569"/>
      <c r="I188" s="569"/>
      <c r="J188" s="569"/>
      <c r="K188" s="569"/>
      <c r="L188" s="569"/>
      <c r="M188" s="569"/>
      <c r="N188" s="569"/>
      <c r="O188" s="569"/>
      <c r="P188" s="569"/>
      <c r="Q188" s="569"/>
      <c r="R188" s="569"/>
      <c r="S188" s="569"/>
      <c r="T188" s="569"/>
      <c r="U188" s="569"/>
      <c r="V188" s="569"/>
      <c r="W188" s="569"/>
      <c r="X188" s="569"/>
      <c r="Y188" s="569"/>
      <c r="Z188" s="569"/>
      <c r="AA188" s="569"/>
      <c r="AB188" s="569"/>
      <c r="AC188" s="569"/>
      <c r="AD188" s="569"/>
      <c r="AE188" s="569"/>
      <c r="AF188">
        <v>188</v>
      </c>
      <c r="AG188" s="438" t="str">
        <f>IF(INDEX(D:AE,AF188,ADP!$AF$6)=0,"",INDEX(D:AE,AF188,ADP!$AF$6)+AH188)</f>
        <v/>
      </c>
      <c r="AH188">
        <f t="shared" si="2"/>
        <v>1.8699999999999959E-4</v>
      </c>
    </row>
    <row r="189" spans="1:34" ht="15.75" thickBot="1" x14ac:dyDescent="0.3">
      <c r="A189" s="569" t="s">
        <v>2220</v>
      </c>
      <c r="B189" s="569" t="s">
        <v>141</v>
      </c>
      <c r="C189" s="569" t="s">
        <v>6</v>
      </c>
      <c r="D189" s="569"/>
      <c r="E189" s="569"/>
      <c r="F189" s="569"/>
      <c r="G189" s="569"/>
      <c r="H189" s="569"/>
      <c r="I189" s="569"/>
      <c r="J189" s="569"/>
      <c r="K189" s="569"/>
      <c r="L189" s="569"/>
      <c r="M189" s="569"/>
      <c r="N189" s="569"/>
      <c r="O189" s="569"/>
      <c r="P189" s="569"/>
      <c r="Q189" s="569"/>
      <c r="R189" s="569"/>
      <c r="S189" s="569"/>
      <c r="T189" s="569"/>
      <c r="U189" s="569"/>
      <c r="V189" s="569"/>
      <c r="W189" s="569"/>
      <c r="X189" s="569"/>
      <c r="Y189" s="569"/>
      <c r="Z189" s="569"/>
      <c r="AA189" s="569"/>
      <c r="AB189" s="569"/>
      <c r="AC189" s="569"/>
      <c r="AD189" s="569"/>
      <c r="AE189" s="569"/>
      <c r="AF189">
        <v>189</v>
      </c>
      <c r="AG189" s="438" t="str">
        <f>IF(INDEX(D:AE,AF189,ADP!$AF$6)=0,"",INDEX(D:AE,AF189,ADP!$AF$6)+AH189)</f>
        <v/>
      </c>
      <c r="AH189">
        <f t="shared" si="2"/>
        <v>1.8799999999999958E-4</v>
      </c>
    </row>
    <row r="190" spans="1:34" ht="15.75" thickBot="1" x14ac:dyDescent="0.3">
      <c r="A190" s="569" t="s">
        <v>2258</v>
      </c>
      <c r="B190" s="569" t="s">
        <v>2272</v>
      </c>
      <c r="C190" s="569" t="s">
        <v>7</v>
      </c>
      <c r="D190" s="569"/>
      <c r="E190" s="569"/>
      <c r="F190" s="569"/>
      <c r="G190" s="569"/>
      <c r="H190" s="569"/>
      <c r="I190" s="569"/>
      <c r="J190" s="569"/>
      <c r="K190" s="569"/>
      <c r="L190" s="569"/>
      <c r="M190" s="569"/>
      <c r="N190" s="569"/>
      <c r="O190" s="569"/>
      <c r="P190" s="569"/>
      <c r="Q190" s="569"/>
      <c r="R190" s="569"/>
      <c r="S190" s="569"/>
      <c r="T190" s="569"/>
      <c r="U190" s="569"/>
      <c r="V190" s="569"/>
      <c r="W190" s="569"/>
      <c r="X190" s="569"/>
      <c r="Y190" s="569"/>
      <c r="Z190" s="569"/>
      <c r="AA190" s="569"/>
      <c r="AB190" s="569"/>
      <c r="AC190" s="569"/>
      <c r="AD190" s="569"/>
      <c r="AE190" s="569"/>
      <c r="AF190">
        <v>190</v>
      </c>
      <c r="AG190" s="438" t="str">
        <f>IF(INDEX(D:AE,AF190,ADP!$AF$6)=0,"",INDEX(D:AE,AF190,ADP!$AF$6)+AH190)</f>
        <v/>
      </c>
      <c r="AH190">
        <f t="shared" si="2"/>
        <v>1.8899999999999958E-4</v>
      </c>
    </row>
    <row r="191" spans="1:34" ht="15.75" thickBot="1" x14ac:dyDescent="0.3">
      <c r="A191" s="569" t="s">
        <v>2240</v>
      </c>
      <c r="B191" s="569" t="s">
        <v>136</v>
      </c>
      <c r="C191" s="569" t="s">
        <v>7</v>
      </c>
      <c r="D191" s="569"/>
      <c r="E191" s="569"/>
      <c r="F191" s="569"/>
      <c r="G191" s="569"/>
      <c r="H191" s="569"/>
      <c r="I191" s="569"/>
      <c r="J191" s="569"/>
      <c r="K191" s="569"/>
      <c r="L191" s="569"/>
      <c r="M191" s="569"/>
      <c r="N191" s="569"/>
      <c r="O191" s="569"/>
      <c r="P191" s="569"/>
      <c r="Q191" s="569"/>
      <c r="R191" s="569"/>
      <c r="S191" s="569"/>
      <c r="T191" s="569"/>
      <c r="U191" s="569"/>
      <c r="V191" s="569"/>
      <c r="W191" s="569"/>
      <c r="X191" s="569"/>
      <c r="Y191" s="569"/>
      <c r="Z191" s="569"/>
      <c r="AA191" s="569"/>
      <c r="AB191" s="569"/>
      <c r="AC191" s="569"/>
      <c r="AD191" s="569"/>
      <c r="AE191" s="569"/>
      <c r="AF191">
        <v>191</v>
      </c>
      <c r="AG191" s="438" t="str">
        <f>IF(INDEX(D:AE,AF191,ADP!$AF$6)=0,"",INDEX(D:AE,AF191,ADP!$AF$6)+AH191)</f>
        <v/>
      </c>
      <c r="AH191">
        <f t="shared" si="2"/>
        <v>1.8999999999999958E-4</v>
      </c>
    </row>
    <row r="192" spans="1:34" ht="15.75" thickBot="1" x14ac:dyDescent="0.3">
      <c r="A192" s="569" t="s">
        <v>1863</v>
      </c>
      <c r="B192" s="569" t="s">
        <v>140</v>
      </c>
      <c r="C192" s="569" t="s">
        <v>7</v>
      </c>
      <c r="D192" s="569"/>
      <c r="E192" s="569"/>
      <c r="F192" s="569"/>
      <c r="G192" s="569"/>
      <c r="H192" s="569"/>
      <c r="I192" s="569"/>
      <c r="J192" s="569"/>
      <c r="K192" s="569"/>
      <c r="L192" s="569"/>
      <c r="M192" s="569"/>
      <c r="N192" s="569"/>
      <c r="O192" s="569"/>
      <c r="P192" s="569"/>
      <c r="Q192" s="569"/>
      <c r="R192" s="569"/>
      <c r="S192" s="569"/>
      <c r="T192" s="569"/>
      <c r="U192" s="569"/>
      <c r="V192" s="569"/>
      <c r="W192" s="569"/>
      <c r="X192" s="569"/>
      <c r="Y192" s="569"/>
      <c r="Z192" s="569"/>
      <c r="AA192" s="569"/>
      <c r="AB192" s="569"/>
      <c r="AC192" s="569"/>
      <c r="AD192" s="569"/>
      <c r="AE192" s="569"/>
      <c r="AF192">
        <v>192</v>
      </c>
      <c r="AG192" s="438" t="str">
        <f>IF(INDEX(D:AE,AF192,ADP!$AF$6)=0,"",INDEX(D:AE,AF192,ADP!$AF$6)+AH192)</f>
        <v/>
      </c>
      <c r="AH192">
        <f t="shared" si="2"/>
        <v>1.9099999999999957E-4</v>
      </c>
    </row>
    <row r="193" spans="1:34" ht="15.75" thickBot="1" x14ac:dyDescent="0.3">
      <c r="A193" s="569" t="s">
        <v>2213</v>
      </c>
      <c r="B193" s="569" t="s">
        <v>151</v>
      </c>
      <c r="C193" s="569" t="s">
        <v>6</v>
      </c>
      <c r="D193" s="569"/>
      <c r="E193" s="569"/>
      <c r="F193" s="569"/>
      <c r="G193" s="569"/>
      <c r="H193" s="569"/>
      <c r="I193" s="569"/>
      <c r="J193" s="569"/>
      <c r="K193" s="569"/>
      <c r="L193" s="569"/>
      <c r="M193" s="569"/>
      <c r="N193" s="569"/>
      <c r="O193" s="569"/>
      <c r="P193" s="569"/>
      <c r="Q193" s="569"/>
      <c r="R193" s="569"/>
      <c r="S193" s="569"/>
      <c r="T193" s="569"/>
      <c r="U193" s="569"/>
      <c r="V193" s="569"/>
      <c r="W193" s="569"/>
      <c r="X193" s="569"/>
      <c r="Y193" s="569"/>
      <c r="Z193" s="569"/>
      <c r="AA193" s="569"/>
      <c r="AB193" s="569"/>
      <c r="AC193" s="569"/>
      <c r="AD193" s="569"/>
      <c r="AE193" s="569"/>
      <c r="AF193">
        <v>193</v>
      </c>
      <c r="AG193" s="438" t="str">
        <f>IF(INDEX(D:AE,AF193,ADP!$AF$6)=0,"",INDEX(D:AE,AF193,ADP!$AF$6)+AH193)</f>
        <v/>
      </c>
      <c r="AH193">
        <f t="shared" si="2"/>
        <v>1.9199999999999957E-4</v>
      </c>
    </row>
    <row r="194" spans="1:34" ht="15.75" thickBot="1" x14ac:dyDescent="0.3">
      <c r="A194" s="569" t="s">
        <v>143</v>
      </c>
      <c r="B194" s="569" t="s">
        <v>143</v>
      </c>
      <c r="C194" s="569" t="s">
        <v>160</v>
      </c>
      <c r="D194" s="569">
        <v>154</v>
      </c>
      <c r="E194" s="569">
        <v>21.4</v>
      </c>
      <c r="F194" s="569">
        <v>155.69999999999999</v>
      </c>
      <c r="G194" s="569">
        <v>16.8</v>
      </c>
      <c r="H194" s="569">
        <v>151.9</v>
      </c>
      <c r="I194" s="569">
        <v>17.8</v>
      </c>
      <c r="J194" s="569">
        <v>154</v>
      </c>
      <c r="K194" s="569">
        <v>21.4</v>
      </c>
      <c r="L194" s="569">
        <v>155.69999999999999</v>
      </c>
      <c r="M194" s="569">
        <v>16.8</v>
      </c>
      <c r="N194" s="569">
        <v>151.9</v>
      </c>
      <c r="O194" s="569">
        <v>17.8</v>
      </c>
      <c r="P194" s="569">
        <v>142.80000000000001</v>
      </c>
      <c r="Q194" s="569">
        <v>12.9</v>
      </c>
      <c r="R194" s="569">
        <v>154</v>
      </c>
      <c r="S194" s="569">
        <v>21.4</v>
      </c>
      <c r="T194" s="569">
        <v>155.69999999999999</v>
      </c>
      <c r="U194" s="569">
        <v>16.8</v>
      </c>
      <c r="V194" s="569">
        <v>151.9</v>
      </c>
      <c r="W194" s="569">
        <v>17.8</v>
      </c>
      <c r="X194" s="569">
        <v>142.80000000000001</v>
      </c>
      <c r="Y194" s="569">
        <v>12.9</v>
      </c>
      <c r="Z194" s="569">
        <v>154</v>
      </c>
      <c r="AA194" s="569">
        <v>21.4</v>
      </c>
      <c r="AB194" s="569">
        <v>155.69999999999999</v>
      </c>
      <c r="AC194" s="569">
        <v>16.8</v>
      </c>
      <c r="AD194" s="569">
        <v>151.9</v>
      </c>
      <c r="AE194" s="569">
        <v>151.9</v>
      </c>
      <c r="AF194">
        <v>194</v>
      </c>
      <c r="AG194" s="438">
        <f>IF(INDEX(D:AE,AF194,ADP!$AF$6)=0,"",INDEX(D:AE,AF194,ADP!$AF$6)+AH194)</f>
        <v>151.900193</v>
      </c>
      <c r="AH194">
        <f t="shared" si="2"/>
        <v>1.9299999999999957E-4</v>
      </c>
    </row>
    <row r="195" spans="1:34" ht="15.75" thickBot="1" x14ac:dyDescent="0.3">
      <c r="A195" s="569" t="s">
        <v>2549</v>
      </c>
      <c r="B195" s="569" t="s">
        <v>138</v>
      </c>
      <c r="C195" s="569" t="s">
        <v>6</v>
      </c>
      <c r="D195" s="574"/>
      <c r="E195" s="574"/>
      <c r="F195" s="574"/>
      <c r="G195" s="574"/>
      <c r="H195" s="574"/>
      <c r="I195" s="574"/>
      <c r="J195" s="574"/>
      <c r="K195" s="574"/>
      <c r="L195" s="574"/>
      <c r="M195" s="574"/>
      <c r="N195" s="574"/>
      <c r="O195" s="574"/>
      <c r="P195" s="574"/>
      <c r="Q195" s="574"/>
      <c r="R195" s="574"/>
      <c r="S195" s="574"/>
      <c r="T195" s="574"/>
      <c r="U195" s="574"/>
      <c r="V195" s="574"/>
      <c r="W195" s="574"/>
      <c r="X195" s="574"/>
      <c r="Y195" s="574"/>
      <c r="Z195" s="574"/>
      <c r="AA195" s="574"/>
      <c r="AB195" s="574"/>
      <c r="AC195" s="574"/>
      <c r="AD195" s="574"/>
      <c r="AE195" s="574"/>
      <c r="AF195">
        <v>195</v>
      </c>
      <c r="AG195" s="438" t="str">
        <f>IF(INDEX(D:AE,AF195,ADP!$AF$6)=0,"",INDEX(D:AE,AF195,ADP!$AF$6)+AH195)</f>
        <v/>
      </c>
      <c r="AH195">
        <f t="shared" si="2"/>
        <v>1.9399999999999957E-4</v>
      </c>
    </row>
    <row r="196" spans="1:34" ht="15.75" thickBot="1" x14ac:dyDescent="0.3">
      <c r="A196" s="569" t="s">
        <v>2205</v>
      </c>
      <c r="B196" s="569" t="s">
        <v>151</v>
      </c>
      <c r="C196" s="569" t="s">
        <v>6</v>
      </c>
      <c r="D196" s="569">
        <v>129.6</v>
      </c>
      <c r="E196" s="569">
        <v>10</v>
      </c>
      <c r="F196" s="569">
        <v>127.1</v>
      </c>
      <c r="G196" s="569">
        <v>8.8000000000000007</v>
      </c>
      <c r="H196" s="569">
        <v>113.9</v>
      </c>
      <c r="I196" s="569">
        <v>8.5</v>
      </c>
      <c r="J196" s="569">
        <v>129.6</v>
      </c>
      <c r="K196" s="569">
        <v>10</v>
      </c>
      <c r="L196" s="569">
        <v>127.1</v>
      </c>
      <c r="M196" s="569">
        <v>8.8000000000000007</v>
      </c>
      <c r="N196" s="569">
        <v>113.9</v>
      </c>
      <c r="O196" s="569">
        <v>8.5</v>
      </c>
      <c r="P196" s="569">
        <v>130.9</v>
      </c>
      <c r="Q196" s="569">
        <v>10.7</v>
      </c>
      <c r="R196" s="569">
        <v>129.6</v>
      </c>
      <c r="S196" s="569">
        <v>10</v>
      </c>
      <c r="T196" s="569">
        <v>127.1</v>
      </c>
      <c r="U196" s="569">
        <v>8.8000000000000007</v>
      </c>
      <c r="V196" s="569">
        <v>113.9</v>
      </c>
      <c r="W196" s="569">
        <v>8.5</v>
      </c>
      <c r="X196" s="569">
        <v>130.9</v>
      </c>
      <c r="Y196" s="569">
        <v>10.7</v>
      </c>
      <c r="Z196" s="569">
        <v>129.6</v>
      </c>
      <c r="AA196" s="569">
        <v>10</v>
      </c>
      <c r="AB196" s="569">
        <v>127.1</v>
      </c>
      <c r="AC196" s="569">
        <v>8.8000000000000007</v>
      </c>
      <c r="AD196" s="569">
        <v>113.9</v>
      </c>
      <c r="AE196" s="569">
        <v>113.9</v>
      </c>
      <c r="AF196">
        <v>196</v>
      </c>
      <c r="AG196" s="438">
        <f>IF(INDEX(D:AE,AF196,ADP!$AF$6)=0,"",INDEX(D:AE,AF196,ADP!$AF$6)+AH196)</f>
        <v>113.90019500000001</v>
      </c>
      <c r="AH196">
        <f t="shared" ref="AH196:AH261" si="3">AH195+0.000001</f>
        <v>1.9499999999999956E-4</v>
      </c>
    </row>
    <row r="197" spans="1:34" ht="15.75" thickBot="1" x14ac:dyDescent="0.3">
      <c r="A197" s="569" t="s">
        <v>2216</v>
      </c>
      <c r="B197" s="569" t="s">
        <v>163</v>
      </c>
      <c r="C197" s="569" t="s">
        <v>6</v>
      </c>
      <c r="D197" s="569"/>
      <c r="E197" s="569"/>
      <c r="F197" s="569"/>
      <c r="G197" s="569"/>
      <c r="H197" s="569"/>
      <c r="I197" s="569"/>
      <c r="J197" s="569"/>
      <c r="K197" s="569"/>
      <c r="L197" s="569"/>
      <c r="M197" s="569"/>
      <c r="N197" s="569"/>
      <c r="O197" s="569"/>
      <c r="P197" s="569"/>
      <c r="Q197" s="569"/>
      <c r="R197" s="569"/>
      <c r="S197" s="569"/>
      <c r="T197" s="569"/>
      <c r="U197" s="569"/>
      <c r="V197" s="569"/>
      <c r="W197" s="569"/>
      <c r="X197" s="569"/>
      <c r="Y197" s="569"/>
      <c r="Z197" s="569"/>
      <c r="AA197" s="569"/>
      <c r="AB197" s="569"/>
      <c r="AC197" s="569"/>
      <c r="AD197" s="569"/>
      <c r="AE197" s="569"/>
      <c r="AF197">
        <v>197</v>
      </c>
      <c r="AG197" s="438" t="str">
        <f>IF(INDEX(D:AE,AF197,ADP!$AF$6)=0,"",INDEX(D:AE,AF197,ADP!$AF$6)+AH197)</f>
        <v/>
      </c>
      <c r="AH197">
        <f t="shared" si="3"/>
        <v>1.9599999999999956E-4</v>
      </c>
    </row>
    <row r="198" spans="1:34" ht="15.75" thickBot="1" x14ac:dyDescent="0.3">
      <c r="A198" s="569" t="s">
        <v>1301</v>
      </c>
      <c r="B198" s="569" t="s">
        <v>151</v>
      </c>
      <c r="C198" s="569" t="s">
        <v>7</v>
      </c>
      <c r="D198" s="574"/>
      <c r="E198" s="574"/>
      <c r="F198" s="574"/>
      <c r="G198" s="574"/>
      <c r="H198" s="574"/>
      <c r="I198" s="574"/>
      <c r="J198" s="574"/>
      <c r="K198" s="574"/>
      <c r="L198" s="574"/>
      <c r="M198" s="574"/>
      <c r="N198" s="574"/>
      <c r="O198" s="574"/>
      <c r="P198" s="569"/>
      <c r="Q198" s="569"/>
      <c r="R198" s="574"/>
      <c r="S198" s="574"/>
      <c r="T198" s="574"/>
      <c r="U198" s="574"/>
      <c r="V198" s="574"/>
      <c r="W198" s="574"/>
      <c r="X198" s="569"/>
      <c r="Y198" s="569"/>
      <c r="Z198" s="574"/>
      <c r="AA198" s="574"/>
      <c r="AB198" s="574"/>
      <c r="AC198" s="574"/>
      <c r="AD198" s="574"/>
      <c r="AE198" s="574"/>
      <c r="AF198">
        <v>198</v>
      </c>
      <c r="AG198" s="438" t="str">
        <f>IF(INDEX(D:AE,AF198,ADP!$AF$6)=0,"",INDEX(D:AE,AF198,ADP!$AF$6)+AH198)</f>
        <v/>
      </c>
      <c r="AH198">
        <f t="shared" si="3"/>
        <v>1.9699999999999956E-4</v>
      </c>
    </row>
    <row r="199" spans="1:34" ht="15.75" thickBot="1" x14ac:dyDescent="0.3">
      <c r="A199" s="569" t="s">
        <v>2165</v>
      </c>
      <c r="B199" s="569" t="s">
        <v>138</v>
      </c>
      <c r="C199" s="569" t="s">
        <v>1</v>
      </c>
      <c r="D199" s="574"/>
      <c r="E199" s="574"/>
      <c r="F199" s="574"/>
      <c r="G199" s="574"/>
      <c r="H199" s="574"/>
      <c r="I199" s="574"/>
      <c r="J199" s="574"/>
      <c r="K199" s="574"/>
      <c r="L199" s="574"/>
      <c r="M199" s="574"/>
      <c r="N199" s="574"/>
      <c r="O199" s="574"/>
      <c r="P199" s="574"/>
      <c r="Q199" s="574"/>
      <c r="R199" s="574"/>
      <c r="S199" s="574"/>
      <c r="T199" s="574"/>
      <c r="U199" s="574"/>
      <c r="V199" s="574"/>
      <c r="W199" s="574"/>
      <c r="X199" s="574"/>
      <c r="Y199" s="574"/>
      <c r="Z199" s="574"/>
      <c r="AA199" s="574"/>
      <c r="AB199" s="574"/>
      <c r="AC199" s="574"/>
      <c r="AD199" s="574"/>
      <c r="AE199" s="574"/>
      <c r="AF199">
        <v>199</v>
      </c>
      <c r="AG199" s="438" t="str">
        <f>IF(INDEX(D:AE,AF199,ADP!$AF$6)=0,"",INDEX(D:AE,AF199,ADP!$AF$6)+AH199)</f>
        <v/>
      </c>
      <c r="AH199">
        <f t="shared" si="3"/>
        <v>1.9799999999999955E-4</v>
      </c>
    </row>
    <row r="200" spans="1:34" ht="15.75" thickBot="1" x14ac:dyDescent="0.3">
      <c r="A200" s="569" t="s">
        <v>2139</v>
      </c>
      <c r="B200" s="569" t="s">
        <v>157</v>
      </c>
      <c r="C200" s="569" t="s">
        <v>11</v>
      </c>
      <c r="D200" s="569"/>
      <c r="E200" s="569"/>
      <c r="F200" s="569"/>
      <c r="G200" s="569"/>
      <c r="H200" s="569">
        <v>149.80000000000001</v>
      </c>
      <c r="I200" s="569">
        <v>14.8</v>
      </c>
      <c r="J200" s="569"/>
      <c r="K200" s="569"/>
      <c r="L200" s="569"/>
      <c r="M200" s="569"/>
      <c r="N200" s="569">
        <v>149.80000000000001</v>
      </c>
      <c r="O200" s="569">
        <v>14.8</v>
      </c>
      <c r="P200" s="569">
        <v>156.9</v>
      </c>
      <c r="Q200" s="569">
        <v>12.6</v>
      </c>
      <c r="R200" s="569"/>
      <c r="S200" s="569"/>
      <c r="T200" s="569"/>
      <c r="U200" s="569"/>
      <c r="V200" s="569">
        <v>149.80000000000001</v>
      </c>
      <c r="W200" s="569">
        <v>14.8</v>
      </c>
      <c r="X200" s="569">
        <v>156.9</v>
      </c>
      <c r="Y200" s="569">
        <v>12.6</v>
      </c>
      <c r="Z200" s="569"/>
      <c r="AA200" s="569"/>
      <c r="AB200" s="569"/>
      <c r="AC200" s="569"/>
      <c r="AD200" s="569">
        <v>149.80000000000001</v>
      </c>
      <c r="AE200" s="569">
        <v>149.80000000000001</v>
      </c>
      <c r="AF200">
        <v>200</v>
      </c>
      <c r="AG200" s="438">
        <f>IF(INDEX(D:AE,AF200,ADP!$AF$6)=0,"",INDEX(D:AE,AF200,ADP!$AF$6)+AH200)</f>
        <v>149.80019900000002</v>
      </c>
      <c r="AH200">
        <f t="shared" si="3"/>
        <v>1.9899999999999955E-4</v>
      </c>
    </row>
    <row r="201" spans="1:34" ht="15.75" thickBot="1" x14ac:dyDescent="0.3">
      <c r="A201" s="569" t="s">
        <v>1772</v>
      </c>
      <c r="B201" s="569" t="s">
        <v>161</v>
      </c>
      <c r="C201" s="569" t="s">
        <v>3</v>
      </c>
      <c r="D201" s="569">
        <v>4.7</v>
      </c>
      <c r="E201" s="569">
        <v>1.4</v>
      </c>
      <c r="F201" s="569">
        <v>5.7</v>
      </c>
      <c r="G201" s="569">
        <v>1.7</v>
      </c>
      <c r="H201" s="569">
        <v>12.3</v>
      </c>
      <c r="I201" s="569">
        <v>2.9</v>
      </c>
      <c r="J201" s="569">
        <v>4.7</v>
      </c>
      <c r="K201" s="569">
        <v>1.4</v>
      </c>
      <c r="L201" s="569">
        <v>5.7</v>
      </c>
      <c r="M201" s="569">
        <v>1.7</v>
      </c>
      <c r="N201" s="569">
        <v>12.3</v>
      </c>
      <c r="O201" s="569">
        <v>2.9</v>
      </c>
      <c r="P201" s="569">
        <v>15.2</v>
      </c>
      <c r="Q201" s="569">
        <v>3.6</v>
      </c>
      <c r="R201" s="569">
        <v>4.7</v>
      </c>
      <c r="S201" s="569">
        <v>1.4</v>
      </c>
      <c r="T201" s="569">
        <v>5.7</v>
      </c>
      <c r="U201" s="569">
        <v>1.7</v>
      </c>
      <c r="V201" s="569">
        <v>12.3</v>
      </c>
      <c r="W201" s="569">
        <v>2.9</v>
      </c>
      <c r="X201" s="569">
        <v>15.2</v>
      </c>
      <c r="Y201" s="569">
        <v>3.6</v>
      </c>
      <c r="Z201" s="569">
        <v>4.7</v>
      </c>
      <c r="AA201" s="569">
        <v>1.4</v>
      </c>
      <c r="AB201" s="569">
        <v>5.7</v>
      </c>
      <c r="AC201" s="569">
        <v>1.7</v>
      </c>
      <c r="AD201" s="569">
        <v>12.3</v>
      </c>
      <c r="AE201" s="569">
        <v>12.3</v>
      </c>
      <c r="AF201">
        <v>201</v>
      </c>
      <c r="AG201" s="438">
        <f>IF(INDEX(D:AE,AF201,ADP!$AF$6)=0,"",INDEX(D:AE,AF201,ADP!$AF$6)+AH201)</f>
        <v>12.3002</v>
      </c>
      <c r="AH201">
        <f t="shared" si="3"/>
        <v>1.9999999999999955E-4</v>
      </c>
    </row>
    <row r="202" spans="1:34" ht="15.75" thickBot="1" x14ac:dyDescent="0.3">
      <c r="A202" s="569" t="s">
        <v>1963</v>
      </c>
      <c r="B202" s="569" t="s">
        <v>140</v>
      </c>
      <c r="C202" s="569" t="s">
        <v>3</v>
      </c>
      <c r="D202" s="569"/>
      <c r="E202" s="569"/>
      <c r="F202" s="569"/>
      <c r="G202" s="569"/>
      <c r="H202" s="569"/>
      <c r="I202" s="569"/>
      <c r="J202" s="569"/>
      <c r="K202" s="569"/>
      <c r="L202" s="569"/>
      <c r="M202" s="569"/>
      <c r="N202" s="569"/>
      <c r="O202" s="569"/>
      <c r="P202" s="569"/>
      <c r="Q202" s="569"/>
      <c r="R202" s="569"/>
      <c r="S202" s="569"/>
      <c r="T202" s="569"/>
      <c r="U202" s="569"/>
      <c r="V202" s="569"/>
      <c r="W202" s="569"/>
      <c r="X202" s="569"/>
      <c r="Y202" s="569"/>
      <c r="Z202" s="569"/>
      <c r="AA202" s="569"/>
      <c r="AB202" s="569"/>
      <c r="AC202" s="569"/>
      <c r="AD202" s="569"/>
      <c r="AE202" s="569"/>
      <c r="AF202">
        <v>202</v>
      </c>
      <c r="AG202" s="438" t="str">
        <f>IF(INDEX(D:AE,AF202,ADP!$AF$6)=0,"",INDEX(D:AE,AF202,ADP!$AF$6)+AH202)</f>
        <v/>
      </c>
      <c r="AH202">
        <f t="shared" si="3"/>
        <v>2.0099999999999955E-4</v>
      </c>
    </row>
    <row r="203" spans="1:34" ht="15.75" thickBot="1" x14ac:dyDescent="0.3">
      <c r="A203" s="569" t="s">
        <v>1103</v>
      </c>
      <c r="B203" s="569" t="s">
        <v>162</v>
      </c>
      <c r="C203" s="569" t="s">
        <v>6</v>
      </c>
      <c r="D203" s="574"/>
      <c r="E203" s="574"/>
      <c r="F203" s="574"/>
      <c r="G203" s="574"/>
      <c r="H203" s="574"/>
      <c r="I203" s="574"/>
      <c r="J203" s="574"/>
      <c r="K203" s="574"/>
      <c r="L203" s="574"/>
      <c r="M203" s="574"/>
      <c r="N203" s="574"/>
      <c r="O203" s="574"/>
      <c r="P203" s="574"/>
      <c r="Q203" s="574"/>
      <c r="R203" s="574"/>
      <c r="S203" s="574"/>
      <c r="T203" s="574"/>
      <c r="U203" s="574"/>
      <c r="V203" s="574"/>
      <c r="W203" s="574"/>
      <c r="X203" s="574"/>
      <c r="Y203" s="574"/>
      <c r="Z203" s="574"/>
      <c r="AA203" s="574"/>
      <c r="AB203" s="574"/>
      <c r="AC203" s="574"/>
      <c r="AD203" s="574"/>
      <c r="AE203" s="574"/>
      <c r="AF203">
        <v>203</v>
      </c>
      <c r="AG203" s="438" t="str">
        <f>IF(INDEX(D:AE,AF203,ADP!$AF$6)=0,"",INDEX(D:AE,AF203,ADP!$AF$6)+AH203)</f>
        <v/>
      </c>
      <c r="AH203">
        <f t="shared" si="3"/>
        <v>2.0199999999999954E-4</v>
      </c>
    </row>
    <row r="204" spans="1:34" ht="15.75" thickBot="1" x14ac:dyDescent="0.3">
      <c r="A204" s="569" t="s">
        <v>157</v>
      </c>
      <c r="B204" s="569" t="s">
        <v>157</v>
      </c>
      <c r="C204" s="569" t="s">
        <v>160</v>
      </c>
      <c r="D204" s="574">
        <v>149.30000000000001</v>
      </c>
      <c r="E204" s="574">
        <v>11.9</v>
      </c>
      <c r="F204" s="574">
        <v>152.6</v>
      </c>
      <c r="G204" s="574">
        <v>16.5</v>
      </c>
      <c r="H204" s="574">
        <v>149.4</v>
      </c>
      <c r="I204" s="574">
        <v>14.9</v>
      </c>
      <c r="J204" s="574">
        <v>149.30000000000001</v>
      </c>
      <c r="K204" s="574">
        <v>11.9</v>
      </c>
      <c r="L204" s="574">
        <v>152.6</v>
      </c>
      <c r="M204" s="574">
        <v>16.5</v>
      </c>
      <c r="N204" s="574">
        <v>149.4</v>
      </c>
      <c r="O204" s="574">
        <v>14.9</v>
      </c>
      <c r="P204" s="574">
        <v>141</v>
      </c>
      <c r="Q204" s="574">
        <v>11.5</v>
      </c>
      <c r="R204" s="574">
        <v>149.30000000000001</v>
      </c>
      <c r="S204" s="574">
        <v>11.9</v>
      </c>
      <c r="T204" s="574">
        <v>152.6</v>
      </c>
      <c r="U204" s="574">
        <v>16.5</v>
      </c>
      <c r="V204" s="574">
        <v>149.4</v>
      </c>
      <c r="W204" s="574">
        <v>14.9</v>
      </c>
      <c r="X204" s="574">
        <v>141</v>
      </c>
      <c r="Y204" s="574">
        <v>11.5</v>
      </c>
      <c r="Z204" s="574">
        <v>149.30000000000001</v>
      </c>
      <c r="AA204" s="574">
        <v>11.9</v>
      </c>
      <c r="AB204" s="574">
        <v>152.6</v>
      </c>
      <c r="AC204" s="574">
        <v>16.5</v>
      </c>
      <c r="AD204" s="574">
        <v>149.4</v>
      </c>
      <c r="AE204" s="574">
        <v>149.4</v>
      </c>
      <c r="AF204">
        <v>204</v>
      </c>
      <c r="AG204" s="438">
        <f>IF(INDEX(D:AE,AF204,ADP!$AF$6)=0,"",INDEX(D:AE,AF204,ADP!$AF$6)+AH204)</f>
        <v>149.400203</v>
      </c>
      <c r="AH204">
        <f t="shared" si="3"/>
        <v>2.0299999999999954E-4</v>
      </c>
    </row>
    <row r="205" spans="1:34" ht="15.75" thickBot="1" x14ac:dyDescent="0.3">
      <c r="A205" s="569" t="s">
        <v>2166</v>
      </c>
      <c r="B205" s="569" t="s">
        <v>142</v>
      </c>
      <c r="C205" s="569" t="s">
        <v>1</v>
      </c>
      <c r="D205" s="569"/>
      <c r="E205" s="569"/>
      <c r="F205" s="569"/>
      <c r="G205" s="569"/>
      <c r="H205" s="569"/>
      <c r="I205" s="569"/>
      <c r="J205" s="569"/>
      <c r="K205" s="569"/>
      <c r="L205" s="569"/>
      <c r="M205" s="569"/>
      <c r="N205" s="569"/>
      <c r="O205" s="569"/>
      <c r="P205" s="569"/>
      <c r="Q205" s="569"/>
      <c r="R205" s="569"/>
      <c r="S205" s="569"/>
      <c r="T205" s="569"/>
      <c r="U205" s="569"/>
      <c r="V205" s="569"/>
      <c r="W205" s="569"/>
      <c r="X205" s="569"/>
      <c r="Y205" s="569"/>
      <c r="Z205" s="569"/>
      <c r="AA205" s="569"/>
      <c r="AB205" s="569"/>
      <c r="AC205" s="569"/>
      <c r="AD205" s="569"/>
      <c r="AE205" s="569"/>
      <c r="AF205">
        <v>205</v>
      </c>
      <c r="AG205" s="438" t="str">
        <f>IF(INDEX(D:AE,AF205,ADP!$AF$6)=0,"",INDEX(D:AE,AF205,ADP!$AF$6)+AH205)</f>
        <v/>
      </c>
      <c r="AH205">
        <f t="shared" si="3"/>
        <v>2.0399999999999954E-4</v>
      </c>
    </row>
    <row r="206" spans="1:34" ht="15.75" thickBot="1" x14ac:dyDescent="0.3">
      <c r="A206" s="569" t="s">
        <v>2316</v>
      </c>
      <c r="B206" s="569" t="s">
        <v>139</v>
      </c>
      <c r="C206" s="569" t="s">
        <v>3</v>
      </c>
      <c r="D206" s="569"/>
      <c r="E206" s="569"/>
      <c r="F206" s="569"/>
      <c r="G206" s="569"/>
      <c r="H206" s="569"/>
      <c r="I206" s="569"/>
      <c r="J206" s="569"/>
      <c r="K206" s="569"/>
      <c r="L206" s="569"/>
      <c r="M206" s="569"/>
      <c r="N206" s="569"/>
      <c r="O206" s="569"/>
      <c r="P206" s="569"/>
      <c r="Q206" s="569"/>
      <c r="R206" s="569"/>
      <c r="S206" s="569"/>
      <c r="T206" s="569"/>
      <c r="U206" s="569"/>
      <c r="V206" s="569"/>
      <c r="W206" s="569"/>
      <c r="X206" s="569"/>
      <c r="Y206" s="569"/>
      <c r="Z206" s="569"/>
      <c r="AA206" s="569"/>
      <c r="AB206" s="569"/>
      <c r="AC206" s="569"/>
      <c r="AD206" s="569"/>
      <c r="AE206" s="569"/>
      <c r="AF206">
        <v>206</v>
      </c>
      <c r="AG206" s="438" t="str">
        <f>IF(INDEX(D:AE,AF206,ADP!$AF$6)=0,"",INDEX(D:AE,AF206,ADP!$AF$6)+AH206)</f>
        <v/>
      </c>
      <c r="AH206">
        <f t="shared" si="3"/>
        <v>2.0499999999999953E-4</v>
      </c>
    </row>
    <row r="207" spans="1:34" ht="15.75" thickBot="1" x14ac:dyDescent="0.3">
      <c r="A207" s="569" t="s">
        <v>2172</v>
      </c>
      <c r="B207" s="569" t="s">
        <v>147</v>
      </c>
      <c r="C207" s="569" t="s">
        <v>3</v>
      </c>
      <c r="D207" s="569">
        <v>25.2</v>
      </c>
      <c r="E207" s="569">
        <v>4</v>
      </c>
      <c r="F207" s="569">
        <v>26</v>
      </c>
      <c r="G207" s="569">
        <v>3.6</v>
      </c>
      <c r="H207" s="569">
        <v>30.1</v>
      </c>
      <c r="I207" s="569">
        <v>4.7</v>
      </c>
      <c r="J207" s="569">
        <v>25.2</v>
      </c>
      <c r="K207" s="569">
        <v>4</v>
      </c>
      <c r="L207" s="569">
        <v>26</v>
      </c>
      <c r="M207" s="569">
        <v>3.6</v>
      </c>
      <c r="N207" s="569">
        <v>30.1</v>
      </c>
      <c r="O207" s="569">
        <v>4.7</v>
      </c>
      <c r="P207" s="569">
        <v>29.2</v>
      </c>
      <c r="Q207" s="569">
        <v>4</v>
      </c>
      <c r="R207" s="569">
        <v>25.2</v>
      </c>
      <c r="S207" s="569">
        <v>4</v>
      </c>
      <c r="T207" s="569">
        <v>26</v>
      </c>
      <c r="U207" s="569">
        <v>3.6</v>
      </c>
      <c r="V207" s="569">
        <v>30.1</v>
      </c>
      <c r="W207" s="569">
        <v>4.7</v>
      </c>
      <c r="X207" s="569">
        <v>29.2</v>
      </c>
      <c r="Y207" s="569">
        <v>4</v>
      </c>
      <c r="Z207" s="569">
        <v>25.2</v>
      </c>
      <c r="AA207" s="569">
        <v>4</v>
      </c>
      <c r="AB207" s="569">
        <v>26</v>
      </c>
      <c r="AC207" s="569">
        <v>3.6</v>
      </c>
      <c r="AD207" s="569">
        <v>30.1</v>
      </c>
      <c r="AE207" s="569">
        <v>30.1</v>
      </c>
      <c r="AF207">
        <v>207</v>
      </c>
      <c r="AG207" s="438">
        <f>IF(INDEX(D:AE,AF207,ADP!$AF$6)=0,"",INDEX(D:AE,AF207,ADP!$AF$6)+AH207)</f>
        <v>30.100206</v>
      </c>
      <c r="AH207">
        <f t="shared" si="3"/>
        <v>2.0599999999999953E-4</v>
      </c>
    </row>
    <row r="208" spans="1:34" ht="15.75" thickBot="1" x14ac:dyDescent="0.3">
      <c r="A208" s="569" t="s">
        <v>1879</v>
      </c>
      <c r="B208" s="569" t="s">
        <v>166</v>
      </c>
      <c r="C208" s="569" t="s">
        <v>3</v>
      </c>
      <c r="D208" s="569"/>
      <c r="E208" s="569"/>
      <c r="F208" s="569"/>
      <c r="G208" s="569"/>
      <c r="H208" s="569"/>
      <c r="I208" s="569"/>
      <c r="J208" s="569"/>
      <c r="K208" s="569"/>
      <c r="L208" s="569"/>
      <c r="M208" s="569"/>
      <c r="N208" s="569"/>
      <c r="O208" s="569"/>
      <c r="P208" s="569"/>
      <c r="Q208" s="569"/>
      <c r="R208" s="569"/>
      <c r="S208" s="569"/>
      <c r="T208" s="569"/>
      <c r="U208" s="569"/>
      <c r="V208" s="569"/>
      <c r="W208" s="569"/>
      <c r="X208" s="569"/>
      <c r="Y208" s="569"/>
      <c r="Z208" s="569"/>
      <c r="AA208" s="569"/>
      <c r="AB208" s="569"/>
      <c r="AC208" s="569"/>
      <c r="AD208" s="569"/>
      <c r="AE208" s="569"/>
      <c r="AF208">
        <v>208</v>
      </c>
      <c r="AG208" s="438" t="str">
        <f>IF(INDEX(D:AE,AF208,ADP!$AF$6)=0,"",INDEX(D:AE,AF208,ADP!$AF$6)+AH208)</f>
        <v/>
      </c>
      <c r="AH208">
        <f t="shared" si="3"/>
        <v>2.0699999999999953E-4</v>
      </c>
    </row>
    <row r="209" spans="1:34" ht="15.75" thickBot="1" x14ac:dyDescent="0.3">
      <c r="A209" s="569" t="s">
        <v>2431</v>
      </c>
      <c r="B209" s="569" t="s">
        <v>148</v>
      </c>
      <c r="C209" s="569" t="s">
        <v>7</v>
      </c>
      <c r="D209" s="574"/>
      <c r="E209" s="574"/>
      <c r="F209" s="574"/>
      <c r="G209" s="574"/>
      <c r="H209" s="569"/>
      <c r="I209" s="569"/>
      <c r="J209" s="574"/>
      <c r="K209" s="574"/>
      <c r="L209" s="574"/>
      <c r="M209" s="574"/>
      <c r="N209" s="569"/>
      <c r="O209" s="569"/>
      <c r="P209" s="574"/>
      <c r="Q209" s="574"/>
      <c r="R209" s="574"/>
      <c r="S209" s="574"/>
      <c r="T209" s="574"/>
      <c r="U209" s="574"/>
      <c r="V209" s="569"/>
      <c r="W209" s="569"/>
      <c r="X209" s="574"/>
      <c r="Y209" s="574"/>
      <c r="Z209" s="574"/>
      <c r="AA209" s="574"/>
      <c r="AB209" s="574"/>
      <c r="AC209" s="574"/>
      <c r="AD209" s="569"/>
      <c r="AE209" s="569"/>
      <c r="AF209">
        <v>209</v>
      </c>
      <c r="AG209" s="438" t="str">
        <f>IF(INDEX(D:AE,AF209,ADP!$AF$6)=0,"",INDEX(D:AE,AF209,ADP!$AF$6)+AH209)</f>
        <v/>
      </c>
      <c r="AH209">
        <f t="shared" si="3"/>
        <v>2.0799999999999953E-4</v>
      </c>
    </row>
    <row r="210" spans="1:34" ht="15.75" thickBot="1" x14ac:dyDescent="0.3">
      <c r="A210" s="569" t="s">
        <v>2432</v>
      </c>
      <c r="B210" s="569" t="s">
        <v>144</v>
      </c>
      <c r="C210" s="569" t="s">
        <v>6</v>
      </c>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74"/>
      <c r="AF210">
        <v>210</v>
      </c>
      <c r="AG210" s="438" t="str">
        <f>IF(INDEX(D:AE,AF210,ADP!$AF$6)=0,"",INDEX(D:AE,AF210,ADP!$AF$6)+AH210)</f>
        <v/>
      </c>
      <c r="AH210">
        <f t="shared" si="3"/>
        <v>2.0899999999999952E-4</v>
      </c>
    </row>
    <row r="211" spans="1:34" ht="15.75" thickBot="1" x14ac:dyDescent="0.3">
      <c r="A211" s="569" t="s">
        <v>2433</v>
      </c>
      <c r="B211" s="569" t="s">
        <v>142</v>
      </c>
      <c r="C211" s="569" t="s">
        <v>3</v>
      </c>
      <c r="D211" s="569"/>
      <c r="E211" s="569"/>
      <c r="F211" s="569"/>
      <c r="G211" s="569"/>
      <c r="H211" s="569"/>
      <c r="I211" s="569"/>
      <c r="J211" s="569"/>
      <c r="K211" s="569"/>
      <c r="L211" s="569"/>
      <c r="M211" s="569"/>
      <c r="N211" s="569"/>
      <c r="O211" s="569"/>
      <c r="P211" s="569"/>
      <c r="Q211" s="569"/>
      <c r="R211" s="569"/>
      <c r="S211" s="569"/>
      <c r="T211" s="569"/>
      <c r="U211" s="569"/>
      <c r="V211" s="569"/>
      <c r="W211" s="569"/>
      <c r="X211" s="569"/>
      <c r="Y211" s="569"/>
      <c r="Z211" s="569"/>
      <c r="AA211" s="569"/>
      <c r="AB211" s="569"/>
      <c r="AC211" s="569"/>
      <c r="AD211" s="569"/>
      <c r="AE211" s="569"/>
      <c r="AF211">
        <v>211</v>
      </c>
      <c r="AG211" s="438" t="str">
        <f>IF(INDEX(D:AE,AF211,ADP!$AF$6)=0,"",INDEX(D:AE,AF211,ADP!$AF$6)+AH211)</f>
        <v/>
      </c>
      <c r="AH211">
        <f t="shared" si="3"/>
        <v>2.0999999999999952E-4</v>
      </c>
    </row>
    <row r="212" spans="1:34" ht="15.75" thickBot="1" x14ac:dyDescent="0.3">
      <c r="A212" s="569" t="s">
        <v>1611</v>
      </c>
      <c r="B212" s="569" t="s">
        <v>158</v>
      </c>
      <c r="C212" s="569" t="s">
        <v>7</v>
      </c>
      <c r="D212" s="574"/>
      <c r="E212" s="574"/>
      <c r="F212" s="574"/>
      <c r="G212" s="574"/>
      <c r="H212" s="574"/>
      <c r="I212" s="574"/>
      <c r="J212" s="574"/>
      <c r="K212" s="574"/>
      <c r="L212" s="574"/>
      <c r="M212" s="574"/>
      <c r="N212" s="574"/>
      <c r="O212" s="574"/>
      <c r="P212" s="574"/>
      <c r="Q212" s="574"/>
      <c r="R212" s="574"/>
      <c r="S212" s="574"/>
      <c r="T212" s="574"/>
      <c r="U212" s="574"/>
      <c r="V212" s="574"/>
      <c r="W212" s="574"/>
      <c r="X212" s="574"/>
      <c r="Y212" s="574"/>
      <c r="Z212" s="574"/>
      <c r="AA212" s="574"/>
      <c r="AB212" s="574"/>
      <c r="AC212" s="574"/>
      <c r="AD212" s="574"/>
      <c r="AE212" s="574"/>
      <c r="AF212">
        <v>212</v>
      </c>
      <c r="AG212" s="438" t="str">
        <f>IF(INDEX(D:AE,AF212,ADP!$AF$6)=0,"",INDEX(D:AE,AF212,ADP!$AF$6)+AH212)</f>
        <v/>
      </c>
      <c r="AH212">
        <f t="shared" si="3"/>
        <v>2.1099999999999952E-4</v>
      </c>
    </row>
    <row r="213" spans="1:34" ht="15.75" thickBot="1" x14ac:dyDescent="0.3">
      <c r="A213" s="569" t="s">
        <v>2376</v>
      </c>
      <c r="B213" s="569" t="s">
        <v>145</v>
      </c>
      <c r="C213" s="569" t="s">
        <v>7</v>
      </c>
      <c r="D213" s="569"/>
      <c r="E213" s="569"/>
      <c r="F213" s="569"/>
      <c r="G213" s="569"/>
      <c r="H213" s="569"/>
      <c r="I213" s="569"/>
      <c r="J213" s="569"/>
      <c r="K213" s="569"/>
      <c r="L213" s="569"/>
      <c r="M213" s="569"/>
      <c r="N213" s="569"/>
      <c r="O213" s="569"/>
      <c r="P213" s="569"/>
      <c r="Q213" s="569"/>
      <c r="R213" s="569"/>
      <c r="S213" s="569"/>
      <c r="T213" s="569"/>
      <c r="U213" s="569"/>
      <c r="V213" s="569"/>
      <c r="W213" s="569"/>
      <c r="X213" s="569"/>
      <c r="Y213" s="569"/>
      <c r="Z213" s="569"/>
      <c r="AA213" s="569"/>
      <c r="AB213" s="569"/>
      <c r="AC213" s="569"/>
      <c r="AD213" s="569"/>
      <c r="AE213" s="569"/>
      <c r="AF213">
        <v>213</v>
      </c>
      <c r="AG213" s="438" t="str">
        <f>IF(INDEX(D:AE,AF213,ADP!$AF$6)=0,"",INDEX(D:AE,AF213,ADP!$AF$6)+AH213)</f>
        <v/>
      </c>
      <c r="AH213">
        <f t="shared" si="3"/>
        <v>2.1199999999999952E-4</v>
      </c>
    </row>
    <row r="214" spans="1:34" ht="15.75" thickBot="1" x14ac:dyDescent="0.3">
      <c r="A214" s="569" t="s">
        <v>2434</v>
      </c>
      <c r="B214" s="569" t="s">
        <v>147</v>
      </c>
      <c r="C214" s="569" t="s">
        <v>1</v>
      </c>
      <c r="D214" s="569"/>
      <c r="E214" s="569"/>
      <c r="F214" s="569"/>
      <c r="G214" s="569"/>
      <c r="H214" s="569"/>
      <c r="I214" s="569"/>
      <c r="J214" s="569"/>
      <c r="K214" s="569"/>
      <c r="L214" s="569"/>
      <c r="M214" s="569"/>
      <c r="N214" s="569"/>
      <c r="O214" s="569"/>
      <c r="P214" s="569"/>
      <c r="Q214" s="569"/>
      <c r="R214" s="569"/>
      <c r="S214" s="569"/>
      <c r="T214" s="569"/>
      <c r="U214" s="569"/>
      <c r="V214" s="569"/>
      <c r="W214" s="569"/>
      <c r="X214" s="569"/>
      <c r="Y214" s="569"/>
      <c r="Z214" s="569"/>
      <c r="AA214" s="569"/>
      <c r="AB214" s="569"/>
      <c r="AC214" s="569"/>
      <c r="AD214" s="569"/>
      <c r="AE214" s="569"/>
      <c r="AF214">
        <v>214</v>
      </c>
      <c r="AG214" s="438" t="str">
        <f>IF(INDEX(D:AE,AF214,ADP!$AF$6)=0,"",INDEX(D:AE,AF214,ADP!$AF$6)+AH214)</f>
        <v/>
      </c>
      <c r="AH214">
        <f t="shared" si="3"/>
        <v>2.1299999999999951E-4</v>
      </c>
    </row>
    <row r="215" spans="1:34" ht="15.75" thickBot="1" x14ac:dyDescent="0.3">
      <c r="A215" s="569" t="s">
        <v>138</v>
      </c>
      <c r="B215" s="569" t="s">
        <v>138</v>
      </c>
      <c r="C215" s="569" t="s">
        <v>160</v>
      </c>
      <c r="D215" s="569"/>
      <c r="E215" s="569"/>
      <c r="F215" s="569"/>
      <c r="G215" s="569"/>
      <c r="H215" s="569"/>
      <c r="I215" s="569"/>
      <c r="J215" s="569"/>
      <c r="K215" s="569"/>
      <c r="L215" s="569"/>
      <c r="M215" s="569"/>
      <c r="N215" s="569"/>
      <c r="O215" s="569"/>
      <c r="P215" s="569"/>
      <c r="Q215" s="569"/>
      <c r="R215" s="569"/>
      <c r="S215" s="569"/>
      <c r="T215" s="569"/>
      <c r="U215" s="569"/>
      <c r="V215" s="569"/>
      <c r="W215" s="569"/>
      <c r="X215" s="569"/>
      <c r="Y215" s="569"/>
      <c r="Z215" s="569"/>
      <c r="AA215" s="569"/>
      <c r="AB215" s="569"/>
      <c r="AC215" s="569"/>
      <c r="AD215" s="569"/>
      <c r="AE215" s="569"/>
      <c r="AF215">
        <v>215</v>
      </c>
      <c r="AG215" s="438" t="str">
        <f>IF(INDEX(D:AE,AF215,ADP!$AF$6)=0,"",INDEX(D:AE,AF215,ADP!$AF$6)+AH215)</f>
        <v/>
      </c>
      <c r="AH215">
        <f t="shared" si="3"/>
        <v>2.1399999999999951E-4</v>
      </c>
    </row>
    <row r="216" spans="1:34" ht="15.75" thickBot="1" x14ac:dyDescent="0.3">
      <c r="A216" s="569" t="s">
        <v>1856</v>
      </c>
      <c r="B216" s="569" t="s">
        <v>159</v>
      </c>
      <c r="C216" s="569" t="s">
        <v>3</v>
      </c>
      <c r="D216" s="574">
        <v>47</v>
      </c>
      <c r="E216" s="574">
        <v>4.0999999999999996</v>
      </c>
      <c r="F216" s="574">
        <v>45.8</v>
      </c>
      <c r="G216" s="574">
        <v>4.0999999999999996</v>
      </c>
      <c r="H216" s="574">
        <v>52.7</v>
      </c>
      <c r="I216" s="574">
        <v>5.9</v>
      </c>
      <c r="J216" s="574">
        <v>47</v>
      </c>
      <c r="K216" s="574">
        <v>4.0999999999999996</v>
      </c>
      <c r="L216" s="574">
        <v>45.8</v>
      </c>
      <c r="M216" s="574">
        <v>4.0999999999999996</v>
      </c>
      <c r="N216" s="574">
        <v>52.7</v>
      </c>
      <c r="O216" s="574">
        <v>5.9</v>
      </c>
      <c r="P216" s="574">
        <v>62.3</v>
      </c>
      <c r="Q216" s="574">
        <v>7.5</v>
      </c>
      <c r="R216" s="574">
        <v>47</v>
      </c>
      <c r="S216" s="574">
        <v>4.0999999999999996</v>
      </c>
      <c r="T216" s="574">
        <v>45.8</v>
      </c>
      <c r="U216" s="574">
        <v>4.0999999999999996</v>
      </c>
      <c r="V216" s="574">
        <v>52.7</v>
      </c>
      <c r="W216" s="574">
        <v>5.9</v>
      </c>
      <c r="X216" s="574">
        <v>62.3</v>
      </c>
      <c r="Y216" s="574">
        <v>7.5</v>
      </c>
      <c r="Z216" s="574">
        <v>47</v>
      </c>
      <c r="AA216" s="574">
        <v>4.0999999999999996</v>
      </c>
      <c r="AB216" s="574">
        <v>45.8</v>
      </c>
      <c r="AC216" s="574">
        <v>4.0999999999999996</v>
      </c>
      <c r="AD216" s="574">
        <v>52.7</v>
      </c>
      <c r="AE216" s="574">
        <v>52.7</v>
      </c>
      <c r="AF216">
        <v>216</v>
      </c>
      <c r="AG216" s="438">
        <f>IF(INDEX(D:AE,AF216,ADP!$AF$6)=0,"",INDEX(D:AE,AF216,ADP!$AF$6)+AH216)</f>
        <v>52.700215</v>
      </c>
      <c r="AH216">
        <f t="shared" si="3"/>
        <v>2.1499999999999951E-4</v>
      </c>
    </row>
    <row r="217" spans="1:34" ht="15.75" thickBot="1" x14ac:dyDescent="0.3">
      <c r="A217" s="569" t="s">
        <v>1876</v>
      </c>
      <c r="B217" s="569" t="s">
        <v>147</v>
      </c>
      <c r="C217" s="569" t="s">
        <v>6</v>
      </c>
      <c r="D217" s="574"/>
      <c r="E217" s="574"/>
      <c r="F217" s="574"/>
      <c r="G217" s="574"/>
      <c r="H217" s="574"/>
      <c r="I217" s="574"/>
      <c r="J217" s="574"/>
      <c r="K217" s="574"/>
      <c r="L217" s="574"/>
      <c r="M217" s="574"/>
      <c r="N217" s="574"/>
      <c r="O217" s="574"/>
      <c r="P217" s="574"/>
      <c r="Q217" s="574"/>
      <c r="R217" s="574"/>
      <c r="S217" s="574"/>
      <c r="T217" s="574"/>
      <c r="U217" s="574"/>
      <c r="V217" s="574"/>
      <c r="W217" s="574"/>
      <c r="X217" s="574"/>
      <c r="Y217" s="574"/>
      <c r="Z217" s="574"/>
      <c r="AA217" s="574"/>
      <c r="AB217" s="574"/>
      <c r="AC217" s="574"/>
      <c r="AD217" s="574"/>
      <c r="AE217" s="574"/>
      <c r="AF217">
        <v>217</v>
      </c>
      <c r="AG217" s="438" t="str">
        <f>IF(INDEX(D:AE,AF217,ADP!$AF$6)=0,"",INDEX(D:AE,AF217,ADP!$AF$6)+AH217)</f>
        <v/>
      </c>
      <c r="AH217">
        <f t="shared" si="3"/>
        <v>2.159999999999995E-4</v>
      </c>
    </row>
    <row r="218" spans="1:34" ht="15.75" thickBot="1" x14ac:dyDescent="0.3">
      <c r="A218" s="569" t="s">
        <v>1164</v>
      </c>
      <c r="B218" s="569" t="s">
        <v>1388</v>
      </c>
      <c r="C218" s="569" t="s">
        <v>6</v>
      </c>
      <c r="D218" s="574">
        <v>57.8</v>
      </c>
      <c r="E218" s="574">
        <v>5.3</v>
      </c>
      <c r="F218" s="574">
        <v>59.5</v>
      </c>
      <c r="G218" s="574">
        <v>5.2</v>
      </c>
      <c r="H218" s="574">
        <v>63.3</v>
      </c>
      <c r="I218" s="574">
        <v>6.1</v>
      </c>
      <c r="J218" s="574">
        <v>57.8</v>
      </c>
      <c r="K218" s="574">
        <v>5.3</v>
      </c>
      <c r="L218" s="574">
        <v>59.5</v>
      </c>
      <c r="M218" s="574">
        <v>5.2</v>
      </c>
      <c r="N218" s="574">
        <v>63.3</v>
      </c>
      <c r="O218" s="574">
        <v>6.1</v>
      </c>
      <c r="P218" s="574">
        <v>73.2</v>
      </c>
      <c r="Q218" s="574">
        <v>6.4</v>
      </c>
      <c r="R218" s="574">
        <v>57.8</v>
      </c>
      <c r="S218" s="574">
        <v>5.3</v>
      </c>
      <c r="T218" s="574">
        <v>59.5</v>
      </c>
      <c r="U218" s="574">
        <v>5.2</v>
      </c>
      <c r="V218" s="574">
        <v>63.3</v>
      </c>
      <c r="W218" s="574">
        <v>6.1</v>
      </c>
      <c r="X218" s="574">
        <v>73.2</v>
      </c>
      <c r="Y218" s="574">
        <v>6.4</v>
      </c>
      <c r="Z218" s="574">
        <v>57.8</v>
      </c>
      <c r="AA218" s="574">
        <v>5.3</v>
      </c>
      <c r="AB218" s="574">
        <v>59.5</v>
      </c>
      <c r="AC218" s="574">
        <v>5.2</v>
      </c>
      <c r="AD218" s="574">
        <v>63.3</v>
      </c>
      <c r="AE218" s="574">
        <v>63.3</v>
      </c>
      <c r="AF218">
        <v>218</v>
      </c>
      <c r="AG218" s="438">
        <f>IF(INDEX(D:AE,AF218,ADP!$AF$6)=0,"",INDEX(D:AE,AF218,ADP!$AF$6)+AH218)</f>
        <v>63.300216999999996</v>
      </c>
      <c r="AH218">
        <f t="shared" si="3"/>
        <v>2.169999999999995E-4</v>
      </c>
    </row>
    <row r="219" spans="1:34" ht="15.75" thickBot="1" x14ac:dyDescent="0.3">
      <c r="A219" s="569" t="s">
        <v>2285</v>
      </c>
      <c r="B219" s="569" t="s">
        <v>166</v>
      </c>
      <c r="C219" s="569" t="s">
        <v>1</v>
      </c>
      <c r="D219" s="569"/>
      <c r="E219" s="569"/>
      <c r="F219" s="569"/>
      <c r="G219" s="569"/>
      <c r="H219" s="569"/>
      <c r="I219" s="569"/>
      <c r="J219" s="569"/>
      <c r="K219" s="569"/>
      <c r="L219" s="569"/>
      <c r="M219" s="569"/>
      <c r="N219" s="569"/>
      <c r="O219" s="569"/>
      <c r="P219" s="569"/>
      <c r="Q219" s="569"/>
      <c r="R219" s="569"/>
      <c r="S219" s="569"/>
      <c r="T219" s="569"/>
      <c r="U219" s="569"/>
      <c r="V219" s="569"/>
      <c r="W219" s="569"/>
      <c r="X219" s="569"/>
      <c r="Y219" s="569"/>
      <c r="Z219" s="569"/>
      <c r="AA219" s="569"/>
      <c r="AB219" s="569"/>
      <c r="AC219" s="569"/>
      <c r="AD219" s="569"/>
      <c r="AE219" s="569"/>
      <c r="AF219">
        <v>219</v>
      </c>
      <c r="AG219" s="438" t="str">
        <f>IF(INDEX(D:AE,AF219,ADP!$AF$6)=0,"",INDEX(D:AE,AF219,ADP!$AF$6)+AH219)</f>
        <v/>
      </c>
      <c r="AH219">
        <f t="shared" si="3"/>
        <v>2.179999999999995E-4</v>
      </c>
    </row>
    <row r="220" spans="1:34" ht="15.75" thickBot="1" x14ac:dyDescent="0.3">
      <c r="A220" s="569" t="s">
        <v>2275</v>
      </c>
      <c r="B220" s="569" t="s">
        <v>158</v>
      </c>
      <c r="C220" s="569" t="s">
        <v>6</v>
      </c>
      <c r="D220" s="574"/>
      <c r="E220" s="574"/>
      <c r="F220" s="574"/>
      <c r="G220" s="574"/>
      <c r="H220" s="574"/>
      <c r="I220" s="574"/>
      <c r="J220" s="574"/>
      <c r="K220" s="574"/>
      <c r="L220" s="574"/>
      <c r="M220" s="574"/>
      <c r="N220" s="574"/>
      <c r="O220" s="574"/>
      <c r="P220" s="574"/>
      <c r="Q220" s="574"/>
      <c r="R220" s="574"/>
      <c r="S220" s="574"/>
      <c r="T220" s="574"/>
      <c r="U220" s="574"/>
      <c r="V220" s="574"/>
      <c r="W220" s="574"/>
      <c r="X220" s="574"/>
      <c r="Y220" s="574"/>
      <c r="Z220" s="574"/>
      <c r="AA220" s="574"/>
      <c r="AB220" s="574"/>
      <c r="AC220" s="574"/>
      <c r="AD220" s="574"/>
      <c r="AE220" s="574"/>
      <c r="AF220">
        <v>220</v>
      </c>
      <c r="AG220" s="438" t="str">
        <f>IF(INDEX(D:AE,AF220,ADP!$AF$6)=0,"",INDEX(D:AE,AF220,ADP!$AF$6)+AH220)</f>
        <v/>
      </c>
      <c r="AH220">
        <f t="shared" si="3"/>
        <v>2.189999999999995E-4</v>
      </c>
    </row>
    <row r="221" spans="1:34" ht="15.75" thickBot="1" x14ac:dyDescent="0.3">
      <c r="A221" s="569" t="s">
        <v>2276</v>
      </c>
      <c r="B221" s="569" t="s">
        <v>157</v>
      </c>
      <c r="C221" s="569" t="s">
        <v>7</v>
      </c>
      <c r="D221" s="574">
        <v>147.19999999999999</v>
      </c>
      <c r="E221" s="574">
        <v>12.1</v>
      </c>
      <c r="F221" s="574"/>
      <c r="G221" s="574"/>
      <c r="H221" s="574"/>
      <c r="I221" s="574"/>
      <c r="J221" s="574">
        <v>147.19999999999999</v>
      </c>
      <c r="K221" s="574">
        <v>12.1</v>
      </c>
      <c r="L221" s="574"/>
      <c r="M221" s="574"/>
      <c r="N221" s="574"/>
      <c r="O221" s="574"/>
      <c r="P221" s="574"/>
      <c r="Q221" s="574"/>
      <c r="R221" s="574">
        <v>147.19999999999999</v>
      </c>
      <c r="S221" s="574">
        <v>12.1</v>
      </c>
      <c r="T221" s="574"/>
      <c r="U221" s="574"/>
      <c r="V221" s="574"/>
      <c r="W221" s="574"/>
      <c r="X221" s="574"/>
      <c r="Y221" s="574"/>
      <c r="Z221" s="574">
        <v>147.19999999999999</v>
      </c>
      <c r="AA221" s="574">
        <v>12.1</v>
      </c>
      <c r="AB221" s="574"/>
      <c r="AC221" s="574"/>
      <c r="AD221" s="574"/>
      <c r="AE221" s="574"/>
      <c r="AF221">
        <v>221</v>
      </c>
      <c r="AG221" s="438" t="str">
        <f>IF(INDEX(D:AE,AF221,ADP!$AF$6)=0,"",INDEX(D:AE,AF221,ADP!$AF$6)+AH221)</f>
        <v/>
      </c>
      <c r="AH221">
        <f t="shared" si="3"/>
        <v>2.1999999999999949E-4</v>
      </c>
    </row>
    <row r="222" spans="1:34" ht="15.75" thickBot="1" x14ac:dyDescent="0.3">
      <c r="A222" s="569" t="s">
        <v>104</v>
      </c>
      <c r="B222" s="569" t="s">
        <v>149</v>
      </c>
      <c r="C222" s="569" t="s">
        <v>6</v>
      </c>
      <c r="D222" s="574">
        <v>65.400000000000006</v>
      </c>
      <c r="E222" s="574">
        <v>6.1</v>
      </c>
      <c r="F222" s="574">
        <v>67</v>
      </c>
      <c r="G222" s="574">
        <v>5.5</v>
      </c>
      <c r="H222" s="574">
        <v>66.8</v>
      </c>
      <c r="I222" s="574">
        <v>7</v>
      </c>
      <c r="J222" s="574">
        <v>65.400000000000006</v>
      </c>
      <c r="K222" s="574">
        <v>6.1</v>
      </c>
      <c r="L222" s="574">
        <v>67</v>
      </c>
      <c r="M222" s="574">
        <v>5.5</v>
      </c>
      <c r="N222" s="574">
        <v>66.8</v>
      </c>
      <c r="O222" s="574">
        <v>7</v>
      </c>
      <c r="P222" s="574">
        <v>68.5</v>
      </c>
      <c r="Q222" s="574">
        <v>6.9</v>
      </c>
      <c r="R222" s="574">
        <v>65.400000000000006</v>
      </c>
      <c r="S222" s="574">
        <v>6.1</v>
      </c>
      <c r="T222" s="574">
        <v>67</v>
      </c>
      <c r="U222" s="574">
        <v>5.5</v>
      </c>
      <c r="V222" s="574">
        <v>66.8</v>
      </c>
      <c r="W222" s="574">
        <v>7</v>
      </c>
      <c r="X222" s="574">
        <v>68.5</v>
      </c>
      <c r="Y222" s="574">
        <v>6.9</v>
      </c>
      <c r="Z222" s="574">
        <v>65.400000000000006</v>
      </c>
      <c r="AA222" s="574">
        <v>6.1</v>
      </c>
      <c r="AB222" s="574">
        <v>67</v>
      </c>
      <c r="AC222" s="574">
        <v>5.5</v>
      </c>
      <c r="AD222" s="574">
        <v>66.8</v>
      </c>
      <c r="AE222" s="574">
        <v>66.8</v>
      </c>
      <c r="AF222">
        <v>222</v>
      </c>
      <c r="AG222" s="438">
        <f>IF(INDEX(D:AE,AF222,ADP!$AF$6)=0,"",INDEX(D:AE,AF222,ADP!$AF$6)+AH222)</f>
        <v>66.800220999999993</v>
      </c>
      <c r="AH222">
        <f t="shared" si="3"/>
        <v>2.2099999999999949E-4</v>
      </c>
    </row>
    <row r="223" spans="1:34" ht="15.75" thickBot="1" x14ac:dyDescent="0.3">
      <c r="A223" s="569" t="s">
        <v>1835</v>
      </c>
      <c r="B223" s="569" t="s">
        <v>151</v>
      </c>
      <c r="C223" s="569" t="s">
        <v>3</v>
      </c>
      <c r="D223" s="574"/>
      <c r="E223" s="574"/>
      <c r="F223" s="574"/>
      <c r="G223" s="574"/>
      <c r="H223" s="574"/>
      <c r="I223" s="574"/>
      <c r="J223" s="574"/>
      <c r="K223" s="574"/>
      <c r="L223" s="574"/>
      <c r="M223" s="574"/>
      <c r="N223" s="574"/>
      <c r="O223" s="574"/>
      <c r="P223" s="574"/>
      <c r="Q223" s="574"/>
      <c r="R223" s="574"/>
      <c r="S223" s="574"/>
      <c r="T223" s="574"/>
      <c r="U223" s="574"/>
      <c r="V223" s="574"/>
      <c r="W223" s="574"/>
      <c r="X223" s="574"/>
      <c r="Y223" s="574"/>
      <c r="Z223" s="574"/>
      <c r="AA223" s="574"/>
      <c r="AB223" s="574"/>
      <c r="AC223" s="574"/>
      <c r="AD223" s="574"/>
      <c r="AE223" s="574"/>
      <c r="AF223">
        <v>223</v>
      </c>
      <c r="AG223" s="438" t="str">
        <f>IF(INDEX(D:AE,AF223,ADP!$AF$6)=0,"",INDEX(D:AE,AF223,ADP!$AF$6)+AH223)</f>
        <v/>
      </c>
      <c r="AH223">
        <f t="shared" si="3"/>
        <v>2.2199999999999949E-4</v>
      </c>
    </row>
    <row r="224" spans="1:34" ht="15.75" thickBot="1" x14ac:dyDescent="0.3">
      <c r="A224" s="569" t="s">
        <v>2435</v>
      </c>
      <c r="B224" s="569" t="s">
        <v>161</v>
      </c>
      <c r="C224" s="569" t="s">
        <v>6</v>
      </c>
      <c r="D224" s="569"/>
      <c r="E224" s="569"/>
      <c r="F224" s="569"/>
      <c r="G224" s="569"/>
      <c r="H224" s="569"/>
      <c r="I224" s="569"/>
      <c r="J224" s="569"/>
      <c r="K224" s="569"/>
      <c r="L224" s="569"/>
      <c r="M224" s="569"/>
      <c r="N224" s="569"/>
      <c r="O224" s="569"/>
      <c r="P224" s="569"/>
      <c r="Q224" s="569"/>
      <c r="R224" s="569"/>
      <c r="S224" s="569"/>
      <c r="T224" s="569"/>
      <c r="U224" s="569"/>
      <c r="V224" s="569"/>
      <c r="W224" s="569"/>
      <c r="X224" s="569"/>
      <c r="Y224" s="569"/>
      <c r="Z224" s="569"/>
      <c r="AA224" s="569"/>
      <c r="AB224" s="569"/>
      <c r="AC224" s="569"/>
      <c r="AD224" s="569"/>
      <c r="AE224" s="569"/>
      <c r="AF224">
        <v>224</v>
      </c>
      <c r="AG224" s="438" t="str">
        <f>IF(INDEX(D:AE,AF224,ADP!$AF$6)=0,"",INDEX(D:AE,AF224,ADP!$AF$6)+AH224)</f>
        <v/>
      </c>
      <c r="AH224">
        <f t="shared" si="3"/>
        <v>2.2299999999999948E-4</v>
      </c>
    </row>
    <row r="225" spans="1:34" ht="15.75" thickBot="1" x14ac:dyDescent="0.3">
      <c r="A225" s="569" t="s">
        <v>2436</v>
      </c>
      <c r="B225" s="569" t="s">
        <v>2272</v>
      </c>
      <c r="C225" s="569" t="s">
        <v>6</v>
      </c>
      <c r="D225" s="574"/>
      <c r="E225" s="574"/>
      <c r="F225" s="574"/>
      <c r="G225" s="574"/>
      <c r="H225" s="574"/>
      <c r="I225" s="574"/>
      <c r="J225" s="574"/>
      <c r="K225" s="574"/>
      <c r="L225" s="574"/>
      <c r="M225" s="574"/>
      <c r="N225" s="574"/>
      <c r="O225" s="574"/>
      <c r="P225" s="574"/>
      <c r="Q225" s="574"/>
      <c r="R225" s="574"/>
      <c r="S225" s="574"/>
      <c r="T225" s="574"/>
      <c r="U225" s="574"/>
      <c r="V225" s="574"/>
      <c r="W225" s="574"/>
      <c r="X225" s="574"/>
      <c r="Y225" s="574"/>
      <c r="Z225" s="574"/>
      <c r="AA225" s="574"/>
      <c r="AB225" s="574"/>
      <c r="AC225" s="574"/>
      <c r="AD225" s="574"/>
      <c r="AE225" s="574"/>
      <c r="AF225">
        <v>225</v>
      </c>
      <c r="AG225" s="438" t="str">
        <f>IF(INDEX(D:AE,AF225,ADP!$AF$6)=0,"",INDEX(D:AE,AF225,ADP!$AF$6)+AH225)</f>
        <v/>
      </c>
      <c r="AH225">
        <f t="shared" si="3"/>
        <v>2.2399999999999948E-4</v>
      </c>
    </row>
    <row r="226" spans="1:34" ht="15.75" thickBot="1" x14ac:dyDescent="0.3">
      <c r="A226" s="569" t="s">
        <v>1192</v>
      </c>
      <c r="B226" s="569" t="s">
        <v>143</v>
      </c>
      <c r="C226" s="569" t="s">
        <v>6</v>
      </c>
      <c r="D226" s="574">
        <v>97.4</v>
      </c>
      <c r="E226" s="574">
        <v>9</v>
      </c>
      <c r="F226" s="574">
        <v>107.2</v>
      </c>
      <c r="G226" s="574">
        <v>8.9</v>
      </c>
      <c r="H226" s="574">
        <v>90.8</v>
      </c>
      <c r="I226" s="574">
        <v>7.6</v>
      </c>
      <c r="J226" s="574">
        <v>97.4</v>
      </c>
      <c r="K226" s="574">
        <v>9</v>
      </c>
      <c r="L226" s="574">
        <v>107.2</v>
      </c>
      <c r="M226" s="574">
        <v>8.9</v>
      </c>
      <c r="N226" s="574">
        <v>90.8</v>
      </c>
      <c r="O226" s="574">
        <v>7.6</v>
      </c>
      <c r="P226" s="574">
        <v>124.4</v>
      </c>
      <c r="Q226" s="574">
        <v>13.5</v>
      </c>
      <c r="R226" s="574">
        <v>97.4</v>
      </c>
      <c r="S226" s="574">
        <v>9</v>
      </c>
      <c r="T226" s="574">
        <v>107.2</v>
      </c>
      <c r="U226" s="574">
        <v>8.9</v>
      </c>
      <c r="V226" s="574">
        <v>90.8</v>
      </c>
      <c r="W226" s="574">
        <v>7.6</v>
      </c>
      <c r="X226" s="574">
        <v>124.4</v>
      </c>
      <c r="Y226" s="574">
        <v>13.5</v>
      </c>
      <c r="Z226" s="574">
        <v>97.4</v>
      </c>
      <c r="AA226" s="574">
        <v>9</v>
      </c>
      <c r="AB226" s="574">
        <v>107.2</v>
      </c>
      <c r="AC226" s="574">
        <v>8.9</v>
      </c>
      <c r="AD226" s="574">
        <v>90.8</v>
      </c>
      <c r="AE226" s="574">
        <v>90.8</v>
      </c>
      <c r="AF226">
        <v>226</v>
      </c>
      <c r="AG226" s="438">
        <f>IF(INDEX(D:AE,AF226,ADP!$AF$6)=0,"",INDEX(D:AE,AF226,ADP!$AF$6)+AH226)</f>
        <v>90.800224999999998</v>
      </c>
      <c r="AH226">
        <f t="shared" si="3"/>
        <v>2.2499999999999948E-4</v>
      </c>
    </row>
    <row r="227" spans="1:34" ht="15.75" thickBot="1" x14ac:dyDescent="0.3">
      <c r="A227" s="569" t="s">
        <v>2085</v>
      </c>
      <c r="B227" s="569" t="s">
        <v>158</v>
      </c>
      <c r="C227" s="569" t="s">
        <v>6</v>
      </c>
      <c r="D227" s="574">
        <v>78.7</v>
      </c>
      <c r="E227" s="574">
        <v>5.8</v>
      </c>
      <c r="F227" s="574">
        <v>76.599999999999994</v>
      </c>
      <c r="G227" s="574">
        <v>7.5</v>
      </c>
      <c r="H227" s="574">
        <v>63.1</v>
      </c>
      <c r="I227" s="574">
        <v>6</v>
      </c>
      <c r="J227" s="574">
        <v>78.7</v>
      </c>
      <c r="K227" s="574">
        <v>5.8</v>
      </c>
      <c r="L227" s="574">
        <v>76.599999999999994</v>
      </c>
      <c r="M227" s="574">
        <v>7.5</v>
      </c>
      <c r="N227" s="574">
        <v>63.1</v>
      </c>
      <c r="O227" s="574">
        <v>6</v>
      </c>
      <c r="P227" s="574">
        <v>55.5</v>
      </c>
      <c r="Q227" s="574">
        <v>4.5999999999999996</v>
      </c>
      <c r="R227" s="574">
        <v>78.7</v>
      </c>
      <c r="S227" s="574">
        <v>5.8</v>
      </c>
      <c r="T227" s="574">
        <v>76.599999999999994</v>
      </c>
      <c r="U227" s="574">
        <v>7.5</v>
      </c>
      <c r="V227" s="574">
        <v>63.1</v>
      </c>
      <c r="W227" s="574">
        <v>6</v>
      </c>
      <c r="X227" s="574">
        <v>55.5</v>
      </c>
      <c r="Y227" s="574">
        <v>4.5999999999999996</v>
      </c>
      <c r="Z227" s="574">
        <v>78.7</v>
      </c>
      <c r="AA227" s="574">
        <v>5.8</v>
      </c>
      <c r="AB227" s="574">
        <v>76.599999999999994</v>
      </c>
      <c r="AC227" s="574">
        <v>7.5</v>
      </c>
      <c r="AD227" s="574">
        <v>63.1</v>
      </c>
      <c r="AE227" s="574">
        <v>63.1</v>
      </c>
      <c r="AF227">
        <v>227</v>
      </c>
      <c r="AG227" s="438">
        <f>IF(INDEX(D:AE,AF227,ADP!$AF$6)=0,"",INDEX(D:AE,AF227,ADP!$AF$6)+AH227)</f>
        <v>63.100225999999999</v>
      </c>
      <c r="AH227">
        <f t="shared" si="3"/>
        <v>2.2599999999999948E-4</v>
      </c>
    </row>
    <row r="228" spans="1:34" ht="15.75" thickBot="1" x14ac:dyDescent="0.3">
      <c r="A228" s="569" t="s">
        <v>2437</v>
      </c>
      <c r="B228" s="569" t="s">
        <v>2073</v>
      </c>
      <c r="C228" s="569" t="s">
        <v>7</v>
      </c>
      <c r="D228" s="574">
        <v>160.4</v>
      </c>
      <c r="E228" s="574">
        <v>10.8</v>
      </c>
      <c r="F228" s="574"/>
      <c r="G228" s="574"/>
      <c r="H228" s="574"/>
      <c r="I228" s="574"/>
      <c r="J228" s="574">
        <v>160.4</v>
      </c>
      <c r="K228" s="574">
        <v>10.8</v>
      </c>
      <c r="L228" s="574"/>
      <c r="M228" s="574"/>
      <c r="N228" s="574"/>
      <c r="O228" s="574"/>
      <c r="P228" s="574"/>
      <c r="Q228" s="574"/>
      <c r="R228" s="574">
        <v>160.4</v>
      </c>
      <c r="S228" s="574">
        <v>10.8</v>
      </c>
      <c r="T228" s="574"/>
      <c r="U228" s="574"/>
      <c r="V228" s="574"/>
      <c r="W228" s="574"/>
      <c r="X228" s="574"/>
      <c r="Y228" s="574"/>
      <c r="Z228" s="574">
        <v>160.4</v>
      </c>
      <c r="AA228" s="574">
        <v>10.8</v>
      </c>
      <c r="AB228" s="574"/>
      <c r="AC228" s="574"/>
      <c r="AD228" s="574"/>
      <c r="AE228" s="574"/>
      <c r="AF228">
        <v>228</v>
      </c>
      <c r="AG228" s="438" t="str">
        <f>IF(INDEX(D:AE,AF228,ADP!$AF$6)=0,"",INDEX(D:AE,AF228,ADP!$AF$6)+AH228)</f>
        <v/>
      </c>
      <c r="AH228">
        <f t="shared" si="3"/>
        <v>2.2699999999999947E-4</v>
      </c>
    </row>
    <row r="229" spans="1:34" ht="15.75" thickBot="1" x14ac:dyDescent="0.3">
      <c r="A229" s="569" t="s">
        <v>1788</v>
      </c>
      <c r="B229" s="569" t="s">
        <v>146</v>
      </c>
      <c r="C229" s="569" t="s">
        <v>6</v>
      </c>
      <c r="D229" s="569">
        <v>162.4</v>
      </c>
      <c r="E229" s="569">
        <v>14.6</v>
      </c>
      <c r="F229" s="569">
        <v>153.19999999999999</v>
      </c>
      <c r="G229" s="569">
        <v>13.4</v>
      </c>
      <c r="H229" s="569">
        <v>144.6</v>
      </c>
      <c r="I229" s="569">
        <v>11.3</v>
      </c>
      <c r="J229" s="569">
        <v>162.4</v>
      </c>
      <c r="K229" s="569">
        <v>14.6</v>
      </c>
      <c r="L229" s="569">
        <v>153.19999999999999</v>
      </c>
      <c r="M229" s="569">
        <v>13.4</v>
      </c>
      <c r="N229" s="569">
        <v>144.6</v>
      </c>
      <c r="O229" s="569">
        <v>11.3</v>
      </c>
      <c r="P229" s="569">
        <v>148.9</v>
      </c>
      <c r="Q229" s="569">
        <v>14.7</v>
      </c>
      <c r="R229" s="569">
        <v>162.4</v>
      </c>
      <c r="S229" s="569">
        <v>14.6</v>
      </c>
      <c r="T229" s="569">
        <v>153.19999999999999</v>
      </c>
      <c r="U229" s="569">
        <v>13.4</v>
      </c>
      <c r="V229" s="569">
        <v>144.6</v>
      </c>
      <c r="W229" s="569">
        <v>11.3</v>
      </c>
      <c r="X229" s="569">
        <v>148.9</v>
      </c>
      <c r="Y229" s="569">
        <v>14.7</v>
      </c>
      <c r="Z229" s="569">
        <v>162.4</v>
      </c>
      <c r="AA229" s="569">
        <v>14.6</v>
      </c>
      <c r="AB229" s="569">
        <v>153.19999999999999</v>
      </c>
      <c r="AC229" s="569">
        <v>13.4</v>
      </c>
      <c r="AD229" s="569">
        <v>144.6</v>
      </c>
      <c r="AE229" s="569">
        <v>144.6</v>
      </c>
      <c r="AF229">
        <v>229</v>
      </c>
      <c r="AG229" s="438">
        <f>IF(INDEX(D:AE,AF229,ADP!$AF$6)=0,"",INDEX(D:AE,AF229,ADP!$AF$6)+AH229)</f>
        <v>144.60022799999999</v>
      </c>
      <c r="AH229">
        <f t="shared" si="3"/>
        <v>2.2799999999999947E-4</v>
      </c>
    </row>
    <row r="230" spans="1:34" ht="15.75" thickBot="1" x14ac:dyDescent="0.3">
      <c r="A230" s="569" t="s">
        <v>2176</v>
      </c>
      <c r="B230" s="569" t="s">
        <v>164</v>
      </c>
      <c r="C230" s="569" t="s">
        <v>3</v>
      </c>
      <c r="D230" s="574"/>
      <c r="E230" s="574"/>
      <c r="F230" s="574"/>
      <c r="G230" s="574"/>
      <c r="H230" s="574"/>
      <c r="I230" s="574"/>
      <c r="J230" s="574"/>
      <c r="K230" s="574"/>
      <c r="L230" s="574"/>
      <c r="M230" s="574"/>
      <c r="N230" s="574"/>
      <c r="O230" s="574"/>
      <c r="P230" s="574"/>
      <c r="Q230" s="574"/>
      <c r="R230" s="574"/>
      <c r="S230" s="574"/>
      <c r="T230" s="574"/>
      <c r="U230" s="574"/>
      <c r="V230" s="574"/>
      <c r="W230" s="574"/>
      <c r="X230" s="574"/>
      <c r="Y230" s="574"/>
      <c r="Z230" s="574"/>
      <c r="AA230" s="574"/>
      <c r="AB230" s="574"/>
      <c r="AC230" s="574"/>
      <c r="AD230" s="574"/>
      <c r="AE230" s="574"/>
      <c r="AF230">
        <v>230</v>
      </c>
      <c r="AG230" s="438" t="str">
        <f>IF(INDEX(D:AE,AF230,ADP!$AF$6)=0,"",INDEX(D:AE,AF230,ADP!$AF$6)+AH230)</f>
        <v/>
      </c>
      <c r="AH230">
        <f t="shared" si="3"/>
        <v>2.2899999999999947E-4</v>
      </c>
    </row>
    <row r="231" spans="1:34" ht="15.75" thickBot="1" x14ac:dyDescent="0.3">
      <c r="A231" s="569" t="s">
        <v>1287</v>
      </c>
      <c r="B231" s="569" t="s">
        <v>144</v>
      </c>
      <c r="C231" s="569" t="s">
        <v>3</v>
      </c>
      <c r="D231" s="569"/>
      <c r="E231" s="569"/>
      <c r="F231" s="569"/>
      <c r="G231" s="569"/>
      <c r="H231" s="569"/>
      <c r="I231" s="569"/>
      <c r="J231" s="569"/>
      <c r="K231" s="569"/>
      <c r="L231" s="569"/>
      <c r="M231" s="569"/>
      <c r="N231" s="569"/>
      <c r="O231" s="569"/>
      <c r="P231" s="569"/>
      <c r="Q231" s="569"/>
      <c r="R231" s="569"/>
      <c r="S231" s="569"/>
      <c r="T231" s="569"/>
      <c r="U231" s="569"/>
      <c r="V231" s="569"/>
      <c r="W231" s="569"/>
      <c r="X231" s="569"/>
      <c r="Y231" s="569"/>
      <c r="Z231" s="569"/>
      <c r="AA231" s="569"/>
      <c r="AB231" s="569"/>
      <c r="AC231" s="569"/>
      <c r="AD231" s="569"/>
      <c r="AE231" s="569"/>
      <c r="AF231">
        <v>231</v>
      </c>
      <c r="AG231" s="438" t="str">
        <f>IF(INDEX(D:AE,AF231,ADP!$AF$6)=0,"",INDEX(D:AE,AF231,ADP!$AF$6)+AH231)</f>
        <v/>
      </c>
      <c r="AH231">
        <f t="shared" si="3"/>
        <v>2.2999999999999946E-4</v>
      </c>
    </row>
    <row r="232" spans="1:34" ht="15.75" thickBot="1" x14ac:dyDescent="0.3">
      <c r="A232" s="569" t="s">
        <v>166</v>
      </c>
      <c r="B232" s="569" t="s">
        <v>166</v>
      </c>
      <c r="C232" s="569" t="s">
        <v>160</v>
      </c>
      <c r="D232" s="574"/>
      <c r="E232" s="574"/>
      <c r="F232" s="574">
        <v>168.2</v>
      </c>
      <c r="G232" s="574">
        <v>15.4</v>
      </c>
      <c r="H232" s="574">
        <v>155.6</v>
      </c>
      <c r="I232" s="574">
        <v>18.100000000000001</v>
      </c>
      <c r="J232" s="574"/>
      <c r="K232" s="574"/>
      <c r="L232" s="574">
        <v>168.2</v>
      </c>
      <c r="M232" s="574">
        <v>15.4</v>
      </c>
      <c r="N232" s="574">
        <v>155.6</v>
      </c>
      <c r="O232" s="574">
        <v>18.100000000000001</v>
      </c>
      <c r="P232" s="574">
        <v>157.30000000000001</v>
      </c>
      <c r="Q232" s="574">
        <v>16.100000000000001</v>
      </c>
      <c r="R232" s="574"/>
      <c r="S232" s="574"/>
      <c r="T232" s="574">
        <v>168.2</v>
      </c>
      <c r="U232" s="574">
        <v>15.4</v>
      </c>
      <c r="V232" s="574">
        <v>155.6</v>
      </c>
      <c r="W232" s="574">
        <v>18.100000000000001</v>
      </c>
      <c r="X232" s="574">
        <v>157.30000000000001</v>
      </c>
      <c r="Y232" s="574">
        <v>16.100000000000001</v>
      </c>
      <c r="Z232" s="574"/>
      <c r="AA232" s="574"/>
      <c r="AB232" s="574">
        <v>168.2</v>
      </c>
      <c r="AC232" s="574">
        <v>15.4</v>
      </c>
      <c r="AD232" s="574">
        <v>155.6</v>
      </c>
      <c r="AE232" s="574">
        <v>155.6</v>
      </c>
      <c r="AF232">
        <v>232</v>
      </c>
      <c r="AG232" s="438">
        <f>IF(INDEX(D:AE,AF232,ADP!$AF$6)=0,"",INDEX(D:AE,AF232,ADP!$AF$6)+AH232)</f>
        <v>155.60023100000001</v>
      </c>
      <c r="AH232">
        <f t="shared" si="3"/>
        <v>2.3099999999999946E-4</v>
      </c>
    </row>
    <row r="233" spans="1:34" ht="15.75" thickBot="1" x14ac:dyDescent="0.3">
      <c r="A233" s="569" t="s">
        <v>1126</v>
      </c>
      <c r="B233" s="569" t="s">
        <v>162</v>
      </c>
      <c r="C233" s="569" t="s">
        <v>3</v>
      </c>
      <c r="D233" s="574"/>
      <c r="E233" s="574"/>
      <c r="F233" s="574"/>
      <c r="G233" s="574"/>
      <c r="H233" s="574"/>
      <c r="I233" s="574"/>
      <c r="J233" s="574"/>
      <c r="K233" s="574"/>
      <c r="L233" s="574"/>
      <c r="M233" s="574"/>
      <c r="N233" s="574"/>
      <c r="O233" s="574"/>
      <c r="P233" s="574"/>
      <c r="Q233" s="574"/>
      <c r="R233" s="574"/>
      <c r="S233" s="574"/>
      <c r="T233" s="574"/>
      <c r="U233" s="574"/>
      <c r="V233" s="574"/>
      <c r="W233" s="574"/>
      <c r="X233" s="574"/>
      <c r="Y233" s="574"/>
      <c r="Z233" s="574"/>
      <c r="AA233" s="574"/>
      <c r="AB233" s="574"/>
      <c r="AC233" s="574"/>
      <c r="AD233" s="574"/>
      <c r="AE233" s="574"/>
      <c r="AF233">
        <v>233</v>
      </c>
      <c r="AG233" s="438" t="str">
        <f>IF(INDEX(D:AE,AF233,ADP!$AF$6)=0,"",INDEX(D:AE,AF233,ADP!$AF$6)+AH233)</f>
        <v/>
      </c>
      <c r="AH233">
        <f t="shared" si="3"/>
        <v>2.3199999999999946E-4</v>
      </c>
    </row>
    <row r="234" spans="1:34" ht="15.75" thickBot="1" x14ac:dyDescent="0.3">
      <c r="A234" s="569" t="s">
        <v>1858</v>
      </c>
      <c r="B234" s="569" t="s">
        <v>164</v>
      </c>
      <c r="C234" s="569" t="s">
        <v>6</v>
      </c>
      <c r="D234" s="569"/>
      <c r="E234" s="569"/>
      <c r="F234" s="569"/>
      <c r="G234" s="569"/>
      <c r="H234" s="569"/>
      <c r="I234" s="569"/>
      <c r="J234" s="569"/>
      <c r="K234" s="569"/>
      <c r="L234" s="569"/>
      <c r="M234" s="569"/>
      <c r="N234" s="569"/>
      <c r="O234" s="569"/>
      <c r="P234" s="569"/>
      <c r="Q234" s="569"/>
      <c r="R234" s="569"/>
      <c r="S234" s="569"/>
      <c r="T234" s="569"/>
      <c r="U234" s="569"/>
      <c r="V234" s="569"/>
      <c r="W234" s="569"/>
      <c r="X234" s="569"/>
      <c r="Y234" s="569"/>
      <c r="Z234" s="569"/>
      <c r="AA234" s="569"/>
      <c r="AB234" s="569"/>
      <c r="AC234" s="569"/>
      <c r="AD234" s="569"/>
      <c r="AE234" s="569"/>
      <c r="AF234">
        <v>234</v>
      </c>
      <c r="AG234" s="438" t="str">
        <f>IF(INDEX(D:AE,AF234,ADP!$AF$6)=0,"",INDEX(D:AE,AF234,ADP!$AF$6)+AH234)</f>
        <v/>
      </c>
      <c r="AH234">
        <f t="shared" si="3"/>
        <v>2.3299999999999946E-4</v>
      </c>
    </row>
    <row r="235" spans="1:34" ht="15.75" thickBot="1" x14ac:dyDescent="0.3">
      <c r="A235" s="569" t="s">
        <v>2439</v>
      </c>
      <c r="B235" s="569" t="s">
        <v>1388</v>
      </c>
      <c r="C235" s="569" t="s">
        <v>1</v>
      </c>
      <c r="D235" s="574"/>
      <c r="E235" s="574"/>
      <c r="F235" s="574"/>
      <c r="G235" s="574"/>
      <c r="H235" s="574"/>
      <c r="I235" s="574"/>
      <c r="J235" s="574"/>
      <c r="K235" s="574"/>
      <c r="L235" s="574"/>
      <c r="M235" s="574"/>
      <c r="N235" s="574"/>
      <c r="O235" s="574"/>
      <c r="P235" s="574"/>
      <c r="Q235" s="574"/>
      <c r="R235" s="574"/>
      <c r="S235" s="574"/>
      <c r="T235" s="574"/>
      <c r="U235" s="574"/>
      <c r="V235" s="574"/>
      <c r="W235" s="574"/>
      <c r="X235" s="574"/>
      <c r="Y235" s="574"/>
      <c r="Z235" s="574"/>
      <c r="AA235" s="574"/>
      <c r="AB235" s="574"/>
      <c r="AC235" s="574"/>
      <c r="AD235" s="574"/>
      <c r="AE235" s="574"/>
      <c r="AF235">
        <v>235</v>
      </c>
      <c r="AG235" s="438" t="str">
        <f>IF(INDEX(D:AE,AF235,ADP!$AF$6)=0,"",INDEX(D:AE,AF235,ADP!$AF$6)+AH235)</f>
        <v/>
      </c>
      <c r="AH235">
        <f t="shared" si="3"/>
        <v>2.3399999999999945E-4</v>
      </c>
    </row>
    <row r="236" spans="1:34" ht="15.75" thickBot="1" x14ac:dyDescent="0.3">
      <c r="A236" s="569" t="s">
        <v>2440</v>
      </c>
      <c r="B236" s="569" t="s">
        <v>142</v>
      </c>
      <c r="C236" s="569" t="s">
        <v>6</v>
      </c>
      <c r="D236" s="569"/>
      <c r="E236" s="569"/>
      <c r="F236" s="569"/>
      <c r="G236" s="569"/>
      <c r="H236" s="569"/>
      <c r="I236" s="569"/>
      <c r="J236" s="569"/>
      <c r="K236" s="569"/>
      <c r="L236" s="569"/>
      <c r="M236" s="569"/>
      <c r="N236" s="569"/>
      <c r="O236" s="569"/>
      <c r="P236" s="569"/>
      <c r="Q236" s="569"/>
      <c r="R236" s="569"/>
      <c r="S236" s="569"/>
      <c r="T236" s="569"/>
      <c r="U236" s="569"/>
      <c r="V236" s="569"/>
      <c r="W236" s="569"/>
      <c r="X236" s="569"/>
      <c r="Y236" s="569"/>
      <c r="Z236" s="569"/>
      <c r="AA236" s="569"/>
      <c r="AB236" s="569"/>
      <c r="AC236" s="569"/>
      <c r="AD236" s="569"/>
      <c r="AE236" s="569"/>
      <c r="AF236">
        <v>236</v>
      </c>
      <c r="AG236" s="438" t="str">
        <f>IF(INDEX(D:AE,AF236,ADP!$AF$6)=0,"",INDEX(D:AE,AF236,ADP!$AF$6)+AH236)</f>
        <v/>
      </c>
      <c r="AH236">
        <f t="shared" si="3"/>
        <v>2.3499999999999945E-4</v>
      </c>
    </row>
    <row r="237" spans="1:34" ht="15.75" thickBot="1" x14ac:dyDescent="0.3">
      <c r="A237" s="569" t="s">
        <v>24</v>
      </c>
      <c r="B237" s="569" t="s">
        <v>1389</v>
      </c>
      <c r="C237" s="569" t="s">
        <v>1</v>
      </c>
      <c r="D237" s="569">
        <v>149.9</v>
      </c>
      <c r="E237" s="569">
        <v>16.8</v>
      </c>
      <c r="F237" s="569">
        <v>153.4</v>
      </c>
      <c r="G237" s="569">
        <v>20.9</v>
      </c>
      <c r="H237" s="569">
        <v>152.1</v>
      </c>
      <c r="I237" s="569">
        <v>16.5</v>
      </c>
      <c r="J237" s="569">
        <v>149.9</v>
      </c>
      <c r="K237" s="569">
        <v>16.8</v>
      </c>
      <c r="L237" s="569">
        <v>153.4</v>
      </c>
      <c r="M237" s="569">
        <v>20.9</v>
      </c>
      <c r="N237" s="569">
        <v>152.1</v>
      </c>
      <c r="O237" s="569">
        <v>16.5</v>
      </c>
      <c r="P237" s="569">
        <v>73.2</v>
      </c>
      <c r="Q237" s="569">
        <v>14.1</v>
      </c>
      <c r="R237" s="569">
        <v>149.9</v>
      </c>
      <c r="S237" s="569">
        <v>16.8</v>
      </c>
      <c r="T237" s="569">
        <v>153.4</v>
      </c>
      <c r="U237" s="569">
        <v>20.9</v>
      </c>
      <c r="V237" s="569">
        <v>152.1</v>
      </c>
      <c r="W237" s="569">
        <v>16.5</v>
      </c>
      <c r="X237" s="569">
        <v>73.2</v>
      </c>
      <c r="Y237" s="569">
        <v>14.1</v>
      </c>
      <c r="Z237" s="569">
        <v>149.9</v>
      </c>
      <c r="AA237" s="569">
        <v>16.8</v>
      </c>
      <c r="AB237" s="569">
        <v>153.4</v>
      </c>
      <c r="AC237" s="569">
        <v>20.9</v>
      </c>
      <c r="AD237" s="569">
        <v>152.1</v>
      </c>
      <c r="AE237" s="569">
        <v>152.1</v>
      </c>
      <c r="AF237">
        <v>237</v>
      </c>
      <c r="AG237" s="438">
        <f>IF(INDEX(D:AE,AF237,ADP!$AF$6)=0,"",INDEX(D:AE,AF237,ADP!$AF$6)+AH237)</f>
        <v>152.100236</v>
      </c>
      <c r="AH237">
        <f t="shared" si="3"/>
        <v>2.3599999999999945E-4</v>
      </c>
    </row>
    <row r="238" spans="1:34" ht="15.75" thickBot="1" x14ac:dyDescent="0.3">
      <c r="A238" s="569" t="s">
        <v>2441</v>
      </c>
      <c r="B238" s="569" t="s">
        <v>157</v>
      </c>
      <c r="C238" s="569" t="s">
        <v>6</v>
      </c>
      <c r="D238" s="569"/>
      <c r="E238" s="569"/>
      <c r="F238" s="569"/>
      <c r="G238" s="569"/>
      <c r="H238" s="569"/>
      <c r="I238" s="569"/>
      <c r="J238" s="569"/>
      <c r="K238" s="569"/>
      <c r="L238" s="569"/>
      <c r="M238" s="569"/>
      <c r="N238" s="569"/>
      <c r="O238" s="569"/>
      <c r="P238" s="569"/>
      <c r="Q238" s="569"/>
      <c r="R238" s="569"/>
      <c r="S238" s="569"/>
      <c r="T238" s="569"/>
      <c r="U238" s="569"/>
      <c r="V238" s="569"/>
      <c r="W238" s="569"/>
      <c r="X238" s="569"/>
      <c r="Y238" s="569"/>
      <c r="Z238" s="569"/>
      <c r="AA238" s="569"/>
      <c r="AB238" s="569"/>
      <c r="AC238" s="569"/>
      <c r="AD238" s="569"/>
      <c r="AE238" s="569"/>
      <c r="AF238">
        <v>238</v>
      </c>
      <c r="AG238" s="438" t="str">
        <f>IF(INDEX(D:AE,AF238,ADP!$AF$6)=0,"",INDEX(D:AE,AF238,ADP!$AF$6)+AH238)</f>
        <v/>
      </c>
      <c r="AH238">
        <f t="shared" si="3"/>
        <v>2.3699999999999945E-4</v>
      </c>
    </row>
    <row r="239" spans="1:34" ht="15.75" thickBot="1" x14ac:dyDescent="0.3">
      <c r="A239" s="569" t="s">
        <v>2241</v>
      </c>
      <c r="B239" s="569" t="s">
        <v>157</v>
      </c>
      <c r="C239" s="569" t="s">
        <v>7</v>
      </c>
      <c r="D239" s="569"/>
      <c r="E239" s="569"/>
      <c r="F239" s="569"/>
      <c r="G239" s="569"/>
      <c r="H239" s="569"/>
      <c r="I239" s="569"/>
      <c r="J239" s="569"/>
      <c r="K239" s="569"/>
      <c r="L239" s="569"/>
      <c r="M239" s="569"/>
      <c r="N239" s="569"/>
      <c r="O239" s="569"/>
      <c r="P239" s="569"/>
      <c r="Q239" s="569"/>
      <c r="R239" s="569"/>
      <c r="S239" s="569"/>
      <c r="T239" s="569"/>
      <c r="U239" s="569"/>
      <c r="V239" s="569"/>
      <c r="W239" s="569"/>
      <c r="X239" s="569"/>
      <c r="Y239" s="569"/>
      <c r="Z239" s="569"/>
      <c r="AA239" s="569"/>
      <c r="AB239" s="569"/>
      <c r="AC239" s="569"/>
      <c r="AD239" s="569"/>
      <c r="AE239" s="569"/>
      <c r="AF239">
        <v>239</v>
      </c>
      <c r="AG239" s="438" t="str">
        <f>IF(INDEX(D:AE,AF239,ADP!$AF$6)=0,"",INDEX(D:AE,AF239,ADP!$AF$6)+AH239)</f>
        <v/>
      </c>
      <c r="AH239">
        <f t="shared" si="3"/>
        <v>2.3799999999999944E-4</v>
      </c>
    </row>
    <row r="240" spans="1:34" ht="15.75" thickBot="1" x14ac:dyDescent="0.3">
      <c r="A240" s="569" t="s">
        <v>23</v>
      </c>
      <c r="B240" s="569" t="s">
        <v>2272</v>
      </c>
      <c r="C240" s="569" t="s">
        <v>11</v>
      </c>
      <c r="D240" s="569"/>
      <c r="E240" s="569"/>
      <c r="F240" s="569"/>
      <c r="G240" s="569"/>
      <c r="H240" s="569"/>
      <c r="I240" s="569"/>
      <c r="J240" s="569"/>
      <c r="K240" s="569"/>
      <c r="L240" s="569"/>
      <c r="M240" s="569"/>
      <c r="N240" s="569"/>
      <c r="O240" s="569"/>
      <c r="P240" s="569"/>
      <c r="Q240" s="569"/>
      <c r="R240" s="569"/>
      <c r="S240" s="569"/>
      <c r="T240" s="569"/>
      <c r="U240" s="569"/>
      <c r="V240" s="569"/>
      <c r="W240" s="569"/>
      <c r="X240" s="569"/>
      <c r="Y240" s="569"/>
      <c r="Z240" s="569"/>
      <c r="AA240" s="569"/>
      <c r="AB240" s="569"/>
      <c r="AC240" s="569"/>
      <c r="AD240" s="569"/>
      <c r="AE240" s="569"/>
      <c r="AF240">
        <v>240</v>
      </c>
      <c r="AG240" s="438" t="str">
        <f>IF(INDEX(D:AE,AF240,ADP!$AF$6)=0,"",INDEX(D:AE,AF240,ADP!$AF$6)+AH240)</f>
        <v/>
      </c>
      <c r="AH240">
        <f t="shared" si="3"/>
        <v>2.3899999999999944E-4</v>
      </c>
    </row>
    <row r="241" spans="1:34" ht="15.75" thickBot="1" x14ac:dyDescent="0.3">
      <c r="A241" s="569" t="s">
        <v>1889</v>
      </c>
      <c r="B241" s="569" t="s">
        <v>158</v>
      </c>
      <c r="C241" s="569" t="s">
        <v>11</v>
      </c>
      <c r="D241" s="569"/>
      <c r="E241" s="569"/>
      <c r="F241" s="569">
        <v>157.4</v>
      </c>
      <c r="G241" s="569">
        <v>15.7</v>
      </c>
      <c r="H241" s="569">
        <v>155.6</v>
      </c>
      <c r="I241" s="569">
        <v>17.5</v>
      </c>
      <c r="J241" s="569"/>
      <c r="K241" s="569"/>
      <c r="L241" s="569">
        <v>157.4</v>
      </c>
      <c r="M241" s="569">
        <v>15.7</v>
      </c>
      <c r="N241" s="569">
        <v>155.6</v>
      </c>
      <c r="O241" s="569">
        <v>17.5</v>
      </c>
      <c r="P241" s="569">
        <v>160</v>
      </c>
      <c r="Q241" s="569">
        <v>14.6</v>
      </c>
      <c r="R241" s="569"/>
      <c r="S241" s="569"/>
      <c r="T241" s="569">
        <v>157.4</v>
      </c>
      <c r="U241" s="569">
        <v>15.7</v>
      </c>
      <c r="V241" s="569">
        <v>155.6</v>
      </c>
      <c r="W241" s="569">
        <v>17.5</v>
      </c>
      <c r="X241" s="569">
        <v>160</v>
      </c>
      <c r="Y241" s="569">
        <v>14.6</v>
      </c>
      <c r="Z241" s="569"/>
      <c r="AA241" s="569"/>
      <c r="AB241" s="569">
        <v>157.4</v>
      </c>
      <c r="AC241" s="569">
        <v>15.7</v>
      </c>
      <c r="AD241" s="569">
        <v>155.6</v>
      </c>
      <c r="AE241" s="569">
        <v>155.6</v>
      </c>
      <c r="AF241">
        <v>241</v>
      </c>
      <c r="AG241" s="438">
        <f>IF(INDEX(D:AE,AF241,ADP!$AF$6)=0,"",INDEX(D:AE,AF241,ADP!$AF$6)+AH241)</f>
        <v>155.60023999999999</v>
      </c>
      <c r="AH241">
        <f t="shared" si="3"/>
        <v>2.3999999999999944E-4</v>
      </c>
    </row>
    <row r="242" spans="1:34" ht="15.75" thickBot="1" x14ac:dyDescent="0.3">
      <c r="A242" s="569" t="s">
        <v>2284</v>
      </c>
      <c r="B242" s="569" t="s">
        <v>159</v>
      </c>
      <c r="C242" s="569" t="s">
        <v>1</v>
      </c>
      <c r="D242" s="574"/>
      <c r="E242" s="574"/>
      <c r="F242" s="574"/>
      <c r="G242" s="574"/>
      <c r="H242" s="574"/>
      <c r="I242" s="574"/>
      <c r="J242" s="574"/>
      <c r="K242" s="574"/>
      <c r="L242" s="574"/>
      <c r="M242" s="574"/>
      <c r="N242" s="574"/>
      <c r="O242" s="574"/>
      <c r="P242" s="574"/>
      <c r="Q242" s="574"/>
      <c r="R242" s="574"/>
      <c r="S242" s="574"/>
      <c r="T242" s="574"/>
      <c r="U242" s="574"/>
      <c r="V242" s="574"/>
      <c r="W242" s="574"/>
      <c r="X242" s="574"/>
      <c r="Y242" s="574"/>
      <c r="Z242" s="574"/>
      <c r="AA242" s="574"/>
      <c r="AB242" s="574"/>
      <c r="AC242" s="574"/>
      <c r="AD242" s="574"/>
      <c r="AE242" s="574"/>
      <c r="AF242">
        <v>242</v>
      </c>
      <c r="AG242" s="438" t="str">
        <f>IF(INDEX(D:AE,AF242,ADP!$AF$6)=0,"",INDEX(D:AE,AF242,ADP!$AF$6)+AH242)</f>
        <v/>
      </c>
      <c r="AH242">
        <f t="shared" si="3"/>
        <v>2.4099999999999943E-4</v>
      </c>
    </row>
    <row r="243" spans="1:34" ht="15.75" thickBot="1" x14ac:dyDescent="0.3">
      <c r="A243" s="569" t="s">
        <v>1748</v>
      </c>
      <c r="B243" s="569" t="s">
        <v>154</v>
      </c>
      <c r="C243" s="569" t="s">
        <v>3</v>
      </c>
      <c r="D243" s="574"/>
      <c r="E243" s="574"/>
      <c r="F243" s="574"/>
      <c r="G243" s="574"/>
      <c r="H243" s="574"/>
      <c r="I243" s="574"/>
      <c r="J243" s="574"/>
      <c r="K243" s="574"/>
      <c r="L243" s="574"/>
      <c r="M243" s="574"/>
      <c r="N243" s="574"/>
      <c r="O243" s="574"/>
      <c r="P243" s="574"/>
      <c r="Q243" s="574"/>
      <c r="R243" s="574"/>
      <c r="S243" s="574"/>
      <c r="T243" s="574"/>
      <c r="U243" s="574"/>
      <c r="V243" s="574"/>
      <c r="W243" s="574"/>
      <c r="X243" s="574"/>
      <c r="Y243" s="574"/>
      <c r="Z243" s="574"/>
      <c r="AA243" s="574"/>
      <c r="AB243" s="574"/>
      <c r="AC243" s="574"/>
      <c r="AD243" s="574"/>
      <c r="AE243" s="574"/>
      <c r="AF243">
        <v>243</v>
      </c>
      <c r="AG243" s="438" t="str">
        <f>IF(INDEX(D:AE,AF243,ADP!$AF$6)=0,"",INDEX(D:AE,AF243,ADP!$AF$6)+AH243)</f>
        <v/>
      </c>
      <c r="AH243">
        <f t="shared" si="3"/>
        <v>2.4199999999999943E-4</v>
      </c>
    </row>
    <row r="244" spans="1:34" ht="15.75" thickBot="1" x14ac:dyDescent="0.3">
      <c r="A244" s="569" t="s">
        <v>1224</v>
      </c>
      <c r="B244" s="569" t="s">
        <v>156</v>
      </c>
      <c r="C244" s="569" t="s">
        <v>1</v>
      </c>
      <c r="D244" s="569"/>
      <c r="E244" s="569"/>
      <c r="F244" s="569"/>
      <c r="G244" s="569"/>
      <c r="H244" s="569"/>
      <c r="I244" s="569"/>
      <c r="J244" s="569"/>
      <c r="K244" s="569"/>
      <c r="L244" s="569"/>
      <c r="M244" s="569"/>
      <c r="N244" s="569"/>
      <c r="O244" s="569"/>
      <c r="P244" s="569"/>
      <c r="Q244" s="569"/>
      <c r="R244" s="569"/>
      <c r="S244" s="569"/>
      <c r="T244" s="569"/>
      <c r="U244" s="569"/>
      <c r="V244" s="569"/>
      <c r="W244" s="569"/>
      <c r="X244" s="569"/>
      <c r="Y244" s="569"/>
      <c r="Z244" s="569"/>
      <c r="AA244" s="569"/>
      <c r="AB244" s="569"/>
      <c r="AC244" s="569"/>
      <c r="AD244" s="569"/>
      <c r="AE244" s="569"/>
      <c r="AF244">
        <v>244</v>
      </c>
      <c r="AG244" s="438" t="str">
        <f>IF(INDEX(D:AE,AF244,ADP!$AF$6)=0,"",INDEX(D:AE,AF244,ADP!$AF$6)+AH244)</f>
        <v/>
      </c>
      <c r="AH244">
        <f t="shared" si="3"/>
        <v>2.4299999999999943E-4</v>
      </c>
    </row>
    <row r="245" spans="1:34" ht="15.75" thickBot="1" x14ac:dyDescent="0.3">
      <c r="A245" s="569" t="s">
        <v>2259</v>
      </c>
      <c r="B245" s="569" t="s">
        <v>151</v>
      </c>
      <c r="C245" s="569" t="s">
        <v>7</v>
      </c>
      <c r="D245" s="569"/>
      <c r="E245" s="569"/>
      <c r="F245" s="569"/>
      <c r="G245" s="569"/>
      <c r="H245" s="569"/>
      <c r="I245" s="569"/>
      <c r="J245" s="569"/>
      <c r="K245" s="569"/>
      <c r="L245" s="569"/>
      <c r="M245" s="569"/>
      <c r="N245" s="569"/>
      <c r="O245" s="569"/>
      <c r="P245" s="569"/>
      <c r="Q245" s="569"/>
      <c r="R245" s="569"/>
      <c r="S245" s="569"/>
      <c r="T245" s="569"/>
      <c r="U245" s="569"/>
      <c r="V245" s="569"/>
      <c r="W245" s="569"/>
      <c r="X245" s="569"/>
      <c r="Y245" s="569"/>
      <c r="Z245" s="569"/>
      <c r="AA245" s="569"/>
      <c r="AB245" s="569"/>
      <c r="AC245" s="569"/>
      <c r="AD245" s="569"/>
      <c r="AE245" s="569"/>
      <c r="AF245">
        <v>245</v>
      </c>
      <c r="AG245" s="438" t="str">
        <f>IF(INDEX(D:AE,AF245,ADP!$AF$6)=0,"",INDEX(D:AE,AF245,ADP!$AF$6)+AH245)</f>
        <v/>
      </c>
      <c r="AH245">
        <f t="shared" si="3"/>
        <v>2.4399999999999943E-4</v>
      </c>
    </row>
    <row r="246" spans="1:34" ht="15.75" thickBot="1" x14ac:dyDescent="0.3">
      <c r="A246" s="569" t="s">
        <v>2150</v>
      </c>
      <c r="B246" s="569" t="s">
        <v>147</v>
      </c>
      <c r="C246" s="569" t="s">
        <v>1</v>
      </c>
      <c r="D246" s="574"/>
      <c r="E246" s="574"/>
      <c r="F246" s="574"/>
      <c r="G246" s="574"/>
      <c r="H246" s="574"/>
      <c r="I246" s="574"/>
      <c r="J246" s="574"/>
      <c r="K246" s="574"/>
      <c r="L246" s="574"/>
      <c r="M246" s="574"/>
      <c r="N246" s="574"/>
      <c r="O246" s="574"/>
      <c r="P246" s="574"/>
      <c r="Q246" s="574"/>
      <c r="R246" s="574"/>
      <c r="S246" s="574"/>
      <c r="T246" s="574"/>
      <c r="U246" s="574"/>
      <c r="V246" s="574"/>
      <c r="W246" s="574"/>
      <c r="X246" s="574"/>
      <c r="Y246" s="574"/>
      <c r="Z246" s="574"/>
      <c r="AA246" s="574"/>
      <c r="AB246" s="574"/>
      <c r="AC246" s="574"/>
      <c r="AD246" s="574"/>
      <c r="AE246" s="574"/>
      <c r="AF246">
        <v>246</v>
      </c>
      <c r="AG246" s="438" t="str">
        <f>IF(INDEX(D:AE,AF246,ADP!$AF$6)=0,"",INDEX(D:AE,AF246,ADP!$AF$6)+AH246)</f>
        <v/>
      </c>
      <c r="AH246">
        <f t="shared" si="3"/>
        <v>2.4499999999999945E-4</v>
      </c>
    </row>
    <row r="247" spans="1:34" ht="15.75" thickBot="1" x14ac:dyDescent="0.3">
      <c r="A247" s="569" t="s">
        <v>2353</v>
      </c>
      <c r="B247" s="569" t="s">
        <v>163</v>
      </c>
      <c r="C247" s="569" t="s">
        <v>6</v>
      </c>
      <c r="D247" s="569"/>
      <c r="E247" s="569"/>
      <c r="F247" s="569"/>
      <c r="G247" s="569"/>
      <c r="H247" s="574"/>
      <c r="I247" s="574"/>
      <c r="J247" s="569"/>
      <c r="K247" s="569"/>
      <c r="L247" s="569"/>
      <c r="M247" s="569"/>
      <c r="N247" s="574"/>
      <c r="O247" s="574"/>
      <c r="P247" s="569"/>
      <c r="Q247" s="569"/>
      <c r="R247" s="569"/>
      <c r="S247" s="569"/>
      <c r="T247" s="569"/>
      <c r="U247" s="569"/>
      <c r="V247" s="574"/>
      <c r="W247" s="574"/>
      <c r="X247" s="569"/>
      <c r="Y247" s="569"/>
      <c r="Z247" s="569"/>
      <c r="AA247" s="569"/>
      <c r="AB247" s="569"/>
      <c r="AC247" s="569"/>
      <c r="AD247" s="574"/>
      <c r="AE247" s="574"/>
      <c r="AF247">
        <v>247</v>
      </c>
      <c r="AG247" s="438" t="str">
        <f>IF(INDEX(D:AE,AF247,ADP!$AF$6)=0,"",INDEX(D:AE,AF247,ADP!$AF$6)+AH247)</f>
        <v/>
      </c>
      <c r="AH247">
        <f t="shared" si="3"/>
        <v>2.4599999999999947E-4</v>
      </c>
    </row>
    <row r="248" spans="1:34" ht="15.75" thickBot="1" x14ac:dyDescent="0.3">
      <c r="A248" s="569" t="s">
        <v>2442</v>
      </c>
      <c r="B248" s="569" t="s">
        <v>144</v>
      </c>
      <c r="C248" s="569" t="s">
        <v>6</v>
      </c>
      <c r="D248" s="574"/>
      <c r="E248" s="574"/>
      <c r="F248" s="574"/>
      <c r="G248" s="574"/>
      <c r="H248" s="574"/>
      <c r="I248" s="574"/>
      <c r="J248" s="574"/>
      <c r="K248" s="574"/>
      <c r="L248" s="574"/>
      <c r="M248" s="574"/>
      <c r="N248" s="574"/>
      <c r="O248" s="574"/>
      <c r="P248" s="574"/>
      <c r="Q248" s="574"/>
      <c r="R248" s="574"/>
      <c r="S248" s="574"/>
      <c r="T248" s="574"/>
      <c r="U248" s="574"/>
      <c r="V248" s="574"/>
      <c r="W248" s="574"/>
      <c r="X248" s="574"/>
      <c r="Y248" s="574"/>
      <c r="Z248" s="574"/>
      <c r="AA248" s="574"/>
      <c r="AB248" s="574"/>
      <c r="AC248" s="574"/>
      <c r="AD248" s="574"/>
      <c r="AE248" s="574"/>
      <c r="AF248">
        <v>248</v>
      </c>
      <c r="AG248" s="438" t="str">
        <f>IF(INDEX(D:AE,AF248,ADP!$AF$6)=0,"",INDEX(D:AE,AF248,ADP!$AF$6)+AH248)</f>
        <v/>
      </c>
      <c r="AH248">
        <f t="shared" si="3"/>
        <v>2.469999999999995E-4</v>
      </c>
    </row>
    <row r="249" spans="1:34" ht="15.75" thickBot="1" x14ac:dyDescent="0.3">
      <c r="A249" s="569" t="s">
        <v>118</v>
      </c>
      <c r="B249" s="569" t="s">
        <v>142</v>
      </c>
      <c r="C249" s="569" t="s">
        <v>6</v>
      </c>
      <c r="D249" s="574"/>
      <c r="E249" s="574"/>
      <c r="F249" s="574"/>
      <c r="G249" s="574"/>
      <c r="H249" s="574"/>
      <c r="I249" s="574"/>
      <c r="J249" s="574"/>
      <c r="K249" s="574"/>
      <c r="L249" s="574"/>
      <c r="M249" s="574"/>
      <c r="N249" s="574"/>
      <c r="O249" s="574"/>
      <c r="P249" s="574"/>
      <c r="Q249" s="574"/>
      <c r="R249" s="574"/>
      <c r="S249" s="574"/>
      <c r="T249" s="574"/>
      <c r="U249" s="574"/>
      <c r="V249" s="574"/>
      <c r="W249" s="574"/>
      <c r="X249" s="574"/>
      <c r="Y249" s="574"/>
      <c r="Z249" s="574"/>
      <c r="AA249" s="574"/>
      <c r="AB249" s="574"/>
      <c r="AC249" s="574"/>
      <c r="AD249" s="574"/>
      <c r="AE249" s="574"/>
      <c r="AF249">
        <v>249</v>
      </c>
      <c r="AG249" s="438" t="str">
        <f>IF(INDEX(D:AE,AF249,ADP!$AF$6)=0,"",INDEX(D:AE,AF249,ADP!$AF$6)+AH249)</f>
        <v/>
      </c>
      <c r="AH249">
        <f t="shared" si="3"/>
        <v>2.4799999999999952E-4</v>
      </c>
    </row>
    <row r="250" spans="1:34" ht="15.75" thickBot="1" x14ac:dyDescent="0.3">
      <c r="A250" s="569" t="s">
        <v>1247</v>
      </c>
      <c r="B250" s="569" t="s">
        <v>161</v>
      </c>
      <c r="C250" s="569" t="s">
        <v>6</v>
      </c>
      <c r="D250" s="574"/>
      <c r="E250" s="574"/>
      <c r="F250" s="574"/>
      <c r="G250" s="574"/>
      <c r="H250" s="574"/>
      <c r="I250" s="574"/>
      <c r="J250" s="574"/>
      <c r="K250" s="574"/>
      <c r="L250" s="574"/>
      <c r="M250" s="574"/>
      <c r="N250" s="574"/>
      <c r="O250" s="574"/>
      <c r="P250" s="569"/>
      <c r="Q250" s="569"/>
      <c r="R250" s="574"/>
      <c r="S250" s="574"/>
      <c r="T250" s="574"/>
      <c r="U250" s="574"/>
      <c r="V250" s="574"/>
      <c r="W250" s="574"/>
      <c r="X250" s="569"/>
      <c r="Y250" s="569"/>
      <c r="Z250" s="574"/>
      <c r="AA250" s="574"/>
      <c r="AB250" s="574"/>
      <c r="AC250" s="574"/>
      <c r="AD250" s="574"/>
      <c r="AE250" s="574"/>
      <c r="AF250">
        <v>250</v>
      </c>
      <c r="AG250" s="438" t="str">
        <f>IF(INDEX(D:AE,AF250,ADP!$AF$6)=0,"",INDEX(D:AE,AF250,ADP!$AF$6)+AH250)</f>
        <v/>
      </c>
      <c r="AH250">
        <f t="shared" si="3"/>
        <v>2.4899999999999955E-4</v>
      </c>
    </row>
    <row r="251" spans="1:34" ht="15.75" thickBot="1" x14ac:dyDescent="0.3">
      <c r="A251" s="569" t="s">
        <v>1864</v>
      </c>
      <c r="B251" s="569" t="s">
        <v>2272</v>
      </c>
      <c r="C251" s="569" t="s">
        <v>6</v>
      </c>
      <c r="D251" s="574">
        <v>86.1</v>
      </c>
      <c r="E251" s="574">
        <v>6.1</v>
      </c>
      <c r="F251" s="574">
        <v>72.7</v>
      </c>
      <c r="G251" s="574">
        <v>8.1</v>
      </c>
      <c r="H251" s="574">
        <v>71</v>
      </c>
      <c r="I251" s="574">
        <v>6.8</v>
      </c>
      <c r="J251" s="574">
        <v>86.1</v>
      </c>
      <c r="K251" s="574">
        <v>6.1</v>
      </c>
      <c r="L251" s="574">
        <v>72.7</v>
      </c>
      <c r="M251" s="574">
        <v>8.1</v>
      </c>
      <c r="N251" s="574">
        <v>71</v>
      </c>
      <c r="O251" s="574">
        <v>6.8</v>
      </c>
      <c r="P251" s="574">
        <v>79.599999999999994</v>
      </c>
      <c r="Q251" s="574">
        <v>8.4</v>
      </c>
      <c r="R251" s="574">
        <v>86.1</v>
      </c>
      <c r="S251" s="574">
        <v>6.1</v>
      </c>
      <c r="T251" s="574">
        <v>72.7</v>
      </c>
      <c r="U251" s="574">
        <v>8.1</v>
      </c>
      <c r="V251" s="574">
        <v>71</v>
      </c>
      <c r="W251" s="574">
        <v>6.8</v>
      </c>
      <c r="X251" s="574">
        <v>79.599999999999994</v>
      </c>
      <c r="Y251" s="574">
        <v>8.4</v>
      </c>
      <c r="Z251" s="574">
        <v>86.1</v>
      </c>
      <c r="AA251" s="574">
        <v>6.1</v>
      </c>
      <c r="AB251" s="574">
        <v>72.7</v>
      </c>
      <c r="AC251" s="574">
        <v>8.1</v>
      </c>
      <c r="AD251" s="574">
        <v>71</v>
      </c>
      <c r="AE251" s="574">
        <v>71</v>
      </c>
      <c r="AF251">
        <v>251</v>
      </c>
      <c r="AG251" s="438">
        <f>IF(INDEX(D:AE,AF251,ADP!$AF$6)=0,"",INDEX(D:AE,AF251,ADP!$AF$6)+AH251)</f>
        <v>71.000249999999994</v>
      </c>
      <c r="AH251">
        <f t="shared" si="3"/>
        <v>2.4999999999999957E-4</v>
      </c>
    </row>
    <row r="252" spans="1:34" ht="27" thickBot="1" x14ac:dyDescent="0.3">
      <c r="A252" s="569" t="s">
        <v>1801</v>
      </c>
      <c r="B252" s="569" t="s">
        <v>136</v>
      </c>
      <c r="C252" s="569" t="s">
        <v>6</v>
      </c>
      <c r="D252" s="569"/>
      <c r="E252" s="569"/>
      <c r="F252" s="569">
        <v>164</v>
      </c>
      <c r="G252" s="569">
        <v>15.3</v>
      </c>
      <c r="H252" s="569">
        <v>160.19999999999999</v>
      </c>
      <c r="I252" s="569">
        <v>21.2</v>
      </c>
      <c r="J252" s="569"/>
      <c r="K252" s="569"/>
      <c r="L252" s="569">
        <v>164</v>
      </c>
      <c r="M252" s="569">
        <v>15.3</v>
      </c>
      <c r="N252" s="569">
        <v>160.19999999999999</v>
      </c>
      <c r="O252" s="569">
        <v>21.2</v>
      </c>
      <c r="P252" s="569"/>
      <c r="Q252" s="569"/>
      <c r="R252" s="569"/>
      <c r="S252" s="569"/>
      <c r="T252" s="569">
        <v>164</v>
      </c>
      <c r="U252" s="569">
        <v>15.3</v>
      </c>
      <c r="V252" s="569">
        <v>160.19999999999999</v>
      </c>
      <c r="W252" s="569">
        <v>21.2</v>
      </c>
      <c r="X252" s="569"/>
      <c r="Y252" s="569"/>
      <c r="Z252" s="569"/>
      <c r="AA252" s="569"/>
      <c r="AB252" s="569">
        <v>164</v>
      </c>
      <c r="AC252" s="569">
        <v>15.3</v>
      </c>
      <c r="AD252" s="569">
        <v>160.19999999999999</v>
      </c>
      <c r="AE252" s="569">
        <v>160.19999999999999</v>
      </c>
      <c r="AF252">
        <v>252</v>
      </c>
      <c r="AG252" s="438">
        <f>IF(INDEX(D:AE,AF252,ADP!$AF$6)=0,"",INDEX(D:AE,AF252,ADP!$AF$6)+AH252)</f>
        <v>160.20025099999998</v>
      </c>
      <c r="AH252">
        <f t="shared" si="3"/>
        <v>2.509999999999996E-4</v>
      </c>
    </row>
    <row r="253" spans="1:34" ht="15.75" thickBot="1" x14ac:dyDescent="0.3">
      <c r="A253" s="569" t="s">
        <v>2204</v>
      </c>
      <c r="B253" s="569" t="s">
        <v>144</v>
      </c>
      <c r="C253" s="569" t="s">
        <v>6</v>
      </c>
      <c r="D253" s="569"/>
      <c r="E253" s="569"/>
      <c r="F253" s="569"/>
      <c r="G253" s="569"/>
      <c r="H253" s="569"/>
      <c r="I253" s="569"/>
      <c r="J253" s="569"/>
      <c r="K253" s="569"/>
      <c r="L253" s="569"/>
      <c r="M253" s="569"/>
      <c r="N253" s="569"/>
      <c r="O253" s="569"/>
      <c r="P253" s="569"/>
      <c r="Q253" s="569"/>
      <c r="R253" s="569"/>
      <c r="S253" s="569"/>
      <c r="T253" s="569"/>
      <c r="U253" s="569"/>
      <c r="V253" s="569"/>
      <c r="W253" s="569"/>
      <c r="X253" s="569"/>
      <c r="Y253" s="569"/>
      <c r="Z253" s="569"/>
      <c r="AA253" s="569"/>
      <c r="AB253" s="569"/>
      <c r="AC253" s="569"/>
      <c r="AD253" s="569"/>
      <c r="AE253" s="569"/>
      <c r="AF253">
        <v>253</v>
      </c>
      <c r="AG253" s="438" t="str">
        <f>IF(INDEX(D:AE,AF253,ADP!$AF$6)=0,"",INDEX(D:AE,AF253,ADP!$AF$6)+AH253)</f>
        <v/>
      </c>
      <c r="AH253">
        <f t="shared" si="3"/>
        <v>2.5199999999999962E-4</v>
      </c>
    </row>
    <row r="254" spans="1:34" ht="15.75" thickBot="1" x14ac:dyDescent="0.3">
      <c r="A254" s="569" t="s">
        <v>1811</v>
      </c>
      <c r="B254" s="569" t="s">
        <v>162</v>
      </c>
      <c r="C254" s="569" t="s">
        <v>7</v>
      </c>
      <c r="D254" s="569">
        <v>32.6</v>
      </c>
      <c r="E254" s="569">
        <v>5.2</v>
      </c>
      <c r="F254" s="569">
        <v>31.9</v>
      </c>
      <c r="G254" s="569">
        <v>5</v>
      </c>
      <c r="H254" s="569">
        <v>28.4</v>
      </c>
      <c r="I254" s="569">
        <v>4.5</v>
      </c>
      <c r="J254" s="569">
        <v>32.6</v>
      </c>
      <c r="K254" s="569">
        <v>5.2</v>
      </c>
      <c r="L254" s="569">
        <v>31.9</v>
      </c>
      <c r="M254" s="569">
        <v>5</v>
      </c>
      <c r="N254" s="569">
        <v>28.4</v>
      </c>
      <c r="O254" s="569">
        <v>4.5</v>
      </c>
      <c r="P254" s="569">
        <v>28.5</v>
      </c>
      <c r="Q254" s="569">
        <v>4.7</v>
      </c>
      <c r="R254" s="569">
        <v>32.6</v>
      </c>
      <c r="S254" s="569">
        <v>5.2</v>
      </c>
      <c r="T254" s="569">
        <v>31.9</v>
      </c>
      <c r="U254" s="569">
        <v>5</v>
      </c>
      <c r="V254" s="569">
        <v>28.4</v>
      </c>
      <c r="W254" s="569">
        <v>4.5</v>
      </c>
      <c r="X254" s="569">
        <v>28.5</v>
      </c>
      <c r="Y254" s="569">
        <v>4.7</v>
      </c>
      <c r="Z254" s="569">
        <v>32.6</v>
      </c>
      <c r="AA254" s="569">
        <v>5.2</v>
      </c>
      <c r="AB254" s="569">
        <v>31.9</v>
      </c>
      <c r="AC254" s="569">
        <v>5</v>
      </c>
      <c r="AD254" s="569">
        <v>28.4</v>
      </c>
      <c r="AE254" s="569">
        <v>28.4</v>
      </c>
      <c r="AF254">
        <v>254</v>
      </c>
      <c r="AG254" s="438">
        <f>IF(INDEX(D:AE,AF254,ADP!$AF$6)=0,"",INDEX(D:AE,AF254,ADP!$AF$6)+AH254)</f>
        <v>28.400252999999999</v>
      </c>
      <c r="AH254">
        <f t="shared" si="3"/>
        <v>2.5299999999999964E-4</v>
      </c>
    </row>
    <row r="255" spans="1:34" ht="15.75" thickBot="1" x14ac:dyDescent="0.3">
      <c r="A255" s="569" t="s">
        <v>1133</v>
      </c>
      <c r="B255" s="569" t="s">
        <v>137</v>
      </c>
      <c r="C255" s="569" t="s">
        <v>1</v>
      </c>
      <c r="D255" s="569"/>
      <c r="E255" s="569"/>
      <c r="F255" s="569"/>
      <c r="G255" s="569"/>
      <c r="H255" s="569"/>
      <c r="I255" s="569"/>
      <c r="J255" s="569"/>
      <c r="K255" s="569"/>
      <c r="L255" s="569"/>
      <c r="M255" s="569"/>
      <c r="N255" s="569"/>
      <c r="O255" s="569"/>
      <c r="P255" s="569"/>
      <c r="Q255" s="569"/>
      <c r="R255" s="569"/>
      <c r="S255" s="569"/>
      <c r="T255" s="569"/>
      <c r="U255" s="569"/>
      <c r="V255" s="569"/>
      <c r="W255" s="569"/>
      <c r="X255" s="569"/>
      <c r="Y255" s="569"/>
      <c r="Z255" s="569"/>
      <c r="AA255" s="569"/>
      <c r="AB255" s="569"/>
      <c r="AC255" s="569"/>
      <c r="AD255" s="569"/>
      <c r="AE255" s="569"/>
      <c r="AF255">
        <v>255</v>
      </c>
      <c r="AG255" s="438" t="str">
        <f>IF(INDEX(D:AE,AF255,ADP!$AF$6)=0,"",INDEX(D:AE,AF255,ADP!$AF$6)+AH255)</f>
        <v/>
      </c>
      <c r="AH255">
        <f t="shared" si="3"/>
        <v>2.5399999999999967E-4</v>
      </c>
    </row>
    <row r="256" spans="1:34" ht="15.75" thickBot="1" x14ac:dyDescent="0.3">
      <c r="A256" s="569" t="s">
        <v>224</v>
      </c>
      <c r="B256" s="569" t="s">
        <v>141</v>
      </c>
      <c r="C256" s="569" t="s">
        <v>7</v>
      </c>
      <c r="D256" s="569"/>
      <c r="E256" s="569"/>
      <c r="F256" s="569"/>
      <c r="G256" s="569"/>
      <c r="H256" s="569"/>
      <c r="I256" s="569"/>
      <c r="J256" s="569"/>
      <c r="K256" s="569"/>
      <c r="L256" s="569"/>
      <c r="M256" s="569"/>
      <c r="N256" s="569"/>
      <c r="O256" s="569"/>
      <c r="P256" s="569"/>
      <c r="Q256" s="569"/>
      <c r="R256" s="569"/>
      <c r="S256" s="569"/>
      <c r="T256" s="569"/>
      <c r="U256" s="569"/>
      <c r="V256" s="569"/>
      <c r="W256" s="569"/>
      <c r="X256" s="569"/>
      <c r="Y256" s="569"/>
      <c r="Z256" s="569"/>
      <c r="AA256" s="569"/>
      <c r="AB256" s="569"/>
      <c r="AC256" s="569"/>
      <c r="AD256" s="569"/>
      <c r="AE256" s="569"/>
      <c r="AF256">
        <v>256</v>
      </c>
      <c r="AG256" s="438" t="str">
        <f>IF(INDEX(D:AE,AF256,ADP!$AF$6)=0,"",INDEX(D:AE,AF256,ADP!$AF$6)+AH256)</f>
        <v/>
      </c>
      <c r="AH256">
        <f t="shared" si="3"/>
        <v>2.5499999999999969E-4</v>
      </c>
    </row>
    <row r="257" spans="1:34" ht="15.75" thickBot="1" x14ac:dyDescent="0.3">
      <c r="A257" s="569" t="s">
        <v>2283</v>
      </c>
      <c r="B257" s="569" t="s">
        <v>163</v>
      </c>
      <c r="C257" s="569" t="s">
        <v>1</v>
      </c>
      <c r="D257" s="569"/>
      <c r="E257" s="569"/>
      <c r="F257" s="569"/>
      <c r="G257" s="569"/>
      <c r="H257" s="569"/>
      <c r="I257" s="569"/>
      <c r="J257" s="569"/>
      <c r="K257" s="569"/>
      <c r="L257" s="569"/>
      <c r="M257" s="569"/>
      <c r="N257" s="569"/>
      <c r="O257" s="569"/>
      <c r="P257" s="569"/>
      <c r="Q257" s="569"/>
      <c r="R257" s="569"/>
      <c r="S257" s="569"/>
      <c r="T257" s="569"/>
      <c r="U257" s="569"/>
      <c r="V257" s="569"/>
      <c r="W257" s="569"/>
      <c r="X257" s="569"/>
      <c r="Y257" s="569"/>
      <c r="Z257" s="569"/>
      <c r="AA257" s="569"/>
      <c r="AB257" s="569"/>
      <c r="AC257" s="569"/>
      <c r="AD257" s="569"/>
      <c r="AE257" s="569"/>
      <c r="AF257">
        <v>257</v>
      </c>
      <c r="AG257" s="438" t="str">
        <f>IF(INDEX(D:AE,AF257,ADP!$AF$6)=0,"",INDEX(D:AE,AF257,ADP!$AF$6)+AH257)</f>
        <v/>
      </c>
      <c r="AH257">
        <f t="shared" si="3"/>
        <v>2.5599999999999972E-4</v>
      </c>
    </row>
    <row r="258" spans="1:34" ht="15.75" thickBot="1" x14ac:dyDescent="0.3">
      <c r="A258" s="569" t="s">
        <v>2443</v>
      </c>
      <c r="B258" s="569" t="s">
        <v>146</v>
      </c>
      <c r="C258" s="569" t="s">
        <v>3</v>
      </c>
      <c r="D258" s="569"/>
      <c r="E258" s="569"/>
      <c r="F258" s="569"/>
      <c r="G258" s="569"/>
      <c r="H258" s="569"/>
      <c r="I258" s="569"/>
      <c r="J258" s="569"/>
      <c r="K258" s="569"/>
      <c r="L258" s="569"/>
      <c r="M258" s="569"/>
      <c r="N258" s="569"/>
      <c r="O258" s="569"/>
      <c r="P258" s="569"/>
      <c r="Q258" s="569"/>
      <c r="R258" s="569"/>
      <c r="S258" s="569"/>
      <c r="T258" s="569"/>
      <c r="U258" s="569"/>
      <c r="V258" s="569"/>
      <c r="W258" s="569"/>
      <c r="X258" s="569"/>
      <c r="Y258" s="569"/>
      <c r="Z258" s="569"/>
      <c r="AA258" s="569"/>
      <c r="AB258" s="569"/>
      <c r="AC258" s="569"/>
      <c r="AD258" s="569"/>
      <c r="AE258" s="569"/>
      <c r="AF258">
        <v>258</v>
      </c>
      <c r="AG258" s="438" t="str">
        <f>IF(INDEX(D:AE,AF258,ADP!$AF$6)=0,"",INDEX(D:AE,AF258,ADP!$AF$6)+AH258)</f>
        <v/>
      </c>
      <c r="AH258">
        <f t="shared" si="3"/>
        <v>2.5699999999999974E-4</v>
      </c>
    </row>
    <row r="259" spans="1:34" ht="15.75" thickBot="1" x14ac:dyDescent="0.3">
      <c r="A259" s="569" t="s">
        <v>1450</v>
      </c>
      <c r="B259" s="569" t="s">
        <v>148</v>
      </c>
      <c r="C259" s="569" t="s">
        <v>6</v>
      </c>
      <c r="D259" s="569"/>
      <c r="E259" s="569"/>
      <c r="F259" s="569"/>
      <c r="G259" s="569"/>
      <c r="H259" s="569"/>
      <c r="I259" s="569"/>
      <c r="J259" s="569"/>
      <c r="K259" s="569"/>
      <c r="L259" s="569"/>
      <c r="M259" s="569"/>
      <c r="N259" s="569"/>
      <c r="O259" s="569"/>
      <c r="P259" s="569"/>
      <c r="Q259" s="569"/>
      <c r="R259" s="569"/>
      <c r="S259" s="569"/>
      <c r="T259" s="569"/>
      <c r="U259" s="569"/>
      <c r="V259" s="569"/>
      <c r="W259" s="569"/>
      <c r="X259" s="569"/>
      <c r="Y259" s="569"/>
      <c r="Z259" s="569"/>
      <c r="AA259" s="569"/>
      <c r="AB259" s="569"/>
      <c r="AC259" s="569"/>
      <c r="AD259" s="569"/>
      <c r="AE259" s="569"/>
      <c r="AF259">
        <v>259</v>
      </c>
      <c r="AG259" s="438" t="str">
        <f>IF(INDEX(D:AE,AF259,ADP!$AF$6)=0,"",INDEX(D:AE,AF259,ADP!$AF$6)+AH259)</f>
        <v/>
      </c>
      <c r="AH259">
        <f t="shared" si="3"/>
        <v>2.5799999999999977E-4</v>
      </c>
    </row>
    <row r="260" spans="1:34" ht="15.75" thickBot="1" x14ac:dyDescent="0.3">
      <c r="A260" s="569" t="s">
        <v>2158</v>
      </c>
      <c r="B260" s="569" t="s">
        <v>157</v>
      </c>
      <c r="C260" s="569" t="s">
        <v>1</v>
      </c>
      <c r="D260" s="574"/>
      <c r="E260" s="574"/>
      <c r="F260" s="574"/>
      <c r="G260" s="574"/>
      <c r="H260" s="574"/>
      <c r="I260" s="574"/>
      <c r="J260" s="574"/>
      <c r="K260" s="574"/>
      <c r="L260" s="574"/>
      <c r="M260" s="574"/>
      <c r="N260" s="574"/>
      <c r="O260" s="574"/>
      <c r="P260" s="569">
        <v>120.9</v>
      </c>
      <c r="Q260" s="569">
        <v>31.2</v>
      </c>
      <c r="R260" s="574"/>
      <c r="S260" s="574"/>
      <c r="T260" s="574"/>
      <c r="U260" s="574"/>
      <c r="V260" s="574"/>
      <c r="W260" s="574"/>
      <c r="X260" s="569">
        <v>120.9</v>
      </c>
      <c r="Y260" s="569">
        <v>31.2</v>
      </c>
      <c r="Z260" s="574"/>
      <c r="AA260" s="574"/>
      <c r="AB260" s="574"/>
      <c r="AC260" s="574"/>
      <c r="AD260" s="574"/>
      <c r="AE260" s="574"/>
      <c r="AF260">
        <v>260</v>
      </c>
      <c r="AG260" s="438" t="str">
        <f>IF(INDEX(D:AE,AF260,ADP!$AF$6)=0,"",INDEX(D:AE,AF260,ADP!$AF$6)+AH260)</f>
        <v/>
      </c>
      <c r="AH260">
        <f>AH259+0.000001</f>
        <v>2.5899999999999979E-4</v>
      </c>
    </row>
    <row r="261" spans="1:34" ht="15.75" thickBot="1" x14ac:dyDescent="0.3">
      <c r="A261" s="569" t="s">
        <v>2073</v>
      </c>
      <c r="B261" s="569" t="s">
        <v>2073</v>
      </c>
      <c r="C261" s="569" t="s">
        <v>160</v>
      </c>
      <c r="D261" s="569"/>
      <c r="E261" s="569"/>
      <c r="F261" s="569"/>
      <c r="G261" s="569"/>
      <c r="H261" s="569"/>
      <c r="I261" s="569"/>
      <c r="J261" s="569"/>
      <c r="K261" s="569"/>
      <c r="L261" s="569"/>
      <c r="M261" s="569"/>
      <c r="N261" s="569"/>
      <c r="O261" s="569"/>
      <c r="P261" s="569"/>
      <c r="Q261" s="569"/>
      <c r="R261" s="569"/>
      <c r="S261" s="569"/>
      <c r="T261" s="569"/>
      <c r="U261" s="569"/>
      <c r="V261" s="569"/>
      <c r="W261" s="569"/>
      <c r="X261" s="569"/>
      <c r="Y261" s="569"/>
      <c r="Z261" s="569"/>
      <c r="AA261" s="569"/>
      <c r="AB261" s="569"/>
      <c r="AC261" s="569"/>
      <c r="AD261" s="569"/>
      <c r="AE261" s="569"/>
      <c r="AF261">
        <v>261</v>
      </c>
      <c r="AG261" s="438" t="str">
        <f>IF(INDEX(D:AE,AF261,ADP!$AF$6)=0,"",INDEX(D:AE,AF261,ADP!$AF$6)+AH261)</f>
        <v/>
      </c>
      <c r="AH261">
        <f t="shared" si="3"/>
        <v>2.5999999999999981E-4</v>
      </c>
    </row>
    <row r="262" spans="1:34" ht="15.75" thickBot="1" x14ac:dyDescent="0.3">
      <c r="A262" s="569" t="s">
        <v>2444</v>
      </c>
      <c r="B262" s="569" t="s">
        <v>146</v>
      </c>
      <c r="C262" s="569" t="s">
        <v>7</v>
      </c>
      <c r="D262" s="569"/>
      <c r="E262" s="569"/>
      <c r="F262" s="569"/>
      <c r="G262" s="569"/>
      <c r="H262" s="569"/>
      <c r="I262" s="569"/>
      <c r="J262" s="569"/>
      <c r="K262" s="569"/>
      <c r="L262" s="569"/>
      <c r="M262" s="569"/>
      <c r="N262" s="569"/>
      <c r="O262" s="569"/>
      <c r="P262" s="574"/>
      <c r="Q262" s="574"/>
      <c r="R262" s="569"/>
      <c r="S262" s="569"/>
      <c r="T262" s="569"/>
      <c r="U262" s="569"/>
      <c r="V262" s="569"/>
      <c r="W262" s="569"/>
      <c r="X262" s="574"/>
      <c r="Y262" s="574"/>
      <c r="Z262" s="569"/>
      <c r="AA262" s="569"/>
      <c r="AB262" s="569"/>
      <c r="AC262" s="569"/>
      <c r="AD262" s="569"/>
      <c r="AE262" s="569"/>
      <c r="AF262">
        <v>262</v>
      </c>
      <c r="AG262" s="438" t="str">
        <f>IF(INDEX(D:AE,AF262,ADP!$AF$6)=0,"",INDEX(D:AE,AF262,ADP!$AF$6)+AH262)</f>
        <v/>
      </c>
      <c r="AH262">
        <f t="shared" ref="AH262:AH325" si="4">AH261+0.000001</f>
        <v>2.6099999999999984E-4</v>
      </c>
    </row>
    <row r="263" spans="1:34" ht="15.75" thickBot="1" x14ac:dyDescent="0.3">
      <c r="A263" s="569" t="s">
        <v>2445</v>
      </c>
      <c r="B263" s="569" t="s">
        <v>139</v>
      </c>
      <c r="C263" s="569" t="s">
        <v>7</v>
      </c>
      <c r="D263" s="569"/>
      <c r="E263" s="569"/>
      <c r="F263" s="569"/>
      <c r="G263" s="569"/>
      <c r="H263" s="569"/>
      <c r="I263" s="569"/>
      <c r="J263" s="569"/>
      <c r="K263" s="569"/>
      <c r="L263" s="569"/>
      <c r="M263" s="569"/>
      <c r="N263" s="569"/>
      <c r="O263" s="569"/>
      <c r="P263" s="569">
        <v>148.5</v>
      </c>
      <c r="Q263" s="569">
        <v>20.9</v>
      </c>
      <c r="R263" s="569"/>
      <c r="S263" s="569"/>
      <c r="T263" s="569"/>
      <c r="U263" s="569"/>
      <c r="V263" s="569"/>
      <c r="W263" s="569"/>
      <c r="X263" s="569">
        <v>148.5</v>
      </c>
      <c r="Y263" s="569">
        <v>20.9</v>
      </c>
      <c r="Z263" s="569"/>
      <c r="AA263" s="569"/>
      <c r="AB263" s="569"/>
      <c r="AC263" s="569"/>
      <c r="AD263" s="569"/>
      <c r="AE263" s="569"/>
      <c r="AF263">
        <v>263</v>
      </c>
      <c r="AG263" s="438" t="str">
        <f>IF(INDEX(D:AE,AF263,ADP!$AF$6)=0,"",INDEX(D:AE,AF263,ADP!$AF$6)+AH263)</f>
        <v/>
      </c>
      <c r="AH263">
        <f t="shared" si="4"/>
        <v>2.6199999999999986E-4</v>
      </c>
    </row>
    <row r="264" spans="1:34" ht="15.75" thickBot="1" x14ac:dyDescent="0.3">
      <c r="A264" s="569" t="s">
        <v>2247</v>
      </c>
      <c r="B264" s="569" t="s">
        <v>165</v>
      </c>
      <c r="C264" s="569" t="s">
        <v>7</v>
      </c>
      <c r="D264" s="569"/>
      <c r="E264" s="569"/>
      <c r="F264" s="569"/>
      <c r="G264" s="569"/>
      <c r="H264" s="569"/>
      <c r="I264" s="569"/>
      <c r="J264" s="569"/>
      <c r="K264" s="569"/>
      <c r="L264" s="569"/>
      <c r="M264" s="569"/>
      <c r="N264" s="569"/>
      <c r="O264" s="569"/>
      <c r="P264" s="569"/>
      <c r="Q264" s="569"/>
      <c r="R264" s="569"/>
      <c r="S264" s="569"/>
      <c r="T264" s="569"/>
      <c r="U264" s="569"/>
      <c r="V264" s="569"/>
      <c r="W264" s="569"/>
      <c r="X264" s="569"/>
      <c r="Y264" s="569"/>
      <c r="Z264" s="569"/>
      <c r="AA264" s="569"/>
      <c r="AB264" s="569"/>
      <c r="AC264" s="569"/>
      <c r="AD264" s="569"/>
      <c r="AE264" s="569"/>
      <c r="AF264">
        <v>264</v>
      </c>
      <c r="AG264" s="438" t="str">
        <f>IF(INDEX(D:AE,AF264,ADP!$AF$6)=0,"",INDEX(D:AE,AF264,ADP!$AF$6)+AH264)</f>
        <v/>
      </c>
      <c r="AH264">
        <f t="shared" si="4"/>
        <v>2.6299999999999989E-4</v>
      </c>
    </row>
    <row r="265" spans="1:34" ht="15.75" thickBot="1" x14ac:dyDescent="0.3">
      <c r="A265" s="569" t="s">
        <v>2062</v>
      </c>
      <c r="B265" s="569" t="s">
        <v>152</v>
      </c>
      <c r="C265" s="569" t="s">
        <v>7</v>
      </c>
      <c r="D265" s="569"/>
      <c r="E265" s="569"/>
      <c r="F265" s="569"/>
      <c r="G265" s="569"/>
      <c r="H265" s="569"/>
      <c r="I265" s="569"/>
      <c r="J265" s="569"/>
      <c r="K265" s="569"/>
      <c r="L265" s="569"/>
      <c r="M265" s="569"/>
      <c r="N265" s="569"/>
      <c r="O265" s="569"/>
      <c r="P265" s="569"/>
      <c r="Q265" s="569"/>
      <c r="R265" s="569"/>
      <c r="S265" s="569"/>
      <c r="T265" s="569"/>
      <c r="U265" s="569"/>
      <c r="V265" s="569"/>
      <c r="W265" s="569"/>
      <c r="X265" s="569"/>
      <c r="Y265" s="569"/>
      <c r="Z265" s="569"/>
      <c r="AA265" s="569"/>
      <c r="AB265" s="569"/>
      <c r="AC265" s="569"/>
      <c r="AD265" s="569"/>
      <c r="AE265" s="569"/>
      <c r="AF265">
        <v>265</v>
      </c>
      <c r="AG265" s="438" t="str">
        <f>IF(INDEX(D:AE,AF265,ADP!$AF$6)=0,"",INDEX(D:AE,AF265,ADP!$AF$6)+AH265)</f>
        <v/>
      </c>
      <c r="AH265">
        <f t="shared" si="4"/>
        <v>2.6399999999999991E-4</v>
      </c>
    </row>
    <row r="266" spans="1:34" ht="15.75" thickBot="1" x14ac:dyDescent="0.3">
      <c r="A266" s="569" t="s">
        <v>2446</v>
      </c>
      <c r="B266" s="569" t="s">
        <v>139</v>
      </c>
      <c r="C266" s="569" t="s">
        <v>3</v>
      </c>
      <c r="D266" s="569"/>
      <c r="E266" s="569"/>
      <c r="F266" s="569"/>
      <c r="G266" s="569"/>
      <c r="H266" s="569"/>
      <c r="I266" s="569"/>
      <c r="J266" s="569"/>
      <c r="K266" s="569"/>
      <c r="L266" s="569"/>
      <c r="M266" s="569"/>
      <c r="N266" s="569"/>
      <c r="O266" s="569"/>
      <c r="P266" s="569"/>
      <c r="Q266" s="569"/>
      <c r="R266" s="569"/>
      <c r="S266" s="569"/>
      <c r="T266" s="569"/>
      <c r="U266" s="569"/>
      <c r="V266" s="569"/>
      <c r="W266" s="569"/>
      <c r="X266" s="569"/>
      <c r="Y266" s="569"/>
      <c r="Z266" s="569"/>
      <c r="AA266" s="569"/>
      <c r="AB266" s="569"/>
      <c r="AC266" s="569"/>
      <c r="AD266" s="569"/>
      <c r="AE266" s="569"/>
      <c r="AF266">
        <v>266</v>
      </c>
      <c r="AG266" s="438" t="str">
        <f>IF(INDEX(D:AE,AF266,ADP!$AF$6)=0,"",INDEX(D:AE,AF266,ADP!$AF$6)+AH266)</f>
        <v/>
      </c>
      <c r="AH266">
        <f t="shared" si="4"/>
        <v>2.6499999999999994E-4</v>
      </c>
    </row>
    <row r="267" spans="1:34" ht="15.75" thickBot="1" x14ac:dyDescent="0.3">
      <c r="A267" s="569" t="s">
        <v>2230</v>
      </c>
      <c r="B267" s="569" t="s">
        <v>154</v>
      </c>
      <c r="C267" s="569" t="s">
        <v>7</v>
      </c>
      <c r="D267" s="569"/>
      <c r="E267" s="569"/>
      <c r="F267" s="569"/>
      <c r="G267" s="569"/>
      <c r="H267" s="569"/>
      <c r="I267" s="569"/>
      <c r="J267" s="569"/>
      <c r="K267" s="569"/>
      <c r="L267" s="569"/>
      <c r="M267" s="569"/>
      <c r="N267" s="569"/>
      <c r="O267" s="569"/>
      <c r="P267" s="569"/>
      <c r="Q267" s="569"/>
      <c r="R267" s="569"/>
      <c r="S267" s="569"/>
      <c r="T267" s="569"/>
      <c r="U267" s="569"/>
      <c r="V267" s="569"/>
      <c r="W267" s="569"/>
      <c r="X267" s="569"/>
      <c r="Y267" s="569"/>
      <c r="Z267" s="569"/>
      <c r="AA267" s="569"/>
      <c r="AB267" s="569"/>
      <c r="AC267" s="569"/>
      <c r="AD267" s="569"/>
      <c r="AE267" s="569"/>
      <c r="AF267">
        <v>267</v>
      </c>
      <c r="AG267" s="438" t="str">
        <f>IF(INDEX(D:AE,AF267,ADP!$AF$6)=0,"",INDEX(D:AE,AF267,ADP!$AF$6)+AH267)</f>
        <v/>
      </c>
      <c r="AH267">
        <f t="shared" si="4"/>
        <v>2.6599999999999996E-4</v>
      </c>
    </row>
    <row r="268" spans="1:34" ht="15.75" thickBot="1" x14ac:dyDescent="0.3">
      <c r="A268" s="569" t="s">
        <v>2094</v>
      </c>
      <c r="B268" s="569" t="s">
        <v>159</v>
      </c>
      <c r="C268" s="569" t="s">
        <v>6</v>
      </c>
      <c r="D268" s="574"/>
      <c r="E268" s="574"/>
      <c r="F268" s="574"/>
      <c r="G268" s="574"/>
      <c r="H268" s="574"/>
      <c r="I268" s="574"/>
      <c r="J268" s="574"/>
      <c r="K268" s="574"/>
      <c r="L268" s="574"/>
      <c r="M268" s="574"/>
      <c r="N268" s="574"/>
      <c r="O268" s="574"/>
      <c r="P268" s="574"/>
      <c r="Q268" s="574"/>
      <c r="R268" s="574"/>
      <c r="S268" s="574"/>
      <c r="T268" s="574"/>
      <c r="U268" s="574"/>
      <c r="V268" s="574"/>
      <c r="W268" s="574"/>
      <c r="X268" s="574"/>
      <c r="Y268" s="574"/>
      <c r="Z268" s="574"/>
      <c r="AA268" s="574"/>
      <c r="AB268" s="574"/>
      <c r="AC268" s="574"/>
      <c r="AD268" s="574"/>
      <c r="AE268" s="574"/>
      <c r="AF268">
        <v>268</v>
      </c>
      <c r="AG268" s="438" t="str">
        <f>IF(INDEX(D:AE,AF268,ADP!$AF$6)=0,"",INDEX(D:AE,AF268,ADP!$AF$6)+AH268)</f>
        <v/>
      </c>
      <c r="AH268">
        <f t="shared" si="4"/>
        <v>2.6699999999999998E-4</v>
      </c>
    </row>
    <row r="269" spans="1:34" ht="15.75" thickBot="1" x14ac:dyDescent="0.3">
      <c r="A269" s="569" t="s">
        <v>129</v>
      </c>
      <c r="B269" s="569" t="s">
        <v>156</v>
      </c>
      <c r="C269" s="569" t="s">
        <v>3</v>
      </c>
      <c r="D269" s="569"/>
      <c r="E269" s="569"/>
      <c r="F269" s="569"/>
      <c r="G269" s="569"/>
      <c r="H269" s="569"/>
      <c r="I269" s="569"/>
      <c r="J269" s="569"/>
      <c r="K269" s="569"/>
      <c r="L269" s="569"/>
      <c r="M269" s="569"/>
      <c r="N269" s="569"/>
      <c r="O269" s="569"/>
      <c r="P269" s="569"/>
      <c r="Q269" s="569"/>
      <c r="R269" s="569"/>
      <c r="S269" s="569"/>
      <c r="T269" s="569"/>
      <c r="U269" s="569"/>
      <c r="V269" s="569"/>
      <c r="W269" s="569"/>
      <c r="X269" s="569"/>
      <c r="Y269" s="569"/>
      <c r="Z269" s="569"/>
      <c r="AA269" s="569"/>
      <c r="AB269" s="569"/>
      <c r="AC269" s="569"/>
      <c r="AD269" s="569"/>
      <c r="AE269" s="569"/>
      <c r="AF269">
        <v>269</v>
      </c>
      <c r="AG269" s="438" t="str">
        <f>IF(INDEX(D:AE,AF269,ADP!$AF$6)=0,"",INDEX(D:AE,AF269,ADP!$AF$6)+AH269)</f>
        <v/>
      </c>
      <c r="AH269">
        <f t="shared" si="4"/>
        <v>2.6800000000000001E-4</v>
      </c>
    </row>
    <row r="270" spans="1:34" ht="15.75" thickBot="1" x14ac:dyDescent="0.3">
      <c r="A270" s="569" t="s">
        <v>2566</v>
      </c>
      <c r="B270" s="569" t="s">
        <v>151</v>
      </c>
      <c r="C270" s="569" t="s">
        <v>3</v>
      </c>
      <c r="D270" s="569"/>
      <c r="E270" s="569"/>
      <c r="F270" s="569"/>
      <c r="G270" s="569"/>
      <c r="H270" s="569"/>
      <c r="I270" s="569"/>
      <c r="J270" s="569"/>
      <c r="K270" s="569"/>
      <c r="L270" s="569"/>
      <c r="M270" s="569"/>
      <c r="N270" s="569"/>
      <c r="O270" s="569"/>
      <c r="P270" s="569"/>
      <c r="Q270" s="569"/>
      <c r="R270" s="569"/>
      <c r="S270" s="569"/>
      <c r="T270" s="569"/>
      <c r="U270" s="569"/>
      <c r="V270" s="569"/>
      <c r="W270" s="569"/>
      <c r="X270" s="569"/>
      <c r="Y270" s="569"/>
      <c r="Z270" s="569"/>
      <c r="AA270" s="569"/>
      <c r="AB270" s="569"/>
      <c r="AC270" s="569"/>
      <c r="AD270" s="569"/>
      <c r="AE270" s="569"/>
      <c r="AF270">
        <v>270</v>
      </c>
      <c r="AG270" s="438" t="str">
        <f>IF(INDEX(D:AE,AF270,ADP!$AF$6)=0,"",INDEX(D:AE,AF270,ADP!$AF$6)+AH270)</f>
        <v/>
      </c>
      <c r="AH270">
        <f t="shared" si="4"/>
        <v>2.6900000000000003E-4</v>
      </c>
    </row>
    <row r="271" spans="1:34" ht="15.75" thickBot="1" x14ac:dyDescent="0.3">
      <c r="A271" s="569" t="s">
        <v>1389</v>
      </c>
      <c r="B271" s="569" t="s">
        <v>1389</v>
      </c>
      <c r="C271" s="569" t="s">
        <v>160</v>
      </c>
      <c r="D271" s="574"/>
      <c r="E271" s="574"/>
      <c r="F271" s="574"/>
      <c r="G271" s="574"/>
      <c r="H271" s="574"/>
      <c r="I271" s="574"/>
      <c r="J271" s="574"/>
      <c r="K271" s="574"/>
      <c r="L271" s="574"/>
      <c r="M271" s="574"/>
      <c r="N271" s="574"/>
      <c r="O271" s="574"/>
      <c r="P271" s="574">
        <v>155.80000000000001</v>
      </c>
      <c r="Q271" s="574">
        <v>14.5</v>
      </c>
      <c r="R271" s="574"/>
      <c r="S271" s="574"/>
      <c r="T271" s="574"/>
      <c r="U271" s="574"/>
      <c r="V271" s="574"/>
      <c r="W271" s="574"/>
      <c r="X271" s="574">
        <v>155.80000000000001</v>
      </c>
      <c r="Y271" s="574">
        <v>14.5</v>
      </c>
      <c r="Z271" s="574"/>
      <c r="AA271" s="574"/>
      <c r="AB271" s="574"/>
      <c r="AC271" s="574"/>
      <c r="AD271" s="574"/>
      <c r="AE271" s="574"/>
      <c r="AF271">
        <v>271</v>
      </c>
      <c r="AG271" s="438" t="str">
        <f>IF(INDEX(D:AE,AF271,ADP!$AF$6)=0,"",INDEX(D:AE,AF271,ADP!$AF$6)+AH271)</f>
        <v/>
      </c>
      <c r="AH271">
        <f t="shared" si="4"/>
        <v>2.7000000000000006E-4</v>
      </c>
    </row>
    <row r="272" spans="1:34" ht="15.75" thickBot="1" x14ac:dyDescent="0.3">
      <c r="A272" s="569" t="s">
        <v>2447</v>
      </c>
      <c r="B272" s="569" t="s">
        <v>1389</v>
      </c>
      <c r="C272" s="569" t="s">
        <v>6</v>
      </c>
      <c r="D272" s="569"/>
      <c r="E272" s="569"/>
      <c r="F272" s="569"/>
      <c r="G272" s="569"/>
      <c r="H272" s="569"/>
      <c r="I272" s="569"/>
      <c r="J272" s="569"/>
      <c r="K272" s="569"/>
      <c r="L272" s="569"/>
      <c r="M272" s="569"/>
      <c r="N272" s="569"/>
      <c r="O272" s="569"/>
      <c r="P272" s="569"/>
      <c r="Q272" s="569"/>
      <c r="R272" s="569"/>
      <c r="S272" s="569"/>
      <c r="T272" s="569"/>
      <c r="U272" s="569"/>
      <c r="V272" s="569"/>
      <c r="W272" s="569"/>
      <c r="X272" s="569"/>
      <c r="Y272" s="569"/>
      <c r="Z272" s="569"/>
      <c r="AA272" s="569"/>
      <c r="AB272" s="569"/>
      <c r="AC272" s="569"/>
      <c r="AD272" s="569"/>
      <c r="AE272" s="569"/>
      <c r="AF272">
        <v>272</v>
      </c>
      <c r="AG272" s="438" t="str">
        <f>IF(INDEX(D:AE,AF272,ADP!$AF$6)=0,"",INDEX(D:AE,AF272,ADP!$AF$6)+AH272)</f>
        <v/>
      </c>
      <c r="AH272">
        <f t="shared" si="4"/>
        <v>2.7100000000000008E-4</v>
      </c>
    </row>
    <row r="273" spans="1:34" ht="15.75" thickBot="1" x14ac:dyDescent="0.3">
      <c r="A273" s="569" t="s">
        <v>2181</v>
      </c>
      <c r="B273" s="569" t="s">
        <v>136</v>
      </c>
      <c r="C273" s="569" t="s">
        <v>3</v>
      </c>
      <c r="D273" s="569"/>
      <c r="E273" s="569"/>
      <c r="F273" s="569"/>
      <c r="G273" s="569"/>
      <c r="H273" s="569"/>
      <c r="I273" s="569"/>
      <c r="J273" s="569"/>
      <c r="K273" s="569"/>
      <c r="L273" s="569"/>
      <c r="M273" s="569"/>
      <c r="N273" s="569"/>
      <c r="O273" s="569"/>
      <c r="P273" s="569"/>
      <c r="Q273" s="569"/>
      <c r="R273" s="569"/>
      <c r="S273" s="569"/>
      <c r="T273" s="569"/>
      <c r="U273" s="569"/>
      <c r="V273" s="569"/>
      <c r="W273" s="569"/>
      <c r="X273" s="569"/>
      <c r="Y273" s="569"/>
      <c r="Z273" s="569"/>
      <c r="AA273" s="569"/>
      <c r="AB273" s="569"/>
      <c r="AC273" s="569"/>
      <c r="AD273" s="569"/>
      <c r="AE273" s="569"/>
      <c r="AF273">
        <v>273</v>
      </c>
      <c r="AG273" s="438" t="str">
        <f>IF(INDEX(D:AE,AF273,ADP!$AF$6)=0,"",INDEX(D:AE,AF273,ADP!$AF$6)+AH273)</f>
        <v/>
      </c>
      <c r="AH273">
        <f t="shared" si="4"/>
        <v>2.7200000000000011E-4</v>
      </c>
    </row>
    <row r="274" spans="1:34" ht="15.75" thickBot="1" x14ac:dyDescent="0.3">
      <c r="A274" s="569" t="s">
        <v>1764</v>
      </c>
      <c r="B274" s="569" t="s">
        <v>162</v>
      </c>
      <c r="C274" s="569" t="s">
        <v>1</v>
      </c>
      <c r="D274" s="574">
        <v>49.4</v>
      </c>
      <c r="E274" s="574">
        <v>9.1</v>
      </c>
      <c r="F274" s="574">
        <v>35.6</v>
      </c>
      <c r="G274" s="574">
        <v>5</v>
      </c>
      <c r="H274" s="574">
        <v>37.700000000000003</v>
      </c>
      <c r="I274" s="574">
        <v>4.5999999999999996</v>
      </c>
      <c r="J274" s="574">
        <v>49.4</v>
      </c>
      <c r="K274" s="574">
        <v>9.1</v>
      </c>
      <c r="L274" s="574">
        <v>35.6</v>
      </c>
      <c r="M274" s="574">
        <v>5</v>
      </c>
      <c r="N274" s="574">
        <v>37.700000000000003</v>
      </c>
      <c r="O274" s="574">
        <v>4.5999999999999996</v>
      </c>
      <c r="P274" s="574">
        <v>11.2</v>
      </c>
      <c r="Q274" s="574">
        <v>4.2</v>
      </c>
      <c r="R274" s="574">
        <v>49.4</v>
      </c>
      <c r="S274" s="574">
        <v>9.1</v>
      </c>
      <c r="T274" s="574">
        <v>35.6</v>
      </c>
      <c r="U274" s="574">
        <v>5</v>
      </c>
      <c r="V274" s="574">
        <v>37.700000000000003</v>
      </c>
      <c r="W274" s="574">
        <v>4.5999999999999996</v>
      </c>
      <c r="X274" s="574">
        <v>11.2</v>
      </c>
      <c r="Y274" s="574">
        <v>4.2</v>
      </c>
      <c r="Z274" s="574">
        <v>49.4</v>
      </c>
      <c r="AA274" s="574">
        <v>9.1</v>
      </c>
      <c r="AB274" s="574">
        <v>35.6</v>
      </c>
      <c r="AC274" s="574">
        <v>5</v>
      </c>
      <c r="AD274" s="574">
        <v>37.700000000000003</v>
      </c>
      <c r="AE274" s="574">
        <v>37.700000000000003</v>
      </c>
      <c r="AF274">
        <v>274</v>
      </c>
      <c r="AG274" s="438">
        <f>IF(INDEX(D:AE,AF274,ADP!$AF$6)=0,"",INDEX(D:AE,AF274,ADP!$AF$6)+AH274)</f>
        <v>37.700273000000003</v>
      </c>
      <c r="AH274">
        <f t="shared" si="4"/>
        <v>2.7300000000000013E-4</v>
      </c>
    </row>
    <row r="275" spans="1:34" ht="15.75" thickBot="1" x14ac:dyDescent="0.3">
      <c r="A275" s="569" t="s">
        <v>1388</v>
      </c>
      <c r="B275" s="569" t="s">
        <v>1388</v>
      </c>
      <c r="C275" s="569" t="s">
        <v>160</v>
      </c>
      <c r="D275" s="574"/>
      <c r="E275" s="574"/>
      <c r="F275" s="574"/>
      <c r="G275" s="574"/>
      <c r="H275" s="574"/>
      <c r="I275" s="574"/>
      <c r="J275" s="574"/>
      <c r="K275" s="574"/>
      <c r="L275" s="574"/>
      <c r="M275" s="574"/>
      <c r="N275" s="574"/>
      <c r="O275" s="574"/>
      <c r="P275" s="574"/>
      <c r="Q275" s="574"/>
      <c r="R275" s="574"/>
      <c r="S275" s="574"/>
      <c r="T275" s="574"/>
      <c r="U275" s="574"/>
      <c r="V275" s="574"/>
      <c r="W275" s="574"/>
      <c r="X275" s="574"/>
      <c r="Y275" s="574"/>
      <c r="Z275" s="574"/>
      <c r="AA275" s="574"/>
      <c r="AB275" s="574"/>
      <c r="AC275" s="574"/>
      <c r="AD275" s="574"/>
      <c r="AE275" s="574"/>
      <c r="AF275">
        <v>275</v>
      </c>
      <c r="AG275" s="438" t="str">
        <f>IF(INDEX(D:AE,AF275,ADP!$AF$6)=0,"",INDEX(D:AE,AF275,ADP!$AF$6)+AH275)</f>
        <v/>
      </c>
      <c r="AH275">
        <f t="shared" si="4"/>
        <v>2.7400000000000015E-4</v>
      </c>
    </row>
    <row r="276" spans="1:34" ht="15.75" thickBot="1" x14ac:dyDescent="0.3">
      <c r="A276" s="569" t="s">
        <v>2305</v>
      </c>
      <c r="B276" s="569" t="s">
        <v>1389</v>
      </c>
      <c r="C276" s="569" t="s">
        <v>3</v>
      </c>
      <c r="D276" s="569"/>
      <c r="E276" s="569"/>
      <c r="F276" s="569"/>
      <c r="G276" s="569"/>
      <c r="H276" s="569"/>
      <c r="I276" s="569"/>
      <c r="J276" s="569"/>
      <c r="K276" s="569"/>
      <c r="L276" s="569"/>
      <c r="M276" s="569"/>
      <c r="N276" s="569"/>
      <c r="O276" s="569"/>
      <c r="P276" s="569"/>
      <c r="Q276" s="569"/>
      <c r="R276" s="569"/>
      <c r="S276" s="569"/>
      <c r="T276" s="569"/>
      <c r="U276" s="569"/>
      <c r="V276" s="569"/>
      <c r="W276" s="569"/>
      <c r="X276" s="569"/>
      <c r="Y276" s="569"/>
      <c r="Z276" s="569"/>
      <c r="AA276" s="569"/>
      <c r="AB276" s="569"/>
      <c r="AC276" s="569"/>
      <c r="AD276" s="569"/>
      <c r="AE276" s="569"/>
      <c r="AF276">
        <v>276</v>
      </c>
      <c r="AG276" s="438" t="str">
        <f>IF(INDEX(D:AE,AF276,ADP!$AF$6)=0,"",INDEX(D:AE,AF276,ADP!$AF$6)+AH276)</f>
        <v/>
      </c>
      <c r="AH276">
        <f t="shared" si="4"/>
        <v>2.7500000000000018E-4</v>
      </c>
    </row>
    <row r="277" spans="1:34" ht="15.75" thickBot="1" x14ac:dyDescent="0.3">
      <c r="A277" s="569" t="s">
        <v>1855</v>
      </c>
      <c r="B277" s="569" t="s">
        <v>2272</v>
      </c>
      <c r="C277" s="569" t="s">
        <v>1</v>
      </c>
      <c r="D277" s="574">
        <v>153.4</v>
      </c>
      <c r="E277" s="574">
        <v>17.5</v>
      </c>
      <c r="F277" s="574">
        <v>141.80000000000001</v>
      </c>
      <c r="G277" s="574">
        <v>17.899999999999999</v>
      </c>
      <c r="H277" s="574">
        <v>157</v>
      </c>
      <c r="I277" s="574">
        <v>20.7</v>
      </c>
      <c r="J277" s="574">
        <v>153.4</v>
      </c>
      <c r="K277" s="574">
        <v>17.5</v>
      </c>
      <c r="L277" s="574">
        <v>141.80000000000001</v>
      </c>
      <c r="M277" s="574">
        <v>17.899999999999999</v>
      </c>
      <c r="N277" s="574">
        <v>157</v>
      </c>
      <c r="O277" s="574">
        <v>20.7</v>
      </c>
      <c r="P277" s="574">
        <v>64.2</v>
      </c>
      <c r="Q277" s="574">
        <v>13</v>
      </c>
      <c r="R277" s="574">
        <v>153.4</v>
      </c>
      <c r="S277" s="574">
        <v>17.5</v>
      </c>
      <c r="T277" s="574">
        <v>141.80000000000001</v>
      </c>
      <c r="U277" s="574">
        <v>17.899999999999999</v>
      </c>
      <c r="V277" s="574">
        <v>157</v>
      </c>
      <c r="W277" s="574">
        <v>20.7</v>
      </c>
      <c r="X277" s="574">
        <v>64.2</v>
      </c>
      <c r="Y277" s="574">
        <v>13</v>
      </c>
      <c r="Z277" s="574">
        <v>153.4</v>
      </c>
      <c r="AA277" s="574">
        <v>17.5</v>
      </c>
      <c r="AB277" s="574">
        <v>141.80000000000001</v>
      </c>
      <c r="AC277" s="574">
        <v>17.899999999999999</v>
      </c>
      <c r="AD277" s="574">
        <v>157</v>
      </c>
      <c r="AE277" s="574">
        <v>157</v>
      </c>
      <c r="AF277">
        <v>277</v>
      </c>
      <c r="AG277" s="438">
        <f>IF(INDEX(D:AE,AF277,ADP!$AF$6)=0,"",INDEX(D:AE,AF277,ADP!$AF$6)+AH277)</f>
        <v>157.00027600000001</v>
      </c>
      <c r="AH277">
        <f t="shared" si="4"/>
        <v>2.760000000000002E-4</v>
      </c>
    </row>
    <row r="278" spans="1:34" ht="15.75" thickBot="1" x14ac:dyDescent="0.3">
      <c r="A278" s="569" t="s">
        <v>2257</v>
      </c>
      <c r="B278" s="569" t="s">
        <v>158</v>
      </c>
      <c r="C278" s="569" t="s">
        <v>7</v>
      </c>
      <c r="D278" s="569"/>
      <c r="E278" s="569"/>
      <c r="F278" s="569"/>
      <c r="G278" s="569"/>
      <c r="H278" s="569"/>
      <c r="I278" s="569"/>
      <c r="J278" s="569"/>
      <c r="K278" s="569"/>
      <c r="L278" s="569"/>
      <c r="M278" s="569"/>
      <c r="N278" s="569"/>
      <c r="O278" s="569"/>
      <c r="P278" s="569"/>
      <c r="Q278" s="569"/>
      <c r="R278" s="569"/>
      <c r="S278" s="569"/>
      <c r="T278" s="569"/>
      <c r="U278" s="569"/>
      <c r="V278" s="569"/>
      <c r="W278" s="569"/>
      <c r="X278" s="569"/>
      <c r="Y278" s="569"/>
      <c r="Z278" s="569"/>
      <c r="AA278" s="569"/>
      <c r="AB278" s="569"/>
      <c r="AC278" s="569"/>
      <c r="AD278" s="569"/>
      <c r="AE278" s="569"/>
      <c r="AF278">
        <v>278</v>
      </c>
      <c r="AG278" s="438" t="str">
        <f>IF(INDEX(D:AE,AF278,ADP!$AF$6)=0,"",INDEX(D:AE,AF278,ADP!$AF$6)+AH278)</f>
        <v/>
      </c>
      <c r="AH278">
        <f t="shared" si="4"/>
        <v>2.7700000000000023E-4</v>
      </c>
    </row>
    <row r="279" spans="1:34" ht="15.75" thickBot="1" x14ac:dyDescent="0.3">
      <c r="A279" s="569" t="s">
        <v>2160</v>
      </c>
      <c r="B279" s="569" t="s">
        <v>149</v>
      </c>
      <c r="C279" s="569" t="s">
        <v>1</v>
      </c>
      <c r="D279" s="569"/>
      <c r="E279" s="569"/>
      <c r="F279" s="569"/>
      <c r="G279" s="569"/>
      <c r="H279" s="569"/>
      <c r="I279" s="569"/>
      <c r="J279" s="569"/>
      <c r="K279" s="569"/>
      <c r="L279" s="569"/>
      <c r="M279" s="569"/>
      <c r="N279" s="569"/>
      <c r="O279" s="569"/>
      <c r="P279" s="569"/>
      <c r="Q279" s="569"/>
      <c r="R279" s="569"/>
      <c r="S279" s="569"/>
      <c r="T279" s="569"/>
      <c r="U279" s="569"/>
      <c r="V279" s="569"/>
      <c r="W279" s="569"/>
      <c r="X279" s="569"/>
      <c r="Y279" s="569"/>
      <c r="Z279" s="569"/>
      <c r="AA279" s="569"/>
      <c r="AB279" s="569"/>
      <c r="AC279" s="569"/>
      <c r="AD279" s="569"/>
      <c r="AE279" s="569"/>
      <c r="AF279">
        <v>279</v>
      </c>
      <c r="AG279" s="438" t="str">
        <f>IF(INDEX(D:AE,AF279,ADP!$AF$6)=0,"",INDEX(D:AE,AF279,ADP!$AF$6)+AH279)</f>
        <v/>
      </c>
      <c r="AH279">
        <f t="shared" si="4"/>
        <v>2.7800000000000025E-4</v>
      </c>
    </row>
    <row r="280" spans="1:34" ht="15.75" thickBot="1" x14ac:dyDescent="0.3">
      <c r="A280" s="569" t="s">
        <v>2232</v>
      </c>
      <c r="B280" s="569" t="s">
        <v>148</v>
      </c>
      <c r="C280" s="569" t="s">
        <v>7</v>
      </c>
      <c r="D280" s="574">
        <v>50.4</v>
      </c>
      <c r="E280" s="574">
        <v>3.3</v>
      </c>
      <c r="F280" s="574">
        <v>74.2</v>
      </c>
      <c r="G280" s="574">
        <v>8</v>
      </c>
      <c r="H280" s="574">
        <v>73.400000000000006</v>
      </c>
      <c r="I280" s="574">
        <v>7.4</v>
      </c>
      <c r="J280" s="574">
        <v>50.4</v>
      </c>
      <c r="K280" s="574">
        <v>3.3</v>
      </c>
      <c r="L280" s="574">
        <v>74.2</v>
      </c>
      <c r="M280" s="574">
        <v>8</v>
      </c>
      <c r="N280" s="574">
        <v>73.400000000000006</v>
      </c>
      <c r="O280" s="574">
        <v>7.4</v>
      </c>
      <c r="P280" s="574">
        <v>67</v>
      </c>
      <c r="Q280" s="574">
        <v>7</v>
      </c>
      <c r="R280" s="574">
        <v>50.4</v>
      </c>
      <c r="S280" s="574">
        <v>3.3</v>
      </c>
      <c r="T280" s="574">
        <v>74.2</v>
      </c>
      <c r="U280" s="574">
        <v>8</v>
      </c>
      <c r="V280" s="574">
        <v>73.400000000000006</v>
      </c>
      <c r="W280" s="574">
        <v>7.4</v>
      </c>
      <c r="X280" s="574">
        <v>67</v>
      </c>
      <c r="Y280" s="574">
        <v>7</v>
      </c>
      <c r="Z280" s="574">
        <v>50.4</v>
      </c>
      <c r="AA280" s="574">
        <v>3.3</v>
      </c>
      <c r="AB280" s="574">
        <v>74.2</v>
      </c>
      <c r="AC280" s="574">
        <v>8</v>
      </c>
      <c r="AD280" s="574">
        <v>73.400000000000006</v>
      </c>
      <c r="AE280" s="574">
        <v>73.400000000000006</v>
      </c>
      <c r="AF280">
        <v>280</v>
      </c>
      <c r="AG280" s="438">
        <f>IF(INDEX(D:AE,AF280,ADP!$AF$6)=0,"",INDEX(D:AE,AF280,ADP!$AF$6)+AH280)</f>
        <v>73.400279000000012</v>
      </c>
      <c r="AH280">
        <f t="shared" si="4"/>
        <v>2.7900000000000028E-4</v>
      </c>
    </row>
    <row r="281" spans="1:34" ht="15.75" thickBot="1" x14ac:dyDescent="0.3">
      <c r="A281" s="569" t="s">
        <v>2344</v>
      </c>
      <c r="B281" s="569" t="s">
        <v>163</v>
      </c>
      <c r="C281" s="569" t="s">
        <v>6</v>
      </c>
      <c r="D281" s="574"/>
      <c r="E281" s="574"/>
      <c r="F281" s="574"/>
      <c r="G281" s="574"/>
      <c r="H281" s="574"/>
      <c r="I281" s="574"/>
      <c r="J281" s="574"/>
      <c r="K281" s="574"/>
      <c r="L281" s="574"/>
      <c r="M281" s="574"/>
      <c r="N281" s="574"/>
      <c r="O281" s="574"/>
      <c r="P281" s="574"/>
      <c r="Q281" s="574"/>
      <c r="R281" s="574"/>
      <c r="S281" s="574"/>
      <c r="T281" s="574"/>
      <c r="U281" s="574"/>
      <c r="V281" s="574"/>
      <c r="W281" s="574"/>
      <c r="X281" s="574"/>
      <c r="Y281" s="574"/>
      <c r="Z281" s="574"/>
      <c r="AA281" s="574"/>
      <c r="AB281" s="574"/>
      <c r="AC281" s="574"/>
      <c r="AD281" s="574"/>
      <c r="AE281" s="574"/>
      <c r="AF281">
        <v>281</v>
      </c>
      <c r="AG281" s="438" t="str">
        <f>IF(INDEX(D:AE,AF281,ADP!$AF$6)=0,"",INDEX(D:AE,AF281,ADP!$AF$6)+AH281)</f>
        <v/>
      </c>
      <c r="AH281">
        <f t="shared" si="4"/>
        <v>2.800000000000003E-4</v>
      </c>
    </row>
    <row r="282" spans="1:34" ht="15.75" thickBot="1" x14ac:dyDescent="0.3">
      <c r="A282" s="569" t="s">
        <v>991</v>
      </c>
      <c r="B282" s="569" t="s">
        <v>155</v>
      </c>
      <c r="C282" s="569" t="s">
        <v>3</v>
      </c>
      <c r="D282" s="569"/>
      <c r="E282" s="569"/>
      <c r="F282" s="569"/>
      <c r="G282" s="569"/>
      <c r="H282" s="569"/>
      <c r="I282" s="569"/>
      <c r="J282" s="569"/>
      <c r="K282" s="569"/>
      <c r="L282" s="569"/>
      <c r="M282" s="569"/>
      <c r="N282" s="569"/>
      <c r="O282" s="569"/>
      <c r="P282" s="569"/>
      <c r="Q282" s="569"/>
      <c r="R282" s="569"/>
      <c r="S282" s="569"/>
      <c r="T282" s="569"/>
      <c r="U282" s="569"/>
      <c r="V282" s="569"/>
      <c r="W282" s="569"/>
      <c r="X282" s="569"/>
      <c r="Y282" s="569"/>
      <c r="Z282" s="569"/>
      <c r="AA282" s="569"/>
      <c r="AB282" s="569"/>
      <c r="AC282" s="569"/>
      <c r="AD282" s="569"/>
      <c r="AE282" s="569"/>
      <c r="AF282">
        <v>282</v>
      </c>
      <c r="AG282" s="438" t="str">
        <f>IF(INDEX(D:AE,AF282,ADP!$AF$6)=0,"",INDEX(D:AE,AF282,ADP!$AF$6)+AH282)</f>
        <v/>
      </c>
      <c r="AH282">
        <f t="shared" si="4"/>
        <v>2.8100000000000033E-4</v>
      </c>
    </row>
    <row r="283" spans="1:34" ht="15.75" thickBot="1" x14ac:dyDescent="0.3">
      <c r="A283" s="569" t="s">
        <v>2060</v>
      </c>
      <c r="B283" s="569" t="s">
        <v>156</v>
      </c>
      <c r="C283" s="569" t="s">
        <v>1</v>
      </c>
      <c r="D283" s="574"/>
      <c r="E283" s="574"/>
      <c r="F283" s="574"/>
      <c r="G283" s="574"/>
      <c r="H283" s="574"/>
      <c r="I283" s="574"/>
      <c r="J283" s="574"/>
      <c r="K283" s="574"/>
      <c r="L283" s="574"/>
      <c r="M283" s="574"/>
      <c r="N283" s="574"/>
      <c r="O283" s="574"/>
      <c r="P283" s="574"/>
      <c r="Q283" s="574"/>
      <c r="R283" s="574"/>
      <c r="S283" s="574"/>
      <c r="T283" s="574"/>
      <c r="U283" s="574"/>
      <c r="V283" s="574"/>
      <c r="W283" s="574"/>
      <c r="X283" s="574"/>
      <c r="Y283" s="574"/>
      <c r="Z283" s="574"/>
      <c r="AA283" s="574"/>
      <c r="AB283" s="574"/>
      <c r="AC283" s="574"/>
      <c r="AD283" s="574"/>
      <c r="AE283" s="574"/>
      <c r="AF283">
        <v>283</v>
      </c>
      <c r="AG283" s="438" t="str">
        <f>IF(INDEX(D:AE,AF283,ADP!$AF$6)=0,"",INDEX(D:AE,AF283,ADP!$AF$6)+AH283)</f>
        <v/>
      </c>
      <c r="AH283">
        <f t="shared" si="4"/>
        <v>2.8200000000000035E-4</v>
      </c>
    </row>
    <row r="284" spans="1:34" ht="15.75" thickBot="1" x14ac:dyDescent="0.3">
      <c r="A284" s="569" t="s">
        <v>2361</v>
      </c>
      <c r="B284" s="569" t="s">
        <v>149</v>
      </c>
      <c r="C284" s="569" t="s">
        <v>7</v>
      </c>
      <c r="D284" s="569"/>
      <c r="E284" s="569"/>
      <c r="F284" s="569"/>
      <c r="G284" s="569"/>
      <c r="H284" s="569"/>
      <c r="I284" s="569"/>
      <c r="J284" s="569"/>
      <c r="K284" s="569"/>
      <c r="L284" s="569"/>
      <c r="M284" s="569"/>
      <c r="N284" s="569"/>
      <c r="O284" s="569"/>
      <c r="P284" s="569"/>
      <c r="Q284" s="569"/>
      <c r="R284" s="569"/>
      <c r="S284" s="569"/>
      <c r="T284" s="569"/>
      <c r="U284" s="569"/>
      <c r="V284" s="569"/>
      <c r="W284" s="569"/>
      <c r="X284" s="569"/>
      <c r="Y284" s="569"/>
      <c r="Z284" s="569"/>
      <c r="AA284" s="569"/>
      <c r="AB284" s="569"/>
      <c r="AC284" s="569"/>
      <c r="AD284" s="569"/>
      <c r="AE284" s="569"/>
      <c r="AF284">
        <v>284</v>
      </c>
      <c r="AG284" s="438" t="str">
        <f>IF(INDEX(D:AE,AF284,ADP!$AF$6)=0,"",INDEX(D:AE,AF284,ADP!$AF$6)+AH284)</f>
        <v/>
      </c>
      <c r="AH284">
        <f t="shared" si="4"/>
        <v>2.8300000000000037E-4</v>
      </c>
    </row>
    <row r="285" spans="1:34" ht="15.75" thickBot="1" x14ac:dyDescent="0.3">
      <c r="A285" s="569" t="s">
        <v>2222</v>
      </c>
      <c r="B285" s="569" t="s">
        <v>138</v>
      </c>
      <c r="C285" s="569" t="s">
        <v>6</v>
      </c>
      <c r="D285" s="569"/>
      <c r="E285" s="569"/>
      <c r="F285" s="569">
        <v>163.19999999999999</v>
      </c>
      <c r="G285" s="569">
        <v>12.1</v>
      </c>
      <c r="H285" s="569">
        <v>157.80000000000001</v>
      </c>
      <c r="I285" s="569">
        <v>18.100000000000001</v>
      </c>
      <c r="J285" s="569"/>
      <c r="K285" s="569"/>
      <c r="L285" s="569">
        <v>163.19999999999999</v>
      </c>
      <c r="M285" s="569">
        <v>12.1</v>
      </c>
      <c r="N285" s="569">
        <v>157.80000000000001</v>
      </c>
      <c r="O285" s="569">
        <v>18.100000000000001</v>
      </c>
      <c r="P285" s="569">
        <v>167.8</v>
      </c>
      <c r="Q285" s="569">
        <v>10</v>
      </c>
      <c r="R285" s="569"/>
      <c r="S285" s="569"/>
      <c r="T285" s="569">
        <v>163.19999999999999</v>
      </c>
      <c r="U285" s="569">
        <v>12.1</v>
      </c>
      <c r="V285" s="569">
        <v>157.80000000000001</v>
      </c>
      <c r="W285" s="569">
        <v>18.100000000000001</v>
      </c>
      <c r="X285" s="569">
        <v>167.8</v>
      </c>
      <c r="Y285" s="569">
        <v>10</v>
      </c>
      <c r="Z285" s="569"/>
      <c r="AA285" s="569"/>
      <c r="AB285" s="569">
        <v>163.19999999999999</v>
      </c>
      <c r="AC285" s="569">
        <v>12.1</v>
      </c>
      <c r="AD285" s="569">
        <v>157.80000000000001</v>
      </c>
      <c r="AE285" s="569">
        <v>157.80000000000001</v>
      </c>
      <c r="AF285">
        <v>285</v>
      </c>
      <c r="AG285" s="438">
        <f>IF(INDEX(D:AE,AF285,ADP!$AF$6)=0,"",INDEX(D:AE,AF285,ADP!$AF$6)+AH285)</f>
        <v>157.800284</v>
      </c>
      <c r="AH285">
        <f t="shared" si="4"/>
        <v>2.840000000000004E-4</v>
      </c>
    </row>
    <row r="286" spans="1:34" ht="15.75" thickBot="1" x14ac:dyDescent="0.3">
      <c r="A286" s="569" t="s">
        <v>2555</v>
      </c>
      <c r="B286" s="569" t="s">
        <v>143</v>
      </c>
      <c r="C286" s="569" t="s">
        <v>3</v>
      </c>
      <c r="D286" s="569"/>
      <c r="E286" s="569"/>
      <c r="F286" s="569"/>
      <c r="G286" s="569"/>
      <c r="H286" s="569"/>
      <c r="I286" s="569"/>
      <c r="J286" s="569"/>
      <c r="K286" s="569"/>
      <c r="L286" s="569"/>
      <c r="M286" s="569"/>
      <c r="N286" s="569"/>
      <c r="O286" s="569"/>
      <c r="P286" s="569"/>
      <c r="Q286" s="569"/>
      <c r="R286" s="569"/>
      <c r="S286" s="569"/>
      <c r="T286" s="569"/>
      <c r="U286" s="569"/>
      <c r="V286" s="569"/>
      <c r="W286" s="569"/>
      <c r="X286" s="569"/>
      <c r="Y286" s="569"/>
      <c r="Z286" s="569"/>
      <c r="AA286" s="569"/>
      <c r="AB286" s="569"/>
      <c r="AC286" s="569"/>
      <c r="AD286" s="569"/>
      <c r="AE286" s="569"/>
      <c r="AF286">
        <v>286</v>
      </c>
      <c r="AG286" s="438" t="str">
        <f>IF(INDEX(D:AE,AF286,ADP!$AF$6)=0,"",INDEX(D:AE,AF286,ADP!$AF$6)+AH286)</f>
        <v/>
      </c>
      <c r="AH286">
        <f t="shared" si="4"/>
        <v>2.8500000000000042E-4</v>
      </c>
    </row>
    <row r="287" spans="1:34" ht="15.75" thickBot="1" x14ac:dyDescent="0.3">
      <c r="A287" s="569" t="s">
        <v>2555</v>
      </c>
      <c r="B287" s="569" t="s">
        <v>143</v>
      </c>
      <c r="C287" s="569" t="s">
        <v>6</v>
      </c>
      <c r="D287" s="574"/>
      <c r="E287" s="574"/>
      <c r="F287" s="574"/>
      <c r="G287" s="574"/>
      <c r="H287" s="574"/>
      <c r="I287" s="574"/>
      <c r="J287" s="574"/>
      <c r="K287" s="574"/>
      <c r="L287" s="574"/>
      <c r="M287" s="574"/>
      <c r="N287" s="574"/>
      <c r="O287" s="574"/>
      <c r="P287" s="574"/>
      <c r="Q287" s="574"/>
      <c r="R287" s="574"/>
      <c r="S287" s="574"/>
      <c r="T287" s="574"/>
      <c r="U287" s="574"/>
      <c r="V287" s="574"/>
      <c r="W287" s="574"/>
      <c r="X287" s="574"/>
      <c r="Y287" s="574"/>
      <c r="Z287" s="574"/>
      <c r="AA287" s="574"/>
      <c r="AB287" s="574"/>
      <c r="AC287" s="574"/>
      <c r="AD287" s="574"/>
      <c r="AE287" s="574"/>
      <c r="AF287">
        <v>287</v>
      </c>
      <c r="AG287" s="438" t="str">
        <f>IF(INDEX(D:AE,AF287,ADP!$AF$6)=0,"",INDEX(D:AE,AF287,ADP!$AF$6)+AH287)</f>
        <v/>
      </c>
      <c r="AH287">
        <f t="shared" si="4"/>
        <v>2.8600000000000045E-4</v>
      </c>
    </row>
    <row r="288" spans="1:34" ht="15.75" thickBot="1" x14ac:dyDescent="0.3">
      <c r="A288" s="569" t="s">
        <v>177</v>
      </c>
      <c r="B288" s="569" t="s">
        <v>138</v>
      </c>
      <c r="C288" s="569" t="s">
        <v>1</v>
      </c>
      <c r="D288" s="569">
        <v>93.1</v>
      </c>
      <c r="E288" s="569">
        <v>11.3</v>
      </c>
      <c r="F288" s="569">
        <v>90.8</v>
      </c>
      <c r="G288" s="569">
        <v>10.6</v>
      </c>
      <c r="H288" s="569">
        <v>99.9</v>
      </c>
      <c r="I288" s="569">
        <v>11.7</v>
      </c>
      <c r="J288" s="569">
        <v>93.1</v>
      </c>
      <c r="K288" s="569">
        <v>11.3</v>
      </c>
      <c r="L288" s="569">
        <v>90.8</v>
      </c>
      <c r="M288" s="569">
        <v>10.6</v>
      </c>
      <c r="N288" s="569">
        <v>99.9</v>
      </c>
      <c r="O288" s="569">
        <v>11.7</v>
      </c>
      <c r="P288" s="569">
        <v>39.299999999999997</v>
      </c>
      <c r="Q288" s="569">
        <v>7.3</v>
      </c>
      <c r="R288" s="569">
        <v>93.1</v>
      </c>
      <c r="S288" s="569">
        <v>11.3</v>
      </c>
      <c r="T288" s="569">
        <v>90.8</v>
      </c>
      <c r="U288" s="569">
        <v>10.6</v>
      </c>
      <c r="V288" s="569">
        <v>99.9</v>
      </c>
      <c r="W288" s="569">
        <v>11.7</v>
      </c>
      <c r="X288" s="569">
        <v>39.299999999999997</v>
      </c>
      <c r="Y288" s="569">
        <v>7.3</v>
      </c>
      <c r="Z288" s="569">
        <v>93.1</v>
      </c>
      <c r="AA288" s="569">
        <v>11.3</v>
      </c>
      <c r="AB288" s="569">
        <v>90.8</v>
      </c>
      <c r="AC288" s="569">
        <v>10.6</v>
      </c>
      <c r="AD288" s="569">
        <v>99.9</v>
      </c>
      <c r="AE288" s="569">
        <v>99.9</v>
      </c>
      <c r="AF288">
        <v>288</v>
      </c>
      <c r="AG288" s="438">
        <f>IF(INDEX(D:AE,AF288,ADP!$AF$6)=0,"",INDEX(D:AE,AF288,ADP!$AF$6)+AH288)</f>
        <v>99.900287000000006</v>
      </c>
      <c r="AH288">
        <f t="shared" si="4"/>
        <v>2.8700000000000047E-4</v>
      </c>
    </row>
    <row r="289" spans="1:34" ht="15.75" thickBot="1" x14ac:dyDescent="0.3">
      <c r="A289" s="569" t="s">
        <v>2113</v>
      </c>
      <c r="B289" s="569" t="s">
        <v>141</v>
      </c>
      <c r="C289" s="569" t="s">
        <v>3</v>
      </c>
      <c r="D289" s="569"/>
      <c r="E289" s="569"/>
      <c r="F289" s="569"/>
      <c r="G289" s="569"/>
      <c r="H289" s="569"/>
      <c r="I289" s="569"/>
      <c r="J289" s="569"/>
      <c r="K289" s="569"/>
      <c r="L289" s="569"/>
      <c r="M289" s="569"/>
      <c r="N289" s="569"/>
      <c r="O289" s="569"/>
      <c r="P289" s="569"/>
      <c r="Q289" s="569"/>
      <c r="R289" s="569"/>
      <c r="S289" s="569"/>
      <c r="T289" s="569"/>
      <c r="U289" s="569"/>
      <c r="V289" s="569"/>
      <c r="W289" s="569"/>
      <c r="X289" s="569"/>
      <c r="Y289" s="569"/>
      <c r="Z289" s="569"/>
      <c r="AA289" s="569"/>
      <c r="AB289" s="569"/>
      <c r="AC289" s="569"/>
      <c r="AD289" s="569"/>
      <c r="AE289" s="569"/>
      <c r="AF289">
        <v>289</v>
      </c>
      <c r="AG289" s="438" t="str">
        <f>IF(INDEX(D:AE,AF289,ADP!$AF$6)=0,"",INDEX(D:AE,AF289,ADP!$AF$6)+AH289)</f>
        <v/>
      </c>
      <c r="AH289">
        <f t="shared" si="4"/>
        <v>2.880000000000005E-4</v>
      </c>
    </row>
    <row r="290" spans="1:34" ht="15.75" thickBot="1" x14ac:dyDescent="0.3">
      <c r="A290" s="569" t="s">
        <v>2342</v>
      </c>
      <c r="B290" s="569" t="s">
        <v>156</v>
      </c>
      <c r="C290" s="569" t="s">
        <v>6</v>
      </c>
      <c r="D290" s="569"/>
      <c r="E290" s="569"/>
      <c r="F290" s="569"/>
      <c r="G290" s="569"/>
      <c r="H290" s="569"/>
      <c r="I290" s="569"/>
      <c r="J290" s="569"/>
      <c r="K290" s="569"/>
      <c r="L290" s="569"/>
      <c r="M290" s="569"/>
      <c r="N290" s="569"/>
      <c r="O290" s="569"/>
      <c r="P290" s="569"/>
      <c r="Q290" s="569"/>
      <c r="R290" s="569"/>
      <c r="S290" s="569"/>
      <c r="T290" s="569"/>
      <c r="U290" s="569"/>
      <c r="V290" s="569"/>
      <c r="W290" s="569"/>
      <c r="X290" s="569"/>
      <c r="Y290" s="569"/>
      <c r="Z290" s="569"/>
      <c r="AA290" s="569"/>
      <c r="AB290" s="569"/>
      <c r="AC290" s="569"/>
      <c r="AD290" s="569"/>
      <c r="AE290" s="569"/>
      <c r="AF290">
        <v>290</v>
      </c>
      <c r="AG290" s="438" t="str">
        <f>IF(INDEX(D:AE,AF290,ADP!$AF$6)=0,"",INDEX(D:AE,AF290,ADP!$AF$6)+AH290)</f>
        <v/>
      </c>
      <c r="AH290">
        <f t="shared" si="4"/>
        <v>2.8900000000000052E-4</v>
      </c>
    </row>
    <row r="291" spans="1:34" ht="15.75" thickBot="1" x14ac:dyDescent="0.3">
      <c r="A291" s="569" t="s">
        <v>2191</v>
      </c>
      <c r="B291" s="569" t="s">
        <v>141</v>
      </c>
      <c r="C291" s="569" t="s">
        <v>3</v>
      </c>
      <c r="D291" s="569">
        <v>91.9</v>
      </c>
      <c r="E291" s="569">
        <v>7.4</v>
      </c>
      <c r="F291" s="569">
        <v>98.5</v>
      </c>
      <c r="G291" s="569">
        <v>9.1</v>
      </c>
      <c r="H291" s="569">
        <v>94.8</v>
      </c>
      <c r="I291" s="569">
        <v>8.4</v>
      </c>
      <c r="J291" s="569">
        <v>91.9</v>
      </c>
      <c r="K291" s="569">
        <v>7.4</v>
      </c>
      <c r="L291" s="569">
        <v>98.5</v>
      </c>
      <c r="M291" s="569">
        <v>9.1</v>
      </c>
      <c r="N291" s="569">
        <v>94.8</v>
      </c>
      <c r="O291" s="569">
        <v>8.4</v>
      </c>
      <c r="P291" s="569">
        <v>110.2</v>
      </c>
      <c r="Q291" s="569">
        <v>11.5</v>
      </c>
      <c r="R291" s="569">
        <v>91.9</v>
      </c>
      <c r="S291" s="569">
        <v>7.4</v>
      </c>
      <c r="T291" s="569">
        <v>98.5</v>
      </c>
      <c r="U291" s="569">
        <v>9.1</v>
      </c>
      <c r="V291" s="569">
        <v>94.8</v>
      </c>
      <c r="W291" s="569">
        <v>8.4</v>
      </c>
      <c r="X291" s="569">
        <v>110.2</v>
      </c>
      <c r="Y291" s="569">
        <v>11.5</v>
      </c>
      <c r="Z291" s="569">
        <v>91.9</v>
      </c>
      <c r="AA291" s="569">
        <v>7.4</v>
      </c>
      <c r="AB291" s="569">
        <v>98.5</v>
      </c>
      <c r="AC291" s="569">
        <v>9.1</v>
      </c>
      <c r="AD291" s="569">
        <v>94.8</v>
      </c>
      <c r="AE291" s="569">
        <v>94.8</v>
      </c>
      <c r="AF291">
        <v>291</v>
      </c>
      <c r="AG291" s="438">
        <f>IF(INDEX(D:AE,AF291,ADP!$AF$6)=0,"",INDEX(D:AE,AF291,ADP!$AF$6)+AH291)</f>
        <v>94.800290000000004</v>
      </c>
      <c r="AH291">
        <f t="shared" si="4"/>
        <v>2.9000000000000054E-4</v>
      </c>
    </row>
    <row r="292" spans="1:34" ht="15.75" thickBot="1" x14ac:dyDescent="0.3">
      <c r="A292" s="569" t="s">
        <v>2231</v>
      </c>
      <c r="B292" s="569" t="s">
        <v>148</v>
      </c>
      <c r="C292" s="569" t="s">
        <v>6</v>
      </c>
      <c r="D292" s="569"/>
      <c r="E292" s="569"/>
      <c r="F292" s="569"/>
      <c r="G292" s="569"/>
      <c r="H292" s="569"/>
      <c r="I292" s="569"/>
      <c r="J292" s="569"/>
      <c r="K292" s="569"/>
      <c r="L292" s="569"/>
      <c r="M292" s="569"/>
      <c r="N292" s="569"/>
      <c r="O292" s="569"/>
      <c r="P292" s="569"/>
      <c r="Q292" s="569"/>
      <c r="R292" s="569"/>
      <c r="S292" s="569"/>
      <c r="T292" s="569"/>
      <c r="U292" s="569"/>
      <c r="V292" s="569"/>
      <c r="W292" s="569"/>
      <c r="X292" s="569"/>
      <c r="Y292" s="569"/>
      <c r="Z292" s="569"/>
      <c r="AA292" s="569"/>
      <c r="AB292" s="569"/>
      <c r="AC292" s="569"/>
      <c r="AD292" s="569"/>
      <c r="AE292" s="569"/>
      <c r="AF292">
        <v>292</v>
      </c>
      <c r="AG292" s="438" t="str">
        <f>IF(INDEX(D:AE,AF292,ADP!$AF$6)=0,"",INDEX(D:AE,AF292,ADP!$AF$6)+AH292)</f>
        <v/>
      </c>
      <c r="AH292">
        <f t="shared" si="4"/>
        <v>2.9100000000000057E-4</v>
      </c>
    </row>
    <row r="293" spans="1:34" ht="15.75" thickBot="1" x14ac:dyDescent="0.3">
      <c r="A293" s="569" t="s">
        <v>2266</v>
      </c>
      <c r="B293" s="569" t="s">
        <v>163</v>
      </c>
      <c r="C293" s="569" t="s">
        <v>7</v>
      </c>
      <c r="D293" s="569"/>
      <c r="E293" s="569"/>
      <c r="F293" s="569"/>
      <c r="G293" s="569"/>
      <c r="H293" s="569"/>
      <c r="I293" s="569"/>
      <c r="J293" s="569"/>
      <c r="K293" s="569"/>
      <c r="L293" s="569"/>
      <c r="M293" s="569"/>
      <c r="N293" s="569"/>
      <c r="O293" s="569"/>
      <c r="P293" s="569"/>
      <c r="Q293" s="569"/>
      <c r="R293" s="569"/>
      <c r="S293" s="569"/>
      <c r="T293" s="569"/>
      <c r="U293" s="569"/>
      <c r="V293" s="569"/>
      <c r="W293" s="569"/>
      <c r="X293" s="569"/>
      <c r="Y293" s="569"/>
      <c r="Z293" s="569"/>
      <c r="AA293" s="569"/>
      <c r="AB293" s="569"/>
      <c r="AC293" s="569"/>
      <c r="AD293" s="569"/>
      <c r="AE293" s="569"/>
      <c r="AF293">
        <v>293</v>
      </c>
      <c r="AG293" s="438" t="str">
        <f>IF(INDEX(D:AE,AF293,ADP!$AF$6)=0,"",INDEX(D:AE,AF293,ADP!$AF$6)+AH293)</f>
        <v/>
      </c>
      <c r="AH293">
        <f t="shared" si="4"/>
        <v>2.9200000000000059E-4</v>
      </c>
    </row>
    <row r="294" spans="1:34" ht="15.75" thickBot="1" x14ac:dyDescent="0.3">
      <c r="A294" s="569" t="s">
        <v>2307</v>
      </c>
      <c r="B294" s="569" t="s">
        <v>157</v>
      </c>
      <c r="C294" s="569" t="s">
        <v>3</v>
      </c>
      <c r="D294" s="569"/>
      <c r="E294" s="569"/>
      <c r="F294" s="569"/>
      <c r="G294" s="569"/>
      <c r="H294" s="569"/>
      <c r="I294" s="569"/>
      <c r="J294" s="569"/>
      <c r="K294" s="569"/>
      <c r="L294" s="569"/>
      <c r="M294" s="569"/>
      <c r="N294" s="569"/>
      <c r="O294" s="569"/>
      <c r="P294" s="569"/>
      <c r="Q294" s="569"/>
      <c r="R294" s="569"/>
      <c r="S294" s="569"/>
      <c r="T294" s="569"/>
      <c r="U294" s="569"/>
      <c r="V294" s="569"/>
      <c r="W294" s="569"/>
      <c r="X294" s="569"/>
      <c r="Y294" s="569"/>
      <c r="Z294" s="569"/>
      <c r="AA294" s="569"/>
      <c r="AB294" s="569"/>
      <c r="AC294" s="569"/>
      <c r="AD294" s="569"/>
      <c r="AE294" s="569"/>
      <c r="AF294">
        <v>294</v>
      </c>
      <c r="AG294" s="438" t="str">
        <f>IF(INDEX(D:AE,AF294,ADP!$AF$6)=0,"",INDEX(D:AE,AF294,ADP!$AF$6)+AH294)</f>
        <v/>
      </c>
      <c r="AH294">
        <f t="shared" si="4"/>
        <v>2.9300000000000062E-4</v>
      </c>
    </row>
    <row r="295" spans="1:34" ht="15.75" thickBot="1" x14ac:dyDescent="0.3">
      <c r="A295" s="569" t="s">
        <v>2448</v>
      </c>
      <c r="B295" s="569" t="s">
        <v>165</v>
      </c>
      <c r="C295" s="569" t="s">
        <v>6</v>
      </c>
      <c r="D295" s="574"/>
      <c r="E295" s="574"/>
      <c r="F295" s="574"/>
      <c r="G295" s="574"/>
      <c r="H295" s="574"/>
      <c r="I295" s="574"/>
      <c r="J295" s="574"/>
      <c r="K295" s="574"/>
      <c r="L295" s="574"/>
      <c r="M295" s="574"/>
      <c r="N295" s="574"/>
      <c r="O295" s="574"/>
      <c r="P295" s="574"/>
      <c r="Q295" s="574"/>
      <c r="R295" s="574"/>
      <c r="S295" s="574"/>
      <c r="T295" s="574"/>
      <c r="U295" s="574"/>
      <c r="V295" s="574"/>
      <c r="W295" s="574"/>
      <c r="X295" s="574"/>
      <c r="Y295" s="574"/>
      <c r="Z295" s="574"/>
      <c r="AA295" s="574"/>
      <c r="AB295" s="574"/>
      <c r="AC295" s="574"/>
      <c r="AD295" s="574"/>
      <c r="AE295" s="574"/>
      <c r="AF295">
        <v>295</v>
      </c>
      <c r="AG295" s="438" t="str">
        <f>IF(INDEX(D:AE,AF295,ADP!$AF$6)=0,"",INDEX(D:AE,AF295,ADP!$AF$6)+AH295)</f>
        <v/>
      </c>
      <c r="AH295">
        <f t="shared" si="4"/>
        <v>2.9400000000000064E-4</v>
      </c>
    </row>
    <row r="296" spans="1:34" ht="15.75" thickBot="1" x14ac:dyDescent="0.3">
      <c r="A296" s="569" t="s">
        <v>2077</v>
      </c>
      <c r="B296" s="569" t="s">
        <v>149</v>
      </c>
      <c r="C296" s="569" t="s">
        <v>3</v>
      </c>
      <c r="D296" s="569"/>
      <c r="E296" s="569"/>
      <c r="F296" s="569"/>
      <c r="G296" s="569"/>
      <c r="H296" s="569"/>
      <c r="I296" s="569"/>
      <c r="J296" s="569"/>
      <c r="K296" s="569"/>
      <c r="L296" s="569"/>
      <c r="M296" s="569"/>
      <c r="N296" s="569"/>
      <c r="O296" s="569"/>
      <c r="P296" s="569"/>
      <c r="Q296" s="569"/>
      <c r="R296" s="569"/>
      <c r="S296" s="569"/>
      <c r="T296" s="569"/>
      <c r="U296" s="569"/>
      <c r="V296" s="569"/>
      <c r="W296" s="569"/>
      <c r="X296" s="569"/>
      <c r="Y296" s="569"/>
      <c r="Z296" s="569"/>
      <c r="AA296" s="569"/>
      <c r="AB296" s="569"/>
      <c r="AC296" s="569"/>
      <c r="AD296" s="569"/>
      <c r="AE296" s="569"/>
      <c r="AF296">
        <v>296</v>
      </c>
      <c r="AG296" s="438" t="str">
        <f>IF(INDEX(D:AE,AF296,ADP!$AF$6)=0,"",INDEX(D:AE,AF296,ADP!$AF$6)+AH296)</f>
        <v/>
      </c>
      <c r="AH296">
        <f t="shared" si="4"/>
        <v>2.9500000000000067E-4</v>
      </c>
    </row>
    <row r="297" spans="1:34" ht="15.75" thickBot="1" x14ac:dyDescent="0.3">
      <c r="A297" s="569" t="s">
        <v>1193</v>
      </c>
      <c r="B297" s="569" t="s">
        <v>158</v>
      </c>
      <c r="C297" s="569" t="s">
        <v>3</v>
      </c>
      <c r="D297" s="569"/>
      <c r="E297" s="569"/>
      <c r="F297" s="569"/>
      <c r="G297" s="569"/>
      <c r="H297" s="569"/>
      <c r="I297" s="569"/>
      <c r="J297" s="569"/>
      <c r="K297" s="569"/>
      <c r="L297" s="569"/>
      <c r="M297" s="569"/>
      <c r="N297" s="569"/>
      <c r="O297" s="569"/>
      <c r="P297" s="569"/>
      <c r="Q297" s="569"/>
      <c r="R297" s="569"/>
      <c r="S297" s="569"/>
      <c r="T297" s="569"/>
      <c r="U297" s="569"/>
      <c r="V297" s="569"/>
      <c r="W297" s="569"/>
      <c r="X297" s="569"/>
      <c r="Y297" s="569"/>
      <c r="Z297" s="569"/>
      <c r="AA297" s="569"/>
      <c r="AB297" s="569"/>
      <c r="AC297" s="569"/>
      <c r="AD297" s="569"/>
      <c r="AE297" s="569"/>
      <c r="AF297">
        <v>297</v>
      </c>
      <c r="AG297" s="438" t="str">
        <f>IF(INDEX(D:AE,AF297,ADP!$AF$6)=0,"",INDEX(D:AE,AF297,ADP!$AF$6)+AH297)</f>
        <v/>
      </c>
      <c r="AH297">
        <f t="shared" si="4"/>
        <v>2.9600000000000069E-4</v>
      </c>
    </row>
    <row r="298" spans="1:34" ht="15.75" thickBot="1" x14ac:dyDescent="0.3">
      <c r="A298" s="569" t="s">
        <v>2281</v>
      </c>
      <c r="B298" s="569" t="s">
        <v>147</v>
      </c>
      <c r="C298" s="569" t="s">
        <v>1</v>
      </c>
      <c r="D298" s="569">
        <v>155.5</v>
      </c>
      <c r="E298" s="569">
        <v>14.4</v>
      </c>
      <c r="F298" s="569">
        <v>169</v>
      </c>
      <c r="G298" s="569">
        <v>27.3</v>
      </c>
      <c r="H298" s="569">
        <v>156.19999999999999</v>
      </c>
      <c r="I298" s="569">
        <v>21.4</v>
      </c>
      <c r="J298" s="569">
        <v>155.5</v>
      </c>
      <c r="K298" s="569">
        <v>14.4</v>
      </c>
      <c r="L298" s="569">
        <v>169</v>
      </c>
      <c r="M298" s="569">
        <v>27.3</v>
      </c>
      <c r="N298" s="569">
        <v>156.19999999999999</v>
      </c>
      <c r="O298" s="569">
        <v>21.4</v>
      </c>
      <c r="P298" s="569">
        <v>117.2</v>
      </c>
      <c r="Q298" s="569">
        <v>23.1</v>
      </c>
      <c r="R298" s="569">
        <v>155.5</v>
      </c>
      <c r="S298" s="569">
        <v>14.4</v>
      </c>
      <c r="T298" s="569">
        <v>169</v>
      </c>
      <c r="U298" s="569">
        <v>27.3</v>
      </c>
      <c r="V298" s="569">
        <v>156.19999999999999</v>
      </c>
      <c r="W298" s="569">
        <v>21.4</v>
      </c>
      <c r="X298" s="569">
        <v>117.2</v>
      </c>
      <c r="Y298" s="569">
        <v>23.1</v>
      </c>
      <c r="Z298" s="569">
        <v>155.5</v>
      </c>
      <c r="AA298" s="569">
        <v>14.4</v>
      </c>
      <c r="AB298" s="569">
        <v>169</v>
      </c>
      <c r="AC298" s="569">
        <v>27.3</v>
      </c>
      <c r="AD298" s="569">
        <v>156.19999999999999</v>
      </c>
      <c r="AE298" s="569">
        <v>156.19999999999999</v>
      </c>
      <c r="AF298">
        <v>298</v>
      </c>
      <c r="AG298" s="438">
        <f>IF(INDEX(D:AE,AF298,ADP!$AF$6)=0,"",INDEX(D:AE,AF298,ADP!$AF$6)+AH298)</f>
        <v>156.20029699999998</v>
      </c>
      <c r="AH298">
        <f t="shared" si="4"/>
        <v>2.9700000000000071E-4</v>
      </c>
    </row>
    <row r="299" spans="1:34" ht="15.75" thickBot="1" x14ac:dyDescent="0.3">
      <c r="A299" s="569" t="s">
        <v>2449</v>
      </c>
      <c r="B299" s="569" t="s">
        <v>140</v>
      </c>
      <c r="C299" s="569" t="s">
        <v>3</v>
      </c>
      <c r="D299" s="569"/>
      <c r="E299" s="569"/>
      <c r="F299" s="569"/>
      <c r="G299" s="569"/>
      <c r="H299" s="569"/>
      <c r="I299" s="569"/>
      <c r="J299" s="569"/>
      <c r="K299" s="569"/>
      <c r="L299" s="569"/>
      <c r="M299" s="569"/>
      <c r="N299" s="569"/>
      <c r="O299" s="569"/>
      <c r="P299" s="569"/>
      <c r="Q299" s="569"/>
      <c r="R299" s="569"/>
      <c r="S299" s="569"/>
      <c r="T299" s="569"/>
      <c r="U299" s="569"/>
      <c r="V299" s="569"/>
      <c r="W299" s="569"/>
      <c r="X299" s="569"/>
      <c r="Y299" s="569"/>
      <c r="Z299" s="569"/>
      <c r="AA299" s="569"/>
      <c r="AB299" s="569"/>
      <c r="AC299" s="569"/>
      <c r="AD299" s="569"/>
      <c r="AE299" s="569"/>
      <c r="AF299">
        <v>299</v>
      </c>
      <c r="AG299" s="438" t="str">
        <f>IF(INDEX(D:AE,AF299,ADP!$AF$6)=0,"",INDEX(D:AE,AF299,ADP!$AF$6)+AH299)</f>
        <v/>
      </c>
      <c r="AH299">
        <f t="shared" si="4"/>
        <v>2.9800000000000074E-4</v>
      </c>
    </row>
    <row r="300" spans="1:34" ht="15.75" thickBot="1" x14ac:dyDescent="0.3">
      <c r="A300" s="569" t="s">
        <v>2450</v>
      </c>
      <c r="B300" s="569" t="s">
        <v>140</v>
      </c>
      <c r="C300" s="569" t="s">
        <v>3</v>
      </c>
      <c r="D300" s="569">
        <v>36.700000000000003</v>
      </c>
      <c r="E300" s="569">
        <v>3.5</v>
      </c>
      <c r="F300" s="569">
        <v>39.5</v>
      </c>
      <c r="G300" s="569">
        <v>5.5</v>
      </c>
      <c r="H300" s="569">
        <v>48.5</v>
      </c>
      <c r="I300" s="569">
        <v>5.8</v>
      </c>
      <c r="J300" s="569">
        <v>36.700000000000003</v>
      </c>
      <c r="K300" s="569">
        <v>3.5</v>
      </c>
      <c r="L300" s="569">
        <v>39.5</v>
      </c>
      <c r="M300" s="569">
        <v>5.5</v>
      </c>
      <c r="N300" s="569">
        <v>48.5</v>
      </c>
      <c r="O300" s="569">
        <v>5.8</v>
      </c>
      <c r="P300" s="569">
        <v>39.4</v>
      </c>
      <c r="Q300" s="569">
        <v>4.9000000000000004</v>
      </c>
      <c r="R300" s="569">
        <v>36.700000000000003</v>
      </c>
      <c r="S300" s="569">
        <v>3.5</v>
      </c>
      <c r="T300" s="569">
        <v>39.5</v>
      </c>
      <c r="U300" s="569">
        <v>5.5</v>
      </c>
      <c r="V300" s="569">
        <v>48.5</v>
      </c>
      <c r="W300" s="569">
        <v>5.8</v>
      </c>
      <c r="X300" s="569">
        <v>39.4</v>
      </c>
      <c r="Y300" s="569">
        <v>4.9000000000000004</v>
      </c>
      <c r="Z300" s="569">
        <v>36.700000000000003</v>
      </c>
      <c r="AA300" s="569">
        <v>3.5</v>
      </c>
      <c r="AB300" s="569">
        <v>39.5</v>
      </c>
      <c r="AC300" s="569">
        <v>5.5</v>
      </c>
      <c r="AD300" s="569">
        <v>48.5</v>
      </c>
      <c r="AE300" s="569">
        <v>48.5</v>
      </c>
      <c r="AF300">
        <v>300</v>
      </c>
      <c r="AG300" s="438">
        <f>IF(INDEX(D:AE,AF300,ADP!$AF$6)=0,"",INDEX(D:AE,AF300,ADP!$AF$6)+AH300)</f>
        <v>48.500298999999998</v>
      </c>
      <c r="AH300">
        <f t="shared" si="4"/>
        <v>2.9900000000000076E-4</v>
      </c>
    </row>
    <row r="301" spans="1:34" ht="15.75" thickBot="1" x14ac:dyDescent="0.3">
      <c r="A301" s="569" t="s">
        <v>2178</v>
      </c>
      <c r="B301" s="569" t="s">
        <v>137</v>
      </c>
      <c r="C301" s="569" t="s">
        <v>3</v>
      </c>
      <c r="D301" s="569">
        <v>130.9</v>
      </c>
      <c r="E301" s="569">
        <v>11.3</v>
      </c>
      <c r="F301" s="569">
        <v>116.1</v>
      </c>
      <c r="G301" s="569">
        <v>9.5</v>
      </c>
      <c r="H301" s="569">
        <v>129.80000000000001</v>
      </c>
      <c r="I301" s="569">
        <v>10.8</v>
      </c>
      <c r="J301" s="569">
        <v>130.9</v>
      </c>
      <c r="K301" s="569">
        <v>11.3</v>
      </c>
      <c r="L301" s="569">
        <v>116.1</v>
      </c>
      <c r="M301" s="569">
        <v>9.5</v>
      </c>
      <c r="N301" s="569">
        <v>129.80000000000001</v>
      </c>
      <c r="O301" s="569">
        <v>10.8</v>
      </c>
      <c r="P301" s="569">
        <v>123.9</v>
      </c>
      <c r="Q301" s="569">
        <v>11.7</v>
      </c>
      <c r="R301" s="569">
        <v>130.9</v>
      </c>
      <c r="S301" s="569">
        <v>11.3</v>
      </c>
      <c r="T301" s="569">
        <v>116.1</v>
      </c>
      <c r="U301" s="569">
        <v>9.5</v>
      </c>
      <c r="V301" s="569">
        <v>129.80000000000001</v>
      </c>
      <c r="W301" s="569">
        <v>10.8</v>
      </c>
      <c r="X301" s="569">
        <v>123.9</v>
      </c>
      <c r="Y301" s="569">
        <v>11.7</v>
      </c>
      <c r="Z301" s="569">
        <v>130.9</v>
      </c>
      <c r="AA301" s="569">
        <v>11.3</v>
      </c>
      <c r="AB301" s="569">
        <v>116.1</v>
      </c>
      <c r="AC301" s="569">
        <v>9.5</v>
      </c>
      <c r="AD301" s="569">
        <v>129.80000000000001</v>
      </c>
      <c r="AE301" s="569">
        <v>129.80000000000001</v>
      </c>
      <c r="AF301">
        <v>301</v>
      </c>
      <c r="AG301" s="438">
        <f>IF(INDEX(D:AE,AF301,ADP!$AF$6)=0,"",INDEX(D:AE,AF301,ADP!$AF$6)+AH301)</f>
        <v>129.80030000000002</v>
      </c>
      <c r="AH301">
        <f t="shared" si="4"/>
        <v>3.0000000000000079E-4</v>
      </c>
    </row>
    <row r="302" spans="1:34" ht="15.75" thickBot="1" x14ac:dyDescent="0.3">
      <c r="A302" s="569" t="s">
        <v>2185</v>
      </c>
      <c r="B302" s="569" t="s">
        <v>138</v>
      </c>
      <c r="C302" s="569" t="s">
        <v>3</v>
      </c>
      <c r="D302" s="569"/>
      <c r="E302" s="569"/>
      <c r="F302" s="569"/>
      <c r="G302" s="569"/>
      <c r="H302" s="569"/>
      <c r="I302" s="569"/>
      <c r="J302" s="569"/>
      <c r="K302" s="569"/>
      <c r="L302" s="569"/>
      <c r="M302" s="569"/>
      <c r="N302" s="569"/>
      <c r="O302" s="569"/>
      <c r="P302" s="569"/>
      <c r="Q302" s="569"/>
      <c r="R302" s="569"/>
      <c r="S302" s="569"/>
      <c r="T302" s="569"/>
      <c r="U302" s="569"/>
      <c r="V302" s="569"/>
      <c r="W302" s="569"/>
      <c r="X302" s="569"/>
      <c r="Y302" s="569"/>
      <c r="Z302" s="569"/>
      <c r="AA302" s="569"/>
      <c r="AB302" s="569"/>
      <c r="AC302" s="569"/>
      <c r="AD302" s="569"/>
      <c r="AE302" s="569"/>
      <c r="AF302">
        <v>302</v>
      </c>
      <c r="AG302" s="438" t="str">
        <f>IF(INDEX(D:AE,AF302,ADP!$AF$6)=0,"",INDEX(D:AE,AF302,ADP!$AF$6)+AH302)</f>
        <v/>
      </c>
      <c r="AH302">
        <f t="shared" si="4"/>
        <v>3.0100000000000081E-4</v>
      </c>
    </row>
    <row r="303" spans="1:34" ht="15.75" thickBot="1" x14ac:dyDescent="0.3">
      <c r="A303" s="569" t="s">
        <v>1800</v>
      </c>
      <c r="B303" s="569" t="s">
        <v>157</v>
      </c>
      <c r="C303" s="569" t="s">
        <v>6</v>
      </c>
      <c r="D303" s="574"/>
      <c r="E303" s="574"/>
      <c r="F303" s="574"/>
      <c r="G303" s="574"/>
      <c r="H303" s="574"/>
      <c r="I303" s="574"/>
      <c r="J303" s="574"/>
      <c r="K303" s="574"/>
      <c r="L303" s="574"/>
      <c r="M303" s="574"/>
      <c r="N303" s="574"/>
      <c r="O303" s="574"/>
      <c r="P303" s="574"/>
      <c r="Q303" s="574"/>
      <c r="R303" s="574"/>
      <c r="S303" s="574"/>
      <c r="T303" s="574"/>
      <c r="U303" s="574"/>
      <c r="V303" s="574"/>
      <c r="W303" s="574"/>
      <c r="X303" s="574"/>
      <c r="Y303" s="574"/>
      <c r="Z303" s="574"/>
      <c r="AA303" s="574"/>
      <c r="AB303" s="574"/>
      <c r="AC303" s="574"/>
      <c r="AD303" s="574"/>
      <c r="AE303" s="574"/>
      <c r="AF303">
        <v>303</v>
      </c>
      <c r="AG303" s="438" t="str">
        <f>IF(INDEX(D:AE,AF303,ADP!$AF$6)=0,"",INDEX(D:AE,AF303,ADP!$AF$6)+AH303)</f>
        <v/>
      </c>
      <c r="AH303">
        <f t="shared" si="4"/>
        <v>3.0200000000000084E-4</v>
      </c>
    </row>
    <row r="304" spans="1:34" ht="15.75" thickBot="1" x14ac:dyDescent="0.3">
      <c r="A304" s="569" t="s">
        <v>2451</v>
      </c>
      <c r="B304" s="569" t="s">
        <v>143</v>
      </c>
      <c r="C304" s="569" t="s">
        <v>3</v>
      </c>
      <c r="D304" s="574">
        <v>149.6</v>
      </c>
      <c r="E304" s="574">
        <v>18.100000000000001</v>
      </c>
      <c r="F304" s="574"/>
      <c r="G304" s="574"/>
      <c r="H304" s="574"/>
      <c r="I304" s="574"/>
      <c r="J304" s="574">
        <v>149.6</v>
      </c>
      <c r="K304" s="574">
        <v>18.100000000000001</v>
      </c>
      <c r="L304" s="574"/>
      <c r="M304" s="574"/>
      <c r="N304" s="574"/>
      <c r="O304" s="574"/>
      <c r="P304" s="574"/>
      <c r="Q304" s="574"/>
      <c r="R304" s="574">
        <v>149.6</v>
      </c>
      <c r="S304" s="574">
        <v>18.100000000000001</v>
      </c>
      <c r="T304" s="574"/>
      <c r="U304" s="574"/>
      <c r="V304" s="574"/>
      <c r="W304" s="574"/>
      <c r="X304" s="574"/>
      <c r="Y304" s="574"/>
      <c r="Z304" s="574">
        <v>149.6</v>
      </c>
      <c r="AA304" s="574">
        <v>18.100000000000001</v>
      </c>
      <c r="AB304" s="574"/>
      <c r="AC304" s="574"/>
      <c r="AD304" s="574"/>
      <c r="AE304" s="574"/>
      <c r="AF304">
        <v>304</v>
      </c>
      <c r="AG304" s="438" t="str">
        <f>IF(INDEX(D:AE,AF304,ADP!$AF$6)=0,"",INDEX(D:AE,AF304,ADP!$AF$6)+AH304)</f>
        <v/>
      </c>
      <c r="AH304">
        <f t="shared" si="4"/>
        <v>3.0300000000000086E-4</v>
      </c>
    </row>
    <row r="305" spans="1:34" ht="15.75" thickBot="1" x14ac:dyDescent="0.3">
      <c r="A305" s="569" t="s">
        <v>2226</v>
      </c>
      <c r="B305" s="569" t="s">
        <v>144</v>
      </c>
      <c r="C305" s="569" t="s">
        <v>6</v>
      </c>
      <c r="D305" s="574"/>
      <c r="E305" s="574"/>
      <c r="F305" s="574"/>
      <c r="G305" s="574"/>
      <c r="H305" s="574"/>
      <c r="I305" s="574"/>
      <c r="J305" s="574"/>
      <c r="K305" s="574"/>
      <c r="L305" s="574"/>
      <c r="M305" s="574"/>
      <c r="N305" s="574"/>
      <c r="O305" s="574"/>
      <c r="P305" s="569"/>
      <c r="Q305" s="569"/>
      <c r="R305" s="574"/>
      <c r="S305" s="574"/>
      <c r="T305" s="574"/>
      <c r="U305" s="574"/>
      <c r="V305" s="574"/>
      <c r="W305" s="574"/>
      <c r="X305" s="569"/>
      <c r="Y305" s="569"/>
      <c r="Z305" s="574"/>
      <c r="AA305" s="574"/>
      <c r="AB305" s="574"/>
      <c r="AC305" s="574"/>
      <c r="AD305" s="574"/>
      <c r="AE305" s="574"/>
      <c r="AF305">
        <v>305</v>
      </c>
      <c r="AG305" s="438" t="str">
        <f>IF(INDEX(D:AE,AF305,ADP!$AF$6)=0,"",INDEX(D:AE,AF305,ADP!$AF$6)+AH305)</f>
        <v/>
      </c>
      <c r="AH305">
        <f t="shared" si="4"/>
        <v>3.0400000000000088E-4</v>
      </c>
    </row>
    <row r="306" spans="1:34" ht="15.75" thickBot="1" x14ac:dyDescent="0.3">
      <c r="A306" s="569" t="s">
        <v>2357</v>
      </c>
      <c r="B306" s="569" t="s">
        <v>136</v>
      </c>
      <c r="C306" s="569" t="s">
        <v>7</v>
      </c>
      <c r="D306" s="569"/>
      <c r="E306" s="569"/>
      <c r="F306" s="569"/>
      <c r="G306" s="569"/>
      <c r="H306" s="569"/>
      <c r="I306" s="569"/>
      <c r="J306" s="569"/>
      <c r="K306" s="569"/>
      <c r="L306" s="569"/>
      <c r="M306" s="569"/>
      <c r="N306" s="569"/>
      <c r="O306" s="569"/>
      <c r="P306" s="569"/>
      <c r="Q306" s="569"/>
      <c r="R306" s="569"/>
      <c r="S306" s="569"/>
      <c r="T306" s="569"/>
      <c r="U306" s="569"/>
      <c r="V306" s="569"/>
      <c r="W306" s="569"/>
      <c r="X306" s="569"/>
      <c r="Y306" s="569"/>
      <c r="Z306" s="569"/>
      <c r="AA306" s="569"/>
      <c r="AB306" s="569"/>
      <c r="AC306" s="569"/>
      <c r="AD306" s="569"/>
      <c r="AE306" s="569"/>
      <c r="AF306">
        <v>306</v>
      </c>
      <c r="AG306" s="438" t="str">
        <f>IF(INDEX(D:AE,AF306,ADP!$AF$6)=0,"",INDEX(D:AE,AF306,ADP!$AF$6)+AH306)</f>
        <v/>
      </c>
      <c r="AH306">
        <f t="shared" si="4"/>
        <v>3.0500000000000091E-4</v>
      </c>
    </row>
    <row r="307" spans="1:34" ht="15.75" thickBot="1" x14ac:dyDescent="0.3">
      <c r="A307" s="569" t="s">
        <v>1795</v>
      </c>
      <c r="B307" s="569" t="s">
        <v>166</v>
      </c>
      <c r="C307" s="569" t="s">
        <v>6</v>
      </c>
      <c r="D307" s="569"/>
      <c r="E307" s="569"/>
      <c r="F307" s="569"/>
      <c r="G307" s="569"/>
      <c r="H307" s="569"/>
      <c r="I307" s="569"/>
      <c r="J307" s="569"/>
      <c r="K307" s="569"/>
      <c r="L307" s="569"/>
      <c r="M307" s="569"/>
      <c r="N307" s="569"/>
      <c r="O307" s="569"/>
      <c r="P307" s="569"/>
      <c r="Q307" s="569"/>
      <c r="R307" s="569"/>
      <c r="S307" s="569"/>
      <c r="T307" s="569"/>
      <c r="U307" s="569"/>
      <c r="V307" s="569"/>
      <c r="W307" s="569"/>
      <c r="X307" s="569"/>
      <c r="Y307" s="569"/>
      <c r="Z307" s="569"/>
      <c r="AA307" s="569"/>
      <c r="AB307" s="569"/>
      <c r="AC307" s="569"/>
      <c r="AD307" s="569"/>
      <c r="AE307" s="569"/>
      <c r="AF307">
        <v>307</v>
      </c>
      <c r="AG307" s="438" t="str">
        <f>IF(INDEX(D:AE,AF307,ADP!$AF$6)=0,"",INDEX(D:AE,AF307,ADP!$AF$6)+AH307)</f>
        <v/>
      </c>
      <c r="AH307">
        <f t="shared" si="4"/>
        <v>3.0600000000000093E-4</v>
      </c>
    </row>
    <row r="308" spans="1:34" ht="15.75" thickBot="1" x14ac:dyDescent="0.3">
      <c r="A308" s="569" t="s">
        <v>1390</v>
      </c>
      <c r="B308" s="569" t="s">
        <v>148</v>
      </c>
      <c r="C308" s="569" t="s">
        <v>3</v>
      </c>
      <c r="D308" s="569"/>
      <c r="E308" s="569"/>
      <c r="F308" s="569"/>
      <c r="G308" s="569"/>
      <c r="H308" s="569"/>
      <c r="I308" s="569"/>
      <c r="J308" s="569"/>
      <c r="K308" s="569"/>
      <c r="L308" s="569"/>
      <c r="M308" s="569"/>
      <c r="N308" s="569"/>
      <c r="O308" s="569"/>
      <c r="P308" s="569"/>
      <c r="Q308" s="569"/>
      <c r="R308" s="569"/>
      <c r="S308" s="569"/>
      <c r="T308" s="569"/>
      <c r="U308" s="569"/>
      <c r="V308" s="569"/>
      <c r="W308" s="569"/>
      <c r="X308" s="569"/>
      <c r="Y308" s="569"/>
      <c r="Z308" s="569"/>
      <c r="AA308" s="569"/>
      <c r="AB308" s="569"/>
      <c r="AC308" s="569"/>
      <c r="AD308" s="569"/>
      <c r="AE308" s="569"/>
      <c r="AF308">
        <v>308</v>
      </c>
      <c r="AG308" s="438" t="str">
        <f>IF(INDEX(D:AE,AF308,ADP!$AF$6)=0,"",INDEX(D:AE,AF308,ADP!$AF$6)+AH308)</f>
        <v/>
      </c>
      <c r="AH308">
        <f t="shared" si="4"/>
        <v>3.0700000000000096E-4</v>
      </c>
    </row>
    <row r="309" spans="1:34" ht="15.75" thickBot="1" x14ac:dyDescent="0.3">
      <c r="A309" s="569" t="s">
        <v>1874</v>
      </c>
      <c r="B309" s="569" t="s">
        <v>143</v>
      </c>
      <c r="C309" s="569" t="s">
        <v>6</v>
      </c>
      <c r="D309" s="569"/>
      <c r="E309" s="569"/>
      <c r="F309" s="569"/>
      <c r="G309" s="569"/>
      <c r="H309" s="569"/>
      <c r="I309" s="569"/>
      <c r="J309" s="569"/>
      <c r="K309" s="569"/>
      <c r="L309" s="569"/>
      <c r="M309" s="569"/>
      <c r="N309" s="569"/>
      <c r="O309" s="569"/>
      <c r="P309" s="569"/>
      <c r="Q309" s="569"/>
      <c r="R309" s="569"/>
      <c r="S309" s="569"/>
      <c r="T309" s="569"/>
      <c r="U309" s="569"/>
      <c r="V309" s="569"/>
      <c r="W309" s="569"/>
      <c r="X309" s="569"/>
      <c r="Y309" s="569"/>
      <c r="Z309" s="569"/>
      <c r="AA309" s="569"/>
      <c r="AB309" s="569"/>
      <c r="AC309" s="569"/>
      <c r="AD309" s="569"/>
      <c r="AE309" s="569"/>
      <c r="AF309">
        <v>309</v>
      </c>
      <c r="AG309" s="438" t="str">
        <f>IF(INDEX(D:AE,AF309,ADP!$AF$6)=0,"",INDEX(D:AE,AF309,ADP!$AF$6)+AH309)</f>
        <v/>
      </c>
      <c r="AH309">
        <f t="shared" si="4"/>
        <v>3.0800000000000098E-4</v>
      </c>
    </row>
    <row r="310" spans="1:34" ht="15.75" thickBot="1" x14ac:dyDescent="0.3">
      <c r="A310" s="569" t="s">
        <v>1886</v>
      </c>
      <c r="B310" s="569" t="s">
        <v>156</v>
      </c>
      <c r="C310" s="569" t="s">
        <v>6</v>
      </c>
      <c r="D310" s="569"/>
      <c r="E310" s="569"/>
      <c r="F310" s="569"/>
      <c r="G310" s="569"/>
      <c r="H310" s="569"/>
      <c r="I310" s="569"/>
      <c r="J310" s="569"/>
      <c r="K310" s="569"/>
      <c r="L310" s="569"/>
      <c r="M310" s="569"/>
      <c r="N310" s="569"/>
      <c r="O310" s="569"/>
      <c r="P310" s="569"/>
      <c r="Q310" s="569"/>
      <c r="R310" s="569"/>
      <c r="S310" s="569"/>
      <c r="T310" s="569"/>
      <c r="U310" s="569"/>
      <c r="V310" s="569"/>
      <c r="W310" s="569"/>
      <c r="X310" s="569"/>
      <c r="Y310" s="569"/>
      <c r="Z310" s="569"/>
      <c r="AA310" s="569"/>
      <c r="AB310" s="569"/>
      <c r="AC310" s="569"/>
      <c r="AD310" s="569"/>
      <c r="AE310" s="569"/>
      <c r="AF310">
        <v>310</v>
      </c>
      <c r="AG310" s="438" t="str">
        <f>IF(INDEX(D:AE,AF310,ADP!$AF$6)=0,"",INDEX(D:AE,AF310,ADP!$AF$6)+AH310)</f>
        <v/>
      </c>
      <c r="AH310">
        <f t="shared" si="4"/>
        <v>3.0900000000000101E-4</v>
      </c>
    </row>
    <row r="311" spans="1:34" ht="15.75" thickBot="1" x14ac:dyDescent="0.3">
      <c r="A311" s="569" t="s">
        <v>53</v>
      </c>
      <c r="B311" s="569" t="s">
        <v>1388</v>
      </c>
      <c r="C311" s="569" t="s">
        <v>6</v>
      </c>
      <c r="D311" s="569">
        <v>45.3</v>
      </c>
      <c r="E311" s="569">
        <v>4.5999999999999996</v>
      </c>
      <c r="F311" s="569">
        <v>42.9</v>
      </c>
      <c r="G311" s="569">
        <v>4.5999999999999996</v>
      </c>
      <c r="H311" s="569">
        <v>29</v>
      </c>
      <c r="I311" s="569">
        <v>4.0999999999999996</v>
      </c>
      <c r="J311" s="569">
        <v>45.3</v>
      </c>
      <c r="K311" s="569">
        <v>4.5999999999999996</v>
      </c>
      <c r="L311" s="569">
        <v>42.9</v>
      </c>
      <c r="M311" s="569">
        <v>4.5999999999999996</v>
      </c>
      <c r="N311" s="569">
        <v>29</v>
      </c>
      <c r="O311" s="569">
        <v>4.0999999999999996</v>
      </c>
      <c r="P311" s="569">
        <v>42.6</v>
      </c>
      <c r="Q311" s="569">
        <v>5.4</v>
      </c>
      <c r="R311" s="569">
        <v>45.3</v>
      </c>
      <c r="S311" s="569">
        <v>4.5999999999999996</v>
      </c>
      <c r="T311" s="569">
        <v>42.9</v>
      </c>
      <c r="U311" s="569">
        <v>4.5999999999999996</v>
      </c>
      <c r="V311" s="569">
        <v>29</v>
      </c>
      <c r="W311" s="569">
        <v>4.0999999999999996</v>
      </c>
      <c r="X311" s="569">
        <v>42.6</v>
      </c>
      <c r="Y311" s="569">
        <v>5.4</v>
      </c>
      <c r="Z311" s="569">
        <v>45.3</v>
      </c>
      <c r="AA311" s="569">
        <v>4.5999999999999996</v>
      </c>
      <c r="AB311" s="569">
        <v>42.9</v>
      </c>
      <c r="AC311" s="569">
        <v>4.5999999999999996</v>
      </c>
      <c r="AD311" s="569">
        <v>29</v>
      </c>
      <c r="AE311" s="569">
        <v>29</v>
      </c>
      <c r="AF311">
        <v>311</v>
      </c>
      <c r="AG311" s="438">
        <f>IF(INDEX(D:AE,AF311,ADP!$AF$6)=0,"",INDEX(D:AE,AF311,ADP!$AF$6)+AH311)</f>
        <v>29.000309999999999</v>
      </c>
      <c r="AH311">
        <f t="shared" si="4"/>
        <v>3.1000000000000103E-4</v>
      </c>
    </row>
    <row r="312" spans="1:34" ht="15.75" thickBot="1" x14ac:dyDescent="0.3">
      <c r="A312" s="569" t="s">
        <v>2572</v>
      </c>
      <c r="B312" s="569" t="s">
        <v>1388</v>
      </c>
      <c r="C312" s="569" t="s">
        <v>6</v>
      </c>
      <c r="D312" s="569"/>
      <c r="E312" s="569"/>
      <c r="F312" s="569"/>
      <c r="G312" s="569"/>
      <c r="H312" s="569"/>
      <c r="I312" s="569"/>
      <c r="J312" s="569"/>
      <c r="K312" s="569"/>
      <c r="L312" s="569"/>
      <c r="M312" s="569"/>
      <c r="N312" s="569"/>
      <c r="O312" s="569"/>
      <c r="P312" s="569"/>
      <c r="Q312" s="569"/>
      <c r="R312" s="569"/>
      <c r="S312" s="569"/>
      <c r="T312" s="569"/>
      <c r="U312" s="569"/>
      <c r="V312" s="569"/>
      <c r="W312" s="569"/>
      <c r="X312" s="569"/>
      <c r="Y312" s="569"/>
      <c r="Z312" s="569"/>
      <c r="AA312" s="569"/>
      <c r="AB312" s="569"/>
      <c r="AC312" s="569"/>
      <c r="AD312" s="569"/>
      <c r="AE312" s="569"/>
      <c r="AF312">
        <v>312</v>
      </c>
      <c r="AG312" s="438" t="str">
        <f>IF(INDEX(D:AE,AF312,ADP!$AF$6)=0,"",INDEX(D:AE,AF312,ADP!$AF$6)+AH312)</f>
        <v/>
      </c>
      <c r="AH312">
        <f t="shared" si="4"/>
        <v>3.1100000000000105E-4</v>
      </c>
    </row>
    <row r="313" spans="1:34" ht="15.75" thickBot="1" x14ac:dyDescent="0.3">
      <c r="A313" s="569" t="s">
        <v>1790</v>
      </c>
      <c r="B313" s="569" t="s">
        <v>2073</v>
      </c>
      <c r="C313" s="569" t="s">
        <v>6</v>
      </c>
      <c r="D313" s="569"/>
      <c r="E313" s="569"/>
      <c r="F313" s="569"/>
      <c r="G313" s="569"/>
      <c r="H313" s="569"/>
      <c r="I313" s="569"/>
      <c r="J313" s="569"/>
      <c r="K313" s="569"/>
      <c r="L313" s="569"/>
      <c r="M313" s="569"/>
      <c r="N313" s="569"/>
      <c r="O313" s="569"/>
      <c r="P313" s="569"/>
      <c r="Q313" s="569"/>
      <c r="R313" s="569"/>
      <c r="S313" s="569"/>
      <c r="T313" s="569"/>
      <c r="U313" s="569"/>
      <c r="V313" s="569"/>
      <c r="W313" s="569"/>
      <c r="X313" s="569"/>
      <c r="Y313" s="569"/>
      <c r="Z313" s="569"/>
      <c r="AA313" s="569"/>
      <c r="AB313" s="569"/>
      <c r="AC313" s="569"/>
      <c r="AD313" s="569"/>
      <c r="AE313" s="569"/>
      <c r="AF313">
        <v>313</v>
      </c>
      <c r="AG313" s="438" t="str">
        <f>IF(INDEX(D:AE,AF313,ADP!$AF$6)=0,"",INDEX(D:AE,AF313,ADP!$AF$6)+AH313)</f>
        <v/>
      </c>
      <c r="AH313">
        <f t="shared" si="4"/>
        <v>3.1200000000000108E-4</v>
      </c>
    </row>
    <row r="314" spans="1:34" ht="15.75" thickBot="1" x14ac:dyDescent="0.3">
      <c r="A314" s="569" t="s">
        <v>2452</v>
      </c>
      <c r="B314" s="569" t="s">
        <v>162</v>
      </c>
      <c r="C314" s="569" t="s">
        <v>3</v>
      </c>
      <c r="D314" s="569"/>
      <c r="E314" s="569"/>
      <c r="F314" s="569"/>
      <c r="G314" s="569"/>
      <c r="H314" s="569"/>
      <c r="I314" s="569"/>
      <c r="J314" s="569"/>
      <c r="K314" s="569"/>
      <c r="L314" s="569"/>
      <c r="M314" s="569"/>
      <c r="N314" s="569"/>
      <c r="O314" s="569"/>
      <c r="P314" s="569"/>
      <c r="Q314" s="569"/>
      <c r="R314" s="569"/>
      <c r="S314" s="569"/>
      <c r="T314" s="569"/>
      <c r="U314" s="569"/>
      <c r="V314" s="569"/>
      <c r="W314" s="569"/>
      <c r="X314" s="569"/>
      <c r="Y314" s="569"/>
      <c r="Z314" s="569"/>
      <c r="AA314" s="569"/>
      <c r="AB314" s="569"/>
      <c r="AC314" s="569"/>
      <c r="AD314" s="569"/>
      <c r="AE314" s="569"/>
      <c r="AF314">
        <v>314</v>
      </c>
      <c r="AG314" s="438" t="str">
        <f>IF(INDEX(D:AE,AF314,ADP!$AF$6)=0,"",INDEX(D:AE,AF314,ADP!$AF$6)+AH314)</f>
        <v/>
      </c>
      <c r="AH314">
        <f t="shared" si="4"/>
        <v>3.130000000000011E-4</v>
      </c>
    </row>
    <row r="315" spans="1:34" ht="15.75" thickBot="1" x14ac:dyDescent="0.3">
      <c r="A315" s="569" t="s">
        <v>2304</v>
      </c>
      <c r="B315" s="569" t="s">
        <v>2272</v>
      </c>
      <c r="C315" s="569" t="s">
        <v>3</v>
      </c>
      <c r="D315" s="574"/>
      <c r="E315" s="574"/>
      <c r="F315" s="574"/>
      <c r="G315" s="574"/>
      <c r="H315" s="574"/>
      <c r="I315" s="574"/>
      <c r="J315" s="574"/>
      <c r="K315" s="574"/>
      <c r="L315" s="574"/>
      <c r="M315" s="574"/>
      <c r="N315" s="574"/>
      <c r="O315" s="574"/>
      <c r="P315" s="574"/>
      <c r="Q315" s="574"/>
      <c r="R315" s="574"/>
      <c r="S315" s="574"/>
      <c r="T315" s="574"/>
      <c r="U315" s="574"/>
      <c r="V315" s="574"/>
      <c r="W315" s="574"/>
      <c r="X315" s="574"/>
      <c r="Y315" s="574"/>
      <c r="Z315" s="574"/>
      <c r="AA315" s="574"/>
      <c r="AB315" s="574"/>
      <c r="AC315" s="574"/>
      <c r="AD315" s="574"/>
      <c r="AE315" s="574"/>
      <c r="AF315">
        <v>315</v>
      </c>
      <c r="AG315" s="438" t="str">
        <f>IF(INDEX(D:AE,AF315,ADP!$AF$6)=0,"",INDEX(D:AE,AF315,ADP!$AF$6)+AH315)</f>
        <v/>
      </c>
      <c r="AH315">
        <f t="shared" si="4"/>
        <v>3.1400000000000113E-4</v>
      </c>
    </row>
    <row r="316" spans="1:34" ht="15.75" thickBot="1" x14ac:dyDescent="0.3">
      <c r="A316" s="569" t="s">
        <v>136</v>
      </c>
      <c r="B316" s="569" t="s">
        <v>136</v>
      </c>
      <c r="C316" s="569" t="s">
        <v>160</v>
      </c>
      <c r="D316" s="569">
        <v>153.30000000000001</v>
      </c>
      <c r="E316" s="569">
        <v>16.100000000000001</v>
      </c>
      <c r="F316" s="569">
        <v>167.2</v>
      </c>
      <c r="G316" s="569">
        <v>24.6</v>
      </c>
      <c r="H316" s="569">
        <v>172.8</v>
      </c>
      <c r="I316" s="569">
        <v>18.600000000000001</v>
      </c>
      <c r="J316" s="569">
        <v>153.30000000000001</v>
      </c>
      <c r="K316" s="569">
        <v>16.100000000000001</v>
      </c>
      <c r="L316" s="569">
        <v>167.2</v>
      </c>
      <c r="M316" s="569">
        <v>24.6</v>
      </c>
      <c r="N316" s="569">
        <v>172.8</v>
      </c>
      <c r="O316" s="569">
        <v>18.600000000000001</v>
      </c>
      <c r="P316" s="569"/>
      <c r="Q316" s="569"/>
      <c r="R316" s="569">
        <v>153.30000000000001</v>
      </c>
      <c r="S316" s="569">
        <v>16.100000000000001</v>
      </c>
      <c r="T316" s="569">
        <v>167.2</v>
      </c>
      <c r="U316" s="569">
        <v>24.6</v>
      </c>
      <c r="V316" s="569">
        <v>172.8</v>
      </c>
      <c r="W316" s="569">
        <v>18.600000000000001</v>
      </c>
      <c r="X316" s="569"/>
      <c r="Y316" s="569"/>
      <c r="Z316" s="569">
        <v>153.30000000000001</v>
      </c>
      <c r="AA316" s="569">
        <v>16.100000000000001</v>
      </c>
      <c r="AB316" s="569">
        <v>167.2</v>
      </c>
      <c r="AC316" s="569">
        <v>24.6</v>
      </c>
      <c r="AD316" s="569">
        <v>172.8</v>
      </c>
      <c r="AE316" s="569">
        <v>172.8</v>
      </c>
      <c r="AF316">
        <v>316</v>
      </c>
      <c r="AG316" s="438">
        <f>IF(INDEX(D:AE,AF316,ADP!$AF$6)=0,"",INDEX(D:AE,AF316,ADP!$AF$6)+AH316)</f>
        <v>172.80031500000001</v>
      </c>
      <c r="AH316">
        <f t="shared" si="4"/>
        <v>3.1500000000000115E-4</v>
      </c>
    </row>
    <row r="317" spans="1:34" ht="15.75" thickBot="1" x14ac:dyDescent="0.3">
      <c r="A317" s="569" t="s">
        <v>2453</v>
      </c>
      <c r="B317" s="569" t="s">
        <v>157</v>
      </c>
      <c r="C317" s="569" t="s">
        <v>6</v>
      </c>
      <c r="D317" s="569"/>
      <c r="E317" s="569"/>
      <c r="F317" s="569"/>
      <c r="G317" s="569"/>
      <c r="H317" s="569"/>
      <c r="I317" s="569"/>
      <c r="J317" s="569"/>
      <c r="K317" s="569"/>
      <c r="L317" s="569"/>
      <c r="M317" s="569"/>
      <c r="N317" s="569"/>
      <c r="O317" s="569"/>
      <c r="P317" s="569"/>
      <c r="Q317" s="569"/>
      <c r="R317" s="569"/>
      <c r="S317" s="569"/>
      <c r="T317" s="569"/>
      <c r="U317" s="569"/>
      <c r="V317" s="569"/>
      <c r="W317" s="569"/>
      <c r="X317" s="569"/>
      <c r="Y317" s="569"/>
      <c r="Z317" s="569"/>
      <c r="AA317" s="569"/>
      <c r="AB317" s="569"/>
      <c r="AC317" s="569"/>
      <c r="AD317" s="569"/>
      <c r="AE317" s="569"/>
      <c r="AF317">
        <v>317</v>
      </c>
      <c r="AG317" s="438" t="str">
        <f>IF(INDEX(D:AE,AF317,ADP!$AF$6)=0,"",INDEX(D:AE,AF317,ADP!$AF$6)+AH317)</f>
        <v/>
      </c>
      <c r="AH317">
        <f t="shared" si="4"/>
        <v>3.1600000000000118E-4</v>
      </c>
    </row>
    <row r="318" spans="1:34" ht="15.75" thickBot="1" x14ac:dyDescent="0.3">
      <c r="A318" s="569" t="s">
        <v>2454</v>
      </c>
      <c r="B318" s="569" t="s">
        <v>149</v>
      </c>
      <c r="C318" s="569" t="s">
        <v>6</v>
      </c>
      <c r="D318" s="574"/>
      <c r="E318" s="574"/>
      <c r="F318" s="574"/>
      <c r="G318" s="574"/>
      <c r="H318" s="574"/>
      <c r="I318" s="574"/>
      <c r="J318" s="574"/>
      <c r="K318" s="574"/>
      <c r="L318" s="574"/>
      <c r="M318" s="574"/>
      <c r="N318" s="574"/>
      <c r="O318" s="574"/>
      <c r="P318" s="574"/>
      <c r="Q318" s="574"/>
      <c r="R318" s="574"/>
      <c r="S318" s="574"/>
      <c r="T318" s="574"/>
      <c r="U318" s="574"/>
      <c r="V318" s="574"/>
      <c r="W318" s="574"/>
      <c r="X318" s="574"/>
      <c r="Y318" s="574"/>
      <c r="Z318" s="574"/>
      <c r="AA318" s="574"/>
      <c r="AB318" s="574"/>
      <c r="AC318" s="574"/>
      <c r="AD318" s="574"/>
      <c r="AE318" s="574"/>
      <c r="AF318">
        <v>318</v>
      </c>
      <c r="AG318" s="438" t="str">
        <f>IF(INDEX(D:AE,AF318,ADP!$AF$6)=0,"",INDEX(D:AE,AF318,ADP!$AF$6)+AH318)</f>
        <v/>
      </c>
      <c r="AH318">
        <f t="shared" si="4"/>
        <v>3.170000000000012E-4</v>
      </c>
    </row>
    <row r="319" spans="1:34" ht="15.75" thickBot="1" x14ac:dyDescent="0.3">
      <c r="A319" s="569" t="s">
        <v>2455</v>
      </c>
      <c r="B319" s="569" t="s">
        <v>143</v>
      </c>
      <c r="C319" s="569" t="s">
        <v>6</v>
      </c>
      <c r="D319" s="569"/>
      <c r="E319" s="569"/>
      <c r="F319" s="569"/>
      <c r="G319" s="569"/>
      <c r="H319" s="569"/>
      <c r="I319" s="569"/>
      <c r="J319" s="569"/>
      <c r="K319" s="569"/>
      <c r="L319" s="569"/>
      <c r="M319" s="569"/>
      <c r="N319" s="569"/>
      <c r="O319" s="569"/>
      <c r="P319" s="569"/>
      <c r="Q319" s="569"/>
      <c r="R319" s="569"/>
      <c r="S319" s="569"/>
      <c r="T319" s="569"/>
      <c r="U319" s="569"/>
      <c r="V319" s="569"/>
      <c r="W319" s="569"/>
      <c r="X319" s="569"/>
      <c r="Y319" s="569"/>
      <c r="Z319" s="569"/>
      <c r="AA319" s="569"/>
      <c r="AB319" s="569"/>
      <c r="AC319" s="569"/>
      <c r="AD319" s="569"/>
      <c r="AE319" s="569"/>
      <c r="AF319">
        <v>319</v>
      </c>
      <c r="AG319" s="438" t="str">
        <f>IF(INDEX(D:AE,AF319,ADP!$AF$6)=0,"",INDEX(D:AE,AF319,ADP!$AF$6)+AH319)</f>
        <v/>
      </c>
      <c r="AH319">
        <f t="shared" si="4"/>
        <v>3.1800000000000122E-4</v>
      </c>
    </row>
    <row r="320" spans="1:34" ht="15.75" thickBot="1" x14ac:dyDescent="0.3">
      <c r="A320" s="569" t="s">
        <v>2456</v>
      </c>
      <c r="B320" s="569" t="s">
        <v>146</v>
      </c>
      <c r="C320" s="569" t="s">
        <v>6</v>
      </c>
      <c r="D320" s="574"/>
      <c r="E320" s="574"/>
      <c r="F320" s="574"/>
      <c r="G320" s="574"/>
      <c r="H320" s="574"/>
      <c r="I320" s="574"/>
      <c r="J320" s="574"/>
      <c r="K320" s="574"/>
      <c r="L320" s="574"/>
      <c r="M320" s="574"/>
      <c r="N320" s="574"/>
      <c r="O320" s="574"/>
      <c r="P320" s="574"/>
      <c r="Q320" s="574"/>
      <c r="R320" s="574"/>
      <c r="S320" s="574"/>
      <c r="T320" s="574"/>
      <c r="U320" s="574"/>
      <c r="V320" s="574"/>
      <c r="W320" s="574"/>
      <c r="X320" s="574"/>
      <c r="Y320" s="574"/>
      <c r="Z320" s="574"/>
      <c r="AA320" s="574"/>
      <c r="AB320" s="574"/>
      <c r="AC320" s="574"/>
      <c r="AD320" s="574"/>
      <c r="AE320" s="574"/>
      <c r="AF320">
        <v>320</v>
      </c>
      <c r="AG320" s="438" t="str">
        <f>IF(INDEX(D:AE,AF320,ADP!$AF$6)=0,"",INDEX(D:AE,AF320,ADP!$AF$6)+AH320)</f>
        <v/>
      </c>
      <c r="AH320">
        <f t="shared" si="4"/>
        <v>3.1900000000000125E-4</v>
      </c>
    </row>
    <row r="321" spans="1:34" ht="15.75" thickBot="1" x14ac:dyDescent="0.3">
      <c r="A321" s="569" t="s">
        <v>2063</v>
      </c>
      <c r="B321" s="569" t="s">
        <v>142</v>
      </c>
      <c r="C321" s="569" t="s">
        <v>6</v>
      </c>
      <c r="D321" s="569"/>
      <c r="E321" s="569"/>
      <c r="F321" s="569"/>
      <c r="G321" s="569"/>
      <c r="H321" s="569"/>
      <c r="I321" s="569"/>
      <c r="J321" s="569"/>
      <c r="K321" s="569"/>
      <c r="L321" s="569"/>
      <c r="M321" s="569"/>
      <c r="N321" s="569"/>
      <c r="O321" s="569"/>
      <c r="P321" s="569"/>
      <c r="Q321" s="569"/>
      <c r="R321" s="569"/>
      <c r="S321" s="569"/>
      <c r="T321" s="569"/>
      <c r="U321" s="569"/>
      <c r="V321" s="569"/>
      <c r="W321" s="569"/>
      <c r="X321" s="569"/>
      <c r="Y321" s="569"/>
      <c r="Z321" s="569"/>
      <c r="AA321" s="569"/>
      <c r="AB321" s="569"/>
      <c r="AC321" s="569"/>
      <c r="AD321" s="569"/>
      <c r="AE321" s="569"/>
      <c r="AF321">
        <v>321</v>
      </c>
      <c r="AG321" s="438" t="str">
        <f>IF(INDEX(D:AE,AF321,ADP!$AF$6)=0,"",INDEX(D:AE,AF321,ADP!$AF$6)+AH321)</f>
        <v/>
      </c>
      <c r="AH321">
        <f t="shared" si="4"/>
        <v>3.2000000000000127E-4</v>
      </c>
    </row>
    <row r="322" spans="1:34" ht="15.75" thickBot="1" x14ac:dyDescent="0.3">
      <c r="A322" s="569" t="s">
        <v>1828</v>
      </c>
      <c r="B322" s="569" t="s">
        <v>151</v>
      </c>
      <c r="C322" s="569" t="s">
        <v>11</v>
      </c>
      <c r="D322" s="569"/>
      <c r="E322" s="569"/>
      <c r="F322" s="569"/>
      <c r="G322" s="569"/>
      <c r="H322" s="569"/>
      <c r="I322" s="569"/>
      <c r="J322" s="569"/>
      <c r="K322" s="569"/>
      <c r="L322" s="569"/>
      <c r="M322" s="569"/>
      <c r="N322" s="569"/>
      <c r="O322" s="569"/>
      <c r="P322" s="569"/>
      <c r="Q322" s="569"/>
      <c r="R322" s="569"/>
      <c r="S322" s="569"/>
      <c r="T322" s="569"/>
      <c r="U322" s="569"/>
      <c r="V322" s="569"/>
      <c r="W322" s="569"/>
      <c r="X322" s="569"/>
      <c r="Y322" s="569"/>
      <c r="Z322" s="569"/>
      <c r="AA322" s="569"/>
      <c r="AB322" s="569"/>
      <c r="AC322" s="569"/>
      <c r="AD322" s="569"/>
      <c r="AE322" s="569"/>
      <c r="AF322">
        <v>322</v>
      </c>
      <c r="AG322" s="438" t="str">
        <f>IF(INDEX(D:AE,AF322,ADP!$AF$6)=0,"",INDEX(D:AE,AF322,ADP!$AF$6)+AH322)</f>
        <v/>
      </c>
      <c r="AH322">
        <f t="shared" si="4"/>
        <v>3.210000000000013E-4</v>
      </c>
    </row>
    <row r="323" spans="1:34" ht="15.75" thickBot="1" x14ac:dyDescent="0.3">
      <c r="A323" s="569" t="s">
        <v>2457</v>
      </c>
      <c r="B323" s="569" t="s">
        <v>152</v>
      </c>
      <c r="C323" s="569" t="s">
        <v>7</v>
      </c>
      <c r="D323" s="569"/>
      <c r="E323" s="569"/>
      <c r="F323" s="569"/>
      <c r="G323" s="569"/>
      <c r="H323" s="569"/>
      <c r="I323" s="569"/>
      <c r="J323" s="569"/>
      <c r="K323" s="569"/>
      <c r="L323" s="569"/>
      <c r="M323" s="569"/>
      <c r="N323" s="569"/>
      <c r="O323" s="569"/>
      <c r="P323" s="569"/>
      <c r="Q323" s="569"/>
      <c r="R323" s="569"/>
      <c r="S323" s="569"/>
      <c r="T323" s="569"/>
      <c r="U323" s="569"/>
      <c r="V323" s="569"/>
      <c r="W323" s="569"/>
      <c r="X323" s="569"/>
      <c r="Y323" s="569"/>
      <c r="Z323" s="569"/>
      <c r="AA323" s="569"/>
      <c r="AB323" s="569"/>
      <c r="AC323" s="569"/>
      <c r="AD323" s="569"/>
      <c r="AE323" s="569"/>
      <c r="AF323">
        <v>323</v>
      </c>
      <c r="AG323" s="438" t="str">
        <f>IF(INDEX(D:AE,AF323,ADP!$AF$6)=0,"",INDEX(D:AE,AF323,ADP!$AF$6)+AH323)</f>
        <v/>
      </c>
      <c r="AH323">
        <f t="shared" si="4"/>
        <v>3.2200000000000132E-4</v>
      </c>
    </row>
    <row r="324" spans="1:34" ht="15.75" thickBot="1" x14ac:dyDescent="0.3">
      <c r="A324" s="569" t="s">
        <v>2203</v>
      </c>
      <c r="B324" s="569" t="s">
        <v>136</v>
      </c>
      <c r="C324" s="569" t="s">
        <v>6</v>
      </c>
      <c r="D324" s="569">
        <v>111.8</v>
      </c>
      <c r="E324" s="569">
        <v>8.6</v>
      </c>
      <c r="F324" s="569">
        <v>98.1</v>
      </c>
      <c r="G324" s="569">
        <v>7.3</v>
      </c>
      <c r="H324" s="569">
        <v>100</v>
      </c>
      <c r="I324" s="569">
        <v>8.6</v>
      </c>
      <c r="J324" s="569">
        <v>111.8</v>
      </c>
      <c r="K324" s="569">
        <v>8.6</v>
      </c>
      <c r="L324" s="569">
        <v>98.1</v>
      </c>
      <c r="M324" s="569">
        <v>7.3</v>
      </c>
      <c r="N324" s="569">
        <v>100</v>
      </c>
      <c r="O324" s="569">
        <v>8.6</v>
      </c>
      <c r="P324" s="569">
        <v>121.5</v>
      </c>
      <c r="Q324" s="569">
        <v>10.7</v>
      </c>
      <c r="R324" s="569">
        <v>111.8</v>
      </c>
      <c r="S324" s="569">
        <v>8.6</v>
      </c>
      <c r="T324" s="569">
        <v>98.1</v>
      </c>
      <c r="U324" s="569">
        <v>7.3</v>
      </c>
      <c r="V324" s="569">
        <v>100</v>
      </c>
      <c r="W324" s="569">
        <v>8.6</v>
      </c>
      <c r="X324" s="569">
        <v>121.5</v>
      </c>
      <c r="Y324" s="569">
        <v>10.7</v>
      </c>
      <c r="Z324" s="569">
        <v>111.8</v>
      </c>
      <c r="AA324" s="569">
        <v>8.6</v>
      </c>
      <c r="AB324" s="569">
        <v>98.1</v>
      </c>
      <c r="AC324" s="569">
        <v>7.3</v>
      </c>
      <c r="AD324" s="569">
        <v>100</v>
      </c>
      <c r="AE324" s="569">
        <v>100</v>
      </c>
      <c r="AF324">
        <v>324</v>
      </c>
      <c r="AG324" s="438">
        <f>IF(INDEX(D:AE,AF324,ADP!$AF$6)=0,"",INDEX(D:AE,AF324,ADP!$AF$6)+AH324)</f>
        <v>100.00032299999999</v>
      </c>
      <c r="AH324">
        <f t="shared" si="4"/>
        <v>3.2300000000000135E-4</v>
      </c>
    </row>
    <row r="325" spans="1:34" ht="15.75" thickBot="1" x14ac:dyDescent="0.3">
      <c r="A325" s="569" t="s">
        <v>2215</v>
      </c>
      <c r="B325" s="569" t="s">
        <v>143</v>
      </c>
      <c r="C325" s="569" t="s">
        <v>7</v>
      </c>
      <c r="D325" s="569"/>
      <c r="E325" s="569"/>
      <c r="F325" s="569"/>
      <c r="G325" s="569"/>
      <c r="H325" s="569"/>
      <c r="I325" s="569"/>
      <c r="J325" s="569"/>
      <c r="K325" s="569"/>
      <c r="L325" s="569"/>
      <c r="M325" s="569"/>
      <c r="N325" s="569"/>
      <c r="O325" s="569"/>
      <c r="P325" s="569"/>
      <c r="Q325" s="569"/>
      <c r="R325" s="569"/>
      <c r="S325" s="569"/>
      <c r="T325" s="569"/>
      <c r="U325" s="569"/>
      <c r="V325" s="569"/>
      <c r="W325" s="569"/>
      <c r="X325" s="569"/>
      <c r="Y325" s="569"/>
      <c r="Z325" s="569"/>
      <c r="AA325" s="569"/>
      <c r="AB325" s="569"/>
      <c r="AC325" s="569"/>
      <c r="AD325" s="569"/>
      <c r="AE325" s="569"/>
      <c r="AF325">
        <v>325</v>
      </c>
      <c r="AG325" s="438" t="str">
        <f>IF(INDEX(D:AE,AF325,ADP!$AF$6)=0,"",INDEX(D:AE,AF325,ADP!$AF$6)+AH325)</f>
        <v/>
      </c>
      <c r="AH325">
        <f t="shared" si="4"/>
        <v>3.2400000000000137E-4</v>
      </c>
    </row>
    <row r="326" spans="1:34" ht="15.75" thickBot="1" x14ac:dyDescent="0.3">
      <c r="A326" s="569" t="s">
        <v>2350</v>
      </c>
      <c r="B326" s="569" t="s">
        <v>136</v>
      </c>
      <c r="C326" s="569" t="s">
        <v>6</v>
      </c>
      <c r="D326" s="569"/>
      <c r="E326" s="569"/>
      <c r="F326" s="569">
        <v>169.2</v>
      </c>
      <c r="G326" s="569">
        <v>21.9</v>
      </c>
      <c r="H326" s="569">
        <v>158.69999999999999</v>
      </c>
      <c r="I326" s="569">
        <v>20.2</v>
      </c>
      <c r="J326" s="569"/>
      <c r="K326" s="569"/>
      <c r="L326" s="569">
        <v>169.2</v>
      </c>
      <c r="M326" s="569">
        <v>21.9</v>
      </c>
      <c r="N326" s="569">
        <v>158.69999999999999</v>
      </c>
      <c r="O326" s="569">
        <v>20.2</v>
      </c>
      <c r="P326" s="569"/>
      <c r="Q326" s="569"/>
      <c r="R326" s="569"/>
      <c r="S326" s="569"/>
      <c r="T326" s="569">
        <v>169.2</v>
      </c>
      <c r="U326" s="569">
        <v>21.9</v>
      </c>
      <c r="V326" s="569">
        <v>158.69999999999999</v>
      </c>
      <c r="W326" s="569">
        <v>20.2</v>
      </c>
      <c r="X326" s="569"/>
      <c r="Y326" s="569"/>
      <c r="Z326" s="569"/>
      <c r="AA326" s="569"/>
      <c r="AB326" s="569">
        <v>169.2</v>
      </c>
      <c r="AC326" s="569">
        <v>21.9</v>
      </c>
      <c r="AD326" s="569">
        <v>158.69999999999999</v>
      </c>
      <c r="AE326" s="569">
        <v>158.69999999999999</v>
      </c>
      <c r="AF326">
        <v>326</v>
      </c>
      <c r="AG326" s="438">
        <f>IF(INDEX(D:AE,AF326,ADP!$AF$6)=0,"",INDEX(D:AE,AF326,ADP!$AF$6)+AH326)</f>
        <v>158.70032499999999</v>
      </c>
      <c r="AH326">
        <f t="shared" ref="AH326:AH389" si="5">AH325+0.000001</f>
        <v>3.2500000000000139E-4</v>
      </c>
    </row>
    <row r="327" spans="1:34" ht="15.75" thickBot="1" x14ac:dyDescent="0.3">
      <c r="A327" s="569" t="s">
        <v>1804</v>
      </c>
      <c r="B327" s="569" t="s">
        <v>136</v>
      </c>
      <c r="C327" s="569" t="s">
        <v>6</v>
      </c>
      <c r="D327" s="569"/>
      <c r="E327" s="569"/>
      <c r="F327" s="569"/>
      <c r="G327" s="569"/>
      <c r="H327" s="569"/>
      <c r="I327" s="569"/>
      <c r="J327" s="569"/>
      <c r="K327" s="569"/>
      <c r="L327" s="569"/>
      <c r="M327" s="569"/>
      <c r="N327" s="569"/>
      <c r="O327" s="569"/>
      <c r="P327" s="569"/>
      <c r="Q327" s="569"/>
      <c r="R327" s="569"/>
      <c r="S327" s="569"/>
      <c r="T327" s="569"/>
      <c r="U327" s="569"/>
      <c r="V327" s="569"/>
      <c r="W327" s="569"/>
      <c r="X327" s="569"/>
      <c r="Y327" s="569"/>
      <c r="Z327" s="569"/>
      <c r="AA327" s="569"/>
      <c r="AB327" s="569"/>
      <c r="AC327" s="569"/>
      <c r="AD327" s="569"/>
      <c r="AE327" s="569"/>
      <c r="AF327">
        <v>327</v>
      </c>
      <c r="AG327" s="438" t="str">
        <f>IF(INDEX(D:AE,AF327,ADP!$AF$6)=0,"",INDEX(D:AE,AF327,ADP!$AF$6)+AH327)</f>
        <v/>
      </c>
      <c r="AH327">
        <f t="shared" si="5"/>
        <v>3.2600000000000142E-4</v>
      </c>
    </row>
    <row r="328" spans="1:34" ht="15.75" thickBot="1" x14ac:dyDescent="0.3">
      <c r="A328" s="569" t="s">
        <v>19</v>
      </c>
      <c r="B328" s="569" t="s">
        <v>162</v>
      </c>
      <c r="C328" s="569" t="s">
        <v>11</v>
      </c>
      <c r="D328" s="569">
        <v>137</v>
      </c>
      <c r="E328" s="569">
        <v>19</v>
      </c>
      <c r="F328" s="569">
        <v>138.4</v>
      </c>
      <c r="G328" s="569">
        <v>17.399999999999999</v>
      </c>
      <c r="H328" s="569">
        <v>135.5</v>
      </c>
      <c r="I328" s="569">
        <v>17.899999999999999</v>
      </c>
      <c r="J328" s="569">
        <v>137</v>
      </c>
      <c r="K328" s="569">
        <v>19</v>
      </c>
      <c r="L328" s="569">
        <v>138.4</v>
      </c>
      <c r="M328" s="569">
        <v>17.399999999999999</v>
      </c>
      <c r="N328" s="569">
        <v>135.5</v>
      </c>
      <c r="O328" s="569">
        <v>17.899999999999999</v>
      </c>
      <c r="P328" s="569">
        <v>131.19999999999999</v>
      </c>
      <c r="Q328" s="569">
        <v>13.2</v>
      </c>
      <c r="R328" s="569">
        <v>137</v>
      </c>
      <c r="S328" s="569">
        <v>19</v>
      </c>
      <c r="T328" s="569">
        <v>138.4</v>
      </c>
      <c r="U328" s="569">
        <v>17.399999999999999</v>
      </c>
      <c r="V328" s="569">
        <v>135.5</v>
      </c>
      <c r="W328" s="569">
        <v>17.899999999999999</v>
      </c>
      <c r="X328" s="569">
        <v>131.19999999999999</v>
      </c>
      <c r="Y328" s="569">
        <v>13.2</v>
      </c>
      <c r="Z328" s="569">
        <v>137</v>
      </c>
      <c r="AA328" s="569">
        <v>19</v>
      </c>
      <c r="AB328" s="569">
        <v>138.4</v>
      </c>
      <c r="AC328" s="569">
        <v>17.399999999999999</v>
      </c>
      <c r="AD328" s="569">
        <v>135.5</v>
      </c>
      <c r="AE328" s="569">
        <v>135.5</v>
      </c>
      <c r="AF328">
        <v>328</v>
      </c>
      <c r="AG328" s="438">
        <f>IF(INDEX(D:AE,AF328,ADP!$AF$6)=0,"",INDEX(D:AE,AF328,ADP!$AF$6)+AH328)</f>
        <v>135.500327</v>
      </c>
      <c r="AH328">
        <f t="shared" si="5"/>
        <v>3.2700000000000144E-4</v>
      </c>
    </row>
    <row r="329" spans="1:34" ht="15.75" thickBot="1" x14ac:dyDescent="0.3">
      <c r="A329" s="569" t="s">
        <v>2458</v>
      </c>
      <c r="B329" s="569" t="s">
        <v>156</v>
      </c>
      <c r="C329" s="569" t="s">
        <v>6</v>
      </c>
      <c r="D329" s="569"/>
      <c r="E329" s="569"/>
      <c r="F329" s="569"/>
      <c r="G329" s="569"/>
      <c r="H329" s="569"/>
      <c r="I329" s="569"/>
      <c r="J329" s="569"/>
      <c r="K329" s="569"/>
      <c r="L329" s="569"/>
      <c r="M329" s="569"/>
      <c r="N329" s="569"/>
      <c r="O329" s="569"/>
      <c r="P329" s="569"/>
      <c r="Q329" s="569"/>
      <c r="R329" s="569"/>
      <c r="S329" s="569"/>
      <c r="T329" s="569"/>
      <c r="U329" s="569"/>
      <c r="V329" s="569"/>
      <c r="W329" s="569"/>
      <c r="X329" s="569"/>
      <c r="Y329" s="569"/>
      <c r="Z329" s="569"/>
      <c r="AA329" s="569"/>
      <c r="AB329" s="569"/>
      <c r="AC329" s="569"/>
      <c r="AD329" s="569"/>
      <c r="AE329" s="569"/>
      <c r="AF329">
        <v>329</v>
      </c>
      <c r="AG329" s="438" t="str">
        <f>IF(INDEX(D:AE,AF329,ADP!$AF$6)=0,"",INDEX(D:AE,AF329,ADP!$AF$6)+AH329)</f>
        <v/>
      </c>
      <c r="AH329">
        <f t="shared" si="5"/>
        <v>3.2800000000000147E-4</v>
      </c>
    </row>
    <row r="330" spans="1:34" ht="15.75" thickBot="1" x14ac:dyDescent="0.3">
      <c r="A330" s="569" t="s">
        <v>2081</v>
      </c>
      <c r="B330" s="569" t="s">
        <v>138</v>
      </c>
      <c r="C330" s="569" t="s">
        <v>6</v>
      </c>
      <c r="D330" s="574">
        <v>2.1</v>
      </c>
      <c r="E330" s="574">
        <v>1</v>
      </c>
      <c r="F330" s="574">
        <v>1.4</v>
      </c>
      <c r="G330" s="574">
        <v>0.8</v>
      </c>
      <c r="H330" s="574">
        <v>1.5</v>
      </c>
      <c r="I330" s="574">
        <v>0.7</v>
      </c>
      <c r="J330" s="574">
        <v>2.1</v>
      </c>
      <c r="K330" s="574">
        <v>1</v>
      </c>
      <c r="L330" s="574">
        <v>1.4</v>
      </c>
      <c r="M330" s="574">
        <v>0.8</v>
      </c>
      <c r="N330" s="574">
        <v>1.5</v>
      </c>
      <c r="O330" s="574">
        <v>0.7</v>
      </c>
      <c r="P330" s="574">
        <v>2.7</v>
      </c>
      <c r="Q330" s="574">
        <v>1.3</v>
      </c>
      <c r="R330" s="574">
        <v>2.1</v>
      </c>
      <c r="S330" s="574">
        <v>1</v>
      </c>
      <c r="T330" s="574">
        <v>1.4</v>
      </c>
      <c r="U330" s="574">
        <v>0.8</v>
      </c>
      <c r="V330" s="574">
        <v>1.5</v>
      </c>
      <c r="W330" s="574">
        <v>0.7</v>
      </c>
      <c r="X330" s="574">
        <v>2.7</v>
      </c>
      <c r="Y330" s="574">
        <v>1.3</v>
      </c>
      <c r="Z330" s="574">
        <v>2.1</v>
      </c>
      <c r="AA330" s="574">
        <v>1</v>
      </c>
      <c r="AB330" s="574">
        <v>1.4</v>
      </c>
      <c r="AC330" s="574">
        <v>0.8</v>
      </c>
      <c r="AD330" s="574">
        <v>1.5</v>
      </c>
      <c r="AE330" s="574">
        <v>1.5</v>
      </c>
      <c r="AF330">
        <v>330</v>
      </c>
      <c r="AG330" s="438">
        <f>IF(INDEX(D:AE,AF330,ADP!$AF$6)=0,"",INDEX(D:AE,AF330,ADP!$AF$6)+AH330)</f>
        <v>1.500329</v>
      </c>
      <c r="AH330">
        <f t="shared" si="5"/>
        <v>3.2900000000000149E-4</v>
      </c>
    </row>
    <row r="331" spans="1:34" ht="15.75" thickBot="1" x14ac:dyDescent="0.3">
      <c r="A331" s="569" t="s">
        <v>2102</v>
      </c>
      <c r="B331" s="569" t="s">
        <v>1388</v>
      </c>
      <c r="C331" s="569" t="s">
        <v>1</v>
      </c>
      <c r="D331" s="574">
        <v>62.2</v>
      </c>
      <c r="E331" s="574">
        <v>8.6</v>
      </c>
      <c r="F331" s="574">
        <v>45</v>
      </c>
      <c r="G331" s="574">
        <v>5.4</v>
      </c>
      <c r="H331" s="574">
        <v>50.1</v>
      </c>
      <c r="I331" s="574">
        <v>5.9</v>
      </c>
      <c r="J331" s="574">
        <v>62.2</v>
      </c>
      <c r="K331" s="574">
        <v>8.6</v>
      </c>
      <c r="L331" s="574">
        <v>45</v>
      </c>
      <c r="M331" s="574">
        <v>5.4</v>
      </c>
      <c r="N331" s="574">
        <v>50.1</v>
      </c>
      <c r="O331" s="574">
        <v>5.9</v>
      </c>
      <c r="P331" s="574">
        <v>10.199999999999999</v>
      </c>
      <c r="Q331" s="574">
        <v>2.9</v>
      </c>
      <c r="R331" s="574">
        <v>62.2</v>
      </c>
      <c r="S331" s="574">
        <v>8.6</v>
      </c>
      <c r="T331" s="574">
        <v>45</v>
      </c>
      <c r="U331" s="574">
        <v>5.4</v>
      </c>
      <c r="V331" s="574">
        <v>50.1</v>
      </c>
      <c r="W331" s="574">
        <v>5.9</v>
      </c>
      <c r="X331" s="574">
        <v>10.199999999999999</v>
      </c>
      <c r="Y331" s="574">
        <v>2.9</v>
      </c>
      <c r="Z331" s="574">
        <v>62.2</v>
      </c>
      <c r="AA331" s="574">
        <v>8.6</v>
      </c>
      <c r="AB331" s="574">
        <v>45</v>
      </c>
      <c r="AC331" s="574">
        <v>5.4</v>
      </c>
      <c r="AD331" s="574">
        <v>50.1</v>
      </c>
      <c r="AE331" s="574">
        <v>50.1</v>
      </c>
      <c r="AF331">
        <v>331</v>
      </c>
      <c r="AG331" s="438">
        <f>IF(INDEX(D:AE,AF331,ADP!$AF$6)=0,"",INDEX(D:AE,AF331,ADP!$AF$6)+AH331)</f>
        <v>50.10033</v>
      </c>
      <c r="AH331">
        <f t="shared" si="5"/>
        <v>3.3000000000000152E-4</v>
      </c>
    </row>
    <row r="332" spans="1:34" ht="15.75" thickBot="1" x14ac:dyDescent="0.3">
      <c r="A332" s="569" t="s">
        <v>2156</v>
      </c>
      <c r="B332" s="569" t="s">
        <v>141</v>
      </c>
      <c r="C332" s="569" t="s">
        <v>1</v>
      </c>
      <c r="D332" s="574">
        <v>57.5</v>
      </c>
      <c r="E332" s="574">
        <v>8.6999999999999993</v>
      </c>
      <c r="F332" s="574">
        <v>47.2</v>
      </c>
      <c r="G332" s="574">
        <v>5.9</v>
      </c>
      <c r="H332" s="574">
        <v>48.7</v>
      </c>
      <c r="I332" s="574">
        <v>6.6</v>
      </c>
      <c r="J332" s="574">
        <v>57.5</v>
      </c>
      <c r="K332" s="574">
        <v>8.6999999999999993</v>
      </c>
      <c r="L332" s="574">
        <v>47.2</v>
      </c>
      <c r="M332" s="574">
        <v>5.9</v>
      </c>
      <c r="N332" s="574">
        <v>48.7</v>
      </c>
      <c r="O332" s="574">
        <v>6.6</v>
      </c>
      <c r="P332" s="569">
        <v>15.2</v>
      </c>
      <c r="Q332" s="569">
        <v>4.0999999999999996</v>
      </c>
      <c r="R332" s="574">
        <v>57.5</v>
      </c>
      <c r="S332" s="574">
        <v>8.6999999999999993</v>
      </c>
      <c r="T332" s="574">
        <v>47.2</v>
      </c>
      <c r="U332" s="574">
        <v>5.9</v>
      </c>
      <c r="V332" s="574">
        <v>48.7</v>
      </c>
      <c r="W332" s="574">
        <v>6.6</v>
      </c>
      <c r="X332" s="569">
        <v>15.2</v>
      </c>
      <c r="Y332" s="569">
        <v>4.0999999999999996</v>
      </c>
      <c r="Z332" s="574">
        <v>57.5</v>
      </c>
      <c r="AA332" s="574">
        <v>8.6999999999999993</v>
      </c>
      <c r="AB332" s="574">
        <v>47.2</v>
      </c>
      <c r="AC332" s="574">
        <v>5.9</v>
      </c>
      <c r="AD332" s="574">
        <v>48.7</v>
      </c>
      <c r="AE332" s="574">
        <v>48.7</v>
      </c>
      <c r="AF332">
        <v>332</v>
      </c>
      <c r="AG332" s="438">
        <f>IF(INDEX(D:AE,AF332,ADP!$AF$6)=0,"",INDEX(D:AE,AF332,ADP!$AF$6)+AH332)</f>
        <v>48.700331000000006</v>
      </c>
      <c r="AH332">
        <f t="shared" si="5"/>
        <v>3.3100000000000154E-4</v>
      </c>
    </row>
    <row r="333" spans="1:34" ht="15.75" thickBot="1" x14ac:dyDescent="0.3">
      <c r="A333" s="569" t="s">
        <v>1869</v>
      </c>
      <c r="B333" s="569" t="s">
        <v>162</v>
      </c>
      <c r="C333" s="569" t="s">
        <v>3</v>
      </c>
      <c r="D333" s="574"/>
      <c r="E333" s="574"/>
      <c r="F333" s="574"/>
      <c r="G333" s="574"/>
      <c r="H333" s="574"/>
      <c r="I333" s="574"/>
      <c r="J333" s="574"/>
      <c r="K333" s="574"/>
      <c r="L333" s="574"/>
      <c r="M333" s="574"/>
      <c r="N333" s="574"/>
      <c r="O333" s="574"/>
      <c r="P333" s="574"/>
      <c r="Q333" s="574"/>
      <c r="R333" s="574"/>
      <c r="S333" s="574"/>
      <c r="T333" s="574"/>
      <c r="U333" s="574"/>
      <c r="V333" s="574"/>
      <c r="W333" s="574"/>
      <c r="X333" s="574"/>
      <c r="Y333" s="574"/>
      <c r="Z333" s="574"/>
      <c r="AA333" s="574"/>
      <c r="AB333" s="574"/>
      <c r="AC333" s="574"/>
      <c r="AD333" s="574"/>
      <c r="AE333" s="574"/>
      <c r="AF333">
        <v>333</v>
      </c>
      <c r="AG333" s="438" t="str">
        <f>IF(INDEX(D:AE,AF333,ADP!$AF$6)=0,"",INDEX(D:AE,AF333,ADP!$AF$6)+AH333)</f>
        <v/>
      </c>
      <c r="AH333">
        <f t="shared" si="5"/>
        <v>3.3200000000000156E-4</v>
      </c>
    </row>
    <row r="334" spans="1:34" ht="15.75" thickBot="1" x14ac:dyDescent="0.3">
      <c r="A334" s="569" t="s">
        <v>2459</v>
      </c>
      <c r="B334" s="569" t="s">
        <v>163</v>
      </c>
      <c r="C334" s="569" t="s">
        <v>3</v>
      </c>
      <c r="D334" s="569"/>
      <c r="E334" s="569"/>
      <c r="F334" s="569"/>
      <c r="G334" s="569"/>
      <c r="H334" s="569"/>
      <c r="I334" s="569"/>
      <c r="J334" s="569"/>
      <c r="K334" s="569"/>
      <c r="L334" s="569"/>
      <c r="M334" s="569"/>
      <c r="N334" s="569"/>
      <c r="O334" s="569"/>
      <c r="P334" s="569"/>
      <c r="Q334" s="569"/>
      <c r="R334" s="569"/>
      <c r="S334" s="569"/>
      <c r="T334" s="569"/>
      <c r="U334" s="569"/>
      <c r="V334" s="569"/>
      <c r="W334" s="569"/>
      <c r="X334" s="569"/>
      <c r="Y334" s="569"/>
      <c r="Z334" s="569"/>
      <c r="AA334" s="569"/>
      <c r="AB334" s="569"/>
      <c r="AC334" s="569"/>
      <c r="AD334" s="569"/>
      <c r="AE334" s="569"/>
      <c r="AF334">
        <v>334</v>
      </c>
      <c r="AG334" s="438" t="str">
        <f>IF(INDEX(D:AE,AF334,ADP!$AF$6)=0,"",INDEX(D:AE,AF334,ADP!$AF$6)+AH334)</f>
        <v/>
      </c>
      <c r="AH334">
        <f t="shared" si="5"/>
        <v>3.3300000000000159E-4</v>
      </c>
    </row>
    <row r="335" spans="1:34" ht="15.75" thickBot="1" x14ac:dyDescent="0.3">
      <c r="A335" s="569" t="s">
        <v>1441</v>
      </c>
      <c r="B335" s="569" t="s">
        <v>157</v>
      </c>
      <c r="C335" s="569" t="s">
        <v>6</v>
      </c>
      <c r="D335" s="574">
        <v>110.8</v>
      </c>
      <c r="E335" s="574">
        <v>5.6</v>
      </c>
      <c r="F335" s="574">
        <v>110.9</v>
      </c>
      <c r="G335" s="574">
        <v>7.7</v>
      </c>
      <c r="H335" s="574">
        <v>93.5</v>
      </c>
      <c r="I335" s="574">
        <v>8.5</v>
      </c>
      <c r="J335" s="574">
        <v>110.8</v>
      </c>
      <c r="K335" s="574">
        <v>5.6</v>
      </c>
      <c r="L335" s="574">
        <v>110.9</v>
      </c>
      <c r="M335" s="574">
        <v>7.7</v>
      </c>
      <c r="N335" s="574">
        <v>93.5</v>
      </c>
      <c r="O335" s="574">
        <v>8.5</v>
      </c>
      <c r="P335" s="574">
        <v>103.1</v>
      </c>
      <c r="Q335" s="574">
        <v>10.8</v>
      </c>
      <c r="R335" s="574">
        <v>110.8</v>
      </c>
      <c r="S335" s="574">
        <v>5.6</v>
      </c>
      <c r="T335" s="574">
        <v>110.9</v>
      </c>
      <c r="U335" s="574">
        <v>7.7</v>
      </c>
      <c r="V335" s="574">
        <v>93.5</v>
      </c>
      <c r="W335" s="574">
        <v>8.5</v>
      </c>
      <c r="X335" s="574">
        <v>103.1</v>
      </c>
      <c r="Y335" s="574">
        <v>10.8</v>
      </c>
      <c r="Z335" s="574">
        <v>110.8</v>
      </c>
      <c r="AA335" s="574">
        <v>5.6</v>
      </c>
      <c r="AB335" s="574">
        <v>110.9</v>
      </c>
      <c r="AC335" s="574">
        <v>7.7</v>
      </c>
      <c r="AD335" s="574">
        <v>93.5</v>
      </c>
      <c r="AE335" s="574">
        <v>93.5</v>
      </c>
      <c r="AF335">
        <v>335</v>
      </c>
      <c r="AG335" s="438">
        <f>IF(INDEX(D:AE,AF335,ADP!$AF$6)=0,"",INDEX(D:AE,AF335,ADP!$AF$6)+AH335)</f>
        <v>93.500333999999995</v>
      </c>
      <c r="AH335">
        <f t="shared" si="5"/>
        <v>3.3400000000000161E-4</v>
      </c>
    </row>
    <row r="336" spans="1:34" ht="15.75" thickBot="1" x14ac:dyDescent="0.3">
      <c r="A336" s="569" t="s">
        <v>2145</v>
      </c>
      <c r="B336" s="569" t="s">
        <v>139</v>
      </c>
      <c r="C336" s="569" t="s">
        <v>7</v>
      </c>
      <c r="D336" s="569"/>
      <c r="E336" s="569"/>
      <c r="F336" s="569"/>
      <c r="G336" s="569"/>
      <c r="H336" s="569"/>
      <c r="I336" s="569"/>
      <c r="J336" s="569"/>
      <c r="K336" s="569"/>
      <c r="L336" s="569"/>
      <c r="M336" s="569"/>
      <c r="N336" s="569"/>
      <c r="O336" s="569"/>
      <c r="P336" s="569"/>
      <c r="Q336" s="569"/>
      <c r="R336" s="569"/>
      <c r="S336" s="569"/>
      <c r="T336" s="569"/>
      <c r="U336" s="569"/>
      <c r="V336" s="569"/>
      <c r="W336" s="569"/>
      <c r="X336" s="569"/>
      <c r="Y336" s="569"/>
      <c r="Z336" s="569"/>
      <c r="AA336" s="569"/>
      <c r="AB336" s="569"/>
      <c r="AC336" s="569"/>
      <c r="AD336" s="569"/>
      <c r="AE336" s="569"/>
      <c r="AF336">
        <v>336</v>
      </c>
      <c r="AG336" s="438" t="str">
        <f>IF(INDEX(D:AE,AF336,ADP!$AF$6)=0,"",INDEX(D:AE,AF336,ADP!$AF$6)+AH336)</f>
        <v/>
      </c>
      <c r="AH336">
        <f t="shared" si="5"/>
        <v>3.3500000000000164E-4</v>
      </c>
    </row>
    <row r="337" spans="1:34" ht="15.75" thickBot="1" x14ac:dyDescent="0.3">
      <c r="A337" s="569" t="s">
        <v>2329</v>
      </c>
      <c r="B337" s="569" t="s">
        <v>1388</v>
      </c>
      <c r="C337" s="569" t="s">
        <v>6</v>
      </c>
      <c r="D337" s="574"/>
      <c r="E337" s="574"/>
      <c r="F337" s="574"/>
      <c r="G337" s="574"/>
      <c r="H337" s="574"/>
      <c r="I337" s="574"/>
      <c r="J337" s="574"/>
      <c r="K337" s="574"/>
      <c r="L337" s="574"/>
      <c r="M337" s="574"/>
      <c r="N337" s="574"/>
      <c r="O337" s="574"/>
      <c r="P337" s="574"/>
      <c r="Q337" s="574"/>
      <c r="R337" s="574"/>
      <c r="S337" s="574"/>
      <c r="T337" s="574"/>
      <c r="U337" s="574"/>
      <c r="V337" s="574"/>
      <c r="W337" s="574"/>
      <c r="X337" s="574"/>
      <c r="Y337" s="574"/>
      <c r="Z337" s="574"/>
      <c r="AA337" s="574"/>
      <c r="AB337" s="574"/>
      <c r="AC337" s="574"/>
      <c r="AD337" s="574"/>
      <c r="AE337" s="574"/>
      <c r="AF337">
        <v>337</v>
      </c>
      <c r="AG337" s="438" t="str">
        <f>IF(INDEX(D:AE,AF337,ADP!$AF$6)=0,"",INDEX(D:AE,AF337,ADP!$AF$6)+AH337)</f>
        <v/>
      </c>
      <c r="AH337">
        <f t="shared" si="5"/>
        <v>3.3600000000000166E-4</v>
      </c>
    </row>
    <row r="338" spans="1:34" ht="15.75" thickBot="1" x14ac:dyDescent="0.3">
      <c r="A338" s="569" t="s">
        <v>2093</v>
      </c>
      <c r="B338" s="569" t="s">
        <v>1388</v>
      </c>
      <c r="C338" s="569" t="s">
        <v>3</v>
      </c>
      <c r="D338" s="574"/>
      <c r="E338" s="574"/>
      <c r="F338" s="574"/>
      <c r="G338" s="574"/>
      <c r="H338" s="574"/>
      <c r="I338" s="574"/>
      <c r="J338" s="574"/>
      <c r="K338" s="574"/>
      <c r="L338" s="574"/>
      <c r="M338" s="574"/>
      <c r="N338" s="574"/>
      <c r="O338" s="574"/>
      <c r="P338" s="574"/>
      <c r="Q338" s="574"/>
      <c r="R338" s="574"/>
      <c r="S338" s="574"/>
      <c r="T338" s="574"/>
      <c r="U338" s="574"/>
      <c r="V338" s="574"/>
      <c r="W338" s="574"/>
      <c r="X338" s="574"/>
      <c r="Y338" s="574"/>
      <c r="Z338" s="574"/>
      <c r="AA338" s="574"/>
      <c r="AB338" s="574"/>
      <c r="AC338" s="574"/>
      <c r="AD338" s="574"/>
      <c r="AE338" s="574"/>
      <c r="AF338">
        <v>338</v>
      </c>
      <c r="AG338" s="438" t="str">
        <f>IF(INDEX(D:AE,AF338,ADP!$AF$6)=0,"",INDEX(D:AE,AF338,ADP!$AF$6)+AH338)</f>
        <v/>
      </c>
      <c r="AH338">
        <f t="shared" si="5"/>
        <v>3.3700000000000169E-4</v>
      </c>
    </row>
    <row r="339" spans="1:34" ht="15.75" thickBot="1" x14ac:dyDescent="0.3">
      <c r="A339" s="569" t="s">
        <v>2169</v>
      </c>
      <c r="B339" s="569" t="s">
        <v>161</v>
      </c>
      <c r="C339" s="569" t="s">
        <v>1</v>
      </c>
      <c r="D339" s="569"/>
      <c r="E339" s="569"/>
      <c r="F339" s="569"/>
      <c r="G339" s="569"/>
      <c r="H339" s="569"/>
      <c r="I339" s="569"/>
      <c r="J339" s="569"/>
      <c r="K339" s="569"/>
      <c r="L339" s="569"/>
      <c r="M339" s="569"/>
      <c r="N339" s="569"/>
      <c r="O339" s="569"/>
      <c r="P339" s="569"/>
      <c r="Q339" s="569"/>
      <c r="R339" s="569"/>
      <c r="S339" s="569"/>
      <c r="T339" s="569"/>
      <c r="U339" s="569"/>
      <c r="V339" s="569"/>
      <c r="W339" s="569"/>
      <c r="X339" s="569"/>
      <c r="Y339" s="569"/>
      <c r="Z339" s="569"/>
      <c r="AA339" s="569"/>
      <c r="AB339" s="569"/>
      <c r="AC339" s="569"/>
      <c r="AD339" s="569"/>
      <c r="AE339" s="569"/>
      <c r="AF339">
        <v>339</v>
      </c>
      <c r="AG339" s="438" t="str">
        <f>IF(INDEX(D:AE,AF339,ADP!$AF$6)=0,"",INDEX(D:AE,AF339,ADP!$AF$6)+AH339)</f>
        <v/>
      </c>
      <c r="AH339">
        <f t="shared" si="5"/>
        <v>3.3800000000000171E-4</v>
      </c>
    </row>
    <row r="340" spans="1:34" ht="15.75" thickBot="1" x14ac:dyDescent="0.3">
      <c r="A340" s="569" t="s">
        <v>2460</v>
      </c>
      <c r="B340" s="569" t="s">
        <v>163</v>
      </c>
      <c r="C340" s="569" t="s">
        <v>7</v>
      </c>
      <c r="D340" s="569"/>
      <c r="E340" s="569"/>
      <c r="F340" s="569"/>
      <c r="G340" s="569"/>
      <c r="H340" s="569"/>
      <c r="I340" s="569"/>
      <c r="J340" s="569"/>
      <c r="K340" s="569"/>
      <c r="L340" s="569"/>
      <c r="M340" s="569"/>
      <c r="N340" s="569"/>
      <c r="O340" s="569"/>
      <c r="P340" s="569"/>
      <c r="Q340" s="569"/>
      <c r="R340" s="569"/>
      <c r="S340" s="569"/>
      <c r="T340" s="569"/>
      <c r="U340" s="569"/>
      <c r="V340" s="569"/>
      <c r="W340" s="569"/>
      <c r="X340" s="569"/>
      <c r="Y340" s="569"/>
      <c r="Z340" s="569"/>
      <c r="AA340" s="569"/>
      <c r="AB340" s="569"/>
      <c r="AC340" s="569"/>
      <c r="AD340" s="569"/>
      <c r="AE340" s="569"/>
      <c r="AF340">
        <v>340</v>
      </c>
      <c r="AG340" s="438" t="str">
        <f>IF(INDEX(D:AE,AF340,ADP!$AF$6)=0,"",INDEX(D:AE,AF340,ADP!$AF$6)+AH340)</f>
        <v/>
      </c>
      <c r="AH340">
        <f t="shared" si="5"/>
        <v>3.3900000000000173E-4</v>
      </c>
    </row>
    <row r="341" spans="1:34" ht="15.75" thickBot="1" x14ac:dyDescent="0.3">
      <c r="A341" s="569" t="s">
        <v>1444</v>
      </c>
      <c r="B341" s="569" t="s">
        <v>142</v>
      </c>
      <c r="C341" s="569" t="s">
        <v>6</v>
      </c>
      <c r="D341" s="569"/>
      <c r="E341" s="569"/>
      <c r="F341" s="569"/>
      <c r="G341" s="569"/>
      <c r="H341" s="569"/>
      <c r="I341" s="569"/>
      <c r="J341" s="569"/>
      <c r="K341" s="569"/>
      <c r="L341" s="569"/>
      <c r="M341" s="569"/>
      <c r="N341" s="569"/>
      <c r="O341" s="569"/>
      <c r="P341" s="569"/>
      <c r="Q341" s="569"/>
      <c r="R341" s="569"/>
      <c r="S341" s="569"/>
      <c r="T341" s="569"/>
      <c r="U341" s="569"/>
      <c r="V341" s="569"/>
      <c r="W341" s="569"/>
      <c r="X341" s="569"/>
      <c r="Y341" s="569"/>
      <c r="Z341" s="569"/>
      <c r="AA341" s="569"/>
      <c r="AB341" s="569"/>
      <c r="AC341" s="569"/>
      <c r="AD341" s="569"/>
      <c r="AE341" s="569"/>
      <c r="AF341">
        <v>341</v>
      </c>
      <c r="AG341" s="438" t="str">
        <f>IF(INDEX(D:AE,AF341,ADP!$AF$6)=0,"",INDEX(D:AE,AF341,ADP!$AF$6)+AH341)</f>
        <v/>
      </c>
      <c r="AH341">
        <f t="shared" si="5"/>
        <v>3.4000000000000176E-4</v>
      </c>
    </row>
    <row r="342" spans="1:34" ht="15.75" thickBot="1" x14ac:dyDescent="0.3">
      <c r="A342" s="569" t="s">
        <v>2256</v>
      </c>
      <c r="B342" s="569" t="s">
        <v>138</v>
      </c>
      <c r="C342" s="569" t="s">
        <v>7</v>
      </c>
      <c r="D342" s="569"/>
      <c r="E342" s="569"/>
      <c r="F342" s="569"/>
      <c r="G342" s="569"/>
      <c r="H342" s="569"/>
      <c r="I342" s="569"/>
      <c r="J342" s="569"/>
      <c r="K342" s="569"/>
      <c r="L342" s="569"/>
      <c r="M342" s="569"/>
      <c r="N342" s="569"/>
      <c r="O342" s="569"/>
      <c r="P342" s="569"/>
      <c r="Q342" s="569"/>
      <c r="R342" s="569"/>
      <c r="S342" s="569"/>
      <c r="T342" s="569"/>
      <c r="U342" s="569"/>
      <c r="V342" s="569"/>
      <c r="W342" s="569"/>
      <c r="X342" s="569"/>
      <c r="Y342" s="569"/>
      <c r="Z342" s="569"/>
      <c r="AA342" s="569"/>
      <c r="AB342" s="569"/>
      <c r="AC342" s="569"/>
      <c r="AD342" s="569"/>
      <c r="AE342" s="569"/>
      <c r="AF342">
        <v>342</v>
      </c>
      <c r="AG342" s="438" t="str">
        <f>IF(INDEX(D:AE,AF342,ADP!$AF$6)=0,"",INDEX(D:AE,AF342,ADP!$AF$6)+AH342)</f>
        <v/>
      </c>
      <c r="AH342">
        <f t="shared" si="5"/>
        <v>3.4100000000000178E-4</v>
      </c>
    </row>
    <row r="343" spans="1:34" ht="15.75" thickBot="1" x14ac:dyDescent="0.3">
      <c r="A343" s="569" t="s">
        <v>2554</v>
      </c>
      <c r="B343" s="569" t="s">
        <v>162</v>
      </c>
      <c r="C343" s="569" t="s">
        <v>1</v>
      </c>
      <c r="D343" s="569"/>
      <c r="E343" s="569"/>
      <c r="F343" s="569"/>
      <c r="G343" s="569"/>
      <c r="H343" s="569"/>
      <c r="I343" s="569"/>
      <c r="J343" s="569"/>
      <c r="K343" s="569"/>
      <c r="L343" s="569"/>
      <c r="M343" s="569"/>
      <c r="N343" s="569"/>
      <c r="O343" s="569"/>
      <c r="P343" s="569"/>
      <c r="Q343" s="569"/>
      <c r="R343" s="569"/>
      <c r="S343" s="569"/>
      <c r="T343" s="569"/>
      <c r="U343" s="569"/>
      <c r="V343" s="569"/>
      <c r="W343" s="569"/>
      <c r="X343" s="569"/>
      <c r="Y343" s="569"/>
      <c r="Z343" s="569"/>
      <c r="AA343" s="569"/>
      <c r="AB343" s="569"/>
      <c r="AC343" s="569"/>
      <c r="AD343" s="569"/>
      <c r="AE343" s="569"/>
      <c r="AF343">
        <v>343</v>
      </c>
      <c r="AG343" s="438" t="str">
        <f>IF(INDEX(D:AE,AF343,ADP!$AF$6)=0,"",INDEX(D:AE,AF343,ADP!$AF$6)+AH343)</f>
        <v/>
      </c>
      <c r="AH343">
        <f t="shared" si="5"/>
        <v>3.4200000000000181E-4</v>
      </c>
    </row>
    <row r="344" spans="1:34" ht="15.75" thickBot="1" x14ac:dyDescent="0.3">
      <c r="A344" s="569" t="s">
        <v>1853</v>
      </c>
      <c r="B344" s="569" t="s">
        <v>2073</v>
      </c>
      <c r="C344" s="569" t="s">
        <v>3</v>
      </c>
      <c r="D344" s="569">
        <v>20.6</v>
      </c>
      <c r="E344" s="569">
        <v>3.2</v>
      </c>
      <c r="F344" s="569">
        <v>19.5</v>
      </c>
      <c r="G344" s="569">
        <v>2.8</v>
      </c>
      <c r="H344" s="569">
        <v>23.5</v>
      </c>
      <c r="I344" s="569">
        <v>3.6</v>
      </c>
      <c r="J344" s="569">
        <v>20.6</v>
      </c>
      <c r="K344" s="569">
        <v>3.2</v>
      </c>
      <c r="L344" s="569">
        <v>19.5</v>
      </c>
      <c r="M344" s="569">
        <v>2.8</v>
      </c>
      <c r="N344" s="569">
        <v>23.5</v>
      </c>
      <c r="O344" s="569">
        <v>3.6</v>
      </c>
      <c r="P344" s="569">
        <v>26.6</v>
      </c>
      <c r="Q344" s="569">
        <v>3.1</v>
      </c>
      <c r="R344" s="569">
        <v>20.6</v>
      </c>
      <c r="S344" s="569">
        <v>3.2</v>
      </c>
      <c r="T344" s="569">
        <v>19.5</v>
      </c>
      <c r="U344" s="569">
        <v>2.8</v>
      </c>
      <c r="V344" s="569">
        <v>23.5</v>
      </c>
      <c r="W344" s="569">
        <v>3.6</v>
      </c>
      <c r="X344" s="569">
        <v>26.6</v>
      </c>
      <c r="Y344" s="569">
        <v>3.1</v>
      </c>
      <c r="Z344" s="569">
        <v>20.6</v>
      </c>
      <c r="AA344" s="569">
        <v>3.2</v>
      </c>
      <c r="AB344" s="569">
        <v>19.5</v>
      </c>
      <c r="AC344" s="569">
        <v>2.8</v>
      </c>
      <c r="AD344" s="569">
        <v>23.5</v>
      </c>
      <c r="AE344" s="569">
        <v>23.5</v>
      </c>
      <c r="AF344">
        <v>344</v>
      </c>
      <c r="AG344" s="438">
        <f>IF(INDEX(D:AE,AF344,ADP!$AF$6)=0,"",INDEX(D:AE,AF344,ADP!$AF$6)+AH344)</f>
        <v>23.500343000000001</v>
      </c>
      <c r="AH344">
        <f t="shared" si="5"/>
        <v>3.4300000000000183E-4</v>
      </c>
    </row>
    <row r="345" spans="1:34" ht="15.75" thickBot="1" x14ac:dyDescent="0.3">
      <c r="A345" s="569" t="s">
        <v>2461</v>
      </c>
      <c r="B345" s="569" t="s">
        <v>158</v>
      </c>
      <c r="C345" s="569" t="s">
        <v>6</v>
      </c>
      <c r="D345" s="569"/>
      <c r="E345" s="569"/>
      <c r="F345" s="569"/>
      <c r="G345" s="569"/>
      <c r="H345" s="569"/>
      <c r="I345" s="569"/>
      <c r="J345" s="569"/>
      <c r="K345" s="569"/>
      <c r="L345" s="569"/>
      <c r="M345" s="569"/>
      <c r="N345" s="569"/>
      <c r="O345" s="569"/>
      <c r="P345" s="569"/>
      <c r="Q345" s="569"/>
      <c r="R345" s="569"/>
      <c r="S345" s="569"/>
      <c r="T345" s="569"/>
      <c r="U345" s="569"/>
      <c r="V345" s="569"/>
      <c r="W345" s="569"/>
      <c r="X345" s="569"/>
      <c r="Y345" s="569"/>
      <c r="Z345" s="569"/>
      <c r="AA345" s="569"/>
      <c r="AB345" s="569"/>
      <c r="AC345" s="569"/>
      <c r="AD345" s="569"/>
      <c r="AE345" s="569"/>
      <c r="AF345">
        <v>345</v>
      </c>
      <c r="AG345" s="438" t="str">
        <f>IF(INDEX(D:AE,AF345,ADP!$AF$6)=0,"",INDEX(D:AE,AF345,ADP!$AF$6)+AH345)</f>
        <v/>
      </c>
      <c r="AH345">
        <f t="shared" si="5"/>
        <v>3.4400000000000186E-4</v>
      </c>
    </row>
    <row r="346" spans="1:34" ht="15.75" thickBot="1" x14ac:dyDescent="0.3">
      <c r="A346" s="569" t="s">
        <v>1761</v>
      </c>
      <c r="B346" s="569" t="s">
        <v>156</v>
      </c>
      <c r="C346" s="569" t="s">
        <v>1</v>
      </c>
      <c r="D346" s="569">
        <v>22.9</v>
      </c>
      <c r="E346" s="569">
        <v>4.9000000000000004</v>
      </c>
      <c r="F346" s="569">
        <v>24.3</v>
      </c>
      <c r="G346" s="569">
        <v>4.5</v>
      </c>
      <c r="H346" s="569">
        <v>26.3</v>
      </c>
      <c r="I346" s="569">
        <v>4.5999999999999996</v>
      </c>
      <c r="J346" s="569">
        <v>22.9</v>
      </c>
      <c r="K346" s="569">
        <v>4.9000000000000004</v>
      </c>
      <c r="L346" s="569">
        <v>24.3</v>
      </c>
      <c r="M346" s="569">
        <v>4.5</v>
      </c>
      <c r="N346" s="569">
        <v>26.3</v>
      </c>
      <c r="O346" s="569">
        <v>4.5999999999999996</v>
      </c>
      <c r="P346" s="569">
        <v>3.5</v>
      </c>
      <c r="Q346" s="569">
        <v>1.5</v>
      </c>
      <c r="R346" s="569">
        <v>22.9</v>
      </c>
      <c r="S346" s="569">
        <v>4.9000000000000004</v>
      </c>
      <c r="T346" s="569">
        <v>24.3</v>
      </c>
      <c r="U346" s="569">
        <v>4.5</v>
      </c>
      <c r="V346" s="569">
        <v>26.3</v>
      </c>
      <c r="W346" s="569">
        <v>4.5999999999999996</v>
      </c>
      <c r="X346" s="569">
        <v>3.5</v>
      </c>
      <c r="Y346" s="569">
        <v>1.5</v>
      </c>
      <c r="Z346" s="569">
        <v>22.9</v>
      </c>
      <c r="AA346" s="569">
        <v>4.9000000000000004</v>
      </c>
      <c r="AB346" s="569">
        <v>24.3</v>
      </c>
      <c r="AC346" s="569">
        <v>4.5</v>
      </c>
      <c r="AD346" s="569">
        <v>26.3</v>
      </c>
      <c r="AE346" s="569">
        <v>26.3</v>
      </c>
      <c r="AF346">
        <v>346</v>
      </c>
      <c r="AG346" s="438">
        <f>IF(INDEX(D:AE,AF346,ADP!$AF$6)=0,"",INDEX(D:AE,AF346,ADP!$AF$6)+AH346)</f>
        <v>26.300345</v>
      </c>
      <c r="AH346">
        <f t="shared" si="5"/>
        <v>3.4500000000000188E-4</v>
      </c>
    </row>
    <row r="347" spans="1:34" ht="15.75" thickBot="1" x14ac:dyDescent="0.3">
      <c r="A347" s="569" t="s">
        <v>2462</v>
      </c>
      <c r="B347" s="569" t="s">
        <v>148</v>
      </c>
      <c r="C347" s="569" t="s">
        <v>6</v>
      </c>
      <c r="D347" s="569"/>
      <c r="E347" s="569"/>
      <c r="F347" s="569"/>
      <c r="G347" s="569"/>
      <c r="H347" s="569"/>
      <c r="I347" s="569"/>
      <c r="J347" s="569"/>
      <c r="K347" s="569"/>
      <c r="L347" s="569"/>
      <c r="M347" s="569"/>
      <c r="N347" s="569"/>
      <c r="O347" s="569"/>
      <c r="P347" s="569"/>
      <c r="Q347" s="569"/>
      <c r="R347" s="569"/>
      <c r="S347" s="569"/>
      <c r="T347" s="569"/>
      <c r="U347" s="569"/>
      <c r="V347" s="569"/>
      <c r="W347" s="569"/>
      <c r="X347" s="569"/>
      <c r="Y347" s="569"/>
      <c r="Z347" s="569"/>
      <c r="AA347" s="569"/>
      <c r="AB347" s="569"/>
      <c r="AC347" s="569"/>
      <c r="AD347" s="569"/>
      <c r="AE347" s="569"/>
      <c r="AF347">
        <v>347</v>
      </c>
      <c r="AG347" s="438" t="str">
        <f>IF(INDEX(D:AE,AF347,ADP!$AF$6)=0,"",INDEX(D:AE,AF347,ADP!$AF$6)+AH347)</f>
        <v/>
      </c>
      <c r="AH347">
        <f t="shared" si="5"/>
        <v>3.460000000000019E-4</v>
      </c>
    </row>
    <row r="348" spans="1:34" ht="15.75" thickBot="1" x14ac:dyDescent="0.3">
      <c r="A348" s="569" t="s">
        <v>2569</v>
      </c>
      <c r="B348" s="569" t="s">
        <v>137</v>
      </c>
      <c r="C348" s="569" t="s">
        <v>6</v>
      </c>
      <c r="D348" s="569"/>
      <c r="E348" s="569"/>
      <c r="F348" s="569"/>
      <c r="G348" s="569"/>
      <c r="H348" s="569"/>
      <c r="I348" s="569"/>
      <c r="J348" s="569"/>
      <c r="K348" s="569"/>
      <c r="L348" s="569"/>
      <c r="M348" s="569"/>
      <c r="N348" s="569"/>
      <c r="O348" s="569"/>
      <c r="P348" s="569"/>
      <c r="Q348" s="569"/>
      <c r="R348" s="569"/>
      <c r="S348" s="569"/>
      <c r="T348" s="569"/>
      <c r="U348" s="569"/>
      <c r="V348" s="569"/>
      <c r="W348" s="569"/>
      <c r="X348" s="569"/>
      <c r="Y348" s="569"/>
      <c r="Z348" s="569"/>
      <c r="AA348" s="569"/>
      <c r="AB348" s="569"/>
      <c r="AC348" s="569"/>
      <c r="AD348" s="569"/>
      <c r="AE348" s="569"/>
      <c r="AF348">
        <v>348</v>
      </c>
      <c r="AG348" s="438" t="str">
        <f>IF(INDEX(D:AE,AF348,ADP!$AF$6)=0,"",INDEX(D:AE,AF348,ADP!$AF$6)+AH348)</f>
        <v/>
      </c>
      <c r="AH348">
        <f t="shared" si="5"/>
        <v>3.4700000000000193E-4</v>
      </c>
    </row>
    <row r="349" spans="1:34" ht="15.75" thickBot="1" x14ac:dyDescent="0.3">
      <c r="A349" s="569" t="s">
        <v>2463</v>
      </c>
      <c r="B349" s="569" t="s">
        <v>155</v>
      </c>
      <c r="C349" s="569" t="s">
        <v>3</v>
      </c>
      <c r="D349" s="569"/>
      <c r="E349" s="569"/>
      <c r="F349" s="569"/>
      <c r="G349" s="569"/>
      <c r="H349" s="569"/>
      <c r="I349" s="569"/>
      <c r="J349" s="569"/>
      <c r="K349" s="569"/>
      <c r="L349" s="569"/>
      <c r="M349" s="569"/>
      <c r="N349" s="569"/>
      <c r="O349" s="569"/>
      <c r="P349" s="569"/>
      <c r="Q349" s="569"/>
      <c r="R349" s="569"/>
      <c r="S349" s="569"/>
      <c r="T349" s="569"/>
      <c r="U349" s="569"/>
      <c r="V349" s="569"/>
      <c r="W349" s="569"/>
      <c r="X349" s="569"/>
      <c r="Y349" s="569"/>
      <c r="Z349" s="569"/>
      <c r="AA349" s="569"/>
      <c r="AB349" s="569"/>
      <c r="AC349" s="569"/>
      <c r="AD349" s="569"/>
      <c r="AE349" s="569"/>
      <c r="AF349">
        <v>349</v>
      </c>
      <c r="AG349" s="438" t="str">
        <f>IF(INDEX(D:AE,AF349,ADP!$AF$6)=0,"",INDEX(D:AE,AF349,ADP!$AF$6)+AH349)</f>
        <v/>
      </c>
      <c r="AH349">
        <f t="shared" si="5"/>
        <v>3.4800000000000195E-4</v>
      </c>
    </row>
    <row r="350" spans="1:34" ht="15.75" thickBot="1" x14ac:dyDescent="0.3">
      <c r="A350" s="569" t="s">
        <v>2148</v>
      </c>
      <c r="B350" s="569" t="s">
        <v>139</v>
      </c>
      <c r="C350" s="569" t="s">
        <v>1</v>
      </c>
      <c r="D350" s="574">
        <v>162.9</v>
      </c>
      <c r="E350" s="574">
        <v>12.5</v>
      </c>
      <c r="F350" s="574">
        <v>166.1</v>
      </c>
      <c r="G350" s="574">
        <v>24.8</v>
      </c>
      <c r="H350" s="574">
        <v>162.69999999999999</v>
      </c>
      <c r="I350" s="574">
        <v>19.3</v>
      </c>
      <c r="J350" s="574">
        <v>162.9</v>
      </c>
      <c r="K350" s="574">
        <v>12.5</v>
      </c>
      <c r="L350" s="574">
        <v>166.1</v>
      </c>
      <c r="M350" s="574">
        <v>24.8</v>
      </c>
      <c r="N350" s="574">
        <v>162.69999999999999</v>
      </c>
      <c r="O350" s="574">
        <v>19.3</v>
      </c>
      <c r="P350" s="574">
        <v>122.1</v>
      </c>
      <c r="Q350" s="574">
        <v>23.1</v>
      </c>
      <c r="R350" s="574">
        <v>162.9</v>
      </c>
      <c r="S350" s="574">
        <v>12.5</v>
      </c>
      <c r="T350" s="574">
        <v>166.1</v>
      </c>
      <c r="U350" s="574">
        <v>24.8</v>
      </c>
      <c r="V350" s="574">
        <v>162.69999999999999</v>
      </c>
      <c r="W350" s="574">
        <v>19.3</v>
      </c>
      <c r="X350" s="574">
        <v>122.1</v>
      </c>
      <c r="Y350" s="574">
        <v>23.1</v>
      </c>
      <c r="Z350" s="574">
        <v>162.9</v>
      </c>
      <c r="AA350" s="574">
        <v>12.5</v>
      </c>
      <c r="AB350" s="574">
        <v>166.1</v>
      </c>
      <c r="AC350" s="574">
        <v>24.8</v>
      </c>
      <c r="AD350" s="574">
        <v>162.69999999999999</v>
      </c>
      <c r="AE350" s="574">
        <v>162.69999999999999</v>
      </c>
      <c r="AF350">
        <v>350</v>
      </c>
      <c r="AG350" s="438">
        <f>IF(INDEX(D:AE,AF350,ADP!$AF$6)=0,"",INDEX(D:AE,AF350,ADP!$AF$6)+AH350)</f>
        <v>162.70034899999999</v>
      </c>
      <c r="AH350">
        <f t="shared" si="5"/>
        <v>3.4900000000000198E-4</v>
      </c>
    </row>
    <row r="351" spans="1:34" ht="15.75" thickBot="1" x14ac:dyDescent="0.3">
      <c r="A351" s="569" t="s">
        <v>1815</v>
      </c>
      <c r="B351" s="569" t="s">
        <v>161</v>
      </c>
      <c r="C351" s="569" t="s">
        <v>7</v>
      </c>
      <c r="D351" s="574"/>
      <c r="E351" s="574"/>
      <c r="F351" s="574"/>
      <c r="G351" s="574"/>
      <c r="H351" s="574"/>
      <c r="I351" s="574"/>
      <c r="J351" s="574"/>
      <c r="K351" s="574"/>
      <c r="L351" s="574"/>
      <c r="M351" s="574"/>
      <c r="N351" s="574"/>
      <c r="O351" s="574"/>
      <c r="P351" s="574"/>
      <c r="Q351" s="574"/>
      <c r="R351" s="574"/>
      <c r="S351" s="574"/>
      <c r="T351" s="574"/>
      <c r="U351" s="574"/>
      <c r="V351" s="574"/>
      <c r="W351" s="574"/>
      <c r="X351" s="574"/>
      <c r="Y351" s="574"/>
      <c r="Z351" s="574"/>
      <c r="AA351" s="574"/>
      <c r="AB351" s="574"/>
      <c r="AC351" s="574"/>
      <c r="AD351" s="574"/>
      <c r="AE351" s="574"/>
      <c r="AF351">
        <v>351</v>
      </c>
      <c r="AG351" s="438" t="str">
        <f>IF(INDEX(D:AE,AF351,ADP!$AF$6)=0,"",INDEX(D:AE,AF351,ADP!$AF$6)+AH351)</f>
        <v/>
      </c>
      <c r="AH351">
        <f t="shared" si="5"/>
        <v>3.50000000000002E-4</v>
      </c>
    </row>
    <row r="352" spans="1:34" ht="15.75" thickBot="1" x14ac:dyDescent="0.3">
      <c r="A352" s="569" t="s">
        <v>2464</v>
      </c>
      <c r="B352" s="569" t="s">
        <v>138</v>
      </c>
      <c r="C352" s="569" t="s">
        <v>6</v>
      </c>
      <c r="D352" s="569">
        <v>153.6</v>
      </c>
      <c r="E352" s="569">
        <v>20.5</v>
      </c>
      <c r="F352" s="569">
        <v>85.5</v>
      </c>
      <c r="G352" s="569">
        <v>6.4</v>
      </c>
      <c r="H352" s="569">
        <v>78.5</v>
      </c>
      <c r="I352" s="569">
        <v>6.2</v>
      </c>
      <c r="J352" s="569">
        <v>153.6</v>
      </c>
      <c r="K352" s="569">
        <v>20.5</v>
      </c>
      <c r="L352" s="569">
        <v>85.5</v>
      </c>
      <c r="M352" s="569">
        <v>6.4</v>
      </c>
      <c r="N352" s="569">
        <v>78.5</v>
      </c>
      <c r="O352" s="569">
        <v>6.2</v>
      </c>
      <c r="P352" s="569">
        <v>129.4</v>
      </c>
      <c r="Q352" s="569">
        <v>17.600000000000001</v>
      </c>
      <c r="R352" s="569">
        <v>153.6</v>
      </c>
      <c r="S352" s="569">
        <v>20.5</v>
      </c>
      <c r="T352" s="569">
        <v>85.5</v>
      </c>
      <c r="U352" s="569">
        <v>6.4</v>
      </c>
      <c r="V352" s="569">
        <v>78.5</v>
      </c>
      <c r="W352" s="569">
        <v>6.2</v>
      </c>
      <c r="X352" s="569">
        <v>129.4</v>
      </c>
      <c r="Y352" s="569">
        <v>17.600000000000001</v>
      </c>
      <c r="Z352" s="569">
        <v>153.6</v>
      </c>
      <c r="AA352" s="569">
        <v>20.5</v>
      </c>
      <c r="AB352" s="569">
        <v>85.5</v>
      </c>
      <c r="AC352" s="569">
        <v>6.4</v>
      </c>
      <c r="AD352" s="569">
        <v>78.5</v>
      </c>
      <c r="AE352" s="569">
        <v>78.5</v>
      </c>
      <c r="AF352">
        <v>352</v>
      </c>
      <c r="AG352" s="438">
        <f>IF(INDEX(D:AE,AF352,ADP!$AF$6)=0,"",INDEX(D:AE,AF352,ADP!$AF$6)+AH352)</f>
        <v>78.500350999999995</v>
      </c>
      <c r="AH352">
        <f t="shared" si="5"/>
        <v>3.5100000000000203E-4</v>
      </c>
    </row>
    <row r="353" spans="1:34" ht="15.75" thickBot="1" x14ac:dyDescent="0.3">
      <c r="A353" s="569" t="s">
        <v>1447</v>
      </c>
      <c r="B353" s="569" t="s">
        <v>148</v>
      </c>
      <c r="C353" s="569" t="s">
        <v>7</v>
      </c>
      <c r="D353" s="569"/>
      <c r="E353" s="569"/>
      <c r="F353" s="569"/>
      <c r="G353" s="569"/>
      <c r="H353" s="569"/>
      <c r="I353" s="569"/>
      <c r="J353" s="569"/>
      <c r="K353" s="569"/>
      <c r="L353" s="569"/>
      <c r="M353" s="569"/>
      <c r="N353" s="569"/>
      <c r="O353" s="569"/>
      <c r="P353" s="569"/>
      <c r="Q353" s="569"/>
      <c r="R353" s="569"/>
      <c r="S353" s="569"/>
      <c r="T353" s="569"/>
      <c r="U353" s="569"/>
      <c r="V353" s="569"/>
      <c r="W353" s="569"/>
      <c r="X353" s="569"/>
      <c r="Y353" s="569"/>
      <c r="Z353" s="569"/>
      <c r="AA353" s="569"/>
      <c r="AB353" s="569"/>
      <c r="AC353" s="569"/>
      <c r="AD353" s="569"/>
      <c r="AE353" s="569"/>
      <c r="AF353">
        <v>353</v>
      </c>
      <c r="AG353" s="438" t="str">
        <f>IF(INDEX(D:AE,AF353,ADP!$AF$6)=0,"",INDEX(D:AE,AF353,ADP!$AF$6)+AH353)</f>
        <v/>
      </c>
      <c r="AH353">
        <f t="shared" si="5"/>
        <v>3.5200000000000205E-4</v>
      </c>
    </row>
    <row r="354" spans="1:34" ht="15.75" thickBot="1" x14ac:dyDescent="0.3">
      <c r="A354" s="569" t="s">
        <v>1216</v>
      </c>
      <c r="B354" s="569" t="s">
        <v>152</v>
      </c>
      <c r="C354" s="569" t="s">
        <v>3</v>
      </c>
      <c r="D354" s="569"/>
      <c r="E354" s="569"/>
      <c r="F354" s="569"/>
      <c r="G354" s="569"/>
      <c r="H354" s="569"/>
      <c r="I354" s="569"/>
      <c r="J354" s="569"/>
      <c r="K354" s="569"/>
      <c r="L354" s="569"/>
      <c r="M354" s="569"/>
      <c r="N354" s="569"/>
      <c r="O354" s="569"/>
      <c r="P354" s="569"/>
      <c r="Q354" s="569"/>
      <c r="R354" s="569"/>
      <c r="S354" s="569"/>
      <c r="T354" s="569"/>
      <c r="U354" s="569"/>
      <c r="V354" s="569"/>
      <c r="W354" s="569"/>
      <c r="X354" s="569"/>
      <c r="Y354" s="569"/>
      <c r="Z354" s="569"/>
      <c r="AA354" s="569"/>
      <c r="AB354" s="569"/>
      <c r="AC354" s="569"/>
      <c r="AD354" s="569"/>
      <c r="AE354" s="569"/>
      <c r="AF354">
        <v>354</v>
      </c>
      <c r="AG354" s="438" t="str">
        <f>IF(INDEX(D:AE,AF354,ADP!$AF$6)=0,"",INDEX(D:AE,AF354,ADP!$AF$6)+AH354)</f>
        <v/>
      </c>
      <c r="AH354">
        <f t="shared" si="5"/>
        <v>3.5300000000000208E-4</v>
      </c>
    </row>
    <row r="355" spans="1:34" ht="15.75" thickBot="1" x14ac:dyDescent="0.3">
      <c r="A355" s="569" t="s">
        <v>2465</v>
      </c>
      <c r="B355" s="569" t="s">
        <v>163</v>
      </c>
      <c r="C355" s="569" t="s">
        <v>3</v>
      </c>
      <c r="D355" s="569"/>
      <c r="E355" s="569"/>
      <c r="F355" s="569"/>
      <c r="G355" s="569"/>
      <c r="H355" s="569"/>
      <c r="I355" s="569"/>
      <c r="J355" s="569"/>
      <c r="K355" s="569"/>
      <c r="L355" s="569"/>
      <c r="M355" s="569"/>
      <c r="N355" s="569"/>
      <c r="O355" s="569"/>
      <c r="P355" s="569"/>
      <c r="Q355" s="569"/>
      <c r="R355" s="569"/>
      <c r="S355" s="569"/>
      <c r="T355" s="569"/>
      <c r="U355" s="569"/>
      <c r="V355" s="569"/>
      <c r="W355" s="569"/>
      <c r="X355" s="569"/>
      <c r="Y355" s="569"/>
      <c r="Z355" s="569"/>
      <c r="AA355" s="569"/>
      <c r="AB355" s="569"/>
      <c r="AC355" s="569"/>
      <c r="AD355" s="569"/>
      <c r="AE355" s="569"/>
      <c r="AF355">
        <v>355</v>
      </c>
      <c r="AG355" s="438" t="str">
        <f>IF(INDEX(D:AE,AF355,ADP!$AF$6)=0,"",INDEX(D:AE,AF355,ADP!$AF$6)+AH355)</f>
        <v/>
      </c>
      <c r="AH355">
        <f t="shared" si="5"/>
        <v>3.540000000000021E-4</v>
      </c>
    </row>
    <row r="356" spans="1:34" ht="15.75" thickBot="1" x14ac:dyDescent="0.3">
      <c r="A356" s="569" t="s">
        <v>2075</v>
      </c>
      <c r="B356" s="569" t="s">
        <v>158</v>
      </c>
      <c r="C356" s="569" t="s">
        <v>3</v>
      </c>
      <c r="D356" s="569">
        <v>14.4</v>
      </c>
      <c r="E356" s="569">
        <v>3.3</v>
      </c>
      <c r="F356" s="569">
        <v>21.3</v>
      </c>
      <c r="G356" s="569">
        <v>3.7</v>
      </c>
      <c r="H356" s="569">
        <v>24.6</v>
      </c>
      <c r="I356" s="569">
        <v>3.7</v>
      </c>
      <c r="J356" s="569">
        <v>14.4</v>
      </c>
      <c r="K356" s="569">
        <v>3.3</v>
      </c>
      <c r="L356" s="569">
        <v>21.3</v>
      </c>
      <c r="M356" s="569">
        <v>3.7</v>
      </c>
      <c r="N356" s="569">
        <v>24.6</v>
      </c>
      <c r="O356" s="569">
        <v>3.7</v>
      </c>
      <c r="P356" s="569">
        <v>27.9</v>
      </c>
      <c r="Q356" s="569">
        <v>4.3</v>
      </c>
      <c r="R356" s="569">
        <v>14.4</v>
      </c>
      <c r="S356" s="569">
        <v>3.3</v>
      </c>
      <c r="T356" s="569">
        <v>21.3</v>
      </c>
      <c r="U356" s="569">
        <v>3.7</v>
      </c>
      <c r="V356" s="569">
        <v>24.6</v>
      </c>
      <c r="W356" s="569">
        <v>3.7</v>
      </c>
      <c r="X356" s="569">
        <v>27.9</v>
      </c>
      <c r="Y356" s="569">
        <v>4.3</v>
      </c>
      <c r="Z356" s="569">
        <v>14.4</v>
      </c>
      <c r="AA356" s="569">
        <v>3.3</v>
      </c>
      <c r="AB356" s="569">
        <v>21.3</v>
      </c>
      <c r="AC356" s="569">
        <v>3.7</v>
      </c>
      <c r="AD356" s="569">
        <v>24.6</v>
      </c>
      <c r="AE356" s="569">
        <v>24.6</v>
      </c>
      <c r="AF356">
        <v>356</v>
      </c>
      <c r="AG356" s="438">
        <f>IF(INDEX(D:AE,AF356,ADP!$AF$6)=0,"",INDEX(D:AE,AF356,ADP!$AF$6)+AH356)</f>
        <v>24.600355</v>
      </c>
      <c r="AH356">
        <f t="shared" si="5"/>
        <v>3.5500000000000212E-4</v>
      </c>
    </row>
    <row r="357" spans="1:34" ht="15.75" thickBot="1" x14ac:dyDescent="0.3">
      <c r="A357" s="569" t="s">
        <v>2466</v>
      </c>
      <c r="B357" s="569" t="s">
        <v>159</v>
      </c>
      <c r="C357" s="569" t="s">
        <v>6</v>
      </c>
      <c r="D357" s="569"/>
      <c r="E357" s="569"/>
      <c r="F357" s="569"/>
      <c r="G357" s="569"/>
      <c r="H357" s="569"/>
      <c r="I357" s="569"/>
      <c r="J357" s="569"/>
      <c r="K357" s="569"/>
      <c r="L357" s="569"/>
      <c r="M357" s="569"/>
      <c r="N357" s="569"/>
      <c r="O357" s="569"/>
      <c r="P357" s="569"/>
      <c r="Q357" s="569"/>
      <c r="R357" s="569"/>
      <c r="S357" s="569"/>
      <c r="T357" s="569"/>
      <c r="U357" s="569"/>
      <c r="V357" s="569"/>
      <c r="W357" s="569"/>
      <c r="X357" s="569"/>
      <c r="Y357" s="569"/>
      <c r="Z357" s="569"/>
      <c r="AA357" s="569"/>
      <c r="AB357" s="569"/>
      <c r="AC357" s="569"/>
      <c r="AD357" s="569"/>
      <c r="AE357" s="569"/>
      <c r="AF357">
        <v>357</v>
      </c>
      <c r="AG357" s="438" t="str">
        <f>IF(INDEX(D:AE,AF357,ADP!$AF$6)=0,"",INDEX(D:AE,AF357,ADP!$AF$6)+AH357)</f>
        <v/>
      </c>
      <c r="AH357">
        <f t="shared" si="5"/>
        <v>3.5600000000000215E-4</v>
      </c>
    </row>
    <row r="358" spans="1:34" ht="15.75" thickBot="1" x14ac:dyDescent="0.3">
      <c r="A358" s="569" t="s">
        <v>2248</v>
      </c>
      <c r="B358" s="569" t="s">
        <v>138</v>
      </c>
      <c r="C358" s="569" t="s">
        <v>7</v>
      </c>
      <c r="D358" s="569"/>
      <c r="E358" s="569"/>
      <c r="F358" s="569"/>
      <c r="G358" s="569"/>
      <c r="H358" s="569"/>
      <c r="I358" s="569"/>
      <c r="J358" s="569"/>
      <c r="K358" s="569"/>
      <c r="L358" s="569"/>
      <c r="M358" s="569"/>
      <c r="N358" s="569"/>
      <c r="O358" s="569"/>
      <c r="P358" s="569"/>
      <c r="Q358" s="569"/>
      <c r="R358" s="569"/>
      <c r="S358" s="569"/>
      <c r="T358" s="569"/>
      <c r="U358" s="569"/>
      <c r="V358" s="569"/>
      <c r="W358" s="569"/>
      <c r="X358" s="569"/>
      <c r="Y358" s="569"/>
      <c r="Z358" s="569"/>
      <c r="AA358" s="569"/>
      <c r="AB358" s="569"/>
      <c r="AC358" s="569"/>
      <c r="AD358" s="569"/>
      <c r="AE358" s="569"/>
      <c r="AF358">
        <v>358</v>
      </c>
      <c r="AG358" s="438" t="str">
        <f>IF(INDEX(D:AE,AF358,ADP!$AF$6)=0,"",INDEX(D:AE,AF358,ADP!$AF$6)+AH358)</f>
        <v/>
      </c>
      <c r="AH358">
        <f t="shared" si="5"/>
        <v>3.5700000000000217E-4</v>
      </c>
    </row>
    <row r="359" spans="1:34" ht="15.75" thickBot="1" x14ac:dyDescent="0.3">
      <c r="A359" s="569" t="s">
        <v>2330</v>
      </c>
      <c r="B359" s="569" t="s">
        <v>151</v>
      </c>
      <c r="C359" s="569" t="s">
        <v>6</v>
      </c>
      <c r="D359" s="569"/>
      <c r="E359" s="569"/>
      <c r="F359" s="569">
        <v>160.30000000000001</v>
      </c>
      <c r="G359" s="569">
        <v>27</v>
      </c>
      <c r="H359" s="569">
        <v>158.4</v>
      </c>
      <c r="I359" s="569">
        <v>17.2</v>
      </c>
      <c r="J359" s="569"/>
      <c r="K359" s="569"/>
      <c r="L359" s="569">
        <v>160.30000000000001</v>
      </c>
      <c r="M359" s="569">
        <v>27</v>
      </c>
      <c r="N359" s="569">
        <v>158.4</v>
      </c>
      <c r="O359" s="569">
        <v>17.2</v>
      </c>
      <c r="P359" s="569"/>
      <c r="Q359" s="569"/>
      <c r="R359" s="569"/>
      <c r="S359" s="569"/>
      <c r="T359" s="569">
        <v>160.30000000000001</v>
      </c>
      <c r="U359" s="569">
        <v>27</v>
      </c>
      <c r="V359" s="569">
        <v>158.4</v>
      </c>
      <c r="W359" s="569">
        <v>17.2</v>
      </c>
      <c r="X359" s="569"/>
      <c r="Y359" s="569"/>
      <c r="Z359" s="569"/>
      <c r="AA359" s="569"/>
      <c r="AB359" s="569">
        <v>160.30000000000001</v>
      </c>
      <c r="AC359" s="569">
        <v>27</v>
      </c>
      <c r="AD359" s="569">
        <v>158.4</v>
      </c>
      <c r="AE359" s="569">
        <v>158.4</v>
      </c>
      <c r="AF359">
        <v>359</v>
      </c>
      <c r="AG359" s="438">
        <f>IF(INDEX(D:AE,AF359,ADP!$AF$6)=0,"",INDEX(D:AE,AF359,ADP!$AF$6)+AH359)</f>
        <v>158.40035800000001</v>
      </c>
      <c r="AH359">
        <f t="shared" si="5"/>
        <v>3.580000000000022E-4</v>
      </c>
    </row>
    <row r="360" spans="1:34" ht="15.75" thickBot="1" x14ac:dyDescent="0.3">
      <c r="A360" s="569" t="s">
        <v>1778</v>
      </c>
      <c r="B360" s="569" t="s">
        <v>161</v>
      </c>
      <c r="C360" s="569" t="s">
        <v>3</v>
      </c>
      <c r="D360" s="569"/>
      <c r="E360" s="569"/>
      <c r="F360" s="569"/>
      <c r="G360" s="569"/>
      <c r="H360" s="569"/>
      <c r="I360" s="569"/>
      <c r="J360" s="569"/>
      <c r="K360" s="569"/>
      <c r="L360" s="569"/>
      <c r="M360" s="569"/>
      <c r="N360" s="569"/>
      <c r="O360" s="569"/>
      <c r="P360" s="569"/>
      <c r="Q360" s="569"/>
      <c r="R360" s="569"/>
      <c r="S360" s="569"/>
      <c r="T360" s="569"/>
      <c r="U360" s="569"/>
      <c r="V360" s="569"/>
      <c r="W360" s="569"/>
      <c r="X360" s="569"/>
      <c r="Y360" s="569"/>
      <c r="Z360" s="569"/>
      <c r="AA360" s="569"/>
      <c r="AB360" s="569"/>
      <c r="AC360" s="569"/>
      <c r="AD360" s="569"/>
      <c r="AE360" s="569"/>
      <c r="AF360">
        <v>360</v>
      </c>
      <c r="AG360" s="438" t="str">
        <f>IF(INDEX(D:AE,AF360,ADP!$AF$6)=0,"",INDEX(D:AE,AF360,ADP!$AF$6)+AH360)</f>
        <v/>
      </c>
      <c r="AH360">
        <f t="shared" si="5"/>
        <v>3.5900000000000222E-4</v>
      </c>
    </row>
    <row r="361" spans="1:34" ht="15.75" thickBot="1" x14ac:dyDescent="0.3">
      <c r="A361" s="569" t="s">
        <v>2249</v>
      </c>
      <c r="B361" s="569" t="s">
        <v>152</v>
      </c>
      <c r="C361" s="569" t="s">
        <v>7</v>
      </c>
      <c r="D361" s="574"/>
      <c r="E361" s="574"/>
      <c r="F361" s="574"/>
      <c r="G361" s="574"/>
      <c r="H361" s="574"/>
      <c r="I361" s="574"/>
      <c r="J361" s="574"/>
      <c r="K361" s="574"/>
      <c r="L361" s="574"/>
      <c r="M361" s="574"/>
      <c r="N361" s="574"/>
      <c r="O361" s="574"/>
      <c r="P361" s="574"/>
      <c r="Q361" s="574"/>
      <c r="R361" s="574"/>
      <c r="S361" s="574"/>
      <c r="T361" s="574"/>
      <c r="U361" s="574"/>
      <c r="V361" s="574"/>
      <c r="W361" s="574"/>
      <c r="X361" s="574"/>
      <c r="Y361" s="574"/>
      <c r="Z361" s="574"/>
      <c r="AA361" s="574"/>
      <c r="AB361" s="574"/>
      <c r="AC361" s="574"/>
      <c r="AD361" s="574"/>
      <c r="AE361" s="574"/>
      <c r="AF361">
        <v>361</v>
      </c>
      <c r="AG361" s="438" t="str">
        <f>IF(INDEX(D:AE,AF361,ADP!$AF$6)=0,"",INDEX(D:AE,AF361,ADP!$AF$6)+AH361)</f>
        <v/>
      </c>
      <c r="AH361">
        <f t="shared" si="5"/>
        <v>3.6000000000000225E-4</v>
      </c>
    </row>
    <row r="362" spans="1:34" ht="15.75" thickBot="1" x14ac:dyDescent="0.3">
      <c r="A362" s="569" t="s">
        <v>2072</v>
      </c>
      <c r="B362" s="569" t="s">
        <v>152</v>
      </c>
      <c r="C362" s="569" t="s">
        <v>11</v>
      </c>
      <c r="D362" s="569"/>
      <c r="E362" s="569"/>
      <c r="F362" s="569"/>
      <c r="G362" s="569"/>
      <c r="H362" s="569"/>
      <c r="I362" s="569"/>
      <c r="J362" s="569"/>
      <c r="K362" s="569"/>
      <c r="L362" s="569"/>
      <c r="M362" s="569"/>
      <c r="N362" s="569"/>
      <c r="O362" s="569"/>
      <c r="P362" s="569"/>
      <c r="Q362" s="569"/>
      <c r="R362" s="569"/>
      <c r="S362" s="569"/>
      <c r="T362" s="569"/>
      <c r="U362" s="569"/>
      <c r="V362" s="569"/>
      <c r="W362" s="569"/>
      <c r="X362" s="569"/>
      <c r="Y362" s="569"/>
      <c r="Z362" s="569"/>
      <c r="AA362" s="569"/>
      <c r="AB362" s="569"/>
      <c r="AC362" s="569"/>
      <c r="AD362" s="569"/>
      <c r="AE362" s="569"/>
      <c r="AF362">
        <v>362</v>
      </c>
      <c r="AG362" s="438" t="str">
        <f>IF(INDEX(D:AE,AF362,ADP!$AF$6)=0,"",INDEX(D:AE,AF362,ADP!$AF$6)+AH362)</f>
        <v/>
      </c>
      <c r="AH362">
        <f t="shared" si="5"/>
        <v>3.6100000000000227E-4</v>
      </c>
    </row>
    <row r="363" spans="1:34" ht="15.75" thickBot="1" x14ac:dyDescent="0.3">
      <c r="A363" s="569" t="s">
        <v>2112</v>
      </c>
      <c r="B363" s="569" t="s">
        <v>141</v>
      </c>
      <c r="C363" s="569" t="s">
        <v>6</v>
      </c>
      <c r="D363" s="574"/>
      <c r="E363" s="574"/>
      <c r="F363" s="574"/>
      <c r="G363" s="574"/>
      <c r="H363" s="574"/>
      <c r="I363" s="574"/>
      <c r="J363" s="574"/>
      <c r="K363" s="574"/>
      <c r="L363" s="574"/>
      <c r="M363" s="574"/>
      <c r="N363" s="574"/>
      <c r="O363" s="574"/>
      <c r="P363" s="574"/>
      <c r="Q363" s="574"/>
      <c r="R363" s="574"/>
      <c r="S363" s="574"/>
      <c r="T363" s="574"/>
      <c r="U363" s="574"/>
      <c r="V363" s="574"/>
      <c r="W363" s="574"/>
      <c r="X363" s="574"/>
      <c r="Y363" s="574"/>
      <c r="Z363" s="574"/>
      <c r="AA363" s="574"/>
      <c r="AB363" s="574"/>
      <c r="AC363" s="574"/>
      <c r="AD363" s="574"/>
      <c r="AE363" s="574"/>
      <c r="AF363">
        <v>363</v>
      </c>
      <c r="AG363" s="438" t="str">
        <f>IF(INDEX(D:AE,AF363,ADP!$AF$6)=0,"",INDEX(D:AE,AF363,ADP!$AF$6)+AH363)</f>
        <v/>
      </c>
      <c r="AH363">
        <f t="shared" si="5"/>
        <v>3.6200000000000229E-4</v>
      </c>
    </row>
    <row r="364" spans="1:34" ht="15.75" thickBot="1" x14ac:dyDescent="0.3">
      <c r="A364" s="569" t="s">
        <v>1421</v>
      </c>
      <c r="B364" s="569" t="s">
        <v>145</v>
      </c>
      <c r="C364" s="569" t="s">
        <v>3</v>
      </c>
      <c r="D364" s="569">
        <v>31.2</v>
      </c>
      <c r="E364" s="569">
        <v>4.3</v>
      </c>
      <c r="F364" s="569">
        <v>30.6</v>
      </c>
      <c r="G364" s="569">
        <v>4.2</v>
      </c>
      <c r="H364" s="569">
        <v>31.4</v>
      </c>
      <c r="I364" s="569">
        <v>4.4000000000000004</v>
      </c>
      <c r="J364" s="569">
        <v>31.2</v>
      </c>
      <c r="K364" s="569">
        <v>4.3</v>
      </c>
      <c r="L364" s="569">
        <v>30.6</v>
      </c>
      <c r="M364" s="569">
        <v>4.2</v>
      </c>
      <c r="N364" s="569">
        <v>31.4</v>
      </c>
      <c r="O364" s="569">
        <v>4.4000000000000004</v>
      </c>
      <c r="P364" s="569">
        <v>34.6</v>
      </c>
      <c r="Q364" s="569">
        <v>3.9</v>
      </c>
      <c r="R364" s="569">
        <v>31.2</v>
      </c>
      <c r="S364" s="569">
        <v>4.3</v>
      </c>
      <c r="T364" s="569">
        <v>30.6</v>
      </c>
      <c r="U364" s="569">
        <v>4.2</v>
      </c>
      <c r="V364" s="569">
        <v>31.4</v>
      </c>
      <c r="W364" s="569">
        <v>4.4000000000000004</v>
      </c>
      <c r="X364" s="569">
        <v>34.6</v>
      </c>
      <c r="Y364" s="569">
        <v>3.9</v>
      </c>
      <c r="Z364" s="569">
        <v>31.2</v>
      </c>
      <c r="AA364" s="569">
        <v>4.3</v>
      </c>
      <c r="AB364" s="569">
        <v>30.6</v>
      </c>
      <c r="AC364" s="569">
        <v>4.2</v>
      </c>
      <c r="AD364" s="569">
        <v>31.4</v>
      </c>
      <c r="AE364" s="569">
        <v>31.4</v>
      </c>
      <c r="AF364">
        <v>364</v>
      </c>
      <c r="AG364" s="438">
        <f>IF(INDEX(D:AE,AF364,ADP!$AF$6)=0,"",INDEX(D:AE,AF364,ADP!$AF$6)+AH364)</f>
        <v>31.400362999999999</v>
      </c>
      <c r="AH364">
        <f t="shared" si="5"/>
        <v>3.6300000000000232E-4</v>
      </c>
    </row>
    <row r="365" spans="1:34" ht="15.75" thickBot="1" x14ac:dyDescent="0.3">
      <c r="A365" s="569" t="s">
        <v>2083</v>
      </c>
      <c r="B365" s="569" t="s">
        <v>145</v>
      </c>
      <c r="C365" s="569" t="s">
        <v>1</v>
      </c>
      <c r="D365" s="569">
        <v>45</v>
      </c>
      <c r="E365" s="569">
        <v>7.2</v>
      </c>
      <c r="F365" s="569">
        <v>40.6</v>
      </c>
      <c r="G365" s="569">
        <v>6</v>
      </c>
      <c r="H365" s="569">
        <v>44</v>
      </c>
      <c r="I365" s="569">
        <v>5.8</v>
      </c>
      <c r="J365" s="569">
        <v>45</v>
      </c>
      <c r="K365" s="569">
        <v>7.2</v>
      </c>
      <c r="L365" s="569">
        <v>40.6</v>
      </c>
      <c r="M365" s="569">
        <v>6</v>
      </c>
      <c r="N365" s="569">
        <v>44</v>
      </c>
      <c r="O365" s="569">
        <v>5.8</v>
      </c>
      <c r="P365" s="569">
        <v>7.9</v>
      </c>
      <c r="Q365" s="569">
        <v>2.4</v>
      </c>
      <c r="R365" s="569">
        <v>45</v>
      </c>
      <c r="S365" s="569">
        <v>7.2</v>
      </c>
      <c r="T365" s="569">
        <v>40.6</v>
      </c>
      <c r="U365" s="569">
        <v>6</v>
      </c>
      <c r="V365" s="569">
        <v>44</v>
      </c>
      <c r="W365" s="569">
        <v>5.8</v>
      </c>
      <c r="X365" s="569">
        <v>7.9</v>
      </c>
      <c r="Y365" s="569">
        <v>2.4</v>
      </c>
      <c r="Z365" s="569">
        <v>45</v>
      </c>
      <c r="AA365" s="569">
        <v>7.2</v>
      </c>
      <c r="AB365" s="569">
        <v>40.6</v>
      </c>
      <c r="AC365" s="569">
        <v>6</v>
      </c>
      <c r="AD365" s="569">
        <v>44</v>
      </c>
      <c r="AE365" s="569">
        <v>44</v>
      </c>
      <c r="AF365">
        <v>365</v>
      </c>
      <c r="AG365" s="438">
        <f>IF(INDEX(D:AE,AF365,ADP!$AF$6)=0,"",INDEX(D:AE,AF365,ADP!$AF$6)+AH365)</f>
        <v>44.000363999999998</v>
      </c>
      <c r="AH365">
        <f t="shared" si="5"/>
        <v>3.6400000000000234E-4</v>
      </c>
    </row>
    <row r="366" spans="1:34" ht="15.75" thickBot="1" x14ac:dyDescent="0.3">
      <c r="A366" s="569" t="s">
        <v>2365</v>
      </c>
      <c r="B366" s="569" t="s">
        <v>136</v>
      </c>
      <c r="C366" s="569" t="s">
        <v>7</v>
      </c>
      <c r="D366" s="569"/>
      <c r="E366" s="569"/>
      <c r="F366" s="569"/>
      <c r="G366" s="569"/>
      <c r="H366" s="569"/>
      <c r="I366" s="569"/>
      <c r="J366" s="569"/>
      <c r="K366" s="569"/>
      <c r="L366" s="569"/>
      <c r="M366" s="569"/>
      <c r="N366" s="569"/>
      <c r="O366" s="569"/>
      <c r="P366" s="569"/>
      <c r="Q366" s="569"/>
      <c r="R366" s="569"/>
      <c r="S366" s="569"/>
      <c r="T366" s="569"/>
      <c r="U366" s="569"/>
      <c r="V366" s="569"/>
      <c r="W366" s="569"/>
      <c r="X366" s="569"/>
      <c r="Y366" s="569"/>
      <c r="Z366" s="569"/>
      <c r="AA366" s="569"/>
      <c r="AB366" s="569"/>
      <c r="AC366" s="569"/>
      <c r="AD366" s="569"/>
      <c r="AE366" s="569"/>
      <c r="AF366">
        <v>366</v>
      </c>
      <c r="AG366" s="438" t="str">
        <f>IF(INDEX(D:AE,AF366,ADP!$AF$6)=0,"",INDEX(D:AE,AF366,ADP!$AF$6)+AH366)</f>
        <v/>
      </c>
      <c r="AH366">
        <f t="shared" si="5"/>
        <v>3.6500000000000237E-4</v>
      </c>
    </row>
    <row r="367" spans="1:34" ht="15.75" thickBot="1" x14ac:dyDescent="0.3">
      <c r="A367" s="569" t="s">
        <v>2078</v>
      </c>
      <c r="B367" s="569" t="s">
        <v>162</v>
      </c>
      <c r="C367" s="569" t="s">
        <v>3</v>
      </c>
      <c r="D367" s="569">
        <v>36.6</v>
      </c>
      <c r="E367" s="569">
        <v>3.4</v>
      </c>
      <c r="F367" s="569">
        <v>46.3</v>
      </c>
      <c r="G367" s="569">
        <v>4.8</v>
      </c>
      <c r="H367" s="569">
        <v>55.2</v>
      </c>
      <c r="I367" s="569">
        <v>6.9</v>
      </c>
      <c r="J367" s="569">
        <v>36.6</v>
      </c>
      <c r="K367" s="569">
        <v>3.4</v>
      </c>
      <c r="L367" s="569">
        <v>46.3</v>
      </c>
      <c r="M367" s="569">
        <v>4.8</v>
      </c>
      <c r="N367" s="569">
        <v>55.2</v>
      </c>
      <c r="O367" s="569">
        <v>6.9</v>
      </c>
      <c r="P367" s="569">
        <v>60.8</v>
      </c>
      <c r="Q367" s="569">
        <v>5.5</v>
      </c>
      <c r="R367" s="569">
        <v>36.6</v>
      </c>
      <c r="S367" s="569">
        <v>3.4</v>
      </c>
      <c r="T367" s="569">
        <v>46.3</v>
      </c>
      <c r="U367" s="569">
        <v>4.8</v>
      </c>
      <c r="V367" s="569">
        <v>55.2</v>
      </c>
      <c r="W367" s="569">
        <v>6.9</v>
      </c>
      <c r="X367" s="569">
        <v>60.8</v>
      </c>
      <c r="Y367" s="569">
        <v>5.5</v>
      </c>
      <c r="Z367" s="569">
        <v>36.6</v>
      </c>
      <c r="AA367" s="569">
        <v>3.4</v>
      </c>
      <c r="AB367" s="569">
        <v>46.3</v>
      </c>
      <c r="AC367" s="569">
        <v>4.8</v>
      </c>
      <c r="AD367" s="569">
        <v>55.2</v>
      </c>
      <c r="AE367" s="569">
        <v>55.2</v>
      </c>
      <c r="AF367">
        <v>367</v>
      </c>
      <c r="AG367" s="438">
        <f>IF(INDEX(D:AE,AF367,ADP!$AF$6)=0,"",INDEX(D:AE,AF367,ADP!$AF$6)+AH367)</f>
        <v>55.200366000000002</v>
      </c>
      <c r="AH367">
        <f t="shared" si="5"/>
        <v>3.6600000000000239E-4</v>
      </c>
    </row>
    <row r="368" spans="1:34" ht="15.75" thickBot="1" x14ac:dyDescent="0.3">
      <c r="A368" s="569" t="s">
        <v>2116</v>
      </c>
      <c r="B368" s="569" t="s">
        <v>157</v>
      </c>
      <c r="C368" s="569" t="s">
        <v>3</v>
      </c>
      <c r="D368" s="569"/>
      <c r="E368" s="569"/>
      <c r="F368" s="569"/>
      <c r="G368" s="569"/>
      <c r="H368" s="569"/>
      <c r="I368" s="569"/>
      <c r="J368" s="569"/>
      <c r="K368" s="569"/>
      <c r="L368" s="569"/>
      <c r="M368" s="569"/>
      <c r="N368" s="569"/>
      <c r="O368" s="569"/>
      <c r="P368" s="569"/>
      <c r="Q368" s="569"/>
      <c r="R368" s="569"/>
      <c r="S368" s="569"/>
      <c r="T368" s="569"/>
      <c r="U368" s="569"/>
      <c r="V368" s="569"/>
      <c r="W368" s="569"/>
      <c r="X368" s="569"/>
      <c r="Y368" s="569"/>
      <c r="Z368" s="569"/>
      <c r="AA368" s="569"/>
      <c r="AB368" s="569"/>
      <c r="AC368" s="569"/>
      <c r="AD368" s="569"/>
      <c r="AE368" s="569"/>
      <c r="AF368">
        <v>368</v>
      </c>
      <c r="AG368" s="438" t="str">
        <f>IF(INDEX(D:AE,AF368,ADP!$AF$6)=0,"",INDEX(D:AE,AF368,ADP!$AF$6)+AH368)</f>
        <v/>
      </c>
      <c r="AH368">
        <f t="shared" si="5"/>
        <v>3.6700000000000242E-4</v>
      </c>
    </row>
    <row r="369" spans="1:34" ht="15.75" thickBot="1" x14ac:dyDescent="0.3">
      <c r="A369" s="569" t="s">
        <v>8</v>
      </c>
      <c r="B369" s="569" t="s">
        <v>143</v>
      </c>
      <c r="C369" s="569" t="s">
        <v>7</v>
      </c>
      <c r="D369" s="569"/>
      <c r="E369" s="569"/>
      <c r="F369" s="569"/>
      <c r="G369" s="569"/>
      <c r="H369" s="569"/>
      <c r="I369" s="569"/>
      <c r="J369" s="569"/>
      <c r="K369" s="569"/>
      <c r="L369" s="569"/>
      <c r="M369" s="569"/>
      <c r="N369" s="569"/>
      <c r="O369" s="569"/>
      <c r="P369" s="569"/>
      <c r="Q369" s="569"/>
      <c r="R369" s="569"/>
      <c r="S369" s="569"/>
      <c r="T369" s="569"/>
      <c r="U369" s="569"/>
      <c r="V369" s="569"/>
      <c r="W369" s="569"/>
      <c r="X369" s="569"/>
      <c r="Y369" s="569"/>
      <c r="Z369" s="569"/>
      <c r="AA369" s="569"/>
      <c r="AB369" s="569"/>
      <c r="AC369" s="569"/>
      <c r="AD369" s="569"/>
      <c r="AE369" s="569"/>
      <c r="AF369">
        <v>369</v>
      </c>
      <c r="AG369" s="438" t="str">
        <f>IF(INDEX(D:AE,AF369,ADP!$AF$6)=0,"",INDEX(D:AE,AF369,ADP!$AF$6)+AH369)</f>
        <v/>
      </c>
      <c r="AH369">
        <f t="shared" si="5"/>
        <v>3.6800000000000244E-4</v>
      </c>
    </row>
    <row r="370" spans="1:34" ht="15.75" thickBot="1" x14ac:dyDescent="0.3">
      <c r="A370" s="569" t="s">
        <v>1294</v>
      </c>
      <c r="B370" s="569" t="s">
        <v>2073</v>
      </c>
      <c r="C370" s="569" t="s">
        <v>1</v>
      </c>
      <c r="D370" s="569"/>
      <c r="E370" s="569"/>
      <c r="F370" s="569"/>
      <c r="G370" s="569"/>
      <c r="H370" s="569"/>
      <c r="I370" s="569"/>
      <c r="J370" s="569"/>
      <c r="K370" s="569"/>
      <c r="L370" s="569"/>
      <c r="M370" s="569"/>
      <c r="N370" s="569"/>
      <c r="O370" s="569"/>
      <c r="P370" s="569">
        <v>118.2</v>
      </c>
      <c r="Q370" s="569">
        <v>22</v>
      </c>
      <c r="R370" s="569"/>
      <c r="S370" s="569"/>
      <c r="T370" s="569"/>
      <c r="U370" s="569"/>
      <c r="V370" s="569"/>
      <c r="W370" s="569"/>
      <c r="X370" s="569">
        <v>118.2</v>
      </c>
      <c r="Y370" s="569">
        <v>22</v>
      </c>
      <c r="Z370" s="569"/>
      <c r="AA370" s="569"/>
      <c r="AB370" s="569"/>
      <c r="AC370" s="569"/>
      <c r="AD370" s="569"/>
      <c r="AE370" s="569"/>
      <c r="AF370">
        <v>370</v>
      </c>
      <c r="AG370" s="438" t="str">
        <f>IF(INDEX(D:AE,AF370,ADP!$AF$6)=0,"",INDEX(D:AE,AF370,ADP!$AF$6)+AH370)</f>
        <v/>
      </c>
      <c r="AH370">
        <f t="shared" si="5"/>
        <v>3.6900000000000246E-4</v>
      </c>
    </row>
    <row r="371" spans="1:34" ht="15.75" thickBot="1" x14ac:dyDescent="0.3">
      <c r="A371" s="569" t="s">
        <v>2261</v>
      </c>
      <c r="B371" s="569" t="s">
        <v>2073</v>
      </c>
      <c r="C371" s="569" t="s">
        <v>7</v>
      </c>
      <c r="D371" s="569"/>
      <c r="E371" s="569"/>
      <c r="F371" s="569"/>
      <c r="G371" s="569"/>
      <c r="H371" s="569"/>
      <c r="I371" s="569"/>
      <c r="J371" s="569"/>
      <c r="K371" s="569"/>
      <c r="L371" s="569"/>
      <c r="M371" s="569"/>
      <c r="N371" s="569"/>
      <c r="O371" s="569"/>
      <c r="P371" s="569"/>
      <c r="Q371" s="569"/>
      <c r="R371" s="569"/>
      <c r="S371" s="569"/>
      <c r="T371" s="569"/>
      <c r="U371" s="569"/>
      <c r="V371" s="569"/>
      <c r="W371" s="569"/>
      <c r="X371" s="569"/>
      <c r="Y371" s="569"/>
      <c r="Z371" s="569"/>
      <c r="AA371" s="569"/>
      <c r="AB371" s="569"/>
      <c r="AC371" s="569"/>
      <c r="AD371" s="569"/>
      <c r="AE371" s="569"/>
      <c r="AF371">
        <v>371</v>
      </c>
      <c r="AG371" s="438" t="str">
        <f>IF(INDEX(D:AE,AF371,ADP!$AF$6)=0,"",INDEX(D:AE,AF371,ADP!$AF$6)+AH371)</f>
        <v/>
      </c>
      <c r="AH371">
        <f t="shared" si="5"/>
        <v>3.7000000000000249E-4</v>
      </c>
    </row>
    <row r="372" spans="1:34" ht="15.75" thickBot="1" x14ac:dyDescent="0.3">
      <c r="A372" s="569" t="s">
        <v>2080</v>
      </c>
      <c r="B372" s="569" t="s">
        <v>144</v>
      </c>
      <c r="C372" s="569" t="s">
        <v>6</v>
      </c>
      <c r="D372" s="569">
        <v>53.3</v>
      </c>
      <c r="E372" s="569">
        <v>5.8</v>
      </c>
      <c r="F372" s="569">
        <v>44.6</v>
      </c>
      <c r="G372" s="569">
        <v>4.4000000000000004</v>
      </c>
      <c r="H372" s="569">
        <v>42.4</v>
      </c>
      <c r="I372" s="569">
        <v>4.3</v>
      </c>
      <c r="J372" s="569">
        <v>53.3</v>
      </c>
      <c r="K372" s="569">
        <v>5.8</v>
      </c>
      <c r="L372" s="569">
        <v>44.6</v>
      </c>
      <c r="M372" s="569">
        <v>4.4000000000000004</v>
      </c>
      <c r="N372" s="569">
        <v>42.4</v>
      </c>
      <c r="O372" s="569">
        <v>4.3</v>
      </c>
      <c r="P372" s="569">
        <v>81.900000000000006</v>
      </c>
      <c r="Q372" s="569">
        <v>8.4</v>
      </c>
      <c r="R372" s="569">
        <v>53.3</v>
      </c>
      <c r="S372" s="569">
        <v>5.8</v>
      </c>
      <c r="T372" s="569">
        <v>44.6</v>
      </c>
      <c r="U372" s="569">
        <v>4.4000000000000004</v>
      </c>
      <c r="V372" s="569">
        <v>42.4</v>
      </c>
      <c r="W372" s="569">
        <v>4.3</v>
      </c>
      <c r="X372" s="569">
        <v>81.900000000000006</v>
      </c>
      <c r="Y372" s="569">
        <v>8.4</v>
      </c>
      <c r="Z372" s="569">
        <v>53.3</v>
      </c>
      <c r="AA372" s="569">
        <v>5.8</v>
      </c>
      <c r="AB372" s="569">
        <v>44.6</v>
      </c>
      <c r="AC372" s="569">
        <v>4.4000000000000004</v>
      </c>
      <c r="AD372" s="569">
        <v>42.4</v>
      </c>
      <c r="AE372" s="569">
        <v>42.4</v>
      </c>
      <c r="AF372">
        <v>372</v>
      </c>
      <c r="AG372" s="438">
        <f>IF(INDEX(D:AE,AF372,ADP!$AF$6)=0,"",INDEX(D:AE,AF372,ADP!$AF$6)+AH372)</f>
        <v>42.400371</v>
      </c>
      <c r="AH372">
        <f t="shared" si="5"/>
        <v>3.7100000000000251E-4</v>
      </c>
    </row>
    <row r="373" spans="1:34" ht="15.75" thickBot="1" x14ac:dyDescent="0.3">
      <c r="A373" s="569" t="s">
        <v>2308</v>
      </c>
      <c r="B373" s="569" t="s">
        <v>161</v>
      </c>
      <c r="C373" s="569" t="s">
        <v>3</v>
      </c>
      <c r="D373" s="569">
        <v>156.19999999999999</v>
      </c>
      <c r="E373" s="569">
        <v>18.399999999999999</v>
      </c>
      <c r="F373" s="569">
        <v>158.9</v>
      </c>
      <c r="G373" s="569">
        <v>13.2</v>
      </c>
      <c r="H373" s="569">
        <v>160.5</v>
      </c>
      <c r="I373" s="569">
        <v>13.1</v>
      </c>
      <c r="J373" s="569">
        <v>156.19999999999999</v>
      </c>
      <c r="K373" s="569">
        <v>18.399999999999999</v>
      </c>
      <c r="L373" s="569">
        <v>158.9</v>
      </c>
      <c r="M373" s="569">
        <v>13.2</v>
      </c>
      <c r="N373" s="569">
        <v>160.5</v>
      </c>
      <c r="O373" s="569">
        <v>13.1</v>
      </c>
      <c r="P373" s="569"/>
      <c r="Q373" s="569"/>
      <c r="R373" s="569">
        <v>156.19999999999999</v>
      </c>
      <c r="S373" s="569">
        <v>18.399999999999999</v>
      </c>
      <c r="T373" s="569">
        <v>158.9</v>
      </c>
      <c r="U373" s="569">
        <v>13.2</v>
      </c>
      <c r="V373" s="569">
        <v>160.5</v>
      </c>
      <c r="W373" s="569">
        <v>13.1</v>
      </c>
      <c r="X373" s="569"/>
      <c r="Y373" s="569"/>
      <c r="Z373" s="569">
        <v>156.19999999999999</v>
      </c>
      <c r="AA373" s="569">
        <v>18.399999999999999</v>
      </c>
      <c r="AB373" s="569">
        <v>158.9</v>
      </c>
      <c r="AC373" s="569">
        <v>13.2</v>
      </c>
      <c r="AD373" s="569">
        <v>160.5</v>
      </c>
      <c r="AE373" s="569">
        <v>160.5</v>
      </c>
      <c r="AF373">
        <v>373</v>
      </c>
      <c r="AG373" s="438">
        <f>IF(INDEX(D:AE,AF373,ADP!$AF$6)=0,"",INDEX(D:AE,AF373,ADP!$AF$6)+AH373)</f>
        <v>160.500372</v>
      </c>
      <c r="AH373">
        <f t="shared" si="5"/>
        <v>3.7200000000000254E-4</v>
      </c>
    </row>
    <row r="374" spans="1:34" ht="15.75" thickBot="1" x14ac:dyDescent="0.3">
      <c r="A374" s="569" t="s">
        <v>2183</v>
      </c>
      <c r="B374" s="569" t="s">
        <v>142</v>
      </c>
      <c r="C374" s="569" t="s">
        <v>3</v>
      </c>
      <c r="D374" s="569"/>
      <c r="E374" s="569"/>
      <c r="F374" s="569"/>
      <c r="G374" s="569"/>
      <c r="H374" s="569"/>
      <c r="I374" s="569"/>
      <c r="J374" s="569"/>
      <c r="K374" s="569"/>
      <c r="L374" s="569"/>
      <c r="M374" s="569"/>
      <c r="N374" s="569"/>
      <c r="O374" s="569"/>
      <c r="P374" s="569"/>
      <c r="Q374" s="569"/>
      <c r="R374" s="569"/>
      <c r="S374" s="569"/>
      <c r="T374" s="569"/>
      <c r="U374" s="569"/>
      <c r="V374" s="569"/>
      <c r="W374" s="569"/>
      <c r="X374" s="569"/>
      <c r="Y374" s="569"/>
      <c r="Z374" s="569"/>
      <c r="AA374" s="569"/>
      <c r="AB374" s="569"/>
      <c r="AC374" s="569"/>
      <c r="AD374" s="569"/>
      <c r="AE374" s="569"/>
      <c r="AF374">
        <v>374</v>
      </c>
      <c r="AG374" s="438" t="str">
        <f>IF(INDEX(D:AE,AF374,ADP!$AF$6)=0,"",INDEX(D:AE,AF374,ADP!$AF$6)+AH374)</f>
        <v/>
      </c>
      <c r="AH374">
        <f t="shared" si="5"/>
        <v>3.7300000000000256E-4</v>
      </c>
    </row>
    <row r="375" spans="1:34" ht="15.75" thickBot="1" x14ac:dyDescent="0.3">
      <c r="A375" s="569" t="s">
        <v>986</v>
      </c>
      <c r="B375" s="569" t="s">
        <v>136</v>
      </c>
      <c r="C375" s="569" t="s">
        <v>3</v>
      </c>
      <c r="D375" s="574">
        <v>138.1</v>
      </c>
      <c r="E375" s="574">
        <v>23.6</v>
      </c>
      <c r="F375" s="574">
        <v>120.7</v>
      </c>
      <c r="G375" s="574">
        <v>9.1999999999999993</v>
      </c>
      <c r="H375" s="574">
        <v>110.5</v>
      </c>
      <c r="I375" s="574">
        <v>8.4</v>
      </c>
      <c r="J375" s="574">
        <v>138.1</v>
      </c>
      <c r="K375" s="574">
        <v>23.6</v>
      </c>
      <c r="L375" s="574">
        <v>120.7</v>
      </c>
      <c r="M375" s="574">
        <v>9.1999999999999993</v>
      </c>
      <c r="N375" s="574">
        <v>110.5</v>
      </c>
      <c r="O375" s="574">
        <v>8.4</v>
      </c>
      <c r="P375" s="574">
        <v>125.6</v>
      </c>
      <c r="Q375" s="574">
        <v>14.6</v>
      </c>
      <c r="R375" s="574">
        <v>138.1</v>
      </c>
      <c r="S375" s="574">
        <v>23.6</v>
      </c>
      <c r="T375" s="574">
        <v>120.7</v>
      </c>
      <c r="U375" s="574">
        <v>9.1999999999999993</v>
      </c>
      <c r="V375" s="574">
        <v>110.5</v>
      </c>
      <c r="W375" s="574">
        <v>8.4</v>
      </c>
      <c r="X375" s="574">
        <v>125.6</v>
      </c>
      <c r="Y375" s="574">
        <v>14.6</v>
      </c>
      <c r="Z375" s="574">
        <v>138.1</v>
      </c>
      <c r="AA375" s="574">
        <v>23.6</v>
      </c>
      <c r="AB375" s="574">
        <v>120.7</v>
      </c>
      <c r="AC375" s="574">
        <v>9.1999999999999993</v>
      </c>
      <c r="AD375" s="574">
        <v>110.5</v>
      </c>
      <c r="AE375" s="574">
        <v>110.5</v>
      </c>
      <c r="AF375">
        <v>375</v>
      </c>
      <c r="AG375" s="438">
        <f>IF(INDEX(D:AE,AF375,ADP!$AF$6)=0,"",INDEX(D:AE,AF375,ADP!$AF$6)+AH375)</f>
        <v>110.50037399999999</v>
      </c>
      <c r="AH375">
        <f t="shared" si="5"/>
        <v>3.7400000000000259E-4</v>
      </c>
    </row>
    <row r="376" spans="1:34" ht="15.75" thickBot="1" x14ac:dyDescent="0.3">
      <c r="A376" s="569" t="s">
        <v>2374</v>
      </c>
      <c r="B376" s="569" t="s">
        <v>164</v>
      </c>
      <c r="C376" s="569" t="s">
        <v>7</v>
      </c>
      <c r="D376" s="569"/>
      <c r="E376" s="569"/>
      <c r="F376" s="569"/>
      <c r="G376" s="569"/>
      <c r="H376" s="569"/>
      <c r="I376" s="569"/>
      <c r="J376" s="569"/>
      <c r="K376" s="569"/>
      <c r="L376" s="569"/>
      <c r="M376" s="569"/>
      <c r="N376" s="569"/>
      <c r="O376" s="569"/>
      <c r="P376" s="569"/>
      <c r="Q376" s="569"/>
      <c r="R376" s="569"/>
      <c r="S376" s="569"/>
      <c r="T376" s="569"/>
      <c r="U376" s="569"/>
      <c r="V376" s="569"/>
      <c r="W376" s="569"/>
      <c r="X376" s="569"/>
      <c r="Y376" s="569"/>
      <c r="Z376" s="569"/>
      <c r="AA376" s="569"/>
      <c r="AB376" s="569"/>
      <c r="AC376" s="569"/>
      <c r="AD376" s="569"/>
      <c r="AE376" s="569"/>
      <c r="AF376">
        <v>376</v>
      </c>
      <c r="AG376" s="438" t="str">
        <f>IF(INDEX(D:AE,AF376,ADP!$AF$6)=0,"",INDEX(D:AE,AF376,ADP!$AF$6)+AH376)</f>
        <v/>
      </c>
      <c r="AH376">
        <f t="shared" si="5"/>
        <v>3.7500000000000261E-4</v>
      </c>
    </row>
    <row r="377" spans="1:34" ht="15.75" thickBot="1" x14ac:dyDescent="0.3">
      <c r="A377" s="569" t="s">
        <v>2355</v>
      </c>
      <c r="B377" s="569" t="s">
        <v>158</v>
      </c>
      <c r="C377" s="569" t="s">
        <v>7</v>
      </c>
      <c r="D377" s="574"/>
      <c r="E377" s="574"/>
      <c r="F377" s="574"/>
      <c r="G377" s="574"/>
      <c r="H377" s="574"/>
      <c r="I377" s="574"/>
      <c r="J377" s="574"/>
      <c r="K377" s="574"/>
      <c r="L377" s="574"/>
      <c r="M377" s="574"/>
      <c r="N377" s="574"/>
      <c r="O377" s="574"/>
      <c r="P377" s="574"/>
      <c r="Q377" s="574"/>
      <c r="R377" s="574"/>
      <c r="S377" s="574"/>
      <c r="T377" s="574"/>
      <c r="U377" s="574"/>
      <c r="V377" s="574"/>
      <c r="W377" s="574"/>
      <c r="X377" s="574"/>
      <c r="Y377" s="574"/>
      <c r="Z377" s="574"/>
      <c r="AA377" s="574"/>
      <c r="AB377" s="574"/>
      <c r="AC377" s="574"/>
      <c r="AD377" s="574"/>
      <c r="AE377" s="574"/>
      <c r="AF377">
        <v>377</v>
      </c>
      <c r="AG377" s="438" t="str">
        <f>IF(INDEX(D:AE,AF377,ADP!$AF$6)=0,"",INDEX(D:AE,AF377,ADP!$AF$6)+AH377)</f>
        <v/>
      </c>
      <c r="AH377">
        <f t="shared" si="5"/>
        <v>3.7600000000000263E-4</v>
      </c>
    </row>
    <row r="378" spans="1:34" ht="15.75" thickBot="1" x14ac:dyDescent="0.3">
      <c r="A378" s="569" t="s">
        <v>1877</v>
      </c>
      <c r="B378" s="569" t="s">
        <v>166</v>
      </c>
      <c r="C378" s="569" t="s">
        <v>3</v>
      </c>
      <c r="D378" s="574"/>
      <c r="E378" s="574"/>
      <c r="F378" s="574"/>
      <c r="G378" s="574"/>
      <c r="H378" s="574"/>
      <c r="I378" s="574"/>
      <c r="J378" s="574"/>
      <c r="K378" s="574"/>
      <c r="L378" s="574"/>
      <c r="M378" s="574"/>
      <c r="N378" s="574"/>
      <c r="O378" s="574"/>
      <c r="P378" s="574"/>
      <c r="Q378" s="574"/>
      <c r="R378" s="574"/>
      <c r="S378" s="574"/>
      <c r="T378" s="574"/>
      <c r="U378" s="574"/>
      <c r="V378" s="574"/>
      <c r="W378" s="574"/>
      <c r="X378" s="574"/>
      <c r="Y378" s="574"/>
      <c r="Z378" s="574"/>
      <c r="AA378" s="574"/>
      <c r="AB378" s="574"/>
      <c r="AC378" s="574"/>
      <c r="AD378" s="574"/>
      <c r="AE378" s="574"/>
      <c r="AF378">
        <v>378</v>
      </c>
      <c r="AG378" s="438" t="str">
        <f>IF(INDEX(D:AE,AF378,ADP!$AF$6)=0,"",INDEX(D:AE,AF378,ADP!$AF$6)+AH378)</f>
        <v/>
      </c>
      <c r="AH378">
        <f t="shared" si="5"/>
        <v>3.7700000000000266E-4</v>
      </c>
    </row>
    <row r="379" spans="1:34" ht="15.75" thickBot="1" x14ac:dyDescent="0.3">
      <c r="A379" s="569" t="s">
        <v>2467</v>
      </c>
      <c r="B379" s="569" t="s">
        <v>147</v>
      </c>
      <c r="C379" s="569" t="s">
        <v>3</v>
      </c>
      <c r="D379" s="569">
        <v>152.30000000000001</v>
      </c>
      <c r="E379" s="569">
        <v>15.7</v>
      </c>
      <c r="F379" s="569">
        <v>131.80000000000001</v>
      </c>
      <c r="G379" s="569">
        <v>10.6</v>
      </c>
      <c r="H379" s="569">
        <v>122.9</v>
      </c>
      <c r="I379" s="569">
        <v>12.2</v>
      </c>
      <c r="J379" s="569">
        <v>152.30000000000001</v>
      </c>
      <c r="K379" s="569">
        <v>15.7</v>
      </c>
      <c r="L379" s="569">
        <v>131.80000000000001</v>
      </c>
      <c r="M379" s="569">
        <v>10.6</v>
      </c>
      <c r="N379" s="569">
        <v>122.9</v>
      </c>
      <c r="O379" s="569">
        <v>12.2</v>
      </c>
      <c r="P379" s="569">
        <v>148.9</v>
      </c>
      <c r="Q379" s="569">
        <v>17.5</v>
      </c>
      <c r="R379" s="569">
        <v>152.30000000000001</v>
      </c>
      <c r="S379" s="569">
        <v>15.7</v>
      </c>
      <c r="T379" s="569">
        <v>131.80000000000001</v>
      </c>
      <c r="U379" s="569">
        <v>10.6</v>
      </c>
      <c r="V379" s="569">
        <v>122.9</v>
      </c>
      <c r="W379" s="569">
        <v>12.2</v>
      </c>
      <c r="X379" s="569">
        <v>148.9</v>
      </c>
      <c r="Y379" s="569">
        <v>17.5</v>
      </c>
      <c r="Z379" s="569">
        <v>152.30000000000001</v>
      </c>
      <c r="AA379" s="569">
        <v>15.7</v>
      </c>
      <c r="AB379" s="569">
        <v>131.80000000000001</v>
      </c>
      <c r="AC379" s="569">
        <v>10.6</v>
      </c>
      <c r="AD379" s="569">
        <v>122.9</v>
      </c>
      <c r="AE379" s="569">
        <v>122.9</v>
      </c>
      <c r="AF379">
        <v>379</v>
      </c>
      <c r="AG379" s="438">
        <f>IF(INDEX(D:AE,AF379,ADP!$AF$6)=0,"",INDEX(D:AE,AF379,ADP!$AF$6)+AH379)</f>
        <v>122.900378</v>
      </c>
      <c r="AH379">
        <f t="shared" si="5"/>
        <v>3.7800000000000268E-4</v>
      </c>
    </row>
    <row r="380" spans="1:34" ht="15.75" thickBot="1" x14ac:dyDescent="0.3">
      <c r="A380" s="569" t="s">
        <v>2197</v>
      </c>
      <c r="B380" s="569" t="s">
        <v>166</v>
      </c>
      <c r="C380" s="569" t="s">
        <v>6</v>
      </c>
      <c r="D380" s="569">
        <v>20.3</v>
      </c>
      <c r="E380" s="569">
        <v>2.6</v>
      </c>
      <c r="F380" s="569">
        <v>21</v>
      </c>
      <c r="G380" s="569">
        <v>2.2999999999999998</v>
      </c>
      <c r="H380" s="569">
        <v>19.8</v>
      </c>
      <c r="I380" s="569">
        <v>2.2000000000000002</v>
      </c>
      <c r="J380" s="569">
        <v>20.3</v>
      </c>
      <c r="K380" s="569">
        <v>2.6</v>
      </c>
      <c r="L380" s="569">
        <v>21</v>
      </c>
      <c r="M380" s="569">
        <v>2.2999999999999998</v>
      </c>
      <c r="N380" s="569">
        <v>19.8</v>
      </c>
      <c r="O380" s="569">
        <v>2.2000000000000002</v>
      </c>
      <c r="P380" s="569">
        <v>33.799999999999997</v>
      </c>
      <c r="Q380" s="569">
        <v>4.5999999999999996</v>
      </c>
      <c r="R380" s="569">
        <v>20.3</v>
      </c>
      <c r="S380" s="569">
        <v>2.6</v>
      </c>
      <c r="T380" s="569">
        <v>21</v>
      </c>
      <c r="U380" s="569">
        <v>2.2999999999999998</v>
      </c>
      <c r="V380" s="569">
        <v>19.8</v>
      </c>
      <c r="W380" s="569">
        <v>2.2000000000000002</v>
      </c>
      <c r="X380" s="569">
        <v>33.799999999999997</v>
      </c>
      <c r="Y380" s="569">
        <v>4.5999999999999996</v>
      </c>
      <c r="Z380" s="569">
        <v>20.3</v>
      </c>
      <c r="AA380" s="569">
        <v>2.6</v>
      </c>
      <c r="AB380" s="569">
        <v>21</v>
      </c>
      <c r="AC380" s="569">
        <v>2.2999999999999998</v>
      </c>
      <c r="AD380" s="569">
        <v>19.8</v>
      </c>
      <c r="AE380" s="569">
        <v>19.8</v>
      </c>
      <c r="AF380">
        <v>380</v>
      </c>
      <c r="AG380" s="438">
        <f>IF(INDEX(D:AE,AF380,ADP!$AF$6)=0,"",INDEX(D:AE,AF380,ADP!$AF$6)+AH380)</f>
        <v>19.800379</v>
      </c>
      <c r="AH380">
        <f t="shared" si="5"/>
        <v>3.7900000000000271E-4</v>
      </c>
    </row>
    <row r="381" spans="1:34" ht="15.75" thickBot="1" x14ac:dyDescent="0.3">
      <c r="A381" s="569" t="s">
        <v>2468</v>
      </c>
      <c r="B381" s="569" t="s">
        <v>139</v>
      </c>
      <c r="C381" s="569" t="s">
        <v>6</v>
      </c>
      <c r="D381" s="569"/>
      <c r="E381" s="569"/>
      <c r="F381" s="569"/>
      <c r="G381" s="569"/>
      <c r="H381" s="569"/>
      <c r="I381" s="569"/>
      <c r="J381" s="569"/>
      <c r="K381" s="569"/>
      <c r="L381" s="569"/>
      <c r="M381" s="569"/>
      <c r="N381" s="569"/>
      <c r="O381" s="569"/>
      <c r="P381" s="569"/>
      <c r="Q381" s="569"/>
      <c r="R381" s="569"/>
      <c r="S381" s="569"/>
      <c r="T381" s="569"/>
      <c r="U381" s="569"/>
      <c r="V381" s="569"/>
      <c r="W381" s="569"/>
      <c r="X381" s="569"/>
      <c r="Y381" s="569"/>
      <c r="Z381" s="569"/>
      <c r="AA381" s="569"/>
      <c r="AB381" s="569"/>
      <c r="AC381" s="569"/>
      <c r="AD381" s="569"/>
      <c r="AE381" s="569"/>
      <c r="AF381">
        <v>381</v>
      </c>
      <c r="AG381" s="438" t="str">
        <f>IF(INDEX(D:AE,AF381,ADP!$AF$6)=0,"",INDEX(D:AE,AF381,ADP!$AF$6)+AH381)</f>
        <v/>
      </c>
      <c r="AH381">
        <f t="shared" si="5"/>
        <v>3.8000000000000273E-4</v>
      </c>
    </row>
    <row r="382" spans="1:34" ht="15.75" thickBot="1" x14ac:dyDescent="0.3">
      <c r="A382" s="569" t="s">
        <v>2469</v>
      </c>
      <c r="B382" s="569" t="s">
        <v>140</v>
      </c>
      <c r="C382" s="569" t="s">
        <v>6</v>
      </c>
      <c r="D382" s="569">
        <v>88.4</v>
      </c>
      <c r="E382" s="569">
        <v>10.4</v>
      </c>
      <c r="F382" s="569">
        <v>89.2</v>
      </c>
      <c r="G382" s="569">
        <v>6.3</v>
      </c>
      <c r="H382" s="569">
        <v>82.2</v>
      </c>
      <c r="I382" s="569">
        <v>7.3</v>
      </c>
      <c r="J382" s="569">
        <v>88.4</v>
      </c>
      <c r="K382" s="569">
        <v>10.4</v>
      </c>
      <c r="L382" s="569">
        <v>89.2</v>
      </c>
      <c r="M382" s="569">
        <v>6.3</v>
      </c>
      <c r="N382" s="569">
        <v>82.2</v>
      </c>
      <c r="O382" s="569">
        <v>7.3</v>
      </c>
      <c r="P382" s="574">
        <v>128.6</v>
      </c>
      <c r="Q382" s="574">
        <v>28.4</v>
      </c>
      <c r="R382" s="569">
        <v>88.4</v>
      </c>
      <c r="S382" s="569">
        <v>10.4</v>
      </c>
      <c r="T382" s="569">
        <v>89.2</v>
      </c>
      <c r="U382" s="569">
        <v>6.3</v>
      </c>
      <c r="V382" s="569">
        <v>82.2</v>
      </c>
      <c r="W382" s="569">
        <v>7.3</v>
      </c>
      <c r="X382" s="574">
        <v>128.6</v>
      </c>
      <c r="Y382" s="574">
        <v>28.4</v>
      </c>
      <c r="Z382" s="569">
        <v>88.4</v>
      </c>
      <c r="AA382" s="569">
        <v>10.4</v>
      </c>
      <c r="AB382" s="569">
        <v>89.2</v>
      </c>
      <c r="AC382" s="569">
        <v>6.3</v>
      </c>
      <c r="AD382" s="569">
        <v>82.2</v>
      </c>
      <c r="AE382" s="569">
        <v>82.2</v>
      </c>
      <c r="AF382">
        <v>382</v>
      </c>
      <c r="AG382" s="438">
        <f>IF(INDEX(D:AE,AF382,ADP!$AF$6)=0,"",INDEX(D:AE,AF382,ADP!$AF$6)+AH382)</f>
        <v>82.200381000000007</v>
      </c>
      <c r="AH382">
        <f t="shared" si="5"/>
        <v>3.8100000000000276E-4</v>
      </c>
    </row>
    <row r="383" spans="1:34" ht="15.75" thickBot="1" x14ac:dyDescent="0.3">
      <c r="A383" s="569" t="s">
        <v>2174</v>
      </c>
      <c r="B383" s="569" t="s">
        <v>144</v>
      </c>
      <c r="C383" s="569" t="s">
        <v>3</v>
      </c>
      <c r="D383" s="569">
        <v>67.900000000000006</v>
      </c>
      <c r="E383" s="569">
        <v>7.6</v>
      </c>
      <c r="F383" s="569">
        <v>65.099999999999994</v>
      </c>
      <c r="G383" s="569">
        <v>6</v>
      </c>
      <c r="H383" s="569">
        <v>71.2</v>
      </c>
      <c r="I383" s="569">
        <v>7.9</v>
      </c>
      <c r="J383" s="569">
        <v>67.900000000000006</v>
      </c>
      <c r="K383" s="569">
        <v>7.6</v>
      </c>
      <c r="L383" s="569">
        <v>65.099999999999994</v>
      </c>
      <c r="M383" s="569">
        <v>6</v>
      </c>
      <c r="N383" s="569">
        <v>71.2</v>
      </c>
      <c r="O383" s="569">
        <v>7.9</v>
      </c>
      <c r="P383" s="569">
        <v>51.3</v>
      </c>
      <c r="Q383" s="569">
        <v>6</v>
      </c>
      <c r="R383" s="569">
        <v>67.900000000000006</v>
      </c>
      <c r="S383" s="569">
        <v>7.6</v>
      </c>
      <c r="T383" s="569">
        <v>65.099999999999994</v>
      </c>
      <c r="U383" s="569">
        <v>6</v>
      </c>
      <c r="V383" s="569">
        <v>71.2</v>
      </c>
      <c r="W383" s="569">
        <v>7.9</v>
      </c>
      <c r="X383" s="569">
        <v>51.3</v>
      </c>
      <c r="Y383" s="569">
        <v>6</v>
      </c>
      <c r="Z383" s="569">
        <v>67.900000000000006</v>
      </c>
      <c r="AA383" s="569">
        <v>7.6</v>
      </c>
      <c r="AB383" s="569">
        <v>65.099999999999994</v>
      </c>
      <c r="AC383" s="569">
        <v>6</v>
      </c>
      <c r="AD383" s="569">
        <v>71.2</v>
      </c>
      <c r="AE383" s="569">
        <v>71.2</v>
      </c>
      <c r="AF383">
        <v>383</v>
      </c>
      <c r="AG383" s="438">
        <f>IF(INDEX(D:AE,AF383,ADP!$AF$6)=0,"",INDEX(D:AE,AF383,ADP!$AF$6)+AH383)</f>
        <v>71.200382000000005</v>
      </c>
      <c r="AH383">
        <f t="shared" si="5"/>
        <v>3.8200000000000278E-4</v>
      </c>
    </row>
    <row r="384" spans="1:34" ht="15.75" thickBot="1" x14ac:dyDescent="0.3">
      <c r="A384" s="569" t="s">
        <v>2333</v>
      </c>
      <c r="B384" s="569" t="s">
        <v>155</v>
      </c>
      <c r="C384" s="569" t="s">
        <v>6</v>
      </c>
      <c r="D384" s="569"/>
      <c r="E384" s="569"/>
      <c r="F384" s="569"/>
      <c r="G384" s="569"/>
      <c r="H384" s="569"/>
      <c r="I384" s="569"/>
      <c r="J384" s="569"/>
      <c r="K384" s="569"/>
      <c r="L384" s="569"/>
      <c r="M384" s="569"/>
      <c r="N384" s="569"/>
      <c r="O384" s="569"/>
      <c r="P384" s="569"/>
      <c r="Q384" s="569"/>
      <c r="R384" s="569"/>
      <c r="S384" s="569"/>
      <c r="T384" s="569"/>
      <c r="U384" s="569"/>
      <c r="V384" s="569"/>
      <c r="W384" s="569"/>
      <c r="X384" s="569"/>
      <c r="Y384" s="569"/>
      <c r="Z384" s="569"/>
      <c r="AA384" s="569"/>
      <c r="AB384" s="569"/>
      <c r="AC384" s="569"/>
      <c r="AD384" s="569"/>
      <c r="AE384" s="569"/>
      <c r="AF384">
        <v>384</v>
      </c>
      <c r="AG384" s="438" t="str">
        <f>IF(INDEX(D:AE,AF384,ADP!$AF$6)=0,"",INDEX(D:AE,AF384,ADP!$AF$6)+AH384)</f>
        <v/>
      </c>
      <c r="AH384">
        <f t="shared" si="5"/>
        <v>3.830000000000028E-4</v>
      </c>
    </row>
    <row r="385" spans="1:34" ht="15.75" thickBot="1" x14ac:dyDescent="0.3">
      <c r="A385" s="569" t="s">
        <v>1820</v>
      </c>
      <c r="B385" s="569" t="s">
        <v>166</v>
      </c>
      <c r="C385" s="569" t="s">
        <v>11</v>
      </c>
      <c r="D385" s="574">
        <v>159.5</v>
      </c>
      <c r="E385" s="574">
        <v>14.8</v>
      </c>
      <c r="F385" s="574">
        <v>167.8</v>
      </c>
      <c r="G385" s="574">
        <v>15.5</v>
      </c>
      <c r="H385" s="574">
        <v>159.5</v>
      </c>
      <c r="I385" s="574">
        <v>16.8</v>
      </c>
      <c r="J385" s="574">
        <v>159.5</v>
      </c>
      <c r="K385" s="574">
        <v>14.8</v>
      </c>
      <c r="L385" s="574">
        <v>167.8</v>
      </c>
      <c r="M385" s="574">
        <v>15.5</v>
      </c>
      <c r="N385" s="574">
        <v>159.5</v>
      </c>
      <c r="O385" s="574">
        <v>16.8</v>
      </c>
      <c r="P385" s="574"/>
      <c r="Q385" s="574"/>
      <c r="R385" s="574">
        <v>159.5</v>
      </c>
      <c r="S385" s="574">
        <v>14.8</v>
      </c>
      <c r="T385" s="574">
        <v>167.8</v>
      </c>
      <c r="U385" s="574">
        <v>15.5</v>
      </c>
      <c r="V385" s="574">
        <v>159.5</v>
      </c>
      <c r="W385" s="574">
        <v>16.8</v>
      </c>
      <c r="X385" s="574"/>
      <c r="Y385" s="574"/>
      <c r="Z385" s="574">
        <v>159.5</v>
      </c>
      <c r="AA385" s="574">
        <v>14.8</v>
      </c>
      <c r="AB385" s="574">
        <v>167.8</v>
      </c>
      <c r="AC385" s="574">
        <v>15.5</v>
      </c>
      <c r="AD385" s="574">
        <v>159.5</v>
      </c>
      <c r="AE385" s="574">
        <v>159.5</v>
      </c>
      <c r="AF385">
        <v>385</v>
      </c>
      <c r="AG385" s="438">
        <f>IF(INDEX(D:AE,AF385,ADP!$AF$6)=0,"",INDEX(D:AE,AF385,ADP!$AF$6)+AH385)</f>
        <v>159.500384</v>
      </c>
      <c r="AH385">
        <f t="shared" si="5"/>
        <v>3.8400000000000283E-4</v>
      </c>
    </row>
    <row r="386" spans="1:34" ht="15.75" thickBot="1" x14ac:dyDescent="0.3">
      <c r="A386" s="569" t="s">
        <v>1215</v>
      </c>
      <c r="B386" s="569" t="s">
        <v>140</v>
      </c>
      <c r="C386" s="569" t="s">
        <v>11</v>
      </c>
      <c r="D386" s="569">
        <v>167.5</v>
      </c>
      <c r="E386" s="569">
        <v>10.7</v>
      </c>
      <c r="F386" s="569"/>
      <c r="G386" s="569"/>
      <c r="H386" s="569">
        <v>167.9</v>
      </c>
      <c r="I386" s="569">
        <v>15.4</v>
      </c>
      <c r="J386" s="569">
        <v>167.5</v>
      </c>
      <c r="K386" s="569">
        <v>10.7</v>
      </c>
      <c r="L386" s="569"/>
      <c r="M386" s="569"/>
      <c r="N386" s="569">
        <v>167.9</v>
      </c>
      <c r="O386" s="569">
        <v>15.4</v>
      </c>
      <c r="P386" s="569"/>
      <c r="Q386" s="569"/>
      <c r="R386" s="569">
        <v>167.5</v>
      </c>
      <c r="S386" s="569">
        <v>10.7</v>
      </c>
      <c r="T386" s="569"/>
      <c r="U386" s="569"/>
      <c r="V386" s="569">
        <v>167.9</v>
      </c>
      <c r="W386" s="569">
        <v>15.4</v>
      </c>
      <c r="X386" s="569"/>
      <c r="Y386" s="569"/>
      <c r="Z386" s="569">
        <v>167.5</v>
      </c>
      <c r="AA386" s="569">
        <v>10.7</v>
      </c>
      <c r="AB386" s="569"/>
      <c r="AC386" s="569"/>
      <c r="AD386" s="569">
        <v>167.9</v>
      </c>
      <c r="AE386" s="569">
        <v>167.9</v>
      </c>
      <c r="AF386">
        <v>386</v>
      </c>
      <c r="AG386" s="438">
        <f>IF(INDEX(D:AE,AF386,ADP!$AF$6)=0,"",INDEX(D:AE,AF386,ADP!$AF$6)+AH386)</f>
        <v>167.900385</v>
      </c>
      <c r="AH386">
        <f t="shared" si="5"/>
        <v>3.8500000000000285E-4</v>
      </c>
    </row>
    <row r="387" spans="1:34" ht="15.75" thickBot="1" x14ac:dyDescent="0.3">
      <c r="A387" s="569" t="s">
        <v>2571</v>
      </c>
      <c r="B387" s="569" t="s">
        <v>142</v>
      </c>
      <c r="C387" s="569" t="s">
        <v>6</v>
      </c>
      <c r="D387" s="574"/>
      <c r="E387" s="574"/>
      <c r="F387" s="574"/>
      <c r="G387" s="574"/>
      <c r="H387" s="569"/>
      <c r="I387" s="569"/>
      <c r="J387" s="574"/>
      <c r="K387" s="574"/>
      <c r="L387" s="574"/>
      <c r="M387" s="574"/>
      <c r="N387" s="569"/>
      <c r="O387" s="569"/>
      <c r="P387" s="569"/>
      <c r="Q387" s="569"/>
      <c r="R387" s="574"/>
      <c r="S387" s="574"/>
      <c r="T387" s="574"/>
      <c r="U387" s="574"/>
      <c r="V387" s="569"/>
      <c r="W387" s="569"/>
      <c r="X387" s="569"/>
      <c r="Y387" s="569"/>
      <c r="Z387" s="574"/>
      <c r="AA387" s="574"/>
      <c r="AB387" s="574"/>
      <c r="AC387" s="574"/>
      <c r="AD387" s="569"/>
      <c r="AE387" s="569"/>
      <c r="AF387">
        <v>387</v>
      </c>
      <c r="AG387" s="438" t="str">
        <f>IF(INDEX(D:AE,AF387,ADP!$AF$6)=0,"",INDEX(D:AE,AF387,ADP!$AF$6)+AH387)</f>
        <v/>
      </c>
      <c r="AH387">
        <f t="shared" si="5"/>
        <v>3.8600000000000288E-4</v>
      </c>
    </row>
    <row r="388" spans="1:34" ht="15.75" thickBot="1" x14ac:dyDescent="0.3">
      <c r="A388" s="569" t="s">
        <v>2141</v>
      </c>
      <c r="B388" s="569" t="s">
        <v>158</v>
      </c>
      <c r="C388" s="569" t="s">
        <v>3</v>
      </c>
      <c r="D388" s="569"/>
      <c r="E388" s="569"/>
      <c r="F388" s="569"/>
      <c r="G388" s="569"/>
      <c r="H388" s="569"/>
      <c r="I388" s="569"/>
      <c r="J388" s="569"/>
      <c r="K388" s="569"/>
      <c r="L388" s="569"/>
      <c r="M388" s="569"/>
      <c r="N388" s="569"/>
      <c r="O388" s="569"/>
      <c r="P388" s="569"/>
      <c r="Q388" s="569"/>
      <c r="R388" s="569"/>
      <c r="S388" s="569"/>
      <c r="T388" s="569"/>
      <c r="U388" s="569"/>
      <c r="V388" s="569"/>
      <c r="W388" s="569"/>
      <c r="X388" s="569"/>
      <c r="Y388" s="569"/>
      <c r="Z388" s="569"/>
      <c r="AA388" s="569"/>
      <c r="AB388" s="569"/>
      <c r="AC388" s="569"/>
      <c r="AD388" s="569"/>
      <c r="AE388" s="569"/>
      <c r="AF388">
        <v>388</v>
      </c>
      <c r="AG388" s="438" t="str">
        <f>IF(INDEX(D:AE,AF388,ADP!$AF$6)=0,"",INDEX(D:AE,AF388,ADP!$AF$6)+AH388)</f>
        <v/>
      </c>
      <c r="AH388">
        <f t="shared" si="5"/>
        <v>3.870000000000029E-4</v>
      </c>
    </row>
    <row r="389" spans="1:34" ht="15.75" thickBot="1" x14ac:dyDescent="0.3">
      <c r="A389" s="569" t="s">
        <v>2193</v>
      </c>
      <c r="B389" s="569" t="s">
        <v>142</v>
      </c>
      <c r="C389" s="569" t="s">
        <v>3</v>
      </c>
      <c r="D389" s="569"/>
      <c r="E389" s="569"/>
      <c r="F389" s="569"/>
      <c r="G389" s="569"/>
      <c r="H389" s="569"/>
      <c r="I389" s="569"/>
      <c r="J389" s="569"/>
      <c r="K389" s="569"/>
      <c r="L389" s="569"/>
      <c r="M389" s="569"/>
      <c r="N389" s="569"/>
      <c r="O389" s="569"/>
      <c r="P389" s="569"/>
      <c r="Q389" s="569"/>
      <c r="R389" s="569"/>
      <c r="S389" s="569"/>
      <c r="T389" s="569"/>
      <c r="U389" s="569"/>
      <c r="V389" s="569"/>
      <c r="W389" s="569"/>
      <c r="X389" s="569"/>
      <c r="Y389" s="569"/>
      <c r="Z389" s="569"/>
      <c r="AA389" s="569"/>
      <c r="AB389" s="569"/>
      <c r="AC389" s="569"/>
      <c r="AD389" s="569"/>
      <c r="AE389" s="569"/>
      <c r="AF389">
        <v>389</v>
      </c>
      <c r="AG389" s="438" t="str">
        <f>IF(INDEX(D:AE,AF389,ADP!$AF$6)=0,"",INDEX(D:AE,AF389,ADP!$AF$6)+AH389)</f>
        <v/>
      </c>
      <c r="AH389">
        <f t="shared" si="5"/>
        <v>3.8800000000000293E-4</v>
      </c>
    </row>
    <row r="390" spans="1:34" ht="15.75" thickBot="1" x14ac:dyDescent="0.3">
      <c r="A390" s="569" t="s">
        <v>2470</v>
      </c>
      <c r="B390" s="569" t="s">
        <v>164</v>
      </c>
      <c r="C390" s="569" t="s">
        <v>6</v>
      </c>
      <c r="D390" s="569"/>
      <c r="E390" s="569"/>
      <c r="F390" s="569"/>
      <c r="G390" s="569"/>
      <c r="H390" s="569"/>
      <c r="I390" s="569"/>
      <c r="J390" s="569"/>
      <c r="K390" s="569"/>
      <c r="L390" s="569"/>
      <c r="M390" s="569"/>
      <c r="N390" s="569"/>
      <c r="O390" s="569"/>
      <c r="P390" s="569"/>
      <c r="Q390" s="569"/>
      <c r="R390" s="569"/>
      <c r="S390" s="569"/>
      <c r="T390" s="569"/>
      <c r="U390" s="569"/>
      <c r="V390" s="569"/>
      <c r="W390" s="569"/>
      <c r="X390" s="569"/>
      <c r="Y390" s="569"/>
      <c r="Z390" s="569"/>
      <c r="AA390" s="569"/>
      <c r="AB390" s="569"/>
      <c r="AC390" s="569"/>
      <c r="AD390" s="569"/>
      <c r="AE390" s="569"/>
      <c r="AF390">
        <v>390</v>
      </c>
      <c r="AG390" s="438" t="str">
        <f>IF(INDEX(D:AE,AF390,ADP!$AF$6)=0,"",INDEX(D:AE,AF390,ADP!$AF$6)+AH390)</f>
        <v/>
      </c>
      <c r="AH390">
        <f t="shared" ref="AH390:AH453" si="6">AH389+0.000001</f>
        <v>3.8900000000000295E-4</v>
      </c>
    </row>
    <row r="391" spans="1:34" ht="15.75" thickBot="1" x14ac:dyDescent="0.3">
      <c r="A391" s="569" t="s">
        <v>2096</v>
      </c>
      <c r="B391" s="569" t="s">
        <v>144</v>
      </c>
      <c r="C391" s="569" t="s">
        <v>1</v>
      </c>
      <c r="D391" s="569"/>
      <c r="E391" s="569"/>
      <c r="F391" s="569"/>
      <c r="G391" s="569"/>
      <c r="H391" s="569"/>
      <c r="I391" s="569"/>
      <c r="J391" s="569"/>
      <c r="K391" s="569"/>
      <c r="L391" s="569"/>
      <c r="M391" s="569"/>
      <c r="N391" s="569"/>
      <c r="O391" s="569"/>
      <c r="P391" s="569"/>
      <c r="Q391" s="569"/>
      <c r="R391" s="569"/>
      <c r="S391" s="569"/>
      <c r="T391" s="569"/>
      <c r="U391" s="569"/>
      <c r="V391" s="569"/>
      <c r="W391" s="569"/>
      <c r="X391" s="569"/>
      <c r="Y391" s="569"/>
      <c r="Z391" s="569"/>
      <c r="AA391" s="569"/>
      <c r="AB391" s="569"/>
      <c r="AC391" s="569"/>
      <c r="AD391" s="569"/>
      <c r="AE391" s="569"/>
      <c r="AF391">
        <v>391</v>
      </c>
      <c r="AG391" s="438" t="str">
        <f>IF(INDEX(D:AE,AF391,ADP!$AF$6)=0,"",INDEX(D:AE,AF391,ADP!$AF$6)+AH391)</f>
        <v/>
      </c>
      <c r="AH391">
        <f t="shared" si="6"/>
        <v>3.9000000000000297E-4</v>
      </c>
    </row>
    <row r="392" spans="1:34" ht="15.75" thickBot="1" x14ac:dyDescent="0.3">
      <c r="A392" s="569" t="s">
        <v>2280</v>
      </c>
      <c r="B392" s="569" t="s">
        <v>152</v>
      </c>
      <c r="C392" s="569" t="s">
        <v>3</v>
      </c>
      <c r="D392" s="569"/>
      <c r="E392" s="569"/>
      <c r="F392" s="569"/>
      <c r="G392" s="569"/>
      <c r="H392" s="569"/>
      <c r="I392" s="569"/>
      <c r="J392" s="569"/>
      <c r="K392" s="569"/>
      <c r="L392" s="569"/>
      <c r="M392" s="569"/>
      <c r="N392" s="569"/>
      <c r="O392" s="569"/>
      <c r="P392" s="569"/>
      <c r="Q392" s="569"/>
      <c r="R392" s="569"/>
      <c r="S392" s="569"/>
      <c r="T392" s="569"/>
      <c r="U392" s="569"/>
      <c r="V392" s="569"/>
      <c r="W392" s="569"/>
      <c r="X392" s="569"/>
      <c r="Y392" s="569"/>
      <c r="Z392" s="569"/>
      <c r="AA392" s="569"/>
      <c r="AB392" s="569"/>
      <c r="AC392" s="569"/>
      <c r="AD392" s="569"/>
      <c r="AE392" s="569"/>
      <c r="AF392">
        <v>392</v>
      </c>
      <c r="AG392" s="438" t="str">
        <f>IF(INDEX(D:AE,AF392,ADP!$AF$6)=0,"",INDEX(D:AE,AF392,ADP!$AF$6)+AH392)</f>
        <v/>
      </c>
      <c r="AH392">
        <f t="shared" si="6"/>
        <v>3.91000000000003E-4</v>
      </c>
    </row>
    <row r="393" spans="1:34" ht="15.75" thickBot="1" x14ac:dyDescent="0.3">
      <c r="A393" s="569" t="s">
        <v>2471</v>
      </c>
      <c r="B393" s="569" t="s">
        <v>138</v>
      </c>
      <c r="C393" s="569" t="s">
        <v>1</v>
      </c>
      <c r="D393" s="569"/>
      <c r="E393" s="569"/>
      <c r="F393" s="569"/>
      <c r="G393" s="569"/>
      <c r="H393" s="569"/>
      <c r="I393" s="569"/>
      <c r="J393" s="569"/>
      <c r="K393" s="569"/>
      <c r="L393" s="569"/>
      <c r="M393" s="569"/>
      <c r="N393" s="569"/>
      <c r="O393" s="569"/>
      <c r="P393" s="569"/>
      <c r="Q393" s="569"/>
      <c r="R393" s="569"/>
      <c r="S393" s="569"/>
      <c r="T393" s="569"/>
      <c r="U393" s="569"/>
      <c r="V393" s="569"/>
      <c r="W393" s="569"/>
      <c r="X393" s="569"/>
      <c r="Y393" s="569"/>
      <c r="Z393" s="569"/>
      <c r="AA393" s="569"/>
      <c r="AB393" s="569"/>
      <c r="AC393" s="569"/>
      <c r="AD393" s="569"/>
      <c r="AE393" s="569"/>
      <c r="AF393">
        <v>393</v>
      </c>
      <c r="AG393" s="438" t="str">
        <f>IF(INDEX(D:AE,AF393,ADP!$AF$6)=0,"",INDEX(D:AE,AF393,ADP!$AF$6)+AH393)</f>
        <v/>
      </c>
      <c r="AH393">
        <f t="shared" si="6"/>
        <v>3.9200000000000302E-4</v>
      </c>
    </row>
    <row r="394" spans="1:34" ht="15.75" thickBot="1" x14ac:dyDescent="0.3">
      <c r="A394" s="569" t="s">
        <v>1196</v>
      </c>
      <c r="B394" s="569" t="s">
        <v>142</v>
      </c>
      <c r="C394" s="569" t="s">
        <v>1</v>
      </c>
      <c r="D394" s="574">
        <v>113.6</v>
      </c>
      <c r="E394" s="574">
        <v>11.7</v>
      </c>
      <c r="F394" s="574">
        <v>121</v>
      </c>
      <c r="G394" s="574">
        <v>13</v>
      </c>
      <c r="H394" s="574">
        <v>121.4</v>
      </c>
      <c r="I394" s="574">
        <v>12.4</v>
      </c>
      <c r="J394" s="574">
        <v>113.6</v>
      </c>
      <c r="K394" s="574">
        <v>11.7</v>
      </c>
      <c r="L394" s="574">
        <v>121</v>
      </c>
      <c r="M394" s="574">
        <v>13</v>
      </c>
      <c r="N394" s="574">
        <v>121.4</v>
      </c>
      <c r="O394" s="574">
        <v>12.4</v>
      </c>
      <c r="P394" s="574">
        <v>51.5</v>
      </c>
      <c r="Q394" s="574">
        <v>9</v>
      </c>
      <c r="R394" s="574">
        <v>113.6</v>
      </c>
      <c r="S394" s="574">
        <v>11.7</v>
      </c>
      <c r="T394" s="574">
        <v>121</v>
      </c>
      <c r="U394" s="574">
        <v>13</v>
      </c>
      <c r="V394" s="574">
        <v>121.4</v>
      </c>
      <c r="W394" s="574">
        <v>12.4</v>
      </c>
      <c r="X394" s="574">
        <v>51.5</v>
      </c>
      <c r="Y394" s="574">
        <v>9</v>
      </c>
      <c r="Z394" s="574">
        <v>113.6</v>
      </c>
      <c r="AA394" s="574">
        <v>11.7</v>
      </c>
      <c r="AB394" s="574">
        <v>121</v>
      </c>
      <c r="AC394" s="574">
        <v>13</v>
      </c>
      <c r="AD394" s="574">
        <v>121.4</v>
      </c>
      <c r="AE394" s="574">
        <v>121.4</v>
      </c>
      <c r="AF394">
        <v>394</v>
      </c>
      <c r="AG394" s="438">
        <f>IF(INDEX(D:AE,AF394,ADP!$AF$6)=0,"",INDEX(D:AE,AF394,ADP!$AF$6)+AH394)</f>
        <v>121.40039300000001</v>
      </c>
      <c r="AH394">
        <f t="shared" si="6"/>
        <v>3.9300000000000305E-4</v>
      </c>
    </row>
    <row r="395" spans="1:34" ht="15.75" thickBot="1" x14ac:dyDescent="0.3">
      <c r="A395" s="569" t="s">
        <v>2114</v>
      </c>
      <c r="B395" s="569" t="s">
        <v>165</v>
      </c>
      <c r="C395" s="569" t="s">
        <v>3</v>
      </c>
      <c r="D395" s="574"/>
      <c r="E395" s="574"/>
      <c r="F395" s="574"/>
      <c r="G395" s="574"/>
      <c r="H395" s="574"/>
      <c r="I395" s="574"/>
      <c r="J395" s="574"/>
      <c r="K395" s="574"/>
      <c r="L395" s="574"/>
      <c r="M395" s="574"/>
      <c r="N395" s="574"/>
      <c r="O395" s="574"/>
      <c r="P395" s="574"/>
      <c r="Q395" s="574"/>
      <c r="R395" s="574"/>
      <c r="S395" s="574"/>
      <c r="T395" s="574"/>
      <c r="U395" s="574"/>
      <c r="V395" s="574"/>
      <c r="W395" s="574"/>
      <c r="X395" s="574"/>
      <c r="Y395" s="574"/>
      <c r="Z395" s="574"/>
      <c r="AA395" s="574"/>
      <c r="AB395" s="574"/>
      <c r="AC395" s="574"/>
      <c r="AD395" s="574"/>
      <c r="AE395" s="574"/>
      <c r="AF395">
        <v>395</v>
      </c>
      <c r="AG395" s="438" t="str">
        <f>IF(INDEX(D:AE,AF395,ADP!$AF$6)=0,"",INDEX(D:AE,AF395,ADP!$AF$6)+AH395)</f>
        <v/>
      </c>
      <c r="AH395">
        <f t="shared" si="6"/>
        <v>3.9400000000000307E-4</v>
      </c>
    </row>
    <row r="396" spans="1:34" ht="15.75" thickBot="1" x14ac:dyDescent="0.3">
      <c r="A396" s="569" t="s">
        <v>1122</v>
      </c>
      <c r="B396" s="569" t="s">
        <v>154</v>
      </c>
      <c r="C396" s="569" t="s">
        <v>6</v>
      </c>
      <c r="D396" s="569"/>
      <c r="E396" s="569"/>
      <c r="F396" s="569"/>
      <c r="G396" s="569"/>
      <c r="H396" s="569"/>
      <c r="I396" s="569"/>
      <c r="J396" s="569"/>
      <c r="K396" s="569"/>
      <c r="L396" s="569"/>
      <c r="M396" s="569"/>
      <c r="N396" s="569"/>
      <c r="O396" s="569"/>
      <c r="P396" s="569"/>
      <c r="Q396" s="569"/>
      <c r="R396" s="569"/>
      <c r="S396" s="569"/>
      <c r="T396" s="569"/>
      <c r="U396" s="569"/>
      <c r="V396" s="569"/>
      <c r="W396" s="569"/>
      <c r="X396" s="569"/>
      <c r="Y396" s="569"/>
      <c r="Z396" s="569"/>
      <c r="AA396" s="569"/>
      <c r="AB396" s="569"/>
      <c r="AC396" s="569"/>
      <c r="AD396" s="569"/>
      <c r="AE396" s="569"/>
      <c r="AF396">
        <v>396</v>
      </c>
      <c r="AG396" s="438" t="str">
        <f>IF(INDEX(D:AE,AF396,ADP!$AF$6)=0,"",INDEX(D:AE,AF396,ADP!$AF$6)+AH396)</f>
        <v/>
      </c>
      <c r="AH396">
        <f t="shared" si="6"/>
        <v>3.950000000000031E-4</v>
      </c>
    </row>
    <row r="397" spans="1:34" ht="15.75" thickBot="1" x14ac:dyDescent="0.3">
      <c r="A397" s="569" t="s">
        <v>2325</v>
      </c>
      <c r="B397" s="569" t="s">
        <v>142</v>
      </c>
      <c r="C397" s="569" t="s">
        <v>6</v>
      </c>
      <c r="D397" s="574">
        <v>68.599999999999994</v>
      </c>
      <c r="E397" s="574">
        <v>5.2</v>
      </c>
      <c r="F397" s="574">
        <v>113.2</v>
      </c>
      <c r="G397" s="574">
        <v>8.6</v>
      </c>
      <c r="H397" s="574">
        <v>119.8</v>
      </c>
      <c r="I397" s="574">
        <v>11.3</v>
      </c>
      <c r="J397" s="574">
        <v>68.599999999999994</v>
      </c>
      <c r="K397" s="574">
        <v>5.2</v>
      </c>
      <c r="L397" s="574">
        <v>113.2</v>
      </c>
      <c r="M397" s="574">
        <v>8.6</v>
      </c>
      <c r="N397" s="574">
        <v>119.8</v>
      </c>
      <c r="O397" s="574">
        <v>11.3</v>
      </c>
      <c r="P397" s="574">
        <v>145.5</v>
      </c>
      <c r="Q397" s="574">
        <v>16.7</v>
      </c>
      <c r="R397" s="574">
        <v>68.599999999999994</v>
      </c>
      <c r="S397" s="574">
        <v>5.2</v>
      </c>
      <c r="T397" s="574">
        <v>113.2</v>
      </c>
      <c r="U397" s="574">
        <v>8.6</v>
      </c>
      <c r="V397" s="574">
        <v>119.8</v>
      </c>
      <c r="W397" s="574">
        <v>11.3</v>
      </c>
      <c r="X397" s="574">
        <v>145.5</v>
      </c>
      <c r="Y397" s="574">
        <v>16.7</v>
      </c>
      <c r="Z397" s="574">
        <v>68.599999999999994</v>
      </c>
      <c r="AA397" s="574">
        <v>5.2</v>
      </c>
      <c r="AB397" s="574">
        <v>113.2</v>
      </c>
      <c r="AC397" s="574">
        <v>8.6</v>
      </c>
      <c r="AD397" s="574">
        <v>119.8</v>
      </c>
      <c r="AE397" s="574">
        <v>119.8</v>
      </c>
      <c r="AF397">
        <v>397</v>
      </c>
      <c r="AG397" s="438">
        <f>IF(INDEX(D:AE,AF397,ADP!$AF$6)=0,"",INDEX(D:AE,AF397,ADP!$AF$6)+AH397)</f>
        <v>119.80039599999999</v>
      </c>
      <c r="AH397">
        <f t="shared" si="6"/>
        <v>3.9600000000000312E-4</v>
      </c>
    </row>
    <row r="398" spans="1:34" ht="15.75" thickBot="1" x14ac:dyDescent="0.3">
      <c r="A398" s="569" t="s">
        <v>2111</v>
      </c>
      <c r="B398" s="569" t="s">
        <v>154</v>
      </c>
      <c r="C398" s="569" t="s">
        <v>3</v>
      </c>
      <c r="D398" s="569"/>
      <c r="E398" s="569"/>
      <c r="F398" s="569">
        <v>163.4</v>
      </c>
      <c r="G398" s="569">
        <v>14.2</v>
      </c>
      <c r="H398" s="569"/>
      <c r="I398" s="569"/>
      <c r="J398" s="569"/>
      <c r="K398" s="569"/>
      <c r="L398" s="569">
        <v>163.4</v>
      </c>
      <c r="M398" s="569">
        <v>14.2</v>
      </c>
      <c r="N398" s="569"/>
      <c r="O398" s="569"/>
      <c r="P398" s="569"/>
      <c r="Q398" s="569"/>
      <c r="R398" s="569"/>
      <c r="S398" s="569"/>
      <c r="T398" s="569">
        <v>163.4</v>
      </c>
      <c r="U398" s="569">
        <v>14.2</v>
      </c>
      <c r="V398" s="569"/>
      <c r="W398" s="569"/>
      <c r="X398" s="569"/>
      <c r="Y398" s="569"/>
      <c r="Z398" s="569"/>
      <c r="AA398" s="569"/>
      <c r="AB398" s="569">
        <v>163.4</v>
      </c>
      <c r="AC398" s="569">
        <v>14.2</v>
      </c>
      <c r="AD398" s="569"/>
      <c r="AE398" s="569"/>
      <c r="AF398">
        <v>398</v>
      </c>
      <c r="AG398" s="438" t="str">
        <f>IF(INDEX(D:AE,AF398,ADP!$AF$6)=0,"",INDEX(D:AE,AF398,ADP!$AF$6)+AH398)</f>
        <v/>
      </c>
      <c r="AH398">
        <f t="shared" si="6"/>
        <v>3.9700000000000314E-4</v>
      </c>
    </row>
    <row r="399" spans="1:34" ht="15.75" thickBot="1" x14ac:dyDescent="0.3">
      <c r="A399" s="569" t="s">
        <v>2338</v>
      </c>
      <c r="B399" s="569" t="s">
        <v>162</v>
      </c>
      <c r="C399" s="569" t="s">
        <v>6</v>
      </c>
      <c r="D399" s="574"/>
      <c r="E399" s="574"/>
      <c r="F399" s="574"/>
      <c r="G399" s="574"/>
      <c r="H399" s="569"/>
      <c r="I399" s="569"/>
      <c r="J399" s="574"/>
      <c r="K399" s="574"/>
      <c r="L399" s="574"/>
      <c r="M399" s="574"/>
      <c r="N399" s="569"/>
      <c r="O399" s="569"/>
      <c r="P399" s="569"/>
      <c r="Q399" s="569"/>
      <c r="R399" s="574"/>
      <c r="S399" s="574"/>
      <c r="T399" s="574"/>
      <c r="U399" s="574"/>
      <c r="V399" s="569"/>
      <c r="W399" s="569"/>
      <c r="X399" s="569"/>
      <c r="Y399" s="569"/>
      <c r="Z399" s="574"/>
      <c r="AA399" s="574"/>
      <c r="AB399" s="574"/>
      <c r="AC399" s="574"/>
      <c r="AD399" s="569"/>
      <c r="AE399" s="569"/>
      <c r="AF399">
        <v>399</v>
      </c>
      <c r="AG399" s="438" t="str">
        <f>IF(INDEX(D:AE,AF399,ADP!$AF$6)=0,"",INDEX(D:AE,AF399,ADP!$AF$6)+AH399)</f>
        <v/>
      </c>
      <c r="AH399">
        <f t="shared" si="6"/>
        <v>3.9800000000000317E-4</v>
      </c>
    </row>
    <row r="400" spans="1:34" ht="15.75" thickBot="1" x14ac:dyDescent="0.3">
      <c r="A400" s="569" t="s">
        <v>2370</v>
      </c>
      <c r="B400" s="569" t="s">
        <v>142</v>
      </c>
      <c r="C400" s="569" t="s">
        <v>7</v>
      </c>
      <c r="D400" s="574"/>
      <c r="E400" s="574"/>
      <c r="F400" s="574"/>
      <c r="G400" s="574"/>
      <c r="H400" s="574"/>
      <c r="I400" s="574"/>
      <c r="J400" s="574"/>
      <c r="K400" s="574"/>
      <c r="L400" s="574"/>
      <c r="M400" s="574"/>
      <c r="N400" s="574"/>
      <c r="O400" s="574"/>
      <c r="P400" s="574"/>
      <c r="Q400" s="574"/>
      <c r="R400" s="574"/>
      <c r="S400" s="574"/>
      <c r="T400" s="574"/>
      <c r="U400" s="574"/>
      <c r="V400" s="574"/>
      <c r="W400" s="574"/>
      <c r="X400" s="574"/>
      <c r="Y400" s="574"/>
      <c r="Z400" s="574"/>
      <c r="AA400" s="574"/>
      <c r="AB400" s="574"/>
      <c r="AC400" s="574"/>
      <c r="AD400" s="574"/>
      <c r="AE400" s="574"/>
      <c r="AF400">
        <v>400</v>
      </c>
      <c r="AG400" s="438" t="str">
        <f>IF(INDEX(D:AE,AF400,ADP!$AF$6)=0,"",INDEX(D:AE,AF400,ADP!$AF$6)+AH400)</f>
        <v/>
      </c>
      <c r="AH400">
        <f t="shared" si="6"/>
        <v>3.9900000000000319E-4</v>
      </c>
    </row>
    <row r="401" spans="1:34" ht="15.75" thickBot="1" x14ac:dyDescent="0.3">
      <c r="A401" s="569" t="s">
        <v>2291</v>
      </c>
      <c r="B401" s="569" t="s">
        <v>156</v>
      </c>
      <c r="C401" s="569" t="s">
        <v>3</v>
      </c>
      <c r="D401" s="574">
        <v>83.1</v>
      </c>
      <c r="E401" s="574">
        <v>8.1</v>
      </c>
      <c r="F401" s="574">
        <v>71.5</v>
      </c>
      <c r="G401" s="574">
        <v>7.7</v>
      </c>
      <c r="H401" s="574">
        <v>78.7</v>
      </c>
      <c r="I401" s="574">
        <v>6.7</v>
      </c>
      <c r="J401" s="574">
        <v>83.1</v>
      </c>
      <c r="K401" s="574">
        <v>8.1</v>
      </c>
      <c r="L401" s="574">
        <v>71.5</v>
      </c>
      <c r="M401" s="574">
        <v>7.7</v>
      </c>
      <c r="N401" s="574">
        <v>78.7</v>
      </c>
      <c r="O401" s="574">
        <v>6.7</v>
      </c>
      <c r="P401" s="574">
        <v>86.1</v>
      </c>
      <c r="Q401" s="574">
        <v>9.4</v>
      </c>
      <c r="R401" s="574">
        <v>83.1</v>
      </c>
      <c r="S401" s="574">
        <v>8.1</v>
      </c>
      <c r="T401" s="574">
        <v>71.5</v>
      </c>
      <c r="U401" s="574">
        <v>7.7</v>
      </c>
      <c r="V401" s="574">
        <v>78.7</v>
      </c>
      <c r="W401" s="574">
        <v>6.7</v>
      </c>
      <c r="X401" s="574">
        <v>86.1</v>
      </c>
      <c r="Y401" s="574">
        <v>9.4</v>
      </c>
      <c r="Z401" s="574">
        <v>83.1</v>
      </c>
      <c r="AA401" s="574">
        <v>8.1</v>
      </c>
      <c r="AB401" s="574">
        <v>71.5</v>
      </c>
      <c r="AC401" s="574">
        <v>7.7</v>
      </c>
      <c r="AD401" s="574">
        <v>78.7</v>
      </c>
      <c r="AE401" s="574">
        <v>78.7</v>
      </c>
      <c r="AF401">
        <v>401</v>
      </c>
      <c r="AG401" s="438">
        <f>IF(INDEX(D:AE,AF401,ADP!$AF$6)=0,"",INDEX(D:AE,AF401,ADP!$AF$6)+AH401)</f>
        <v>78.700400000000002</v>
      </c>
      <c r="AH401">
        <f t="shared" si="6"/>
        <v>4.0000000000000322E-4</v>
      </c>
    </row>
    <row r="402" spans="1:34" ht="15.75" thickBot="1" x14ac:dyDescent="0.3">
      <c r="A402" s="569" t="s">
        <v>1422</v>
      </c>
      <c r="B402" s="569" t="s">
        <v>2272</v>
      </c>
      <c r="C402" s="569" t="s">
        <v>3</v>
      </c>
      <c r="D402" s="569">
        <v>59.6</v>
      </c>
      <c r="E402" s="569">
        <v>6.1</v>
      </c>
      <c r="F402" s="569">
        <v>56.4</v>
      </c>
      <c r="G402" s="569">
        <v>5.2</v>
      </c>
      <c r="H402" s="569">
        <v>65.400000000000006</v>
      </c>
      <c r="I402" s="569">
        <v>6.7</v>
      </c>
      <c r="J402" s="569">
        <v>59.6</v>
      </c>
      <c r="K402" s="569">
        <v>6.1</v>
      </c>
      <c r="L402" s="569">
        <v>56.4</v>
      </c>
      <c r="M402" s="569">
        <v>5.2</v>
      </c>
      <c r="N402" s="569">
        <v>65.400000000000006</v>
      </c>
      <c r="O402" s="569">
        <v>6.7</v>
      </c>
      <c r="P402" s="569">
        <v>55.8</v>
      </c>
      <c r="Q402" s="569">
        <v>6</v>
      </c>
      <c r="R402" s="569">
        <v>59.6</v>
      </c>
      <c r="S402" s="569">
        <v>6.1</v>
      </c>
      <c r="T402" s="569">
        <v>56.4</v>
      </c>
      <c r="U402" s="569">
        <v>5.2</v>
      </c>
      <c r="V402" s="569">
        <v>65.400000000000006</v>
      </c>
      <c r="W402" s="569">
        <v>6.7</v>
      </c>
      <c r="X402" s="569">
        <v>55.8</v>
      </c>
      <c r="Y402" s="569">
        <v>6</v>
      </c>
      <c r="Z402" s="569">
        <v>59.6</v>
      </c>
      <c r="AA402" s="569">
        <v>6.1</v>
      </c>
      <c r="AB402" s="569">
        <v>56.4</v>
      </c>
      <c r="AC402" s="569">
        <v>5.2</v>
      </c>
      <c r="AD402" s="569">
        <v>65.400000000000006</v>
      </c>
      <c r="AE402" s="569">
        <v>65.400000000000006</v>
      </c>
      <c r="AF402">
        <v>402</v>
      </c>
      <c r="AG402" s="438">
        <f>IF(INDEX(D:AE,AF402,ADP!$AF$6)=0,"",INDEX(D:AE,AF402,ADP!$AF$6)+AH402)</f>
        <v>65.400401000000002</v>
      </c>
      <c r="AH402">
        <f t="shared" si="6"/>
        <v>4.0100000000000324E-4</v>
      </c>
    </row>
    <row r="403" spans="1:34" ht="15.75" thickBot="1" x14ac:dyDescent="0.3">
      <c r="A403" s="569" t="s">
        <v>1131</v>
      </c>
      <c r="B403" s="569" t="s">
        <v>143</v>
      </c>
      <c r="C403" s="569" t="s">
        <v>1</v>
      </c>
      <c r="D403" s="569"/>
      <c r="E403" s="569"/>
      <c r="F403" s="569"/>
      <c r="G403" s="569"/>
      <c r="H403" s="569"/>
      <c r="I403" s="569"/>
      <c r="J403" s="569"/>
      <c r="K403" s="569"/>
      <c r="L403" s="569"/>
      <c r="M403" s="569"/>
      <c r="N403" s="569"/>
      <c r="O403" s="569"/>
      <c r="P403" s="569"/>
      <c r="Q403" s="569"/>
      <c r="R403" s="569"/>
      <c r="S403" s="569"/>
      <c r="T403" s="569"/>
      <c r="U403" s="569"/>
      <c r="V403" s="569"/>
      <c r="W403" s="569"/>
      <c r="X403" s="569"/>
      <c r="Y403" s="569"/>
      <c r="Z403" s="569"/>
      <c r="AA403" s="569"/>
      <c r="AB403" s="569"/>
      <c r="AC403" s="569"/>
      <c r="AD403" s="569"/>
      <c r="AE403" s="569"/>
      <c r="AF403">
        <v>403</v>
      </c>
      <c r="AG403" s="438" t="str">
        <f>IF(INDEX(D:AE,AF403,ADP!$AF$6)=0,"",INDEX(D:AE,AF403,ADP!$AF$6)+AH403)</f>
        <v/>
      </c>
      <c r="AH403">
        <f t="shared" si="6"/>
        <v>4.0200000000000327E-4</v>
      </c>
    </row>
    <row r="404" spans="1:34" ht="15.75" thickBot="1" x14ac:dyDescent="0.3">
      <c r="A404" s="569" t="s">
        <v>2195</v>
      </c>
      <c r="B404" s="569" t="s">
        <v>145</v>
      </c>
      <c r="C404" s="569" t="s">
        <v>6</v>
      </c>
      <c r="D404" s="569">
        <v>1.9</v>
      </c>
      <c r="E404" s="569">
        <v>1.2</v>
      </c>
      <c r="F404" s="569">
        <v>5.6</v>
      </c>
      <c r="G404" s="569">
        <v>1.9</v>
      </c>
      <c r="H404" s="569">
        <v>2.6</v>
      </c>
      <c r="I404" s="569">
        <v>0.9</v>
      </c>
      <c r="J404" s="569">
        <v>1.9</v>
      </c>
      <c r="K404" s="569">
        <v>1.2</v>
      </c>
      <c r="L404" s="569">
        <v>5.6</v>
      </c>
      <c r="M404" s="569">
        <v>1.9</v>
      </c>
      <c r="N404" s="569">
        <v>2.6</v>
      </c>
      <c r="O404" s="569">
        <v>0.9</v>
      </c>
      <c r="P404" s="569">
        <v>3</v>
      </c>
      <c r="Q404" s="569">
        <v>1.6</v>
      </c>
      <c r="R404" s="569">
        <v>1.9</v>
      </c>
      <c r="S404" s="569">
        <v>1.2</v>
      </c>
      <c r="T404" s="569">
        <v>5.6</v>
      </c>
      <c r="U404" s="569">
        <v>1.9</v>
      </c>
      <c r="V404" s="569">
        <v>2.6</v>
      </c>
      <c r="W404" s="569">
        <v>0.9</v>
      </c>
      <c r="X404" s="569">
        <v>3</v>
      </c>
      <c r="Y404" s="569">
        <v>1.6</v>
      </c>
      <c r="Z404" s="569">
        <v>1.9</v>
      </c>
      <c r="AA404" s="569">
        <v>1.2</v>
      </c>
      <c r="AB404" s="569">
        <v>5.6</v>
      </c>
      <c r="AC404" s="569">
        <v>1.9</v>
      </c>
      <c r="AD404" s="569">
        <v>2.6</v>
      </c>
      <c r="AE404" s="569">
        <v>2.6</v>
      </c>
      <c r="AF404">
        <v>404</v>
      </c>
      <c r="AG404" s="438">
        <f>IF(INDEX(D:AE,AF404,ADP!$AF$6)=0,"",INDEX(D:AE,AF404,ADP!$AF$6)+AH404)</f>
        <v>2.600403</v>
      </c>
      <c r="AH404">
        <f t="shared" si="6"/>
        <v>4.0300000000000329E-4</v>
      </c>
    </row>
    <row r="405" spans="1:34" ht="15.75" thickBot="1" x14ac:dyDescent="0.3">
      <c r="A405" s="569" t="s">
        <v>2212</v>
      </c>
      <c r="B405" s="569" t="s">
        <v>165</v>
      </c>
      <c r="C405" s="569" t="s">
        <v>6</v>
      </c>
      <c r="D405" s="569"/>
      <c r="E405" s="569"/>
      <c r="F405" s="569"/>
      <c r="G405" s="569"/>
      <c r="H405" s="569"/>
      <c r="I405" s="569"/>
      <c r="J405" s="569"/>
      <c r="K405" s="569"/>
      <c r="L405" s="569"/>
      <c r="M405" s="569"/>
      <c r="N405" s="569"/>
      <c r="O405" s="569"/>
      <c r="P405" s="569"/>
      <c r="Q405" s="569"/>
      <c r="R405" s="569"/>
      <c r="S405" s="569"/>
      <c r="T405" s="569"/>
      <c r="U405" s="569"/>
      <c r="V405" s="569"/>
      <c r="W405" s="569"/>
      <c r="X405" s="569"/>
      <c r="Y405" s="569"/>
      <c r="Z405" s="569"/>
      <c r="AA405" s="569"/>
      <c r="AB405" s="569"/>
      <c r="AC405" s="569"/>
      <c r="AD405" s="569"/>
      <c r="AE405" s="569"/>
      <c r="AF405">
        <v>405</v>
      </c>
      <c r="AG405" s="438" t="str">
        <f>IF(INDEX(D:AE,AF405,ADP!$AF$6)=0,"",INDEX(D:AE,AF405,ADP!$AF$6)+AH405)</f>
        <v/>
      </c>
      <c r="AH405">
        <f t="shared" si="6"/>
        <v>4.0400000000000331E-4</v>
      </c>
    </row>
    <row r="406" spans="1:34" ht="15.75" thickBot="1" x14ac:dyDescent="0.3">
      <c r="A406" s="569" t="s">
        <v>1446</v>
      </c>
      <c r="B406" s="569" t="s">
        <v>143</v>
      </c>
      <c r="C406" s="569" t="s">
        <v>3</v>
      </c>
      <c r="D406" s="574">
        <v>92.2</v>
      </c>
      <c r="E406" s="574">
        <v>6.7</v>
      </c>
      <c r="F406" s="574">
        <v>88.5</v>
      </c>
      <c r="G406" s="574">
        <v>6.2</v>
      </c>
      <c r="H406" s="574">
        <v>104</v>
      </c>
      <c r="I406" s="574">
        <v>9.9</v>
      </c>
      <c r="J406" s="574">
        <v>92.2</v>
      </c>
      <c r="K406" s="574">
        <v>6.7</v>
      </c>
      <c r="L406" s="574">
        <v>88.5</v>
      </c>
      <c r="M406" s="574">
        <v>6.2</v>
      </c>
      <c r="N406" s="574">
        <v>104</v>
      </c>
      <c r="O406" s="574">
        <v>9.9</v>
      </c>
      <c r="P406" s="574">
        <v>99.6</v>
      </c>
      <c r="Q406" s="574">
        <v>8</v>
      </c>
      <c r="R406" s="574">
        <v>92.2</v>
      </c>
      <c r="S406" s="574">
        <v>6.7</v>
      </c>
      <c r="T406" s="574">
        <v>88.5</v>
      </c>
      <c r="U406" s="574">
        <v>6.2</v>
      </c>
      <c r="V406" s="574">
        <v>104</v>
      </c>
      <c r="W406" s="574">
        <v>9.9</v>
      </c>
      <c r="X406" s="574">
        <v>99.6</v>
      </c>
      <c r="Y406" s="574">
        <v>8</v>
      </c>
      <c r="Z406" s="574">
        <v>92.2</v>
      </c>
      <c r="AA406" s="574">
        <v>6.7</v>
      </c>
      <c r="AB406" s="574">
        <v>88.5</v>
      </c>
      <c r="AC406" s="574">
        <v>6.2</v>
      </c>
      <c r="AD406" s="574">
        <v>104</v>
      </c>
      <c r="AE406" s="574">
        <v>104</v>
      </c>
      <c r="AF406">
        <v>406</v>
      </c>
      <c r="AG406" s="438">
        <f>IF(INDEX(D:AE,AF406,ADP!$AF$6)=0,"",INDEX(D:AE,AF406,ADP!$AF$6)+AH406)</f>
        <v>104.000405</v>
      </c>
      <c r="AH406">
        <f t="shared" si="6"/>
        <v>4.0500000000000334E-4</v>
      </c>
    </row>
    <row r="407" spans="1:34" ht="15.75" thickBot="1" x14ac:dyDescent="0.3">
      <c r="A407" s="569" t="s">
        <v>2472</v>
      </c>
      <c r="B407" s="569" t="s">
        <v>154</v>
      </c>
      <c r="C407" s="569" t="s">
        <v>6</v>
      </c>
      <c r="D407" s="569"/>
      <c r="E407" s="569"/>
      <c r="F407" s="569">
        <v>160.30000000000001</v>
      </c>
      <c r="G407" s="569">
        <v>30.5</v>
      </c>
      <c r="H407" s="569">
        <v>155.80000000000001</v>
      </c>
      <c r="I407" s="569">
        <v>23.1</v>
      </c>
      <c r="J407" s="569"/>
      <c r="K407" s="569"/>
      <c r="L407" s="569">
        <v>160.30000000000001</v>
      </c>
      <c r="M407" s="569">
        <v>30.5</v>
      </c>
      <c r="N407" s="569">
        <v>155.80000000000001</v>
      </c>
      <c r="O407" s="569">
        <v>23.1</v>
      </c>
      <c r="P407" s="569"/>
      <c r="Q407" s="569"/>
      <c r="R407" s="569"/>
      <c r="S407" s="569"/>
      <c r="T407" s="569">
        <v>160.30000000000001</v>
      </c>
      <c r="U407" s="569">
        <v>30.5</v>
      </c>
      <c r="V407" s="569">
        <v>155.80000000000001</v>
      </c>
      <c r="W407" s="569">
        <v>23.1</v>
      </c>
      <c r="X407" s="569"/>
      <c r="Y407" s="569"/>
      <c r="Z407" s="569"/>
      <c r="AA407" s="569"/>
      <c r="AB407" s="569">
        <v>160.30000000000001</v>
      </c>
      <c r="AC407" s="569">
        <v>30.5</v>
      </c>
      <c r="AD407" s="569">
        <v>155.80000000000001</v>
      </c>
      <c r="AE407" s="569">
        <v>155.80000000000001</v>
      </c>
      <c r="AF407">
        <v>407</v>
      </c>
      <c r="AG407" s="438">
        <f>IF(INDEX(D:AE,AF407,ADP!$AF$6)=0,"",INDEX(D:AE,AF407,ADP!$AF$6)+AH407)</f>
        <v>155.80040600000001</v>
      </c>
      <c r="AH407">
        <f t="shared" si="6"/>
        <v>4.0600000000000336E-4</v>
      </c>
    </row>
    <row r="408" spans="1:34" ht="15.75" thickBot="1" x14ac:dyDescent="0.3">
      <c r="A408" s="569" t="s">
        <v>2473</v>
      </c>
      <c r="B408" s="569" t="s">
        <v>144</v>
      </c>
      <c r="C408" s="569" t="s">
        <v>6</v>
      </c>
      <c r="D408" s="569"/>
      <c r="E408" s="569"/>
      <c r="F408" s="569"/>
      <c r="G408" s="569"/>
      <c r="H408" s="569"/>
      <c r="I408" s="569"/>
      <c r="J408" s="569"/>
      <c r="K408" s="569"/>
      <c r="L408" s="569"/>
      <c r="M408" s="569"/>
      <c r="N408" s="569"/>
      <c r="O408" s="569"/>
      <c r="P408" s="569"/>
      <c r="Q408" s="569"/>
      <c r="R408" s="569"/>
      <c r="S408" s="569"/>
      <c r="T408" s="569"/>
      <c r="U408" s="569"/>
      <c r="V408" s="569"/>
      <c r="W408" s="569"/>
      <c r="X408" s="569"/>
      <c r="Y408" s="569"/>
      <c r="Z408" s="569"/>
      <c r="AA408" s="569"/>
      <c r="AB408" s="569"/>
      <c r="AC408" s="569"/>
      <c r="AD408" s="569"/>
      <c r="AE408" s="569"/>
      <c r="AF408">
        <v>408</v>
      </c>
      <c r="AG408" s="438" t="str">
        <f>IF(INDEX(D:AE,AF408,ADP!$AF$6)=0,"",INDEX(D:AE,AF408,ADP!$AF$6)+AH408)</f>
        <v/>
      </c>
      <c r="AH408">
        <f t="shared" si="6"/>
        <v>4.0700000000000339E-4</v>
      </c>
    </row>
    <row r="409" spans="1:34" ht="15.75" thickBot="1" x14ac:dyDescent="0.3">
      <c r="A409" s="569" t="s">
        <v>2324</v>
      </c>
      <c r="B409" s="569" t="s">
        <v>146</v>
      </c>
      <c r="C409" s="569" t="s">
        <v>6</v>
      </c>
      <c r="D409" s="569"/>
      <c r="E409" s="569"/>
      <c r="F409" s="569"/>
      <c r="G409" s="569"/>
      <c r="H409" s="569"/>
      <c r="I409" s="569"/>
      <c r="J409" s="569"/>
      <c r="K409" s="569"/>
      <c r="L409" s="569"/>
      <c r="M409" s="569"/>
      <c r="N409" s="569"/>
      <c r="O409" s="569"/>
      <c r="P409" s="574"/>
      <c r="Q409" s="574"/>
      <c r="R409" s="569"/>
      <c r="S409" s="569"/>
      <c r="T409" s="569"/>
      <c r="U409" s="569"/>
      <c r="V409" s="569"/>
      <c r="W409" s="569"/>
      <c r="X409" s="574"/>
      <c r="Y409" s="574"/>
      <c r="Z409" s="569"/>
      <c r="AA409" s="569"/>
      <c r="AB409" s="569"/>
      <c r="AC409" s="569"/>
      <c r="AD409" s="569"/>
      <c r="AE409" s="569"/>
      <c r="AF409">
        <v>409</v>
      </c>
      <c r="AG409" s="438" t="str">
        <f>IF(INDEX(D:AE,AF409,ADP!$AF$6)=0,"",INDEX(D:AE,AF409,ADP!$AF$6)+AH409)</f>
        <v/>
      </c>
      <c r="AH409">
        <f t="shared" si="6"/>
        <v>4.0800000000000341E-4</v>
      </c>
    </row>
    <row r="410" spans="1:34" ht="15.75" thickBot="1" x14ac:dyDescent="0.3">
      <c r="A410" s="569" t="s">
        <v>2084</v>
      </c>
      <c r="B410" s="569" t="s">
        <v>138</v>
      </c>
      <c r="C410" s="569" t="s">
        <v>6</v>
      </c>
      <c r="D410" s="574"/>
      <c r="E410" s="574"/>
      <c r="F410" s="574"/>
      <c r="G410" s="574"/>
      <c r="H410" s="574"/>
      <c r="I410" s="574"/>
      <c r="J410" s="574"/>
      <c r="K410" s="574"/>
      <c r="L410" s="574"/>
      <c r="M410" s="574"/>
      <c r="N410" s="574"/>
      <c r="O410" s="574"/>
      <c r="P410" s="574"/>
      <c r="Q410" s="574"/>
      <c r="R410" s="574"/>
      <c r="S410" s="574"/>
      <c r="T410" s="574"/>
      <c r="U410" s="574"/>
      <c r="V410" s="574"/>
      <c r="W410" s="574"/>
      <c r="X410" s="574"/>
      <c r="Y410" s="574"/>
      <c r="Z410" s="574"/>
      <c r="AA410" s="574"/>
      <c r="AB410" s="574"/>
      <c r="AC410" s="574"/>
      <c r="AD410" s="574"/>
      <c r="AE410" s="574"/>
      <c r="AF410">
        <v>410</v>
      </c>
      <c r="AG410" s="438" t="str">
        <f>IF(INDEX(D:AE,AF410,ADP!$AF$6)=0,"",INDEX(D:AE,AF410,ADP!$AF$6)+AH410)</f>
        <v/>
      </c>
      <c r="AH410">
        <f t="shared" si="6"/>
        <v>4.0900000000000344E-4</v>
      </c>
    </row>
    <row r="411" spans="1:34" ht="15.75" thickBot="1" x14ac:dyDescent="0.3">
      <c r="A411" s="569" t="s">
        <v>2345</v>
      </c>
      <c r="B411" s="569" t="s">
        <v>138</v>
      </c>
      <c r="C411" s="569" t="s">
        <v>6</v>
      </c>
      <c r="D411" s="569"/>
      <c r="E411" s="569"/>
      <c r="F411" s="569"/>
      <c r="G411" s="569"/>
      <c r="H411" s="569"/>
      <c r="I411" s="569"/>
      <c r="J411" s="569"/>
      <c r="K411" s="569"/>
      <c r="L411" s="569"/>
      <c r="M411" s="569"/>
      <c r="N411" s="569"/>
      <c r="O411" s="569"/>
      <c r="P411" s="569"/>
      <c r="Q411" s="569"/>
      <c r="R411" s="569"/>
      <c r="S411" s="569"/>
      <c r="T411" s="569"/>
      <c r="U411" s="569"/>
      <c r="V411" s="569"/>
      <c r="W411" s="569"/>
      <c r="X411" s="569"/>
      <c r="Y411" s="569"/>
      <c r="Z411" s="569"/>
      <c r="AA411" s="569"/>
      <c r="AB411" s="569"/>
      <c r="AC411" s="569"/>
      <c r="AD411" s="569"/>
      <c r="AE411" s="569"/>
      <c r="AF411">
        <v>411</v>
      </c>
      <c r="AG411" s="438" t="str">
        <f>IF(INDEX(D:AE,AF411,ADP!$AF$6)=0,"",INDEX(D:AE,AF411,ADP!$AF$6)+AH411)</f>
        <v/>
      </c>
      <c r="AH411">
        <f t="shared" si="6"/>
        <v>4.1000000000000346E-4</v>
      </c>
    </row>
    <row r="412" spans="1:34" ht="15.75" thickBot="1" x14ac:dyDescent="0.3">
      <c r="A412" s="569" t="s">
        <v>2108</v>
      </c>
      <c r="B412" s="569" t="s">
        <v>137</v>
      </c>
      <c r="C412" s="569" t="s">
        <v>1</v>
      </c>
      <c r="D412" s="569">
        <v>25.8</v>
      </c>
      <c r="E412" s="569">
        <v>5.2</v>
      </c>
      <c r="F412" s="574">
        <v>24.8</v>
      </c>
      <c r="G412" s="574">
        <v>4.0999999999999996</v>
      </c>
      <c r="H412" s="569">
        <v>27.3</v>
      </c>
      <c r="I412" s="569">
        <v>4.5</v>
      </c>
      <c r="J412" s="569">
        <v>25.8</v>
      </c>
      <c r="K412" s="569">
        <v>5.2</v>
      </c>
      <c r="L412" s="574">
        <v>24.8</v>
      </c>
      <c r="M412" s="574">
        <v>4.0999999999999996</v>
      </c>
      <c r="N412" s="569">
        <v>27.3</v>
      </c>
      <c r="O412" s="569">
        <v>4.5</v>
      </c>
      <c r="P412" s="569">
        <v>4.7</v>
      </c>
      <c r="Q412" s="569">
        <v>2.1</v>
      </c>
      <c r="R412" s="569">
        <v>25.8</v>
      </c>
      <c r="S412" s="569">
        <v>5.2</v>
      </c>
      <c r="T412" s="574">
        <v>24.8</v>
      </c>
      <c r="U412" s="574">
        <v>4.0999999999999996</v>
      </c>
      <c r="V412" s="569">
        <v>27.3</v>
      </c>
      <c r="W412" s="569">
        <v>4.5</v>
      </c>
      <c r="X412" s="569">
        <v>4.7</v>
      </c>
      <c r="Y412" s="569">
        <v>2.1</v>
      </c>
      <c r="Z412" s="569">
        <v>25.8</v>
      </c>
      <c r="AA412" s="569">
        <v>5.2</v>
      </c>
      <c r="AB412" s="574">
        <v>24.8</v>
      </c>
      <c r="AC412" s="574">
        <v>4.0999999999999996</v>
      </c>
      <c r="AD412" s="569">
        <v>27.3</v>
      </c>
      <c r="AE412" s="569">
        <v>27.3</v>
      </c>
      <c r="AF412">
        <v>412</v>
      </c>
      <c r="AG412" s="438">
        <f>IF(INDEX(D:AE,AF412,ADP!$AF$6)=0,"",INDEX(D:AE,AF412,ADP!$AF$6)+AH412)</f>
        <v>27.300411</v>
      </c>
      <c r="AH412">
        <f t="shared" si="6"/>
        <v>4.1100000000000348E-4</v>
      </c>
    </row>
    <row r="413" spans="1:34" ht="15.75" thickBot="1" x14ac:dyDescent="0.3">
      <c r="A413" s="569" t="s">
        <v>2143</v>
      </c>
      <c r="B413" s="569" t="s">
        <v>1388</v>
      </c>
      <c r="C413" s="569" t="s">
        <v>6</v>
      </c>
      <c r="D413" s="574"/>
      <c r="E413" s="574"/>
      <c r="F413" s="574"/>
      <c r="G413" s="574"/>
      <c r="H413" s="574"/>
      <c r="I413" s="574"/>
      <c r="J413" s="574"/>
      <c r="K413" s="574"/>
      <c r="L413" s="574"/>
      <c r="M413" s="574"/>
      <c r="N413" s="574"/>
      <c r="O413" s="574"/>
      <c r="P413" s="574"/>
      <c r="Q413" s="574"/>
      <c r="R413" s="574"/>
      <c r="S413" s="574"/>
      <c r="T413" s="574"/>
      <c r="U413" s="574"/>
      <c r="V413" s="574"/>
      <c r="W413" s="574"/>
      <c r="X413" s="574"/>
      <c r="Y413" s="574"/>
      <c r="Z413" s="574"/>
      <c r="AA413" s="574"/>
      <c r="AB413" s="574"/>
      <c r="AC413" s="574"/>
      <c r="AD413" s="574"/>
      <c r="AE413" s="574"/>
      <c r="AF413">
        <v>413</v>
      </c>
      <c r="AG413" s="438" t="str">
        <f>IF(INDEX(D:AE,AF413,ADP!$AF$6)=0,"",INDEX(D:AE,AF413,ADP!$AF$6)+AH413)</f>
        <v/>
      </c>
      <c r="AH413">
        <f t="shared" si="6"/>
        <v>4.1200000000000351E-4</v>
      </c>
    </row>
    <row r="414" spans="1:34" ht="15.75" thickBot="1" x14ac:dyDescent="0.3">
      <c r="A414" s="569" t="s">
        <v>2474</v>
      </c>
      <c r="B414" s="569" t="s">
        <v>151</v>
      </c>
      <c r="C414" s="569" t="s">
        <v>6</v>
      </c>
      <c r="D414" s="569"/>
      <c r="E414" s="569"/>
      <c r="F414" s="569"/>
      <c r="G414" s="569"/>
      <c r="H414" s="569"/>
      <c r="I414" s="569"/>
      <c r="J414" s="569"/>
      <c r="K414" s="569"/>
      <c r="L414" s="569"/>
      <c r="M414" s="569"/>
      <c r="N414" s="569"/>
      <c r="O414" s="569"/>
      <c r="P414" s="569"/>
      <c r="Q414" s="569"/>
      <c r="R414" s="569"/>
      <c r="S414" s="569"/>
      <c r="T414" s="569"/>
      <c r="U414" s="569"/>
      <c r="V414" s="569"/>
      <c r="W414" s="569"/>
      <c r="X414" s="569"/>
      <c r="Y414" s="569"/>
      <c r="Z414" s="569"/>
      <c r="AA414" s="569"/>
      <c r="AB414" s="569"/>
      <c r="AC414" s="569"/>
      <c r="AD414" s="569"/>
      <c r="AE414" s="569"/>
      <c r="AF414">
        <v>414</v>
      </c>
      <c r="AG414" s="438" t="str">
        <f>IF(INDEX(D:AE,AF414,ADP!$AF$6)=0,"",INDEX(D:AE,AF414,ADP!$AF$6)+AH414)</f>
        <v/>
      </c>
      <c r="AH414">
        <f t="shared" si="6"/>
        <v>4.1300000000000353E-4</v>
      </c>
    </row>
    <row r="415" spans="1:34" ht="15.75" thickBot="1" x14ac:dyDescent="0.3">
      <c r="A415" s="569" t="s">
        <v>2542</v>
      </c>
      <c r="B415" s="569" t="s">
        <v>144</v>
      </c>
      <c r="C415" s="569" t="s">
        <v>3</v>
      </c>
      <c r="D415" s="574"/>
      <c r="E415" s="574"/>
      <c r="F415" s="574"/>
      <c r="G415" s="574"/>
      <c r="H415" s="574"/>
      <c r="I415" s="574"/>
      <c r="J415" s="574"/>
      <c r="K415" s="574"/>
      <c r="L415" s="574"/>
      <c r="M415" s="574"/>
      <c r="N415" s="574"/>
      <c r="O415" s="574"/>
      <c r="P415" s="574"/>
      <c r="Q415" s="574"/>
      <c r="R415" s="574"/>
      <c r="S415" s="574"/>
      <c r="T415" s="574"/>
      <c r="U415" s="574"/>
      <c r="V415" s="574"/>
      <c r="W415" s="574"/>
      <c r="X415" s="574"/>
      <c r="Y415" s="574"/>
      <c r="Z415" s="574"/>
      <c r="AA415" s="574"/>
      <c r="AB415" s="574"/>
      <c r="AC415" s="574"/>
      <c r="AD415" s="574"/>
      <c r="AE415" s="574"/>
      <c r="AF415">
        <v>415</v>
      </c>
      <c r="AG415" s="438" t="str">
        <f>IF(INDEX(D:AE,AF415,ADP!$AF$6)=0,"",INDEX(D:AE,AF415,ADP!$AF$6)+AH415)</f>
        <v/>
      </c>
      <c r="AH415">
        <f t="shared" si="6"/>
        <v>4.1400000000000356E-4</v>
      </c>
    </row>
    <row r="416" spans="1:34" ht="15.75" thickBot="1" x14ac:dyDescent="0.3">
      <c r="A416" s="569" t="s">
        <v>2066</v>
      </c>
      <c r="B416" s="569" t="s">
        <v>2073</v>
      </c>
      <c r="C416" s="569" t="s">
        <v>6</v>
      </c>
      <c r="D416" s="569">
        <v>121.9</v>
      </c>
      <c r="E416" s="569">
        <v>11.7</v>
      </c>
      <c r="F416" s="569">
        <v>133</v>
      </c>
      <c r="G416" s="569">
        <v>8.1</v>
      </c>
      <c r="H416" s="569">
        <v>111.2</v>
      </c>
      <c r="I416" s="569">
        <v>6.8</v>
      </c>
      <c r="J416" s="569">
        <v>121.9</v>
      </c>
      <c r="K416" s="569">
        <v>11.7</v>
      </c>
      <c r="L416" s="569">
        <v>133</v>
      </c>
      <c r="M416" s="569">
        <v>8.1</v>
      </c>
      <c r="N416" s="569">
        <v>111.2</v>
      </c>
      <c r="O416" s="569">
        <v>6.8</v>
      </c>
      <c r="P416" s="569">
        <v>109.4</v>
      </c>
      <c r="Q416" s="569">
        <v>8.4</v>
      </c>
      <c r="R416" s="569">
        <v>121.9</v>
      </c>
      <c r="S416" s="569">
        <v>11.7</v>
      </c>
      <c r="T416" s="569">
        <v>133</v>
      </c>
      <c r="U416" s="569">
        <v>8.1</v>
      </c>
      <c r="V416" s="569">
        <v>111.2</v>
      </c>
      <c r="W416" s="569">
        <v>6.8</v>
      </c>
      <c r="X416" s="569">
        <v>109.4</v>
      </c>
      <c r="Y416" s="569">
        <v>8.4</v>
      </c>
      <c r="Z416" s="569">
        <v>121.9</v>
      </c>
      <c r="AA416" s="569">
        <v>11.7</v>
      </c>
      <c r="AB416" s="569">
        <v>133</v>
      </c>
      <c r="AC416" s="569">
        <v>8.1</v>
      </c>
      <c r="AD416" s="569">
        <v>111.2</v>
      </c>
      <c r="AE416" s="569">
        <v>111.2</v>
      </c>
      <c r="AF416">
        <v>416</v>
      </c>
      <c r="AG416" s="438">
        <f>IF(INDEX(D:AE,AF416,ADP!$AF$6)=0,"",INDEX(D:AE,AF416,ADP!$AF$6)+AH416)</f>
        <v>111.20041500000001</v>
      </c>
      <c r="AH416">
        <f t="shared" si="6"/>
        <v>4.1500000000000358E-4</v>
      </c>
    </row>
    <row r="417" spans="1:34" ht="15.75" thickBot="1" x14ac:dyDescent="0.3">
      <c r="A417" s="569" t="s">
        <v>2142</v>
      </c>
      <c r="B417" s="569" t="s">
        <v>2073</v>
      </c>
      <c r="C417" s="569" t="s">
        <v>3</v>
      </c>
      <c r="D417" s="569"/>
      <c r="E417" s="569"/>
      <c r="F417" s="569"/>
      <c r="G417" s="569"/>
      <c r="H417" s="569"/>
      <c r="I417" s="569"/>
      <c r="J417" s="569"/>
      <c r="K417" s="569"/>
      <c r="L417" s="569"/>
      <c r="M417" s="569"/>
      <c r="N417" s="569"/>
      <c r="O417" s="569"/>
      <c r="P417" s="569"/>
      <c r="Q417" s="569"/>
      <c r="R417" s="569"/>
      <c r="S417" s="569"/>
      <c r="T417" s="569"/>
      <c r="U417" s="569"/>
      <c r="V417" s="569"/>
      <c r="W417" s="569"/>
      <c r="X417" s="569"/>
      <c r="Y417" s="569"/>
      <c r="Z417" s="569"/>
      <c r="AA417" s="569"/>
      <c r="AB417" s="569"/>
      <c r="AC417" s="569"/>
      <c r="AD417" s="569"/>
      <c r="AE417" s="569"/>
      <c r="AF417">
        <v>417</v>
      </c>
      <c r="AG417" s="438" t="str">
        <f>IF(INDEX(D:AE,AF417,ADP!$AF$6)=0,"",INDEX(D:AE,AF417,ADP!$AF$6)+AH417)</f>
        <v/>
      </c>
      <c r="AH417">
        <f t="shared" si="6"/>
        <v>4.1600000000000361E-4</v>
      </c>
    </row>
    <row r="418" spans="1:34" ht="15.75" thickBot="1" x14ac:dyDescent="0.3">
      <c r="A418" s="569" t="s">
        <v>1346</v>
      </c>
      <c r="B418" s="569" t="s">
        <v>161</v>
      </c>
      <c r="C418" s="569" t="s">
        <v>6</v>
      </c>
      <c r="D418" s="574"/>
      <c r="E418" s="574"/>
      <c r="F418" s="574"/>
      <c r="G418" s="574"/>
      <c r="H418" s="574"/>
      <c r="I418" s="574"/>
      <c r="J418" s="574"/>
      <c r="K418" s="574"/>
      <c r="L418" s="574"/>
      <c r="M418" s="574"/>
      <c r="N418" s="574"/>
      <c r="O418" s="574"/>
      <c r="P418" s="574"/>
      <c r="Q418" s="574"/>
      <c r="R418" s="574"/>
      <c r="S418" s="574"/>
      <c r="T418" s="574"/>
      <c r="U418" s="574"/>
      <c r="V418" s="574"/>
      <c r="W418" s="574"/>
      <c r="X418" s="574"/>
      <c r="Y418" s="574"/>
      <c r="Z418" s="574"/>
      <c r="AA418" s="574"/>
      <c r="AB418" s="574"/>
      <c r="AC418" s="574"/>
      <c r="AD418" s="574"/>
      <c r="AE418" s="574"/>
      <c r="AF418">
        <v>418</v>
      </c>
      <c r="AG418" s="438" t="str">
        <f>IF(INDEX(D:AE,AF418,ADP!$AF$6)=0,"",INDEX(D:AE,AF418,ADP!$AF$6)+AH418)</f>
        <v/>
      </c>
      <c r="AH418">
        <f t="shared" si="6"/>
        <v>4.1700000000000363E-4</v>
      </c>
    </row>
    <row r="419" spans="1:34" ht="15.75" thickBot="1" x14ac:dyDescent="0.3">
      <c r="A419" s="569" t="s">
        <v>2476</v>
      </c>
      <c r="B419" s="569" t="s">
        <v>155</v>
      </c>
      <c r="C419" s="569" t="s">
        <v>11</v>
      </c>
      <c r="D419" s="574"/>
      <c r="E419" s="574"/>
      <c r="F419" s="574">
        <v>172.1</v>
      </c>
      <c r="G419" s="574">
        <v>18.2</v>
      </c>
      <c r="H419" s="574"/>
      <c r="I419" s="574"/>
      <c r="J419" s="574"/>
      <c r="K419" s="574"/>
      <c r="L419" s="574">
        <v>172.1</v>
      </c>
      <c r="M419" s="574">
        <v>18.2</v>
      </c>
      <c r="N419" s="574"/>
      <c r="O419" s="574"/>
      <c r="P419" s="574"/>
      <c r="Q419" s="574"/>
      <c r="R419" s="574"/>
      <c r="S419" s="574"/>
      <c r="T419" s="574">
        <v>172.1</v>
      </c>
      <c r="U419" s="574">
        <v>18.2</v>
      </c>
      <c r="V419" s="574"/>
      <c r="W419" s="574"/>
      <c r="X419" s="574"/>
      <c r="Y419" s="574"/>
      <c r="Z419" s="574"/>
      <c r="AA419" s="574"/>
      <c r="AB419" s="574">
        <v>172.1</v>
      </c>
      <c r="AC419" s="574">
        <v>18.2</v>
      </c>
      <c r="AD419" s="574"/>
      <c r="AE419" s="574"/>
      <c r="AF419">
        <v>419</v>
      </c>
      <c r="AG419" s="438" t="str">
        <f>IF(INDEX(D:AE,AF419,ADP!$AF$6)=0,"",INDEX(D:AE,AF419,ADP!$AF$6)+AH419)</f>
        <v/>
      </c>
      <c r="AH419">
        <f t="shared" si="6"/>
        <v>4.1800000000000366E-4</v>
      </c>
    </row>
    <row r="420" spans="1:34" ht="15.75" thickBot="1" x14ac:dyDescent="0.3">
      <c r="A420" s="569" t="s">
        <v>2477</v>
      </c>
      <c r="B420" s="569" t="s">
        <v>143</v>
      </c>
      <c r="C420" s="569" t="s">
        <v>1</v>
      </c>
      <c r="D420" s="574"/>
      <c r="E420" s="574"/>
      <c r="F420" s="574"/>
      <c r="G420" s="574"/>
      <c r="H420" s="574"/>
      <c r="I420" s="574"/>
      <c r="J420" s="574"/>
      <c r="K420" s="574"/>
      <c r="L420" s="574"/>
      <c r="M420" s="574"/>
      <c r="N420" s="574"/>
      <c r="O420" s="574"/>
      <c r="P420" s="574"/>
      <c r="Q420" s="574"/>
      <c r="R420" s="574"/>
      <c r="S420" s="574"/>
      <c r="T420" s="574"/>
      <c r="U420" s="574"/>
      <c r="V420" s="574"/>
      <c r="W420" s="574"/>
      <c r="X420" s="574"/>
      <c r="Y420" s="574"/>
      <c r="Z420" s="574"/>
      <c r="AA420" s="574"/>
      <c r="AB420" s="574"/>
      <c r="AC420" s="574"/>
      <c r="AD420" s="574"/>
      <c r="AE420" s="574"/>
      <c r="AF420">
        <v>420</v>
      </c>
      <c r="AG420" s="438" t="str">
        <f>IF(INDEX(D:AE,AF420,ADP!$AF$6)=0,"",INDEX(D:AE,AF420,ADP!$AF$6)+AH420)</f>
        <v/>
      </c>
      <c r="AH420">
        <f t="shared" si="6"/>
        <v>4.1900000000000368E-4</v>
      </c>
    </row>
    <row r="421" spans="1:34" ht="15.75" thickBot="1" x14ac:dyDescent="0.3">
      <c r="A421" s="569" t="s">
        <v>2270</v>
      </c>
      <c r="B421" s="569" t="s">
        <v>158</v>
      </c>
      <c r="C421" s="569" t="s">
        <v>3</v>
      </c>
      <c r="D421" s="569"/>
      <c r="E421" s="569"/>
      <c r="F421" s="569"/>
      <c r="G421" s="569"/>
      <c r="H421" s="569"/>
      <c r="I421" s="569"/>
      <c r="J421" s="569"/>
      <c r="K421" s="569"/>
      <c r="L421" s="569"/>
      <c r="M421" s="569"/>
      <c r="N421" s="569"/>
      <c r="O421" s="569"/>
      <c r="P421" s="569"/>
      <c r="Q421" s="569"/>
      <c r="R421" s="569"/>
      <c r="S421" s="569"/>
      <c r="T421" s="569"/>
      <c r="U421" s="569"/>
      <c r="V421" s="569"/>
      <c r="W421" s="569"/>
      <c r="X421" s="569"/>
      <c r="Y421" s="569"/>
      <c r="Z421" s="569"/>
      <c r="AA421" s="569"/>
      <c r="AB421" s="569"/>
      <c r="AC421" s="569"/>
      <c r="AD421" s="569"/>
      <c r="AE421" s="569"/>
      <c r="AF421">
        <v>421</v>
      </c>
      <c r="AG421" s="438" t="str">
        <f>IF(INDEX(D:AE,AF421,ADP!$AF$6)=0,"",INDEX(D:AE,AF421,ADP!$AF$6)+AH421)</f>
        <v/>
      </c>
      <c r="AH421">
        <f t="shared" si="6"/>
        <v>4.200000000000037E-4</v>
      </c>
    </row>
    <row r="422" spans="1:34" ht="15.75" thickBot="1" x14ac:dyDescent="0.3">
      <c r="A422" s="569" t="s">
        <v>2363</v>
      </c>
      <c r="B422" s="569" t="s">
        <v>146</v>
      </c>
      <c r="C422" s="569" t="s">
        <v>7</v>
      </c>
      <c r="D422" s="569"/>
      <c r="E422" s="569"/>
      <c r="F422" s="569"/>
      <c r="G422" s="569"/>
      <c r="H422" s="569"/>
      <c r="I422" s="569"/>
      <c r="J422" s="569"/>
      <c r="K422" s="569"/>
      <c r="L422" s="569"/>
      <c r="M422" s="569"/>
      <c r="N422" s="569"/>
      <c r="O422" s="569"/>
      <c r="P422" s="569"/>
      <c r="Q422" s="569"/>
      <c r="R422" s="569"/>
      <c r="S422" s="569"/>
      <c r="T422" s="569"/>
      <c r="U422" s="569"/>
      <c r="V422" s="569"/>
      <c r="W422" s="569"/>
      <c r="X422" s="569"/>
      <c r="Y422" s="569"/>
      <c r="Z422" s="569"/>
      <c r="AA422" s="569"/>
      <c r="AB422" s="569"/>
      <c r="AC422" s="569"/>
      <c r="AD422" s="569"/>
      <c r="AE422" s="569"/>
      <c r="AF422">
        <v>422</v>
      </c>
      <c r="AG422" s="438" t="str">
        <f>IF(INDEX(D:AE,AF422,ADP!$AF$6)=0,"",INDEX(D:AE,AF422,ADP!$AF$6)+AH422)</f>
        <v/>
      </c>
      <c r="AH422">
        <f t="shared" si="6"/>
        <v>4.2100000000000373E-4</v>
      </c>
    </row>
    <row r="423" spans="1:34" ht="15.75" thickBot="1" x14ac:dyDescent="0.3">
      <c r="A423" s="569" t="s">
        <v>1443</v>
      </c>
      <c r="B423" s="569" t="s">
        <v>137</v>
      </c>
      <c r="C423" s="569" t="s">
        <v>11</v>
      </c>
      <c r="D423" s="574">
        <v>161.6</v>
      </c>
      <c r="E423" s="574">
        <v>15.1</v>
      </c>
      <c r="F423" s="574">
        <v>152.1</v>
      </c>
      <c r="G423" s="574">
        <v>17.5</v>
      </c>
      <c r="H423" s="574">
        <v>153.69999999999999</v>
      </c>
      <c r="I423" s="574">
        <v>15.1</v>
      </c>
      <c r="J423" s="574">
        <v>161.6</v>
      </c>
      <c r="K423" s="574">
        <v>15.1</v>
      </c>
      <c r="L423" s="574">
        <v>152.1</v>
      </c>
      <c r="M423" s="574">
        <v>17.5</v>
      </c>
      <c r="N423" s="574">
        <v>153.69999999999999</v>
      </c>
      <c r="O423" s="574">
        <v>15.1</v>
      </c>
      <c r="P423" s="574">
        <v>156.19999999999999</v>
      </c>
      <c r="Q423" s="574">
        <v>13.5</v>
      </c>
      <c r="R423" s="574">
        <v>161.6</v>
      </c>
      <c r="S423" s="574">
        <v>15.1</v>
      </c>
      <c r="T423" s="574">
        <v>152.1</v>
      </c>
      <c r="U423" s="574">
        <v>17.5</v>
      </c>
      <c r="V423" s="574">
        <v>153.69999999999999</v>
      </c>
      <c r="W423" s="574">
        <v>15.1</v>
      </c>
      <c r="X423" s="574">
        <v>156.19999999999999</v>
      </c>
      <c r="Y423" s="574">
        <v>13.5</v>
      </c>
      <c r="Z423" s="574">
        <v>161.6</v>
      </c>
      <c r="AA423" s="574">
        <v>15.1</v>
      </c>
      <c r="AB423" s="574">
        <v>152.1</v>
      </c>
      <c r="AC423" s="574">
        <v>17.5</v>
      </c>
      <c r="AD423" s="574">
        <v>153.69999999999999</v>
      </c>
      <c r="AE423" s="574">
        <v>153.69999999999999</v>
      </c>
      <c r="AF423">
        <v>423</v>
      </c>
      <c r="AG423" s="438">
        <f>IF(INDEX(D:AE,AF423,ADP!$AF$6)=0,"",INDEX(D:AE,AF423,ADP!$AF$6)+AH423)</f>
        <v>153.70042199999997</v>
      </c>
      <c r="AH423">
        <f t="shared" si="6"/>
        <v>4.2200000000000375E-4</v>
      </c>
    </row>
    <row r="424" spans="1:34" ht="15.75" thickBot="1" x14ac:dyDescent="0.3">
      <c r="A424" s="569" t="s">
        <v>2478</v>
      </c>
      <c r="B424" s="569" t="s">
        <v>142</v>
      </c>
      <c r="C424" s="569" t="s">
        <v>3</v>
      </c>
      <c r="D424" s="569">
        <v>39.9</v>
      </c>
      <c r="E424" s="569">
        <v>6.4</v>
      </c>
      <c r="F424" s="569">
        <v>36.1</v>
      </c>
      <c r="G424" s="569">
        <v>6.5</v>
      </c>
      <c r="H424" s="569">
        <v>36.799999999999997</v>
      </c>
      <c r="I424" s="569">
        <v>5.5</v>
      </c>
      <c r="J424" s="569">
        <v>39.9</v>
      </c>
      <c r="K424" s="569">
        <v>6.4</v>
      </c>
      <c r="L424" s="569">
        <v>36.1</v>
      </c>
      <c r="M424" s="569">
        <v>6.5</v>
      </c>
      <c r="N424" s="569">
        <v>36.799999999999997</v>
      </c>
      <c r="O424" s="569">
        <v>5.5</v>
      </c>
      <c r="P424" s="569">
        <v>83.3</v>
      </c>
      <c r="Q424" s="569">
        <v>20.3</v>
      </c>
      <c r="R424" s="569">
        <v>39.9</v>
      </c>
      <c r="S424" s="569">
        <v>6.4</v>
      </c>
      <c r="T424" s="569">
        <v>36.1</v>
      </c>
      <c r="U424" s="569">
        <v>6.5</v>
      </c>
      <c r="V424" s="569">
        <v>36.799999999999997</v>
      </c>
      <c r="W424" s="569">
        <v>5.5</v>
      </c>
      <c r="X424" s="569">
        <v>83.3</v>
      </c>
      <c r="Y424" s="569">
        <v>20.3</v>
      </c>
      <c r="Z424" s="569">
        <v>39.9</v>
      </c>
      <c r="AA424" s="569">
        <v>6.4</v>
      </c>
      <c r="AB424" s="569">
        <v>36.1</v>
      </c>
      <c r="AC424" s="569">
        <v>6.5</v>
      </c>
      <c r="AD424" s="569">
        <v>36.799999999999997</v>
      </c>
      <c r="AE424" s="569">
        <v>36.799999999999997</v>
      </c>
      <c r="AF424">
        <v>424</v>
      </c>
      <c r="AG424" s="438">
        <f>IF(INDEX(D:AE,AF424,ADP!$AF$6)=0,"",INDEX(D:AE,AF424,ADP!$AF$6)+AH424)</f>
        <v>36.800422999999995</v>
      </c>
      <c r="AH424">
        <f t="shared" si="6"/>
        <v>4.2300000000000378E-4</v>
      </c>
    </row>
    <row r="425" spans="1:34" ht="15.75" thickBot="1" x14ac:dyDescent="0.3">
      <c r="A425" s="569" t="s">
        <v>2323</v>
      </c>
      <c r="B425" s="569" t="s">
        <v>152</v>
      </c>
      <c r="C425" s="569" t="s">
        <v>6</v>
      </c>
      <c r="D425" s="569">
        <v>73.8</v>
      </c>
      <c r="E425" s="569">
        <v>5.9</v>
      </c>
      <c r="F425" s="569">
        <v>80.400000000000006</v>
      </c>
      <c r="G425" s="569">
        <v>6.8</v>
      </c>
      <c r="H425" s="569">
        <v>74.5</v>
      </c>
      <c r="I425" s="569">
        <v>6.7</v>
      </c>
      <c r="J425" s="569">
        <v>73.8</v>
      </c>
      <c r="K425" s="569">
        <v>5.9</v>
      </c>
      <c r="L425" s="569">
        <v>80.400000000000006</v>
      </c>
      <c r="M425" s="569">
        <v>6.8</v>
      </c>
      <c r="N425" s="569">
        <v>74.5</v>
      </c>
      <c r="O425" s="569">
        <v>6.7</v>
      </c>
      <c r="P425" s="569">
        <v>113</v>
      </c>
      <c r="Q425" s="569">
        <v>9.6</v>
      </c>
      <c r="R425" s="569">
        <v>73.8</v>
      </c>
      <c r="S425" s="569">
        <v>5.9</v>
      </c>
      <c r="T425" s="569">
        <v>80.400000000000006</v>
      </c>
      <c r="U425" s="569">
        <v>6.8</v>
      </c>
      <c r="V425" s="569">
        <v>74.5</v>
      </c>
      <c r="W425" s="569">
        <v>6.7</v>
      </c>
      <c r="X425" s="569">
        <v>113</v>
      </c>
      <c r="Y425" s="569">
        <v>9.6</v>
      </c>
      <c r="Z425" s="569">
        <v>73.8</v>
      </c>
      <c r="AA425" s="569">
        <v>5.9</v>
      </c>
      <c r="AB425" s="569">
        <v>80.400000000000006</v>
      </c>
      <c r="AC425" s="569">
        <v>6.8</v>
      </c>
      <c r="AD425" s="569">
        <v>74.5</v>
      </c>
      <c r="AE425" s="569">
        <v>74.5</v>
      </c>
      <c r="AF425">
        <v>425</v>
      </c>
      <c r="AG425" s="438">
        <f>IF(INDEX(D:AE,AF425,ADP!$AF$6)=0,"",INDEX(D:AE,AF425,ADP!$AF$6)+AH425)</f>
        <v>74.500423999999995</v>
      </c>
      <c r="AH425">
        <f t="shared" si="6"/>
        <v>4.240000000000038E-4</v>
      </c>
    </row>
    <row r="426" spans="1:34" ht="15.75" thickBot="1" x14ac:dyDescent="0.3">
      <c r="A426" s="569" t="s">
        <v>2217</v>
      </c>
      <c r="B426" s="569" t="s">
        <v>161</v>
      </c>
      <c r="C426" s="569" t="s">
        <v>6</v>
      </c>
      <c r="D426" s="574"/>
      <c r="E426" s="574"/>
      <c r="F426" s="574"/>
      <c r="G426" s="574"/>
      <c r="H426" s="574"/>
      <c r="I426" s="574"/>
      <c r="J426" s="574"/>
      <c r="K426" s="574"/>
      <c r="L426" s="574"/>
      <c r="M426" s="574"/>
      <c r="N426" s="574"/>
      <c r="O426" s="574"/>
      <c r="P426" s="574"/>
      <c r="Q426" s="574"/>
      <c r="R426" s="574"/>
      <c r="S426" s="574"/>
      <c r="T426" s="574"/>
      <c r="U426" s="574"/>
      <c r="V426" s="574"/>
      <c r="W426" s="574"/>
      <c r="X426" s="574"/>
      <c r="Y426" s="574"/>
      <c r="Z426" s="574"/>
      <c r="AA426" s="574"/>
      <c r="AB426" s="574"/>
      <c r="AC426" s="574"/>
      <c r="AD426" s="574"/>
      <c r="AE426" s="574"/>
      <c r="AF426">
        <v>426</v>
      </c>
      <c r="AG426" s="438" t="str">
        <f>IF(INDEX(D:AE,AF426,ADP!$AF$6)=0,"",INDEX(D:AE,AF426,ADP!$AF$6)+AH426)</f>
        <v/>
      </c>
      <c r="AH426">
        <f t="shared" si="6"/>
        <v>4.2500000000000383E-4</v>
      </c>
    </row>
    <row r="427" spans="1:34" ht="15.75" thickBot="1" x14ac:dyDescent="0.3">
      <c r="A427" s="569" t="s">
        <v>1302</v>
      </c>
      <c r="B427" s="569" t="s">
        <v>152</v>
      </c>
      <c r="C427" s="569" t="s">
        <v>1</v>
      </c>
      <c r="D427" s="569"/>
      <c r="E427" s="569"/>
      <c r="F427" s="569"/>
      <c r="G427" s="569"/>
      <c r="H427" s="569"/>
      <c r="I427" s="569"/>
      <c r="J427" s="569"/>
      <c r="K427" s="569"/>
      <c r="L427" s="569"/>
      <c r="M427" s="569"/>
      <c r="N427" s="569"/>
      <c r="O427" s="569"/>
      <c r="P427" s="569"/>
      <c r="Q427" s="569"/>
      <c r="R427" s="569"/>
      <c r="S427" s="569"/>
      <c r="T427" s="569"/>
      <c r="U427" s="569"/>
      <c r="V427" s="569"/>
      <c r="W427" s="569"/>
      <c r="X427" s="569"/>
      <c r="Y427" s="569"/>
      <c r="Z427" s="569"/>
      <c r="AA427" s="569"/>
      <c r="AB427" s="569"/>
      <c r="AC427" s="569"/>
      <c r="AD427" s="569"/>
      <c r="AE427" s="569"/>
      <c r="AF427">
        <v>427</v>
      </c>
      <c r="AG427" s="438" t="str">
        <f>IF(INDEX(D:AE,AF427,ADP!$AF$6)=0,"",INDEX(D:AE,AF427,ADP!$AF$6)+AH427)</f>
        <v/>
      </c>
      <c r="AH427">
        <f t="shared" si="6"/>
        <v>4.2600000000000385E-4</v>
      </c>
    </row>
    <row r="428" spans="1:34" ht="15.75" thickBot="1" x14ac:dyDescent="0.3">
      <c r="A428" s="569" t="s">
        <v>2560</v>
      </c>
      <c r="B428" s="569" t="s">
        <v>2073</v>
      </c>
      <c r="C428" s="569" t="s">
        <v>7</v>
      </c>
      <c r="D428" s="569"/>
      <c r="E428" s="569"/>
      <c r="F428" s="569"/>
      <c r="G428" s="569"/>
      <c r="H428" s="569"/>
      <c r="I428" s="569"/>
      <c r="J428" s="569"/>
      <c r="K428" s="569"/>
      <c r="L428" s="569"/>
      <c r="M428" s="569"/>
      <c r="N428" s="569"/>
      <c r="O428" s="569"/>
      <c r="P428" s="569"/>
      <c r="Q428" s="569"/>
      <c r="R428" s="569"/>
      <c r="S428" s="569"/>
      <c r="T428" s="569"/>
      <c r="U428" s="569"/>
      <c r="V428" s="569"/>
      <c r="W428" s="569"/>
      <c r="X428" s="569"/>
      <c r="Y428" s="569"/>
      <c r="Z428" s="569"/>
      <c r="AA428" s="569"/>
      <c r="AB428" s="569"/>
      <c r="AC428" s="569"/>
      <c r="AD428" s="569"/>
      <c r="AE428" s="569"/>
      <c r="AF428">
        <v>428</v>
      </c>
      <c r="AG428" s="438" t="str">
        <f>IF(INDEX(D:AE,AF428,ADP!$AF$6)=0,"",INDEX(D:AE,AF428,ADP!$AF$6)+AH428)</f>
        <v/>
      </c>
      <c r="AH428">
        <f t="shared" si="6"/>
        <v>4.2700000000000387E-4</v>
      </c>
    </row>
    <row r="429" spans="1:34" ht="15.75" thickBot="1" x14ac:dyDescent="0.3">
      <c r="A429" s="569" t="s">
        <v>2239</v>
      </c>
      <c r="B429" s="569" t="s">
        <v>165</v>
      </c>
      <c r="C429" s="569" t="s">
        <v>6</v>
      </c>
      <c r="D429" s="569"/>
      <c r="E429" s="569"/>
      <c r="F429" s="569"/>
      <c r="G429" s="569"/>
      <c r="H429" s="569"/>
      <c r="I429" s="569"/>
      <c r="J429" s="569"/>
      <c r="K429" s="569"/>
      <c r="L429" s="569"/>
      <c r="M429" s="569"/>
      <c r="N429" s="569"/>
      <c r="O429" s="569"/>
      <c r="P429" s="569"/>
      <c r="Q429" s="569"/>
      <c r="R429" s="569"/>
      <c r="S429" s="569"/>
      <c r="T429" s="569"/>
      <c r="U429" s="569"/>
      <c r="V429" s="569"/>
      <c r="W429" s="569"/>
      <c r="X429" s="569"/>
      <c r="Y429" s="569"/>
      <c r="Z429" s="569"/>
      <c r="AA429" s="569"/>
      <c r="AB429" s="569"/>
      <c r="AC429" s="569"/>
      <c r="AD429" s="569"/>
      <c r="AE429" s="569"/>
      <c r="AF429">
        <v>429</v>
      </c>
      <c r="AG429" s="438" t="str">
        <f>IF(INDEX(D:AE,AF429,ADP!$AF$6)=0,"",INDEX(D:AE,AF429,ADP!$AF$6)+AH429)</f>
        <v/>
      </c>
      <c r="AH429">
        <f t="shared" si="6"/>
        <v>4.280000000000039E-4</v>
      </c>
    </row>
    <row r="430" spans="1:34" ht="15.75" thickBot="1" x14ac:dyDescent="0.3">
      <c r="A430" s="569" t="s">
        <v>2378</v>
      </c>
      <c r="B430" s="569" t="s">
        <v>137</v>
      </c>
      <c r="C430" s="569" t="s">
        <v>7</v>
      </c>
      <c r="D430" s="569"/>
      <c r="E430" s="569"/>
      <c r="F430" s="569"/>
      <c r="G430" s="569"/>
      <c r="H430" s="569"/>
      <c r="I430" s="569"/>
      <c r="J430" s="569"/>
      <c r="K430" s="569"/>
      <c r="L430" s="569"/>
      <c r="M430" s="569"/>
      <c r="N430" s="569"/>
      <c r="O430" s="569"/>
      <c r="P430" s="569"/>
      <c r="Q430" s="569"/>
      <c r="R430" s="569"/>
      <c r="S430" s="569"/>
      <c r="T430" s="569"/>
      <c r="U430" s="569"/>
      <c r="V430" s="569"/>
      <c r="W430" s="569"/>
      <c r="X430" s="569"/>
      <c r="Y430" s="569"/>
      <c r="Z430" s="569"/>
      <c r="AA430" s="569"/>
      <c r="AB430" s="569"/>
      <c r="AC430" s="569"/>
      <c r="AD430" s="569"/>
      <c r="AE430" s="569"/>
      <c r="AF430">
        <v>430</v>
      </c>
      <c r="AG430" s="438" t="str">
        <f>IF(INDEX(D:AE,AF430,ADP!$AF$6)=0,"",INDEX(D:AE,AF430,ADP!$AF$6)+AH430)</f>
        <v/>
      </c>
      <c r="AH430">
        <f t="shared" si="6"/>
        <v>4.2900000000000392E-4</v>
      </c>
    </row>
    <row r="431" spans="1:34" ht="15.75" thickBot="1" x14ac:dyDescent="0.3">
      <c r="A431" s="569" t="s">
        <v>2479</v>
      </c>
      <c r="B431" s="569" t="s">
        <v>155</v>
      </c>
      <c r="C431" s="569" t="s">
        <v>3</v>
      </c>
      <c r="D431" s="569"/>
      <c r="E431" s="569"/>
      <c r="F431" s="569"/>
      <c r="G431" s="569"/>
      <c r="H431" s="569"/>
      <c r="I431" s="569"/>
      <c r="J431" s="569"/>
      <c r="K431" s="569"/>
      <c r="L431" s="569"/>
      <c r="M431" s="569"/>
      <c r="N431" s="569"/>
      <c r="O431" s="569"/>
      <c r="P431" s="569"/>
      <c r="Q431" s="569"/>
      <c r="R431" s="569"/>
      <c r="S431" s="569"/>
      <c r="T431" s="569"/>
      <c r="U431" s="569"/>
      <c r="V431" s="569"/>
      <c r="W431" s="569"/>
      <c r="X431" s="569"/>
      <c r="Y431" s="569"/>
      <c r="Z431" s="569"/>
      <c r="AA431" s="569"/>
      <c r="AB431" s="569"/>
      <c r="AC431" s="569"/>
      <c r="AD431" s="569"/>
      <c r="AE431" s="569"/>
      <c r="AF431">
        <v>431</v>
      </c>
      <c r="AG431" s="438" t="str">
        <f>IF(INDEX(D:AE,AF431,ADP!$AF$6)=0,"",INDEX(D:AE,AF431,ADP!$AF$6)+AH431)</f>
        <v/>
      </c>
      <c r="AH431">
        <f t="shared" si="6"/>
        <v>4.3000000000000395E-4</v>
      </c>
    </row>
    <row r="432" spans="1:34" ht="15.75" thickBot="1" x14ac:dyDescent="0.3">
      <c r="A432" s="569" t="s">
        <v>165</v>
      </c>
      <c r="B432" s="569" t="s">
        <v>165</v>
      </c>
      <c r="C432" s="569" t="s">
        <v>160</v>
      </c>
      <c r="D432" s="569"/>
      <c r="E432" s="569"/>
      <c r="F432" s="569"/>
      <c r="G432" s="569"/>
      <c r="H432" s="569"/>
      <c r="I432" s="569"/>
      <c r="J432" s="569"/>
      <c r="K432" s="569"/>
      <c r="L432" s="569"/>
      <c r="M432" s="569"/>
      <c r="N432" s="569"/>
      <c r="O432" s="569"/>
      <c r="P432" s="569"/>
      <c r="Q432" s="569"/>
      <c r="R432" s="569"/>
      <c r="S432" s="569"/>
      <c r="T432" s="569"/>
      <c r="U432" s="569"/>
      <c r="V432" s="569"/>
      <c r="W432" s="569"/>
      <c r="X432" s="569"/>
      <c r="Y432" s="569"/>
      <c r="Z432" s="569"/>
      <c r="AA432" s="569"/>
      <c r="AB432" s="569"/>
      <c r="AC432" s="569"/>
      <c r="AD432" s="569"/>
      <c r="AE432" s="569"/>
      <c r="AF432">
        <v>432</v>
      </c>
      <c r="AG432" s="438" t="str">
        <f>IF(INDEX(D:AE,AF432,ADP!$AF$6)=0,"",INDEX(D:AE,AF432,ADP!$AF$6)+AH432)</f>
        <v/>
      </c>
      <c r="AH432">
        <f t="shared" si="6"/>
        <v>4.3100000000000397E-4</v>
      </c>
    </row>
    <row r="433" spans="1:34" ht="15.75" thickBot="1" x14ac:dyDescent="0.3">
      <c r="A433" s="569" t="s">
        <v>2480</v>
      </c>
      <c r="B433" s="569" t="s">
        <v>164</v>
      </c>
      <c r="C433" s="569" t="s">
        <v>3</v>
      </c>
      <c r="D433" s="569"/>
      <c r="E433" s="569"/>
      <c r="F433" s="569"/>
      <c r="G433" s="569"/>
      <c r="H433" s="569"/>
      <c r="I433" s="569"/>
      <c r="J433" s="569"/>
      <c r="K433" s="569"/>
      <c r="L433" s="569"/>
      <c r="M433" s="569"/>
      <c r="N433" s="569"/>
      <c r="O433" s="569"/>
      <c r="P433" s="569"/>
      <c r="Q433" s="569"/>
      <c r="R433" s="569"/>
      <c r="S433" s="569"/>
      <c r="T433" s="569"/>
      <c r="U433" s="569"/>
      <c r="V433" s="569"/>
      <c r="W433" s="569"/>
      <c r="X433" s="569"/>
      <c r="Y433" s="569"/>
      <c r="Z433" s="569"/>
      <c r="AA433" s="569"/>
      <c r="AB433" s="569"/>
      <c r="AC433" s="569"/>
      <c r="AD433" s="569"/>
      <c r="AE433" s="569"/>
      <c r="AF433">
        <v>433</v>
      </c>
      <c r="AG433" s="438" t="str">
        <f>IF(INDEX(D:AE,AF433,ADP!$AF$6)=0,"",INDEX(D:AE,AF433,ADP!$AF$6)+AH433)</f>
        <v/>
      </c>
      <c r="AH433">
        <f t="shared" si="6"/>
        <v>4.32000000000004E-4</v>
      </c>
    </row>
    <row r="434" spans="1:34" ht="15.75" thickBot="1" x14ac:dyDescent="0.3">
      <c r="A434" s="569" t="s">
        <v>2481</v>
      </c>
      <c r="B434" s="569" t="s">
        <v>136</v>
      </c>
      <c r="C434" s="569" t="s">
        <v>3</v>
      </c>
      <c r="D434" s="569">
        <v>55</v>
      </c>
      <c r="E434" s="569">
        <v>4.5</v>
      </c>
      <c r="F434" s="569">
        <v>59.5</v>
      </c>
      <c r="G434" s="569">
        <v>5.0999999999999996</v>
      </c>
      <c r="H434" s="569">
        <v>79.400000000000006</v>
      </c>
      <c r="I434" s="569">
        <v>6.6</v>
      </c>
      <c r="J434" s="569">
        <v>55</v>
      </c>
      <c r="K434" s="569">
        <v>4.5</v>
      </c>
      <c r="L434" s="569">
        <v>59.5</v>
      </c>
      <c r="M434" s="569">
        <v>5.0999999999999996</v>
      </c>
      <c r="N434" s="569">
        <v>79.400000000000006</v>
      </c>
      <c r="O434" s="569">
        <v>6.6</v>
      </c>
      <c r="P434" s="569">
        <v>79.099999999999994</v>
      </c>
      <c r="Q434" s="569">
        <v>8</v>
      </c>
      <c r="R434" s="569">
        <v>55</v>
      </c>
      <c r="S434" s="569">
        <v>4.5</v>
      </c>
      <c r="T434" s="569">
        <v>59.5</v>
      </c>
      <c r="U434" s="569">
        <v>5.0999999999999996</v>
      </c>
      <c r="V434" s="569">
        <v>79.400000000000006</v>
      </c>
      <c r="W434" s="569">
        <v>6.6</v>
      </c>
      <c r="X434" s="569">
        <v>79.099999999999994</v>
      </c>
      <c r="Y434" s="569">
        <v>8</v>
      </c>
      <c r="Z434" s="569">
        <v>55</v>
      </c>
      <c r="AA434" s="569">
        <v>4.5</v>
      </c>
      <c r="AB434" s="569">
        <v>59.5</v>
      </c>
      <c r="AC434" s="569">
        <v>5.0999999999999996</v>
      </c>
      <c r="AD434" s="569">
        <v>79.400000000000006</v>
      </c>
      <c r="AE434" s="569">
        <v>79.400000000000006</v>
      </c>
      <c r="AF434">
        <v>434</v>
      </c>
      <c r="AG434" s="438">
        <f>IF(INDEX(D:AE,AF434,ADP!$AF$6)=0,"",INDEX(D:AE,AF434,ADP!$AF$6)+AH434)</f>
        <v>79.400433000000007</v>
      </c>
      <c r="AH434">
        <f t="shared" si="6"/>
        <v>4.3300000000000402E-4</v>
      </c>
    </row>
    <row r="435" spans="1:34" ht="15.75" thickBot="1" x14ac:dyDescent="0.3">
      <c r="A435" s="569" t="s">
        <v>2294</v>
      </c>
      <c r="B435" s="569" t="s">
        <v>1388</v>
      </c>
      <c r="C435" s="569" t="s">
        <v>3</v>
      </c>
      <c r="D435" s="569"/>
      <c r="E435" s="569"/>
      <c r="F435" s="569"/>
      <c r="G435" s="569"/>
      <c r="H435" s="569"/>
      <c r="I435" s="569"/>
      <c r="J435" s="569"/>
      <c r="K435" s="569"/>
      <c r="L435" s="569"/>
      <c r="M435" s="569"/>
      <c r="N435" s="569"/>
      <c r="O435" s="569"/>
      <c r="P435" s="574"/>
      <c r="Q435" s="574"/>
      <c r="R435" s="569"/>
      <c r="S435" s="569"/>
      <c r="T435" s="569"/>
      <c r="U435" s="569"/>
      <c r="V435" s="569"/>
      <c r="W435" s="569"/>
      <c r="X435" s="574"/>
      <c r="Y435" s="574"/>
      <c r="Z435" s="569"/>
      <c r="AA435" s="569"/>
      <c r="AB435" s="569"/>
      <c r="AC435" s="569"/>
      <c r="AD435" s="569"/>
      <c r="AE435" s="569"/>
      <c r="AF435">
        <v>435</v>
      </c>
      <c r="AG435" s="438" t="str">
        <f>IF(INDEX(D:AE,AF435,ADP!$AF$6)=0,"",INDEX(D:AE,AF435,ADP!$AF$6)+AH435)</f>
        <v/>
      </c>
      <c r="AH435">
        <f t="shared" si="6"/>
        <v>4.3400000000000404E-4</v>
      </c>
    </row>
    <row r="436" spans="1:34" ht="15.75" thickBot="1" x14ac:dyDescent="0.3">
      <c r="A436" s="569" t="s">
        <v>1439</v>
      </c>
      <c r="B436" s="569" t="s">
        <v>158</v>
      </c>
      <c r="C436" s="569" t="s">
        <v>6</v>
      </c>
      <c r="D436" s="569"/>
      <c r="E436" s="569"/>
      <c r="F436" s="569"/>
      <c r="G436" s="569"/>
      <c r="H436" s="569"/>
      <c r="I436" s="569"/>
      <c r="J436" s="569"/>
      <c r="K436" s="569"/>
      <c r="L436" s="569"/>
      <c r="M436" s="569"/>
      <c r="N436" s="569"/>
      <c r="O436" s="569"/>
      <c r="P436" s="569"/>
      <c r="Q436" s="569"/>
      <c r="R436" s="569"/>
      <c r="S436" s="569"/>
      <c r="T436" s="569"/>
      <c r="U436" s="569"/>
      <c r="V436" s="569"/>
      <c r="W436" s="569"/>
      <c r="X436" s="569"/>
      <c r="Y436" s="569"/>
      <c r="Z436" s="569"/>
      <c r="AA436" s="569"/>
      <c r="AB436" s="569"/>
      <c r="AC436" s="569"/>
      <c r="AD436" s="569"/>
      <c r="AE436" s="569"/>
      <c r="AF436">
        <v>436</v>
      </c>
      <c r="AG436" s="438" t="str">
        <f>IF(INDEX(D:AE,AF436,ADP!$AF$6)=0,"",INDEX(D:AE,AF436,ADP!$AF$6)+AH436)</f>
        <v/>
      </c>
      <c r="AH436">
        <f t="shared" si="6"/>
        <v>4.3500000000000407E-4</v>
      </c>
    </row>
    <row r="437" spans="1:34" ht="15.75" thickBot="1" x14ac:dyDescent="0.3">
      <c r="A437" s="569" t="s">
        <v>2364</v>
      </c>
      <c r="B437" s="569" t="s">
        <v>162</v>
      </c>
      <c r="C437" s="569" t="s">
        <v>7</v>
      </c>
      <c r="D437" s="569"/>
      <c r="E437" s="569"/>
      <c r="F437" s="569"/>
      <c r="G437" s="569"/>
      <c r="H437" s="569"/>
      <c r="I437" s="569"/>
      <c r="J437" s="569"/>
      <c r="K437" s="569"/>
      <c r="L437" s="569"/>
      <c r="M437" s="569"/>
      <c r="N437" s="569"/>
      <c r="O437" s="569"/>
      <c r="P437" s="569"/>
      <c r="Q437" s="569"/>
      <c r="R437" s="569"/>
      <c r="S437" s="569"/>
      <c r="T437" s="569"/>
      <c r="U437" s="569"/>
      <c r="V437" s="569"/>
      <c r="W437" s="569"/>
      <c r="X437" s="569"/>
      <c r="Y437" s="569"/>
      <c r="Z437" s="569"/>
      <c r="AA437" s="569"/>
      <c r="AB437" s="569"/>
      <c r="AC437" s="569"/>
      <c r="AD437" s="569"/>
      <c r="AE437" s="569"/>
      <c r="AF437">
        <v>437</v>
      </c>
      <c r="AG437" s="438" t="str">
        <f>IF(INDEX(D:AE,AF437,ADP!$AF$6)=0,"",INDEX(D:AE,AF437,ADP!$AF$6)+AH437)</f>
        <v/>
      </c>
      <c r="AH437">
        <f t="shared" si="6"/>
        <v>4.3600000000000409E-4</v>
      </c>
    </row>
    <row r="438" spans="1:34" ht="15.75" thickBot="1" x14ac:dyDescent="0.3">
      <c r="A438" s="569" t="s">
        <v>2482</v>
      </c>
      <c r="B438" s="569" t="s">
        <v>154</v>
      </c>
      <c r="C438" s="569" t="s">
        <v>6</v>
      </c>
      <c r="D438" s="569"/>
      <c r="E438" s="569"/>
      <c r="F438" s="569"/>
      <c r="G438" s="569"/>
      <c r="H438" s="569"/>
      <c r="I438" s="569"/>
      <c r="J438" s="569"/>
      <c r="K438" s="569"/>
      <c r="L438" s="569"/>
      <c r="M438" s="569"/>
      <c r="N438" s="569"/>
      <c r="O438" s="569"/>
      <c r="P438" s="569"/>
      <c r="Q438" s="569"/>
      <c r="R438" s="569"/>
      <c r="S438" s="569"/>
      <c r="T438" s="569"/>
      <c r="U438" s="569"/>
      <c r="V438" s="569"/>
      <c r="W438" s="569"/>
      <c r="X438" s="569"/>
      <c r="Y438" s="569"/>
      <c r="Z438" s="569"/>
      <c r="AA438" s="569"/>
      <c r="AB438" s="569"/>
      <c r="AC438" s="569"/>
      <c r="AD438" s="569"/>
      <c r="AE438" s="569"/>
      <c r="AF438">
        <v>438</v>
      </c>
      <c r="AG438" s="438" t="str">
        <f>IF(INDEX(D:AE,AF438,ADP!$AF$6)=0,"",INDEX(D:AE,AF438,ADP!$AF$6)+AH438)</f>
        <v/>
      </c>
      <c r="AH438">
        <f t="shared" si="6"/>
        <v>4.3700000000000412E-4</v>
      </c>
    </row>
    <row r="439" spans="1:34" ht="15.75" thickBot="1" x14ac:dyDescent="0.3">
      <c r="A439" s="569" t="s">
        <v>2208</v>
      </c>
      <c r="B439" s="569" t="s">
        <v>156</v>
      </c>
      <c r="C439" s="569" t="s">
        <v>6</v>
      </c>
      <c r="D439" s="569"/>
      <c r="E439" s="569"/>
      <c r="F439" s="569"/>
      <c r="G439" s="569"/>
      <c r="H439" s="569"/>
      <c r="I439" s="569"/>
      <c r="J439" s="569"/>
      <c r="K439" s="569"/>
      <c r="L439" s="569"/>
      <c r="M439" s="569"/>
      <c r="N439" s="569"/>
      <c r="O439" s="569"/>
      <c r="P439" s="569"/>
      <c r="Q439" s="569"/>
      <c r="R439" s="569"/>
      <c r="S439" s="569"/>
      <c r="T439" s="569"/>
      <c r="U439" s="569"/>
      <c r="V439" s="569"/>
      <c r="W439" s="569"/>
      <c r="X439" s="569"/>
      <c r="Y439" s="569"/>
      <c r="Z439" s="569"/>
      <c r="AA439" s="569"/>
      <c r="AB439" s="569"/>
      <c r="AC439" s="569"/>
      <c r="AD439" s="569"/>
      <c r="AE439" s="569"/>
      <c r="AF439">
        <v>439</v>
      </c>
      <c r="AG439" s="438" t="str">
        <f>IF(INDEX(D:AE,AF439,ADP!$AF$6)=0,"",INDEX(D:AE,AF439,ADP!$AF$6)+AH439)</f>
        <v/>
      </c>
      <c r="AH439">
        <f t="shared" si="6"/>
        <v>4.3800000000000414E-4</v>
      </c>
    </row>
    <row r="440" spans="1:34" ht="15.75" thickBot="1" x14ac:dyDescent="0.3">
      <c r="A440" s="569" t="s">
        <v>1873</v>
      </c>
      <c r="B440" s="569" t="s">
        <v>145</v>
      </c>
      <c r="C440" s="569" t="s">
        <v>7</v>
      </c>
      <c r="D440" s="569"/>
      <c r="E440" s="569"/>
      <c r="F440" s="569"/>
      <c r="G440" s="569"/>
      <c r="H440" s="569"/>
      <c r="I440" s="569"/>
      <c r="J440" s="569"/>
      <c r="K440" s="569"/>
      <c r="L440" s="569"/>
      <c r="M440" s="569"/>
      <c r="N440" s="569"/>
      <c r="O440" s="569"/>
      <c r="P440" s="569"/>
      <c r="Q440" s="569"/>
      <c r="R440" s="569"/>
      <c r="S440" s="569"/>
      <c r="T440" s="569"/>
      <c r="U440" s="569"/>
      <c r="V440" s="569"/>
      <c r="W440" s="569"/>
      <c r="X440" s="569"/>
      <c r="Y440" s="569"/>
      <c r="Z440" s="569"/>
      <c r="AA440" s="569"/>
      <c r="AB440" s="569"/>
      <c r="AC440" s="569"/>
      <c r="AD440" s="569"/>
      <c r="AE440" s="569"/>
      <c r="AF440">
        <v>440</v>
      </c>
      <c r="AG440" s="438" t="str">
        <f>IF(INDEX(D:AE,AF440,ADP!$AF$6)=0,"",INDEX(D:AE,AF440,ADP!$AF$6)+AH440)</f>
        <v/>
      </c>
      <c r="AH440">
        <f t="shared" si="6"/>
        <v>4.3900000000000417E-4</v>
      </c>
    </row>
    <row r="441" spans="1:34" ht="15.75" thickBot="1" x14ac:dyDescent="0.3">
      <c r="A441" s="569" t="s">
        <v>158</v>
      </c>
      <c r="B441" s="569" t="s">
        <v>158</v>
      </c>
      <c r="C441" s="569" t="s">
        <v>160</v>
      </c>
      <c r="D441" s="569"/>
      <c r="E441" s="569"/>
      <c r="F441" s="569"/>
      <c r="G441" s="569"/>
      <c r="H441" s="569"/>
      <c r="I441" s="569"/>
      <c r="J441" s="569"/>
      <c r="K441" s="569"/>
      <c r="L441" s="569"/>
      <c r="M441" s="569"/>
      <c r="N441" s="569"/>
      <c r="O441" s="569"/>
      <c r="P441" s="569"/>
      <c r="Q441" s="569"/>
      <c r="R441" s="569"/>
      <c r="S441" s="569"/>
      <c r="T441" s="569"/>
      <c r="U441" s="569"/>
      <c r="V441" s="569"/>
      <c r="W441" s="569"/>
      <c r="X441" s="569"/>
      <c r="Y441" s="569"/>
      <c r="Z441" s="569"/>
      <c r="AA441" s="569"/>
      <c r="AB441" s="569"/>
      <c r="AC441" s="569"/>
      <c r="AD441" s="569"/>
      <c r="AE441" s="569"/>
      <c r="AF441">
        <v>441</v>
      </c>
      <c r="AG441" s="438" t="str">
        <f>IF(INDEX(D:AE,AF441,ADP!$AF$6)=0,"",INDEX(D:AE,AF441,ADP!$AF$6)+AH441)</f>
        <v/>
      </c>
      <c r="AH441">
        <f t="shared" si="6"/>
        <v>4.4000000000000419E-4</v>
      </c>
    </row>
    <row r="442" spans="1:34" ht="15.75" thickBot="1" x14ac:dyDescent="0.3">
      <c r="A442" s="569" t="s">
        <v>1817</v>
      </c>
      <c r="B442" s="569" t="s">
        <v>159</v>
      </c>
      <c r="C442" s="569" t="s">
        <v>7</v>
      </c>
      <c r="D442" s="569"/>
      <c r="E442" s="569"/>
      <c r="F442" s="569"/>
      <c r="G442" s="569"/>
      <c r="H442" s="569"/>
      <c r="I442" s="569"/>
      <c r="J442" s="569"/>
      <c r="K442" s="569"/>
      <c r="L442" s="569"/>
      <c r="M442" s="569"/>
      <c r="N442" s="569"/>
      <c r="O442" s="569"/>
      <c r="P442" s="569"/>
      <c r="Q442" s="569"/>
      <c r="R442" s="569"/>
      <c r="S442" s="569"/>
      <c r="T442" s="569"/>
      <c r="U442" s="569"/>
      <c r="V442" s="569"/>
      <c r="W442" s="569"/>
      <c r="X442" s="569"/>
      <c r="Y442" s="569"/>
      <c r="Z442" s="569"/>
      <c r="AA442" s="569"/>
      <c r="AB442" s="569"/>
      <c r="AC442" s="569"/>
      <c r="AD442" s="569"/>
      <c r="AE442" s="569"/>
      <c r="AF442">
        <v>442</v>
      </c>
      <c r="AG442" s="438" t="str">
        <f>IF(INDEX(D:AE,AF442,ADP!$AF$6)=0,"",INDEX(D:AE,AF442,ADP!$AF$6)+AH442)</f>
        <v/>
      </c>
      <c r="AH442">
        <f t="shared" si="6"/>
        <v>4.4100000000000421E-4</v>
      </c>
    </row>
    <row r="443" spans="1:34" ht="15.75" thickBot="1" x14ac:dyDescent="0.3">
      <c r="A443" s="569" t="s">
        <v>1884</v>
      </c>
      <c r="B443" s="569" t="s">
        <v>2073</v>
      </c>
      <c r="C443" s="569" t="s">
        <v>6</v>
      </c>
      <c r="D443" s="569">
        <v>140.30000000000001</v>
      </c>
      <c r="E443" s="569">
        <v>27.2</v>
      </c>
      <c r="F443" s="569">
        <v>142</v>
      </c>
      <c r="G443" s="569">
        <v>12.5</v>
      </c>
      <c r="H443" s="569">
        <v>155.1</v>
      </c>
      <c r="I443" s="569">
        <v>14.4</v>
      </c>
      <c r="J443" s="569">
        <v>140.30000000000001</v>
      </c>
      <c r="K443" s="569">
        <v>27.2</v>
      </c>
      <c r="L443" s="569">
        <v>142</v>
      </c>
      <c r="M443" s="569">
        <v>12.5</v>
      </c>
      <c r="N443" s="569">
        <v>155.1</v>
      </c>
      <c r="O443" s="569">
        <v>14.4</v>
      </c>
      <c r="P443" s="569">
        <v>136.1</v>
      </c>
      <c r="Q443" s="569">
        <v>11.9</v>
      </c>
      <c r="R443" s="569">
        <v>140.30000000000001</v>
      </c>
      <c r="S443" s="569">
        <v>27.2</v>
      </c>
      <c r="T443" s="569">
        <v>142</v>
      </c>
      <c r="U443" s="569">
        <v>12.5</v>
      </c>
      <c r="V443" s="569">
        <v>155.1</v>
      </c>
      <c r="W443" s="569">
        <v>14.4</v>
      </c>
      <c r="X443" s="569">
        <v>136.1</v>
      </c>
      <c r="Y443" s="569">
        <v>11.9</v>
      </c>
      <c r="Z443" s="569">
        <v>140.30000000000001</v>
      </c>
      <c r="AA443" s="569">
        <v>27.2</v>
      </c>
      <c r="AB443" s="569">
        <v>142</v>
      </c>
      <c r="AC443" s="569">
        <v>12.5</v>
      </c>
      <c r="AD443" s="569">
        <v>155.1</v>
      </c>
      <c r="AE443" s="569">
        <v>155.1</v>
      </c>
      <c r="AF443">
        <v>443</v>
      </c>
      <c r="AG443" s="438">
        <f>IF(INDEX(D:AE,AF443,ADP!$AF$6)=0,"",INDEX(D:AE,AF443,ADP!$AF$6)+AH443)</f>
        <v>155.10044199999999</v>
      </c>
      <c r="AH443">
        <f t="shared" si="6"/>
        <v>4.4200000000000424E-4</v>
      </c>
    </row>
    <row r="444" spans="1:34" ht="15.75" thickBot="1" x14ac:dyDescent="0.3">
      <c r="A444" s="569" t="s">
        <v>2483</v>
      </c>
      <c r="B444" s="569" t="s">
        <v>146</v>
      </c>
      <c r="C444" s="569" t="s">
        <v>3</v>
      </c>
      <c r="D444" s="569"/>
      <c r="E444" s="569"/>
      <c r="F444" s="569"/>
      <c r="G444" s="569"/>
      <c r="H444" s="569"/>
      <c r="I444" s="569"/>
      <c r="J444" s="569"/>
      <c r="K444" s="569"/>
      <c r="L444" s="569"/>
      <c r="M444" s="569"/>
      <c r="N444" s="569"/>
      <c r="O444" s="569"/>
      <c r="P444" s="569"/>
      <c r="Q444" s="569"/>
      <c r="R444" s="569"/>
      <c r="S444" s="569"/>
      <c r="T444" s="569"/>
      <c r="U444" s="569"/>
      <c r="V444" s="569"/>
      <c r="W444" s="569"/>
      <c r="X444" s="569"/>
      <c r="Y444" s="569"/>
      <c r="Z444" s="569"/>
      <c r="AA444" s="569"/>
      <c r="AB444" s="569"/>
      <c r="AC444" s="569"/>
      <c r="AD444" s="569"/>
      <c r="AE444" s="569"/>
      <c r="AF444">
        <v>444</v>
      </c>
      <c r="AG444" s="438" t="str">
        <f>IF(INDEX(D:AE,AF444,ADP!$AF$6)=0,"",INDEX(D:AE,AF444,ADP!$AF$6)+AH444)</f>
        <v/>
      </c>
      <c r="AH444">
        <f t="shared" si="6"/>
        <v>4.4300000000000426E-4</v>
      </c>
    </row>
    <row r="445" spans="1:34" ht="15.75" thickBot="1" x14ac:dyDescent="0.3">
      <c r="A445" s="569" t="s">
        <v>2238</v>
      </c>
      <c r="B445" s="569" t="s">
        <v>1389</v>
      </c>
      <c r="C445" s="569" t="s">
        <v>7</v>
      </c>
      <c r="D445" s="569"/>
      <c r="E445" s="569"/>
      <c r="F445" s="569"/>
      <c r="G445" s="569"/>
      <c r="H445" s="569"/>
      <c r="I445" s="569"/>
      <c r="J445" s="569"/>
      <c r="K445" s="569"/>
      <c r="L445" s="569"/>
      <c r="M445" s="569"/>
      <c r="N445" s="569"/>
      <c r="O445" s="569"/>
      <c r="P445" s="569"/>
      <c r="Q445" s="569"/>
      <c r="R445" s="569"/>
      <c r="S445" s="569"/>
      <c r="T445" s="569"/>
      <c r="U445" s="569"/>
      <c r="V445" s="569"/>
      <c r="W445" s="569"/>
      <c r="X445" s="569"/>
      <c r="Y445" s="569"/>
      <c r="Z445" s="569"/>
      <c r="AA445" s="569"/>
      <c r="AB445" s="569"/>
      <c r="AC445" s="569"/>
      <c r="AD445" s="569"/>
      <c r="AE445" s="569"/>
      <c r="AF445">
        <v>445</v>
      </c>
      <c r="AG445" s="438" t="str">
        <f>IF(INDEX(D:AE,AF445,ADP!$AF$6)=0,"",INDEX(D:AE,AF445,ADP!$AF$6)+AH445)</f>
        <v/>
      </c>
      <c r="AH445">
        <f t="shared" si="6"/>
        <v>4.4400000000000429E-4</v>
      </c>
    </row>
    <row r="446" spans="1:34" ht="15.75" thickBot="1" x14ac:dyDescent="0.3">
      <c r="A446" s="569" t="s">
        <v>2372</v>
      </c>
      <c r="B446" s="569" t="s">
        <v>1388</v>
      </c>
      <c r="C446" s="569" t="s">
        <v>7</v>
      </c>
      <c r="D446" s="569"/>
      <c r="E446" s="569"/>
      <c r="F446" s="569"/>
      <c r="G446" s="569"/>
      <c r="H446" s="569"/>
      <c r="I446" s="569"/>
      <c r="J446" s="569"/>
      <c r="K446" s="569"/>
      <c r="L446" s="569"/>
      <c r="M446" s="569"/>
      <c r="N446" s="569"/>
      <c r="O446" s="569"/>
      <c r="P446" s="569"/>
      <c r="Q446" s="569"/>
      <c r="R446" s="569"/>
      <c r="S446" s="569"/>
      <c r="T446" s="569"/>
      <c r="U446" s="569"/>
      <c r="V446" s="569"/>
      <c r="W446" s="569"/>
      <c r="X446" s="569"/>
      <c r="Y446" s="569"/>
      <c r="Z446" s="569"/>
      <c r="AA446" s="569"/>
      <c r="AB446" s="569"/>
      <c r="AC446" s="569"/>
      <c r="AD446" s="569"/>
      <c r="AE446" s="569"/>
      <c r="AF446">
        <v>446</v>
      </c>
      <c r="AG446" s="438" t="str">
        <f>IF(INDEX(D:AE,AF446,ADP!$AF$6)=0,"",INDEX(D:AE,AF446,ADP!$AF$6)+AH446)</f>
        <v/>
      </c>
      <c r="AH446">
        <f t="shared" si="6"/>
        <v>4.4500000000000431E-4</v>
      </c>
    </row>
    <row r="447" spans="1:34" ht="15.75" thickBot="1" x14ac:dyDescent="0.3">
      <c r="A447" s="569" t="s">
        <v>1202</v>
      </c>
      <c r="B447" s="569" t="s">
        <v>157</v>
      </c>
      <c r="C447" s="569" t="s">
        <v>7</v>
      </c>
      <c r="D447" s="569"/>
      <c r="E447" s="569"/>
      <c r="F447" s="569"/>
      <c r="G447" s="569"/>
      <c r="H447" s="569"/>
      <c r="I447" s="569"/>
      <c r="J447" s="569"/>
      <c r="K447" s="569"/>
      <c r="L447" s="569"/>
      <c r="M447" s="569"/>
      <c r="N447" s="569"/>
      <c r="O447" s="569"/>
      <c r="P447" s="569"/>
      <c r="Q447" s="569"/>
      <c r="R447" s="569"/>
      <c r="S447" s="569"/>
      <c r="T447" s="569"/>
      <c r="U447" s="569"/>
      <c r="V447" s="569"/>
      <c r="W447" s="569"/>
      <c r="X447" s="569"/>
      <c r="Y447" s="569"/>
      <c r="Z447" s="569"/>
      <c r="AA447" s="569"/>
      <c r="AB447" s="569"/>
      <c r="AC447" s="569"/>
      <c r="AD447" s="569"/>
      <c r="AE447" s="569"/>
      <c r="AF447">
        <v>447</v>
      </c>
      <c r="AG447" s="438" t="str">
        <f>IF(INDEX(D:AE,AF447,ADP!$AF$6)=0,"",INDEX(D:AE,AF447,ADP!$AF$6)+AH447)</f>
        <v/>
      </c>
      <c r="AH447">
        <f t="shared" si="6"/>
        <v>4.4600000000000434E-4</v>
      </c>
    </row>
    <row r="448" spans="1:34" ht="15.75" thickBot="1" x14ac:dyDescent="0.3">
      <c r="A448" s="569" t="s">
        <v>151</v>
      </c>
      <c r="B448" s="569" t="s">
        <v>151</v>
      </c>
      <c r="C448" s="569" t="s">
        <v>160</v>
      </c>
      <c r="D448" s="569"/>
      <c r="E448" s="569"/>
      <c r="F448" s="569"/>
      <c r="G448" s="569"/>
      <c r="H448" s="569"/>
      <c r="I448" s="569"/>
      <c r="J448" s="569"/>
      <c r="K448" s="569"/>
      <c r="L448" s="569"/>
      <c r="M448" s="569"/>
      <c r="N448" s="569"/>
      <c r="O448" s="569"/>
      <c r="P448" s="569"/>
      <c r="Q448" s="569"/>
      <c r="R448" s="569"/>
      <c r="S448" s="569"/>
      <c r="T448" s="569"/>
      <c r="U448" s="569"/>
      <c r="V448" s="569"/>
      <c r="W448" s="569"/>
      <c r="X448" s="569"/>
      <c r="Y448" s="569"/>
      <c r="Z448" s="569"/>
      <c r="AA448" s="569"/>
      <c r="AB448" s="569"/>
      <c r="AC448" s="569"/>
      <c r="AD448" s="569"/>
      <c r="AE448" s="569"/>
      <c r="AF448">
        <v>448</v>
      </c>
      <c r="AG448" s="438" t="str">
        <f>IF(INDEX(D:AE,AF448,ADP!$AF$6)=0,"",INDEX(D:AE,AF448,ADP!$AF$6)+AH448)</f>
        <v/>
      </c>
      <c r="AH448">
        <f t="shared" si="6"/>
        <v>4.4700000000000436E-4</v>
      </c>
    </row>
    <row r="449" spans="1:34" ht="15.75" thickBot="1" x14ac:dyDescent="0.3">
      <c r="A449" s="569" t="s">
        <v>2484</v>
      </c>
      <c r="B449" s="569" t="s">
        <v>139</v>
      </c>
      <c r="C449" s="569" t="s">
        <v>3</v>
      </c>
      <c r="D449" s="569"/>
      <c r="E449" s="569"/>
      <c r="F449" s="569"/>
      <c r="G449" s="569"/>
      <c r="H449" s="569"/>
      <c r="I449" s="569"/>
      <c r="J449" s="569"/>
      <c r="K449" s="569"/>
      <c r="L449" s="569"/>
      <c r="M449" s="569"/>
      <c r="N449" s="569"/>
      <c r="O449" s="569"/>
      <c r="P449" s="569"/>
      <c r="Q449" s="569"/>
      <c r="R449" s="569"/>
      <c r="S449" s="569"/>
      <c r="T449" s="569"/>
      <c r="U449" s="569"/>
      <c r="V449" s="569"/>
      <c r="W449" s="569"/>
      <c r="X449" s="569"/>
      <c r="Y449" s="569"/>
      <c r="Z449" s="569"/>
      <c r="AA449" s="569"/>
      <c r="AB449" s="569"/>
      <c r="AC449" s="569"/>
      <c r="AD449" s="569"/>
      <c r="AE449" s="569"/>
      <c r="AF449">
        <v>449</v>
      </c>
      <c r="AG449" s="438" t="str">
        <f>IF(INDEX(D:AE,AF449,ADP!$AF$6)=0,"",INDEX(D:AE,AF449,ADP!$AF$6)+AH449)</f>
        <v/>
      </c>
      <c r="AH449">
        <f t="shared" si="6"/>
        <v>4.4800000000000438E-4</v>
      </c>
    </row>
    <row r="450" spans="1:34" ht="15.75" thickBot="1" x14ac:dyDescent="0.3">
      <c r="A450" s="569" t="s">
        <v>2485</v>
      </c>
      <c r="B450" s="569" t="s">
        <v>142</v>
      </c>
      <c r="C450" s="569" t="s">
        <v>1</v>
      </c>
      <c r="D450" s="569"/>
      <c r="E450" s="569"/>
      <c r="F450" s="569"/>
      <c r="G450" s="569"/>
      <c r="H450" s="569"/>
      <c r="I450" s="569"/>
      <c r="J450" s="569"/>
      <c r="K450" s="569"/>
      <c r="L450" s="569"/>
      <c r="M450" s="569"/>
      <c r="N450" s="569"/>
      <c r="O450" s="569"/>
      <c r="P450" s="569"/>
      <c r="Q450" s="569"/>
      <c r="R450" s="569"/>
      <c r="S450" s="569"/>
      <c r="T450" s="569"/>
      <c r="U450" s="569"/>
      <c r="V450" s="569"/>
      <c r="W450" s="569"/>
      <c r="X450" s="569"/>
      <c r="Y450" s="569"/>
      <c r="Z450" s="569"/>
      <c r="AA450" s="569"/>
      <c r="AB450" s="569"/>
      <c r="AC450" s="569"/>
      <c r="AD450" s="569"/>
      <c r="AE450" s="569"/>
      <c r="AF450">
        <v>450</v>
      </c>
      <c r="AG450" s="438" t="str">
        <f>IF(INDEX(D:AE,AF450,ADP!$AF$6)=0,"",INDEX(D:AE,AF450,ADP!$AF$6)+AH450)</f>
        <v/>
      </c>
      <c r="AH450">
        <f t="shared" si="6"/>
        <v>4.4900000000000441E-4</v>
      </c>
    </row>
    <row r="451" spans="1:34" ht="15.75" thickBot="1" x14ac:dyDescent="0.3">
      <c r="A451" s="569" t="s">
        <v>1810</v>
      </c>
      <c r="B451" s="569" t="s">
        <v>159</v>
      </c>
      <c r="C451" s="569" t="s">
        <v>7</v>
      </c>
      <c r="D451" s="569"/>
      <c r="E451" s="569"/>
      <c r="F451" s="569"/>
      <c r="G451" s="569"/>
      <c r="H451" s="569"/>
      <c r="I451" s="569"/>
      <c r="J451" s="569"/>
      <c r="K451" s="569"/>
      <c r="L451" s="569"/>
      <c r="M451" s="569"/>
      <c r="N451" s="569"/>
      <c r="O451" s="569"/>
      <c r="P451" s="569"/>
      <c r="Q451" s="569"/>
      <c r="R451" s="569"/>
      <c r="S451" s="569"/>
      <c r="T451" s="569"/>
      <c r="U451" s="569"/>
      <c r="V451" s="569"/>
      <c r="W451" s="569"/>
      <c r="X451" s="569"/>
      <c r="Y451" s="569"/>
      <c r="Z451" s="569"/>
      <c r="AA451" s="569"/>
      <c r="AB451" s="569"/>
      <c r="AC451" s="569"/>
      <c r="AD451" s="569"/>
      <c r="AE451" s="569"/>
      <c r="AF451">
        <v>451</v>
      </c>
      <c r="AG451" s="438" t="str">
        <f>IF(INDEX(D:AE,AF451,ADP!$AF$6)=0,"",INDEX(D:AE,AF451,ADP!$AF$6)+AH451)</f>
        <v/>
      </c>
      <c r="AH451">
        <f t="shared" si="6"/>
        <v>4.5000000000000443E-4</v>
      </c>
    </row>
    <row r="452" spans="1:34" ht="15.75" thickBot="1" x14ac:dyDescent="0.3">
      <c r="A452" s="569" t="s">
        <v>2298</v>
      </c>
      <c r="B452" s="569" t="s">
        <v>163</v>
      </c>
      <c r="C452" s="569" t="s">
        <v>3</v>
      </c>
      <c r="D452" s="574"/>
      <c r="E452" s="574"/>
      <c r="F452" s="574"/>
      <c r="G452" s="574"/>
      <c r="H452" s="574"/>
      <c r="I452" s="574"/>
      <c r="J452" s="574"/>
      <c r="K452" s="574"/>
      <c r="L452" s="574"/>
      <c r="M452" s="574"/>
      <c r="N452" s="574"/>
      <c r="O452" s="574"/>
      <c r="P452" s="574"/>
      <c r="Q452" s="574"/>
      <c r="R452" s="574"/>
      <c r="S452" s="574"/>
      <c r="T452" s="574"/>
      <c r="U452" s="574"/>
      <c r="V452" s="574"/>
      <c r="W452" s="574"/>
      <c r="X452" s="574"/>
      <c r="Y452" s="574"/>
      <c r="Z452" s="574"/>
      <c r="AA452" s="574"/>
      <c r="AB452" s="574"/>
      <c r="AC452" s="574"/>
      <c r="AD452" s="574"/>
      <c r="AE452" s="574"/>
      <c r="AF452">
        <v>452</v>
      </c>
      <c r="AG452" s="438" t="str">
        <f>IF(INDEX(D:AE,AF452,ADP!$AF$6)=0,"",INDEX(D:AE,AF452,ADP!$AF$6)+AH452)</f>
        <v/>
      </c>
      <c r="AH452">
        <f t="shared" si="6"/>
        <v>4.5100000000000446E-4</v>
      </c>
    </row>
    <row r="453" spans="1:34" ht="15.75" thickBot="1" x14ac:dyDescent="0.3">
      <c r="A453" s="569" t="s">
        <v>1754</v>
      </c>
      <c r="B453" s="569" t="s">
        <v>136</v>
      </c>
      <c r="C453" s="569" t="s">
        <v>11</v>
      </c>
      <c r="D453" s="574">
        <v>153.1</v>
      </c>
      <c r="E453" s="574">
        <v>12</v>
      </c>
      <c r="F453" s="574">
        <v>144.6</v>
      </c>
      <c r="G453" s="574">
        <v>18.5</v>
      </c>
      <c r="H453" s="574">
        <v>146.1</v>
      </c>
      <c r="I453" s="574">
        <v>17.100000000000001</v>
      </c>
      <c r="J453" s="574">
        <v>153.1</v>
      </c>
      <c r="K453" s="574">
        <v>12</v>
      </c>
      <c r="L453" s="574">
        <v>144.6</v>
      </c>
      <c r="M453" s="574">
        <v>18.5</v>
      </c>
      <c r="N453" s="574">
        <v>146.1</v>
      </c>
      <c r="O453" s="574">
        <v>17.100000000000001</v>
      </c>
      <c r="P453" s="574">
        <v>144.4</v>
      </c>
      <c r="Q453" s="574">
        <v>14.4</v>
      </c>
      <c r="R453" s="574">
        <v>153.1</v>
      </c>
      <c r="S453" s="574">
        <v>12</v>
      </c>
      <c r="T453" s="574">
        <v>144.6</v>
      </c>
      <c r="U453" s="574">
        <v>18.5</v>
      </c>
      <c r="V453" s="574">
        <v>146.1</v>
      </c>
      <c r="W453" s="574">
        <v>17.100000000000001</v>
      </c>
      <c r="X453" s="574">
        <v>144.4</v>
      </c>
      <c r="Y453" s="574">
        <v>14.4</v>
      </c>
      <c r="Z453" s="574">
        <v>153.1</v>
      </c>
      <c r="AA453" s="574">
        <v>12</v>
      </c>
      <c r="AB453" s="574">
        <v>144.6</v>
      </c>
      <c r="AC453" s="574">
        <v>18.5</v>
      </c>
      <c r="AD453" s="574">
        <v>146.1</v>
      </c>
      <c r="AE453" s="574">
        <v>146.1</v>
      </c>
      <c r="AF453">
        <v>453</v>
      </c>
      <c r="AG453" s="438">
        <f>IF(INDEX(D:AE,AF453,ADP!$AF$6)=0,"",INDEX(D:AE,AF453,ADP!$AF$6)+AH453)</f>
        <v>146.10045199999999</v>
      </c>
      <c r="AH453">
        <f t="shared" si="6"/>
        <v>4.5200000000000448E-4</v>
      </c>
    </row>
    <row r="454" spans="1:34" ht="15.75" thickBot="1" x14ac:dyDescent="0.3">
      <c r="A454" s="569" t="s">
        <v>2125</v>
      </c>
      <c r="B454" s="569" t="s">
        <v>161</v>
      </c>
      <c r="C454" s="569" t="s">
        <v>7</v>
      </c>
      <c r="D454" s="569"/>
      <c r="E454" s="569"/>
      <c r="F454" s="569"/>
      <c r="G454" s="569"/>
      <c r="H454" s="569"/>
      <c r="I454" s="569"/>
      <c r="J454" s="569"/>
      <c r="K454" s="569"/>
      <c r="L454" s="569"/>
      <c r="M454" s="569"/>
      <c r="N454" s="569"/>
      <c r="O454" s="569"/>
      <c r="P454" s="569"/>
      <c r="Q454" s="569"/>
      <c r="R454" s="569"/>
      <c r="S454" s="569"/>
      <c r="T454" s="569"/>
      <c r="U454" s="569"/>
      <c r="V454" s="569"/>
      <c r="W454" s="569"/>
      <c r="X454" s="569"/>
      <c r="Y454" s="569"/>
      <c r="Z454" s="569"/>
      <c r="AA454" s="569"/>
      <c r="AB454" s="569"/>
      <c r="AC454" s="569"/>
      <c r="AD454" s="569"/>
      <c r="AE454" s="569"/>
      <c r="AF454">
        <v>454</v>
      </c>
      <c r="AG454" s="438" t="str">
        <f>IF(INDEX(D:AE,AF454,ADP!$AF$6)=0,"",INDEX(D:AE,AF454,ADP!$AF$6)+AH454)</f>
        <v/>
      </c>
      <c r="AH454">
        <f t="shared" ref="AH454:AH517" si="7">AH453+0.000001</f>
        <v>4.5300000000000451E-4</v>
      </c>
    </row>
    <row r="455" spans="1:34" ht="15.75" thickBot="1" x14ac:dyDescent="0.3">
      <c r="A455" s="569" t="s">
        <v>1829</v>
      </c>
      <c r="B455" s="569" t="s">
        <v>162</v>
      </c>
      <c r="C455" s="569" t="s">
        <v>3</v>
      </c>
      <c r="D455" s="569">
        <v>165.3</v>
      </c>
      <c r="E455" s="569">
        <v>11.2</v>
      </c>
      <c r="F455" s="569">
        <v>134.1</v>
      </c>
      <c r="G455" s="569">
        <v>13.4</v>
      </c>
      <c r="H455" s="569">
        <v>155.69999999999999</v>
      </c>
      <c r="I455" s="569">
        <v>15.6</v>
      </c>
      <c r="J455" s="569">
        <v>165.3</v>
      </c>
      <c r="K455" s="569">
        <v>11.2</v>
      </c>
      <c r="L455" s="569">
        <v>134.1</v>
      </c>
      <c r="M455" s="569">
        <v>13.4</v>
      </c>
      <c r="N455" s="569">
        <v>155.69999999999999</v>
      </c>
      <c r="O455" s="569">
        <v>15.6</v>
      </c>
      <c r="P455" s="569"/>
      <c r="Q455" s="569"/>
      <c r="R455" s="569">
        <v>165.3</v>
      </c>
      <c r="S455" s="569">
        <v>11.2</v>
      </c>
      <c r="T455" s="569">
        <v>134.1</v>
      </c>
      <c r="U455" s="569">
        <v>13.4</v>
      </c>
      <c r="V455" s="569">
        <v>155.69999999999999</v>
      </c>
      <c r="W455" s="569">
        <v>15.6</v>
      </c>
      <c r="X455" s="569"/>
      <c r="Y455" s="569"/>
      <c r="Z455" s="569">
        <v>165.3</v>
      </c>
      <c r="AA455" s="569">
        <v>11.2</v>
      </c>
      <c r="AB455" s="569">
        <v>134.1</v>
      </c>
      <c r="AC455" s="569">
        <v>13.4</v>
      </c>
      <c r="AD455" s="569">
        <v>155.69999999999999</v>
      </c>
      <c r="AE455" s="569">
        <v>155.69999999999999</v>
      </c>
      <c r="AF455">
        <v>455</v>
      </c>
      <c r="AG455" s="438">
        <f>IF(INDEX(D:AE,AF455,ADP!$AF$6)=0,"",INDEX(D:AE,AF455,ADP!$AF$6)+AH455)</f>
        <v>155.70045399999998</v>
      </c>
      <c r="AH455">
        <f t="shared" si="7"/>
        <v>4.5400000000000453E-4</v>
      </c>
    </row>
    <row r="456" spans="1:34" ht="15.75" thickBot="1" x14ac:dyDescent="0.3">
      <c r="A456" s="569" t="s">
        <v>2147</v>
      </c>
      <c r="B456" s="569" t="s">
        <v>147</v>
      </c>
      <c r="C456" s="569" t="s">
        <v>6</v>
      </c>
      <c r="D456" s="569"/>
      <c r="E456" s="569"/>
      <c r="F456" s="569"/>
      <c r="G456" s="569"/>
      <c r="H456" s="569"/>
      <c r="I456" s="569"/>
      <c r="J456" s="569"/>
      <c r="K456" s="569"/>
      <c r="L456" s="569"/>
      <c r="M456" s="569"/>
      <c r="N456" s="569"/>
      <c r="O456" s="569"/>
      <c r="P456" s="569"/>
      <c r="Q456" s="569"/>
      <c r="R456" s="569"/>
      <c r="S456" s="569"/>
      <c r="T456" s="569"/>
      <c r="U456" s="569"/>
      <c r="V456" s="569"/>
      <c r="W456" s="569"/>
      <c r="X456" s="569"/>
      <c r="Y456" s="569"/>
      <c r="Z456" s="569"/>
      <c r="AA456" s="569"/>
      <c r="AB456" s="569"/>
      <c r="AC456" s="569"/>
      <c r="AD456" s="569"/>
      <c r="AE456" s="569"/>
      <c r="AF456">
        <v>456</v>
      </c>
      <c r="AG456" s="438" t="str">
        <f>IF(INDEX(D:AE,AF456,ADP!$AF$6)=0,"",INDEX(D:AE,AF456,ADP!$AF$6)+AH456)</f>
        <v/>
      </c>
      <c r="AH456">
        <f t="shared" si="7"/>
        <v>4.5500000000000455E-4</v>
      </c>
    </row>
    <row r="457" spans="1:34" ht="15.75" thickBot="1" x14ac:dyDescent="0.3">
      <c r="A457" s="569" t="s">
        <v>245</v>
      </c>
      <c r="B457" s="569" t="s">
        <v>164</v>
      </c>
      <c r="C457" s="569" t="s">
        <v>11</v>
      </c>
      <c r="D457" s="569"/>
      <c r="E457" s="569"/>
      <c r="F457" s="569">
        <v>176.3</v>
      </c>
      <c r="G457" s="569">
        <v>15.8</v>
      </c>
      <c r="H457" s="569">
        <v>162.6</v>
      </c>
      <c r="I457" s="569">
        <v>21.2</v>
      </c>
      <c r="J457" s="569"/>
      <c r="K457" s="569"/>
      <c r="L457" s="569">
        <v>176.3</v>
      </c>
      <c r="M457" s="569">
        <v>15.8</v>
      </c>
      <c r="N457" s="569">
        <v>162.6</v>
      </c>
      <c r="O457" s="569">
        <v>21.2</v>
      </c>
      <c r="P457" s="569"/>
      <c r="Q457" s="569"/>
      <c r="R457" s="569"/>
      <c r="S457" s="569"/>
      <c r="T457" s="569">
        <v>176.3</v>
      </c>
      <c r="U457" s="569">
        <v>15.8</v>
      </c>
      <c r="V457" s="569">
        <v>162.6</v>
      </c>
      <c r="W457" s="569">
        <v>21.2</v>
      </c>
      <c r="X457" s="569"/>
      <c r="Y457" s="569"/>
      <c r="Z457" s="569"/>
      <c r="AA457" s="569"/>
      <c r="AB457" s="569">
        <v>176.3</v>
      </c>
      <c r="AC457" s="569">
        <v>15.8</v>
      </c>
      <c r="AD457" s="569">
        <v>162.6</v>
      </c>
      <c r="AE457" s="569">
        <v>162.6</v>
      </c>
      <c r="AF457">
        <v>457</v>
      </c>
      <c r="AG457" s="438">
        <f>IF(INDEX(D:AE,AF457,ADP!$AF$6)=0,"",INDEX(D:AE,AF457,ADP!$AF$6)+AH457)</f>
        <v>162.60045600000001</v>
      </c>
      <c r="AH457">
        <f t="shared" si="7"/>
        <v>4.5600000000000458E-4</v>
      </c>
    </row>
    <row r="458" spans="1:34" ht="15.75" thickBot="1" x14ac:dyDescent="0.3">
      <c r="A458" s="569" t="s">
        <v>2059</v>
      </c>
      <c r="B458" s="569" t="s">
        <v>137</v>
      </c>
      <c r="C458" s="569" t="s">
        <v>6</v>
      </c>
      <c r="D458" s="569"/>
      <c r="E458" s="569"/>
      <c r="F458" s="569"/>
      <c r="G458" s="569"/>
      <c r="H458" s="569"/>
      <c r="I458" s="569"/>
      <c r="J458" s="569"/>
      <c r="K458" s="569"/>
      <c r="L458" s="569"/>
      <c r="M458" s="569"/>
      <c r="N458" s="569"/>
      <c r="O458" s="569"/>
      <c r="P458" s="569"/>
      <c r="Q458" s="569"/>
      <c r="R458" s="569"/>
      <c r="S458" s="569"/>
      <c r="T458" s="569"/>
      <c r="U458" s="569"/>
      <c r="V458" s="569"/>
      <c r="W458" s="569"/>
      <c r="X458" s="569"/>
      <c r="Y458" s="569"/>
      <c r="Z458" s="569"/>
      <c r="AA458" s="569"/>
      <c r="AB458" s="569"/>
      <c r="AC458" s="569"/>
      <c r="AD458" s="569"/>
      <c r="AE458" s="569"/>
      <c r="AF458">
        <v>458</v>
      </c>
      <c r="AG458" s="438" t="str">
        <f>IF(INDEX(D:AE,AF458,ADP!$AF$6)=0,"",INDEX(D:AE,AF458,ADP!$AF$6)+AH458)</f>
        <v/>
      </c>
      <c r="AH458">
        <f t="shared" si="7"/>
        <v>4.570000000000046E-4</v>
      </c>
    </row>
    <row r="459" spans="1:34" ht="15.75" thickBot="1" x14ac:dyDescent="0.3">
      <c r="A459" s="569" t="s">
        <v>1872</v>
      </c>
      <c r="B459" s="569" t="s">
        <v>138</v>
      </c>
      <c r="C459" s="569" t="s">
        <v>11</v>
      </c>
      <c r="D459" s="574"/>
      <c r="E459" s="574"/>
      <c r="F459" s="574"/>
      <c r="G459" s="574"/>
      <c r="H459" s="574">
        <v>175.1</v>
      </c>
      <c r="I459" s="574">
        <v>14.9</v>
      </c>
      <c r="J459" s="574"/>
      <c r="K459" s="574"/>
      <c r="L459" s="574"/>
      <c r="M459" s="574"/>
      <c r="N459" s="574">
        <v>175.1</v>
      </c>
      <c r="O459" s="574">
        <v>14.9</v>
      </c>
      <c r="P459" s="574"/>
      <c r="Q459" s="574"/>
      <c r="R459" s="574"/>
      <c r="S459" s="574"/>
      <c r="T459" s="574"/>
      <c r="U459" s="574"/>
      <c r="V459" s="574">
        <v>175.1</v>
      </c>
      <c r="W459" s="574">
        <v>14.9</v>
      </c>
      <c r="X459" s="574"/>
      <c r="Y459" s="574"/>
      <c r="Z459" s="574"/>
      <c r="AA459" s="574"/>
      <c r="AB459" s="574"/>
      <c r="AC459" s="574"/>
      <c r="AD459" s="574">
        <v>175.1</v>
      </c>
      <c r="AE459" s="574">
        <v>175.1</v>
      </c>
      <c r="AF459">
        <v>459</v>
      </c>
      <c r="AG459" s="438">
        <f>IF(INDEX(D:AE,AF459,ADP!$AF$6)=0,"",INDEX(D:AE,AF459,ADP!$AF$6)+AH459)</f>
        <v>175.100458</v>
      </c>
      <c r="AH459">
        <f t="shared" si="7"/>
        <v>4.5800000000000463E-4</v>
      </c>
    </row>
    <row r="460" spans="1:34" ht="15.75" thickBot="1" x14ac:dyDescent="0.3">
      <c r="A460" s="569" t="s">
        <v>2360</v>
      </c>
      <c r="B460" s="569" t="s">
        <v>144</v>
      </c>
      <c r="C460" s="569" t="s">
        <v>7</v>
      </c>
      <c r="D460" s="569">
        <v>115.5</v>
      </c>
      <c r="E460" s="569">
        <v>10.8</v>
      </c>
      <c r="F460" s="569">
        <v>157</v>
      </c>
      <c r="G460" s="569">
        <v>12.7</v>
      </c>
      <c r="H460" s="569">
        <v>132.1</v>
      </c>
      <c r="I460" s="569">
        <v>15.3</v>
      </c>
      <c r="J460" s="569">
        <v>115.5</v>
      </c>
      <c r="K460" s="569">
        <v>10.8</v>
      </c>
      <c r="L460" s="569">
        <v>157</v>
      </c>
      <c r="M460" s="569">
        <v>12.7</v>
      </c>
      <c r="N460" s="569">
        <v>132.1</v>
      </c>
      <c r="O460" s="569">
        <v>15.3</v>
      </c>
      <c r="P460" s="569">
        <v>147.6</v>
      </c>
      <c r="Q460" s="569">
        <v>19.8</v>
      </c>
      <c r="R460" s="569">
        <v>115.5</v>
      </c>
      <c r="S460" s="569">
        <v>10.8</v>
      </c>
      <c r="T460" s="569">
        <v>157</v>
      </c>
      <c r="U460" s="569">
        <v>12.7</v>
      </c>
      <c r="V460" s="569">
        <v>132.1</v>
      </c>
      <c r="W460" s="569">
        <v>15.3</v>
      </c>
      <c r="X460" s="569">
        <v>147.6</v>
      </c>
      <c r="Y460" s="569">
        <v>19.8</v>
      </c>
      <c r="Z460" s="569">
        <v>115.5</v>
      </c>
      <c r="AA460" s="569">
        <v>10.8</v>
      </c>
      <c r="AB460" s="569">
        <v>157</v>
      </c>
      <c r="AC460" s="569">
        <v>12.7</v>
      </c>
      <c r="AD460" s="569">
        <v>132.1</v>
      </c>
      <c r="AE460" s="569">
        <v>132.1</v>
      </c>
      <c r="AF460">
        <v>460</v>
      </c>
      <c r="AG460" s="438">
        <f>IF(INDEX(D:AE,AF460,ADP!$AF$6)=0,"",INDEX(D:AE,AF460,ADP!$AF$6)+AH460)</f>
        <v>132.100459</v>
      </c>
      <c r="AH460">
        <f t="shared" si="7"/>
        <v>4.5900000000000465E-4</v>
      </c>
    </row>
    <row r="461" spans="1:34" ht="15.75" thickBot="1" x14ac:dyDescent="0.3">
      <c r="A461" s="569" t="s">
        <v>2277</v>
      </c>
      <c r="B461" s="569" t="s">
        <v>2272</v>
      </c>
      <c r="C461" s="569" t="s">
        <v>6</v>
      </c>
      <c r="D461" s="569"/>
      <c r="E461" s="569"/>
      <c r="F461" s="569"/>
      <c r="G461" s="569"/>
      <c r="H461" s="569"/>
      <c r="I461" s="569"/>
      <c r="J461" s="569"/>
      <c r="K461" s="569"/>
      <c r="L461" s="569"/>
      <c r="M461" s="569"/>
      <c r="N461" s="569"/>
      <c r="O461" s="569"/>
      <c r="P461" s="569"/>
      <c r="Q461" s="569"/>
      <c r="R461" s="569"/>
      <c r="S461" s="569"/>
      <c r="T461" s="569"/>
      <c r="U461" s="569"/>
      <c r="V461" s="569"/>
      <c r="W461" s="569"/>
      <c r="X461" s="569"/>
      <c r="Y461" s="569"/>
      <c r="Z461" s="569"/>
      <c r="AA461" s="569"/>
      <c r="AB461" s="569"/>
      <c r="AC461" s="569"/>
      <c r="AD461" s="569"/>
      <c r="AE461" s="569"/>
      <c r="AF461">
        <v>461</v>
      </c>
      <c r="AG461" s="438" t="str">
        <f>IF(INDEX(D:AE,AF461,ADP!$AF$6)=0,"",INDEX(D:AE,AF461,ADP!$AF$6)+AH461)</f>
        <v/>
      </c>
      <c r="AH461">
        <f t="shared" si="7"/>
        <v>4.6000000000000468E-4</v>
      </c>
    </row>
    <row r="462" spans="1:34" ht="15.75" thickBot="1" x14ac:dyDescent="0.3">
      <c r="A462" s="569" t="s">
        <v>2369</v>
      </c>
      <c r="B462" s="569" t="s">
        <v>137</v>
      </c>
      <c r="C462" s="569" t="s">
        <v>7</v>
      </c>
      <c r="D462" s="574"/>
      <c r="E462" s="574"/>
      <c r="F462" s="574"/>
      <c r="G462" s="574"/>
      <c r="H462" s="574"/>
      <c r="I462" s="574"/>
      <c r="J462" s="574"/>
      <c r="K462" s="574"/>
      <c r="L462" s="574"/>
      <c r="M462" s="574"/>
      <c r="N462" s="574"/>
      <c r="O462" s="574"/>
      <c r="P462" s="574"/>
      <c r="Q462" s="574"/>
      <c r="R462" s="574"/>
      <c r="S462" s="574"/>
      <c r="T462" s="574"/>
      <c r="U462" s="574"/>
      <c r="V462" s="574"/>
      <c r="W462" s="574"/>
      <c r="X462" s="574"/>
      <c r="Y462" s="574"/>
      <c r="Z462" s="574"/>
      <c r="AA462" s="574"/>
      <c r="AB462" s="574"/>
      <c r="AC462" s="574"/>
      <c r="AD462" s="574"/>
      <c r="AE462" s="574"/>
      <c r="AF462">
        <v>462</v>
      </c>
      <c r="AG462" s="438" t="str">
        <f>IF(INDEX(D:AE,AF462,ADP!$AF$6)=0,"",INDEX(D:AE,AF462,ADP!$AF$6)+AH462)</f>
        <v/>
      </c>
      <c r="AH462">
        <f t="shared" si="7"/>
        <v>4.610000000000047E-4</v>
      </c>
    </row>
    <row r="463" spans="1:34" ht="15.75" thickBot="1" x14ac:dyDescent="0.3">
      <c r="A463" s="569" t="s">
        <v>2123</v>
      </c>
      <c r="B463" s="569" t="s">
        <v>154</v>
      </c>
      <c r="C463" s="569" t="s">
        <v>11</v>
      </c>
      <c r="D463" s="569">
        <v>175.6</v>
      </c>
      <c r="E463" s="569">
        <v>5.2</v>
      </c>
      <c r="F463" s="569"/>
      <c r="G463" s="569"/>
      <c r="H463" s="569"/>
      <c r="I463" s="569"/>
      <c r="J463" s="569">
        <v>175.6</v>
      </c>
      <c r="K463" s="569">
        <v>5.2</v>
      </c>
      <c r="L463" s="569"/>
      <c r="M463" s="569"/>
      <c r="N463" s="569">
        <v>165.5</v>
      </c>
      <c r="O463" s="569">
        <v>16.600000000000001</v>
      </c>
      <c r="P463" s="569"/>
      <c r="Q463" s="569"/>
      <c r="R463" s="569">
        <v>175.6</v>
      </c>
      <c r="S463" s="569">
        <v>5.2</v>
      </c>
      <c r="T463" s="569"/>
      <c r="U463" s="569"/>
      <c r="V463" s="569">
        <v>165.5</v>
      </c>
      <c r="W463" s="569">
        <v>16.600000000000001</v>
      </c>
      <c r="X463" s="569"/>
      <c r="Y463" s="569"/>
      <c r="Z463" s="569"/>
      <c r="AA463" s="569"/>
      <c r="AB463" s="569"/>
      <c r="AC463" s="569"/>
      <c r="AD463" s="569"/>
      <c r="AE463" s="569"/>
      <c r="AF463">
        <v>463</v>
      </c>
      <c r="AG463" s="438">
        <f>IF(INDEX(D:AE,AF463,ADP!$AF$6)=0,"",INDEX(D:AE,AF463,ADP!$AF$6)+AH463)</f>
        <v>165.500462</v>
      </c>
      <c r="AH463">
        <f t="shared" si="7"/>
        <v>4.6200000000000472E-4</v>
      </c>
    </row>
    <row r="464" spans="1:34" ht="15.75" thickBot="1" x14ac:dyDescent="0.3">
      <c r="A464" s="569" t="s">
        <v>2541</v>
      </c>
      <c r="B464" s="569" t="s">
        <v>148</v>
      </c>
      <c r="C464" s="569" t="s">
        <v>3</v>
      </c>
      <c r="D464" s="574"/>
      <c r="E464" s="574"/>
      <c r="F464" s="574"/>
      <c r="G464" s="574"/>
      <c r="H464" s="574"/>
      <c r="I464" s="574"/>
      <c r="J464" s="574"/>
      <c r="K464" s="574"/>
      <c r="L464" s="574"/>
      <c r="M464" s="574"/>
      <c r="N464" s="574"/>
      <c r="O464" s="574"/>
      <c r="P464" s="574"/>
      <c r="Q464" s="574"/>
      <c r="R464" s="574"/>
      <c r="S464" s="574"/>
      <c r="T464" s="574"/>
      <c r="U464" s="574"/>
      <c r="V464" s="574"/>
      <c r="W464" s="574"/>
      <c r="X464" s="574"/>
      <c r="Y464" s="574"/>
      <c r="Z464" s="574"/>
      <c r="AA464" s="574"/>
      <c r="AB464" s="574"/>
      <c r="AC464" s="574"/>
      <c r="AD464" s="574"/>
      <c r="AE464" s="574"/>
      <c r="AF464">
        <v>464</v>
      </c>
      <c r="AG464" s="438" t="str">
        <f>IF(INDEX(D:AE,AF464,ADP!$AF$6)=0,"",INDEX(D:AE,AF464,ADP!$AF$6)+AH464)</f>
        <v/>
      </c>
      <c r="AH464">
        <f t="shared" si="7"/>
        <v>4.6300000000000475E-4</v>
      </c>
    </row>
    <row r="465" spans="1:34" ht="15.75" thickBot="1" x14ac:dyDescent="0.3">
      <c r="A465" s="569" t="s">
        <v>2312</v>
      </c>
      <c r="B465" s="569" t="s">
        <v>159</v>
      </c>
      <c r="C465" s="569" t="s">
        <v>3</v>
      </c>
      <c r="D465" s="569"/>
      <c r="E465" s="569"/>
      <c r="F465" s="569"/>
      <c r="G465" s="569"/>
      <c r="H465" s="569"/>
      <c r="I465" s="569"/>
      <c r="J465" s="569"/>
      <c r="K465" s="569"/>
      <c r="L465" s="569"/>
      <c r="M465" s="569"/>
      <c r="N465" s="569"/>
      <c r="O465" s="569"/>
      <c r="P465" s="569"/>
      <c r="Q465" s="569"/>
      <c r="R465" s="569"/>
      <c r="S465" s="569"/>
      <c r="T465" s="569"/>
      <c r="U465" s="569"/>
      <c r="V465" s="569"/>
      <c r="W465" s="569"/>
      <c r="X465" s="569"/>
      <c r="Y465" s="569"/>
      <c r="Z465" s="569"/>
      <c r="AA465" s="569"/>
      <c r="AB465" s="569"/>
      <c r="AC465" s="569"/>
      <c r="AD465" s="569"/>
      <c r="AE465" s="569"/>
      <c r="AF465">
        <v>465</v>
      </c>
      <c r="AG465" s="438" t="str">
        <f>IF(INDEX(D:AE,AF465,ADP!$AF$6)=0,"",INDEX(D:AE,AF465,ADP!$AF$6)+AH465)</f>
        <v/>
      </c>
      <c r="AH465">
        <f t="shared" si="7"/>
        <v>4.6400000000000477E-4</v>
      </c>
    </row>
    <row r="466" spans="1:34" ht="15.75" thickBot="1" x14ac:dyDescent="0.3">
      <c r="A466" s="569" t="s">
        <v>2312</v>
      </c>
      <c r="B466" s="569" t="s">
        <v>159</v>
      </c>
      <c r="C466" s="569" t="s">
        <v>7</v>
      </c>
      <c r="D466" s="569"/>
      <c r="E466" s="569"/>
      <c r="F466" s="569"/>
      <c r="G466" s="569"/>
      <c r="H466" s="569"/>
      <c r="I466" s="569"/>
      <c r="J466" s="569"/>
      <c r="K466" s="569"/>
      <c r="L466" s="569"/>
      <c r="M466" s="569"/>
      <c r="N466" s="569"/>
      <c r="O466" s="569"/>
      <c r="P466" s="569"/>
      <c r="Q466" s="569"/>
      <c r="R466" s="569"/>
      <c r="S466" s="569"/>
      <c r="T466" s="569"/>
      <c r="U466" s="569"/>
      <c r="V466" s="569"/>
      <c r="W466" s="569"/>
      <c r="X466" s="569"/>
      <c r="Y466" s="569"/>
      <c r="Z466" s="569"/>
      <c r="AA466" s="569"/>
      <c r="AB466" s="569"/>
      <c r="AC466" s="569"/>
      <c r="AD466" s="569"/>
      <c r="AE466" s="569"/>
      <c r="AF466">
        <v>466</v>
      </c>
      <c r="AG466" s="438" t="str">
        <f>IF(INDEX(D:AE,AF466,ADP!$AF$6)=0,"",INDEX(D:AE,AF466,ADP!$AF$6)+AH466)</f>
        <v/>
      </c>
      <c r="AH466">
        <f t="shared" si="7"/>
        <v>4.650000000000048E-4</v>
      </c>
    </row>
    <row r="467" spans="1:34" ht="15.75" thickBot="1" x14ac:dyDescent="0.3">
      <c r="A467" s="569" t="s">
        <v>2271</v>
      </c>
      <c r="B467" s="569" t="s">
        <v>151</v>
      </c>
      <c r="C467" s="569" t="s">
        <v>3</v>
      </c>
      <c r="D467" s="574"/>
      <c r="E467" s="574"/>
      <c r="F467" s="574"/>
      <c r="G467" s="574"/>
      <c r="H467" s="574"/>
      <c r="I467" s="574"/>
      <c r="J467" s="574"/>
      <c r="K467" s="574"/>
      <c r="L467" s="574"/>
      <c r="M467" s="574"/>
      <c r="N467" s="574"/>
      <c r="O467" s="574"/>
      <c r="P467" s="574"/>
      <c r="Q467" s="574"/>
      <c r="R467" s="574"/>
      <c r="S467" s="574"/>
      <c r="T467" s="574"/>
      <c r="U467" s="574"/>
      <c r="V467" s="574"/>
      <c r="W467" s="574"/>
      <c r="X467" s="574"/>
      <c r="Y467" s="574"/>
      <c r="Z467" s="574"/>
      <c r="AA467" s="574"/>
      <c r="AB467" s="574"/>
      <c r="AC467" s="574"/>
      <c r="AD467" s="574"/>
      <c r="AE467" s="574"/>
      <c r="AF467">
        <v>467</v>
      </c>
      <c r="AG467" s="438" t="str">
        <f>IF(INDEX(D:AE,AF467,ADP!$AF$6)=0,"",INDEX(D:AE,AF467,ADP!$AF$6)+AH467)</f>
        <v/>
      </c>
      <c r="AH467">
        <f t="shared" si="7"/>
        <v>4.6600000000000482E-4</v>
      </c>
    </row>
    <row r="468" spans="1:34" ht="15.75" thickBot="1" x14ac:dyDescent="0.3">
      <c r="A468" s="569" t="s">
        <v>1415</v>
      </c>
      <c r="B468" s="569" t="s">
        <v>1388</v>
      </c>
      <c r="C468" s="569" t="s">
        <v>7</v>
      </c>
      <c r="D468" s="569">
        <v>139.1</v>
      </c>
      <c r="E468" s="569">
        <v>14.5</v>
      </c>
      <c r="F468" s="569">
        <v>152.80000000000001</v>
      </c>
      <c r="G468" s="569">
        <v>15.4</v>
      </c>
      <c r="H468" s="569">
        <v>153.30000000000001</v>
      </c>
      <c r="I468" s="569">
        <v>17.600000000000001</v>
      </c>
      <c r="J468" s="569">
        <v>139.1</v>
      </c>
      <c r="K468" s="569">
        <v>14.5</v>
      </c>
      <c r="L468" s="569">
        <v>152.80000000000001</v>
      </c>
      <c r="M468" s="569">
        <v>15.4</v>
      </c>
      <c r="N468" s="569">
        <v>153.30000000000001</v>
      </c>
      <c r="O468" s="569">
        <v>17.600000000000001</v>
      </c>
      <c r="P468" s="569">
        <v>146.1</v>
      </c>
      <c r="Q468" s="569">
        <v>14</v>
      </c>
      <c r="R468" s="569">
        <v>139.1</v>
      </c>
      <c r="S468" s="569">
        <v>14.5</v>
      </c>
      <c r="T468" s="569">
        <v>152.80000000000001</v>
      </c>
      <c r="U468" s="569">
        <v>15.4</v>
      </c>
      <c r="V468" s="569">
        <v>153.30000000000001</v>
      </c>
      <c r="W468" s="569">
        <v>17.600000000000001</v>
      </c>
      <c r="X468" s="569">
        <v>146.1</v>
      </c>
      <c r="Y468" s="569">
        <v>14</v>
      </c>
      <c r="Z468" s="569">
        <v>139.1</v>
      </c>
      <c r="AA468" s="569">
        <v>14.5</v>
      </c>
      <c r="AB468" s="569">
        <v>152.80000000000001</v>
      </c>
      <c r="AC468" s="569">
        <v>15.4</v>
      </c>
      <c r="AD468" s="569">
        <v>153.30000000000001</v>
      </c>
      <c r="AE468" s="569">
        <v>153.30000000000001</v>
      </c>
      <c r="AF468">
        <v>468</v>
      </c>
      <c r="AG468" s="438">
        <f>IF(INDEX(D:AE,AF468,ADP!$AF$6)=0,"",INDEX(D:AE,AF468,ADP!$AF$6)+AH468)</f>
        <v>153.300467</v>
      </c>
      <c r="AH468">
        <f t="shared" si="7"/>
        <v>4.6700000000000485E-4</v>
      </c>
    </row>
    <row r="469" spans="1:34" ht="15.75" thickBot="1" x14ac:dyDescent="0.3">
      <c r="A469" s="569" t="s">
        <v>2326</v>
      </c>
      <c r="B469" s="569" t="s">
        <v>147</v>
      </c>
      <c r="C469" s="569" t="s">
        <v>6</v>
      </c>
      <c r="D469" s="574">
        <v>77.8</v>
      </c>
      <c r="E469" s="574">
        <v>7.4</v>
      </c>
      <c r="F469" s="574">
        <v>77.099999999999994</v>
      </c>
      <c r="G469" s="574">
        <v>7.6</v>
      </c>
      <c r="H469" s="574">
        <v>71</v>
      </c>
      <c r="I469" s="574">
        <v>8</v>
      </c>
      <c r="J469" s="574">
        <v>77.8</v>
      </c>
      <c r="K469" s="574">
        <v>7.4</v>
      </c>
      <c r="L469" s="574">
        <v>77.099999999999994</v>
      </c>
      <c r="M469" s="574">
        <v>7.6</v>
      </c>
      <c r="N469" s="574">
        <v>71</v>
      </c>
      <c r="O469" s="574">
        <v>8</v>
      </c>
      <c r="P469" s="574">
        <v>106.1</v>
      </c>
      <c r="Q469" s="574">
        <v>11.3</v>
      </c>
      <c r="R469" s="574">
        <v>77.8</v>
      </c>
      <c r="S469" s="574">
        <v>7.4</v>
      </c>
      <c r="T469" s="574">
        <v>77.099999999999994</v>
      </c>
      <c r="U469" s="574">
        <v>7.6</v>
      </c>
      <c r="V469" s="574">
        <v>71</v>
      </c>
      <c r="W469" s="574">
        <v>8</v>
      </c>
      <c r="X469" s="574">
        <v>106.1</v>
      </c>
      <c r="Y469" s="574">
        <v>11.3</v>
      </c>
      <c r="Z469" s="574">
        <v>77.8</v>
      </c>
      <c r="AA469" s="574">
        <v>7.4</v>
      </c>
      <c r="AB469" s="574">
        <v>77.099999999999994</v>
      </c>
      <c r="AC469" s="574">
        <v>7.6</v>
      </c>
      <c r="AD469" s="574">
        <v>71</v>
      </c>
      <c r="AE469" s="574">
        <v>71</v>
      </c>
      <c r="AF469">
        <v>469</v>
      </c>
      <c r="AG469" s="438">
        <f>IF(INDEX(D:AE,AF469,ADP!$AF$6)=0,"",INDEX(D:AE,AF469,ADP!$AF$6)+AH469)</f>
        <v>71.000467999999998</v>
      </c>
      <c r="AH469">
        <f t="shared" si="7"/>
        <v>4.6800000000000487E-4</v>
      </c>
    </row>
    <row r="470" spans="1:34" ht="15.75" thickBot="1" x14ac:dyDescent="0.3">
      <c r="A470" s="569" t="s">
        <v>1451</v>
      </c>
      <c r="B470" s="569" t="s">
        <v>155</v>
      </c>
      <c r="C470" s="569" t="s">
        <v>7</v>
      </c>
      <c r="D470" s="569">
        <v>56.9</v>
      </c>
      <c r="E470" s="569">
        <v>7.6</v>
      </c>
      <c r="F470" s="569">
        <v>58.7</v>
      </c>
      <c r="G470" s="569">
        <v>7.3</v>
      </c>
      <c r="H470" s="569">
        <v>54.7</v>
      </c>
      <c r="I470" s="569">
        <v>7</v>
      </c>
      <c r="J470" s="569">
        <v>56.9</v>
      </c>
      <c r="K470" s="569">
        <v>7.6</v>
      </c>
      <c r="L470" s="569">
        <v>58.7</v>
      </c>
      <c r="M470" s="569">
        <v>7.3</v>
      </c>
      <c r="N470" s="569">
        <v>54.7</v>
      </c>
      <c r="O470" s="569">
        <v>7</v>
      </c>
      <c r="P470" s="569">
        <v>62.3</v>
      </c>
      <c r="Q470" s="569">
        <v>7.5</v>
      </c>
      <c r="R470" s="569">
        <v>56.9</v>
      </c>
      <c r="S470" s="569">
        <v>7.6</v>
      </c>
      <c r="T470" s="569">
        <v>58.7</v>
      </c>
      <c r="U470" s="569">
        <v>7.3</v>
      </c>
      <c r="V470" s="569">
        <v>54.7</v>
      </c>
      <c r="W470" s="569">
        <v>7</v>
      </c>
      <c r="X470" s="569">
        <v>62.3</v>
      </c>
      <c r="Y470" s="569">
        <v>7.5</v>
      </c>
      <c r="Z470" s="569">
        <v>56.9</v>
      </c>
      <c r="AA470" s="569">
        <v>7.6</v>
      </c>
      <c r="AB470" s="569">
        <v>58.7</v>
      </c>
      <c r="AC470" s="569">
        <v>7.3</v>
      </c>
      <c r="AD470" s="569">
        <v>54.7</v>
      </c>
      <c r="AE470" s="569">
        <v>54.7</v>
      </c>
      <c r="AF470">
        <v>470</v>
      </c>
      <c r="AG470" s="438">
        <f>IF(INDEX(D:AE,AF470,ADP!$AF$6)=0,"",INDEX(D:AE,AF470,ADP!$AF$6)+AH470)</f>
        <v>54.700469000000005</v>
      </c>
      <c r="AH470">
        <f t="shared" si="7"/>
        <v>4.6900000000000489E-4</v>
      </c>
    </row>
    <row r="471" spans="1:34" ht="15.75" thickBot="1" x14ac:dyDescent="0.3">
      <c r="A471" s="569" t="s">
        <v>2235</v>
      </c>
      <c r="B471" s="569" t="s">
        <v>2272</v>
      </c>
      <c r="C471" s="569" t="s">
        <v>7</v>
      </c>
      <c r="D471" s="569"/>
      <c r="E471" s="569"/>
      <c r="F471" s="569"/>
      <c r="G471" s="569"/>
      <c r="H471" s="569"/>
      <c r="I471" s="569"/>
      <c r="J471" s="569"/>
      <c r="K471" s="569"/>
      <c r="L471" s="569"/>
      <c r="M471" s="569"/>
      <c r="N471" s="569"/>
      <c r="O471" s="569"/>
      <c r="P471" s="569"/>
      <c r="Q471" s="569"/>
      <c r="R471" s="569"/>
      <c r="S471" s="569"/>
      <c r="T471" s="569"/>
      <c r="U471" s="569"/>
      <c r="V471" s="569"/>
      <c r="W471" s="569"/>
      <c r="X471" s="569"/>
      <c r="Y471" s="569"/>
      <c r="Z471" s="569"/>
      <c r="AA471" s="569"/>
      <c r="AB471" s="569"/>
      <c r="AC471" s="569"/>
      <c r="AD471" s="569"/>
      <c r="AE471" s="569"/>
      <c r="AF471">
        <v>471</v>
      </c>
      <c r="AG471" s="438" t="str">
        <f>IF(INDEX(D:AE,AF471,ADP!$AF$6)=0,"",INDEX(D:AE,AF471,ADP!$AF$6)+AH471)</f>
        <v/>
      </c>
      <c r="AH471">
        <f t="shared" si="7"/>
        <v>4.7000000000000492E-4</v>
      </c>
    </row>
    <row r="472" spans="1:34" ht="15.75" thickBot="1" x14ac:dyDescent="0.3">
      <c r="A472" s="569" t="s">
        <v>173</v>
      </c>
      <c r="B472" s="569" t="s">
        <v>140</v>
      </c>
      <c r="C472" s="569" t="s">
        <v>1</v>
      </c>
      <c r="D472" s="569">
        <v>110.5</v>
      </c>
      <c r="E472" s="569">
        <v>9.3000000000000007</v>
      </c>
      <c r="F472" s="569">
        <v>103.1</v>
      </c>
      <c r="G472" s="569">
        <v>10.6</v>
      </c>
      <c r="H472" s="569">
        <v>110.4</v>
      </c>
      <c r="I472" s="569">
        <v>10.4</v>
      </c>
      <c r="J472" s="569">
        <v>110.5</v>
      </c>
      <c r="K472" s="569">
        <v>9.3000000000000007</v>
      </c>
      <c r="L472" s="569">
        <v>103.1</v>
      </c>
      <c r="M472" s="569">
        <v>10.6</v>
      </c>
      <c r="N472" s="569">
        <v>110.4</v>
      </c>
      <c r="O472" s="569">
        <v>10.4</v>
      </c>
      <c r="P472" s="569">
        <v>71</v>
      </c>
      <c r="Q472" s="569">
        <v>13.4</v>
      </c>
      <c r="R472" s="569">
        <v>110.5</v>
      </c>
      <c r="S472" s="569">
        <v>9.3000000000000007</v>
      </c>
      <c r="T472" s="569">
        <v>103.1</v>
      </c>
      <c r="U472" s="569">
        <v>10.6</v>
      </c>
      <c r="V472" s="569">
        <v>110.4</v>
      </c>
      <c r="W472" s="569">
        <v>10.4</v>
      </c>
      <c r="X472" s="569">
        <v>71</v>
      </c>
      <c r="Y472" s="569">
        <v>13.4</v>
      </c>
      <c r="Z472" s="569">
        <v>110.5</v>
      </c>
      <c r="AA472" s="569">
        <v>9.3000000000000007</v>
      </c>
      <c r="AB472" s="569">
        <v>103.1</v>
      </c>
      <c r="AC472" s="569">
        <v>10.6</v>
      </c>
      <c r="AD472" s="569">
        <v>110.4</v>
      </c>
      <c r="AE472" s="569">
        <v>110.4</v>
      </c>
      <c r="AF472">
        <v>472</v>
      </c>
      <c r="AG472" s="438">
        <f>IF(INDEX(D:AE,AF472,ADP!$AF$6)=0,"",INDEX(D:AE,AF472,ADP!$AF$6)+AH472)</f>
        <v>110.40047100000001</v>
      </c>
      <c r="AH472">
        <f t="shared" si="7"/>
        <v>4.7100000000000494E-4</v>
      </c>
    </row>
    <row r="473" spans="1:34" ht="15.75" thickBot="1" x14ac:dyDescent="0.3">
      <c r="A473" s="569" t="s">
        <v>139</v>
      </c>
      <c r="B473" s="569" t="s">
        <v>139</v>
      </c>
      <c r="C473" s="569" t="s">
        <v>160</v>
      </c>
      <c r="D473" s="569"/>
      <c r="E473" s="569"/>
      <c r="F473" s="569"/>
      <c r="G473" s="569"/>
      <c r="H473" s="569"/>
      <c r="I473" s="569"/>
      <c r="J473" s="569"/>
      <c r="K473" s="569"/>
      <c r="L473" s="569"/>
      <c r="M473" s="569"/>
      <c r="N473" s="569"/>
      <c r="O473" s="569"/>
      <c r="P473" s="569"/>
      <c r="Q473" s="569"/>
      <c r="R473" s="569"/>
      <c r="S473" s="569"/>
      <c r="T473" s="569"/>
      <c r="U473" s="569"/>
      <c r="V473" s="569"/>
      <c r="W473" s="569"/>
      <c r="X473" s="569"/>
      <c r="Y473" s="569"/>
      <c r="Z473" s="569"/>
      <c r="AA473" s="569"/>
      <c r="AB473" s="569"/>
      <c r="AC473" s="569"/>
      <c r="AD473" s="569"/>
      <c r="AE473" s="569"/>
      <c r="AF473">
        <v>473</v>
      </c>
      <c r="AG473" s="438" t="str">
        <f>IF(INDEX(D:AE,AF473,ADP!$AF$6)=0,"",INDEX(D:AE,AF473,ADP!$AF$6)+AH473)</f>
        <v/>
      </c>
      <c r="AH473">
        <f t="shared" si="7"/>
        <v>4.7200000000000497E-4</v>
      </c>
    </row>
    <row r="474" spans="1:34" ht="15.75" thickBot="1" x14ac:dyDescent="0.3">
      <c r="A474" s="569" t="s">
        <v>2186</v>
      </c>
      <c r="B474" s="569" t="s">
        <v>154</v>
      </c>
      <c r="C474" s="569" t="s">
        <v>3</v>
      </c>
      <c r="D474" s="574"/>
      <c r="E474" s="574"/>
      <c r="F474" s="574"/>
      <c r="G474" s="574"/>
      <c r="H474" s="574"/>
      <c r="I474" s="574"/>
      <c r="J474" s="574"/>
      <c r="K474" s="574"/>
      <c r="L474" s="574"/>
      <c r="M474" s="574"/>
      <c r="N474" s="574"/>
      <c r="O474" s="574"/>
      <c r="P474" s="574"/>
      <c r="Q474" s="574"/>
      <c r="R474" s="574"/>
      <c r="S474" s="574"/>
      <c r="T474" s="574"/>
      <c r="U474" s="574"/>
      <c r="V474" s="574"/>
      <c r="W474" s="574"/>
      <c r="X474" s="574"/>
      <c r="Y474" s="574"/>
      <c r="Z474" s="574"/>
      <c r="AA474" s="574"/>
      <c r="AB474" s="574"/>
      <c r="AC474" s="574"/>
      <c r="AD474" s="574"/>
      <c r="AE474" s="574"/>
      <c r="AF474">
        <v>474</v>
      </c>
      <c r="AG474" s="438" t="str">
        <f>IF(INDEX(D:AE,AF474,ADP!$AF$6)=0,"",INDEX(D:AE,AF474,ADP!$AF$6)+AH474)</f>
        <v/>
      </c>
      <c r="AH474">
        <f t="shared" si="7"/>
        <v>4.7300000000000499E-4</v>
      </c>
    </row>
    <row r="475" spans="1:34" ht="15.75" thickBot="1" x14ac:dyDescent="0.3">
      <c r="A475" s="569" t="s">
        <v>2319</v>
      </c>
      <c r="B475" s="569" t="s">
        <v>164</v>
      </c>
      <c r="C475" s="569" t="s">
        <v>6</v>
      </c>
      <c r="D475" s="569">
        <v>18.2</v>
      </c>
      <c r="E475" s="569">
        <v>3</v>
      </c>
      <c r="F475" s="569">
        <v>17.600000000000001</v>
      </c>
      <c r="G475" s="569">
        <v>2.5</v>
      </c>
      <c r="H475" s="569">
        <v>16.3</v>
      </c>
      <c r="I475" s="569">
        <v>2.5</v>
      </c>
      <c r="J475" s="569">
        <v>18.2</v>
      </c>
      <c r="K475" s="569">
        <v>3</v>
      </c>
      <c r="L475" s="569">
        <v>17.600000000000001</v>
      </c>
      <c r="M475" s="569">
        <v>2.5</v>
      </c>
      <c r="N475" s="569">
        <v>16.3</v>
      </c>
      <c r="O475" s="569">
        <v>2.5</v>
      </c>
      <c r="P475" s="569">
        <v>39.5</v>
      </c>
      <c r="Q475" s="569">
        <v>7.9</v>
      </c>
      <c r="R475" s="569">
        <v>18.2</v>
      </c>
      <c r="S475" s="569">
        <v>3</v>
      </c>
      <c r="T475" s="569">
        <v>17.600000000000001</v>
      </c>
      <c r="U475" s="569">
        <v>2.5</v>
      </c>
      <c r="V475" s="569">
        <v>16.3</v>
      </c>
      <c r="W475" s="569">
        <v>2.5</v>
      </c>
      <c r="X475" s="569">
        <v>39.5</v>
      </c>
      <c r="Y475" s="569">
        <v>7.9</v>
      </c>
      <c r="Z475" s="569">
        <v>18.2</v>
      </c>
      <c r="AA475" s="569">
        <v>3</v>
      </c>
      <c r="AB475" s="569">
        <v>17.600000000000001</v>
      </c>
      <c r="AC475" s="569">
        <v>2.5</v>
      </c>
      <c r="AD475" s="569">
        <v>16.3</v>
      </c>
      <c r="AE475" s="569">
        <v>16.3</v>
      </c>
      <c r="AF475">
        <v>475</v>
      </c>
      <c r="AG475" s="438">
        <f>IF(INDEX(D:AE,AF475,ADP!$AF$6)=0,"",INDEX(D:AE,AF475,ADP!$AF$6)+AH475)</f>
        <v>16.300474000000001</v>
      </c>
      <c r="AH475">
        <f t="shared" si="7"/>
        <v>4.7400000000000502E-4</v>
      </c>
    </row>
    <row r="476" spans="1:34" ht="15.75" thickBot="1" x14ac:dyDescent="0.3">
      <c r="A476" s="569" t="s">
        <v>2061</v>
      </c>
      <c r="B476" s="569" t="s">
        <v>158</v>
      </c>
      <c r="C476" s="569" t="s">
        <v>1</v>
      </c>
      <c r="D476" s="569"/>
      <c r="E476" s="569"/>
      <c r="F476" s="569"/>
      <c r="G476" s="569"/>
      <c r="H476" s="569"/>
      <c r="I476" s="569"/>
      <c r="J476" s="569"/>
      <c r="K476" s="569"/>
      <c r="L476" s="569"/>
      <c r="M476" s="569"/>
      <c r="N476" s="569"/>
      <c r="O476" s="569"/>
      <c r="P476" s="569"/>
      <c r="Q476" s="569"/>
      <c r="R476" s="569"/>
      <c r="S476" s="569"/>
      <c r="T476" s="569"/>
      <c r="U476" s="569"/>
      <c r="V476" s="569"/>
      <c r="W476" s="569"/>
      <c r="X476" s="569"/>
      <c r="Y476" s="569"/>
      <c r="Z476" s="569"/>
      <c r="AA476" s="569"/>
      <c r="AB476" s="569"/>
      <c r="AC476" s="569"/>
      <c r="AD476" s="569"/>
      <c r="AE476" s="569"/>
      <c r="AF476">
        <v>476</v>
      </c>
      <c r="AG476" s="438" t="str">
        <f>IF(INDEX(D:AE,AF476,ADP!$AF$6)=0,"",INDEX(D:AE,AF476,ADP!$AF$6)+AH476)</f>
        <v/>
      </c>
      <c r="AH476">
        <f t="shared" si="7"/>
        <v>4.7500000000000504E-4</v>
      </c>
    </row>
    <row r="477" spans="1:34" ht="15.75" thickBot="1" x14ac:dyDescent="0.3">
      <c r="A477" s="569" t="s">
        <v>2486</v>
      </c>
      <c r="B477" s="569" t="s">
        <v>156</v>
      </c>
      <c r="C477" s="569" t="s">
        <v>6</v>
      </c>
      <c r="D477" s="574"/>
      <c r="E477" s="574"/>
      <c r="F477" s="574"/>
      <c r="G477" s="574"/>
      <c r="H477" s="574"/>
      <c r="I477" s="574"/>
      <c r="J477" s="574"/>
      <c r="K477" s="574"/>
      <c r="L477" s="574"/>
      <c r="M477" s="574"/>
      <c r="N477" s="574"/>
      <c r="O477" s="574"/>
      <c r="P477" s="569"/>
      <c r="Q477" s="569"/>
      <c r="R477" s="574"/>
      <c r="S477" s="574"/>
      <c r="T477" s="574"/>
      <c r="U477" s="574"/>
      <c r="V477" s="574"/>
      <c r="W477" s="574"/>
      <c r="X477" s="569"/>
      <c r="Y477" s="569"/>
      <c r="Z477" s="574"/>
      <c r="AA477" s="574"/>
      <c r="AB477" s="574"/>
      <c r="AC477" s="574"/>
      <c r="AD477" s="574"/>
      <c r="AE477" s="574"/>
      <c r="AF477">
        <v>477</v>
      </c>
      <c r="AG477" s="438" t="str">
        <f>IF(INDEX(D:AE,AF477,ADP!$AF$6)=0,"",INDEX(D:AE,AF477,ADP!$AF$6)+AH477)</f>
        <v/>
      </c>
      <c r="AH477">
        <f t="shared" si="7"/>
        <v>4.7600000000000506E-4</v>
      </c>
    </row>
    <row r="478" spans="1:34" ht="15.75" thickBot="1" x14ac:dyDescent="0.3">
      <c r="A478" s="569" t="s">
        <v>1891</v>
      </c>
      <c r="B478" s="569" t="s">
        <v>143</v>
      </c>
      <c r="C478" s="569" t="s">
        <v>7</v>
      </c>
      <c r="D478" s="574"/>
      <c r="E478" s="574"/>
      <c r="F478" s="574"/>
      <c r="G478" s="574"/>
      <c r="H478" s="574"/>
      <c r="I478" s="574"/>
      <c r="J478" s="574"/>
      <c r="K478" s="574"/>
      <c r="L478" s="574"/>
      <c r="M478" s="574"/>
      <c r="N478" s="574"/>
      <c r="O478" s="574"/>
      <c r="P478" s="574"/>
      <c r="Q478" s="574"/>
      <c r="R478" s="574"/>
      <c r="S478" s="574"/>
      <c r="T478" s="574"/>
      <c r="U478" s="574"/>
      <c r="V478" s="574"/>
      <c r="W478" s="574"/>
      <c r="X478" s="574"/>
      <c r="Y478" s="574"/>
      <c r="Z478" s="574"/>
      <c r="AA478" s="574"/>
      <c r="AB478" s="574"/>
      <c r="AC478" s="574"/>
      <c r="AD478" s="574"/>
      <c r="AE478" s="574"/>
      <c r="AF478">
        <v>478</v>
      </c>
      <c r="AG478" s="438" t="str">
        <f>IF(INDEX(D:AE,AF478,ADP!$AF$6)=0,"",INDEX(D:AE,AF478,ADP!$AF$6)+AH478)</f>
        <v/>
      </c>
      <c r="AH478">
        <f t="shared" si="7"/>
        <v>4.7700000000000509E-4</v>
      </c>
    </row>
    <row r="479" spans="1:34" ht="15.75" thickBot="1" x14ac:dyDescent="0.3">
      <c r="A479" s="569" t="s">
        <v>2288</v>
      </c>
      <c r="B479" s="569" t="s">
        <v>148</v>
      </c>
      <c r="C479" s="569" t="s">
        <v>7</v>
      </c>
      <c r="D479" s="569"/>
      <c r="E479" s="569"/>
      <c r="F479" s="569"/>
      <c r="G479" s="569"/>
      <c r="H479" s="569"/>
      <c r="I479" s="569"/>
      <c r="J479" s="569"/>
      <c r="K479" s="569"/>
      <c r="L479" s="569"/>
      <c r="M479" s="569"/>
      <c r="N479" s="569"/>
      <c r="O479" s="569"/>
      <c r="P479" s="569"/>
      <c r="Q479" s="569"/>
      <c r="R479" s="569"/>
      <c r="S479" s="569"/>
      <c r="T479" s="569"/>
      <c r="U479" s="569"/>
      <c r="V479" s="569"/>
      <c r="W479" s="569"/>
      <c r="X479" s="569"/>
      <c r="Y479" s="569"/>
      <c r="Z479" s="569"/>
      <c r="AA479" s="569"/>
      <c r="AB479" s="569"/>
      <c r="AC479" s="569"/>
      <c r="AD479" s="569"/>
      <c r="AE479" s="569"/>
      <c r="AF479">
        <v>479</v>
      </c>
      <c r="AG479" s="438" t="str">
        <f>IF(INDEX(D:AE,AF479,ADP!$AF$6)=0,"",INDEX(D:AE,AF479,ADP!$AF$6)+AH479)</f>
        <v/>
      </c>
      <c r="AH479">
        <f t="shared" si="7"/>
        <v>4.7800000000000511E-4</v>
      </c>
    </row>
    <row r="480" spans="1:34" ht="15.75" thickBot="1" x14ac:dyDescent="0.3">
      <c r="A480" s="569" t="s">
        <v>1179</v>
      </c>
      <c r="B480" s="569" t="s">
        <v>157</v>
      </c>
      <c r="C480" s="569" t="s">
        <v>3</v>
      </c>
      <c r="D480" s="569">
        <v>124.7</v>
      </c>
      <c r="E480" s="569">
        <v>15.7</v>
      </c>
      <c r="F480" s="569"/>
      <c r="G480" s="569"/>
      <c r="H480" s="569"/>
      <c r="I480" s="569"/>
      <c r="J480" s="569">
        <v>124.7</v>
      </c>
      <c r="K480" s="569">
        <v>15.7</v>
      </c>
      <c r="L480" s="569"/>
      <c r="M480" s="569"/>
      <c r="N480" s="569"/>
      <c r="O480" s="569"/>
      <c r="P480" s="569">
        <v>98.5</v>
      </c>
      <c r="Q480" s="569">
        <v>7.2</v>
      </c>
      <c r="R480" s="569">
        <v>124.7</v>
      </c>
      <c r="S480" s="569">
        <v>15.7</v>
      </c>
      <c r="T480" s="569"/>
      <c r="U480" s="569"/>
      <c r="V480" s="569"/>
      <c r="W480" s="569"/>
      <c r="X480" s="569">
        <v>98.5</v>
      </c>
      <c r="Y480" s="569">
        <v>7.2</v>
      </c>
      <c r="Z480" s="569">
        <v>124.7</v>
      </c>
      <c r="AA480" s="569">
        <v>15.7</v>
      </c>
      <c r="AB480" s="569"/>
      <c r="AC480" s="569"/>
      <c r="AD480" s="569"/>
      <c r="AE480" s="569"/>
      <c r="AF480">
        <v>480</v>
      </c>
      <c r="AG480" s="438" t="str">
        <f>IF(INDEX(D:AE,AF480,ADP!$AF$6)=0,"",INDEX(D:AE,AF480,ADP!$AF$6)+AH480)</f>
        <v/>
      </c>
      <c r="AH480">
        <f t="shared" si="7"/>
        <v>4.7900000000000514E-4</v>
      </c>
    </row>
    <row r="481" spans="1:34" ht="15.75" thickBot="1" x14ac:dyDescent="0.3">
      <c r="A481" s="569" t="s">
        <v>2269</v>
      </c>
      <c r="B481" s="569" t="s">
        <v>145</v>
      </c>
      <c r="C481" s="569" t="s">
        <v>11</v>
      </c>
      <c r="D481" s="569">
        <v>151.4</v>
      </c>
      <c r="E481" s="569">
        <v>13.7</v>
      </c>
      <c r="F481" s="569">
        <v>151.80000000000001</v>
      </c>
      <c r="G481" s="569">
        <v>17.3</v>
      </c>
      <c r="H481" s="569">
        <v>168.5</v>
      </c>
      <c r="I481" s="569">
        <v>17.7</v>
      </c>
      <c r="J481" s="569">
        <v>151.4</v>
      </c>
      <c r="K481" s="569">
        <v>13.7</v>
      </c>
      <c r="L481" s="569">
        <v>151.80000000000001</v>
      </c>
      <c r="M481" s="569">
        <v>17.3</v>
      </c>
      <c r="N481" s="569">
        <v>168.5</v>
      </c>
      <c r="O481" s="569">
        <v>17.7</v>
      </c>
      <c r="P481" s="569">
        <v>141.6</v>
      </c>
      <c r="Q481" s="569">
        <v>12.3</v>
      </c>
      <c r="R481" s="569">
        <v>151.4</v>
      </c>
      <c r="S481" s="569">
        <v>13.7</v>
      </c>
      <c r="T481" s="569">
        <v>151.80000000000001</v>
      </c>
      <c r="U481" s="569">
        <v>17.3</v>
      </c>
      <c r="V481" s="569">
        <v>168.5</v>
      </c>
      <c r="W481" s="569">
        <v>17.7</v>
      </c>
      <c r="X481" s="569">
        <v>141.6</v>
      </c>
      <c r="Y481" s="569">
        <v>12.3</v>
      </c>
      <c r="Z481" s="569">
        <v>151.4</v>
      </c>
      <c r="AA481" s="569">
        <v>13.7</v>
      </c>
      <c r="AB481" s="569">
        <v>151.80000000000001</v>
      </c>
      <c r="AC481" s="569">
        <v>17.3</v>
      </c>
      <c r="AD481" s="569">
        <v>168.5</v>
      </c>
      <c r="AE481" s="569">
        <v>168.5</v>
      </c>
      <c r="AF481">
        <v>481</v>
      </c>
      <c r="AG481" s="438">
        <f>IF(INDEX(D:AE,AF481,ADP!$AF$6)=0,"",INDEX(D:AE,AF481,ADP!$AF$6)+AH481)</f>
        <v>168.50048000000001</v>
      </c>
      <c r="AH481">
        <f t="shared" si="7"/>
        <v>4.8000000000000516E-4</v>
      </c>
    </row>
    <row r="482" spans="1:34" ht="15.75" thickBot="1" x14ac:dyDescent="0.3">
      <c r="A482" s="569" t="s">
        <v>2487</v>
      </c>
      <c r="B482" s="569" t="s">
        <v>158</v>
      </c>
      <c r="C482" s="569" t="s">
        <v>3</v>
      </c>
      <c r="D482" s="569"/>
      <c r="E482" s="569"/>
      <c r="F482" s="569"/>
      <c r="G482" s="569"/>
      <c r="H482" s="569"/>
      <c r="I482" s="569"/>
      <c r="J482" s="569"/>
      <c r="K482" s="569"/>
      <c r="L482" s="569"/>
      <c r="M482" s="569"/>
      <c r="N482" s="569"/>
      <c r="O482" s="569"/>
      <c r="P482" s="569"/>
      <c r="Q482" s="569"/>
      <c r="R482" s="569"/>
      <c r="S482" s="569"/>
      <c r="T482" s="569"/>
      <c r="U482" s="569"/>
      <c r="V482" s="569"/>
      <c r="W482" s="569"/>
      <c r="X482" s="569"/>
      <c r="Y482" s="569"/>
      <c r="Z482" s="569"/>
      <c r="AA482" s="569"/>
      <c r="AB482" s="569"/>
      <c r="AC482" s="569"/>
      <c r="AD482" s="569"/>
      <c r="AE482" s="569"/>
      <c r="AF482">
        <v>482</v>
      </c>
      <c r="AG482" s="438" t="str">
        <f>IF(INDEX(D:AE,AF482,ADP!$AF$6)=0,"",INDEX(D:AE,AF482,ADP!$AF$6)+AH482)</f>
        <v/>
      </c>
      <c r="AH482">
        <f t="shared" si="7"/>
        <v>4.8100000000000519E-4</v>
      </c>
    </row>
    <row r="483" spans="1:34" ht="15.75" thickBot="1" x14ac:dyDescent="0.3">
      <c r="A483" s="569" t="s">
        <v>1412</v>
      </c>
      <c r="B483" s="569" t="s">
        <v>165</v>
      </c>
      <c r="C483" s="569" t="s">
        <v>7</v>
      </c>
      <c r="D483" s="569">
        <v>85.6</v>
      </c>
      <c r="E483" s="569">
        <v>9.6999999999999993</v>
      </c>
      <c r="F483" s="569">
        <v>109.1</v>
      </c>
      <c r="G483" s="569">
        <v>12.5</v>
      </c>
      <c r="H483" s="569">
        <v>87.9</v>
      </c>
      <c r="I483" s="569">
        <v>9.5</v>
      </c>
      <c r="J483" s="569">
        <v>85.6</v>
      </c>
      <c r="K483" s="569">
        <v>9.6999999999999993</v>
      </c>
      <c r="L483" s="569">
        <v>109.1</v>
      </c>
      <c r="M483" s="569">
        <v>12.5</v>
      </c>
      <c r="N483" s="569">
        <v>87.9</v>
      </c>
      <c r="O483" s="569">
        <v>9.5</v>
      </c>
      <c r="P483" s="569">
        <v>112.4</v>
      </c>
      <c r="Q483" s="569">
        <v>12.5</v>
      </c>
      <c r="R483" s="569">
        <v>85.6</v>
      </c>
      <c r="S483" s="569">
        <v>9.6999999999999993</v>
      </c>
      <c r="T483" s="569">
        <v>109.1</v>
      </c>
      <c r="U483" s="569">
        <v>12.5</v>
      </c>
      <c r="V483" s="569">
        <v>87.9</v>
      </c>
      <c r="W483" s="569">
        <v>9.5</v>
      </c>
      <c r="X483" s="569">
        <v>112.4</v>
      </c>
      <c r="Y483" s="569">
        <v>12.5</v>
      </c>
      <c r="Z483" s="569">
        <v>85.6</v>
      </c>
      <c r="AA483" s="569">
        <v>9.6999999999999993</v>
      </c>
      <c r="AB483" s="569">
        <v>109.1</v>
      </c>
      <c r="AC483" s="569">
        <v>12.5</v>
      </c>
      <c r="AD483" s="569">
        <v>87.9</v>
      </c>
      <c r="AE483" s="569">
        <v>87.9</v>
      </c>
      <c r="AF483">
        <v>483</v>
      </c>
      <c r="AG483" s="438">
        <f>IF(INDEX(D:AE,AF483,ADP!$AF$6)=0,"",INDEX(D:AE,AF483,ADP!$AF$6)+AH483)</f>
        <v>87.900482000000011</v>
      </c>
      <c r="AH483">
        <f t="shared" si="7"/>
        <v>4.8200000000000521E-4</v>
      </c>
    </row>
    <row r="484" spans="1:34" ht="15.75" thickBot="1" x14ac:dyDescent="0.3">
      <c r="A484" s="569" t="s">
        <v>2341</v>
      </c>
      <c r="B484" s="569" t="s">
        <v>166</v>
      </c>
      <c r="C484" s="569" t="s">
        <v>6</v>
      </c>
      <c r="D484" s="569"/>
      <c r="E484" s="569"/>
      <c r="F484" s="569"/>
      <c r="G484" s="569"/>
      <c r="H484" s="569"/>
      <c r="I484" s="569"/>
      <c r="J484" s="569"/>
      <c r="K484" s="569"/>
      <c r="L484" s="569"/>
      <c r="M484" s="569"/>
      <c r="N484" s="569"/>
      <c r="O484" s="569"/>
      <c r="P484" s="569"/>
      <c r="Q484" s="569"/>
      <c r="R484" s="569"/>
      <c r="S484" s="569"/>
      <c r="T484" s="569"/>
      <c r="U484" s="569"/>
      <c r="V484" s="569"/>
      <c r="W484" s="569"/>
      <c r="X484" s="569"/>
      <c r="Y484" s="569"/>
      <c r="Z484" s="569"/>
      <c r="AA484" s="569"/>
      <c r="AB484" s="569"/>
      <c r="AC484" s="569"/>
      <c r="AD484" s="569"/>
      <c r="AE484" s="569"/>
      <c r="AF484">
        <v>484</v>
      </c>
      <c r="AG484" s="438" t="str">
        <f>IF(INDEX(D:AE,AF484,ADP!$AF$6)=0,"",INDEX(D:AE,AF484,ADP!$AF$6)+AH484)</f>
        <v/>
      </c>
      <c r="AH484">
        <f t="shared" si="7"/>
        <v>4.8300000000000524E-4</v>
      </c>
    </row>
    <row r="485" spans="1:34" ht="15.75" thickBot="1" x14ac:dyDescent="0.3">
      <c r="A485" s="569" t="s">
        <v>2265</v>
      </c>
      <c r="B485" s="569" t="s">
        <v>151</v>
      </c>
      <c r="C485" s="569" t="s">
        <v>7</v>
      </c>
      <c r="D485" s="569"/>
      <c r="E485" s="569"/>
      <c r="F485" s="569"/>
      <c r="G485" s="569"/>
      <c r="H485" s="569"/>
      <c r="I485" s="569"/>
      <c r="J485" s="569"/>
      <c r="K485" s="569"/>
      <c r="L485" s="569"/>
      <c r="M485" s="569"/>
      <c r="N485" s="569"/>
      <c r="O485" s="569"/>
      <c r="P485" s="569"/>
      <c r="Q485" s="569"/>
      <c r="R485" s="569"/>
      <c r="S485" s="569"/>
      <c r="T485" s="569"/>
      <c r="U485" s="569"/>
      <c r="V485" s="569"/>
      <c r="W485" s="569"/>
      <c r="X485" s="569"/>
      <c r="Y485" s="569"/>
      <c r="Z485" s="569"/>
      <c r="AA485" s="569"/>
      <c r="AB485" s="569"/>
      <c r="AC485" s="569"/>
      <c r="AD485" s="569"/>
      <c r="AE485" s="569"/>
      <c r="AF485">
        <v>485</v>
      </c>
      <c r="AG485" s="438" t="str">
        <f>IF(INDEX(D:AE,AF485,ADP!$AF$6)=0,"",INDEX(D:AE,AF485,ADP!$AF$6)+AH485)</f>
        <v/>
      </c>
      <c r="AH485">
        <f t="shared" si="7"/>
        <v>4.8400000000000526E-4</v>
      </c>
    </row>
    <row r="486" spans="1:34" ht="15.75" thickBot="1" x14ac:dyDescent="0.3">
      <c r="A486" s="569" t="s">
        <v>2262</v>
      </c>
      <c r="B486" s="569" t="s">
        <v>166</v>
      </c>
      <c r="C486" s="569" t="s">
        <v>7</v>
      </c>
      <c r="D486" s="569"/>
      <c r="E486" s="569"/>
      <c r="F486" s="569"/>
      <c r="G486" s="569"/>
      <c r="H486" s="569"/>
      <c r="I486" s="569"/>
      <c r="J486" s="569"/>
      <c r="K486" s="569"/>
      <c r="L486" s="569"/>
      <c r="M486" s="569"/>
      <c r="N486" s="569"/>
      <c r="O486" s="569"/>
      <c r="P486" s="569"/>
      <c r="Q486" s="569"/>
      <c r="R486" s="569"/>
      <c r="S486" s="569"/>
      <c r="T486" s="569"/>
      <c r="U486" s="569"/>
      <c r="V486" s="569"/>
      <c r="W486" s="569"/>
      <c r="X486" s="569"/>
      <c r="Y486" s="569"/>
      <c r="Z486" s="569"/>
      <c r="AA486" s="569"/>
      <c r="AB486" s="569"/>
      <c r="AC486" s="569"/>
      <c r="AD486" s="569"/>
      <c r="AE486" s="569"/>
      <c r="AF486">
        <v>486</v>
      </c>
      <c r="AG486" s="438" t="str">
        <f>IF(INDEX(D:AE,AF486,ADP!$AF$6)=0,"",INDEX(D:AE,AF486,ADP!$AF$6)+AH486)</f>
        <v/>
      </c>
      <c r="AH486">
        <f t="shared" si="7"/>
        <v>4.8500000000000528E-4</v>
      </c>
    </row>
    <row r="487" spans="1:34" ht="15.75" thickBot="1" x14ac:dyDescent="0.3">
      <c r="A487" s="569" t="s">
        <v>2488</v>
      </c>
      <c r="B487" s="569" t="s">
        <v>154</v>
      </c>
      <c r="C487" s="569" t="s">
        <v>3</v>
      </c>
      <c r="D487" s="574"/>
      <c r="E487" s="574"/>
      <c r="F487" s="574"/>
      <c r="G487" s="574"/>
      <c r="H487" s="574"/>
      <c r="I487" s="574"/>
      <c r="J487" s="574"/>
      <c r="K487" s="574"/>
      <c r="L487" s="574"/>
      <c r="M487" s="574"/>
      <c r="N487" s="574"/>
      <c r="O487" s="574"/>
      <c r="P487" s="569"/>
      <c r="Q487" s="569"/>
      <c r="R487" s="574"/>
      <c r="S487" s="574"/>
      <c r="T487" s="574"/>
      <c r="U487" s="574"/>
      <c r="V487" s="574"/>
      <c r="W487" s="574"/>
      <c r="X487" s="569"/>
      <c r="Y487" s="569"/>
      <c r="Z487" s="574"/>
      <c r="AA487" s="574"/>
      <c r="AB487" s="574"/>
      <c r="AC487" s="574"/>
      <c r="AD487" s="574"/>
      <c r="AE487" s="574"/>
      <c r="AF487">
        <v>487</v>
      </c>
      <c r="AG487" s="438" t="str">
        <f>IF(INDEX(D:AE,AF487,ADP!$AF$6)=0,"",INDEX(D:AE,AF487,ADP!$AF$6)+AH487)</f>
        <v/>
      </c>
      <c r="AH487">
        <f t="shared" si="7"/>
        <v>4.8600000000000531E-4</v>
      </c>
    </row>
    <row r="488" spans="1:34" ht="15.75" thickBot="1" x14ac:dyDescent="0.3">
      <c r="A488" s="569" t="s">
        <v>2146</v>
      </c>
      <c r="B488" s="569" t="s">
        <v>141</v>
      </c>
      <c r="C488" s="569" t="s">
        <v>6</v>
      </c>
      <c r="D488" s="569"/>
      <c r="E488" s="569"/>
      <c r="F488" s="569"/>
      <c r="G488" s="569"/>
      <c r="H488" s="569"/>
      <c r="I488" s="569"/>
      <c r="J488" s="569"/>
      <c r="K488" s="569"/>
      <c r="L488" s="569"/>
      <c r="M488" s="569"/>
      <c r="N488" s="569"/>
      <c r="O488" s="569"/>
      <c r="P488" s="569"/>
      <c r="Q488" s="569"/>
      <c r="R488" s="569"/>
      <c r="S488" s="569"/>
      <c r="T488" s="569"/>
      <c r="U488" s="569"/>
      <c r="V488" s="569"/>
      <c r="W488" s="569"/>
      <c r="X488" s="569"/>
      <c r="Y488" s="569"/>
      <c r="Z488" s="569"/>
      <c r="AA488" s="569"/>
      <c r="AB488" s="569"/>
      <c r="AC488" s="569"/>
      <c r="AD488" s="569"/>
      <c r="AE488" s="569"/>
      <c r="AF488">
        <v>488</v>
      </c>
      <c r="AG488" s="438" t="str">
        <f>IF(INDEX(D:AE,AF488,ADP!$AF$6)=0,"",INDEX(D:AE,AF488,ADP!$AF$6)+AH488)</f>
        <v/>
      </c>
      <c r="AH488">
        <f t="shared" si="7"/>
        <v>4.8700000000000533E-4</v>
      </c>
    </row>
    <row r="489" spans="1:34" ht="15.75" thickBot="1" x14ac:dyDescent="0.3">
      <c r="A489" s="569" t="s">
        <v>2543</v>
      </c>
      <c r="B489" s="569" t="s">
        <v>143</v>
      </c>
      <c r="C489" s="569" t="s">
        <v>3</v>
      </c>
      <c r="D489" s="569"/>
      <c r="E489" s="569"/>
      <c r="F489" s="569"/>
      <c r="G489" s="569"/>
      <c r="H489" s="569"/>
      <c r="I489" s="569"/>
      <c r="J489" s="569"/>
      <c r="K489" s="569"/>
      <c r="L489" s="569"/>
      <c r="M489" s="569"/>
      <c r="N489" s="569"/>
      <c r="O489" s="569"/>
      <c r="P489" s="569"/>
      <c r="Q489" s="569"/>
      <c r="R489" s="569"/>
      <c r="S489" s="569"/>
      <c r="T489" s="569"/>
      <c r="U489" s="569"/>
      <c r="V489" s="569"/>
      <c r="W489" s="569"/>
      <c r="X489" s="569"/>
      <c r="Y489" s="569"/>
      <c r="Z489" s="569"/>
      <c r="AA489" s="569"/>
      <c r="AB489" s="569"/>
      <c r="AC489" s="569"/>
      <c r="AD489" s="569"/>
      <c r="AE489" s="569"/>
      <c r="AF489">
        <v>489</v>
      </c>
      <c r="AG489" s="438" t="str">
        <f>IF(INDEX(D:AE,AF489,ADP!$AF$6)=0,"",INDEX(D:AE,AF489,ADP!$AF$6)+AH489)</f>
        <v/>
      </c>
      <c r="AH489">
        <f t="shared" si="7"/>
        <v>4.8800000000000536E-4</v>
      </c>
    </row>
    <row r="490" spans="1:34" ht="15.75" thickBot="1" x14ac:dyDescent="0.3">
      <c r="A490" s="569" t="s">
        <v>2199</v>
      </c>
      <c r="B490" s="569" t="s">
        <v>161</v>
      </c>
      <c r="C490" s="569" t="s">
        <v>6</v>
      </c>
      <c r="D490" s="569">
        <v>118</v>
      </c>
      <c r="E490" s="569">
        <v>11</v>
      </c>
      <c r="F490" s="569">
        <v>102</v>
      </c>
      <c r="G490" s="569">
        <v>6.9</v>
      </c>
      <c r="H490" s="569">
        <v>96.2</v>
      </c>
      <c r="I490" s="569">
        <v>9.4</v>
      </c>
      <c r="J490" s="569">
        <v>118</v>
      </c>
      <c r="K490" s="569">
        <v>11</v>
      </c>
      <c r="L490" s="569">
        <v>102</v>
      </c>
      <c r="M490" s="569">
        <v>6.9</v>
      </c>
      <c r="N490" s="569">
        <v>96.2</v>
      </c>
      <c r="O490" s="569">
        <v>9.4</v>
      </c>
      <c r="P490" s="569">
        <v>119.3</v>
      </c>
      <c r="Q490" s="569">
        <v>11.4</v>
      </c>
      <c r="R490" s="569">
        <v>118</v>
      </c>
      <c r="S490" s="569">
        <v>11</v>
      </c>
      <c r="T490" s="569">
        <v>102</v>
      </c>
      <c r="U490" s="569">
        <v>6.9</v>
      </c>
      <c r="V490" s="569">
        <v>96.2</v>
      </c>
      <c r="W490" s="569">
        <v>9.4</v>
      </c>
      <c r="X490" s="569">
        <v>119.3</v>
      </c>
      <c r="Y490" s="569">
        <v>11.4</v>
      </c>
      <c r="Z490" s="569">
        <v>118</v>
      </c>
      <c r="AA490" s="569">
        <v>11</v>
      </c>
      <c r="AB490" s="569">
        <v>102</v>
      </c>
      <c r="AC490" s="569">
        <v>6.9</v>
      </c>
      <c r="AD490" s="569">
        <v>96.2</v>
      </c>
      <c r="AE490" s="569">
        <v>96.2</v>
      </c>
      <c r="AF490">
        <v>490</v>
      </c>
      <c r="AG490" s="438">
        <f>IF(INDEX(D:AE,AF490,ADP!$AF$6)=0,"",INDEX(D:AE,AF490,ADP!$AF$6)+AH490)</f>
        <v>96.200489000000005</v>
      </c>
      <c r="AH490">
        <f t="shared" si="7"/>
        <v>4.8900000000000538E-4</v>
      </c>
    </row>
    <row r="491" spans="1:34" ht="15.75" thickBot="1" x14ac:dyDescent="0.3">
      <c r="A491" s="569" t="s">
        <v>2182</v>
      </c>
      <c r="B491" s="569" t="s">
        <v>155</v>
      </c>
      <c r="C491" s="569" t="s">
        <v>3</v>
      </c>
      <c r="D491" s="569">
        <v>103.4</v>
      </c>
      <c r="E491" s="569">
        <v>6.1</v>
      </c>
      <c r="F491" s="569">
        <v>100.2</v>
      </c>
      <c r="G491" s="569">
        <v>6.3</v>
      </c>
      <c r="H491" s="569">
        <v>114.5</v>
      </c>
      <c r="I491" s="569">
        <v>8.6999999999999993</v>
      </c>
      <c r="J491" s="569">
        <v>103.4</v>
      </c>
      <c r="K491" s="569">
        <v>6.1</v>
      </c>
      <c r="L491" s="569">
        <v>100.2</v>
      </c>
      <c r="M491" s="569">
        <v>6.3</v>
      </c>
      <c r="N491" s="569">
        <v>114.5</v>
      </c>
      <c r="O491" s="569">
        <v>8.6999999999999993</v>
      </c>
      <c r="P491" s="569">
        <v>109.9</v>
      </c>
      <c r="Q491" s="569">
        <v>7.1</v>
      </c>
      <c r="R491" s="569">
        <v>103.4</v>
      </c>
      <c r="S491" s="569">
        <v>6.1</v>
      </c>
      <c r="T491" s="569">
        <v>100.2</v>
      </c>
      <c r="U491" s="569">
        <v>6.3</v>
      </c>
      <c r="V491" s="569">
        <v>114.5</v>
      </c>
      <c r="W491" s="569">
        <v>8.6999999999999993</v>
      </c>
      <c r="X491" s="569">
        <v>109.9</v>
      </c>
      <c r="Y491" s="569">
        <v>7.1</v>
      </c>
      <c r="Z491" s="569">
        <v>103.4</v>
      </c>
      <c r="AA491" s="569">
        <v>6.1</v>
      </c>
      <c r="AB491" s="569">
        <v>100.2</v>
      </c>
      <c r="AC491" s="569">
        <v>6.3</v>
      </c>
      <c r="AD491" s="569">
        <v>114.5</v>
      </c>
      <c r="AE491" s="569">
        <v>114.5</v>
      </c>
      <c r="AF491">
        <v>491</v>
      </c>
      <c r="AG491" s="438">
        <f>IF(INDEX(D:AE,AF491,ADP!$AF$6)=0,"",INDEX(D:AE,AF491,ADP!$AF$6)+AH491)</f>
        <v>114.50049</v>
      </c>
      <c r="AH491">
        <f t="shared" si="7"/>
        <v>4.9000000000000541E-4</v>
      </c>
    </row>
    <row r="492" spans="1:34" ht="15.75" thickBot="1" x14ac:dyDescent="0.3">
      <c r="A492" s="569" t="s">
        <v>2489</v>
      </c>
      <c r="B492" s="569" t="s">
        <v>166</v>
      </c>
      <c r="C492" s="569" t="s">
        <v>7</v>
      </c>
      <c r="D492" s="569"/>
      <c r="E492" s="569"/>
      <c r="F492" s="569"/>
      <c r="G492" s="569"/>
      <c r="H492" s="569"/>
      <c r="I492" s="569"/>
      <c r="J492" s="569"/>
      <c r="K492" s="569"/>
      <c r="L492" s="569"/>
      <c r="M492" s="569"/>
      <c r="N492" s="569"/>
      <c r="O492" s="569"/>
      <c r="P492" s="569"/>
      <c r="Q492" s="569"/>
      <c r="R492" s="569"/>
      <c r="S492" s="569"/>
      <c r="T492" s="569"/>
      <c r="U492" s="569"/>
      <c r="V492" s="569"/>
      <c r="W492" s="569"/>
      <c r="X492" s="569"/>
      <c r="Y492" s="569"/>
      <c r="Z492" s="569"/>
      <c r="AA492" s="569"/>
      <c r="AB492" s="569"/>
      <c r="AC492" s="569"/>
      <c r="AD492" s="569"/>
      <c r="AE492" s="569"/>
      <c r="AF492">
        <v>492</v>
      </c>
      <c r="AG492" s="438" t="str">
        <f>IF(INDEX(D:AE,AF492,ADP!$AF$6)=0,"",INDEX(D:AE,AF492,ADP!$AF$6)+AH492)</f>
        <v/>
      </c>
      <c r="AH492">
        <f t="shared" si="7"/>
        <v>4.9100000000000543E-4</v>
      </c>
    </row>
    <row r="493" spans="1:34" ht="15.75" thickBot="1" x14ac:dyDescent="0.3">
      <c r="A493" s="569" t="s">
        <v>2564</v>
      </c>
      <c r="B493" s="569" t="s">
        <v>1388</v>
      </c>
      <c r="C493" s="569" t="s">
        <v>3</v>
      </c>
      <c r="D493" s="574"/>
      <c r="E493" s="574"/>
      <c r="F493" s="574"/>
      <c r="G493" s="574"/>
      <c r="H493" s="574"/>
      <c r="I493" s="574"/>
      <c r="J493" s="574"/>
      <c r="K493" s="574"/>
      <c r="L493" s="574"/>
      <c r="M493" s="574"/>
      <c r="N493" s="574"/>
      <c r="O493" s="574"/>
      <c r="P493" s="574"/>
      <c r="Q493" s="574"/>
      <c r="R493" s="574"/>
      <c r="S493" s="574"/>
      <c r="T493" s="574"/>
      <c r="U493" s="574"/>
      <c r="V493" s="574"/>
      <c r="W493" s="574"/>
      <c r="X493" s="574"/>
      <c r="Y493" s="574"/>
      <c r="Z493" s="574"/>
      <c r="AA493" s="574"/>
      <c r="AB493" s="574"/>
      <c r="AC493" s="574"/>
      <c r="AD493" s="574"/>
      <c r="AE493" s="574"/>
      <c r="AF493">
        <v>493</v>
      </c>
      <c r="AG493" s="438" t="str">
        <f>IF(INDEX(D:AE,AF493,ADP!$AF$6)=0,"",INDEX(D:AE,AF493,ADP!$AF$6)+AH493)</f>
        <v/>
      </c>
      <c r="AH493">
        <f t="shared" si="7"/>
        <v>4.9200000000000545E-4</v>
      </c>
    </row>
    <row r="494" spans="1:34" ht="15.75" thickBot="1" x14ac:dyDescent="0.3">
      <c r="A494" s="569" t="s">
        <v>2384</v>
      </c>
      <c r="B494" s="569" t="s">
        <v>159</v>
      </c>
      <c r="C494" s="569" t="s">
        <v>11</v>
      </c>
      <c r="D494" s="569"/>
      <c r="E494" s="569"/>
      <c r="F494" s="569"/>
      <c r="G494" s="569"/>
      <c r="H494" s="569"/>
      <c r="I494" s="569"/>
      <c r="J494" s="569"/>
      <c r="K494" s="569"/>
      <c r="L494" s="569"/>
      <c r="M494" s="569"/>
      <c r="N494" s="569"/>
      <c r="O494" s="569"/>
      <c r="P494" s="569"/>
      <c r="Q494" s="569"/>
      <c r="R494" s="569"/>
      <c r="S494" s="569"/>
      <c r="T494" s="569"/>
      <c r="U494" s="569"/>
      <c r="V494" s="569"/>
      <c r="W494" s="569"/>
      <c r="X494" s="569"/>
      <c r="Y494" s="569"/>
      <c r="Z494" s="569"/>
      <c r="AA494" s="569"/>
      <c r="AB494" s="569"/>
      <c r="AC494" s="569"/>
      <c r="AD494" s="569"/>
      <c r="AE494" s="569"/>
      <c r="AF494">
        <v>494</v>
      </c>
      <c r="AG494" s="438" t="str">
        <f>IF(INDEX(D:AE,AF494,ADP!$AF$6)=0,"",INDEX(D:AE,AF494,ADP!$AF$6)+AH494)</f>
        <v/>
      </c>
      <c r="AH494">
        <f t="shared" si="7"/>
        <v>4.9300000000000548E-4</v>
      </c>
    </row>
    <row r="495" spans="1:34" ht="15.75" thickBot="1" x14ac:dyDescent="0.3">
      <c r="A495" s="569" t="s">
        <v>2168</v>
      </c>
      <c r="B495" s="569" t="s">
        <v>1388</v>
      </c>
      <c r="C495" s="569" t="s">
        <v>1</v>
      </c>
      <c r="D495" s="574"/>
      <c r="E495" s="574"/>
      <c r="F495" s="574"/>
      <c r="G495" s="574"/>
      <c r="H495" s="574"/>
      <c r="I495" s="574"/>
      <c r="J495" s="574"/>
      <c r="K495" s="574"/>
      <c r="L495" s="574"/>
      <c r="M495" s="574"/>
      <c r="N495" s="574"/>
      <c r="O495" s="574"/>
      <c r="P495" s="574"/>
      <c r="Q495" s="574"/>
      <c r="R495" s="574"/>
      <c r="S495" s="574"/>
      <c r="T495" s="574"/>
      <c r="U495" s="574"/>
      <c r="V495" s="574"/>
      <c r="W495" s="574"/>
      <c r="X495" s="574"/>
      <c r="Y495" s="574"/>
      <c r="Z495" s="574"/>
      <c r="AA495" s="574"/>
      <c r="AB495" s="574"/>
      <c r="AC495" s="574"/>
      <c r="AD495" s="574"/>
      <c r="AE495" s="574"/>
      <c r="AF495">
        <v>495</v>
      </c>
      <c r="AG495" s="438" t="str">
        <f>IF(INDEX(D:AE,AF495,ADP!$AF$6)=0,"",INDEX(D:AE,AF495,ADP!$AF$6)+AH495)</f>
        <v/>
      </c>
      <c r="AH495">
        <f t="shared" si="7"/>
        <v>4.940000000000055E-4</v>
      </c>
    </row>
    <row r="496" spans="1:34" ht="15.75" thickBot="1" x14ac:dyDescent="0.3">
      <c r="A496" s="569" t="s">
        <v>2490</v>
      </c>
      <c r="B496" s="569" t="s">
        <v>140</v>
      </c>
      <c r="C496" s="569" t="s">
        <v>6</v>
      </c>
      <c r="D496" s="569"/>
      <c r="E496" s="569"/>
      <c r="F496" s="569"/>
      <c r="G496" s="569"/>
      <c r="H496" s="569"/>
      <c r="I496" s="569"/>
      <c r="J496" s="569"/>
      <c r="K496" s="569"/>
      <c r="L496" s="569"/>
      <c r="M496" s="569"/>
      <c r="N496" s="569"/>
      <c r="O496" s="569"/>
      <c r="P496" s="569"/>
      <c r="Q496" s="569"/>
      <c r="R496" s="569"/>
      <c r="S496" s="569"/>
      <c r="T496" s="569"/>
      <c r="U496" s="569"/>
      <c r="V496" s="569"/>
      <c r="W496" s="569"/>
      <c r="X496" s="569"/>
      <c r="Y496" s="569"/>
      <c r="Z496" s="569"/>
      <c r="AA496" s="569"/>
      <c r="AB496" s="569"/>
      <c r="AC496" s="569"/>
      <c r="AD496" s="569"/>
      <c r="AE496" s="569"/>
      <c r="AF496">
        <v>496</v>
      </c>
      <c r="AG496" s="438" t="str">
        <f>IF(INDEX(D:AE,AF496,ADP!$AF$6)=0,"",INDEX(D:AE,AF496,ADP!$AF$6)+AH496)</f>
        <v/>
      </c>
      <c r="AH496">
        <f t="shared" si="7"/>
        <v>4.9500000000000553E-4</v>
      </c>
    </row>
    <row r="497" spans="1:34" ht="15.75" thickBot="1" x14ac:dyDescent="0.3">
      <c r="A497" s="569" t="s">
        <v>2206</v>
      </c>
      <c r="B497" s="569" t="s">
        <v>152</v>
      </c>
      <c r="C497" s="569" t="s">
        <v>6</v>
      </c>
      <c r="D497" s="569"/>
      <c r="E497" s="569"/>
      <c r="F497" s="569"/>
      <c r="G497" s="569"/>
      <c r="H497" s="569"/>
      <c r="I497" s="569"/>
      <c r="J497" s="569"/>
      <c r="K497" s="569"/>
      <c r="L497" s="569"/>
      <c r="M497" s="569"/>
      <c r="N497" s="569"/>
      <c r="O497" s="569"/>
      <c r="P497" s="569"/>
      <c r="Q497" s="569"/>
      <c r="R497" s="569"/>
      <c r="S497" s="569"/>
      <c r="T497" s="569"/>
      <c r="U497" s="569"/>
      <c r="V497" s="569"/>
      <c r="W497" s="569"/>
      <c r="X497" s="569"/>
      <c r="Y497" s="569"/>
      <c r="Z497" s="569"/>
      <c r="AA497" s="569"/>
      <c r="AB497" s="569"/>
      <c r="AC497" s="569"/>
      <c r="AD497" s="569"/>
      <c r="AE497" s="569"/>
      <c r="AF497">
        <v>497</v>
      </c>
      <c r="AG497" s="438" t="str">
        <f>IF(INDEX(D:AE,AF497,ADP!$AF$6)=0,"",INDEX(D:AE,AF497,ADP!$AF$6)+AH497)</f>
        <v/>
      </c>
      <c r="AH497">
        <f t="shared" si="7"/>
        <v>4.9600000000000555E-4</v>
      </c>
    </row>
    <row r="498" spans="1:34" ht="15.75" thickBot="1" x14ac:dyDescent="0.3">
      <c r="A498" s="569" t="s">
        <v>1345</v>
      </c>
      <c r="B498" s="569" t="s">
        <v>144</v>
      </c>
      <c r="C498" s="569" t="s">
        <v>3</v>
      </c>
      <c r="D498" s="569"/>
      <c r="E498" s="569"/>
      <c r="F498" s="569"/>
      <c r="G498" s="569"/>
      <c r="H498" s="569"/>
      <c r="I498" s="569"/>
      <c r="J498" s="569"/>
      <c r="K498" s="569"/>
      <c r="L498" s="569"/>
      <c r="M498" s="569"/>
      <c r="N498" s="569"/>
      <c r="O498" s="569"/>
      <c r="P498" s="569"/>
      <c r="Q498" s="569"/>
      <c r="R498" s="569"/>
      <c r="S498" s="569"/>
      <c r="T498" s="569"/>
      <c r="U498" s="569"/>
      <c r="V498" s="569"/>
      <c r="W498" s="569"/>
      <c r="X498" s="569"/>
      <c r="Y498" s="569"/>
      <c r="Z498" s="569"/>
      <c r="AA498" s="569"/>
      <c r="AB498" s="569"/>
      <c r="AC498" s="569"/>
      <c r="AD498" s="569"/>
      <c r="AE498" s="569"/>
      <c r="AF498">
        <v>498</v>
      </c>
      <c r="AG498" s="438" t="str">
        <f>IF(INDEX(D:AE,AF498,ADP!$AF$6)=0,"",INDEX(D:AE,AF498,ADP!$AF$6)+AH498)</f>
        <v/>
      </c>
      <c r="AH498">
        <f t="shared" si="7"/>
        <v>4.9700000000000558E-4</v>
      </c>
    </row>
    <row r="499" spans="1:34" ht="15.75" thickBot="1" x14ac:dyDescent="0.3">
      <c r="A499" s="569" t="s">
        <v>701</v>
      </c>
      <c r="B499" s="569" t="s">
        <v>1388</v>
      </c>
      <c r="C499" s="569" t="s">
        <v>11</v>
      </c>
      <c r="D499" s="569"/>
      <c r="E499" s="569"/>
      <c r="F499" s="569"/>
      <c r="G499" s="569"/>
      <c r="H499" s="569"/>
      <c r="I499" s="569"/>
      <c r="J499" s="569"/>
      <c r="K499" s="569"/>
      <c r="L499" s="569"/>
      <c r="M499" s="569"/>
      <c r="N499" s="569"/>
      <c r="O499" s="569"/>
      <c r="P499" s="569"/>
      <c r="Q499" s="569"/>
      <c r="R499" s="569"/>
      <c r="S499" s="569"/>
      <c r="T499" s="569"/>
      <c r="U499" s="569"/>
      <c r="V499" s="569"/>
      <c r="W499" s="569"/>
      <c r="X499" s="569"/>
      <c r="Y499" s="569"/>
      <c r="Z499" s="569"/>
      <c r="AA499" s="569"/>
      <c r="AB499" s="569"/>
      <c r="AC499" s="569"/>
      <c r="AD499" s="569"/>
      <c r="AE499" s="569"/>
      <c r="AF499">
        <v>499</v>
      </c>
      <c r="AG499" s="438" t="str">
        <f>IF(INDEX(D:AE,AF499,ADP!$AF$6)=0,"",INDEX(D:AE,AF499,ADP!$AF$6)+AH499)</f>
        <v/>
      </c>
      <c r="AH499">
        <f t="shared" si="7"/>
        <v>4.980000000000056E-4</v>
      </c>
    </row>
    <row r="500" spans="1:34" ht="15.75" thickBot="1" x14ac:dyDescent="0.3">
      <c r="A500" s="569" t="s">
        <v>2243</v>
      </c>
      <c r="B500" s="569" t="s">
        <v>166</v>
      </c>
      <c r="C500" s="569" t="s">
        <v>7</v>
      </c>
      <c r="D500" s="569"/>
      <c r="E500" s="569"/>
      <c r="F500" s="569"/>
      <c r="G500" s="569"/>
      <c r="H500" s="569"/>
      <c r="I500" s="569"/>
      <c r="J500" s="569"/>
      <c r="K500" s="569"/>
      <c r="L500" s="569"/>
      <c r="M500" s="569"/>
      <c r="N500" s="569"/>
      <c r="O500" s="569"/>
      <c r="P500" s="569"/>
      <c r="Q500" s="569"/>
      <c r="R500" s="569"/>
      <c r="S500" s="569"/>
      <c r="T500" s="569"/>
      <c r="U500" s="569"/>
      <c r="V500" s="569"/>
      <c r="W500" s="569"/>
      <c r="X500" s="569"/>
      <c r="Y500" s="569"/>
      <c r="Z500" s="569"/>
      <c r="AA500" s="569"/>
      <c r="AB500" s="569"/>
      <c r="AC500" s="569"/>
      <c r="AD500" s="569"/>
      <c r="AE500" s="569"/>
      <c r="AF500">
        <v>500</v>
      </c>
      <c r="AG500" s="438" t="str">
        <f>IF(INDEX(D:AE,AF500,ADP!$AF$6)=0,"",INDEX(D:AE,AF500,ADP!$AF$6)+AH500)</f>
        <v/>
      </c>
      <c r="AH500">
        <f t="shared" si="7"/>
        <v>4.9900000000000562E-4</v>
      </c>
    </row>
    <row r="501" spans="1:34" ht="15.75" thickBot="1" x14ac:dyDescent="0.3">
      <c r="A501" s="569" t="s">
        <v>1892</v>
      </c>
      <c r="B501" s="569" t="s">
        <v>145</v>
      </c>
      <c r="C501" s="569" t="s">
        <v>7</v>
      </c>
      <c r="D501" s="569"/>
      <c r="E501" s="569"/>
      <c r="F501" s="569"/>
      <c r="G501" s="569"/>
      <c r="H501" s="569"/>
      <c r="I501" s="569"/>
      <c r="J501" s="569"/>
      <c r="K501" s="569"/>
      <c r="L501" s="569"/>
      <c r="M501" s="569"/>
      <c r="N501" s="569"/>
      <c r="O501" s="569"/>
      <c r="P501" s="569"/>
      <c r="Q501" s="569"/>
      <c r="R501" s="569"/>
      <c r="S501" s="569"/>
      <c r="T501" s="569"/>
      <c r="U501" s="569"/>
      <c r="V501" s="569"/>
      <c r="W501" s="569"/>
      <c r="X501" s="569"/>
      <c r="Y501" s="569"/>
      <c r="Z501" s="569"/>
      <c r="AA501" s="569"/>
      <c r="AB501" s="569"/>
      <c r="AC501" s="569"/>
      <c r="AD501" s="569"/>
      <c r="AE501" s="569"/>
      <c r="AF501">
        <v>501</v>
      </c>
      <c r="AG501" s="438" t="str">
        <f>IF(INDEX(D:AE,AF501,ADP!$AF$6)=0,"",INDEX(D:AE,AF501,ADP!$AF$6)+AH501)</f>
        <v/>
      </c>
      <c r="AH501">
        <f t="shared" si="7"/>
        <v>5.0000000000000565E-4</v>
      </c>
    </row>
    <row r="502" spans="1:34" ht="15.75" thickBot="1" x14ac:dyDescent="0.3">
      <c r="A502" s="569" t="s">
        <v>1885</v>
      </c>
      <c r="B502" s="569" t="s">
        <v>140</v>
      </c>
      <c r="C502" s="569" t="s">
        <v>1</v>
      </c>
      <c r="D502" s="574"/>
      <c r="E502" s="574"/>
      <c r="F502" s="574"/>
      <c r="G502" s="574"/>
      <c r="H502" s="574"/>
      <c r="I502" s="574"/>
      <c r="J502" s="574"/>
      <c r="K502" s="574"/>
      <c r="L502" s="574"/>
      <c r="M502" s="574"/>
      <c r="N502" s="574"/>
      <c r="O502" s="574"/>
      <c r="P502" s="574"/>
      <c r="Q502" s="574"/>
      <c r="R502" s="574"/>
      <c r="S502" s="574"/>
      <c r="T502" s="574"/>
      <c r="U502" s="574"/>
      <c r="V502" s="574"/>
      <c r="W502" s="574"/>
      <c r="X502" s="574"/>
      <c r="Y502" s="574"/>
      <c r="Z502" s="574"/>
      <c r="AA502" s="574"/>
      <c r="AB502" s="574"/>
      <c r="AC502" s="574"/>
      <c r="AD502" s="574"/>
      <c r="AE502" s="574"/>
      <c r="AF502">
        <v>502</v>
      </c>
      <c r="AG502" s="438" t="str">
        <f>IF(INDEX(D:AE,AF502,ADP!$AF$6)=0,"",INDEX(D:AE,AF502,ADP!$AF$6)+AH502)</f>
        <v/>
      </c>
      <c r="AH502">
        <f t="shared" si="7"/>
        <v>5.0100000000000567E-4</v>
      </c>
    </row>
    <row r="503" spans="1:34" ht="15.75" thickBot="1" x14ac:dyDescent="0.3">
      <c r="A503" s="569" t="s">
        <v>2318</v>
      </c>
      <c r="B503" s="569" t="s">
        <v>148</v>
      </c>
      <c r="C503" s="569" t="s">
        <v>6</v>
      </c>
      <c r="D503" s="569">
        <v>61.3</v>
      </c>
      <c r="E503" s="569">
        <v>5.0999999999999996</v>
      </c>
      <c r="F503" s="569">
        <v>56.6</v>
      </c>
      <c r="G503" s="569">
        <v>5.0999999999999996</v>
      </c>
      <c r="H503" s="569">
        <v>44.9</v>
      </c>
      <c r="I503" s="569">
        <v>4.9000000000000004</v>
      </c>
      <c r="J503" s="569">
        <v>61.3</v>
      </c>
      <c r="K503" s="569">
        <v>5.0999999999999996</v>
      </c>
      <c r="L503" s="569">
        <v>56.6</v>
      </c>
      <c r="M503" s="569">
        <v>5.0999999999999996</v>
      </c>
      <c r="N503" s="569">
        <v>44.9</v>
      </c>
      <c r="O503" s="569">
        <v>4.9000000000000004</v>
      </c>
      <c r="P503" s="569">
        <v>84.6</v>
      </c>
      <c r="Q503" s="569">
        <v>8.5</v>
      </c>
      <c r="R503" s="569">
        <v>61.3</v>
      </c>
      <c r="S503" s="569">
        <v>5.0999999999999996</v>
      </c>
      <c r="T503" s="569">
        <v>56.6</v>
      </c>
      <c r="U503" s="569">
        <v>5.0999999999999996</v>
      </c>
      <c r="V503" s="569">
        <v>44.9</v>
      </c>
      <c r="W503" s="569">
        <v>4.9000000000000004</v>
      </c>
      <c r="X503" s="569">
        <v>84.6</v>
      </c>
      <c r="Y503" s="569">
        <v>8.5</v>
      </c>
      <c r="Z503" s="569">
        <v>61.3</v>
      </c>
      <c r="AA503" s="569">
        <v>5.0999999999999996</v>
      </c>
      <c r="AB503" s="569">
        <v>56.6</v>
      </c>
      <c r="AC503" s="569">
        <v>5.0999999999999996</v>
      </c>
      <c r="AD503" s="569">
        <v>44.9</v>
      </c>
      <c r="AE503" s="569">
        <v>44.9</v>
      </c>
      <c r="AF503">
        <v>503</v>
      </c>
      <c r="AG503" s="438">
        <f>IF(INDEX(D:AE,AF503,ADP!$AF$6)=0,"",INDEX(D:AE,AF503,ADP!$AF$6)+AH503)</f>
        <v>44.900501999999996</v>
      </c>
      <c r="AH503">
        <f t="shared" si="7"/>
        <v>5.020000000000057E-4</v>
      </c>
    </row>
    <row r="504" spans="1:34" ht="27" thickBot="1" x14ac:dyDescent="0.3">
      <c r="A504" s="569" t="s">
        <v>2491</v>
      </c>
      <c r="B504" s="569" t="s">
        <v>161</v>
      </c>
      <c r="C504" s="569" t="s">
        <v>1</v>
      </c>
      <c r="D504" s="574"/>
      <c r="E504" s="574"/>
      <c r="F504" s="574"/>
      <c r="G504" s="574"/>
      <c r="H504" s="574"/>
      <c r="I504" s="574"/>
      <c r="J504" s="574"/>
      <c r="K504" s="574"/>
      <c r="L504" s="574"/>
      <c r="M504" s="574"/>
      <c r="N504" s="574"/>
      <c r="O504" s="574"/>
      <c r="P504" s="574"/>
      <c r="Q504" s="574"/>
      <c r="R504" s="574"/>
      <c r="S504" s="574"/>
      <c r="T504" s="574"/>
      <c r="U504" s="574"/>
      <c r="V504" s="574"/>
      <c r="W504" s="574"/>
      <c r="X504" s="574"/>
      <c r="Y504" s="574"/>
      <c r="Z504" s="574"/>
      <c r="AA504" s="574"/>
      <c r="AB504" s="574"/>
      <c r="AC504" s="574"/>
      <c r="AD504" s="574"/>
      <c r="AE504" s="574"/>
      <c r="AF504">
        <v>504</v>
      </c>
      <c r="AG504" s="438" t="str">
        <f>IF(INDEX(D:AE,AF504,ADP!$AF$6)=0,"",INDEX(D:AE,AF504,ADP!$AF$6)+AH504)</f>
        <v/>
      </c>
      <c r="AH504">
        <f t="shared" si="7"/>
        <v>5.0300000000000572E-4</v>
      </c>
    </row>
    <row r="505" spans="1:34" ht="15.75" thickBot="1" x14ac:dyDescent="0.3">
      <c r="A505" s="569" t="s">
        <v>2492</v>
      </c>
      <c r="B505" s="569" t="s">
        <v>139</v>
      </c>
      <c r="C505" s="569" t="s">
        <v>6</v>
      </c>
      <c r="D505" s="569"/>
      <c r="E505" s="569"/>
      <c r="F505" s="569"/>
      <c r="G505" s="569"/>
      <c r="H505" s="569"/>
      <c r="I505" s="569"/>
      <c r="J505" s="569"/>
      <c r="K505" s="569"/>
      <c r="L505" s="569"/>
      <c r="M505" s="569"/>
      <c r="N505" s="569"/>
      <c r="O505" s="569"/>
      <c r="P505" s="569"/>
      <c r="Q505" s="569"/>
      <c r="R505" s="569"/>
      <c r="S505" s="569"/>
      <c r="T505" s="569"/>
      <c r="U505" s="569"/>
      <c r="V505" s="569"/>
      <c r="W505" s="569"/>
      <c r="X505" s="569"/>
      <c r="Y505" s="569"/>
      <c r="Z505" s="569"/>
      <c r="AA505" s="569"/>
      <c r="AB505" s="569"/>
      <c r="AC505" s="569"/>
      <c r="AD505" s="569"/>
      <c r="AE505" s="569"/>
      <c r="AF505">
        <v>505</v>
      </c>
      <c r="AG505" s="438" t="str">
        <f>IF(INDEX(D:AE,AF505,ADP!$AF$6)=0,"",INDEX(D:AE,AF505,ADP!$AF$6)+AH505)</f>
        <v/>
      </c>
      <c r="AH505">
        <f t="shared" si="7"/>
        <v>5.0400000000000575E-4</v>
      </c>
    </row>
    <row r="506" spans="1:34" ht="15.75" thickBot="1" x14ac:dyDescent="0.3">
      <c r="A506" s="569" t="s">
        <v>2279</v>
      </c>
      <c r="B506" s="569" t="s">
        <v>141</v>
      </c>
      <c r="C506" s="569" t="s">
        <v>3</v>
      </c>
      <c r="D506" s="569">
        <v>106.1</v>
      </c>
      <c r="E506" s="569">
        <v>7</v>
      </c>
      <c r="F506" s="569">
        <v>118.4</v>
      </c>
      <c r="G506" s="569">
        <v>8.6</v>
      </c>
      <c r="H506" s="569">
        <v>137.9</v>
      </c>
      <c r="I506" s="569">
        <v>11.9</v>
      </c>
      <c r="J506" s="569">
        <v>106.1</v>
      </c>
      <c r="K506" s="569">
        <v>7</v>
      </c>
      <c r="L506" s="569">
        <v>118.4</v>
      </c>
      <c r="M506" s="569">
        <v>8.6</v>
      </c>
      <c r="N506" s="569">
        <v>137.9</v>
      </c>
      <c r="O506" s="569">
        <v>11.9</v>
      </c>
      <c r="P506" s="569">
        <v>130.80000000000001</v>
      </c>
      <c r="Q506" s="569">
        <v>9.1</v>
      </c>
      <c r="R506" s="569">
        <v>106.1</v>
      </c>
      <c r="S506" s="569">
        <v>7</v>
      </c>
      <c r="T506" s="569">
        <v>118.4</v>
      </c>
      <c r="U506" s="569">
        <v>8.6</v>
      </c>
      <c r="V506" s="569">
        <v>137.9</v>
      </c>
      <c r="W506" s="569">
        <v>11.9</v>
      </c>
      <c r="X506" s="569">
        <v>130.80000000000001</v>
      </c>
      <c r="Y506" s="569">
        <v>9.1</v>
      </c>
      <c r="Z506" s="569">
        <v>106.1</v>
      </c>
      <c r="AA506" s="569">
        <v>7</v>
      </c>
      <c r="AB506" s="569">
        <v>118.4</v>
      </c>
      <c r="AC506" s="569">
        <v>8.6</v>
      </c>
      <c r="AD506" s="569">
        <v>137.9</v>
      </c>
      <c r="AE506" s="569">
        <v>137.9</v>
      </c>
      <c r="AF506">
        <v>506</v>
      </c>
      <c r="AG506" s="438">
        <f>IF(INDEX(D:AE,AF506,ADP!$AF$6)=0,"",INDEX(D:AE,AF506,ADP!$AF$6)+AH506)</f>
        <v>137.90050500000001</v>
      </c>
      <c r="AH506">
        <f t="shared" si="7"/>
        <v>5.0500000000000577E-4</v>
      </c>
    </row>
    <row r="507" spans="1:34" ht="15.75" thickBot="1" x14ac:dyDescent="0.3">
      <c r="A507" s="569" t="s">
        <v>2110</v>
      </c>
      <c r="B507" s="569" t="s">
        <v>161</v>
      </c>
      <c r="C507" s="569" t="s">
        <v>6</v>
      </c>
      <c r="D507" s="569">
        <v>128.6</v>
      </c>
      <c r="E507" s="569">
        <v>9</v>
      </c>
      <c r="F507" s="569">
        <v>156.80000000000001</v>
      </c>
      <c r="G507" s="569">
        <v>14.8</v>
      </c>
      <c r="H507" s="569"/>
      <c r="I507" s="569"/>
      <c r="J507" s="569">
        <v>128.6</v>
      </c>
      <c r="K507" s="569">
        <v>9</v>
      </c>
      <c r="L507" s="569">
        <v>156.80000000000001</v>
      </c>
      <c r="M507" s="569">
        <v>14.8</v>
      </c>
      <c r="N507" s="569">
        <v>157</v>
      </c>
      <c r="O507" s="569">
        <v>15</v>
      </c>
      <c r="P507" s="569">
        <v>154.1</v>
      </c>
      <c r="Q507" s="569">
        <v>12</v>
      </c>
      <c r="R507" s="569">
        <v>128.6</v>
      </c>
      <c r="S507" s="569">
        <v>9</v>
      </c>
      <c r="T507" s="569">
        <v>156.80000000000001</v>
      </c>
      <c r="U507" s="569">
        <v>14.8</v>
      </c>
      <c r="V507" s="569">
        <v>157</v>
      </c>
      <c r="W507" s="569">
        <v>15</v>
      </c>
      <c r="X507" s="569">
        <v>154.1</v>
      </c>
      <c r="Y507" s="569">
        <v>12</v>
      </c>
      <c r="Z507" s="569"/>
      <c r="AA507" s="569"/>
      <c r="AB507" s="569"/>
      <c r="AC507" s="569"/>
      <c r="AD507" s="569"/>
      <c r="AE507" s="569"/>
      <c r="AF507">
        <v>507</v>
      </c>
      <c r="AG507" s="438">
        <f>IF(INDEX(D:AE,AF507,ADP!$AF$6)=0,"",INDEX(D:AE,AF507,ADP!$AF$6)+AH507)</f>
        <v>157.000506</v>
      </c>
      <c r="AH507">
        <f t="shared" si="7"/>
        <v>5.0600000000000579E-4</v>
      </c>
    </row>
    <row r="508" spans="1:34" ht="15.75" thickBot="1" x14ac:dyDescent="0.3">
      <c r="A508" s="569" t="s">
        <v>2233</v>
      </c>
      <c r="B508" s="569" t="s">
        <v>1388</v>
      </c>
      <c r="C508" s="569" t="s">
        <v>7</v>
      </c>
      <c r="D508" s="569"/>
      <c r="E508" s="569"/>
      <c r="F508" s="569"/>
      <c r="G508" s="569"/>
      <c r="H508" s="569"/>
      <c r="I508" s="569"/>
      <c r="J508" s="569"/>
      <c r="K508" s="569"/>
      <c r="L508" s="569"/>
      <c r="M508" s="569"/>
      <c r="N508" s="569"/>
      <c r="O508" s="569"/>
      <c r="P508" s="569"/>
      <c r="Q508" s="569"/>
      <c r="R508" s="569"/>
      <c r="S508" s="569"/>
      <c r="T508" s="569"/>
      <c r="U508" s="569"/>
      <c r="V508" s="569"/>
      <c r="W508" s="569"/>
      <c r="X508" s="569"/>
      <c r="Y508" s="569"/>
      <c r="Z508" s="569"/>
      <c r="AA508" s="569"/>
      <c r="AB508" s="569"/>
      <c r="AC508" s="569"/>
      <c r="AD508" s="569"/>
      <c r="AE508" s="569"/>
      <c r="AF508">
        <v>508</v>
      </c>
      <c r="AG508" s="438" t="str">
        <f>IF(INDEX(D:AE,AF508,ADP!$AF$6)=0,"",INDEX(D:AE,AF508,ADP!$AF$6)+AH508)</f>
        <v/>
      </c>
      <c r="AH508">
        <f t="shared" si="7"/>
        <v>5.0700000000000582E-4</v>
      </c>
    </row>
    <row r="509" spans="1:34" ht="15.75" thickBot="1" x14ac:dyDescent="0.3">
      <c r="A509" s="569" t="s">
        <v>2250</v>
      </c>
      <c r="B509" s="569" t="s">
        <v>149</v>
      </c>
      <c r="C509" s="569" t="s">
        <v>7</v>
      </c>
      <c r="D509" s="569"/>
      <c r="E509" s="569"/>
      <c r="F509" s="569"/>
      <c r="G509" s="569"/>
      <c r="H509" s="569"/>
      <c r="I509" s="569"/>
      <c r="J509" s="569"/>
      <c r="K509" s="569"/>
      <c r="L509" s="569"/>
      <c r="M509" s="569"/>
      <c r="N509" s="569"/>
      <c r="O509" s="569"/>
      <c r="P509" s="569"/>
      <c r="Q509" s="569"/>
      <c r="R509" s="569"/>
      <c r="S509" s="569"/>
      <c r="T509" s="569"/>
      <c r="U509" s="569"/>
      <c r="V509" s="569"/>
      <c r="W509" s="569"/>
      <c r="X509" s="569"/>
      <c r="Y509" s="569"/>
      <c r="Z509" s="569"/>
      <c r="AA509" s="569"/>
      <c r="AB509" s="569"/>
      <c r="AC509" s="569"/>
      <c r="AD509" s="569"/>
      <c r="AE509" s="569"/>
      <c r="AF509">
        <v>509</v>
      </c>
      <c r="AG509" s="438" t="str">
        <f>IF(INDEX(D:AE,AF509,ADP!$AF$6)=0,"",INDEX(D:AE,AF509,ADP!$AF$6)+AH509)</f>
        <v/>
      </c>
      <c r="AH509">
        <f t="shared" si="7"/>
        <v>5.0800000000000584E-4</v>
      </c>
    </row>
    <row r="510" spans="1:34" ht="15.75" thickBot="1" x14ac:dyDescent="0.3">
      <c r="A510" s="569" t="s">
        <v>1857</v>
      </c>
      <c r="B510" s="569" t="s">
        <v>140</v>
      </c>
      <c r="C510" s="569" t="s">
        <v>6</v>
      </c>
      <c r="D510" s="569">
        <v>33.799999999999997</v>
      </c>
      <c r="E510" s="569">
        <v>3.8</v>
      </c>
      <c r="F510" s="569">
        <v>34.9</v>
      </c>
      <c r="G510" s="569">
        <v>4.8</v>
      </c>
      <c r="H510" s="569">
        <v>30.5</v>
      </c>
      <c r="I510" s="569">
        <v>4.3</v>
      </c>
      <c r="J510" s="569">
        <v>33.799999999999997</v>
      </c>
      <c r="K510" s="569">
        <v>3.8</v>
      </c>
      <c r="L510" s="569">
        <v>34.9</v>
      </c>
      <c r="M510" s="569">
        <v>4.8</v>
      </c>
      <c r="N510" s="569">
        <v>30.5</v>
      </c>
      <c r="O510" s="569">
        <v>4.3</v>
      </c>
      <c r="P510" s="569">
        <v>43.8</v>
      </c>
      <c r="Q510" s="569">
        <v>4.9000000000000004</v>
      </c>
      <c r="R510" s="569">
        <v>33.799999999999997</v>
      </c>
      <c r="S510" s="569">
        <v>3.8</v>
      </c>
      <c r="T510" s="569">
        <v>34.9</v>
      </c>
      <c r="U510" s="569">
        <v>4.8</v>
      </c>
      <c r="V510" s="569">
        <v>30.5</v>
      </c>
      <c r="W510" s="569">
        <v>4.3</v>
      </c>
      <c r="X510" s="569">
        <v>43.8</v>
      </c>
      <c r="Y510" s="569">
        <v>4.9000000000000004</v>
      </c>
      <c r="Z510" s="569">
        <v>33.799999999999997</v>
      </c>
      <c r="AA510" s="569">
        <v>3.8</v>
      </c>
      <c r="AB510" s="569">
        <v>34.9</v>
      </c>
      <c r="AC510" s="569">
        <v>4.8</v>
      </c>
      <c r="AD510" s="569">
        <v>30.5</v>
      </c>
      <c r="AE510" s="569">
        <v>30.5</v>
      </c>
      <c r="AF510">
        <v>510</v>
      </c>
      <c r="AG510" s="438">
        <f>IF(INDEX(D:AE,AF510,ADP!$AF$6)=0,"",INDEX(D:AE,AF510,ADP!$AF$6)+AH510)</f>
        <v>30.500509000000001</v>
      </c>
      <c r="AH510">
        <f t="shared" si="7"/>
        <v>5.0900000000000587E-4</v>
      </c>
    </row>
    <row r="511" spans="1:34" ht="15.75" thickBot="1" x14ac:dyDescent="0.3">
      <c r="A511" s="569" t="s">
        <v>1852</v>
      </c>
      <c r="B511" s="569" t="s">
        <v>141</v>
      </c>
      <c r="C511" s="569" t="s">
        <v>6</v>
      </c>
      <c r="D511" s="569">
        <v>41.9</v>
      </c>
      <c r="E511" s="569">
        <v>4.7</v>
      </c>
      <c r="F511" s="569">
        <v>41.2</v>
      </c>
      <c r="G511" s="569">
        <v>5.3</v>
      </c>
      <c r="H511" s="569">
        <v>45</v>
      </c>
      <c r="I511" s="569">
        <v>4.9000000000000004</v>
      </c>
      <c r="J511" s="569">
        <v>41.9</v>
      </c>
      <c r="K511" s="569">
        <v>4.7</v>
      </c>
      <c r="L511" s="569">
        <v>41.2</v>
      </c>
      <c r="M511" s="569">
        <v>5.3</v>
      </c>
      <c r="N511" s="569">
        <v>45</v>
      </c>
      <c r="O511" s="569">
        <v>4.9000000000000004</v>
      </c>
      <c r="P511" s="569">
        <v>59.8</v>
      </c>
      <c r="Q511" s="569">
        <v>7.8</v>
      </c>
      <c r="R511" s="569">
        <v>41.9</v>
      </c>
      <c r="S511" s="569">
        <v>4.7</v>
      </c>
      <c r="T511" s="569">
        <v>41.2</v>
      </c>
      <c r="U511" s="569">
        <v>5.3</v>
      </c>
      <c r="V511" s="569">
        <v>45</v>
      </c>
      <c r="W511" s="569">
        <v>4.9000000000000004</v>
      </c>
      <c r="X511" s="569">
        <v>59.8</v>
      </c>
      <c r="Y511" s="569">
        <v>7.8</v>
      </c>
      <c r="Z511" s="569">
        <v>41.9</v>
      </c>
      <c r="AA511" s="569">
        <v>4.7</v>
      </c>
      <c r="AB511" s="569">
        <v>41.2</v>
      </c>
      <c r="AC511" s="569">
        <v>5.3</v>
      </c>
      <c r="AD511" s="569">
        <v>45</v>
      </c>
      <c r="AE511" s="569">
        <v>45</v>
      </c>
      <c r="AF511">
        <v>511</v>
      </c>
      <c r="AG511" s="438">
        <f>IF(INDEX(D:AE,AF511,ADP!$AF$6)=0,"",INDEX(D:AE,AF511,ADP!$AF$6)+AH511)</f>
        <v>45.000509999999998</v>
      </c>
      <c r="AH511">
        <f t="shared" si="7"/>
        <v>5.1000000000000589E-4</v>
      </c>
    </row>
    <row r="512" spans="1:34" ht="15.75" thickBot="1" x14ac:dyDescent="0.3">
      <c r="A512" s="569" t="s">
        <v>1870</v>
      </c>
      <c r="B512" s="569" t="s">
        <v>159</v>
      </c>
      <c r="C512" s="569" t="s">
        <v>6</v>
      </c>
      <c r="D512" s="569"/>
      <c r="E512" s="569"/>
      <c r="F512" s="569"/>
      <c r="G512" s="569"/>
      <c r="H512" s="569">
        <v>142.9</v>
      </c>
      <c r="I512" s="569">
        <v>13.2</v>
      </c>
      <c r="J512" s="569"/>
      <c r="K512" s="569"/>
      <c r="L512" s="569"/>
      <c r="M512" s="569"/>
      <c r="N512" s="569">
        <v>142.9</v>
      </c>
      <c r="O512" s="569">
        <v>13.2</v>
      </c>
      <c r="P512" s="569"/>
      <c r="Q512" s="569"/>
      <c r="R512" s="569"/>
      <c r="S512" s="569"/>
      <c r="T512" s="569"/>
      <c r="U512" s="569"/>
      <c r="V512" s="569">
        <v>142.9</v>
      </c>
      <c r="W512" s="569">
        <v>13.2</v>
      </c>
      <c r="X512" s="569"/>
      <c r="Y512" s="569"/>
      <c r="Z512" s="569"/>
      <c r="AA512" s="569"/>
      <c r="AB512" s="569"/>
      <c r="AC512" s="569"/>
      <c r="AD512" s="569">
        <v>142.9</v>
      </c>
      <c r="AE512" s="569">
        <v>142.9</v>
      </c>
      <c r="AF512">
        <v>512</v>
      </c>
      <c r="AG512" s="438">
        <f>IF(INDEX(D:AE,AF512,ADP!$AF$6)=0,"",INDEX(D:AE,AF512,ADP!$AF$6)+AH512)</f>
        <v>142.90051099999999</v>
      </c>
      <c r="AH512">
        <f t="shared" si="7"/>
        <v>5.1100000000000592E-4</v>
      </c>
    </row>
    <row r="513" spans="1:34" ht="15.75" thickBot="1" x14ac:dyDescent="0.3">
      <c r="A513" s="569" t="s">
        <v>1875</v>
      </c>
      <c r="B513" s="569" t="s">
        <v>147</v>
      </c>
      <c r="C513" s="569" t="s">
        <v>6</v>
      </c>
      <c r="D513" s="569">
        <v>94.8</v>
      </c>
      <c r="E513" s="569">
        <v>9.4</v>
      </c>
      <c r="F513" s="569">
        <v>72.400000000000006</v>
      </c>
      <c r="G513" s="569">
        <v>6.7</v>
      </c>
      <c r="H513" s="569">
        <v>54</v>
      </c>
      <c r="I513" s="569">
        <v>5.3</v>
      </c>
      <c r="J513" s="569">
        <v>94.8</v>
      </c>
      <c r="K513" s="569">
        <v>9.4</v>
      </c>
      <c r="L513" s="569">
        <v>72.400000000000006</v>
      </c>
      <c r="M513" s="569">
        <v>6.7</v>
      </c>
      <c r="N513" s="569">
        <v>54</v>
      </c>
      <c r="O513" s="569">
        <v>5.3</v>
      </c>
      <c r="P513" s="569">
        <v>69.3</v>
      </c>
      <c r="Q513" s="569">
        <v>5.7</v>
      </c>
      <c r="R513" s="569">
        <v>94.8</v>
      </c>
      <c r="S513" s="569">
        <v>9.4</v>
      </c>
      <c r="T513" s="569">
        <v>72.400000000000006</v>
      </c>
      <c r="U513" s="569">
        <v>6.7</v>
      </c>
      <c r="V513" s="569">
        <v>54</v>
      </c>
      <c r="W513" s="569">
        <v>5.3</v>
      </c>
      <c r="X513" s="569">
        <v>69.3</v>
      </c>
      <c r="Y513" s="569">
        <v>5.7</v>
      </c>
      <c r="Z513" s="569">
        <v>94.8</v>
      </c>
      <c r="AA513" s="569">
        <v>9.4</v>
      </c>
      <c r="AB513" s="569">
        <v>72.400000000000006</v>
      </c>
      <c r="AC513" s="569">
        <v>6.7</v>
      </c>
      <c r="AD513" s="569">
        <v>54</v>
      </c>
      <c r="AE513" s="569">
        <v>54</v>
      </c>
      <c r="AF513">
        <v>513</v>
      </c>
      <c r="AG513" s="438">
        <f>IF(INDEX(D:AE,AF513,ADP!$AF$6)=0,"",INDEX(D:AE,AF513,ADP!$AF$6)+AH513)</f>
        <v>54.000512000000001</v>
      </c>
      <c r="AH513">
        <f t="shared" si="7"/>
        <v>5.1200000000000594E-4</v>
      </c>
    </row>
    <row r="514" spans="1:34" ht="15.75" thickBot="1" x14ac:dyDescent="0.3">
      <c r="A514" s="569" t="s">
        <v>2144</v>
      </c>
      <c r="B514" s="569" t="s">
        <v>156</v>
      </c>
      <c r="C514" s="569" t="s">
        <v>6</v>
      </c>
      <c r="D514" s="569"/>
      <c r="E514" s="569"/>
      <c r="F514" s="569"/>
      <c r="G514" s="569"/>
      <c r="H514" s="569"/>
      <c r="I514" s="569"/>
      <c r="J514" s="569"/>
      <c r="K514" s="569"/>
      <c r="L514" s="569"/>
      <c r="M514" s="569"/>
      <c r="N514" s="569"/>
      <c r="O514" s="569"/>
      <c r="P514" s="569"/>
      <c r="Q514" s="569"/>
      <c r="R514" s="569"/>
      <c r="S514" s="569"/>
      <c r="T514" s="569"/>
      <c r="U514" s="569"/>
      <c r="V514" s="569"/>
      <c r="W514" s="569"/>
      <c r="X514" s="569"/>
      <c r="Y514" s="569"/>
      <c r="Z514" s="569"/>
      <c r="AA514" s="569"/>
      <c r="AB514" s="569"/>
      <c r="AC514" s="569"/>
      <c r="AD514" s="569"/>
      <c r="AE514" s="569"/>
      <c r="AF514">
        <v>514</v>
      </c>
      <c r="AG514" s="438" t="str">
        <f>IF(INDEX(D:AE,AF514,ADP!$AF$6)=0,"",INDEX(D:AE,AF514,ADP!$AF$6)+AH514)</f>
        <v/>
      </c>
      <c r="AH514">
        <f t="shared" si="7"/>
        <v>5.1300000000000596E-4</v>
      </c>
    </row>
    <row r="515" spans="1:34" ht="15.75" thickBot="1" x14ac:dyDescent="0.3">
      <c r="A515" s="569" t="s">
        <v>2209</v>
      </c>
      <c r="B515" s="569" t="s">
        <v>147</v>
      </c>
      <c r="C515" s="569" t="s">
        <v>6</v>
      </c>
      <c r="D515" s="569"/>
      <c r="E515" s="569"/>
      <c r="F515" s="569"/>
      <c r="G515" s="569"/>
      <c r="H515" s="569"/>
      <c r="I515" s="569"/>
      <c r="J515" s="569"/>
      <c r="K515" s="569"/>
      <c r="L515" s="569"/>
      <c r="M515" s="569"/>
      <c r="N515" s="569"/>
      <c r="O515" s="569"/>
      <c r="P515" s="569"/>
      <c r="Q515" s="569"/>
      <c r="R515" s="569"/>
      <c r="S515" s="569"/>
      <c r="T515" s="569"/>
      <c r="U515" s="569"/>
      <c r="V515" s="569"/>
      <c r="W515" s="569"/>
      <c r="X515" s="569"/>
      <c r="Y515" s="569"/>
      <c r="Z515" s="569"/>
      <c r="AA515" s="569"/>
      <c r="AB515" s="569"/>
      <c r="AC515" s="569"/>
      <c r="AD515" s="569"/>
      <c r="AE515" s="569"/>
      <c r="AF515">
        <v>515</v>
      </c>
      <c r="AG515" s="438" t="str">
        <f>IF(INDEX(D:AE,AF515,ADP!$AF$6)=0,"",INDEX(D:AE,AF515,ADP!$AF$6)+AH515)</f>
        <v/>
      </c>
      <c r="AH515">
        <f t="shared" si="7"/>
        <v>5.1400000000000599E-4</v>
      </c>
    </row>
    <row r="516" spans="1:34" ht="15.75" thickBot="1" x14ac:dyDescent="0.3">
      <c r="A516" s="569" t="s">
        <v>2493</v>
      </c>
      <c r="B516" s="569" t="s">
        <v>138</v>
      </c>
      <c r="C516" s="569" t="s">
        <v>3</v>
      </c>
      <c r="D516" s="569"/>
      <c r="E516" s="569"/>
      <c r="F516" s="569"/>
      <c r="G516" s="569"/>
      <c r="H516" s="569"/>
      <c r="I516" s="569"/>
      <c r="J516" s="569"/>
      <c r="K516" s="569"/>
      <c r="L516" s="569"/>
      <c r="M516" s="569"/>
      <c r="N516" s="569"/>
      <c r="O516" s="569"/>
      <c r="P516" s="569"/>
      <c r="Q516" s="569"/>
      <c r="R516" s="569"/>
      <c r="S516" s="569"/>
      <c r="T516" s="569"/>
      <c r="U516" s="569"/>
      <c r="V516" s="569"/>
      <c r="W516" s="569"/>
      <c r="X516" s="569"/>
      <c r="Y516" s="569"/>
      <c r="Z516" s="569"/>
      <c r="AA516" s="569"/>
      <c r="AB516" s="569"/>
      <c r="AC516" s="569"/>
      <c r="AD516" s="569"/>
      <c r="AE516" s="569"/>
      <c r="AF516">
        <v>516</v>
      </c>
      <c r="AG516" s="438" t="str">
        <f>IF(INDEX(D:AE,AF516,ADP!$AF$6)=0,"",INDEX(D:AE,AF516,ADP!$AF$6)+AH516)</f>
        <v/>
      </c>
      <c r="AH516">
        <f t="shared" si="7"/>
        <v>5.1500000000000601E-4</v>
      </c>
    </row>
    <row r="517" spans="1:34" ht="15.75" thickBot="1" x14ac:dyDescent="0.3">
      <c r="A517" s="569" t="s">
        <v>2196</v>
      </c>
      <c r="B517" s="569" t="s">
        <v>137</v>
      </c>
      <c r="C517" s="569" t="s">
        <v>6</v>
      </c>
      <c r="D517" s="569">
        <v>31.8</v>
      </c>
      <c r="E517" s="569">
        <v>4.2</v>
      </c>
      <c r="F517" s="569">
        <v>30</v>
      </c>
      <c r="G517" s="569">
        <v>4.0999999999999996</v>
      </c>
      <c r="H517" s="569">
        <v>23</v>
      </c>
      <c r="I517" s="569">
        <v>2.9</v>
      </c>
      <c r="J517" s="569">
        <v>31.8</v>
      </c>
      <c r="K517" s="569">
        <v>4.2</v>
      </c>
      <c r="L517" s="569">
        <v>30</v>
      </c>
      <c r="M517" s="569">
        <v>4.0999999999999996</v>
      </c>
      <c r="N517" s="569">
        <v>23</v>
      </c>
      <c r="O517" s="569">
        <v>2.9</v>
      </c>
      <c r="P517" s="569">
        <v>54.8</v>
      </c>
      <c r="Q517" s="569">
        <v>7.8</v>
      </c>
      <c r="R517" s="569">
        <v>31.8</v>
      </c>
      <c r="S517" s="569">
        <v>4.2</v>
      </c>
      <c r="T517" s="569">
        <v>30</v>
      </c>
      <c r="U517" s="569">
        <v>4.0999999999999996</v>
      </c>
      <c r="V517" s="569">
        <v>23</v>
      </c>
      <c r="W517" s="569">
        <v>2.9</v>
      </c>
      <c r="X517" s="569">
        <v>54.8</v>
      </c>
      <c r="Y517" s="569">
        <v>7.8</v>
      </c>
      <c r="Z517" s="569">
        <v>31.8</v>
      </c>
      <c r="AA517" s="569">
        <v>4.2</v>
      </c>
      <c r="AB517" s="569">
        <v>30</v>
      </c>
      <c r="AC517" s="569">
        <v>4.0999999999999996</v>
      </c>
      <c r="AD517" s="569">
        <v>23</v>
      </c>
      <c r="AE517" s="569">
        <v>23</v>
      </c>
      <c r="AF517">
        <v>517</v>
      </c>
      <c r="AG517" s="438">
        <f>IF(INDEX(D:AE,AF517,ADP!$AF$6)=0,"",INDEX(D:AE,AF517,ADP!$AF$6)+AH517)</f>
        <v>23.000516000000001</v>
      </c>
      <c r="AH517">
        <f t="shared" si="7"/>
        <v>5.1600000000000604E-4</v>
      </c>
    </row>
    <row r="518" spans="1:34" ht="15.75" thickBot="1" x14ac:dyDescent="0.3">
      <c r="A518" s="569" t="s">
        <v>2494</v>
      </c>
      <c r="B518" s="569" t="s">
        <v>166</v>
      </c>
      <c r="C518" s="569" t="s">
        <v>3</v>
      </c>
      <c r="D518" s="569">
        <v>105.8</v>
      </c>
      <c r="E518" s="569">
        <v>6.8</v>
      </c>
      <c r="F518" s="569">
        <v>112.5</v>
      </c>
      <c r="G518" s="569">
        <v>8.1</v>
      </c>
      <c r="H518" s="569">
        <v>115.9</v>
      </c>
      <c r="I518" s="569">
        <v>8.6</v>
      </c>
      <c r="J518" s="569">
        <v>105.8</v>
      </c>
      <c r="K518" s="569">
        <v>6.8</v>
      </c>
      <c r="L518" s="569">
        <v>112.5</v>
      </c>
      <c r="M518" s="569">
        <v>8.1</v>
      </c>
      <c r="N518" s="569">
        <v>115.9</v>
      </c>
      <c r="O518" s="569">
        <v>8.6</v>
      </c>
      <c r="P518" s="569">
        <v>136.80000000000001</v>
      </c>
      <c r="Q518" s="569">
        <v>20.2</v>
      </c>
      <c r="R518" s="569">
        <v>105.8</v>
      </c>
      <c r="S518" s="569">
        <v>6.8</v>
      </c>
      <c r="T518" s="569">
        <v>112.5</v>
      </c>
      <c r="U518" s="569">
        <v>8.1</v>
      </c>
      <c r="V518" s="569">
        <v>115.9</v>
      </c>
      <c r="W518" s="569">
        <v>8.6</v>
      </c>
      <c r="X518" s="569">
        <v>136.80000000000001</v>
      </c>
      <c r="Y518" s="569">
        <v>20.2</v>
      </c>
      <c r="Z518" s="569">
        <v>105.8</v>
      </c>
      <c r="AA518" s="569">
        <v>6.8</v>
      </c>
      <c r="AB518" s="569">
        <v>112.5</v>
      </c>
      <c r="AC518" s="569">
        <v>8.1</v>
      </c>
      <c r="AD518" s="569">
        <v>115.9</v>
      </c>
      <c r="AE518" s="569">
        <v>115.9</v>
      </c>
      <c r="AF518">
        <v>518</v>
      </c>
      <c r="AG518" s="438">
        <f>IF(INDEX(D:AE,AF518,ADP!$AF$6)=0,"",INDEX(D:AE,AF518,ADP!$AF$6)+AH518)</f>
        <v>115.90051700000001</v>
      </c>
      <c r="AH518">
        <f t="shared" ref="AH518:AH581" si="8">AH517+0.000001</f>
        <v>5.1700000000000606E-4</v>
      </c>
    </row>
    <row r="519" spans="1:34" ht="15.75" thickBot="1" x14ac:dyDescent="0.3">
      <c r="A519" s="569" t="s">
        <v>1866</v>
      </c>
      <c r="B519" s="569" t="s">
        <v>151</v>
      </c>
      <c r="C519" s="569" t="s">
        <v>3</v>
      </c>
      <c r="D519" s="569">
        <v>126</v>
      </c>
      <c r="E519" s="569">
        <v>8</v>
      </c>
      <c r="F519" s="569">
        <v>122.8</v>
      </c>
      <c r="G519" s="569">
        <v>8.8000000000000007</v>
      </c>
      <c r="H519" s="569">
        <v>128.9</v>
      </c>
      <c r="I519" s="569">
        <v>12.8</v>
      </c>
      <c r="J519" s="569">
        <v>126</v>
      </c>
      <c r="K519" s="569">
        <v>8</v>
      </c>
      <c r="L519" s="569">
        <v>122.8</v>
      </c>
      <c r="M519" s="569">
        <v>8.8000000000000007</v>
      </c>
      <c r="N519" s="569">
        <v>128.9</v>
      </c>
      <c r="O519" s="569">
        <v>12.8</v>
      </c>
      <c r="P519" s="569">
        <v>123.4</v>
      </c>
      <c r="Q519" s="569">
        <v>9.6</v>
      </c>
      <c r="R519" s="569">
        <v>126</v>
      </c>
      <c r="S519" s="569">
        <v>8</v>
      </c>
      <c r="T519" s="569">
        <v>122.8</v>
      </c>
      <c r="U519" s="569">
        <v>8.8000000000000007</v>
      </c>
      <c r="V519" s="569">
        <v>128.9</v>
      </c>
      <c r="W519" s="569">
        <v>12.8</v>
      </c>
      <c r="X519" s="569">
        <v>123.4</v>
      </c>
      <c r="Y519" s="569">
        <v>9.6</v>
      </c>
      <c r="Z519" s="569">
        <v>126</v>
      </c>
      <c r="AA519" s="569">
        <v>8</v>
      </c>
      <c r="AB519" s="569">
        <v>122.8</v>
      </c>
      <c r="AC519" s="569">
        <v>8.8000000000000007</v>
      </c>
      <c r="AD519" s="569">
        <v>128.9</v>
      </c>
      <c r="AE519" s="569">
        <v>128.9</v>
      </c>
      <c r="AF519">
        <v>519</v>
      </c>
      <c r="AG519" s="438">
        <f>IF(INDEX(D:AE,AF519,ADP!$AF$6)=0,"",INDEX(D:AE,AF519,ADP!$AF$6)+AH519)</f>
        <v>128.90051800000001</v>
      </c>
      <c r="AH519">
        <f t="shared" si="8"/>
        <v>5.1800000000000609E-4</v>
      </c>
    </row>
    <row r="520" spans="1:34" ht="15.75" thickBot="1" x14ac:dyDescent="0.3">
      <c r="A520" s="569" t="s">
        <v>2100</v>
      </c>
      <c r="B520" s="569" t="s">
        <v>162</v>
      </c>
      <c r="C520" s="569" t="s">
        <v>6</v>
      </c>
      <c r="D520" s="569"/>
      <c r="E520" s="569"/>
      <c r="F520" s="569"/>
      <c r="G520" s="569"/>
      <c r="H520" s="569"/>
      <c r="I520" s="569"/>
      <c r="J520" s="569"/>
      <c r="K520" s="569"/>
      <c r="L520" s="569"/>
      <c r="M520" s="569"/>
      <c r="N520" s="569"/>
      <c r="O520" s="569"/>
      <c r="P520" s="569"/>
      <c r="Q520" s="569"/>
      <c r="R520" s="569"/>
      <c r="S520" s="569"/>
      <c r="T520" s="569"/>
      <c r="U520" s="569"/>
      <c r="V520" s="569"/>
      <c r="W520" s="569"/>
      <c r="X520" s="569"/>
      <c r="Y520" s="569"/>
      <c r="Z520" s="569"/>
      <c r="AA520" s="569"/>
      <c r="AB520" s="569"/>
      <c r="AC520" s="569"/>
      <c r="AD520" s="569"/>
      <c r="AE520" s="569"/>
      <c r="AF520">
        <v>520</v>
      </c>
      <c r="AG520" s="438" t="str">
        <f>IF(INDEX(D:AE,AF520,ADP!$AF$6)=0,"",INDEX(D:AE,AF520,ADP!$AF$6)+AH520)</f>
        <v/>
      </c>
      <c r="AH520">
        <f t="shared" si="8"/>
        <v>5.1900000000000611E-4</v>
      </c>
    </row>
    <row r="521" spans="1:34" ht="15.75" thickBot="1" x14ac:dyDescent="0.3">
      <c r="A521" s="569" t="s">
        <v>2106</v>
      </c>
      <c r="B521" s="569" t="s">
        <v>145</v>
      </c>
      <c r="C521" s="569" t="s">
        <v>7</v>
      </c>
      <c r="D521" s="574"/>
      <c r="E521" s="574"/>
      <c r="F521" s="574"/>
      <c r="G521" s="574"/>
      <c r="H521" s="574"/>
      <c r="I521" s="574"/>
      <c r="J521" s="574"/>
      <c r="K521" s="574"/>
      <c r="L521" s="574"/>
      <c r="M521" s="574"/>
      <c r="N521" s="574"/>
      <c r="O521" s="574"/>
      <c r="P521" s="574"/>
      <c r="Q521" s="574"/>
      <c r="R521" s="574"/>
      <c r="S521" s="574"/>
      <c r="T521" s="574"/>
      <c r="U521" s="574"/>
      <c r="V521" s="574"/>
      <c r="W521" s="574"/>
      <c r="X521" s="574"/>
      <c r="Y521" s="574"/>
      <c r="Z521" s="574"/>
      <c r="AA521" s="574"/>
      <c r="AB521" s="574"/>
      <c r="AC521" s="574"/>
      <c r="AD521" s="574"/>
      <c r="AE521" s="574"/>
      <c r="AF521">
        <v>521</v>
      </c>
      <c r="AG521" s="438" t="str">
        <f>IF(INDEX(D:AE,AF521,ADP!$AF$6)=0,"",INDEX(D:AE,AF521,ADP!$AF$6)+AH521)</f>
        <v/>
      </c>
      <c r="AH521">
        <f t="shared" si="8"/>
        <v>5.2000000000000613E-4</v>
      </c>
    </row>
    <row r="522" spans="1:34" ht="15.75" thickBot="1" x14ac:dyDescent="0.3">
      <c r="A522" s="569" t="s">
        <v>2495</v>
      </c>
      <c r="B522" s="569" t="s">
        <v>149</v>
      </c>
      <c r="C522" s="569" t="s">
        <v>6</v>
      </c>
      <c r="D522" s="574"/>
      <c r="E522" s="574"/>
      <c r="F522" s="574"/>
      <c r="G522" s="574"/>
      <c r="H522" s="574"/>
      <c r="I522" s="574"/>
      <c r="J522" s="574"/>
      <c r="K522" s="574"/>
      <c r="L522" s="574"/>
      <c r="M522" s="574"/>
      <c r="N522" s="574"/>
      <c r="O522" s="574"/>
      <c r="P522" s="574"/>
      <c r="Q522" s="574"/>
      <c r="R522" s="574"/>
      <c r="S522" s="574"/>
      <c r="T522" s="574"/>
      <c r="U522" s="574"/>
      <c r="V522" s="574"/>
      <c r="W522" s="574"/>
      <c r="X522" s="574"/>
      <c r="Y522" s="574"/>
      <c r="Z522" s="574"/>
      <c r="AA522" s="574"/>
      <c r="AB522" s="574"/>
      <c r="AC522" s="574"/>
      <c r="AD522" s="574"/>
      <c r="AE522" s="574"/>
      <c r="AF522">
        <v>522</v>
      </c>
      <c r="AG522" s="438" t="str">
        <f>IF(INDEX(D:AE,AF522,ADP!$AF$6)=0,"",INDEX(D:AE,AF522,ADP!$AF$6)+AH522)</f>
        <v/>
      </c>
      <c r="AH522">
        <f t="shared" si="8"/>
        <v>5.2100000000000616E-4</v>
      </c>
    </row>
    <row r="523" spans="1:34" ht="15.75" thickBot="1" x14ac:dyDescent="0.3">
      <c r="A523" s="569" t="s">
        <v>1208</v>
      </c>
      <c r="B523" s="569" t="s">
        <v>157</v>
      </c>
      <c r="C523" s="569" t="s">
        <v>6</v>
      </c>
      <c r="D523" s="574"/>
      <c r="E523" s="574"/>
      <c r="F523" s="574"/>
      <c r="G523" s="574"/>
      <c r="H523" s="574"/>
      <c r="I523" s="574"/>
      <c r="J523" s="574"/>
      <c r="K523" s="574"/>
      <c r="L523" s="574"/>
      <c r="M523" s="574"/>
      <c r="N523" s="574"/>
      <c r="O523" s="574"/>
      <c r="P523" s="574"/>
      <c r="Q523" s="574"/>
      <c r="R523" s="574"/>
      <c r="S523" s="574"/>
      <c r="T523" s="574"/>
      <c r="U523" s="574"/>
      <c r="V523" s="574"/>
      <c r="W523" s="574"/>
      <c r="X523" s="574"/>
      <c r="Y523" s="574"/>
      <c r="Z523" s="574"/>
      <c r="AA523" s="574"/>
      <c r="AB523" s="574"/>
      <c r="AC523" s="574"/>
      <c r="AD523" s="574"/>
      <c r="AE523" s="574"/>
      <c r="AF523">
        <v>523</v>
      </c>
      <c r="AG523" s="438" t="str">
        <f>IF(INDEX(D:AE,AF523,ADP!$AF$6)=0,"",INDEX(D:AE,AF523,ADP!$AF$6)+AH523)</f>
        <v/>
      </c>
      <c r="AH523">
        <f t="shared" si="8"/>
        <v>5.2200000000000618E-4</v>
      </c>
    </row>
    <row r="524" spans="1:34" ht="15.75" thickBot="1" x14ac:dyDescent="0.3">
      <c r="A524" s="569" t="s">
        <v>2496</v>
      </c>
      <c r="B524" s="569" t="s">
        <v>146</v>
      </c>
      <c r="C524" s="569" t="s">
        <v>3</v>
      </c>
      <c r="D524" s="569"/>
      <c r="E524" s="569"/>
      <c r="F524" s="569"/>
      <c r="G524" s="569"/>
      <c r="H524" s="569"/>
      <c r="I524" s="569"/>
      <c r="J524" s="569"/>
      <c r="K524" s="569"/>
      <c r="L524" s="569"/>
      <c r="M524" s="569"/>
      <c r="N524" s="569"/>
      <c r="O524" s="569"/>
      <c r="P524" s="569"/>
      <c r="Q524" s="569"/>
      <c r="R524" s="569"/>
      <c r="S524" s="569"/>
      <c r="T524" s="569"/>
      <c r="U524" s="569"/>
      <c r="V524" s="569"/>
      <c r="W524" s="569"/>
      <c r="X524" s="569"/>
      <c r="Y524" s="569"/>
      <c r="Z524" s="569"/>
      <c r="AA524" s="569"/>
      <c r="AB524" s="569"/>
      <c r="AC524" s="569"/>
      <c r="AD524" s="569"/>
      <c r="AE524" s="569"/>
      <c r="AF524">
        <v>524</v>
      </c>
      <c r="AG524" s="438" t="str">
        <f>IF(INDEX(D:AE,AF524,ADP!$AF$6)=0,"",INDEX(D:AE,AF524,ADP!$AF$6)+AH524)</f>
        <v/>
      </c>
      <c r="AH524">
        <f t="shared" si="8"/>
        <v>5.2300000000000621E-4</v>
      </c>
    </row>
    <row r="525" spans="1:34" ht="15.75" thickBot="1" x14ac:dyDescent="0.3">
      <c r="A525" s="569" t="s">
        <v>142</v>
      </c>
      <c r="B525" s="569" t="s">
        <v>142</v>
      </c>
      <c r="C525" s="569" t="s">
        <v>160</v>
      </c>
      <c r="D525" s="574"/>
      <c r="E525" s="574"/>
      <c r="F525" s="574"/>
      <c r="G525" s="574"/>
      <c r="H525" s="574"/>
      <c r="I525" s="574"/>
      <c r="J525" s="574"/>
      <c r="K525" s="574"/>
      <c r="L525" s="574"/>
      <c r="M525" s="574"/>
      <c r="N525" s="574"/>
      <c r="O525" s="574"/>
      <c r="P525" s="574"/>
      <c r="Q525" s="574"/>
      <c r="R525" s="574"/>
      <c r="S525" s="574"/>
      <c r="T525" s="574"/>
      <c r="U525" s="574"/>
      <c r="V525" s="574"/>
      <c r="W525" s="574"/>
      <c r="X525" s="574"/>
      <c r="Y525" s="574"/>
      <c r="Z525" s="574"/>
      <c r="AA525" s="574"/>
      <c r="AB525" s="574"/>
      <c r="AC525" s="574"/>
      <c r="AD525" s="574"/>
      <c r="AE525" s="574"/>
      <c r="AF525">
        <v>525</v>
      </c>
      <c r="AG525" s="438" t="str">
        <f>IF(INDEX(D:AE,AF525,ADP!$AF$6)=0,"",INDEX(D:AE,AF525,ADP!$AF$6)+AH525)</f>
        <v/>
      </c>
      <c r="AH525">
        <f t="shared" si="8"/>
        <v>5.2400000000000623E-4</v>
      </c>
    </row>
    <row r="526" spans="1:34" ht="15.75" thickBot="1" x14ac:dyDescent="0.3">
      <c r="A526" s="569" t="s">
        <v>2282</v>
      </c>
      <c r="B526" s="569" t="s">
        <v>148</v>
      </c>
      <c r="C526" s="569" t="s">
        <v>1</v>
      </c>
      <c r="D526" s="569"/>
      <c r="E526" s="569"/>
      <c r="F526" s="569"/>
      <c r="G526" s="569"/>
      <c r="H526" s="569"/>
      <c r="I526" s="569"/>
      <c r="J526" s="569"/>
      <c r="K526" s="569"/>
      <c r="L526" s="569"/>
      <c r="M526" s="569"/>
      <c r="N526" s="569"/>
      <c r="O526" s="569"/>
      <c r="P526" s="569">
        <v>132.80000000000001</v>
      </c>
      <c r="Q526" s="569">
        <v>22.6</v>
      </c>
      <c r="R526" s="569"/>
      <c r="S526" s="569"/>
      <c r="T526" s="569"/>
      <c r="U526" s="569"/>
      <c r="V526" s="569"/>
      <c r="W526" s="569"/>
      <c r="X526" s="569">
        <v>132.80000000000001</v>
      </c>
      <c r="Y526" s="569">
        <v>22.6</v>
      </c>
      <c r="Z526" s="569"/>
      <c r="AA526" s="569"/>
      <c r="AB526" s="569"/>
      <c r="AC526" s="569"/>
      <c r="AD526" s="569"/>
      <c r="AE526" s="569"/>
      <c r="AF526">
        <v>526</v>
      </c>
      <c r="AG526" s="438" t="str">
        <f>IF(INDEX(D:AE,AF526,ADP!$AF$6)=0,"",INDEX(D:AE,AF526,ADP!$AF$6)+AH526)</f>
        <v/>
      </c>
      <c r="AH526">
        <f t="shared" si="8"/>
        <v>5.2500000000000626E-4</v>
      </c>
    </row>
    <row r="527" spans="1:34" ht="15.75" thickBot="1" x14ac:dyDescent="0.3">
      <c r="A527" s="569" t="s">
        <v>1431</v>
      </c>
      <c r="B527" s="569" t="s">
        <v>161</v>
      </c>
      <c r="C527" s="569" t="s">
        <v>1</v>
      </c>
      <c r="D527" s="569">
        <v>85</v>
      </c>
      <c r="E527" s="569">
        <v>7.8</v>
      </c>
      <c r="F527" s="569">
        <v>69.2</v>
      </c>
      <c r="G527" s="569">
        <v>8.6999999999999993</v>
      </c>
      <c r="H527" s="569">
        <v>74.099999999999994</v>
      </c>
      <c r="I527" s="569">
        <v>8.8000000000000007</v>
      </c>
      <c r="J527" s="569">
        <v>85</v>
      </c>
      <c r="K527" s="569">
        <v>7.8</v>
      </c>
      <c r="L527" s="569">
        <v>69.2</v>
      </c>
      <c r="M527" s="569">
        <v>8.6999999999999993</v>
      </c>
      <c r="N527" s="569">
        <v>74.099999999999994</v>
      </c>
      <c r="O527" s="569">
        <v>8.8000000000000007</v>
      </c>
      <c r="P527" s="569">
        <v>50.4</v>
      </c>
      <c r="Q527" s="569">
        <v>11</v>
      </c>
      <c r="R527" s="569">
        <v>85</v>
      </c>
      <c r="S527" s="569">
        <v>7.8</v>
      </c>
      <c r="T527" s="569">
        <v>69.2</v>
      </c>
      <c r="U527" s="569">
        <v>8.6999999999999993</v>
      </c>
      <c r="V527" s="569">
        <v>74.099999999999994</v>
      </c>
      <c r="W527" s="569">
        <v>8.8000000000000007</v>
      </c>
      <c r="X527" s="569">
        <v>50.4</v>
      </c>
      <c r="Y527" s="569">
        <v>11</v>
      </c>
      <c r="Z527" s="569">
        <v>85</v>
      </c>
      <c r="AA527" s="569">
        <v>7.8</v>
      </c>
      <c r="AB527" s="569">
        <v>69.2</v>
      </c>
      <c r="AC527" s="569">
        <v>8.6999999999999993</v>
      </c>
      <c r="AD527" s="569">
        <v>74.099999999999994</v>
      </c>
      <c r="AE527" s="569">
        <v>74.099999999999994</v>
      </c>
      <c r="AF527">
        <v>527</v>
      </c>
      <c r="AG527" s="438">
        <f>IF(INDEX(D:AE,AF527,ADP!$AF$6)=0,"",INDEX(D:AE,AF527,ADP!$AF$6)+AH527)</f>
        <v>74.100525999999988</v>
      </c>
      <c r="AH527">
        <f t="shared" si="8"/>
        <v>5.2600000000000628E-4</v>
      </c>
    </row>
    <row r="528" spans="1:34" ht="15.75" thickBot="1" x14ac:dyDescent="0.3">
      <c r="A528" s="569" t="s">
        <v>1180</v>
      </c>
      <c r="B528" s="569" t="s">
        <v>163</v>
      </c>
      <c r="C528" s="569" t="s">
        <v>3</v>
      </c>
      <c r="D528" s="569">
        <v>9.6</v>
      </c>
      <c r="E528" s="569">
        <v>2.1</v>
      </c>
      <c r="F528" s="569">
        <v>11.9</v>
      </c>
      <c r="G528" s="569">
        <v>2.8</v>
      </c>
      <c r="H528" s="569">
        <v>17.100000000000001</v>
      </c>
      <c r="I528" s="569">
        <v>3</v>
      </c>
      <c r="J528" s="569">
        <v>9.6</v>
      </c>
      <c r="K528" s="569">
        <v>2.1</v>
      </c>
      <c r="L528" s="569">
        <v>11.9</v>
      </c>
      <c r="M528" s="569">
        <v>2.8</v>
      </c>
      <c r="N528" s="569">
        <v>17.100000000000001</v>
      </c>
      <c r="O528" s="569">
        <v>3</v>
      </c>
      <c r="P528" s="569">
        <v>23.1</v>
      </c>
      <c r="Q528" s="569">
        <v>3.3</v>
      </c>
      <c r="R528" s="569">
        <v>9.6</v>
      </c>
      <c r="S528" s="569">
        <v>2.1</v>
      </c>
      <c r="T528" s="569">
        <v>11.9</v>
      </c>
      <c r="U528" s="569">
        <v>2.8</v>
      </c>
      <c r="V528" s="569">
        <v>17.100000000000001</v>
      </c>
      <c r="W528" s="569">
        <v>3</v>
      </c>
      <c r="X528" s="569">
        <v>23.1</v>
      </c>
      <c r="Y528" s="569">
        <v>3.3</v>
      </c>
      <c r="Z528" s="569">
        <v>9.6</v>
      </c>
      <c r="AA528" s="569">
        <v>2.1</v>
      </c>
      <c r="AB528" s="569">
        <v>11.9</v>
      </c>
      <c r="AC528" s="569">
        <v>2.8</v>
      </c>
      <c r="AD528" s="569">
        <v>17.100000000000001</v>
      </c>
      <c r="AE528" s="569">
        <v>17.100000000000001</v>
      </c>
      <c r="AF528">
        <v>528</v>
      </c>
      <c r="AG528" s="438">
        <f>IF(INDEX(D:AE,AF528,ADP!$AF$6)=0,"",INDEX(D:AE,AF528,ADP!$AF$6)+AH528)</f>
        <v>17.100527000000003</v>
      </c>
      <c r="AH528">
        <f t="shared" si="8"/>
        <v>5.270000000000063E-4</v>
      </c>
    </row>
    <row r="529" spans="1:34" ht="15.75" thickBot="1" x14ac:dyDescent="0.3">
      <c r="A529" s="569" t="s">
        <v>2119</v>
      </c>
      <c r="B529" s="569" t="s">
        <v>165</v>
      </c>
      <c r="C529" s="569" t="s">
        <v>3</v>
      </c>
      <c r="D529" s="574"/>
      <c r="E529" s="574"/>
      <c r="F529" s="574"/>
      <c r="G529" s="574"/>
      <c r="H529" s="574"/>
      <c r="I529" s="574"/>
      <c r="J529" s="574"/>
      <c r="K529" s="574"/>
      <c r="L529" s="574"/>
      <c r="M529" s="574"/>
      <c r="N529" s="574"/>
      <c r="O529" s="574"/>
      <c r="P529" s="569"/>
      <c r="Q529" s="569"/>
      <c r="R529" s="574"/>
      <c r="S529" s="574"/>
      <c r="T529" s="574"/>
      <c r="U529" s="574"/>
      <c r="V529" s="574"/>
      <c r="W529" s="574"/>
      <c r="X529" s="569"/>
      <c r="Y529" s="569"/>
      <c r="Z529" s="574"/>
      <c r="AA529" s="574"/>
      <c r="AB529" s="574"/>
      <c r="AC529" s="574"/>
      <c r="AD529" s="574"/>
      <c r="AE529" s="574"/>
      <c r="AF529">
        <v>529</v>
      </c>
      <c r="AG529" s="438" t="str">
        <f>IF(INDEX(D:AE,AF529,ADP!$AF$6)=0,"",INDEX(D:AE,AF529,ADP!$AF$6)+AH529)</f>
        <v/>
      </c>
      <c r="AH529">
        <f t="shared" si="8"/>
        <v>5.2800000000000633E-4</v>
      </c>
    </row>
    <row r="530" spans="1:34" ht="15.75" thickBot="1" x14ac:dyDescent="0.3">
      <c r="A530" s="569" t="s">
        <v>2558</v>
      </c>
      <c r="B530" s="569" t="s">
        <v>1388</v>
      </c>
      <c r="C530" s="569" t="s">
        <v>6</v>
      </c>
      <c r="D530" s="574"/>
      <c r="E530" s="574"/>
      <c r="F530" s="574"/>
      <c r="G530" s="574"/>
      <c r="H530" s="574"/>
      <c r="I530" s="574"/>
      <c r="J530" s="574"/>
      <c r="K530" s="574"/>
      <c r="L530" s="574"/>
      <c r="M530" s="574"/>
      <c r="N530" s="574"/>
      <c r="O530" s="574"/>
      <c r="P530" s="574"/>
      <c r="Q530" s="574"/>
      <c r="R530" s="574"/>
      <c r="S530" s="574"/>
      <c r="T530" s="574"/>
      <c r="U530" s="574"/>
      <c r="V530" s="574"/>
      <c r="W530" s="574"/>
      <c r="X530" s="574"/>
      <c r="Y530" s="574"/>
      <c r="Z530" s="574"/>
      <c r="AA530" s="574"/>
      <c r="AB530" s="574"/>
      <c r="AC530" s="574"/>
      <c r="AD530" s="574"/>
      <c r="AE530" s="574"/>
      <c r="AF530">
        <v>530</v>
      </c>
      <c r="AG530" s="438" t="str">
        <f>IF(INDEX(D:AE,AF530,ADP!$AF$6)=0,"",INDEX(D:AE,AF530,ADP!$AF$6)+AH530)</f>
        <v/>
      </c>
      <c r="AH530">
        <f t="shared" si="8"/>
        <v>5.2900000000000635E-4</v>
      </c>
    </row>
    <row r="531" spans="1:34" ht="15.75" thickBot="1" x14ac:dyDescent="0.3">
      <c r="A531" s="569" t="s">
        <v>176</v>
      </c>
      <c r="B531" s="569" t="s">
        <v>143</v>
      </c>
      <c r="C531" s="569" t="s">
        <v>1</v>
      </c>
      <c r="D531" s="569">
        <v>131.9</v>
      </c>
      <c r="E531" s="569">
        <v>14.6</v>
      </c>
      <c r="F531" s="569">
        <v>148.1</v>
      </c>
      <c r="G531" s="569">
        <v>18.399999999999999</v>
      </c>
      <c r="H531" s="569">
        <v>144.9</v>
      </c>
      <c r="I531" s="569">
        <v>18.5</v>
      </c>
      <c r="J531" s="569">
        <v>131.9</v>
      </c>
      <c r="K531" s="569">
        <v>14.6</v>
      </c>
      <c r="L531" s="569">
        <v>148.1</v>
      </c>
      <c r="M531" s="569">
        <v>18.399999999999999</v>
      </c>
      <c r="N531" s="569">
        <v>144.9</v>
      </c>
      <c r="O531" s="569">
        <v>18.5</v>
      </c>
      <c r="P531" s="569">
        <v>67.900000000000006</v>
      </c>
      <c r="Q531" s="569">
        <v>10.199999999999999</v>
      </c>
      <c r="R531" s="569">
        <v>131.9</v>
      </c>
      <c r="S531" s="569">
        <v>14.6</v>
      </c>
      <c r="T531" s="569">
        <v>148.1</v>
      </c>
      <c r="U531" s="569">
        <v>18.399999999999999</v>
      </c>
      <c r="V531" s="569">
        <v>144.9</v>
      </c>
      <c r="W531" s="569">
        <v>18.5</v>
      </c>
      <c r="X531" s="569">
        <v>67.900000000000006</v>
      </c>
      <c r="Y531" s="569">
        <v>10.199999999999999</v>
      </c>
      <c r="Z531" s="569">
        <v>131.9</v>
      </c>
      <c r="AA531" s="569">
        <v>14.6</v>
      </c>
      <c r="AB531" s="569">
        <v>148.1</v>
      </c>
      <c r="AC531" s="569">
        <v>18.399999999999999</v>
      </c>
      <c r="AD531" s="569">
        <v>144.9</v>
      </c>
      <c r="AE531" s="569">
        <v>144.9</v>
      </c>
      <c r="AF531">
        <v>531</v>
      </c>
      <c r="AG531" s="438">
        <f>IF(INDEX(D:AE,AF531,ADP!$AF$6)=0,"",INDEX(D:AE,AF531,ADP!$AF$6)+AH531)</f>
        <v>144.90053</v>
      </c>
      <c r="AH531">
        <f t="shared" si="8"/>
        <v>5.3000000000000638E-4</v>
      </c>
    </row>
    <row r="532" spans="1:34" ht="15.75" thickBot="1" x14ac:dyDescent="0.3">
      <c r="A532" s="569" t="s">
        <v>2497</v>
      </c>
      <c r="B532" s="569" t="s">
        <v>156</v>
      </c>
      <c r="C532" s="569" t="s">
        <v>6</v>
      </c>
      <c r="D532" s="569"/>
      <c r="E532" s="569"/>
      <c r="F532" s="569"/>
      <c r="G532" s="569"/>
      <c r="H532" s="569"/>
      <c r="I532" s="569"/>
      <c r="J532" s="569"/>
      <c r="K532" s="569"/>
      <c r="L532" s="569"/>
      <c r="M532" s="569"/>
      <c r="N532" s="569"/>
      <c r="O532" s="569"/>
      <c r="P532" s="569"/>
      <c r="Q532" s="569"/>
      <c r="R532" s="569"/>
      <c r="S532" s="569"/>
      <c r="T532" s="569"/>
      <c r="U532" s="569"/>
      <c r="V532" s="569"/>
      <c r="W532" s="569"/>
      <c r="X532" s="569"/>
      <c r="Y532" s="569"/>
      <c r="Z532" s="569"/>
      <c r="AA532" s="569"/>
      <c r="AB532" s="569"/>
      <c r="AC532" s="569"/>
      <c r="AD532" s="569"/>
      <c r="AE532" s="569"/>
      <c r="AF532">
        <v>532</v>
      </c>
      <c r="AG532" s="438" t="str">
        <f>IF(INDEX(D:AE,AF532,ADP!$AF$6)=0,"",INDEX(D:AE,AF532,ADP!$AF$6)+AH532)</f>
        <v/>
      </c>
      <c r="AH532">
        <f t="shared" si="8"/>
        <v>5.310000000000064E-4</v>
      </c>
    </row>
    <row r="533" spans="1:34" ht="15.75" thickBot="1" x14ac:dyDescent="0.3">
      <c r="A533" s="569" t="s">
        <v>2313</v>
      </c>
      <c r="B533" s="569" t="s">
        <v>158</v>
      </c>
      <c r="C533" s="569" t="s">
        <v>3</v>
      </c>
      <c r="D533" s="569"/>
      <c r="E533" s="569"/>
      <c r="F533" s="569"/>
      <c r="G533" s="569"/>
      <c r="H533" s="569"/>
      <c r="I533" s="569"/>
      <c r="J533" s="569"/>
      <c r="K533" s="569"/>
      <c r="L533" s="569"/>
      <c r="M533" s="569"/>
      <c r="N533" s="569"/>
      <c r="O533" s="569"/>
      <c r="P533" s="569"/>
      <c r="Q533" s="569"/>
      <c r="R533" s="569"/>
      <c r="S533" s="569"/>
      <c r="T533" s="569"/>
      <c r="U533" s="569"/>
      <c r="V533" s="569"/>
      <c r="W533" s="569"/>
      <c r="X533" s="569"/>
      <c r="Y533" s="569"/>
      <c r="Z533" s="569"/>
      <c r="AA533" s="569"/>
      <c r="AB533" s="569"/>
      <c r="AC533" s="569"/>
      <c r="AD533" s="569"/>
      <c r="AE533" s="569"/>
      <c r="AF533">
        <v>533</v>
      </c>
      <c r="AG533" s="438" t="str">
        <f>IF(INDEX(D:AE,AF533,ADP!$AF$6)=0,"",INDEX(D:AE,AF533,ADP!$AF$6)+AH533)</f>
        <v/>
      </c>
      <c r="AH533">
        <f t="shared" si="8"/>
        <v>5.3200000000000643E-4</v>
      </c>
    </row>
    <row r="534" spans="1:34" ht="15.75" thickBot="1" x14ac:dyDescent="0.3">
      <c r="A534" s="569" t="s">
        <v>2088</v>
      </c>
      <c r="B534" s="569" t="s">
        <v>142</v>
      </c>
      <c r="C534" s="569" t="s">
        <v>6</v>
      </c>
      <c r="D534" s="574"/>
      <c r="E534" s="574"/>
      <c r="F534" s="574"/>
      <c r="G534" s="574"/>
      <c r="H534" s="574"/>
      <c r="I534" s="574"/>
      <c r="J534" s="574"/>
      <c r="K534" s="574"/>
      <c r="L534" s="574"/>
      <c r="M534" s="574"/>
      <c r="N534" s="574"/>
      <c r="O534" s="574"/>
      <c r="P534" s="574"/>
      <c r="Q534" s="574"/>
      <c r="R534" s="574"/>
      <c r="S534" s="574"/>
      <c r="T534" s="574"/>
      <c r="U534" s="574"/>
      <c r="V534" s="574"/>
      <c r="W534" s="574"/>
      <c r="X534" s="574"/>
      <c r="Y534" s="574"/>
      <c r="Z534" s="574"/>
      <c r="AA534" s="574"/>
      <c r="AB534" s="574"/>
      <c r="AC534" s="574"/>
      <c r="AD534" s="574"/>
      <c r="AE534" s="574"/>
      <c r="AF534">
        <v>534</v>
      </c>
      <c r="AG534" s="438" t="str">
        <f>IF(INDEX(D:AE,AF534,ADP!$AF$6)=0,"",INDEX(D:AE,AF534,ADP!$AF$6)+AH534)</f>
        <v/>
      </c>
      <c r="AH534">
        <f t="shared" si="8"/>
        <v>5.3300000000000645E-4</v>
      </c>
    </row>
    <row r="535" spans="1:34" ht="15.75" thickBot="1" x14ac:dyDescent="0.3">
      <c r="A535" s="569" t="s">
        <v>2498</v>
      </c>
      <c r="B535" s="569" t="s">
        <v>146</v>
      </c>
      <c r="C535" s="569" t="s">
        <v>6</v>
      </c>
      <c r="D535" s="569"/>
      <c r="E535" s="569"/>
      <c r="F535" s="569"/>
      <c r="G535" s="569"/>
      <c r="H535" s="569"/>
      <c r="I535" s="569"/>
      <c r="J535" s="569"/>
      <c r="K535" s="569"/>
      <c r="L535" s="569"/>
      <c r="M535" s="569"/>
      <c r="N535" s="569"/>
      <c r="O535" s="569"/>
      <c r="P535" s="569"/>
      <c r="Q535" s="569"/>
      <c r="R535" s="569"/>
      <c r="S535" s="569"/>
      <c r="T535" s="569"/>
      <c r="U535" s="569"/>
      <c r="V535" s="569"/>
      <c r="W535" s="569"/>
      <c r="X535" s="569"/>
      <c r="Y535" s="569"/>
      <c r="Z535" s="569"/>
      <c r="AA535" s="569"/>
      <c r="AB535" s="569"/>
      <c r="AC535" s="569"/>
      <c r="AD535" s="569"/>
      <c r="AE535" s="569"/>
      <c r="AF535">
        <v>535</v>
      </c>
      <c r="AG535" s="438" t="str">
        <f>IF(INDEX(D:AE,AF535,ADP!$AF$6)=0,"",INDEX(D:AE,AF535,ADP!$AF$6)+AH535)</f>
        <v/>
      </c>
      <c r="AH535">
        <f t="shared" si="8"/>
        <v>5.3400000000000647E-4</v>
      </c>
    </row>
    <row r="536" spans="1:34" ht="15.75" thickBot="1" x14ac:dyDescent="0.3">
      <c r="A536" s="569" t="s">
        <v>2499</v>
      </c>
      <c r="B536" s="569" t="s">
        <v>136</v>
      </c>
      <c r="C536" s="569" t="s">
        <v>3</v>
      </c>
      <c r="D536" s="569"/>
      <c r="E536" s="569"/>
      <c r="F536" s="569"/>
      <c r="G536" s="569"/>
      <c r="H536" s="569"/>
      <c r="I536" s="569"/>
      <c r="J536" s="569"/>
      <c r="K536" s="569"/>
      <c r="L536" s="569"/>
      <c r="M536" s="569"/>
      <c r="N536" s="569"/>
      <c r="O536" s="569"/>
      <c r="P536" s="569"/>
      <c r="Q536" s="569"/>
      <c r="R536" s="569"/>
      <c r="S536" s="569"/>
      <c r="T536" s="569"/>
      <c r="U536" s="569"/>
      <c r="V536" s="569"/>
      <c r="W536" s="569"/>
      <c r="X536" s="569"/>
      <c r="Y536" s="569"/>
      <c r="Z536" s="569"/>
      <c r="AA536" s="569"/>
      <c r="AB536" s="569"/>
      <c r="AC536" s="569"/>
      <c r="AD536" s="569"/>
      <c r="AE536" s="569"/>
      <c r="AF536">
        <v>536</v>
      </c>
      <c r="AG536" s="438" t="str">
        <f>IF(INDEX(D:AE,AF536,ADP!$AF$6)=0,"",INDEX(D:AE,AF536,ADP!$AF$6)+AH536)</f>
        <v/>
      </c>
      <c r="AH536">
        <f t="shared" si="8"/>
        <v>5.350000000000065E-4</v>
      </c>
    </row>
    <row r="537" spans="1:34" ht="15.75" thickBot="1" x14ac:dyDescent="0.3">
      <c r="A537" s="569" t="s">
        <v>144</v>
      </c>
      <c r="B537" s="569" t="s">
        <v>144</v>
      </c>
      <c r="C537" s="569" t="s">
        <v>160</v>
      </c>
      <c r="D537" s="569">
        <v>145.19999999999999</v>
      </c>
      <c r="E537" s="569">
        <v>16.100000000000001</v>
      </c>
      <c r="F537" s="569">
        <v>150</v>
      </c>
      <c r="G537" s="569">
        <v>16.600000000000001</v>
      </c>
      <c r="H537" s="569">
        <v>152.1</v>
      </c>
      <c r="I537" s="569">
        <v>15.5</v>
      </c>
      <c r="J537" s="569">
        <v>145.19999999999999</v>
      </c>
      <c r="K537" s="569">
        <v>16.100000000000001</v>
      </c>
      <c r="L537" s="569">
        <v>150</v>
      </c>
      <c r="M537" s="569">
        <v>16.600000000000001</v>
      </c>
      <c r="N537" s="569">
        <v>152.1</v>
      </c>
      <c r="O537" s="569">
        <v>15.5</v>
      </c>
      <c r="P537" s="569">
        <v>140.9</v>
      </c>
      <c r="Q537" s="569">
        <v>12</v>
      </c>
      <c r="R537" s="569">
        <v>145.19999999999999</v>
      </c>
      <c r="S537" s="569">
        <v>16.100000000000001</v>
      </c>
      <c r="T537" s="569">
        <v>150</v>
      </c>
      <c r="U537" s="569">
        <v>16.600000000000001</v>
      </c>
      <c r="V537" s="569">
        <v>152.1</v>
      </c>
      <c r="W537" s="569">
        <v>15.5</v>
      </c>
      <c r="X537" s="569">
        <v>140.9</v>
      </c>
      <c r="Y537" s="569">
        <v>12</v>
      </c>
      <c r="Z537" s="569">
        <v>145.19999999999999</v>
      </c>
      <c r="AA537" s="569">
        <v>16.100000000000001</v>
      </c>
      <c r="AB537" s="569">
        <v>150</v>
      </c>
      <c r="AC537" s="569">
        <v>16.600000000000001</v>
      </c>
      <c r="AD537" s="569">
        <v>152.1</v>
      </c>
      <c r="AE537" s="569">
        <v>152.1</v>
      </c>
      <c r="AF537">
        <v>537</v>
      </c>
      <c r="AG537" s="438">
        <f>IF(INDEX(D:AE,AF537,ADP!$AF$6)=0,"",INDEX(D:AE,AF537,ADP!$AF$6)+AH537)</f>
        <v>152.10053600000001</v>
      </c>
      <c r="AH537">
        <f t="shared" si="8"/>
        <v>5.3600000000000652E-4</v>
      </c>
    </row>
    <row r="538" spans="1:34" ht="15.75" thickBot="1" x14ac:dyDescent="0.3">
      <c r="A538" s="569" t="s">
        <v>2189</v>
      </c>
      <c r="B538" s="569" t="s">
        <v>161</v>
      </c>
      <c r="C538" s="569" t="s">
        <v>3</v>
      </c>
      <c r="D538" s="574"/>
      <c r="E538" s="574"/>
      <c r="F538" s="574"/>
      <c r="G538" s="574"/>
      <c r="H538" s="574"/>
      <c r="I538" s="574"/>
      <c r="J538" s="574"/>
      <c r="K538" s="574"/>
      <c r="L538" s="574"/>
      <c r="M538" s="574"/>
      <c r="N538" s="574"/>
      <c r="O538" s="574"/>
      <c r="P538" s="569"/>
      <c r="Q538" s="569"/>
      <c r="R538" s="574"/>
      <c r="S538" s="574"/>
      <c r="T538" s="574"/>
      <c r="U538" s="574"/>
      <c r="V538" s="574"/>
      <c r="W538" s="574"/>
      <c r="X538" s="569"/>
      <c r="Y538" s="569"/>
      <c r="Z538" s="574"/>
      <c r="AA538" s="574"/>
      <c r="AB538" s="574"/>
      <c r="AC538" s="574"/>
      <c r="AD538" s="574"/>
      <c r="AE538" s="574"/>
      <c r="AF538">
        <v>538</v>
      </c>
      <c r="AG538" s="438" t="str">
        <f>IF(INDEX(D:AE,AF538,ADP!$AF$6)=0,"",INDEX(D:AE,AF538,ADP!$AF$6)+AH538)</f>
        <v/>
      </c>
      <c r="AH538">
        <f t="shared" si="8"/>
        <v>5.3700000000000655E-4</v>
      </c>
    </row>
    <row r="539" spans="1:34" ht="15.75" thickBot="1" x14ac:dyDescent="0.3">
      <c r="A539" s="569" t="s">
        <v>2189</v>
      </c>
      <c r="B539" s="569" t="s">
        <v>161</v>
      </c>
      <c r="C539" s="569" t="s">
        <v>6</v>
      </c>
      <c r="D539" s="569"/>
      <c r="E539" s="569"/>
      <c r="F539" s="569"/>
      <c r="G539" s="569"/>
      <c r="H539" s="569"/>
      <c r="I539" s="569"/>
      <c r="J539" s="569"/>
      <c r="K539" s="569"/>
      <c r="L539" s="569"/>
      <c r="M539" s="569"/>
      <c r="N539" s="569"/>
      <c r="O539" s="569"/>
      <c r="P539" s="569"/>
      <c r="Q539" s="569"/>
      <c r="R539" s="569"/>
      <c r="S539" s="569"/>
      <c r="T539" s="569"/>
      <c r="U539" s="569"/>
      <c r="V539" s="569"/>
      <c r="W539" s="569"/>
      <c r="X539" s="569"/>
      <c r="Y539" s="569"/>
      <c r="Z539" s="569"/>
      <c r="AA539" s="569"/>
      <c r="AB539" s="569"/>
      <c r="AC539" s="569"/>
      <c r="AD539" s="569"/>
      <c r="AE539" s="569"/>
      <c r="AF539">
        <v>539</v>
      </c>
      <c r="AG539" s="438" t="str">
        <f>IF(INDEX(D:AE,AF539,ADP!$AF$6)=0,"",INDEX(D:AE,AF539,ADP!$AF$6)+AH539)</f>
        <v/>
      </c>
      <c r="AH539">
        <f t="shared" si="8"/>
        <v>5.3800000000000657E-4</v>
      </c>
    </row>
    <row r="540" spans="1:34" ht="15.75" thickBot="1" x14ac:dyDescent="0.3">
      <c r="A540" s="569" t="s">
        <v>2546</v>
      </c>
      <c r="B540" s="569" t="s">
        <v>157</v>
      </c>
      <c r="C540" s="569" t="s">
        <v>6</v>
      </c>
      <c r="D540" s="574"/>
      <c r="E540" s="574"/>
      <c r="F540" s="574"/>
      <c r="G540" s="574"/>
      <c r="H540" s="574"/>
      <c r="I540" s="574"/>
      <c r="J540" s="574"/>
      <c r="K540" s="574"/>
      <c r="L540" s="574"/>
      <c r="M540" s="574"/>
      <c r="N540" s="574"/>
      <c r="O540" s="574"/>
      <c r="P540" s="574"/>
      <c r="Q540" s="574"/>
      <c r="R540" s="574"/>
      <c r="S540" s="574"/>
      <c r="T540" s="574"/>
      <c r="U540" s="574"/>
      <c r="V540" s="574"/>
      <c r="W540" s="574"/>
      <c r="X540" s="574"/>
      <c r="Y540" s="574"/>
      <c r="Z540" s="574"/>
      <c r="AA540" s="574"/>
      <c r="AB540" s="574"/>
      <c r="AC540" s="574"/>
      <c r="AD540" s="574"/>
      <c r="AE540" s="574"/>
      <c r="AF540">
        <v>540</v>
      </c>
      <c r="AG540" s="438" t="str">
        <f>IF(INDEX(D:AE,AF540,ADP!$AF$6)=0,"",INDEX(D:AE,AF540,ADP!$AF$6)+AH540)</f>
        <v/>
      </c>
      <c r="AH540">
        <f t="shared" si="8"/>
        <v>5.390000000000066E-4</v>
      </c>
    </row>
    <row r="541" spans="1:34" ht="15.75" thickBot="1" x14ac:dyDescent="0.3">
      <c r="A541" s="569" t="s">
        <v>1266</v>
      </c>
      <c r="B541" s="569" t="s">
        <v>1389</v>
      </c>
      <c r="C541" s="569" t="s">
        <v>6</v>
      </c>
      <c r="D541" s="574"/>
      <c r="E541" s="574"/>
      <c r="F541" s="574"/>
      <c r="G541" s="574"/>
      <c r="H541" s="569"/>
      <c r="I541" s="569"/>
      <c r="J541" s="574"/>
      <c r="K541" s="574"/>
      <c r="L541" s="574"/>
      <c r="M541" s="574"/>
      <c r="N541" s="569"/>
      <c r="O541" s="569"/>
      <c r="P541" s="569"/>
      <c r="Q541" s="569"/>
      <c r="R541" s="574"/>
      <c r="S541" s="574"/>
      <c r="T541" s="574"/>
      <c r="U541" s="574"/>
      <c r="V541" s="569"/>
      <c r="W541" s="569"/>
      <c r="X541" s="569"/>
      <c r="Y541" s="569"/>
      <c r="Z541" s="574"/>
      <c r="AA541" s="574"/>
      <c r="AB541" s="574"/>
      <c r="AC541" s="574"/>
      <c r="AD541" s="569"/>
      <c r="AE541" s="569"/>
      <c r="AF541">
        <v>541</v>
      </c>
      <c r="AG541" s="438" t="str">
        <f>IF(INDEX(D:AE,AF541,ADP!$AF$6)=0,"",INDEX(D:AE,AF541,ADP!$AF$6)+AH541)</f>
        <v/>
      </c>
      <c r="AH541">
        <f t="shared" si="8"/>
        <v>5.4000000000000662E-4</v>
      </c>
    </row>
    <row r="542" spans="1:34" ht="15.75" thickBot="1" x14ac:dyDescent="0.3">
      <c r="A542" s="569" t="s">
        <v>2103</v>
      </c>
      <c r="B542" s="569" t="s">
        <v>140</v>
      </c>
      <c r="C542" s="569" t="s">
        <v>3</v>
      </c>
      <c r="D542" s="569"/>
      <c r="E542" s="569"/>
      <c r="F542" s="569"/>
      <c r="G542" s="569"/>
      <c r="H542" s="569"/>
      <c r="I542" s="569"/>
      <c r="J542" s="569"/>
      <c r="K542" s="569"/>
      <c r="L542" s="569"/>
      <c r="M542" s="569"/>
      <c r="N542" s="569"/>
      <c r="O542" s="569"/>
      <c r="P542" s="569"/>
      <c r="Q542" s="569"/>
      <c r="R542" s="569"/>
      <c r="S542" s="569"/>
      <c r="T542" s="569"/>
      <c r="U542" s="569"/>
      <c r="V542" s="569"/>
      <c r="W542" s="569"/>
      <c r="X542" s="569"/>
      <c r="Y542" s="569"/>
      <c r="Z542" s="569"/>
      <c r="AA542" s="569"/>
      <c r="AB542" s="569"/>
      <c r="AC542" s="569"/>
      <c r="AD542" s="569"/>
      <c r="AE542" s="569"/>
      <c r="AF542">
        <v>542</v>
      </c>
      <c r="AG542" s="438" t="str">
        <f>IF(INDEX(D:AE,AF542,ADP!$AF$6)=0,"",INDEX(D:AE,AF542,ADP!$AF$6)+AH542)</f>
        <v/>
      </c>
      <c r="AH542">
        <f t="shared" si="8"/>
        <v>5.4100000000000664E-4</v>
      </c>
    </row>
    <row r="543" spans="1:34" ht="15.75" thickBot="1" x14ac:dyDescent="0.3">
      <c r="A543" s="569" t="s">
        <v>1865</v>
      </c>
      <c r="B543" s="569" t="s">
        <v>155</v>
      </c>
      <c r="C543" s="569" t="s">
        <v>6</v>
      </c>
      <c r="D543" s="574">
        <v>31.3</v>
      </c>
      <c r="E543" s="574">
        <v>3.9</v>
      </c>
      <c r="F543" s="574">
        <v>33.200000000000003</v>
      </c>
      <c r="G543" s="574">
        <v>4.0999999999999996</v>
      </c>
      <c r="H543" s="574">
        <v>37</v>
      </c>
      <c r="I543" s="574">
        <v>4.4000000000000004</v>
      </c>
      <c r="J543" s="574">
        <v>31.3</v>
      </c>
      <c r="K543" s="574">
        <v>3.9</v>
      </c>
      <c r="L543" s="574">
        <v>33.200000000000003</v>
      </c>
      <c r="M543" s="574">
        <v>4.0999999999999996</v>
      </c>
      <c r="N543" s="574">
        <v>37</v>
      </c>
      <c r="O543" s="574">
        <v>4.4000000000000004</v>
      </c>
      <c r="P543" s="574">
        <v>40.4</v>
      </c>
      <c r="Q543" s="574">
        <v>5.6</v>
      </c>
      <c r="R543" s="574">
        <v>31.3</v>
      </c>
      <c r="S543" s="574">
        <v>3.9</v>
      </c>
      <c r="T543" s="574">
        <v>33.200000000000003</v>
      </c>
      <c r="U543" s="574">
        <v>4.0999999999999996</v>
      </c>
      <c r="V543" s="574">
        <v>37</v>
      </c>
      <c r="W543" s="574">
        <v>4.4000000000000004</v>
      </c>
      <c r="X543" s="574">
        <v>40.4</v>
      </c>
      <c r="Y543" s="574">
        <v>5.6</v>
      </c>
      <c r="Z543" s="574">
        <v>31.3</v>
      </c>
      <c r="AA543" s="574">
        <v>3.9</v>
      </c>
      <c r="AB543" s="574">
        <v>33.200000000000003</v>
      </c>
      <c r="AC543" s="574">
        <v>4.0999999999999996</v>
      </c>
      <c r="AD543" s="574">
        <v>37</v>
      </c>
      <c r="AE543" s="574">
        <v>37</v>
      </c>
      <c r="AF543">
        <v>543</v>
      </c>
      <c r="AG543" s="438">
        <f>IF(INDEX(D:AE,AF543,ADP!$AF$6)=0,"",INDEX(D:AE,AF543,ADP!$AF$6)+AH543)</f>
        <v>37.000542000000003</v>
      </c>
      <c r="AH543">
        <f t="shared" si="8"/>
        <v>5.4200000000000667E-4</v>
      </c>
    </row>
    <row r="544" spans="1:34" ht="15.75" thickBot="1" x14ac:dyDescent="0.3">
      <c r="A544" s="569" t="s">
        <v>2331</v>
      </c>
      <c r="B544" s="569" t="s">
        <v>140</v>
      </c>
      <c r="C544" s="569" t="s">
        <v>6</v>
      </c>
      <c r="D544" s="569"/>
      <c r="E544" s="569"/>
      <c r="F544" s="569"/>
      <c r="G544" s="569"/>
      <c r="H544" s="569"/>
      <c r="I544" s="569"/>
      <c r="J544" s="569"/>
      <c r="K544" s="569"/>
      <c r="L544" s="569"/>
      <c r="M544" s="569"/>
      <c r="N544" s="569"/>
      <c r="O544" s="569"/>
      <c r="P544" s="569"/>
      <c r="Q544" s="569"/>
      <c r="R544" s="569"/>
      <c r="S544" s="569"/>
      <c r="T544" s="569"/>
      <c r="U544" s="569"/>
      <c r="V544" s="569"/>
      <c r="W544" s="569"/>
      <c r="X544" s="569"/>
      <c r="Y544" s="569"/>
      <c r="Z544" s="569"/>
      <c r="AA544" s="569"/>
      <c r="AB544" s="569"/>
      <c r="AC544" s="569"/>
      <c r="AD544" s="569"/>
      <c r="AE544" s="569"/>
      <c r="AF544">
        <v>544</v>
      </c>
      <c r="AG544" s="438" t="str">
        <f>IF(INDEX(D:AE,AF544,ADP!$AF$6)=0,"",INDEX(D:AE,AF544,ADP!$AF$6)+AH544)</f>
        <v/>
      </c>
      <c r="AH544">
        <f t="shared" si="8"/>
        <v>5.4300000000000669E-4</v>
      </c>
    </row>
    <row r="545" spans="1:34" ht="15.75" thickBot="1" x14ac:dyDescent="0.3">
      <c r="A545" s="569" t="s">
        <v>108</v>
      </c>
      <c r="B545" s="569" t="s">
        <v>163</v>
      </c>
      <c r="C545" s="569" t="s">
        <v>6</v>
      </c>
      <c r="D545" s="569">
        <v>59.6</v>
      </c>
      <c r="E545" s="569">
        <v>5.9</v>
      </c>
      <c r="F545" s="569">
        <v>53.1</v>
      </c>
      <c r="G545" s="569">
        <v>5.0999999999999996</v>
      </c>
      <c r="H545" s="569">
        <v>41.5</v>
      </c>
      <c r="I545" s="569">
        <v>4.2</v>
      </c>
      <c r="J545" s="569">
        <v>59.6</v>
      </c>
      <c r="K545" s="569">
        <v>5.9</v>
      </c>
      <c r="L545" s="569">
        <v>53.1</v>
      </c>
      <c r="M545" s="569">
        <v>5.0999999999999996</v>
      </c>
      <c r="N545" s="569">
        <v>41.5</v>
      </c>
      <c r="O545" s="569">
        <v>4.2</v>
      </c>
      <c r="P545" s="569">
        <v>69.599999999999994</v>
      </c>
      <c r="Q545" s="569">
        <v>8.9</v>
      </c>
      <c r="R545" s="569">
        <v>59.6</v>
      </c>
      <c r="S545" s="569">
        <v>5.9</v>
      </c>
      <c r="T545" s="569">
        <v>53.1</v>
      </c>
      <c r="U545" s="569">
        <v>5.0999999999999996</v>
      </c>
      <c r="V545" s="569">
        <v>41.5</v>
      </c>
      <c r="W545" s="569">
        <v>4.2</v>
      </c>
      <c r="X545" s="569">
        <v>69.599999999999994</v>
      </c>
      <c r="Y545" s="569">
        <v>8.9</v>
      </c>
      <c r="Z545" s="569">
        <v>59.6</v>
      </c>
      <c r="AA545" s="569">
        <v>5.9</v>
      </c>
      <c r="AB545" s="569">
        <v>53.1</v>
      </c>
      <c r="AC545" s="569">
        <v>5.0999999999999996</v>
      </c>
      <c r="AD545" s="569">
        <v>41.5</v>
      </c>
      <c r="AE545" s="569">
        <v>41.5</v>
      </c>
      <c r="AF545">
        <v>545</v>
      </c>
      <c r="AG545" s="438">
        <f>IF(INDEX(D:AE,AF545,ADP!$AF$6)=0,"",INDEX(D:AE,AF545,ADP!$AF$6)+AH545)</f>
        <v>41.500543999999998</v>
      </c>
      <c r="AH545">
        <f t="shared" si="8"/>
        <v>5.4400000000000672E-4</v>
      </c>
    </row>
    <row r="546" spans="1:34" ht="15.75" thickBot="1" x14ac:dyDescent="0.3">
      <c r="A546" s="569" t="s">
        <v>1336</v>
      </c>
      <c r="B546" s="569" t="s">
        <v>2073</v>
      </c>
      <c r="C546" s="569" t="s">
        <v>6</v>
      </c>
      <c r="D546" s="569"/>
      <c r="E546" s="569"/>
      <c r="F546" s="569"/>
      <c r="G546" s="569"/>
      <c r="H546" s="569"/>
      <c r="I546" s="569"/>
      <c r="J546" s="569"/>
      <c r="K546" s="569"/>
      <c r="L546" s="569"/>
      <c r="M546" s="569"/>
      <c r="N546" s="569"/>
      <c r="O546" s="569"/>
      <c r="P546" s="569"/>
      <c r="Q546" s="569"/>
      <c r="R546" s="569"/>
      <c r="S546" s="569"/>
      <c r="T546" s="569"/>
      <c r="U546" s="569"/>
      <c r="V546" s="569"/>
      <c r="W546" s="569"/>
      <c r="X546" s="569"/>
      <c r="Y546" s="569"/>
      <c r="Z546" s="569"/>
      <c r="AA546" s="569"/>
      <c r="AB546" s="569"/>
      <c r="AC546" s="569"/>
      <c r="AD546" s="569"/>
      <c r="AE546" s="569"/>
      <c r="AF546">
        <v>546</v>
      </c>
      <c r="AG546" s="438" t="str">
        <f>IF(INDEX(D:AE,AF546,ADP!$AF$6)=0,"",INDEX(D:AE,AF546,ADP!$AF$6)+AH546)</f>
        <v/>
      </c>
      <c r="AH546">
        <f t="shared" si="8"/>
        <v>5.4500000000000674E-4</v>
      </c>
    </row>
    <row r="547" spans="1:34" ht="15.75" thickBot="1" x14ac:dyDescent="0.3">
      <c r="A547" s="569" t="s">
        <v>2346</v>
      </c>
      <c r="B547" s="569" t="s">
        <v>152</v>
      </c>
      <c r="C547" s="569" t="s">
        <v>6</v>
      </c>
      <c r="D547" s="574"/>
      <c r="E547" s="574"/>
      <c r="F547" s="574"/>
      <c r="G547" s="574"/>
      <c r="H547" s="574"/>
      <c r="I547" s="574"/>
      <c r="J547" s="574"/>
      <c r="K547" s="574"/>
      <c r="L547" s="574"/>
      <c r="M547" s="574"/>
      <c r="N547" s="574"/>
      <c r="O547" s="574"/>
      <c r="P547" s="574"/>
      <c r="Q547" s="574"/>
      <c r="R547" s="574"/>
      <c r="S547" s="574"/>
      <c r="T547" s="574"/>
      <c r="U547" s="574"/>
      <c r="V547" s="574"/>
      <c r="W547" s="574"/>
      <c r="X547" s="574"/>
      <c r="Y547" s="574"/>
      <c r="Z547" s="574"/>
      <c r="AA547" s="574"/>
      <c r="AB547" s="574"/>
      <c r="AC547" s="574"/>
      <c r="AD547" s="574"/>
      <c r="AE547" s="574"/>
      <c r="AF547">
        <v>547</v>
      </c>
      <c r="AG547" s="438" t="str">
        <f>IF(INDEX(D:AE,AF547,ADP!$AF$6)=0,"",INDEX(D:AE,AF547,ADP!$AF$6)+AH547)</f>
        <v/>
      </c>
      <c r="AH547">
        <f t="shared" si="8"/>
        <v>5.4600000000000677E-4</v>
      </c>
    </row>
    <row r="548" spans="1:34" ht="15.75" thickBot="1" x14ac:dyDescent="0.3">
      <c r="A548" s="569" t="s">
        <v>1887</v>
      </c>
      <c r="B548" s="569" t="s">
        <v>156</v>
      </c>
      <c r="C548" s="569" t="s">
        <v>7</v>
      </c>
      <c r="D548" s="569">
        <v>160.30000000000001</v>
      </c>
      <c r="E548" s="569">
        <v>19.2</v>
      </c>
      <c r="F548" s="569">
        <v>128.9</v>
      </c>
      <c r="G548" s="569">
        <v>13.2</v>
      </c>
      <c r="H548" s="569">
        <v>158.6</v>
      </c>
      <c r="I548" s="569">
        <v>20.100000000000001</v>
      </c>
      <c r="J548" s="569">
        <v>160.30000000000001</v>
      </c>
      <c r="K548" s="569">
        <v>19.2</v>
      </c>
      <c r="L548" s="569">
        <v>128.9</v>
      </c>
      <c r="M548" s="569">
        <v>13.2</v>
      </c>
      <c r="N548" s="569">
        <v>158.6</v>
      </c>
      <c r="O548" s="569">
        <v>20.100000000000001</v>
      </c>
      <c r="P548" s="569">
        <v>126.4</v>
      </c>
      <c r="Q548" s="569">
        <v>15.2</v>
      </c>
      <c r="R548" s="569">
        <v>160.30000000000001</v>
      </c>
      <c r="S548" s="569">
        <v>19.2</v>
      </c>
      <c r="T548" s="569">
        <v>128.9</v>
      </c>
      <c r="U548" s="569">
        <v>13.2</v>
      </c>
      <c r="V548" s="569">
        <v>158.6</v>
      </c>
      <c r="W548" s="569">
        <v>20.100000000000001</v>
      </c>
      <c r="X548" s="569">
        <v>126.4</v>
      </c>
      <c r="Y548" s="569">
        <v>15.2</v>
      </c>
      <c r="Z548" s="569">
        <v>160.30000000000001</v>
      </c>
      <c r="AA548" s="569">
        <v>19.2</v>
      </c>
      <c r="AB548" s="569">
        <v>128.9</v>
      </c>
      <c r="AC548" s="569">
        <v>13.2</v>
      </c>
      <c r="AD548" s="569">
        <v>158.6</v>
      </c>
      <c r="AE548" s="569">
        <v>158.6</v>
      </c>
      <c r="AF548">
        <v>548</v>
      </c>
      <c r="AG548" s="438">
        <f>IF(INDEX(D:AE,AF548,ADP!$AF$6)=0,"",INDEX(D:AE,AF548,ADP!$AF$6)+AH548)</f>
        <v>158.60054700000001</v>
      </c>
      <c r="AH548">
        <f t="shared" si="8"/>
        <v>5.4700000000000679E-4</v>
      </c>
    </row>
    <row r="549" spans="1:34" ht="15.75" thickBot="1" x14ac:dyDescent="0.3">
      <c r="A549" s="569" t="s">
        <v>2159</v>
      </c>
      <c r="B549" s="569" t="s">
        <v>151</v>
      </c>
      <c r="C549" s="569" t="s">
        <v>1</v>
      </c>
      <c r="D549" s="569"/>
      <c r="E549" s="569"/>
      <c r="F549" s="569"/>
      <c r="G549" s="569"/>
      <c r="H549" s="569"/>
      <c r="I549" s="569"/>
      <c r="J549" s="569"/>
      <c r="K549" s="569"/>
      <c r="L549" s="569"/>
      <c r="M549" s="569"/>
      <c r="N549" s="569"/>
      <c r="O549" s="569"/>
      <c r="P549" s="569"/>
      <c r="Q549" s="569"/>
      <c r="R549" s="569"/>
      <c r="S549" s="569"/>
      <c r="T549" s="569"/>
      <c r="U549" s="569"/>
      <c r="V549" s="569"/>
      <c r="W549" s="569"/>
      <c r="X549" s="569"/>
      <c r="Y549" s="569"/>
      <c r="Z549" s="569"/>
      <c r="AA549" s="569"/>
      <c r="AB549" s="569"/>
      <c r="AC549" s="569"/>
      <c r="AD549" s="569"/>
      <c r="AE549" s="569"/>
      <c r="AF549">
        <v>549</v>
      </c>
      <c r="AG549" s="438" t="str">
        <f>IF(INDEX(D:AE,AF549,ADP!$AF$6)=0,"",INDEX(D:AE,AF549,ADP!$AF$6)+AH549)</f>
        <v/>
      </c>
      <c r="AH549">
        <f t="shared" si="8"/>
        <v>5.4800000000000681E-4</v>
      </c>
    </row>
    <row r="550" spans="1:34" ht="15.75" thickBot="1" x14ac:dyDescent="0.3">
      <c r="A550" s="569" t="s">
        <v>2500</v>
      </c>
      <c r="B550" s="569" t="s">
        <v>1389</v>
      </c>
      <c r="C550" s="569" t="s">
        <v>7</v>
      </c>
      <c r="D550" s="569"/>
      <c r="E550" s="569"/>
      <c r="F550" s="569"/>
      <c r="G550" s="569"/>
      <c r="H550" s="569"/>
      <c r="I550" s="569"/>
      <c r="J550" s="569"/>
      <c r="K550" s="569"/>
      <c r="L550" s="569"/>
      <c r="M550" s="569"/>
      <c r="N550" s="569"/>
      <c r="O550" s="569"/>
      <c r="P550" s="569"/>
      <c r="Q550" s="569"/>
      <c r="R550" s="569"/>
      <c r="S550" s="569"/>
      <c r="T550" s="569"/>
      <c r="U550" s="569"/>
      <c r="V550" s="569"/>
      <c r="W550" s="569"/>
      <c r="X550" s="569"/>
      <c r="Y550" s="569"/>
      <c r="Z550" s="569"/>
      <c r="AA550" s="569"/>
      <c r="AB550" s="569"/>
      <c r="AC550" s="569"/>
      <c r="AD550" s="569"/>
      <c r="AE550" s="569"/>
      <c r="AF550">
        <v>550</v>
      </c>
      <c r="AG550" s="438" t="str">
        <f>IF(INDEX(D:AE,AF550,ADP!$AF$6)=0,"",INDEX(D:AE,AF550,ADP!$AF$6)+AH550)</f>
        <v/>
      </c>
      <c r="AH550">
        <f t="shared" si="8"/>
        <v>5.4900000000000684E-4</v>
      </c>
    </row>
    <row r="551" spans="1:34" ht="15.75" thickBot="1" x14ac:dyDescent="0.3">
      <c r="A551" s="569" t="s">
        <v>2501</v>
      </c>
      <c r="B551" s="569" t="s">
        <v>149</v>
      </c>
      <c r="C551" s="569" t="s">
        <v>7</v>
      </c>
      <c r="D551" s="574"/>
      <c r="E551" s="574"/>
      <c r="F551" s="574"/>
      <c r="G551" s="574"/>
      <c r="H551" s="574"/>
      <c r="I551" s="574"/>
      <c r="J551" s="574"/>
      <c r="K551" s="574"/>
      <c r="L551" s="574"/>
      <c r="M551" s="574"/>
      <c r="N551" s="574"/>
      <c r="O551" s="574"/>
      <c r="P551" s="574"/>
      <c r="Q551" s="574"/>
      <c r="R551" s="574"/>
      <c r="S551" s="574"/>
      <c r="T551" s="574"/>
      <c r="U551" s="574"/>
      <c r="V551" s="574"/>
      <c r="W551" s="574"/>
      <c r="X551" s="574"/>
      <c r="Y551" s="574"/>
      <c r="Z551" s="574"/>
      <c r="AA551" s="574"/>
      <c r="AB551" s="574"/>
      <c r="AC551" s="574"/>
      <c r="AD551" s="574"/>
      <c r="AE551" s="574"/>
      <c r="AF551">
        <v>551</v>
      </c>
      <c r="AG551" s="438" t="str">
        <f>IF(INDEX(D:AE,AF551,ADP!$AF$6)=0,"",INDEX(D:AE,AF551,ADP!$AF$6)+AH551)</f>
        <v/>
      </c>
      <c r="AH551">
        <f t="shared" si="8"/>
        <v>5.5000000000000686E-4</v>
      </c>
    </row>
    <row r="552" spans="1:34" ht="15.75" thickBot="1" x14ac:dyDescent="0.3">
      <c r="A552" s="569" t="s">
        <v>1424</v>
      </c>
      <c r="B552" s="569" t="s">
        <v>161</v>
      </c>
      <c r="C552" s="569" t="s">
        <v>7</v>
      </c>
      <c r="D552" s="569">
        <v>102.5</v>
      </c>
      <c r="E552" s="569">
        <v>10.199999999999999</v>
      </c>
      <c r="F552" s="569">
        <v>115.6</v>
      </c>
      <c r="G552" s="569">
        <v>12.9</v>
      </c>
      <c r="H552" s="569">
        <v>105.2</v>
      </c>
      <c r="I552" s="569">
        <v>9.6</v>
      </c>
      <c r="J552" s="569">
        <v>102.5</v>
      </c>
      <c r="K552" s="569">
        <v>10.199999999999999</v>
      </c>
      <c r="L552" s="569">
        <v>115.6</v>
      </c>
      <c r="M552" s="569">
        <v>12.9</v>
      </c>
      <c r="N552" s="569">
        <v>105.2</v>
      </c>
      <c r="O552" s="569">
        <v>9.6</v>
      </c>
      <c r="P552" s="569">
        <v>106.9</v>
      </c>
      <c r="Q552" s="569">
        <v>13.1</v>
      </c>
      <c r="R552" s="569">
        <v>102.5</v>
      </c>
      <c r="S552" s="569">
        <v>10.199999999999999</v>
      </c>
      <c r="T552" s="569">
        <v>115.6</v>
      </c>
      <c r="U552" s="569">
        <v>12.9</v>
      </c>
      <c r="V552" s="569">
        <v>105.2</v>
      </c>
      <c r="W552" s="569">
        <v>9.6</v>
      </c>
      <c r="X552" s="569">
        <v>106.9</v>
      </c>
      <c r="Y552" s="569">
        <v>13.1</v>
      </c>
      <c r="Z552" s="569">
        <v>102.5</v>
      </c>
      <c r="AA552" s="569">
        <v>10.199999999999999</v>
      </c>
      <c r="AB552" s="569">
        <v>115.6</v>
      </c>
      <c r="AC552" s="569">
        <v>12.9</v>
      </c>
      <c r="AD552" s="569">
        <v>105.2</v>
      </c>
      <c r="AE552" s="569">
        <v>105.2</v>
      </c>
      <c r="AF552">
        <v>552</v>
      </c>
      <c r="AG552" s="438">
        <f>IF(INDEX(D:AE,AF552,ADP!$AF$6)=0,"",INDEX(D:AE,AF552,ADP!$AF$6)+AH552)</f>
        <v>105.200551</v>
      </c>
      <c r="AH552">
        <f t="shared" si="8"/>
        <v>5.5100000000000689E-4</v>
      </c>
    </row>
    <row r="553" spans="1:34" ht="15.75" thickBot="1" x14ac:dyDescent="0.3">
      <c r="A553" s="569" t="s">
        <v>1452</v>
      </c>
      <c r="B553" s="569" t="s">
        <v>149</v>
      </c>
      <c r="C553" s="569" t="s">
        <v>6</v>
      </c>
      <c r="D553" s="569"/>
      <c r="E553" s="569"/>
      <c r="F553" s="569"/>
      <c r="G553" s="569"/>
      <c r="H553" s="569"/>
      <c r="I553" s="569"/>
      <c r="J553" s="569"/>
      <c r="K553" s="569"/>
      <c r="L553" s="569"/>
      <c r="M553" s="569"/>
      <c r="N553" s="569"/>
      <c r="O553" s="569"/>
      <c r="P553" s="569"/>
      <c r="Q553" s="569"/>
      <c r="R553" s="569"/>
      <c r="S553" s="569"/>
      <c r="T553" s="569"/>
      <c r="U553" s="569"/>
      <c r="V553" s="569"/>
      <c r="W553" s="569"/>
      <c r="X553" s="569"/>
      <c r="Y553" s="569"/>
      <c r="Z553" s="569"/>
      <c r="AA553" s="569"/>
      <c r="AB553" s="569"/>
      <c r="AC553" s="569"/>
      <c r="AD553" s="569"/>
      <c r="AE553" s="569"/>
      <c r="AF553">
        <v>553</v>
      </c>
      <c r="AG553" s="438" t="str">
        <f>IF(INDEX(D:AE,AF553,ADP!$AF$6)=0,"",INDEX(D:AE,AF553,ADP!$AF$6)+AH553)</f>
        <v/>
      </c>
      <c r="AH553">
        <f t="shared" si="8"/>
        <v>5.5200000000000691E-4</v>
      </c>
    </row>
    <row r="554" spans="1:34" ht="15.75" thickBot="1" x14ac:dyDescent="0.3">
      <c r="A554" s="569" t="s">
        <v>1854</v>
      </c>
      <c r="B554" s="569" t="s">
        <v>142</v>
      </c>
      <c r="C554" s="569" t="s">
        <v>3</v>
      </c>
      <c r="D554" s="569">
        <v>50</v>
      </c>
      <c r="E554" s="569">
        <v>4.5</v>
      </c>
      <c r="F554" s="569">
        <v>63.6</v>
      </c>
      <c r="G554" s="569">
        <v>6</v>
      </c>
      <c r="H554" s="569">
        <v>77.599999999999994</v>
      </c>
      <c r="I554" s="569">
        <v>6.5</v>
      </c>
      <c r="J554" s="569">
        <v>50</v>
      </c>
      <c r="K554" s="569">
        <v>4.5</v>
      </c>
      <c r="L554" s="569">
        <v>63.6</v>
      </c>
      <c r="M554" s="569">
        <v>6</v>
      </c>
      <c r="N554" s="569">
        <v>77.599999999999994</v>
      </c>
      <c r="O554" s="569">
        <v>6.5</v>
      </c>
      <c r="P554" s="569">
        <v>72.8</v>
      </c>
      <c r="Q554" s="569">
        <v>8.3000000000000007</v>
      </c>
      <c r="R554" s="569">
        <v>50</v>
      </c>
      <c r="S554" s="569">
        <v>4.5</v>
      </c>
      <c r="T554" s="569">
        <v>63.6</v>
      </c>
      <c r="U554" s="569">
        <v>6</v>
      </c>
      <c r="V554" s="569">
        <v>77.599999999999994</v>
      </c>
      <c r="W554" s="569">
        <v>6.5</v>
      </c>
      <c r="X554" s="569">
        <v>72.8</v>
      </c>
      <c r="Y554" s="569">
        <v>8.3000000000000007</v>
      </c>
      <c r="Z554" s="569">
        <v>50</v>
      </c>
      <c r="AA554" s="569">
        <v>4.5</v>
      </c>
      <c r="AB554" s="569">
        <v>63.6</v>
      </c>
      <c r="AC554" s="569">
        <v>6</v>
      </c>
      <c r="AD554" s="569">
        <v>77.599999999999994</v>
      </c>
      <c r="AE554" s="569">
        <v>77.599999999999994</v>
      </c>
      <c r="AF554">
        <v>554</v>
      </c>
      <c r="AG554" s="438">
        <f>IF(INDEX(D:AE,AF554,ADP!$AF$6)=0,"",INDEX(D:AE,AF554,ADP!$AF$6)+AH554)</f>
        <v>77.600552999999991</v>
      </c>
      <c r="AH554">
        <f t="shared" si="8"/>
        <v>5.5300000000000694E-4</v>
      </c>
    </row>
    <row r="555" spans="1:34" ht="15.75" thickBot="1" x14ac:dyDescent="0.3">
      <c r="A555" s="569" t="s">
        <v>2162</v>
      </c>
      <c r="B555" s="569" t="s">
        <v>2272</v>
      </c>
      <c r="C555" s="569" t="s">
        <v>1</v>
      </c>
      <c r="D555" s="569"/>
      <c r="E555" s="569"/>
      <c r="F555" s="569"/>
      <c r="G555" s="569"/>
      <c r="H555" s="569"/>
      <c r="I555" s="569"/>
      <c r="J555" s="569"/>
      <c r="K555" s="569"/>
      <c r="L555" s="569"/>
      <c r="M555" s="569"/>
      <c r="N555" s="569"/>
      <c r="O555" s="569"/>
      <c r="P555" s="569"/>
      <c r="Q555" s="569"/>
      <c r="R555" s="569"/>
      <c r="S555" s="569"/>
      <c r="T555" s="569"/>
      <c r="U555" s="569"/>
      <c r="V555" s="569"/>
      <c r="W555" s="569"/>
      <c r="X555" s="569"/>
      <c r="Y555" s="569"/>
      <c r="Z555" s="569"/>
      <c r="AA555" s="569"/>
      <c r="AB555" s="569"/>
      <c r="AC555" s="569"/>
      <c r="AD555" s="569"/>
      <c r="AE555" s="569"/>
      <c r="AF555">
        <v>555</v>
      </c>
      <c r="AG555" s="438" t="str">
        <f>IF(INDEX(D:AE,AF555,ADP!$AF$6)=0,"",INDEX(D:AE,AF555,ADP!$AF$6)+AH555)</f>
        <v/>
      </c>
      <c r="AH555">
        <f t="shared" si="8"/>
        <v>5.5400000000000696E-4</v>
      </c>
    </row>
    <row r="556" spans="1:34" ht="15.75" thickBot="1" x14ac:dyDescent="0.3">
      <c r="A556" s="569" t="s">
        <v>2332</v>
      </c>
      <c r="B556" s="569" t="s">
        <v>161</v>
      </c>
      <c r="C556" s="569" t="s">
        <v>6</v>
      </c>
      <c r="D556" s="569"/>
      <c r="E556" s="569"/>
      <c r="F556" s="569"/>
      <c r="G556" s="569"/>
      <c r="H556" s="569"/>
      <c r="I556" s="569"/>
      <c r="J556" s="569"/>
      <c r="K556" s="569"/>
      <c r="L556" s="569"/>
      <c r="M556" s="569"/>
      <c r="N556" s="569"/>
      <c r="O556" s="569"/>
      <c r="P556" s="569"/>
      <c r="Q556" s="569"/>
      <c r="R556" s="569"/>
      <c r="S556" s="569"/>
      <c r="T556" s="569"/>
      <c r="U556" s="569"/>
      <c r="V556" s="569"/>
      <c r="W556" s="569"/>
      <c r="X556" s="569"/>
      <c r="Y556" s="569"/>
      <c r="Z556" s="569"/>
      <c r="AA556" s="569"/>
      <c r="AB556" s="569"/>
      <c r="AC556" s="569"/>
      <c r="AD556" s="569"/>
      <c r="AE556" s="569"/>
      <c r="AF556">
        <v>556</v>
      </c>
      <c r="AG556" s="438" t="str">
        <f>IF(INDEX(D:AE,AF556,ADP!$AF$6)=0,"",INDEX(D:AE,AF556,ADP!$AF$6)+AH556)</f>
        <v/>
      </c>
      <c r="AH556">
        <f t="shared" si="8"/>
        <v>5.5500000000000699E-4</v>
      </c>
    </row>
    <row r="557" spans="1:34" ht="15.75" thickBot="1" x14ac:dyDescent="0.3">
      <c r="A557" s="569" t="s">
        <v>193</v>
      </c>
      <c r="B557" s="569" t="s">
        <v>2073</v>
      </c>
      <c r="C557" s="569" t="s">
        <v>6</v>
      </c>
      <c r="D557" s="574">
        <v>15.9</v>
      </c>
      <c r="E557" s="574">
        <v>2.4</v>
      </c>
      <c r="F557" s="574">
        <v>15.9</v>
      </c>
      <c r="G557" s="574">
        <v>2.2000000000000002</v>
      </c>
      <c r="H557" s="574">
        <v>15.6</v>
      </c>
      <c r="I557" s="574">
        <v>2.5</v>
      </c>
      <c r="J557" s="574">
        <v>15.9</v>
      </c>
      <c r="K557" s="574">
        <v>2.4</v>
      </c>
      <c r="L557" s="574">
        <v>15.9</v>
      </c>
      <c r="M557" s="574">
        <v>2.2000000000000002</v>
      </c>
      <c r="N557" s="574">
        <v>15.6</v>
      </c>
      <c r="O557" s="574">
        <v>2.5</v>
      </c>
      <c r="P557" s="574">
        <v>22.2</v>
      </c>
      <c r="Q557" s="574">
        <v>3.2</v>
      </c>
      <c r="R557" s="574">
        <v>15.9</v>
      </c>
      <c r="S557" s="574">
        <v>2.4</v>
      </c>
      <c r="T557" s="574">
        <v>15.9</v>
      </c>
      <c r="U557" s="574">
        <v>2.2000000000000002</v>
      </c>
      <c r="V557" s="574">
        <v>15.6</v>
      </c>
      <c r="W557" s="574">
        <v>2.5</v>
      </c>
      <c r="X557" s="574">
        <v>22.2</v>
      </c>
      <c r="Y557" s="574">
        <v>3.2</v>
      </c>
      <c r="Z557" s="574">
        <v>15.9</v>
      </c>
      <c r="AA557" s="574">
        <v>2.4</v>
      </c>
      <c r="AB557" s="574">
        <v>15.9</v>
      </c>
      <c r="AC557" s="574">
        <v>2.2000000000000002</v>
      </c>
      <c r="AD557" s="574">
        <v>15.6</v>
      </c>
      <c r="AE557" s="574">
        <v>15.6</v>
      </c>
      <c r="AF557">
        <v>557</v>
      </c>
      <c r="AG557" s="438">
        <f>IF(INDEX(D:AE,AF557,ADP!$AF$6)=0,"",INDEX(D:AE,AF557,ADP!$AF$6)+AH557)</f>
        <v>15.600555999999999</v>
      </c>
      <c r="AH557">
        <f t="shared" si="8"/>
        <v>5.5600000000000701E-4</v>
      </c>
    </row>
    <row r="558" spans="1:34" ht="15.75" thickBot="1" x14ac:dyDescent="0.3">
      <c r="A558" s="569" t="s">
        <v>2348</v>
      </c>
      <c r="B558" s="569" t="s">
        <v>141</v>
      </c>
      <c r="C558" s="569" t="s">
        <v>6</v>
      </c>
      <c r="D558" s="569"/>
      <c r="E558" s="569"/>
      <c r="F558" s="569"/>
      <c r="G558" s="569"/>
      <c r="H558" s="569"/>
      <c r="I558" s="569"/>
      <c r="J558" s="569"/>
      <c r="K558" s="569"/>
      <c r="L558" s="569"/>
      <c r="M558" s="569"/>
      <c r="N558" s="569"/>
      <c r="O558" s="569"/>
      <c r="P558" s="569"/>
      <c r="Q558" s="569"/>
      <c r="R558" s="569"/>
      <c r="S558" s="569"/>
      <c r="T558" s="569"/>
      <c r="U558" s="569"/>
      <c r="V558" s="569"/>
      <c r="W558" s="569"/>
      <c r="X558" s="569"/>
      <c r="Y558" s="569"/>
      <c r="Z558" s="569"/>
      <c r="AA558" s="569"/>
      <c r="AB558" s="569"/>
      <c r="AC558" s="569"/>
      <c r="AD558" s="569"/>
      <c r="AE558" s="569"/>
      <c r="AF558">
        <v>558</v>
      </c>
      <c r="AG558" s="438" t="str">
        <f>IF(INDEX(D:AE,AF558,ADP!$AF$6)=0,"",INDEX(D:AE,AF558,ADP!$AF$6)+AH558)</f>
        <v/>
      </c>
      <c r="AH558">
        <f t="shared" si="8"/>
        <v>5.5700000000000703E-4</v>
      </c>
    </row>
    <row r="559" spans="1:34" ht="15.75" thickBot="1" x14ac:dyDescent="0.3">
      <c r="A559" s="569" t="s">
        <v>2090</v>
      </c>
      <c r="B559" s="569" t="s">
        <v>156</v>
      </c>
      <c r="C559" s="569" t="s">
        <v>3</v>
      </c>
      <c r="D559" s="574"/>
      <c r="E559" s="574"/>
      <c r="F559" s="574"/>
      <c r="G559" s="574"/>
      <c r="H559" s="574"/>
      <c r="I559" s="574"/>
      <c r="J559" s="574"/>
      <c r="K559" s="574"/>
      <c r="L559" s="574"/>
      <c r="M559" s="574"/>
      <c r="N559" s="574"/>
      <c r="O559" s="574"/>
      <c r="P559" s="574"/>
      <c r="Q559" s="574"/>
      <c r="R559" s="574"/>
      <c r="S559" s="574"/>
      <c r="T559" s="574"/>
      <c r="U559" s="574"/>
      <c r="V559" s="574"/>
      <c r="W559" s="574"/>
      <c r="X559" s="574"/>
      <c r="Y559" s="574"/>
      <c r="Z559" s="574"/>
      <c r="AA559" s="574"/>
      <c r="AB559" s="574"/>
      <c r="AC559" s="574"/>
      <c r="AD559" s="574"/>
      <c r="AE559" s="574"/>
      <c r="AF559">
        <v>559</v>
      </c>
      <c r="AG559" s="438" t="str">
        <f>IF(INDEX(D:AE,AF559,ADP!$AF$6)=0,"",INDEX(D:AE,AF559,ADP!$AF$6)+AH559)</f>
        <v/>
      </c>
      <c r="AH559">
        <f t="shared" si="8"/>
        <v>5.5800000000000706E-4</v>
      </c>
    </row>
    <row r="560" spans="1:34" ht="15.75" thickBot="1" x14ac:dyDescent="0.3">
      <c r="A560" s="569" t="s">
        <v>2547</v>
      </c>
      <c r="B560" s="569" t="s">
        <v>1388</v>
      </c>
      <c r="C560" s="569" t="s">
        <v>6</v>
      </c>
      <c r="D560" s="569"/>
      <c r="E560" s="569"/>
      <c r="F560" s="569"/>
      <c r="G560" s="569"/>
      <c r="H560" s="569"/>
      <c r="I560" s="569"/>
      <c r="J560" s="569"/>
      <c r="K560" s="569"/>
      <c r="L560" s="569"/>
      <c r="M560" s="569"/>
      <c r="N560" s="569"/>
      <c r="O560" s="569"/>
      <c r="P560" s="569"/>
      <c r="Q560" s="569"/>
      <c r="R560" s="569"/>
      <c r="S560" s="569"/>
      <c r="T560" s="569"/>
      <c r="U560" s="569"/>
      <c r="V560" s="569"/>
      <c r="W560" s="569"/>
      <c r="X560" s="569"/>
      <c r="Y560" s="569"/>
      <c r="Z560" s="569"/>
      <c r="AA560" s="569"/>
      <c r="AB560" s="569"/>
      <c r="AC560" s="569"/>
      <c r="AD560" s="569"/>
      <c r="AE560" s="569"/>
      <c r="AF560">
        <v>560</v>
      </c>
      <c r="AG560" s="438" t="str">
        <f>IF(INDEX(D:AE,AF560,ADP!$AF$6)=0,"",INDEX(D:AE,AF560,ADP!$AF$6)+AH560)</f>
        <v/>
      </c>
      <c r="AH560">
        <f t="shared" si="8"/>
        <v>5.5900000000000708E-4</v>
      </c>
    </row>
    <row r="561" spans="1:34" ht="15.75" thickBot="1" x14ac:dyDescent="0.3">
      <c r="A561" s="569" t="s">
        <v>1334</v>
      </c>
      <c r="B561" s="569" t="s">
        <v>154</v>
      </c>
      <c r="C561" s="569" t="s">
        <v>7</v>
      </c>
      <c r="D561" s="569">
        <v>54.4</v>
      </c>
      <c r="E561" s="569">
        <v>5.9</v>
      </c>
      <c r="F561" s="569">
        <v>72</v>
      </c>
      <c r="G561" s="569">
        <v>9.6999999999999993</v>
      </c>
      <c r="H561" s="569">
        <v>61.3</v>
      </c>
      <c r="I561" s="569">
        <v>9.1</v>
      </c>
      <c r="J561" s="569">
        <v>54.4</v>
      </c>
      <c r="K561" s="569">
        <v>5.9</v>
      </c>
      <c r="L561" s="569">
        <v>72</v>
      </c>
      <c r="M561" s="569">
        <v>9.6999999999999993</v>
      </c>
      <c r="N561" s="569">
        <v>61.3</v>
      </c>
      <c r="O561" s="569">
        <v>9.1</v>
      </c>
      <c r="P561" s="569">
        <v>76.8</v>
      </c>
      <c r="Q561" s="569">
        <v>10.4</v>
      </c>
      <c r="R561" s="569">
        <v>54.4</v>
      </c>
      <c r="S561" s="569">
        <v>5.9</v>
      </c>
      <c r="T561" s="569">
        <v>72</v>
      </c>
      <c r="U561" s="569">
        <v>9.6999999999999993</v>
      </c>
      <c r="V561" s="569">
        <v>61.3</v>
      </c>
      <c r="W561" s="569">
        <v>9.1</v>
      </c>
      <c r="X561" s="569">
        <v>76.8</v>
      </c>
      <c r="Y561" s="569">
        <v>10.4</v>
      </c>
      <c r="Z561" s="569">
        <v>54.4</v>
      </c>
      <c r="AA561" s="569">
        <v>5.9</v>
      </c>
      <c r="AB561" s="569">
        <v>72</v>
      </c>
      <c r="AC561" s="569">
        <v>9.6999999999999993</v>
      </c>
      <c r="AD561" s="569">
        <v>61.3</v>
      </c>
      <c r="AE561" s="569">
        <v>61.3</v>
      </c>
      <c r="AF561">
        <v>561</v>
      </c>
      <c r="AG561" s="438">
        <f>IF(INDEX(D:AE,AF561,ADP!$AF$6)=0,"",INDEX(D:AE,AF561,ADP!$AF$6)+AH561)</f>
        <v>61.300559999999997</v>
      </c>
      <c r="AH561">
        <f t="shared" si="8"/>
        <v>5.6000000000000711E-4</v>
      </c>
    </row>
    <row r="562" spans="1:34" ht="15.75" thickBot="1" x14ac:dyDescent="0.3">
      <c r="A562" s="569" t="s">
        <v>1831</v>
      </c>
      <c r="B562" s="569" t="s">
        <v>143</v>
      </c>
      <c r="C562" s="569" t="s">
        <v>3</v>
      </c>
      <c r="D562" s="569"/>
      <c r="E562" s="569"/>
      <c r="F562" s="569"/>
      <c r="G562" s="569"/>
      <c r="H562" s="569"/>
      <c r="I562" s="569"/>
      <c r="J562" s="569"/>
      <c r="K562" s="569"/>
      <c r="L562" s="569"/>
      <c r="M562" s="569"/>
      <c r="N562" s="569"/>
      <c r="O562" s="569"/>
      <c r="P562" s="569"/>
      <c r="Q562" s="569"/>
      <c r="R562" s="569"/>
      <c r="S562" s="569"/>
      <c r="T562" s="569"/>
      <c r="U562" s="569"/>
      <c r="V562" s="569"/>
      <c r="W562" s="569"/>
      <c r="X562" s="569"/>
      <c r="Y562" s="569"/>
      <c r="Z562" s="569"/>
      <c r="AA562" s="569"/>
      <c r="AB562" s="569"/>
      <c r="AC562" s="569"/>
      <c r="AD562" s="569"/>
      <c r="AE562" s="569"/>
      <c r="AF562">
        <v>562</v>
      </c>
      <c r="AG562" s="438" t="str">
        <f>IF(INDEX(D:AE,AF562,ADP!$AF$6)=0,"",INDEX(D:AE,AF562,ADP!$AF$6)+AH562)</f>
        <v/>
      </c>
      <c r="AH562">
        <f t="shared" si="8"/>
        <v>5.6100000000000713E-4</v>
      </c>
    </row>
    <row r="563" spans="1:34" ht="15.75" thickBot="1" x14ac:dyDescent="0.3">
      <c r="A563" s="569" t="s">
        <v>2502</v>
      </c>
      <c r="B563" s="569" t="s">
        <v>147</v>
      </c>
      <c r="C563" s="569" t="s">
        <v>7</v>
      </c>
      <c r="D563" s="569"/>
      <c r="E563" s="569"/>
      <c r="F563" s="569"/>
      <c r="G563" s="569"/>
      <c r="H563" s="569"/>
      <c r="I563" s="569"/>
      <c r="J563" s="569"/>
      <c r="K563" s="569"/>
      <c r="L563" s="569"/>
      <c r="M563" s="569"/>
      <c r="N563" s="569"/>
      <c r="O563" s="569"/>
      <c r="P563" s="569"/>
      <c r="Q563" s="569"/>
      <c r="R563" s="569"/>
      <c r="S563" s="569"/>
      <c r="T563" s="569"/>
      <c r="U563" s="569"/>
      <c r="V563" s="569"/>
      <c r="W563" s="569"/>
      <c r="X563" s="569"/>
      <c r="Y563" s="569"/>
      <c r="Z563" s="569"/>
      <c r="AA563" s="569"/>
      <c r="AB563" s="569"/>
      <c r="AC563" s="569"/>
      <c r="AD563" s="569"/>
      <c r="AE563" s="569"/>
      <c r="AF563">
        <v>563</v>
      </c>
      <c r="AG563" s="438" t="str">
        <f>IF(INDEX(D:AE,AF563,ADP!$AF$6)=0,"",INDEX(D:AE,AF563,ADP!$AF$6)+AH563)</f>
        <v/>
      </c>
      <c r="AH563">
        <f t="shared" si="8"/>
        <v>5.6200000000000716E-4</v>
      </c>
    </row>
    <row r="564" spans="1:34" ht="15.75" thickBot="1" x14ac:dyDescent="0.3">
      <c r="A564" s="569" t="s">
        <v>2128</v>
      </c>
      <c r="B564" s="569" t="s">
        <v>141</v>
      </c>
      <c r="C564" s="569" t="s">
        <v>6</v>
      </c>
      <c r="D564" s="569">
        <v>145.30000000000001</v>
      </c>
      <c r="E564" s="569">
        <v>8.4</v>
      </c>
      <c r="F564" s="569">
        <v>122.5</v>
      </c>
      <c r="G564" s="569">
        <v>9.4</v>
      </c>
      <c r="H564" s="569">
        <v>126.7</v>
      </c>
      <c r="I564" s="569">
        <v>11.2</v>
      </c>
      <c r="J564" s="569">
        <v>145.30000000000001</v>
      </c>
      <c r="K564" s="569">
        <v>8.4</v>
      </c>
      <c r="L564" s="569">
        <v>122.5</v>
      </c>
      <c r="M564" s="569">
        <v>9.4</v>
      </c>
      <c r="N564" s="569">
        <v>126.7</v>
      </c>
      <c r="O564" s="569">
        <v>11.2</v>
      </c>
      <c r="P564" s="569">
        <v>99.4</v>
      </c>
      <c r="Q564" s="569">
        <v>7.8</v>
      </c>
      <c r="R564" s="569">
        <v>145.30000000000001</v>
      </c>
      <c r="S564" s="569">
        <v>8.4</v>
      </c>
      <c r="T564" s="569">
        <v>122.5</v>
      </c>
      <c r="U564" s="569">
        <v>9.4</v>
      </c>
      <c r="V564" s="569">
        <v>126.7</v>
      </c>
      <c r="W564" s="569">
        <v>11.2</v>
      </c>
      <c r="X564" s="569">
        <v>99.4</v>
      </c>
      <c r="Y564" s="569">
        <v>7.8</v>
      </c>
      <c r="Z564" s="569">
        <v>145.30000000000001</v>
      </c>
      <c r="AA564" s="569">
        <v>8.4</v>
      </c>
      <c r="AB564" s="569">
        <v>122.5</v>
      </c>
      <c r="AC564" s="569">
        <v>9.4</v>
      </c>
      <c r="AD564" s="569">
        <v>126.7</v>
      </c>
      <c r="AE564" s="569">
        <v>126.7</v>
      </c>
      <c r="AF564">
        <v>564</v>
      </c>
      <c r="AG564" s="438">
        <f>IF(INDEX(D:AE,AF564,ADP!$AF$6)=0,"",INDEX(D:AE,AF564,ADP!$AF$6)+AH564)</f>
        <v>126.700563</v>
      </c>
      <c r="AH564">
        <f t="shared" si="8"/>
        <v>5.6300000000000718E-4</v>
      </c>
    </row>
    <row r="565" spans="1:34" ht="15.75" thickBot="1" x14ac:dyDescent="0.3">
      <c r="A565" s="569" t="s">
        <v>1894</v>
      </c>
      <c r="B565" s="569" t="s">
        <v>154</v>
      </c>
      <c r="C565" s="569" t="s">
        <v>6</v>
      </c>
      <c r="D565" s="569"/>
      <c r="E565" s="569"/>
      <c r="F565" s="569"/>
      <c r="G565" s="569"/>
      <c r="H565" s="569"/>
      <c r="I565" s="569"/>
      <c r="J565" s="569"/>
      <c r="K565" s="569"/>
      <c r="L565" s="569"/>
      <c r="M565" s="569"/>
      <c r="N565" s="569"/>
      <c r="O565" s="569"/>
      <c r="P565" s="569"/>
      <c r="Q565" s="569"/>
      <c r="R565" s="569"/>
      <c r="S565" s="569"/>
      <c r="T565" s="569"/>
      <c r="U565" s="569"/>
      <c r="V565" s="569"/>
      <c r="W565" s="569"/>
      <c r="X565" s="569"/>
      <c r="Y565" s="569"/>
      <c r="Z565" s="569"/>
      <c r="AA565" s="569"/>
      <c r="AB565" s="569"/>
      <c r="AC565" s="569"/>
      <c r="AD565" s="569"/>
      <c r="AE565" s="569"/>
      <c r="AF565">
        <v>565</v>
      </c>
      <c r="AG565" s="438" t="str">
        <f>IF(INDEX(D:AE,AF565,ADP!$AF$6)=0,"",INDEX(D:AE,AF565,ADP!$AF$6)+AH565)</f>
        <v/>
      </c>
      <c r="AH565">
        <f t="shared" si="8"/>
        <v>5.640000000000072E-4</v>
      </c>
    </row>
    <row r="566" spans="1:34" ht="15.75" thickBot="1" x14ac:dyDescent="0.3">
      <c r="A566" s="569" t="s">
        <v>2570</v>
      </c>
      <c r="B566" s="569" t="s">
        <v>140</v>
      </c>
      <c r="C566" s="569" t="s">
        <v>6</v>
      </c>
      <c r="D566" s="574"/>
      <c r="E566" s="574"/>
      <c r="F566" s="574"/>
      <c r="G566" s="574"/>
      <c r="H566" s="574"/>
      <c r="I566" s="574"/>
      <c r="J566" s="574"/>
      <c r="K566" s="574"/>
      <c r="L566" s="574"/>
      <c r="M566" s="574"/>
      <c r="N566" s="574"/>
      <c r="O566" s="574"/>
      <c r="P566" s="574"/>
      <c r="Q566" s="574"/>
      <c r="R566" s="574"/>
      <c r="S566" s="574"/>
      <c r="T566" s="574"/>
      <c r="U566" s="574"/>
      <c r="V566" s="574"/>
      <c r="W566" s="574"/>
      <c r="X566" s="574"/>
      <c r="Y566" s="574"/>
      <c r="Z566" s="574"/>
      <c r="AA566" s="574"/>
      <c r="AB566" s="574"/>
      <c r="AC566" s="574"/>
      <c r="AD566" s="574"/>
      <c r="AE566" s="574"/>
      <c r="AF566">
        <v>566</v>
      </c>
      <c r="AG566" s="438" t="str">
        <f>IF(INDEX(D:AE,AF566,ADP!$AF$6)=0,"",INDEX(D:AE,AF566,ADP!$AF$6)+AH566)</f>
        <v/>
      </c>
      <c r="AH566">
        <f t="shared" si="8"/>
        <v>5.6500000000000723E-4</v>
      </c>
    </row>
    <row r="567" spans="1:34" ht="15.75" thickBot="1" x14ac:dyDescent="0.3">
      <c r="A567" s="569" t="s">
        <v>1959</v>
      </c>
      <c r="B567" s="569" t="s">
        <v>151</v>
      </c>
      <c r="C567" s="569" t="s">
        <v>3</v>
      </c>
      <c r="D567" s="574"/>
      <c r="E567" s="574"/>
      <c r="F567" s="574"/>
      <c r="G567" s="574"/>
      <c r="H567" s="574"/>
      <c r="I567" s="574"/>
      <c r="J567" s="574"/>
      <c r="K567" s="574"/>
      <c r="L567" s="574"/>
      <c r="M567" s="574"/>
      <c r="N567" s="574"/>
      <c r="O567" s="574"/>
      <c r="P567" s="574"/>
      <c r="Q567" s="574"/>
      <c r="R567" s="574"/>
      <c r="S567" s="574"/>
      <c r="T567" s="574"/>
      <c r="U567" s="574"/>
      <c r="V567" s="574"/>
      <c r="W567" s="574"/>
      <c r="X567" s="574"/>
      <c r="Y567" s="574"/>
      <c r="Z567" s="574"/>
      <c r="AA567" s="574"/>
      <c r="AB567" s="574"/>
      <c r="AC567" s="574"/>
      <c r="AD567" s="574"/>
      <c r="AE567" s="574"/>
      <c r="AF567">
        <v>567</v>
      </c>
      <c r="AG567" s="438" t="str">
        <f>IF(INDEX(D:AE,AF567,ADP!$AF$6)=0,"",INDEX(D:AE,AF567,ADP!$AF$6)+AH567)</f>
        <v/>
      </c>
      <c r="AH567">
        <f t="shared" si="8"/>
        <v>5.6600000000000725E-4</v>
      </c>
    </row>
    <row r="568" spans="1:34" ht="15.75" thickBot="1" x14ac:dyDescent="0.3">
      <c r="A568" s="569" t="s">
        <v>1794</v>
      </c>
      <c r="B568" s="569" t="s">
        <v>141</v>
      </c>
      <c r="C568" s="569" t="s">
        <v>6</v>
      </c>
      <c r="D568" s="569"/>
      <c r="E568" s="569"/>
      <c r="F568" s="569"/>
      <c r="G568" s="569"/>
      <c r="H568" s="569"/>
      <c r="I568" s="569"/>
      <c r="J568" s="569"/>
      <c r="K568" s="569"/>
      <c r="L568" s="569"/>
      <c r="M568" s="569"/>
      <c r="N568" s="569"/>
      <c r="O568" s="569"/>
      <c r="P568" s="569"/>
      <c r="Q568" s="569"/>
      <c r="R568" s="569"/>
      <c r="S568" s="569"/>
      <c r="T568" s="569"/>
      <c r="U568" s="569"/>
      <c r="V568" s="569"/>
      <c r="W568" s="569"/>
      <c r="X568" s="569"/>
      <c r="Y568" s="569"/>
      <c r="Z568" s="569"/>
      <c r="AA568" s="569"/>
      <c r="AB568" s="569"/>
      <c r="AC568" s="569"/>
      <c r="AD568" s="569"/>
      <c r="AE568" s="569"/>
      <c r="AF568">
        <v>568</v>
      </c>
      <c r="AG568" s="438" t="str">
        <f>IF(INDEX(D:AE,AF568,ADP!$AF$6)=0,"",INDEX(D:AE,AF568,ADP!$AF$6)+AH568)</f>
        <v/>
      </c>
      <c r="AH568">
        <f t="shared" si="8"/>
        <v>5.6700000000000728E-4</v>
      </c>
    </row>
    <row r="569" spans="1:34" ht="15.75" thickBot="1" x14ac:dyDescent="0.3">
      <c r="A569" s="569" t="s">
        <v>2340</v>
      </c>
      <c r="B569" s="569" t="s">
        <v>155</v>
      </c>
      <c r="C569" s="569" t="s">
        <v>6</v>
      </c>
      <c r="D569" s="574"/>
      <c r="E569" s="574"/>
      <c r="F569" s="574"/>
      <c r="G569" s="574"/>
      <c r="H569" s="574"/>
      <c r="I569" s="574"/>
      <c r="J569" s="574"/>
      <c r="K569" s="574"/>
      <c r="L569" s="574"/>
      <c r="M569" s="574"/>
      <c r="N569" s="574"/>
      <c r="O569" s="574"/>
      <c r="P569" s="574"/>
      <c r="Q569" s="574"/>
      <c r="R569" s="574"/>
      <c r="S569" s="574"/>
      <c r="T569" s="574"/>
      <c r="U569" s="574"/>
      <c r="V569" s="574"/>
      <c r="W569" s="574"/>
      <c r="X569" s="574"/>
      <c r="Y569" s="574"/>
      <c r="Z569" s="574"/>
      <c r="AA569" s="574"/>
      <c r="AB569" s="574"/>
      <c r="AC569" s="574"/>
      <c r="AD569" s="574"/>
      <c r="AE569" s="574"/>
      <c r="AF569">
        <v>569</v>
      </c>
      <c r="AG569" s="438" t="str">
        <f>IF(INDEX(D:AE,AF569,ADP!$AF$6)=0,"",INDEX(D:AE,AF569,ADP!$AF$6)+AH569)</f>
        <v/>
      </c>
      <c r="AH569">
        <f t="shared" si="8"/>
        <v>5.680000000000073E-4</v>
      </c>
    </row>
    <row r="570" spans="1:34" ht="15.75" thickBot="1" x14ac:dyDescent="0.3">
      <c r="A570" s="569" t="s">
        <v>1882</v>
      </c>
      <c r="B570" s="569" t="s">
        <v>154</v>
      </c>
      <c r="C570" s="569" t="s">
        <v>1</v>
      </c>
      <c r="D570" s="569">
        <v>119</v>
      </c>
      <c r="E570" s="569">
        <v>11.1</v>
      </c>
      <c r="F570" s="569">
        <v>95</v>
      </c>
      <c r="G570" s="569">
        <v>11.5</v>
      </c>
      <c r="H570" s="569">
        <v>104.5</v>
      </c>
      <c r="I570" s="569">
        <v>10.9</v>
      </c>
      <c r="J570" s="569">
        <v>119</v>
      </c>
      <c r="K570" s="569">
        <v>11.1</v>
      </c>
      <c r="L570" s="569">
        <v>95</v>
      </c>
      <c r="M570" s="569">
        <v>11.5</v>
      </c>
      <c r="N570" s="569">
        <v>104.5</v>
      </c>
      <c r="O570" s="569">
        <v>10.9</v>
      </c>
      <c r="P570" s="569">
        <v>42.5</v>
      </c>
      <c r="Q570" s="569">
        <v>6.7</v>
      </c>
      <c r="R570" s="569">
        <v>119</v>
      </c>
      <c r="S570" s="569">
        <v>11.1</v>
      </c>
      <c r="T570" s="569">
        <v>95</v>
      </c>
      <c r="U570" s="569">
        <v>11.5</v>
      </c>
      <c r="V570" s="569">
        <v>104.5</v>
      </c>
      <c r="W570" s="569">
        <v>10.9</v>
      </c>
      <c r="X570" s="569">
        <v>42.5</v>
      </c>
      <c r="Y570" s="569">
        <v>6.7</v>
      </c>
      <c r="Z570" s="569">
        <v>119</v>
      </c>
      <c r="AA570" s="569">
        <v>11.1</v>
      </c>
      <c r="AB570" s="569">
        <v>95</v>
      </c>
      <c r="AC570" s="569">
        <v>11.5</v>
      </c>
      <c r="AD570" s="569">
        <v>104.5</v>
      </c>
      <c r="AE570" s="569">
        <v>104.5</v>
      </c>
      <c r="AF570">
        <v>570</v>
      </c>
      <c r="AG570" s="438">
        <f>IF(INDEX(D:AE,AF570,ADP!$AF$6)=0,"",INDEX(D:AE,AF570,ADP!$AF$6)+AH570)</f>
        <v>104.500569</v>
      </c>
      <c r="AH570">
        <f t="shared" si="8"/>
        <v>5.6900000000000733E-4</v>
      </c>
    </row>
    <row r="571" spans="1:34" ht="15.75" thickBot="1" x14ac:dyDescent="0.3">
      <c r="A571" s="569" t="s">
        <v>1819</v>
      </c>
      <c r="B571" s="569" t="s">
        <v>2073</v>
      </c>
      <c r="C571" s="569" t="s">
        <v>11</v>
      </c>
      <c r="D571" s="569">
        <v>137.5</v>
      </c>
      <c r="E571" s="569">
        <v>21.2</v>
      </c>
      <c r="F571" s="569">
        <v>143.30000000000001</v>
      </c>
      <c r="G571" s="569">
        <v>23.2</v>
      </c>
      <c r="H571" s="569">
        <v>144.19999999999999</v>
      </c>
      <c r="I571" s="569">
        <v>15.5</v>
      </c>
      <c r="J571" s="569">
        <v>137.5</v>
      </c>
      <c r="K571" s="569">
        <v>21.2</v>
      </c>
      <c r="L571" s="569">
        <v>143.30000000000001</v>
      </c>
      <c r="M571" s="569">
        <v>23.2</v>
      </c>
      <c r="N571" s="569">
        <v>144.19999999999999</v>
      </c>
      <c r="O571" s="569">
        <v>15.5</v>
      </c>
      <c r="P571" s="569">
        <v>140.5</v>
      </c>
      <c r="Q571" s="569">
        <v>12.5</v>
      </c>
      <c r="R571" s="569">
        <v>137.5</v>
      </c>
      <c r="S571" s="569">
        <v>21.2</v>
      </c>
      <c r="T571" s="569">
        <v>143.30000000000001</v>
      </c>
      <c r="U571" s="569">
        <v>23.2</v>
      </c>
      <c r="V571" s="569">
        <v>144.19999999999999</v>
      </c>
      <c r="W571" s="569">
        <v>15.5</v>
      </c>
      <c r="X571" s="569">
        <v>140.5</v>
      </c>
      <c r="Y571" s="569">
        <v>12.5</v>
      </c>
      <c r="Z571" s="569">
        <v>137.5</v>
      </c>
      <c r="AA571" s="569">
        <v>21.2</v>
      </c>
      <c r="AB571" s="569">
        <v>143.30000000000001</v>
      </c>
      <c r="AC571" s="569">
        <v>23.2</v>
      </c>
      <c r="AD571" s="569">
        <v>144.19999999999999</v>
      </c>
      <c r="AE571" s="569">
        <v>144.19999999999999</v>
      </c>
      <c r="AF571">
        <v>571</v>
      </c>
      <c r="AG571" s="438">
        <f>IF(INDEX(D:AE,AF571,ADP!$AF$6)=0,"",INDEX(D:AE,AF571,ADP!$AF$6)+AH571)</f>
        <v>144.20057</v>
      </c>
      <c r="AH571">
        <f t="shared" si="8"/>
        <v>5.7000000000000735E-4</v>
      </c>
    </row>
    <row r="572" spans="1:34" ht="15.75" thickBot="1" x14ac:dyDescent="0.3">
      <c r="A572" s="569" t="s">
        <v>2358</v>
      </c>
      <c r="B572" s="569" t="s">
        <v>154</v>
      </c>
      <c r="C572" s="569" t="s">
        <v>7</v>
      </c>
      <c r="D572" s="574"/>
      <c r="E572" s="574"/>
      <c r="F572" s="574"/>
      <c r="G572" s="574"/>
      <c r="H572" s="574"/>
      <c r="I572" s="574"/>
      <c r="J572" s="574"/>
      <c r="K572" s="574"/>
      <c r="L572" s="574"/>
      <c r="M572" s="574"/>
      <c r="N572" s="574"/>
      <c r="O572" s="574"/>
      <c r="P572" s="574"/>
      <c r="Q572" s="574"/>
      <c r="R572" s="574"/>
      <c r="S572" s="574"/>
      <c r="T572" s="574"/>
      <c r="U572" s="574"/>
      <c r="V572" s="574"/>
      <c r="W572" s="574"/>
      <c r="X572" s="574"/>
      <c r="Y572" s="574"/>
      <c r="Z572" s="574"/>
      <c r="AA572" s="574"/>
      <c r="AB572" s="574"/>
      <c r="AC572" s="574"/>
      <c r="AD572" s="574"/>
      <c r="AE572" s="574"/>
      <c r="AF572">
        <v>572</v>
      </c>
      <c r="AG572" s="438" t="str">
        <f>IF(INDEX(D:AE,AF572,ADP!$AF$6)=0,"",INDEX(D:AE,AF572,ADP!$AF$6)+AH572)</f>
        <v/>
      </c>
      <c r="AH572">
        <f t="shared" si="8"/>
        <v>5.7100000000000737E-4</v>
      </c>
    </row>
    <row r="573" spans="1:34" ht="15.75" thickBot="1" x14ac:dyDescent="0.3">
      <c r="A573" s="569" t="s">
        <v>2076</v>
      </c>
      <c r="B573" s="569" t="s">
        <v>137</v>
      </c>
      <c r="C573" s="569" t="s">
        <v>3</v>
      </c>
      <c r="D573" s="569">
        <v>62.3</v>
      </c>
      <c r="E573" s="569">
        <v>7.1</v>
      </c>
      <c r="F573" s="569">
        <v>69</v>
      </c>
      <c r="G573" s="569">
        <v>6.6</v>
      </c>
      <c r="H573" s="569">
        <v>75.099999999999994</v>
      </c>
      <c r="I573" s="569">
        <v>7.3</v>
      </c>
      <c r="J573" s="569">
        <v>62.3</v>
      </c>
      <c r="K573" s="569">
        <v>7.1</v>
      </c>
      <c r="L573" s="569">
        <v>69</v>
      </c>
      <c r="M573" s="569">
        <v>6.6</v>
      </c>
      <c r="N573" s="569">
        <v>75.099999999999994</v>
      </c>
      <c r="O573" s="569">
        <v>7.3</v>
      </c>
      <c r="P573" s="569">
        <v>48</v>
      </c>
      <c r="Q573" s="569">
        <v>4.7</v>
      </c>
      <c r="R573" s="569">
        <v>62.3</v>
      </c>
      <c r="S573" s="569">
        <v>7.1</v>
      </c>
      <c r="T573" s="569">
        <v>69</v>
      </c>
      <c r="U573" s="569">
        <v>6.6</v>
      </c>
      <c r="V573" s="569">
        <v>75.099999999999994</v>
      </c>
      <c r="W573" s="569">
        <v>7.3</v>
      </c>
      <c r="X573" s="569">
        <v>48</v>
      </c>
      <c r="Y573" s="569">
        <v>4.7</v>
      </c>
      <c r="Z573" s="569">
        <v>62.3</v>
      </c>
      <c r="AA573" s="569">
        <v>7.1</v>
      </c>
      <c r="AB573" s="569">
        <v>69</v>
      </c>
      <c r="AC573" s="569">
        <v>6.6</v>
      </c>
      <c r="AD573" s="569">
        <v>75.099999999999994</v>
      </c>
      <c r="AE573" s="569">
        <v>75.099999999999994</v>
      </c>
      <c r="AF573">
        <v>573</v>
      </c>
      <c r="AG573" s="438">
        <f>IF(INDEX(D:AE,AF573,ADP!$AF$6)=0,"",INDEX(D:AE,AF573,ADP!$AF$6)+AH573)</f>
        <v>75.100572</v>
      </c>
      <c r="AH573">
        <f t="shared" si="8"/>
        <v>5.720000000000074E-4</v>
      </c>
    </row>
    <row r="574" spans="1:34" ht="15.75" thickBot="1" x14ac:dyDescent="0.3">
      <c r="A574" s="569" t="s">
        <v>1895</v>
      </c>
      <c r="B574" s="569" t="s">
        <v>137</v>
      </c>
      <c r="C574" s="569" t="s">
        <v>7</v>
      </c>
      <c r="D574" s="574"/>
      <c r="E574" s="574"/>
      <c r="F574" s="574"/>
      <c r="G574" s="574"/>
      <c r="H574" s="574"/>
      <c r="I574" s="574"/>
      <c r="J574" s="574"/>
      <c r="K574" s="574"/>
      <c r="L574" s="574"/>
      <c r="M574" s="574"/>
      <c r="N574" s="574"/>
      <c r="O574" s="574"/>
      <c r="P574" s="574"/>
      <c r="Q574" s="574"/>
      <c r="R574" s="574"/>
      <c r="S574" s="574"/>
      <c r="T574" s="574"/>
      <c r="U574" s="574"/>
      <c r="V574" s="574"/>
      <c r="W574" s="574"/>
      <c r="X574" s="574"/>
      <c r="Y574" s="574"/>
      <c r="Z574" s="574"/>
      <c r="AA574" s="574"/>
      <c r="AB574" s="574"/>
      <c r="AC574" s="574"/>
      <c r="AD574" s="574"/>
      <c r="AE574" s="574"/>
      <c r="AF574">
        <v>574</v>
      </c>
      <c r="AG574" s="438" t="str">
        <f>IF(INDEX(D:AE,AF574,ADP!$AF$6)=0,"",INDEX(D:AE,AF574,ADP!$AF$6)+AH574)</f>
        <v/>
      </c>
      <c r="AH574">
        <f t="shared" si="8"/>
        <v>5.7300000000000742E-4</v>
      </c>
    </row>
    <row r="575" spans="1:34" ht="15.75" thickBot="1" x14ac:dyDescent="0.3">
      <c r="A575" s="569" t="s">
        <v>1149</v>
      </c>
      <c r="B575" s="569" t="s">
        <v>2073</v>
      </c>
      <c r="C575" s="569" t="s">
        <v>3</v>
      </c>
      <c r="D575" s="569"/>
      <c r="E575" s="569"/>
      <c r="F575" s="569"/>
      <c r="G575" s="569"/>
      <c r="H575" s="569"/>
      <c r="I575" s="569"/>
      <c r="J575" s="569"/>
      <c r="K575" s="569"/>
      <c r="L575" s="569"/>
      <c r="M575" s="569"/>
      <c r="N575" s="569"/>
      <c r="O575" s="569"/>
      <c r="P575" s="569"/>
      <c r="Q575" s="569"/>
      <c r="R575" s="569"/>
      <c r="S575" s="569"/>
      <c r="T575" s="569"/>
      <c r="U575" s="569"/>
      <c r="V575" s="569"/>
      <c r="W575" s="569"/>
      <c r="X575" s="569"/>
      <c r="Y575" s="569"/>
      <c r="Z575" s="569"/>
      <c r="AA575" s="569"/>
      <c r="AB575" s="569"/>
      <c r="AC575" s="569"/>
      <c r="AD575" s="569"/>
      <c r="AE575" s="569"/>
      <c r="AF575">
        <v>575</v>
      </c>
      <c r="AG575" s="438" t="str">
        <f>IF(INDEX(D:AE,AF575,ADP!$AF$6)=0,"",INDEX(D:AE,AF575,ADP!$AF$6)+AH575)</f>
        <v/>
      </c>
      <c r="AH575">
        <f t="shared" si="8"/>
        <v>5.7400000000000745E-4</v>
      </c>
    </row>
    <row r="576" spans="1:34" ht="15.75" thickBot="1" x14ac:dyDescent="0.3">
      <c r="A576" s="569" t="s">
        <v>1867</v>
      </c>
      <c r="B576" s="569" t="s">
        <v>156</v>
      </c>
      <c r="C576" s="569" t="s">
        <v>3</v>
      </c>
      <c r="D576" s="574">
        <v>101.1</v>
      </c>
      <c r="E576" s="574">
        <v>6.7</v>
      </c>
      <c r="F576" s="574">
        <v>97.6</v>
      </c>
      <c r="G576" s="574">
        <v>6.4</v>
      </c>
      <c r="H576" s="574">
        <v>111.3</v>
      </c>
      <c r="I576" s="574">
        <v>9.4</v>
      </c>
      <c r="J576" s="574">
        <v>101.1</v>
      </c>
      <c r="K576" s="574">
        <v>6.7</v>
      </c>
      <c r="L576" s="574">
        <v>97.6</v>
      </c>
      <c r="M576" s="574">
        <v>6.4</v>
      </c>
      <c r="N576" s="574">
        <v>111.3</v>
      </c>
      <c r="O576" s="574">
        <v>9.4</v>
      </c>
      <c r="P576" s="574">
        <v>93.3</v>
      </c>
      <c r="Q576" s="574">
        <v>3.5</v>
      </c>
      <c r="R576" s="574">
        <v>101.1</v>
      </c>
      <c r="S576" s="574">
        <v>6.7</v>
      </c>
      <c r="T576" s="574">
        <v>97.6</v>
      </c>
      <c r="U576" s="574">
        <v>6.4</v>
      </c>
      <c r="V576" s="574">
        <v>111.3</v>
      </c>
      <c r="W576" s="574">
        <v>9.4</v>
      </c>
      <c r="X576" s="574">
        <v>93.3</v>
      </c>
      <c r="Y576" s="574">
        <v>3.5</v>
      </c>
      <c r="Z576" s="574">
        <v>101.1</v>
      </c>
      <c r="AA576" s="574">
        <v>6.7</v>
      </c>
      <c r="AB576" s="574">
        <v>97.6</v>
      </c>
      <c r="AC576" s="574">
        <v>6.4</v>
      </c>
      <c r="AD576" s="574">
        <v>111.3</v>
      </c>
      <c r="AE576" s="574">
        <v>111.3</v>
      </c>
      <c r="AF576">
        <v>576</v>
      </c>
      <c r="AG576" s="438">
        <f>IF(INDEX(D:AE,AF576,ADP!$AF$6)=0,"",INDEX(D:AE,AF576,ADP!$AF$6)+AH576)</f>
        <v>111.30057499999999</v>
      </c>
      <c r="AH576">
        <f t="shared" si="8"/>
        <v>5.7500000000000747E-4</v>
      </c>
    </row>
    <row r="577" spans="1:34" ht="15.75" thickBot="1" x14ac:dyDescent="0.3">
      <c r="A577" s="569" t="s">
        <v>2292</v>
      </c>
      <c r="B577" s="569" t="s">
        <v>151</v>
      </c>
      <c r="C577" s="569" t="s">
        <v>3</v>
      </c>
      <c r="D577" s="569">
        <v>39.299999999999997</v>
      </c>
      <c r="E577" s="569">
        <v>4.0999999999999996</v>
      </c>
      <c r="F577" s="569">
        <v>51.9</v>
      </c>
      <c r="G577" s="569">
        <v>4.8</v>
      </c>
      <c r="H577" s="569">
        <v>58.8</v>
      </c>
      <c r="I577" s="569">
        <v>7.8</v>
      </c>
      <c r="J577" s="569">
        <v>39.299999999999997</v>
      </c>
      <c r="K577" s="569">
        <v>4.0999999999999996</v>
      </c>
      <c r="L577" s="569">
        <v>51.9</v>
      </c>
      <c r="M577" s="569">
        <v>4.8</v>
      </c>
      <c r="N577" s="569">
        <v>58.8</v>
      </c>
      <c r="O577" s="569">
        <v>7.8</v>
      </c>
      <c r="P577" s="569">
        <v>51.9</v>
      </c>
      <c r="Q577" s="569">
        <v>6.8</v>
      </c>
      <c r="R577" s="569">
        <v>39.299999999999997</v>
      </c>
      <c r="S577" s="569">
        <v>4.0999999999999996</v>
      </c>
      <c r="T577" s="569">
        <v>51.9</v>
      </c>
      <c r="U577" s="569">
        <v>4.8</v>
      </c>
      <c r="V577" s="569">
        <v>58.8</v>
      </c>
      <c r="W577" s="569">
        <v>7.8</v>
      </c>
      <c r="X577" s="569">
        <v>51.9</v>
      </c>
      <c r="Y577" s="569">
        <v>6.8</v>
      </c>
      <c r="Z577" s="569">
        <v>39.299999999999997</v>
      </c>
      <c r="AA577" s="569">
        <v>4.0999999999999996</v>
      </c>
      <c r="AB577" s="569">
        <v>51.9</v>
      </c>
      <c r="AC577" s="569">
        <v>4.8</v>
      </c>
      <c r="AD577" s="569">
        <v>58.8</v>
      </c>
      <c r="AE577" s="569">
        <v>58.8</v>
      </c>
      <c r="AF577">
        <v>577</v>
      </c>
      <c r="AG577" s="438">
        <f>IF(INDEX(D:AE,AF577,ADP!$AF$6)=0,"",INDEX(D:AE,AF577,ADP!$AF$6)+AH577)</f>
        <v>58.800576</v>
      </c>
      <c r="AH577">
        <f t="shared" si="8"/>
        <v>5.760000000000075E-4</v>
      </c>
    </row>
    <row r="578" spans="1:34" ht="15.75" thickBot="1" x14ac:dyDescent="0.3">
      <c r="A578" s="569" t="s">
        <v>1425</v>
      </c>
      <c r="B578" s="569" t="s">
        <v>164</v>
      </c>
      <c r="C578" s="569" t="s">
        <v>3</v>
      </c>
      <c r="D578" s="574">
        <v>75.099999999999994</v>
      </c>
      <c r="E578" s="574">
        <v>7.3</v>
      </c>
      <c r="F578" s="574"/>
      <c r="G578" s="574"/>
      <c r="H578" s="574"/>
      <c r="I578" s="574"/>
      <c r="J578" s="574">
        <v>75.099999999999994</v>
      </c>
      <c r="K578" s="574">
        <v>7.3</v>
      </c>
      <c r="L578" s="574"/>
      <c r="M578" s="574"/>
      <c r="N578" s="574"/>
      <c r="O578" s="574"/>
      <c r="P578" s="574">
        <v>53.7</v>
      </c>
      <c r="Q578" s="574">
        <v>6.8</v>
      </c>
      <c r="R578" s="574">
        <v>75.099999999999994</v>
      </c>
      <c r="S578" s="574">
        <v>7.3</v>
      </c>
      <c r="T578" s="574"/>
      <c r="U578" s="574"/>
      <c r="V578" s="574"/>
      <c r="W578" s="574"/>
      <c r="X578" s="574">
        <v>53.7</v>
      </c>
      <c r="Y578" s="574">
        <v>6.8</v>
      </c>
      <c r="Z578" s="574">
        <v>75.099999999999994</v>
      </c>
      <c r="AA578" s="574">
        <v>7.3</v>
      </c>
      <c r="AB578" s="574"/>
      <c r="AC578" s="574"/>
      <c r="AD578" s="574"/>
      <c r="AE578" s="574"/>
      <c r="AF578">
        <v>578</v>
      </c>
      <c r="AG578" s="438" t="str">
        <f>IF(INDEX(D:AE,AF578,ADP!$AF$6)=0,"",INDEX(D:AE,AF578,ADP!$AF$6)+AH578)</f>
        <v/>
      </c>
      <c r="AH578">
        <f t="shared" si="8"/>
        <v>5.7700000000000752E-4</v>
      </c>
    </row>
    <row r="579" spans="1:34" ht="15.75" thickBot="1" x14ac:dyDescent="0.3">
      <c r="A579" s="569" t="s">
        <v>1993</v>
      </c>
      <c r="B579" s="569" t="s">
        <v>151</v>
      </c>
      <c r="C579" s="569" t="s">
        <v>7</v>
      </c>
      <c r="D579" s="574">
        <v>119</v>
      </c>
      <c r="E579" s="574">
        <v>13.8</v>
      </c>
      <c r="F579" s="574">
        <v>109.8</v>
      </c>
      <c r="G579" s="574">
        <v>11.6</v>
      </c>
      <c r="H579" s="574">
        <v>116.7</v>
      </c>
      <c r="I579" s="574">
        <v>11.5</v>
      </c>
      <c r="J579" s="574">
        <v>119</v>
      </c>
      <c r="K579" s="574">
        <v>13.8</v>
      </c>
      <c r="L579" s="574">
        <v>109.8</v>
      </c>
      <c r="M579" s="574">
        <v>11.6</v>
      </c>
      <c r="N579" s="574">
        <v>116.7</v>
      </c>
      <c r="O579" s="574">
        <v>11.5</v>
      </c>
      <c r="P579" s="574">
        <v>107.5</v>
      </c>
      <c r="Q579" s="574">
        <v>11.1</v>
      </c>
      <c r="R579" s="574">
        <v>119</v>
      </c>
      <c r="S579" s="574">
        <v>13.8</v>
      </c>
      <c r="T579" s="574">
        <v>109.8</v>
      </c>
      <c r="U579" s="574">
        <v>11.6</v>
      </c>
      <c r="V579" s="574">
        <v>116.7</v>
      </c>
      <c r="W579" s="574">
        <v>11.5</v>
      </c>
      <c r="X579" s="574">
        <v>107.5</v>
      </c>
      <c r="Y579" s="574">
        <v>11.1</v>
      </c>
      <c r="Z579" s="574">
        <v>119</v>
      </c>
      <c r="AA579" s="574">
        <v>13.8</v>
      </c>
      <c r="AB579" s="574">
        <v>109.8</v>
      </c>
      <c r="AC579" s="574">
        <v>11.6</v>
      </c>
      <c r="AD579" s="574">
        <v>116.7</v>
      </c>
      <c r="AE579" s="574">
        <v>116.7</v>
      </c>
      <c r="AF579">
        <v>579</v>
      </c>
      <c r="AG579" s="438">
        <f>IF(INDEX(D:AE,AF579,ADP!$AF$6)=0,"",INDEX(D:AE,AF579,ADP!$AF$6)+AH579)</f>
        <v>116.70057800000001</v>
      </c>
      <c r="AH579">
        <f t="shared" si="8"/>
        <v>5.7800000000000754E-4</v>
      </c>
    </row>
    <row r="580" spans="1:34" ht="15.75" thickBot="1" x14ac:dyDescent="0.3">
      <c r="A580" s="569" t="s">
        <v>2503</v>
      </c>
      <c r="B580" s="569" t="s">
        <v>156</v>
      </c>
      <c r="C580" s="569" t="s">
        <v>7</v>
      </c>
      <c r="D580" s="569">
        <v>135.4</v>
      </c>
      <c r="E580" s="569">
        <v>17.899999999999999</v>
      </c>
      <c r="F580" s="569">
        <v>147.69999999999999</v>
      </c>
      <c r="G580" s="569">
        <v>19.600000000000001</v>
      </c>
      <c r="H580" s="569">
        <v>149.80000000000001</v>
      </c>
      <c r="I580" s="569">
        <v>19.7</v>
      </c>
      <c r="J580" s="569">
        <v>135.4</v>
      </c>
      <c r="K580" s="569">
        <v>17.899999999999999</v>
      </c>
      <c r="L580" s="569">
        <v>147.69999999999999</v>
      </c>
      <c r="M580" s="569">
        <v>19.600000000000001</v>
      </c>
      <c r="N580" s="569">
        <v>149.80000000000001</v>
      </c>
      <c r="O580" s="569">
        <v>19.7</v>
      </c>
      <c r="P580" s="569">
        <v>136.9</v>
      </c>
      <c r="Q580" s="569">
        <v>15.1</v>
      </c>
      <c r="R580" s="569">
        <v>135.4</v>
      </c>
      <c r="S580" s="569">
        <v>17.899999999999999</v>
      </c>
      <c r="T580" s="569">
        <v>147.69999999999999</v>
      </c>
      <c r="U580" s="569">
        <v>19.600000000000001</v>
      </c>
      <c r="V580" s="569">
        <v>149.80000000000001</v>
      </c>
      <c r="W580" s="569">
        <v>19.7</v>
      </c>
      <c r="X580" s="569">
        <v>136.9</v>
      </c>
      <c r="Y580" s="569">
        <v>15.1</v>
      </c>
      <c r="Z580" s="569">
        <v>135.4</v>
      </c>
      <c r="AA580" s="569">
        <v>17.899999999999999</v>
      </c>
      <c r="AB580" s="569">
        <v>147.69999999999999</v>
      </c>
      <c r="AC580" s="569">
        <v>19.600000000000001</v>
      </c>
      <c r="AD580" s="569">
        <v>149.80000000000001</v>
      </c>
      <c r="AE580" s="569">
        <v>149.80000000000001</v>
      </c>
      <c r="AF580">
        <v>580</v>
      </c>
      <c r="AG580" s="438">
        <f>IF(INDEX(D:AE,AF580,ADP!$AF$6)=0,"",INDEX(D:AE,AF580,ADP!$AF$6)+AH580)</f>
        <v>149.800579</v>
      </c>
      <c r="AH580">
        <f t="shared" si="8"/>
        <v>5.7900000000000757E-4</v>
      </c>
    </row>
    <row r="581" spans="1:34" ht="15.75" thickBot="1" x14ac:dyDescent="0.3">
      <c r="A581" s="569" t="s">
        <v>2553</v>
      </c>
      <c r="B581" s="569" t="s">
        <v>151</v>
      </c>
      <c r="C581" s="569" t="s">
        <v>7</v>
      </c>
      <c r="D581" s="569"/>
      <c r="E581" s="569"/>
      <c r="F581" s="569"/>
      <c r="G581" s="569"/>
      <c r="H581" s="569"/>
      <c r="I581" s="569"/>
      <c r="J581" s="569"/>
      <c r="K581" s="569"/>
      <c r="L581" s="569"/>
      <c r="M581" s="569"/>
      <c r="N581" s="569"/>
      <c r="O581" s="569"/>
      <c r="P581" s="569"/>
      <c r="Q581" s="569"/>
      <c r="R581" s="569"/>
      <c r="S581" s="569"/>
      <c r="T581" s="569"/>
      <c r="U581" s="569"/>
      <c r="V581" s="569"/>
      <c r="W581" s="569"/>
      <c r="X581" s="569"/>
      <c r="Y581" s="569"/>
      <c r="Z581" s="569"/>
      <c r="AA581" s="569"/>
      <c r="AB581" s="569"/>
      <c r="AC581" s="569"/>
      <c r="AD581" s="569"/>
      <c r="AE581" s="569"/>
      <c r="AF581">
        <v>581</v>
      </c>
      <c r="AG581" s="438" t="str">
        <f>IF(INDEX(D:AE,AF581,ADP!$AF$6)=0,"",INDEX(D:AE,AF581,ADP!$AF$6)+AH581)</f>
        <v/>
      </c>
      <c r="AH581">
        <f t="shared" si="8"/>
        <v>5.8000000000000759E-4</v>
      </c>
    </row>
    <row r="582" spans="1:34" ht="15.75" thickBot="1" x14ac:dyDescent="0.3">
      <c r="A582" s="569" t="s">
        <v>1813</v>
      </c>
      <c r="B582" s="569" t="s">
        <v>137</v>
      </c>
      <c r="C582" s="569" t="s">
        <v>7</v>
      </c>
      <c r="D582" s="569">
        <v>62.4</v>
      </c>
      <c r="E582" s="569">
        <v>5</v>
      </c>
      <c r="F582" s="569">
        <v>82.8</v>
      </c>
      <c r="G582" s="569">
        <v>7.9</v>
      </c>
      <c r="H582" s="569">
        <v>69.099999999999994</v>
      </c>
      <c r="I582" s="569">
        <v>8.8000000000000007</v>
      </c>
      <c r="J582" s="569">
        <v>62.4</v>
      </c>
      <c r="K582" s="569">
        <v>5</v>
      </c>
      <c r="L582" s="569">
        <v>82.8</v>
      </c>
      <c r="M582" s="569">
        <v>7.9</v>
      </c>
      <c r="N582" s="569">
        <v>69.099999999999994</v>
      </c>
      <c r="O582" s="569">
        <v>8.8000000000000007</v>
      </c>
      <c r="P582" s="569">
        <v>77.599999999999994</v>
      </c>
      <c r="Q582" s="569">
        <v>7.8</v>
      </c>
      <c r="R582" s="569">
        <v>62.4</v>
      </c>
      <c r="S582" s="569">
        <v>5</v>
      </c>
      <c r="T582" s="569">
        <v>82.8</v>
      </c>
      <c r="U582" s="569">
        <v>7.9</v>
      </c>
      <c r="V582" s="569">
        <v>69.099999999999994</v>
      </c>
      <c r="W582" s="569">
        <v>8.8000000000000007</v>
      </c>
      <c r="X582" s="569">
        <v>77.599999999999994</v>
      </c>
      <c r="Y582" s="569">
        <v>7.8</v>
      </c>
      <c r="Z582" s="569">
        <v>62.4</v>
      </c>
      <c r="AA582" s="569">
        <v>5</v>
      </c>
      <c r="AB582" s="569">
        <v>82.8</v>
      </c>
      <c r="AC582" s="569">
        <v>7.9</v>
      </c>
      <c r="AD582" s="569">
        <v>69.099999999999994</v>
      </c>
      <c r="AE582" s="569">
        <v>69.099999999999994</v>
      </c>
      <c r="AF582">
        <v>582</v>
      </c>
      <c r="AG582" s="438">
        <f>IF(INDEX(D:AE,AF582,ADP!$AF$6)=0,"",INDEX(D:AE,AF582,ADP!$AF$6)+AH582)</f>
        <v>69.100580999999991</v>
      </c>
      <c r="AH582">
        <f t="shared" ref="AH582:AH645" si="9">AH581+0.000001</f>
        <v>5.8100000000000762E-4</v>
      </c>
    </row>
    <row r="583" spans="1:34" ht="15.75" thickBot="1" x14ac:dyDescent="0.3">
      <c r="A583" s="569" t="s">
        <v>146</v>
      </c>
      <c r="B583" s="569" t="s">
        <v>146</v>
      </c>
      <c r="C583" s="569" t="s">
        <v>160</v>
      </c>
      <c r="D583" s="569">
        <v>136.5</v>
      </c>
      <c r="E583" s="569">
        <v>15.7</v>
      </c>
      <c r="F583" s="569">
        <v>137.30000000000001</v>
      </c>
      <c r="G583" s="569">
        <v>16.600000000000001</v>
      </c>
      <c r="H583" s="569">
        <v>135.30000000000001</v>
      </c>
      <c r="I583" s="569">
        <v>16.8</v>
      </c>
      <c r="J583" s="569">
        <v>136.5</v>
      </c>
      <c r="K583" s="569">
        <v>15.7</v>
      </c>
      <c r="L583" s="569">
        <v>137.30000000000001</v>
      </c>
      <c r="M583" s="569">
        <v>16.600000000000001</v>
      </c>
      <c r="N583" s="569">
        <v>135.30000000000001</v>
      </c>
      <c r="O583" s="569">
        <v>16.8</v>
      </c>
      <c r="P583" s="574">
        <v>134.4</v>
      </c>
      <c r="Q583" s="574">
        <v>17.5</v>
      </c>
      <c r="R583" s="569">
        <v>136.5</v>
      </c>
      <c r="S583" s="569">
        <v>15.7</v>
      </c>
      <c r="T583" s="569">
        <v>137.30000000000001</v>
      </c>
      <c r="U583" s="569">
        <v>16.600000000000001</v>
      </c>
      <c r="V583" s="569">
        <v>135.30000000000001</v>
      </c>
      <c r="W583" s="569">
        <v>16.8</v>
      </c>
      <c r="X583" s="574">
        <v>134.4</v>
      </c>
      <c r="Y583" s="574">
        <v>17.5</v>
      </c>
      <c r="Z583" s="569">
        <v>136.5</v>
      </c>
      <c r="AA583" s="569">
        <v>15.7</v>
      </c>
      <c r="AB583" s="569">
        <v>137.30000000000001</v>
      </c>
      <c r="AC583" s="569">
        <v>16.600000000000001</v>
      </c>
      <c r="AD583" s="569">
        <v>135.30000000000001</v>
      </c>
      <c r="AE583" s="569">
        <v>135.30000000000001</v>
      </c>
      <c r="AF583">
        <v>583</v>
      </c>
      <c r="AG583" s="438">
        <f>IF(INDEX(D:AE,AF583,ADP!$AF$6)=0,"",INDEX(D:AE,AF583,ADP!$AF$6)+AH583)</f>
        <v>135.30058200000002</v>
      </c>
      <c r="AH583">
        <f t="shared" si="9"/>
        <v>5.8200000000000764E-4</v>
      </c>
    </row>
    <row r="584" spans="1:34" ht="15.75" thickBot="1" x14ac:dyDescent="0.3">
      <c r="A584" s="569" t="s">
        <v>1295</v>
      </c>
      <c r="B584" s="569" t="s">
        <v>146</v>
      </c>
      <c r="C584" s="569" t="s">
        <v>1</v>
      </c>
      <c r="D584" s="574">
        <v>91.3</v>
      </c>
      <c r="E584" s="574">
        <v>9.4</v>
      </c>
      <c r="F584" s="574">
        <v>77.5</v>
      </c>
      <c r="G584" s="574">
        <v>9</v>
      </c>
      <c r="H584" s="574">
        <v>82.5</v>
      </c>
      <c r="I584" s="574">
        <v>8.6</v>
      </c>
      <c r="J584" s="574">
        <v>91.3</v>
      </c>
      <c r="K584" s="574">
        <v>9.4</v>
      </c>
      <c r="L584" s="574">
        <v>77.5</v>
      </c>
      <c r="M584" s="574">
        <v>9</v>
      </c>
      <c r="N584" s="574">
        <v>82.5</v>
      </c>
      <c r="O584" s="574">
        <v>8.6</v>
      </c>
      <c r="P584" s="569">
        <v>25.4</v>
      </c>
      <c r="Q584" s="569">
        <v>3.9</v>
      </c>
      <c r="R584" s="574">
        <v>91.3</v>
      </c>
      <c r="S584" s="574">
        <v>9.4</v>
      </c>
      <c r="T584" s="574">
        <v>77.5</v>
      </c>
      <c r="U584" s="574">
        <v>9</v>
      </c>
      <c r="V584" s="574">
        <v>82.5</v>
      </c>
      <c r="W584" s="574">
        <v>8.6</v>
      </c>
      <c r="X584" s="569">
        <v>25.4</v>
      </c>
      <c r="Y584" s="569">
        <v>3.9</v>
      </c>
      <c r="Z584" s="574">
        <v>91.3</v>
      </c>
      <c r="AA584" s="574">
        <v>9.4</v>
      </c>
      <c r="AB584" s="574">
        <v>77.5</v>
      </c>
      <c r="AC584" s="574">
        <v>9</v>
      </c>
      <c r="AD584" s="574">
        <v>82.5</v>
      </c>
      <c r="AE584" s="574">
        <v>82.5</v>
      </c>
      <c r="AF584">
        <v>584</v>
      </c>
      <c r="AG584" s="438">
        <f>IF(INDEX(D:AE,AF584,ADP!$AF$6)=0,"",INDEX(D:AE,AF584,ADP!$AF$6)+AH584)</f>
        <v>82.500583000000006</v>
      </c>
      <c r="AH584">
        <f t="shared" si="9"/>
        <v>5.8300000000000767E-4</v>
      </c>
    </row>
    <row r="585" spans="1:34" ht="15.75" thickBot="1" x14ac:dyDescent="0.3">
      <c r="A585" s="569" t="s">
        <v>1432</v>
      </c>
      <c r="B585" s="569" t="s">
        <v>152</v>
      </c>
      <c r="C585" s="569" t="s">
        <v>6</v>
      </c>
      <c r="D585" s="569"/>
      <c r="E585" s="569"/>
      <c r="F585" s="569"/>
      <c r="G585" s="569"/>
      <c r="H585" s="569"/>
      <c r="I585" s="569"/>
      <c r="J585" s="569"/>
      <c r="K585" s="569"/>
      <c r="L585" s="569"/>
      <c r="M585" s="569"/>
      <c r="N585" s="569"/>
      <c r="O585" s="569"/>
      <c r="P585" s="569"/>
      <c r="Q585" s="569"/>
      <c r="R585" s="569"/>
      <c r="S585" s="569"/>
      <c r="T585" s="569"/>
      <c r="U585" s="569"/>
      <c r="V585" s="569"/>
      <c r="W585" s="569"/>
      <c r="X585" s="569"/>
      <c r="Y585" s="569"/>
      <c r="Z585" s="569"/>
      <c r="AA585" s="569"/>
      <c r="AB585" s="569"/>
      <c r="AC585" s="569"/>
      <c r="AD585" s="569"/>
      <c r="AE585" s="569"/>
      <c r="AF585">
        <v>585</v>
      </c>
      <c r="AG585" s="438" t="str">
        <f>IF(INDEX(D:AE,AF585,ADP!$AF$6)=0,"",INDEX(D:AE,AF585,ADP!$AF$6)+AH585)</f>
        <v/>
      </c>
      <c r="AH585">
        <f t="shared" si="9"/>
        <v>5.8400000000000769E-4</v>
      </c>
    </row>
    <row r="586" spans="1:34" ht="15.75" thickBot="1" x14ac:dyDescent="0.3">
      <c r="A586" s="569" t="s">
        <v>2504</v>
      </c>
      <c r="B586" s="569" t="s">
        <v>152</v>
      </c>
      <c r="C586" s="569" t="s">
        <v>7</v>
      </c>
      <c r="D586" s="574"/>
      <c r="E586" s="574"/>
      <c r="F586" s="574"/>
      <c r="G586" s="574"/>
      <c r="H586" s="574"/>
      <c r="I586" s="574"/>
      <c r="J586" s="574"/>
      <c r="K586" s="574"/>
      <c r="L586" s="574"/>
      <c r="M586" s="574"/>
      <c r="N586" s="574"/>
      <c r="O586" s="574"/>
      <c r="P586" s="574"/>
      <c r="Q586" s="574"/>
      <c r="R586" s="574"/>
      <c r="S586" s="574"/>
      <c r="T586" s="574"/>
      <c r="U586" s="574"/>
      <c r="V586" s="574"/>
      <c r="W586" s="574"/>
      <c r="X586" s="574"/>
      <c r="Y586" s="574"/>
      <c r="Z586" s="574"/>
      <c r="AA586" s="574"/>
      <c r="AB586" s="574"/>
      <c r="AC586" s="574"/>
      <c r="AD586" s="574"/>
      <c r="AE586" s="574"/>
      <c r="AF586">
        <v>586</v>
      </c>
      <c r="AG586" s="438" t="str">
        <f>IF(INDEX(D:AE,AF586,ADP!$AF$6)=0,"",INDEX(D:AE,AF586,ADP!$AF$6)+AH586)</f>
        <v/>
      </c>
      <c r="AH586">
        <f t="shared" si="9"/>
        <v>5.8500000000000771E-4</v>
      </c>
    </row>
    <row r="587" spans="1:34" ht="15.75" thickBot="1" x14ac:dyDescent="0.3">
      <c r="A587" s="569" t="s">
        <v>2299</v>
      </c>
      <c r="B587" s="569" t="s">
        <v>142</v>
      </c>
      <c r="C587" s="569" t="s">
        <v>3</v>
      </c>
      <c r="D587" s="569"/>
      <c r="E587" s="569"/>
      <c r="F587" s="569"/>
      <c r="G587" s="569"/>
      <c r="H587" s="569"/>
      <c r="I587" s="569"/>
      <c r="J587" s="569"/>
      <c r="K587" s="569"/>
      <c r="L587" s="569"/>
      <c r="M587" s="569"/>
      <c r="N587" s="569"/>
      <c r="O587" s="569"/>
      <c r="P587" s="569"/>
      <c r="Q587" s="569"/>
      <c r="R587" s="569"/>
      <c r="S587" s="569"/>
      <c r="T587" s="569"/>
      <c r="U587" s="569"/>
      <c r="V587" s="569"/>
      <c r="W587" s="569"/>
      <c r="X587" s="569"/>
      <c r="Y587" s="569"/>
      <c r="Z587" s="569"/>
      <c r="AA587" s="569"/>
      <c r="AB587" s="569"/>
      <c r="AC587" s="569"/>
      <c r="AD587" s="569"/>
      <c r="AE587" s="569"/>
      <c r="AF587">
        <v>587</v>
      </c>
      <c r="AG587" s="438" t="str">
        <f>IF(INDEX(D:AE,AF587,ADP!$AF$6)=0,"",INDEX(D:AE,AF587,ADP!$AF$6)+AH587)</f>
        <v/>
      </c>
      <c r="AH587">
        <f t="shared" si="9"/>
        <v>5.8600000000000774E-4</v>
      </c>
    </row>
    <row r="588" spans="1:34" ht="15.75" thickBot="1" x14ac:dyDescent="0.3">
      <c r="A588" s="569" t="s">
        <v>1792</v>
      </c>
      <c r="B588" s="569" t="s">
        <v>144</v>
      </c>
      <c r="C588" s="569" t="s">
        <v>6</v>
      </c>
      <c r="D588" s="569">
        <v>94.5</v>
      </c>
      <c r="E588" s="569">
        <v>8.1</v>
      </c>
      <c r="F588" s="569">
        <v>94.8</v>
      </c>
      <c r="G588" s="569">
        <v>6.4</v>
      </c>
      <c r="H588" s="569">
        <v>87.4</v>
      </c>
      <c r="I588" s="569">
        <v>7.4</v>
      </c>
      <c r="J588" s="569">
        <v>94.5</v>
      </c>
      <c r="K588" s="569">
        <v>8.1</v>
      </c>
      <c r="L588" s="569">
        <v>94.8</v>
      </c>
      <c r="M588" s="569">
        <v>6.4</v>
      </c>
      <c r="N588" s="569">
        <v>87.4</v>
      </c>
      <c r="O588" s="569">
        <v>7.4</v>
      </c>
      <c r="P588" s="569">
        <v>93.4</v>
      </c>
      <c r="Q588" s="569">
        <v>6.5</v>
      </c>
      <c r="R588" s="569">
        <v>94.5</v>
      </c>
      <c r="S588" s="569">
        <v>8.1</v>
      </c>
      <c r="T588" s="569">
        <v>94.8</v>
      </c>
      <c r="U588" s="569">
        <v>6.4</v>
      </c>
      <c r="V588" s="569">
        <v>87.4</v>
      </c>
      <c r="W588" s="569">
        <v>7.4</v>
      </c>
      <c r="X588" s="569">
        <v>93.4</v>
      </c>
      <c r="Y588" s="569">
        <v>6.5</v>
      </c>
      <c r="Z588" s="569">
        <v>94.5</v>
      </c>
      <c r="AA588" s="569">
        <v>8.1</v>
      </c>
      <c r="AB588" s="569">
        <v>94.8</v>
      </c>
      <c r="AC588" s="569">
        <v>6.4</v>
      </c>
      <c r="AD588" s="569">
        <v>87.4</v>
      </c>
      <c r="AE588" s="569">
        <v>87.4</v>
      </c>
      <c r="AF588">
        <v>588</v>
      </c>
      <c r="AG588" s="438">
        <f>IF(INDEX(D:AE,AF588,ADP!$AF$6)=0,"",INDEX(D:AE,AF588,ADP!$AF$6)+AH588)</f>
        <v>87.400587000000002</v>
      </c>
      <c r="AH588">
        <f t="shared" si="9"/>
        <v>5.8700000000000776E-4</v>
      </c>
    </row>
    <row r="589" spans="1:34" ht="15.75" thickBot="1" x14ac:dyDescent="0.3">
      <c r="A589" s="569" t="s">
        <v>1410</v>
      </c>
      <c r="B589" s="569" t="s">
        <v>164</v>
      </c>
      <c r="C589" s="569" t="s">
        <v>6</v>
      </c>
      <c r="D589" s="569"/>
      <c r="E589" s="569"/>
      <c r="F589" s="569"/>
      <c r="G589" s="569"/>
      <c r="H589" s="569"/>
      <c r="I589" s="569"/>
      <c r="J589" s="569"/>
      <c r="K589" s="569"/>
      <c r="L589" s="569"/>
      <c r="M589" s="569"/>
      <c r="N589" s="569"/>
      <c r="O589" s="569"/>
      <c r="P589" s="569"/>
      <c r="Q589" s="569"/>
      <c r="R589" s="569"/>
      <c r="S589" s="569"/>
      <c r="T589" s="569"/>
      <c r="U589" s="569"/>
      <c r="V589" s="569"/>
      <c r="W589" s="569"/>
      <c r="X589" s="569"/>
      <c r="Y589" s="569"/>
      <c r="Z589" s="569"/>
      <c r="AA589" s="569"/>
      <c r="AB589" s="569"/>
      <c r="AC589" s="569"/>
      <c r="AD589" s="569"/>
      <c r="AE589" s="569"/>
      <c r="AF589">
        <v>589</v>
      </c>
      <c r="AG589" s="438" t="str">
        <f>IF(INDEX(D:AE,AF589,ADP!$AF$6)=0,"",INDEX(D:AE,AF589,ADP!$AF$6)+AH589)</f>
        <v/>
      </c>
      <c r="AH589">
        <f t="shared" si="9"/>
        <v>5.8800000000000779E-4</v>
      </c>
    </row>
    <row r="590" spans="1:34" ht="15.75" thickBot="1" x14ac:dyDescent="0.3">
      <c r="A590" s="569" t="s">
        <v>1749</v>
      </c>
      <c r="B590" s="569" t="s">
        <v>2272</v>
      </c>
      <c r="C590" s="569" t="s">
        <v>3</v>
      </c>
      <c r="D590" s="569"/>
      <c r="E590" s="569"/>
      <c r="F590" s="569"/>
      <c r="G590" s="569"/>
      <c r="H590" s="569"/>
      <c r="I590" s="569"/>
      <c r="J590" s="569"/>
      <c r="K590" s="569"/>
      <c r="L590" s="569"/>
      <c r="M590" s="569"/>
      <c r="N590" s="569"/>
      <c r="O590" s="569"/>
      <c r="P590" s="569"/>
      <c r="Q590" s="569"/>
      <c r="R590" s="569"/>
      <c r="S590" s="569"/>
      <c r="T590" s="569"/>
      <c r="U590" s="569"/>
      <c r="V590" s="569"/>
      <c r="W590" s="569"/>
      <c r="X590" s="569"/>
      <c r="Y590" s="569"/>
      <c r="Z590" s="569"/>
      <c r="AA590" s="569"/>
      <c r="AB590" s="569"/>
      <c r="AC590" s="569"/>
      <c r="AD590" s="569"/>
      <c r="AE590" s="569"/>
      <c r="AF590">
        <v>590</v>
      </c>
      <c r="AG590" s="438" t="str">
        <f>IF(INDEX(D:AE,AF590,ADP!$AF$6)=0,"",INDEX(D:AE,AF590,ADP!$AF$6)+AH590)</f>
        <v/>
      </c>
      <c r="AH590">
        <f t="shared" si="9"/>
        <v>5.8900000000000781E-4</v>
      </c>
    </row>
    <row r="591" spans="1:34" ht="15.75" thickBot="1" x14ac:dyDescent="0.3">
      <c r="A591" s="569" t="s">
        <v>76</v>
      </c>
      <c r="B591" s="569" t="s">
        <v>148</v>
      </c>
      <c r="C591" s="569" t="s">
        <v>3</v>
      </c>
      <c r="D591" s="574">
        <v>130.80000000000001</v>
      </c>
      <c r="E591" s="574">
        <v>19</v>
      </c>
      <c r="F591" s="574">
        <v>128.30000000000001</v>
      </c>
      <c r="G591" s="574">
        <v>12.1</v>
      </c>
      <c r="H591" s="574">
        <v>132.1</v>
      </c>
      <c r="I591" s="574">
        <v>13.5</v>
      </c>
      <c r="J591" s="574">
        <v>130.80000000000001</v>
      </c>
      <c r="K591" s="574">
        <v>19</v>
      </c>
      <c r="L591" s="574">
        <v>128.30000000000001</v>
      </c>
      <c r="M591" s="574">
        <v>12.1</v>
      </c>
      <c r="N591" s="574">
        <v>132.1</v>
      </c>
      <c r="O591" s="574">
        <v>13.5</v>
      </c>
      <c r="P591" s="569">
        <v>129.69999999999999</v>
      </c>
      <c r="Q591" s="569">
        <v>11.9</v>
      </c>
      <c r="R591" s="574">
        <v>130.80000000000001</v>
      </c>
      <c r="S591" s="574">
        <v>19</v>
      </c>
      <c r="T591" s="574">
        <v>128.30000000000001</v>
      </c>
      <c r="U591" s="574">
        <v>12.1</v>
      </c>
      <c r="V591" s="574">
        <v>132.1</v>
      </c>
      <c r="W591" s="574">
        <v>13.5</v>
      </c>
      <c r="X591" s="569">
        <v>129.69999999999999</v>
      </c>
      <c r="Y591" s="569">
        <v>11.9</v>
      </c>
      <c r="Z591" s="574">
        <v>130.80000000000001</v>
      </c>
      <c r="AA591" s="574">
        <v>19</v>
      </c>
      <c r="AB591" s="574">
        <v>128.30000000000001</v>
      </c>
      <c r="AC591" s="574">
        <v>12.1</v>
      </c>
      <c r="AD591" s="574">
        <v>132.1</v>
      </c>
      <c r="AE591" s="574">
        <v>132.1</v>
      </c>
      <c r="AF591">
        <v>591</v>
      </c>
      <c r="AG591" s="438">
        <f>IF(INDEX(D:AE,AF591,ADP!$AF$6)=0,"",INDEX(D:AE,AF591,ADP!$AF$6)+AH591)</f>
        <v>132.10058999999998</v>
      </c>
      <c r="AH591">
        <f t="shared" si="9"/>
        <v>5.9000000000000784E-4</v>
      </c>
    </row>
    <row r="592" spans="1:34" ht="15.75" thickBot="1" x14ac:dyDescent="0.3">
      <c r="A592" s="569" t="s">
        <v>2171</v>
      </c>
      <c r="B592" s="569" t="s">
        <v>146</v>
      </c>
      <c r="C592" s="569" t="s">
        <v>1</v>
      </c>
      <c r="D592" s="574"/>
      <c r="E592" s="574"/>
      <c r="F592" s="574"/>
      <c r="G592" s="574"/>
      <c r="H592" s="574"/>
      <c r="I592" s="574"/>
      <c r="J592" s="574"/>
      <c r="K592" s="574"/>
      <c r="L592" s="574"/>
      <c r="M592" s="574"/>
      <c r="N592" s="574"/>
      <c r="O592" s="574"/>
      <c r="P592" s="574"/>
      <c r="Q592" s="574"/>
      <c r="R592" s="574"/>
      <c r="S592" s="574"/>
      <c r="T592" s="574"/>
      <c r="U592" s="574"/>
      <c r="V592" s="574"/>
      <c r="W592" s="574"/>
      <c r="X592" s="574"/>
      <c r="Y592" s="574"/>
      <c r="Z592" s="574"/>
      <c r="AA592" s="574"/>
      <c r="AB592" s="574"/>
      <c r="AC592" s="574"/>
      <c r="AD592" s="574"/>
      <c r="AE592" s="574"/>
      <c r="AF592">
        <v>592</v>
      </c>
      <c r="AG592" s="438" t="str">
        <f>IF(INDEX(D:AE,AF592,ADP!$AF$6)=0,"",INDEX(D:AE,AF592,ADP!$AF$6)+AH592)</f>
        <v/>
      </c>
      <c r="AH592">
        <f t="shared" si="9"/>
        <v>5.9100000000000786E-4</v>
      </c>
    </row>
    <row r="593" spans="1:34" ht="15.75" thickBot="1" x14ac:dyDescent="0.3">
      <c r="A593" s="569" t="s">
        <v>1416</v>
      </c>
      <c r="B593" s="569" t="s">
        <v>1389</v>
      </c>
      <c r="C593" s="569" t="s">
        <v>6</v>
      </c>
      <c r="D593" s="569">
        <v>8.8000000000000007</v>
      </c>
      <c r="E593" s="569">
        <v>2.1</v>
      </c>
      <c r="F593" s="569">
        <v>8.6</v>
      </c>
      <c r="G593" s="569">
        <v>2.2000000000000002</v>
      </c>
      <c r="H593" s="569">
        <v>7</v>
      </c>
      <c r="I593" s="569">
        <v>1.7</v>
      </c>
      <c r="J593" s="569">
        <v>8.8000000000000007</v>
      </c>
      <c r="K593" s="569">
        <v>2.1</v>
      </c>
      <c r="L593" s="569">
        <v>8.6</v>
      </c>
      <c r="M593" s="569">
        <v>2.2000000000000002</v>
      </c>
      <c r="N593" s="569">
        <v>7</v>
      </c>
      <c r="O593" s="569">
        <v>1.7</v>
      </c>
      <c r="P593" s="569">
        <v>8.6999999999999993</v>
      </c>
      <c r="Q593" s="569">
        <v>2.7</v>
      </c>
      <c r="R593" s="569">
        <v>8.8000000000000007</v>
      </c>
      <c r="S593" s="569">
        <v>2.1</v>
      </c>
      <c r="T593" s="569">
        <v>8.6</v>
      </c>
      <c r="U593" s="569">
        <v>2.2000000000000002</v>
      </c>
      <c r="V593" s="569">
        <v>7</v>
      </c>
      <c r="W593" s="569">
        <v>1.7</v>
      </c>
      <c r="X593" s="569">
        <v>8.6999999999999993</v>
      </c>
      <c r="Y593" s="569">
        <v>2.7</v>
      </c>
      <c r="Z593" s="569">
        <v>8.8000000000000007</v>
      </c>
      <c r="AA593" s="569">
        <v>2.1</v>
      </c>
      <c r="AB593" s="569">
        <v>8.6</v>
      </c>
      <c r="AC593" s="569">
        <v>2.2000000000000002</v>
      </c>
      <c r="AD593" s="569">
        <v>7</v>
      </c>
      <c r="AE593" s="569">
        <v>7</v>
      </c>
      <c r="AF593">
        <v>593</v>
      </c>
      <c r="AG593" s="438">
        <f>IF(INDEX(D:AE,AF593,ADP!$AF$6)=0,"",INDEX(D:AE,AF593,ADP!$AF$6)+AH593)</f>
        <v>7.0005920000000001</v>
      </c>
      <c r="AH593">
        <f t="shared" si="9"/>
        <v>5.9200000000000788E-4</v>
      </c>
    </row>
    <row r="594" spans="1:34" ht="15.75" thickBot="1" x14ac:dyDescent="0.3">
      <c r="A594" s="569" t="s">
        <v>2362</v>
      </c>
      <c r="B594" s="569" t="s">
        <v>147</v>
      </c>
      <c r="C594" s="569" t="s">
        <v>7</v>
      </c>
      <c r="D594" s="574"/>
      <c r="E594" s="574"/>
      <c r="F594" s="574"/>
      <c r="G594" s="574"/>
      <c r="H594" s="574"/>
      <c r="I594" s="574"/>
      <c r="J594" s="574"/>
      <c r="K594" s="574"/>
      <c r="L594" s="574"/>
      <c r="M594" s="574"/>
      <c r="N594" s="574"/>
      <c r="O594" s="574"/>
      <c r="P594" s="574"/>
      <c r="Q594" s="574"/>
      <c r="R594" s="574"/>
      <c r="S594" s="574"/>
      <c r="T594" s="574"/>
      <c r="U594" s="574"/>
      <c r="V594" s="574"/>
      <c r="W594" s="574"/>
      <c r="X594" s="574"/>
      <c r="Y594" s="574"/>
      <c r="Z594" s="574"/>
      <c r="AA594" s="574"/>
      <c r="AB594" s="574"/>
      <c r="AC594" s="574"/>
      <c r="AD594" s="574"/>
      <c r="AE594" s="574"/>
      <c r="AF594">
        <v>594</v>
      </c>
      <c r="AG594" s="438" t="str">
        <f>IF(INDEX(D:AE,AF594,ADP!$AF$6)=0,"",INDEX(D:AE,AF594,ADP!$AF$6)+AH594)</f>
        <v/>
      </c>
      <c r="AH594">
        <f t="shared" si="9"/>
        <v>5.9300000000000791E-4</v>
      </c>
    </row>
    <row r="595" spans="1:34" ht="15.75" thickBot="1" x14ac:dyDescent="0.3">
      <c r="A595" s="569" t="s">
        <v>2164</v>
      </c>
      <c r="B595" s="569" t="s">
        <v>2272</v>
      </c>
      <c r="C595" s="569" t="s">
        <v>1</v>
      </c>
      <c r="D595" s="569"/>
      <c r="E595" s="569"/>
      <c r="F595" s="569"/>
      <c r="G595" s="569"/>
      <c r="H595" s="569"/>
      <c r="I595" s="569"/>
      <c r="J595" s="569"/>
      <c r="K595" s="569"/>
      <c r="L595" s="569"/>
      <c r="M595" s="569"/>
      <c r="N595" s="569"/>
      <c r="O595" s="569"/>
      <c r="P595" s="569"/>
      <c r="Q595" s="569"/>
      <c r="R595" s="569"/>
      <c r="S595" s="569"/>
      <c r="T595" s="569"/>
      <c r="U595" s="569"/>
      <c r="V595" s="569"/>
      <c r="W595" s="569"/>
      <c r="X595" s="569"/>
      <c r="Y595" s="569"/>
      <c r="Z595" s="569"/>
      <c r="AA595" s="569"/>
      <c r="AB595" s="569"/>
      <c r="AC595" s="569"/>
      <c r="AD595" s="569"/>
      <c r="AE595" s="569"/>
      <c r="AF595">
        <v>595</v>
      </c>
      <c r="AG595" s="438" t="str">
        <f>IF(INDEX(D:AE,AF595,ADP!$AF$6)=0,"",INDEX(D:AE,AF595,ADP!$AF$6)+AH595)</f>
        <v/>
      </c>
      <c r="AH595">
        <f t="shared" si="9"/>
        <v>5.9400000000000793E-4</v>
      </c>
    </row>
    <row r="596" spans="1:34" ht="15.75" thickBot="1" x14ac:dyDescent="0.3">
      <c r="A596" s="569" t="s">
        <v>2366</v>
      </c>
      <c r="B596" s="569" t="s">
        <v>152</v>
      </c>
      <c r="C596" s="569" t="s">
        <v>7</v>
      </c>
      <c r="D596" s="574"/>
      <c r="E596" s="574"/>
      <c r="F596" s="574"/>
      <c r="G596" s="574"/>
      <c r="H596" s="574"/>
      <c r="I596" s="574"/>
      <c r="J596" s="574"/>
      <c r="K596" s="574"/>
      <c r="L596" s="574"/>
      <c r="M596" s="574"/>
      <c r="N596" s="574"/>
      <c r="O596" s="574"/>
      <c r="P596" s="574"/>
      <c r="Q596" s="574"/>
      <c r="R596" s="574"/>
      <c r="S596" s="574"/>
      <c r="T596" s="574"/>
      <c r="U596" s="574"/>
      <c r="V596" s="574"/>
      <c r="W596" s="574"/>
      <c r="X596" s="574"/>
      <c r="Y596" s="574"/>
      <c r="Z596" s="574"/>
      <c r="AA596" s="574"/>
      <c r="AB596" s="574"/>
      <c r="AC596" s="574"/>
      <c r="AD596" s="574"/>
      <c r="AE596" s="574"/>
      <c r="AF596">
        <v>596</v>
      </c>
      <c r="AG596" s="438" t="str">
        <f>IF(INDEX(D:AE,AF596,ADP!$AF$6)=0,"",INDEX(D:AE,AF596,ADP!$AF$6)+AH596)</f>
        <v/>
      </c>
      <c r="AH596">
        <f t="shared" si="9"/>
        <v>5.9500000000000796E-4</v>
      </c>
    </row>
    <row r="597" spans="1:34" ht="15.75" thickBot="1" x14ac:dyDescent="0.3">
      <c r="A597" s="569" t="s">
        <v>2105</v>
      </c>
      <c r="B597" s="569" t="s">
        <v>141</v>
      </c>
      <c r="C597" s="569" t="s">
        <v>7</v>
      </c>
      <c r="D597" s="569">
        <v>121.6</v>
      </c>
      <c r="E597" s="569">
        <v>13.7</v>
      </c>
      <c r="F597" s="569">
        <v>139</v>
      </c>
      <c r="G597" s="569">
        <v>15.7</v>
      </c>
      <c r="H597" s="569">
        <v>140.9</v>
      </c>
      <c r="I597" s="569">
        <v>19.399999999999999</v>
      </c>
      <c r="J597" s="569">
        <v>121.6</v>
      </c>
      <c r="K597" s="569">
        <v>13.7</v>
      </c>
      <c r="L597" s="569">
        <v>139</v>
      </c>
      <c r="M597" s="569">
        <v>15.7</v>
      </c>
      <c r="N597" s="569">
        <v>140.9</v>
      </c>
      <c r="O597" s="569">
        <v>19.399999999999999</v>
      </c>
      <c r="P597" s="569">
        <v>130.9</v>
      </c>
      <c r="Q597" s="569">
        <v>15.6</v>
      </c>
      <c r="R597" s="569">
        <v>121.6</v>
      </c>
      <c r="S597" s="569">
        <v>13.7</v>
      </c>
      <c r="T597" s="569">
        <v>139</v>
      </c>
      <c r="U597" s="569">
        <v>15.7</v>
      </c>
      <c r="V597" s="569">
        <v>140.9</v>
      </c>
      <c r="W597" s="569">
        <v>19.399999999999999</v>
      </c>
      <c r="X597" s="569">
        <v>130.9</v>
      </c>
      <c r="Y597" s="569">
        <v>15.6</v>
      </c>
      <c r="Z597" s="569">
        <v>121.6</v>
      </c>
      <c r="AA597" s="569">
        <v>13.7</v>
      </c>
      <c r="AB597" s="569">
        <v>139</v>
      </c>
      <c r="AC597" s="569">
        <v>15.7</v>
      </c>
      <c r="AD597" s="569">
        <v>140.9</v>
      </c>
      <c r="AE597" s="569">
        <v>140.9</v>
      </c>
      <c r="AF597">
        <v>597</v>
      </c>
      <c r="AG597" s="438">
        <f>IF(INDEX(D:AE,AF597,ADP!$AF$6)=0,"",INDEX(D:AE,AF597,ADP!$AF$6)+AH597)</f>
        <v>140.90059600000001</v>
      </c>
      <c r="AH597">
        <f t="shared" si="9"/>
        <v>5.9600000000000798E-4</v>
      </c>
    </row>
    <row r="598" spans="1:34" ht="15.75" thickBot="1" x14ac:dyDescent="0.3">
      <c r="A598" s="569" t="s">
        <v>197</v>
      </c>
      <c r="B598" s="569" t="s">
        <v>154</v>
      </c>
      <c r="C598" s="569" t="s">
        <v>6</v>
      </c>
      <c r="D598" s="574"/>
      <c r="E598" s="574"/>
      <c r="F598" s="574"/>
      <c r="G598" s="574"/>
      <c r="H598" s="574"/>
      <c r="I598" s="574"/>
      <c r="J598" s="574"/>
      <c r="K598" s="574"/>
      <c r="L598" s="574"/>
      <c r="M598" s="574"/>
      <c r="N598" s="574"/>
      <c r="O598" s="574"/>
      <c r="P598" s="574"/>
      <c r="Q598" s="574"/>
      <c r="R598" s="574"/>
      <c r="S598" s="574"/>
      <c r="T598" s="574"/>
      <c r="U598" s="574"/>
      <c r="V598" s="574"/>
      <c r="W598" s="574"/>
      <c r="X598" s="574"/>
      <c r="Y598" s="574"/>
      <c r="Z598" s="574"/>
      <c r="AA598" s="574"/>
      <c r="AB598" s="574"/>
      <c r="AC598" s="574"/>
      <c r="AD598" s="574"/>
      <c r="AE598" s="574"/>
      <c r="AF598">
        <v>598</v>
      </c>
      <c r="AG598" s="438" t="str">
        <f>IF(INDEX(D:AE,AF598,ADP!$AF$6)=0,"",INDEX(D:AE,AF598,ADP!$AF$6)+AH598)</f>
        <v/>
      </c>
      <c r="AH598">
        <f t="shared" si="9"/>
        <v>5.9700000000000801E-4</v>
      </c>
    </row>
    <row r="599" spans="1:34" ht="15.75" thickBot="1" x14ac:dyDescent="0.3">
      <c r="A599" s="569" t="s">
        <v>2253</v>
      </c>
      <c r="B599" s="569" t="s">
        <v>140</v>
      </c>
      <c r="C599" s="569" t="s">
        <v>7</v>
      </c>
      <c r="D599" s="569"/>
      <c r="E599" s="569"/>
      <c r="F599" s="569"/>
      <c r="G599" s="569"/>
      <c r="H599" s="569"/>
      <c r="I599" s="569"/>
      <c r="J599" s="569"/>
      <c r="K599" s="569"/>
      <c r="L599" s="569"/>
      <c r="M599" s="569"/>
      <c r="N599" s="569"/>
      <c r="O599" s="569"/>
      <c r="P599" s="569"/>
      <c r="Q599" s="569"/>
      <c r="R599" s="569"/>
      <c r="S599" s="569"/>
      <c r="T599" s="569"/>
      <c r="U599" s="569"/>
      <c r="V599" s="569"/>
      <c r="W599" s="569"/>
      <c r="X599" s="569"/>
      <c r="Y599" s="569"/>
      <c r="Z599" s="569"/>
      <c r="AA599" s="569"/>
      <c r="AB599" s="569"/>
      <c r="AC599" s="569"/>
      <c r="AD599" s="569"/>
      <c r="AE599" s="569"/>
      <c r="AF599">
        <v>599</v>
      </c>
      <c r="AG599" s="438" t="str">
        <f>IF(INDEX(D:AE,AF599,ADP!$AF$6)=0,"",INDEX(D:AE,AF599,ADP!$AF$6)+AH599)</f>
        <v/>
      </c>
      <c r="AH599">
        <f t="shared" si="9"/>
        <v>5.9800000000000803E-4</v>
      </c>
    </row>
    <row r="600" spans="1:34" ht="15.75" thickBot="1" x14ac:dyDescent="0.3">
      <c r="A600" s="569" t="s">
        <v>2349</v>
      </c>
      <c r="B600" s="569" t="s">
        <v>140</v>
      </c>
      <c r="C600" s="569" t="s">
        <v>6</v>
      </c>
      <c r="D600" s="569"/>
      <c r="E600" s="569"/>
      <c r="F600" s="569"/>
      <c r="G600" s="569"/>
      <c r="H600" s="569"/>
      <c r="I600" s="569"/>
      <c r="J600" s="569"/>
      <c r="K600" s="569"/>
      <c r="L600" s="569"/>
      <c r="M600" s="569"/>
      <c r="N600" s="569"/>
      <c r="O600" s="569"/>
      <c r="P600" s="569"/>
      <c r="Q600" s="569"/>
      <c r="R600" s="569"/>
      <c r="S600" s="569"/>
      <c r="T600" s="569"/>
      <c r="U600" s="569"/>
      <c r="V600" s="569"/>
      <c r="W600" s="569"/>
      <c r="X600" s="569"/>
      <c r="Y600" s="569"/>
      <c r="Z600" s="569"/>
      <c r="AA600" s="569"/>
      <c r="AB600" s="569"/>
      <c r="AC600" s="569"/>
      <c r="AD600" s="569"/>
      <c r="AE600" s="569"/>
      <c r="AF600">
        <v>600</v>
      </c>
      <c r="AG600" s="438" t="str">
        <f>IF(INDEX(D:AE,AF600,ADP!$AF$6)=0,"",INDEX(D:AE,AF600,ADP!$AF$6)+AH600)</f>
        <v/>
      </c>
      <c r="AH600">
        <f t="shared" si="9"/>
        <v>5.9900000000000805E-4</v>
      </c>
    </row>
    <row r="601" spans="1:34" ht="15.75" thickBot="1" x14ac:dyDescent="0.3">
      <c r="A601" s="569" t="s">
        <v>2544</v>
      </c>
      <c r="B601" s="569" t="s">
        <v>139</v>
      </c>
      <c r="C601" s="569" t="s">
        <v>6</v>
      </c>
      <c r="D601" s="574"/>
      <c r="E601" s="574"/>
      <c r="F601" s="574"/>
      <c r="G601" s="574"/>
      <c r="H601" s="574"/>
      <c r="I601" s="574"/>
      <c r="J601" s="574"/>
      <c r="K601" s="574"/>
      <c r="L601" s="574"/>
      <c r="M601" s="574"/>
      <c r="N601" s="574"/>
      <c r="O601" s="574"/>
      <c r="P601" s="574"/>
      <c r="Q601" s="574"/>
      <c r="R601" s="574"/>
      <c r="S601" s="574"/>
      <c r="T601" s="574"/>
      <c r="U601" s="574"/>
      <c r="V601" s="574"/>
      <c r="W601" s="574"/>
      <c r="X601" s="574"/>
      <c r="Y601" s="574"/>
      <c r="Z601" s="574"/>
      <c r="AA601" s="574"/>
      <c r="AB601" s="574"/>
      <c r="AC601" s="574"/>
      <c r="AD601" s="574"/>
      <c r="AE601" s="574"/>
      <c r="AF601">
        <v>601</v>
      </c>
      <c r="AG601" s="438" t="str">
        <f>IF(INDEX(D:AE,AF601,ADP!$AF$6)=0,"",INDEX(D:AE,AF601,ADP!$AF$6)+AH601)</f>
        <v/>
      </c>
      <c r="AH601">
        <f t="shared" si="9"/>
        <v>6.0000000000000808E-4</v>
      </c>
    </row>
    <row r="602" spans="1:34" ht="15.75" thickBot="1" x14ac:dyDescent="0.3">
      <c r="A602" s="569" t="s">
        <v>2074</v>
      </c>
      <c r="B602" s="569" t="s">
        <v>136</v>
      </c>
      <c r="C602" s="569" t="s">
        <v>3</v>
      </c>
      <c r="D602" s="569">
        <v>163.80000000000001</v>
      </c>
      <c r="E602" s="569">
        <v>12.3</v>
      </c>
      <c r="F602" s="569">
        <v>129.4</v>
      </c>
      <c r="G602" s="569">
        <v>16.100000000000001</v>
      </c>
      <c r="H602" s="569">
        <v>157</v>
      </c>
      <c r="I602" s="569">
        <v>14.3</v>
      </c>
      <c r="J602" s="569">
        <v>163.80000000000001</v>
      </c>
      <c r="K602" s="569">
        <v>12.3</v>
      </c>
      <c r="L602" s="569">
        <v>129.4</v>
      </c>
      <c r="M602" s="569">
        <v>16.100000000000001</v>
      </c>
      <c r="N602" s="569">
        <v>157</v>
      </c>
      <c r="O602" s="569">
        <v>14.3</v>
      </c>
      <c r="P602" s="569">
        <v>131.69999999999999</v>
      </c>
      <c r="Q602" s="569">
        <v>10.7</v>
      </c>
      <c r="R602" s="569">
        <v>163.80000000000001</v>
      </c>
      <c r="S602" s="569">
        <v>12.3</v>
      </c>
      <c r="T602" s="569">
        <v>129.4</v>
      </c>
      <c r="U602" s="569">
        <v>16.100000000000001</v>
      </c>
      <c r="V602" s="569">
        <v>157</v>
      </c>
      <c r="W602" s="569">
        <v>14.3</v>
      </c>
      <c r="X602" s="569">
        <v>131.69999999999999</v>
      </c>
      <c r="Y602" s="569">
        <v>10.7</v>
      </c>
      <c r="Z602" s="569">
        <v>163.80000000000001</v>
      </c>
      <c r="AA602" s="569">
        <v>12.3</v>
      </c>
      <c r="AB602" s="569">
        <v>129.4</v>
      </c>
      <c r="AC602" s="569">
        <v>16.100000000000001</v>
      </c>
      <c r="AD602" s="569">
        <v>157</v>
      </c>
      <c r="AE602" s="569">
        <v>157</v>
      </c>
      <c r="AF602">
        <v>602</v>
      </c>
      <c r="AG602" s="438">
        <f>IF(INDEX(D:AE,AF602,ADP!$AF$6)=0,"",INDEX(D:AE,AF602,ADP!$AF$6)+AH602)</f>
        <v>157.00060099999999</v>
      </c>
      <c r="AH602">
        <f t="shared" si="9"/>
        <v>6.010000000000081E-4</v>
      </c>
    </row>
    <row r="603" spans="1:34" ht="15.75" thickBot="1" x14ac:dyDescent="0.3">
      <c r="A603" s="569" t="s">
        <v>2567</v>
      </c>
      <c r="B603" s="569" t="s">
        <v>148</v>
      </c>
      <c r="C603" s="569" t="s">
        <v>3</v>
      </c>
      <c r="D603" s="574"/>
      <c r="E603" s="574"/>
      <c r="F603" s="574"/>
      <c r="G603" s="574"/>
      <c r="H603" s="574"/>
      <c r="I603" s="574"/>
      <c r="J603" s="574"/>
      <c r="K603" s="574"/>
      <c r="L603" s="574"/>
      <c r="M603" s="574"/>
      <c r="N603" s="574"/>
      <c r="O603" s="574"/>
      <c r="P603" s="574"/>
      <c r="Q603" s="574"/>
      <c r="R603" s="574"/>
      <c r="S603" s="574"/>
      <c r="T603" s="574"/>
      <c r="U603" s="574"/>
      <c r="V603" s="574"/>
      <c r="W603" s="574"/>
      <c r="X603" s="574"/>
      <c r="Y603" s="574"/>
      <c r="Z603" s="574"/>
      <c r="AA603" s="574"/>
      <c r="AB603" s="574"/>
      <c r="AC603" s="574"/>
      <c r="AD603" s="574"/>
      <c r="AE603" s="574"/>
      <c r="AF603">
        <v>603</v>
      </c>
      <c r="AG603" s="438" t="str">
        <f>IF(INDEX(D:AE,AF603,ADP!$AF$6)=0,"",INDEX(D:AE,AF603,ADP!$AF$6)+AH603)</f>
        <v/>
      </c>
      <c r="AH603">
        <f t="shared" si="9"/>
        <v>6.0200000000000813E-4</v>
      </c>
    </row>
    <row r="604" spans="1:34" ht="15.75" thickBot="1" x14ac:dyDescent="0.3">
      <c r="A604" s="569" t="s">
        <v>161</v>
      </c>
      <c r="B604" s="569" t="s">
        <v>161</v>
      </c>
      <c r="C604" s="569" t="s">
        <v>160</v>
      </c>
      <c r="D604" s="569"/>
      <c r="E604" s="569"/>
      <c r="F604" s="569"/>
      <c r="G604" s="569"/>
      <c r="H604" s="569"/>
      <c r="I604" s="569"/>
      <c r="J604" s="569"/>
      <c r="K604" s="569"/>
      <c r="L604" s="569"/>
      <c r="M604" s="569"/>
      <c r="N604" s="569"/>
      <c r="O604" s="569"/>
      <c r="P604" s="569"/>
      <c r="Q604" s="569"/>
      <c r="R604" s="569"/>
      <c r="S604" s="569"/>
      <c r="T604" s="569"/>
      <c r="U604" s="569"/>
      <c r="V604" s="569"/>
      <c r="W604" s="569"/>
      <c r="X604" s="569"/>
      <c r="Y604" s="569"/>
      <c r="Z604" s="569"/>
      <c r="AA604" s="569"/>
      <c r="AB604" s="569"/>
      <c r="AC604" s="569"/>
      <c r="AD604" s="569"/>
      <c r="AE604" s="569"/>
      <c r="AF604">
        <v>604</v>
      </c>
      <c r="AG604" s="438" t="str">
        <f>IF(INDEX(D:AE,AF604,ADP!$AF$6)=0,"",INDEX(D:AE,AF604,ADP!$AF$6)+AH604)</f>
        <v/>
      </c>
      <c r="AH604">
        <f t="shared" si="9"/>
        <v>6.0300000000000815E-4</v>
      </c>
    </row>
    <row r="605" spans="1:34" ht="15.75" thickBot="1" x14ac:dyDescent="0.3">
      <c r="A605" s="569" t="s">
        <v>2506</v>
      </c>
      <c r="B605" s="569" t="s">
        <v>2272</v>
      </c>
      <c r="C605" s="569" t="s">
        <v>1</v>
      </c>
      <c r="D605" s="574"/>
      <c r="E605" s="574"/>
      <c r="F605" s="574"/>
      <c r="G605" s="574"/>
      <c r="H605" s="574"/>
      <c r="I605" s="574"/>
      <c r="J605" s="574"/>
      <c r="K605" s="574"/>
      <c r="L605" s="574"/>
      <c r="M605" s="574"/>
      <c r="N605" s="574"/>
      <c r="O605" s="574"/>
      <c r="P605" s="574"/>
      <c r="Q605" s="574"/>
      <c r="R605" s="574"/>
      <c r="S605" s="574"/>
      <c r="T605" s="574"/>
      <c r="U605" s="574"/>
      <c r="V605" s="574"/>
      <c r="W605" s="574"/>
      <c r="X605" s="574"/>
      <c r="Y605" s="574"/>
      <c r="Z605" s="574"/>
      <c r="AA605" s="574"/>
      <c r="AB605" s="574"/>
      <c r="AC605" s="574"/>
      <c r="AD605" s="574"/>
      <c r="AE605" s="574"/>
      <c r="AF605">
        <v>605</v>
      </c>
      <c r="AG605" s="438" t="str">
        <f>IF(INDEX(D:AE,AF605,ADP!$AF$6)=0,"",INDEX(D:AE,AF605,ADP!$AF$6)+AH605)</f>
        <v/>
      </c>
      <c r="AH605">
        <f t="shared" si="9"/>
        <v>6.0400000000000818E-4</v>
      </c>
    </row>
    <row r="606" spans="1:34" ht="15.75" thickBot="1" x14ac:dyDescent="0.3">
      <c r="A606" s="569" t="s">
        <v>1880</v>
      </c>
      <c r="B606" s="569" t="s">
        <v>164</v>
      </c>
      <c r="C606" s="569" t="s">
        <v>7</v>
      </c>
      <c r="D606" s="569"/>
      <c r="E606" s="569"/>
      <c r="F606" s="569"/>
      <c r="G606" s="569"/>
      <c r="H606" s="569"/>
      <c r="I606" s="569"/>
      <c r="J606" s="569"/>
      <c r="K606" s="569"/>
      <c r="L606" s="569"/>
      <c r="M606" s="569"/>
      <c r="N606" s="569"/>
      <c r="O606" s="569"/>
      <c r="P606" s="569"/>
      <c r="Q606" s="569"/>
      <c r="R606" s="569"/>
      <c r="S606" s="569"/>
      <c r="T606" s="569"/>
      <c r="U606" s="569"/>
      <c r="V606" s="569"/>
      <c r="W606" s="569"/>
      <c r="X606" s="569"/>
      <c r="Y606" s="569"/>
      <c r="Z606" s="569"/>
      <c r="AA606" s="569"/>
      <c r="AB606" s="569"/>
      <c r="AC606" s="569"/>
      <c r="AD606" s="569"/>
      <c r="AE606" s="569"/>
      <c r="AF606">
        <v>606</v>
      </c>
      <c r="AG606" s="438" t="str">
        <f>IF(INDEX(D:AE,AF606,ADP!$AF$6)=0,"",INDEX(D:AE,AF606,ADP!$AF$6)+AH606)</f>
        <v/>
      </c>
      <c r="AH606">
        <f t="shared" si="9"/>
        <v>6.050000000000082E-4</v>
      </c>
    </row>
    <row r="607" spans="1:34" ht="15.75" thickBot="1" x14ac:dyDescent="0.3">
      <c r="A607" s="569" t="s">
        <v>2507</v>
      </c>
      <c r="B607" s="569" t="s">
        <v>151</v>
      </c>
      <c r="C607" s="569" t="s">
        <v>1</v>
      </c>
      <c r="D607" s="569"/>
      <c r="E607" s="569"/>
      <c r="F607" s="569"/>
      <c r="G607" s="569"/>
      <c r="H607" s="569"/>
      <c r="I607" s="569"/>
      <c r="J607" s="569"/>
      <c r="K607" s="569"/>
      <c r="L607" s="569"/>
      <c r="M607" s="569"/>
      <c r="N607" s="569"/>
      <c r="O607" s="569"/>
      <c r="P607" s="569"/>
      <c r="Q607" s="569"/>
      <c r="R607" s="569"/>
      <c r="S607" s="569"/>
      <c r="T607" s="569"/>
      <c r="U607" s="569"/>
      <c r="V607" s="569"/>
      <c r="W607" s="569"/>
      <c r="X607" s="569"/>
      <c r="Y607" s="569"/>
      <c r="Z607" s="569"/>
      <c r="AA607" s="569"/>
      <c r="AB607" s="569"/>
      <c r="AC607" s="569"/>
      <c r="AD607" s="569"/>
      <c r="AE607" s="569"/>
      <c r="AF607">
        <v>607</v>
      </c>
      <c r="AG607" s="438" t="str">
        <f>IF(INDEX(D:AE,AF607,ADP!$AF$6)=0,"",INDEX(D:AE,AF607,ADP!$AF$6)+AH607)</f>
        <v/>
      </c>
      <c r="AH607">
        <f t="shared" si="9"/>
        <v>6.0600000000000822E-4</v>
      </c>
    </row>
    <row r="608" spans="1:34" ht="15.75" thickBot="1" x14ac:dyDescent="0.3">
      <c r="A608" s="569" t="s">
        <v>2508</v>
      </c>
      <c r="B608" s="569" t="s">
        <v>159</v>
      </c>
      <c r="C608" s="569" t="s">
        <v>6</v>
      </c>
      <c r="D608" s="569"/>
      <c r="E608" s="569"/>
      <c r="F608" s="569"/>
      <c r="G608" s="569"/>
      <c r="H608" s="569"/>
      <c r="I608" s="569"/>
      <c r="J608" s="569"/>
      <c r="K608" s="569"/>
      <c r="L608" s="569"/>
      <c r="M608" s="569"/>
      <c r="N608" s="569"/>
      <c r="O608" s="569"/>
      <c r="P608" s="569"/>
      <c r="Q608" s="569"/>
      <c r="R608" s="569"/>
      <c r="S608" s="569"/>
      <c r="T608" s="569"/>
      <c r="U608" s="569"/>
      <c r="V608" s="569"/>
      <c r="W608" s="569"/>
      <c r="X608" s="569"/>
      <c r="Y608" s="569"/>
      <c r="Z608" s="569"/>
      <c r="AA608" s="569"/>
      <c r="AB608" s="569"/>
      <c r="AC608" s="569"/>
      <c r="AD608" s="569"/>
      <c r="AE608" s="569"/>
      <c r="AF608">
        <v>608</v>
      </c>
      <c r="AG608" s="438" t="str">
        <f>IF(INDEX(D:AE,AF608,ADP!$AF$6)=0,"",INDEX(D:AE,AF608,ADP!$AF$6)+AH608)</f>
        <v/>
      </c>
      <c r="AH608">
        <f t="shared" si="9"/>
        <v>6.0700000000000825E-4</v>
      </c>
    </row>
    <row r="609" spans="1:34" ht="15.75" thickBot="1" x14ac:dyDescent="0.3">
      <c r="A609" s="569" t="s">
        <v>2118</v>
      </c>
      <c r="B609" s="569" t="s">
        <v>138</v>
      </c>
      <c r="C609" s="569" t="s">
        <v>3</v>
      </c>
      <c r="D609" s="574"/>
      <c r="E609" s="574"/>
      <c r="F609" s="574"/>
      <c r="G609" s="574"/>
      <c r="H609" s="574"/>
      <c r="I609" s="574"/>
      <c r="J609" s="574"/>
      <c r="K609" s="574"/>
      <c r="L609" s="574"/>
      <c r="M609" s="574"/>
      <c r="N609" s="574"/>
      <c r="O609" s="574"/>
      <c r="P609" s="574"/>
      <c r="Q609" s="574"/>
      <c r="R609" s="574"/>
      <c r="S609" s="574"/>
      <c r="T609" s="574"/>
      <c r="U609" s="574"/>
      <c r="V609" s="574"/>
      <c r="W609" s="574"/>
      <c r="X609" s="574"/>
      <c r="Y609" s="574"/>
      <c r="Z609" s="574"/>
      <c r="AA609" s="574"/>
      <c r="AB609" s="574"/>
      <c r="AC609" s="574"/>
      <c r="AD609" s="574"/>
      <c r="AE609" s="574"/>
      <c r="AF609">
        <v>609</v>
      </c>
      <c r="AG609" s="438" t="str">
        <f>IF(INDEX(D:AE,AF609,ADP!$AF$6)=0,"",INDEX(D:AE,AF609,ADP!$AF$6)+AH609)</f>
        <v/>
      </c>
      <c r="AH609">
        <f t="shared" si="9"/>
        <v>6.0800000000000827E-4</v>
      </c>
    </row>
    <row r="610" spans="1:34" ht="15.75" thickBot="1" x14ac:dyDescent="0.3">
      <c r="A610" s="569" t="s">
        <v>2170</v>
      </c>
      <c r="B610" s="569" t="s">
        <v>165</v>
      </c>
      <c r="C610" s="569" t="s">
        <v>1</v>
      </c>
      <c r="D610" s="569"/>
      <c r="E610" s="569"/>
      <c r="F610" s="569"/>
      <c r="G610" s="569"/>
      <c r="H610" s="569"/>
      <c r="I610" s="569"/>
      <c r="J610" s="569"/>
      <c r="K610" s="569"/>
      <c r="L610" s="569"/>
      <c r="M610" s="569"/>
      <c r="N610" s="569"/>
      <c r="O610" s="569"/>
      <c r="P610" s="569"/>
      <c r="Q610" s="569"/>
      <c r="R610" s="569"/>
      <c r="S610" s="569"/>
      <c r="T610" s="569"/>
      <c r="U610" s="569"/>
      <c r="V610" s="569"/>
      <c r="W610" s="569"/>
      <c r="X610" s="569"/>
      <c r="Y610" s="569"/>
      <c r="Z610" s="569"/>
      <c r="AA610" s="569"/>
      <c r="AB610" s="569"/>
      <c r="AC610" s="569"/>
      <c r="AD610" s="569"/>
      <c r="AE610" s="569"/>
      <c r="AF610">
        <v>610</v>
      </c>
      <c r="AG610" s="438" t="str">
        <f>IF(INDEX(D:AE,AF610,ADP!$AF$6)=0,"",INDEX(D:AE,AF610,ADP!$AF$6)+AH610)</f>
        <v/>
      </c>
      <c r="AH610">
        <f t="shared" si="9"/>
        <v>6.090000000000083E-4</v>
      </c>
    </row>
    <row r="611" spans="1:34" ht="15.75" thickBot="1" x14ac:dyDescent="0.3">
      <c r="A611" s="569" t="s">
        <v>145</v>
      </c>
      <c r="B611" s="569" t="s">
        <v>145</v>
      </c>
      <c r="C611" s="569" t="s">
        <v>160</v>
      </c>
      <c r="D611" s="569">
        <v>155.1</v>
      </c>
      <c r="E611" s="569">
        <v>18.5</v>
      </c>
      <c r="F611" s="569"/>
      <c r="G611" s="569"/>
      <c r="H611" s="569"/>
      <c r="I611" s="569"/>
      <c r="J611" s="569">
        <v>155.1</v>
      </c>
      <c r="K611" s="569">
        <v>18.5</v>
      </c>
      <c r="L611" s="569"/>
      <c r="M611" s="569"/>
      <c r="N611" s="569"/>
      <c r="O611" s="569"/>
      <c r="P611" s="569"/>
      <c r="Q611" s="569"/>
      <c r="R611" s="569">
        <v>155.1</v>
      </c>
      <c r="S611" s="569">
        <v>18.5</v>
      </c>
      <c r="T611" s="569"/>
      <c r="U611" s="569"/>
      <c r="V611" s="569"/>
      <c r="W611" s="569"/>
      <c r="X611" s="569"/>
      <c r="Y611" s="569"/>
      <c r="Z611" s="569">
        <v>155.1</v>
      </c>
      <c r="AA611" s="569">
        <v>18.5</v>
      </c>
      <c r="AB611" s="569"/>
      <c r="AC611" s="569"/>
      <c r="AD611" s="569"/>
      <c r="AE611" s="569"/>
      <c r="AF611">
        <v>611</v>
      </c>
      <c r="AG611" s="438" t="str">
        <f>IF(INDEX(D:AE,AF611,ADP!$AF$6)=0,"",INDEX(D:AE,AF611,ADP!$AF$6)+AH611)</f>
        <v/>
      </c>
      <c r="AH611">
        <f t="shared" si="9"/>
        <v>6.1000000000000832E-4</v>
      </c>
    </row>
    <row r="612" spans="1:34" ht="15.75" thickBot="1" x14ac:dyDescent="0.3">
      <c r="A612" s="569" t="s">
        <v>2179</v>
      </c>
      <c r="B612" s="569" t="s">
        <v>159</v>
      </c>
      <c r="C612" s="569" t="s">
        <v>3</v>
      </c>
      <c r="D612" s="569"/>
      <c r="E612" s="569"/>
      <c r="F612" s="569">
        <v>151.5</v>
      </c>
      <c r="G612" s="569">
        <v>14.6</v>
      </c>
      <c r="H612" s="569">
        <v>159.6</v>
      </c>
      <c r="I612" s="569">
        <v>14.5</v>
      </c>
      <c r="J612" s="569"/>
      <c r="K612" s="569"/>
      <c r="L612" s="569">
        <v>151.5</v>
      </c>
      <c r="M612" s="569">
        <v>14.6</v>
      </c>
      <c r="N612" s="569">
        <v>159.6</v>
      </c>
      <c r="O612" s="569">
        <v>14.5</v>
      </c>
      <c r="P612" s="569"/>
      <c r="Q612" s="569"/>
      <c r="R612" s="569"/>
      <c r="S612" s="569"/>
      <c r="T612" s="569">
        <v>151.5</v>
      </c>
      <c r="U612" s="569">
        <v>14.6</v>
      </c>
      <c r="V612" s="569">
        <v>159.6</v>
      </c>
      <c r="W612" s="569">
        <v>14.5</v>
      </c>
      <c r="X612" s="569"/>
      <c r="Y612" s="569"/>
      <c r="Z612" s="569"/>
      <c r="AA612" s="569"/>
      <c r="AB612" s="569">
        <v>151.5</v>
      </c>
      <c r="AC612" s="569">
        <v>14.6</v>
      </c>
      <c r="AD612" s="569">
        <v>159.6</v>
      </c>
      <c r="AE612" s="569">
        <v>159.6</v>
      </c>
      <c r="AF612">
        <v>612</v>
      </c>
      <c r="AG612" s="438">
        <f>IF(INDEX(D:AE,AF612,ADP!$AF$6)=0,"",INDEX(D:AE,AF612,ADP!$AF$6)+AH612)</f>
        <v>159.60061099999999</v>
      </c>
      <c r="AH612">
        <f t="shared" si="9"/>
        <v>6.1100000000000835E-4</v>
      </c>
    </row>
    <row r="613" spans="1:34" ht="15.75" thickBot="1" x14ac:dyDescent="0.3">
      <c r="A613" s="569" t="s">
        <v>2321</v>
      </c>
      <c r="B613" s="569" t="s">
        <v>139</v>
      </c>
      <c r="C613" s="569" t="s">
        <v>6</v>
      </c>
      <c r="D613" s="569">
        <v>50.8</v>
      </c>
      <c r="E613" s="569">
        <v>4.8</v>
      </c>
      <c r="F613" s="569">
        <v>49.4</v>
      </c>
      <c r="G613" s="569">
        <v>4.9000000000000004</v>
      </c>
      <c r="H613" s="569">
        <v>50.1</v>
      </c>
      <c r="I613" s="569">
        <v>5.3</v>
      </c>
      <c r="J613" s="569">
        <v>50.8</v>
      </c>
      <c r="K613" s="569">
        <v>4.8</v>
      </c>
      <c r="L613" s="569">
        <v>49.4</v>
      </c>
      <c r="M613" s="569">
        <v>4.9000000000000004</v>
      </c>
      <c r="N613" s="569">
        <v>50.1</v>
      </c>
      <c r="O613" s="569">
        <v>5.3</v>
      </c>
      <c r="P613" s="569">
        <v>100.3</v>
      </c>
      <c r="Q613" s="569">
        <v>8.6999999999999993</v>
      </c>
      <c r="R613" s="569">
        <v>50.8</v>
      </c>
      <c r="S613" s="569">
        <v>4.8</v>
      </c>
      <c r="T613" s="569">
        <v>49.4</v>
      </c>
      <c r="U613" s="569">
        <v>4.9000000000000004</v>
      </c>
      <c r="V613" s="569">
        <v>50.1</v>
      </c>
      <c r="W613" s="569">
        <v>5.3</v>
      </c>
      <c r="X613" s="569">
        <v>100.3</v>
      </c>
      <c r="Y613" s="569">
        <v>8.6999999999999993</v>
      </c>
      <c r="Z613" s="569">
        <v>50.8</v>
      </c>
      <c r="AA613" s="569">
        <v>4.8</v>
      </c>
      <c r="AB613" s="569">
        <v>49.4</v>
      </c>
      <c r="AC613" s="569">
        <v>4.9000000000000004</v>
      </c>
      <c r="AD613" s="569">
        <v>50.1</v>
      </c>
      <c r="AE613" s="569">
        <v>50.1</v>
      </c>
      <c r="AF613">
        <v>613</v>
      </c>
      <c r="AG613" s="438">
        <f>IF(INDEX(D:AE,AF613,ADP!$AF$6)=0,"",INDEX(D:AE,AF613,ADP!$AF$6)+AH613)</f>
        <v>50.100611999999998</v>
      </c>
      <c r="AH613">
        <f t="shared" si="9"/>
        <v>6.1200000000000837E-4</v>
      </c>
    </row>
    <row r="614" spans="1:34" ht="15.75" thickBot="1" x14ac:dyDescent="0.3">
      <c r="A614" s="569" t="s">
        <v>1426</v>
      </c>
      <c r="B614" s="569" t="s">
        <v>155</v>
      </c>
      <c r="C614" s="569" t="s">
        <v>3</v>
      </c>
      <c r="D614" s="569">
        <v>1.3</v>
      </c>
      <c r="E614" s="569">
        <v>0.6</v>
      </c>
      <c r="F614" s="569">
        <v>2.2999999999999998</v>
      </c>
      <c r="G614" s="569">
        <v>0.9</v>
      </c>
      <c r="H614" s="569">
        <v>2.4</v>
      </c>
      <c r="I614" s="569">
        <v>1</v>
      </c>
      <c r="J614" s="569">
        <v>1.3</v>
      </c>
      <c r="K614" s="569">
        <v>0.6</v>
      </c>
      <c r="L614" s="569">
        <v>2.2999999999999998</v>
      </c>
      <c r="M614" s="569">
        <v>0.9</v>
      </c>
      <c r="N614" s="569">
        <v>2.4</v>
      </c>
      <c r="O614" s="569">
        <v>1</v>
      </c>
      <c r="P614" s="569">
        <v>5.2</v>
      </c>
      <c r="Q614" s="569">
        <v>1.7</v>
      </c>
      <c r="R614" s="569">
        <v>1.3</v>
      </c>
      <c r="S614" s="569">
        <v>0.6</v>
      </c>
      <c r="T614" s="569">
        <v>2.2999999999999998</v>
      </c>
      <c r="U614" s="569">
        <v>0.9</v>
      </c>
      <c r="V614" s="569">
        <v>2.4</v>
      </c>
      <c r="W614" s="569">
        <v>1</v>
      </c>
      <c r="X614" s="569">
        <v>5.2</v>
      </c>
      <c r="Y614" s="569">
        <v>1.7</v>
      </c>
      <c r="Z614" s="569">
        <v>1.3</v>
      </c>
      <c r="AA614" s="569">
        <v>0.6</v>
      </c>
      <c r="AB614" s="569">
        <v>2.2999999999999998</v>
      </c>
      <c r="AC614" s="569">
        <v>0.9</v>
      </c>
      <c r="AD614" s="569">
        <v>2.4</v>
      </c>
      <c r="AE614" s="569">
        <v>2.4</v>
      </c>
      <c r="AF614">
        <v>614</v>
      </c>
      <c r="AG614" s="438">
        <f>IF(INDEX(D:AE,AF614,ADP!$AF$6)=0,"",INDEX(D:AE,AF614,ADP!$AF$6)+AH614)</f>
        <v>2.4006129999999999</v>
      </c>
      <c r="AH614">
        <f t="shared" si="9"/>
        <v>6.1300000000000839E-4</v>
      </c>
    </row>
    <row r="615" spans="1:34" ht="15.75" thickBot="1" x14ac:dyDescent="0.3">
      <c r="A615" s="569" t="s">
        <v>1791</v>
      </c>
      <c r="B615" s="569" t="s">
        <v>165</v>
      </c>
      <c r="C615" s="569" t="s">
        <v>6</v>
      </c>
      <c r="D615" s="574">
        <v>69.8</v>
      </c>
      <c r="E615" s="574">
        <v>5.2</v>
      </c>
      <c r="F615" s="574">
        <v>64.8</v>
      </c>
      <c r="G615" s="574">
        <v>5.2</v>
      </c>
      <c r="H615" s="574">
        <v>59.9</v>
      </c>
      <c r="I615" s="574">
        <v>5.5</v>
      </c>
      <c r="J615" s="574">
        <v>69.8</v>
      </c>
      <c r="K615" s="574">
        <v>5.2</v>
      </c>
      <c r="L615" s="574">
        <v>64.8</v>
      </c>
      <c r="M615" s="574">
        <v>5.2</v>
      </c>
      <c r="N615" s="574">
        <v>59.9</v>
      </c>
      <c r="O615" s="574">
        <v>5.5</v>
      </c>
      <c r="P615" s="569">
        <v>80.7</v>
      </c>
      <c r="Q615" s="569">
        <v>7.8</v>
      </c>
      <c r="R615" s="574">
        <v>69.8</v>
      </c>
      <c r="S615" s="574">
        <v>5.2</v>
      </c>
      <c r="T615" s="574">
        <v>64.8</v>
      </c>
      <c r="U615" s="574">
        <v>5.2</v>
      </c>
      <c r="V615" s="574">
        <v>59.9</v>
      </c>
      <c r="W615" s="574">
        <v>5.5</v>
      </c>
      <c r="X615" s="569">
        <v>80.7</v>
      </c>
      <c r="Y615" s="569">
        <v>7.8</v>
      </c>
      <c r="Z615" s="574">
        <v>69.8</v>
      </c>
      <c r="AA615" s="574">
        <v>5.2</v>
      </c>
      <c r="AB615" s="574">
        <v>64.8</v>
      </c>
      <c r="AC615" s="574">
        <v>5.2</v>
      </c>
      <c r="AD615" s="574">
        <v>59.9</v>
      </c>
      <c r="AE615" s="574">
        <v>59.9</v>
      </c>
      <c r="AF615">
        <v>615</v>
      </c>
      <c r="AG615" s="438">
        <f>IF(INDEX(D:AE,AF615,ADP!$AF$6)=0,"",INDEX(D:AE,AF615,ADP!$AF$6)+AH615)</f>
        <v>59.900613999999997</v>
      </c>
      <c r="AH615">
        <f t="shared" si="9"/>
        <v>6.1400000000000842E-4</v>
      </c>
    </row>
    <row r="616" spans="1:34" ht="15.75" thickBot="1" x14ac:dyDescent="0.3">
      <c r="A616" s="569" t="s">
        <v>2509</v>
      </c>
      <c r="B616" s="569" t="s">
        <v>152</v>
      </c>
      <c r="C616" s="569" t="s">
        <v>3</v>
      </c>
      <c r="D616" s="569"/>
      <c r="E616" s="569"/>
      <c r="F616" s="569"/>
      <c r="G616" s="569"/>
      <c r="H616" s="569"/>
      <c r="I616" s="569"/>
      <c r="J616" s="569"/>
      <c r="K616" s="569"/>
      <c r="L616" s="569"/>
      <c r="M616" s="569"/>
      <c r="N616" s="569"/>
      <c r="O616" s="569"/>
      <c r="P616" s="569"/>
      <c r="Q616" s="569"/>
      <c r="R616" s="569"/>
      <c r="S616" s="569"/>
      <c r="T616" s="569"/>
      <c r="U616" s="569"/>
      <c r="V616" s="569"/>
      <c r="W616" s="569"/>
      <c r="X616" s="569"/>
      <c r="Y616" s="569"/>
      <c r="Z616" s="569"/>
      <c r="AA616" s="569"/>
      <c r="AB616" s="569"/>
      <c r="AC616" s="569"/>
      <c r="AD616" s="569"/>
      <c r="AE616" s="569"/>
      <c r="AF616">
        <v>616</v>
      </c>
      <c r="AG616" s="438" t="str">
        <f>IF(INDEX(D:AE,AF616,ADP!$AF$6)=0,"",INDEX(D:AE,AF616,ADP!$AF$6)+AH616)</f>
        <v/>
      </c>
      <c r="AH616">
        <f t="shared" si="9"/>
        <v>6.1500000000000844E-4</v>
      </c>
    </row>
    <row r="617" spans="1:34" ht="15.75" thickBot="1" x14ac:dyDescent="0.3">
      <c r="A617" s="569" t="s">
        <v>2320</v>
      </c>
      <c r="B617" s="569" t="s">
        <v>143</v>
      </c>
      <c r="C617" s="569" t="s">
        <v>6</v>
      </c>
      <c r="D617" s="569">
        <v>23.3</v>
      </c>
      <c r="E617" s="569">
        <v>2.4</v>
      </c>
      <c r="F617" s="569">
        <v>22.4</v>
      </c>
      <c r="G617" s="569">
        <v>2.7</v>
      </c>
      <c r="H617" s="569">
        <v>20.399999999999999</v>
      </c>
      <c r="I617" s="569">
        <v>2.7</v>
      </c>
      <c r="J617" s="569">
        <v>23.3</v>
      </c>
      <c r="K617" s="569">
        <v>2.4</v>
      </c>
      <c r="L617" s="569">
        <v>22.4</v>
      </c>
      <c r="M617" s="569">
        <v>2.7</v>
      </c>
      <c r="N617" s="569">
        <v>20.399999999999999</v>
      </c>
      <c r="O617" s="569">
        <v>2.7</v>
      </c>
      <c r="P617" s="569">
        <v>55.5</v>
      </c>
      <c r="Q617" s="569">
        <v>8.8000000000000007</v>
      </c>
      <c r="R617" s="569">
        <v>23.3</v>
      </c>
      <c r="S617" s="569">
        <v>2.4</v>
      </c>
      <c r="T617" s="569">
        <v>22.4</v>
      </c>
      <c r="U617" s="569">
        <v>2.7</v>
      </c>
      <c r="V617" s="569">
        <v>20.399999999999999</v>
      </c>
      <c r="W617" s="569">
        <v>2.7</v>
      </c>
      <c r="X617" s="569">
        <v>55.5</v>
      </c>
      <c r="Y617" s="569">
        <v>8.8000000000000007</v>
      </c>
      <c r="Z617" s="569">
        <v>23.3</v>
      </c>
      <c r="AA617" s="569">
        <v>2.4</v>
      </c>
      <c r="AB617" s="569">
        <v>22.4</v>
      </c>
      <c r="AC617" s="569">
        <v>2.7</v>
      </c>
      <c r="AD617" s="569">
        <v>20.399999999999999</v>
      </c>
      <c r="AE617" s="569">
        <v>20.399999999999999</v>
      </c>
      <c r="AF617">
        <v>617</v>
      </c>
      <c r="AG617" s="438">
        <f>IF(INDEX(D:AE,AF617,ADP!$AF$6)=0,"",INDEX(D:AE,AF617,ADP!$AF$6)+AH617)</f>
        <v>20.400615999999999</v>
      </c>
      <c r="AH617">
        <f t="shared" si="9"/>
        <v>6.1600000000000847E-4</v>
      </c>
    </row>
    <row r="618" spans="1:34" ht="15.75" thickBot="1" x14ac:dyDescent="0.3">
      <c r="A618" s="569" t="s">
        <v>2380</v>
      </c>
      <c r="B618" s="569" t="s">
        <v>154</v>
      </c>
      <c r="C618" s="569" t="s">
        <v>7</v>
      </c>
      <c r="D618" s="569"/>
      <c r="E618" s="569"/>
      <c r="F618" s="569"/>
      <c r="G618" s="569"/>
      <c r="H618" s="569"/>
      <c r="I618" s="569"/>
      <c r="J618" s="569"/>
      <c r="K618" s="569"/>
      <c r="L618" s="569"/>
      <c r="M618" s="569"/>
      <c r="N618" s="569"/>
      <c r="O618" s="569"/>
      <c r="P618" s="569"/>
      <c r="Q618" s="569"/>
      <c r="R618" s="569"/>
      <c r="S618" s="569"/>
      <c r="T618" s="569"/>
      <c r="U618" s="569"/>
      <c r="V618" s="569"/>
      <c r="W618" s="569"/>
      <c r="X618" s="569"/>
      <c r="Y618" s="569"/>
      <c r="Z618" s="569"/>
      <c r="AA618" s="569"/>
      <c r="AB618" s="569"/>
      <c r="AC618" s="569"/>
      <c r="AD618" s="569"/>
      <c r="AE618" s="569"/>
      <c r="AF618">
        <v>618</v>
      </c>
      <c r="AG618" s="438" t="str">
        <f>IF(INDEX(D:AE,AF618,ADP!$AF$6)=0,"",INDEX(D:AE,AF618,ADP!$AF$6)+AH618)</f>
        <v/>
      </c>
      <c r="AH618">
        <f t="shared" si="9"/>
        <v>6.1700000000000849E-4</v>
      </c>
    </row>
    <row r="619" spans="1:34" ht="15.75" thickBot="1" x14ac:dyDescent="0.3">
      <c r="A619" s="569" t="s">
        <v>1274</v>
      </c>
      <c r="B619" s="569" t="s">
        <v>163</v>
      </c>
      <c r="C619" s="569" t="s">
        <v>6</v>
      </c>
      <c r="D619" s="569"/>
      <c r="E619" s="569"/>
      <c r="F619" s="569"/>
      <c r="G619" s="569"/>
      <c r="H619" s="569"/>
      <c r="I619" s="569"/>
      <c r="J619" s="569"/>
      <c r="K619" s="569"/>
      <c r="L619" s="569"/>
      <c r="M619" s="569"/>
      <c r="N619" s="569"/>
      <c r="O619" s="569"/>
      <c r="P619" s="569"/>
      <c r="Q619" s="569"/>
      <c r="R619" s="569"/>
      <c r="S619" s="569"/>
      <c r="T619" s="569"/>
      <c r="U619" s="569"/>
      <c r="V619" s="569"/>
      <c r="W619" s="569"/>
      <c r="X619" s="569"/>
      <c r="Y619" s="569"/>
      <c r="Z619" s="569"/>
      <c r="AA619" s="569"/>
      <c r="AB619" s="569"/>
      <c r="AC619" s="569"/>
      <c r="AD619" s="569"/>
      <c r="AE619" s="569"/>
      <c r="AF619">
        <v>619</v>
      </c>
      <c r="AG619" s="438" t="str">
        <f>IF(INDEX(D:AE,AF619,ADP!$AF$6)=0,"",INDEX(D:AE,AF619,ADP!$AF$6)+AH619)</f>
        <v/>
      </c>
      <c r="AH619">
        <f t="shared" si="9"/>
        <v>6.1800000000000852E-4</v>
      </c>
    </row>
    <row r="620" spans="1:34" ht="15.75" thickBot="1" x14ac:dyDescent="0.3">
      <c r="A620" s="569" t="s">
        <v>2153</v>
      </c>
      <c r="B620" s="569" t="s">
        <v>144</v>
      </c>
      <c r="C620" s="569" t="s">
        <v>7</v>
      </c>
      <c r="D620" s="574"/>
      <c r="E620" s="574"/>
      <c r="F620" s="574"/>
      <c r="G620" s="574"/>
      <c r="H620" s="574"/>
      <c r="I620" s="574"/>
      <c r="J620" s="574"/>
      <c r="K620" s="574"/>
      <c r="L620" s="574"/>
      <c r="M620" s="574"/>
      <c r="N620" s="574"/>
      <c r="O620" s="574"/>
      <c r="P620" s="574"/>
      <c r="Q620" s="574"/>
      <c r="R620" s="574"/>
      <c r="S620" s="574"/>
      <c r="T620" s="574"/>
      <c r="U620" s="574"/>
      <c r="V620" s="574"/>
      <c r="W620" s="574"/>
      <c r="X620" s="574"/>
      <c r="Y620" s="574"/>
      <c r="Z620" s="574"/>
      <c r="AA620" s="574"/>
      <c r="AB620" s="574"/>
      <c r="AC620" s="574"/>
      <c r="AD620" s="574"/>
      <c r="AE620" s="574"/>
      <c r="AF620">
        <v>620</v>
      </c>
      <c r="AG620" s="438" t="str">
        <f>IF(INDEX(D:AE,AF620,ADP!$AF$6)=0,"",INDEX(D:AE,AF620,ADP!$AF$6)+AH620)</f>
        <v/>
      </c>
      <c r="AH620">
        <f t="shared" si="9"/>
        <v>6.1900000000000854E-4</v>
      </c>
    </row>
    <row r="621" spans="1:34" ht="15.75" thickBot="1" x14ac:dyDescent="0.3">
      <c r="A621" s="569" t="s">
        <v>1434</v>
      </c>
      <c r="B621" s="569" t="s">
        <v>149</v>
      </c>
      <c r="C621" s="569" t="s">
        <v>6</v>
      </c>
      <c r="D621" s="574">
        <v>71.599999999999994</v>
      </c>
      <c r="E621" s="574">
        <v>4.7</v>
      </c>
      <c r="F621" s="574">
        <v>70.2</v>
      </c>
      <c r="G621" s="574">
        <v>5.3</v>
      </c>
      <c r="H621" s="574">
        <v>50.1</v>
      </c>
      <c r="I621" s="574">
        <v>4.7</v>
      </c>
      <c r="J621" s="574">
        <v>71.599999999999994</v>
      </c>
      <c r="K621" s="574">
        <v>4.7</v>
      </c>
      <c r="L621" s="574">
        <v>70.2</v>
      </c>
      <c r="M621" s="574">
        <v>5.3</v>
      </c>
      <c r="N621" s="574">
        <v>50.1</v>
      </c>
      <c r="O621" s="574">
        <v>4.7</v>
      </c>
      <c r="P621" s="574">
        <v>50.7</v>
      </c>
      <c r="Q621" s="574">
        <v>4.3</v>
      </c>
      <c r="R621" s="574">
        <v>71.599999999999994</v>
      </c>
      <c r="S621" s="574">
        <v>4.7</v>
      </c>
      <c r="T621" s="574">
        <v>70.2</v>
      </c>
      <c r="U621" s="574">
        <v>5.3</v>
      </c>
      <c r="V621" s="574">
        <v>50.1</v>
      </c>
      <c r="W621" s="574">
        <v>4.7</v>
      </c>
      <c r="X621" s="574">
        <v>50.7</v>
      </c>
      <c r="Y621" s="574">
        <v>4.3</v>
      </c>
      <c r="Z621" s="574">
        <v>71.599999999999994</v>
      </c>
      <c r="AA621" s="574">
        <v>4.7</v>
      </c>
      <c r="AB621" s="574">
        <v>70.2</v>
      </c>
      <c r="AC621" s="574">
        <v>5.3</v>
      </c>
      <c r="AD621" s="574">
        <v>50.1</v>
      </c>
      <c r="AE621" s="574">
        <v>50.1</v>
      </c>
      <c r="AF621">
        <v>621</v>
      </c>
      <c r="AG621" s="438">
        <f>IF(INDEX(D:AE,AF621,ADP!$AF$6)=0,"",INDEX(D:AE,AF621,ADP!$AF$6)+AH621)</f>
        <v>50.100619999999999</v>
      </c>
      <c r="AH621">
        <f t="shared" si="9"/>
        <v>6.2000000000000857E-4</v>
      </c>
    </row>
    <row r="622" spans="1:34" ht="15.75" thickBot="1" x14ac:dyDescent="0.3">
      <c r="A622" s="569" t="s">
        <v>2188</v>
      </c>
      <c r="B622" s="569" t="s">
        <v>145</v>
      </c>
      <c r="C622" s="569" t="s">
        <v>3</v>
      </c>
      <c r="D622" s="569"/>
      <c r="E622" s="569"/>
      <c r="F622" s="569"/>
      <c r="G622" s="569"/>
      <c r="H622" s="569"/>
      <c r="I622" s="569"/>
      <c r="J622" s="569"/>
      <c r="K622" s="569"/>
      <c r="L622" s="569"/>
      <c r="M622" s="569"/>
      <c r="N622" s="569"/>
      <c r="O622" s="569"/>
      <c r="P622" s="569"/>
      <c r="Q622" s="569"/>
      <c r="R622" s="569"/>
      <c r="S622" s="569"/>
      <c r="T622" s="569"/>
      <c r="U622" s="569"/>
      <c r="V622" s="569"/>
      <c r="W622" s="569"/>
      <c r="X622" s="569"/>
      <c r="Y622" s="569"/>
      <c r="Z622" s="569"/>
      <c r="AA622" s="569"/>
      <c r="AB622" s="569"/>
      <c r="AC622" s="569"/>
      <c r="AD622" s="569"/>
      <c r="AE622" s="569"/>
      <c r="AF622">
        <v>622</v>
      </c>
      <c r="AG622" s="438" t="str">
        <f>IF(INDEX(D:AE,AF622,ADP!$AF$6)=0,"",INDEX(D:AE,AF622,ADP!$AF$6)+AH622)</f>
        <v/>
      </c>
      <c r="AH622">
        <f t="shared" si="9"/>
        <v>6.2100000000000859E-4</v>
      </c>
    </row>
    <row r="623" spans="1:34" ht="15.75" thickBot="1" x14ac:dyDescent="0.3">
      <c r="A623" s="569" t="s">
        <v>1111</v>
      </c>
      <c r="B623" s="569" t="s">
        <v>155</v>
      </c>
      <c r="C623" s="569" t="s">
        <v>6</v>
      </c>
      <c r="D623" s="569"/>
      <c r="E623" s="569"/>
      <c r="F623" s="569"/>
      <c r="G623" s="569"/>
      <c r="H623" s="569"/>
      <c r="I623" s="569"/>
      <c r="J623" s="569"/>
      <c r="K623" s="569"/>
      <c r="L623" s="569"/>
      <c r="M623" s="569"/>
      <c r="N623" s="569"/>
      <c r="O623" s="569"/>
      <c r="P623" s="569"/>
      <c r="Q623" s="569"/>
      <c r="R623" s="569"/>
      <c r="S623" s="569"/>
      <c r="T623" s="569"/>
      <c r="U623" s="569"/>
      <c r="V623" s="569"/>
      <c r="W623" s="569"/>
      <c r="X623" s="569"/>
      <c r="Y623" s="569"/>
      <c r="Z623" s="569"/>
      <c r="AA623" s="569"/>
      <c r="AB623" s="569"/>
      <c r="AC623" s="569"/>
      <c r="AD623" s="569"/>
      <c r="AE623" s="569"/>
      <c r="AF623">
        <v>623</v>
      </c>
      <c r="AG623" s="438" t="str">
        <f>IF(INDEX(D:AE,AF623,ADP!$AF$6)=0,"",INDEX(D:AE,AF623,ADP!$AF$6)+AH623)</f>
        <v/>
      </c>
      <c r="AH623">
        <f t="shared" si="9"/>
        <v>6.2200000000000861E-4</v>
      </c>
    </row>
    <row r="624" spans="1:34" ht="15.75" thickBot="1" x14ac:dyDescent="0.3">
      <c r="A624" s="569" t="s">
        <v>1188</v>
      </c>
      <c r="B624" s="569" t="s">
        <v>147</v>
      </c>
      <c r="C624" s="569" t="s">
        <v>11</v>
      </c>
      <c r="D624" s="569"/>
      <c r="E624" s="569"/>
      <c r="F624" s="569"/>
      <c r="G624" s="569"/>
      <c r="H624" s="569"/>
      <c r="I624" s="569"/>
      <c r="J624" s="569"/>
      <c r="K624" s="569"/>
      <c r="L624" s="569"/>
      <c r="M624" s="569"/>
      <c r="N624" s="569"/>
      <c r="O624" s="569"/>
      <c r="P624" s="569"/>
      <c r="Q624" s="569"/>
      <c r="R624" s="569"/>
      <c r="S624" s="569"/>
      <c r="T624" s="569"/>
      <c r="U624" s="569"/>
      <c r="V624" s="569"/>
      <c r="W624" s="569"/>
      <c r="X624" s="569"/>
      <c r="Y624" s="569"/>
      <c r="Z624" s="569"/>
      <c r="AA624" s="569"/>
      <c r="AB624" s="569"/>
      <c r="AC624" s="569"/>
      <c r="AD624" s="569"/>
      <c r="AE624" s="569"/>
      <c r="AF624">
        <v>624</v>
      </c>
      <c r="AG624" s="438" t="str">
        <f>IF(INDEX(D:AE,AF624,ADP!$AF$6)=0,"",INDEX(D:AE,AF624,ADP!$AF$6)+AH624)</f>
        <v/>
      </c>
      <c r="AH624">
        <f t="shared" si="9"/>
        <v>6.2300000000000864E-4</v>
      </c>
    </row>
    <row r="625" spans="1:34" ht="15.75" thickBot="1" x14ac:dyDescent="0.3">
      <c r="A625" s="569" t="s">
        <v>2371</v>
      </c>
      <c r="B625" s="569" t="s">
        <v>163</v>
      </c>
      <c r="C625" s="569" t="s">
        <v>7</v>
      </c>
      <c r="D625" s="569">
        <v>130.9</v>
      </c>
      <c r="E625" s="569">
        <v>14.9</v>
      </c>
      <c r="F625" s="569">
        <v>134.4</v>
      </c>
      <c r="G625" s="569">
        <v>12</v>
      </c>
      <c r="H625" s="569">
        <v>141.30000000000001</v>
      </c>
      <c r="I625" s="569">
        <v>17.600000000000001</v>
      </c>
      <c r="J625" s="569">
        <v>130.9</v>
      </c>
      <c r="K625" s="569">
        <v>14.9</v>
      </c>
      <c r="L625" s="569">
        <v>134.4</v>
      </c>
      <c r="M625" s="569">
        <v>12</v>
      </c>
      <c r="N625" s="569">
        <v>141.30000000000001</v>
      </c>
      <c r="O625" s="569">
        <v>17.600000000000001</v>
      </c>
      <c r="P625" s="569">
        <v>147.30000000000001</v>
      </c>
      <c r="Q625" s="569">
        <v>27.3</v>
      </c>
      <c r="R625" s="569">
        <v>130.9</v>
      </c>
      <c r="S625" s="569">
        <v>14.9</v>
      </c>
      <c r="T625" s="569">
        <v>134.4</v>
      </c>
      <c r="U625" s="569">
        <v>12</v>
      </c>
      <c r="V625" s="569">
        <v>141.30000000000001</v>
      </c>
      <c r="W625" s="569">
        <v>17.600000000000001</v>
      </c>
      <c r="X625" s="569">
        <v>147.30000000000001</v>
      </c>
      <c r="Y625" s="569">
        <v>27.3</v>
      </c>
      <c r="Z625" s="569">
        <v>130.9</v>
      </c>
      <c r="AA625" s="569">
        <v>14.9</v>
      </c>
      <c r="AB625" s="569">
        <v>134.4</v>
      </c>
      <c r="AC625" s="569">
        <v>12</v>
      </c>
      <c r="AD625" s="569">
        <v>141.30000000000001</v>
      </c>
      <c r="AE625" s="569">
        <v>141.30000000000001</v>
      </c>
      <c r="AF625">
        <v>625</v>
      </c>
      <c r="AG625" s="438">
        <f>IF(INDEX(D:AE,AF625,ADP!$AF$6)=0,"",INDEX(D:AE,AF625,ADP!$AF$6)+AH625)</f>
        <v>141.300624</v>
      </c>
      <c r="AH625">
        <f t="shared" si="9"/>
        <v>6.2400000000000866E-4</v>
      </c>
    </row>
    <row r="626" spans="1:34" ht="15.75" thickBot="1" x14ac:dyDescent="0.3">
      <c r="A626" s="569" t="s">
        <v>141</v>
      </c>
      <c r="B626" s="569" t="s">
        <v>141</v>
      </c>
      <c r="C626" s="569" t="s">
        <v>160</v>
      </c>
      <c r="D626" s="569"/>
      <c r="E626" s="569"/>
      <c r="F626" s="569"/>
      <c r="G626" s="569"/>
      <c r="H626" s="569"/>
      <c r="I626" s="569"/>
      <c r="J626" s="569"/>
      <c r="K626" s="569"/>
      <c r="L626" s="569"/>
      <c r="M626" s="569"/>
      <c r="N626" s="569"/>
      <c r="O626" s="569"/>
      <c r="P626" s="569"/>
      <c r="Q626" s="569"/>
      <c r="R626" s="569"/>
      <c r="S626" s="569"/>
      <c r="T626" s="569"/>
      <c r="U626" s="569"/>
      <c r="V626" s="569"/>
      <c r="W626" s="569"/>
      <c r="X626" s="569"/>
      <c r="Y626" s="569"/>
      <c r="Z626" s="569"/>
      <c r="AA626" s="569"/>
      <c r="AB626" s="569"/>
      <c r="AC626" s="569"/>
      <c r="AD626" s="569"/>
      <c r="AE626" s="569"/>
      <c r="AF626">
        <v>626</v>
      </c>
      <c r="AG626" s="438" t="str">
        <f>IF(INDEX(D:AE,AF626,ADP!$AF$6)=0,"",INDEX(D:AE,AF626,ADP!$AF$6)+AH626)</f>
        <v/>
      </c>
      <c r="AH626">
        <f t="shared" si="9"/>
        <v>6.2500000000000869E-4</v>
      </c>
    </row>
    <row r="627" spans="1:34" ht="15.75" thickBot="1" x14ac:dyDescent="0.3">
      <c r="A627" s="569" t="s">
        <v>2510</v>
      </c>
      <c r="B627" s="569" t="s">
        <v>149</v>
      </c>
      <c r="C627" s="569" t="s">
        <v>11</v>
      </c>
      <c r="D627" s="569"/>
      <c r="E627" s="569"/>
      <c r="F627" s="569"/>
      <c r="G627" s="569"/>
      <c r="H627" s="569"/>
      <c r="I627" s="569"/>
      <c r="J627" s="569"/>
      <c r="K627" s="569"/>
      <c r="L627" s="569"/>
      <c r="M627" s="569"/>
      <c r="N627" s="569"/>
      <c r="O627" s="569"/>
      <c r="P627" s="569"/>
      <c r="Q627" s="569"/>
      <c r="R627" s="569"/>
      <c r="S627" s="569"/>
      <c r="T627" s="569"/>
      <c r="U627" s="569"/>
      <c r="V627" s="569"/>
      <c r="W627" s="569"/>
      <c r="X627" s="569"/>
      <c r="Y627" s="569"/>
      <c r="Z627" s="569"/>
      <c r="AA627" s="569"/>
      <c r="AB627" s="569"/>
      <c r="AC627" s="569"/>
      <c r="AD627" s="569"/>
      <c r="AE627" s="569"/>
      <c r="AF627">
        <v>627</v>
      </c>
      <c r="AG627" s="438" t="str">
        <f>IF(INDEX(D:AE,AF627,ADP!$AF$6)=0,"",INDEX(D:AE,AF627,ADP!$AF$6)+AH627)</f>
        <v/>
      </c>
      <c r="AH627">
        <f t="shared" si="9"/>
        <v>6.2600000000000871E-4</v>
      </c>
    </row>
    <row r="628" spans="1:34" ht="15.75" thickBot="1" x14ac:dyDescent="0.3">
      <c r="A628" s="569" t="s">
        <v>1774</v>
      </c>
      <c r="B628" s="569" t="s">
        <v>149</v>
      </c>
      <c r="C628" s="569" t="s">
        <v>3</v>
      </c>
      <c r="D628" s="574"/>
      <c r="E628" s="574"/>
      <c r="F628" s="574"/>
      <c r="G628" s="574"/>
      <c r="H628" s="574"/>
      <c r="I628" s="574"/>
      <c r="J628" s="574"/>
      <c r="K628" s="574"/>
      <c r="L628" s="574"/>
      <c r="M628" s="574"/>
      <c r="N628" s="574"/>
      <c r="O628" s="574"/>
      <c r="P628" s="574"/>
      <c r="Q628" s="574"/>
      <c r="R628" s="574"/>
      <c r="S628" s="574"/>
      <c r="T628" s="574"/>
      <c r="U628" s="574"/>
      <c r="V628" s="574"/>
      <c r="W628" s="574"/>
      <c r="X628" s="574"/>
      <c r="Y628" s="574"/>
      <c r="Z628" s="574"/>
      <c r="AA628" s="574"/>
      <c r="AB628" s="574"/>
      <c r="AC628" s="574"/>
      <c r="AD628" s="574"/>
      <c r="AE628" s="574"/>
      <c r="AF628">
        <v>628</v>
      </c>
      <c r="AG628" s="438" t="str">
        <f>IF(INDEX(D:AE,AF628,ADP!$AF$6)=0,"",INDEX(D:AE,AF628,ADP!$AF$6)+AH628)</f>
        <v/>
      </c>
      <c r="AH628">
        <f t="shared" si="9"/>
        <v>6.2700000000000874E-4</v>
      </c>
    </row>
    <row r="629" spans="1:34" ht="15.75" thickBot="1" x14ac:dyDescent="0.3">
      <c r="A629" s="569" t="s">
        <v>2095</v>
      </c>
      <c r="B629" s="569" t="s">
        <v>141</v>
      </c>
      <c r="C629" s="569" t="s">
        <v>6</v>
      </c>
      <c r="D629" s="574"/>
      <c r="E629" s="574"/>
      <c r="F629" s="574">
        <v>163.69999999999999</v>
      </c>
      <c r="G629" s="574">
        <v>11.9</v>
      </c>
      <c r="H629" s="574">
        <v>165.9</v>
      </c>
      <c r="I629" s="574">
        <v>11</v>
      </c>
      <c r="J629" s="574"/>
      <c r="K629" s="574"/>
      <c r="L629" s="574">
        <v>163.69999999999999</v>
      </c>
      <c r="M629" s="574">
        <v>11.9</v>
      </c>
      <c r="N629" s="574">
        <v>165.9</v>
      </c>
      <c r="O629" s="574">
        <v>11</v>
      </c>
      <c r="P629" s="574"/>
      <c r="Q629" s="574"/>
      <c r="R629" s="574"/>
      <c r="S629" s="574"/>
      <c r="T629" s="574">
        <v>163.69999999999999</v>
      </c>
      <c r="U629" s="574">
        <v>11.9</v>
      </c>
      <c r="V629" s="574">
        <v>165.9</v>
      </c>
      <c r="W629" s="574">
        <v>11</v>
      </c>
      <c r="X629" s="574"/>
      <c r="Y629" s="574"/>
      <c r="Z629" s="574"/>
      <c r="AA629" s="574"/>
      <c r="AB629" s="574">
        <v>163.69999999999999</v>
      </c>
      <c r="AC629" s="574">
        <v>11.9</v>
      </c>
      <c r="AD629" s="574">
        <v>165.9</v>
      </c>
      <c r="AE629" s="574">
        <v>165.9</v>
      </c>
      <c r="AF629">
        <v>629</v>
      </c>
      <c r="AG629" s="438">
        <f>IF(INDEX(D:AE,AF629,ADP!$AF$6)=0,"",INDEX(D:AE,AF629,ADP!$AF$6)+AH629)</f>
        <v>165.90062800000001</v>
      </c>
      <c r="AH629">
        <f t="shared" si="9"/>
        <v>6.2800000000000876E-4</v>
      </c>
    </row>
    <row r="630" spans="1:34" ht="15.75" thickBot="1" x14ac:dyDescent="0.3">
      <c r="A630" s="569" t="s">
        <v>2511</v>
      </c>
      <c r="B630" s="569" t="s">
        <v>145</v>
      </c>
      <c r="C630" s="569" t="s">
        <v>3</v>
      </c>
      <c r="D630" s="569"/>
      <c r="E630" s="569"/>
      <c r="F630" s="569"/>
      <c r="G630" s="569"/>
      <c r="H630" s="569"/>
      <c r="I630" s="569"/>
      <c r="J630" s="569"/>
      <c r="K630" s="569"/>
      <c r="L630" s="569"/>
      <c r="M630" s="569"/>
      <c r="N630" s="569"/>
      <c r="O630" s="569"/>
      <c r="P630" s="569"/>
      <c r="Q630" s="569"/>
      <c r="R630" s="569"/>
      <c r="S630" s="569"/>
      <c r="T630" s="569"/>
      <c r="U630" s="569"/>
      <c r="V630" s="569"/>
      <c r="W630" s="569"/>
      <c r="X630" s="569"/>
      <c r="Y630" s="569"/>
      <c r="Z630" s="569"/>
      <c r="AA630" s="569"/>
      <c r="AB630" s="569"/>
      <c r="AC630" s="569"/>
      <c r="AD630" s="569"/>
      <c r="AE630" s="569"/>
      <c r="AF630">
        <v>630</v>
      </c>
      <c r="AG630" s="438" t="str">
        <f>IF(INDEX(D:AE,AF630,ADP!$AF$6)=0,"",INDEX(D:AE,AF630,ADP!$AF$6)+AH630)</f>
        <v/>
      </c>
      <c r="AH630">
        <f t="shared" si="9"/>
        <v>6.2900000000000878E-4</v>
      </c>
    </row>
    <row r="631" spans="1:34" ht="15.75" thickBot="1" x14ac:dyDescent="0.3">
      <c r="A631" s="569" t="s">
        <v>2255</v>
      </c>
      <c r="B631" s="569" t="s">
        <v>155</v>
      </c>
      <c r="C631" s="569" t="s">
        <v>7</v>
      </c>
      <c r="D631" s="569"/>
      <c r="E631" s="569"/>
      <c r="F631" s="569"/>
      <c r="G631" s="569"/>
      <c r="H631" s="569"/>
      <c r="I631" s="569"/>
      <c r="J631" s="569"/>
      <c r="K631" s="569"/>
      <c r="L631" s="569"/>
      <c r="M631" s="569"/>
      <c r="N631" s="569"/>
      <c r="O631" s="569"/>
      <c r="P631" s="569"/>
      <c r="Q631" s="569"/>
      <c r="R631" s="569"/>
      <c r="S631" s="569"/>
      <c r="T631" s="569"/>
      <c r="U631" s="569"/>
      <c r="V631" s="569"/>
      <c r="W631" s="569"/>
      <c r="X631" s="569"/>
      <c r="Y631" s="569"/>
      <c r="Z631" s="569"/>
      <c r="AA631" s="569"/>
      <c r="AB631" s="569"/>
      <c r="AC631" s="569"/>
      <c r="AD631" s="569"/>
      <c r="AE631" s="569"/>
      <c r="AF631">
        <v>631</v>
      </c>
      <c r="AG631" s="438" t="str">
        <f>IF(INDEX(D:AE,AF631,ADP!$AF$6)=0,"",INDEX(D:AE,AF631,ADP!$AF$6)+AH631)</f>
        <v/>
      </c>
      <c r="AH631">
        <f t="shared" si="9"/>
        <v>6.3000000000000881E-4</v>
      </c>
    </row>
    <row r="632" spans="1:34" ht="15.75" thickBot="1" x14ac:dyDescent="0.3">
      <c r="A632" s="569" t="s">
        <v>2367</v>
      </c>
      <c r="B632" s="569" t="s">
        <v>162</v>
      </c>
      <c r="C632" s="569" t="s">
        <v>7</v>
      </c>
      <c r="D632" s="569"/>
      <c r="E632" s="569"/>
      <c r="F632" s="569"/>
      <c r="G632" s="569"/>
      <c r="H632" s="569"/>
      <c r="I632" s="569"/>
      <c r="J632" s="569"/>
      <c r="K632" s="569"/>
      <c r="L632" s="569"/>
      <c r="M632" s="569"/>
      <c r="N632" s="569"/>
      <c r="O632" s="569"/>
      <c r="P632" s="569"/>
      <c r="Q632" s="569"/>
      <c r="R632" s="569"/>
      <c r="S632" s="569"/>
      <c r="T632" s="569"/>
      <c r="U632" s="569"/>
      <c r="V632" s="569"/>
      <c r="W632" s="569"/>
      <c r="X632" s="569"/>
      <c r="Y632" s="569"/>
      <c r="Z632" s="569"/>
      <c r="AA632" s="569"/>
      <c r="AB632" s="569"/>
      <c r="AC632" s="569"/>
      <c r="AD632" s="569"/>
      <c r="AE632" s="569"/>
      <c r="AF632">
        <v>632</v>
      </c>
      <c r="AG632" s="438" t="str">
        <f>IF(INDEX(D:AE,AF632,ADP!$AF$6)=0,"",INDEX(D:AE,AF632,ADP!$AF$6)+AH632)</f>
        <v/>
      </c>
      <c r="AH632">
        <f t="shared" si="9"/>
        <v>6.3100000000000883E-4</v>
      </c>
    </row>
    <row r="633" spans="1:34" ht="15.75" thickBot="1" x14ac:dyDescent="0.3">
      <c r="A633" s="569" t="s">
        <v>2512</v>
      </c>
      <c r="B633" s="569" t="s">
        <v>145</v>
      </c>
      <c r="C633" s="569" t="s">
        <v>6</v>
      </c>
      <c r="D633" s="569"/>
      <c r="E633" s="569"/>
      <c r="F633" s="569"/>
      <c r="G633" s="569"/>
      <c r="H633" s="569"/>
      <c r="I633" s="569"/>
      <c r="J633" s="569"/>
      <c r="K633" s="569"/>
      <c r="L633" s="569"/>
      <c r="M633" s="569"/>
      <c r="N633" s="569"/>
      <c r="O633" s="569"/>
      <c r="P633" s="569"/>
      <c r="Q633" s="569"/>
      <c r="R633" s="569"/>
      <c r="S633" s="569"/>
      <c r="T633" s="569"/>
      <c r="U633" s="569"/>
      <c r="V633" s="569"/>
      <c r="W633" s="569"/>
      <c r="X633" s="569"/>
      <c r="Y633" s="569"/>
      <c r="Z633" s="569"/>
      <c r="AA633" s="569"/>
      <c r="AB633" s="569"/>
      <c r="AC633" s="569"/>
      <c r="AD633" s="569"/>
      <c r="AE633" s="569"/>
      <c r="AF633">
        <v>633</v>
      </c>
      <c r="AG633" s="438" t="str">
        <f>IF(INDEX(D:AE,AF633,ADP!$AF$6)=0,"",INDEX(D:AE,AF633,ADP!$AF$6)+AH633)</f>
        <v/>
      </c>
      <c r="AH633">
        <f t="shared" si="9"/>
        <v>6.3200000000000886E-4</v>
      </c>
    </row>
    <row r="634" spans="1:34" ht="15.75" thickBot="1" x14ac:dyDescent="0.3">
      <c r="A634" s="569" t="s">
        <v>2513</v>
      </c>
      <c r="B634" s="569" t="s">
        <v>157</v>
      </c>
      <c r="C634" s="569" t="s">
        <v>11</v>
      </c>
      <c r="D634" s="569"/>
      <c r="E634" s="569"/>
      <c r="F634" s="569"/>
      <c r="G634" s="569"/>
      <c r="H634" s="569"/>
      <c r="I634" s="569"/>
      <c r="J634" s="569"/>
      <c r="K634" s="569"/>
      <c r="L634" s="569"/>
      <c r="M634" s="569"/>
      <c r="N634" s="569"/>
      <c r="O634" s="569"/>
      <c r="P634" s="569"/>
      <c r="Q634" s="569"/>
      <c r="R634" s="569"/>
      <c r="S634" s="569"/>
      <c r="T634" s="569"/>
      <c r="U634" s="569"/>
      <c r="V634" s="569"/>
      <c r="W634" s="569"/>
      <c r="X634" s="569"/>
      <c r="Y634" s="569"/>
      <c r="Z634" s="569"/>
      <c r="AA634" s="569"/>
      <c r="AB634" s="569"/>
      <c r="AC634" s="569"/>
      <c r="AD634" s="569"/>
      <c r="AE634" s="569"/>
      <c r="AF634">
        <v>634</v>
      </c>
      <c r="AG634" s="438" t="str">
        <f>IF(INDEX(D:AE,AF634,ADP!$AF$6)=0,"",INDEX(D:AE,AF634,ADP!$AF$6)+AH634)</f>
        <v/>
      </c>
      <c r="AH634">
        <f t="shared" si="9"/>
        <v>6.3300000000000888E-4</v>
      </c>
    </row>
    <row r="635" spans="1:34" ht="15.75" thickBot="1" x14ac:dyDescent="0.3">
      <c r="A635" s="569" t="s">
        <v>2079</v>
      </c>
      <c r="B635" s="569" t="s">
        <v>146</v>
      </c>
      <c r="C635" s="569" t="s">
        <v>6</v>
      </c>
      <c r="D635" s="569">
        <v>14.6</v>
      </c>
      <c r="E635" s="569">
        <v>1.9</v>
      </c>
      <c r="F635" s="569">
        <v>15</v>
      </c>
      <c r="G635" s="569">
        <v>2.2000000000000002</v>
      </c>
      <c r="H635" s="569">
        <v>11.2</v>
      </c>
      <c r="I635" s="569">
        <v>2.2999999999999998</v>
      </c>
      <c r="J635" s="569">
        <v>14.6</v>
      </c>
      <c r="K635" s="569">
        <v>1.9</v>
      </c>
      <c r="L635" s="569">
        <v>15</v>
      </c>
      <c r="M635" s="569">
        <v>2.2000000000000002</v>
      </c>
      <c r="N635" s="569">
        <v>11.2</v>
      </c>
      <c r="O635" s="569">
        <v>2.2999999999999998</v>
      </c>
      <c r="P635" s="569">
        <v>17.899999999999999</v>
      </c>
      <c r="Q635" s="569">
        <v>3.1</v>
      </c>
      <c r="R635" s="569">
        <v>14.6</v>
      </c>
      <c r="S635" s="569">
        <v>1.9</v>
      </c>
      <c r="T635" s="569">
        <v>15</v>
      </c>
      <c r="U635" s="569">
        <v>2.2000000000000002</v>
      </c>
      <c r="V635" s="569">
        <v>11.2</v>
      </c>
      <c r="W635" s="569">
        <v>2.2999999999999998</v>
      </c>
      <c r="X635" s="569">
        <v>17.899999999999999</v>
      </c>
      <c r="Y635" s="569">
        <v>3.1</v>
      </c>
      <c r="Z635" s="569">
        <v>14.6</v>
      </c>
      <c r="AA635" s="569">
        <v>1.9</v>
      </c>
      <c r="AB635" s="569">
        <v>15</v>
      </c>
      <c r="AC635" s="569">
        <v>2.2000000000000002</v>
      </c>
      <c r="AD635" s="569">
        <v>11.2</v>
      </c>
      <c r="AE635" s="569">
        <v>11.2</v>
      </c>
      <c r="AF635">
        <v>635</v>
      </c>
      <c r="AG635" s="438">
        <f>IF(INDEX(D:AE,AF635,ADP!$AF$6)=0,"",INDEX(D:AE,AF635,ADP!$AF$6)+AH635)</f>
        <v>11.200633999999999</v>
      </c>
      <c r="AH635">
        <f t="shared" si="9"/>
        <v>6.3400000000000891E-4</v>
      </c>
    </row>
    <row r="636" spans="1:34" ht="15.75" thickBot="1" x14ac:dyDescent="0.3">
      <c r="A636" s="569" t="s">
        <v>2152</v>
      </c>
      <c r="B636" s="569" t="s">
        <v>166</v>
      </c>
      <c r="C636" s="569" t="s">
        <v>6</v>
      </c>
      <c r="D636" s="569"/>
      <c r="E636" s="569"/>
      <c r="F636" s="569"/>
      <c r="G636" s="569"/>
      <c r="H636" s="569"/>
      <c r="I636" s="569"/>
      <c r="J636" s="569"/>
      <c r="K636" s="569"/>
      <c r="L636" s="569"/>
      <c r="M636" s="569"/>
      <c r="N636" s="569"/>
      <c r="O636" s="569"/>
      <c r="P636" s="569"/>
      <c r="Q636" s="569"/>
      <c r="R636" s="569"/>
      <c r="S636" s="569"/>
      <c r="T636" s="569"/>
      <c r="U636" s="569"/>
      <c r="V636" s="569"/>
      <c r="W636" s="569"/>
      <c r="X636" s="569"/>
      <c r="Y636" s="569"/>
      <c r="Z636" s="569"/>
      <c r="AA636" s="569"/>
      <c r="AB636" s="569"/>
      <c r="AC636" s="569"/>
      <c r="AD636" s="569"/>
      <c r="AE636" s="569"/>
      <c r="AF636">
        <v>636</v>
      </c>
      <c r="AG636" s="438" t="str">
        <f>IF(INDEX(D:AE,AF636,ADP!$AF$6)=0,"",INDEX(D:AE,AF636,ADP!$AF$6)+AH636)</f>
        <v/>
      </c>
      <c r="AH636">
        <f t="shared" si="9"/>
        <v>6.3500000000000893E-4</v>
      </c>
    </row>
    <row r="637" spans="1:34" ht="15.75" thickBot="1" x14ac:dyDescent="0.3">
      <c r="A637" s="569" t="s">
        <v>2514</v>
      </c>
      <c r="B637" s="569" t="s">
        <v>161</v>
      </c>
      <c r="C637" s="569" t="s">
        <v>6</v>
      </c>
      <c r="D637" s="569"/>
      <c r="E637" s="569"/>
      <c r="F637" s="569"/>
      <c r="G637" s="569"/>
      <c r="H637" s="569"/>
      <c r="I637" s="569"/>
      <c r="J637" s="569"/>
      <c r="K637" s="569"/>
      <c r="L637" s="569"/>
      <c r="M637" s="569"/>
      <c r="N637" s="569"/>
      <c r="O637" s="569"/>
      <c r="P637" s="569"/>
      <c r="Q637" s="569"/>
      <c r="R637" s="569"/>
      <c r="S637" s="569"/>
      <c r="T637" s="569"/>
      <c r="U637" s="569"/>
      <c r="V637" s="569"/>
      <c r="W637" s="569"/>
      <c r="X637" s="569"/>
      <c r="Y637" s="569"/>
      <c r="Z637" s="569"/>
      <c r="AA637" s="569"/>
      <c r="AB637" s="569"/>
      <c r="AC637" s="569"/>
      <c r="AD637" s="569"/>
      <c r="AE637" s="569"/>
      <c r="AF637">
        <v>637</v>
      </c>
      <c r="AG637" s="438" t="str">
        <f>IF(INDEX(D:AE,AF637,ADP!$AF$6)=0,"",INDEX(D:AE,AF637,ADP!$AF$6)+AH637)</f>
        <v/>
      </c>
      <c r="AH637">
        <f t="shared" si="9"/>
        <v>6.3600000000000895E-4</v>
      </c>
    </row>
    <row r="638" spans="1:34" ht="15.75" thickBot="1" x14ac:dyDescent="0.3">
      <c r="A638" s="569" t="s">
        <v>1221</v>
      </c>
      <c r="B638" s="569" t="s">
        <v>151</v>
      </c>
      <c r="C638" s="569" t="s">
        <v>1</v>
      </c>
      <c r="D638" s="574"/>
      <c r="E638" s="574"/>
      <c r="F638" s="574"/>
      <c r="G638" s="574"/>
      <c r="H638" s="574"/>
      <c r="I638" s="574"/>
      <c r="J638" s="574"/>
      <c r="K638" s="574"/>
      <c r="L638" s="574"/>
      <c r="M638" s="574"/>
      <c r="N638" s="574"/>
      <c r="O638" s="574"/>
      <c r="P638" s="574"/>
      <c r="Q638" s="574"/>
      <c r="R638" s="574"/>
      <c r="S638" s="574"/>
      <c r="T638" s="574"/>
      <c r="U638" s="574"/>
      <c r="V638" s="574"/>
      <c r="W638" s="574"/>
      <c r="X638" s="574"/>
      <c r="Y638" s="574"/>
      <c r="Z638" s="574"/>
      <c r="AA638" s="574"/>
      <c r="AB638" s="574"/>
      <c r="AC638" s="574"/>
      <c r="AD638" s="574"/>
      <c r="AE638" s="574"/>
      <c r="AF638">
        <v>638</v>
      </c>
      <c r="AG638" s="438" t="str">
        <f>IF(INDEX(D:AE,AF638,ADP!$AF$6)=0,"",INDEX(D:AE,AF638,ADP!$AF$6)+AH638)</f>
        <v/>
      </c>
      <c r="AH638">
        <f t="shared" si="9"/>
        <v>6.3700000000000898E-4</v>
      </c>
    </row>
    <row r="639" spans="1:34" ht="15.75" thickBot="1" x14ac:dyDescent="0.3">
      <c r="A639" s="569" t="s">
        <v>159</v>
      </c>
      <c r="B639" s="569" t="s">
        <v>159</v>
      </c>
      <c r="C639" s="569" t="s">
        <v>160</v>
      </c>
      <c r="D639" s="569"/>
      <c r="E639" s="569"/>
      <c r="F639" s="569"/>
      <c r="G639" s="569"/>
      <c r="H639" s="569"/>
      <c r="I639" s="569"/>
      <c r="J639" s="569"/>
      <c r="K639" s="569"/>
      <c r="L639" s="569"/>
      <c r="M639" s="569"/>
      <c r="N639" s="569"/>
      <c r="O639" s="569"/>
      <c r="P639" s="569"/>
      <c r="Q639" s="569"/>
      <c r="R639" s="569"/>
      <c r="S639" s="569"/>
      <c r="T639" s="569"/>
      <c r="U639" s="569"/>
      <c r="V639" s="569"/>
      <c r="W639" s="569"/>
      <c r="X639" s="569"/>
      <c r="Y639" s="569"/>
      <c r="Z639" s="569"/>
      <c r="AA639" s="569"/>
      <c r="AB639" s="569"/>
      <c r="AC639" s="569"/>
      <c r="AD639" s="569"/>
      <c r="AE639" s="569"/>
      <c r="AF639">
        <v>639</v>
      </c>
      <c r="AG639" s="438" t="str">
        <f>IF(INDEX(D:AE,AF639,ADP!$AF$6)=0,"",INDEX(D:AE,AF639,ADP!$AF$6)+AH639)</f>
        <v/>
      </c>
      <c r="AH639">
        <f t="shared" si="9"/>
        <v>6.38000000000009E-4</v>
      </c>
    </row>
    <row r="640" spans="1:34" ht="15.75" thickBot="1" x14ac:dyDescent="0.3">
      <c r="A640" s="569" t="s">
        <v>2515</v>
      </c>
      <c r="B640" s="569" t="s">
        <v>155</v>
      </c>
      <c r="C640" s="569" t="s">
        <v>7</v>
      </c>
      <c r="D640" s="569"/>
      <c r="E640" s="569"/>
      <c r="F640" s="569"/>
      <c r="G640" s="569"/>
      <c r="H640" s="569"/>
      <c r="I640" s="569"/>
      <c r="J640" s="569"/>
      <c r="K640" s="569"/>
      <c r="L640" s="569"/>
      <c r="M640" s="569"/>
      <c r="N640" s="569"/>
      <c r="O640" s="569"/>
      <c r="P640" s="569"/>
      <c r="Q640" s="569"/>
      <c r="R640" s="569"/>
      <c r="S640" s="569"/>
      <c r="T640" s="569"/>
      <c r="U640" s="569"/>
      <c r="V640" s="569"/>
      <c r="W640" s="569"/>
      <c r="X640" s="569"/>
      <c r="Y640" s="569"/>
      <c r="Z640" s="569"/>
      <c r="AA640" s="569"/>
      <c r="AB640" s="569"/>
      <c r="AC640" s="569"/>
      <c r="AD640" s="569"/>
      <c r="AE640" s="569"/>
      <c r="AF640">
        <v>640</v>
      </c>
      <c r="AG640" s="438" t="str">
        <f>IF(INDEX(D:AE,AF640,ADP!$AF$6)=0,"",INDEX(D:AE,AF640,ADP!$AF$6)+AH640)</f>
        <v/>
      </c>
      <c r="AH640">
        <f t="shared" si="9"/>
        <v>6.3900000000000903E-4</v>
      </c>
    </row>
    <row r="641" spans="1:34" ht="15.75" thickBot="1" x14ac:dyDescent="0.3">
      <c r="A641" s="569" t="s">
        <v>2516</v>
      </c>
      <c r="B641" s="569" t="s">
        <v>1388</v>
      </c>
      <c r="C641" s="569" t="s">
        <v>11</v>
      </c>
      <c r="D641" s="574"/>
      <c r="E641" s="574"/>
      <c r="F641" s="574"/>
      <c r="G641" s="574"/>
      <c r="H641" s="574"/>
      <c r="I641" s="574"/>
      <c r="J641" s="574"/>
      <c r="K641" s="574"/>
      <c r="L641" s="574"/>
      <c r="M641" s="574"/>
      <c r="N641" s="574"/>
      <c r="O641" s="574"/>
      <c r="P641" s="574"/>
      <c r="Q641" s="574"/>
      <c r="R641" s="574"/>
      <c r="S641" s="574"/>
      <c r="T641" s="574"/>
      <c r="U641" s="574"/>
      <c r="V641" s="574"/>
      <c r="W641" s="574"/>
      <c r="X641" s="574"/>
      <c r="Y641" s="574"/>
      <c r="Z641" s="574"/>
      <c r="AA641" s="574"/>
      <c r="AB641" s="574"/>
      <c r="AC641" s="574"/>
      <c r="AD641" s="574"/>
      <c r="AE641" s="574"/>
      <c r="AF641">
        <v>641</v>
      </c>
      <c r="AG641" s="438" t="str">
        <f>IF(INDEX(D:AE,AF641,ADP!$AF$6)=0,"",INDEX(D:AE,AF641,ADP!$AF$6)+AH641)</f>
        <v/>
      </c>
      <c r="AH641">
        <f t="shared" si="9"/>
        <v>6.4000000000000905E-4</v>
      </c>
    </row>
    <row r="642" spans="1:34" ht="15.75" thickBot="1" x14ac:dyDescent="0.3">
      <c r="A642" s="569" t="s">
        <v>2210</v>
      </c>
      <c r="B642" s="569" t="s">
        <v>2073</v>
      </c>
      <c r="C642" s="569" t="s">
        <v>6</v>
      </c>
      <c r="D642" s="569"/>
      <c r="E642" s="569"/>
      <c r="F642" s="569"/>
      <c r="G642" s="569"/>
      <c r="H642" s="569"/>
      <c r="I642" s="569"/>
      <c r="J642" s="569"/>
      <c r="K642" s="569"/>
      <c r="L642" s="569"/>
      <c r="M642" s="569"/>
      <c r="N642" s="569"/>
      <c r="O642" s="569"/>
      <c r="P642" s="569"/>
      <c r="Q642" s="569"/>
      <c r="R642" s="569"/>
      <c r="S642" s="569"/>
      <c r="T642" s="569"/>
      <c r="U642" s="569"/>
      <c r="V642" s="569"/>
      <c r="W642" s="569"/>
      <c r="X642" s="569"/>
      <c r="Y642" s="569"/>
      <c r="Z642" s="569"/>
      <c r="AA642" s="569"/>
      <c r="AB642" s="569"/>
      <c r="AC642" s="569"/>
      <c r="AD642" s="569"/>
      <c r="AE642" s="569"/>
      <c r="AF642">
        <v>642</v>
      </c>
      <c r="AG642" s="438" t="str">
        <f>IF(INDEX(D:AE,AF642,ADP!$AF$6)=0,"",INDEX(D:AE,AF642,ADP!$AF$6)+AH642)</f>
        <v/>
      </c>
      <c r="AH642">
        <f t="shared" si="9"/>
        <v>6.4100000000000908E-4</v>
      </c>
    </row>
    <row r="643" spans="1:34" ht="15.75" thickBot="1" x14ac:dyDescent="0.3">
      <c r="A643" s="569" t="s">
        <v>2289</v>
      </c>
      <c r="B643" s="569" t="s">
        <v>1389</v>
      </c>
      <c r="C643" s="569" t="s">
        <v>3</v>
      </c>
      <c r="D643" s="574">
        <v>40.6</v>
      </c>
      <c r="E643" s="574">
        <v>4.5999999999999996</v>
      </c>
      <c r="F643" s="574">
        <v>48.1</v>
      </c>
      <c r="G643" s="574">
        <v>5.2</v>
      </c>
      <c r="H643" s="574">
        <v>62.9</v>
      </c>
      <c r="I643" s="574">
        <v>7.1</v>
      </c>
      <c r="J643" s="574">
        <v>40.6</v>
      </c>
      <c r="K643" s="574">
        <v>4.5999999999999996</v>
      </c>
      <c r="L643" s="574">
        <v>48.1</v>
      </c>
      <c r="M643" s="574">
        <v>5.2</v>
      </c>
      <c r="N643" s="574">
        <v>62.9</v>
      </c>
      <c r="O643" s="574">
        <v>7.1</v>
      </c>
      <c r="P643" s="574">
        <v>60.5</v>
      </c>
      <c r="Q643" s="574">
        <v>7.4</v>
      </c>
      <c r="R643" s="574">
        <v>40.6</v>
      </c>
      <c r="S643" s="574">
        <v>4.5999999999999996</v>
      </c>
      <c r="T643" s="574">
        <v>48.1</v>
      </c>
      <c r="U643" s="574">
        <v>5.2</v>
      </c>
      <c r="V643" s="574">
        <v>62.9</v>
      </c>
      <c r="W643" s="574">
        <v>7.1</v>
      </c>
      <c r="X643" s="574">
        <v>60.5</v>
      </c>
      <c r="Y643" s="574">
        <v>7.4</v>
      </c>
      <c r="Z643" s="574">
        <v>40.6</v>
      </c>
      <c r="AA643" s="574">
        <v>4.5999999999999996</v>
      </c>
      <c r="AB643" s="574">
        <v>48.1</v>
      </c>
      <c r="AC643" s="574">
        <v>5.2</v>
      </c>
      <c r="AD643" s="574">
        <v>62.9</v>
      </c>
      <c r="AE643" s="574">
        <v>62.9</v>
      </c>
      <c r="AF643">
        <v>643</v>
      </c>
      <c r="AG643" s="438">
        <f>IF(INDEX(D:AE,AF643,ADP!$AF$6)=0,"",INDEX(D:AE,AF643,ADP!$AF$6)+AH643)</f>
        <v>62.900641999999998</v>
      </c>
      <c r="AH643">
        <f t="shared" si="9"/>
        <v>6.420000000000091E-4</v>
      </c>
    </row>
    <row r="644" spans="1:34" ht="15.75" thickBot="1" x14ac:dyDescent="0.3">
      <c r="A644" s="569" t="s">
        <v>1787</v>
      </c>
      <c r="B644" s="569" t="s">
        <v>165</v>
      </c>
      <c r="C644" s="569" t="s">
        <v>6</v>
      </c>
      <c r="D644" s="569">
        <v>36.5</v>
      </c>
      <c r="E644" s="569">
        <v>5.0999999999999996</v>
      </c>
      <c r="F644" s="569">
        <v>35.700000000000003</v>
      </c>
      <c r="G644" s="569">
        <v>5.2</v>
      </c>
      <c r="H644" s="569">
        <v>29.6</v>
      </c>
      <c r="I644" s="569">
        <v>4.5</v>
      </c>
      <c r="J644" s="569">
        <v>36.5</v>
      </c>
      <c r="K644" s="569">
        <v>5.0999999999999996</v>
      </c>
      <c r="L644" s="569">
        <v>35.700000000000003</v>
      </c>
      <c r="M644" s="569">
        <v>5.2</v>
      </c>
      <c r="N644" s="569">
        <v>29.6</v>
      </c>
      <c r="O644" s="569">
        <v>4.5</v>
      </c>
      <c r="P644" s="569">
        <v>57.9</v>
      </c>
      <c r="Q644" s="569">
        <v>20.2</v>
      </c>
      <c r="R644" s="569">
        <v>36.5</v>
      </c>
      <c r="S644" s="569">
        <v>5.0999999999999996</v>
      </c>
      <c r="T644" s="569">
        <v>35.700000000000003</v>
      </c>
      <c r="U644" s="569">
        <v>5.2</v>
      </c>
      <c r="V644" s="569">
        <v>29.6</v>
      </c>
      <c r="W644" s="569">
        <v>4.5</v>
      </c>
      <c r="X644" s="569">
        <v>57.9</v>
      </c>
      <c r="Y644" s="569">
        <v>20.2</v>
      </c>
      <c r="Z644" s="569">
        <v>36.5</v>
      </c>
      <c r="AA644" s="569">
        <v>5.0999999999999996</v>
      </c>
      <c r="AB644" s="569">
        <v>35.700000000000003</v>
      </c>
      <c r="AC644" s="569">
        <v>5.2</v>
      </c>
      <c r="AD644" s="569">
        <v>29.6</v>
      </c>
      <c r="AE644" s="569">
        <v>29.6</v>
      </c>
      <c r="AF644">
        <v>644</v>
      </c>
      <c r="AG644" s="438">
        <f>IF(INDEX(D:AE,AF644,ADP!$AF$6)=0,"",INDEX(D:AE,AF644,ADP!$AF$6)+AH644)</f>
        <v>29.600643000000002</v>
      </c>
      <c r="AH644">
        <f t="shared" si="9"/>
        <v>6.4300000000000912E-4</v>
      </c>
    </row>
    <row r="645" spans="1:34" ht="15.75" thickBot="1" x14ac:dyDescent="0.3">
      <c r="A645" s="569" t="s">
        <v>2336</v>
      </c>
      <c r="B645" s="569" t="s">
        <v>147</v>
      </c>
      <c r="C645" s="569" t="s">
        <v>6</v>
      </c>
      <c r="D645" s="569"/>
      <c r="E645" s="569"/>
      <c r="F645" s="569"/>
      <c r="G645" s="569"/>
      <c r="H645" s="569"/>
      <c r="I645" s="569"/>
      <c r="J645" s="569"/>
      <c r="K645" s="569"/>
      <c r="L645" s="569"/>
      <c r="M645" s="569"/>
      <c r="N645" s="569"/>
      <c r="O645" s="569"/>
      <c r="P645" s="569"/>
      <c r="Q645" s="569"/>
      <c r="R645" s="569"/>
      <c r="S645" s="569"/>
      <c r="T645" s="569"/>
      <c r="U645" s="569"/>
      <c r="V645" s="569"/>
      <c r="W645" s="569"/>
      <c r="X645" s="569"/>
      <c r="Y645" s="569"/>
      <c r="Z645" s="569"/>
      <c r="AA645" s="569"/>
      <c r="AB645" s="569"/>
      <c r="AC645" s="569"/>
      <c r="AD645" s="569"/>
      <c r="AE645" s="569"/>
      <c r="AF645">
        <v>645</v>
      </c>
      <c r="AG645" s="438" t="str">
        <f>IF(INDEX(D:AE,AF645,ADP!$AF$6)=0,"",INDEX(D:AE,AF645,ADP!$AF$6)+AH645)</f>
        <v/>
      </c>
      <c r="AH645">
        <f t="shared" si="9"/>
        <v>6.4400000000000915E-4</v>
      </c>
    </row>
    <row r="646" spans="1:34" ht="15.75" thickBot="1" x14ac:dyDescent="0.3">
      <c r="A646" s="569" t="s">
        <v>2517</v>
      </c>
      <c r="B646" s="569" t="s">
        <v>163</v>
      </c>
      <c r="C646" s="569" t="s">
        <v>11</v>
      </c>
      <c r="D646" s="574"/>
      <c r="E646" s="574"/>
      <c r="F646" s="574"/>
      <c r="G646" s="574"/>
      <c r="H646" s="574"/>
      <c r="I646" s="574"/>
      <c r="J646" s="574"/>
      <c r="K646" s="574"/>
      <c r="L646" s="574"/>
      <c r="M646" s="574"/>
      <c r="N646" s="574"/>
      <c r="O646" s="574"/>
      <c r="P646" s="574"/>
      <c r="Q646" s="574"/>
      <c r="R646" s="574"/>
      <c r="S646" s="574"/>
      <c r="T646" s="574"/>
      <c r="U646" s="574"/>
      <c r="V646" s="574"/>
      <c r="W646" s="574"/>
      <c r="X646" s="574"/>
      <c r="Y646" s="574"/>
      <c r="Z646" s="574"/>
      <c r="AA646" s="574"/>
      <c r="AB646" s="574"/>
      <c r="AC646" s="574"/>
      <c r="AD646" s="574"/>
      <c r="AE646" s="574"/>
      <c r="AF646">
        <v>646</v>
      </c>
      <c r="AG646" s="438" t="str">
        <f>IF(INDEX(D:AE,AF646,ADP!$AF$6)=0,"",INDEX(D:AE,AF646,ADP!$AF$6)+AH646)</f>
        <v/>
      </c>
      <c r="AH646">
        <f t="shared" ref="AH646:AH709" si="10">AH645+0.000001</f>
        <v>6.4500000000000917E-4</v>
      </c>
    </row>
    <row r="647" spans="1:34" ht="15.75" thickBot="1" x14ac:dyDescent="0.3">
      <c r="A647" s="569" t="s">
        <v>2268</v>
      </c>
      <c r="B647" s="569" t="s">
        <v>141</v>
      </c>
      <c r="C647" s="569" t="s">
        <v>11</v>
      </c>
      <c r="D647" s="569"/>
      <c r="E647" s="569"/>
      <c r="F647" s="569"/>
      <c r="G647" s="569"/>
      <c r="H647" s="569"/>
      <c r="I647" s="569"/>
      <c r="J647" s="569"/>
      <c r="K647" s="569"/>
      <c r="L647" s="569"/>
      <c r="M647" s="569"/>
      <c r="N647" s="569"/>
      <c r="O647" s="569"/>
      <c r="P647" s="569"/>
      <c r="Q647" s="569"/>
      <c r="R647" s="569"/>
      <c r="S647" s="569"/>
      <c r="T647" s="569"/>
      <c r="U647" s="569"/>
      <c r="V647" s="569"/>
      <c r="W647" s="569"/>
      <c r="X647" s="569"/>
      <c r="Y647" s="569"/>
      <c r="Z647" s="569"/>
      <c r="AA647" s="569"/>
      <c r="AB647" s="569"/>
      <c r="AC647" s="569"/>
      <c r="AD647" s="569"/>
      <c r="AE647" s="569"/>
      <c r="AF647">
        <v>647</v>
      </c>
      <c r="AG647" s="438" t="str">
        <f>IF(INDEX(D:AE,AF647,ADP!$AF$6)=0,"",INDEX(D:AE,AF647,ADP!$AF$6)+AH647)</f>
        <v/>
      </c>
      <c r="AH647">
        <f t="shared" si="10"/>
        <v>6.460000000000092E-4</v>
      </c>
    </row>
    <row r="648" spans="1:34" ht="15.75" thickBot="1" x14ac:dyDescent="0.3">
      <c r="A648" s="569" t="s">
        <v>2382</v>
      </c>
      <c r="B648" s="569" t="s">
        <v>161</v>
      </c>
      <c r="C648" s="569" t="s">
        <v>11</v>
      </c>
      <c r="D648" s="574"/>
      <c r="E648" s="574"/>
      <c r="F648" s="574"/>
      <c r="G648" s="574"/>
      <c r="H648" s="574"/>
      <c r="I648" s="574"/>
      <c r="J648" s="574"/>
      <c r="K648" s="574"/>
      <c r="L648" s="574"/>
      <c r="M648" s="574"/>
      <c r="N648" s="574"/>
      <c r="O648" s="574"/>
      <c r="P648" s="574"/>
      <c r="Q648" s="574"/>
      <c r="R648" s="574"/>
      <c r="S648" s="574"/>
      <c r="T648" s="574"/>
      <c r="U648" s="574"/>
      <c r="V648" s="574"/>
      <c r="W648" s="574"/>
      <c r="X648" s="574"/>
      <c r="Y648" s="574"/>
      <c r="Z648" s="574"/>
      <c r="AA648" s="574"/>
      <c r="AB648" s="574"/>
      <c r="AC648" s="574"/>
      <c r="AD648" s="574"/>
      <c r="AE648" s="574"/>
      <c r="AF648">
        <v>648</v>
      </c>
      <c r="AG648" s="438" t="str">
        <f>IF(INDEX(D:AE,AF648,ADP!$AF$6)=0,"",INDEX(D:AE,AF648,ADP!$AF$6)+AH648)</f>
        <v/>
      </c>
      <c r="AH648">
        <f t="shared" si="10"/>
        <v>6.4700000000000922E-4</v>
      </c>
    </row>
    <row r="649" spans="1:34" ht="15.75" thickBot="1" x14ac:dyDescent="0.3">
      <c r="A649" s="569" t="s">
        <v>2354</v>
      </c>
      <c r="B649" s="569" t="s">
        <v>149</v>
      </c>
      <c r="C649" s="569" t="s">
        <v>7</v>
      </c>
      <c r="D649" s="569"/>
      <c r="E649" s="569"/>
      <c r="F649" s="569"/>
      <c r="G649" s="569"/>
      <c r="H649" s="569"/>
      <c r="I649" s="569"/>
      <c r="J649" s="569"/>
      <c r="K649" s="569"/>
      <c r="L649" s="569"/>
      <c r="M649" s="569"/>
      <c r="N649" s="569"/>
      <c r="O649" s="569"/>
      <c r="P649" s="569"/>
      <c r="Q649" s="569"/>
      <c r="R649" s="569"/>
      <c r="S649" s="569"/>
      <c r="T649" s="569"/>
      <c r="U649" s="569"/>
      <c r="V649" s="569"/>
      <c r="W649" s="569"/>
      <c r="X649" s="569"/>
      <c r="Y649" s="569"/>
      <c r="Z649" s="569"/>
      <c r="AA649" s="569"/>
      <c r="AB649" s="569"/>
      <c r="AC649" s="569"/>
      <c r="AD649" s="569"/>
      <c r="AE649" s="569"/>
      <c r="AF649">
        <v>649</v>
      </c>
      <c r="AG649" s="438" t="str">
        <f>IF(INDEX(D:AE,AF649,ADP!$AF$6)=0,"",INDEX(D:AE,AF649,ADP!$AF$6)+AH649)</f>
        <v/>
      </c>
      <c r="AH649">
        <f t="shared" si="10"/>
        <v>6.4800000000000925E-4</v>
      </c>
    </row>
    <row r="650" spans="1:34" ht="15.75" thickBot="1" x14ac:dyDescent="0.3">
      <c r="A650" s="569" t="s">
        <v>2518</v>
      </c>
      <c r="B650" s="569" t="s">
        <v>140</v>
      </c>
      <c r="C650" s="569" t="s">
        <v>6</v>
      </c>
      <c r="D650" s="569"/>
      <c r="E650" s="569"/>
      <c r="F650" s="569"/>
      <c r="G650" s="569"/>
      <c r="H650" s="569"/>
      <c r="I650" s="569"/>
      <c r="J650" s="569"/>
      <c r="K650" s="569"/>
      <c r="L650" s="569"/>
      <c r="M650" s="569"/>
      <c r="N650" s="569"/>
      <c r="O650" s="569"/>
      <c r="P650" s="569"/>
      <c r="Q650" s="569"/>
      <c r="R650" s="569"/>
      <c r="S650" s="569"/>
      <c r="T650" s="569"/>
      <c r="U650" s="569"/>
      <c r="V650" s="569"/>
      <c r="W650" s="569"/>
      <c r="X650" s="569"/>
      <c r="Y650" s="569"/>
      <c r="Z650" s="569"/>
      <c r="AA650" s="569"/>
      <c r="AB650" s="569"/>
      <c r="AC650" s="569"/>
      <c r="AD650" s="569"/>
      <c r="AE650" s="569"/>
      <c r="AF650">
        <v>650</v>
      </c>
      <c r="AG650" s="438" t="str">
        <f>IF(INDEX(D:AE,AF650,ADP!$AF$6)=0,"",INDEX(D:AE,AF650,ADP!$AF$6)+AH650)</f>
        <v/>
      </c>
      <c r="AH650">
        <f t="shared" si="10"/>
        <v>6.4900000000000927E-4</v>
      </c>
    </row>
    <row r="651" spans="1:34" ht="15.75" thickBot="1" x14ac:dyDescent="0.3">
      <c r="A651" s="569" t="s">
        <v>2127</v>
      </c>
      <c r="B651" s="569" t="s">
        <v>152</v>
      </c>
      <c r="C651" s="569" t="s">
        <v>6</v>
      </c>
      <c r="D651" s="569"/>
      <c r="E651" s="569"/>
      <c r="F651" s="569"/>
      <c r="G651" s="569"/>
      <c r="H651" s="569"/>
      <c r="I651" s="569"/>
      <c r="J651" s="569"/>
      <c r="K651" s="569"/>
      <c r="L651" s="569"/>
      <c r="M651" s="569"/>
      <c r="N651" s="569"/>
      <c r="O651" s="569"/>
      <c r="P651" s="569"/>
      <c r="Q651" s="569"/>
      <c r="R651" s="569"/>
      <c r="S651" s="569"/>
      <c r="T651" s="569"/>
      <c r="U651" s="569"/>
      <c r="V651" s="569"/>
      <c r="W651" s="569"/>
      <c r="X651" s="569"/>
      <c r="Y651" s="569"/>
      <c r="Z651" s="569"/>
      <c r="AA651" s="569"/>
      <c r="AB651" s="569"/>
      <c r="AC651" s="569"/>
      <c r="AD651" s="569"/>
      <c r="AE651" s="569"/>
      <c r="AF651">
        <v>651</v>
      </c>
      <c r="AG651" s="438" t="str">
        <f>IF(INDEX(D:AE,AF651,ADP!$AF$6)=0,"",INDEX(D:AE,AF651,ADP!$AF$6)+AH651)</f>
        <v/>
      </c>
      <c r="AH651">
        <f t="shared" si="10"/>
        <v>6.5000000000000929E-4</v>
      </c>
    </row>
    <row r="652" spans="1:34" ht="15.75" thickBot="1" x14ac:dyDescent="0.3">
      <c r="A652" s="569" t="s">
        <v>156</v>
      </c>
      <c r="B652" s="569" t="s">
        <v>156</v>
      </c>
      <c r="C652" s="569" t="s">
        <v>160</v>
      </c>
      <c r="D652" s="569">
        <v>134.80000000000001</v>
      </c>
      <c r="E652" s="569">
        <v>10.7</v>
      </c>
      <c r="F652" s="569">
        <v>136.5</v>
      </c>
      <c r="G652" s="569">
        <v>14.8</v>
      </c>
      <c r="H652" s="569">
        <v>136.5</v>
      </c>
      <c r="I652" s="569">
        <v>14.8</v>
      </c>
      <c r="J652" s="569">
        <v>134.80000000000001</v>
      </c>
      <c r="K652" s="569">
        <v>10.7</v>
      </c>
      <c r="L652" s="569">
        <v>136.5</v>
      </c>
      <c r="M652" s="569">
        <v>14.8</v>
      </c>
      <c r="N652" s="569">
        <v>136.5</v>
      </c>
      <c r="O652" s="569">
        <v>14.8</v>
      </c>
      <c r="P652" s="569">
        <v>131.19999999999999</v>
      </c>
      <c r="Q652" s="569">
        <v>12.1</v>
      </c>
      <c r="R652" s="569">
        <v>134.80000000000001</v>
      </c>
      <c r="S652" s="569">
        <v>10.7</v>
      </c>
      <c r="T652" s="569">
        <v>136.5</v>
      </c>
      <c r="U652" s="569">
        <v>14.8</v>
      </c>
      <c r="V652" s="569">
        <v>136.5</v>
      </c>
      <c r="W652" s="569">
        <v>14.8</v>
      </c>
      <c r="X652" s="569">
        <v>131.19999999999999</v>
      </c>
      <c r="Y652" s="569">
        <v>12.1</v>
      </c>
      <c r="Z652" s="569">
        <v>134.80000000000001</v>
      </c>
      <c r="AA652" s="569">
        <v>10.7</v>
      </c>
      <c r="AB652" s="569">
        <v>136.5</v>
      </c>
      <c r="AC652" s="569">
        <v>14.8</v>
      </c>
      <c r="AD652" s="569">
        <v>136.5</v>
      </c>
      <c r="AE652" s="569">
        <v>136.5</v>
      </c>
      <c r="AF652">
        <v>652</v>
      </c>
      <c r="AG652" s="438">
        <f>IF(INDEX(D:AE,AF652,ADP!$AF$6)=0,"",INDEX(D:AE,AF652,ADP!$AF$6)+AH652)</f>
        <v>136.500651</v>
      </c>
      <c r="AH652">
        <f t="shared" si="10"/>
        <v>6.5100000000000932E-4</v>
      </c>
    </row>
    <row r="653" spans="1:34" ht="15.75" thickBot="1" x14ac:dyDescent="0.3">
      <c r="A653" s="569" t="s">
        <v>2244</v>
      </c>
      <c r="B653" s="569" t="s">
        <v>1389</v>
      </c>
      <c r="C653" s="569" t="s">
        <v>7</v>
      </c>
      <c r="D653" s="569"/>
      <c r="E653" s="569"/>
      <c r="F653" s="569"/>
      <c r="G653" s="569"/>
      <c r="H653" s="569"/>
      <c r="I653" s="569"/>
      <c r="J653" s="569"/>
      <c r="K653" s="569"/>
      <c r="L653" s="569"/>
      <c r="M653" s="569"/>
      <c r="N653" s="569"/>
      <c r="O653" s="569"/>
      <c r="P653" s="569"/>
      <c r="Q653" s="569"/>
      <c r="R653" s="569"/>
      <c r="S653" s="569"/>
      <c r="T653" s="569"/>
      <c r="U653" s="569"/>
      <c r="V653" s="569"/>
      <c r="W653" s="569"/>
      <c r="X653" s="569"/>
      <c r="Y653" s="569"/>
      <c r="Z653" s="569"/>
      <c r="AA653" s="569"/>
      <c r="AB653" s="569"/>
      <c r="AC653" s="569"/>
      <c r="AD653" s="569"/>
      <c r="AE653" s="569"/>
      <c r="AF653">
        <v>653</v>
      </c>
      <c r="AG653" s="438" t="str">
        <f>IF(INDEX(D:AE,AF653,ADP!$AF$6)=0,"",INDEX(D:AE,AF653,ADP!$AF$6)+AH653)</f>
        <v/>
      </c>
      <c r="AH653">
        <f t="shared" si="10"/>
        <v>6.5200000000000934E-4</v>
      </c>
    </row>
    <row r="654" spans="1:34" ht="15.75" thickBot="1" x14ac:dyDescent="0.3">
      <c r="A654" s="569" t="s">
        <v>2519</v>
      </c>
      <c r="B654" s="569" t="s">
        <v>159</v>
      </c>
      <c r="C654" s="569" t="s">
        <v>1</v>
      </c>
      <c r="D654" s="569"/>
      <c r="E654" s="569"/>
      <c r="F654" s="569"/>
      <c r="G654" s="569"/>
      <c r="H654" s="569"/>
      <c r="I654" s="569"/>
      <c r="J654" s="569"/>
      <c r="K654" s="569"/>
      <c r="L654" s="569"/>
      <c r="M654" s="569"/>
      <c r="N654" s="569"/>
      <c r="O654" s="569"/>
      <c r="P654" s="569">
        <v>126.5</v>
      </c>
      <c r="Q654" s="569">
        <v>21.4</v>
      </c>
      <c r="R654" s="569"/>
      <c r="S654" s="569"/>
      <c r="T654" s="569"/>
      <c r="U654" s="569"/>
      <c r="V654" s="569"/>
      <c r="W654" s="569"/>
      <c r="X654" s="569">
        <v>126.5</v>
      </c>
      <c r="Y654" s="569">
        <v>21.4</v>
      </c>
      <c r="Z654" s="569"/>
      <c r="AA654" s="569"/>
      <c r="AB654" s="569"/>
      <c r="AC654" s="569"/>
      <c r="AD654" s="569"/>
      <c r="AE654" s="569"/>
      <c r="AF654">
        <v>654</v>
      </c>
      <c r="AG654" s="438" t="str">
        <f>IF(INDEX(D:AE,AF654,ADP!$AF$6)=0,"",INDEX(D:AE,AF654,ADP!$AF$6)+AH654)</f>
        <v/>
      </c>
      <c r="AH654">
        <f t="shared" si="10"/>
        <v>6.5300000000000937E-4</v>
      </c>
    </row>
    <row r="655" spans="1:34" ht="15.75" thickBot="1" x14ac:dyDescent="0.3">
      <c r="A655" s="569" t="s">
        <v>2520</v>
      </c>
      <c r="B655" s="569" t="s">
        <v>154</v>
      </c>
      <c r="C655" s="569" t="s">
        <v>6</v>
      </c>
      <c r="D655" s="574"/>
      <c r="E655" s="574"/>
      <c r="F655" s="574"/>
      <c r="G655" s="574"/>
      <c r="H655" s="574"/>
      <c r="I655" s="574"/>
      <c r="J655" s="574"/>
      <c r="K655" s="574"/>
      <c r="L655" s="574"/>
      <c r="M655" s="574"/>
      <c r="N655" s="574"/>
      <c r="O655" s="574"/>
      <c r="P655" s="574"/>
      <c r="Q655" s="574"/>
      <c r="R655" s="574"/>
      <c r="S655" s="574"/>
      <c r="T655" s="574"/>
      <c r="U655" s="574"/>
      <c r="V655" s="574"/>
      <c r="W655" s="574"/>
      <c r="X655" s="574"/>
      <c r="Y655" s="574"/>
      <c r="Z655" s="574"/>
      <c r="AA655" s="574"/>
      <c r="AB655" s="574"/>
      <c r="AC655" s="574"/>
      <c r="AD655" s="574"/>
      <c r="AE655" s="574"/>
      <c r="AF655">
        <v>655</v>
      </c>
      <c r="AG655" s="438" t="str">
        <f>IF(INDEX(D:AE,AF655,ADP!$AF$6)=0,"",INDEX(D:AE,AF655,ADP!$AF$6)+AH655)</f>
        <v/>
      </c>
      <c r="AH655">
        <f t="shared" si="10"/>
        <v>6.5400000000000939E-4</v>
      </c>
    </row>
    <row r="656" spans="1:34" ht="15.75" thickBot="1" x14ac:dyDescent="0.3">
      <c r="A656" s="569" t="s">
        <v>2104</v>
      </c>
      <c r="B656" s="569" t="s">
        <v>143</v>
      </c>
      <c r="C656" s="569" t="s">
        <v>6</v>
      </c>
      <c r="D656" s="569"/>
      <c r="E656" s="569"/>
      <c r="F656" s="569"/>
      <c r="G656" s="569"/>
      <c r="H656" s="569"/>
      <c r="I656" s="569"/>
      <c r="J656" s="569"/>
      <c r="K656" s="569"/>
      <c r="L656" s="569"/>
      <c r="M656" s="569"/>
      <c r="N656" s="569"/>
      <c r="O656" s="569"/>
      <c r="P656" s="569"/>
      <c r="Q656" s="569"/>
      <c r="R656" s="569"/>
      <c r="S656" s="569"/>
      <c r="T656" s="569"/>
      <c r="U656" s="569"/>
      <c r="V656" s="569"/>
      <c r="W656" s="569"/>
      <c r="X656" s="569"/>
      <c r="Y656" s="569"/>
      <c r="Z656" s="569"/>
      <c r="AA656" s="569"/>
      <c r="AB656" s="569"/>
      <c r="AC656" s="569"/>
      <c r="AD656" s="569"/>
      <c r="AE656" s="569"/>
      <c r="AF656">
        <v>656</v>
      </c>
      <c r="AG656" s="438" t="str">
        <f>IF(INDEX(D:AE,AF656,ADP!$AF$6)=0,"",INDEX(D:AE,AF656,ADP!$AF$6)+AH656)</f>
        <v/>
      </c>
      <c r="AH656">
        <f t="shared" si="10"/>
        <v>6.5500000000000942E-4</v>
      </c>
    </row>
    <row r="657" spans="1:34" ht="15.75" thickBot="1" x14ac:dyDescent="0.3">
      <c r="A657" s="569" t="s">
        <v>2359</v>
      </c>
      <c r="B657" s="569" t="s">
        <v>142</v>
      </c>
      <c r="C657" s="569" t="s">
        <v>7</v>
      </c>
      <c r="D657" s="569"/>
      <c r="E657" s="569"/>
      <c r="F657" s="569"/>
      <c r="G657" s="569"/>
      <c r="H657" s="569"/>
      <c r="I657" s="569"/>
      <c r="J657" s="569"/>
      <c r="K657" s="569"/>
      <c r="L657" s="569"/>
      <c r="M657" s="569"/>
      <c r="N657" s="569"/>
      <c r="O657" s="569"/>
      <c r="P657" s="569"/>
      <c r="Q657" s="569"/>
      <c r="R657" s="569"/>
      <c r="S657" s="569"/>
      <c r="T657" s="569"/>
      <c r="U657" s="569"/>
      <c r="V657" s="569"/>
      <c r="W657" s="569"/>
      <c r="X657" s="569"/>
      <c r="Y657" s="569"/>
      <c r="Z657" s="569"/>
      <c r="AA657" s="569"/>
      <c r="AB657" s="569"/>
      <c r="AC657" s="569"/>
      <c r="AD657" s="569"/>
      <c r="AE657" s="569"/>
      <c r="AF657">
        <v>657</v>
      </c>
      <c r="AG657" s="438" t="str">
        <f>IF(INDEX(D:AE,AF657,ADP!$AF$6)=0,"",INDEX(D:AE,AF657,ADP!$AF$6)+AH657)</f>
        <v/>
      </c>
      <c r="AH657">
        <f t="shared" si="10"/>
        <v>6.5600000000000944E-4</v>
      </c>
    </row>
    <row r="658" spans="1:34" ht="15.75" thickBot="1" x14ac:dyDescent="0.3">
      <c r="A658" s="569" t="s">
        <v>2521</v>
      </c>
      <c r="B658" s="569" t="s">
        <v>155</v>
      </c>
      <c r="C658" s="569" t="s">
        <v>1</v>
      </c>
      <c r="D658" s="574">
        <v>143.19999999999999</v>
      </c>
      <c r="E658" s="574">
        <v>8.6999999999999993</v>
      </c>
      <c r="F658" s="574">
        <v>159.19999999999999</v>
      </c>
      <c r="G658" s="574">
        <v>19.100000000000001</v>
      </c>
      <c r="H658" s="574">
        <v>154.19999999999999</v>
      </c>
      <c r="I658" s="574">
        <v>31.2</v>
      </c>
      <c r="J658" s="574">
        <v>143.19999999999999</v>
      </c>
      <c r="K658" s="574">
        <v>8.6999999999999993</v>
      </c>
      <c r="L658" s="574">
        <v>159.19999999999999</v>
      </c>
      <c r="M658" s="574">
        <v>19.100000000000001</v>
      </c>
      <c r="N658" s="574">
        <v>154.19999999999999</v>
      </c>
      <c r="O658" s="574">
        <v>31.2</v>
      </c>
      <c r="P658" s="574">
        <v>120.2</v>
      </c>
      <c r="Q658" s="574">
        <v>24.2</v>
      </c>
      <c r="R658" s="574">
        <v>143.19999999999999</v>
      </c>
      <c r="S658" s="574">
        <v>8.6999999999999993</v>
      </c>
      <c r="T658" s="574">
        <v>159.19999999999999</v>
      </c>
      <c r="U658" s="574">
        <v>19.100000000000001</v>
      </c>
      <c r="V658" s="574">
        <v>154.19999999999999</v>
      </c>
      <c r="W658" s="574">
        <v>31.2</v>
      </c>
      <c r="X658" s="574">
        <v>120.2</v>
      </c>
      <c r="Y658" s="574">
        <v>24.2</v>
      </c>
      <c r="Z658" s="574">
        <v>143.19999999999999</v>
      </c>
      <c r="AA658" s="574">
        <v>8.6999999999999993</v>
      </c>
      <c r="AB658" s="574">
        <v>159.19999999999999</v>
      </c>
      <c r="AC658" s="574">
        <v>19.100000000000001</v>
      </c>
      <c r="AD658" s="574">
        <v>154.19999999999999</v>
      </c>
      <c r="AE658" s="574">
        <v>154.19999999999999</v>
      </c>
      <c r="AF658">
        <v>658</v>
      </c>
      <c r="AG658" s="438">
        <f>IF(INDEX(D:AE,AF658,ADP!$AF$6)=0,"",INDEX(D:AE,AF658,ADP!$AF$6)+AH658)</f>
        <v>154.20065699999998</v>
      </c>
      <c r="AH658">
        <f t="shared" si="10"/>
        <v>6.5700000000000946E-4</v>
      </c>
    </row>
    <row r="659" spans="1:34" ht="15.75" thickBot="1" x14ac:dyDescent="0.3">
      <c r="A659" s="569" t="s">
        <v>2522</v>
      </c>
      <c r="B659" s="569" t="s">
        <v>2073</v>
      </c>
      <c r="C659" s="569" t="s">
        <v>3</v>
      </c>
      <c r="D659" s="569"/>
      <c r="E659" s="569"/>
      <c r="F659" s="569"/>
      <c r="G659" s="569"/>
      <c r="H659" s="569"/>
      <c r="I659" s="569"/>
      <c r="J659" s="569"/>
      <c r="K659" s="569"/>
      <c r="L659" s="569"/>
      <c r="M659" s="569"/>
      <c r="N659" s="569"/>
      <c r="O659" s="569"/>
      <c r="P659" s="569"/>
      <c r="Q659" s="569"/>
      <c r="R659" s="569"/>
      <c r="S659" s="569"/>
      <c r="T659" s="569"/>
      <c r="U659" s="569"/>
      <c r="V659" s="569"/>
      <c r="W659" s="569"/>
      <c r="X659" s="569"/>
      <c r="Y659" s="569"/>
      <c r="Z659" s="569"/>
      <c r="AA659" s="569"/>
      <c r="AB659" s="569"/>
      <c r="AC659" s="569"/>
      <c r="AD659" s="569"/>
      <c r="AE659" s="569"/>
      <c r="AF659">
        <v>659</v>
      </c>
      <c r="AG659" s="438" t="str">
        <f>IF(INDEX(D:AE,AF659,ADP!$AF$6)=0,"",INDEX(D:AE,AF659,ADP!$AF$6)+AH659)</f>
        <v/>
      </c>
      <c r="AH659">
        <f t="shared" si="10"/>
        <v>6.5800000000000949E-4</v>
      </c>
    </row>
    <row r="660" spans="1:34" ht="15.75" thickBot="1" x14ac:dyDescent="0.3">
      <c r="A660" s="569" t="s">
        <v>2523</v>
      </c>
      <c r="B660" s="569" t="s">
        <v>137</v>
      </c>
      <c r="C660" s="569" t="s">
        <v>6</v>
      </c>
      <c r="D660" s="569"/>
      <c r="E660" s="569"/>
      <c r="F660" s="569"/>
      <c r="G660" s="569"/>
      <c r="H660" s="569"/>
      <c r="I660" s="569"/>
      <c r="J660" s="569"/>
      <c r="K660" s="569"/>
      <c r="L660" s="569"/>
      <c r="M660" s="569"/>
      <c r="N660" s="569"/>
      <c r="O660" s="569"/>
      <c r="P660" s="569"/>
      <c r="Q660" s="569"/>
      <c r="R660" s="569"/>
      <c r="S660" s="569"/>
      <c r="T660" s="569"/>
      <c r="U660" s="569"/>
      <c r="V660" s="569"/>
      <c r="W660" s="569"/>
      <c r="X660" s="569"/>
      <c r="Y660" s="569"/>
      <c r="Z660" s="569"/>
      <c r="AA660" s="569"/>
      <c r="AB660" s="569"/>
      <c r="AC660" s="569"/>
      <c r="AD660" s="569"/>
      <c r="AE660" s="569"/>
      <c r="AF660">
        <v>660</v>
      </c>
      <c r="AG660" s="438" t="str">
        <f>IF(INDEX(D:AE,AF660,ADP!$AF$6)=0,"",INDEX(D:AE,AF660,ADP!$AF$6)+AH660)</f>
        <v/>
      </c>
      <c r="AH660">
        <f t="shared" si="10"/>
        <v>6.5900000000000951E-4</v>
      </c>
    </row>
    <row r="661" spans="1:34" ht="15.75" thickBot="1" x14ac:dyDescent="0.3">
      <c r="A661" s="569" t="s">
        <v>2296</v>
      </c>
      <c r="B661" s="569" t="s">
        <v>152</v>
      </c>
      <c r="C661" s="569" t="s">
        <v>3</v>
      </c>
      <c r="D661" s="569">
        <v>69</v>
      </c>
      <c r="E661" s="569">
        <v>7.5</v>
      </c>
      <c r="F661" s="569">
        <v>79.099999999999994</v>
      </c>
      <c r="G661" s="569">
        <v>6.3</v>
      </c>
      <c r="H661" s="569">
        <v>93.8</v>
      </c>
      <c r="I661" s="569">
        <v>8.1</v>
      </c>
      <c r="J661" s="569">
        <v>69</v>
      </c>
      <c r="K661" s="569">
        <v>7.5</v>
      </c>
      <c r="L661" s="569">
        <v>79.099999999999994</v>
      </c>
      <c r="M661" s="569">
        <v>6.3</v>
      </c>
      <c r="N661" s="569">
        <v>93.8</v>
      </c>
      <c r="O661" s="569">
        <v>8.1</v>
      </c>
      <c r="P661" s="569">
        <v>100</v>
      </c>
      <c r="Q661" s="569">
        <v>8.5</v>
      </c>
      <c r="R661" s="569">
        <v>69</v>
      </c>
      <c r="S661" s="569">
        <v>7.5</v>
      </c>
      <c r="T661" s="569">
        <v>79.099999999999994</v>
      </c>
      <c r="U661" s="569">
        <v>6.3</v>
      </c>
      <c r="V661" s="569">
        <v>93.8</v>
      </c>
      <c r="W661" s="569">
        <v>8.1</v>
      </c>
      <c r="X661" s="569">
        <v>100</v>
      </c>
      <c r="Y661" s="569">
        <v>8.5</v>
      </c>
      <c r="Z661" s="569">
        <v>69</v>
      </c>
      <c r="AA661" s="569">
        <v>7.5</v>
      </c>
      <c r="AB661" s="569">
        <v>79.099999999999994</v>
      </c>
      <c r="AC661" s="569">
        <v>6.3</v>
      </c>
      <c r="AD661" s="569">
        <v>93.8</v>
      </c>
      <c r="AE661" s="569">
        <v>93.8</v>
      </c>
      <c r="AF661">
        <v>661</v>
      </c>
      <c r="AG661" s="438">
        <f>IF(INDEX(D:AE,AF661,ADP!$AF$6)=0,"",INDEX(D:AE,AF661,ADP!$AF$6)+AH661)</f>
        <v>93.800659999999993</v>
      </c>
      <c r="AH661">
        <f t="shared" si="10"/>
        <v>6.6000000000000954E-4</v>
      </c>
    </row>
    <row r="662" spans="1:34" ht="15.75" thickBot="1" x14ac:dyDescent="0.3">
      <c r="A662" s="569" t="s">
        <v>175</v>
      </c>
      <c r="B662" s="569" t="s">
        <v>2073</v>
      </c>
      <c r="C662" s="569" t="s">
        <v>1</v>
      </c>
      <c r="D662" s="569"/>
      <c r="E662" s="569"/>
      <c r="F662" s="569"/>
      <c r="G662" s="569"/>
      <c r="H662" s="569"/>
      <c r="I662" s="569"/>
      <c r="J662" s="569"/>
      <c r="K662" s="569"/>
      <c r="L662" s="569"/>
      <c r="M662" s="569"/>
      <c r="N662" s="569"/>
      <c r="O662" s="569"/>
      <c r="P662" s="569"/>
      <c r="Q662" s="569"/>
      <c r="R662" s="569"/>
      <c r="S662" s="569"/>
      <c r="T662" s="569"/>
      <c r="U662" s="569"/>
      <c r="V662" s="569"/>
      <c r="W662" s="569"/>
      <c r="X662" s="569"/>
      <c r="Y662" s="569"/>
      <c r="Z662" s="569"/>
      <c r="AA662" s="569"/>
      <c r="AB662" s="569"/>
      <c r="AC662" s="569"/>
      <c r="AD662" s="569"/>
      <c r="AE662" s="569"/>
      <c r="AF662">
        <v>662</v>
      </c>
      <c r="AG662" s="438" t="str">
        <f>IF(INDEX(D:AE,AF662,ADP!$AF$6)=0,"",INDEX(D:AE,AF662,ADP!$AF$6)+AH662)</f>
        <v/>
      </c>
      <c r="AH662">
        <f t="shared" si="10"/>
        <v>6.6100000000000956E-4</v>
      </c>
    </row>
    <row r="663" spans="1:34" ht="15.75" thickBot="1" x14ac:dyDescent="0.3">
      <c r="A663" s="569" t="s">
        <v>2245</v>
      </c>
      <c r="B663" s="569" t="s">
        <v>151</v>
      </c>
      <c r="C663" s="569" t="s">
        <v>7</v>
      </c>
      <c r="D663" s="569"/>
      <c r="E663" s="569"/>
      <c r="F663" s="569"/>
      <c r="G663" s="569"/>
      <c r="H663" s="569"/>
      <c r="I663" s="569"/>
      <c r="J663" s="569"/>
      <c r="K663" s="569"/>
      <c r="L663" s="569"/>
      <c r="M663" s="569"/>
      <c r="N663" s="569"/>
      <c r="O663" s="569"/>
      <c r="P663" s="569"/>
      <c r="Q663" s="569"/>
      <c r="R663" s="569"/>
      <c r="S663" s="569"/>
      <c r="T663" s="569"/>
      <c r="U663" s="569"/>
      <c r="V663" s="569"/>
      <c r="W663" s="569"/>
      <c r="X663" s="569"/>
      <c r="Y663" s="569"/>
      <c r="Z663" s="569"/>
      <c r="AA663" s="569"/>
      <c r="AB663" s="569"/>
      <c r="AC663" s="569"/>
      <c r="AD663" s="569"/>
      <c r="AE663" s="569"/>
      <c r="AF663">
        <v>663</v>
      </c>
      <c r="AG663" s="438" t="str">
        <f>IF(INDEX(D:AE,AF663,ADP!$AF$6)=0,"",INDEX(D:AE,AF663,ADP!$AF$6)+AH663)</f>
        <v/>
      </c>
      <c r="AH663">
        <f t="shared" si="10"/>
        <v>6.6200000000000959E-4</v>
      </c>
    </row>
    <row r="664" spans="1:34" ht="15.75" thickBot="1" x14ac:dyDescent="0.3">
      <c r="A664" s="569" t="s">
        <v>2167</v>
      </c>
      <c r="B664" s="569" t="s">
        <v>1389</v>
      </c>
      <c r="C664" s="569" t="s">
        <v>1</v>
      </c>
      <c r="D664" s="574"/>
      <c r="E664" s="574"/>
      <c r="F664" s="569"/>
      <c r="G664" s="569"/>
      <c r="H664" s="569"/>
      <c r="I664" s="569"/>
      <c r="J664" s="574"/>
      <c r="K664" s="574"/>
      <c r="L664" s="569"/>
      <c r="M664" s="569"/>
      <c r="N664" s="569"/>
      <c r="O664" s="569"/>
      <c r="P664" s="574"/>
      <c r="Q664" s="574"/>
      <c r="R664" s="574"/>
      <c r="S664" s="574"/>
      <c r="T664" s="569"/>
      <c r="U664" s="569"/>
      <c r="V664" s="569"/>
      <c r="W664" s="569"/>
      <c r="X664" s="574"/>
      <c r="Y664" s="574"/>
      <c r="Z664" s="574"/>
      <c r="AA664" s="574"/>
      <c r="AB664" s="569"/>
      <c r="AC664" s="569"/>
      <c r="AD664" s="569"/>
      <c r="AE664" s="569"/>
      <c r="AF664">
        <v>664</v>
      </c>
      <c r="AG664" s="438" t="str">
        <f>IF(INDEX(D:AE,AF664,ADP!$AF$6)=0,"",INDEX(D:AE,AF664,ADP!$AF$6)+AH664)</f>
        <v/>
      </c>
      <c r="AH664">
        <f t="shared" si="10"/>
        <v>6.6300000000000961E-4</v>
      </c>
    </row>
    <row r="665" spans="1:34" ht="15.75" thickBot="1" x14ac:dyDescent="0.3">
      <c r="A665" s="569" t="s">
        <v>2524</v>
      </c>
      <c r="B665" s="569" t="s">
        <v>144</v>
      </c>
      <c r="C665" s="569" t="s">
        <v>11</v>
      </c>
      <c r="D665" s="574"/>
      <c r="E665" s="574"/>
      <c r="F665" s="574"/>
      <c r="G665" s="574"/>
      <c r="H665" s="574"/>
      <c r="I665" s="574"/>
      <c r="J665" s="574"/>
      <c r="K665" s="574"/>
      <c r="L665" s="574"/>
      <c r="M665" s="574"/>
      <c r="N665" s="574"/>
      <c r="O665" s="574"/>
      <c r="P665" s="574"/>
      <c r="Q665" s="574"/>
      <c r="R665" s="574"/>
      <c r="S665" s="574"/>
      <c r="T665" s="574"/>
      <c r="U665" s="574"/>
      <c r="V665" s="574"/>
      <c r="W665" s="574"/>
      <c r="X665" s="574"/>
      <c r="Y665" s="574"/>
      <c r="Z665" s="574"/>
      <c r="AA665" s="574"/>
      <c r="AB665" s="574"/>
      <c r="AC665" s="574"/>
      <c r="AD665" s="574"/>
      <c r="AE665" s="574"/>
      <c r="AF665">
        <v>665</v>
      </c>
      <c r="AG665" s="438" t="str">
        <f>IF(INDEX(D:AE,AF665,ADP!$AF$6)=0,"",INDEX(D:AE,AF665,ADP!$AF$6)+AH665)</f>
        <v/>
      </c>
      <c r="AH665">
        <f t="shared" si="10"/>
        <v>6.6400000000000963E-4</v>
      </c>
    </row>
    <row r="666" spans="1:34" ht="15.75" thickBot="1" x14ac:dyDescent="0.3">
      <c r="A666" s="569" t="s">
        <v>1104</v>
      </c>
      <c r="B666" s="569" t="s">
        <v>158</v>
      </c>
      <c r="C666" s="569" t="s">
        <v>6</v>
      </c>
      <c r="D666" s="569"/>
      <c r="E666" s="569"/>
      <c r="F666" s="569"/>
      <c r="G666" s="569"/>
      <c r="H666" s="569"/>
      <c r="I666" s="569"/>
      <c r="J666" s="569"/>
      <c r="K666" s="569"/>
      <c r="L666" s="569"/>
      <c r="M666" s="569"/>
      <c r="N666" s="569"/>
      <c r="O666" s="569"/>
      <c r="P666" s="569"/>
      <c r="Q666" s="569"/>
      <c r="R666" s="569"/>
      <c r="S666" s="569"/>
      <c r="T666" s="569"/>
      <c r="U666" s="569"/>
      <c r="V666" s="569"/>
      <c r="W666" s="569"/>
      <c r="X666" s="569"/>
      <c r="Y666" s="569"/>
      <c r="Z666" s="569"/>
      <c r="AA666" s="569"/>
      <c r="AB666" s="569"/>
      <c r="AC666" s="569"/>
      <c r="AD666" s="569"/>
      <c r="AE666" s="569"/>
      <c r="AF666">
        <v>666</v>
      </c>
      <c r="AG666" s="438" t="str">
        <f>IF(INDEX(D:AE,AF666,ADP!$AF$6)=0,"",INDEX(D:AE,AF666,ADP!$AF$6)+AH666)</f>
        <v/>
      </c>
      <c r="AH666">
        <f t="shared" si="10"/>
        <v>6.6500000000000966E-4</v>
      </c>
    </row>
    <row r="667" spans="1:34" ht="15.75" thickBot="1" x14ac:dyDescent="0.3">
      <c r="A667" s="569" t="s">
        <v>2525</v>
      </c>
      <c r="B667" s="569" t="s">
        <v>165</v>
      </c>
      <c r="C667" s="569" t="s">
        <v>7</v>
      </c>
      <c r="D667" s="569"/>
      <c r="E667" s="569"/>
      <c r="F667" s="569"/>
      <c r="G667" s="569"/>
      <c r="H667" s="569"/>
      <c r="I667" s="569"/>
      <c r="J667" s="569"/>
      <c r="K667" s="569"/>
      <c r="L667" s="569"/>
      <c r="M667" s="569"/>
      <c r="N667" s="569"/>
      <c r="O667" s="569"/>
      <c r="P667" s="569"/>
      <c r="Q667" s="569"/>
      <c r="R667" s="569"/>
      <c r="S667" s="569"/>
      <c r="T667" s="569"/>
      <c r="U667" s="569"/>
      <c r="V667" s="569"/>
      <c r="W667" s="569"/>
      <c r="X667" s="569"/>
      <c r="Y667" s="569"/>
      <c r="Z667" s="569"/>
      <c r="AA667" s="569"/>
      <c r="AB667" s="569"/>
      <c r="AC667" s="569"/>
      <c r="AD667" s="569"/>
      <c r="AE667" s="569"/>
      <c r="AF667">
        <v>667</v>
      </c>
      <c r="AG667" s="438" t="str">
        <f>IF(INDEX(D:AE,AF667,ADP!$AF$6)=0,"",INDEX(D:AE,AF667,ADP!$AF$6)+AH667)</f>
        <v/>
      </c>
      <c r="AH667">
        <f t="shared" si="10"/>
        <v>6.6600000000000968E-4</v>
      </c>
    </row>
    <row r="668" spans="1:34" ht="15.75" thickBot="1" x14ac:dyDescent="0.3">
      <c r="A668" s="569" t="s">
        <v>2290</v>
      </c>
      <c r="B668" s="569" t="s">
        <v>164</v>
      </c>
      <c r="C668" s="569" t="s">
        <v>3</v>
      </c>
      <c r="D668" s="569">
        <v>30</v>
      </c>
      <c r="E668" s="569">
        <v>3.9</v>
      </c>
      <c r="F668" s="569">
        <v>30.2</v>
      </c>
      <c r="G668" s="569">
        <v>3.6</v>
      </c>
      <c r="H668" s="569">
        <v>36.6</v>
      </c>
      <c r="I668" s="569">
        <v>5.4</v>
      </c>
      <c r="J668" s="569">
        <v>30</v>
      </c>
      <c r="K668" s="569">
        <v>3.9</v>
      </c>
      <c r="L668" s="569">
        <v>30.2</v>
      </c>
      <c r="M668" s="569">
        <v>3.6</v>
      </c>
      <c r="N668" s="569">
        <v>36.6</v>
      </c>
      <c r="O668" s="569">
        <v>5.4</v>
      </c>
      <c r="P668" s="569">
        <v>55.7</v>
      </c>
      <c r="Q668" s="569">
        <v>7.9</v>
      </c>
      <c r="R668" s="569">
        <v>30</v>
      </c>
      <c r="S668" s="569">
        <v>3.9</v>
      </c>
      <c r="T668" s="569">
        <v>30.2</v>
      </c>
      <c r="U668" s="569">
        <v>3.6</v>
      </c>
      <c r="V668" s="569">
        <v>36.6</v>
      </c>
      <c r="W668" s="569">
        <v>5.4</v>
      </c>
      <c r="X668" s="569">
        <v>55.7</v>
      </c>
      <c r="Y668" s="569">
        <v>7.9</v>
      </c>
      <c r="Z668" s="569">
        <v>30</v>
      </c>
      <c r="AA668" s="569">
        <v>3.9</v>
      </c>
      <c r="AB668" s="569">
        <v>30.2</v>
      </c>
      <c r="AC668" s="569">
        <v>3.6</v>
      </c>
      <c r="AD668" s="569">
        <v>36.6</v>
      </c>
      <c r="AE668" s="569">
        <v>36.6</v>
      </c>
      <c r="AF668">
        <v>668</v>
      </c>
      <c r="AG668" s="438">
        <f>IF(INDEX(D:AE,AF668,ADP!$AF$6)=0,"",INDEX(D:AE,AF668,ADP!$AF$6)+AH668)</f>
        <v>36.600667000000001</v>
      </c>
      <c r="AH668">
        <f t="shared" si="10"/>
        <v>6.6700000000000971E-4</v>
      </c>
    </row>
    <row r="669" spans="1:34" ht="15.75" thickBot="1" x14ac:dyDescent="0.3">
      <c r="A669" s="569" t="s">
        <v>2126</v>
      </c>
      <c r="B669" s="569" t="s">
        <v>166</v>
      </c>
      <c r="C669" s="569" t="s">
        <v>6</v>
      </c>
      <c r="D669" s="574"/>
      <c r="E669" s="574"/>
      <c r="F669" s="574"/>
      <c r="G669" s="574"/>
      <c r="H669" s="574"/>
      <c r="I669" s="574"/>
      <c r="J669" s="574"/>
      <c r="K669" s="574"/>
      <c r="L669" s="574"/>
      <c r="M669" s="574"/>
      <c r="N669" s="574"/>
      <c r="O669" s="574"/>
      <c r="P669" s="574"/>
      <c r="Q669" s="574"/>
      <c r="R669" s="574"/>
      <c r="S669" s="574"/>
      <c r="T669" s="574"/>
      <c r="U669" s="574"/>
      <c r="V669" s="574"/>
      <c r="W669" s="574"/>
      <c r="X669" s="574"/>
      <c r="Y669" s="574"/>
      <c r="Z669" s="574"/>
      <c r="AA669" s="574"/>
      <c r="AB669" s="574"/>
      <c r="AC669" s="574"/>
      <c r="AD669" s="574"/>
      <c r="AE669" s="574"/>
      <c r="AF669">
        <v>669</v>
      </c>
      <c r="AG669" s="438" t="str">
        <f>IF(INDEX(D:AE,AF669,ADP!$AF$6)=0,"",INDEX(D:AE,AF669,ADP!$AF$6)+AH669)</f>
        <v/>
      </c>
      <c r="AH669">
        <f t="shared" si="10"/>
        <v>6.6800000000000973E-4</v>
      </c>
    </row>
    <row r="670" spans="1:34" ht="15.75" thickBot="1" x14ac:dyDescent="0.3">
      <c r="A670" s="569" t="s">
        <v>1893</v>
      </c>
      <c r="B670" s="569" t="s">
        <v>138</v>
      </c>
      <c r="C670" s="569" t="s">
        <v>6</v>
      </c>
      <c r="D670" s="569"/>
      <c r="E670" s="569"/>
      <c r="F670" s="569"/>
      <c r="G670" s="569"/>
      <c r="H670" s="569"/>
      <c r="I670" s="569"/>
      <c r="J670" s="569"/>
      <c r="K670" s="569"/>
      <c r="L670" s="569"/>
      <c r="M670" s="569"/>
      <c r="N670" s="569"/>
      <c r="O670" s="569"/>
      <c r="P670" s="569"/>
      <c r="Q670" s="569"/>
      <c r="R670" s="569"/>
      <c r="S670" s="569"/>
      <c r="T670" s="569"/>
      <c r="U670" s="569"/>
      <c r="V670" s="569"/>
      <c r="W670" s="569"/>
      <c r="X670" s="569"/>
      <c r="Y670" s="569"/>
      <c r="Z670" s="569"/>
      <c r="AA670" s="569"/>
      <c r="AB670" s="569"/>
      <c r="AC670" s="569"/>
      <c r="AD670" s="569"/>
      <c r="AE670" s="569"/>
      <c r="AF670">
        <v>670</v>
      </c>
      <c r="AG670" s="438" t="str">
        <f>IF(INDEX(D:AE,AF670,ADP!$AF$6)=0,"",INDEX(D:AE,AF670,ADP!$AF$6)+AH670)</f>
        <v/>
      </c>
      <c r="AH670">
        <f t="shared" si="10"/>
        <v>6.6900000000000976E-4</v>
      </c>
    </row>
    <row r="671" spans="1:34" ht="15.75" thickBot="1" x14ac:dyDescent="0.3">
      <c r="A671" s="569" t="s">
        <v>1176</v>
      </c>
      <c r="B671" s="569" t="s">
        <v>165</v>
      </c>
      <c r="C671" s="569" t="s">
        <v>11</v>
      </c>
      <c r="D671" s="569">
        <v>170.7</v>
      </c>
      <c r="E671" s="569">
        <v>10.9</v>
      </c>
      <c r="F671" s="569">
        <v>159.80000000000001</v>
      </c>
      <c r="G671" s="569">
        <v>17.399999999999999</v>
      </c>
      <c r="H671" s="569">
        <v>160.80000000000001</v>
      </c>
      <c r="I671" s="569">
        <v>14</v>
      </c>
      <c r="J671" s="569">
        <v>170.7</v>
      </c>
      <c r="K671" s="569">
        <v>10.9</v>
      </c>
      <c r="L671" s="569">
        <v>159.80000000000001</v>
      </c>
      <c r="M671" s="569">
        <v>17.399999999999999</v>
      </c>
      <c r="N671" s="569">
        <v>160.80000000000001</v>
      </c>
      <c r="O671" s="569">
        <v>14</v>
      </c>
      <c r="P671" s="569"/>
      <c r="Q671" s="569"/>
      <c r="R671" s="569">
        <v>170.7</v>
      </c>
      <c r="S671" s="569">
        <v>10.9</v>
      </c>
      <c r="T671" s="569">
        <v>159.80000000000001</v>
      </c>
      <c r="U671" s="569">
        <v>17.399999999999999</v>
      </c>
      <c r="V671" s="569">
        <v>160.80000000000001</v>
      </c>
      <c r="W671" s="569">
        <v>14</v>
      </c>
      <c r="X671" s="569"/>
      <c r="Y671" s="569"/>
      <c r="Z671" s="569">
        <v>170.7</v>
      </c>
      <c r="AA671" s="569">
        <v>10.9</v>
      </c>
      <c r="AB671" s="569">
        <v>159.80000000000001</v>
      </c>
      <c r="AC671" s="569">
        <v>17.399999999999999</v>
      </c>
      <c r="AD671" s="569">
        <v>160.80000000000001</v>
      </c>
      <c r="AE671" s="569">
        <v>160.80000000000001</v>
      </c>
      <c r="AF671">
        <v>671</v>
      </c>
      <c r="AG671" s="438">
        <f>IF(INDEX(D:AE,AF671,ADP!$AF$6)=0,"",INDEX(D:AE,AF671,ADP!$AF$6)+AH671)</f>
        <v>160.80067000000003</v>
      </c>
      <c r="AH671">
        <f t="shared" si="10"/>
        <v>6.7000000000000978E-4</v>
      </c>
    </row>
    <row r="672" spans="1:34" ht="15.75" thickBot="1" x14ac:dyDescent="0.3">
      <c r="A672" s="569" t="s">
        <v>2527</v>
      </c>
      <c r="B672" s="569" t="s">
        <v>144</v>
      </c>
      <c r="C672" s="569" t="s">
        <v>6</v>
      </c>
      <c r="D672" s="574"/>
      <c r="E672" s="574"/>
      <c r="F672" s="574"/>
      <c r="G672" s="574"/>
      <c r="H672" s="574"/>
      <c r="I672" s="574"/>
      <c r="J672" s="574"/>
      <c r="K672" s="574"/>
      <c r="L672" s="574"/>
      <c r="M672" s="574"/>
      <c r="N672" s="574"/>
      <c r="O672" s="574"/>
      <c r="P672" s="574"/>
      <c r="Q672" s="574"/>
      <c r="R672" s="574"/>
      <c r="S672" s="574"/>
      <c r="T672" s="574"/>
      <c r="U672" s="574"/>
      <c r="V672" s="574"/>
      <c r="W672" s="574"/>
      <c r="X672" s="574"/>
      <c r="Y672" s="574"/>
      <c r="Z672" s="574"/>
      <c r="AA672" s="574"/>
      <c r="AB672" s="574"/>
      <c r="AC672" s="574"/>
      <c r="AD672" s="574"/>
      <c r="AE672" s="574"/>
      <c r="AF672">
        <v>672</v>
      </c>
      <c r="AG672" s="438" t="str">
        <f>IF(INDEX(D:AE,AF672,ADP!$AF$6)=0,"",INDEX(D:AE,AF672,ADP!$AF$6)+AH672)</f>
        <v/>
      </c>
      <c r="AH672">
        <f t="shared" si="10"/>
        <v>6.710000000000098E-4</v>
      </c>
    </row>
    <row r="673" spans="1:34" ht="15.75" thickBot="1" x14ac:dyDescent="0.3">
      <c r="A673" s="569" t="s">
        <v>980</v>
      </c>
      <c r="B673" s="569" t="s">
        <v>2073</v>
      </c>
      <c r="C673" s="569" t="s">
        <v>3</v>
      </c>
      <c r="D673" s="569"/>
      <c r="E673" s="569"/>
      <c r="F673" s="569"/>
      <c r="G673" s="569"/>
      <c r="H673" s="569"/>
      <c r="I673" s="569"/>
      <c r="J673" s="569"/>
      <c r="K673" s="569"/>
      <c r="L673" s="569"/>
      <c r="M673" s="569"/>
      <c r="N673" s="569"/>
      <c r="O673" s="569"/>
      <c r="P673" s="569"/>
      <c r="Q673" s="569"/>
      <c r="R673" s="569"/>
      <c r="S673" s="569"/>
      <c r="T673" s="569"/>
      <c r="U673" s="569"/>
      <c r="V673" s="569"/>
      <c r="W673" s="569"/>
      <c r="X673" s="569"/>
      <c r="Y673" s="569"/>
      <c r="Z673" s="569"/>
      <c r="AA673" s="569"/>
      <c r="AB673" s="569"/>
      <c r="AC673" s="569"/>
      <c r="AD673" s="569"/>
      <c r="AE673" s="569"/>
      <c r="AF673">
        <v>673</v>
      </c>
      <c r="AG673" s="438" t="str">
        <f>IF(INDEX(D:AE,AF673,ADP!$AF$6)=0,"",INDEX(D:AE,AF673,ADP!$AF$6)+AH673)</f>
        <v/>
      </c>
      <c r="AH673">
        <f t="shared" si="10"/>
        <v>6.7200000000000983E-4</v>
      </c>
    </row>
    <row r="674" spans="1:34" ht="15.75" thickBot="1" x14ac:dyDescent="0.3">
      <c r="A674" s="569" t="s">
        <v>2562</v>
      </c>
      <c r="B674" s="569" t="s">
        <v>146</v>
      </c>
      <c r="C674" s="569" t="s">
        <v>11</v>
      </c>
      <c r="D674" s="569"/>
      <c r="E674" s="569"/>
      <c r="F674" s="569"/>
      <c r="G674" s="569"/>
      <c r="H674" s="569"/>
      <c r="I674" s="569"/>
      <c r="J674" s="569"/>
      <c r="K674" s="569"/>
      <c r="L674" s="569"/>
      <c r="M674" s="569"/>
      <c r="N674" s="569"/>
      <c r="O674" s="569"/>
      <c r="P674" s="569"/>
      <c r="Q674" s="569"/>
      <c r="R674" s="569"/>
      <c r="S674" s="569"/>
      <c r="T674" s="569"/>
      <c r="U674" s="569"/>
      <c r="V674" s="569"/>
      <c r="W674" s="569"/>
      <c r="X674" s="569"/>
      <c r="Y674" s="569"/>
      <c r="Z674" s="569"/>
      <c r="AA674" s="569"/>
      <c r="AB674" s="569"/>
      <c r="AC674" s="569"/>
      <c r="AD674" s="569"/>
      <c r="AE674" s="569"/>
      <c r="AF674">
        <v>674</v>
      </c>
      <c r="AG674" s="438" t="str">
        <f>IF(INDEX(D:AE,AF674,ADP!$AF$6)=0,"",INDEX(D:AE,AF674,ADP!$AF$6)+AH674)</f>
        <v/>
      </c>
      <c r="AH674">
        <f t="shared" si="10"/>
        <v>6.7300000000000985E-4</v>
      </c>
    </row>
    <row r="675" spans="1:34" ht="15.75" thickBot="1" x14ac:dyDescent="0.3">
      <c r="A675" s="569" t="s">
        <v>2087</v>
      </c>
      <c r="B675" s="569" t="s">
        <v>155</v>
      </c>
      <c r="C675" s="569" t="s">
        <v>6</v>
      </c>
      <c r="D675" s="569">
        <v>68</v>
      </c>
      <c r="E675" s="569">
        <v>6.2</v>
      </c>
      <c r="F675" s="569">
        <v>58.5</v>
      </c>
      <c r="G675" s="569">
        <v>5.4</v>
      </c>
      <c r="H675" s="569">
        <v>57.4</v>
      </c>
      <c r="I675" s="569">
        <v>5.7</v>
      </c>
      <c r="J675" s="569">
        <v>68</v>
      </c>
      <c r="K675" s="569">
        <v>6.2</v>
      </c>
      <c r="L675" s="569">
        <v>58.5</v>
      </c>
      <c r="M675" s="569">
        <v>5.4</v>
      </c>
      <c r="N675" s="569">
        <v>57.4</v>
      </c>
      <c r="O675" s="569">
        <v>5.7</v>
      </c>
      <c r="P675" s="569">
        <v>88.2</v>
      </c>
      <c r="Q675" s="569">
        <v>8.1999999999999993</v>
      </c>
      <c r="R675" s="569">
        <v>68</v>
      </c>
      <c r="S675" s="569">
        <v>6.2</v>
      </c>
      <c r="T675" s="569">
        <v>58.5</v>
      </c>
      <c r="U675" s="569">
        <v>5.4</v>
      </c>
      <c r="V675" s="569">
        <v>57.4</v>
      </c>
      <c r="W675" s="569">
        <v>5.7</v>
      </c>
      <c r="X675" s="569">
        <v>88.2</v>
      </c>
      <c r="Y675" s="569">
        <v>8.1999999999999993</v>
      </c>
      <c r="Z675" s="569">
        <v>68</v>
      </c>
      <c r="AA675" s="569">
        <v>6.2</v>
      </c>
      <c r="AB675" s="569">
        <v>58.5</v>
      </c>
      <c r="AC675" s="569">
        <v>5.4</v>
      </c>
      <c r="AD675" s="569">
        <v>57.4</v>
      </c>
      <c r="AE675" s="569">
        <v>57.4</v>
      </c>
      <c r="AF675">
        <v>675</v>
      </c>
      <c r="AG675" s="438">
        <f>IF(INDEX(D:AE,AF675,ADP!$AF$6)=0,"",INDEX(D:AE,AF675,ADP!$AF$6)+AH675)</f>
        <v>57.400673999999995</v>
      </c>
      <c r="AH675">
        <f t="shared" si="10"/>
        <v>6.7400000000000988E-4</v>
      </c>
    </row>
    <row r="676" spans="1:34" ht="15.75" thickBot="1" x14ac:dyDescent="0.3">
      <c r="A676" s="569" t="s">
        <v>107</v>
      </c>
      <c r="B676" s="569" t="s">
        <v>146</v>
      </c>
      <c r="C676" s="569" t="s">
        <v>6</v>
      </c>
      <c r="D676" s="569">
        <v>104.3</v>
      </c>
      <c r="E676" s="569">
        <v>7.2</v>
      </c>
      <c r="F676" s="569">
        <v>91.2</v>
      </c>
      <c r="G676" s="569">
        <v>5.9</v>
      </c>
      <c r="H676" s="569">
        <v>85</v>
      </c>
      <c r="I676" s="569">
        <v>6.6</v>
      </c>
      <c r="J676" s="569">
        <v>104.3</v>
      </c>
      <c r="K676" s="569">
        <v>7.2</v>
      </c>
      <c r="L676" s="569">
        <v>91.2</v>
      </c>
      <c r="M676" s="569">
        <v>5.9</v>
      </c>
      <c r="N676" s="569">
        <v>85</v>
      </c>
      <c r="O676" s="569">
        <v>6.6</v>
      </c>
      <c r="P676" s="569">
        <v>94.2</v>
      </c>
      <c r="Q676" s="569">
        <v>8.5</v>
      </c>
      <c r="R676" s="569">
        <v>104.3</v>
      </c>
      <c r="S676" s="569">
        <v>7.2</v>
      </c>
      <c r="T676" s="569">
        <v>91.2</v>
      </c>
      <c r="U676" s="569">
        <v>5.9</v>
      </c>
      <c r="V676" s="569">
        <v>85</v>
      </c>
      <c r="W676" s="569">
        <v>6.6</v>
      </c>
      <c r="X676" s="569">
        <v>94.2</v>
      </c>
      <c r="Y676" s="569">
        <v>8.5</v>
      </c>
      <c r="Z676" s="569">
        <v>104.3</v>
      </c>
      <c r="AA676" s="569">
        <v>7.2</v>
      </c>
      <c r="AB676" s="569">
        <v>91.2</v>
      </c>
      <c r="AC676" s="569">
        <v>5.9</v>
      </c>
      <c r="AD676" s="569">
        <v>85</v>
      </c>
      <c r="AE676" s="569">
        <v>85</v>
      </c>
      <c r="AF676">
        <v>676</v>
      </c>
      <c r="AG676" s="438">
        <f>IF(INDEX(D:AE,AF676,ADP!$AF$6)=0,"",INDEX(D:AE,AF676,ADP!$AF$6)+AH676)</f>
        <v>85.000675000000001</v>
      </c>
      <c r="AH676">
        <f t="shared" si="10"/>
        <v>6.750000000000099E-4</v>
      </c>
    </row>
    <row r="677" spans="1:34" ht="15.75" thickBot="1" x14ac:dyDescent="0.3">
      <c r="A677" s="569" t="s">
        <v>1780</v>
      </c>
      <c r="B677" s="569" t="s">
        <v>137</v>
      </c>
      <c r="C677" s="569" t="s">
        <v>3</v>
      </c>
      <c r="D677" s="569"/>
      <c r="E677" s="569"/>
      <c r="F677" s="569"/>
      <c r="G677" s="569"/>
      <c r="H677" s="569"/>
      <c r="I677" s="569"/>
      <c r="J677" s="569"/>
      <c r="K677" s="569"/>
      <c r="L677" s="569"/>
      <c r="M677" s="569"/>
      <c r="N677" s="569"/>
      <c r="O677" s="569"/>
      <c r="P677" s="569"/>
      <c r="Q677" s="569"/>
      <c r="R677" s="569"/>
      <c r="S677" s="569"/>
      <c r="T677" s="569"/>
      <c r="U677" s="569"/>
      <c r="V677" s="569"/>
      <c r="W677" s="569"/>
      <c r="X677" s="569"/>
      <c r="Y677" s="569"/>
      <c r="Z677" s="569"/>
      <c r="AA677" s="569"/>
      <c r="AB677" s="569"/>
      <c r="AC677" s="569"/>
      <c r="AD677" s="569"/>
      <c r="AE677" s="569"/>
      <c r="AF677">
        <v>677</v>
      </c>
      <c r="AG677" s="438" t="str">
        <f>IF(INDEX(D:AE,AF677,ADP!$AF$6)=0,"",INDEX(D:AE,AF677,ADP!$AF$6)+AH677)</f>
        <v/>
      </c>
      <c r="AH677">
        <f t="shared" si="10"/>
        <v>6.7600000000000993E-4</v>
      </c>
    </row>
    <row r="678" spans="1:34" ht="15.75" thickBot="1" x14ac:dyDescent="0.3">
      <c r="A678" s="569" t="s">
        <v>2352</v>
      </c>
      <c r="B678" s="569" t="s">
        <v>139</v>
      </c>
      <c r="C678" s="569" t="s">
        <v>6</v>
      </c>
      <c r="D678" s="569"/>
      <c r="E678" s="569"/>
      <c r="F678" s="569"/>
      <c r="G678" s="569"/>
      <c r="H678" s="569"/>
      <c r="I678" s="569"/>
      <c r="J678" s="569"/>
      <c r="K678" s="569"/>
      <c r="L678" s="569"/>
      <c r="M678" s="569"/>
      <c r="N678" s="569"/>
      <c r="O678" s="569"/>
      <c r="P678" s="569"/>
      <c r="Q678" s="569"/>
      <c r="R678" s="569"/>
      <c r="S678" s="569"/>
      <c r="T678" s="569"/>
      <c r="U678" s="569"/>
      <c r="V678" s="569"/>
      <c r="W678" s="569"/>
      <c r="X678" s="569"/>
      <c r="Y678" s="569"/>
      <c r="Z678" s="569"/>
      <c r="AA678" s="569"/>
      <c r="AB678" s="569"/>
      <c r="AC678" s="569"/>
      <c r="AD678" s="569"/>
      <c r="AE678" s="569"/>
      <c r="AF678">
        <v>678</v>
      </c>
      <c r="AG678" s="438" t="str">
        <f>IF(INDEX(D:AE,AF678,ADP!$AF$6)=0,"",INDEX(D:AE,AF678,ADP!$AF$6)+AH678)</f>
        <v/>
      </c>
      <c r="AH678">
        <f t="shared" si="10"/>
        <v>6.7700000000000995E-4</v>
      </c>
    </row>
    <row r="679" spans="1:34" ht="15.75" thickBot="1" x14ac:dyDescent="0.3">
      <c r="A679" s="569" t="s">
        <v>2246</v>
      </c>
      <c r="B679" s="569" t="s">
        <v>136</v>
      </c>
      <c r="C679" s="569" t="s">
        <v>7</v>
      </c>
      <c r="D679" s="569"/>
      <c r="E679" s="569"/>
      <c r="F679" s="569"/>
      <c r="G679" s="569"/>
      <c r="H679" s="569"/>
      <c r="I679" s="569"/>
      <c r="J679" s="569"/>
      <c r="K679" s="569"/>
      <c r="L679" s="569"/>
      <c r="M679" s="569"/>
      <c r="N679" s="569"/>
      <c r="O679" s="569"/>
      <c r="P679" s="569"/>
      <c r="Q679" s="569"/>
      <c r="R679" s="569"/>
      <c r="S679" s="569"/>
      <c r="T679" s="569"/>
      <c r="U679" s="569"/>
      <c r="V679" s="569"/>
      <c r="W679" s="569"/>
      <c r="X679" s="569"/>
      <c r="Y679" s="569"/>
      <c r="Z679" s="569"/>
      <c r="AA679" s="569"/>
      <c r="AB679" s="569"/>
      <c r="AC679" s="569"/>
      <c r="AD679" s="569"/>
      <c r="AE679" s="569"/>
      <c r="AF679">
        <v>679</v>
      </c>
      <c r="AG679" s="438" t="str">
        <f>IF(INDEX(D:AE,AF679,ADP!$AF$6)=0,"",INDEX(D:AE,AF679,ADP!$AF$6)+AH679)</f>
        <v/>
      </c>
      <c r="AH679">
        <f t="shared" si="10"/>
        <v>6.7800000000000997E-4</v>
      </c>
    </row>
    <row r="680" spans="1:34" ht="15.75" thickBot="1" x14ac:dyDescent="0.3">
      <c r="A680" s="569" t="s">
        <v>179</v>
      </c>
      <c r="B680" s="569" t="s">
        <v>136</v>
      </c>
      <c r="C680" s="569" t="s">
        <v>1</v>
      </c>
      <c r="D680" s="569"/>
      <c r="E680" s="569"/>
      <c r="F680" s="569"/>
      <c r="G680" s="569"/>
      <c r="H680" s="569"/>
      <c r="I680" s="569"/>
      <c r="J680" s="569"/>
      <c r="K680" s="569"/>
      <c r="L680" s="569"/>
      <c r="M680" s="569"/>
      <c r="N680" s="569"/>
      <c r="O680" s="569"/>
      <c r="P680" s="569"/>
      <c r="Q680" s="569"/>
      <c r="R680" s="569"/>
      <c r="S680" s="569"/>
      <c r="T680" s="569"/>
      <c r="U680" s="569"/>
      <c r="V680" s="569"/>
      <c r="W680" s="569"/>
      <c r="X680" s="569"/>
      <c r="Y680" s="569"/>
      <c r="Z680" s="569"/>
      <c r="AA680" s="569"/>
      <c r="AB680" s="569"/>
      <c r="AC680" s="569"/>
      <c r="AD680" s="569"/>
      <c r="AE680" s="569"/>
      <c r="AF680">
        <v>680</v>
      </c>
      <c r="AG680" s="438" t="str">
        <f>IF(INDEX(D:AE,AF680,ADP!$AF$6)=0,"",INDEX(D:AE,AF680,ADP!$AF$6)+AH680)</f>
        <v/>
      </c>
      <c r="AH680">
        <f t="shared" si="10"/>
        <v>6.7900000000001E-4</v>
      </c>
    </row>
    <row r="681" spans="1:34" ht="15.75" thickBot="1" x14ac:dyDescent="0.3">
      <c r="A681" s="569" t="s">
        <v>2528</v>
      </c>
      <c r="B681" s="569" t="s">
        <v>148</v>
      </c>
      <c r="C681" s="569" t="s">
        <v>3</v>
      </c>
      <c r="D681" s="569">
        <v>5.5</v>
      </c>
      <c r="E681" s="569">
        <v>1.8</v>
      </c>
      <c r="F681" s="569">
        <v>7.1</v>
      </c>
      <c r="G681" s="569">
        <v>2.2999999999999998</v>
      </c>
      <c r="H681" s="569">
        <v>9.3000000000000007</v>
      </c>
      <c r="I681" s="569">
        <v>2.7</v>
      </c>
      <c r="J681" s="569">
        <v>5.5</v>
      </c>
      <c r="K681" s="569">
        <v>1.8</v>
      </c>
      <c r="L681" s="569">
        <v>7.1</v>
      </c>
      <c r="M681" s="569">
        <v>2.2999999999999998</v>
      </c>
      <c r="N681" s="569">
        <v>9.3000000000000007</v>
      </c>
      <c r="O681" s="569">
        <v>2.7</v>
      </c>
      <c r="P681" s="569">
        <v>19.7</v>
      </c>
      <c r="Q681" s="569">
        <v>10.9</v>
      </c>
      <c r="R681" s="569">
        <v>5.5</v>
      </c>
      <c r="S681" s="569">
        <v>1.8</v>
      </c>
      <c r="T681" s="569">
        <v>7.1</v>
      </c>
      <c r="U681" s="569">
        <v>2.2999999999999998</v>
      </c>
      <c r="V681" s="569">
        <v>9.3000000000000007</v>
      </c>
      <c r="W681" s="569">
        <v>2.7</v>
      </c>
      <c r="X681" s="569">
        <v>19.7</v>
      </c>
      <c r="Y681" s="569">
        <v>10.9</v>
      </c>
      <c r="Z681" s="569">
        <v>5.5</v>
      </c>
      <c r="AA681" s="569">
        <v>1.8</v>
      </c>
      <c r="AB681" s="569">
        <v>7.1</v>
      </c>
      <c r="AC681" s="569">
        <v>2.2999999999999998</v>
      </c>
      <c r="AD681" s="569">
        <v>9.3000000000000007</v>
      </c>
      <c r="AE681" s="569">
        <v>9.3000000000000007</v>
      </c>
      <c r="AF681">
        <v>681</v>
      </c>
      <c r="AG681" s="438">
        <f>IF(INDEX(D:AE,AF681,ADP!$AF$6)=0,"",INDEX(D:AE,AF681,ADP!$AF$6)+AH681)</f>
        <v>9.3006799999999998</v>
      </c>
      <c r="AH681">
        <f t="shared" si="10"/>
        <v>6.8000000000001002E-4</v>
      </c>
    </row>
    <row r="682" spans="1:34" ht="15.75" thickBot="1" x14ac:dyDescent="0.3">
      <c r="A682" s="569" t="s">
        <v>2339</v>
      </c>
      <c r="B682" s="569" t="s">
        <v>1389</v>
      </c>
      <c r="C682" s="569" t="s">
        <v>6</v>
      </c>
      <c r="D682" s="569"/>
      <c r="E682" s="569"/>
      <c r="F682" s="569"/>
      <c r="G682" s="569"/>
      <c r="H682" s="569"/>
      <c r="I682" s="569"/>
      <c r="J682" s="569"/>
      <c r="K682" s="569"/>
      <c r="L682" s="569"/>
      <c r="M682" s="569"/>
      <c r="N682" s="569"/>
      <c r="O682" s="569"/>
      <c r="P682" s="569"/>
      <c r="Q682" s="569"/>
      <c r="R682" s="569"/>
      <c r="S682" s="569"/>
      <c r="T682" s="569"/>
      <c r="U682" s="569"/>
      <c r="V682" s="569"/>
      <c r="W682" s="569"/>
      <c r="X682" s="569"/>
      <c r="Y682" s="569"/>
      <c r="Z682" s="569"/>
      <c r="AA682" s="569"/>
      <c r="AB682" s="569"/>
      <c r="AC682" s="569"/>
      <c r="AD682" s="569"/>
      <c r="AE682" s="569"/>
      <c r="AF682">
        <v>682</v>
      </c>
      <c r="AG682" s="438" t="str">
        <f>IF(INDEX(D:AE,AF682,ADP!$AF$6)=0,"",INDEX(D:AE,AF682,ADP!$AF$6)+AH682)</f>
        <v/>
      </c>
      <c r="AH682">
        <f t="shared" si="10"/>
        <v>6.8100000000001005E-4</v>
      </c>
    </row>
    <row r="683" spans="1:34" ht="15.75" thickBot="1" x14ac:dyDescent="0.3">
      <c r="A683" s="569" t="s">
        <v>2529</v>
      </c>
      <c r="B683" s="569" t="s">
        <v>162</v>
      </c>
      <c r="C683" s="569" t="s">
        <v>7</v>
      </c>
      <c r="D683" s="574"/>
      <c r="E683" s="574"/>
      <c r="F683" s="574"/>
      <c r="G683" s="574"/>
      <c r="H683" s="574"/>
      <c r="I683" s="574"/>
      <c r="J683" s="574"/>
      <c r="K683" s="574"/>
      <c r="L683" s="574"/>
      <c r="M683" s="574"/>
      <c r="N683" s="574"/>
      <c r="O683" s="574"/>
      <c r="P683" s="574"/>
      <c r="Q683" s="574"/>
      <c r="R683" s="574"/>
      <c r="S683" s="574"/>
      <c r="T683" s="574"/>
      <c r="U683" s="574"/>
      <c r="V683" s="574"/>
      <c r="W683" s="574"/>
      <c r="X683" s="574"/>
      <c r="Y683" s="574"/>
      <c r="Z683" s="574"/>
      <c r="AA683" s="574"/>
      <c r="AB683" s="574"/>
      <c r="AC683" s="574"/>
      <c r="AD683" s="574"/>
      <c r="AE683" s="574"/>
      <c r="AF683">
        <v>683</v>
      </c>
      <c r="AG683" s="438" t="str">
        <f>IF(INDEX(D:AE,AF683,ADP!$AF$6)=0,"",INDEX(D:AE,AF683,ADP!$AF$6)+AH683)</f>
        <v/>
      </c>
      <c r="AH683">
        <f t="shared" si="10"/>
        <v>6.8200000000001007E-4</v>
      </c>
    </row>
    <row r="684" spans="1:34" ht="15.75" thickBot="1" x14ac:dyDescent="0.3">
      <c r="A684" s="569" t="s">
        <v>162</v>
      </c>
      <c r="B684" s="569" t="s">
        <v>162</v>
      </c>
      <c r="C684" s="569" t="s">
        <v>160</v>
      </c>
      <c r="D684" s="569">
        <v>143.19999999999999</v>
      </c>
      <c r="E684" s="569">
        <v>20.9</v>
      </c>
      <c r="F684" s="569">
        <v>153.80000000000001</v>
      </c>
      <c r="G684" s="569">
        <v>18.399999999999999</v>
      </c>
      <c r="H684" s="569">
        <v>152.9</v>
      </c>
      <c r="I684" s="569">
        <v>15.4</v>
      </c>
      <c r="J684" s="569">
        <v>143.19999999999999</v>
      </c>
      <c r="K684" s="569">
        <v>20.9</v>
      </c>
      <c r="L684" s="569">
        <v>153.80000000000001</v>
      </c>
      <c r="M684" s="569">
        <v>18.399999999999999</v>
      </c>
      <c r="N684" s="569">
        <v>152.9</v>
      </c>
      <c r="O684" s="569">
        <v>15.4</v>
      </c>
      <c r="P684" s="569">
        <v>153.80000000000001</v>
      </c>
      <c r="Q684" s="569">
        <v>14.7</v>
      </c>
      <c r="R684" s="569">
        <v>143.19999999999999</v>
      </c>
      <c r="S684" s="569">
        <v>20.9</v>
      </c>
      <c r="T684" s="569">
        <v>153.80000000000001</v>
      </c>
      <c r="U684" s="569">
        <v>18.399999999999999</v>
      </c>
      <c r="V684" s="569">
        <v>152.9</v>
      </c>
      <c r="W684" s="569">
        <v>15.4</v>
      </c>
      <c r="X684" s="569">
        <v>153.80000000000001</v>
      </c>
      <c r="Y684" s="569">
        <v>14.7</v>
      </c>
      <c r="Z684" s="569">
        <v>143.19999999999999</v>
      </c>
      <c r="AA684" s="569">
        <v>20.9</v>
      </c>
      <c r="AB684" s="569">
        <v>153.80000000000001</v>
      </c>
      <c r="AC684" s="569">
        <v>18.399999999999999</v>
      </c>
      <c r="AD684" s="569">
        <v>152.9</v>
      </c>
      <c r="AE684" s="569">
        <v>152.9</v>
      </c>
      <c r="AF684">
        <v>684</v>
      </c>
      <c r="AG684" s="438">
        <f>IF(INDEX(D:AE,AF684,ADP!$AF$6)=0,"",INDEX(D:AE,AF684,ADP!$AF$6)+AH684)</f>
        <v>152.90068300000001</v>
      </c>
      <c r="AH684">
        <f t="shared" si="10"/>
        <v>6.830000000000101E-4</v>
      </c>
    </row>
    <row r="685" spans="1:34" ht="15.75" thickBot="1" x14ac:dyDescent="0.3">
      <c r="A685" s="569" t="s">
        <v>1763</v>
      </c>
      <c r="B685" s="569" t="s">
        <v>149</v>
      </c>
      <c r="C685" s="569" t="s">
        <v>1</v>
      </c>
      <c r="D685" s="569"/>
      <c r="E685" s="569"/>
      <c r="F685" s="569"/>
      <c r="G685" s="569"/>
      <c r="H685" s="569"/>
      <c r="I685" s="569"/>
      <c r="J685" s="569"/>
      <c r="K685" s="569"/>
      <c r="L685" s="569"/>
      <c r="M685" s="569"/>
      <c r="N685" s="569"/>
      <c r="O685" s="569"/>
      <c r="P685" s="569">
        <v>119.2</v>
      </c>
      <c r="Q685" s="569">
        <v>15.7</v>
      </c>
      <c r="R685" s="569"/>
      <c r="S685" s="569"/>
      <c r="T685" s="569"/>
      <c r="U685" s="569"/>
      <c r="V685" s="569"/>
      <c r="W685" s="569"/>
      <c r="X685" s="569">
        <v>119.2</v>
      </c>
      <c r="Y685" s="569">
        <v>15.7</v>
      </c>
      <c r="Z685" s="569"/>
      <c r="AA685" s="569"/>
      <c r="AB685" s="569"/>
      <c r="AC685" s="569"/>
      <c r="AD685" s="569"/>
      <c r="AE685" s="569"/>
      <c r="AF685">
        <v>685</v>
      </c>
      <c r="AG685" s="438" t="str">
        <f>IF(INDEX(D:AE,AF685,ADP!$AF$6)=0,"",INDEX(D:AE,AF685,ADP!$AF$6)+AH685)</f>
        <v/>
      </c>
      <c r="AH685">
        <f t="shared" si="10"/>
        <v>6.8400000000001012E-4</v>
      </c>
    </row>
    <row r="686" spans="1:34" ht="15.75" thickBot="1" x14ac:dyDescent="0.3">
      <c r="A686" s="569" t="s">
        <v>2530</v>
      </c>
      <c r="B686" s="569" t="s">
        <v>157</v>
      </c>
      <c r="C686" s="569" t="s">
        <v>1</v>
      </c>
      <c r="D686" s="569"/>
      <c r="E686" s="569"/>
      <c r="F686" s="569"/>
      <c r="G686" s="569"/>
      <c r="H686" s="569"/>
      <c r="I686" s="569"/>
      <c r="J686" s="569"/>
      <c r="K686" s="569"/>
      <c r="L686" s="569"/>
      <c r="M686" s="569"/>
      <c r="N686" s="569"/>
      <c r="O686" s="569"/>
      <c r="P686" s="569"/>
      <c r="Q686" s="569"/>
      <c r="R686" s="569"/>
      <c r="S686" s="569"/>
      <c r="T686" s="569"/>
      <c r="U686" s="569"/>
      <c r="V686" s="569"/>
      <c r="W686" s="569"/>
      <c r="X686" s="569"/>
      <c r="Y686" s="569"/>
      <c r="Z686" s="569"/>
      <c r="AA686" s="569"/>
      <c r="AB686" s="569"/>
      <c r="AC686" s="569"/>
      <c r="AD686" s="569"/>
      <c r="AE686" s="569"/>
      <c r="AF686">
        <v>686</v>
      </c>
      <c r="AG686" s="438" t="str">
        <f>IF(INDEX(D:AE,AF686,ADP!$AF$6)=0,"",INDEX(D:AE,AF686,ADP!$AF$6)+AH686)</f>
        <v/>
      </c>
      <c r="AH686">
        <f t="shared" si="10"/>
        <v>6.8500000000001015E-4</v>
      </c>
    </row>
    <row r="687" spans="1:34" ht="15.75" thickBot="1" x14ac:dyDescent="0.3">
      <c r="A687" s="569" t="s">
        <v>2272</v>
      </c>
      <c r="B687" s="569" t="s">
        <v>2272</v>
      </c>
      <c r="C687" s="569" t="s">
        <v>160</v>
      </c>
      <c r="D687" s="574"/>
      <c r="E687" s="574"/>
      <c r="F687" s="574"/>
      <c r="G687" s="574"/>
      <c r="H687" s="574"/>
      <c r="I687" s="574"/>
      <c r="J687" s="574"/>
      <c r="K687" s="574"/>
      <c r="L687" s="574"/>
      <c r="M687" s="574"/>
      <c r="N687" s="574"/>
      <c r="O687" s="574"/>
      <c r="P687" s="574"/>
      <c r="Q687" s="574"/>
      <c r="R687" s="574"/>
      <c r="S687" s="574"/>
      <c r="T687" s="574"/>
      <c r="U687" s="574"/>
      <c r="V687" s="574"/>
      <c r="W687" s="574"/>
      <c r="X687" s="574"/>
      <c r="Y687" s="574"/>
      <c r="Z687" s="574"/>
      <c r="AA687" s="574"/>
      <c r="AB687" s="574"/>
      <c r="AC687" s="574"/>
      <c r="AD687" s="574"/>
      <c r="AE687" s="574"/>
      <c r="AF687">
        <v>687</v>
      </c>
      <c r="AG687" s="438" t="str">
        <f>IF(INDEX(D:AE,AF687,ADP!$AF$6)=0,"",INDEX(D:AE,AF687,ADP!$AF$6)+AH687)</f>
        <v/>
      </c>
      <c r="AH687">
        <f t="shared" si="10"/>
        <v>6.8600000000001017E-4</v>
      </c>
    </row>
    <row r="688" spans="1:34" ht="15.75" thickBot="1" x14ac:dyDescent="0.3">
      <c r="A688" s="569" t="s">
        <v>2531</v>
      </c>
      <c r="B688" s="569" t="s">
        <v>148</v>
      </c>
      <c r="C688" s="569" t="s">
        <v>3</v>
      </c>
      <c r="D688" s="574"/>
      <c r="E688" s="574"/>
      <c r="F688" s="574"/>
      <c r="G688" s="574"/>
      <c r="H688" s="574"/>
      <c r="I688" s="574"/>
      <c r="J688" s="574"/>
      <c r="K688" s="574"/>
      <c r="L688" s="574"/>
      <c r="M688" s="574"/>
      <c r="N688" s="574"/>
      <c r="O688" s="574"/>
      <c r="P688" s="574"/>
      <c r="Q688" s="574"/>
      <c r="R688" s="574"/>
      <c r="S688" s="574"/>
      <c r="T688" s="574"/>
      <c r="U688" s="574"/>
      <c r="V688" s="574"/>
      <c r="W688" s="574"/>
      <c r="X688" s="574"/>
      <c r="Y688" s="574"/>
      <c r="Z688" s="574"/>
      <c r="AA688" s="574"/>
      <c r="AB688" s="574"/>
      <c r="AC688" s="574"/>
      <c r="AD688" s="574"/>
      <c r="AE688" s="574"/>
      <c r="AF688">
        <v>688</v>
      </c>
      <c r="AG688" s="438" t="str">
        <f>IF(INDEX(D:AE,AF688,ADP!$AF$6)=0,"",INDEX(D:AE,AF688,ADP!$AF$6)+AH688)</f>
        <v/>
      </c>
      <c r="AH688">
        <f t="shared" si="10"/>
        <v>6.8700000000001019E-4</v>
      </c>
    </row>
    <row r="689" spans="1:34" ht="15.75" thickBot="1" x14ac:dyDescent="0.3">
      <c r="A689" s="569" t="s">
        <v>2532</v>
      </c>
      <c r="B689" s="569" t="s">
        <v>1389</v>
      </c>
      <c r="C689" s="569" t="s">
        <v>6</v>
      </c>
      <c r="D689" s="569"/>
      <c r="E689" s="569"/>
      <c r="F689" s="574"/>
      <c r="G689" s="574"/>
      <c r="H689" s="574"/>
      <c r="I689" s="574"/>
      <c r="J689" s="569"/>
      <c r="K689" s="569"/>
      <c r="L689" s="574"/>
      <c r="M689" s="574"/>
      <c r="N689" s="574"/>
      <c r="O689" s="574"/>
      <c r="P689" s="569"/>
      <c r="Q689" s="569"/>
      <c r="R689" s="569"/>
      <c r="S689" s="569"/>
      <c r="T689" s="574"/>
      <c r="U689" s="574"/>
      <c r="V689" s="574"/>
      <c r="W689" s="574"/>
      <c r="X689" s="569"/>
      <c r="Y689" s="569"/>
      <c r="Z689" s="569"/>
      <c r="AA689" s="569"/>
      <c r="AB689" s="574"/>
      <c r="AC689" s="574"/>
      <c r="AD689" s="574"/>
      <c r="AE689" s="574"/>
      <c r="AF689">
        <v>689</v>
      </c>
      <c r="AG689" s="438" t="str">
        <f>IF(INDEX(D:AE,AF689,ADP!$AF$6)=0,"",INDEX(D:AE,AF689,ADP!$AF$6)+AH689)</f>
        <v/>
      </c>
      <c r="AH689">
        <f t="shared" si="10"/>
        <v>6.8800000000001022E-4</v>
      </c>
    </row>
    <row r="690" spans="1:34" ht="15.75" thickBot="1" x14ac:dyDescent="0.3">
      <c r="A690" s="569" t="s">
        <v>1205</v>
      </c>
      <c r="B690" s="569" t="s">
        <v>2073</v>
      </c>
      <c r="C690" s="569" t="s">
        <v>7</v>
      </c>
      <c r="D690" s="569"/>
      <c r="E690" s="569"/>
      <c r="F690" s="574"/>
      <c r="G690" s="574"/>
      <c r="H690" s="574"/>
      <c r="I690" s="574"/>
      <c r="J690" s="569"/>
      <c r="K690" s="569"/>
      <c r="L690" s="574"/>
      <c r="M690" s="574"/>
      <c r="N690" s="574"/>
      <c r="O690" s="574"/>
      <c r="P690" s="569"/>
      <c r="Q690" s="569"/>
      <c r="R690" s="569"/>
      <c r="S690" s="569"/>
      <c r="T690" s="574"/>
      <c r="U690" s="574"/>
      <c r="V690" s="574"/>
      <c r="W690" s="574"/>
      <c r="X690" s="569"/>
      <c r="Y690" s="569"/>
      <c r="Z690" s="569"/>
      <c r="AA690" s="569"/>
      <c r="AB690" s="574"/>
      <c r="AC690" s="574"/>
      <c r="AD690" s="574"/>
      <c r="AE690" s="574"/>
      <c r="AF690">
        <v>690</v>
      </c>
      <c r="AG690" s="438" t="str">
        <f>IF(INDEX(D:AE,AF690,ADP!$AF$6)=0,"",INDEX(D:AE,AF690,ADP!$AF$6)+AH690)</f>
        <v/>
      </c>
      <c r="AH690">
        <f t="shared" si="10"/>
        <v>6.8900000000001024E-4</v>
      </c>
    </row>
    <row r="691" spans="1:34" ht="15.75" thickBot="1" x14ac:dyDescent="0.3">
      <c r="A691" s="569" t="s">
        <v>1756</v>
      </c>
      <c r="B691" s="569" t="s">
        <v>1388</v>
      </c>
      <c r="C691" s="569" t="s">
        <v>3</v>
      </c>
      <c r="D691" s="569">
        <v>6.2</v>
      </c>
      <c r="E691" s="569">
        <v>1.9</v>
      </c>
      <c r="F691" s="569">
        <v>2.2999999999999998</v>
      </c>
      <c r="G691" s="569">
        <v>0.9</v>
      </c>
      <c r="H691" s="569">
        <v>4.9000000000000004</v>
      </c>
      <c r="I691" s="569">
        <v>1.4</v>
      </c>
      <c r="J691" s="569">
        <v>6.2</v>
      </c>
      <c r="K691" s="569">
        <v>1.9</v>
      </c>
      <c r="L691" s="569">
        <v>2.2999999999999998</v>
      </c>
      <c r="M691" s="569">
        <v>0.9</v>
      </c>
      <c r="N691" s="569">
        <v>4.9000000000000004</v>
      </c>
      <c r="O691" s="569">
        <v>1.4</v>
      </c>
      <c r="P691" s="569">
        <v>11</v>
      </c>
      <c r="Q691" s="569">
        <v>3</v>
      </c>
      <c r="R691" s="569">
        <v>6.2</v>
      </c>
      <c r="S691" s="569">
        <v>1.9</v>
      </c>
      <c r="T691" s="569">
        <v>2.2999999999999998</v>
      </c>
      <c r="U691" s="569">
        <v>0.9</v>
      </c>
      <c r="V691" s="569">
        <v>4.9000000000000004</v>
      </c>
      <c r="W691" s="569">
        <v>1.4</v>
      </c>
      <c r="X691" s="569">
        <v>11</v>
      </c>
      <c r="Y691" s="569">
        <v>3</v>
      </c>
      <c r="Z691" s="569">
        <v>6.2</v>
      </c>
      <c r="AA691" s="569">
        <v>1.9</v>
      </c>
      <c r="AB691" s="569">
        <v>2.2999999999999998</v>
      </c>
      <c r="AC691" s="569">
        <v>0.9</v>
      </c>
      <c r="AD691" s="569">
        <v>4.9000000000000004</v>
      </c>
      <c r="AE691" s="569">
        <v>4.9000000000000004</v>
      </c>
      <c r="AF691">
        <v>691</v>
      </c>
      <c r="AG691" s="438">
        <f>IF(INDEX(D:AE,AF691,ADP!$AF$6)=0,"",INDEX(D:AE,AF691,ADP!$AF$6)+AH691)</f>
        <v>4.90069</v>
      </c>
      <c r="AH691">
        <f t="shared" si="10"/>
        <v>6.9000000000001027E-4</v>
      </c>
    </row>
    <row r="692" spans="1:34" ht="15.75" thickBot="1" x14ac:dyDescent="0.3">
      <c r="A692" s="569" t="s">
        <v>148</v>
      </c>
      <c r="B692" s="569" t="s">
        <v>148</v>
      </c>
      <c r="C692" s="569" t="s">
        <v>160</v>
      </c>
      <c r="D692" s="569"/>
      <c r="E692" s="569"/>
      <c r="F692" s="569"/>
      <c r="G692" s="569"/>
      <c r="H692" s="569"/>
      <c r="I692" s="569"/>
      <c r="J692" s="569"/>
      <c r="K692" s="569"/>
      <c r="L692" s="569"/>
      <c r="M692" s="569"/>
      <c r="N692" s="569"/>
      <c r="O692" s="569"/>
      <c r="P692" s="569"/>
      <c r="Q692" s="569"/>
      <c r="R692" s="569"/>
      <c r="S692" s="569"/>
      <c r="T692" s="569"/>
      <c r="U692" s="569"/>
      <c r="V692" s="569"/>
      <c r="W692" s="569"/>
      <c r="X692" s="569"/>
      <c r="Y692" s="569"/>
      <c r="Z692" s="569"/>
      <c r="AA692" s="569"/>
      <c r="AB692" s="569"/>
      <c r="AC692" s="569"/>
      <c r="AD692" s="569"/>
      <c r="AE692" s="569"/>
      <c r="AF692">
        <v>692</v>
      </c>
      <c r="AG692" s="438" t="str">
        <f>IF(INDEX(D:AE,AF692,ADP!$AF$6)=0,"",INDEX(D:AE,AF692,ADP!$AF$6)+AH692)</f>
        <v/>
      </c>
      <c r="AH692">
        <f t="shared" si="10"/>
        <v>6.9100000000001029E-4</v>
      </c>
    </row>
    <row r="693" spans="1:34" ht="15.75" thickBot="1" x14ac:dyDescent="0.3">
      <c r="A693" s="569" t="s">
        <v>2533</v>
      </c>
      <c r="B693" s="569" t="s">
        <v>143</v>
      </c>
      <c r="C693" s="569" t="s">
        <v>6</v>
      </c>
      <c r="D693" s="569"/>
      <c r="E693" s="569"/>
      <c r="F693" s="569"/>
      <c r="G693" s="569"/>
      <c r="H693" s="569"/>
      <c r="I693" s="569"/>
      <c r="J693" s="569"/>
      <c r="K693" s="569"/>
      <c r="L693" s="569"/>
      <c r="M693" s="569"/>
      <c r="N693" s="569"/>
      <c r="O693" s="569"/>
      <c r="P693" s="569"/>
      <c r="Q693" s="569"/>
      <c r="R693" s="569"/>
      <c r="S693" s="569"/>
      <c r="T693" s="569"/>
      <c r="U693" s="569"/>
      <c r="V693" s="569"/>
      <c r="W693" s="569"/>
      <c r="X693" s="569"/>
      <c r="Y693" s="569"/>
      <c r="Z693" s="569"/>
      <c r="AA693" s="569"/>
      <c r="AB693" s="569"/>
      <c r="AC693" s="569"/>
      <c r="AD693" s="569"/>
      <c r="AE693" s="569"/>
      <c r="AF693">
        <v>693</v>
      </c>
      <c r="AG693" s="438" t="str">
        <f>IF(INDEX(D:AE,AF693,ADP!$AF$6)=0,"",INDEX(D:AE,AF693,ADP!$AF$6)+AH693)</f>
        <v/>
      </c>
      <c r="AH693">
        <f t="shared" si="10"/>
        <v>6.9200000000001032E-4</v>
      </c>
    </row>
    <row r="694" spans="1:34" ht="15.75" thickBot="1" x14ac:dyDescent="0.3">
      <c r="A694" s="569" t="s">
        <v>2223</v>
      </c>
      <c r="B694" s="569" t="s">
        <v>158</v>
      </c>
      <c r="C694" s="569" t="s">
        <v>6</v>
      </c>
      <c r="D694" s="574"/>
      <c r="E694" s="574"/>
      <c r="F694" s="574"/>
      <c r="G694" s="574"/>
      <c r="H694" s="574"/>
      <c r="I694" s="574"/>
      <c r="J694" s="574"/>
      <c r="K694" s="574"/>
      <c r="L694" s="574"/>
      <c r="M694" s="574"/>
      <c r="N694" s="574"/>
      <c r="O694" s="574"/>
      <c r="P694" s="574"/>
      <c r="Q694" s="574"/>
      <c r="R694" s="574"/>
      <c r="S694" s="574"/>
      <c r="T694" s="574"/>
      <c r="U694" s="574"/>
      <c r="V694" s="574"/>
      <c r="W694" s="574"/>
      <c r="X694" s="574"/>
      <c r="Y694" s="574"/>
      <c r="Z694" s="574"/>
      <c r="AA694" s="574"/>
      <c r="AB694" s="574"/>
      <c r="AC694" s="574"/>
      <c r="AD694" s="574"/>
      <c r="AE694" s="574"/>
      <c r="AF694">
        <v>694</v>
      </c>
      <c r="AG694" s="438" t="str">
        <f>IF(INDEX(D:AE,AF694,ADP!$AF$6)=0,"",INDEX(D:AE,AF694,ADP!$AF$6)+AH694)</f>
        <v/>
      </c>
      <c r="AH694">
        <f t="shared" si="10"/>
        <v>6.9300000000001034E-4</v>
      </c>
    </row>
    <row r="695" spans="1:34" ht="15.75" thickBot="1" x14ac:dyDescent="0.3">
      <c r="A695" s="569" t="s">
        <v>2534</v>
      </c>
      <c r="B695" s="569" t="s">
        <v>152</v>
      </c>
      <c r="C695" s="569" t="s">
        <v>7</v>
      </c>
      <c r="D695" s="569"/>
      <c r="E695" s="569"/>
      <c r="F695" s="569"/>
      <c r="G695" s="569"/>
      <c r="H695" s="569"/>
      <c r="I695" s="569"/>
      <c r="J695" s="569"/>
      <c r="K695" s="569"/>
      <c r="L695" s="569"/>
      <c r="M695" s="569"/>
      <c r="N695" s="569"/>
      <c r="O695" s="569"/>
      <c r="P695" s="569"/>
      <c r="Q695" s="569"/>
      <c r="R695" s="569"/>
      <c r="S695" s="569"/>
      <c r="T695" s="569"/>
      <c r="U695" s="569"/>
      <c r="V695" s="569"/>
      <c r="W695" s="569"/>
      <c r="X695" s="569"/>
      <c r="Y695" s="569"/>
      <c r="Z695" s="569"/>
      <c r="AA695" s="569"/>
      <c r="AB695" s="569"/>
      <c r="AC695" s="569"/>
      <c r="AD695" s="569"/>
      <c r="AE695" s="569"/>
      <c r="AF695">
        <v>695</v>
      </c>
      <c r="AG695" s="438" t="str">
        <f>IF(INDEX(D:AE,AF695,ADP!$AF$6)=0,"",INDEX(D:AE,AF695,ADP!$AF$6)+AH695)</f>
        <v/>
      </c>
      <c r="AH695">
        <f t="shared" si="10"/>
        <v>6.9400000000001036E-4</v>
      </c>
    </row>
    <row r="696" spans="1:34" ht="15.75" thickBot="1" x14ac:dyDescent="0.3">
      <c r="A696" s="569" t="s">
        <v>2091</v>
      </c>
      <c r="B696" s="569" t="s">
        <v>152</v>
      </c>
      <c r="C696" s="569" t="s">
        <v>3</v>
      </c>
      <c r="D696" s="569">
        <v>107.6</v>
      </c>
      <c r="E696" s="569">
        <v>8.8000000000000007</v>
      </c>
      <c r="F696" s="569">
        <v>88.9</v>
      </c>
      <c r="G696" s="569">
        <v>6.3</v>
      </c>
      <c r="H696" s="569">
        <v>88.8</v>
      </c>
      <c r="I696" s="569">
        <v>6</v>
      </c>
      <c r="J696" s="569">
        <v>107.6</v>
      </c>
      <c r="K696" s="569">
        <v>8.8000000000000007</v>
      </c>
      <c r="L696" s="569">
        <v>88.9</v>
      </c>
      <c r="M696" s="569">
        <v>6.3</v>
      </c>
      <c r="N696" s="569">
        <v>88.8</v>
      </c>
      <c r="O696" s="569">
        <v>6</v>
      </c>
      <c r="P696" s="569">
        <v>89.4</v>
      </c>
      <c r="Q696" s="569">
        <v>8</v>
      </c>
      <c r="R696" s="569">
        <v>107.6</v>
      </c>
      <c r="S696" s="569">
        <v>8.8000000000000007</v>
      </c>
      <c r="T696" s="569">
        <v>88.9</v>
      </c>
      <c r="U696" s="569">
        <v>6.3</v>
      </c>
      <c r="V696" s="569">
        <v>88.8</v>
      </c>
      <c r="W696" s="569">
        <v>6</v>
      </c>
      <c r="X696" s="569">
        <v>89.4</v>
      </c>
      <c r="Y696" s="569">
        <v>8</v>
      </c>
      <c r="Z696" s="569">
        <v>107.6</v>
      </c>
      <c r="AA696" s="569">
        <v>8.8000000000000007</v>
      </c>
      <c r="AB696" s="569">
        <v>88.9</v>
      </c>
      <c r="AC696" s="569">
        <v>6.3</v>
      </c>
      <c r="AD696" s="569">
        <v>88.8</v>
      </c>
      <c r="AE696" s="569">
        <v>88.8</v>
      </c>
      <c r="AF696">
        <v>696</v>
      </c>
      <c r="AG696" s="438">
        <f>IF(INDEX(D:AE,AF696,ADP!$AF$6)=0,"",INDEX(D:AE,AF696,ADP!$AF$6)+AH696)</f>
        <v>88.80069499999999</v>
      </c>
      <c r="AH696">
        <f t="shared" si="10"/>
        <v>6.9500000000001039E-4</v>
      </c>
    </row>
    <row r="697" spans="1:34" ht="15.75" thickBot="1" x14ac:dyDescent="0.3">
      <c r="A697" s="569" t="s">
        <v>2214</v>
      </c>
      <c r="B697" s="569" t="s">
        <v>161</v>
      </c>
      <c r="C697" s="569" t="s">
        <v>6</v>
      </c>
      <c r="D697" s="569"/>
      <c r="E697" s="569"/>
      <c r="F697" s="569"/>
      <c r="G697" s="569"/>
      <c r="H697" s="569"/>
      <c r="I697" s="569"/>
      <c r="J697" s="569"/>
      <c r="K697" s="569"/>
      <c r="L697" s="569"/>
      <c r="M697" s="569"/>
      <c r="N697" s="569"/>
      <c r="O697" s="569"/>
      <c r="P697" s="569"/>
      <c r="Q697" s="569"/>
      <c r="R697" s="569"/>
      <c r="S697" s="569"/>
      <c r="T697" s="569"/>
      <c r="U697" s="569"/>
      <c r="V697" s="569"/>
      <c r="W697" s="569"/>
      <c r="X697" s="569"/>
      <c r="Y697" s="569"/>
      <c r="Z697" s="569"/>
      <c r="AA697" s="569"/>
      <c r="AB697" s="569"/>
      <c r="AC697" s="569"/>
      <c r="AD697" s="569"/>
      <c r="AE697" s="569"/>
      <c r="AF697">
        <v>697</v>
      </c>
      <c r="AG697" s="438" t="str">
        <f>IF(INDEX(D:AE,AF697,ADP!$AF$6)=0,"",INDEX(D:AE,AF697,ADP!$AF$6)+AH697)</f>
        <v/>
      </c>
      <c r="AH697">
        <f t="shared" si="10"/>
        <v>6.9600000000001041E-4</v>
      </c>
    </row>
    <row r="698" spans="1:34" ht="15.75" thickBot="1" x14ac:dyDescent="0.3">
      <c r="A698" s="569" t="s">
        <v>2535</v>
      </c>
      <c r="B698" s="569" t="s">
        <v>158</v>
      </c>
      <c r="C698" s="569" t="s">
        <v>1</v>
      </c>
      <c r="D698" s="574">
        <v>112.4</v>
      </c>
      <c r="E698" s="574">
        <v>9.9</v>
      </c>
      <c r="F698" s="574">
        <v>133.1</v>
      </c>
      <c r="G698" s="574">
        <v>17.600000000000001</v>
      </c>
      <c r="H698" s="574">
        <v>124.7</v>
      </c>
      <c r="I698" s="574">
        <v>13.6</v>
      </c>
      <c r="J698" s="574">
        <v>112.4</v>
      </c>
      <c r="K698" s="574">
        <v>9.9</v>
      </c>
      <c r="L698" s="574">
        <v>133.1</v>
      </c>
      <c r="M698" s="574">
        <v>17.600000000000001</v>
      </c>
      <c r="N698" s="574">
        <v>124.7</v>
      </c>
      <c r="O698" s="574">
        <v>13.6</v>
      </c>
      <c r="P698" s="574">
        <v>99.1</v>
      </c>
      <c r="Q698" s="574">
        <v>31</v>
      </c>
      <c r="R698" s="574">
        <v>112.4</v>
      </c>
      <c r="S698" s="574">
        <v>9.9</v>
      </c>
      <c r="T698" s="574">
        <v>133.1</v>
      </c>
      <c r="U698" s="574">
        <v>17.600000000000001</v>
      </c>
      <c r="V698" s="574">
        <v>124.7</v>
      </c>
      <c r="W698" s="574">
        <v>13.6</v>
      </c>
      <c r="X698" s="574">
        <v>99.1</v>
      </c>
      <c r="Y698" s="574">
        <v>31</v>
      </c>
      <c r="Z698" s="574">
        <v>112.4</v>
      </c>
      <c r="AA698" s="574">
        <v>9.9</v>
      </c>
      <c r="AB698" s="574">
        <v>133.1</v>
      </c>
      <c r="AC698" s="574">
        <v>17.600000000000001</v>
      </c>
      <c r="AD698" s="574">
        <v>124.7</v>
      </c>
      <c r="AE698" s="574">
        <v>124.7</v>
      </c>
      <c r="AF698">
        <v>698</v>
      </c>
      <c r="AG698" s="438">
        <f>IF(INDEX(D:AE,AF698,ADP!$AF$6)=0,"",INDEX(D:AE,AF698,ADP!$AF$6)+AH698)</f>
        <v>124.70069700000001</v>
      </c>
      <c r="AH698">
        <f t="shared" si="10"/>
        <v>6.9700000000001044E-4</v>
      </c>
    </row>
    <row r="699" spans="1:34" ht="15.75" thickBot="1" x14ac:dyDescent="0.3">
      <c r="A699" s="569" t="s">
        <v>2089</v>
      </c>
      <c r="B699" s="569" t="s">
        <v>147</v>
      </c>
      <c r="C699" s="569" t="s">
        <v>3</v>
      </c>
      <c r="D699" s="574"/>
      <c r="E699" s="574"/>
      <c r="F699" s="574"/>
      <c r="G699" s="574"/>
      <c r="H699" s="574"/>
      <c r="I699" s="574"/>
      <c r="J699" s="574"/>
      <c r="K699" s="574"/>
      <c r="L699" s="574"/>
      <c r="M699" s="574"/>
      <c r="N699" s="574"/>
      <c r="O699" s="574"/>
      <c r="P699" s="574"/>
      <c r="Q699" s="574"/>
      <c r="R699" s="574"/>
      <c r="S699" s="574"/>
      <c r="T699" s="574"/>
      <c r="U699" s="574"/>
      <c r="V699" s="574"/>
      <c r="W699" s="574"/>
      <c r="X699" s="574"/>
      <c r="Y699" s="574"/>
      <c r="Z699" s="574"/>
      <c r="AA699" s="574"/>
      <c r="AB699" s="574"/>
      <c r="AC699" s="574"/>
      <c r="AD699" s="574"/>
      <c r="AE699" s="574"/>
      <c r="AF699">
        <v>699</v>
      </c>
      <c r="AG699" s="438" t="str">
        <f>IF(INDEX(D:AE,AF699,ADP!$AF$6)=0,"",INDEX(D:AE,AF699,ADP!$AF$6)+AH699)</f>
        <v/>
      </c>
      <c r="AH699">
        <f t="shared" si="10"/>
        <v>6.9800000000001046E-4</v>
      </c>
    </row>
    <row r="700" spans="1:34" ht="15.75" thickBot="1" x14ac:dyDescent="0.3">
      <c r="A700" s="569" t="s">
        <v>1992</v>
      </c>
      <c r="B700" s="569" t="s">
        <v>157</v>
      </c>
      <c r="C700" s="569" t="s">
        <v>7</v>
      </c>
      <c r="D700" s="569"/>
      <c r="E700" s="569"/>
      <c r="F700" s="569"/>
      <c r="G700" s="569"/>
      <c r="H700" s="569"/>
      <c r="I700" s="569"/>
      <c r="J700" s="569"/>
      <c r="K700" s="569"/>
      <c r="L700" s="569"/>
      <c r="M700" s="569"/>
      <c r="N700" s="569"/>
      <c r="O700" s="569"/>
      <c r="P700" s="569"/>
      <c r="Q700" s="569"/>
      <c r="R700" s="569"/>
      <c r="S700" s="569"/>
      <c r="T700" s="569"/>
      <c r="U700" s="569"/>
      <c r="V700" s="569"/>
      <c r="W700" s="569"/>
      <c r="X700" s="569"/>
      <c r="Y700" s="569"/>
      <c r="Z700" s="569"/>
      <c r="AA700" s="569"/>
      <c r="AB700" s="569"/>
      <c r="AC700" s="569"/>
      <c r="AD700" s="569"/>
      <c r="AE700" s="569"/>
      <c r="AF700">
        <v>700</v>
      </c>
      <c r="AG700" s="438" t="str">
        <f>IF(INDEX(D:AE,AF700,ADP!$AF$6)=0,"",INDEX(D:AE,AF700,ADP!$AF$6)+AH700)</f>
        <v/>
      </c>
      <c r="AH700">
        <f t="shared" si="10"/>
        <v>6.9900000000001049E-4</v>
      </c>
    </row>
    <row r="701" spans="1:34" ht="15.75" thickBot="1" x14ac:dyDescent="0.3">
      <c r="A701" s="569" t="s">
        <v>1868</v>
      </c>
      <c r="B701" s="569" t="s">
        <v>156</v>
      </c>
      <c r="C701" s="569" t="s">
        <v>6</v>
      </c>
      <c r="D701" s="569"/>
      <c r="E701" s="569"/>
      <c r="F701" s="569"/>
      <c r="G701" s="569"/>
      <c r="H701" s="569"/>
      <c r="I701" s="569"/>
      <c r="J701" s="569"/>
      <c r="K701" s="569"/>
      <c r="L701" s="569"/>
      <c r="M701" s="569"/>
      <c r="N701" s="569"/>
      <c r="O701" s="569"/>
      <c r="P701" s="569"/>
      <c r="Q701" s="569"/>
      <c r="R701" s="569"/>
      <c r="S701" s="569"/>
      <c r="T701" s="569"/>
      <c r="U701" s="569"/>
      <c r="V701" s="569"/>
      <c r="W701" s="569"/>
      <c r="X701" s="569"/>
      <c r="Y701" s="569"/>
      <c r="Z701" s="569"/>
      <c r="AA701" s="569"/>
      <c r="AB701" s="569"/>
      <c r="AC701" s="569"/>
      <c r="AD701" s="569"/>
      <c r="AE701" s="569"/>
      <c r="AF701">
        <v>701</v>
      </c>
      <c r="AG701" s="438" t="str">
        <f>IF(INDEX(D:AE,AF701,ADP!$AF$6)=0,"",INDEX(D:AE,AF701,ADP!$AF$6)+AH701)</f>
        <v/>
      </c>
      <c r="AH701">
        <f t="shared" si="10"/>
        <v>7.0000000000001051E-4</v>
      </c>
    </row>
    <row r="702" spans="1:34" ht="15.75" thickBot="1" x14ac:dyDescent="0.3">
      <c r="A702" s="569" t="s">
        <v>63</v>
      </c>
      <c r="B702" s="569" t="s">
        <v>159</v>
      </c>
      <c r="C702" s="569" t="s">
        <v>1</v>
      </c>
      <c r="D702" s="569"/>
      <c r="E702" s="569"/>
      <c r="F702" s="569"/>
      <c r="G702" s="569"/>
      <c r="H702" s="569"/>
      <c r="I702" s="569"/>
      <c r="J702" s="569"/>
      <c r="K702" s="569"/>
      <c r="L702" s="569"/>
      <c r="M702" s="569"/>
      <c r="N702" s="569"/>
      <c r="O702" s="569"/>
      <c r="P702" s="569"/>
      <c r="Q702" s="569"/>
      <c r="R702" s="569"/>
      <c r="S702" s="569"/>
      <c r="T702" s="569"/>
      <c r="U702" s="569"/>
      <c r="V702" s="569"/>
      <c r="W702" s="569"/>
      <c r="X702" s="569"/>
      <c r="Y702" s="569"/>
      <c r="Z702" s="569"/>
      <c r="AA702" s="569"/>
      <c r="AB702" s="569"/>
      <c r="AC702" s="569"/>
      <c r="AD702" s="569"/>
      <c r="AE702" s="569"/>
      <c r="AF702">
        <v>702</v>
      </c>
      <c r="AG702" s="438" t="str">
        <f>IF(INDEX(D:AE,AF702,ADP!$AF$6)=0,"",INDEX(D:AE,AF702,ADP!$AF$6)+AH702)</f>
        <v/>
      </c>
      <c r="AH702">
        <f t="shared" si="10"/>
        <v>7.0100000000001053E-4</v>
      </c>
    </row>
    <row r="703" spans="1:34" ht="15.75" thickBot="1" x14ac:dyDescent="0.3">
      <c r="A703" s="569" t="s">
        <v>2377</v>
      </c>
      <c r="B703" s="569" t="s">
        <v>158</v>
      </c>
      <c r="C703" s="569" t="s">
        <v>7</v>
      </c>
      <c r="D703" s="569"/>
      <c r="E703" s="569"/>
      <c r="F703" s="569"/>
      <c r="G703" s="569"/>
      <c r="H703" s="569"/>
      <c r="I703" s="569"/>
      <c r="J703" s="569"/>
      <c r="K703" s="569"/>
      <c r="L703" s="569"/>
      <c r="M703" s="569"/>
      <c r="N703" s="569"/>
      <c r="O703" s="569"/>
      <c r="P703" s="569"/>
      <c r="Q703" s="569"/>
      <c r="R703" s="569"/>
      <c r="S703" s="569"/>
      <c r="T703" s="569"/>
      <c r="U703" s="569"/>
      <c r="V703" s="569"/>
      <c r="W703" s="569"/>
      <c r="X703" s="569"/>
      <c r="Y703" s="569"/>
      <c r="Z703" s="569"/>
      <c r="AA703" s="569"/>
      <c r="AB703" s="569"/>
      <c r="AC703" s="569"/>
      <c r="AD703" s="569"/>
      <c r="AE703" s="569"/>
      <c r="AF703">
        <v>703</v>
      </c>
      <c r="AG703" s="438" t="str">
        <f>IF(INDEX(D:AE,AF703,ADP!$AF$6)=0,"",INDEX(D:AE,AF703,ADP!$AF$6)+AH703)</f>
        <v/>
      </c>
      <c r="AH703">
        <f t="shared" si="10"/>
        <v>7.0200000000001056E-4</v>
      </c>
    </row>
    <row r="704" spans="1:34" ht="15.75" thickBot="1" x14ac:dyDescent="0.3">
      <c r="A704" s="569" t="s">
        <v>2190</v>
      </c>
      <c r="B704" s="569" t="s">
        <v>151</v>
      </c>
      <c r="C704" s="569" t="s">
        <v>7</v>
      </c>
      <c r="D704" s="569"/>
      <c r="E704" s="569"/>
      <c r="F704" s="569"/>
      <c r="G704" s="569"/>
      <c r="H704" s="569"/>
      <c r="I704" s="569"/>
      <c r="J704" s="569"/>
      <c r="K704" s="569"/>
      <c r="L704" s="569"/>
      <c r="M704" s="569"/>
      <c r="N704" s="569"/>
      <c r="O704" s="569"/>
      <c r="P704" s="569"/>
      <c r="Q704" s="569"/>
      <c r="R704" s="569"/>
      <c r="S704" s="569"/>
      <c r="T704" s="569"/>
      <c r="U704" s="569"/>
      <c r="V704" s="569"/>
      <c r="W704" s="569"/>
      <c r="X704" s="569"/>
      <c r="Y704" s="569"/>
      <c r="Z704" s="569"/>
      <c r="AA704" s="569"/>
      <c r="AB704" s="569"/>
      <c r="AC704" s="569"/>
      <c r="AD704" s="569"/>
      <c r="AE704" s="569"/>
      <c r="AF704">
        <v>704</v>
      </c>
      <c r="AG704" s="438" t="str">
        <f>IF(INDEX(D:AE,AF704,ADP!$AF$6)=0,"",INDEX(D:AE,AF704,ADP!$AF$6)+AH704)</f>
        <v/>
      </c>
      <c r="AH704">
        <f t="shared" si="10"/>
        <v>7.0300000000001058E-4</v>
      </c>
    </row>
    <row r="705" spans="1:34" ht="15.75" thickBot="1" x14ac:dyDescent="0.3">
      <c r="A705" s="569" t="s">
        <v>2536</v>
      </c>
      <c r="B705" s="569" t="s">
        <v>145</v>
      </c>
      <c r="C705" s="569" t="s">
        <v>6</v>
      </c>
      <c r="D705" s="574"/>
      <c r="E705" s="574"/>
      <c r="F705" s="574"/>
      <c r="G705" s="574"/>
      <c r="H705" s="574"/>
      <c r="I705" s="574"/>
      <c r="J705" s="574"/>
      <c r="K705" s="574"/>
      <c r="L705" s="574"/>
      <c r="M705" s="574"/>
      <c r="N705" s="574"/>
      <c r="O705" s="574"/>
      <c r="P705" s="574"/>
      <c r="Q705" s="574"/>
      <c r="R705" s="574"/>
      <c r="S705" s="574"/>
      <c r="T705" s="574"/>
      <c r="U705" s="574"/>
      <c r="V705" s="574"/>
      <c r="W705" s="574"/>
      <c r="X705" s="574"/>
      <c r="Y705" s="574"/>
      <c r="Z705" s="574"/>
      <c r="AA705" s="574"/>
      <c r="AB705" s="574"/>
      <c r="AC705" s="574"/>
      <c r="AD705" s="574"/>
      <c r="AE705" s="574"/>
      <c r="AF705">
        <v>705</v>
      </c>
      <c r="AG705" s="438" t="str">
        <f>IF(INDEX(D:AE,AF705,ADP!$AF$6)=0,"",INDEX(D:AE,AF705,ADP!$AF$6)+AH705)</f>
        <v/>
      </c>
      <c r="AH705">
        <f t="shared" si="10"/>
        <v>7.0400000000001061E-4</v>
      </c>
    </row>
    <row r="706" spans="1:34" ht="15.75" thickBot="1" x14ac:dyDescent="0.3">
      <c r="A706" s="569" t="s">
        <v>2537</v>
      </c>
      <c r="B706" s="569" t="s">
        <v>2272</v>
      </c>
      <c r="C706" s="569" t="s">
        <v>6</v>
      </c>
      <c r="D706" s="569"/>
      <c r="E706" s="569"/>
      <c r="F706" s="569"/>
      <c r="G706" s="569"/>
      <c r="H706" s="569"/>
      <c r="I706" s="569"/>
      <c r="J706" s="569"/>
      <c r="K706" s="569"/>
      <c r="L706" s="569"/>
      <c r="M706" s="569"/>
      <c r="N706" s="569"/>
      <c r="O706" s="569"/>
      <c r="P706" s="569"/>
      <c r="Q706" s="569"/>
      <c r="R706" s="569"/>
      <c r="S706" s="569"/>
      <c r="T706" s="569"/>
      <c r="U706" s="569"/>
      <c r="V706" s="569"/>
      <c r="W706" s="569"/>
      <c r="X706" s="569"/>
      <c r="Y706" s="569"/>
      <c r="Z706" s="569"/>
      <c r="AA706" s="569"/>
      <c r="AB706" s="569"/>
      <c r="AC706" s="569"/>
      <c r="AD706" s="569"/>
      <c r="AE706" s="569"/>
      <c r="AF706">
        <v>706</v>
      </c>
      <c r="AG706" s="438" t="str">
        <f>IF(INDEX(D:AE,AF706,ADP!$AF$6)=0,"",INDEX(D:AE,AF706,ADP!$AF$6)+AH706)</f>
        <v/>
      </c>
      <c r="AH706">
        <f t="shared" si="10"/>
        <v>7.0500000000001063E-4</v>
      </c>
    </row>
    <row r="707" spans="1:34" ht="15.75" thickBot="1" x14ac:dyDescent="0.3">
      <c r="A707" s="569" t="s">
        <v>2538</v>
      </c>
      <c r="B707" s="569" t="s">
        <v>139</v>
      </c>
      <c r="C707" s="569" t="s">
        <v>11</v>
      </c>
      <c r="D707" s="569"/>
      <c r="E707" s="569"/>
      <c r="F707" s="569"/>
      <c r="G707" s="569"/>
      <c r="H707" s="569"/>
      <c r="I707" s="569"/>
      <c r="J707" s="569"/>
      <c r="K707" s="569"/>
      <c r="L707" s="569"/>
      <c r="M707" s="569"/>
      <c r="N707" s="569"/>
      <c r="O707" s="569"/>
      <c r="P707" s="569"/>
      <c r="Q707" s="569"/>
      <c r="R707" s="569"/>
      <c r="S707" s="569"/>
      <c r="T707" s="569"/>
      <c r="U707" s="569"/>
      <c r="V707" s="569"/>
      <c r="W707" s="569"/>
      <c r="X707" s="569"/>
      <c r="Y707" s="569"/>
      <c r="Z707" s="569"/>
      <c r="AA707" s="569"/>
      <c r="AB707" s="569"/>
      <c r="AC707" s="569"/>
      <c r="AD707" s="569"/>
      <c r="AE707" s="569"/>
      <c r="AF707">
        <v>707</v>
      </c>
      <c r="AG707" s="438" t="str">
        <f>IF(INDEX(D:AE,AF707,ADP!$AF$6)=0,"",INDEX(D:AE,AF707,ADP!$AF$6)+AH707)</f>
        <v/>
      </c>
      <c r="AH707">
        <f t="shared" si="10"/>
        <v>7.0600000000001066E-4</v>
      </c>
    </row>
    <row r="708" spans="1:34" ht="15.75" thickBot="1" x14ac:dyDescent="0.3">
      <c r="A708" s="569" t="s">
        <v>2202</v>
      </c>
      <c r="B708" s="569" t="s">
        <v>142</v>
      </c>
      <c r="C708" s="569" t="s">
        <v>6</v>
      </c>
      <c r="D708" s="569">
        <v>18.100000000000001</v>
      </c>
      <c r="E708" s="569">
        <v>2.2999999999999998</v>
      </c>
      <c r="F708" s="569">
        <v>16.5</v>
      </c>
      <c r="G708" s="569">
        <v>2.4</v>
      </c>
      <c r="H708" s="569">
        <v>13.4</v>
      </c>
      <c r="I708" s="569">
        <v>2.2000000000000002</v>
      </c>
      <c r="J708" s="569">
        <v>18.100000000000001</v>
      </c>
      <c r="K708" s="569">
        <v>2.2999999999999998</v>
      </c>
      <c r="L708" s="569">
        <v>16.5</v>
      </c>
      <c r="M708" s="569">
        <v>2.4</v>
      </c>
      <c r="N708" s="569">
        <v>13.4</v>
      </c>
      <c r="O708" s="569">
        <v>2.2000000000000002</v>
      </c>
      <c r="P708" s="569">
        <v>22.5</v>
      </c>
      <c r="Q708" s="569">
        <v>3.3</v>
      </c>
      <c r="R708" s="569">
        <v>18.100000000000001</v>
      </c>
      <c r="S708" s="569">
        <v>2.2999999999999998</v>
      </c>
      <c r="T708" s="569">
        <v>16.5</v>
      </c>
      <c r="U708" s="569">
        <v>2.4</v>
      </c>
      <c r="V708" s="569">
        <v>13.4</v>
      </c>
      <c r="W708" s="569">
        <v>2.2000000000000002</v>
      </c>
      <c r="X708" s="569">
        <v>22.5</v>
      </c>
      <c r="Y708" s="569">
        <v>3.3</v>
      </c>
      <c r="Z708" s="569">
        <v>18.100000000000001</v>
      </c>
      <c r="AA708" s="569">
        <v>2.2999999999999998</v>
      </c>
      <c r="AB708" s="569">
        <v>16.5</v>
      </c>
      <c r="AC708" s="569">
        <v>2.4</v>
      </c>
      <c r="AD708" s="569">
        <v>13.4</v>
      </c>
      <c r="AE708" s="569">
        <v>13.4</v>
      </c>
      <c r="AF708">
        <v>708</v>
      </c>
      <c r="AG708" s="438">
        <f>IF(INDEX(D:AE,AF708,ADP!$AF$6)=0,"",INDEX(D:AE,AF708,ADP!$AF$6)+AH708)</f>
        <v>13.400707000000001</v>
      </c>
      <c r="AH708">
        <f t="shared" si="10"/>
        <v>7.0700000000001068E-4</v>
      </c>
    </row>
    <row r="709" spans="1:34" ht="15.75" thickBot="1" x14ac:dyDescent="0.3">
      <c r="A709" s="569" t="s">
        <v>1130</v>
      </c>
      <c r="B709" s="569" t="s">
        <v>2073</v>
      </c>
      <c r="C709" s="569" t="s">
        <v>3</v>
      </c>
      <c r="D709" s="569"/>
      <c r="E709" s="569"/>
      <c r="F709" s="569"/>
      <c r="G709" s="569"/>
      <c r="H709" s="569"/>
      <c r="I709" s="569"/>
      <c r="J709" s="569"/>
      <c r="K709" s="569"/>
      <c r="L709" s="569"/>
      <c r="M709" s="569"/>
      <c r="N709" s="569"/>
      <c r="O709" s="569"/>
      <c r="P709" s="569"/>
      <c r="Q709" s="569"/>
      <c r="R709" s="569"/>
      <c r="S709" s="569"/>
      <c r="T709" s="569"/>
      <c r="U709" s="569"/>
      <c r="V709" s="569"/>
      <c r="W709" s="569"/>
      <c r="X709" s="569"/>
      <c r="Y709" s="569"/>
      <c r="Z709" s="569"/>
      <c r="AA709" s="569"/>
      <c r="AB709" s="569"/>
      <c r="AC709" s="569"/>
      <c r="AD709" s="569"/>
      <c r="AE709" s="569"/>
      <c r="AF709">
        <v>709</v>
      </c>
      <c r="AG709" s="438" t="str">
        <f>IF(INDEX(D:AE,AF709,ADP!$AF$6)=0,"",INDEX(D:AE,AF709,ADP!$AF$6)+AH709)</f>
        <v/>
      </c>
      <c r="AH709">
        <f t="shared" si="10"/>
        <v>7.080000000000107E-4</v>
      </c>
    </row>
    <row r="710" spans="1:34" ht="15.75" thickBot="1" x14ac:dyDescent="0.3">
      <c r="A710" s="569" t="s">
        <v>2545</v>
      </c>
      <c r="B710" s="569" t="s">
        <v>158</v>
      </c>
      <c r="C710" s="569" t="s">
        <v>6</v>
      </c>
      <c r="D710" s="569"/>
      <c r="E710" s="569"/>
      <c r="F710" s="569"/>
      <c r="G710" s="569"/>
      <c r="H710" s="569"/>
      <c r="I710" s="569"/>
      <c r="J710" s="569"/>
      <c r="K710" s="569"/>
      <c r="L710" s="569"/>
      <c r="M710" s="569"/>
      <c r="N710" s="569"/>
      <c r="O710" s="569"/>
      <c r="P710" s="569"/>
      <c r="Q710" s="569"/>
      <c r="R710" s="569"/>
      <c r="S710" s="569"/>
      <c r="T710" s="569"/>
      <c r="U710" s="569"/>
      <c r="V710" s="569"/>
      <c r="W710" s="569"/>
      <c r="X710" s="569"/>
      <c r="Y710" s="569"/>
      <c r="Z710" s="569"/>
      <c r="AA710" s="569"/>
      <c r="AB710" s="569"/>
      <c r="AC710" s="569"/>
      <c r="AD710" s="569"/>
      <c r="AE710" s="569"/>
      <c r="AF710">
        <v>710</v>
      </c>
      <c r="AG710" s="438" t="str">
        <f>IF(INDEX(D:AE,AF710,ADP!$AF$6)=0,"",INDEX(D:AE,AF710,ADP!$AF$6)+AH710)</f>
        <v/>
      </c>
      <c r="AH710">
        <f t="shared" ref="AH710:AH773" si="11">AH709+0.000001</f>
        <v>7.0900000000001073E-4</v>
      </c>
    </row>
    <row r="711" spans="1:34" ht="15.75" thickBot="1" x14ac:dyDescent="0.3">
      <c r="A711" s="569" t="s">
        <v>1101</v>
      </c>
      <c r="B711" s="569" t="s">
        <v>161</v>
      </c>
      <c r="C711" s="569" t="s">
        <v>6</v>
      </c>
      <c r="D711" s="569">
        <v>28.7</v>
      </c>
      <c r="E711" s="569">
        <v>3.6</v>
      </c>
      <c r="F711" s="569">
        <v>30.3</v>
      </c>
      <c r="G711" s="569">
        <v>4.0999999999999996</v>
      </c>
      <c r="H711" s="569">
        <v>35.4</v>
      </c>
      <c r="I711" s="569">
        <v>4</v>
      </c>
      <c r="J711" s="569">
        <v>28.7</v>
      </c>
      <c r="K711" s="569">
        <v>3.6</v>
      </c>
      <c r="L711" s="569">
        <v>30.3</v>
      </c>
      <c r="M711" s="569">
        <v>4.0999999999999996</v>
      </c>
      <c r="N711" s="569">
        <v>35.4</v>
      </c>
      <c r="O711" s="569">
        <v>4</v>
      </c>
      <c r="P711" s="569">
        <v>40.4</v>
      </c>
      <c r="Q711" s="569">
        <v>6.5</v>
      </c>
      <c r="R711" s="569">
        <v>28.7</v>
      </c>
      <c r="S711" s="569">
        <v>3.6</v>
      </c>
      <c r="T711" s="569">
        <v>30.3</v>
      </c>
      <c r="U711" s="569">
        <v>4.0999999999999996</v>
      </c>
      <c r="V711" s="569">
        <v>35.4</v>
      </c>
      <c r="W711" s="569">
        <v>4</v>
      </c>
      <c r="X711" s="569">
        <v>40.4</v>
      </c>
      <c r="Y711" s="569">
        <v>6.5</v>
      </c>
      <c r="Z711" s="569">
        <v>28.7</v>
      </c>
      <c r="AA711" s="569">
        <v>3.6</v>
      </c>
      <c r="AB711" s="569">
        <v>30.3</v>
      </c>
      <c r="AC711" s="569">
        <v>4.0999999999999996</v>
      </c>
      <c r="AD711" s="569">
        <v>35.4</v>
      </c>
      <c r="AE711" s="569">
        <v>35.4</v>
      </c>
      <c r="AF711">
        <v>711</v>
      </c>
      <c r="AG711" s="438">
        <f>IF(INDEX(D:AE,AF711,ADP!$AF$6)=0,"",INDEX(D:AE,AF711,ADP!$AF$6)+AH711)</f>
        <v>35.400709999999997</v>
      </c>
      <c r="AH711">
        <f t="shared" si="11"/>
        <v>7.1000000000001075E-4</v>
      </c>
    </row>
    <row r="712" spans="1:34" ht="15.75" thickBot="1" x14ac:dyDescent="0.3">
      <c r="A712" s="569" t="s">
        <v>1429</v>
      </c>
      <c r="B712" s="569" t="s">
        <v>143</v>
      </c>
      <c r="C712" s="569" t="s">
        <v>3</v>
      </c>
      <c r="D712" s="574">
        <v>71.099999999999994</v>
      </c>
      <c r="E712" s="574">
        <v>8.1</v>
      </c>
      <c r="F712" s="574">
        <v>65.8</v>
      </c>
      <c r="G712" s="574">
        <v>6.2</v>
      </c>
      <c r="H712" s="574">
        <v>68.599999999999994</v>
      </c>
      <c r="I712" s="574">
        <v>7.8</v>
      </c>
      <c r="J712" s="574">
        <v>71.099999999999994</v>
      </c>
      <c r="K712" s="574">
        <v>8.1</v>
      </c>
      <c r="L712" s="574">
        <v>65.8</v>
      </c>
      <c r="M712" s="574">
        <v>6.2</v>
      </c>
      <c r="N712" s="574">
        <v>68.599999999999994</v>
      </c>
      <c r="O712" s="574">
        <v>7.8</v>
      </c>
      <c r="P712" s="574">
        <v>70.7</v>
      </c>
      <c r="Q712" s="574">
        <v>8.3000000000000007</v>
      </c>
      <c r="R712" s="574">
        <v>71.099999999999994</v>
      </c>
      <c r="S712" s="574">
        <v>8.1</v>
      </c>
      <c r="T712" s="574">
        <v>65.8</v>
      </c>
      <c r="U712" s="574">
        <v>6.2</v>
      </c>
      <c r="V712" s="574">
        <v>68.599999999999994</v>
      </c>
      <c r="W712" s="574">
        <v>7.8</v>
      </c>
      <c r="X712" s="574">
        <v>70.7</v>
      </c>
      <c r="Y712" s="574">
        <v>8.3000000000000007</v>
      </c>
      <c r="Z712" s="574">
        <v>71.099999999999994</v>
      </c>
      <c r="AA712" s="574">
        <v>8.1</v>
      </c>
      <c r="AB712" s="574">
        <v>65.8</v>
      </c>
      <c r="AC712" s="574">
        <v>6.2</v>
      </c>
      <c r="AD712" s="574">
        <v>68.599999999999994</v>
      </c>
      <c r="AE712" s="574">
        <v>68.599999999999994</v>
      </c>
      <c r="AF712">
        <v>712</v>
      </c>
      <c r="AG712" s="438">
        <f>IF(INDEX(D:AE,AF712,ADP!$AF$6)=0,"",INDEX(D:AE,AF712,ADP!$AF$6)+AH712)</f>
        <v>68.60071099999999</v>
      </c>
      <c r="AH712">
        <f t="shared" si="11"/>
        <v>7.1100000000001078E-4</v>
      </c>
    </row>
    <row r="713" spans="1:34" ht="15.75" thickBot="1" x14ac:dyDescent="0.3">
      <c r="A713" s="569" t="s">
        <v>190</v>
      </c>
      <c r="B713" s="569" t="s">
        <v>147</v>
      </c>
      <c r="C713" s="569" t="s">
        <v>6</v>
      </c>
      <c r="D713" s="569"/>
      <c r="E713" s="569"/>
      <c r="F713" s="569">
        <v>163.80000000000001</v>
      </c>
      <c r="G713" s="569">
        <v>15.5</v>
      </c>
      <c r="H713" s="569">
        <v>164.3</v>
      </c>
      <c r="I713" s="569">
        <v>13.2</v>
      </c>
      <c r="J713" s="569"/>
      <c r="K713" s="569"/>
      <c r="L713" s="569">
        <v>163.80000000000001</v>
      </c>
      <c r="M713" s="569">
        <v>15.5</v>
      </c>
      <c r="N713" s="569">
        <v>164.3</v>
      </c>
      <c r="O713" s="569">
        <v>13.2</v>
      </c>
      <c r="P713" s="569"/>
      <c r="Q713" s="569"/>
      <c r="R713" s="569"/>
      <c r="S713" s="569"/>
      <c r="T713" s="569">
        <v>163.80000000000001</v>
      </c>
      <c r="U713" s="569">
        <v>15.5</v>
      </c>
      <c r="V713" s="569">
        <v>164.3</v>
      </c>
      <c r="W713" s="569">
        <v>13.2</v>
      </c>
      <c r="X713" s="569"/>
      <c r="Y713" s="569"/>
      <c r="Z713" s="569"/>
      <c r="AA713" s="569"/>
      <c r="AB713" s="569">
        <v>163.80000000000001</v>
      </c>
      <c r="AC713" s="569">
        <v>15.5</v>
      </c>
      <c r="AD713" s="569">
        <v>164.3</v>
      </c>
      <c r="AE713" s="569">
        <v>164.3</v>
      </c>
      <c r="AF713">
        <v>713</v>
      </c>
      <c r="AG713" s="438">
        <f>IF(INDEX(D:AE,AF713,ADP!$AF$6)=0,"",INDEX(D:AE,AF713,ADP!$AF$6)+AH713)</f>
        <v>164.300712</v>
      </c>
      <c r="AH713">
        <f t="shared" si="11"/>
        <v>7.120000000000108E-4</v>
      </c>
    </row>
    <row r="714" spans="1:34" ht="15.75" thickBot="1" x14ac:dyDescent="0.3">
      <c r="A714" s="569" t="s">
        <v>2064</v>
      </c>
      <c r="B714" s="569" t="s">
        <v>164</v>
      </c>
      <c r="C714" s="569" t="s">
        <v>6</v>
      </c>
      <c r="D714" s="569">
        <v>126.1</v>
      </c>
      <c r="E714" s="569">
        <v>12.6</v>
      </c>
      <c r="F714" s="569">
        <v>123.7</v>
      </c>
      <c r="G714" s="569">
        <v>10.6</v>
      </c>
      <c r="H714" s="569">
        <v>115.4</v>
      </c>
      <c r="I714" s="569">
        <v>13</v>
      </c>
      <c r="J714" s="569">
        <v>126.1</v>
      </c>
      <c r="K714" s="569">
        <v>12.6</v>
      </c>
      <c r="L714" s="569">
        <v>123.7</v>
      </c>
      <c r="M714" s="569">
        <v>10.6</v>
      </c>
      <c r="N714" s="569">
        <v>115.4</v>
      </c>
      <c r="O714" s="569">
        <v>13</v>
      </c>
      <c r="P714" s="569">
        <v>128.4</v>
      </c>
      <c r="Q714" s="569">
        <v>10</v>
      </c>
      <c r="R714" s="569">
        <v>126.1</v>
      </c>
      <c r="S714" s="569">
        <v>12.6</v>
      </c>
      <c r="T714" s="569">
        <v>123.7</v>
      </c>
      <c r="U714" s="569">
        <v>10.6</v>
      </c>
      <c r="V714" s="569">
        <v>115.4</v>
      </c>
      <c r="W714" s="569">
        <v>13</v>
      </c>
      <c r="X714" s="569">
        <v>128.4</v>
      </c>
      <c r="Y714" s="569">
        <v>10</v>
      </c>
      <c r="Z714" s="569">
        <v>126.1</v>
      </c>
      <c r="AA714" s="569">
        <v>12.6</v>
      </c>
      <c r="AB714" s="569">
        <v>123.7</v>
      </c>
      <c r="AC714" s="569">
        <v>10.6</v>
      </c>
      <c r="AD714" s="569">
        <v>115.4</v>
      </c>
      <c r="AE714" s="569">
        <v>115.4</v>
      </c>
      <c r="AF714">
        <v>714</v>
      </c>
      <c r="AG714" s="438">
        <f>IF(INDEX(D:AE,AF714,ADP!$AF$6)=0,"",INDEX(D:AE,AF714,ADP!$AF$6)+AH714)</f>
        <v>115.40071300000001</v>
      </c>
      <c r="AH714">
        <f t="shared" si="11"/>
        <v>7.1300000000001083E-4</v>
      </c>
    </row>
    <row r="715" spans="1:34" ht="15.75" thickBot="1" x14ac:dyDescent="0.3">
      <c r="A715" s="569" t="s">
        <v>1871</v>
      </c>
      <c r="B715" s="569" t="s">
        <v>138</v>
      </c>
      <c r="C715" s="569" t="s">
        <v>3</v>
      </c>
      <c r="D715" s="574">
        <v>46.8</v>
      </c>
      <c r="E715" s="574">
        <v>4.3</v>
      </c>
      <c r="F715" s="574">
        <v>50.2</v>
      </c>
      <c r="G715" s="574">
        <v>4.9000000000000004</v>
      </c>
      <c r="H715" s="574">
        <v>56.5</v>
      </c>
      <c r="I715" s="574">
        <v>7.7</v>
      </c>
      <c r="J715" s="574">
        <v>46.8</v>
      </c>
      <c r="K715" s="574">
        <v>4.3</v>
      </c>
      <c r="L715" s="574">
        <v>50.2</v>
      </c>
      <c r="M715" s="574">
        <v>4.9000000000000004</v>
      </c>
      <c r="N715" s="574">
        <v>56.5</v>
      </c>
      <c r="O715" s="574">
        <v>7.7</v>
      </c>
      <c r="P715" s="574">
        <v>100</v>
      </c>
      <c r="Q715" s="574">
        <v>16.100000000000001</v>
      </c>
      <c r="R715" s="574">
        <v>46.8</v>
      </c>
      <c r="S715" s="574">
        <v>4.3</v>
      </c>
      <c r="T715" s="574">
        <v>50.2</v>
      </c>
      <c r="U715" s="574">
        <v>4.9000000000000004</v>
      </c>
      <c r="V715" s="574">
        <v>56.5</v>
      </c>
      <c r="W715" s="574">
        <v>7.7</v>
      </c>
      <c r="X715" s="574">
        <v>100</v>
      </c>
      <c r="Y715" s="574">
        <v>16.100000000000001</v>
      </c>
      <c r="Z715" s="574">
        <v>46.8</v>
      </c>
      <c r="AA715" s="574">
        <v>4.3</v>
      </c>
      <c r="AB715" s="574">
        <v>50.2</v>
      </c>
      <c r="AC715" s="574">
        <v>4.9000000000000004</v>
      </c>
      <c r="AD715" s="574">
        <v>56.5</v>
      </c>
      <c r="AE715" s="574">
        <v>56.5</v>
      </c>
      <c r="AF715">
        <v>715</v>
      </c>
      <c r="AG715" s="438">
        <f>IF(INDEX(D:AE,AF715,ADP!$AF$6)=0,"",INDEX(D:AE,AF715,ADP!$AF$6)+AH715)</f>
        <v>56.500714000000002</v>
      </c>
      <c r="AH715">
        <f t="shared" si="11"/>
        <v>7.1400000000001085E-4</v>
      </c>
    </row>
    <row r="716" spans="1:34" ht="15.75" thickBot="1" x14ac:dyDescent="0.3">
      <c r="A716" s="569" t="s">
        <v>1401</v>
      </c>
      <c r="B716" s="569" t="s">
        <v>164</v>
      </c>
      <c r="C716" s="569" t="s">
        <v>6</v>
      </c>
      <c r="D716" s="569"/>
      <c r="E716" s="569"/>
      <c r="F716" s="569"/>
      <c r="G716" s="569"/>
      <c r="H716" s="569"/>
      <c r="I716" s="569"/>
      <c r="J716" s="569"/>
      <c r="K716" s="569"/>
      <c r="L716" s="569"/>
      <c r="M716" s="569"/>
      <c r="N716" s="569"/>
      <c r="O716" s="569"/>
      <c r="P716" s="569"/>
      <c r="Q716" s="569"/>
      <c r="R716" s="569"/>
      <c r="S716" s="569"/>
      <c r="T716" s="569"/>
      <c r="U716" s="569"/>
      <c r="V716" s="569"/>
      <c r="W716" s="569"/>
      <c r="X716" s="569"/>
      <c r="Y716" s="569"/>
      <c r="Z716" s="569"/>
      <c r="AA716" s="569"/>
      <c r="AB716" s="569"/>
      <c r="AC716" s="569"/>
      <c r="AD716" s="569"/>
      <c r="AE716" s="569"/>
      <c r="AF716">
        <v>716</v>
      </c>
      <c r="AG716" s="438" t="str">
        <f>IF(INDEX(D:AE,AF716,ADP!$AF$6)=0,"",INDEX(D:AE,AF716,ADP!$AF$6)+AH716)</f>
        <v/>
      </c>
      <c r="AH716">
        <f t="shared" si="11"/>
        <v>7.1500000000001087E-4</v>
      </c>
    </row>
    <row r="717" spans="1:34" ht="15.75" thickBot="1" x14ac:dyDescent="0.3">
      <c r="A717" s="569" t="s">
        <v>2327</v>
      </c>
      <c r="B717" s="569" t="s">
        <v>158</v>
      </c>
      <c r="C717" s="569" t="s">
        <v>6</v>
      </c>
      <c r="D717" s="569"/>
      <c r="E717" s="569"/>
      <c r="F717" s="569">
        <v>166</v>
      </c>
      <c r="G717" s="569">
        <v>23.3</v>
      </c>
      <c r="H717" s="569">
        <v>157.9</v>
      </c>
      <c r="I717" s="569">
        <v>15.1</v>
      </c>
      <c r="J717" s="569"/>
      <c r="K717" s="569"/>
      <c r="L717" s="569">
        <v>166</v>
      </c>
      <c r="M717" s="569">
        <v>23.3</v>
      </c>
      <c r="N717" s="569">
        <v>157.9</v>
      </c>
      <c r="O717" s="569">
        <v>15.1</v>
      </c>
      <c r="P717" s="569"/>
      <c r="Q717" s="569"/>
      <c r="R717" s="569"/>
      <c r="S717" s="569"/>
      <c r="T717" s="569">
        <v>166</v>
      </c>
      <c r="U717" s="569">
        <v>23.3</v>
      </c>
      <c r="V717" s="569">
        <v>157.9</v>
      </c>
      <c r="W717" s="569">
        <v>15.1</v>
      </c>
      <c r="X717" s="569"/>
      <c r="Y717" s="569"/>
      <c r="Z717" s="569"/>
      <c r="AA717" s="569"/>
      <c r="AB717" s="569">
        <v>166</v>
      </c>
      <c r="AC717" s="569">
        <v>23.3</v>
      </c>
      <c r="AD717" s="569">
        <v>157.9</v>
      </c>
      <c r="AE717" s="569">
        <v>157.9</v>
      </c>
      <c r="AF717">
        <v>717</v>
      </c>
      <c r="AG717" s="438">
        <f>IF(INDEX(D:AE,AF717,ADP!$AF$6)=0,"",INDEX(D:AE,AF717,ADP!$AF$6)+AH717)</f>
        <v>157.90071600000002</v>
      </c>
      <c r="AH717">
        <f t="shared" si="11"/>
        <v>7.160000000000109E-4</v>
      </c>
    </row>
    <row r="718" spans="1:34" ht="15.75" thickBot="1" x14ac:dyDescent="0.3">
      <c r="A718" s="569" t="s">
        <v>2120</v>
      </c>
      <c r="B718" s="569" t="s">
        <v>166</v>
      </c>
      <c r="C718" s="569" t="s">
        <v>3</v>
      </c>
      <c r="D718" s="569"/>
      <c r="E718" s="569"/>
      <c r="F718" s="569"/>
      <c r="G718" s="569"/>
      <c r="H718" s="569"/>
      <c r="I718" s="569"/>
      <c r="J718" s="569"/>
      <c r="K718" s="569"/>
      <c r="L718" s="569"/>
      <c r="M718" s="569"/>
      <c r="N718" s="569"/>
      <c r="O718" s="569"/>
      <c r="P718" s="569"/>
      <c r="Q718" s="569"/>
      <c r="R718" s="569"/>
      <c r="S718" s="569"/>
      <c r="T718" s="569"/>
      <c r="U718" s="569"/>
      <c r="V718" s="569"/>
      <c r="W718" s="569"/>
      <c r="X718" s="569"/>
      <c r="Y718" s="569"/>
      <c r="Z718" s="569"/>
      <c r="AA718" s="569"/>
      <c r="AB718" s="569"/>
      <c r="AC718" s="569"/>
      <c r="AD718" s="569"/>
      <c r="AE718" s="569"/>
      <c r="AF718">
        <v>718</v>
      </c>
      <c r="AG718" s="438" t="str">
        <f>IF(INDEX(D:AE,AF718,ADP!$AF$6)=0,"",INDEX(D:AE,AF718,ADP!$AF$6)+AH718)</f>
        <v/>
      </c>
      <c r="AH718">
        <f t="shared" si="11"/>
        <v>7.1700000000001092E-4</v>
      </c>
    </row>
    <row r="719" spans="1:34" ht="15.75" thickBot="1" x14ac:dyDescent="0.3">
      <c r="A719" s="569" t="s">
        <v>2109</v>
      </c>
      <c r="B719" s="569" t="s">
        <v>144</v>
      </c>
      <c r="C719" s="569" t="s">
        <v>7</v>
      </c>
      <c r="D719" s="569"/>
      <c r="E719" s="569"/>
      <c r="F719" s="574"/>
      <c r="G719" s="574"/>
      <c r="H719" s="569"/>
      <c r="I719" s="569"/>
      <c r="J719" s="569"/>
      <c r="K719" s="569"/>
      <c r="L719" s="574"/>
      <c r="M719" s="574"/>
      <c r="N719" s="569"/>
      <c r="O719" s="569"/>
      <c r="P719" s="569"/>
      <c r="Q719" s="569"/>
      <c r="R719" s="569"/>
      <c r="S719" s="569"/>
      <c r="T719" s="574"/>
      <c r="U719" s="574"/>
      <c r="V719" s="569"/>
      <c r="W719" s="569"/>
      <c r="X719" s="569"/>
      <c r="Y719" s="569"/>
      <c r="Z719" s="569"/>
      <c r="AA719" s="569"/>
      <c r="AB719" s="574"/>
      <c r="AC719" s="574"/>
      <c r="AD719" s="569"/>
      <c r="AE719" s="569"/>
      <c r="AF719">
        <v>719</v>
      </c>
      <c r="AG719" s="438" t="str">
        <f>IF(INDEX(D:AE,AF719,ADP!$AF$6)=0,"",INDEX(D:AE,AF719,ADP!$AF$6)+AH719)</f>
        <v/>
      </c>
      <c r="AH719">
        <f t="shared" si="11"/>
        <v>7.1800000000001095E-4</v>
      </c>
    </row>
    <row r="720" spans="1:34" ht="15.75" thickBot="1" x14ac:dyDescent="0.3">
      <c r="A720" s="569" t="s">
        <v>2086</v>
      </c>
      <c r="B720" s="569" t="s">
        <v>139</v>
      </c>
      <c r="C720" s="569" t="s">
        <v>3</v>
      </c>
      <c r="D720" s="569">
        <v>85.5</v>
      </c>
      <c r="E720" s="569">
        <v>5.6</v>
      </c>
      <c r="F720" s="569">
        <v>85.4</v>
      </c>
      <c r="G720" s="569">
        <v>6.1</v>
      </c>
      <c r="H720" s="569">
        <v>92</v>
      </c>
      <c r="I720" s="569">
        <v>6</v>
      </c>
      <c r="J720" s="569">
        <v>85.5</v>
      </c>
      <c r="K720" s="569">
        <v>5.6</v>
      </c>
      <c r="L720" s="569">
        <v>85.4</v>
      </c>
      <c r="M720" s="569">
        <v>6.1</v>
      </c>
      <c r="N720" s="569">
        <v>92</v>
      </c>
      <c r="O720" s="569">
        <v>6</v>
      </c>
      <c r="P720" s="569">
        <v>87.6</v>
      </c>
      <c r="Q720" s="569">
        <v>6.7</v>
      </c>
      <c r="R720" s="569">
        <v>85.5</v>
      </c>
      <c r="S720" s="569">
        <v>5.6</v>
      </c>
      <c r="T720" s="569">
        <v>85.4</v>
      </c>
      <c r="U720" s="569">
        <v>6.1</v>
      </c>
      <c r="V720" s="569">
        <v>92</v>
      </c>
      <c r="W720" s="569">
        <v>6</v>
      </c>
      <c r="X720" s="569">
        <v>87.6</v>
      </c>
      <c r="Y720" s="569">
        <v>6.7</v>
      </c>
      <c r="Z720" s="569">
        <v>85.5</v>
      </c>
      <c r="AA720" s="569">
        <v>5.6</v>
      </c>
      <c r="AB720" s="569">
        <v>85.4</v>
      </c>
      <c r="AC720" s="569">
        <v>6.1</v>
      </c>
      <c r="AD720" s="569">
        <v>92</v>
      </c>
      <c r="AE720" s="569">
        <v>92</v>
      </c>
      <c r="AF720">
        <v>720</v>
      </c>
      <c r="AG720" s="438">
        <f>IF(INDEX(D:AE,AF720,ADP!$AF$6)=0,"",INDEX(D:AE,AF720,ADP!$AF$6)+AH720)</f>
        <v>92.000719000000004</v>
      </c>
      <c r="AH720">
        <f t="shared" si="11"/>
        <v>7.1900000000001097E-4</v>
      </c>
    </row>
    <row r="721" spans="1:34" ht="15.75" thickBot="1" x14ac:dyDescent="0.3">
      <c r="A721" s="569" t="s">
        <v>1861</v>
      </c>
      <c r="B721" s="569" t="s">
        <v>137</v>
      </c>
      <c r="C721" s="569" t="s">
        <v>6</v>
      </c>
      <c r="D721" s="569">
        <v>12.8</v>
      </c>
      <c r="E721" s="569">
        <v>3</v>
      </c>
      <c r="F721" s="569">
        <v>13.2</v>
      </c>
      <c r="G721" s="569">
        <v>2.2000000000000002</v>
      </c>
      <c r="H721" s="569">
        <v>12.4</v>
      </c>
      <c r="I721" s="569">
        <v>2.4</v>
      </c>
      <c r="J721" s="569">
        <v>12.8</v>
      </c>
      <c r="K721" s="569">
        <v>3</v>
      </c>
      <c r="L721" s="569">
        <v>13.2</v>
      </c>
      <c r="M721" s="569">
        <v>2.2000000000000002</v>
      </c>
      <c r="N721" s="569">
        <v>12.4</v>
      </c>
      <c r="O721" s="569">
        <v>2.4</v>
      </c>
      <c r="P721" s="569">
        <v>20.3</v>
      </c>
      <c r="Q721" s="569">
        <v>3.4</v>
      </c>
      <c r="R721" s="569">
        <v>12.8</v>
      </c>
      <c r="S721" s="569">
        <v>3</v>
      </c>
      <c r="T721" s="569">
        <v>13.2</v>
      </c>
      <c r="U721" s="569">
        <v>2.2000000000000002</v>
      </c>
      <c r="V721" s="569">
        <v>12.4</v>
      </c>
      <c r="W721" s="569">
        <v>2.4</v>
      </c>
      <c r="X721" s="569">
        <v>20.3</v>
      </c>
      <c r="Y721" s="569">
        <v>3.4</v>
      </c>
      <c r="Z721" s="569">
        <v>12.8</v>
      </c>
      <c r="AA721" s="569">
        <v>3</v>
      </c>
      <c r="AB721" s="569">
        <v>13.2</v>
      </c>
      <c r="AC721" s="569">
        <v>2.2000000000000002</v>
      </c>
      <c r="AD721" s="569">
        <v>12.4</v>
      </c>
      <c r="AE721" s="569">
        <v>12.4</v>
      </c>
      <c r="AF721">
        <v>721</v>
      </c>
      <c r="AG721" s="438">
        <f>IF(INDEX(D:AE,AF721,ADP!$AF$6)=0,"",INDEX(D:AE,AF721,ADP!$AF$6)+AH721)</f>
        <v>12.40072</v>
      </c>
      <c r="AH721">
        <f t="shared" si="11"/>
        <v>7.20000000000011E-4</v>
      </c>
    </row>
    <row r="722" spans="1:34" ht="15.75" thickBot="1" x14ac:dyDescent="0.3">
      <c r="A722" s="569" t="s">
        <v>2539</v>
      </c>
      <c r="B722" s="569" t="s">
        <v>2073</v>
      </c>
      <c r="C722" s="569" t="s">
        <v>1</v>
      </c>
      <c r="D722" s="569"/>
      <c r="E722" s="569"/>
      <c r="F722" s="569"/>
      <c r="G722" s="569"/>
      <c r="H722" s="569"/>
      <c r="I722" s="569"/>
      <c r="J722" s="569"/>
      <c r="K722" s="569"/>
      <c r="L722" s="569"/>
      <c r="M722" s="569"/>
      <c r="N722" s="569"/>
      <c r="O722" s="569"/>
      <c r="P722" s="569"/>
      <c r="Q722" s="569"/>
      <c r="R722" s="569"/>
      <c r="S722" s="569"/>
      <c r="T722" s="569"/>
      <c r="U722" s="569"/>
      <c r="V722" s="569"/>
      <c r="W722" s="569"/>
      <c r="X722" s="569"/>
      <c r="Y722" s="569"/>
      <c r="Z722" s="569"/>
      <c r="AA722" s="569"/>
      <c r="AB722" s="569"/>
      <c r="AC722" s="569"/>
      <c r="AD722" s="569"/>
      <c r="AE722" s="569"/>
      <c r="AF722">
        <v>722</v>
      </c>
      <c r="AG722" s="438" t="str">
        <f>IF(INDEX(D:AE,AF722,ADP!$AF$6)=0,"",INDEX(D:AE,AF722,ADP!$AF$6)+AH722)</f>
        <v/>
      </c>
      <c r="AH722">
        <f t="shared" si="11"/>
        <v>7.2100000000001102E-4</v>
      </c>
    </row>
    <row r="723" spans="1:34" ht="15.75" thickBot="1" x14ac:dyDescent="0.3">
      <c r="A723" s="569" t="s">
        <v>2107</v>
      </c>
      <c r="B723" s="569" t="s">
        <v>144</v>
      </c>
      <c r="C723" s="569" t="s">
        <v>7</v>
      </c>
      <c r="D723" s="569"/>
      <c r="E723" s="569"/>
      <c r="F723" s="569"/>
      <c r="G723" s="569"/>
      <c r="H723" s="569"/>
      <c r="I723" s="569"/>
      <c r="J723" s="569"/>
      <c r="K723" s="569"/>
      <c r="L723" s="569"/>
      <c r="M723" s="569"/>
      <c r="N723" s="569"/>
      <c r="O723" s="569"/>
      <c r="P723" s="569"/>
      <c r="Q723" s="569"/>
      <c r="R723" s="569"/>
      <c r="S723" s="569"/>
      <c r="T723" s="569"/>
      <c r="U723" s="569"/>
      <c r="V723" s="569"/>
      <c r="W723" s="569"/>
      <c r="X723" s="569"/>
      <c r="Y723" s="569"/>
      <c r="Z723" s="569"/>
      <c r="AA723" s="569"/>
      <c r="AB723" s="569"/>
      <c r="AC723" s="569"/>
      <c r="AD723" s="569"/>
      <c r="AE723" s="569"/>
      <c r="AF723">
        <v>723</v>
      </c>
      <c r="AG723" s="438" t="str">
        <f>IF(INDEX(D:AE,AF723,ADP!$AF$6)=0,"",INDEX(D:AE,AF723,ADP!$AF$6)+AH723)</f>
        <v/>
      </c>
      <c r="AH723">
        <f t="shared" si="11"/>
        <v>7.2200000000001104E-4</v>
      </c>
    </row>
    <row r="724" spans="1:34" ht="15.75" thickBot="1" x14ac:dyDescent="0.3">
      <c r="A724" s="569" t="s">
        <v>1249</v>
      </c>
      <c r="B724" s="569" t="s">
        <v>159</v>
      </c>
      <c r="C724" s="569" t="s">
        <v>6</v>
      </c>
      <c r="D724" s="569">
        <v>147.6</v>
      </c>
      <c r="E724" s="569">
        <v>17.8</v>
      </c>
      <c r="F724" s="569">
        <v>129</v>
      </c>
      <c r="G724" s="569">
        <v>11.7</v>
      </c>
      <c r="H724" s="569">
        <v>126.2</v>
      </c>
      <c r="I724" s="569">
        <v>11.4</v>
      </c>
      <c r="J724" s="569">
        <v>147.6</v>
      </c>
      <c r="K724" s="569">
        <v>17.8</v>
      </c>
      <c r="L724" s="569">
        <v>129</v>
      </c>
      <c r="M724" s="569">
        <v>11.7</v>
      </c>
      <c r="N724" s="569">
        <v>126.2</v>
      </c>
      <c r="O724" s="569">
        <v>11.4</v>
      </c>
      <c r="P724" s="569">
        <v>131.1</v>
      </c>
      <c r="Q724" s="569">
        <v>9</v>
      </c>
      <c r="R724" s="569">
        <v>147.6</v>
      </c>
      <c r="S724" s="569">
        <v>17.8</v>
      </c>
      <c r="T724" s="569">
        <v>129</v>
      </c>
      <c r="U724" s="569">
        <v>11.7</v>
      </c>
      <c r="V724" s="569">
        <v>126.2</v>
      </c>
      <c r="W724" s="569">
        <v>11.4</v>
      </c>
      <c r="X724" s="569">
        <v>131.1</v>
      </c>
      <c r="Y724" s="569">
        <v>9</v>
      </c>
      <c r="Z724" s="569">
        <v>147.6</v>
      </c>
      <c r="AA724" s="569">
        <v>17.8</v>
      </c>
      <c r="AB724" s="569">
        <v>129</v>
      </c>
      <c r="AC724" s="569">
        <v>11.7</v>
      </c>
      <c r="AD724" s="569">
        <v>126.2</v>
      </c>
      <c r="AE724" s="569">
        <v>126.2</v>
      </c>
      <c r="AF724">
        <v>724</v>
      </c>
      <c r="AG724" s="438">
        <f>IF(INDEX(D:AE,AF724,ADP!$AF$6)=0,"",INDEX(D:AE,AF724,ADP!$AF$6)+AH724)</f>
        <v>126.200723</v>
      </c>
      <c r="AH724">
        <f t="shared" si="11"/>
        <v>7.2300000000001107E-4</v>
      </c>
    </row>
    <row r="725" spans="1:34" ht="15.75" thickBot="1" x14ac:dyDescent="0.3">
      <c r="A725" s="569" t="s">
        <v>2314</v>
      </c>
      <c r="B725" s="569" t="s">
        <v>143</v>
      </c>
      <c r="C725" s="569" t="s">
        <v>3</v>
      </c>
      <c r="D725" s="574"/>
      <c r="E725" s="574"/>
      <c r="F725" s="574"/>
      <c r="G725" s="574"/>
      <c r="H725" s="574"/>
      <c r="I725" s="574"/>
      <c r="J725" s="574"/>
      <c r="K725" s="574"/>
      <c r="L725" s="574"/>
      <c r="M725" s="574"/>
      <c r="N725" s="574"/>
      <c r="O725" s="574"/>
      <c r="P725" s="569"/>
      <c r="Q725" s="569"/>
      <c r="R725" s="574"/>
      <c r="S725" s="574"/>
      <c r="T725" s="574"/>
      <c r="U725" s="574"/>
      <c r="V725" s="574"/>
      <c r="W725" s="574"/>
      <c r="X725" s="569"/>
      <c r="Y725" s="569"/>
      <c r="Z725" s="574"/>
      <c r="AA725" s="574"/>
      <c r="AB725" s="574"/>
      <c r="AC725" s="574"/>
      <c r="AD725" s="574"/>
      <c r="AE725" s="574"/>
      <c r="AF725">
        <v>725</v>
      </c>
      <c r="AG725" s="438" t="str">
        <f>IF(INDEX(D:AE,AF725,ADP!$AF$6)=0,"",INDEX(D:AE,AF725,ADP!$AF$6)+AH725)</f>
        <v/>
      </c>
      <c r="AH725">
        <f t="shared" si="11"/>
        <v>7.2400000000001109E-4</v>
      </c>
    </row>
    <row r="726" spans="1:34" ht="15.75" thickBot="1" x14ac:dyDescent="0.3">
      <c r="A726" s="569" t="s">
        <v>2563</v>
      </c>
      <c r="B726" s="569" t="s">
        <v>138</v>
      </c>
      <c r="C726" s="569" t="s">
        <v>3</v>
      </c>
      <c r="D726" s="569"/>
      <c r="E726" s="569"/>
      <c r="F726" s="569"/>
      <c r="G726" s="569"/>
      <c r="H726" s="569"/>
      <c r="I726" s="569"/>
      <c r="J726" s="569"/>
      <c r="K726" s="569"/>
      <c r="L726" s="569"/>
      <c r="M726" s="569"/>
      <c r="N726" s="569"/>
      <c r="O726" s="569"/>
      <c r="P726" s="569"/>
      <c r="Q726" s="569"/>
      <c r="R726" s="569"/>
      <c r="S726" s="569"/>
      <c r="T726" s="569"/>
      <c r="U726" s="569"/>
      <c r="V726" s="569"/>
      <c r="W726" s="569"/>
      <c r="X726" s="569"/>
      <c r="Y726" s="569"/>
      <c r="Z726" s="569"/>
      <c r="AA726" s="569"/>
      <c r="AB726" s="569"/>
      <c r="AC726" s="569"/>
      <c r="AD726" s="569"/>
      <c r="AE726" s="569"/>
      <c r="AF726">
        <v>726</v>
      </c>
      <c r="AG726" s="438" t="str">
        <f>IF(INDEX(D:AE,AF726,ADP!$AF$6)=0,"",INDEX(D:AE,AF726,ADP!$AF$6)+AH726)</f>
        <v/>
      </c>
      <c r="AH726">
        <f t="shared" si="11"/>
        <v>7.2500000000001112E-4</v>
      </c>
    </row>
    <row r="727" spans="1:34" ht="15.75" thickBot="1" x14ac:dyDescent="0.3">
      <c r="A727" s="569" t="s">
        <v>13</v>
      </c>
      <c r="B727" s="569" t="s">
        <v>164</v>
      </c>
      <c r="C727" s="569" t="s">
        <v>1</v>
      </c>
      <c r="D727" s="569">
        <v>100.7</v>
      </c>
      <c r="E727" s="569">
        <v>8.6999999999999993</v>
      </c>
      <c r="F727" s="569">
        <v>101.8</v>
      </c>
      <c r="G727" s="569">
        <v>10.1</v>
      </c>
      <c r="H727" s="569">
        <v>104.3</v>
      </c>
      <c r="I727" s="569">
        <v>13.6</v>
      </c>
      <c r="J727" s="569">
        <v>100.7</v>
      </c>
      <c r="K727" s="569">
        <v>8.6999999999999993</v>
      </c>
      <c r="L727" s="569">
        <v>101.8</v>
      </c>
      <c r="M727" s="569">
        <v>10.1</v>
      </c>
      <c r="N727" s="569">
        <v>104.3</v>
      </c>
      <c r="O727" s="569">
        <v>13.6</v>
      </c>
      <c r="P727" s="569">
        <v>29.5</v>
      </c>
      <c r="Q727" s="569">
        <v>5.4</v>
      </c>
      <c r="R727" s="569">
        <v>100.7</v>
      </c>
      <c r="S727" s="569">
        <v>8.6999999999999993</v>
      </c>
      <c r="T727" s="569">
        <v>101.8</v>
      </c>
      <c r="U727" s="569">
        <v>10.1</v>
      </c>
      <c r="V727" s="569">
        <v>104.3</v>
      </c>
      <c r="W727" s="569">
        <v>13.6</v>
      </c>
      <c r="X727" s="569">
        <v>29.5</v>
      </c>
      <c r="Y727" s="569">
        <v>5.4</v>
      </c>
      <c r="Z727" s="569">
        <v>100.7</v>
      </c>
      <c r="AA727" s="569">
        <v>8.6999999999999993</v>
      </c>
      <c r="AB727" s="569">
        <v>101.8</v>
      </c>
      <c r="AC727" s="569">
        <v>10.1</v>
      </c>
      <c r="AD727" s="569">
        <v>104.3</v>
      </c>
      <c r="AE727" s="569">
        <v>104.3</v>
      </c>
      <c r="AF727">
        <v>727</v>
      </c>
      <c r="AG727" s="438">
        <f>IF(INDEX(D:AE,AF727,ADP!$AF$6)=0,"",INDEX(D:AE,AF727,ADP!$AF$6)+AH727)</f>
        <v>104.300726</v>
      </c>
      <c r="AH727">
        <f t="shared" si="11"/>
        <v>7.2600000000001114E-4</v>
      </c>
    </row>
    <row r="728" spans="1:34" ht="15.75" thickBot="1" x14ac:dyDescent="0.3">
      <c r="A728" s="569" t="s">
        <v>1436</v>
      </c>
      <c r="B728" s="569" t="s">
        <v>139</v>
      </c>
      <c r="C728" s="569" t="s">
        <v>3</v>
      </c>
      <c r="D728" s="574">
        <v>40.1</v>
      </c>
      <c r="E728" s="574">
        <v>4</v>
      </c>
      <c r="F728" s="574">
        <v>35.6</v>
      </c>
      <c r="G728" s="574">
        <v>5.6</v>
      </c>
      <c r="H728" s="574">
        <v>38.9</v>
      </c>
      <c r="I728" s="574">
        <v>4.5</v>
      </c>
      <c r="J728" s="574">
        <v>40.1</v>
      </c>
      <c r="K728" s="574">
        <v>4</v>
      </c>
      <c r="L728" s="574">
        <v>35.6</v>
      </c>
      <c r="M728" s="574">
        <v>5.6</v>
      </c>
      <c r="N728" s="574">
        <v>38.9</v>
      </c>
      <c r="O728" s="574">
        <v>4.5</v>
      </c>
      <c r="P728" s="574">
        <v>39.700000000000003</v>
      </c>
      <c r="Q728" s="574">
        <v>4.7</v>
      </c>
      <c r="R728" s="574">
        <v>40.1</v>
      </c>
      <c r="S728" s="574">
        <v>4</v>
      </c>
      <c r="T728" s="574">
        <v>35.6</v>
      </c>
      <c r="U728" s="574">
        <v>5.6</v>
      </c>
      <c r="V728" s="574">
        <v>38.9</v>
      </c>
      <c r="W728" s="574">
        <v>4.5</v>
      </c>
      <c r="X728" s="574">
        <v>39.700000000000003</v>
      </c>
      <c r="Y728" s="574">
        <v>4.7</v>
      </c>
      <c r="Z728" s="574">
        <v>40.1</v>
      </c>
      <c r="AA728" s="574">
        <v>4</v>
      </c>
      <c r="AB728" s="574">
        <v>35.6</v>
      </c>
      <c r="AC728" s="574">
        <v>5.6</v>
      </c>
      <c r="AD728" s="574">
        <v>38.9</v>
      </c>
      <c r="AE728" s="574">
        <v>38.9</v>
      </c>
      <c r="AF728">
        <v>728</v>
      </c>
      <c r="AG728" s="438">
        <f>IF(INDEX(D:AE,AF728,ADP!$AF$6)=0,"",INDEX(D:AE,AF728,ADP!$AF$6)+AH728)</f>
        <v>38.900726999999996</v>
      </c>
      <c r="AH728">
        <f t="shared" si="11"/>
        <v>7.2700000000001117E-4</v>
      </c>
    </row>
    <row r="729" spans="1:34" ht="15.75" thickBot="1" x14ac:dyDescent="0.3">
      <c r="A729" s="569"/>
      <c r="B729" s="569"/>
      <c r="C729" s="569" t="s">
        <v>1</v>
      </c>
      <c r="D729" s="574"/>
      <c r="E729" s="574"/>
      <c r="F729" s="574"/>
      <c r="G729" s="574"/>
      <c r="H729" s="574"/>
      <c r="I729" s="574"/>
      <c r="J729" s="574"/>
      <c r="K729" s="574"/>
      <c r="L729" s="574"/>
      <c r="M729" s="574"/>
      <c r="N729" s="574"/>
      <c r="O729" s="574"/>
      <c r="P729" s="574"/>
      <c r="Q729" s="574"/>
      <c r="R729" s="574"/>
      <c r="S729" s="574"/>
      <c r="T729" s="574"/>
      <c r="U729" s="574"/>
      <c r="V729" s="574"/>
      <c r="W729" s="574"/>
      <c r="X729" s="574"/>
      <c r="Y729" s="574"/>
      <c r="Z729" s="574"/>
      <c r="AA729" s="574"/>
      <c r="AB729" s="574"/>
      <c r="AC729" s="574"/>
      <c r="AD729" s="574"/>
      <c r="AE729" s="574"/>
      <c r="AF729">
        <v>729</v>
      </c>
      <c r="AG729" s="438" t="str">
        <f>IF(INDEX(D:AE,AF729,ADP!$AF$6)=0,"",INDEX(D:AE,AF729,ADP!$AF$6)+AH729)</f>
        <v/>
      </c>
      <c r="AH729">
        <f t="shared" si="11"/>
        <v>7.2800000000001119E-4</v>
      </c>
    </row>
    <row r="730" spans="1:34" ht="15.75" thickBot="1" x14ac:dyDescent="0.3">
      <c r="A730" s="569"/>
      <c r="B730" s="569"/>
      <c r="C730" s="569" t="s">
        <v>1</v>
      </c>
      <c r="D730" s="574"/>
      <c r="E730" s="574"/>
      <c r="F730" s="574"/>
      <c r="G730" s="574"/>
      <c r="H730" s="574"/>
      <c r="I730" s="574"/>
      <c r="J730" s="574"/>
      <c r="K730" s="574"/>
      <c r="L730" s="574"/>
      <c r="M730" s="574"/>
      <c r="N730" s="574"/>
      <c r="O730" s="574"/>
      <c r="P730" s="574"/>
      <c r="Q730" s="574"/>
      <c r="R730" s="574"/>
      <c r="S730" s="574"/>
      <c r="T730" s="574"/>
      <c r="U730" s="574"/>
      <c r="V730" s="574"/>
      <c r="W730" s="574"/>
      <c r="X730" s="574"/>
      <c r="Y730" s="574"/>
      <c r="Z730" s="574"/>
      <c r="AA730" s="574"/>
      <c r="AB730" s="574"/>
      <c r="AC730" s="574"/>
      <c r="AD730" s="574"/>
      <c r="AE730" s="574"/>
      <c r="AF730">
        <v>730</v>
      </c>
      <c r="AG730" s="438" t="str">
        <f>IF(INDEX(D:AE,AF730,ADP!$AF$6)=0,"",INDEX(D:AE,AF730,ADP!$AF$6)+AH730)</f>
        <v/>
      </c>
      <c r="AH730">
        <f t="shared" si="11"/>
        <v>7.2900000000001121E-4</v>
      </c>
    </row>
    <row r="731" spans="1:34" ht="15.75" thickBot="1" x14ac:dyDescent="0.3">
      <c r="A731" s="569"/>
      <c r="B731" s="569"/>
      <c r="C731" s="569" t="s">
        <v>1</v>
      </c>
      <c r="D731" s="569"/>
      <c r="E731" s="569"/>
      <c r="F731" s="569"/>
      <c r="G731" s="569"/>
      <c r="H731" s="569"/>
      <c r="I731" s="569"/>
      <c r="J731" s="569"/>
      <c r="K731" s="569"/>
      <c r="L731" s="569"/>
      <c r="M731" s="569"/>
      <c r="N731" s="569"/>
      <c r="O731" s="569"/>
      <c r="P731" s="569"/>
      <c r="Q731" s="569"/>
      <c r="R731" s="569"/>
      <c r="S731" s="569"/>
      <c r="T731" s="569"/>
      <c r="U731" s="569"/>
      <c r="V731" s="569"/>
      <c r="W731" s="569"/>
      <c r="X731" s="569"/>
      <c r="Y731" s="569"/>
      <c r="Z731" s="569"/>
      <c r="AA731" s="569"/>
      <c r="AB731" s="569"/>
      <c r="AC731" s="569"/>
      <c r="AD731" s="569"/>
      <c r="AE731" s="569"/>
      <c r="AF731">
        <v>731</v>
      </c>
      <c r="AG731" s="438" t="str">
        <f>IF(INDEX(D:AE,AF731,ADP!$AF$6)=0,"",INDEX(D:AE,AF731,ADP!$AF$6)+AH731)</f>
        <v/>
      </c>
      <c r="AH731">
        <f t="shared" si="11"/>
        <v>7.3000000000001124E-4</v>
      </c>
    </row>
    <row r="732" spans="1:34" ht="15.75" thickBot="1" x14ac:dyDescent="0.3">
      <c r="A732" s="569"/>
      <c r="B732" s="569"/>
      <c r="C732" s="569" t="s">
        <v>1</v>
      </c>
      <c r="D732" s="569"/>
      <c r="E732" s="569"/>
      <c r="F732" s="569"/>
      <c r="G732" s="569"/>
      <c r="H732" s="569"/>
      <c r="I732" s="569"/>
      <c r="J732" s="569"/>
      <c r="K732" s="569"/>
      <c r="L732" s="569"/>
      <c r="M732" s="569"/>
      <c r="N732" s="569"/>
      <c r="O732" s="569"/>
      <c r="P732" s="569"/>
      <c r="Q732" s="569"/>
      <c r="R732" s="569"/>
      <c r="S732" s="569"/>
      <c r="T732" s="569"/>
      <c r="U732" s="569"/>
      <c r="V732" s="569"/>
      <c r="W732" s="569"/>
      <c r="X732" s="569"/>
      <c r="Y732" s="569"/>
      <c r="Z732" s="569"/>
      <c r="AA732" s="569"/>
      <c r="AB732" s="569"/>
      <c r="AC732" s="569"/>
      <c r="AD732" s="569"/>
      <c r="AE732" s="569"/>
      <c r="AF732">
        <v>732</v>
      </c>
      <c r="AG732" s="438" t="str">
        <f>IF(INDEX(D:AE,AF732,ADP!$AF$6)=0,"",INDEX(D:AE,AF732,ADP!$AF$6)+AH732)</f>
        <v/>
      </c>
      <c r="AH732">
        <f t="shared" si="11"/>
        <v>7.3100000000001126E-4</v>
      </c>
    </row>
    <row r="733" spans="1:34" ht="15.75" thickBot="1" x14ac:dyDescent="0.3">
      <c r="A733" s="569"/>
      <c r="B733" s="569"/>
      <c r="C733" s="569" t="s">
        <v>1</v>
      </c>
      <c r="D733" s="569"/>
      <c r="E733" s="569"/>
      <c r="F733" s="569"/>
      <c r="G733" s="569"/>
      <c r="H733" s="569"/>
      <c r="I733" s="569"/>
      <c r="J733" s="569"/>
      <c r="K733" s="569"/>
      <c r="L733" s="569"/>
      <c r="M733" s="569"/>
      <c r="N733" s="569"/>
      <c r="O733" s="569"/>
      <c r="P733" s="569"/>
      <c r="Q733" s="569"/>
      <c r="R733" s="569"/>
      <c r="S733" s="569"/>
      <c r="T733" s="569"/>
      <c r="U733" s="569"/>
      <c r="V733" s="569"/>
      <c r="W733" s="569"/>
      <c r="X733" s="569"/>
      <c r="Y733" s="569"/>
      <c r="Z733" s="569"/>
      <c r="AA733" s="569"/>
      <c r="AB733" s="569"/>
      <c r="AC733" s="569"/>
      <c r="AD733" s="569"/>
      <c r="AE733" s="569"/>
      <c r="AF733">
        <v>733</v>
      </c>
      <c r="AG733" s="438" t="str">
        <f>IF(INDEX(D:AE,AF733,ADP!$AF$6)=0,"",INDEX(D:AE,AF733,ADP!$AF$6)+AH733)</f>
        <v/>
      </c>
      <c r="AH733">
        <f t="shared" si="11"/>
        <v>7.3200000000001129E-4</v>
      </c>
    </row>
    <row r="734" spans="1:34" ht="15.75" thickBot="1" x14ac:dyDescent="0.3">
      <c r="A734" s="569"/>
      <c r="B734" s="569"/>
      <c r="C734" s="569" t="s">
        <v>1</v>
      </c>
      <c r="D734" s="569"/>
      <c r="E734" s="569"/>
      <c r="F734" s="569"/>
      <c r="G734" s="569"/>
      <c r="H734" s="569"/>
      <c r="I734" s="569"/>
      <c r="J734" s="569"/>
      <c r="K734" s="569"/>
      <c r="L734" s="569"/>
      <c r="M734" s="569"/>
      <c r="N734" s="569"/>
      <c r="O734" s="569"/>
      <c r="P734" s="569"/>
      <c r="Q734" s="569"/>
      <c r="R734" s="569"/>
      <c r="S734" s="569"/>
      <c r="T734" s="569"/>
      <c r="U734" s="569"/>
      <c r="V734" s="569"/>
      <c r="W734" s="569"/>
      <c r="X734" s="569"/>
      <c r="Y734" s="569"/>
      <c r="Z734" s="569"/>
      <c r="AA734" s="569"/>
      <c r="AB734" s="569"/>
      <c r="AC734" s="569"/>
      <c r="AD734" s="569"/>
      <c r="AE734" s="569"/>
      <c r="AF734">
        <v>734</v>
      </c>
      <c r="AG734" s="438" t="str">
        <f>IF(INDEX(D:AE,AF734,ADP!$AF$6)=0,"",INDEX(D:AE,AF734,ADP!$AF$6)+AH734)</f>
        <v/>
      </c>
      <c r="AH734">
        <f t="shared" si="11"/>
        <v>7.3300000000001131E-4</v>
      </c>
    </row>
    <row r="735" spans="1:34" ht="15.75" thickBot="1" x14ac:dyDescent="0.3">
      <c r="A735" s="569"/>
      <c r="B735" s="569"/>
      <c r="C735" s="569" t="s">
        <v>1</v>
      </c>
      <c r="D735" s="574"/>
      <c r="E735" s="574"/>
      <c r="F735" s="574"/>
      <c r="G735" s="574"/>
      <c r="H735" s="574"/>
      <c r="I735" s="574"/>
      <c r="J735" s="574"/>
      <c r="K735" s="574"/>
      <c r="L735" s="574"/>
      <c r="M735" s="574"/>
      <c r="N735" s="574"/>
      <c r="O735" s="574"/>
      <c r="P735" s="574"/>
      <c r="Q735" s="574"/>
      <c r="R735" s="574"/>
      <c r="S735" s="574"/>
      <c r="T735" s="574"/>
      <c r="U735" s="574"/>
      <c r="V735" s="574"/>
      <c r="W735" s="574"/>
      <c r="X735" s="574"/>
      <c r="Y735" s="574"/>
      <c r="Z735" s="574"/>
      <c r="AA735" s="574"/>
      <c r="AB735" s="574"/>
      <c r="AC735" s="574"/>
      <c r="AD735" s="574"/>
      <c r="AE735" s="574"/>
      <c r="AF735">
        <v>735</v>
      </c>
      <c r="AG735" s="438" t="str">
        <f>IF(INDEX(D:AE,AF735,ADP!$AF$6)=0,"",INDEX(D:AE,AF735,ADP!$AF$6)+AH735)</f>
        <v/>
      </c>
      <c r="AH735">
        <f t="shared" si="11"/>
        <v>7.3400000000001134E-4</v>
      </c>
    </row>
    <row r="736" spans="1:34" ht="15.75" thickBot="1" x14ac:dyDescent="0.3">
      <c r="A736" s="569"/>
      <c r="B736" s="569"/>
      <c r="C736" s="569" t="s">
        <v>1</v>
      </c>
      <c r="D736" s="569"/>
      <c r="E736" s="569"/>
      <c r="F736" s="569"/>
      <c r="G736" s="569"/>
      <c r="H736" s="569"/>
      <c r="I736" s="569"/>
      <c r="J736" s="569"/>
      <c r="K736" s="569"/>
      <c r="L736" s="569"/>
      <c r="M736" s="569"/>
      <c r="N736" s="569"/>
      <c r="O736" s="569"/>
      <c r="P736" s="569"/>
      <c r="Q736" s="569"/>
      <c r="R736" s="569"/>
      <c r="S736" s="569"/>
      <c r="T736" s="569"/>
      <c r="U736" s="569"/>
      <c r="V736" s="569"/>
      <c r="W736" s="569"/>
      <c r="X736" s="569"/>
      <c r="Y736" s="569"/>
      <c r="Z736" s="569"/>
      <c r="AA736" s="569"/>
      <c r="AB736" s="569"/>
      <c r="AC736" s="569"/>
      <c r="AD736" s="569"/>
      <c r="AE736" s="569"/>
      <c r="AF736">
        <v>736</v>
      </c>
      <c r="AG736" s="438" t="str">
        <f>IF(INDEX(D:AE,AF736,ADP!$AF$6)=0,"",INDEX(D:AE,AF736,ADP!$AF$6)+AH736)</f>
        <v/>
      </c>
      <c r="AH736">
        <f t="shared" si="11"/>
        <v>7.3500000000001136E-4</v>
      </c>
    </row>
    <row r="737" spans="1:34" ht="15.75" thickBot="1" x14ac:dyDescent="0.3">
      <c r="A737" s="569"/>
      <c r="B737" s="569"/>
      <c r="C737" s="569" t="s">
        <v>1</v>
      </c>
      <c r="D737" s="569"/>
      <c r="E737" s="569"/>
      <c r="F737" s="569"/>
      <c r="G737" s="569"/>
      <c r="H737" s="569"/>
      <c r="I737" s="569"/>
      <c r="J737" s="569"/>
      <c r="K737" s="569"/>
      <c r="L737" s="569"/>
      <c r="M737" s="569"/>
      <c r="N737" s="569"/>
      <c r="O737" s="569"/>
      <c r="P737" s="569"/>
      <c r="Q737" s="569"/>
      <c r="R737" s="569"/>
      <c r="S737" s="569"/>
      <c r="T737" s="569"/>
      <c r="U737" s="569"/>
      <c r="V737" s="569"/>
      <c r="W737" s="569"/>
      <c r="X737" s="569"/>
      <c r="Y737" s="569"/>
      <c r="Z737" s="569"/>
      <c r="AA737" s="569"/>
      <c r="AB737" s="569"/>
      <c r="AC737" s="569"/>
      <c r="AD737" s="569"/>
      <c r="AE737" s="569"/>
      <c r="AF737">
        <v>737</v>
      </c>
      <c r="AG737" s="438" t="str">
        <f>IF(INDEX(D:AE,AF737,ADP!$AF$6)=0,"",INDEX(D:AE,AF737,ADP!$AF$6)+AH737)</f>
        <v/>
      </c>
      <c r="AH737">
        <f t="shared" si="11"/>
        <v>7.3600000000001138E-4</v>
      </c>
    </row>
    <row r="738" spans="1:34" ht="15.75" thickBot="1" x14ac:dyDescent="0.3">
      <c r="A738" s="569"/>
      <c r="B738" s="569"/>
      <c r="C738" s="569" t="s">
        <v>1</v>
      </c>
      <c r="D738" s="569"/>
      <c r="E738" s="569"/>
      <c r="F738" s="569"/>
      <c r="G738" s="569"/>
      <c r="H738" s="569"/>
      <c r="I738" s="569"/>
      <c r="J738" s="569"/>
      <c r="K738" s="569"/>
      <c r="L738" s="569"/>
      <c r="M738" s="569"/>
      <c r="N738" s="569"/>
      <c r="O738" s="569"/>
      <c r="P738" s="569"/>
      <c r="Q738" s="569"/>
      <c r="R738" s="569"/>
      <c r="S738" s="569"/>
      <c r="T738" s="569"/>
      <c r="U738" s="569"/>
      <c r="V738" s="569"/>
      <c r="W738" s="569"/>
      <c r="X738" s="569"/>
      <c r="Y738" s="569"/>
      <c r="Z738" s="569"/>
      <c r="AA738" s="569"/>
      <c r="AB738" s="569"/>
      <c r="AC738" s="569"/>
      <c r="AD738" s="569"/>
      <c r="AE738" s="569"/>
      <c r="AF738">
        <v>738</v>
      </c>
      <c r="AG738" s="438" t="str">
        <f>IF(INDEX(D:AE,AF738,ADP!$AF$6)=0,"",INDEX(D:AE,AF738,ADP!$AF$6)+AH738)</f>
        <v/>
      </c>
      <c r="AH738">
        <f t="shared" si="11"/>
        <v>7.3700000000001141E-4</v>
      </c>
    </row>
    <row r="739" spans="1:34" ht="15.75" thickBot="1" x14ac:dyDescent="0.3">
      <c r="A739" s="569"/>
      <c r="B739" s="569"/>
      <c r="C739" s="569" t="s">
        <v>1</v>
      </c>
      <c r="D739" s="569"/>
      <c r="E739" s="569"/>
      <c r="F739" s="569"/>
      <c r="G739" s="569"/>
      <c r="H739" s="569"/>
      <c r="I739" s="569"/>
      <c r="J739" s="569"/>
      <c r="K739" s="569"/>
      <c r="L739" s="569"/>
      <c r="M739" s="569"/>
      <c r="N739" s="569"/>
      <c r="O739" s="569"/>
      <c r="P739" s="569"/>
      <c r="Q739" s="569"/>
      <c r="R739" s="569"/>
      <c r="S739" s="569"/>
      <c r="T739" s="569"/>
      <c r="U739" s="569"/>
      <c r="V739" s="569"/>
      <c r="W739" s="569"/>
      <c r="X739" s="569"/>
      <c r="Y739" s="569"/>
      <c r="Z739" s="569"/>
      <c r="AA739" s="569"/>
      <c r="AB739" s="569"/>
      <c r="AC739" s="569"/>
      <c r="AD739" s="569"/>
      <c r="AE739" s="569"/>
      <c r="AF739">
        <v>739</v>
      </c>
      <c r="AG739" s="438" t="str">
        <f>IF(INDEX(D:AE,AF739,ADP!$AF$6)=0,"",INDEX(D:AE,AF739,ADP!$AF$6)+AH739)</f>
        <v/>
      </c>
      <c r="AH739">
        <f t="shared" si="11"/>
        <v>7.3800000000001143E-4</v>
      </c>
    </row>
    <row r="740" spans="1:34" ht="15.75" thickBot="1" x14ac:dyDescent="0.3">
      <c r="A740" s="569"/>
      <c r="B740" s="569"/>
      <c r="C740" s="569" t="s">
        <v>1</v>
      </c>
      <c r="D740" s="569"/>
      <c r="E740" s="569"/>
      <c r="F740" s="569"/>
      <c r="G740" s="569"/>
      <c r="H740" s="569"/>
      <c r="I740" s="569"/>
      <c r="J740" s="569"/>
      <c r="K740" s="569"/>
      <c r="L740" s="569"/>
      <c r="M740" s="569"/>
      <c r="N740" s="569"/>
      <c r="O740" s="569"/>
      <c r="P740" s="569"/>
      <c r="Q740" s="569"/>
      <c r="R740" s="569"/>
      <c r="S740" s="569"/>
      <c r="T740" s="569"/>
      <c r="U740" s="569"/>
      <c r="V740" s="569"/>
      <c r="W740" s="569"/>
      <c r="X740" s="569"/>
      <c r="Y740" s="569"/>
      <c r="Z740" s="569"/>
      <c r="AA740" s="569"/>
      <c r="AB740" s="569"/>
      <c r="AC740" s="569"/>
      <c r="AD740" s="569"/>
      <c r="AE740" s="569"/>
      <c r="AF740">
        <v>740</v>
      </c>
      <c r="AG740" s="438" t="str">
        <f>IF(INDEX(D:AE,AF740,ADP!$AF$6)=0,"",INDEX(D:AE,AF740,ADP!$AF$6)+AH740)</f>
        <v/>
      </c>
      <c r="AH740">
        <f t="shared" si="11"/>
        <v>7.3900000000001146E-4</v>
      </c>
    </row>
    <row r="741" spans="1:34" ht="15.75" thickBot="1" x14ac:dyDescent="0.3">
      <c r="A741" s="569"/>
      <c r="B741" s="569"/>
      <c r="C741" s="569" t="s">
        <v>1</v>
      </c>
      <c r="D741" s="569"/>
      <c r="E741" s="569"/>
      <c r="F741" s="569"/>
      <c r="G741" s="569"/>
      <c r="H741" s="569"/>
      <c r="I741" s="569"/>
      <c r="J741" s="569"/>
      <c r="K741" s="569"/>
      <c r="L741" s="569"/>
      <c r="M741" s="569"/>
      <c r="N741" s="569"/>
      <c r="O741" s="569"/>
      <c r="P741" s="569"/>
      <c r="Q741" s="569"/>
      <c r="R741" s="569"/>
      <c r="S741" s="569"/>
      <c r="T741" s="569"/>
      <c r="U741" s="569"/>
      <c r="V741" s="569"/>
      <c r="W741" s="569"/>
      <c r="X741" s="569"/>
      <c r="Y741" s="569"/>
      <c r="Z741" s="569"/>
      <c r="AA741" s="569"/>
      <c r="AB741" s="569"/>
      <c r="AC741" s="569"/>
      <c r="AD741" s="569"/>
      <c r="AE741" s="569"/>
      <c r="AF741">
        <v>741</v>
      </c>
      <c r="AG741" s="438" t="str">
        <f>IF(INDEX(D:AE,AF741,ADP!$AF$6)=0,"",INDEX(D:AE,AF741,ADP!$AF$6)+AH741)</f>
        <v/>
      </c>
      <c r="AH741">
        <f t="shared" si="11"/>
        <v>7.4000000000001148E-4</v>
      </c>
    </row>
    <row r="742" spans="1:34" ht="15.75" thickBot="1" x14ac:dyDescent="0.3">
      <c r="A742" s="569"/>
      <c r="B742" s="569"/>
      <c r="C742" s="569" t="s">
        <v>1</v>
      </c>
      <c r="D742" s="569"/>
      <c r="E742" s="569"/>
      <c r="F742" s="569"/>
      <c r="G742" s="569"/>
      <c r="H742" s="569"/>
      <c r="I742" s="569"/>
      <c r="J742" s="569"/>
      <c r="K742" s="569"/>
      <c r="L742" s="569"/>
      <c r="M742" s="569"/>
      <c r="N742" s="569"/>
      <c r="O742" s="569"/>
      <c r="P742" s="569"/>
      <c r="Q742" s="569"/>
      <c r="R742" s="569"/>
      <c r="S742" s="569"/>
      <c r="T742" s="569"/>
      <c r="U742" s="569"/>
      <c r="V742" s="569"/>
      <c r="W742" s="569"/>
      <c r="X742" s="569"/>
      <c r="Y742" s="569"/>
      <c r="Z742" s="569"/>
      <c r="AA742" s="569"/>
      <c r="AB742" s="569"/>
      <c r="AC742" s="569"/>
      <c r="AD742" s="569"/>
      <c r="AE742" s="569"/>
      <c r="AF742">
        <v>742</v>
      </c>
      <c r="AG742" s="438" t="str">
        <f>IF(INDEX(D:AE,AF742,ADP!$AF$6)=0,"",INDEX(D:AE,AF742,ADP!$AF$6)+AH742)</f>
        <v/>
      </c>
      <c r="AH742">
        <f t="shared" si="11"/>
        <v>7.4100000000001151E-4</v>
      </c>
    </row>
    <row r="743" spans="1:34" ht="15.75" thickBot="1" x14ac:dyDescent="0.3">
      <c r="A743" s="569"/>
      <c r="B743" s="569"/>
      <c r="C743" s="569" t="s">
        <v>1</v>
      </c>
      <c r="D743" s="569"/>
      <c r="E743" s="569"/>
      <c r="F743" s="569"/>
      <c r="G743" s="569"/>
      <c r="H743" s="569"/>
      <c r="I743" s="569"/>
      <c r="J743" s="569"/>
      <c r="K743" s="569"/>
      <c r="L743" s="569"/>
      <c r="M743" s="569"/>
      <c r="N743" s="569"/>
      <c r="O743" s="569"/>
      <c r="P743" s="569"/>
      <c r="Q743" s="569"/>
      <c r="R743" s="569"/>
      <c r="S743" s="569"/>
      <c r="T743" s="569"/>
      <c r="U743" s="569"/>
      <c r="V743" s="569"/>
      <c r="W743" s="569"/>
      <c r="X743" s="569"/>
      <c r="Y743" s="569"/>
      <c r="Z743" s="569"/>
      <c r="AA743" s="569"/>
      <c r="AB743" s="569"/>
      <c r="AC743" s="569"/>
      <c r="AD743" s="569"/>
      <c r="AE743" s="569"/>
      <c r="AF743">
        <v>743</v>
      </c>
      <c r="AG743" s="438" t="str">
        <f>IF(INDEX(D:AE,AF743,ADP!$AF$6)=0,"",INDEX(D:AE,AF743,ADP!$AF$6)+AH743)</f>
        <v/>
      </c>
      <c r="AH743">
        <f t="shared" si="11"/>
        <v>7.4200000000001153E-4</v>
      </c>
    </row>
    <row r="744" spans="1:34" ht="15.75" thickBot="1" x14ac:dyDescent="0.3">
      <c r="A744" s="569"/>
      <c r="B744" s="569"/>
      <c r="C744" s="569" t="s">
        <v>1</v>
      </c>
      <c r="D744" s="574"/>
      <c r="E744" s="574"/>
      <c r="F744" s="574"/>
      <c r="G744" s="574"/>
      <c r="H744" s="574"/>
      <c r="I744" s="574"/>
      <c r="J744" s="574"/>
      <c r="K744" s="574"/>
      <c r="L744" s="574"/>
      <c r="M744" s="574"/>
      <c r="N744" s="574"/>
      <c r="O744" s="574"/>
      <c r="P744" s="574"/>
      <c r="Q744" s="574"/>
      <c r="R744" s="574"/>
      <c r="S744" s="574"/>
      <c r="T744" s="574"/>
      <c r="U744" s="574"/>
      <c r="V744" s="574"/>
      <c r="W744" s="574"/>
      <c r="X744" s="574"/>
      <c r="Y744" s="574"/>
      <c r="Z744" s="574"/>
      <c r="AA744" s="574"/>
      <c r="AB744" s="574"/>
      <c r="AC744" s="574"/>
      <c r="AD744" s="574"/>
      <c r="AE744" s="574"/>
      <c r="AF744">
        <v>744</v>
      </c>
      <c r="AG744" s="438" t="str">
        <f>IF(INDEX(D:AE,AF744,ADP!$AF$6)=0,"",INDEX(D:AE,AF744,ADP!$AF$6)+AH744)</f>
        <v/>
      </c>
      <c r="AH744">
        <f t="shared" si="11"/>
        <v>7.4300000000001155E-4</v>
      </c>
    </row>
    <row r="745" spans="1:34" ht="15.75" thickBot="1" x14ac:dyDescent="0.3">
      <c r="A745" s="569"/>
      <c r="B745" s="569"/>
      <c r="C745" s="569" t="s">
        <v>1</v>
      </c>
      <c r="D745" s="574"/>
      <c r="E745" s="574"/>
      <c r="F745" s="574"/>
      <c r="G745" s="574"/>
      <c r="H745" s="574"/>
      <c r="I745" s="574"/>
      <c r="J745" s="574"/>
      <c r="K745" s="574"/>
      <c r="L745" s="574"/>
      <c r="M745" s="574"/>
      <c r="N745" s="574"/>
      <c r="O745" s="574"/>
      <c r="P745" s="574"/>
      <c r="Q745" s="574"/>
      <c r="R745" s="574"/>
      <c r="S745" s="574"/>
      <c r="T745" s="574"/>
      <c r="U745" s="574"/>
      <c r="V745" s="574"/>
      <c r="W745" s="574"/>
      <c r="X745" s="574"/>
      <c r="Y745" s="574"/>
      <c r="Z745" s="574"/>
      <c r="AA745" s="574"/>
      <c r="AB745" s="574"/>
      <c r="AC745" s="574"/>
      <c r="AD745" s="574"/>
      <c r="AE745" s="574"/>
      <c r="AF745">
        <v>745</v>
      </c>
      <c r="AG745" s="438" t="str">
        <f>IF(INDEX(D:AE,AF745,ADP!$AF$6)=0,"",INDEX(D:AE,AF745,ADP!$AF$6)+AH745)</f>
        <v/>
      </c>
      <c r="AH745">
        <f t="shared" si="11"/>
        <v>7.4400000000001158E-4</v>
      </c>
    </row>
    <row r="746" spans="1:34" ht="15.75" thickBot="1" x14ac:dyDescent="0.3">
      <c r="A746" s="569"/>
      <c r="B746" s="569"/>
      <c r="C746" s="569" t="s">
        <v>1</v>
      </c>
      <c r="D746" s="574"/>
      <c r="E746" s="574"/>
      <c r="F746" s="574"/>
      <c r="G746" s="574"/>
      <c r="H746" s="574"/>
      <c r="I746" s="574"/>
      <c r="J746" s="574"/>
      <c r="K746" s="574"/>
      <c r="L746" s="574"/>
      <c r="M746" s="574"/>
      <c r="N746" s="574"/>
      <c r="O746" s="574"/>
      <c r="P746" s="574"/>
      <c r="Q746" s="574"/>
      <c r="R746" s="574"/>
      <c r="S746" s="574"/>
      <c r="T746" s="574"/>
      <c r="U746" s="574"/>
      <c r="V746" s="574"/>
      <c r="W746" s="574"/>
      <c r="X746" s="574"/>
      <c r="Y746" s="574"/>
      <c r="Z746" s="574"/>
      <c r="AA746" s="574"/>
      <c r="AB746" s="574"/>
      <c r="AC746" s="574"/>
      <c r="AD746" s="574"/>
      <c r="AE746" s="574"/>
      <c r="AF746">
        <v>746</v>
      </c>
      <c r="AG746" s="438" t="str">
        <f>IF(INDEX(D:AE,AF746,ADP!$AF$6)=0,"",INDEX(D:AE,AF746,ADP!$AF$6)+AH746)</f>
        <v/>
      </c>
      <c r="AH746">
        <f t="shared" si="11"/>
        <v>7.450000000000116E-4</v>
      </c>
    </row>
    <row r="747" spans="1:34" ht="15.75" thickBot="1" x14ac:dyDescent="0.3">
      <c r="A747" s="569"/>
      <c r="B747" s="569"/>
      <c r="C747" s="569" t="s">
        <v>1</v>
      </c>
      <c r="D747" s="569"/>
      <c r="E747" s="569"/>
      <c r="F747" s="569"/>
      <c r="G747" s="569"/>
      <c r="H747" s="569"/>
      <c r="I747" s="569"/>
      <c r="J747" s="569"/>
      <c r="K747" s="569"/>
      <c r="L747" s="569"/>
      <c r="M747" s="569"/>
      <c r="N747" s="569"/>
      <c r="O747" s="569"/>
      <c r="P747" s="569"/>
      <c r="Q747" s="569"/>
      <c r="R747" s="569"/>
      <c r="S747" s="569"/>
      <c r="T747" s="569"/>
      <c r="U747" s="569"/>
      <c r="V747" s="569"/>
      <c r="W747" s="569"/>
      <c r="X747" s="569"/>
      <c r="Y747" s="569"/>
      <c r="Z747" s="569"/>
      <c r="AA747" s="569"/>
      <c r="AB747" s="569"/>
      <c r="AC747" s="569"/>
      <c r="AD747" s="569"/>
      <c r="AE747" s="569"/>
      <c r="AF747">
        <v>747</v>
      </c>
      <c r="AG747" s="438" t="str">
        <f>IF(INDEX(D:AE,AF747,ADP!$AF$6)=0,"",INDEX(D:AE,AF747,ADP!$AF$6)+AH747)</f>
        <v/>
      </c>
      <c r="AH747">
        <f t="shared" si="11"/>
        <v>7.4600000000001163E-4</v>
      </c>
    </row>
    <row r="748" spans="1:34" ht="15.75" thickBot="1" x14ac:dyDescent="0.3">
      <c r="A748" s="569"/>
      <c r="B748" s="569"/>
      <c r="C748" s="569" t="s">
        <v>1</v>
      </c>
      <c r="D748" s="574"/>
      <c r="E748" s="574"/>
      <c r="F748" s="574"/>
      <c r="G748" s="574"/>
      <c r="H748" s="574"/>
      <c r="I748" s="574"/>
      <c r="J748" s="574"/>
      <c r="K748" s="574"/>
      <c r="L748" s="574"/>
      <c r="M748" s="574"/>
      <c r="N748" s="574"/>
      <c r="O748" s="574"/>
      <c r="P748" s="574"/>
      <c r="Q748" s="574"/>
      <c r="R748" s="574"/>
      <c r="S748" s="574"/>
      <c r="T748" s="574"/>
      <c r="U748" s="574"/>
      <c r="V748" s="574"/>
      <c r="W748" s="574"/>
      <c r="X748" s="574"/>
      <c r="Y748" s="574"/>
      <c r="Z748" s="574"/>
      <c r="AA748" s="574"/>
      <c r="AB748" s="574"/>
      <c r="AC748" s="574"/>
      <c r="AD748" s="574"/>
      <c r="AE748" s="574"/>
      <c r="AF748">
        <v>748</v>
      </c>
      <c r="AG748" s="438" t="str">
        <f>IF(INDEX(D:AE,AF748,ADP!$AF$6)=0,"",INDEX(D:AE,AF748,ADP!$AF$6)+AH748)</f>
        <v/>
      </c>
      <c r="AH748">
        <f t="shared" si="11"/>
        <v>7.4700000000001165E-4</v>
      </c>
    </row>
    <row r="749" spans="1:34" ht="15.75" thickBot="1" x14ac:dyDescent="0.3">
      <c r="A749" s="569"/>
      <c r="B749" s="569"/>
      <c r="C749" s="569" t="s">
        <v>1</v>
      </c>
      <c r="D749" s="574"/>
      <c r="E749" s="574"/>
      <c r="F749" s="574"/>
      <c r="G749" s="574"/>
      <c r="H749" s="574"/>
      <c r="I749" s="574"/>
      <c r="J749" s="574"/>
      <c r="K749" s="574"/>
      <c r="L749" s="574"/>
      <c r="M749" s="574"/>
      <c r="N749" s="574"/>
      <c r="O749" s="574"/>
      <c r="P749" s="574"/>
      <c r="Q749" s="574"/>
      <c r="R749" s="574"/>
      <c r="S749" s="574"/>
      <c r="T749" s="574"/>
      <c r="U749" s="574"/>
      <c r="V749" s="574"/>
      <c r="W749" s="574"/>
      <c r="X749" s="574"/>
      <c r="Y749" s="574"/>
      <c r="Z749" s="574"/>
      <c r="AA749" s="574"/>
      <c r="AB749" s="574"/>
      <c r="AC749" s="574"/>
      <c r="AD749" s="574"/>
      <c r="AE749" s="574"/>
      <c r="AF749">
        <v>749</v>
      </c>
      <c r="AG749" s="438" t="str">
        <f>IF(INDEX(D:AE,AF749,ADP!$AF$6)=0,"",INDEX(D:AE,AF749,ADP!$AF$6)+AH749)</f>
        <v/>
      </c>
      <c r="AH749">
        <f t="shared" si="11"/>
        <v>7.4800000000001168E-4</v>
      </c>
    </row>
    <row r="750" spans="1:34" ht="15.75" thickBot="1" x14ac:dyDescent="0.3">
      <c r="A750" s="569"/>
      <c r="B750" s="569"/>
      <c r="C750" s="569" t="s">
        <v>1</v>
      </c>
      <c r="D750" s="569"/>
      <c r="E750" s="569"/>
      <c r="F750" s="569"/>
      <c r="G750" s="569"/>
      <c r="H750" s="569"/>
      <c r="I750" s="569"/>
      <c r="J750" s="569"/>
      <c r="K750" s="569"/>
      <c r="L750" s="569"/>
      <c r="M750" s="569"/>
      <c r="N750" s="569"/>
      <c r="O750" s="569"/>
      <c r="P750" s="569"/>
      <c r="Q750" s="569"/>
      <c r="R750" s="569"/>
      <c r="S750" s="569"/>
      <c r="T750" s="569"/>
      <c r="U750" s="569"/>
      <c r="V750" s="569"/>
      <c r="W750" s="569"/>
      <c r="X750" s="569"/>
      <c r="Y750" s="569"/>
      <c r="Z750" s="569"/>
      <c r="AA750" s="569"/>
      <c r="AB750" s="569"/>
      <c r="AC750" s="569"/>
      <c r="AD750" s="569"/>
      <c r="AE750" s="569"/>
      <c r="AF750">
        <v>750</v>
      </c>
      <c r="AG750" s="438" t="str">
        <f>IF(INDEX(D:AE,AF750,ADP!$AF$6)=0,"",INDEX(D:AE,AF750,ADP!$AF$6)+AH750)</f>
        <v/>
      </c>
      <c r="AH750">
        <f t="shared" si="11"/>
        <v>7.490000000000117E-4</v>
      </c>
    </row>
    <row r="751" spans="1:34" ht="15.75" thickBot="1" x14ac:dyDescent="0.3">
      <c r="A751" s="569"/>
      <c r="B751" s="569"/>
      <c r="C751" s="569" t="s">
        <v>1</v>
      </c>
      <c r="D751" s="569"/>
      <c r="E751" s="569"/>
      <c r="F751" s="569"/>
      <c r="G751" s="569"/>
      <c r="H751" s="569"/>
      <c r="I751" s="569"/>
      <c r="J751" s="569"/>
      <c r="K751" s="569"/>
      <c r="L751" s="569"/>
      <c r="M751" s="569"/>
      <c r="N751" s="569"/>
      <c r="O751" s="569"/>
      <c r="P751" s="569"/>
      <c r="Q751" s="569"/>
      <c r="R751" s="569"/>
      <c r="S751" s="569"/>
      <c r="T751" s="569"/>
      <c r="U751" s="569"/>
      <c r="V751" s="569"/>
      <c r="W751" s="569"/>
      <c r="X751" s="569"/>
      <c r="Y751" s="569"/>
      <c r="Z751" s="569"/>
      <c r="AA751" s="569"/>
      <c r="AB751" s="569"/>
      <c r="AC751" s="569"/>
      <c r="AD751" s="569"/>
      <c r="AE751" s="569"/>
      <c r="AF751">
        <v>751</v>
      </c>
      <c r="AG751" s="438" t="str">
        <f>IF(INDEX(D:AE,AF751,ADP!$AF$6)=0,"",INDEX(D:AE,AF751,ADP!$AF$6)+AH751)</f>
        <v/>
      </c>
      <c r="AH751">
        <f t="shared" si="11"/>
        <v>7.5000000000001172E-4</v>
      </c>
    </row>
    <row r="752" spans="1:34" ht="15.75" thickBot="1" x14ac:dyDescent="0.3">
      <c r="A752" s="569"/>
      <c r="B752" s="569"/>
      <c r="C752" s="569" t="s">
        <v>1</v>
      </c>
      <c r="D752" s="574"/>
      <c r="E752" s="574"/>
      <c r="F752" s="574"/>
      <c r="G752" s="574"/>
      <c r="H752" s="574"/>
      <c r="I752" s="574"/>
      <c r="J752" s="574"/>
      <c r="K752" s="574"/>
      <c r="L752" s="574"/>
      <c r="M752" s="574"/>
      <c r="N752" s="574"/>
      <c r="O752" s="574"/>
      <c r="P752" s="574"/>
      <c r="Q752" s="574"/>
      <c r="R752" s="574"/>
      <c r="S752" s="574"/>
      <c r="T752" s="574"/>
      <c r="U752" s="574"/>
      <c r="V752" s="574"/>
      <c r="W752" s="574"/>
      <c r="X752" s="574"/>
      <c r="Y752" s="574"/>
      <c r="Z752" s="574"/>
      <c r="AA752" s="574"/>
      <c r="AB752" s="574"/>
      <c r="AC752" s="574"/>
      <c r="AD752" s="574"/>
      <c r="AE752" s="574"/>
      <c r="AF752">
        <v>752</v>
      </c>
      <c r="AG752" s="438" t="str">
        <f>IF(INDEX(D:AE,AF752,ADP!$AF$6)=0,"",INDEX(D:AE,AF752,ADP!$AF$6)+AH752)</f>
        <v/>
      </c>
      <c r="AH752">
        <f t="shared" si="11"/>
        <v>7.5100000000001175E-4</v>
      </c>
    </row>
    <row r="753" spans="1:34" ht="15.75" thickBot="1" x14ac:dyDescent="0.3">
      <c r="A753" s="569"/>
      <c r="B753" s="569"/>
      <c r="C753" s="569" t="s">
        <v>1</v>
      </c>
      <c r="D753" s="574"/>
      <c r="E753" s="574"/>
      <c r="F753" s="574"/>
      <c r="G753" s="574"/>
      <c r="H753" s="574"/>
      <c r="I753" s="574"/>
      <c r="J753" s="574"/>
      <c r="K753" s="574"/>
      <c r="L753" s="574"/>
      <c r="M753" s="574"/>
      <c r="N753" s="574"/>
      <c r="O753" s="574"/>
      <c r="P753" s="574"/>
      <c r="Q753" s="574"/>
      <c r="R753" s="574"/>
      <c r="S753" s="574"/>
      <c r="T753" s="574"/>
      <c r="U753" s="574"/>
      <c r="V753" s="574"/>
      <c r="W753" s="574"/>
      <c r="X753" s="574"/>
      <c r="Y753" s="574"/>
      <c r="Z753" s="574"/>
      <c r="AA753" s="574"/>
      <c r="AB753" s="574"/>
      <c r="AC753" s="574"/>
      <c r="AD753" s="574"/>
      <c r="AE753" s="574"/>
      <c r="AF753">
        <v>753</v>
      </c>
      <c r="AG753" s="438" t="str">
        <f>IF(INDEX(D:AE,AF753,ADP!$AF$6)=0,"",INDEX(D:AE,AF753,ADP!$AF$6)+AH753)</f>
        <v/>
      </c>
      <c r="AH753">
        <f t="shared" si="11"/>
        <v>7.5200000000001177E-4</v>
      </c>
    </row>
    <row r="754" spans="1:34" ht="15.75" thickBot="1" x14ac:dyDescent="0.3">
      <c r="A754" s="569"/>
      <c r="B754" s="569"/>
      <c r="C754" s="569" t="s">
        <v>1</v>
      </c>
      <c r="D754" s="569"/>
      <c r="E754" s="569"/>
      <c r="F754" s="569"/>
      <c r="G754" s="569"/>
      <c r="H754" s="569"/>
      <c r="I754" s="569"/>
      <c r="J754" s="569"/>
      <c r="K754" s="569"/>
      <c r="L754" s="569"/>
      <c r="M754" s="569"/>
      <c r="N754" s="569"/>
      <c r="O754" s="569"/>
      <c r="P754" s="569"/>
      <c r="Q754" s="569"/>
      <c r="R754" s="569"/>
      <c r="S754" s="569"/>
      <c r="T754" s="569"/>
      <c r="U754" s="569"/>
      <c r="V754" s="569"/>
      <c r="W754" s="569"/>
      <c r="X754" s="569"/>
      <c r="Y754" s="569"/>
      <c r="Z754" s="569"/>
      <c r="AA754" s="569"/>
      <c r="AB754" s="569"/>
      <c r="AC754" s="569"/>
      <c r="AD754" s="569"/>
      <c r="AE754" s="569"/>
      <c r="AF754">
        <v>754</v>
      </c>
      <c r="AG754" s="438" t="str">
        <f>IF(INDEX(D:AE,AF754,ADP!$AF$6)=0,"",INDEX(D:AE,AF754,ADP!$AF$6)+AH754)</f>
        <v/>
      </c>
      <c r="AH754">
        <f t="shared" si="11"/>
        <v>7.530000000000118E-4</v>
      </c>
    </row>
    <row r="755" spans="1:34" ht="15.75" thickBot="1" x14ac:dyDescent="0.3">
      <c r="A755" s="569"/>
      <c r="B755" s="569"/>
      <c r="C755" s="569" t="s">
        <v>1</v>
      </c>
      <c r="D755" s="569"/>
      <c r="E755" s="569"/>
      <c r="F755" s="569"/>
      <c r="G755" s="569"/>
      <c r="H755" s="569"/>
      <c r="I755" s="569"/>
      <c r="J755" s="569"/>
      <c r="K755" s="569"/>
      <c r="L755" s="569"/>
      <c r="M755" s="569"/>
      <c r="N755" s="569"/>
      <c r="O755" s="569"/>
      <c r="P755" s="569"/>
      <c r="Q755" s="569"/>
      <c r="R755" s="569"/>
      <c r="S755" s="569"/>
      <c r="T755" s="569"/>
      <c r="U755" s="569"/>
      <c r="V755" s="569"/>
      <c r="W755" s="569"/>
      <c r="X755" s="569"/>
      <c r="Y755" s="569"/>
      <c r="Z755" s="569"/>
      <c r="AA755" s="569"/>
      <c r="AB755" s="569"/>
      <c r="AC755" s="569"/>
      <c r="AD755" s="569"/>
      <c r="AE755" s="569"/>
      <c r="AF755">
        <v>755</v>
      </c>
      <c r="AG755" s="438" t="str">
        <f>IF(INDEX(D:AE,AF755,ADP!$AF$6)=0,"",INDEX(D:AE,AF755,ADP!$AF$6)+AH755)</f>
        <v/>
      </c>
      <c r="AH755">
        <f t="shared" si="11"/>
        <v>7.5400000000001182E-4</v>
      </c>
    </row>
    <row r="756" spans="1:34" ht="15.75" thickBot="1" x14ac:dyDescent="0.3">
      <c r="A756" s="569"/>
      <c r="B756" s="569"/>
      <c r="C756" s="569"/>
      <c r="D756" s="569"/>
      <c r="E756" s="569"/>
      <c r="F756" s="569"/>
      <c r="G756" s="569"/>
      <c r="H756" s="569"/>
      <c r="I756" s="569"/>
      <c r="J756" s="569"/>
      <c r="K756" s="569"/>
      <c r="L756" s="569"/>
      <c r="M756" s="569"/>
      <c r="N756" s="569"/>
      <c r="O756" s="569"/>
      <c r="P756" s="569"/>
      <c r="Q756" s="569"/>
      <c r="R756" s="569"/>
      <c r="S756" s="569"/>
      <c r="T756" s="569"/>
      <c r="U756" s="569"/>
      <c r="V756" s="569"/>
      <c r="W756" s="569"/>
      <c r="X756" s="569"/>
      <c r="Y756" s="569"/>
      <c r="Z756" s="569"/>
      <c r="AA756" s="569"/>
      <c r="AB756" s="569"/>
      <c r="AC756" s="569"/>
      <c r="AD756" s="569"/>
      <c r="AE756" s="569"/>
      <c r="AF756">
        <v>756</v>
      </c>
      <c r="AG756" s="438" t="str">
        <f>IF(INDEX(D:AE,AF756,ADP!$AF$6)=0,"",INDEX(D:AE,AF756,ADP!$AF$6)+AH756)</f>
        <v/>
      </c>
      <c r="AH756">
        <f t="shared" si="11"/>
        <v>7.5500000000001185E-4</v>
      </c>
    </row>
    <row r="757" spans="1:34" ht="15.75" thickBot="1" x14ac:dyDescent="0.3">
      <c r="A757" s="569"/>
      <c r="B757" s="569"/>
      <c r="C757" s="569"/>
      <c r="D757" s="569"/>
      <c r="E757" s="569"/>
      <c r="F757" s="569"/>
      <c r="G757" s="569"/>
      <c r="H757" s="569"/>
      <c r="I757" s="569"/>
      <c r="J757" s="569"/>
      <c r="K757" s="569"/>
      <c r="L757" s="569"/>
      <c r="M757" s="569"/>
      <c r="N757" s="569"/>
      <c r="O757" s="569"/>
      <c r="P757" s="569"/>
      <c r="Q757" s="569"/>
      <c r="R757" s="569"/>
      <c r="S757" s="569"/>
      <c r="T757" s="569"/>
      <c r="U757" s="569"/>
      <c r="V757" s="569"/>
      <c r="W757" s="569"/>
      <c r="X757" s="569"/>
      <c r="Y757" s="569"/>
      <c r="Z757" s="569"/>
      <c r="AA757" s="569"/>
      <c r="AB757" s="569"/>
      <c r="AC757" s="569"/>
      <c r="AD757" s="569"/>
      <c r="AE757" s="569"/>
      <c r="AF757">
        <v>757</v>
      </c>
      <c r="AG757" s="438" t="str">
        <f>IF(INDEX(D:AE,AF757,ADP!$AF$6)=0,"",INDEX(D:AE,AF757,ADP!$AF$6)+AH757)</f>
        <v/>
      </c>
      <c r="AH757">
        <f t="shared" si="11"/>
        <v>7.5600000000001187E-4</v>
      </c>
    </row>
    <row r="758" spans="1:34" ht="15.75" thickBot="1" x14ac:dyDescent="0.3">
      <c r="A758" s="569"/>
      <c r="B758" s="569"/>
      <c r="C758" s="569" t="s">
        <v>3</v>
      </c>
      <c r="D758" s="569"/>
      <c r="E758" s="569"/>
      <c r="F758" s="569"/>
      <c r="G758" s="569"/>
      <c r="H758" s="569"/>
      <c r="I758" s="569"/>
      <c r="J758" s="569"/>
      <c r="K758" s="569"/>
      <c r="L758" s="569"/>
      <c r="M758" s="569"/>
      <c r="N758" s="569"/>
      <c r="O758" s="569"/>
      <c r="P758" s="569"/>
      <c r="Q758" s="569"/>
      <c r="R758" s="569"/>
      <c r="S758" s="569"/>
      <c r="T758" s="569"/>
      <c r="U758" s="569"/>
      <c r="V758" s="569"/>
      <c r="W758" s="569"/>
      <c r="X758" s="569"/>
      <c r="Y758" s="569"/>
      <c r="Z758" s="569"/>
      <c r="AA758" s="569"/>
      <c r="AB758" s="569"/>
      <c r="AC758" s="569"/>
      <c r="AD758" s="569"/>
      <c r="AE758" s="569"/>
      <c r="AF758">
        <v>758</v>
      </c>
      <c r="AG758" s="438" t="str">
        <f>IF(INDEX(D:AE,AF758,ADP!$AF$6)=0,"",INDEX(D:AE,AF758,ADP!$AF$6)+AH758)</f>
        <v/>
      </c>
      <c r="AH758">
        <f t="shared" si="11"/>
        <v>7.570000000000119E-4</v>
      </c>
    </row>
    <row r="759" spans="1:34" ht="15.75" thickBot="1" x14ac:dyDescent="0.3">
      <c r="A759" s="569"/>
      <c r="B759" s="569"/>
      <c r="C759" s="569" t="s">
        <v>3</v>
      </c>
      <c r="D759" s="569"/>
      <c r="E759" s="569"/>
      <c r="F759" s="569"/>
      <c r="G759" s="569"/>
      <c r="H759" s="569"/>
      <c r="I759" s="569"/>
      <c r="J759" s="569"/>
      <c r="K759" s="569"/>
      <c r="L759" s="569"/>
      <c r="M759" s="569"/>
      <c r="N759" s="569"/>
      <c r="O759" s="569"/>
      <c r="P759" s="569"/>
      <c r="Q759" s="569"/>
      <c r="R759" s="569"/>
      <c r="S759" s="569"/>
      <c r="T759" s="569"/>
      <c r="U759" s="569"/>
      <c r="V759" s="569"/>
      <c r="W759" s="569"/>
      <c r="X759" s="569"/>
      <c r="Y759" s="569"/>
      <c r="Z759" s="569"/>
      <c r="AA759" s="569"/>
      <c r="AB759" s="569"/>
      <c r="AC759" s="569"/>
      <c r="AD759" s="569"/>
      <c r="AE759" s="569"/>
      <c r="AF759">
        <v>759</v>
      </c>
      <c r="AG759" s="438" t="str">
        <f>IF(INDEX(D:AE,AF759,ADP!$AF$6)=0,"",INDEX(D:AE,AF759,ADP!$AF$6)+AH759)</f>
        <v/>
      </c>
      <c r="AH759">
        <f t="shared" si="11"/>
        <v>7.5800000000001192E-4</v>
      </c>
    </row>
    <row r="760" spans="1:34" ht="15.75" thickBot="1" x14ac:dyDescent="0.3">
      <c r="A760" s="569"/>
      <c r="B760" s="569"/>
      <c r="C760" s="569" t="s">
        <v>3</v>
      </c>
      <c r="D760" s="569"/>
      <c r="E760" s="569"/>
      <c r="F760" s="569"/>
      <c r="G760" s="569"/>
      <c r="H760" s="569"/>
      <c r="I760" s="569"/>
      <c r="J760" s="569"/>
      <c r="K760" s="569"/>
      <c r="L760" s="569"/>
      <c r="M760" s="569"/>
      <c r="N760" s="569"/>
      <c r="O760" s="569"/>
      <c r="P760" s="569"/>
      <c r="Q760" s="569"/>
      <c r="R760" s="569"/>
      <c r="S760" s="569"/>
      <c r="T760" s="569"/>
      <c r="U760" s="569"/>
      <c r="V760" s="569"/>
      <c r="W760" s="569"/>
      <c r="X760" s="569"/>
      <c r="Y760" s="569"/>
      <c r="Z760" s="569"/>
      <c r="AA760" s="569"/>
      <c r="AB760" s="569"/>
      <c r="AC760" s="569"/>
      <c r="AD760" s="569"/>
      <c r="AE760" s="569"/>
      <c r="AF760">
        <v>760</v>
      </c>
      <c r="AG760" s="438" t="str">
        <f>IF(INDEX(D:AE,AF760,ADP!$AF$6)=0,"",INDEX(D:AE,AF760,ADP!$AF$6)+AH760)</f>
        <v/>
      </c>
      <c r="AH760">
        <f t="shared" si="11"/>
        <v>7.5900000000001194E-4</v>
      </c>
    </row>
    <row r="761" spans="1:34" ht="15.75" thickBot="1" x14ac:dyDescent="0.3">
      <c r="A761" s="569"/>
      <c r="B761" s="569"/>
      <c r="C761" s="569" t="s">
        <v>3</v>
      </c>
      <c r="D761" s="569"/>
      <c r="E761" s="569"/>
      <c r="F761" s="569"/>
      <c r="G761" s="569"/>
      <c r="H761" s="569"/>
      <c r="I761" s="569"/>
      <c r="J761" s="569"/>
      <c r="K761" s="569"/>
      <c r="L761" s="569"/>
      <c r="M761" s="569"/>
      <c r="N761" s="569"/>
      <c r="O761" s="569"/>
      <c r="P761" s="569"/>
      <c r="Q761" s="569"/>
      <c r="R761" s="569"/>
      <c r="S761" s="569"/>
      <c r="T761" s="569"/>
      <c r="U761" s="569"/>
      <c r="V761" s="569"/>
      <c r="W761" s="569"/>
      <c r="X761" s="569"/>
      <c r="Y761" s="569"/>
      <c r="Z761" s="569"/>
      <c r="AA761" s="569"/>
      <c r="AB761" s="569"/>
      <c r="AC761" s="569"/>
      <c r="AD761" s="569"/>
      <c r="AE761" s="569"/>
      <c r="AF761">
        <v>761</v>
      </c>
      <c r="AG761" s="438" t="str">
        <f>IF(INDEX(D:AE,AF761,ADP!$AF$6)=0,"",INDEX(D:AE,AF761,ADP!$AF$6)+AH761)</f>
        <v/>
      </c>
      <c r="AH761">
        <f t="shared" si="11"/>
        <v>7.6000000000001197E-4</v>
      </c>
    </row>
    <row r="762" spans="1:34" ht="15.75" thickBot="1" x14ac:dyDescent="0.3">
      <c r="A762" s="569"/>
      <c r="B762" s="569"/>
      <c r="C762" s="569" t="s">
        <v>3</v>
      </c>
      <c r="D762" s="569"/>
      <c r="E762" s="569"/>
      <c r="F762" s="569"/>
      <c r="G762" s="569"/>
      <c r="H762" s="569"/>
      <c r="I762" s="569"/>
      <c r="J762" s="569"/>
      <c r="K762" s="569"/>
      <c r="L762" s="569"/>
      <c r="M762" s="569"/>
      <c r="N762" s="569"/>
      <c r="O762" s="569"/>
      <c r="P762" s="569"/>
      <c r="Q762" s="569"/>
      <c r="R762" s="569"/>
      <c r="S762" s="569"/>
      <c r="T762" s="569"/>
      <c r="U762" s="569"/>
      <c r="V762" s="569"/>
      <c r="W762" s="569"/>
      <c r="X762" s="569"/>
      <c r="Y762" s="569"/>
      <c r="Z762" s="569"/>
      <c r="AA762" s="569"/>
      <c r="AB762" s="569"/>
      <c r="AC762" s="569"/>
      <c r="AD762" s="569"/>
      <c r="AE762" s="569"/>
      <c r="AF762">
        <v>762</v>
      </c>
      <c r="AG762" s="438" t="str">
        <f>IF(INDEX(D:AE,AF762,ADP!$AF$6)=0,"",INDEX(D:AE,AF762,ADP!$AF$6)+AH762)</f>
        <v/>
      </c>
      <c r="AH762">
        <f t="shared" si="11"/>
        <v>7.6100000000001199E-4</v>
      </c>
    </row>
    <row r="763" spans="1:34" ht="15.75" thickBot="1" x14ac:dyDescent="0.3">
      <c r="A763" s="569"/>
      <c r="B763" s="569"/>
      <c r="C763" s="569" t="s">
        <v>3</v>
      </c>
      <c r="D763" s="569"/>
      <c r="E763" s="569"/>
      <c r="F763" s="569"/>
      <c r="G763" s="569"/>
      <c r="H763" s="569"/>
      <c r="I763" s="569"/>
      <c r="J763" s="569"/>
      <c r="K763" s="569"/>
      <c r="L763" s="569"/>
      <c r="M763" s="569"/>
      <c r="N763" s="569"/>
      <c r="O763" s="569"/>
      <c r="P763" s="569"/>
      <c r="Q763" s="569"/>
      <c r="R763" s="569"/>
      <c r="S763" s="569"/>
      <c r="T763" s="569"/>
      <c r="U763" s="569"/>
      <c r="V763" s="569"/>
      <c r="W763" s="569"/>
      <c r="X763" s="569"/>
      <c r="Y763" s="569"/>
      <c r="Z763" s="569"/>
      <c r="AA763" s="569"/>
      <c r="AB763" s="569"/>
      <c r="AC763" s="569"/>
      <c r="AD763" s="569"/>
      <c r="AE763" s="569"/>
      <c r="AF763">
        <v>763</v>
      </c>
      <c r="AG763" s="438" t="str">
        <f>IF(INDEX(D:AE,AF763,ADP!$AF$6)=0,"",INDEX(D:AE,AF763,ADP!$AF$6)+AH763)</f>
        <v/>
      </c>
      <c r="AH763">
        <f t="shared" si="11"/>
        <v>7.6200000000001202E-4</v>
      </c>
    </row>
    <row r="764" spans="1:34" ht="15.75" thickBot="1" x14ac:dyDescent="0.3">
      <c r="A764" s="569"/>
      <c r="B764" s="569"/>
      <c r="C764" s="569" t="s">
        <v>3</v>
      </c>
      <c r="D764" s="569"/>
      <c r="E764" s="569"/>
      <c r="F764" s="569"/>
      <c r="G764" s="569"/>
      <c r="H764" s="569"/>
      <c r="I764" s="569"/>
      <c r="J764" s="569"/>
      <c r="K764" s="569"/>
      <c r="L764" s="569"/>
      <c r="M764" s="569"/>
      <c r="N764" s="569"/>
      <c r="O764" s="569"/>
      <c r="P764" s="569"/>
      <c r="Q764" s="569"/>
      <c r="R764" s="569"/>
      <c r="S764" s="569"/>
      <c r="T764" s="569"/>
      <c r="U764" s="569"/>
      <c r="V764" s="569"/>
      <c r="W764" s="569"/>
      <c r="X764" s="569"/>
      <c r="Y764" s="569"/>
      <c r="Z764" s="569"/>
      <c r="AA764" s="569"/>
      <c r="AB764" s="569"/>
      <c r="AC764" s="569"/>
      <c r="AD764" s="569"/>
      <c r="AE764" s="569"/>
      <c r="AF764">
        <v>764</v>
      </c>
      <c r="AG764" s="438" t="str">
        <f>IF(INDEX(D:AE,AF764,ADP!$AF$6)=0,"",INDEX(D:AE,AF764,ADP!$AF$6)+AH764)</f>
        <v/>
      </c>
      <c r="AH764">
        <f t="shared" si="11"/>
        <v>7.6300000000001204E-4</v>
      </c>
    </row>
    <row r="765" spans="1:34" ht="15.75" thickBot="1" x14ac:dyDescent="0.3">
      <c r="A765" s="569"/>
      <c r="B765" s="569"/>
      <c r="C765" s="569" t="s">
        <v>3</v>
      </c>
      <c r="D765" s="569"/>
      <c r="E765" s="569"/>
      <c r="F765" s="569"/>
      <c r="G765" s="569"/>
      <c r="H765" s="569"/>
      <c r="I765" s="569"/>
      <c r="J765" s="569"/>
      <c r="K765" s="569"/>
      <c r="L765" s="569"/>
      <c r="M765" s="569"/>
      <c r="N765" s="569"/>
      <c r="O765" s="569"/>
      <c r="P765" s="569"/>
      <c r="Q765" s="569"/>
      <c r="R765" s="569"/>
      <c r="S765" s="569"/>
      <c r="T765" s="569"/>
      <c r="U765" s="569"/>
      <c r="V765" s="569"/>
      <c r="W765" s="569"/>
      <c r="X765" s="569"/>
      <c r="Y765" s="569"/>
      <c r="Z765" s="569"/>
      <c r="AA765" s="569"/>
      <c r="AB765" s="569"/>
      <c r="AC765" s="569"/>
      <c r="AD765" s="569"/>
      <c r="AE765" s="569"/>
      <c r="AF765">
        <v>765</v>
      </c>
      <c r="AG765" s="438" t="str">
        <f>IF(INDEX(D:AE,AF765,ADP!$AF$6)=0,"",INDEX(D:AE,AF765,ADP!$AF$6)+AH765)</f>
        <v/>
      </c>
      <c r="AH765">
        <f t="shared" si="11"/>
        <v>7.6400000000001207E-4</v>
      </c>
    </row>
    <row r="766" spans="1:34" ht="15.75" thickBot="1" x14ac:dyDescent="0.3">
      <c r="A766" s="569"/>
      <c r="B766" s="569"/>
      <c r="C766" s="569" t="s">
        <v>3</v>
      </c>
      <c r="D766" s="569"/>
      <c r="E766" s="569"/>
      <c r="F766" s="569"/>
      <c r="G766" s="569"/>
      <c r="H766" s="569"/>
      <c r="I766" s="569"/>
      <c r="J766" s="569"/>
      <c r="K766" s="569"/>
      <c r="L766" s="569"/>
      <c r="M766" s="569"/>
      <c r="N766" s="569"/>
      <c r="O766" s="569"/>
      <c r="P766" s="569"/>
      <c r="Q766" s="569"/>
      <c r="R766" s="569"/>
      <c r="S766" s="569"/>
      <c r="T766" s="569"/>
      <c r="U766" s="569"/>
      <c r="V766" s="569"/>
      <c r="W766" s="569"/>
      <c r="X766" s="569"/>
      <c r="Y766" s="569"/>
      <c r="Z766" s="569"/>
      <c r="AA766" s="569"/>
      <c r="AB766" s="569"/>
      <c r="AC766" s="569"/>
      <c r="AD766" s="569"/>
      <c r="AE766" s="569"/>
      <c r="AF766">
        <v>766</v>
      </c>
      <c r="AG766" s="438" t="str">
        <f>IF(INDEX(D:AE,AF766,ADP!$AF$6)=0,"",INDEX(D:AE,AF766,ADP!$AF$6)+AH766)</f>
        <v/>
      </c>
      <c r="AH766">
        <f t="shared" si="11"/>
        <v>7.6500000000001209E-4</v>
      </c>
    </row>
    <row r="767" spans="1:34" ht="15.75" thickBot="1" x14ac:dyDescent="0.3">
      <c r="A767" s="569"/>
      <c r="B767" s="569"/>
      <c r="C767" s="569" t="s">
        <v>3</v>
      </c>
      <c r="D767" s="569"/>
      <c r="E767" s="569"/>
      <c r="F767" s="569"/>
      <c r="G767" s="569"/>
      <c r="H767" s="569"/>
      <c r="I767" s="569"/>
      <c r="J767" s="569"/>
      <c r="K767" s="569"/>
      <c r="L767" s="569"/>
      <c r="M767" s="569"/>
      <c r="N767" s="569"/>
      <c r="O767" s="569"/>
      <c r="P767" s="569"/>
      <c r="Q767" s="569"/>
      <c r="R767" s="569"/>
      <c r="S767" s="569"/>
      <c r="T767" s="569"/>
      <c r="U767" s="569"/>
      <c r="V767" s="569"/>
      <c r="W767" s="569"/>
      <c r="X767" s="569"/>
      <c r="Y767" s="569"/>
      <c r="Z767" s="569"/>
      <c r="AA767" s="569"/>
      <c r="AB767" s="569"/>
      <c r="AC767" s="569"/>
      <c r="AD767" s="569"/>
      <c r="AE767" s="569"/>
      <c r="AF767">
        <v>767</v>
      </c>
      <c r="AG767" s="438" t="str">
        <f>IF(INDEX(D:AE,AF767,ADP!$AF$6)=0,"",INDEX(D:AE,AF767,ADP!$AF$6)+AH767)</f>
        <v/>
      </c>
      <c r="AH767">
        <f t="shared" si="11"/>
        <v>7.6600000000001211E-4</v>
      </c>
    </row>
    <row r="768" spans="1:34" ht="15.75" thickBot="1" x14ac:dyDescent="0.3">
      <c r="A768" s="569"/>
      <c r="B768" s="569"/>
      <c r="C768" s="569" t="s">
        <v>3</v>
      </c>
      <c r="D768" s="569"/>
      <c r="E768" s="569"/>
      <c r="F768" s="569"/>
      <c r="G768" s="569"/>
      <c r="H768" s="569"/>
      <c r="I768" s="569"/>
      <c r="J768" s="569"/>
      <c r="K768" s="569"/>
      <c r="L768" s="569"/>
      <c r="M768" s="569"/>
      <c r="N768" s="569"/>
      <c r="O768" s="569"/>
      <c r="P768" s="569"/>
      <c r="Q768" s="569"/>
      <c r="R768" s="569"/>
      <c r="S768" s="569"/>
      <c r="T768" s="569"/>
      <c r="U768" s="569"/>
      <c r="V768" s="569"/>
      <c r="W768" s="569"/>
      <c r="X768" s="569"/>
      <c r="Y768" s="569"/>
      <c r="Z768" s="569"/>
      <c r="AA768" s="569"/>
      <c r="AB768" s="569"/>
      <c r="AC768" s="569"/>
      <c r="AD768" s="569"/>
      <c r="AE768" s="569"/>
      <c r="AF768">
        <v>768</v>
      </c>
      <c r="AG768" s="438" t="str">
        <f>IF(INDEX(D:AE,AF768,ADP!$AF$6)=0,"",INDEX(D:AE,AF768,ADP!$AF$6)+AH768)</f>
        <v/>
      </c>
      <c r="AH768">
        <f t="shared" si="11"/>
        <v>7.6700000000001214E-4</v>
      </c>
    </row>
    <row r="769" spans="1:34" ht="15.75" thickBot="1" x14ac:dyDescent="0.3">
      <c r="A769" s="569"/>
      <c r="B769" s="569"/>
      <c r="C769" s="569" t="s">
        <v>3</v>
      </c>
      <c r="D769" s="569"/>
      <c r="E769" s="569"/>
      <c r="F769" s="569"/>
      <c r="G769" s="569"/>
      <c r="H769" s="569"/>
      <c r="I769" s="569"/>
      <c r="J769" s="569"/>
      <c r="K769" s="569"/>
      <c r="L769" s="569"/>
      <c r="M769" s="569"/>
      <c r="N769" s="569"/>
      <c r="O769" s="569"/>
      <c r="P769" s="569"/>
      <c r="Q769" s="569"/>
      <c r="R769" s="569"/>
      <c r="S769" s="569"/>
      <c r="T769" s="569"/>
      <c r="U769" s="569"/>
      <c r="V769" s="569"/>
      <c r="W769" s="569"/>
      <c r="X769" s="569"/>
      <c r="Y769" s="569"/>
      <c r="Z769" s="569"/>
      <c r="AA769" s="569"/>
      <c r="AB769" s="569"/>
      <c r="AC769" s="569"/>
      <c r="AD769" s="569"/>
      <c r="AE769" s="569"/>
      <c r="AF769">
        <v>769</v>
      </c>
      <c r="AG769" s="438" t="str">
        <f>IF(INDEX(D:AE,AF769,ADP!$AF$6)=0,"",INDEX(D:AE,AF769,ADP!$AF$6)+AH769)</f>
        <v/>
      </c>
      <c r="AH769">
        <f t="shared" si="11"/>
        <v>7.6800000000001216E-4</v>
      </c>
    </row>
    <row r="770" spans="1:34" ht="15.75" thickBot="1" x14ac:dyDescent="0.3">
      <c r="A770" s="569"/>
      <c r="B770" s="569"/>
      <c r="C770" s="569" t="s">
        <v>3</v>
      </c>
      <c r="D770" s="569"/>
      <c r="E770" s="569"/>
      <c r="F770" s="569"/>
      <c r="G770" s="569"/>
      <c r="H770" s="569"/>
      <c r="I770" s="569"/>
      <c r="J770" s="569"/>
      <c r="K770" s="569"/>
      <c r="L770" s="569"/>
      <c r="M770" s="569"/>
      <c r="N770" s="569"/>
      <c r="O770" s="569"/>
      <c r="P770" s="569"/>
      <c r="Q770" s="569"/>
      <c r="R770" s="569"/>
      <c r="S770" s="569"/>
      <c r="T770" s="569"/>
      <c r="U770" s="569"/>
      <c r="V770" s="569"/>
      <c r="W770" s="569"/>
      <c r="X770" s="569"/>
      <c r="Y770" s="569"/>
      <c r="Z770" s="569"/>
      <c r="AA770" s="569"/>
      <c r="AB770" s="569"/>
      <c r="AC770" s="569"/>
      <c r="AD770" s="569"/>
      <c r="AE770" s="569"/>
      <c r="AF770">
        <v>770</v>
      </c>
      <c r="AG770" s="438" t="str">
        <f>IF(INDEX(D:AE,AF770,ADP!$AF$6)=0,"",INDEX(D:AE,AF770,ADP!$AF$6)+AH770)</f>
        <v/>
      </c>
      <c r="AH770">
        <f t="shared" si="11"/>
        <v>7.6900000000001219E-4</v>
      </c>
    </row>
    <row r="771" spans="1:34" ht="15.75" thickBot="1" x14ac:dyDescent="0.3">
      <c r="A771" s="569"/>
      <c r="B771" s="569"/>
      <c r="C771" s="569" t="s">
        <v>3</v>
      </c>
      <c r="D771" s="569"/>
      <c r="E771" s="569"/>
      <c r="F771" s="569"/>
      <c r="G771" s="569"/>
      <c r="H771" s="569"/>
      <c r="I771" s="569"/>
      <c r="J771" s="569"/>
      <c r="K771" s="569"/>
      <c r="L771" s="569"/>
      <c r="M771" s="569"/>
      <c r="N771" s="569"/>
      <c r="O771" s="569"/>
      <c r="P771" s="569"/>
      <c r="Q771" s="569"/>
      <c r="R771" s="569"/>
      <c r="S771" s="569"/>
      <c r="T771" s="569"/>
      <c r="U771" s="569"/>
      <c r="V771" s="569"/>
      <c r="W771" s="569"/>
      <c r="X771" s="569"/>
      <c r="Y771" s="569"/>
      <c r="Z771" s="569"/>
      <c r="AA771" s="569"/>
      <c r="AB771" s="569"/>
      <c r="AC771" s="569"/>
      <c r="AD771" s="569"/>
      <c r="AE771" s="569"/>
      <c r="AF771">
        <v>771</v>
      </c>
      <c r="AG771" s="438" t="str">
        <f>IF(INDEX(D:AE,AF771,ADP!$AF$6)=0,"",INDEX(D:AE,AF771,ADP!$AF$6)+AH771)</f>
        <v/>
      </c>
      <c r="AH771">
        <f t="shared" si="11"/>
        <v>7.7000000000001221E-4</v>
      </c>
    </row>
    <row r="772" spans="1:34" ht="15.75" thickBot="1" x14ac:dyDescent="0.3">
      <c r="A772" s="569"/>
      <c r="B772" s="569"/>
      <c r="C772" s="569" t="s">
        <v>3</v>
      </c>
      <c r="D772" s="569"/>
      <c r="E772" s="569"/>
      <c r="F772" s="569"/>
      <c r="G772" s="569"/>
      <c r="H772" s="569"/>
      <c r="I772" s="569"/>
      <c r="J772" s="569"/>
      <c r="K772" s="569"/>
      <c r="L772" s="569"/>
      <c r="M772" s="569"/>
      <c r="N772" s="569"/>
      <c r="O772" s="569"/>
      <c r="P772" s="569"/>
      <c r="Q772" s="569"/>
      <c r="R772" s="569"/>
      <c r="S772" s="569"/>
      <c r="T772" s="569"/>
      <c r="U772" s="569"/>
      <c r="V772" s="569"/>
      <c r="W772" s="569"/>
      <c r="X772" s="569"/>
      <c r="Y772" s="569"/>
      <c r="Z772" s="569"/>
      <c r="AA772" s="569"/>
      <c r="AB772" s="569"/>
      <c r="AC772" s="569"/>
      <c r="AD772" s="569"/>
      <c r="AE772" s="569"/>
      <c r="AF772">
        <v>772</v>
      </c>
      <c r="AG772" s="438" t="str">
        <f>IF(INDEX(D:AE,AF772,ADP!$AF$6)=0,"",INDEX(D:AE,AF772,ADP!$AF$6)+AH772)</f>
        <v/>
      </c>
      <c r="AH772">
        <f t="shared" si="11"/>
        <v>7.7100000000001224E-4</v>
      </c>
    </row>
    <row r="773" spans="1:34" ht="15.75" thickBot="1" x14ac:dyDescent="0.3">
      <c r="A773" s="569"/>
      <c r="B773" s="569"/>
      <c r="C773" s="569" t="s">
        <v>3</v>
      </c>
      <c r="D773" s="569"/>
      <c r="E773" s="569"/>
      <c r="F773" s="569"/>
      <c r="G773" s="569"/>
      <c r="H773" s="569"/>
      <c r="I773" s="569"/>
      <c r="J773" s="569"/>
      <c r="K773" s="569"/>
      <c r="L773" s="569"/>
      <c r="M773" s="569"/>
      <c r="N773" s="569"/>
      <c r="O773" s="569"/>
      <c r="P773" s="569"/>
      <c r="Q773" s="569"/>
      <c r="R773" s="569"/>
      <c r="S773" s="569"/>
      <c r="T773" s="569"/>
      <c r="U773" s="569"/>
      <c r="V773" s="569"/>
      <c r="W773" s="569"/>
      <c r="X773" s="569"/>
      <c r="Y773" s="569"/>
      <c r="Z773" s="569"/>
      <c r="AA773" s="569"/>
      <c r="AB773" s="569"/>
      <c r="AC773" s="569"/>
      <c r="AD773" s="569"/>
      <c r="AE773" s="569"/>
      <c r="AF773">
        <v>773</v>
      </c>
      <c r="AG773" s="438" t="str">
        <f>IF(INDEX(D:AE,AF773,ADP!$AF$6)=0,"",INDEX(D:AE,AF773,ADP!$AF$6)+AH773)</f>
        <v/>
      </c>
      <c r="AH773">
        <f t="shared" si="11"/>
        <v>7.7200000000001226E-4</v>
      </c>
    </row>
    <row r="774" spans="1:34" ht="15.75" thickBot="1" x14ac:dyDescent="0.3">
      <c r="A774" s="569"/>
      <c r="B774" s="569"/>
      <c r="C774" s="569" t="s">
        <v>3</v>
      </c>
      <c r="D774" s="569"/>
      <c r="E774" s="569"/>
      <c r="F774" s="569"/>
      <c r="G774" s="569"/>
      <c r="H774" s="569"/>
      <c r="I774" s="569"/>
      <c r="J774" s="569"/>
      <c r="K774" s="569"/>
      <c r="L774" s="569"/>
      <c r="M774" s="569"/>
      <c r="N774" s="569"/>
      <c r="O774" s="569"/>
      <c r="P774" s="569"/>
      <c r="Q774" s="569"/>
      <c r="R774" s="569"/>
      <c r="S774" s="569"/>
      <c r="T774" s="569"/>
      <c r="U774" s="569"/>
      <c r="V774" s="569"/>
      <c r="W774" s="569"/>
      <c r="X774" s="569"/>
      <c r="Y774" s="569"/>
      <c r="Z774" s="569"/>
      <c r="AA774" s="569"/>
      <c r="AB774" s="569"/>
      <c r="AC774" s="569"/>
      <c r="AD774" s="569"/>
      <c r="AE774" s="569"/>
      <c r="AF774">
        <v>774</v>
      </c>
      <c r="AG774" s="438" t="str">
        <f>IF(INDEX(D:AE,AF774,ADP!$AF$6)=0,"",INDEX(D:AE,AF774,ADP!$AF$6)+AH774)</f>
        <v/>
      </c>
      <c r="AH774">
        <f t="shared" ref="AH774:AH837" si="12">AH773+0.000001</f>
        <v>7.7300000000001228E-4</v>
      </c>
    </row>
    <row r="775" spans="1:34" ht="15.75" thickBot="1" x14ac:dyDescent="0.3">
      <c r="A775" s="569"/>
      <c r="B775" s="569"/>
      <c r="C775" s="569" t="s">
        <v>3</v>
      </c>
      <c r="D775" s="569"/>
      <c r="E775" s="569"/>
      <c r="F775" s="569"/>
      <c r="G775" s="569"/>
      <c r="H775" s="569"/>
      <c r="I775" s="569"/>
      <c r="J775" s="569"/>
      <c r="K775" s="569"/>
      <c r="L775" s="569"/>
      <c r="M775" s="569"/>
      <c r="N775" s="569"/>
      <c r="O775" s="569"/>
      <c r="P775" s="569"/>
      <c r="Q775" s="569"/>
      <c r="R775" s="569"/>
      <c r="S775" s="569"/>
      <c r="T775" s="569"/>
      <c r="U775" s="569"/>
      <c r="V775" s="569"/>
      <c r="W775" s="569"/>
      <c r="X775" s="569"/>
      <c r="Y775" s="569"/>
      <c r="Z775" s="569"/>
      <c r="AA775" s="569"/>
      <c r="AB775" s="569"/>
      <c r="AC775" s="569"/>
      <c r="AD775" s="569"/>
      <c r="AE775" s="569"/>
      <c r="AF775">
        <v>775</v>
      </c>
      <c r="AG775" s="438" t="str">
        <f>IF(INDEX(D:AE,AF775,ADP!$AF$6)=0,"",INDEX(D:AE,AF775,ADP!$AF$6)+AH775)</f>
        <v/>
      </c>
      <c r="AH775">
        <f t="shared" si="12"/>
        <v>7.7400000000001231E-4</v>
      </c>
    </row>
    <row r="776" spans="1:34" ht="15.75" thickBot="1" x14ac:dyDescent="0.3">
      <c r="A776" s="569"/>
      <c r="B776" s="569"/>
      <c r="C776" s="569"/>
      <c r="D776" s="569"/>
      <c r="E776" s="569"/>
      <c r="F776" s="569"/>
      <c r="G776" s="569"/>
      <c r="H776" s="569"/>
      <c r="I776" s="569"/>
      <c r="J776" s="569"/>
      <c r="K776" s="569"/>
      <c r="L776" s="569"/>
      <c r="M776" s="569"/>
      <c r="N776" s="569"/>
      <c r="O776" s="569"/>
      <c r="P776" s="569"/>
      <c r="Q776" s="569"/>
      <c r="R776" s="569"/>
      <c r="S776" s="569"/>
      <c r="T776" s="569"/>
      <c r="U776" s="569"/>
      <c r="V776" s="569"/>
      <c r="W776" s="569"/>
      <c r="X776" s="569"/>
      <c r="Y776" s="569"/>
      <c r="Z776" s="569"/>
      <c r="AA776" s="569"/>
      <c r="AB776" s="569"/>
      <c r="AC776" s="569"/>
      <c r="AD776" s="569"/>
      <c r="AE776" s="569"/>
      <c r="AF776">
        <v>776</v>
      </c>
      <c r="AG776" s="438" t="str">
        <f>IF(INDEX(D:AE,AF776,ADP!$AF$6)=0,"",INDEX(D:AE,AF776,ADP!$AF$6)+AH776)</f>
        <v/>
      </c>
      <c r="AH776">
        <f t="shared" si="12"/>
        <v>7.7500000000001233E-4</v>
      </c>
    </row>
    <row r="777" spans="1:34" ht="15.75" thickBot="1" x14ac:dyDescent="0.3">
      <c r="A777" s="569"/>
      <c r="B777" s="569"/>
      <c r="C777" s="569" t="s">
        <v>6</v>
      </c>
      <c r="D777" s="569"/>
      <c r="E777" s="569"/>
      <c r="F777" s="569"/>
      <c r="G777" s="569"/>
      <c r="H777" s="569"/>
      <c r="I777" s="569"/>
      <c r="J777" s="569"/>
      <c r="K777" s="569"/>
      <c r="L777" s="569"/>
      <c r="M777" s="569"/>
      <c r="N777" s="569"/>
      <c r="O777" s="569"/>
      <c r="P777" s="569"/>
      <c r="Q777" s="569"/>
      <c r="R777" s="569"/>
      <c r="S777" s="569"/>
      <c r="T777" s="569"/>
      <c r="U777" s="569"/>
      <c r="V777" s="569"/>
      <c r="W777" s="569"/>
      <c r="X777" s="569"/>
      <c r="Y777" s="569"/>
      <c r="Z777" s="569"/>
      <c r="AA777" s="569"/>
      <c r="AB777" s="569"/>
      <c r="AC777" s="569"/>
      <c r="AD777" s="569"/>
      <c r="AE777" s="569"/>
      <c r="AF777">
        <v>777</v>
      </c>
      <c r="AG777" s="438" t="str">
        <f>IF(INDEX(D:AE,AF777,ADP!$AF$6)=0,"",INDEX(D:AE,AF777,ADP!$AF$6)+AH777)</f>
        <v/>
      </c>
      <c r="AH777">
        <f t="shared" si="12"/>
        <v>7.7600000000001236E-4</v>
      </c>
    </row>
    <row r="778" spans="1:34" ht="15.75" thickBot="1" x14ac:dyDescent="0.3">
      <c r="A778" s="569"/>
      <c r="B778" s="569"/>
      <c r="C778" s="569" t="s">
        <v>6</v>
      </c>
      <c r="D778" s="569"/>
      <c r="E778" s="569"/>
      <c r="F778" s="569"/>
      <c r="G778" s="569"/>
      <c r="H778" s="569"/>
      <c r="I778" s="569"/>
      <c r="J778" s="569"/>
      <c r="K778" s="569"/>
      <c r="L778" s="569"/>
      <c r="M778" s="569"/>
      <c r="N778" s="569"/>
      <c r="O778" s="569"/>
      <c r="P778" s="569"/>
      <c r="Q778" s="569"/>
      <c r="R778" s="569"/>
      <c r="S778" s="569"/>
      <c r="T778" s="569"/>
      <c r="U778" s="569"/>
      <c r="V778" s="569"/>
      <c r="W778" s="569"/>
      <c r="X778" s="569"/>
      <c r="Y778" s="569"/>
      <c r="Z778" s="569"/>
      <c r="AA778" s="569"/>
      <c r="AB778" s="569"/>
      <c r="AC778" s="569"/>
      <c r="AD778" s="569"/>
      <c r="AE778" s="569"/>
      <c r="AF778">
        <v>778</v>
      </c>
      <c r="AG778" s="438" t="str">
        <f>IF(INDEX(D:AE,AF778,ADP!$AF$6)=0,"",INDEX(D:AE,AF778,ADP!$AF$6)+AH778)</f>
        <v/>
      </c>
      <c r="AH778">
        <f t="shared" si="12"/>
        <v>7.7700000000001238E-4</v>
      </c>
    </row>
    <row r="779" spans="1:34" ht="15.75" thickBot="1" x14ac:dyDescent="0.3">
      <c r="A779" s="569"/>
      <c r="B779" s="569"/>
      <c r="C779" s="569" t="s">
        <v>6</v>
      </c>
      <c r="D779" s="569"/>
      <c r="E779" s="569"/>
      <c r="F779" s="569"/>
      <c r="G779" s="569"/>
      <c r="H779" s="569"/>
      <c r="I779" s="569"/>
      <c r="J779" s="569"/>
      <c r="K779" s="569"/>
      <c r="L779" s="569"/>
      <c r="M779" s="569"/>
      <c r="N779" s="569"/>
      <c r="O779" s="569"/>
      <c r="P779" s="569"/>
      <c r="Q779" s="569"/>
      <c r="R779" s="569"/>
      <c r="S779" s="569"/>
      <c r="T779" s="569"/>
      <c r="U779" s="569"/>
      <c r="V779" s="569"/>
      <c r="W779" s="569"/>
      <c r="X779" s="569"/>
      <c r="Y779" s="569"/>
      <c r="Z779" s="569"/>
      <c r="AA779" s="569"/>
      <c r="AB779" s="569"/>
      <c r="AC779" s="569"/>
      <c r="AD779" s="569"/>
      <c r="AE779" s="569"/>
      <c r="AF779">
        <v>779</v>
      </c>
      <c r="AG779" s="438" t="str">
        <f>IF(INDEX(D:AE,AF779,ADP!$AF$6)=0,"",INDEX(D:AE,AF779,ADP!$AF$6)+AH779)</f>
        <v/>
      </c>
      <c r="AH779">
        <f t="shared" si="12"/>
        <v>7.7800000000001241E-4</v>
      </c>
    </row>
    <row r="780" spans="1:34" ht="15.75" thickBot="1" x14ac:dyDescent="0.3">
      <c r="A780" s="569"/>
      <c r="B780" s="569"/>
      <c r="C780" s="569" t="s">
        <v>6</v>
      </c>
      <c r="D780" s="569"/>
      <c r="E780" s="569"/>
      <c r="F780" s="569"/>
      <c r="G780" s="569"/>
      <c r="H780" s="569"/>
      <c r="I780" s="569"/>
      <c r="J780" s="569"/>
      <c r="K780" s="569"/>
      <c r="L780" s="569"/>
      <c r="M780" s="569"/>
      <c r="N780" s="569"/>
      <c r="O780" s="569"/>
      <c r="P780" s="569"/>
      <c r="Q780" s="569"/>
      <c r="R780" s="569"/>
      <c r="S780" s="569"/>
      <c r="T780" s="569"/>
      <c r="U780" s="569"/>
      <c r="V780" s="569"/>
      <c r="W780" s="569"/>
      <c r="X780" s="569"/>
      <c r="Y780" s="569"/>
      <c r="Z780" s="569"/>
      <c r="AA780" s="569"/>
      <c r="AB780" s="569"/>
      <c r="AC780" s="569"/>
      <c r="AD780" s="569"/>
      <c r="AE780" s="569"/>
      <c r="AF780">
        <v>780</v>
      </c>
      <c r="AG780" s="438" t="str">
        <f>IF(INDEX(D:AE,AF780,ADP!$AF$6)=0,"",INDEX(D:AE,AF780,ADP!$AF$6)+AH780)</f>
        <v/>
      </c>
      <c r="AH780">
        <f t="shared" si="12"/>
        <v>7.7900000000001243E-4</v>
      </c>
    </row>
    <row r="781" spans="1:34" ht="15.75" thickBot="1" x14ac:dyDescent="0.3">
      <c r="A781" s="569"/>
      <c r="B781" s="569"/>
      <c r="C781" s="569" t="s">
        <v>6</v>
      </c>
      <c r="D781" s="569"/>
      <c r="E781" s="569"/>
      <c r="F781" s="569"/>
      <c r="G781" s="569"/>
      <c r="H781" s="569"/>
      <c r="I781" s="569"/>
      <c r="J781" s="569"/>
      <c r="K781" s="569"/>
      <c r="L781" s="569"/>
      <c r="M781" s="569"/>
      <c r="N781" s="569"/>
      <c r="O781" s="569"/>
      <c r="P781" s="569"/>
      <c r="Q781" s="569"/>
      <c r="R781" s="569"/>
      <c r="S781" s="569"/>
      <c r="T781" s="569"/>
      <c r="U781" s="569"/>
      <c r="V781" s="569"/>
      <c r="W781" s="569"/>
      <c r="X781" s="569"/>
      <c r="Y781" s="569"/>
      <c r="Z781" s="569"/>
      <c r="AA781" s="569"/>
      <c r="AB781" s="569"/>
      <c r="AC781" s="569"/>
      <c r="AD781" s="569"/>
      <c r="AE781" s="569"/>
      <c r="AF781">
        <v>781</v>
      </c>
      <c r="AG781" s="438" t="str">
        <f>IF(INDEX(D:AE,AF781,ADP!$AF$6)=0,"",INDEX(D:AE,AF781,ADP!$AF$6)+AH781)</f>
        <v/>
      </c>
      <c r="AH781">
        <f t="shared" si="12"/>
        <v>7.8000000000001245E-4</v>
      </c>
    </row>
    <row r="782" spans="1:34" ht="15.75" thickBot="1" x14ac:dyDescent="0.3">
      <c r="A782" s="569"/>
      <c r="B782" s="569"/>
      <c r="C782" s="569" t="s">
        <v>6</v>
      </c>
      <c r="D782" s="569"/>
      <c r="E782" s="569"/>
      <c r="F782" s="569"/>
      <c r="G782" s="569"/>
      <c r="H782" s="569"/>
      <c r="I782" s="569"/>
      <c r="J782" s="569"/>
      <c r="K782" s="569"/>
      <c r="L782" s="569"/>
      <c r="M782" s="569"/>
      <c r="N782" s="569"/>
      <c r="O782" s="569"/>
      <c r="P782" s="569"/>
      <c r="Q782" s="569"/>
      <c r="R782" s="569"/>
      <c r="S782" s="569"/>
      <c r="T782" s="569"/>
      <c r="U782" s="569"/>
      <c r="V782" s="569"/>
      <c r="W782" s="569"/>
      <c r="X782" s="569"/>
      <c r="Y782" s="569"/>
      <c r="Z782" s="569"/>
      <c r="AA782" s="569"/>
      <c r="AB782" s="569"/>
      <c r="AC782" s="569"/>
      <c r="AD782" s="569"/>
      <c r="AE782" s="569"/>
      <c r="AF782">
        <v>782</v>
      </c>
      <c r="AG782" s="438" t="str">
        <f>IF(INDEX(D:AE,AF782,ADP!$AF$6)=0,"",INDEX(D:AE,AF782,ADP!$AF$6)+AH782)</f>
        <v/>
      </c>
      <c r="AH782">
        <f t="shared" si="12"/>
        <v>7.8100000000001248E-4</v>
      </c>
    </row>
    <row r="783" spans="1:34" ht="15.75" thickBot="1" x14ac:dyDescent="0.3">
      <c r="A783" s="569"/>
      <c r="B783" s="569"/>
      <c r="C783" s="569" t="s">
        <v>6</v>
      </c>
      <c r="D783" s="569"/>
      <c r="E783" s="569"/>
      <c r="F783" s="569"/>
      <c r="G783" s="569"/>
      <c r="H783" s="569"/>
      <c r="I783" s="569"/>
      <c r="J783" s="569"/>
      <c r="K783" s="569"/>
      <c r="L783" s="569"/>
      <c r="M783" s="569"/>
      <c r="N783" s="569"/>
      <c r="O783" s="569"/>
      <c r="P783" s="569"/>
      <c r="Q783" s="569"/>
      <c r="R783" s="569"/>
      <c r="S783" s="569"/>
      <c r="T783" s="569"/>
      <c r="U783" s="569"/>
      <c r="V783" s="569"/>
      <c r="W783" s="569"/>
      <c r="X783" s="569"/>
      <c r="Y783" s="569"/>
      <c r="Z783" s="569"/>
      <c r="AA783" s="569"/>
      <c r="AB783" s="569"/>
      <c r="AC783" s="569"/>
      <c r="AD783" s="569"/>
      <c r="AE783" s="569"/>
      <c r="AF783">
        <v>783</v>
      </c>
      <c r="AG783" s="438" t="str">
        <f>IF(INDEX(D:AE,AF783,ADP!$AF$6)=0,"",INDEX(D:AE,AF783,ADP!$AF$6)+AH783)</f>
        <v/>
      </c>
      <c r="AH783">
        <f t="shared" si="12"/>
        <v>7.820000000000125E-4</v>
      </c>
    </row>
    <row r="784" spans="1:34" ht="15.75" thickBot="1" x14ac:dyDescent="0.3">
      <c r="A784" s="569"/>
      <c r="B784" s="569"/>
      <c r="C784" s="569" t="s">
        <v>6</v>
      </c>
      <c r="D784" s="569"/>
      <c r="E784" s="569"/>
      <c r="F784" s="569"/>
      <c r="G784" s="569"/>
      <c r="H784" s="569"/>
      <c r="I784" s="569"/>
      <c r="J784" s="569"/>
      <c r="K784" s="569"/>
      <c r="L784" s="569"/>
      <c r="M784" s="569"/>
      <c r="N784" s="569"/>
      <c r="O784" s="569"/>
      <c r="P784" s="569"/>
      <c r="Q784" s="569"/>
      <c r="R784" s="569"/>
      <c r="S784" s="569"/>
      <c r="T784" s="569"/>
      <c r="U784" s="569"/>
      <c r="V784" s="569"/>
      <c r="W784" s="569"/>
      <c r="X784" s="569"/>
      <c r="Y784" s="569"/>
      <c r="Z784" s="569"/>
      <c r="AA784" s="569"/>
      <c r="AB784" s="569"/>
      <c r="AC784" s="569"/>
      <c r="AD784" s="569"/>
      <c r="AE784" s="569"/>
      <c r="AF784">
        <v>784</v>
      </c>
      <c r="AG784" s="438" t="str">
        <f>IF(INDEX(D:AE,AF784,ADP!$AF$6)=0,"",INDEX(D:AE,AF784,ADP!$AF$6)+AH784)</f>
        <v/>
      </c>
      <c r="AH784">
        <f t="shared" si="12"/>
        <v>7.8300000000001253E-4</v>
      </c>
    </row>
    <row r="785" spans="1:34" ht="15.75" thickBot="1" x14ac:dyDescent="0.3">
      <c r="A785" s="569"/>
      <c r="B785" s="569"/>
      <c r="C785" s="569" t="s">
        <v>6</v>
      </c>
      <c r="D785" s="569"/>
      <c r="E785" s="569"/>
      <c r="F785" s="569"/>
      <c r="G785" s="569"/>
      <c r="H785" s="569"/>
      <c r="I785" s="569"/>
      <c r="J785" s="569"/>
      <c r="K785" s="569"/>
      <c r="L785" s="569"/>
      <c r="M785" s="569"/>
      <c r="N785" s="569"/>
      <c r="O785" s="569"/>
      <c r="P785" s="569"/>
      <c r="Q785" s="569"/>
      <c r="R785" s="569"/>
      <c r="S785" s="569"/>
      <c r="T785" s="569"/>
      <c r="U785" s="569"/>
      <c r="V785" s="569"/>
      <c r="W785" s="569"/>
      <c r="X785" s="569"/>
      <c r="Y785" s="569"/>
      <c r="Z785" s="569"/>
      <c r="AA785" s="569"/>
      <c r="AB785" s="569"/>
      <c r="AC785" s="569"/>
      <c r="AD785" s="569"/>
      <c r="AE785" s="569"/>
      <c r="AF785">
        <v>785</v>
      </c>
      <c r="AG785" s="438" t="str">
        <f>IF(INDEX(D:AE,AF785,ADP!$AF$6)=0,"",INDEX(D:AE,AF785,ADP!$AF$6)+AH785)</f>
        <v/>
      </c>
      <c r="AH785">
        <f t="shared" si="12"/>
        <v>7.8400000000001255E-4</v>
      </c>
    </row>
    <row r="786" spans="1:34" ht="15.75" thickBot="1" x14ac:dyDescent="0.3">
      <c r="A786" s="569"/>
      <c r="B786" s="569"/>
      <c r="C786" s="569" t="s">
        <v>6</v>
      </c>
      <c r="D786" s="569"/>
      <c r="E786" s="569"/>
      <c r="F786" s="569"/>
      <c r="G786" s="569"/>
      <c r="H786" s="569"/>
      <c r="I786" s="569"/>
      <c r="J786" s="569"/>
      <c r="K786" s="569"/>
      <c r="L786" s="569"/>
      <c r="M786" s="569"/>
      <c r="N786" s="569"/>
      <c r="O786" s="569"/>
      <c r="P786" s="569"/>
      <c r="Q786" s="569"/>
      <c r="R786" s="569"/>
      <c r="S786" s="569"/>
      <c r="T786" s="569"/>
      <c r="U786" s="569"/>
      <c r="V786" s="569"/>
      <c r="W786" s="569"/>
      <c r="X786" s="569"/>
      <c r="Y786" s="569"/>
      <c r="Z786" s="569"/>
      <c r="AA786" s="569"/>
      <c r="AB786" s="569"/>
      <c r="AC786" s="569"/>
      <c r="AD786" s="569"/>
      <c r="AE786" s="569"/>
      <c r="AF786">
        <v>786</v>
      </c>
      <c r="AG786" s="438" t="str">
        <f>IF(INDEX(D:AE,AF786,ADP!$AF$6)=0,"",INDEX(D:AE,AF786,ADP!$AF$6)+AH786)</f>
        <v/>
      </c>
      <c r="AH786">
        <f t="shared" si="12"/>
        <v>7.8500000000001258E-4</v>
      </c>
    </row>
    <row r="787" spans="1:34" ht="15.75" thickBot="1" x14ac:dyDescent="0.3">
      <c r="A787" s="569"/>
      <c r="B787" s="569"/>
      <c r="C787" s="569" t="s">
        <v>6</v>
      </c>
      <c r="D787" s="569"/>
      <c r="E787" s="569"/>
      <c r="F787" s="569"/>
      <c r="G787" s="569"/>
      <c r="H787" s="569"/>
      <c r="I787" s="569"/>
      <c r="J787" s="569"/>
      <c r="K787" s="569"/>
      <c r="L787" s="569"/>
      <c r="M787" s="569"/>
      <c r="N787" s="569"/>
      <c r="O787" s="569"/>
      <c r="P787" s="569"/>
      <c r="Q787" s="569"/>
      <c r="R787" s="569"/>
      <c r="S787" s="569"/>
      <c r="T787" s="569"/>
      <c r="U787" s="569"/>
      <c r="V787" s="569"/>
      <c r="W787" s="569"/>
      <c r="X787" s="569"/>
      <c r="Y787" s="569"/>
      <c r="Z787" s="569"/>
      <c r="AA787" s="569"/>
      <c r="AB787" s="569"/>
      <c r="AC787" s="569"/>
      <c r="AD787" s="569"/>
      <c r="AE787" s="569"/>
      <c r="AF787">
        <v>787</v>
      </c>
      <c r="AG787" s="438" t="str">
        <f>IF(INDEX(D:AE,AF787,ADP!$AF$6)=0,"",INDEX(D:AE,AF787,ADP!$AF$6)+AH787)</f>
        <v/>
      </c>
      <c r="AH787">
        <f t="shared" si="12"/>
        <v>7.860000000000126E-4</v>
      </c>
    </row>
    <row r="788" spans="1:34" ht="15.75" thickBot="1" x14ac:dyDescent="0.3">
      <c r="A788" s="569"/>
      <c r="B788" s="569"/>
      <c r="C788" s="569" t="s">
        <v>6</v>
      </c>
      <c r="D788" s="569"/>
      <c r="E788" s="569"/>
      <c r="F788" s="569"/>
      <c r="G788" s="569"/>
      <c r="H788" s="569"/>
      <c r="I788" s="569"/>
      <c r="J788" s="569"/>
      <c r="K788" s="569"/>
      <c r="L788" s="569"/>
      <c r="M788" s="569"/>
      <c r="N788" s="569"/>
      <c r="O788" s="569"/>
      <c r="P788" s="569"/>
      <c r="Q788" s="569"/>
      <c r="R788" s="569"/>
      <c r="S788" s="569"/>
      <c r="T788" s="569"/>
      <c r="U788" s="569"/>
      <c r="V788" s="569"/>
      <c r="W788" s="569"/>
      <c r="X788" s="569"/>
      <c r="Y788" s="569"/>
      <c r="Z788" s="569"/>
      <c r="AA788" s="569"/>
      <c r="AB788" s="569"/>
      <c r="AC788" s="569"/>
      <c r="AD788" s="569"/>
      <c r="AE788" s="569"/>
      <c r="AF788">
        <v>788</v>
      </c>
      <c r="AG788" s="438" t="str">
        <f>IF(INDEX(D:AE,AF788,ADP!$AF$6)=0,"",INDEX(D:AE,AF788,ADP!$AF$6)+AH788)</f>
        <v/>
      </c>
      <c r="AH788">
        <f t="shared" si="12"/>
        <v>7.8700000000001262E-4</v>
      </c>
    </row>
    <row r="789" spans="1:34" ht="15.75" thickBot="1" x14ac:dyDescent="0.3">
      <c r="A789" s="569"/>
      <c r="B789" s="569"/>
      <c r="C789" s="569" t="s">
        <v>6</v>
      </c>
      <c r="D789" s="569"/>
      <c r="E789" s="569"/>
      <c r="F789" s="569"/>
      <c r="G789" s="569"/>
      <c r="H789" s="569"/>
      <c r="I789" s="569"/>
      <c r="J789" s="569"/>
      <c r="K789" s="569"/>
      <c r="L789" s="569"/>
      <c r="M789" s="569"/>
      <c r="N789" s="569"/>
      <c r="O789" s="569"/>
      <c r="P789" s="569"/>
      <c r="Q789" s="569"/>
      <c r="R789" s="569"/>
      <c r="S789" s="569"/>
      <c r="T789" s="569"/>
      <c r="U789" s="569"/>
      <c r="V789" s="569"/>
      <c r="W789" s="569"/>
      <c r="X789" s="569"/>
      <c r="Y789" s="569"/>
      <c r="Z789" s="569"/>
      <c r="AA789" s="569"/>
      <c r="AB789" s="569"/>
      <c r="AC789" s="569"/>
      <c r="AD789" s="569"/>
      <c r="AE789" s="569"/>
      <c r="AF789">
        <v>789</v>
      </c>
      <c r="AG789" s="438" t="str">
        <f>IF(INDEX(D:AE,AF789,ADP!$AF$6)=0,"",INDEX(D:AE,AF789,ADP!$AF$6)+AH789)</f>
        <v/>
      </c>
      <c r="AH789">
        <f t="shared" si="12"/>
        <v>7.8800000000001265E-4</v>
      </c>
    </row>
    <row r="790" spans="1:34" ht="15.75" thickBot="1" x14ac:dyDescent="0.3">
      <c r="A790" s="569"/>
      <c r="B790" s="569"/>
      <c r="C790" s="569" t="s">
        <v>6</v>
      </c>
      <c r="D790" s="569"/>
      <c r="E790" s="569"/>
      <c r="F790" s="569"/>
      <c r="G790" s="569"/>
      <c r="H790" s="569"/>
      <c r="I790" s="569"/>
      <c r="J790" s="569"/>
      <c r="K790" s="569"/>
      <c r="L790" s="569"/>
      <c r="M790" s="569"/>
      <c r="N790" s="569"/>
      <c r="O790" s="569"/>
      <c r="P790" s="569"/>
      <c r="Q790" s="569"/>
      <c r="R790" s="569"/>
      <c r="S790" s="569"/>
      <c r="T790" s="569"/>
      <c r="U790" s="569"/>
      <c r="V790" s="569"/>
      <c r="W790" s="569"/>
      <c r="X790" s="569"/>
      <c r="Y790" s="569"/>
      <c r="Z790" s="569"/>
      <c r="AA790" s="569"/>
      <c r="AB790" s="569"/>
      <c r="AC790" s="569"/>
      <c r="AD790" s="569"/>
      <c r="AE790" s="569"/>
      <c r="AF790">
        <v>790</v>
      </c>
      <c r="AG790" s="438" t="str">
        <f>IF(INDEX(D:AE,AF790,ADP!$AF$6)=0,"",INDEX(D:AE,AF790,ADP!$AF$6)+AH790)</f>
        <v/>
      </c>
      <c r="AH790">
        <f t="shared" si="12"/>
        <v>7.8900000000001267E-4</v>
      </c>
    </row>
    <row r="791" spans="1:34" ht="15.75" thickBot="1" x14ac:dyDescent="0.3">
      <c r="A791" s="569"/>
      <c r="B791" s="569"/>
      <c r="C791" s="569" t="s">
        <v>6</v>
      </c>
      <c r="D791" s="569"/>
      <c r="E791" s="569"/>
      <c r="F791" s="569"/>
      <c r="G791" s="569"/>
      <c r="H791" s="569"/>
      <c r="I791" s="569"/>
      <c r="J791" s="569"/>
      <c r="K791" s="569"/>
      <c r="L791" s="569"/>
      <c r="M791" s="569"/>
      <c r="N791" s="569"/>
      <c r="O791" s="569"/>
      <c r="P791" s="569"/>
      <c r="Q791" s="569"/>
      <c r="R791" s="569"/>
      <c r="S791" s="569"/>
      <c r="T791" s="569"/>
      <c r="U791" s="569"/>
      <c r="V791" s="569"/>
      <c r="W791" s="569"/>
      <c r="X791" s="569"/>
      <c r="Y791" s="569"/>
      <c r="Z791" s="569"/>
      <c r="AA791" s="569"/>
      <c r="AB791" s="569"/>
      <c r="AC791" s="569"/>
      <c r="AD791" s="569"/>
      <c r="AE791" s="569"/>
      <c r="AF791">
        <v>791</v>
      </c>
      <c r="AG791" s="438" t="str">
        <f>IF(INDEX(D:AE,AF791,ADP!$AF$6)=0,"",INDEX(D:AE,AF791,ADP!$AF$6)+AH791)</f>
        <v/>
      </c>
      <c r="AH791">
        <f t="shared" si="12"/>
        <v>7.900000000000127E-4</v>
      </c>
    </row>
    <row r="792" spans="1:34" ht="15.75" thickBot="1" x14ac:dyDescent="0.3">
      <c r="A792" s="569"/>
      <c r="B792" s="569"/>
      <c r="C792" s="569" t="s">
        <v>6</v>
      </c>
      <c r="D792" s="569"/>
      <c r="E792" s="569"/>
      <c r="F792" s="569"/>
      <c r="G792" s="569"/>
      <c r="H792" s="569"/>
      <c r="I792" s="569"/>
      <c r="J792" s="569"/>
      <c r="K792" s="569"/>
      <c r="L792" s="569"/>
      <c r="M792" s="569"/>
      <c r="N792" s="569"/>
      <c r="O792" s="569"/>
      <c r="P792" s="569"/>
      <c r="Q792" s="569"/>
      <c r="R792" s="569"/>
      <c r="S792" s="569"/>
      <c r="T792" s="569"/>
      <c r="U792" s="569"/>
      <c r="V792" s="569"/>
      <c r="W792" s="569"/>
      <c r="X792" s="569"/>
      <c r="Y792" s="569"/>
      <c r="Z792" s="569"/>
      <c r="AA792" s="569"/>
      <c r="AB792" s="569"/>
      <c r="AC792" s="569"/>
      <c r="AD792" s="569"/>
      <c r="AE792" s="569"/>
      <c r="AF792">
        <v>792</v>
      </c>
      <c r="AG792" s="438" t="str">
        <f>IF(INDEX(D:AE,AF792,ADP!$AF$6)=0,"",INDEX(D:AE,AF792,ADP!$AF$6)+AH792)</f>
        <v/>
      </c>
      <c r="AH792">
        <f t="shared" si="12"/>
        <v>7.9100000000001272E-4</v>
      </c>
    </row>
    <row r="793" spans="1:34" ht="15.75" thickBot="1" x14ac:dyDescent="0.3">
      <c r="A793" s="569"/>
      <c r="B793" s="569"/>
      <c r="C793" s="569" t="s">
        <v>6</v>
      </c>
      <c r="D793" s="569"/>
      <c r="E793" s="569"/>
      <c r="F793" s="569"/>
      <c r="G793" s="569"/>
      <c r="H793" s="569"/>
      <c r="I793" s="569"/>
      <c r="J793" s="569"/>
      <c r="K793" s="569"/>
      <c r="L793" s="569"/>
      <c r="M793" s="569"/>
      <c r="N793" s="569"/>
      <c r="O793" s="569"/>
      <c r="P793" s="569"/>
      <c r="Q793" s="569"/>
      <c r="R793" s="569"/>
      <c r="S793" s="569"/>
      <c r="T793" s="569"/>
      <c r="U793" s="569"/>
      <c r="V793" s="569"/>
      <c r="W793" s="569"/>
      <c r="X793" s="569"/>
      <c r="Y793" s="569"/>
      <c r="Z793" s="569"/>
      <c r="AA793" s="569"/>
      <c r="AB793" s="569"/>
      <c r="AC793" s="569"/>
      <c r="AD793" s="569"/>
      <c r="AE793" s="569"/>
      <c r="AF793">
        <v>793</v>
      </c>
      <c r="AG793" s="438" t="str">
        <f>IF(INDEX(D:AE,AF793,ADP!$AF$6)=0,"",INDEX(D:AE,AF793,ADP!$AF$6)+AH793)</f>
        <v/>
      </c>
      <c r="AH793">
        <f t="shared" si="12"/>
        <v>7.9200000000001275E-4</v>
      </c>
    </row>
    <row r="794" spans="1:34" ht="15.75" thickBot="1" x14ac:dyDescent="0.3">
      <c r="A794" s="569"/>
      <c r="B794" s="569"/>
      <c r="C794" s="569" t="s">
        <v>6</v>
      </c>
      <c r="D794" s="569"/>
      <c r="E794" s="569"/>
      <c r="F794" s="569"/>
      <c r="G794" s="569"/>
      <c r="H794" s="569"/>
      <c r="I794" s="569"/>
      <c r="J794" s="569"/>
      <c r="K794" s="569"/>
      <c r="L794" s="569"/>
      <c r="M794" s="569"/>
      <c r="N794" s="569"/>
      <c r="O794" s="569"/>
      <c r="P794" s="569"/>
      <c r="Q794" s="569"/>
      <c r="R794" s="569"/>
      <c r="S794" s="569"/>
      <c r="T794" s="569"/>
      <c r="U794" s="569"/>
      <c r="V794" s="569"/>
      <c r="W794" s="569"/>
      <c r="X794" s="569"/>
      <c r="Y794" s="569"/>
      <c r="Z794" s="569"/>
      <c r="AA794" s="569"/>
      <c r="AB794" s="569"/>
      <c r="AC794" s="569"/>
      <c r="AD794" s="569"/>
      <c r="AE794" s="569"/>
      <c r="AF794">
        <v>794</v>
      </c>
      <c r="AG794" s="438" t="str">
        <f>IF(INDEX(D:AE,AF794,ADP!$AF$6)=0,"",INDEX(D:AE,AF794,ADP!$AF$6)+AH794)</f>
        <v/>
      </c>
      <c r="AH794">
        <f t="shared" si="12"/>
        <v>7.9300000000001277E-4</v>
      </c>
    </row>
    <row r="795" spans="1:34" ht="15.75" thickBot="1" x14ac:dyDescent="0.3">
      <c r="A795" s="569"/>
      <c r="B795" s="569"/>
      <c r="C795" s="569" t="s">
        <v>6</v>
      </c>
      <c r="D795" s="569"/>
      <c r="E795" s="569"/>
      <c r="F795" s="569"/>
      <c r="G795" s="569"/>
      <c r="H795" s="569"/>
      <c r="I795" s="569"/>
      <c r="J795" s="569"/>
      <c r="K795" s="569"/>
      <c r="L795" s="569"/>
      <c r="M795" s="569"/>
      <c r="N795" s="569"/>
      <c r="O795" s="569"/>
      <c r="P795" s="569"/>
      <c r="Q795" s="569"/>
      <c r="R795" s="569"/>
      <c r="S795" s="569"/>
      <c r="T795" s="569"/>
      <c r="U795" s="569"/>
      <c r="V795" s="569"/>
      <c r="W795" s="569"/>
      <c r="X795" s="569"/>
      <c r="Y795" s="569"/>
      <c r="Z795" s="569"/>
      <c r="AA795" s="569"/>
      <c r="AB795" s="569"/>
      <c r="AC795" s="569"/>
      <c r="AD795" s="569"/>
      <c r="AE795" s="569"/>
      <c r="AF795">
        <v>795</v>
      </c>
      <c r="AG795" s="438" t="str">
        <f>IF(INDEX(D:AE,AF795,ADP!$AF$6)=0,"",INDEX(D:AE,AF795,ADP!$AF$6)+AH795)</f>
        <v/>
      </c>
      <c r="AH795">
        <f t="shared" si="12"/>
        <v>7.9400000000001279E-4</v>
      </c>
    </row>
    <row r="796" spans="1:34" ht="15.75" thickBot="1" x14ac:dyDescent="0.3">
      <c r="A796" s="569"/>
      <c r="B796" s="569"/>
      <c r="C796" s="569" t="s">
        <v>6</v>
      </c>
      <c r="D796" s="569"/>
      <c r="E796" s="569"/>
      <c r="F796" s="569"/>
      <c r="G796" s="569"/>
      <c r="H796" s="569"/>
      <c r="I796" s="569"/>
      <c r="J796" s="569"/>
      <c r="K796" s="569"/>
      <c r="L796" s="569"/>
      <c r="M796" s="569"/>
      <c r="N796" s="569"/>
      <c r="O796" s="569"/>
      <c r="P796" s="569"/>
      <c r="Q796" s="569"/>
      <c r="R796" s="569"/>
      <c r="S796" s="569"/>
      <c r="T796" s="569"/>
      <c r="U796" s="569"/>
      <c r="V796" s="569"/>
      <c r="W796" s="569"/>
      <c r="X796" s="569"/>
      <c r="Y796" s="569"/>
      <c r="Z796" s="569"/>
      <c r="AA796" s="569"/>
      <c r="AB796" s="569"/>
      <c r="AC796" s="569"/>
      <c r="AD796" s="569"/>
      <c r="AE796" s="569"/>
      <c r="AF796">
        <v>796</v>
      </c>
      <c r="AG796" s="438" t="str">
        <f>IF(INDEX(D:AE,AF796,ADP!$AF$6)=0,"",INDEX(D:AE,AF796,ADP!$AF$6)+AH796)</f>
        <v/>
      </c>
      <c r="AH796">
        <f t="shared" si="12"/>
        <v>7.9500000000001282E-4</v>
      </c>
    </row>
    <row r="797" spans="1:34" ht="15.75" thickBot="1" x14ac:dyDescent="0.3">
      <c r="A797" s="569"/>
      <c r="B797" s="569"/>
      <c r="C797" s="569" t="s">
        <v>6</v>
      </c>
      <c r="D797" s="569"/>
      <c r="E797" s="569"/>
      <c r="F797" s="569"/>
      <c r="G797" s="569"/>
      <c r="H797" s="569"/>
      <c r="I797" s="569"/>
      <c r="J797" s="569"/>
      <c r="K797" s="569"/>
      <c r="L797" s="569"/>
      <c r="M797" s="569"/>
      <c r="N797" s="569"/>
      <c r="O797" s="569"/>
      <c r="P797" s="569"/>
      <c r="Q797" s="569"/>
      <c r="R797" s="569"/>
      <c r="S797" s="569"/>
      <c r="T797" s="569"/>
      <c r="U797" s="569"/>
      <c r="V797" s="569"/>
      <c r="W797" s="569"/>
      <c r="X797" s="569"/>
      <c r="Y797" s="569"/>
      <c r="Z797" s="569"/>
      <c r="AA797" s="569"/>
      <c r="AB797" s="569"/>
      <c r="AC797" s="569"/>
      <c r="AD797" s="569"/>
      <c r="AE797" s="569"/>
      <c r="AF797">
        <v>797</v>
      </c>
      <c r="AG797" s="438" t="str">
        <f>IF(INDEX(D:AE,AF797,ADP!$AF$6)=0,"",INDEX(D:AE,AF797,ADP!$AF$6)+AH797)</f>
        <v/>
      </c>
      <c r="AH797">
        <f t="shared" si="12"/>
        <v>7.9600000000001284E-4</v>
      </c>
    </row>
    <row r="798" spans="1:34" ht="15.75" thickBot="1" x14ac:dyDescent="0.3">
      <c r="A798" s="569"/>
      <c r="B798" s="569"/>
      <c r="C798" s="569" t="s">
        <v>6</v>
      </c>
      <c r="D798" s="569"/>
      <c r="E798" s="569"/>
      <c r="F798" s="569"/>
      <c r="G798" s="569"/>
      <c r="H798" s="569"/>
      <c r="I798" s="569"/>
      <c r="J798" s="569"/>
      <c r="K798" s="569"/>
      <c r="L798" s="569"/>
      <c r="M798" s="569"/>
      <c r="N798" s="569"/>
      <c r="O798" s="569"/>
      <c r="P798" s="569"/>
      <c r="Q798" s="569"/>
      <c r="R798" s="569"/>
      <c r="S798" s="569"/>
      <c r="T798" s="569"/>
      <c r="U798" s="569"/>
      <c r="V798" s="569"/>
      <c r="W798" s="569"/>
      <c r="X798" s="569"/>
      <c r="Y798" s="569"/>
      <c r="Z798" s="569"/>
      <c r="AA798" s="569"/>
      <c r="AB798" s="569"/>
      <c r="AC798" s="569"/>
      <c r="AD798" s="569"/>
      <c r="AE798" s="569"/>
      <c r="AF798">
        <v>798</v>
      </c>
      <c r="AG798" s="438" t="str">
        <f>IF(INDEX(D:AE,AF798,ADP!$AF$6)=0,"",INDEX(D:AE,AF798,ADP!$AF$6)+AH798)</f>
        <v/>
      </c>
      <c r="AH798">
        <f t="shared" si="12"/>
        <v>7.9700000000001287E-4</v>
      </c>
    </row>
    <row r="799" spans="1:34" ht="15.75" thickBot="1" x14ac:dyDescent="0.3">
      <c r="A799" s="569"/>
      <c r="B799" s="569"/>
      <c r="C799" s="569" t="s">
        <v>6</v>
      </c>
      <c r="D799" s="569"/>
      <c r="E799" s="569"/>
      <c r="F799" s="569"/>
      <c r="G799" s="569"/>
      <c r="H799" s="569"/>
      <c r="I799" s="569"/>
      <c r="J799" s="569"/>
      <c r="K799" s="569"/>
      <c r="L799" s="569"/>
      <c r="M799" s="569"/>
      <c r="N799" s="569"/>
      <c r="O799" s="569"/>
      <c r="P799" s="569"/>
      <c r="Q799" s="569"/>
      <c r="R799" s="569"/>
      <c r="S799" s="569"/>
      <c r="T799" s="569"/>
      <c r="U799" s="569"/>
      <c r="V799" s="569"/>
      <c r="W799" s="569"/>
      <c r="X799" s="569"/>
      <c r="Y799" s="569"/>
      <c r="Z799" s="569"/>
      <c r="AA799" s="569"/>
      <c r="AB799" s="569"/>
      <c r="AC799" s="569"/>
      <c r="AD799" s="569"/>
      <c r="AE799" s="569"/>
      <c r="AF799">
        <v>799</v>
      </c>
      <c r="AG799" s="438" t="str">
        <f>IF(INDEX(D:AE,AF799,ADP!$AF$6)=0,"",INDEX(D:AE,AF799,ADP!$AF$6)+AH799)</f>
        <v/>
      </c>
      <c r="AH799">
        <f t="shared" si="12"/>
        <v>7.9800000000001289E-4</v>
      </c>
    </row>
    <row r="800" spans="1:34" ht="15.75" thickBot="1" x14ac:dyDescent="0.3">
      <c r="A800" s="569"/>
      <c r="B800" s="569"/>
      <c r="C800" s="569" t="s">
        <v>6</v>
      </c>
      <c r="D800" s="569"/>
      <c r="E800" s="569"/>
      <c r="F800" s="569"/>
      <c r="G800" s="569"/>
      <c r="H800" s="569"/>
      <c r="I800" s="569"/>
      <c r="J800" s="569"/>
      <c r="K800" s="569"/>
      <c r="L800" s="569"/>
      <c r="M800" s="569"/>
      <c r="N800" s="569"/>
      <c r="O800" s="569"/>
      <c r="P800" s="569"/>
      <c r="Q800" s="569"/>
      <c r="R800" s="569"/>
      <c r="S800" s="569"/>
      <c r="T800" s="569"/>
      <c r="U800" s="569"/>
      <c r="V800" s="569"/>
      <c r="W800" s="569"/>
      <c r="X800" s="569"/>
      <c r="Y800" s="569"/>
      <c r="Z800" s="569"/>
      <c r="AA800" s="569"/>
      <c r="AB800" s="569"/>
      <c r="AC800" s="569"/>
      <c r="AD800" s="569"/>
      <c r="AE800" s="569"/>
      <c r="AF800">
        <v>800</v>
      </c>
      <c r="AG800" s="438" t="str">
        <f>IF(INDEX(D:AE,AF800,ADP!$AF$6)=0,"",INDEX(D:AE,AF800,ADP!$AF$6)+AH800)</f>
        <v/>
      </c>
      <c r="AH800">
        <f t="shared" si="12"/>
        <v>7.9900000000001292E-4</v>
      </c>
    </row>
    <row r="801" spans="1:34" ht="15.75" thickBot="1" x14ac:dyDescent="0.3">
      <c r="A801" s="569"/>
      <c r="B801" s="569"/>
      <c r="C801" s="569" t="s">
        <v>6</v>
      </c>
      <c r="D801" s="569"/>
      <c r="E801" s="569"/>
      <c r="F801" s="569"/>
      <c r="G801" s="569"/>
      <c r="H801" s="569"/>
      <c r="I801" s="569"/>
      <c r="J801" s="569"/>
      <c r="K801" s="569"/>
      <c r="L801" s="569"/>
      <c r="M801" s="569"/>
      <c r="N801" s="569"/>
      <c r="O801" s="569"/>
      <c r="P801" s="569"/>
      <c r="Q801" s="569"/>
      <c r="R801" s="569"/>
      <c r="S801" s="569"/>
      <c r="T801" s="569"/>
      <c r="U801" s="569"/>
      <c r="V801" s="569"/>
      <c r="W801" s="569"/>
      <c r="X801" s="569"/>
      <c r="Y801" s="569"/>
      <c r="Z801" s="569"/>
      <c r="AA801" s="569"/>
      <c r="AB801" s="569"/>
      <c r="AC801" s="569"/>
      <c r="AD801" s="569"/>
      <c r="AE801" s="569"/>
      <c r="AF801">
        <v>801</v>
      </c>
      <c r="AG801" s="438" t="str">
        <f>IF(INDEX(D:AE,AF801,ADP!$AF$6)=0,"",INDEX(D:AE,AF801,ADP!$AF$6)+AH801)</f>
        <v/>
      </c>
      <c r="AH801">
        <f t="shared" si="12"/>
        <v>8.0000000000001294E-4</v>
      </c>
    </row>
    <row r="802" spans="1:34" ht="15.75" thickBot="1" x14ac:dyDescent="0.3">
      <c r="A802" s="569"/>
      <c r="B802" s="569"/>
      <c r="C802" s="569" t="s">
        <v>6</v>
      </c>
      <c r="D802" s="569"/>
      <c r="E802" s="569"/>
      <c r="F802" s="569"/>
      <c r="G802" s="569"/>
      <c r="H802" s="569"/>
      <c r="I802" s="569"/>
      <c r="J802" s="569"/>
      <c r="K802" s="569"/>
      <c r="L802" s="569"/>
      <c r="M802" s="569"/>
      <c r="N802" s="569"/>
      <c r="O802" s="569"/>
      <c r="P802" s="569"/>
      <c r="Q802" s="569"/>
      <c r="R802" s="569"/>
      <c r="S802" s="569"/>
      <c r="T802" s="569"/>
      <c r="U802" s="569"/>
      <c r="V802" s="569"/>
      <c r="W802" s="569"/>
      <c r="X802" s="569"/>
      <c r="Y802" s="569"/>
      <c r="Z802" s="569"/>
      <c r="AA802" s="569"/>
      <c r="AB802" s="569"/>
      <c r="AC802" s="569"/>
      <c r="AD802" s="569"/>
      <c r="AE802" s="569"/>
      <c r="AF802">
        <v>802</v>
      </c>
      <c r="AG802" s="438" t="str">
        <f>IF(INDEX(D:AE,AF802,ADP!$AF$6)=0,"",INDEX(D:AE,AF802,ADP!$AF$6)+AH802)</f>
        <v/>
      </c>
      <c r="AH802">
        <f t="shared" si="12"/>
        <v>8.0100000000001296E-4</v>
      </c>
    </row>
    <row r="803" spans="1:34" ht="15.75" thickBot="1" x14ac:dyDescent="0.3">
      <c r="A803" s="569"/>
      <c r="B803" s="569"/>
      <c r="C803" s="569" t="s">
        <v>6</v>
      </c>
      <c r="D803" s="569"/>
      <c r="E803" s="569"/>
      <c r="F803" s="569"/>
      <c r="G803" s="569"/>
      <c r="H803" s="569"/>
      <c r="I803" s="569"/>
      <c r="J803" s="569"/>
      <c r="K803" s="569"/>
      <c r="L803" s="569"/>
      <c r="M803" s="569"/>
      <c r="N803" s="569"/>
      <c r="O803" s="569"/>
      <c r="P803" s="569"/>
      <c r="Q803" s="569"/>
      <c r="R803" s="569"/>
      <c r="S803" s="569"/>
      <c r="T803" s="569"/>
      <c r="U803" s="569"/>
      <c r="V803" s="569"/>
      <c r="W803" s="569"/>
      <c r="X803" s="569"/>
      <c r="Y803" s="569"/>
      <c r="Z803" s="569"/>
      <c r="AA803" s="569"/>
      <c r="AB803" s="569"/>
      <c r="AC803" s="569"/>
      <c r="AD803" s="569"/>
      <c r="AE803" s="569"/>
      <c r="AF803">
        <v>803</v>
      </c>
      <c r="AG803" s="438" t="str">
        <f>IF(INDEX(D:AE,AF803,ADP!$AF$6)=0,"",INDEX(D:AE,AF803,ADP!$AF$6)+AH803)</f>
        <v/>
      </c>
      <c r="AH803">
        <f t="shared" si="12"/>
        <v>8.0200000000001299E-4</v>
      </c>
    </row>
    <row r="804" spans="1:34" ht="15.75" thickBot="1" x14ac:dyDescent="0.3">
      <c r="A804" s="569"/>
      <c r="B804" s="569"/>
      <c r="C804" s="569" t="s">
        <v>6</v>
      </c>
      <c r="D804" s="569"/>
      <c r="E804" s="569"/>
      <c r="F804" s="569"/>
      <c r="G804" s="569"/>
      <c r="H804" s="569"/>
      <c r="I804" s="569"/>
      <c r="J804" s="569"/>
      <c r="K804" s="569"/>
      <c r="L804" s="569"/>
      <c r="M804" s="569"/>
      <c r="N804" s="569"/>
      <c r="O804" s="569"/>
      <c r="P804" s="569"/>
      <c r="Q804" s="569"/>
      <c r="R804" s="569"/>
      <c r="S804" s="569"/>
      <c r="T804" s="569"/>
      <c r="U804" s="569"/>
      <c r="V804" s="569"/>
      <c r="W804" s="569"/>
      <c r="X804" s="569"/>
      <c r="Y804" s="569"/>
      <c r="Z804" s="569"/>
      <c r="AA804" s="569"/>
      <c r="AB804" s="569"/>
      <c r="AC804" s="569"/>
      <c r="AD804" s="569"/>
      <c r="AE804" s="569"/>
      <c r="AF804">
        <v>804</v>
      </c>
      <c r="AG804" s="438" t="str">
        <f>IF(INDEX(D:AE,AF804,ADP!$AF$6)=0,"",INDEX(D:AE,AF804,ADP!$AF$6)+AH804)</f>
        <v/>
      </c>
      <c r="AH804">
        <f t="shared" si="12"/>
        <v>8.0300000000001301E-4</v>
      </c>
    </row>
    <row r="805" spans="1:34" ht="15.75" thickBot="1" x14ac:dyDescent="0.3">
      <c r="A805" s="569"/>
      <c r="B805" s="569"/>
      <c r="C805" s="569" t="s">
        <v>6</v>
      </c>
      <c r="D805" s="569"/>
      <c r="E805" s="569"/>
      <c r="F805" s="569"/>
      <c r="G805" s="569"/>
      <c r="H805" s="569"/>
      <c r="I805" s="569"/>
      <c r="J805" s="569"/>
      <c r="K805" s="569"/>
      <c r="L805" s="569"/>
      <c r="M805" s="569"/>
      <c r="N805" s="569"/>
      <c r="O805" s="569"/>
      <c r="P805" s="569"/>
      <c r="Q805" s="569"/>
      <c r="R805" s="569"/>
      <c r="S805" s="569"/>
      <c r="T805" s="569"/>
      <c r="U805" s="569"/>
      <c r="V805" s="569"/>
      <c r="W805" s="569"/>
      <c r="X805" s="569"/>
      <c r="Y805" s="569"/>
      <c r="Z805" s="569"/>
      <c r="AA805" s="569"/>
      <c r="AB805" s="569"/>
      <c r="AC805" s="569"/>
      <c r="AD805" s="569"/>
      <c r="AE805" s="569"/>
      <c r="AF805">
        <v>805</v>
      </c>
      <c r="AG805" s="438" t="str">
        <f>IF(INDEX(D:AE,AF805,ADP!$AF$6)=0,"",INDEX(D:AE,AF805,ADP!$AF$6)+AH805)</f>
        <v/>
      </c>
      <c r="AH805">
        <f t="shared" si="12"/>
        <v>8.0400000000001304E-4</v>
      </c>
    </row>
    <row r="806" spans="1:34" ht="15.75" thickBot="1" x14ac:dyDescent="0.3">
      <c r="A806" s="569"/>
      <c r="B806" s="569"/>
      <c r="C806" s="569" t="s">
        <v>6</v>
      </c>
      <c r="D806" s="569"/>
      <c r="E806" s="569"/>
      <c r="F806" s="569"/>
      <c r="G806" s="569"/>
      <c r="H806" s="569"/>
      <c r="I806" s="569"/>
      <c r="J806" s="569"/>
      <c r="K806" s="569"/>
      <c r="L806" s="569"/>
      <c r="M806" s="569"/>
      <c r="N806" s="569"/>
      <c r="O806" s="569"/>
      <c r="P806" s="569"/>
      <c r="Q806" s="569"/>
      <c r="R806" s="569"/>
      <c r="S806" s="569"/>
      <c r="T806" s="569"/>
      <c r="U806" s="569"/>
      <c r="V806" s="569"/>
      <c r="W806" s="569"/>
      <c r="X806" s="569"/>
      <c r="Y806" s="569"/>
      <c r="Z806" s="569"/>
      <c r="AA806" s="569"/>
      <c r="AB806" s="569"/>
      <c r="AC806" s="569"/>
      <c r="AD806" s="569"/>
      <c r="AE806" s="569"/>
      <c r="AF806">
        <v>806</v>
      </c>
      <c r="AG806" s="438" t="str">
        <f>IF(INDEX(D:AE,AF806,ADP!$AF$6)=0,"",INDEX(D:AE,AF806,ADP!$AF$6)+AH806)</f>
        <v/>
      </c>
      <c r="AH806">
        <f t="shared" si="12"/>
        <v>8.0500000000001306E-4</v>
      </c>
    </row>
    <row r="807" spans="1:34" ht="15.75" thickBot="1" x14ac:dyDescent="0.3">
      <c r="A807" s="569"/>
      <c r="B807" s="569"/>
      <c r="C807" s="569" t="s">
        <v>6</v>
      </c>
      <c r="D807" s="569"/>
      <c r="E807" s="569"/>
      <c r="F807" s="569"/>
      <c r="G807" s="569"/>
      <c r="H807" s="569"/>
      <c r="I807" s="569"/>
      <c r="J807" s="569"/>
      <c r="K807" s="569"/>
      <c r="L807" s="569"/>
      <c r="M807" s="569"/>
      <c r="N807" s="569"/>
      <c r="O807" s="569"/>
      <c r="P807" s="569"/>
      <c r="Q807" s="569"/>
      <c r="R807" s="569"/>
      <c r="S807" s="569"/>
      <c r="T807" s="569"/>
      <c r="U807" s="569"/>
      <c r="V807" s="569"/>
      <c r="W807" s="569"/>
      <c r="X807" s="569"/>
      <c r="Y807" s="569"/>
      <c r="Z807" s="569"/>
      <c r="AA807" s="569"/>
      <c r="AB807" s="569"/>
      <c r="AC807" s="569"/>
      <c r="AD807" s="569"/>
      <c r="AE807" s="569"/>
      <c r="AF807">
        <v>807</v>
      </c>
      <c r="AG807" s="438" t="str">
        <f>IF(INDEX(D:AE,AF807,ADP!$AF$6)=0,"",INDEX(D:AE,AF807,ADP!$AF$6)+AH807)</f>
        <v/>
      </c>
      <c r="AH807">
        <f t="shared" si="12"/>
        <v>8.0600000000001309E-4</v>
      </c>
    </row>
    <row r="808" spans="1:34" ht="15.75" thickBot="1" x14ac:dyDescent="0.3">
      <c r="A808" s="569"/>
      <c r="B808" s="569"/>
      <c r="C808" s="569" t="s">
        <v>6</v>
      </c>
      <c r="D808" s="569"/>
      <c r="E808" s="569"/>
      <c r="F808" s="569"/>
      <c r="G808" s="569"/>
      <c r="H808" s="569"/>
      <c r="I808" s="569"/>
      <c r="J808" s="569"/>
      <c r="K808" s="569"/>
      <c r="L808" s="569"/>
      <c r="M808" s="569"/>
      <c r="N808" s="569"/>
      <c r="O808" s="569"/>
      <c r="P808" s="569"/>
      <c r="Q808" s="569"/>
      <c r="R808" s="569"/>
      <c r="S808" s="569"/>
      <c r="T808" s="569"/>
      <c r="U808" s="569"/>
      <c r="V808" s="569"/>
      <c r="W808" s="569"/>
      <c r="X808" s="569"/>
      <c r="Y808" s="569"/>
      <c r="Z808" s="569"/>
      <c r="AA808" s="569"/>
      <c r="AB808" s="569"/>
      <c r="AC808" s="569"/>
      <c r="AD808" s="569"/>
      <c r="AE808" s="569"/>
      <c r="AF808">
        <v>808</v>
      </c>
      <c r="AG808" s="438" t="str">
        <f>IF(INDEX(D:AE,AF808,ADP!$AF$6)=0,"",INDEX(D:AE,AF808,ADP!$AF$6)+AH808)</f>
        <v/>
      </c>
      <c r="AH808">
        <f t="shared" si="12"/>
        <v>8.0700000000001311E-4</v>
      </c>
    </row>
    <row r="809" spans="1:34" ht="15.75" thickBot="1" x14ac:dyDescent="0.3">
      <c r="A809" s="569"/>
      <c r="B809" s="569"/>
      <c r="C809" s="569" t="s">
        <v>6</v>
      </c>
      <c r="D809" s="569"/>
      <c r="E809" s="569"/>
      <c r="F809" s="569"/>
      <c r="G809" s="569"/>
      <c r="H809" s="569"/>
      <c r="I809" s="569"/>
      <c r="J809" s="569"/>
      <c r="K809" s="569"/>
      <c r="L809" s="569"/>
      <c r="M809" s="569"/>
      <c r="N809" s="569"/>
      <c r="O809" s="569"/>
      <c r="P809" s="569"/>
      <c r="Q809" s="569"/>
      <c r="R809" s="569"/>
      <c r="S809" s="569"/>
      <c r="T809" s="569"/>
      <c r="U809" s="569"/>
      <c r="V809" s="569"/>
      <c r="W809" s="569"/>
      <c r="X809" s="569"/>
      <c r="Y809" s="569"/>
      <c r="Z809" s="569"/>
      <c r="AA809" s="569"/>
      <c r="AB809" s="569"/>
      <c r="AC809" s="569"/>
      <c r="AD809" s="569"/>
      <c r="AE809" s="569"/>
      <c r="AF809">
        <v>809</v>
      </c>
      <c r="AG809" s="438" t="str">
        <f>IF(INDEX(D:AE,AF809,ADP!$AF$6)=0,"",INDEX(D:AE,AF809,ADP!$AF$6)+AH809)</f>
        <v/>
      </c>
      <c r="AH809">
        <f t="shared" si="12"/>
        <v>8.0800000000001313E-4</v>
      </c>
    </row>
    <row r="810" spans="1:34" ht="15.75" thickBot="1" x14ac:dyDescent="0.3">
      <c r="A810" s="569"/>
      <c r="B810" s="569"/>
      <c r="C810" s="569" t="s">
        <v>6</v>
      </c>
      <c r="D810" s="569"/>
      <c r="E810" s="569"/>
      <c r="F810" s="569"/>
      <c r="G810" s="569"/>
      <c r="H810" s="569"/>
      <c r="I810" s="569"/>
      <c r="J810" s="569"/>
      <c r="K810" s="569"/>
      <c r="L810" s="569"/>
      <c r="M810" s="569"/>
      <c r="N810" s="569"/>
      <c r="O810" s="569"/>
      <c r="P810" s="569"/>
      <c r="Q810" s="569"/>
      <c r="R810" s="569"/>
      <c r="S810" s="569"/>
      <c r="T810" s="569"/>
      <c r="U810" s="569"/>
      <c r="V810" s="569"/>
      <c r="W810" s="569"/>
      <c r="X810" s="569"/>
      <c r="Y810" s="569"/>
      <c r="Z810" s="569"/>
      <c r="AA810" s="569"/>
      <c r="AB810" s="569"/>
      <c r="AC810" s="569"/>
      <c r="AD810" s="569"/>
      <c r="AE810" s="569"/>
      <c r="AF810">
        <v>810</v>
      </c>
      <c r="AG810" s="438" t="str">
        <f>IF(INDEX(D:AE,AF810,ADP!$AF$6)=0,"",INDEX(D:AE,AF810,ADP!$AF$6)+AH810)</f>
        <v/>
      </c>
      <c r="AH810">
        <f t="shared" si="12"/>
        <v>8.0900000000001316E-4</v>
      </c>
    </row>
    <row r="811" spans="1:34" ht="15.75" thickBot="1" x14ac:dyDescent="0.3">
      <c r="A811" s="569"/>
      <c r="B811" s="569"/>
      <c r="C811" s="569" t="s">
        <v>6</v>
      </c>
      <c r="D811" s="569"/>
      <c r="E811" s="569"/>
      <c r="F811" s="569"/>
      <c r="G811" s="569"/>
      <c r="H811" s="569"/>
      <c r="I811" s="569"/>
      <c r="J811" s="569"/>
      <c r="K811" s="569"/>
      <c r="L811" s="569"/>
      <c r="M811" s="569"/>
      <c r="N811" s="569"/>
      <c r="O811" s="569"/>
      <c r="P811" s="569"/>
      <c r="Q811" s="569"/>
      <c r="R811" s="569"/>
      <c r="S811" s="569"/>
      <c r="T811" s="569"/>
      <c r="U811" s="569"/>
      <c r="V811" s="569"/>
      <c r="W811" s="569"/>
      <c r="X811" s="569"/>
      <c r="Y811" s="569"/>
      <c r="Z811" s="569"/>
      <c r="AA811" s="569"/>
      <c r="AB811" s="569"/>
      <c r="AC811" s="569"/>
      <c r="AD811" s="569"/>
      <c r="AE811" s="569"/>
      <c r="AF811">
        <v>811</v>
      </c>
      <c r="AG811" s="438" t="str">
        <f>IF(INDEX(D:AE,AF811,ADP!$AF$6)=0,"",INDEX(D:AE,AF811,ADP!$AF$6)+AH811)</f>
        <v/>
      </c>
      <c r="AH811">
        <f t="shared" si="12"/>
        <v>8.1000000000001318E-4</v>
      </c>
    </row>
    <row r="812" spans="1:34" ht="15.75" thickBot="1" x14ac:dyDescent="0.3">
      <c r="A812" s="569"/>
      <c r="B812" s="569"/>
      <c r="C812" s="569" t="s">
        <v>6</v>
      </c>
      <c r="D812" s="569"/>
      <c r="E812" s="569"/>
      <c r="F812" s="569"/>
      <c r="G812" s="569"/>
      <c r="H812" s="569"/>
      <c r="I812" s="569"/>
      <c r="J812" s="569"/>
      <c r="K812" s="569"/>
      <c r="L812" s="569"/>
      <c r="M812" s="569"/>
      <c r="N812" s="569"/>
      <c r="O812" s="569"/>
      <c r="P812" s="569"/>
      <c r="Q812" s="569"/>
      <c r="R812" s="569"/>
      <c r="S812" s="569"/>
      <c r="T812" s="569"/>
      <c r="U812" s="569"/>
      <c r="V812" s="569"/>
      <c r="W812" s="569"/>
      <c r="X812" s="569"/>
      <c r="Y812" s="569"/>
      <c r="Z812" s="569"/>
      <c r="AA812" s="569"/>
      <c r="AB812" s="569"/>
      <c r="AC812" s="569"/>
      <c r="AD812" s="569"/>
      <c r="AE812" s="569"/>
      <c r="AF812">
        <v>812</v>
      </c>
      <c r="AG812" s="438" t="str">
        <f>IF(INDEX(D:AE,AF812,ADP!$AF$6)=0,"",INDEX(D:AE,AF812,ADP!$AF$6)+AH812)</f>
        <v/>
      </c>
      <c r="AH812">
        <f t="shared" si="12"/>
        <v>8.1100000000001321E-4</v>
      </c>
    </row>
    <row r="813" spans="1:34" ht="15.75" thickBot="1" x14ac:dyDescent="0.3">
      <c r="A813" s="569"/>
      <c r="B813" s="569"/>
      <c r="C813" s="569" t="s">
        <v>6</v>
      </c>
      <c r="D813" s="569"/>
      <c r="E813" s="569"/>
      <c r="F813" s="569"/>
      <c r="G813" s="569"/>
      <c r="H813" s="569"/>
      <c r="I813" s="569"/>
      <c r="J813" s="569"/>
      <c r="K813" s="569"/>
      <c r="L813" s="569"/>
      <c r="M813" s="569"/>
      <c r="N813" s="569"/>
      <c r="O813" s="569"/>
      <c r="P813" s="569"/>
      <c r="Q813" s="569"/>
      <c r="R813" s="569"/>
      <c r="S813" s="569"/>
      <c r="T813" s="569"/>
      <c r="U813" s="569"/>
      <c r="V813" s="569"/>
      <c r="W813" s="569"/>
      <c r="X813" s="569"/>
      <c r="Y813" s="569"/>
      <c r="Z813" s="569"/>
      <c r="AA813" s="569"/>
      <c r="AB813" s="569"/>
      <c r="AC813" s="569"/>
      <c r="AD813" s="569"/>
      <c r="AE813" s="569"/>
      <c r="AF813">
        <v>813</v>
      </c>
      <c r="AG813" s="438" t="str">
        <f>IF(INDEX(D:AE,AF813,ADP!$AF$6)=0,"",INDEX(D:AE,AF813,ADP!$AF$6)+AH813)</f>
        <v/>
      </c>
      <c r="AH813">
        <f t="shared" si="12"/>
        <v>8.1200000000001323E-4</v>
      </c>
    </row>
    <row r="814" spans="1:34" ht="15.75" thickBot="1" x14ac:dyDescent="0.3">
      <c r="A814" s="569"/>
      <c r="B814" s="569"/>
      <c r="C814" s="569" t="s">
        <v>6</v>
      </c>
      <c r="D814" s="569"/>
      <c r="E814" s="569"/>
      <c r="F814" s="569"/>
      <c r="G814" s="569"/>
      <c r="H814" s="569"/>
      <c r="I814" s="569"/>
      <c r="J814" s="569"/>
      <c r="K814" s="569"/>
      <c r="L814" s="569"/>
      <c r="M814" s="569"/>
      <c r="N814" s="569"/>
      <c r="O814" s="569"/>
      <c r="P814" s="569"/>
      <c r="Q814" s="569"/>
      <c r="R814" s="569"/>
      <c r="S814" s="569"/>
      <c r="T814" s="569"/>
      <c r="U814" s="569"/>
      <c r="V814" s="569"/>
      <c r="W814" s="569"/>
      <c r="X814" s="569"/>
      <c r="Y814" s="569"/>
      <c r="Z814" s="569"/>
      <c r="AA814" s="569"/>
      <c r="AB814" s="569"/>
      <c r="AC814" s="569"/>
      <c r="AD814" s="569"/>
      <c r="AE814" s="569"/>
      <c r="AF814">
        <v>814</v>
      </c>
      <c r="AG814" s="438" t="str">
        <f>IF(INDEX(D:AE,AF814,ADP!$AF$6)=0,"",INDEX(D:AE,AF814,ADP!$AF$6)+AH814)</f>
        <v/>
      </c>
      <c r="AH814">
        <f t="shared" si="12"/>
        <v>8.1300000000001326E-4</v>
      </c>
    </row>
    <row r="815" spans="1:34" ht="15.75" thickBot="1" x14ac:dyDescent="0.3">
      <c r="A815" s="569"/>
      <c r="B815" s="569"/>
      <c r="C815" s="569" t="s">
        <v>6</v>
      </c>
      <c r="D815" s="569"/>
      <c r="E815" s="569"/>
      <c r="F815" s="569"/>
      <c r="G815" s="569"/>
      <c r="H815" s="569"/>
      <c r="I815" s="569"/>
      <c r="J815" s="569"/>
      <c r="K815" s="569"/>
      <c r="L815" s="569"/>
      <c r="M815" s="569"/>
      <c r="N815" s="569"/>
      <c r="O815" s="569"/>
      <c r="P815" s="569"/>
      <c r="Q815" s="569"/>
      <c r="R815" s="569"/>
      <c r="S815" s="569"/>
      <c r="T815" s="569"/>
      <c r="U815" s="569"/>
      <c r="V815" s="569"/>
      <c r="W815" s="569"/>
      <c r="X815" s="569"/>
      <c r="Y815" s="569"/>
      <c r="Z815" s="569"/>
      <c r="AA815" s="569"/>
      <c r="AB815" s="569"/>
      <c r="AC815" s="569"/>
      <c r="AD815" s="569"/>
      <c r="AE815" s="569"/>
      <c r="AF815">
        <v>815</v>
      </c>
      <c r="AG815" s="438" t="str">
        <f>IF(INDEX(D:AE,AF815,ADP!$AF$6)=0,"",INDEX(D:AE,AF815,ADP!$AF$6)+AH815)</f>
        <v/>
      </c>
      <c r="AH815">
        <f t="shared" si="12"/>
        <v>8.1400000000001328E-4</v>
      </c>
    </row>
    <row r="816" spans="1:34" ht="15.75" thickBot="1" x14ac:dyDescent="0.3">
      <c r="A816" s="569"/>
      <c r="B816" s="569"/>
      <c r="C816" s="569" t="s">
        <v>6</v>
      </c>
      <c r="D816" s="569"/>
      <c r="E816" s="569"/>
      <c r="F816" s="569"/>
      <c r="G816" s="569"/>
      <c r="H816" s="569"/>
      <c r="I816" s="569"/>
      <c r="J816" s="569"/>
      <c r="K816" s="569"/>
      <c r="L816" s="569"/>
      <c r="M816" s="569"/>
      <c r="N816" s="569"/>
      <c r="O816" s="569"/>
      <c r="P816" s="569"/>
      <c r="Q816" s="569"/>
      <c r="R816" s="569"/>
      <c r="S816" s="569"/>
      <c r="T816" s="569"/>
      <c r="U816" s="569"/>
      <c r="V816" s="569"/>
      <c r="W816" s="569"/>
      <c r="X816" s="569"/>
      <c r="Y816" s="569"/>
      <c r="Z816" s="569"/>
      <c r="AA816" s="569"/>
      <c r="AB816" s="569"/>
      <c r="AC816" s="569"/>
      <c r="AD816" s="569"/>
      <c r="AE816" s="569"/>
      <c r="AF816">
        <v>816</v>
      </c>
      <c r="AG816" s="438" t="str">
        <f>IF(INDEX(D:AE,AF816,ADP!$AF$6)=0,"",INDEX(D:AE,AF816,ADP!$AF$6)+AH816)</f>
        <v/>
      </c>
      <c r="AH816">
        <f t="shared" si="12"/>
        <v>8.150000000000133E-4</v>
      </c>
    </row>
    <row r="817" spans="1:34" ht="15.75" thickBot="1" x14ac:dyDescent="0.3">
      <c r="A817" s="569"/>
      <c r="B817" s="569"/>
      <c r="C817" s="569" t="s">
        <v>6</v>
      </c>
      <c r="D817" s="569"/>
      <c r="E817" s="569"/>
      <c r="F817" s="569"/>
      <c r="G817" s="569"/>
      <c r="H817" s="569"/>
      <c r="I817" s="569"/>
      <c r="J817" s="569"/>
      <c r="K817" s="569"/>
      <c r="L817" s="569"/>
      <c r="M817" s="569"/>
      <c r="N817" s="569"/>
      <c r="O817" s="569"/>
      <c r="P817" s="569"/>
      <c r="Q817" s="569"/>
      <c r="R817" s="569"/>
      <c r="S817" s="569"/>
      <c r="T817" s="569"/>
      <c r="U817" s="569"/>
      <c r="V817" s="569"/>
      <c r="W817" s="569"/>
      <c r="X817" s="569"/>
      <c r="Y817" s="569"/>
      <c r="Z817" s="569"/>
      <c r="AA817" s="569"/>
      <c r="AB817" s="569"/>
      <c r="AC817" s="569"/>
      <c r="AD817" s="569"/>
      <c r="AE817" s="569"/>
      <c r="AF817">
        <v>817</v>
      </c>
      <c r="AG817" s="438" t="str">
        <f>IF(INDEX(D:AE,AF817,ADP!$AF$6)=0,"",INDEX(D:AE,AF817,ADP!$AF$6)+AH817)</f>
        <v/>
      </c>
      <c r="AH817">
        <f t="shared" si="12"/>
        <v>8.1600000000001333E-4</v>
      </c>
    </row>
    <row r="818" spans="1:34" ht="15.75" thickBot="1" x14ac:dyDescent="0.3">
      <c r="A818" s="569"/>
      <c r="B818" s="569"/>
      <c r="C818" s="569"/>
      <c r="D818" s="569"/>
      <c r="E818" s="569"/>
      <c r="F818" s="569"/>
      <c r="G818" s="569"/>
      <c r="H818" s="569"/>
      <c r="I818" s="569"/>
      <c r="J818" s="569"/>
      <c r="K818" s="569"/>
      <c r="L818" s="569"/>
      <c r="M818" s="569"/>
      <c r="N818" s="569"/>
      <c r="O818" s="569"/>
      <c r="P818" s="569"/>
      <c r="Q818" s="569"/>
      <c r="R818" s="569"/>
      <c r="S818" s="569"/>
      <c r="T818" s="569"/>
      <c r="U818" s="569"/>
      <c r="V818" s="569"/>
      <c r="W818" s="569"/>
      <c r="X818" s="569"/>
      <c r="Y818" s="569"/>
      <c r="Z818" s="569"/>
      <c r="AA818" s="569"/>
      <c r="AB818" s="569"/>
      <c r="AC818" s="569"/>
      <c r="AD818" s="569"/>
      <c r="AE818" s="569"/>
      <c r="AF818">
        <v>818</v>
      </c>
      <c r="AG818" s="438" t="str">
        <f>IF(INDEX(D:AE,AF818,ADP!$AF$6)=0,"",INDEX(D:AE,AF818,ADP!$AF$6)+AH818)</f>
        <v/>
      </c>
      <c r="AH818">
        <f t="shared" si="12"/>
        <v>8.1700000000001335E-4</v>
      </c>
    </row>
    <row r="819" spans="1:34" ht="15.75" thickBot="1" x14ac:dyDescent="0.3">
      <c r="A819" s="569"/>
      <c r="B819" s="569"/>
      <c r="C819" s="569"/>
      <c r="D819" s="569"/>
      <c r="E819" s="569"/>
      <c r="F819" s="569"/>
      <c r="G819" s="569"/>
      <c r="H819" s="569"/>
      <c r="I819" s="569"/>
      <c r="J819" s="569"/>
      <c r="K819" s="569"/>
      <c r="L819" s="569"/>
      <c r="M819" s="569"/>
      <c r="N819" s="569"/>
      <c r="O819" s="569"/>
      <c r="P819" s="569"/>
      <c r="Q819" s="569"/>
      <c r="R819" s="569"/>
      <c r="S819" s="569"/>
      <c r="T819" s="569"/>
      <c r="U819" s="569"/>
      <c r="V819" s="569"/>
      <c r="W819" s="569"/>
      <c r="X819" s="569"/>
      <c r="Y819" s="569"/>
      <c r="Z819" s="569"/>
      <c r="AA819" s="569"/>
      <c r="AB819" s="569"/>
      <c r="AC819" s="569"/>
      <c r="AD819" s="569"/>
      <c r="AE819" s="569"/>
      <c r="AF819">
        <v>819</v>
      </c>
      <c r="AG819" s="438" t="str">
        <f>IF(INDEX(D:AE,AF819,ADP!$AF$6)=0,"",INDEX(D:AE,AF819,ADP!$AF$6)+AH819)</f>
        <v/>
      </c>
      <c r="AH819">
        <f t="shared" si="12"/>
        <v>8.1800000000001338E-4</v>
      </c>
    </row>
    <row r="820" spans="1:34" ht="15.75" thickBot="1" x14ac:dyDescent="0.3">
      <c r="A820" s="569"/>
      <c r="B820" s="569"/>
      <c r="C820" s="569" t="s">
        <v>7</v>
      </c>
      <c r="D820" s="569"/>
      <c r="E820" s="569"/>
      <c r="F820" s="569"/>
      <c r="G820" s="569"/>
      <c r="H820" s="569"/>
      <c r="I820" s="569"/>
      <c r="J820" s="569"/>
      <c r="K820" s="569"/>
      <c r="L820" s="569"/>
      <c r="M820" s="569"/>
      <c r="N820" s="569"/>
      <c r="O820" s="569"/>
      <c r="P820" s="569"/>
      <c r="Q820" s="569"/>
      <c r="R820" s="569"/>
      <c r="S820" s="569"/>
      <c r="T820" s="569"/>
      <c r="U820" s="569"/>
      <c r="V820" s="569"/>
      <c r="W820" s="569"/>
      <c r="X820" s="569"/>
      <c r="Y820" s="569"/>
      <c r="Z820" s="569"/>
      <c r="AA820" s="569"/>
      <c r="AB820" s="569"/>
      <c r="AC820" s="569"/>
      <c r="AD820" s="569"/>
      <c r="AE820" s="569"/>
      <c r="AF820">
        <v>820</v>
      </c>
      <c r="AG820" s="438" t="str">
        <f>IF(INDEX(D:AE,AF820,ADP!$AF$6)=0,"",INDEX(D:AE,AF820,ADP!$AF$6)+AH820)</f>
        <v/>
      </c>
      <c r="AH820">
        <f t="shared" si="12"/>
        <v>8.190000000000134E-4</v>
      </c>
    </row>
    <row r="821" spans="1:34" ht="15.75" thickBot="1" x14ac:dyDescent="0.3">
      <c r="A821" s="569"/>
      <c r="B821" s="569"/>
      <c r="C821" s="569" t="s">
        <v>7</v>
      </c>
      <c r="D821" s="569"/>
      <c r="E821" s="569"/>
      <c r="F821" s="569"/>
      <c r="G821" s="569"/>
      <c r="H821" s="569"/>
      <c r="I821" s="569"/>
      <c r="J821" s="569"/>
      <c r="K821" s="569"/>
      <c r="L821" s="569"/>
      <c r="M821" s="569"/>
      <c r="N821" s="569"/>
      <c r="O821" s="569"/>
      <c r="P821" s="569"/>
      <c r="Q821" s="569"/>
      <c r="R821" s="569"/>
      <c r="S821" s="569"/>
      <c r="T821" s="569"/>
      <c r="U821" s="569"/>
      <c r="V821" s="569"/>
      <c r="W821" s="569"/>
      <c r="X821" s="569"/>
      <c r="Y821" s="569"/>
      <c r="Z821" s="569"/>
      <c r="AA821" s="569"/>
      <c r="AB821" s="569"/>
      <c r="AC821" s="569"/>
      <c r="AD821" s="569"/>
      <c r="AE821" s="569"/>
      <c r="AF821">
        <v>821</v>
      </c>
      <c r="AG821" s="438" t="str">
        <f>IF(INDEX(D:AE,AF821,ADP!$AF$6)=0,"",INDEX(D:AE,AF821,ADP!$AF$6)+AH821)</f>
        <v/>
      </c>
      <c r="AH821">
        <f t="shared" si="12"/>
        <v>8.2000000000001343E-4</v>
      </c>
    </row>
    <row r="822" spans="1:34" ht="15.75" thickBot="1" x14ac:dyDescent="0.3">
      <c r="A822" s="569"/>
      <c r="B822" s="569"/>
      <c r="C822" s="569" t="s">
        <v>7</v>
      </c>
      <c r="D822" s="569"/>
      <c r="E822" s="569"/>
      <c r="F822" s="569"/>
      <c r="G822" s="569"/>
      <c r="H822" s="569"/>
      <c r="I822" s="569"/>
      <c r="J822" s="569"/>
      <c r="K822" s="569"/>
      <c r="L822" s="569"/>
      <c r="M822" s="569"/>
      <c r="N822" s="569"/>
      <c r="O822" s="569"/>
      <c r="P822" s="569"/>
      <c r="Q822" s="569"/>
      <c r="R822" s="569"/>
      <c r="S822" s="569"/>
      <c r="T822" s="569"/>
      <c r="U822" s="569"/>
      <c r="V822" s="569"/>
      <c r="W822" s="569"/>
      <c r="X822" s="569"/>
      <c r="Y822" s="569"/>
      <c r="Z822" s="569"/>
      <c r="AA822" s="569"/>
      <c r="AB822" s="569"/>
      <c r="AC822" s="569"/>
      <c r="AD822" s="569"/>
      <c r="AE822" s="569"/>
      <c r="AF822">
        <v>822</v>
      </c>
      <c r="AG822" s="438" t="str">
        <f>IF(INDEX(D:AE,AF822,ADP!$AF$6)=0,"",INDEX(D:AE,AF822,ADP!$AF$6)+AH822)</f>
        <v/>
      </c>
      <c r="AH822">
        <f t="shared" si="12"/>
        <v>8.2100000000001345E-4</v>
      </c>
    </row>
    <row r="823" spans="1:34" ht="15.75" thickBot="1" x14ac:dyDescent="0.3">
      <c r="A823" s="569"/>
      <c r="B823" s="569"/>
      <c r="C823" s="569" t="s">
        <v>7</v>
      </c>
      <c r="D823" s="569"/>
      <c r="E823" s="569"/>
      <c r="F823" s="569"/>
      <c r="G823" s="569"/>
      <c r="H823" s="569"/>
      <c r="I823" s="569"/>
      <c r="J823" s="569"/>
      <c r="K823" s="569"/>
      <c r="L823" s="569"/>
      <c r="M823" s="569"/>
      <c r="N823" s="569"/>
      <c r="O823" s="569"/>
      <c r="P823" s="569"/>
      <c r="Q823" s="569"/>
      <c r="R823" s="569"/>
      <c r="S823" s="569"/>
      <c r="T823" s="569"/>
      <c r="U823" s="569"/>
      <c r="V823" s="569"/>
      <c r="W823" s="569"/>
      <c r="X823" s="569"/>
      <c r="Y823" s="569"/>
      <c r="Z823" s="569"/>
      <c r="AA823" s="569"/>
      <c r="AB823" s="569"/>
      <c r="AC823" s="569"/>
      <c r="AD823" s="569"/>
      <c r="AE823" s="569"/>
      <c r="AF823">
        <v>823</v>
      </c>
      <c r="AG823" s="438" t="str">
        <f>IF(INDEX(D:AE,AF823,ADP!$AF$6)=0,"",INDEX(D:AE,AF823,ADP!$AF$6)+AH823)</f>
        <v/>
      </c>
      <c r="AH823">
        <f t="shared" si="12"/>
        <v>8.2200000000001348E-4</v>
      </c>
    </row>
    <row r="824" spans="1:34" ht="15.75" thickBot="1" x14ac:dyDescent="0.3">
      <c r="A824" s="569"/>
      <c r="B824" s="569"/>
      <c r="C824" s="569" t="s">
        <v>7</v>
      </c>
      <c r="D824" s="569"/>
      <c r="E824" s="569"/>
      <c r="F824" s="569"/>
      <c r="G824" s="569"/>
      <c r="H824" s="569"/>
      <c r="I824" s="569"/>
      <c r="J824" s="569"/>
      <c r="K824" s="569"/>
      <c r="L824" s="569"/>
      <c r="M824" s="569"/>
      <c r="N824" s="569"/>
      <c r="O824" s="569"/>
      <c r="P824" s="569"/>
      <c r="Q824" s="569"/>
      <c r="R824" s="569"/>
      <c r="S824" s="569"/>
      <c r="T824" s="569"/>
      <c r="U824" s="569"/>
      <c r="V824" s="569"/>
      <c r="W824" s="569"/>
      <c r="X824" s="569"/>
      <c r="Y824" s="569"/>
      <c r="Z824" s="569"/>
      <c r="AA824" s="569"/>
      <c r="AB824" s="569"/>
      <c r="AC824" s="569"/>
      <c r="AD824" s="569"/>
      <c r="AE824" s="569"/>
      <c r="AF824">
        <v>824</v>
      </c>
      <c r="AG824" s="438" t="str">
        <f>IF(INDEX(D:AE,AF824,ADP!$AF$6)=0,"",INDEX(D:AE,AF824,ADP!$AF$6)+AH824)</f>
        <v/>
      </c>
      <c r="AH824">
        <f t="shared" si="12"/>
        <v>8.230000000000135E-4</v>
      </c>
    </row>
    <row r="825" spans="1:34" ht="15.75" thickBot="1" x14ac:dyDescent="0.3">
      <c r="A825" s="569"/>
      <c r="B825" s="569"/>
      <c r="C825" s="569" t="s">
        <v>7</v>
      </c>
      <c r="D825" s="569"/>
      <c r="E825" s="569"/>
      <c r="F825" s="569"/>
      <c r="G825" s="569"/>
      <c r="H825" s="569"/>
      <c r="I825" s="569"/>
      <c r="J825" s="569"/>
      <c r="K825" s="569"/>
      <c r="L825" s="569"/>
      <c r="M825" s="569"/>
      <c r="N825" s="569"/>
      <c r="O825" s="569"/>
      <c r="P825" s="569"/>
      <c r="Q825" s="569"/>
      <c r="R825" s="569"/>
      <c r="S825" s="569"/>
      <c r="T825" s="569"/>
      <c r="U825" s="569"/>
      <c r="V825" s="569"/>
      <c r="W825" s="569"/>
      <c r="X825" s="569"/>
      <c r="Y825" s="569"/>
      <c r="Z825" s="569"/>
      <c r="AA825" s="569"/>
      <c r="AB825" s="569"/>
      <c r="AC825" s="569"/>
      <c r="AD825" s="569"/>
      <c r="AE825" s="569"/>
      <c r="AF825">
        <v>825</v>
      </c>
      <c r="AG825" s="438" t="str">
        <f>IF(INDEX(D:AE,AF825,ADP!$AF$6)=0,"",INDEX(D:AE,AF825,ADP!$AF$6)+AH825)</f>
        <v/>
      </c>
      <c r="AH825">
        <f t="shared" si="12"/>
        <v>8.2400000000001352E-4</v>
      </c>
    </row>
    <row r="826" spans="1:34" ht="15.75" thickBot="1" x14ac:dyDescent="0.3">
      <c r="A826" s="569"/>
      <c r="B826" s="569"/>
      <c r="C826" s="569" t="s">
        <v>7</v>
      </c>
      <c r="D826" s="569"/>
      <c r="E826" s="569"/>
      <c r="F826" s="569"/>
      <c r="G826" s="569"/>
      <c r="H826" s="569"/>
      <c r="I826" s="569"/>
      <c r="J826" s="569"/>
      <c r="K826" s="569"/>
      <c r="L826" s="569"/>
      <c r="M826" s="569"/>
      <c r="N826" s="569"/>
      <c r="O826" s="569"/>
      <c r="P826" s="569"/>
      <c r="Q826" s="569"/>
      <c r="R826" s="569"/>
      <c r="S826" s="569"/>
      <c r="T826" s="569"/>
      <c r="U826" s="569"/>
      <c r="V826" s="569"/>
      <c r="W826" s="569"/>
      <c r="X826" s="569"/>
      <c r="Y826" s="569"/>
      <c r="Z826" s="569"/>
      <c r="AA826" s="569"/>
      <c r="AB826" s="569"/>
      <c r="AC826" s="569"/>
      <c r="AD826" s="569"/>
      <c r="AE826" s="569"/>
      <c r="AF826">
        <v>826</v>
      </c>
      <c r="AG826" s="438" t="str">
        <f>IF(INDEX(D:AE,AF826,ADP!$AF$6)=0,"",INDEX(D:AE,AF826,ADP!$AF$6)+AH826)</f>
        <v/>
      </c>
      <c r="AH826">
        <f t="shared" si="12"/>
        <v>8.2500000000001355E-4</v>
      </c>
    </row>
    <row r="827" spans="1:34" ht="15.75" thickBot="1" x14ac:dyDescent="0.3">
      <c r="A827" s="569"/>
      <c r="B827" s="569"/>
      <c r="C827" s="569" t="s">
        <v>7</v>
      </c>
      <c r="D827" s="569"/>
      <c r="E827" s="569"/>
      <c r="F827" s="569"/>
      <c r="G827" s="569"/>
      <c r="H827" s="569"/>
      <c r="I827" s="569"/>
      <c r="J827" s="569"/>
      <c r="K827" s="569"/>
      <c r="L827" s="569"/>
      <c r="M827" s="569"/>
      <c r="N827" s="569"/>
      <c r="O827" s="569"/>
      <c r="P827" s="569"/>
      <c r="Q827" s="569"/>
      <c r="R827" s="569"/>
      <c r="S827" s="569"/>
      <c r="T827" s="569"/>
      <c r="U827" s="569"/>
      <c r="V827" s="569"/>
      <c r="W827" s="569"/>
      <c r="X827" s="569"/>
      <c r="Y827" s="569"/>
      <c r="Z827" s="569"/>
      <c r="AA827" s="569"/>
      <c r="AB827" s="569"/>
      <c r="AC827" s="569"/>
      <c r="AD827" s="569"/>
      <c r="AE827" s="569"/>
      <c r="AF827">
        <v>827</v>
      </c>
      <c r="AG827" s="438" t="str">
        <f>IF(INDEX(D:AE,AF827,ADP!$AF$6)=0,"",INDEX(D:AE,AF827,ADP!$AF$6)+AH827)</f>
        <v/>
      </c>
      <c r="AH827">
        <f t="shared" si="12"/>
        <v>8.2600000000001357E-4</v>
      </c>
    </row>
    <row r="828" spans="1:34" ht="15.75" thickBot="1" x14ac:dyDescent="0.3">
      <c r="A828" s="569"/>
      <c r="B828" s="569"/>
      <c r="C828" s="569" t="s">
        <v>7</v>
      </c>
      <c r="D828" s="569"/>
      <c r="E828" s="569"/>
      <c r="F828" s="569"/>
      <c r="G828" s="569"/>
      <c r="H828" s="569"/>
      <c r="I828" s="569"/>
      <c r="J828" s="569"/>
      <c r="K828" s="569"/>
      <c r="L828" s="569"/>
      <c r="M828" s="569"/>
      <c r="N828" s="569"/>
      <c r="O828" s="569"/>
      <c r="P828" s="569"/>
      <c r="Q828" s="569"/>
      <c r="R828" s="569"/>
      <c r="S828" s="569"/>
      <c r="T828" s="569"/>
      <c r="U828" s="569"/>
      <c r="V828" s="569"/>
      <c r="W828" s="569"/>
      <c r="X828" s="569"/>
      <c r="Y828" s="569"/>
      <c r="Z828" s="569"/>
      <c r="AA828" s="569"/>
      <c r="AB828" s="569"/>
      <c r="AC828" s="569"/>
      <c r="AD828" s="569"/>
      <c r="AE828" s="569"/>
      <c r="AF828">
        <v>828</v>
      </c>
      <c r="AG828" s="438" t="str">
        <f>IF(INDEX(D:AE,AF828,ADP!$AF$6)=0,"",INDEX(D:AE,AF828,ADP!$AF$6)+AH828)</f>
        <v/>
      </c>
      <c r="AH828">
        <f t="shared" si="12"/>
        <v>8.270000000000136E-4</v>
      </c>
    </row>
    <row r="829" spans="1:34" ht="15.75" thickBot="1" x14ac:dyDescent="0.3">
      <c r="A829" s="569"/>
      <c r="B829" s="569"/>
      <c r="C829" s="569" t="s">
        <v>7</v>
      </c>
      <c r="D829" s="569"/>
      <c r="E829" s="569"/>
      <c r="F829" s="569"/>
      <c r="G829" s="569"/>
      <c r="H829" s="569"/>
      <c r="I829" s="569"/>
      <c r="J829" s="569"/>
      <c r="K829" s="569"/>
      <c r="L829" s="569"/>
      <c r="M829" s="569"/>
      <c r="N829" s="569"/>
      <c r="O829" s="569"/>
      <c r="P829" s="569"/>
      <c r="Q829" s="569"/>
      <c r="R829" s="569"/>
      <c r="S829" s="569"/>
      <c r="T829" s="569"/>
      <c r="U829" s="569"/>
      <c r="V829" s="569"/>
      <c r="W829" s="569"/>
      <c r="X829" s="569"/>
      <c r="Y829" s="569"/>
      <c r="Z829" s="569"/>
      <c r="AA829" s="569"/>
      <c r="AB829" s="569"/>
      <c r="AC829" s="569"/>
      <c r="AD829" s="569"/>
      <c r="AE829" s="569"/>
      <c r="AF829">
        <v>829</v>
      </c>
      <c r="AG829" s="438" t="str">
        <f>IF(INDEX(D:AE,AF829,ADP!$AF$6)=0,"",INDEX(D:AE,AF829,ADP!$AF$6)+AH829)</f>
        <v/>
      </c>
      <c r="AH829">
        <f t="shared" si="12"/>
        <v>8.2800000000001362E-4</v>
      </c>
    </row>
    <row r="830" spans="1:34" ht="15.75" thickBot="1" x14ac:dyDescent="0.3">
      <c r="A830" s="569"/>
      <c r="B830" s="569"/>
      <c r="C830" s="569" t="s">
        <v>7</v>
      </c>
      <c r="D830" s="569"/>
      <c r="E830" s="569"/>
      <c r="F830" s="569"/>
      <c r="G830" s="569"/>
      <c r="H830" s="569"/>
      <c r="I830" s="569"/>
      <c r="J830" s="569"/>
      <c r="K830" s="569"/>
      <c r="L830" s="569"/>
      <c r="M830" s="569"/>
      <c r="N830" s="569"/>
      <c r="O830" s="569"/>
      <c r="P830" s="569"/>
      <c r="Q830" s="569"/>
      <c r="R830" s="569"/>
      <c r="S830" s="569"/>
      <c r="T830" s="569"/>
      <c r="U830" s="569"/>
      <c r="V830" s="569"/>
      <c r="W830" s="569"/>
      <c r="X830" s="569"/>
      <c r="Y830" s="569"/>
      <c r="Z830" s="569"/>
      <c r="AA830" s="569"/>
      <c r="AB830" s="569"/>
      <c r="AC830" s="569"/>
      <c r="AD830" s="569"/>
      <c r="AE830" s="569"/>
      <c r="AF830">
        <v>830</v>
      </c>
      <c r="AG830" s="438" t="str">
        <f>IF(INDEX(D:AE,AF830,ADP!$AF$6)=0,"",INDEX(D:AE,AF830,ADP!$AF$6)+AH830)</f>
        <v/>
      </c>
      <c r="AH830">
        <f t="shared" si="12"/>
        <v>8.2900000000001365E-4</v>
      </c>
    </row>
    <row r="831" spans="1:34" ht="15.75" thickBot="1" x14ac:dyDescent="0.3">
      <c r="A831" s="569"/>
      <c r="B831" s="569"/>
      <c r="C831" s="569" t="s">
        <v>7</v>
      </c>
      <c r="D831" s="569"/>
      <c r="E831" s="569"/>
      <c r="F831" s="569"/>
      <c r="G831" s="569"/>
      <c r="H831" s="569"/>
      <c r="I831" s="569"/>
      <c r="J831" s="569"/>
      <c r="K831" s="569"/>
      <c r="L831" s="569"/>
      <c r="M831" s="569"/>
      <c r="N831" s="569"/>
      <c r="O831" s="569"/>
      <c r="P831" s="569"/>
      <c r="Q831" s="569"/>
      <c r="R831" s="569"/>
      <c r="S831" s="569"/>
      <c r="T831" s="569"/>
      <c r="U831" s="569"/>
      <c r="V831" s="569"/>
      <c r="W831" s="569"/>
      <c r="X831" s="569"/>
      <c r="Y831" s="569"/>
      <c r="Z831" s="569"/>
      <c r="AA831" s="569"/>
      <c r="AB831" s="569"/>
      <c r="AC831" s="569"/>
      <c r="AD831" s="569"/>
      <c r="AE831" s="569"/>
      <c r="AF831">
        <v>831</v>
      </c>
      <c r="AG831" s="438" t="str">
        <f>IF(INDEX(D:AE,AF831,ADP!$AF$6)=0,"",INDEX(D:AE,AF831,ADP!$AF$6)+AH831)</f>
        <v/>
      </c>
      <c r="AH831">
        <f t="shared" si="12"/>
        <v>8.3000000000001367E-4</v>
      </c>
    </row>
    <row r="832" spans="1:34" ht="15.75" thickBot="1" x14ac:dyDescent="0.3">
      <c r="A832" s="569"/>
      <c r="B832" s="569"/>
      <c r="C832" s="569" t="s">
        <v>7</v>
      </c>
      <c r="D832" s="569"/>
      <c r="E832" s="569"/>
      <c r="F832" s="569"/>
      <c r="G832" s="569"/>
      <c r="H832" s="569"/>
      <c r="I832" s="569"/>
      <c r="J832" s="569"/>
      <c r="K832" s="569"/>
      <c r="L832" s="569"/>
      <c r="M832" s="569"/>
      <c r="N832" s="569"/>
      <c r="O832" s="569"/>
      <c r="P832" s="569"/>
      <c r="Q832" s="569"/>
      <c r="R832" s="569"/>
      <c r="S832" s="569"/>
      <c r="T832" s="569"/>
      <c r="U832" s="569"/>
      <c r="V832" s="569"/>
      <c r="W832" s="569"/>
      <c r="X832" s="569"/>
      <c r="Y832" s="569"/>
      <c r="Z832" s="569"/>
      <c r="AA832" s="569"/>
      <c r="AB832" s="569"/>
      <c r="AC832" s="569"/>
      <c r="AD832" s="569"/>
      <c r="AE832" s="569"/>
      <c r="AF832">
        <v>832</v>
      </c>
      <c r="AG832" s="438" t="str">
        <f>IF(INDEX(D:AE,AF832,ADP!$AF$6)=0,"",INDEX(D:AE,AF832,ADP!$AF$6)+AH832)</f>
        <v/>
      </c>
      <c r="AH832">
        <f t="shared" si="12"/>
        <v>8.3100000000001369E-4</v>
      </c>
    </row>
    <row r="833" spans="1:34" ht="15.75" thickBot="1" x14ac:dyDescent="0.3">
      <c r="A833" s="569"/>
      <c r="B833" s="569"/>
      <c r="C833" s="569" t="s">
        <v>7</v>
      </c>
      <c r="D833" s="569"/>
      <c r="E833" s="569"/>
      <c r="F833" s="569"/>
      <c r="G833" s="569"/>
      <c r="H833" s="569"/>
      <c r="I833" s="569"/>
      <c r="J833" s="569"/>
      <c r="K833" s="569"/>
      <c r="L833" s="569"/>
      <c r="M833" s="569"/>
      <c r="N833" s="569"/>
      <c r="O833" s="569"/>
      <c r="P833" s="569"/>
      <c r="Q833" s="569"/>
      <c r="R833" s="569"/>
      <c r="S833" s="569"/>
      <c r="T833" s="569"/>
      <c r="U833" s="569"/>
      <c r="V833" s="569"/>
      <c r="W833" s="569"/>
      <c r="X833" s="569"/>
      <c r="Y833" s="569"/>
      <c r="Z833" s="569"/>
      <c r="AA833" s="569"/>
      <c r="AB833" s="569"/>
      <c r="AC833" s="569"/>
      <c r="AD833" s="569"/>
      <c r="AE833" s="569"/>
      <c r="AF833">
        <v>833</v>
      </c>
      <c r="AG833" s="438" t="str">
        <f>IF(INDEX(D:AE,AF833,ADP!$AF$6)=0,"",INDEX(D:AE,AF833,ADP!$AF$6)+AH833)</f>
        <v/>
      </c>
      <c r="AH833">
        <f t="shared" si="12"/>
        <v>8.3200000000001372E-4</v>
      </c>
    </row>
    <row r="834" spans="1:34" ht="15.75" thickBot="1" x14ac:dyDescent="0.3">
      <c r="A834" s="569"/>
      <c r="B834" s="569"/>
      <c r="C834" s="569" t="s">
        <v>7</v>
      </c>
      <c r="D834" s="569"/>
      <c r="E834" s="569"/>
      <c r="F834" s="569"/>
      <c r="G834" s="569"/>
      <c r="H834" s="569"/>
      <c r="I834" s="569"/>
      <c r="J834" s="569"/>
      <c r="K834" s="569"/>
      <c r="L834" s="569"/>
      <c r="M834" s="569"/>
      <c r="N834" s="569"/>
      <c r="O834" s="569"/>
      <c r="P834" s="569"/>
      <c r="Q834" s="569"/>
      <c r="R834" s="569"/>
      <c r="S834" s="569"/>
      <c r="T834" s="569"/>
      <c r="U834" s="569"/>
      <c r="V834" s="569"/>
      <c r="W834" s="569"/>
      <c r="X834" s="569"/>
      <c r="Y834" s="569"/>
      <c r="Z834" s="569"/>
      <c r="AA834" s="569"/>
      <c r="AB834" s="569"/>
      <c r="AC834" s="569"/>
      <c r="AD834" s="569"/>
      <c r="AE834" s="569"/>
      <c r="AF834">
        <v>834</v>
      </c>
      <c r="AG834" s="438" t="str">
        <f>IF(INDEX(D:AE,AF834,ADP!$AF$6)=0,"",INDEX(D:AE,AF834,ADP!$AF$6)+AH834)</f>
        <v/>
      </c>
      <c r="AH834">
        <f t="shared" si="12"/>
        <v>8.3300000000001374E-4</v>
      </c>
    </row>
    <row r="835" spans="1:34" ht="15.75" thickBot="1" x14ac:dyDescent="0.3">
      <c r="A835" s="569"/>
      <c r="B835" s="569"/>
      <c r="C835" s="569"/>
      <c r="D835" s="569"/>
      <c r="E835" s="569"/>
      <c r="F835" s="569"/>
      <c r="G835" s="569"/>
      <c r="H835" s="569"/>
      <c r="I835" s="569"/>
      <c r="J835" s="569"/>
      <c r="K835" s="569"/>
      <c r="L835" s="569"/>
      <c r="M835" s="569"/>
      <c r="N835" s="569"/>
      <c r="O835" s="569"/>
      <c r="P835" s="569"/>
      <c r="Q835" s="569"/>
      <c r="R835" s="569"/>
      <c r="S835" s="569"/>
      <c r="T835" s="569"/>
      <c r="U835" s="569"/>
      <c r="V835" s="569"/>
      <c r="W835" s="569"/>
      <c r="X835" s="569"/>
      <c r="Y835" s="569"/>
      <c r="Z835" s="569"/>
      <c r="AA835" s="569"/>
      <c r="AB835" s="569"/>
      <c r="AC835" s="569"/>
      <c r="AD835" s="569"/>
      <c r="AE835" s="569"/>
      <c r="AF835">
        <v>835</v>
      </c>
      <c r="AG835" s="438" t="str">
        <f>IF(INDEX(D:AE,AF835,ADP!$AF$6)=0,"",INDEX(D:AE,AF835,ADP!$AF$6)+AH835)</f>
        <v/>
      </c>
      <c r="AH835">
        <f t="shared" si="12"/>
        <v>8.3400000000001377E-4</v>
      </c>
    </row>
    <row r="836" spans="1:34" ht="15.75" thickBot="1" x14ac:dyDescent="0.3">
      <c r="A836" s="569"/>
      <c r="B836" s="569"/>
      <c r="C836" s="569" t="s">
        <v>11</v>
      </c>
      <c r="D836" s="569"/>
      <c r="E836" s="569"/>
      <c r="F836" s="569"/>
      <c r="G836" s="569"/>
      <c r="H836" s="569"/>
      <c r="I836" s="569"/>
      <c r="J836" s="569"/>
      <c r="K836" s="569"/>
      <c r="L836" s="569"/>
      <c r="M836" s="569"/>
      <c r="N836" s="569"/>
      <c r="O836" s="569"/>
      <c r="P836" s="569"/>
      <c r="Q836" s="569"/>
      <c r="R836" s="569"/>
      <c r="S836" s="569"/>
      <c r="T836" s="569"/>
      <c r="U836" s="569"/>
      <c r="V836" s="569"/>
      <c r="W836" s="569"/>
      <c r="X836" s="569"/>
      <c r="Y836" s="569"/>
      <c r="Z836" s="569"/>
      <c r="AA836" s="569"/>
      <c r="AB836" s="569"/>
      <c r="AC836" s="569"/>
      <c r="AD836" s="569"/>
      <c r="AE836" s="569"/>
      <c r="AF836">
        <v>836</v>
      </c>
      <c r="AG836" s="438" t="str">
        <f>IF(INDEX(D:AE,AF836,ADP!$AF$6)=0,"",INDEX(D:AE,AF836,ADP!$AF$6)+AH836)</f>
        <v/>
      </c>
      <c r="AH836">
        <f t="shared" si="12"/>
        <v>8.3500000000001379E-4</v>
      </c>
    </row>
    <row r="837" spans="1:34" ht="15.75" thickBot="1" x14ac:dyDescent="0.3">
      <c r="A837" s="569"/>
      <c r="B837" s="569"/>
      <c r="C837" s="569" t="s">
        <v>11</v>
      </c>
      <c r="D837" s="569"/>
      <c r="E837" s="569"/>
      <c r="F837" s="569"/>
      <c r="G837" s="569"/>
      <c r="H837" s="569"/>
      <c r="I837" s="569"/>
      <c r="J837" s="569"/>
      <c r="K837" s="569"/>
      <c r="L837" s="569"/>
      <c r="M837" s="569"/>
      <c r="N837" s="569"/>
      <c r="O837" s="569"/>
      <c r="P837" s="569"/>
      <c r="Q837" s="569"/>
      <c r="R837" s="569"/>
      <c r="S837" s="569"/>
      <c r="T837" s="569"/>
      <c r="U837" s="569"/>
      <c r="V837" s="569"/>
      <c r="W837" s="569"/>
      <c r="X837" s="569"/>
      <c r="Y837" s="569"/>
      <c r="Z837" s="569"/>
      <c r="AA837" s="569"/>
      <c r="AB837" s="569"/>
      <c r="AC837" s="569"/>
      <c r="AD837" s="569"/>
      <c r="AE837" s="569"/>
      <c r="AF837">
        <v>837</v>
      </c>
      <c r="AG837" s="438" t="str">
        <f>IF(INDEX(D:AE,AF837,ADP!$AF$6)=0,"",INDEX(D:AE,AF837,ADP!$AF$6)+AH837)</f>
        <v/>
      </c>
      <c r="AH837">
        <f t="shared" si="12"/>
        <v>8.3600000000001382E-4</v>
      </c>
    </row>
    <row r="838" spans="1:34" ht="15.75" thickBot="1" x14ac:dyDescent="0.3">
      <c r="A838" s="569"/>
      <c r="B838" s="569"/>
      <c r="C838" s="569"/>
      <c r="D838" s="569"/>
      <c r="E838" s="569"/>
      <c r="F838" s="569"/>
      <c r="G838" s="569"/>
      <c r="H838" s="569"/>
      <c r="I838" s="569"/>
      <c r="J838" s="569"/>
      <c r="K838" s="569"/>
      <c r="L838" s="569"/>
      <c r="M838" s="569"/>
      <c r="N838" s="569"/>
      <c r="O838" s="569"/>
      <c r="P838" s="569"/>
      <c r="Q838" s="569"/>
      <c r="R838" s="569"/>
      <c r="S838" s="569"/>
      <c r="T838" s="569"/>
      <c r="U838" s="569"/>
      <c r="V838" s="569"/>
      <c r="W838" s="569"/>
      <c r="X838" s="569"/>
      <c r="Y838" s="569"/>
      <c r="Z838" s="569"/>
      <c r="AA838" s="569"/>
      <c r="AB838" s="569"/>
      <c r="AC838" s="569"/>
      <c r="AD838" s="569"/>
      <c r="AE838" s="569"/>
      <c r="AF838">
        <v>838</v>
      </c>
      <c r="AG838" s="438" t="str">
        <f>IF(INDEX(D:AE,AF838,ADP!$AF$6)=0,"",INDEX(D:AE,AF838,ADP!$AF$6)+AH838)</f>
        <v/>
      </c>
      <c r="AH838">
        <f t="shared" ref="AH838:AH901" si="13">AH837+0.000001</f>
        <v>8.3700000000001384E-4</v>
      </c>
    </row>
    <row r="839" spans="1:34" ht="15.75" thickBot="1" x14ac:dyDescent="0.3">
      <c r="A839" s="569"/>
      <c r="B839" s="569"/>
      <c r="C839" s="569"/>
      <c r="D839" s="569"/>
      <c r="E839" s="569"/>
      <c r="F839" s="569"/>
      <c r="G839" s="569"/>
      <c r="H839" s="569"/>
      <c r="I839" s="569"/>
      <c r="J839" s="569"/>
      <c r="K839" s="569"/>
      <c r="L839" s="569"/>
      <c r="M839" s="569"/>
      <c r="N839" s="569"/>
      <c r="O839" s="569"/>
      <c r="P839" s="569"/>
      <c r="Q839" s="569"/>
      <c r="R839" s="569"/>
      <c r="S839" s="569"/>
      <c r="T839" s="569"/>
      <c r="U839" s="569"/>
      <c r="V839" s="569"/>
      <c r="W839" s="569"/>
      <c r="X839" s="569"/>
      <c r="Y839" s="569"/>
      <c r="Z839" s="569"/>
      <c r="AA839" s="569"/>
      <c r="AB839" s="569"/>
      <c r="AC839" s="569"/>
      <c r="AD839" s="569"/>
      <c r="AE839" s="569"/>
      <c r="AF839">
        <v>839</v>
      </c>
      <c r="AG839" s="438" t="str">
        <f>IF(INDEX(D:AE,AF839,ADP!$AF$6)=0,"",INDEX(D:AE,AF839,ADP!$AF$6)+AH839)</f>
        <v/>
      </c>
      <c r="AH839">
        <f t="shared" si="13"/>
        <v>8.3800000000001386E-4</v>
      </c>
    </row>
    <row r="840" spans="1:34" ht="15.75" thickBot="1" x14ac:dyDescent="0.3">
      <c r="A840" s="569"/>
      <c r="B840" s="569"/>
      <c r="C840" s="569"/>
      <c r="D840" s="569"/>
      <c r="E840" s="569"/>
      <c r="F840" s="569"/>
      <c r="G840" s="569"/>
      <c r="H840" s="569"/>
      <c r="I840" s="569"/>
      <c r="J840" s="569"/>
      <c r="K840" s="569"/>
      <c r="L840" s="569"/>
      <c r="M840" s="569"/>
      <c r="N840" s="569"/>
      <c r="O840" s="569"/>
      <c r="P840" s="569"/>
      <c r="Q840" s="569"/>
      <c r="R840" s="569"/>
      <c r="S840" s="569"/>
      <c r="T840" s="569"/>
      <c r="U840" s="569"/>
      <c r="V840" s="569"/>
      <c r="W840" s="569"/>
      <c r="X840" s="569"/>
      <c r="Y840" s="569"/>
      <c r="Z840" s="569"/>
      <c r="AA840" s="569"/>
      <c r="AB840" s="569"/>
      <c r="AC840" s="569"/>
      <c r="AD840" s="569"/>
      <c r="AE840" s="569"/>
      <c r="AF840">
        <v>840</v>
      </c>
      <c r="AG840" s="438" t="str">
        <f>IF(INDEX(D:AE,AF840,ADP!$AF$6)=0,"",INDEX(D:AE,AF840,ADP!$AF$6)+AH840)</f>
        <v/>
      </c>
      <c r="AH840">
        <f t="shared" si="13"/>
        <v>8.3900000000001389E-4</v>
      </c>
    </row>
    <row r="841" spans="1:34" ht="15.75" thickBot="1" x14ac:dyDescent="0.3">
      <c r="A841" s="569" t="s">
        <v>1425</v>
      </c>
      <c r="B841" s="569" t="s">
        <v>2540</v>
      </c>
      <c r="C841" s="569" t="s">
        <v>3</v>
      </c>
      <c r="D841" s="569">
        <v>75.099999999999994</v>
      </c>
      <c r="E841" s="569">
        <v>7.3</v>
      </c>
      <c r="F841" s="569"/>
      <c r="G841" s="569"/>
      <c r="H841" s="569"/>
      <c r="I841" s="569"/>
      <c r="J841" s="569">
        <v>75.099999999999994</v>
      </c>
      <c r="K841" s="569">
        <v>7.3</v>
      </c>
      <c r="L841" s="569"/>
      <c r="M841" s="569"/>
      <c r="N841" s="569"/>
      <c r="O841" s="569"/>
      <c r="P841" s="569">
        <v>53.7</v>
      </c>
      <c r="Q841" s="569">
        <v>6.8</v>
      </c>
      <c r="R841" s="569">
        <v>75.099999999999994</v>
      </c>
      <c r="S841" s="569">
        <v>7.3</v>
      </c>
      <c r="T841" s="569"/>
      <c r="U841" s="569"/>
      <c r="V841" s="569"/>
      <c r="W841" s="569"/>
      <c r="X841" s="569">
        <v>53.7</v>
      </c>
      <c r="Y841" s="569">
        <v>6.8</v>
      </c>
      <c r="Z841" s="569"/>
      <c r="AA841" s="569"/>
      <c r="AB841" s="569"/>
      <c r="AC841" s="569"/>
      <c r="AD841" s="569"/>
      <c r="AE841" s="569"/>
      <c r="AF841">
        <v>841</v>
      </c>
      <c r="AG841" s="438" t="str">
        <f>IF(INDEX(D:AE,AF841,ADP!$AF$6)=0,"",INDEX(D:AE,AF841,ADP!$AF$6)+AH841)</f>
        <v/>
      </c>
      <c r="AH841">
        <f t="shared" si="13"/>
        <v>8.4000000000001391E-4</v>
      </c>
    </row>
    <row r="842" spans="1:34" ht="15.75" thickBot="1" x14ac:dyDescent="0.3">
      <c r="A842" s="569" t="s">
        <v>1197</v>
      </c>
      <c r="B842" s="569" t="s">
        <v>2540</v>
      </c>
      <c r="C842" s="569" t="s">
        <v>6</v>
      </c>
      <c r="D842" s="569"/>
      <c r="E842" s="569"/>
      <c r="F842" s="569"/>
      <c r="G842" s="569"/>
      <c r="H842" s="569"/>
      <c r="I842" s="569"/>
      <c r="J842" s="569"/>
      <c r="K842" s="569"/>
      <c r="L842" s="569"/>
      <c r="M842" s="569"/>
      <c r="N842" s="569"/>
      <c r="O842" s="569"/>
      <c r="P842" s="569"/>
      <c r="Q842" s="569"/>
      <c r="R842" s="569"/>
      <c r="S842" s="569"/>
      <c r="T842" s="569"/>
      <c r="U842" s="569"/>
      <c r="V842" s="569"/>
      <c r="W842" s="569"/>
      <c r="X842" s="569"/>
      <c r="Y842" s="569"/>
      <c r="Z842" s="569"/>
      <c r="AA842" s="569"/>
      <c r="AB842" s="569"/>
      <c r="AC842" s="569"/>
      <c r="AD842" s="569"/>
      <c r="AE842" s="569"/>
      <c r="AF842">
        <v>842</v>
      </c>
      <c r="AG842" s="438" t="str">
        <f>IF(INDEX(D:AE,AF842,ADP!$AF$6)=0,"",INDEX(D:AE,AF842,ADP!$AF$6)+AH842)</f>
        <v/>
      </c>
      <c r="AH842">
        <f t="shared" si="13"/>
        <v>8.4100000000001394E-4</v>
      </c>
    </row>
    <row r="843" spans="1:34" ht="15.75" thickBot="1" x14ac:dyDescent="0.3">
      <c r="A843" s="569" t="s">
        <v>1417</v>
      </c>
      <c r="B843" s="569" t="s">
        <v>2540</v>
      </c>
      <c r="C843" s="569" t="s">
        <v>3</v>
      </c>
      <c r="D843" s="569"/>
      <c r="E843" s="569"/>
      <c r="F843" s="569"/>
      <c r="G843" s="569"/>
      <c r="H843" s="569"/>
      <c r="I843" s="569"/>
      <c r="J843" s="569">
        <v>155.4</v>
      </c>
      <c r="K843" s="569">
        <v>20.3</v>
      </c>
      <c r="L843" s="569"/>
      <c r="M843" s="569"/>
      <c r="N843" s="569"/>
      <c r="O843" s="569"/>
      <c r="P843" s="569">
        <v>112.8</v>
      </c>
      <c r="Q843" s="569">
        <v>18.5</v>
      </c>
      <c r="R843" s="569">
        <v>155.4</v>
      </c>
      <c r="S843" s="569">
        <v>20.3</v>
      </c>
      <c r="T843" s="569"/>
      <c r="U843" s="569"/>
      <c r="V843" s="569"/>
      <c r="W843" s="569"/>
      <c r="X843" s="569">
        <v>112.8</v>
      </c>
      <c r="Y843" s="569">
        <v>18.5</v>
      </c>
      <c r="Z843" s="569"/>
      <c r="AA843" s="569"/>
      <c r="AB843" s="569"/>
      <c r="AC843" s="569"/>
      <c r="AD843" s="569"/>
      <c r="AE843" s="569"/>
      <c r="AF843">
        <v>843</v>
      </c>
      <c r="AG843" s="438" t="str">
        <f>IF(INDEX(D:AE,AF843,ADP!$AF$6)=0,"",INDEX(D:AE,AF843,ADP!$AF$6)+AH843)</f>
        <v/>
      </c>
      <c r="AH843">
        <f t="shared" si="13"/>
        <v>8.4200000000001396E-4</v>
      </c>
    </row>
    <row r="844" spans="1:34" ht="15.75" thickBot="1" x14ac:dyDescent="0.3">
      <c r="A844" s="569"/>
      <c r="B844" s="569"/>
      <c r="C844" s="569"/>
      <c r="D844" s="569"/>
      <c r="E844" s="569"/>
      <c r="F844" s="569"/>
      <c r="G844" s="569"/>
      <c r="H844" s="569"/>
      <c r="I844" s="569"/>
      <c r="J844" s="569"/>
      <c r="K844" s="569"/>
      <c r="L844" s="569"/>
      <c r="M844" s="569"/>
      <c r="N844" s="569"/>
      <c r="O844" s="569"/>
      <c r="P844" s="569"/>
      <c r="Q844" s="569"/>
      <c r="R844" s="569"/>
      <c r="S844" s="569"/>
      <c r="T844" s="569"/>
      <c r="U844" s="569"/>
      <c r="V844" s="569"/>
      <c r="W844" s="569"/>
      <c r="X844" s="569"/>
      <c r="Y844" s="569"/>
      <c r="Z844" s="569"/>
      <c r="AA844" s="569"/>
      <c r="AB844" s="569"/>
      <c r="AC844" s="569"/>
      <c r="AD844" s="569"/>
      <c r="AE844" s="569"/>
      <c r="AF844">
        <v>844</v>
      </c>
      <c r="AG844" s="438" t="str">
        <f>IF(INDEX(D:AE,AF844,ADP!$AF$6)=0,"",INDEX(D:AE,AF844,ADP!$AF$6)+AH844)</f>
        <v/>
      </c>
      <c r="AH844">
        <f t="shared" si="13"/>
        <v>8.4300000000001399E-4</v>
      </c>
    </row>
    <row r="845" spans="1:34" ht="15.75" thickBot="1" x14ac:dyDescent="0.3">
      <c r="A845" s="569"/>
      <c r="B845" s="569"/>
      <c r="C845" s="569"/>
      <c r="D845" s="569"/>
      <c r="E845" s="569"/>
      <c r="F845" s="569"/>
      <c r="G845" s="569"/>
      <c r="H845" s="569"/>
      <c r="I845" s="569"/>
      <c r="J845" s="569"/>
      <c r="K845" s="569"/>
      <c r="L845" s="569"/>
      <c r="M845" s="569"/>
      <c r="N845" s="569"/>
      <c r="O845" s="569"/>
      <c r="P845" s="569"/>
      <c r="Q845" s="569"/>
      <c r="R845" s="569"/>
      <c r="S845" s="569"/>
      <c r="T845" s="569"/>
      <c r="U845" s="569"/>
      <c r="V845" s="569"/>
      <c r="W845" s="569"/>
      <c r="X845" s="569"/>
      <c r="Y845" s="569"/>
      <c r="Z845" s="569"/>
      <c r="AA845" s="569"/>
      <c r="AB845" s="569"/>
      <c r="AC845" s="569"/>
      <c r="AD845" s="569"/>
      <c r="AE845" s="569"/>
      <c r="AF845">
        <v>845</v>
      </c>
      <c r="AG845" s="438" t="str">
        <f>IF(INDEX(D:AE,AF845,ADP!$AF$6)=0,"",INDEX(D:AE,AF845,ADP!$AF$6)+AH845)</f>
        <v/>
      </c>
      <c r="AH845">
        <f t="shared" si="13"/>
        <v>8.4400000000001401E-4</v>
      </c>
    </row>
    <row r="846" spans="1:34" ht="15.75" thickBot="1" x14ac:dyDescent="0.3">
      <c r="A846" s="569"/>
      <c r="B846" s="569"/>
      <c r="C846" s="569"/>
      <c r="D846" s="569"/>
      <c r="E846" s="569"/>
      <c r="F846" s="569"/>
      <c r="G846" s="569"/>
      <c r="H846" s="569"/>
      <c r="I846" s="569"/>
      <c r="J846" s="569"/>
      <c r="K846" s="569"/>
      <c r="L846" s="569"/>
      <c r="M846" s="569"/>
      <c r="N846" s="569"/>
      <c r="O846" s="569"/>
      <c r="P846" s="569"/>
      <c r="Q846" s="569"/>
      <c r="R846" s="569"/>
      <c r="S846" s="569"/>
      <c r="T846" s="569"/>
      <c r="U846" s="569"/>
      <c r="V846" s="569"/>
      <c r="W846" s="569"/>
      <c r="X846" s="569"/>
      <c r="Y846" s="569"/>
      <c r="Z846" s="569"/>
      <c r="AA846" s="569"/>
      <c r="AB846" s="569"/>
      <c r="AC846" s="569"/>
      <c r="AD846" s="569"/>
      <c r="AE846" s="569"/>
      <c r="AF846">
        <v>846</v>
      </c>
      <c r="AG846" s="438" t="str">
        <f>IF(INDEX(D:AE,AF846,ADP!$AF$6)=0,"",INDEX(D:AE,AF846,ADP!$AF$6)+AH846)</f>
        <v/>
      </c>
      <c r="AH846">
        <f t="shared" si="13"/>
        <v>8.4500000000001403E-4</v>
      </c>
    </row>
    <row r="847" spans="1:34" ht="15.75" thickBot="1" x14ac:dyDescent="0.3">
      <c r="A847" s="569"/>
      <c r="B847" s="569"/>
      <c r="C847" s="569"/>
      <c r="D847" s="569"/>
      <c r="E847" s="569"/>
      <c r="F847" s="569"/>
      <c r="G847" s="569"/>
      <c r="H847" s="569"/>
      <c r="I847" s="569"/>
      <c r="J847" s="569"/>
      <c r="K847" s="569"/>
      <c r="L847" s="569"/>
      <c r="M847" s="569"/>
      <c r="N847" s="569"/>
      <c r="O847" s="569"/>
      <c r="P847" s="569"/>
      <c r="Q847" s="569"/>
      <c r="R847" s="569"/>
      <c r="S847" s="569"/>
      <c r="T847" s="569"/>
      <c r="U847" s="569"/>
      <c r="V847" s="569"/>
      <c r="W847" s="569"/>
      <c r="X847" s="569"/>
      <c r="Y847" s="569"/>
      <c r="Z847" s="569"/>
      <c r="AA847" s="569"/>
      <c r="AB847" s="569"/>
      <c r="AC847" s="569"/>
      <c r="AD847" s="569"/>
      <c r="AE847" s="569"/>
      <c r="AF847">
        <v>847</v>
      </c>
      <c r="AG847" s="438" t="str">
        <f>IF(INDEX(D:AE,AF847,ADP!$AF$6)=0,"",INDEX(D:AE,AF847,ADP!$AF$6)+AH847)</f>
        <v/>
      </c>
      <c r="AH847">
        <f t="shared" si="13"/>
        <v>8.4600000000001406E-4</v>
      </c>
    </row>
    <row r="848" spans="1:34" ht="15.75" thickBot="1" x14ac:dyDescent="0.3">
      <c r="A848" s="569"/>
      <c r="B848" s="569"/>
      <c r="C848" s="569"/>
      <c r="D848" s="569"/>
      <c r="E848" s="569"/>
      <c r="F848" s="569"/>
      <c r="G848" s="569"/>
      <c r="H848" s="569"/>
      <c r="I848" s="569"/>
      <c r="J848" s="569"/>
      <c r="K848" s="569"/>
      <c r="L848" s="569"/>
      <c r="M848" s="569"/>
      <c r="N848" s="569"/>
      <c r="O848" s="569"/>
      <c r="P848" s="569"/>
      <c r="Q848" s="569"/>
      <c r="R848" s="569"/>
      <c r="S848" s="569"/>
      <c r="T848" s="569"/>
      <c r="U848" s="569"/>
      <c r="V848" s="569"/>
      <c r="W848" s="569"/>
      <c r="X848" s="569"/>
      <c r="Y848" s="569"/>
      <c r="Z848" s="569"/>
      <c r="AA848" s="569"/>
      <c r="AB848" s="569"/>
      <c r="AC848" s="569"/>
      <c r="AD848" s="569"/>
      <c r="AE848" s="569"/>
      <c r="AF848">
        <v>848</v>
      </c>
      <c r="AG848" s="438" t="str">
        <f>IF(INDEX(D:AE,AF848,ADP!$AF$6)=0,"",INDEX(D:AE,AF848,ADP!$AF$6)+AH848)</f>
        <v/>
      </c>
      <c r="AH848">
        <f t="shared" si="13"/>
        <v>8.4700000000001408E-4</v>
      </c>
    </row>
    <row r="849" spans="1:34" ht="15.75" thickBot="1" x14ac:dyDescent="0.3">
      <c r="A849" s="569"/>
      <c r="B849" s="569"/>
      <c r="C849" s="569"/>
      <c r="D849" s="569"/>
      <c r="E849" s="569"/>
      <c r="F849" s="569"/>
      <c r="G849" s="569"/>
      <c r="H849" s="569"/>
      <c r="I849" s="569"/>
      <c r="J849" s="569"/>
      <c r="K849" s="569"/>
      <c r="L849" s="569"/>
      <c r="M849" s="569"/>
      <c r="N849" s="569"/>
      <c r="O849" s="569"/>
      <c r="P849" s="569"/>
      <c r="Q849" s="569"/>
      <c r="R849" s="569"/>
      <c r="S849" s="569"/>
      <c r="T849" s="569"/>
      <c r="U849" s="569"/>
      <c r="V849" s="569"/>
      <c r="W849" s="569"/>
      <c r="X849" s="569"/>
      <c r="Y849" s="569"/>
      <c r="Z849" s="569"/>
      <c r="AA849" s="569"/>
      <c r="AB849" s="569"/>
      <c r="AC849" s="569"/>
      <c r="AD849" s="569"/>
      <c r="AE849" s="569"/>
      <c r="AF849">
        <v>849</v>
      </c>
      <c r="AG849" s="438" t="str">
        <f>IF(INDEX(D:AE,AF849,ADP!$AF$6)=0,"",INDEX(D:AE,AF849,ADP!$AF$6)+AH849)</f>
        <v/>
      </c>
      <c r="AH849">
        <f t="shared" si="13"/>
        <v>8.4800000000001411E-4</v>
      </c>
    </row>
    <row r="850" spans="1:34" ht="15.75" thickBot="1" x14ac:dyDescent="0.3">
      <c r="A850" s="569"/>
      <c r="B850" s="569"/>
      <c r="C850" s="569"/>
      <c r="D850" s="569"/>
      <c r="E850" s="569"/>
      <c r="F850" s="569"/>
      <c r="G850" s="569"/>
      <c r="H850" s="569"/>
      <c r="I850" s="569"/>
      <c r="J850" s="569"/>
      <c r="K850" s="569"/>
      <c r="L850" s="569"/>
      <c r="M850" s="569"/>
      <c r="N850" s="569"/>
      <c r="O850" s="569"/>
      <c r="P850" s="569"/>
      <c r="Q850" s="569"/>
      <c r="R850" s="569"/>
      <c r="S850" s="569"/>
      <c r="T850" s="569"/>
      <c r="U850" s="569"/>
      <c r="V850" s="569"/>
      <c r="W850" s="569"/>
      <c r="X850" s="569"/>
      <c r="Y850" s="569"/>
      <c r="Z850" s="569"/>
      <c r="AA850" s="569"/>
      <c r="AB850" s="569"/>
      <c r="AC850" s="569"/>
      <c r="AD850" s="569"/>
      <c r="AE850" s="569"/>
      <c r="AF850">
        <v>850</v>
      </c>
      <c r="AG850" s="438" t="str">
        <f>IF(INDEX(D:AE,AF850,ADP!$AF$6)=0,"",INDEX(D:AE,AF850,ADP!$AF$6)+AH850)</f>
        <v/>
      </c>
      <c r="AH850">
        <f t="shared" si="13"/>
        <v>8.4900000000001413E-4</v>
      </c>
    </row>
    <row r="851" spans="1:34" ht="15.75" thickBot="1" x14ac:dyDescent="0.3">
      <c r="A851" s="569"/>
      <c r="B851" s="569"/>
      <c r="C851" s="569"/>
      <c r="D851" s="569"/>
      <c r="E851" s="569"/>
      <c r="F851" s="569"/>
      <c r="G851" s="569"/>
      <c r="H851" s="569"/>
      <c r="I851" s="569"/>
      <c r="J851" s="569"/>
      <c r="K851" s="569"/>
      <c r="L851" s="569"/>
      <c r="M851" s="569"/>
      <c r="N851" s="569"/>
      <c r="O851" s="569"/>
      <c r="P851" s="569"/>
      <c r="Q851" s="569"/>
      <c r="R851" s="569"/>
      <c r="S851" s="569"/>
      <c r="T851" s="569"/>
      <c r="U851" s="569"/>
      <c r="V851" s="569"/>
      <c r="W851" s="569"/>
      <c r="X851" s="569"/>
      <c r="Y851" s="569"/>
      <c r="Z851" s="569"/>
      <c r="AA851" s="569"/>
      <c r="AB851" s="569"/>
      <c r="AC851" s="569"/>
      <c r="AD851" s="569"/>
      <c r="AE851" s="569"/>
      <c r="AF851">
        <v>851</v>
      </c>
      <c r="AG851" s="438" t="str">
        <f>IF(INDEX(D:AE,AF851,ADP!$AF$6)=0,"",INDEX(D:AE,AF851,ADP!$AF$6)+AH851)</f>
        <v/>
      </c>
      <c r="AH851">
        <f t="shared" si="13"/>
        <v>8.5000000000001416E-4</v>
      </c>
    </row>
    <row r="852" spans="1:34" ht="15.75" thickBot="1" x14ac:dyDescent="0.3">
      <c r="A852" s="569"/>
      <c r="B852" s="569"/>
      <c r="C852" s="569"/>
      <c r="D852" s="569"/>
      <c r="E852" s="569"/>
      <c r="F852" s="569"/>
      <c r="G852" s="569"/>
      <c r="H852" s="569"/>
      <c r="I852" s="569"/>
      <c r="J852" s="569"/>
      <c r="K852" s="569"/>
      <c r="L852" s="569"/>
      <c r="M852" s="569"/>
      <c r="N852" s="569"/>
      <c r="O852" s="569"/>
      <c r="P852" s="569"/>
      <c r="Q852" s="569"/>
      <c r="R852" s="569"/>
      <c r="S852" s="569"/>
      <c r="T852" s="569"/>
      <c r="U852" s="569"/>
      <c r="V852" s="569"/>
      <c r="W852" s="569"/>
      <c r="X852" s="569"/>
      <c r="Y852" s="569"/>
      <c r="Z852" s="569"/>
      <c r="AA852" s="569"/>
      <c r="AB852" s="569"/>
      <c r="AC852" s="569"/>
      <c r="AD852" s="569"/>
      <c r="AE852" s="569"/>
      <c r="AF852">
        <v>852</v>
      </c>
      <c r="AG852" s="438" t="str">
        <f>IF(INDEX(D:AE,AF852,ADP!$AF$6)=0,"",INDEX(D:AE,AF852,ADP!$AF$6)+AH852)</f>
        <v/>
      </c>
      <c r="AH852">
        <f t="shared" si="13"/>
        <v>8.5100000000001418E-4</v>
      </c>
    </row>
    <row r="853" spans="1:34" ht="15.75" thickBot="1" x14ac:dyDescent="0.3">
      <c r="A853" s="569"/>
      <c r="B853" s="569"/>
      <c r="C853" s="569"/>
      <c r="D853" s="569"/>
      <c r="E853" s="569"/>
      <c r="F853" s="569"/>
      <c r="G853" s="569"/>
      <c r="H853" s="569"/>
      <c r="I853" s="569"/>
      <c r="J853" s="569"/>
      <c r="K853" s="569"/>
      <c r="L853" s="569"/>
      <c r="M853" s="569"/>
      <c r="N853" s="569"/>
      <c r="O853" s="569"/>
      <c r="P853" s="569"/>
      <c r="Q853" s="569"/>
      <c r="R853" s="569"/>
      <c r="S853" s="569"/>
      <c r="T853" s="569"/>
      <c r="U853" s="569"/>
      <c r="V853" s="569"/>
      <c r="W853" s="569"/>
      <c r="X853" s="569"/>
      <c r="Y853" s="569"/>
      <c r="Z853" s="569"/>
      <c r="AA853" s="569"/>
      <c r="AB853" s="569"/>
      <c r="AC853" s="569"/>
      <c r="AD853" s="569"/>
      <c r="AE853" s="569"/>
      <c r="AF853">
        <v>853</v>
      </c>
      <c r="AG853" s="438" t="str">
        <f>IF(INDEX(D:AE,AF853,ADP!$AF$6)=0,"",INDEX(D:AE,AF853,ADP!$AF$6)+AH853)</f>
        <v/>
      </c>
      <c r="AH853">
        <f t="shared" si="13"/>
        <v>8.520000000000142E-4</v>
      </c>
    </row>
    <row r="854" spans="1:34" ht="15.75" thickBot="1" x14ac:dyDescent="0.3">
      <c r="A854" s="569"/>
      <c r="B854" s="569"/>
      <c r="C854" s="569"/>
      <c r="D854" s="569"/>
      <c r="E854" s="569"/>
      <c r="F854" s="569"/>
      <c r="G854" s="569"/>
      <c r="H854" s="569"/>
      <c r="I854" s="569"/>
      <c r="J854" s="569"/>
      <c r="K854" s="569"/>
      <c r="L854" s="569"/>
      <c r="M854" s="569"/>
      <c r="N854" s="569"/>
      <c r="O854" s="569"/>
      <c r="P854" s="569"/>
      <c r="Q854" s="569"/>
      <c r="R854" s="569"/>
      <c r="S854" s="569"/>
      <c r="T854" s="569"/>
      <c r="U854" s="569"/>
      <c r="V854" s="569"/>
      <c r="W854" s="569"/>
      <c r="X854" s="569"/>
      <c r="Y854" s="569"/>
      <c r="Z854" s="569"/>
      <c r="AA854" s="569"/>
      <c r="AB854" s="569"/>
      <c r="AC854" s="569"/>
      <c r="AD854" s="569"/>
      <c r="AE854" s="569"/>
      <c r="AF854">
        <v>854</v>
      </c>
      <c r="AG854" s="438" t="str">
        <f>IF(INDEX(D:AE,AF854,ADP!$AF$6)=0,"",INDEX(D:AE,AF854,ADP!$AF$6)+AH854)</f>
        <v/>
      </c>
      <c r="AH854">
        <f t="shared" si="13"/>
        <v>8.5300000000001423E-4</v>
      </c>
    </row>
    <row r="855" spans="1:34" ht="15.75" thickBot="1" x14ac:dyDescent="0.3">
      <c r="A855" s="569"/>
      <c r="B855" s="569"/>
      <c r="C855" s="569"/>
      <c r="D855" s="569"/>
      <c r="E855" s="569"/>
      <c r="F855" s="569"/>
      <c r="G855" s="569"/>
      <c r="H855" s="569"/>
      <c r="I855" s="569"/>
      <c r="J855" s="569"/>
      <c r="K855" s="569"/>
      <c r="L855" s="569"/>
      <c r="M855" s="569"/>
      <c r="N855" s="569"/>
      <c r="O855" s="569"/>
      <c r="P855" s="569"/>
      <c r="Q855" s="569"/>
      <c r="R855" s="569"/>
      <c r="S855" s="569"/>
      <c r="T855" s="569"/>
      <c r="U855" s="569"/>
      <c r="V855" s="569"/>
      <c r="W855" s="569"/>
      <c r="X855" s="569"/>
      <c r="Y855" s="569"/>
      <c r="Z855" s="569"/>
      <c r="AA855" s="569"/>
      <c r="AB855" s="569"/>
      <c r="AC855" s="569"/>
      <c r="AD855" s="569"/>
      <c r="AE855" s="569"/>
      <c r="AF855">
        <v>855</v>
      </c>
      <c r="AG855" s="438" t="str">
        <f>IF(INDEX(D:AE,AF855,ADP!$AF$6)=0,"",INDEX(D:AE,AF855,ADP!$AF$6)+AH855)</f>
        <v/>
      </c>
      <c r="AH855">
        <f t="shared" si="13"/>
        <v>8.5400000000001425E-4</v>
      </c>
    </row>
    <row r="856" spans="1:34" ht="15.75" thickBot="1" x14ac:dyDescent="0.3">
      <c r="A856" s="569"/>
      <c r="B856" s="569"/>
      <c r="C856" s="569"/>
      <c r="D856" s="569"/>
      <c r="E856" s="569"/>
      <c r="F856" s="569"/>
      <c r="G856" s="569"/>
      <c r="H856" s="569"/>
      <c r="I856" s="569"/>
      <c r="J856" s="569"/>
      <c r="K856" s="569"/>
      <c r="L856" s="569"/>
      <c r="M856" s="569"/>
      <c r="N856" s="569"/>
      <c r="O856" s="569"/>
      <c r="P856" s="569"/>
      <c r="Q856" s="569"/>
      <c r="R856" s="569"/>
      <c r="S856" s="569"/>
      <c r="T856" s="569"/>
      <c r="U856" s="569"/>
      <c r="V856" s="569"/>
      <c r="W856" s="569"/>
      <c r="X856" s="569"/>
      <c r="Y856" s="569"/>
      <c r="Z856" s="569"/>
      <c r="AA856" s="569"/>
      <c r="AB856" s="569"/>
      <c r="AC856" s="569"/>
      <c r="AD856" s="569"/>
      <c r="AE856" s="569"/>
      <c r="AF856">
        <v>856</v>
      </c>
      <c r="AG856" s="438" t="str">
        <f>IF(INDEX(D:AE,AF856,ADP!$AF$6)=0,"",INDEX(D:AE,AF856,ADP!$AF$6)+AH856)</f>
        <v/>
      </c>
      <c r="AH856">
        <f t="shared" si="13"/>
        <v>8.5500000000001428E-4</v>
      </c>
    </row>
    <row r="857" spans="1:34" ht="15.75" thickBot="1" x14ac:dyDescent="0.3">
      <c r="A857" s="569"/>
      <c r="B857" s="569"/>
      <c r="C857" s="569"/>
      <c r="D857" s="569"/>
      <c r="E857" s="569"/>
      <c r="F857" s="569"/>
      <c r="G857" s="569"/>
      <c r="H857" s="569"/>
      <c r="I857" s="569"/>
      <c r="J857" s="569"/>
      <c r="K857" s="569"/>
      <c r="L857" s="569"/>
      <c r="M857" s="569"/>
      <c r="N857" s="569"/>
      <c r="O857" s="569"/>
      <c r="P857" s="569"/>
      <c r="Q857" s="569"/>
      <c r="R857" s="569"/>
      <c r="S857" s="569"/>
      <c r="T857" s="569"/>
      <c r="U857" s="569"/>
      <c r="V857" s="569"/>
      <c r="W857" s="569"/>
      <c r="X857" s="569"/>
      <c r="Y857" s="569"/>
      <c r="Z857" s="569"/>
      <c r="AA857" s="569"/>
      <c r="AB857" s="569"/>
      <c r="AC857" s="569"/>
      <c r="AD857" s="569"/>
      <c r="AE857" s="569"/>
      <c r="AF857">
        <v>857</v>
      </c>
      <c r="AG857" s="438" t="str">
        <f>IF(INDEX(D:AE,AF857,ADP!$AF$6)=0,"",INDEX(D:AE,AF857,ADP!$AF$6)+AH857)</f>
        <v/>
      </c>
      <c r="AH857">
        <f t="shared" si="13"/>
        <v>8.560000000000143E-4</v>
      </c>
    </row>
    <row r="858" spans="1:34" ht="15.75" thickBot="1" x14ac:dyDescent="0.3">
      <c r="A858" s="569"/>
      <c r="B858" s="569"/>
      <c r="C858" s="569"/>
      <c r="D858" s="569"/>
      <c r="E858" s="569"/>
      <c r="F858" s="569"/>
      <c r="G858" s="569"/>
      <c r="H858" s="569"/>
      <c r="I858" s="569"/>
      <c r="J858" s="569"/>
      <c r="K858" s="569"/>
      <c r="L858" s="569"/>
      <c r="M858" s="569"/>
      <c r="N858" s="569"/>
      <c r="O858" s="569"/>
      <c r="P858" s="569"/>
      <c r="Q858" s="569"/>
      <c r="R858" s="569"/>
      <c r="S858" s="569"/>
      <c r="T858" s="569"/>
      <c r="U858" s="569"/>
      <c r="V858" s="569"/>
      <c r="W858" s="569"/>
      <c r="X858" s="569"/>
      <c r="Y858" s="569"/>
      <c r="Z858" s="569"/>
      <c r="AA858" s="569"/>
      <c r="AB858" s="569"/>
      <c r="AC858" s="569"/>
      <c r="AD858" s="569"/>
      <c r="AE858" s="569"/>
      <c r="AF858">
        <v>858</v>
      </c>
      <c r="AG858" s="438" t="str">
        <f>IF(INDEX(D:AE,AF858,ADP!$AF$6)=0,"",INDEX(D:AE,AF858,ADP!$AF$6)+AH858)</f>
        <v/>
      </c>
      <c r="AH858">
        <f t="shared" si="13"/>
        <v>8.5700000000001433E-4</v>
      </c>
    </row>
    <row r="859" spans="1:34" ht="15.75" thickBot="1" x14ac:dyDescent="0.3">
      <c r="A859" s="569"/>
      <c r="B859" s="569"/>
      <c r="C859" s="569"/>
      <c r="D859" s="569"/>
      <c r="E859" s="569"/>
      <c r="F859" s="569"/>
      <c r="G859" s="569"/>
      <c r="H859" s="569"/>
      <c r="I859" s="569"/>
      <c r="J859" s="569"/>
      <c r="K859" s="569"/>
      <c r="L859" s="569"/>
      <c r="M859" s="569"/>
      <c r="N859" s="569"/>
      <c r="O859" s="569"/>
      <c r="P859" s="569"/>
      <c r="Q859" s="569"/>
      <c r="R859" s="569"/>
      <c r="S859" s="569"/>
      <c r="T859" s="569"/>
      <c r="U859" s="569"/>
      <c r="V859" s="569"/>
      <c r="W859" s="569"/>
      <c r="X859" s="569"/>
      <c r="Y859" s="569"/>
      <c r="Z859" s="569"/>
      <c r="AA859" s="569"/>
      <c r="AB859" s="569"/>
      <c r="AC859" s="569"/>
      <c r="AD859" s="569"/>
      <c r="AE859" s="569"/>
      <c r="AF859">
        <v>859</v>
      </c>
      <c r="AG859" s="438" t="str">
        <f>IF(INDEX(D:AE,AF859,ADP!$AF$6)=0,"",INDEX(D:AE,AF859,ADP!$AF$6)+AH859)</f>
        <v/>
      </c>
      <c r="AH859">
        <f t="shared" si="13"/>
        <v>8.5800000000001435E-4</v>
      </c>
    </row>
    <row r="860" spans="1:34" ht="15.75" thickBot="1" x14ac:dyDescent="0.3">
      <c r="A860" s="569"/>
      <c r="B860" s="569"/>
      <c r="C860" s="569"/>
      <c r="D860" s="569"/>
      <c r="E860" s="569"/>
      <c r="F860" s="569"/>
      <c r="G860" s="569"/>
      <c r="H860" s="569"/>
      <c r="I860" s="569"/>
      <c r="J860" s="569"/>
      <c r="K860" s="569"/>
      <c r="L860" s="569"/>
      <c r="M860" s="569"/>
      <c r="N860" s="569"/>
      <c r="O860" s="569"/>
      <c r="P860" s="569"/>
      <c r="Q860" s="569"/>
      <c r="R860" s="569"/>
      <c r="S860" s="569"/>
      <c r="T860" s="569"/>
      <c r="U860" s="569"/>
      <c r="V860" s="569"/>
      <c r="W860" s="569"/>
      <c r="X860" s="569"/>
      <c r="Y860" s="569"/>
      <c r="Z860" s="569"/>
      <c r="AA860" s="569"/>
      <c r="AB860" s="569"/>
      <c r="AC860" s="569"/>
      <c r="AD860" s="569"/>
      <c r="AE860" s="569"/>
      <c r="AF860">
        <v>860</v>
      </c>
      <c r="AG860" s="438" t="str">
        <f>IF(INDEX(D:AE,AF860,ADP!$AF$6)=0,"",INDEX(D:AE,AF860,ADP!$AF$6)+AH860)</f>
        <v/>
      </c>
      <c r="AH860">
        <f t="shared" si="13"/>
        <v>8.5900000000001437E-4</v>
      </c>
    </row>
    <row r="861" spans="1:34" ht="15.75" thickBot="1" x14ac:dyDescent="0.3">
      <c r="A861" s="569"/>
      <c r="B861" s="569"/>
      <c r="C861" s="569"/>
      <c r="D861" s="569"/>
      <c r="E861" s="569"/>
      <c r="F861" s="569"/>
      <c r="G861" s="569"/>
      <c r="H861" s="569"/>
      <c r="I861" s="569"/>
      <c r="J861" s="569"/>
      <c r="K861" s="569"/>
      <c r="L861" s="569"/>
      <c r="M861" s="569"/>
      <c r="N861" s="569"/>
      <c r="O861" s="569"/>
      <c r="P861" s="569"/>
      <c r="Q861" s="569"/>
      <c r="R861" s="569"/>
      <c r="S861" s="569"/>
      <c r="T861" s="569"/>
      <c r="U861" s="569"/>
      <c r="V861" s="569"/>
      <c r="W861" s="569"/>
      <c r="X861" s="569"/>
      <c r="Y861" s="569"/>
      <c r="Z861" s="569"/>
      <c r="AA861" s="569"/>
      <c r="AB861" s="569"/>
      <c r="AC861" s="569"/>
      <c r="AD861" s="569"/>
      <c r="AE861" s="569"/>
      <c r="AF861">
        <v>861</v>
      </c>
      <c r="AG861" s="438" t="str">
        <f>IF(INDEX(D:AE,AF861,ADP!$AF$6)=0,"",INDEX(D:AE,AF861,ADP!$AF$6)+AH861)</f>
        <v/>
      </c>
      <c r="AH861">
        <f t="shared" si="13"/>
        <v>8.600000000000144E-4</v>
      </c>
    </row>
    <row r="862" spans="1:34" ht="15.75" thickBot="1" x14ac:dyDescent="0.3">
      <c r="A862" s="569"/>
      <c r="B862" s="569"/>
      <c r="C862" s="569"/>
      <c r="D862" s="569"/>
      <c r="E862" s="569"/>
      <c r="F862" s="569"/>
      <c r="G862" s="569"/>
      <c r="H862" s="569"/>
      <c r="I862" s="569"/>
      <c r="J862" s="569"/>
      <c r="K862" s="569"/>
      <c r="L862" s="569"/>
      <c r="M862" s="569"/>
      <c r="N862" s="569"/>
      <c r="O862" s="569"/>
      <c r="P862" s="569"/>
      <c r="Q862" s="569"/>
      <c r="R862" s="569"/>
      <c r="S862" s="569"/>
      <c r="T862" s="569"/>
      <c r="U862" s="569"/>
      <c r="V862" s="569"/>
      <c r="W862" s="569"/>
      <c r="X862" s="569"/>
      <c r="Y862" s="569"/>
      <c r="Z862" s="569"/>
      <c r="AA862" s="569"/>
      <c r="AB862" s="569"/>
      <c r="AC862" s="569"/>
      <c r="AD862" s="569"/>
      <c r="AE862" s="569"/>
      <c r="AF862">
        <v>862</v>
      </c>
      <c r="AG862" s="438" t="str">
        <f>IF(INDEX(D:AE,AF862,ADP!$AF$6)=0,"",INDEX(D:AE,AF862,ADP!$AF$6)+AH862)</f>
        <v/>
      </c>
      <c r="AH862">
        <f t="shared" si="13"/>
        <v>8.6100000000001442E-4</v>
      </c>
    </row>
    <row r="863" spans="1:34" ht="15.75" thickBot="1" x14ac:dyDescent="0.3">
      <c r="A863" s="569"/>
      <c r="B863" s="569"/>
      <c r="C863" s="569"/>
      <c r="D863" s="569"/>
      <c r="E863" s="569"/>
      <c r="F863" s="569"/>
      <c r="G863" s="569"/>
      <c r="H863" s="569"/>
      <c r="I863" s="569"/>
      <c r="J863" s="569"/>
      <c r="K863" s="569"/>
      <c r="L863" s="569"/>
      <c r="M863" s="569"/>
      <c r="N863" s="569"/>
      <c r="O863" s="569"/>
      <c r="P863" s="569"/>
      <c r="Q863" s="569"/>
      <c r="R863" s="569"/>
      <c r="S863" s="569"/>
      <c r="T863" s="569"/>
      <c r="U863" s="569"/>
      <c r="V863" s="569"/>
      <c r="W863" s="569"/>
      <c r="X863" s="569"/>
      <c r="Y863" s="569"/>
      <c r="Z863" s="569"/>
      <c r="AA863" s="569"/>
      <c r="AB863" s="569"/>
      <c r="AC863" s="569"/>
      <c r="AD863" s="569"/>
      <c r="AE863" s="569"/>
      <c r="AF863">
        <v>863</v>
      </c>
      <c r="AG863" s="438" t="str">
        <f>IF(INDEX(D:AE,AF863,ADP!$AF$6)=0,"",INDEX(D:AE,AF863,ADP!$AF$6)+AH863)</f>
        <v/>
      </c>
      <c r="AH863">
        <f t="shared" si="13"/>
        <v>8.6200000000001445E-4</v>
      </c>
    </row>
    <row r="864" spans="1:34" ht="15.75" thickBot="1" x14ac:dyDescent="0.3">
      <c r="A864" s="569"/>
      <c r="B864" s="569"/>
      <c r="C864" s="569"/>
      <c r="D864" s="569"/>
      <c r="E864" s="569"/>
      <c r="F864" s="569"/>
      <c r="G864" s="569"/>
      <c r="H864" s="569"/>
      <c r="I864" s="569"/>
      <c r="J864" s="569"/>
      <c r="K864" s="569"/>
      <c r="L864" s="569"/>
      <c r="M864" s="569"/>
      <c r="N864" s="569"/>
      <c r="O864" s="569"/>
      <c r="P864" s="569"/>
      <c r="Q864" s="569"/>
      <c r="R864" s="569"/>
      <c r="S864" s="569"/>
      <c r="T864" s="569"/>
      <c r="U864" s="569"/>
      <c r="V864" s="569"/>
      <c r="W864" s="569"/>
      <c r="X864" s="569"/>
      <c r="Y864" s="569"/>
      <c r="Z864" s="569"/>
      <c r="AA864" s="569"/>
      <c r="AB864" s="569"/>
      <c r="AC864" s="569"/>
      <c r="AD864" s="569"/>
      <c r="AE864" s="569"/>
      <c r="AF864">
        <v>864</v>
      </c>
      <c r="AG864" s="438" t="str">
        <f>IF(INDEX(D:AE,AF864,ADP!$AF$6)=0,"",INDEX(D:AE,AF864,ADP!$AF$6)+AH864)</f>
        <v/>
      </c>
      <c r="AH864">
        <f t="shared" si="13"/>
        <v>8.6300000000001447E-4</v>
      </c>
    </row>
    <row r="865" spans="1:34" ht="15.75" thickBot="1" x14ac:dyDescent="0.3">
      <c r="A865" s="569"/>
      <c r="B865" s="569"/>
      <c r="C865" s="569"/>
      <c r="D865" s="569"/>
      <c r="E865" s="569"/>
      <c r="F865" s="569"/>
      <c r="G865" s="569"/>
      <c r="H865" s="569"/>
      <c r="I865" s="569"/>
      <c r="J865" s="569"/>
      <c r="K865" s="569"/>
      <c r="L865" s="569"/>
      <c r="M865" s="569"/>
      <c r="N865" s="569"/>
      <c r="O865" s="569"/>
      <c r="P865" s="569"/>
      <c r="Q865" s="569"/>
      <c r="R865" s="569"/>
      <c r="S865" s="569"/>
      <c r="T865" s="569"/>
      <c r="U865" s="569"/>
      <c r="V865" s="569"/>
      <c r="W865" s="569"/>
      <c r="X865" s="569"/>
      <c r="Y865" s="569"/>
      <c r="Z865" s="569"/>
      <c r="AA865" s="569"/>
      <c r="AB865" s="569"/>
      <c r="AC865" s="569"/>
      <c r="AD865" s="569"/>
      <c r="AE865" s="569"/>
      <c r="AF865">
        <v>865</v>
      </c>
      <c r="AG865" s="438" t="str">
        <f>IF(INDEX(D:AE,AF865,ADP!$AF$6)=0,"",INDEX(D:AE,AF865,ADP!$AF$6)+AH865)</f>
        <v/>
      </c>
      <c r="AH865">
        <f t="shared" si="13"/>
        <v>8.640000000000145E-4</v>
      </c>
    </row>
    <row r="866" spans="1:34" ht="15.75" thickBot="1" x14ac:dyDescent="0.3">
      <c r="A866" s="569"/>
      <c r="B866" s="569"/>
      <c r="C866" s="569"/>
      <c r="D866" s="569"/>
      <c r="E866" s="569"/>
      <c r="F866" s="569"/>
      <c r="G866" s="569"/>
      <c r="H866" s="569"/>
      <c r="I866" s="569"/>
      <c r="J866" s="569"/>
      <c r="K866" s="569"/>
      <c r="L866" s="569"/>
      <c r="M866" s="569"/>
      <c r="N866" s="569"/>
      <c r="O866" s="569"/>
      <c r="P866" s="569"/>
      <c r="Q866" s="569"/>
      <c r="R866" s="569"/>
      <c r="S866" s="569"/>
      <c r="T866" s="569"/>
      <c r="U866" s="569"/>
      <c r="V866" s="569"/>
      <c r="W866" s="569"/>
      <c r="X866" s="569"/>
      <c r="Y866" s="569"/>
      <c r="Z866" s="569"/>
      <c r="AA866" s="569"/>
      <c r="AB866" s="569"/>
      <c r="AC866" s="569"/>
      <c r="AD866" s="569"/>
      <c r="AE866" s="569"/>
      <c r="AF866">
        <v>866</v>
      </c>
      <c r="AG866" s="438" t="str">
        <f>IF(INDEX(D:AE,AF866,ADP!$AF$6)=0,"",INDEX(D:AE,AF866,ADP!$AF$6)+AH866)</f>
        <v/>
      </c>
      <c r="AH866">
        <f t="shared" si="13"/>
        <v>8.6500000000001452E-4</v>
      </c>
    </row>
    <row r="867" spans="1:34" ht="15.75" thickBot="1" x14ac:dyDescent="0.3">
      <c r="A867" s="569"/>
      <c r="B867" s="569"/>
      <c r="C867" s="569"/>
      <c r="D867" s="569"/>
      <c r="E867" s="569"/>
      <c r="F867" s="569"/>
      <c r="G867" s="569"/>
      <c r="H867" s="569"/>
      <c r="I867" s="569"/>
      <c r="J867" s="569"/>
      <c r="K867" s="569"/>
      <c r="L867" s="569"/>
      <c r="M867" s="569"/>
      <c r="N867" s="569"/>
      <c r="O867" s="569"/>
      <c r="P867" s="569"/>
      <c r="Q867" s="569"/>
      <c r="R867" s="569"/>
      <c r="S867" s="569"/>
      <c r="T867" s="569"/>
      <c r="U867" s="569"/>
      <c r="V867" s="569"/>
      <c r="W867" s="569"/>
      <c r="X867" s="569"/>
      <c r="Y867" s="569"/>
      <c r="Z867" s="569"/>
      <c r="AA867" s="569"/>
      <c r="AB867" s="569"/>
      <c r="AC867" s="569"/>
      <c r="AD867" s="569"/>
      <c r="AE867" s="569"/>
      <c r="AF867">
        <v>867</v>
      </c>
      <c r="AG867" s="438" t="str">
        <f>IF(INDEX(D:AE,AF867,ADP!$AF$6)=0,"",INDEX(D:AE,AF867,ADP!$AF$6)+AH867)</f>
        <v/>
      </c>
      <c r="AH867">
        <f t="shared" si="13"/>
        <v>8.6600000000001454E-4</v>
      </c>
    </row>
    <row r="868" spans="1:34" ht="15.75" thickBot="1" x14ac:dyDescent="0.3">
      <c r="A868" s="569"/>
      <c r="B868" s="569"/>
      <c r="C868" s="569"/>
      <c r="D868" s="569"/>
      <c r="E868" s="569"/>
      <c r="F868" s="569"/>
      <c r="G868" s="569"/>
      <c r="H868" s="569"/>
      <c r="I868" s="569"/>
      <c r="J868" s="569"/>
      <c r="K868" s="569"/>
      <c r="L868" s="569"/>
      <c r="M868" s="569"/>
      <c r="N868" s="569"/>
      <c r="O868" s="569"/>
      <c r="P868" s="569"/>
      <c r="Q868" s="569"/>
      <c r="R868" s="569"/>
      <c r="S868" s="569"/>
      <c r="T868" s="569"/>
      <c r="U868" s="569"/>
      <c r="V868" s="569"/>
      <c r="W868" s="569"/>
      <c r="X868" s="569"/>
      <c r="Y868" s="569"/>
      <c r="Z868" s="569"/>
      <c r="AA868" s="569"/>
      <c r="AB868" s="569"/>
      <c r="AC868" s="569"/>
      <c r="AD868" s="569"/>
      <c r="AE868" s="569"/>
      <c r="AF868">
        <v>868</v>
      </c>
      <c r="AG868" s="438" t="str">
        <f>IF(INDEX(D:AE,AF868,ADP!$AF$6)=0,"",INDEX(D:AE,AF868,ADP!$AF$6)+AH868)</f>
        <v/>
      </c>
      <c r="AH868">
        <f t="shared" si="13"/>
        <v>8.6700000000001457E-4</v>
      </c>
    </row>
    <row r="869" spans="1:34" ht="15.75" thickBot="1" x14ac:dyDescent="0.3">
      <c r="A869" s="569"/>
      <c r="B869" s="569"/>
      <c r="C869" s="569"/>
      <c r="D869" s="569"/>
      <c r="E869" s="569"/>
      <c r="F869" s="569"/>
      <c r="G869" s="569"/>
      <c r="H869" s="569"/>
      <c r="I869" s="569"/>
      <c r="J869" s="569"/>
      <c r="K869" s="569"/>
      <c r="L869" s="569"/>
      <c r="M869" s="569"/>
      <c r="N869" s="569"/>
      <c r="O869" s="569"/>
      <c r="P869" s="569"/>
      <c r="Q869" s="569"/>
      <c r="R869" s="569"/>
      <c r="S869" s="569"/>
      <c r="T869" s="569"/>
      <c r="U869" s="569"/>
      <c r="V869" s="569"/>
      <c r="W869" s="569"/>
      <c r="X869" s="569"/>
      <c r="Y869" s="569"/>
      <c r="Z869" s="569"/>
      <c r="AA869" s="569"/>
      <c r="AB869" s="569"/>
      <c r="AC869" s="569"/>
      <c r="AD869" s="569"/>
      <c r="AE869" s="569"/>
      <c r="AF869">
        <v>869</v>
      </c>
      <c r="AG869" s="438" t="str">
        <f>IF(INDEX(D:AE,AF869,ADP!$AF$6)=0,"",INDEX(D:AE,AF869,ADP!$AF$6)+AH869)</f>
        <v/>
      </c>
      <c r="AH869">
        <f t="shared" si="13"/>
        <v>8.6800000000001459E-4</v>
      </c>
    </row>
    <row r="870" spans="1:34" ht="15.75" thickBot="1" x14ac:dyDescent="0.3">
      <c r="A870" s="569"/>
      <c r="B870" s="569"/>
      <c r="C870" s="569"/>
      <c r="D870" s="569"/>
      <c r="E870" s="569"/>
      <c r="F870" s="569"/>
      <c r="G870" s="569"/>
      <c r="H870" s="569"/>
      <c r="I870" s="569"/>
      <c r="J870" s="569"/>
      <c r="K870" s="569"/>
      <c r="L870" s="569"/>
      <c r="M870" s="569"/>
      <c r="N870" s="569"/>
      <c r="O870" s="569"/>
      <c r="P870" s="569"/>
      <c r="Q870" s="569"/>
      <c r="R870" s="569"/>
      <c r="S870" s="569"/>
      <c r="T870" s="569"/>
      <c r="U870" s="569"/>
      <c r="V870" s="569"/>
      <c r="W870" s="569"/>
      <c r="X870" s="569"/>
      <c r="Y870" s="569"/>
      <c r="Z870" s="569"/>
      <c r="AA870" s="569"/>
      <c r="AB870" s="569"/>
      <c r="AC870" s="569"/>
      <c r="AD870" s="569"/>
      <c r="AE870" s="569"/>
      <c r="AF870">
        <v>870</v>
      </c>
      <c r="AG870" s="438" t="str">
        <f>IF(INDEX(D:AE,AF870,ADP!$AF$6)=0,"",INDEX(D:AE,AF870,ADP!$AF$6)+AH870)</f>
        <v/>
      </c>
      <c r="AH870">
        <f t="shared" si="13"/>
        <v>8.6900000000001462E-4</v>
      </c>
    </row>
    <row r="871" spans="1:34" ht="15.75" thickBot="1" x14ac:dyDescent="0.3">
      <c r="A871" s="569"/>
      <c r="B871" s="569"/>
      <c r="C871" s="569"/>
      <c r="D871" s="569"/>
      <c r="E871" s="569"/>
      <c r="F871" s="569"/>
      <c r="G871" s="569"/>
      <c r="H871" s="569"/>
      <c r="I871" s="569"/>
      <c r="J871" s="569"/>
      <c r="K871" s="569"/>
      <c r="L871" s="569"/>
      <c r="M871" s="569"/>
      <c r="N871" s="569"/>
      <c r="O871" s="569"/>
      <c r="P871" s="569"/>
      <c r="Q871" s="569"/>
      <c r="R871" s="569"/>
      <c r="S871" s="569"/>
      <c r="T871" s="569"/>
      <c r="U871" s="569"/>
      <c r="V871" s="569"/>
      <c r="W871" s="569"/>
      <c r="X871" s="569"/>
      <c r="Y871" s="569"/>
      <c r="Z871" s="569"/>
      <c r="AA871" s="569"/>
      <c r="AB871" s="569"/>
      <c r="AC871" s="569"/>
      <c r="AD871" s="569"/>
      <c r="AE871" s="569"/>
      <c r="AF871">
        <v>871</v>
      </c>
      <c r="AG871" s="438" t="str">
        <f>IF(INDEX(D:AE,AF871,ADP!$AF$6)=0,"",INDEX(D:AE,AF871,ADP!$AF$6)+AH871)</f>
        <v/>
      </c>
      <c r="AH871">
        <f t="shared" si="13"/>
        <v>8.7000000000001464E-4</v>
      </c>
    </row>
    <row r="872" spans="1:34" ht="15.75" thickBot="1" x14ac:dyDescent="0.3">
      <c r="A872" s="569"/>
      <c r="B872" s="569"/>
      <c r="C872" s="569"/>
      <c r="D872" s="569"/>
      <c r="E872" s="569"/>
      <c r="F872" s="569"/>
      <c r="G872" s="569"/>
      <c r="H872" s="569"/>
      <c r="I872" s="569"/>
      <c r="J872" s="569"/>
      <c r="K872" s="569"/>
      <c r="L872" s="569"/>
      <c r="M872" s="569"/>
      <c r="N872" s="569"/>
      <c r="O872" s="569"/>
      <c r="P872" s="569"/>
      <c r="Q872" s="569"/>
      <c r="R872" s="569"/>
      <c r="S872" s="569"/>
      <c r="T872" s="569"/>
      <c r="U872" s="569"/>
      <c r="V872" s="569"/>
      <c r="W872" s="569"/>
      <c r="X872" s="569"/>
      <c r="Y872" s="569"/>
      <c r="Z872" s="569"/>
      <c r="AA872" s="569"/>
      <c r="AB872" s="569"/>
      <c r="AC872" s="569"/>
      <c r="AD872" s="569"/>
      <c r="AE872" s="569"/>
      <c r="AF872">
        <v>872</v>
      </c>
      <c r="AG872" s="438" t="str">
        <f>IF(INDEX(D:AE,AF872,ADP!$AF$6)=0,"",INDEX(D:AE,AF872,ADP!$AF$6)+AH872)</f>
        <v/>
      </c>
      <c r="AH872">
        <f t="shared" si="13"/>
        <v>8.7100000000001467E-4</v>
      </c>
    </row>
    <row r="873" spans="1:34" ht="15.75" thickBot="1" x14ac:dyDescent="0.3">
      <c r="A873" s="569"/>
      <c r="B873" s="569"/>
      <c r="C873" s="569"/>
      <c r="D873" s="569"/>
      <c r="E873" s="569"/>
      <c r="F873" s="569"/>
      <c r="G873" s="569"/>
      <c r="H873" s="569"/>
      <c r="I873" s="569"/>
      <c r="J873" s="569"/>
      <c r="K873" s="569"/>
      <c r="L873" s="569"/>
      <c r="M873" s="569"/>
      <c r="N873" s="569"/>
      <c r="O873" s="569"/>
      <c r="P873" s="569"/>
      <c r="Q873" s="569"/>
      <c r="R873" s="569"/>
      <c r="S873" s="569"/>
      <c r="T873" s="569"/>
      <c r="U873" s="569"/>
      <c r="V873" s="569"/>
      <c r="W873" s="569"/>
      <c r="X873" s="569"/>
      <c r="Y873" s="569"/>
      <c r="Z873" s="569"/>
      <c r="AA873" s="569"/>
      <c r="AB873" s="569"/>
      <c r="AC873" s="569"/>
      <c r="AD873" s="569"/>
      <c r="AE873" s="569"/>
      <c r="AF873">
        <v>873</v>
      </c>
      <c r="AG873" s="438" t="str">
        <f>IF(INDEX(D:AE,AF873,ADP!$AF$6)=0,"",INDEX(D:AE,AF873,ADP!$AF$6)+AH873)</f>
        <v/>
      </c>
      <c r="AH873">
        <f t="shared" si="13"/>
        <v>8.7200000000001469E-4</v>
      </c>
    </row>
    <row r="874" spans="1:34" ht="15.75" thickBot="1" x14ac:dyDescent="0.3">
      <c r="A874" s="569"/>
      <c r="B874" s="569"/>
      <c r="C874" s="569"/>
      <c r="D874" s="569"/>
      <c r="E874" s="569"/>
      <c r="F874" s="569"/>
      <c r="G874" s="569"/>
      <c r="H874" s="569"/>
      <c r="I874" s="569"/>
      <c r="J874" s="569"/>
      <c r="K874" s="569"/>
      <c r="L874" s="569"/>
      <c r="M874" s="569"/>
      <c r="N874" s="569"/>
      <c r="O874" s="569"/>
      <c r="P874" s="569"/>
      <c r="Q874" s="569"/>
      <c r="R874" s="569"/>
      <c r="S874" s="569"/>
      <c r="T874" s="569"/>
      <c r="U874" s="569"/>
      <c r="V874" s="569"/>
      <c r="W874" s="569"/>
      <c r="X874" s="569"/>
      <c r="Y874" s="569"/>
      <c r="Z874" s="569"/>
      <c r="AA874" s="569"/>
      <c r="AB874" s="569"/>
      <c r="AC874" s="569"/>
      <c r="AD874" s="569"/>
      <c r="AE874" s="569"/>
      <c r="AF874">
        <v>874</v>
      </c>
      <c r="AG874" s="438" t="str">
        <f>IF(INDEX(D:AE,AF874,ADP!$AF$6)=0,"",INDEX(D:AE,AF874,ADP!$AF$6)+AH874)</f>
        <v/>
      </c>
      <c r="AH874">
        <f t="shared" si="13"/>
        <v>8.7300000000001471E-4</v>
      </c>
    </row>
    <row r="875" spans="1:34" ht="15.75" thickBot="1" x14ac:dyDescent="0.3">
      <c r="A875" s="569"/>
      <c r="B875" s="569"/>
      <c r="C875" s="569"/>
      <c r="D875" s="569"/>
      <c r="E875" s="569"/>
      <c r="F875" s="569"/>
      <c r="G875" s="569"/>
      <c r="H875" s="569"/>
      <c r="I875" s="569"/>
      <c r="J875" s="569"/>
      <c r="K875" s="569"/>
      <c r="L875" s="569"/>
      <c r="M875" s="569"/>
      <c r="N875" s="569"/>
      <c r="O875" s="569"/>
      <c r="P875" s="569"/>
      <c r="Q875" s="569"/>
      <c r="R875" s="569"/>
      <c r="S875" s="569"/>
      <c r="T875" s="569"/>
      <c r="U875" s="569"/>
      <c r="V875" s="569"/>
      <c r="W875" s="569"/>
      <c r="X875" s="569"/>
      <c r="Y875" s="569"/>
      <c r="Z875" s="569"/>
      <c r="AA875" s="569"/>
      <c r="AB875" s="569"/>
      <c r="AC875" s="569"/>
      <c r="AD875" s="569"/>
      <c r="AE875" s="569"/>
      <c r="AF875">
        <v>875</v>
      </c>
      <c r="AG875" s="438" t="str">
        <f>IF(INDEX(D:AE,AF875,ADP!$AF$6)=0,"",INDEX(D:AE,AF875,ADP!$AF$6)+AH875)</f>
        <v/>
      </c>
      <c r="AH875">
        <f t="shared" si="13"/>
        <v>8.7400000000001474E-4</v>
      </c>
    </row>
    <row r="876" spans="1:34" ht="15.75" thickBot="1" x14ac:dyDescent="0.3">
      <c r="A876" s="569"/>
      <c r="B876" s="569"/>
      <c r="C876" s="569"/>
      <c r="D876" s="569"/>
      <c r="E876" s="569"/>
      <c r="F876" s="569"/>
      <c r="G876" s="569"/>
      <c r="H876" s="569"/>
      <c r="I876" s="569"/>
      <c r="J876" s="569"/>
      <c r="K876" s="569"/>
      <c r="L876" s="569"/>
      <c r="M876" s="569"/>
      <c r="N876" s="569"/>
      <c r="O876" s="569"/>
      <c r="P876" s="569"/>
      <c r="Q876" s="569"/>
      <c r="R876" s="569"/>
      <c r="S876" s="569"/>
      <c r="T876" s="569"/>
      <c r="U876" s="569"/>
      <c r="V876" s="569"/>
      <c r="W876" s="569"/>
      <c r="X876" s="569"/>
      <c r="Y876" s="569"/>
      <c r="Z876" s="569"/>
      <c r="AA876" s="569"/>
      <c r="AB876" s="569"/>
      <c r="AC876" s="569"/>
      <c r="AD876" s="569"/>
      <c r="AE876" s="569"/>
      <c r="AF876">
        <v>876</v>
      </c>
      <c r="AG876" s="438" t="str">
        <f>IF(INDEX(D:AE,AF876,ADP!$AF$6)=0,"",INDEX(D:AE,AF876,ADP!$AF$6)+AH876)</f>
        <v/>
      </c>
      <c r="AH876">
        <f t="shared" si="13"/>
        <v>8.7500000000001476E-4</v>
      </c>
    </row>
    <row r="877" spans="1:34" ht="15.75" thickBot="1" x14ac:dyDescent="0.3">
      <c r="A877" s="569"/>
      <c r="B877" s="569"/>
      <c r="C877" s="569"/>
      <c r="D877" s="569"/>
      <c r="E877" s="569"/>
      <c r="F877" s="569"/>
      <c r="G877" s="569"/>
      <c r="H877" s="569"/>
      <c r="I877" s="569"/>
      <c r="J877" s="569"/>
      <c r="K877" s="569"/>
      <c r="L877" s="569"/>
      <c r="M877" s="569"/>
      <c r="N877" s="569"/>
      <c r="O877" s="569"/>
      <c r="P877" s="569"/>
      <c r="Q877" s="569"/>
      <c r="R877" s="569"/>
      <c r="S877" s="569"/>
      <c r="T877" s="569"/>
      <c r="U877" s="569"/>
      <c r="V877" s="569"/>
      <c r="W877" s="569"/>
      <c r="X877" s="569"/>
      <c r="Y877" s="569"/>
      <c r="Z877" s="569"/>
      <c r="AA877" s="569"/>
      <c r="AB877" s="569"/>
      <c r="AC877" s="569"/>
      <c r="AD877" s="569"/>
      <c r="AE877" s="569"/>
      <c r="AF877">
        <v>877</v>
      </c>
      <c r="AG877" s="438" t="str">
        <f>IF(INDEX(D:AE,AF877,ADP!$AF$6)=0,"",INDEX(D:AE,AF877,ADP!$AF$6)+AH877)</f>
        <v/>
      </c>
      <c r="AH877">
        <f t="shared" si="13"/>
        <v>8.7600000000001479E-4</v>
      </c>
    </row>
    <row r="878" spans="1:34" ht="15.75" thickBot="1" x14ac:dyDescent="0.3">
      <c r="A878" s="569"/>
      <c r="B878" s="569"/>
      <c r="C878" s="569"/>
      <c r="D878" s="569"/>
      <c r="E878" s="569"/>
      <c r="F878" s="569"/>
      <c r="G878" s="569"/>
      <c r="H878" s="569"/>
      <c r="I878" s="569"/>
      <c r="J878" s="569"/>
      <c r="K878" s="569"/>
      <c r="L878" s="569"/>
      <c r="M878" s="569"/>
      <c r="N878" s="569"/>
      <c r="O878" s="569"/>
      <c r="P878" s="569"/>
      <c r="Q878" s="569"/>
      <c r="R878" s="569"/>
      <c r="S878" s="569"/>
      <c r="T878" s="569"/>
      <c r="U878" s="569"/>
      <c r="V878" s="569"/>
      <c r="W878" s="569"/>
      <c r="X878" s="569"/>
      <c r="Y878" s="569"/>
      <c r="Z878" s="569"/>
      <c r="AA878" s="569"/>
      <c r="AB878" s="569"/>
      <c r="AC878" s="569"/>
      <c r="AD878" s="569"/>
      <c r="AE878" s="569"/>
      <c r="AF878">
        <v>878</v>
      </c>
      <c r="AG878" s="438" t="str">
        <f>IF(INDEX(D:AE,AF878,ADP!$AF$6)=0,"",INDEX(D:AE,AF878,ADP!$AF$6)+AH878)</f>
        <v/>
      </c>
      <c r="AH878">
        <f t="shared" si="13"/>
        <v>8.7700000000001481E-4</v>
      </c>
    </row>
    <row r="879" spans="1:34" ht="15.75" thickBot="1" x14ac:dyDescent="0.3">
      <c r="A879" s="569"/>
      <c r="B879" s="569"/>
      <c r="C879" s="569"/>
      <c r="D879" s="569"/>
      <c r="E879" s="569"/>
      <c r="F879" s="569"/>
      <c r="G879" s="569"/>
      <c r="H879" s="569"/>
      <c r="I879" s="569"/>
      <c r="J879" s="569"/>
      <c r="K879" s="569"/>
      <c r="L879" s="569"/>
      <c r="M879" s="569"/>
      <c r="N879" s="569"/>
      <c r="O879" s="569"/>
      <c r="P879" s="569"/>
      <c r="Q879" s="569"/>
      <c r="R879" s="569"/>
      <c r="S879" s="569"/>
      <c r="T879" s="569"/>
      <c r="U879" s="569"/>
      <c r="V879" s="569"/>
      <c r="W879" s="569"/>
      <c r="X879" s="569"/>
      <c r="Y879" s="569"/>
      <c r="Z879" s="569"/>
      <c r="AA879" s="569"/>
      <c r="AB879" s="569"/>
      <c r="AC879" s="569"/>
      <c r="AD879" s="569"/>
      <c r="AE879" s="569"/>
      <c r="AF879">
        <v>879</v>
      </c>
      <c r="AG879" s="438" t="str">
        <f>IF(INDEX(D:AE,AF879,ADP!$AF$6)=0,"",INDEX(D:AE,AF879,ADP!$AF$6)+AH879)</f>
        <v/>
      </c>
      <c r="AH879">
        <f t="shared" si="13"/>
        <v>8.7800000000001484E-4</v>
      </c>
    </row>
    <row r="880" spans="1:34" ht="15.75" thickBot="1" x14ac:dyDescent="0.3">
      <c r="A880" s="569"/>
      <c r="B880" s="569"/>
      <c r="C880" s="569"/>
      <c r="D880" s="569"/>
      <c r="E880" s="569"/>
      <c r="F880" s="569"/>
      <c r="G880" s="569"/>
      <c r="H880" s="569"/>
      <c r="I880" s="569"/>
      <c r="J880" s="569"/>
      <c r="K880" s="569"/>
      <c r="L880" s="569"/>
      <c r="M880" s="569"/>
      <c r="N880" s="569"/>
      <c r="O880" s="569"/>
      <c r="P880" s="569"/>
      <c r="Q880" s="569"/>
      <c r="R880" s="569"/>
      <c r="S880" s="569"/>
      <c r="T880" s="569"/>
      <c r="U880" s="569"/>
      <c r="V880" s="569"/>
      <c r="W880" s="569"/>
      <c r="X880" s="569"/>
      <c r="Y880" s="569"/>
      <c r="Z880" s="569"/>
      <c r="AA880" s="569"/>
      <c r="AB880" s="569"/>
      <c r="AC880" s="569"/>
      <c r="AD880" s="569"/>
      <c r="AE880" s="569"/>
      <c r="AF880">
        <v>880</v>
      </c>
      <c r="AG880" s="438" t="str">
        <f>IF(INDEX(D:AE,AF880,ADP!$AF$6)=0,"",INDEX(D:AE,AF880,ADP!$AF$6)+AH880)</f>
        <v/>
      </c>
      <c r="AH880">
        <f t="shared" si="13"/>
        <v>8.7900000000001486E-4</v>
      </c>
    </row>
    <row r="881" spans="1:34" ht="15.75" thickBot="1" x14ac:dyDescent="0.3">
      <c r="A881" s="569"/>
      <c r="B881" s="569"/>
      <c r="C881" s="569"/>
      <c r="D881" s="569"/>
      <c r="E881" s="569"/>
      <c r="F881" s="569"/>
      <c r="G881" s="569"/>
      <c r="H881" s="569"/>
      <c r="I881" s="569"/>
      <c r="J881" s="569"/>
      <c r="K881" s="569"/>
      <c r="L881" s="569"/>
      <c r="M881" s="569"/>
      <c r="N881" s="569"/>
      <c r="O881" s="569"/>
      <c r="P881" s="569"/>
      <c r="Q881" s="569"/>
      <c r="R881" s="569"/>
      <c r="S881" s="569"/>
      <c r="T881" s="569"/>
      <c r="U881" s="569"/>
      <c r="V881" s="569"/>
      <c r="W881" s="569"/>
      <c r="X881" s="569"/>
      <c r="Y881" s="569"/>
      <c r="Z881" s="569"/>
      <c r="AA881" s="569"/>
      <c r="AB881" s="569"/>
      <c r="AC881" s="569"/>
      <c r="AD881" s="569"/>
      <c r="AE881" s="569"/>
      <c r="AF881">
        <v>881</v>
      </c>
      <c r="AG881" s="438" t="str">
        <f>IF(INDEX(D:AE,AF881,ADP!$AF$6)=0,"",INDEX(D:AE,AF881,ADP!$AF$6)+AH881)</f>
        <v/>
      </c>
      <c r="AH881">
        <f t="shared" si="13"/>
        <v>8.8000000000001488E-4</v>
      </c>
    </row>
    <row r="882" spans="1:34" ht="15.75" thickBot="1" x14ac:dyDescent="0.3">
      <c r="A882" s="569"/>
      <c r="B882" s="569"/>
      <c r="C882" s="569"/>
      <c r="D882" s="569"/>
      <c r="E882" s="569"/>
      <c r="F882" s="569"/>
      <c r="G882" s="569"/>
      <c r="H882" s="569"/>
      <c r="I882" s="569"/>
      <c r="J882" s="569"/>
      <c r="K882" s="569"/>
      <c r="L882" s="569"/>
      <c r="M882" s="569"/>
      <c r="N882" s="569"/>
      <c r="O882" s="569"/>
      <c r="P882" s="569"/>
      <c r="Q882" s="569"/>
      <c r="R882" s="569"/>
      <c r="S882" s="569"/>
      <c r="T882" s="569"/>
      <c r="U882" s="569"/>
      <c r="V882" s="569"/>
      <c r="W882" s="569"/>
      <c r="X882" s="569"/>
      <c r="Y882" s="569"/>
      <c r="Z882" s="569"/>
      <c r="AA882" s="569"/>
      <c r="AB882" s="569"/>
      <c r="AC882" s="569"/>
      <c r="AD882" s="569"/>
      <c r="AE882" s="569"/>
      <c r="AF882">
        <v>882</v>
      </c>
      <c r="AG882" s="438" t="str">
        <f>IF(INDEX(D:AE,AF882,ADP!$AF$6)=0,"",INDEX(D:AE,AF882,ADP!$AF$6)+AH882)</f>
        <v/>
      </c>
      <c r="AH882">
        <f t="shared" si="13"/>
        <v>8.8100000000001491E-4</v>
      </c>
    </row>
    <row r="883" spans="1:34" ht="15.75" thickBot="1" x14ac:dyDescent="0.3">
      <c r="A883" s="569"/>
      <c r="B883" s="569"/>
      <c r="C883" s="569"/>
      <c r="D883" s="569"/>
      <c r="E883" s="569"/>
      <c r="F883" s="569"/>
      <c r="G883" s="569"/>
      <c r="H883" s="569"/>
      <c r="I883" s="569"/>
      <c r="J883" s="569"/>
      <c r="K883" s="569"/>
      <c r="L883" s="569"/>
      <c r="M883" s="569"/>
      <c r="N883" s="569"/>
      <c r="O883" s="569"/>
      <c r="P883" s="569"/>
      <c r="Q883" s="569"/>
      <c r="R883" s="569"/>
      <c r="S883" s="569"/>
      <c r="T883" s="569"/>
      <c r="U883" s="569"/>
      <c r="V883" s="569"/>
      <c r="W883" s="569"/>
      <c r="X883" s="569"/>
      <c r="Y883" s="569"/>
      <c r="Z883" s="569"/>
      <c r="AA883" s="569"/>
      <c r="AB883" s="569"/>
      <c r="AC883" s="569"/>
      <c r="AD883" s="569"/>
      <c r="AE883" s="569"/>
      <c r="AF883">
        <v>883</v>
      </c>
      <c r="AG883" s="438" t="str">
        <f>IF(INDEX(D:AE,AF883,ADP!$AF$6)=0,"",INDEX(D:AE,AF883,ADP!$AF$6)+AH883)</f>
        <v/>
      </c>
      <c r="AH883">
        <f t="shared" si="13"/>
        <v>8.8200000000001493E-4</v>
      </c>
    </row>
    <row r="884" spans="1:34" ht="15.75" thickBot="1" x14ac:dyDescent="0.3">
      <c r="A884" s="569"/>
      <c r="B884" s="569"/>
      <c r="C884" s="569"/>
      <c r="D884" s="569"/>
      <c r="E884" s="569"/>
      <c r="F884" s="569"/>
      <c r="G884" s="569"/>
      <c r="H884" s="569"/>
      <c r="I884" s="569"/>
      <c r="J884" s="569"/>
      <c r="K884" s="569"/>
      <c r="L884" s="569"/>
      <c r="M884" s="569"/>
      <c r="N884" s="569"/>
      <c r="O884" s="569"/>
      <c r="P884" s="569"/>
      <c r="Q884" s="569"/>
      <c r="R884" s="569"/>
      <c r="S884" s="569"/>
      <c r="T884" s="569"/>
      <c r="U884" s="569"/>
      <c r="V884" s="569"/>
      <c r="W884" s="569"/>
      <c r="X884" s="569"/>
      <c r="Y884" s="569"/>
      <c r="Z884" s="569"/>
      <c r="AA884" s="569"/>
      <c r="AB884" s="569"/>
      <c r="AC884" s="569"/>
      <c r="AD884" s="569"/>
      <c r="AE884" s="569"/>
      <c r="AF884">
        <v>884</v>
      </c>
      <c r="AG884" s="438" t="str">
        <f>IF(INDEX(D:AE,AF884,ADP!$AF$6)=0,"",INDEX(D:AE,AF884,ADP!$AF$6)+AH884)</f>
        <v/>
      </c>
      <c r="AH884">
        <f t="shared" si="13"/>
        <v>8.8300000000001496E-4</v>
      </c>
    </row>
    <row r="885" spans="1:34" ht="15.75" thickBot="1" x14ac:dyDescent="0.3">
      <c r="A885" s="569"/>
      <c r="B885" s="569"/>
      <c r="C885" s="569"/>
      <c r="D885" s="569"/>
      <c r="E885" s="569"/>
      <c r="F885" s="569"/>
      <c r="G885" s="569"/>
      <c r="H885" s="569"/>
      <c r="I885" s="569"/>
      <c r="J885" s="569"/>
      <c r="K885" s="569"/>
      <c r="L885" s="569"/>
      <c r="M885" s="569"/>
      <c r="N885" s="569"/>
      <c r="O885" s="569"/>
      <c r="P885" s="569"/>
      <c r="Q885" s="569"/>
      <c r="R885" s="569"/>
      <c r="S885" s="569"/>
      <c r="T885" s="569"/>
      <c r="U885" s="569"/>
      <c r="V885" s="569"/>
      <c r="W885" s="569"/>
      <c r="X885" s="569"/>
      <c r="Y885" s="569"/>
      <c r="Z885" s="569"/>
      <c r="AA885" s="569"/>
      <c r="AB885" s="569"/>
      <c r="AC885" s="569"/>
      <c r="AD885" s="569"/>
      <c r="AE885" s="569"/>
      <c r="AF885">
        <v>885</v>
      </c>
      <c r="AG885" s="438" t="str">
        <f>IF(INDEX(D:AE,AF885,ADP!$AF$6)=0,"",INDEX(D:AE,AF885,ADP!$AF$6)+AH885)</f>
        <v/>
      </c>
      <c r="AH885">
        <f t="shared" si="13"/>
        <v>8.8400000000001498E-4</v>
      </c>
    </row>
    <row r="886" spans="1:34" ht="15.75" thickBot="1" x14ac:dyDescent="0.3">
      <c r="A886" s="569"/>
      <c r="B886" s="569"/>
      <c r="C886" s="569"/>
      <c r="D886" s="569"/>
      <c r="E886" s="569"/>
      <c r="F886" s="569"/>
      <c r="G886" s="569"/>
      <c r="H886" s="569"/>
      <c r="I886" s="569"/>
      <c r="J886" s="569"/>
      <c r="K886" s="569"/>
      <c r="L886" s="569"/>
      <c r="M886" s="569"/>
      <c r="N886" s="569"/>
      <c r="O886" s="569"/>
      <c r="P886" s="569"/>
      <c r="Q886" s="569"/>
      <c r="R886" s="569"/>
      <c r="S886" s="569"/>
      <c r="T886" s="569"/>
      <c r="U886" s="569"/>
      <c r="V886" s="569"/>
      <c r="W886" s="569"/>
      <c r="X886" s="569"/>
      <c r="Y886" s="569"/>
      <c r="Z886" s="569"/>
      <c r="AA886" s="569"/>
      <c r="AB886" s="569"/>
      <c r="AC886" s="569"/>
      <c r="AD886" s="569"/>
      <c r="AE886" s="569"/>
      <c r="AF886">
        <v>886</v>
      </c>
      <c r="AG886" s="438" t="str">
        <f>IF(INDEX(D:AE,AF886,ADP!$AF$6)=0,"",INDEX(D:AE,AF886,ADP!$AF$6)+AH886)</f>
        <v/>
      </c>
      <c r="AH886">
        <f t="shared" si="13"/>
        <v>8.8500000000001501E-4</v>
      </c>
    </row>
    <row r="887" spans="1:34" ht="15.75" thickBot="1" x14ac:dyDescent="0.3">
      <c r="A887" s="569"/>
      <c r="B887" s="569"/>
      <c r="C887" s="569"/>
      <c r="D887" s="569"/>
      <c r="E887" s="569"/>
      <c r="F887" s="569"/>
      <c r="G887" s="569"/>
      <c r="H887" s="569"/>
      <c r="I887" s="569"/>
      <c r="J887" s="569"/>
      <c r="K887" s="569"/>
      <c r="L887" s="569"/>
      <c r="M887" s="569"/>
      <c r="N887" s="569"/>
      <c r="O887" s="569"/>
      <c r="P887" s="569"/>
      <c r="Q887" s="569"/>
      <c r="R887" s="569"/>
      <c r="S887" s="569"/>
      <c r="T887" s="569"/>
      <c r="U887" s="569"/>
      <c r="V887" s="569"/>
      <c r="W887" s="569"/>
      <c r="X887" s="569"/>
      <c r="Y887" s="569"/>
      <c r="Z887" s="569"/>
      <c r="AA887" s="569"/>
      <c r="AB887" s="569"/>
      <c r="AC887" s="569"/>
      <c r="AD887" s="569"/>
      <c r="AE887" s="569"/>
      <c r="AF887">
        <v>887</v>
      </c>
      <c r="AG887" s="438" t="str">
        <f>IF(INDEX(D:AE,AF887,ADP!$AF$6)=0,"",INDEX(D:AE,AF887,ADP!$AF$6)+AH887)</f>
        <v/>
      </c>
      <c r="AH887">
        <f t="shared" si="13"/>
        <v>8.8600000000001503E-4</v>
      </c>
    </row>
    <row r="888" spans="1:34" ht="15.75" thickBot="1" x14ac:dyDescent="0.3">
      <c r="A888" s="569"/>
      <c r="B888" s="569"/>
      <c r="C888" s="569"/>
      <c r="D888" s="569"/>
      <c r="E888" s="569"/>
      <c r="F888" s="569"/>
      <c r="G888" s="569"/>
      <c r="H888" s="569"/>
      <c r="I888" s="569"/>
      <c r="J888" s="569"/>
      <c r="K888" s="569"/>
      <c r="L888" s="569"/>
      <c r="M888" s="569"/>
      <c r="N888" s="569"/>
      <c r="O888" s="569"/>
      <c r="P888" s="569"/>
      <c r="Q888" s="569"/>
      <c r="R888" s="569"/>
      <c r="S888" s="569"/>
      <c r="T888" s="569"/>
      <c r="U888" s="569"/>
      <c r="V888" s="569"/>
      <c r="W888" s="569"/>
      <c r="X888" s="569"/>
      <c r="Y888" s="569"/>
      <c r="Z888" s="569"/>
      <c r="AA888" s="569"/>
      <c r="AB888" s="569"/>
      <c r="AC888" s="569"/>
      <c r="AD888" s="569"/>
      <c r="AE888" s="569"/>
      <c r="AF888">
        <v>888</v>
      </c>
      <c r="AG888" s="438" t="str">
        <f>IF(INDEX(D:AE,AF888,ADP!$AF$6)=0,"",INDEX(D:AE,AF888,ADP!$AF$6)+AH888)</f>
        <v/>
      </c>
      <c r="AH888">
        <f t="shared" si="13"/>
        <v>8.8700000000001506E-4</v>
      </c>
    </row>
    <row r="889" spans="1:34" ht="15.75" thickBot="1" x14ac:dyDescent="0.3">
      <c r="A889" s="569"/>
      <c r="B889" s="569"/>
      <c r="C889" s="569"/>
      <c r="D889" s="569"/>
      <c r="E889" s="569"/>
      <c r="F889" s="569"/>
      <c r="G889" s="569"/>
      <c r="H889" s="569"/>
      <c r="I889" s="569"/>
      <c r="J889" s="569"/>
      <c r="K889" s="569"/>
      <c r="L889" s="569"/>
      <c r="M889" s="569"/>
      <c r="N889" s="569"/>
      <c r="O889" s="569"/>
      <c r="P889" s="569"/>
      <c r="Q889" s="569"/>
      <c r="R889" s="569"/>
      <c r="S889" s="569"/>
      <c r="T889" s="569"/>
      <c r="U889" s="569"/>
      <c r="V889" s="569"/>
      <c r="W889" s="569"/>
      <c r="X889" s="569"/>
      <c r="Y889" s="569"/>
      <c r="Z889" s="569"/>
      <c r="AA889" s="569"/>
      <c r="AB889" s="569"/>
      <c r="AC889" s="569"/>
      <c r="AD889" s="569"/>
      <c r="AE889" s="569"/>
      <c r="AF889">
        <v>889</v>
      </c>
      <c r="AG889" s="438" t="str">
        <f>IF(INDEX(D:AE,AF889,ADP!$AF$6)=0,"",INDEX(D:AE,AF889,ADP!$AF$6)+AH889)</f>
        <v/>
      </c>
      <c r="AH889">
        <f t="shared" si="13"/>
        <v>8.8800000000001508E-4</v>
      </c>
    </row>
    <row r="890" spans="1:34" ht="15.75" thickBot="1" x14ac:dyDescent="0.3">
      <c r="A890" s="569"/>
      <c r="B890" s="569"/>
      <c r="C890" s="569"/>
      <c r="D890" s="569"/>
      <c r="E890" s="569"/>
      <c r="F890" s="569"/>
      <c r="G890" s="569"/>
      <c r="H890" s="569"/>
      <c r="I890" s="569"/>
      <c r="J890" s="569"/>
      <c r="K890" s="569"/>
      <c r="L890" s="569"/>
      <c r="M890" s="569"/>
      <c r="N890" s="569"/>
      <c r="O890" s="569"/>
      <c r="P890" s="569"/>
      <c r="Q890" s="569"/>
      <c r="R890" s="569"/>
      <c r="S890" s="569"/>
      <c r="T890" s="569"/>
      <c r="U890" s="569"/>
      <c r="V890" s="569"/>
      <c r="W890" s="569"/>
      <c r="X890" s="569"/>
      <c r="Y890" s="569"/>
      <c r="Z890" s="569"/>
      <c r="AA890" s="569"/>
      <c r="AB890" s="569"/>
      <c r="AC890" s="569"/>
      <c r="AD890" s="569"/>
      <c r="AE890" s="569"/>
      <c r="AF890">
        <v>890</v>
      </c>
      <c r="AG890" s="438" t="str">
        <f>IF(INDEX(D:AE,AF890,ADP!$AF$6)=0,"",INDEX(D:AE,AF890,ADP!$AF$6)+AH890)</f>
        <v/>
      </c>
      <c r="AH890">
        <f t="shared" si="13"/>
        <v>8.890000000000151E-4</v>
      </c>
    </row>
    <row r="891" spans="1:34" ht="15.75" thickBot="1" x14ac:dyDescent="0.3">
      <c r="A891" s="569"/>
      <c r="B891" s="569"/>
      <c r="C891" s="569"/>
      <c r="D891" s="569"/>
      <c r="E891" s="569"/>
      <c r="F891" s="569"/>
      <c r="G891" s="569"/>
      <c r="H891" s="569"/>
      <c r="I891" s="569"/>
      <c r="J891" s="569"/>
      <c r="K891" s="569"/>
      <c r="L891" s="569"/>
      <c r="M891" s="569"/>
      <c r="N891" s="569"/>
      <c r="O891" s="569"/>
      <c r="P891" s="569"/>
      <c r="Q891" s="569"/>
      <c r="R891" s="569"/>
      <c r="S891" s="569"/>
      <c r="T891" s="569"/>
      <c r="U891" s="569"/>
      <c r="V891" s="569"/>
      <c r="W891" s="569"/>
      <c r="X891" s="569"/>
      <c r="Y891" s="569"/>
      <c r="Z891" s="569"/>
      <c r="AA891" s="569"/>
      <c r="AB891" s="569"/>
      <c r="AC891" s="569"/>
      <c r="AD891" s="569"/>
      <c r="AE891" s="569"/>
      <c r="AF891">
        <v>891</v>
      </c>
      <c r="AG891" s="438" t="str">
        <f>IF(INDEX(D:AE,AF891,ADP!$AF$6)=0,"",INDEX(D:AE,AF891,ADP!$AF$6)+AH891)</f>
        <v/>
      </c>
      <c r="AH891">
        <f t="shared" si="13"/>
        <v>8.9000000000001513E-4</v>
      </c>
    </row>
    <row r="892" spans="1:34" ht="15.75" thickBot="1" x14ac:dyDescent="0.3">
      <c r="A892" s="569"/>
      <c r="B892" s="569"/>
      <c r="C892" s="569"/>
      <c r="D892" s="569"/>
      <c r="E892" s="569"/>
      <c r="F892" s="569"/>
      <c r="G892" s="569"/>
      <c r="H892" s="569"/>
      <c r="I892" s="569"/>
      <c r="J892" s="569"/>
      <c r="K892" s="569"/>
      <c r="L892" s="569"/>
      <c r="M892" s="569"/>
      <c r="N892" s="569"/>
      <c r="O892" s="569"/>
      <c r="P892" s="569"/>
      <c r="Q892" s="569"/>
      <c r="R892" s="569"/>
      <c r="S892" s="569"/>
      <c r="T892" s="569"/>
      <c r="U892" s="569"/>
      <c r="V892" s="569"/>
      <c r="W892" s="569"/>
      <c r="X892" s="569"/>
      <c r="Y892" s="569"/>
      <c r="Z892" s="569"/>
      <c r="AA892" s="569"/>
      <c r="AB892" s="569"/>
      <c r="AC892" s="569"/>
      <c r="AD892" s="569"/>
      <c r="AE892" s="569"/>
      <c r="AF892">
        <v>892</v>
      </c>
      <c r="AG892" s="438" t="str">
        <f>IF(INDEX(D:AE,AF892,ADP!$AF$6)=0,"",INDEX(D:AE,AF892,ADP!$AF$6)+AH892)</f>
        <v/>
      </c>
      <c r="AH892">
        <f t="shared" si="13"/>
        <v>8.9100000000001515E-4</v>
      </c>
    </row>
    <row r="893" spans="1:34" ht="15.75" thickBot="1" x14ac:dyDescent="0.3">
      <c r="A893" s="569"/>
      <c r="B893" s="569"/>
      <c r="C893" s="569"/>
      <c r="D893" s="569"/>
      <c r="E893" s="569"/>
      <c r="F893" s="569"/>
      <c r="G893" s="569"/>
      <c r="H893" s="569"/>
      <c r="I893" s="569"/>
      <c r="J893" s="569"/>
      <c r="K893" s="569"/>
      <c r="L893" s="569"/>
      <c r="M893" s="569"/>
      <c r="N893" s="569"/>
      <c r="O893" s="569"/>
      <c r="P893" s="569"/>
      <c r="Q893" s="569"/>
      <c r="R893" s="569"/>
      <c r="S893" s="569"/>
      <c r="T893" s="569"/>
      <c r="U893" s="569"/>
      <c r="V893" s="569"/>
      <c r="W893" s="569"/>
      <c r="X893" s="569"/>
      <c r="Y893" s="569"/>
      <c r="Z893" s="569"/>
      <c r="AA893" s="569"/>
      <c r="AB893" s="569"/>
      <c r="AC893" s="569"/>
      <c r="AD893" s="569"/>
      <c r="AE893" s="569"/>
      <c r="AF893">
        <v>893</v>
      </c>
      <c r="AG893" s="438" t="str">
        <f>IF(INDEX(D:AE,AF893,ADP!$AF$6)=0,"",INDEX(D:AE,AF893,ADP!$AF$6)+AH893)</f>
        <v/>
      </c>
      <c r="AH893">
        <f t="shared" si="13"/>
        <v>8.9200000000001518E-4</v>
      </c>
    </row>
    <row r="894" spans="1:34" ht="15.75" thickBot="1" x14ac:dyDescent="0.3">
      <c r="A894" s="569"/>
      <c r="B894" s="569"/>
      <c r="C894" s="569"/>
      <c r="D894" s="569"/>
      <c r="E894" s="569"/>
      <c r="F894" s="569"/>
      <c r="G894" s="569"/>
      <c r="H894" s="569"/>
      <c r="I894" s="569"/>
      <c r="J894" s="569"/>
      <c r="K894" s="569"/>
      <c r="L894" s="569"/>
      <c r="M894" s="569"/>
      <c r="N894" s="569"/>
      <c r="O894" s="569"/>
      <c r="P894" s="569"/>
      <c r="Q894" s="569"/>
      <c r="R894" s="569"/>
      <c r="S894" s="569"/>
      <c r="T894" s="569"/>
      <c r="U894" s="569"/>
      <c r="V894" s="569"/>
      <c r="W894" s="569"/>
      <c r="X894" s="569"/>
      <c r="Y894" s="569"/>
      <c r="Z894" s="569"/>
      <c r="AA894" s="569"/>
      <c r="AB894" s="569"/>
      <c r="AC894" s="569"/>
      <c r="AD894" s="569"/>
      <c r="AE894" s="569"/>
      <c r="AF894">
        <v>894</v>
      </c>
      <c r="AG894" s="438" t="str">
        <f>IF(INDEX(D:AE,AF894,ADP!$AF$6)=0,"",INDEX(D:AE,AF894,ADP!$AF$6)+AH894)</f>
        <v/>
      </c>
      <c r="AH894">
        <f t="shared" si="13"/>
        <v>8.930000000000152E-4</v>
      </c>
    </row>
    <row r="895" spans="1:34" ht="15.75" thickBot="1" x14ac:dyDescent="0.3">
      <c r="A895" s="569"/>
      <c r="B895" s="569"/>
      <c r="C895" s="569"/>
      <c r="D895" s="569"/>
      <c r="E895" s="569"/>
      <c r="F895" s="569"/>
      <c r="G895" s="569"/>
      <c r="H895" s="569"/>
      <c r="I895" s="569"/>
      <c r="J895" s="569"/>
      <c r="K895" s="569"/>
      <c r="L895" s="569"/>
      <c r="M895" s="569"/>
      <c r="N895" s="569"/>
      <c r="O895" s="569"/>
      <c r="P895" s="569"/>
      <c r="Q895" s="569"/>
      <c r="R895" s="569"/>
      <c r="S895" s="569"/>
      <c r="T895" s="569"/>
      <c r="U895" s="569"/>
      <c r="V895" s="569"/>
      <c r="W895" s="569"/>
      <c r="X895" s="569"/>
      <c r="Y895" s="569"/>
      <c r="Z895" s="569"/>
      <c r="AA895" s="569"/>
      <c r="AB895" s="569"/>
      <c r="AC895" s="569"/>
      <c r="AD895" s="569"/>
      <c r="AE895" s="569"/>
      <c r="AF895">
        <v>895</v>
      </c>
      <c r="AG895" s="438" t="str">
        <f>IF(INDEX(D:AE,AF895,ADP!$AF$6)=0,"",INDEX(D:AE,AF895,ADP!$AF$6)+AH895)</f>
        <v/>
      </c>
      <c r="AH895">
        <f t="shared" si="13"/>
        <v>8.9400000000001523E-4</v>
      </c>
    </row>
    <row r="896" spans="1:34" ht="15.75" thickBot="1" x14ac:dyDescent="0.3">
      <c r="A896" s="569"/>
      <c r="B896" s="569"/>
      <c r="C896" s="569"/>
      <c r="D896" s="569"/>
      <c r="E896" s="569"/>
      <c r="F896" s="569"/>
      <c r="G896" s="569"/>
      <c r="H896" s="569"/>
      <c r="I896" s="569"/>
      <c r="J896" s="569"/>
      <c r="K896" s="569"/>
      <c r="L896" s="569"/>
      <c r="M896" s="569"/>
      <c r="N896" s="569"/>
      <c r="O896" s="569"/>
      <c r="P896" s="569"/>
      <c r="Q896" s="569"/>
      <c r="R896" s="569"/>
      <c r="S896" s="569"/>
      <c r="T896" s="569"/>
      <c r="U896" s="569"/>
      <c r="V896" s="569"/>
      <c r="W896" s="569"/>
      <c r="X896" s="569"/>
      <c r="Y896" s="569"/>
      <c r="Z896" s="569"/>
      <c r="AA896" s="569"/>
      <c r="AB896" s="569"/>
      <c r="AC896" s="569"/>
      <c r="AD896" s="569"/>
      <c r="AE896" s="569"/>
      <c r="AF896">
        <v>896</v>
      </c>
      <c r="AG896" s="438" t="str">
        <f>IF(INDEX(D:AE,AF896,ADP!$AF$6)=0,"",INDEX(D:AE,AF896,ADP!$AF$6)+AH896)</f>
        <v/>
      </c>
      <c r="AH896">
        <f t="shared" si="13"/>
        <v>8.9500000000001525E-4</v>
      </c>
    </row>
    <row r="897" spans="1:34" ht="15.75" thickBot="1" x14ac:dyDescent="0.3">
      <c r="A897" s="569"/>
      <c r="B897" s="569"/>
      <c r="C897" s="569"/>
      <c r="D897" s="569"/>
      <c r="E897" s="569"/>
      <c r="F897" s="569"/>
      <c r="G897" s="569"/>
      <c r="H897" s="569"/>
      <c r="I897" s="569"/>
      <c r="J897" s="569"/>
      <c r="K897" s="569"/>
      <c r="L897" s="569"/>
      <c r="M897" s="569"/>
      <c r="N897" s="569"/>
      <c r="O897" s="569"/>
      <c r="P897" s="569"/>
      <c r="Q897" s="569"/>
      <c r="R897" s="569"/>
      <c r="S897" s="569"/>
      <c r="T897" s="569"/>
      <c r="U897" s="569"/>
      <c r="V897" s="569"/>
      <c r="W897" s="569"/>
      <c r="X897" s="569"/>
      <c r="Y897" s="569"/>
      <c r="Z897" s="569"/>
      <c r="AA897" s="569"/>
      <c r="AB897" s="569"/>
      <c r="AC897" s="569"/>
      <c r="AD897" s="569"/>
      <c r="AE897" s="569"/>
      <c r="AF897">
        <v>897</v>
      </c>
      <c r="AG897" s="438" t="str">
        <f>IF(INDEX(D:AE,AF897,ADP!$AF$6)=0,"",INDEX(D:AE,AF897,ADP!$AF$6)+AH897)</f>
        <v/>
      </c>
      <c r="AH897">
        <f t="shared" si="13"/>
        <v>8.9600000000001527E-4</v>
      </c>
    </row>
    <row r="898" spans="1:34" ht="15.75" thickBot="1" x14ac:dyDescent="0.3">
      <c r="A898" s="569"/>
      <c r="B898" s="569"/>
      <c r="C898" s="569"/>
      <c r="D898" s="569"/>
      <c r="E898" s="569"/>
      <c r="F898" s="569"/>
      <c r="G898" s="569"/>
      <c r="H898" s="569"/>
      <c r="I898" s="569"/>
      <c r="J898" s="569"/>
      <c r="K898" s="569"/>
      <c r="L898" s="569"/>
      <c r="M898" s="569"/>
      <c r="N898" s="569"/>
      <c r="O898" s="569"/>
      <c r="P898" s="569"/>
      <c r="Q898" s="569"/>
      <c r="R898" s="569"/>
      <c r="S898" s="569"/>
      <c r="T898" s="569"/>
      <c r="U898" s="569"/>
      <c r="V898" s="569"/>
      <c r="W898" s="569"/>
      <c r="X898" s="569"/>
      <c r="Y898" s="569"/>
      <c r="Z898" s="569"/>
      <c r="AA898" s="569"/>
      <c r="AB898" s="569"/>
      <c r="AC898" s="569"/>
      <c r="AD898" s="569"/>
      <c r="AE898" s="569"/>
      <c r="AF898">
        <v>898</v>
      </c>
      <c r="AG898" s="438" t="str">
        <f>IF(INDEX(D:AE,AF898,ADP!$AF$6)=0,"",INDEX(D:AE,AF898,ADP!$AF$6)+AH898)</f>
        <v/>
      </c>
      <c r="AH898">
        <f t="shared" si="13"/>
        <v>8.970000000000153E-4</v>
      </c>
    </row>
    <row r="899" spans="1:34" ht="15.75" thickBot="1" x14ac:dyDescent="0.3">
      <c r="A899" s="569"/>
      <c r="B899" s="569"/>
      <c r="C899" s="569"/>
      <c r="D899" s="569"/>
      <c r="E899" s="569"/>
      <c r="F899" s="569"/>
      <c r="G899" s="569"/>
      <c r="H899" s="569"/>
      <c r="I899" s="569"/>
      <c r="J899" s="569"/>
      <c r="K899" s="569"/>
      <c r="L899" s="569"/>
      <c r="M899" s="569"/>
      <c r="N899" s="569"/>
      <c r="O899" s="569"/>
      <c r="P899" s="569"/>
      <c r="Q899" s="569"/>
      <c r="R899" s="569"/>
      <c r="S899" s="569"/>
      <c r="T899" s="569"/>
      <c r="U899" s="569"/>
      <c r="V899" s="569"/>
      <c r="W899" s="569"/>
      <c r="X899" s="569"/>
      <c r="Y899" s="569"/>
      <c r="Z899" s="569"/>
      <c r="AA899" s="569"/>
      <c r="AB899" s="569"/>
      <c r="AC899" s="569"/>
      <c r="AD899" s="569"/>
      <c r="AE899" s="569"/>
      <c r="AF899">
        <v>899</v>
      </c>
      <c r="AG899" s="438" t="str">
        <f>IF(INDEX(D:AE,AF899,ADP!$AF$6)=0,"",INDEX(D:AE,AF899,ADP!$AF$6)+AH899)</f>
        <v/>
      </c>
      <c r="AH899">
        <f t="shared" si="13"/>
        <v>8.9800000000001532E-4</v>
      </c>
    </row>
    <row r="900" spans="1:34" ht="15.75" thickBot="1" x14ac:dyDescent="0.3">
      <c r="A900" s="569"/>
      <c r="B900" s="569"/>
      <c r="C900" s="569"/>
      <c r="D900" s="569"/>
      <c r="E900" s="569"/>
      <c r="F900" s="569"/>
      <c r="G900" s="569"/>
      <c r="H900" s="569"/>
      <c r="I900" s="569"/>
      <c r="J900" s="569"/>
      <c r="K900" s="569"/>
      <c r="L900" s="569"/>
      <c r="M900" s="569"/>
      <c r="N900" s="569"/>
      <c r="O900" s="569"/>
      <c r="P900" s="569"/>
      <c r="Q900" s="569"/>
      <c r="R900" s="569"/>
      <c r="S900" s="569"/>
      <c r="T900" s="569"/>
      <c r="U900" s="569"/>
      <c r="V900" s="569"/>
      <c r="W900" s="569"/>
      <c r="X900" s="569"/>
      <c r="Y900" s="569"/>
      <c r="Z900" s="569"/>
      <c r="AA900" s="569"/>
      <c r="AB900" s="569"/>
      <c r="AC900" s="569"/>
      <c r="AD900" s="569"/>
      <c r="AE900" s="569"/>
      <c r="AF900">
        <v>900</v>
      </c>
      <c r="AG900" s="438" t="str">
        <f>IF(INDEX(D:AE,AF900,ADP!$AF$6)=0,"",INDEX(D:AE,AF900,ADP!$AF$6)+AH900)</f>
        <v/>
      </c>
      <c r="AH900">
        <f t="shared" si="13"/>
        <v>8.9900000000001535E-4</v>
      </c>
    </row>
    <row r="901" spans="1:34" ht="15.75" thickBot="1" x14ac:dyDescent="0.3">
      <c r="A901" s="569"/>
      <c r="B901" s="569"/>
      <c r="C901" s="569"/>
      <c r="D901" s="569"/>
      <c r="E901" s="569"/>
      <c r="F901" s="569"/>
      <c r="G901" s="569"/>
      <c r="H901" s="569"/>
      <c r="I901" s="569"/>
      <c r="J901" s="569"/>
      <c r="K901" s="569"/>
      <c r="L901" s="569"/>
      <c r="M901" s="569"/>
      <c r="N901" s="569"/>
      <c r="O901" s="569"/>
      <c r="P901" s="569"/>
      <c r="Q901" s="569"/>
      <c r="R901" s="569"/>
      <c r="S901" s="569"/>
      <c r="T901" s="569"/>
      <c r="U901" s="569"/>
      <c r="V901" s="569"/>
      <c r="W901" s="569"/>
      <c r="X901" s="569"/>
      <c r="Y901" s="569"/>
      <c r="Z901" s="569"/>
      <c r="AA901" s="569"/>
      <c r="AB901" s="569"/>
      <c r="AC901" s="569"/>
      <c r="AD901" s="569"/>
      <c r="AE901" s="569"/>
      <c r="AF901">
        <v>901</v>
      </c>
      <c r="AG901" s="438" t="str">
        <f>IF(INDEX(D:AE,AF901,ADP!$AF$6)=0,"",INDEX(D:AE,AF901,ADP!$AF$6)+AH901)</f>
        <v/>
      </c>
      <c r="AH901">
        <f t="shared" si="13"/>
        <v>9.0000000000001537E-4</v>
      </c>
    </row>
    <row r="902" spans="1:34" ht="15.75" thickBot="1" x14ac:dyDescent="0.3">
      <c r="A902" s="569"/>
      <c r="B902" s="569"/>
      <c r="C902" s="569"/>
      <c r="D902" s="569"/>
      <c r="E902" s="569"/>
      <c r="F902" s="569"/>
      <c r="G902" s="569"/>
      <c r="H902" s="569"/>
      <c r="I902" s="569"/>
      <c r="J902" s="569"/>
      <c r="K902" s="569"/>
      <c r="L902" s="569"/>
      <c r="M902" s="569"/>
      <c r="N902" s="569"/>
      <c r="O902" s="569"/>
      <c r="P902" s="569"/>
      <c r="Q902" s="569"/>
      <c r="R902" s="569"/>
      <c r="S902" s="569"/>
      <c r="T902" s="569"/>
      <c r="U902" s="569"/>
      <c r="V902" s="569"/>
      <c r="W902" s="569"/>
      <c r="X902" s="569"/>
      <c r="Y902" s="569"/>
      <c r="Z902" s="569"/>
      <c r="AA902" s="569"/>
      <c r="AB902" s="569"/>
      <c r="AC902" s="569"/>
      <c r="AD902" s="569"/>
      <c r="AE902" s="569"/>
      <c r="AF902">
        <v>902</v>
      </c>
      <c r="AG902" s="438" t="str">
        <f>IF(INDEX(D:AE,AF902,ADP!$AF$6)=0,"",INDEX(D:AE,AF902,ADP!$AF$6)+AH902)</f>
        <v/>
      </c>
      <c r="AH902">
        <f t="shared" ref="AH902:AH940" si="14">AH901+0.000001</f>
        <v>9.010000000000154E-4</v>
      </c>
    </row>
    <row r="903" spans="1:34" ht="15.75" thickBot="1" x14ac:dyDescent="0.3">
      <c r="A903" s="569"/>
      <c r="B903" s="569"/>
      <c r="C903" s="569"/>
      <c r="D903" s="569"/>
      <c r="E903" s="569"/>
      <c r="F903" s="569"/>
      <c r="G903" s="569"/>
      <c r="H903" s="569"/>
      <c r="I903" s="569"/>
      <c r="J903" s="569"/>
      <c r="K903" s="569"/>
      <c r="L903" s="569"/>
      <c r="M903" s="569"/>
      <c r="N903" s="569"/>
      <c r="O903" s="569"/>
      <c r="P903" s="569"/>
      <c r="Q903" s="569"/>
      <c r="R903" s="569"/>
      <c r="S903" s="569"/>
      <c r="T903" s="569"/>
      <c r="U903" s="569"/>
      <c r="V903" s="569"/>
      <c r="W903" s="569"/>
      <c r="X903" s="569"/>
      <c r="Y903" s="569"/>
      <c r="Z903" s="569"/>
      <c r="AA903" s="569"/>
      <c r="AB903" s="569"/>
      <c r="AC903" s="569"/>
      <c r="AD903" s="569"/>
      <c r="AE903" s="569"/>
      <c r="AF903">
        <v>903</v>
      </c>
      <c r="AG903" s="438" t="str">
        <f>IF(INDEX(D:AE,AF903,ADP!$AF$6)=0,"",INDEX(D:AE,AF903,ADP!$AF$6)+AH903)</f>
        <v/>
      </c>
      <c r="AH903">
        <f t="shared" si="14"/>
        <v>9.0200000000001542E-4</v>
      </c>
    </row>
    <row r="904" spans="1:34" ht="15.75" thickBot="1" x14ac:dyDescent="0.3">
      <c r="A904" s="569"/>
      <c r="B904" s="569"/>
      <c r="C904" s="569"/>
      <c r="D904" s="569"/>
      <c r="E904" s="569"/>
      <c r="F904" s="569"/>
      <c r="G904" s="569"/>
      <c r="H904" s="569"/>
      <c r="I904" s="569"/>
      <c r="J904" s="569"/>
      <c r="K904" s="569"/>
      <c r="L904" s="569"/>
      <c r="M904" s="569"/>
      <c r="N904" s="569"/>
      <c r="O904" s="569"/>
      <c r="P904" s="569"/>
      <c r="Q904" s="569"/>
      <c r="R904" s="569"/>
      <c r="S904" s="569"/>
      <c r="T904" s="569"/>
      <c r="U904" s="569"/>
      <c r="V904" s="569"/>
      <c r="W904" s="569"/>
      <c r="X904" s="569"/>
      <c r="Y904" s="569"/>
      <c r="Z904" s="569"/>
      <c r="AA904" s="569"/>
      <c r="AB904" s="569"/>
      <c r="AC904" s="569"/>
      <c r="AD904" s="569"/>
      <c r="AE904" s="569"/>
      <c r="AF904">
        <v>904</v>
      </c>
      <c r="AG904" s="438" t="str">
        <f>IF(INDEX(D:AE,AF904,ADP!$AF$6)=0,"",INDEX(D:AE,AF904,ADP!$AF$6)+AH904)</f>
        <v/>
      </c>
      <c r="AH904">
        <f t="shared" si="14"/>
        <v>9.0300000000001544E-4</v>
      </c>
    </row>
    <row r="905" spans="1:34" ht="15.75" thickBot="1" x14ac:dyDescent="0.3">
      <c r="A905" s="569"/>
      <c r="B905" s="569"/>
      <c r="C905" s="569"/>
      <c r="D905" s="569"/>
      <c r="E905" s="569"/>
      <c r="F905" s="569"/>
      <c r="G905" s="569"/>
      <c r="H905" s="569"/>
      <c r="I905" s="569"/>
      <c r="J905" s="569"/>
      <c r="K905" s="569"/>
      <c r="L905" s="569"/>
      <c r="M905" s="569"/>
      <c r="N905" s="569"/>
      <c r="O905" s="569"/>
      <c r="P905" s="569"/>
      <c r="Q905" s="569"/>
      <c r="R905" s="569"/>
      <c r="S905" s="569"/>
      <c r="T905" s="569"/>
      <c r="U905" s="569"/>
      <c r="V905" s="569"/>
      <c r="W905" s="569"/>
      <c r="X905" s="569"/>
      <c r="Y905" s="569"/>
      <c r="Z905" s="569"/>
      <c r="AA905" s="569"/>
      <c r="AB905" s="569"/>
      <c r="AC905" s="569"/>
      <c r="AD905" s="569"/>
      <c r="AE905" s="569"/>
      <c r="AF905">
        <v>905</v>
      </c>
      <c r="AG905" s="438" t="str">
        <f>IF(INDEX(D:AE,AF905,ADP!$AF$6)=0,"",INDEX(D:AE,AF905,ADP!$AF$6)+AH905)</f>
        <v/>
      </c>
      <c r="AH905">
        <f t="shared" si="14"/>
        <v>9.0400000000001547E-4</v>
      </c>
    </row>
    <row r="906" spans="1:34" ht="15.75" thickBot="1" x14ac:dyDescent="0.3">
      <c r="A906" s="569"/>
      <c r="B906" s="569"/>
      <c r="C906" s="569"/>
      <c r="D906" s="569"/>
      <c r="E906" s="569"/>
      <c r="F906" s="569"/>
      <c r="G906" s="569"/>
      <c r="H906" s="569"/>
      <c r="I906" s="569"/>
      <c r="J906" s="569"/>
      <c r="K906" s="569"/>
      <c r="L906" s="569"/>
      <c r="M906" s="569"/>
      <c r="N906" s="569"/>
      <c r="O906" s="569"/>
      <c r="P906" s="569"/>
      <c r="Q906" s="569"/>
      <c r="R906" s="569"/>
      <c r="S906" s="569"/>
      <c r="T906" s="569"/>
      <c r="U906" s="569"/>
      <c r="V906" s="569"/>
      <c r="W906" s="569"/>
      <c r="X906" s="569"/>
      <c r="Y906" s="569"/>
      <c r="Z906" s="569"/>
      <c r="AA906" s="569"/>
      <c r="AB906" s="569"/>
      <c r="AC906" s="569"/>
      <c r="AD906" s="569"/>
      <c r="AE906" s="569"/>
      <c r="AF906">
        <v>906</v>
      </c>
      <c r="AG906" s="438" t="str">
        <f>IF(INDEX(D:AE,AF906,ADP!$AF$6)=0,"",INDEX(D:AE,AF906,ADP!$AF$6)+AH906)</f>
        <v/>
      </c>
      <c r="AH906">
        <f t="shared" si="14"/>
        <v>9.0500000000001549E-4</v>
      </c>
    </row>
    <row r="907" spans="1:34" ht="15.75" thickBot="1" x14ac:dyDescent="0.3">
      <c r="A907" s="569"/>
      <c r="B907" s="569"/>
      <c r="C907" s="569"/>
      <c r="D907" s="569"/>
      <c r="E907" s="569"/>
      <c r="F907" s="569"/>
      <c r="G907" s="569"/>
      <c r="H907" s="569"/>
      <c r="I907" s="569"/>
      <c r="J907" s="569"/>
      <c r="K907" s="569"/>
      <c r="L907" s="569"/>
      <c r="M907" s="569"/>
      <c r="N907" s="569"/>
      <c r="O907" s="569"/>
      <c r="P907" s="569"/>
      <c r="Q907" s="569"/>
      <c r="R907" s="569"/>
      <c r="S907" s="569"/>
      <c r="T907" s="569"/>
      <c r="U907" s="569"/>
      <c r="V907" s="569"/>
      <c r="W907" s="569"/>
      <c r="X907" s="569"/>
      <c r="Y907" s="569"/>
      <c r="Z907" s="569"/>
      <c r="AA907" s="569"/>
      <c r="AB907" s="569"/>
      <c r="AC907" s="569"/>
      <c r="AD907" s="569"/>
      <c r="AE907" s="569"/>
      <c r="AF907">
        <v>907</v>
      </c>
      <c r="AG907" s="438" t="str">
        <f>IF(INDEX(D:AE,AF907,ADP!$AF$6)=0,"",INDEX(D:AE,AF907,ADP!$AF$6)+AH907)</f>
        <v/>
      </c>
      <c r="AH907">
        <f t="shared" si="14"/>
        <v>9.0600000000001552E-4</v>
      </c>
    </row>
    <row r="908" spans="1:34" ht="15.75" thickBot="1" x14ac:dyDescent="0.3">
      <c r="A908" s="569"/>
      <c r="B908" s="569"/>
      <c r="C908" s="569"/>
      <c r="D908" s="569"/>
      <c r="E908" s="569"/>
      <c r="F908" s="569"/>
      <c r="G908" s="569"/>
      <c r="H908" s="569"/>
      <c r="I908" s="569"/>
      <c r="J908" s="569"/>
      <c r="K908" s="569"/>
      <c r="L908" s="569"/>
      <c r="M908" s="569"/>
      <c r="N908" s="569"/>
      <c r="O908" s="569"/>
      <c r="P908" s="569"/>
      <c r="Q908" s="569"/>
      <c r="R908" s="569"/>
      <c r="S908" s="569"/>
      <c r="T908" s="569"/>
      <c r="U908" s="569"/>
      <c r="V908" s="569"/>
      <c r="W908" s="569"/>
      <c r="X908" s="569"/>
      <c r="Y908" s="569"/>
      <c r="Z908" s="569"/>
      <c r="AA908" s="569"/>
      <c r="AB908" s="569"/>
      <c r="AC908" s="569"/>
      <c r="AD908" s="569"/>
      <c r="AE908" s="569"/>
      <c r="AF908">
        <v>908</v>
      </c>
      <c r="AG908" s="438" t="str">
        <f>IF(INDEX(D:AE,AF908,ADP!$AF$6)=0,"",INDEX(D:AE,AF908,ADP!$AF$6)+AH908)</f>
        <v/>
      </c>
      <c r="AH908">
        <f t="shared" si="14"/>
        <v>9.0700000000001554E-4</v>
      </c>
    </row>
    <row r="909" spans="1:34" ht="15.75" thickBot="1" x14ac:dyDescent="0.3">
      <c r="A909" s="569"/>
      <c r="B909" s="569"/>
      <c r="C909" s="569"/>
      <c r="D909" s="569"/>
      <c r="E909" s="569"/>
      <c r="F909" s="569"/>
      <c r="G909" s="569"/>
      <c r="H909" s="569"/>
      <c r="I909" s="569"/>
      <c r="J909" s="569"/>
      <c r="K909" s="569"/>
      <c r="L909" s="569"/>
      <c r="M909" s="569"/>
      <c r="N909" s="569"/>
      <c r="O909" s="569"/>
      <c r="P909" s="569"/>
      <c r="Q909" s="569"/>
      <c r="R909" s="569"/>
      <c r="S909" s="569"/>
      <c r="T909" s="569"/>
      <c r="U909" s="569"/>
      <c r="V909" s="569"/>
      <c r="W909" s="569"/>
      <c r="X909" s="569"/>
      <c r="Y909" s="569"/>
      <c r="Z909" s="569"/>
      <c r="AA909" s="569"/>
      <c r="AB909" s="569"/>
      <c r="AC909" s="569"/>
      <c r="AD909" s="569"/>
      <c r="AE909" s="569"/>
      <c r="AF909">
        <v>909</v>
      </c>
      <c r="AG909" s="438" t="str">
        <f>IF(INDEX(D:AE,AF909,ADP!$AF$6)=0,"",INDEX(D:AE,AF909,ADP!$AF$6)+AH909)</f>
        <v/>
      </c>
      <c r="AH909">
        <f t="shared" si="14"/>
        <v>9.0800000000001557E-4</v>
      </c>
    </row>
    <row r="910" spans="1:34" ht="15.75" thickBot="1" x14ac:dyDescent="0.3">
      <c r="A910" s="569"/>
      <c r="B910" s="569"/>
      <c r="C910" s="569"/>
      <c r="D910" s="569"/>
      <c r="E910" s="569"/>
      <c r="F910" s="569"/>
      <c r="G910" s="569"/>
      <c r="H910" s="569"/>
      <c r="I910" s="569"/>
      <c r="J910" s="569"/>
      <c r="K910" s="569"/>
      <c r="L910" s="569"/>
      <c r="M910" s="569"/>
      <c r="N910" s="569"/>
      <c r="O910" s="569"/>
      <c r="P910" s="569"/>
      <c r="Q910" s="569"/>
      <c r="R910" s="569"/>
      <c r="S910" s="569"/>
      <c r="T910" s="569"/>
      <c r="U910" s="569"/>
      <c r="V910" s="569"/>
      <c r="W910" s="569"/>
      <c r="X910" s="569"/>
      <c r="Y910" s="569"/>
      <c r="Z910" s="569"/>
      <c r="AA910" s="569"/>
      <c r="AB910" s="569"/>
      <c r="AC910" s="569"/>
      <c r="AD910" s="569"/>
      <c r="AE910" s="569"/>
      <c r="AF910">
        <v>910</v>
      </c>
      <c r="AG910" s="438" t="str">
        <f>IF(INDEX(D:AE,AF910,ADP!$AF$6)=0,"",INDEX(D:AE,AF910,ADP!$AF$6)+AH910)</f>
        <v/>
      </c>
      <c r="AH910">
        <f t="shared" si="14"/>
        <v>9.0900000000001559E-4</v>
      </c>
    </row>
    <row r="911" spans="1:34" ht="15.75" thickBot="1" x14ac:dyDescent="0.3">
      <c r="A911" s="569"/>
      <c r="B911" s="569"/>
      <c r="C911" s="569"/>
      <c r="D911" s="569"/>
      <c r="E911" s="569"/>
      <c r="F911" s="569"/>
      <c r="G911" s="569"/>
      <c r="H911" s="569"/>
      <c r="I911" s="569"/>
      <c r="J911" s="569"/>
      <c r="K911" s="569"/>
      <c r="L911" s="569"/>
      <c r="M911" s="569"/>
      <c r="N911" s="569"/>
      <c r="O911" s="569"/>
      <c r="P911" s="569"/>
      <c r="Q911" s="569"/>
      <c r="R911" s="569"/>
      <c r="S911" s="569"/>
      <c r="T911" s="569"/>
      <c r="U911" s="569"/>
      <c r="V911" s="569"/>
      <c r="W911" s="569"/>
      <c r="X911" s="569"/>
      <c r="Y911" s="569"/>
      <c r="Z911" s="569"/>
      <c r="AA911" s="569"/>
      <c r="AB911" s="569"/>
      <c r="AC911" s="569"/>
      <c r="AD911" s="569"/>
      <c r="AE911" s="569"/>
      <c r="AF911">
        <v>911</v>
      </c>
      <c r="AG911" s="438" t="str">
        <f>IF(INDEX(D:AE,AF911,ADP!$AF$6)=0,"",INDEX(D:AE,AF911,ADP!$AF$6)+AH911)</f>
        <v/>
      </c>
      <c r="AH911">
        <f t="shared" si="14"/>
        <v>9.1000000000001561E-4</v>
      </c>
    </row>
    <row r="912" spans="1:34" ht="15.75" thickBot="1" x14ac:dyDescent="0.3">
      <c r="A912" s="569"/>
      <c r="B912" s="569"/>
      <c r="C912" s="569"/>
      <c r="D912" s="569"/>
      <c r="E912" s="569"/>
      <c r="F912" s="569"/>
      <c r="G912" s="569"/>
      <c r="H912" s="569"/>
      <c r="I912" s="569"/>
      <c r="J912" s="569"/>
      <c r="K912" s="569"/>
      <c r="L912" s="569"/>
      <c r="M912" s="569"/>
      <c r="N912" s="569"/>
      <c r="O912" s="569"/>
      <c r="P912" s="569"/>
      <c r="Q912" s="569"/>
      <c r="R912" s="569"/>
      <c r="S912" s="569"/>
      <c r="T912" s="569"/>
      <c r="U912" s="569"/>
      <c r="V912" s="569"/>
      <c r="W912" s="569"/>
      <c r="X912" s="569"/>
      <c r="Y912" s="569"/>
      <c r="Z912" s="569"/>
      <c r="AA912" s="569"/>
      <c r="AB912" s="569"/>
      <c r="AC912" s="569"/>
      <c r="AD912" s="569"/>
      <c r="AE912" s="569"/>
      <c r="AF912">
        <v>912</v>
      </c>
      <c r="AG912" s="438" t="str">
        <f>IF(INDEX(D:AE,AF912,ADP!$AF$6)=0,"",INDEX(D:AE,AF912,ADP!$AF$6)+AH912)</f>
        <v/>
      </c>
      <c r="AH912">
        <f t="shared" si="14"/>
        <v>9.1100000000001564E-4</v>
      </c>
    </row>
    <row r="913" spans="1:34" ht="15.75" thickBot="1" x14ac:dyDescent="0.3">
      <c r="A913" s="569"/>
      <c r="B913" s="569"/>
      <c r="C913" s="569"/>
      <c r="D913" s="569"/>
      <c r="E913" s="569"/>
      <c r="F913" s="569"/>
      <c r="G913" s="569"/>
      <c r="H913" s="569"/>
      <c r="I913" s="569"/>
      <c r="J913" s="569"/>
      <c r="K913" s="569"/>
      <c r="L913" s="569"/>
      <c r="M913" s="569"/>
      <c r="N913" s="569"/>
      <c r="O913" s="569"/>
      <c r="P913" s="569"/>
      <c r="Q913" s="569"/>
      <c r="R913" s="569"/>
      <c r="S913" s="569"/>
      <c r="T913" s="569"/>
      <c r="U913" s="569"/>
      <c r="V913" s="569"/>
      <c r="W913" s="569"/>
      <c r="X913" s="569"/>
      <c r="Y913" s="569"/>
      <c r="Z913" s="569"/>
      <c r="AA913" s="569"/>
      <c r="AB913" s="569"/>
      <c r="AC913" s="569"/>
      <c r="AD913" s="569"/>
      <c r="AE913" s="569"/>
      <c r="AF913">
        <v>913</v>
      </c>
      <c r="AG913" s="438" t="str">
        <f>IF(INDEX(D:AE,AF913,ADP!$AF$6)=0,"",INDEX(D:AE,AF913,ADP!$AF$6)+AH913)</f>
        <v/>
      </c>
      <c r="AH913">
        <f t="shared" si="14"/>
        <v>9.1200000000001566E-4</v>
      </c>
    </row>
    <row r="914" spans="1:34" ht="15.75" thickBot="1" x14ac:dyDescent="0.3">
      <c r="A914" s="569"/>
      <c r="B914" s="569"/>
      <c r="C914" s="569"/>
      <c r="D914" s="569"/>
      <c r="E914" s="569"/>
      <c r="F914" s="569"/>
      <c r="G914" s="569"/>
      <c r="H914" s="569"/>
      <c r="I914" s="569"/>
      <c r="J914" s="569"/>
      <c r="K914" s="569"/>
      <c r="L914" s="569"/>
      <c r="M914" s="569"/>
      <c r="N914" s="569"/>
      <c r="O914" s="569"/>
      <c r="P914" s="569"/>
      <c r="Q914" s="569"/>
      <c r="R914" s="569"/>
      <c r="S914" s="569"/>
      <c r="T914" s="569"/>
      <c r="U914" s="569"/>
      <c r="V914" s="569"/>
      <c r="W914" s="569"/>
      <c r="X914" s="569"/>
      <c r="Y914" s="569"/>
      <c r="Z914" s="569"/>
      <c r="AA914" s="569"/>
      <c r="AB914" s="569"/>
      <c r="AC914" s="569"/>
      <c r="AD914" s="569"/>
      <c r="AE914" s="569"/>
      <c r="AF914">
        <v>914</v>
      </c>
      <c r="AG914" s="438" t="str">
        <f>IF(INDEX(D:AE,AF914,ADP!$AF$6)=0,"",INDEX(D:AE,AF914,ADP!$AF$6)+AH914)</f>
        <v/>
      </c>
      <c r="AH914">
        <f t="shared" si="14"/>
        <v>9.1300000000001569E-4</v>
      </c>
    </row>
    <row r="915" spans="1:34" ht="15.75" thickBot="1" x14ac:dyDescent="0.3">
      <c r="A915" s="569"/>
      <c r="B915" s="569"/>
      <c r="C915" s="569"/>
      <c r="D915" s="569"/>
      <c r="E915" s="569"/>
      <c r="F915" s="569"/>
      <c r="G915" s="569"/>
      <c r="H915" s="569"/>
      <c r="I915" s="569"/>
      <c r="J915" s="569"/>
      <c r="K915" s="569"/>
      <c r="L915" s="569"/>
      <c r="M915" s="569"/>
      <c r="N915" s="569"/>
      <c r="O915" s="569"/>
      <c r="P915" s="569"/>
      <c r="Q915" s="569"/>
      <c r="R915" s="569"/>
      <c r="S915" s="569"/>
      <c r="T915" s="569"/>
      <c r="U915" s="569"/>
      <c r="V915" s="569"/>
      <c r="W915" s="569"/>
      <c r="X915" s="569"/>
      <c r="Y915" s="569"/>
      <c r="Z915" s="569"/>
      <c r="AA915" s="569"/>
      <c r="AB915" s="569"/>
      <c r="AC915" s="569"/>
      <c r="AD915" s="569"/>
      <c r="AE915" s="569"/>
      <c r="AF915">
        <v>915</v>
      </c>
      <c r="AG915" s="438" t="str">
        <f>IF(INDEX(D:AE,AF915,ADP!$AF$6)=0,"",INDEX(D:AE,AF915,ADP!$AF$6)+AH915)</f>
        <v/>
      </c>
      <c r="AH915">
        <f t="shared" si="14"/>
        <v>9.1400000000001571E-4</v>
      </c>
    </row>
    <row r="916" spans="1:34" ht="15.75" thickBot="1" x14ac:dyDescent="0.3">
      <c r="A916" s="569"/>
      <c r="B916" s="569"/>
      <c r="C916" s="569"/>
      <c r="D916" s="569"/>
      <c r="E916" s="569"/>
      <c r="F916" s="569"/>
      <c r="G916" s="569"/>
      <c r="H916" s="569"/>
      <c r="I916" s="569"/>
      <c r="J916" s="569"/>
      <c r="K916" s="569"/>
      <c r="L916" s="569"/>
      <c r="M916" s="569"/>
      <c r="N916" s="569"/>
      <c r="O916" s="569"/>
      <c r="P916" s="569"/>
      <c r="Q916" s="569"/>
      <c r="R916" s="569"/>
      <c r="S916" s="569"/>
      <c r="T916" s="569"/>
      <c r="U916" s="569"/>
      <c r="V916" s="569"/>
      <c r="W916" s="569"/>
      <c r="X916" s="569"/>
      <c r="Y916" s="569"/>
      <c r="Z916" s="569"/>
      <c r="AA916" s="569"/>
      <c r="AB916" s="569"/>
      <c r="AC916" s="569"/>
      <c r="AD916" s="569"/>
      <c r="AE916" s="569"/>
      <c r="AF916">
        <v>916</v>
      </c>
      <c r="AG916" s="438" t="str">
        <f>IF(INDEX(D:AE,AF916,ADP!$AF$6)=0,"",INDEX(D:AE,AF916,ADP!$AF$6)+AH916)</f>
        <v/>
      </c>
      <c r="AH916">
        <f t="shared" si="14"/>
        <v>9.1500000000001574E-4</v>
      </c>
    </row>
    <row r="917" spans="1:34" ht="15.75" thickBot="1" x14ac:dyDescent="0.3">
      <c r="A917" s="569"/>
      <c r="B917" s="569"/>
      <c r="C917" s="569"/>
      <c r="D917" s="569"/>
      <c r="E917" s="569"/>
      <c r="F917" s="569"/>
      <c r="G917" s="569"/>
      <c r="H917" s="569"/>
      <c r="I917" s="569"/>
      <c r="J917" s="569"/>
      <c r="K917" s="569"/>
      <c r="L917" s="569"/>
      <c r="M917" s="569"/>
      <c r="N917" s="569"/>
      <c r="O917" s="569"/>
      <c r="P917" s="569"/>
      <c r="Q917" s="569"/>
      <c r="R917" s="569"/>
      <c r="S917" s="569"/>
      <c r="T917" s="569"/>
      <c r="U917" s="569"/>
      <c r="V917" s="569"/>
      <c r="W917" s="569"/>
      <c r="X917" s="569"/>
      <c r="Y917" s="569"/>
      <c r="Z917" s="569"/>
      <c r="AA917" s="569"/>
      <c r="AB917" s="569"/>
      <c r="AC917" s="569"/>
      <c r="AD917" s="569"/>
      <c r="AE917" s="569"/>
      <c r="AF917">
        <v>917</v>
      </c>
      <c r="AG917" s="438" t="str">
        <f>IF(INDEX(D:AE,AF917,ADP!$AF$6)=0,"",INDEX(D:AE,AF917,ADP!$AF$6)+AH917)</f>
        <v/>
      </c>
      <c r="AH917">
        <f t="shared" si="14"/>
        <v>9.1600000000001576E-4</v>
      </c>
    </row>
    <row r="918" spans="1:34" ht="15.75" thickBot="1" x14ac:dyDescent="0.3">
      <c r="A918" s="569"/>
      <c r="B918" s="569"/>
      <c r="C918" s="569"/>
      <c r="D918" s="569"/>
      <c r="E918" s="569"/>
      <c r="F918" s="569"/>
      <c r="G918" s="569"/>
      <c r="H918" s="569"/>
      <c r="I918" s="569"/>
      <c r="J918" s="569"/>
      <c r="K918" s="569"/>
      <c r="L918" s="569"/>
      <c r="M918" s="569"/>
      <c r="N918" s="569"/>
      <c r="O918" s="569"/>
      <c r="P918" s="569"/>
      <c r="Q918" s="569"/>
      <c r="R918" s="569"/>
      <c r="S918" s="569"/>
      <c r="T918" s="569"/>
      <c r="U918" s="569"/>
      <c r="V918" s="569"/>
      <c r="W918" s="569"/>
      <c r="X918" s="569"/>
      <c r="Y918" s="569"/>
      <c r="Z918" s="569"/>
      <c r="AA918" s="569"/>
      <c r="AB918" s="569"/>
      <c r="AC918" s="569"/>
      <c r="AD918" s="569"/>
      <c r="AE918" s="569"/>
      <c r="AF918">
        <v>918</v>
      </c>
      <c r="AG918" s="438" t="str">
        <f>IF(INDEX(D:AE,AF918,ADP!$AF$6)=0,"",INDEX(D:AE,AF918,ADP!$AF$6)+AH918)</f>
        <v/>
      </c>
      <c r="AH918">
        <f t="shared" si="14"/>
        <v>9.1700000000001578E-4</v>
      </c>
    </row>
    <row r="919" spans="1:34" ht="15.75" thickBot="1" x14ac:dyDescent="0.3">
      <c r="A919" s="569"/>
      <c r="B919" s="569"/>
      <c r="C919" s="569"/>
      <c r="D919" s="569"/>
      <c r="E919" s="569"/>
      <c r="F919" s="569"/>
      <c r="G919" s="569"/>
      <c r="H919" s="569"/>
      <c r="I919" s="569"/>
      <c r="J919" s="569"/>
      <c r="K919" s="569"/>
      <c r="L919" s="569"/>
      <c r="M919" s="569"/>
      <c r="N919" s="569"/>
      <c r="O919" s="569"/>
      <c r="P919" s="569"/>
      <c r="Q919" s="569"/>
      <c r="R919" s="569"/>
      <c r="S919" s="569"/>
      <c r="T919" s="569"/>
      <c r="U919" s="569"/>
      <c r="V919" s="569"/>
      <c r="W919" s="569"/>
      <c r="X919" s="569"/>
      <c r="Y919" s="569"/>
      <c r="Z919" s="569"/>
      <c r="AA919" s="569"/>
      <c r="AB919" s="569"/>
      <c r="AC919" s="569"/>
      <c r="AD919" s="569"/>
      <c r="AE919" s="569"/>
      <c r="AF919">
        <v>919</v>
      </c>
      <c r="AG919" s="438" t="str">
        <f>IF(INDEX(D:AE,AF919,ADP!$AF$6)=0,"",INDEX(D:AE,AF919,ADP!$AF$6)+AH919)</f>
        <v/>
      </c>
      <c r="AH919">
        <f t="shared" si="14"/>
        <v>9.1800000000001581E-4</v>
      </c>
    </row>
    <row r="920" spans="1:34" ht="15.75" thickBot="1" x14ac:dyDescent="0.3">
      <c r="A920" s="569"/>
      <c r="B920" s="569"/>
      <c r="C920" s="569"/>
      <c r="D920" s="569"/>
      <c r="E920" s="569"/>
      <c r="F920" s="569"/>
      <c r="G920" s="569"/>
      <c r="H920" s="569"/>
      <c r="I920" s="569"/>
      <c r="J920" s="569"/>
      <c r="K920" s="569"/>
      <c r="L920" s="569"/>
      <c r="M920" s="569"/>
      <c r="N920" s="569"/>
      <c r="O920" s="569"/>
      <c r="P920" s="569"/>
      <c r="Q920" s="569"/>
      <c r="R920" s="569"/>
      <c r="S920" s="569"/>
      <c r="T920" s="569"/>
      <c r="U920" s="569"/>
      <c r="V920" s="569"/>
      <c r="W920" s="569"/>
      <c r="X920" s="569"/>
      <c r="Y920" s="569"/>
      <c r="Z920" s="569"/>
      <c r="AA920" s="569"/>
      <c r="AB920" s="569"/>
      <c r="AC920" s="569"/>
      <c r="AD920" s="569"/>
      <c r="AE920" s="569"/>
      <c r="AF920">
        <v>920</v>
      </c>
      <c r="AG920" s="438" t="str">
        <f>IF(INDEX(D:AE,AF920,ADP!$AF$6)=0,"",INDEX(D:AE,AF920,ADP!$AF$6)+AH920)</f>
        <v/>
      </c>
      <c r="AH920">
        <f t="shared" si="14"/>
        <v>9.1900000000001583E-4</v>
      </c>
    </row>
    <row r="921" spans="1:34" ht="15.75" thickBot="1" x14ac:dyDescent="0.3">
      <c r="A921" s="569"/>
      <c r="B921" s="569"/>
      <c r="C921" s="569"/>
      <c r="D921" s="569"/>
      <c r="E921" s="569"/>
      <c r="F921" s="569"/>
      <c r="G921" s="569"/>
      <c r="H921" s="569"/>
      <c r="I921" s="569"/>
      <c r="J921" s="569"/>
      <c r="K921" s="569"/>
      <c r="L921" s="569"/>
      <c r="M921" s="569"/>
      <c r="N921" s="569"/>
      <c r="O921" s="569"/>
      <c r="P921" s="569"/>
      <c r="Q921" s="569"/>
      <c r="R921" s="569"/>
      <c r="S921" s="569"/>
      <c r="T921" s="569"/>
      <c r="U921" s="569"/>
      <c r="V921" s="569"/>
      <c r="W921" s="569"/>
      <c r="X921" s="569"/>
      <c r="Y921" s="569"/>
      <c r="Z921" s="569"/>
      <c r="AA921" s="569"/>
      <c r="AB921" s="569"/>
      <c r="AC921" s="569"/>
      <c r="AD921" s="569"/>
      <c r="AE921" s="569"/>
      <c r="AF921">
        <v>921</v>
      </c>
      <c r="AG921" s="438" t="str">
        <f>IF(INDEX(D:AE,AF921,ADP!$AF$6)=0,"",INDEX(D:AE,AF921,ADP!$AF$6)+AH921)</f>
        <v/>
      </c>
      <c r="AH921">
        <f t="shared" si="14"/>
        <v>9.2000000000001586E-4</v>
      </c>
    </row>
    <row r="922" spans="1:34" ht="15.75" thickBot="1" x14ac:dyDescent="0.3">
      <c r="A922" s="569"/>
      <c r="B922" s="569"/>
      <c r="C922" s="569"/>
      <c r="D922" s="569"/>
      <c r="E922" s="569"/>
      <c r="F922" s="569"/>
      <c r="G922" s="569"/>
      <c r="H922" s="569"/>
      <c r="I922" s="569"/>
      <c r="J922" s="569"/>
      <c r="K922" s="569"/>
      <c r="L922" s="569"/>
      <c r="M922" s="569"/>
      <c r="N922" s="569"/>
      <c r="O922" s="569"/>
      <c r="P922" s="569"/>
      <c r="Q922" s="569"/>
      <c r="R922" s="569"/>
      <c r="S922" s="569"/>
      <c r="T922" s="569"/>
      <c r="U922" s="569"/>
      <c r="V922" s="569"/>
      <c r="W922" s="569"/>
      <c r="X922" s="569"/>
      <c r="Y922" s="569"/>
      <c r="Z922" s="569"/>
      <c r="AA922" s="569"/>
      <c r="AB922" s="569"/>
      <c r="AC922" s="569"/>
      <c r="AD922" s="569"/>
      <c r="AE922" s="569"/>
      <c r="AF922">
        <v>922</v>
      </c>
      <c r="AG922" s="438" t="str">
        <f>IF(INDEX(D:AE,AF922,ADP!$AF$6)=0,"",INDEX(D:AE,AF922,ADP!$AF$6)+AH922)</f>
        <v/>
      </c>
      <c r="AH922">
        <f t="shared" si="14"/>
        <v>9.2100000000001588E-4</v>
      </c>
    </row>
    <row r="923" spans="1:34" ht="15.75" thickBot="1" x14ac:dyDescent="0.3">
      <c r="A923" s="569"/>
      <c r="B923" s="569"/>
      <c r="C923" s="569"/>
      <c r="D923" s="569"/>
      <c r="E923" s="569"/>
      <c r="F923" s="569"/>
      <c r="G923" s="569"/>
      <c r="H923" s="569"/>
      <c r="I923" s="569"/>
      <c r="J923" s="569"/>
      <c r="K923" s="569"/>
      <c r="L923" s="569"/>
      <c r="M923" s="569"/>
      <c r="N923" s="569"/>
      <c r="O923" s="569"/>
      <c r="P923" s="569"/>
      <c r="Q923" s="569"/>
      <c r="R923" s="569"/>
      <c r="S923" s="569"/>
      <c r="T923" s="569"/>
      <c r="U923" s="569"/>
      <c r="V923" s="569"/>
      <c r="W923" s="569"/>
      <c r="X923" s="569"/>
      <c r="Y923" s="569"/>
      <c r="Z923" s="569"/>
      <c r="AA923" s="569"/>
      <c r="AB923" s="569"/>
      <c r="AC923" s="569"/>
      <c r="AD923" s="569"/>
      <c r="AE923" s="569"/>
      <c r="AF923">
        <v>923</v>
      </c>
      <c r="AG923" s="438" t="str">
        <f>IF(INDEX(D:AE,AF923,ADP!$AF$6)=0,"",INDEX(D:AE,AF923,ADP!$AF$6)+AH923)</f>
        <v/>
      </c>
      <c r="AH923">
        <f t="shared" si="14"/>
        <v>9.2200000000001591E-4</v>
      </c>
    </row>
    <row r="924" spans="1:34" ht="15.75" thickBot="1" x14ac:dyDescent="0.3">
      <c r="A924" s="569"/>
      <c r="B924" s="569"/>
      <c r="C924" s="569"/>
      <c r="D924" s="569"/>
      <c r="E924" s="569"/>
      <c r="F924" s="569"/>
      <c r="G924" s="569"/>
      <c r="H924" s="569"/>
      <c r="I924" s="569"/>
      <c r="J924" s="569"/>
      <c r="K924" s="569"/>
      <c r="L924" s="569"/>
      <c r="M924" s="569"/>
      <c r="N924" s="569"/>
      <c r="O924" s="569"/>
      <c r="P924" s="569"/>
      <c r="Q924" s="569"/>
      <c r="R924" s="569"/>
      <c r="S924" s="569"/>
      <c r="T924" s="569"/>
      <c r="U924" s="569"/>
      <c r="V924" s="569"/>
      <c r="W924" s="569"/>
      <c r="X924" s="569"/>
      <c r="Y924" s="569"/>
      <c r="Z924" s="569"/>
      <c r="AA924" s="569"/>
      <c r="AB924" s="569"/>
      <c r="AC924" s="569"/>
      <c r="AD924" s="569"/>
      <c r="AE924" s="569"/>
      <c r="AF924">
        <v>924</v>
      </c>
      <c r="AG924" s="438" t="str">
        <f>IF(INDEX(D:AE,AF924,ADP!$AF$6)=0,"",INDEX(D:AE,AF924,ADP!$AF$6)+AH924)</f>
        <v/>
      </c>
      <c r="AH924">
        <f t="shared" si="14"/>
        <v>9.2300000000001593E-4</v>
      </c>
    </row>
    <row r="925" spans="1:34" ht="15.75" thickBot="1" x14ac:dyDescent="0.3">
      <c r="A925" s="569"/>
      <c r="B925" s="569"/>
      <c r="C925" s="569"/>
      <c r="D925" s="569"/>
      <c r="E925" s="569"/>
      <c r="F925" s="569"/>
      <c r="G925" s="569"/>
      <c r="H925" s="569"/>
      <c r="I925" s="569"/>
      <c r="J925" s="569"/>
      <c r="K925" s="569"/>
      <c r="L925" s="569"/>
      <c r="M925" s="569"/>
      <c r="N925" s="569"/>
      <c r="O925" s="569"/>
      <c r="P925" s="569"/>
      <c r="Q925" s="569"/>
      <c r="R925" s="569"/>
      <c r="S925" s="569"/>
      <c r="T925" s="569"/>
      <c r="U925" s="569"/>
      <c r="V925" s="569"/>
      <c r="W925" s="569"/>
      <c r="X925" s="569"/>
      <c r="Y925" s="569"/>
      <c r="Z925" s="569"/>
      <c r="AA925" s="569"/>
      <c r="AB925" s="569"/>
      <c r="AC925" s="569"/>
      <c r="AD925" s="569"/>
      <c r="AE925" s="569"/>
      <c r="AF925">
        <v>925</v>
      </c>
      <c r="AG925" s="438" t="str">
        <f>IF(INDEX(D:AE,AF925,ADP!$AF$6)=0,"",INDEX(D:AE,AF925,ADP!$AF$6)+AH925)</f>
        <v/>
      </c>
      <c r="AH925">
        <f t="shared" si="14"/>
        <v>9.2400000000001595E-4</v>
      </c>
    </row>
    <row r="926" spans="1:34" ht="15.75" thickBot="1" x14ac:dyDescent="0.3">
      <c r="A926" s="569"/>
      <c r="B926" s="569"/>
      <c r="C926" s="569"/>
      <c r="D926" s="569"/>
      <c r="E926" s="569"/>
      <c r="F926" s="569"/>
      <c r="G926" s="569"/>
      <c r="H926" s="569"/>
      <c r="I926" s="569"/>
      <c r="J926" s="569"/>
      <c r="K926" s="569"/>
      <c r="L926" s="569"/>
      <c r="M926" s="569"/>
      <c r="N926" s="569"/>
      <c r="O926" s="569"/>
      <c r="P926" s="569"/>
      <c r="Q926" s="569"/>
      <c r="R926" s="569"/>
      <c r="S926" s="569"/>
      <c r="T926" s="569"/>
      <c r="U926" s="569"/>
      <c r="V926" s="569"/>
      <c r="W926" s="569"/>
      <c r="X926" s="569"/>
      <c r="Y926" s="569"/>
      <c r="Z926" s="569"/>
      <c r="AA926" s="569"/>
      <c r="AB926" s="569"/>
      <c r="AC926" s="569"/>
      <c r="AD926" s="569"/>
      <c r="AE926" s="569"/>
      <c r="AF926">
        <v>926</v>
      </c>
      <c r="AG926" s="438" t="str">
        <f>IF(INDEX(D:AE,AF926,ADP!$AF$6)=0,"",INDEX(D:AE,AF926,ADP!$AF$6)+AH926)</f>
        <v/>
      </c>
      <c r="AH926">
        <f t="shared" si="14"/>
        <v>9.2500000000001598E-4</v>
      </c>
    </row>
    <row r="927" spans="1:34" ht="15.75" thickBot="1" x14ac:dyDescent="0.3">
      <c r="A927" s="569"/>
      <c r="B927" s="569"/>
      <c r="C927" s="569"/>
      <c r="D927" s="569"/>
      <c r="E927" s="569"/>
      <c r="F927" s="569"/>
      <c r="G927" s="569"/>
      <c r="H927" s="569"/>
      <c r="I927" s="569"/>
      <c r="J927" s="569"/>
      <c r="K927" s="569"/>
      <c r="L927" s="569"/>
      <c r="M927" s="569"/>
      <c r="N927" s="569"/>
      <c r="O927" s="569"/>
      <c r="P927" s="569"/>
      <c r="Q927" s="569"/>
      <c r="R927" s="569"/>
      <c r="S927" s="569"/>
      <c r="T927" s="569"/>
      <c r="U927" s="569"/>
      <c r="V927" s="569"/>
      <c r="W927" s="569"/>
      <c r="X927" s="569"/>
      <c r="Y927" s="569"/>
      <c r="Z927" s="569"/>
      <c r="AA927" s="569"/>
      <c r="AB927" s="569"/>
      <c r="AC927" s="569"/>
      <c r="AD927" s="569"/>
      <c r="AE927" s="569"/>
      <c r="AF927">
        <v>927</v>
      </c>
      <c r="AG927" s="438" t="str">
        <f>IF(INDEX(D:AE,AF927,ADP!$AF$6)=0,"",INDEX(D:AE,AF927,ADP!$AF$6)+AH927)</f>
        <v/>
      </c>
      <c r="AH927">
        <f t="shared" si="14"/>
        <v>9.26000000000016E-4</v>
      </c>
    </row>
    <row r="928" spans="1:34" ht="15.75" thickBot="1" x14ac:dyDescent="0.3">
      <c r="A928" s="569"/>
      <c r="B928" s="569"/>
      <c r="C928" s="569"/>
      <c r="D928" s="569"/>
      <c r="E928" s="569"/>
      <c r="F928" s="569"/>
      <c r="G928" s="569"/>
      <c r="H928" s="569"/>
      <c r="I928" s="569"/>
      <c r="J928" s="569"/>
      <c r="K928" s="569"/>
      <c r="L928" s="569"/>
      <c r="M928" s="569"/>
      <c r="N928" s="569"/>
      <c r="O928" s="569"/>
      <c r="P928" s="569"/>
      <c r="Q928" s="569"/>
      <c r="R928" s="569"/>
      <c r="S928" s="569"/>
      <c r="T928" s="569"/>
      <c r="U928" s="569"/>
      <c r="V928" s="569"/>
      <c r="W928" s="569"/>
      <c r="X928" s="569"/>
      <c r="Y928" s="569"/>
      <c r="Z928" s="569"/>
      <c r="AA928" s="569"/>
      <c r="AB928" s="569"/>
      <c r="AC928" s="569"/>
      <c r="AD928" s="569"/>
      <c r="AE928" s="569"/>
      <c r="AF928">
        <v>928</v>
      </c>
      <c r="AG928" s="438" t="str">
        <f>IF(INDEX(D:AE,AF928,ADP!$AF$6)=0,"",INDEX(D:AE,AF928,ADP!$AF$6)+AH928)</f>
        <v/>
      </c>
      <c r="AH928">
        <f t="shared" si="14"/>
        <v>9.2700000000001603E-4</v>
      </c>
    </row>
    <row r="929" spans="1:34" ht="15.75" thickBot="1" x14ac:dyDescent="0.3">
      <c r="A929" s="569"/>
      <c r="B929" s="569"/>
      <c r="C929" s="569"/>
      <c r="D929" s="569"/>
      <c r="E929" s="569"/>
      <c r="F929" s="569"/>
      <c r="G929" s="569"/>
      <c r="H929" s="569"/>
      <c r="I929" s="569"/>
      <c r="J929" s="569"/>
      <c r="K929" s="569"/>
      <c r="L929" s="569"/>
      <c r="M929" s="569"/>
      <c r="N929" s="569"/>
      <c r="O929" s="569"/>
      <c r="P929" s="569"/>
      <c r="Q929" s="569"/>
      <c r="R929" s="569"/>
      <c r="S929" s="569"/>
      <c r="T929" s="569"/>
      <c r="U929" s="569"/>
      <c r="V929" s="569"/>
      <c r="W929" s="569"/>
      <c r="X929" s="569"/>
      <c r="Y929" s="569"/>
      <c r="Z929" s="569"/>
      <c r="AA929" s="569"/>
      <c r="AB929" s="569"/>
      <c r="AC929" s="569"/>
      <c r="AD929" s="569"/>
      <c r="AE929" s="569"/>
      <c r="AF929">
        <v>929</v>
      </c>
      <c r="AG929" s="438" t="str">
        <f>IF(INDEX(D:AE,AF929,ADP!$AF$6)=0,"",INDEX(D:AE,AF929,ADP!$AF$6)+AH929)</f>
        <v/>
      </c>
      <c r="AH929">
        <f t="shared" si="14"/>
        <v>9.2800000000001605E-4</v>
      </c>
    </row>
    <row r="930" spans="1:34" ht="15.75" thickBot="1" x14ac:dyDescent="0.3">
      <c r="A930" s="569"/>
      <c r="B930" s="569"/>
      <c r="C930" s="569"/>
      <c r="D930" s="569"/>
      <c r="E930" s="569"/>
      <c r="F930" s="569"/>
      <c r="G930" s="569"/>
      <c r="H930" s="569"/>
      <c r="I930" s="569"/>
      <c r="J930" s="569"/>
      <c r="K930" s="569"/>
      <c r="L930" s="569"/>
      <c r="M930" s="569"/>
      <c r="N930" s="569"/>
      <c r="O930" s="569"/>
      <c r="P930" s="569"/>
      <c r="Q930" s="569"/>
      <c r="R930" s="569"/>
      <c r="S930" s="569"/>
      <c r="T930" s="569"/>
      <c r="U930" s="569"/>
      <c r="V930" s="569"/>
      <c r="W930" s="569"/>
      <c r="X930" s="569"/>
      <c r="Y930" s="569"/>
      <c r="Z930" s="569"/>
      <c r="AA930" s="569"/>
      <c r="AB930" s="569"/>
      <c r="AC930" s="569"/>
      <c r="AD930" s="569"/>
      <c r="AE930" s="569"/>
      <c r="AF930">
        <v>930</v>
      </c>
      <c r="AG930" s="438" t="str">
        <f>IF(INDEX(D:AE,AF930,ADP!$AF$6)=0,"",INDEX(D:AE,AF930,ADP!$AF$6)+AH930)</f>
        <v/>
      </c>
      <c r="AH930">
        <f t="shared" si="14"/>
        <v>9.2900000000001608E-4</v>
      </c>
    </row>
    <row r="931" spans="1:34" ht="15.75" thickBot="1" x14ac:dyDescent="0.3">
      <c r="A931" s="569"/>
      <c r="B931" s="569"/>
      <c r="C931" s="569"/>
      <c r="D931" s="569"/>
      <c r="E931" s="569"/>
      <c r="F931" s="569"/>
      <c r="G931" s="569"/>
      <c r="H931" s="569"/>
      <c r="I931" s="569"/>
      <c r="J931" s="569"/>
      <c r="K931" s="569"/>
      <c r="L931" s="569"/>
      <c r="M931" s="569"/>
      <c r="N931" s="569"/>
      <c r="O931" s="569"/>
      <c r="P931" s="569"/>
      <c r="Q931" s="569"/>
      <c r="R931" s="569"/>
      <c r="S931" s="569"/>
      <c r="T931" s="569"/>
      <c r="U931" s="569"/>
      <c r="V931" s="569"/>
      <c r="W931" s="569"/>
      <c r="X931" s="569"/>
      <c r="Y931" s="569"/>
      <c r="Z931" s="569"/>
      <c r="AA931" s="569"/>
      <c r="AB931" s="569"/>
      <c r="AC931" s="569"/>
      <c r="AD931" s="569"/>
      <c r="AE931" s="569"/>
      <c r="AF931">
        <v>931</v>
      </c>
      <c r="AG931" s="438" t="str">
        <f>IF(INDEX(D:AE,AF931,ADP!$AF$6)=0,"",INDEX(D:AE,AF931,ADP!$AF$6)+AH931)</f>
        <v/>
      </c>
      <c r="AH931">
        <f t="shared" si="14"/>
        <v>9.300000000000161E-4</v>
      </c>
    </row>
    <row r="932" spans="1:34" ht="15.75" thickBot="1" x14ac:dyDescent="0.3">
      <c r="A932" s="569"/>
      <c r="B932" s="569"/>
      <c r="C932" s="569"/>
      <c r="D932" s="569"/>
      <c r="E932" s="569"/>
      <c r="F932" s="569"/>
      <c r="G932" s="569"/>
      <c r="H932" s="569"/>
      <c r="I932" s="569"/>
      <c r="J932" s="569"/>
      <c r="K932" s="569"/>
      <c r="L932" s="569"/>
      <c r="M932" s="569"/>
      <c r="N932" s="569"/>
      <c r="O932" s="569"/>
      <c r="P932" s="569"/>
      <c r="Q932" s="569"/>
      <c r="R932" s="569"/>
      <c r="S932" s="569"/>
      <c r="T932" s="569"/>
      <c r="U932" s="569"/>
      <c r="V932" s="569"/>
      <c r="W932" s="569"/>
      <c r="X932" s="569"/>
      <c r="Y932" s="569"/>
      <c r="Z932" s="569"/>
      <c r="AA932" s="569"/>
      <c r="AB932" s="569"/>
      <c r="AC932" s="569"/>
      <c r="AD932" s="569"/>
      <c r="AE932" s="569"/>
      <c r="AF932">
        <v>932</v>
      </c>
      <c r="AG932" s="438" t="str">
        <f>IF(INDEX(D:AE,AF932,ADP!$AF$6)=0,"",INDEX(D:AE,AF932,ADP!$AF$6)+AH932)</f>
        <v/>
      </c>
      <c r="AH932">
        <f t="shared" si="14"/>
        <v>9.3100000000001612E-4</v>
      </c>
    </row>
    <row r="933" spans="1:34" ht="15.75" thickBot="1" x14ac:dyDescent="0.3">
      <c r="A933" s="569"/>
      <c r="B933" s="569"/>
      <c r="C933" s="569"/>
      <c r="D933" s="569"/>
      <c r="E933" s="569"/>
      <c r="F933" s="569"/>
      <c r="G933" s="569"/>
      <c r="H933" s="569"/>
      <c r="I933" s="569"/>
      <c r="J933" s="569"/>
      <c r="K933" s="569"/>
      <c r="L933" s="569"/>
      <c r="M933" s="569"/>
      <c r="N933" s="569"/>
      <c r="O933" s="569"/>
      <c r="P933" s="569"/>
      <c r="Q933" s="569"/>
      <c r="R933" s="569"/>
      <c r="S933" s="569"/>
      <c r="T933" s="569"/>
      <c r="U933" s="569"/>
      <c r="V933" s="569"/>
      <c r="W933" s="569"/>
      <c r="X933" s="569"/>
      <c r="Y933" s="569"/>
      <c r="Z933" s="569"/>
      <c r="AA933" s="569"/>
      <c r="AB933" s="569"/>
      <c r="AC933" s="569"/>
      <c r="AD933" s="569"/>
      <c r="AE933" s="569"/>
      <c r="AF933">
        <v>933</v>
      </c>
      <c r="AG933" s="438" t="str">
        <f>IF(INDEX(D:AE,AF933,ADP!$AF$6)=0,"",INDEX(D:AE,AF933,ADP!$AF$6)+AH933)</f>
        <v/>
      </c>
      <c r="AH933">
        <f t="shared" si="14"/>
        <v>9.3200000000001615E-4</v>
      </c>
    </row>
    <row r="934" spans="1:34" ht="15.75" thickBot="1" x14ac:dyDescent="0.3">
      <c r="A934" s="569"/>
      <c r="B934" s="569"/>
      <c r="C934" s="569"/>
      <c r="D934" s="569"/>
      <c r="E934" s="569"/>
      <c r="F934" s="569"/>
      <c r="G934" s="569"/>
      <c r="H934" s="569"/>
      <c r="I934" s="569"/>
      <c r="J934" s="569"/>
      <c r="K934" s="569"/>
      <c r="L934" s="569"/>
      <c r="M934" s="569"/>
      <c r="N934" s="569"/>
      <c r="O934" s="569"/>
      <c r="P934" s="569"/>
      <c r="Q934" s="569"/>
      <c r="R934" s="569"/>
      <c r="S934" s="569"/>
      <c r="T934" s="569"/>
      <c r="U934" s="569"/>
      <c r="V934" s="569"/>
      <c r="W934" s="569"/>
      <c r="X934" s="569"/>
      <c r="Y934" s="569"/>
      <c r="Z934" s="569"/>
      <c r="AA934" s="569"/>
      <c r="AB934" s="569"/>
      <c r="AC934" s="569"/>
      <c r="AD934" s="569"/>
      <c r="AE934" s="569"/>
      <c r="AF934">
        <v>934</v>
      </c>
      <c r="AG934" s="438" t="str">
        <f>IF(INDEX(D:AE,AF934,ADP!$AF$6)=0,"",INDEX(D:AE,AF934,ADP!$AF$6)+AH934)</f>
        <v/>
      </c>
      <c r="AH934">
        <f t="shared" si="14"/>
        <v>9.3300000000001617E-4</v>
      </c>
    </row>
    <row r="935" spans="1:34" ht="15.75" thickBot="1" x14ac:dyDescent="0.3">
      <c r="A935" s="569"/>
      <c r="B935" s="569"/>
      <c r="C935" s="569"/>
      <c r="D935" s="569"/>
      <c r="E935" s="569"/>
      <c r="F935" s="569"/>
      <c r="G935" s="569"/>
      <c r="H935" s="569"/>
      <c r="I935" s="569"/>
      <c r="J935" s="569"/>
      <c r="K935" s="569"/>
      <c r="L935" s="569"/>
      <c r="M935" s="569"/>
      <c r="N935" s="569"/>
      <c r="O935" s="569"/>
      <c r="P935" s="569"/>
      <c r="Q935" s="569"/>
      <c r="R935" s="569"/>
      <c r="S935" s="569"/>
      <c r="T935" s="569"/>
      <c r="U935" s="569"/>
      <c r="V935" s="569"/>
      <c r="W935" s="569"/>
      <c r="X935" s="569"/>
      <c r="Y935" s="569"/>
      <c r="Z935" s="569"/>
      <c r="AA935" s="569"/>
      <c r="AB935" s="569"/>
      <c r="AC935" s="569"/>
      <c r="AD935" s="569"/>
      <c r="AE935" s="569"/>
      <c r="AF935">
        <v>935</v>
      </c>
      <c r="AG935" s="438" t="str">
        <f>IF(INDEX(D:AE,AF935,ADP!$AF$6)=0,"",INDEX(D:AE,AF935,ADP!$AF$6)+AH935)</f>
        <v/>
      </c>
      <c r="AH935">
        <f t="shared" si="14"/>
        <v>9.340000000000162E-4</v>
      </c>
    </row>
    <row r="936" spans="1:34" ht="15.75" thickBot="1" x14ac:dyDescent="0.3">
      <c r="A936" s="569"/>
      <c r="B936" s="569"/>
      <c r="C936" s="569"/>
      <c r="D936" s="569"/>
      <c r="E936" s="569"/>
      <c r="F936" s="569"/>
      <c r="G936" s="569"/>
      <c r="H936" s="569"/>
      <c r="I936" s="569"/>
      <c r="J936" s="569"/>
      <c r="K936" s="569"/>
      <c r="L936" s="569"/>
      <c r="M936" s="569"/>
      <c r="N936" s="569"/>
      <c r="O936" s="569"/>
      <c r="P936" s="569"/>
      <c r="Q936" s="569"/>
      <c r="R936" s="569"/>
      <c r="S936" s="569"/>
      <c r="T936" s="569"/>
      <c r="U936" s="569"/>
      <c r="V936" s="569"/>
      <c r="W936" s="569"/>
      <c r="X936" s="569"/>
      <c r="Y936" s="569"/>
      <c r="Z936" s="569"/>
      <c r="AA936" s="569"/>
      <c r="AB936" s="569"/>
      <c r="AC936" s="569"/>
      <c r="AD936" s="569"/>
      <c r="AE936" s="569"/>
      <c r="AF936">
        <v>936</v>
      </c>
      <c r="AG936" s="438" t="str">
        <f>IF(INDEX(D:AE,AF936,ADP!$AF$6)=0,"",INDEX(D:AE,AF936,ADP!$AF$6)+AH936)</f>
        <v/>
      </c>
      <c r="AH936">
        <f t="shared" si="14"/>
        <v>9.3500000000001622E-4</v>
      </c>
    </row>
    <row r="937" spans="1:34" ht="15.75" thickBot="1" x14ac:dyDescent="0.3">
      <c r="A937" s="569"/>
      <c r="B937" s="569"/>
      <c r="C937" s="569"/>
      <c r="D937" s="569"/>
      <c r="E937" s="569"/>
      <c r="F937" s="569"/>
      <c r="G937" s="569"/>
      <c r="H937" s="569"/>
      <c r="I937" s="569"/>
      <c r="J937" s="569"/>
      <c r="K937" s="569"/>
      <c r="L937" s="569"/>
      <c r="M937" s="569"/>
      <c r="N937" s="569"/>
      <c r="O937" s="569"/>
      <c r="P937" s="569"/>
      <c r="Q937" s="569"/>
      <c r="R937" s="569"/>
      <c r="S937" s="569"/>
      <c r="T937" s="569"/>
      <c r="U937" s="569"/>
      <c r="V937" s="569"/>
      <c r="W937" s="569"/>
      <c r="X937" s="569"/>
      <c r="Y937" s="569"/>
      <c r="Z937" s="569"/>
      <c r="AA937" s="569"/>
      <c r="AB937" s="569"/>
      <c r="AC937" s="569"/>
      <c r="AD937" s="569"/>
      <c r="AE937" s="569"/>
      <c r="AF937">
        <v>937</v>
      </c>
      <c r="AG937" s="438" t="str">
        <f>IF(INDEX(D:AE,AF937,ADP!$AF$6)=0,"",INDEX(D:AE,AF937,ADP!$AF$6)+AH937)</f>
        <v/>
      </c>
      <c r="AH937">
        <f t="shared" si="14"/>
        <v>9.3600000000001625E-4</v>
      </c>
    </row>
    <row r="938" spans="1:34" ht="15.75" thickBot="1" x14ac:dyDescent="0.3">
      <c r="A938" s="569"/>
      <c r="B938" s="569"/>
      <c r="C938" s="569"/>
      <c r="D938" s="569"/>
      <c r="E938" s="569"/>
      <c r="F938" s="569"/>
      <c r="G938" s="569"/>
      <c r="H938" s="569"/>
      <c r="I938" s="569"/>
      <c r="J938" s="569"/>
      <c r="K938" s="569"/>
      <c r="L938" s="569"/>
      <c r="M938" s="569"/>
      <c r="N938" s="569"/>
      <c r="O938" s="569"/>
      <c r="P938" s="569"/>
      <c r="Q938" s="569"/>
      <c r="R938" s="569"/>
      <c r="S938" s="569"/>
      <c r="T938" s="569"/>
      <c r="U938" s="569"/>
      <c r="V938" s="569"/>
      <c r="W938" s="569"/>
      <c r="X938" s="569"/>
      <c r="Y938" s="569"/>
      <c r="Z938" s="569"/>
      <c r="AA938" s="569"/>
      <c r="AB938" s="569"/>
      <c r="AC938" s="569"/>
      <c r="AD938" s="569"/>
      <c r="AE938" s="569"/>
      <c r="AF938">
        <v>938</v>
      </c>
      <c r="AG938" s="438" t="str">
        <f>IF(INDEX(D:AE,AF938,ADP!$AF$6)=0,"",INDEX(D:AE,AF938,ADP!$AF$6)+AH938)</f>
        <v/>
      </c>
      <c r="AH938">
        <f t="shared" si="14"/>
        <v>9.3700000000001627E-4</v>
      </c>
    </row>
    <row r="939" spans="1:34" ht="15.75" thickBot="1" x14ac:dyDescent="0.3">
      <c r="A939" s="569"/>
      <c r="B939" s="569"/>
      <c r="C939" s="569"/>
      <c r="D939" s="569"/>
      <c r="E939" s="569"/>
      <c r="F939" s="569"/>
      <c r="G939" s="569"/>
      <c r="H939" s="569"/>
      <c r="I939" s="569"/>
      <c r="J939" s="569"/>
      <c r="K939" s="569"/>
      <c r="L939" s="569"/>
      <c r="M939" s="569"/>
      <c r="N939" s="569"/>
      <c r="O939" s="569"/>
      <c r="P939" s="569"/>
      <c r="Q939" s="569"/>
      <c r="R939" s="569"/>
      <c r="S939" s="569"/>
      <c r="T939" s="569"/>
      <c r="U939" s="569"/>
      <c r="V939" s="569"/>
      <c r="W939" s="569"/>
      <c r="X939" s="569"/>
      <c r="Y939" s="569"/>
      <c r="Z939" s="569"/>
      <c r="AA939" s="569"/>
      <c r="AB939" s="569"/>
      <c r="AC939" s="569"/>
      <c r="AD939" s="569"/>
      <c r="AE939" s="569"/>
      <c r="AF939">
        <v>939</v>
      </c>
      <c r="AG939" s="438" t="str">
        <f>IF(INDEX(D:AE,AF939,ADP!$AF$6)=0,"",INDEX(D:AE,AF939,ADP!$AF$6)+AH939)</f>
        <v/>
      </c>
      <c r="AH939">
        <f t="shared" si="14"/>
        <v>9.3800000000001629E-4</v>
      </c>
    </row>
    <row r="940" spans="1:34" ht="15.75" thickBot="1" x14ac:dyDescent="0.3">
      <c r="A940" s="569"/>
      <c r="B940" s="569"/>
      <c r="C940" s="569"/>
      <c r="D940" s="569"/>
      <c r="E940" s="569"/>
      <c r="F940" s="569"/>
      <c r="G940" s="569"/>
      <c r="H940" s="569"/>
      <c r="I940" s="569"/>
      <c r="J940" s="569"/>
      <c r="K940" s="569"/>
      <c r="L940" s="569"/>
      <c r="M940" s="569"/>
      <c r="N940" s="569"/>
      <c r="O940" s="569"/>
      <c r="P940" s="569"/>
      <c r="Q940" s="569"/>
      <c r="R940" s="569"/>
      <c r="S940" s="569"/>
      <c r="T940" s="569"/>
      <c r="U940" s="569"/>
      <c r="V940" s="569"/>
      <c r="W940" s="569"/>
      <c r="X940" s="569"/>
      <c r="Y940" s="569"/>
      <c r="Z940" s="569"/>
      <c r="AA940" s="569"/>
      <c r="AB940" s="569"/>
      <c r="AC940" s="569"/>
      <c r="AD940" s="569"/>
      <c r="AE940" s="569"/>
      <c r="AF940">
        <v>940</v>
      </c>
      <c r="AG940" s="438" t="str">
        <f>IF(INDEX(D:AE,AF940,ADP!$AF$6)=0,"",INDEX(D:AE,AF940,ADP!$AF$6)+AH940)</f>
        <v/>
      </c>
      <c r="AH940">
        <f t="shared" si="14"/>
        <v>9.3900000000001632E-4</v>
      </c>
    </row>
    <row r="941" spans="1:34" ht="15.75" thickBot="1" x14ac:dyDescent="0.3">
      <c r="A941" s="569"/>
      <c r="B941" s="569"/>
      <c r="C941" s="569"/>
      <c r="D941" s="569"/>
      <c r="E941" s="569"/>
      <c r="F941" s="569"/>
      <c r="G941" s="569"/>
      <c r="H941" s="569"/>
      <c r="I941" s="569"/>
      <c r="J941" s="569"/>
      <c r="K941" s="569"/>
      <c r="L941" s="569"/>
      <c r="M941" s="569"/>
      <c r="N941" s="569"/>
      <c r="O941" s="569"/>
      <c r="P941" s="569"/>
      <c r="Q941" s="569"/>
      <c r="R941" s="569"/>
      <c r="S941" s="569"/>
      <c r="T941" s="569"/>
      <c r="U941" s="569"/>
      <c r="V941" s="569"/>
      <c r="W941" s="569"/>
      <c r="X941" s="569"/>
      <c r="Y941" s="569"/>
      <c r="Z941" s="569"/>
      <c r="AA941" s="569"/>
      <c r="AB941" s="569"/>
      <c r="AC941" s="569"/>
      <c r="AD941" s="569"/>
      <c r="AE941" s="569"/>
    </row>
    <row r="942" spans="1:34" ht="15.75" thickBot="1" x14ac:dyDescent="0.3">
      <c r="A942" s="569"/>
      <c r="B942" s="569"/>
      <c r="C942" s="569"/>
      <c r="D942" s="569"/>
      <c r="E942" s="569"/>
      <c r="F942" s="569"/>
      <c r="G942" s="569"/>
      <c r="H942" s="569"/>
      <c r="I942" s="569"/>
      <c r="J942" s="569"/>
      <c r="K942" s="569"/>
      <c r="L942" s="569"/>
      <c r="M942" s="569"/>
      <c r="N942" s="569"/>
      <c r="O942" s="569"/>
      <c r="P942" s="569"/>
      <c r="Q942" s="569"/>
      <c r="R942" s="569"/>
      <c r="S942" s="569"/>
      <c r="T942" s="569"/>
      <c r="U942" s="569"/>
      <c r="V942" s="569"/>
      <c r="W942" s="569"/>
      <c r="X942" s="569"/>
      <c r="Y942" s="569"/>
      <c r="Z942" s="569"/>
      <c r="AA942" s="569"/>
      <c r="AB942" s="569"/>
      <c r="AC942" s="569"/>
      <c r="AD942" s="569"/>
      <c r="AE942" s="569"/>
    </row>
    <row r="943" spans="1:34" ht="15.75" thickBot="1" x14ac:dyDescent="0.3">
      <c r="A943" s="569"/>
      <c r="B943" s="569"/>
      <c r="C943" s="569"/>
      <c r="D943" s="569"/>
      <c r="E943" s="569"/>
      <c r="F943" s="569"/>
      <c r="G943" s="569"/>
      <c r="H943" s="569"/>
      <c r="I943" s="569"/>
      <c r="J943" s="569"/>
      <c r="K943" s="569"/>
      <c r="L943" s="569"/>
      <c r="M943" s="569"/>
      <c r="N943" s="569"/>
      <c r="O943" s="569"/>
      <c r="P943" s="569"/>
      <c r="Q943" s="569"/>
      <c r="R943" s="569"/>
      <c r="S943" s="569"/>
      <c r="T943" s="569"/>
      <c r="U943" s="569"/>
      <c r="V943" s="569"/>
      <c r="W943" s="569"/>
      <c r="X943" s="569"/>
      <c r="Y943" s="569"/>
      <c r="Z943" s="569"/>
      <c r="AA943" s="569"/>
      <c r="AB943" s="569"/>
      <c r="AC943" s="569"/>
      <c r="AD943" s="569"/>
      <c r="AE943" s="569"/>
    </row>
    <row r="944" spans="1:34" ht="15.75" thickBot="1" x14ac:dyDescent="0.3">
      <c r="A944" s="569"/>
      <c r="B944" s="569"/>
      <c r="C944" s="569"/>
      <c r="D944" s="569"/>
      <c r="E944" s="569"/>
      <c r="F944" s="569"/>
      <c r="G944" s="569"/>
      <c r="H944" s="569"/>
      <c r="I944" s="569"/>
      <c r="J944" s="569"/>
      <c r="K944" s="569"/>
      <c r="L944" s="569"/>
      <c r="M944" s="569"/>
      <c r="N944" s="569"/>
      <c r="O944" s="569"/>
      <c r="P944" s="569"/>
      <c r="Q944" s="569"/>
      <c r="R944" s="569"/>
      <c r="S944" s="569"/>
      <c r="T944" s="569"/>
      <c r="U944" s="569"/>
      <c r="V944" s="569"/>
      <c r="W944" s="569"/>
      <c r="X944" s="569"/>
      <c r="Y944" s="569"/>
      <c r="Z944" s="569"/>
      <c r="AA944" s="569"/>
      <c r="AB944" s="569"/>
      <c r="AC944" s="569"/>
      <c r="AD944" s="569"/>
      <c r="AE944" s="569"/>
    </row>
    <row r="945" spans="1:31" ht="15.75" thickBot="1" x14ac:dyDescent="0.3">
      <c r="A945" s="569"/>
      <c r="B945" s="569"/>
      <c r="C945" s="569"/>
      <c r="D945" s="569"/>
      <c r="E945" s="569"/>
      <c r="F945" s="569"/>
      <c r="G945" s="569"/>
      <c r="H945" s="569"/>
      <c r="I945" s="569"/>
      <c r="J945" s="569"/>
      <c r="K945" s="569"/>
      <c r="L945" s="569"/>
      <c r="M945" s="569"/>
      <c r="N945" s="569"/>
      <c r="O945" s="569"/>
      <c r="P945" s="569"/>
      <c r="Q945" s="569"/>
      <c r="R945" s="569"/>
      <c r="S945" s="569"/>
      <c r="T945" s="569"/>
      <c r="U945" s="569"/>
      <c r="V945" s="569"/>
      <c r="W945" s="569"/>
      <c r="X945" s="569"/>
      <c r="Y945" s="569"/>
      <c r="Z945" s="569"/>
      <c r="AA945" s="569"/>
      <c r="AB945" s="569"/>
      <c r="AC945" s="569"/>
      <c r="AD945" s="569"/>
      <c r="AE945" s="569"/>
    </row>
    <row r="946" spans="1:31" ht="15.75" thickBot="1" x14ac:dyDescent="0.3">
      <c r="A946" s="569"/>
      <c r="B946" s="569"/>
      <c r="C946" s="569"/>
      <c r="D946" s="569"/>
      <c r="E946" s="569"/>
      <c r="F946" s="569"/>
      <c r="G946" s="569"/>
      <c r="H946" s="569"/>
      <c r="I946" s="569"/>
      <c r="J946" s="569"/>
      <c r="K946" s="569"/>
      <c r="L946" s="569"/>
      <c r="M946" s="569"/>
      <c r="N946" s="569"/>
      <c r="O946" s="569"/>
      <c r="P946" s="569"/>
      <c r="Q946" s="569"/>
      <c r="R946" s="569"/>
      <c r="S946" s="569"/>
      <c r="T946" s="569"/>
      <c r="U946" s="569"/>
      <c r="V946" s="569"/>
      <c r="W946" s="569"/>
      <c r="X946" s="569"/>
      <c r="Y946" s="569"/>
      <c r="Z946" s="569"/>
      <c r="AA946" s="569"/>
      <c r="AB946" s="569"/>
      <c r="AC946" s="569"/>
      <c r="AD946" s="569"/>
      <c r="AE946" s="569"/>
    </row>
    <row r="947" spans="1:31" ht="15.75" thickBot="1" x14ac:dyDescent="0.3">
      <c r="A947" s="569"/>
      <c r="B947" s="569"/>
      <c r="C947" s="569"/>
      <c r="D947" s="569"/>
      <c r="E947" s="569"/>
      <c r="F947" s="569"/>
      <c r="G947" s="569"/>
      <c r="H947" s="569"/>
      <c r="I947" s="569"/>
      <c r="J947" s="569"/>
      <c r="K947" s="569"/>
      <c r="L947" s="569"/>
      <c r="M947" s="569"/>
      <c r="N947" s="569"/>
      <c r="O947" s="569"/>
      <c r="P947" s="569"/>
      <c r="Q947" s="569"/>
      <c r="R947" s="569"/>
      <c r="S947" s="569"/>
      <c r="T947" s="569"/>
      <c r="U947" s="569"/>
      <c r="V947" s="569"/>
      <c r="W947" s="569"/>
      <c r="X947" s="569"/>
      <c r="Y947" s="569"/>
      <c r="Z947" s="569"/>
      <c r="AA947" s="569"/>
      <c r="AB947" s="569"/>
      <c r="AC947" s="569"/>
      <c r="AD947" s="569"/>
      <c r="AE947" s="569"/>
    </row>
    <row r="948" spans="1:31" ht="15.75" thickBot="1" x14ac:dyDescent="0.3">
      <c r="A948" s="569"/>
      <c r="B948" s="569"/>
      <c r="C948" s="569"/>
      <c r="D948" s="569"/>
      <c r="E948" s="569"/>
      <c r="F948" s="569"/>
      <c r="G948" s="569"/>
      <c r="H948" s="569"/>
      <c r="I948" s="569"/>
      <c r="J948" s="569"/>
      <c r="K948" s="569"/>
      <c r="L948" s="569"/>
      <c r="M948" s="569"/>
      <c r="N948" s="569"/>
      <c r="O948" s="569"/>
      <c r="P948" s="569"/>
      <c r="Q948" s="569"/>
      <c r="R948" s="569"/>
      <c r="S948" s="569"/>
      <c r="T948" s="569"/>
      <c r="U948" s="569"/>
      <c r="V948" s="569"/>
      <c r="W948" s="569"/>
      <c r="X948" s="569"/>
      <c r="Y948" s="569"/>
      <c r="Z948" s="569"/>
      <c r="AA948" s="569"/>
      <c r="AB948" s="569"/>
      <c r="AC948" s="569"/>
      <c r="AD948" s="569"/>
      <c r="AE948" s="569"/>
    </row>
    <row r="949" spans="1:31" ht="15.75" thickBot="1" x14ac:dyDescent="0.3">
      <c r="A949" s="569"/>
      <c r="B949" s="569"/>
      <c r="C949" s="569"/>
      <c r="D949" s="569"/>
      <c r="E949" s="569"/>
      <c r="F949" s="569"/>
      <c r="G949" s="569"/>
      <c r="H949" s="569"/>
      <c r="I949" s="569"/>
      <c r="J949" s="569"/>
      <c r="K949" s="569"/>
      <c r="L949" s="569"/>
      <c r="M949" s="569"/>
      <c r="N949" s="569"/>
      <c r="O949" s="569"/>
      <c r="P949" s="569"/>
      <c r="Q949" s="569"/>
      <c r="R949" s="569"/>
      <c r="S949" s="569"/>
      <c r="T949" s="569"/>
      <c r="U949" s="569"/>
      <c r="V949" s="569"/>
      <c r="W949" s="569"/>
      <c r="X949" s="569"/>
      <c r="Y949" s="569"/>
      <c r="Z949" s="569"/>
      <c r="AA949" s="569"/>
      <c r="AB949" s="569"/>
      <c r="AC949" s="569"/>
      <c r="AD949" s="569"/>
      <c r="AE949" s="569"/>
    </row>
    <row r="950" spans="1:31" ht="15.75" thickBot="1" x14ac:dyDescent="0.3">
      <c r="A950" s="569"/>
      <c r="B950" s="569"/>
      <c r="C950" s="569"/>
      <c r="D950" s="569"/>
      <c r="E950" s="569"/>
      <c r="F950" s="569"/>
      <c r="G950" s="569"/>
      <c r="H950" s="569"/>
      <c r="I950" s="569"/>
      <c r="J950" s="569"/>
      <c r="K950" s="569"/>
      <c r="L950" s="569"/>
      <c r="M950" s="569"/>
      <c r="N950" s="569"/>
      <c r="O950" s="569"/>
      <c r="P950" s="569"/>
      <c r="Q950" s="569"/>
      <c r="R950" s="569"/>
      <c r="S950" s="569"/>
      <c r="T950" s="569"/>
      <c r="U950" s="569"/>
      <c r="V950" s="569"/>
      <c r="W950" s="569"/>
      <c r="X950" s="569"/>
      <c r="Y950" s="569"/>
      <c r="Z950" s="569"/>
      <c r="AA950" s="569"/>
      <c r="AB950" s="569"/>
      <c r="AC950" s="569"/>
      <c r="AD950" s="569"/>
      <c r="AE950" s="569"/>
    </row>
    <row r="951" spans="1:31" ht="15.75" thickBot="1" x14ac:dyDescent="0.3">
      <c r="A951" s="569"/>
      <c r="B951" s="569"/>
      <c r="C951" s="569"/>
      <c r="D951" s="569"/>
      <c r="E951" s="569"/>
      <c r="F951" s="569"/>
      <c r="G951" s="569"/>
      <c r="H951" s="569"/>
      <c r="I951" s="569"/>
      <c r="J951" s="569"/>
      <c r="K951" s="569"/>
      <c r="L951" s="569"/>
      <c r="M951" s="569"/>
      <c r="N951" s="569"/>
      <c r="O951" s="569"/>
      <c r="P951" s="569"/>
      <c r="Q951" s="569"/>
      <c r="R951" s="569"/>
      <c r="S951" s="569"/>
      <c r="T951" s="569"/>
      <c r="U951" s="569"/>
      <c r="V951" s="569"/>
      <c r="W951" s="569"/>
      <c r="X951" s="569"/>
      <c r="Y951" s="569"/>
      <c r="Z951" s="569"/>
      <c r="AA951" s="569"/>
      <c r="AB951" s="569"/>
      <c r="AC951" s="569"/>
      <c r="AD951" s="569"/>
      <c r="AE951" s="569"/>
    </row>
    <row r="952" spans="1:31" ht="15.75" thickBot="1" x14ac:dyDescent="0.3">
      <c r="A952" s="569"/>
      <c r="B952" s="569"/>
      <c r="C952" s="569"/>
      <c r="D952" s="569"/>
      <c r="E952" s="569"/>
      <c r="F952" s="569"/>
      <c r="G952" s="569"/>
      <c r="H952" s="569"/>
      <c r="I952" s="569"/>
      <c r="J952" s="569"/>
      <c r="K952" s="569"/>
      <c r="L952" s="569"/>
      <c r="M952" s="569"/>
      <c r="N952" s="569"/>
      <c r="O952" s="569"/>
      <c r="P952" s="569"/>
      <c r="Q952" s="569"/>
      <c r="R952" s="569"/>
      <c r="S952" s="569"/>
      <c r="T952" s="569"/>
      <c r="U952" s="569"/>
      <c r="V952" s="569"/>
      <c r="W952" s="569"/>
      <c r="X952" s="569"/>
      <c r="Y952" s="569"/>
      <c r="Z952" s="569"/>
      <c r="AA952" s="569"/>
      <c r="AB952" s="569"/>
      <c r="AC952" s="569"/>
      <c r="AD952" s="569"/>
      <c r="AE952" s="569"/>
    </row>
    <row r="953" spans="1:31" ht="15.75" thickBot="1" x14ac:dyDescent="0.3">
      <c r="A953" s="569"/>
      <c r="B953" s="569"/>
      <c r="C953" s="569"/>
      <c r="D953" s="569"/>
      <c r="E953" s="569"/>
      <c r="F953" s="569"/>
      <c r="G953" s="569"/>
      <c r="H953" s="569"/>
      <c r="I953" s="569"/>
      <c r="J953" s="569"/>
      <c r="K953" s="569"/>
      <c r="L953" s="569"/>
      <c r="M953" s="569"/>
      <c r="N953" s="569"/>
      <c r="O953" s="569"/>
      <c r="P953" s="569"/>
      <c r="Q953" s="569"/>
      <c r="R953" s="569"/>
      <c r="S953" s="569"/>
      <c r="T953" s="569"/>
      <c r="U953" s="569"/>
      <c r="V953" s="569"/>
      <c r="W953" s="569"/>
      <c r="X953" s="569"/>
      <c r="Y953" s="569"/>
      <c r="Z953" s="569"/>
      <c r="AA953" s="569"/>
      <c r="AB953" s="569"/>
      <c r="AC953" s="569"/>
      <c r="AD953" s="569"/>
      <c r="AE953" s="569"/>
    </row>
    <row r="954" spans="1:31" ht="15.75" thickBot="1" x14ac:dyDescent="0.3">
      <c r="A954" s="569"/>
      <c r="B954" s="569"/>
      <c r="C954" s="569"/>
      <c r="D954" s="569"/>
      <c r="E954" s="569"/>
      <c r="F954" s="569"/>
      <c r="G954" s="569"/>
      <c r="H954" s="569"/>
      <c r="I954" s="569"/>
      <c r="J954" s="569"/>
      <c r="K954" s="569"/>
      <c r="L954" s="569"/>
      <c r="M954" s="569"/>
      <c r="N954" s="569"/>
      <c r="O954" s="569"/>
      <c r="P954" s="569"/>
      <c r="Q954" s="569"/>
      <c r="R954" s="569"/>
      <c r="S954" s="569"/>
      <c r="T954" s="569"/>
      <c r="U954" s="569"/>
      <c r="V954" s="569"/>
      <c r="W954" s="569"/>
      <c r="X954" s="569"/>
      <c r="Y954" s="569"/>
      <c r="Z954" s="569"/>
      <c r="AA954" s="569"/>
      <c r="AB954" s="569"/>
      <c r="AC954" s="569"/>
      <c r="AD954" s="569"/>
      <c r="AE954" s="569"/>
    </row>
    <row r="955" spans="1:31" ht="15.75" thickBot="1" x14ac:dyDescent="0.3">
      <c r="A955" s="569"/>
      <c r="B955" s="569"/>
      <c r="C955" s="569"/>
      <c r="D955" s="569"/>
      <c r="E955" s="569"/>
      <c r="F955" s="569"/>
      <c r="G955" s="569"/>
      <c r="H955" s="569"/>
      <c r="I955" s="569"/>
      <c r="J955" s="569"/>
      <c r="K955" s="569"/>
      <c r="L955" s="569"/>
      <c r="M955" s="569"/>
      <c r="N955" s="569"/>
      <c r="O955" s="569"/>
      <c r="P955" s="569"/>
      <c r="Q955" s="569"/>
      <c r="R955" s="569"/>
      <c r="S955" s="569"/>
      <c r="T955" s="569"/>
      <c r="U955" s="569"/>
      <c r="V955" s="569"/>
      <c r="W955" s="569"/>
      <c r="X955" s="569"/>
      <c r="Y955" s="569"/>
      <c r="Z955" s="569"/>
      <c r="AA955" s="569"/>
      <c r="AB955" s="569"/>
      <c r="AC955" s="569"/>
      <c r="AD955" s="569"/>
      <c r="AE955" s="569"/>
    </row>
    <row r="956" spans="1:31" ht="15.75" thickBot="1" x14ac:dyDescent="0.3">
      <c r="A956" s="569"/>
      <c r="B956" s="569"/>
      <c r="C956" s="569"/>
      <c r="D956" s="569"/>
      <c r="E956" s="569"/>
      <c r="F956" s="569"/>
      <c r="G956" s="569"/>
      <c r="H956" s="569"/>
      <c r="I956" s="569"/>
      <c r="J956" s="569"/>
      <c r="K956" s="569"/>
      <c r="L956" s="569"/>
      <c r="M956" s="569"/>
      <c r="N956" s="569"/>
      <c r="O956" s="569"/>
      <c r="P956" s="569"/>
      <c r="Q956" s="569"/>
      <c r="R956" s="569"/>
      <c r="S956" s="569"/>
      <c r="T956" s="569"/>
      <c r="U956" s="569"/>
      <c r="V956" s="569"/>
      <c r="W956" s="569"/>
      <c r="X956" s="569"/>
      <c r="Y956" s="569"/>
      <c r="Z956" s="569"/>
      <c r="AA956" s="569"/>
      <c r="AB956" s="569"/>
      <c r="AC956" s="569"/>
      <c r="AD956" s="569"/>
      <c r="AE956" s="569"/>
    </row>
    <row r="957" spans="1:31" ht="15.75" thickBot="1" x14ac:dyDescent="0.3">
      <c r="A957" s="569"/>
      <c r="B957" s="569"/>
      <c r="C957" s="569"/>
      <c r="D957" s="569"/>
      <c r="E957" s="569"/>
      <c r="F957" s="569"/>
      <c r="G957" s="569"/>
      <c r="H957" s="569"/>
      <c r="I957" s="569"/>
      <c r="J957" s="569"/>
      <c r="K957" s="569"/>
      <c r="L957" s="569"/>
      <c r="M957" s="569"/>
      <c r="N957" s="569"/>
      <c r="O957" s="569"/>
      <c r="P957" s="569"/>
      <c r="Q957" s="569"/>
      <c r="R957" s="569"/>
      <c r="S957" s="569"/>
      <c r="T957" s="569"/>
      <c r="U957" s="569"/>
      <c r="V957" s="569"/>
      <c r="W957" s="569"/>
      <c r="X957" s="569"/>
      <c r="Y957" s="569"/>
      <c r="Z957" s="569"/>
      <c r="AA957" s="569"/>
      <c r="AB957" s="569"/>
      <c r="AC957" s="569"/>
      <c r="AD957" s="569"/>
      <c r="AE957" s="569"/>
    </row>
    <row r="958" spans="1:31" ht="15.75" thickBot="1" x14ac:dyDescent="0.3">
      <c r="A958" s="569"/>
      <c r="B958" s="569"/>
      <c r="C958" s="569"/>
      <c r="D958" s="569"/>
      <c r="E958" s="569"/>
      <c r="F958" s="569"/>
      <c r="G958" s="569"/>
      <c r="H958" s="569"/>
      <c r="I958" s="569"/>
      <c r="J958" s="569"/>
      <c r="K958" s="569"/>
      <c r="L958" s="569"/>
      <c r="M958" s="569"/>
      <c r="N958" s="569"/>
      <c r="O958" s="569"/>
      <c r="P958" s="569"/>
      <c r="Q958" s="569"/>
      <c r="R958" s="569"/>
      <c r="S958" s="569"/>
      <c r="T958" s="569"/>
      <c r="U958" s="569"/>
      <c r="V958" s="569"/>
      <c r="W958" s="569"/>
      <c r="X958" s="569"/>
      <c r="Y958" s="569"/>
      <c r="Z958" s="569"/>
      <c r="AA958" s="569"/>
      <c r="AB958" s="569"/>
      <c r="AC958" s="569"/>
      <c r="AD958" s="569"/>
      <c r="AE958" s="569"/>
    </row>
    <row r="959" spans="1:31" ht="15.75" thickBot="1" x14ac:dyDescent="0.3">
      <c r="A959" s="569"/>
      <c r="B959" s="569"/>
      <c r="C959" s="569"/>
      <c r="D959" s="569"/>
      <c r="E959" s="569"/>
      <c r="F959" s="569"/>
      <c r="G959" s="569"/>
      <c r="H959" s="569"/>
      <c r="I959" s="569"/>
      <c r="J959" s="569"/>
      <c r="K959" s="569"/>
      <c r="L959" s="569"/>
      <c r="M959" s="569"/>
      <c r="N959" s="569"/>
      <c r="O959" s="569"/>
      <c r="P959" s="569"/>
      <c r="Q959" s="569"/>
      <c r="R959" s="569"/>
      <c r="S959" s="569"/>
      <c r="T959" s="569"/>
      <c r="U959" s="569"/>
      <c r="V959" s="569"/>
      <c r="W959" s="569"/>
      <c r="X959" s="569"/>
      <c r="Y959" s="569"/>
      <c r="Z959" s="569"/>
      <c r="AA959" s="569"/>
      <c r="AB959" s="569"/>
      <c r="AC959" s="569"/>
      <c r="AD959" s="569"/>
      <c r="AE959" s="569"/>
    </row>
    <row r="960" spans="1:31" ht="15.75" thickBot="1" x14ac:dyDescent="0.3">
      <c r="A960" s="569"/>
      <c r="B960" s="569"/>
      <c r="C960" s="569"/>
      <c r="D960" s="569"/>
      <c r="E960" s="569"/>
      <c r="F960" s="569"/>
      <c r="G960" s="569"/>
      <c r="H960" s="569"/>
      <c r="I960" s="569"/>
      <c r="J960" s="569"/>
      <c r="K960" s="569"/>
      <c r="L960" s="569"/>
      <c r="M960" s="569"/>
      <c r="N960" s="569"/>
      <c r="O960" s="569"/>
      <c r="P960" s="569"/>
      <c r="Q960" s="569"/>
      <c r="R960" s="569"/>
      <c r="S960" s="569"/>
      <c r="T960" s="569"/>
      <c r="U960" s="569"/>
      <c r="V960" s="569"/>
      <c r="W960" s="569"/>
      <c r="X960" s="569"/>
      <c r="Y960" s="569"/>
      <c r="Z960" s="569"/>
      <c r="AA960" s="569"/>
      <c r="AB960" s="569"/>
      <c r="AC960" s="569"/>
      <c r="AD960" s="569"/>
      <c r="AE960" s="569"/>
    </row>
    <row r="961" spans="1:31" ht="15.75" thickBot="1" x14ac:dyDescent="0.3">
      <c r="A961" s="569"/>
      <c r="B961" s="569"/>
      <c r="C961" s="569"/>
      <c r="D961" s="569"/>
      <c r="E961" s="569"/>
      <c r="F961" s="569"/>
      <c r="G961" s="569"/>
      <c r="H961" s="569"/>
      <c r="I961" s="569"/>
      <c r="J961" s="569"/>
      <c r="K961" s="569"/>
      <c r="L961" s="569"/>
      <c r="M961" s="569"/>
      <c r="N961" s="569"/>
      <c r="O961" s="569"/>
      <c r="P961" s="569"/>
      <c r="Q961" s="569"/>
      <c r="R961" s="569"/>
      <c r="S961" s="569"/>
      <c r="T961" s="569"/>
      <c r="U961" s="569"/>
      <c r="V961" s="569"/>
      <c r="W961" s="569"/>
      <c r="X961" s="569"/>
      <c r="Y961" s="569"/>
      <c r="Z961" s="569"/>
      <c r="AA961" s="569"/>
      <c r="AB961" s="569"/>
      <c r="AC961" s="569"/>
      <c r="AD961" s="569"/>
      <c r="AE961" s="569"/>
    </row>
    <row r="962" spans="1:31" ht="15.75" thickBot="1" x14ac:dyDescent="0.3">
      <c r="A962" s="569"/>
      <c r="B962" s="569"/>
      <c r="C962" s="569"/>
      <c r="D962" s="569"/>
      <c r="E962" s="569"/>
      <c r="F962" s="569"/>
      <c r="G962" s="569"/>
      <c r="H962" s="569"/>
      <c r="I962" s="569"/>
      <c r="J962" s="569"/>
      <c r="K962" s="569"/>
      <c r="L962" s="569"/>
      <c r="M962" s="569"/>
      <c r="N962" s="569"/>
      <c r="O962" s="569"/>
      <c r="P962" s="569"/>
      <c r="Q962" s="569"/>
      <c r="R962" s="569"/>
      <c r="S962" s="569"/>
      <c r="T962" s="569"/>
      <c r="U962" s="569"/>
      <c r="V962" s="569"/>
      <c r="W962" s="569"/>
      <c r="X962" s="569"/>
      <c r="Y962" s="569"/>
      <c r="Z962" s="569"/>
      <c r="AA962" s="569"/>
      <c r="AB962" s="569"/>
      <c r="AC962" s="569"/>
      <c r="AD962" s="569"/>
      <c r="AE962" s="569"/>
    </row>
    <row r="963" spans="1:31" ht="15.75" thickBot="1" x14ac:dyDescent="0.3">
      <c r="A963" s="569"/>
      <c r="B963" s="569"/>
      <c r="C963" s="569"/>
      <c r="D963" s="569"/>
      <c r="E963" s="569"/>
      <c r="F963" s="569"/>
      <c r="G963" s="569"/>
      <c r="H963" s="569"/>
      <c r="I963" s="569"/>
      <c r="J963" s="569"/>
      <c r="K963" s="569"/>
      <c r="L963" s="569"/>
      <c r="M963" s="569"/>
      <c r="N963" s="569"/>
      <c r="O963" s="569"/>
      <c r="P963" s="569"/>
      <c r="Q963" s="569"/>
      <c r="R963" s="569"/>
      <c r="S963" s="569"/>
      <c r="T963" s="569"/>
      <c r="U963" s="569"/>
      <c r="V963" s="569"/>
      <c r="W963" s="569"/>
      <c r="X963" s="569"/>
      <c r="Y963" s="569"/>
      <c r="Z963" s="569"/>
      <c r="AA963" s="569"/>
      <c r="AB963" s="569"/>
      <c r="AC963" s="569"/>
      <c r="AD963" s="569"/>
      <c r="AE963" s="569"/>
    </row>
    <row r="964" spans="1:31" ht="15.75" thickBot="1" x14ac:dyDescent="0.3">
      <c r="A964" s="569"/>
      <c r="B964" s="569"/>
      <c r="C964" s="569"/>
      <c r="D964" s="569"/>
      <c r="E964" s="569"/>
      <c r="F964" s="569"/>
      <c r="G964" s="569"/>
      <c r="H964" s="569"/>
      <c r="I964" s="569"/>
      <c r="J964" s="569"/>
      <c r="K964" s="569"/>
      <c r="L964" s="569"/>
      <c r="M964" s="569"/>
      <c r="N964" s="569"/>
      <c r="O964" s="569"/>
      <c r="P964" s="569"/>
      <c r="Q964" s="569"/>
      <c r="R964" s="569"/>
      <c r="S964" s="569"/>
      <c r="T964" s="569"/>
      <c r="U964" s="569"/>
      <c r="V964" s="569"/>
      <c r="W964" s="569"/>
      <c r="X964" s="569"/>
      <c r="Y964" s="569"/>
      <c r="Z964" s="569"/>
      <c r="AA964" s="569"/>
      <c r="AB964" s="569"/>
      <c r="AC964" s="569"/>
      <c r="AD964" s="569"/>
      <c r="AE964" s="569"/>
    </row>
    <row r="965" spans="1:31" ht="15.75" thickBot="1" x14ac:dyDescent="0.3">
      <c r="A965" s="569"/>
      <c r="B965" s="569"/>
      <c r="C965" s="569"/>
      <c r="D965" s="569"/>
      <c r="E965" s="569"/>
      <c r="F965" s="569"/>
      <c r="G965" s="569"/>
      <c r="H965" s="569"/>
      <c r="I965" s="569"/>
      <c r="J965" s="569"/>
      <c r="K965" s="569"/>
      <c r="L965" s="569"/>
      <c r="M965" s="569"/>
      <c r="N965" s="569"/>
      <c r="O965" s="569"/>
      <c r="P965" s="569"/>
      <c r="Q965" s="569"/>
      <c r="R965" s="569"/>
      <c r="S965" s="569"/>
      <c r="T965" s="569"/>
      <c r="U965" s="569"/>
      <c r="V965" s="569"/>
      <c r="W965" s="569"/>
      <c r="X965" s="569"/>
      <c r="Y965" s="569"/>
      <c r="Z965" s="569"/>
      <c r="AA965" s="569"/>
      <c r="AB965" s="569"/>
      <c r="AC965" s="569"/>
      <c r="AD965" s="569"/>
      <c r="AE965" s="569"/>
    </row>
    <row r="966" spans="1:31" ht="15.75" thickBot="1" x14ac:dyDescent="0.3">
      <c r="A966" s="569"/>
      <c r="B966" s="569"/>
      <c r="C966" s="569"/>
      <c r="D966" s="569"/>
      <c r="E966" s="569"/>
      <c r="F966" s="569"/>
      <c r="G966" s="569"/>
      <c r="H966" s="569"/>
      <c r="I966" s="569"/>
      <c r="J966" s="569"/>
      <c r="K966" s="569"/>
      <c r="L966" s="569"/>
      <c r="M966" s="569"/>
      <c r="N966" s="569"/>
      <c r="O966" s="569"/>
      <c r="P966" s="569"/>
      <c r="Q966" s="569"/>
      <c r="R966" s="569"/>
      <c r="S966" s="569"/>
      <c r="T966" s="569"/>
      <c r="U966" s="569"/>
      <c r="V966" s="569"/>
      <c r="W966" s="569"/>
      <c r="X966" s="569"/>
      <c r="Y966" s="569"/>
      <c r="Z966" s="569"/>
      <c r="AA966" s="569"/>
      <c r="AB966" s="569"/>
      <c r="AC966" s="569"/>
      <c r="AD966" s="569"/>
      <c r="AE966" s="569"/>
    </row>
    <row r="967" spans="1:31" ht="15.75" thickBot="1" x14ac:dyDescent="0.3">
      <c r="A967" s="569"/>
      <c r="B967" s="569"/>
      <c r="C967" s="569"/>
      <c r="D967" s="569"/>
      <c r="E967" s="569"/>
      <c r="F967" s="569"/>
      <c r="G967" s="569"/>
      <c r="H967" s="569"/>
      <c r="I967" s="569"/>
      <c r="J967" s="569"/>
      <c r="K967" s="569"/>
      <c r="L967" s="569"/>
      <c r="M967" s="569"/>
      <c r="N967" s="569"/>
      <c r="O967" s="569"/>
      <c r="P967" s="569"/>
      <c r="Q967" s="569"/>
      <c r="R967" s="569"/>
      <c r="S967" s="569"/>
      <c r="T967" s="569"/>
      <c r="U967" s="569"/>
      <c r="V967" s="569"/>
      <c r="W967" s="569"/>
      <c r="X967" s="569"/>
      <c r="Y967" s="569"/>
      <c r="Z967" s="569"/>
      <c r="AA967" s="569"/>
      <c r="AB967" s="569"/>
      <c r="AC967" s="569"/>
      <c r="AD967" s="569"/>
      <c r="AE967" s="569"/>
    </row>
    <row r="968" spans="1:31" ht="15.75" thickBot="1" x14ac:dyDescent="0.3">
      <c r="A968" s="569"/>
      <c r="B968" s="569"/>
      <c r="C968" s="569"/>
      <c r="D968" s="569"/>
      <c r="E968" s="569"/>
      <c r="F968" s="569"/>
      <c r="G968" s="569"/>
      <c r="H968" s="569"/>
      <c r="I968" s="569"/>
      <c r="J968" s="569"/>
      <c r="K968" s="569"/>
      <c r="L968" s="569"/>
      <c r="M968" s="569"/>
      <c r="N968" s="569"/>
      <c r="O968" s="569"/>
      <c r="P968" s="569"/>
      <c r="Q968" s="569"/>
      <c r="R968" s="569"/>
      <c r="S968" s="569"/>
      <c r="T968" s="569"/>
      <c r="U968" s="569"/>
      <c r="V968" s="569"/>
      <c r="W968" s="569"/>
      <c r="X968" s="569"/>
      <c r="Y968" s="569"/>
      <c r="Z968" s="569"/>
      <c r="AA968" s="569"/>
      <c r="AB968" s="569"/>
      <c r="AC968" s="569"/>
      <c r="AD968" s="569"/>
      <c r="AE968" s="569"/>
    </row>
    <row r="969" spans="1:31" ht="15.75" thickBot="1" x14ac:dyDescent="0.3">
      <c r="A969" s="569"/>
      <c r="B969" s="569"/>
      <c r="C969" s="569"/>
      <c r="D969" s="569"/>
      <c r="E969" s="569"/>
      <c r="F969" s="569"/>
      <c r="G969" s="569"/>
      <c r="H969" s="569"/>
      <c r="I969" s="569"/>
      <c r="J969" s="569"/>
      <c r="K969" s="569"/>
      <c r="L969" s="569"/>
      <c r="M969" s="569"/>
      <c r="N969" s="569"/>
      <c r="O969" s="569"/>
      <c r="P969" s="569"/>
      <c r="Q969" s="569"/>
      <c r="R969" s="569"/>
      <c r="S969" s="569"/>
      <c r="T969" s="569"/>
      <c r="U969" s="569"/>
      <c r="V969" s="569"/>
      <c r="W969" s="569"/>
      <c r="X969" s="569"/>
      <c r="Y969" s="569"/>
      <c r="Z969" s="569"/>
      <c r="AA969" s="569"/>
      <c r="AB969" s="569"/>
      <c r="AC969" s="569"/>
      <c r="AD969" s="569"/>
      <c r="AE969" s="569"/>
    </row>
    <row r="970" spans="1:31" ht="15.75" thickBot="1" x14ac:dyDescent="0.3">
      <c r="A970" s="569"/>
      <c r="B970" s="569"/>
      <c r="C970" s="569"/>
      <c r="D970" s="569"/>
      <c r="E970" s="569"/>
      <c r="F970" s="569"/>
      <c r="G970" s="569"/>
      <c r="H970" s="569"/>
      <c r="I970" s="569"/>
      <c r="J970" s="569"/>
      <c r="K970" s="569"/>
      <c r="L970" s="569"/>
      <c r="M970" s="569"/>
      <c r="N970" s="569"/>
      <c r="O970" s="569"/>
      <c r="P970" s="569"/>
      <c r="Q970" s="569"/>
      <c r="R970" s="569"/>
      <c r="S970" s="569"/>
      <c r="T970" s="569"/>
      <c r="U970" s="569"/>
      <c r="V970" s="569"/>
      <c r="W970" s="569"/>
      <c r="X970" s="569"/>
      <c r="Y970" s="569"/>
      <c r="Z970" s="569"/>
      <c r="AA970" s="569"/>
      <c r="AB970" s="569"/>
      <c r="AC970" s="569"/>
      <c r="AD970" s="569"/>
      <c r="AE970" s="569"/>
    </row>
    <row r="971" spans="1:31" ht="15.75" thickBot="1" x14ac:dyDescent="0.3">
      <c r="A971" s="569"/>
      <c r="B971" s="569"/>
      <c r="C971" s="569"/>
      <c r="D971" s="569"/>
      <c r="E971" s="569"/>
      <c r="F971" s="569"/>
      <c r="G971" s="569"/>
      <c r="H971" s="569"/>
      <c r="I971" s="569"/>
      <c r="J971" s="569"/>
      <c r="K971" s="569"/>
      <c r="L971" s="569"/>
      <c r="M971" s="569"/>
      <c r="N971" s="569"/>
      <c r="O971" s="569"/>
      <c r="P971" s="569"/>
      <c r="Q971" s="569"/>
      <c r="R971" s="569"/>
      <c r="S971" s="569"/>
      <c r="T971" s="569"/>
      <c r="U971" s="569"/>
      <c r="V971" s="569"/>
      <c r="W971" s="569"/>
      <c r="X971" s="569"/>
      <c r="Y971" s="569"/>
      <c r="Z971" s="569"/>
      <c r="AA971" s="569"/>
      <c r="AB971" s="569"/>
      <c r="AC971" s="569"/>
      <c r="AD971" s="569"/>
      <c r="AE971" s="569"/>
    </row>
    <row r="972" spans="1:31" ht="15.75" thickBot="1" x14ac:dyDescent="0.3">
      <c r="A972" s="569"/>
      <c r="B972" s="569"/>
      <c r="C972" s="569"/>
      <c r="D972" s="569"/>
      <c r="E972" s="569"/>
      <c r="F972" s="569"/>
      <c r="G972" s="569"/>
      <c r="H972" s="569"/>
      <c r="I972" s="569"/>
      <c r="J972" s="569"/>
      <c r="K972" s="569"/>
      <c r="L972" s="569"/>
      <c r="M972" s="569"/>
      <c r="N972" s="569"/>
      <c r="O972" s="569"/>
      <c r="P972" s="569"/>
      <c r="Q972" s="569"/>
      <c r="R972" s="569"/>
      <c r="S972" s="569"/>
      <c r="T972" s="569"/>
      <c r="U972" s="569"/>
      <c r="V972" s="569"/>
      <c r="W972" s="569"/>
      <c r="X972" s="569"/>
      <c r="Y972" s="569"/>
      <c r="Z972" s="569"/>
      <c r="AA972" s="569"/>
      <c r="AB972" s="569"/>
      <c r="AC972" s="569"/>
      <c r="AD972" s="569"/>
      <c r="AE972" s="569"/>
    </row>
    <row r="973" spans="1:31" ht="15.75" thickBot="1" x14ac:dyDescent="0.3">
      <c r="A973" s="569"/>
      <c r="B973" s="569"/>
      <c r="C973" s="569"/>
      <c r="D973" s="569"/>
      <c r="E973" s="569"/>
      <c r="F973" s="569"/>
      <c r="G973" s="569"/>
      <c r="H973" s="569"/>
      <c r="I973" s="569"/>
      <c r="J973" s="569"/>
      <c r="K973" s="569"/>
      <c r="L973" s="569"/>
      <c r="M973" s="569"/>
      <c r="N973" s="569"/>
      <c r="O973" s="569"/>
      <c r="P973" s="569"/>
      <c r="Q973" s="569"/>
      <c r="R973" s="569"/>
      <c r="S973" s="569"/>
      <c r="T973" s="569"/>
      <c r="U973" s="569"/>
      <c r="V973" s="569"/>
      <c r="W973" s="569"/>
      <c r="X973" s="569"/>
      <c r="Y973" s="569"/>
      <c r="Z973" s="569"/>
      <c r="AA973" s="569"/>
      <c r="AB973" s="569"/>
      <c r="AC973" s="569"/>
      <c r="AD973" s="569"/>
      <c r="AE973" s="569"/>
    </row>
    <row r="974" spans="1:31" ht="15.75" thickBot="1" x14ac:dyDescent="0.3">
      <c r="A974" s="569"/>
      <c r="B974" s="569"/>
      <c r="C974" s="569"/>
      <c r="D974" s="569"/>
      <c r="E974" s="569"/>
      <c r="F974" s="569"/>
      <c r="G974" s="569"/>
      <c r="H974" s="569"/>
      <c r="I974" s="569"/>
      <c r="J974" s="569"/>
      <c r="K974" s="569"/>
      <c r="L974" s="569"/>
      <c r="M974" s="569"/>
      <c r="N974" s="569"/>
      <c r="O974" s="569"/>
      <c r="P974" s="569"/>
      <c r="Q974" s="569"/>
      <c r="R974" s="569"/>
      <c r="S974" s="569"/>
      <c r="T974" s="569"/>
      <c r="U974" s="569"/>
      <c r="V974" s="569"/>
      <c r="W974" s="569"/>
      <c r="X974" s="569"/>
      <c r="Y974" s="569"/>
      <c r="Z974" s="569"/>
      <c r="AA974" s="569"/>
      <c r="AB974" s="569"/>
      <c r="AC974" s="569"/>
      <c r="AD974" s="569"/>
      <c r="AE974" s="569"/>
    </row>
    <row r="975" spans="1:31" ht="15.75" thickBot="1" x14ac:dyDescent="0.3">
      <c r="A975" s="569"/>
      <c r="B975" s="569"/>
      <c r="C975" s="569"/>
      <c r="D975" s="569"/>
      <c r="E975" s="569"/>
      <c r="F975" s="569"/>
      <c r="G975" s="569"/>
      <c r="H975" s="569"/>
      <c r="I975" s="569"/>
      <c r="J975" s="569"/>
      <c r="K975" s="569"/>
      <c r="L975" s="569"/>
      <c r="M975" s="569"/>
      <c r="N975" s="569"/>
      <c r="O975" s="569"/>
      <c r="P975" s="569"/>
      <c r="Q975" s="569"/>
      <c r="R975" s="569"/>
      <c r="S975" s="569"/>
      <c r="T975" s="569"/>
      <c r="U975" s="569"/>
      <c r="V975" s="569"/>
      <c r="W975" s="569"/>
      <c r="X975" s="569"/>
      <c r="Y975" s="569"/>
      <c r="Z975" s="569"/>
      <c r="AA975" s="569"/>
      <c r="AB975" s="569"/>
      <c r="AC975" s="569"/>
      <c r="AD975" s="569"/>
      <c r="AE975" s="569"/>
    </row>
    <row r="976" spans="1:31" ht="15.75" thickBot="1" x14ac:dyDescent="0.3">
      <c r="A976" s="569"/>
      <c r="B976" s="569"/>
      <c r="C976" s="569"/>
      <c r="D976" s="569"/>
      <c r="E976" s="569"/>
      <c r="F976" s="569"/>
      <c r="G976" s="569"/>
      <c r="H976" s="569"/>
      <c r="I976" s="569"/>
      <c r="J976" s="569"/>
      <c r="K976" s="569"/>
      <c r="L976" s="569"/>
      <c r="M976" s="569"/>
      <c r="N976" s="569"/>
      <c r="O976" s="569"/>
      <c r="P976" s="569"/>
      <c r="Q976" s="569"/>
      <c r="R976" s="569"/>
      <c r="S976" s="569"/>
      <c r="T976" s="569"/>
      <c r="U976" s="569"/>
      <c r="V976" s="569"/>
      <c r="W976" s="569"/>
      <c r="X976" s="569"/>
      <c r="Y976" s="569"/>
      <c r="Z976" s="569"/>
      <c r="AA976" s="569"/>
      <c r="AB976" s="569"/>
      <c r="AC976" s="569"/>
      <c r="AD976" s="569"/>
      <c r="AE976" s="569"/>
    </row>
    <row r="977" spans="1:31" ht="15.75" thickBot="1" x14ac:dyDescent="0.3">
      <c r="A977" s="569"/>
      <c r="B977" s="569"/>
      <c r="C977" s="569"/>
      <c r="D977" s="569"/>
      <c r="E977" s="569"/>
      <c r="F977" s="569"/>
      <c r="G977" s="569"/>
      <c r="H977" s="569"/>
      <c r="I977" s="569"/>
      <c r="J977" s="569"/>
      <c r="K977" s="569"/>
      <c r="L977" s="569"/>
      <c r="M977" s="569"/>
      <c r="N977" s="569"/>
      <c r="O977" s="569"/>
      <c r="P977" s="569"/>
      <c r="Q977" s="569"/>
      <c r="R977" s="569"/>
      <c r="S977" s="569"/>
      <c r="T977" s="569"/>
      <c r="U977" s="569"/>
      <c r="V977" s="569"/>
      <c r="W977" s="569"/>
      <c r="X977" s="569"/>
      <c r="Y977" s="569"/>
      <c r="Z977" s="569"/>
      <c r="AA977" s="569"/>
      <c r="AB977" s="569"/>
      <c r="AC977" s="569"/>
      <c r="AD977" s="569"/>
      <c r="AE977" s="569"/>
    </row>
    <row r="978" spans="1:31" ht="15.75" thickBot="1" x14ac:dyDescent="0.3">
      <c r="A978" s="569"/>
      <c r="B978" s="569"/>
      <c r="C978" s="569"/>
      <c r="D978" s="569"/>
      <c r="E978" s="569"/>
      <c r="F978" s="569"/>
      <c r="G978" s="569"/>
      <c r="H978" s="569"/>
      <c r="I978" s="569"/>
      <c r="J978" s="569"/>
      <c r="K978" s="569"/>
      <c r="L978" s="569"/>
      <c r="M978" s="569"/>
      <c r="N978" s="569"/>
      <c r="O978" s="569"/>
      <c r="P978" s="569"/>
      <c r="Q978" s="569"/>
      <c r="R978" s="569"/>
      <c r="S978" s="569"/>
      <c r="T978" s="569"/>
      <c r="U978" s="569"/>
      <c r="V978" s="569"/>
      <c r="W978" s="569"/>
      <c r="X978" s="569"/>
      <c r="Y978" s="569"/>
      <c r="Z978" s="569"/>
      <c r="AA978" s="569"/>
      <c r="AB978" s="569"/>
      <c r="AC978" s="569"/>
      <c r="AD978" s="569"/>
      <c r="AE978" s="569"/>
    </row>
    <row r="979" spans="1:31" ht="15.75" thickBot="1" x14ac:dyDescent="0.3">
      <c r="A979" s="569"/>
      <c r="B979" s="569"/>
      <c r="C979" s="569"/>
      <c r="D979" s="569"/>
      <c r="E979" s="569"/>
      <c r="F979" s="569"/>
      <c r="G979" s="569"/>
      <c r="H979" s="569"/>
      <c r="I979" s="569"/>
      <c r="J979" s="569"/>
      <c r="K979" s="569"/>
      <c r="L979" s="569"/>
      <c r="M979" s="569"/>
      <c r="N979" s="569"/>
      <c r="O979" s="569"/>
      <c r="P979" s="569"/>
      <c r="Q979" s="569"/>
      <c r="R979" s="569"/>
      <c r="S979" s="569"/>
      <c r="T979" s="569"/>
      <c r="U979" s="569"/>
      <c r="V979" s="569"/>
      <c r="W979" s="569"/>
      <c r="X979" s="569"/>
      <c r="Y979" s="569"/>
      <c r="Z979" s="569"/>
      <c r="AA979" s="569"/>
      <c r="AB979" s="569"/>
      <c r="AC979" s="569"/>
      <c r="AD979" s="569"/>
      <c r="AE979" s="569"/>
    </row>
    <row r="980" spans="1:31" ht="15.75" thickBot="1" x14ac:dyDescent="0.3">
      <c r="A980" s="569"/>
      <c r="B980" s="569"/>
      <c r="C980" s="569"/>
      <c r="D980" s="569"/>
      <c r="E980" s="569"/>
      <c r="F980" s="569"/>
      <c r="G980" s="569"/>
      <c r="H980" s="569"/>
      <c r="I980" s="569"/>
      <c r="J980" s="569"/>
      <c r="K980" s="569"/>
      <c r="L980" s="569"/>
      <c r="M980" s="569"/>
      <c r="N980" s="569"/>
      <c r="O980" s="569"/>
      <c r="P980" s="569"/>
      <c r="Q980" s="569"/>
      <c r="R980" s="569"/>
      <c r="S980" s="569"/>
      <c r="T980" s="569"/>
      <c r="U980" s="569"/>
      <c r="V980" s="569"/>
      <c r="W980" s="569"/>
      <c r="X980" s="569"/>
      <c r="Y980" s="569"/>
      <c r="Z980" s="569"/>
      <c r="AA980" s="569"/>
      <c r="AB980" s="569"/>
      <c r="AC980" s="569"/>
      <c r="AD980" s="569"/>
      <c r="AE980" s="569"/>
    </row>
    <row r="981" spans="1:31" ht="15.75" thickBot="1" x14ac:dyDescent="0.3">
      <c r="A981" s="569"/>
      <c r="B981" s="569"/>
      <c r="C981" s="569"/>
      <c r="D981" s="569"/>
      <c r="E981" s="569"/>
      <c r="F981" s="569"/>
      <c r="G981" s="569"/>
      <c r="H981" s="569"/>
      <c r="I981" s="569"/>
      <c r="J981" s="569"/>
      <c r="K981" s="569"/>
      <c r="L981" s="569"/>
      <c r="M981" s="569"/>
      <c r="N981" s="569"/>
      <c r="O981" s="569"/>
      <c r="P981" s="569"/>
      <c r="Q981" s="569"/>
      <c r="R981" s="569"/>
      <c r="S981" s="569"/>
      <c r="T981" s="569"/>
      <c r="U981" s="569"/>
      <c r="V981" s="569"/>
      <c r="W981" s="569"/>
      <c r="X981" s="569"/>
      <c r="Y981" s="569"/>
      <c r="Z981" s="569"/>
      <c r="AA981" s="569"/>
      <c r="AB981" s="569"/>
      <c r="AC981" s="569"/>
      <c r="AD981" s="569"/>
      <c r="AE981" s="569"/>
    </row>
    <row r="982" spans="1:31" ht="15.75" thickBot="1" x14ac:dyDescent="0.3">
      <c r="A982" s="569"/>
      <c r="B982" s="569"/>
      <c r="C982" s="569"/>
      <c r="D982" s="569"/>
      <c r="E982" s="569"/>
      <c r="F982" s="569"/>
      <c r="G982" s="569"/>
      <c r="H982" s="569"/>
      <c r="I982" s="569"/>
      <c r="J982" s="569"/>
      <c r="K982" s="569"/>
      <c r="L982" s="569"/>
      <c r="M982" s="569"/>
      <c r="N982" s="569"/>
      <c r="O982" s="569"/>
      <c r="P982" s="569"/>
      <c r="Q982" s="569"/>
      <c r="R982" s="569"/>
      <c r="S982" s="569"/>
      <c r="T982" s="569"/>
      <c r="U982" s="569"/>
      <c r="V982" s="569"/>
      <c r="W982" s="569"/>
      <c r="X982" s="569"/>
      <c r="Y982" s="569"/>
      <c r="Z982" s="569"/>
      <c r="AA982" s="569"/>
      <c r="AB982" s="569"/>
      <c r="AC982" s="569"/>
      <c r="AD982" s="569"/>
      <c r="AE982" s="569"/>
    </row>
    <row r="983" spans="1:31" ht="15.75" thickBot="1" x14ac:dyDescent="0.3">
      <c r="A983" s="569"/>
      <c r="B983" s="569"/>
      <c r="C983" s="569"/>
      <c r="D983" s="569"/>
      <c r="E983" s="569"/>
      <c r="F983" s="569"/>
      <c r="G983" s="569"/>
      <c r="H983" s="569"/>
      <c r="I983" s="569"/>
      <c r="J983" s="569"/>
      <c r="K983" s="569"/>
      <c r="L983" s="569"/>
      <c r="M983" s="569"/>
      <c r="N983" s="569"/>
      <c r="O983" s="569"/>
      <c r="P983" s="569"/>
      <c r="Q983" s="569"/>
      <c r="R983" s="569"/>
      <c r="S983" s="569"/>
      <c r="T983" s="569"/>
      <c r="U983" s="569"/>
      <c r="V983" s="569"/>
      <c r="W983" s="569"/>
      <c r="X983" s="569"/>
      <c r="Y983" s="569"/>
      <c r="Z983" s="569"/>
      <c r="AA983" s="569"/>
      <c r="AB983" s="569"/>
      <c r="AC983" s="569"/>
      <c r="AD983" s="569"/>
      <c r="AE983" s="569"/>
    </row>
    <row r="984" spans="1:31" ht="15.75" thickBot="1" x14ac:dyDescent="0.3">
      <c r="A984" s="569"/>
      <c r="B984" s="569"/>
      <c r="C984" s="569"/>
      <c r="D984" s="569"/>
      <c r="E984" s="569"/>
      <c r="F984" s="569"/>
      <c r="G984" s="569"/>
      <c r="H984" s="569"/>
      <c r="I984" s="569"/>
      <c r="J984" s="569"/>
      <c r="K984" s="569"/>
      <c r="L984" s="569"/>
      <c r="M984" s="569"/>
      <c r="N984" s="569"/>
      <c r="O984" s="569"/>
      <c r="P984" s="569"/>
      <c r="Q984" s="569"/>
      <c r="R984" s="569"/>
      <c r="S984" s="569"/>
      <c r="T984" s="569"/>
      <c r="U984" s="569"/>
      <c r="V984" s="569"/>
      <c r="W984" s="569"/>
      <c r="X984" s="569"/>
      <c r="Y984" s="569"/>
      <c r="Z984" s="569"/>
      <c r="AA984" s="569"/>
      <c r="AB984" s="569"/>
      <c r="AC984" s="569"/>
      <c r="AD984" s="569"/>
      <c r="AE984" s="569"/>
    </row>
    <row r="985" spans="1:31" ht="15.75" thickBot="1" x14ac:dyDescent="0.3">
      <c r="A985" s="569"/>
      <c r="B985" s="569"/>
      <c r="C985" s="569"/>
      <c r="D985" s="569"/>
      <c r="E985" s="569"/>
      <c r="F985" s="569"/>
      <c r="G985" s="569"/>
      <c r="H985" s="569"/>
      <c r="I985" s="569"/>
      <c r="J985" s="569"/>
      <c r="K985" s="569"/>
      <c r="L985" s="569"/>
      <c r="M985" s="569"/>
      <c r="N985" s="569"/>
      <c r="O985" s="569"/>
      <c r="P985" s="569"/>
      <c r="Q985" s="569"/>
      <c r="R985" s="569"/>
      <c r="S985" s="569"/>
      <c r="T985" s="569"/>
      <c r="U985" s="569"/>
      <c r="V985" s="569"/>
      <c r="W985" s="569"/>
      <c r="X985" s="569"/>
      <c r="Y985" s="569"/>
      <c r="Z985" s="569"/>
      <c r="AA985" s="569"/>
      <c r="AB985" s="569"/>
      <c r="AC985" s="569"/>
      <c r="AD985" s="569"/>
      <c r="AE985" s="569"/>
    </row>
    <row r="986" spans="1:31" ht="15.75" thickBot="1" x14ac:dyDescent="0.3">
      <c r="A986" s="569"/>
      <c r="B986" s="569"/>
      <c r="C986" s="569"/>
      <c r="D986" s="569"/>
      <c r="E986" s="569"/>
      <c r="F986" s="569"/>
      <c r="G986" s="569"/>
      <c r="H986" s="569"/>
      <c r="I986" s="569"/>
      <c r="J986" s="569"/>
      <c r="K986" s="569"/>
      <c r="L986" s="569"/>
      <c r="M986" s="569"/>
      <c r="N986" s="569"/>
      <c r="O986" s="569"/>
      <c r="P986" s="569"/>
      <c r="Q986" s="569"/>
      <c r="R986" s="569"/>
      <c r="S986" s="569"/>
      <c r="T986" s="569"/>
      <c r="U986" s="569"/>
      <c r="V986" s="569"/>
      <c r="W986" s="569"/>
      <c r="X986" s="569"/>
      <c r="Y986" s="569"/>
      <c r="Z986" s="569"/>
      <c r="AA986" s="569"/>
      <c r="AB986" s="569"/>
      <c r="AC986" s="569"/>
      <c r="AD986" s="569"/>
      <c r="AE986" s="569"/>
    </row>
    <row r="987" spans="1:31" ht="15.75" thickBot="1" x14ac:dyDescent="0.3">
      <c r="A987" s="569"/>
      <c r="B987" s="569"/>
      <c r="C987" s="569"/>
      <c r="D987" s="569"/>
      <c r="E987" s="569"/>
      <c r="F987" s="569"/>
      <c r="G987" s="569"/>
      <c r="H987" s="569"/>
      <c r="I987" s="569"/>
      <c r="J987" s="569"/>
      <c r="K987" s="569"/>
      <c r="L987" s="569"/>
      <c r="M987" s="569"/>
      <c r="N987" s="569"/>
      <c r="O987" s="569"/>
      <c r="P987" s="569"/>
      <c r="Q987" s="569"/>
      <c r="R987" s="569"/>
      <c r="S987" s="569"/>
      <c r="T987" s="569"/>
      <c r="U987" s="569"/>
      <c r="V987" s="569"/>
      <c r="W987" s="569"/>
      <c r="X987" s="569"/>
      <c r="Y987" s="569"/>
      <c r="Z987" s="569"/>
      <c r="AA987" s="569"/>
      <c r="AB987" s="569"/>
      <c r="AC987" s="569"/>
      <c r="AD987" s="569"/>
      <c r="AE987" s="569"/>
    </row>
    <row r="988" spans="1:31" ht="15.75" thickBot="1" x14ac:dyDescent="0.3">
      <c r="A988" s="569"/>
      <c r="B988" s="569"/>
      <c r="C988" s="569"/>
      <c r="D988" s="569"/>
      <c r="E988" s="569"/>
      <c r="F988" s="569"/>
      <c r="G988" s="569"/>
      <c r="H988" s="569"/>
      <c r="I988" s="569"/>
      <c r="J988" s="569"/>
      <c r="K988" s="569"/>
      <c r="L988" s="569"/>
      <c r="M988" s="569"/>
      <c r="N988" s="569"/>
      <c r="O988" s="569"/>
      <c r="P988" s="569"/>
      <c r="Q988" s="569"/>
      <c r="R988" s="569"/>
      <c r="S988" s="569"/>
      <c r="T988" s="569"/>
      <c r="U988" s="569"/>
      <c r="V988" s="569"/>
      <c r="W988" s="569"/>
      <c r="X988" s="569"/>
      <c r="Y988" s="569"/>
      <c r="Z988" s="569"/>
      <c r="AA988" s="569"/>
      <c r="AB988" s="569"/>
      <c r="AC988" s="569"/>
      <c r="AD988" s="569"/>
      <c r="AE988" s="569"/>
    </row>
    <row r="989" spans="1:31" ht="15.75" thickBot="1" x14ac:dyDescent="0.3">
      <c r="A989" s="569"/>
      <c r="B989" s="569"/>
      <c r="C989" s="569"/>
      <c r="D989" s="569"/>
      <c r="E989" s="569"/>
      <c r="F989" s="569"/>
      <c r="G989" s="569"/>
      <c r="H989" s="569"/>
      <c r="I989" s="569"/>
      <c r="J989" s="569"/>
      <c r="K989" s="569"/>
      <c r="L989" s="569"/>
      <c r="M989" s="569"/>
      <c r="N989" s="569"/>
      <c r="O989" s="569"/>
      <c r="P989" s="569"/>
      <c r="Q989" s="569"/>
      <c r="R989" s="569"/>
      <c r="S989" s="569"/>
      <c r="T989" s="569"/>
      <c r="U989" s="569"/>
      <c r="V989" s="569"/>
      <c r="W989" s="569"/>
      <c r="X989" s="569"/>
      <c r="Y989" s="569"/>
      <c r="Z989" s="569"/>
      <c r="AA989" s="569"/>
      <c r="AB989" s="569"/>
      <c r="AC989" s="569"/>
      <c r="AD989" s="569"/>
      <c r="AE989" s="569"/>
    </row>
    <row r="990" spans="1:31" ht="15.75" thickBot="1" x14ac:dyDescent="0.3">
      <c r="A990" s="569"/>
      <c r="B990" s="569"/>
      <c r="C990" s="569"/>
      <c r="D990" s="569"/>
      <c r="E990" s="569"/>
      <c r="F990" s="569"/>
      <c r="G990" s="569"/>
      <c r="H990" s="569"/>
      <c r="I990" s="569"/>
      <c r="J990" s="569"/>
      <c r="K990" s="569"/>
      <c r="L990" s="569"/>
      <c r="M990" s="569"/>
      <c r="N990" s="569"/>
      <c r="O990" s="569"/>
      <c r="P990" s="569"/>
      <c r="Q990" s="569"/>
      <c r="R990" s="569"/>
      <c r="S990" s="569"/>
      <c r="T990" s="569"/>
      <c r="U990" s="569"/>
      <c r="V990" s="569"/>
      <c r="W990" s="569"/>
      <c r="X990" s="569"/>
      <c r="Y990" s="569"/>
      <c r="Z990" s="569"/>
      <c r="AA990" s="569"/>
      <c r="AB990" s="569"/>
      <c r="AC990" s="569"/>
      <c r="AD990" s="569"/>
      <c r="AE990" s="569"/>
    </row>
    <row r="991" spans="1:31" ht="15.75" thickBot="1" x14ac:dyDescent="0.3">
      <c r="A991" s="569"/>
      <c r="B991" s="569"/>
      <c r="C991" s="569"/>
      <c r="D991" s="569"/>
      <c r="E991" s="569"/>
      <c r="F991" s="569"/>
      <c r="G991" s="569"/>
      <c r="H991" s="569"/>
      <c r="I991" s="569"/>
      <c r="J991" s="569"/>
      <c r="K991" s="569"/>
      <c r="L991" s="569"/>
      <c r="M991" s="569"/>
      <c r="N991" s="569"/>
      <c r="O991" s="569"/>
      <c r="P991" s="569"/>
      <c r="Q991" s="569"/>
      <c r="R991" s="569"/>
      <c r="S991" s="569"/>
      <c r="T991" s="569"/>
      <c r="U991" s="569"/>
      <c r="V991" s="569"/>
      <c r="W991" s="569"/>
      <c r="X991" s="569"/>
      <c r="Y991" s="569"/>
      <c r="Z991" s="569"/>
      <c r="AA991" s="569"/>
      <c r="AB991" s="569"/>
      <c r="AC991" s="569"/>
      <c r="AD991" s="569"/>
      <c r="AE991" s="569"/>
    </row>
    <row r="992" spans="1:31" ht="15.75" thickBot="1" x14ac:dyDescent="0.3">
      <c r="A992" s="569"/>
      <c r="B992" s="569"/>
      <c r="C992" s="569"/>
      <c r="D992" s="569"/>
      <c r="E992" s="569"/>
      <c r="F992" s="569"/>
      <c r="G992" s="569"/>
      <c r="H992" s="569"/>
      <c r="I992" s="569"/>
      <c r="J992" s="569"/>
      <c r="K992" s="569"/>
      <c r="L992" s="569"/>
      <c r="M992" s="569"/>
      <c r="N992" s="569"/>
      <c r="O992" s="569"/>
      <c r="P992" s="569"/>
      <c r="Q992" s="569"/>
      <c r="R992" s="569"/>
      <c r="S992" s="569"/>
      <c r="T992" s="569"/>
      <c r="U992" s="569"/>
      <c r="V992" s="569"/>
      <c r="W992" s="569"/>
      <c r="X992" s="569"/>
      <c r="Y992" s="569"/>
      <c r="Z992" s="569"/>
      <c r="AA992" s="569"/>
      <c r="AB992" s="569"/>
      <c r="AC992" s="569"/>
      <c r="AD992" s="569"/>
      <c r="AE992" s="569"/>
    </row>
    <row r="993" spans="1:31" ht="15.75" thickBot="1" x14ac:dyDescent="0.3">
      <c r="A993" s="569"/>
      <c r="B993" s="569"/>
      <c r="C993" s="569"/>
      <c r="D993" s="569"/>
      <c r="E993" s="569"/>
      <c r="F993" s="569"/>
      <c r="G993" s="569"/>
      <c r="H993" s="569"/>
      <c r="I993" s="569"/>
      <c r="J993" s="569"/>
      <c r="K993" s="569"/>
      <c r="L993" s="569"/>
      <c r="M993" s="569"/>
      <c r="N993" s="569"/>
      <c r="O993" s="569"/>
      <c r="P993" s="569"/>
      <c r="Q993" s="569"/>
      <c r="R993" s="569"/>
      <c r="S993" s="569"/>
      <c r="T993" s="569"/>
      <c r="U993" s="569"/>
      <c r="V993" s="569"/>
      <c r="W993" s="569"/>
      <c r="X993" s="569"/>
      <c r="Y993" s="569"/>
      <c r="Z993" s="569"/>
      <c r="AA993" s="569"/>
      <c r="AB993" s="569"/>
      <c r="AC993" s="569"/>
      <c r="AD993" s="569"/>
      <c r="AE993" s="569"/>
    </row>
    <row r="994" spans="1:31" ht="15.75" thickBot="1" x14ac:dyDescent="0.3">
      <c r="A994" s="569"/>
      <c r="B994" s="569"/>
      <c r="C994" s="569"/>
      <c r="D994" s="569"/>
      <c r="E994" s="569"/>
      <c r="F994" s="569"/>
      <c r="G994" s="569"/>
      <c r="H994" s="569"/>
      <c r="I994" s="569"/>
      <c r="J994" s="569"/>
      <c r="K994" s="569"/>
      <c r="L994" s="569"/>
      <c r="M994" s="569"/>
      <c r="N994" s="569"/>
      <c r="O994" s="569"/>
      <c r="P994" s="569"/>
      <c r="Q994" s="569"/>
      <c r="R994" s="569"/>
      <c r="S994" s="569"/>
      <c r="T994" s="569"/>
      <c r="U994" s="569"/>
      <c r="V994" s="569"/>
      <c r="W994" s="569"/>
      <c r="X994" s="569"/>
      <c r="Y994" s="569"/>
      <c r="Z994" s="569"/>
      <c r="AA994" s="569"/>
      <c r="AB994" s="569"/>
      <c r="AC994" s="569"/>
      <c r="AD994" s="569"/>
      <c r="AE994" s="569"/>
    </row>
    <row r="995" spans="1:31" ht="15.75" thickBot="1" x14ac:dyDescent="0.3">
      <c r="A995" s="569"/>
      <c r="B995" s="569"/>
      <c r="C995" s="569"/>
      <c r="D995" s="569"/>
      <c r="E995" s="569"/>
      <c r="F995" s="569"/>
      <c r="G995" s="569"/>
      <c r="H995" s="569"/>
      <c r="I995" s="569"/>
      <c r="J995" s="569"/>
      <c r="K995" s="569"/>
      <c r="L995" s="569"/>
      <c r="M995" s="569"/>
      <c r="N995" s="569"/>
      <c r="O995" s="569"/>
      <c r="P995" s="569"/>
      <c r="Q995" s="569"/>
      <c r="R995" s="569"/>
      <c r="S995" s="569"/>
      <c r="T995" s="569"/>
      <c r="U995" s="569"/>
      <c r="V995" s="569"/>
      <c r="W995" s="569"/>
      <c r="X995" s="569"/>
      <c r="Y995" s="569"/>
      <c r="Z995" s="569"/>
      <c r="AA995" s="569"/>
      <c r="AB995" s="569"/>
      <c r="AC995" s="569"/>
      <c r="AD995" s="569"/>
      <c r="AE995" s="569"/>
    </row>
    <row r="996" spans="1:31" ht="15.75" thickBot="1" x14ac:dyDescent="0.3">
      <c r="A996" s="569"/>
      <c r="B996" s="569"/>
      <c r="C996" s="569"/>
      <c r="D996" s="569"/>
      <c r="E996" s="569"/>
      <c r="F996" s="569"/>
      <c r="G996" s="569"/>
      <c r="H996" s="569"/>
      <c r="I996" s="569"/>
      <c r="J996" s="569"/>
      <c r="K996" s="569"/>
      <c r="L996" s="569"/>
      <c r="M996" s="569"/>
      <c r="N996" s="569"/>
      <c r="O996" s="569"/>
      <c r="P996" s="569"/>
      <c r="Q996" s="569"/>
      <c r="R996" s="569"/>
      <c r="S996" s="569"/>
      <c r="T996" s="569"/>
      <c r="U996" s="569"/>
      <c r="V996" s="569"/>
      <c r="W996" s="569"/>
      <c r="X996" s="569"/>
      <c r="Y996" s="569"/>
      <c r="Z996" s="569"/>
      <c r="AA996" s="569"/>
      <c r="AB996" s="569"/>
      <c r="AC996" s="569"/>
      <c r="AD996" s="569"/>
      <c r="AE996" s="569"/>
    </row>
    <row r="997" spans="1:31" ht="15.75" thickBot="1" x14ac:dyDescent="0.3">
      <c r="A997" s="569"/>
      <c r="B997" s="569"/>
      <c r="C997" s="569"/>
      <c r="D997" s="569"/>
      <c r="E997" s="569"/>
      <c r="F997" s="569"/>
      <c r="G997" s="569"/>
      <c r="H997" s="569"/>
      <c r="I997" s="569"/>
      <c r="J997" s="569"/>
      <c r="K997" s="569"/>
      <c r="L997" s="569"/>
      <c r="M997" s="569"/>
      <c r="N997" s="569"/>
      <c r="O997" s="569"/>
      <c r="P997" s="569"/>
      <c r="Q997" s="569"/>
      <c r="R997" s="569"/>
      <c r="S997" s="569"/>
      <c r="T997" s="569"/>
      <c r="U997" s="569"/>
      <c r="V997" s="569"/>
      <c r="W997" s="569"/>
      <c r="X997" s="569"/>
      <c r="Y997" s="569"/>
      <c r="Z997" s="569"/>
      <c r="AA997" s="569"/>
      <c r="AB997" s="569"/>
      <c r="AC997" s="569"/>
      <c r="AD997" s="569"/>
      <c r="AE997" s="569"/>
    </row>
    <row r="998" spans="1:31" ht="15.75" thickBot="1" x14ac:dyDescent="0.3">
      <c r="A998" s="569"/>
      <c r="B998" s="569"/>
      <c r="C998" s="569"/>
      <c r="D998" s="569"/>
      <c r="E998" s="569"/>
      <c r="F998" s="569"/>
      <c r="G998" s="569"/>
      <c r="H998" s="569"/>
      <c r="I998" s="569"/>
      <c r="J998" s="569"/>
      <c r="K998" s="569"/>
      <c r="L998" s="569"/>
      <c r="M998" s="569"/>
      <c r="N998" s="569"/>
      <c r="O998" s="569"/>
      <c r="P998" s="569"/>
      <c r="Q998" s="569"/>
      <c r="R998" s="569"/>
      <c r="S998" s="569"/>
      <c r="T998" s="569"/>
      <c r="U998" s="569"/>
      <c r="V998" s="569"/>
      <c r="W998" s="569"/>
      <c r="X998" s="569"/>
      <c r="Y998" s="569"/>
      <c r="Z998" s="569"/>
      <c r="AA998" s="569"/>
      <c r="AB998" s="569"/>
      <c r="AC998" s="569"/>
      <c r="AD998" s="569"/>
      <c r="AE998" s="569"/>
    </row>
    <row r="999" spans="1:31" ht="15.75" thickBot="1" x14ac:dyDescent="0.3">
      <c r="A999" s="569"/>
      <c r="B999" s="569"/>
      <c r="C999" s="569"/>
      <c r="D999" s="569"/>
      <c r="E999" s="569"/>
      <c r="F999" s="569"/>
      <c r="G999" s="569"/>
      <c r="H999" s="569"/>
      <c r="I999" s="569"/>
      <c r="J999" s="569"/>
      <c r="K999" s="569"/>
      <c r="L999" s="569"/>
      <c r="M999" s="569"/>
      <c r="N999" s="569"/>
      <c r="O999" s="569"/>
      <c r="P999" s="569"/>
      <c r="Q999" s="569"/>
      <c r="R999" s="569"/>
      <c r="S999" s="569"/>
      <c r="T999" s="569"/>
      <c r="U999" s="569"/>
      <c r="V999" s="569"/>
      <c r="W999" s="569"/>
      <c r="X999" s="569"/>
      <c r="Y999" s="569"/>
      <c r="Z999" s="569"/>
      <c r="AA999" s="569"/>
      <c r="AB999" s="569"/>
      <c r="AC999" s="569"/>
      <c r="AD999" s="569"/>
      <c r="AE999" s="569"/>
    </row>
    <row r="1000" spans="1:31" ht="15.75" thickBot="1" x14ac:dyDescent="0.3">
      <c r="A1000" s="569"/>
      <c r="B1000" s="569"/>
      <c r="C1000" s="569"/>
      <c r="D1000" s="569"/>
      <c r="E1000" s="569"/>
      <c r="F1000" s="569"/>
      <c r="G1000" s="569"/>
      <c r="H1000" s="569"/>
      <c r="I1000" s="569"/>
      <c r="J1000" s="569"/>
      <c r="K1000" s="569"/>
      <c r="L1000" s="569"/>
      <c r="M1000" s="569"/>
      <c r="N1000" s="569"/>
      <c r="O1000" s="569"/>
      <c r="P1000" s="569"/>
      <c r="Q1000" s="569"/>
      <c r="R1000" s="569"/>
      <c r="S1000" s="569"/>
      <c r="T1000" s="569"/>
      <c r="U1000" s="569"/>
      <c r="V1000" s="569"/>
      <c r="W1000" s="569"/>
      <c r="X1000" s="569"/>
      <c r="Y1000" s="569"/>
      <c r="Z1000" s="569"/>
      <c r="AA1000" s="569"/>
      <c r="AB1000" s="569"/>
      <c r="AC1000" s="569"/>
      <c r="AD1000" s="569"/>
      <c r="AE1000" s="569"/>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5"/>
  <dimension ref="A1:DN906"/>
  <sheetViews>
    <sheetView zoomScale="85" zoomScaleNormal="85" workbookViewId="0">
      <pane ySplit="1" topLeftCell="A2" activePane="bottomLeft" state="frozen"/>
      <selection pane="bottomLeft" activeCell="J1" sqref="J1"/>
    </sheetView>
  </sheetViews>
  <sheetFormatPr defaultColWidth="9.140625" defaultRowHeight="15.75" customHeight="1" x14ac:dyDescent="0.25"/>
  <cols>
    <col min="1" max="1" width="8.7109375" style="238" customWidth="1"/>
    <col min="2" max="2" width="7.140625" style="238" customWidth="1"/>
    <col min="3" max="3" width="9.140625" customWidth="1"/>
    <col min="4" max="4" width="10.85546875" bestFit="1" customWidth="1"/>
    <col min="5" max="5" width="7.85546875" bestFit="1" customWidth="1"/>
    <col min="6" max="6" width="5.140625" bestFit="1" customWidth="1"/>
    <col min="7" max="7" width="8.42578125" bestFit="1" customWidth="1"/>
    <col min="8" max="8" width="16.28515625" customWidth="1"/>
    <col min="9" max="9" width="15.28515625" bestFit="1" customWidth="1"/>
    <col min="10" max="10" width="7.7109375" bestFit="1" customWidth="1"/>
    <col min="11" max="11" width="10.7109375" customWidth="1"/>
    <col min="12" max="12" width="6.7109375" customWidth="1"/>
    <col min="13" max="13" width="9.140625" customWidth="1"/>
    <col min="14" max="14" width="7.5703125" bestFit="1" customWidth="1"/>
    <col min="15" max="15" width="7.85546875" bestFit="1" customWidth="1"/>
    <col min="16" max="16" width="5.140625" bestFit="1" customWidth="1"/>
    <col min="17" max="17" width="7.5703125" bestFit="1" customWidth="1"/>
    <col min="18" max="18" width="7.28515625" customWidth="1"/>
    <col min="19" max="19" width="14.7109375" customWidth="1"/>
    <col min="20" max="20" width="8.7109375" bestFit="1" customWidth="1"/>
    <col min="21" max="21" width="7.7109375" customWidth="1"/>
    <col min="22" max="22" width="6.140625" customWidth="1"/>
    <col min="23" max="23" width="9.140625" customWidth="1"/>
    <col min="24" max="24" width="7.5703125" bestFit="1" customWidth="1"/>
    <col min="25" max="25" width="7.85546875" bestFit="1" customWidth="1"/>
    <col min="26" max="26" width="5.140625" customWidth="1"/>
    <col min="27" max="27" width="7.5703125" bestFit="1" customWidth="1"/>
    <col min="28" max="28" width="7.28515625" customWidth="1"/>
    <col min="29" max="29" width="14.7109375" customWidth="1"/>
    <col min="30" max="30" width="8.42578125" bestFit="1" customWidth="1"/>
    <col min="31" max="31" width="7.7109375" customWidth="1"/>
    <col min="32" max="32" width="6.140625" customWidth="1"/>
    <col min="33" max="33" width="8.7109375" customWidth="1"/>
    <col min="34" max="34" width="8" style="238" bestFit="1" customWidth="1"/>
    <col min="35" max="35" width="6.85546875" style="238" bestFit="1" customWidth="1"/>
    <col min="36" max="36" width="5" style="238" bestFit="1" customWidth="1"/>
    <col min="37" max="37" width="8.42578125" bestFit="1" customWidth="1"/>
    <col min="38" max="38" width="16.28515625" customWidth="1"/>
    <col min="39" max="39" width="19.140625" customWidth="1"/>
    <col min="40" max="42" width="10.7109375" customWidth="1"/>
    <col min="43" max="43" width="8.7109375" style="238" customWidth="1"/>
    <col min="44" max="44" width="5" style="238" bestFit="1" customWidth="1"/>
    <col min="45" max="45" width="19.140625" style="238" bestFit="1" customWidth="1"/>
    <col min="46" max="47" width="6.7109375" style="238" bestFit="1" customWidth="1"/>
    <col min="48" max="48" width="9.28515625" style="238" bestFit="1" customWidth="1"/>
    <col min="49" max="50" width="8" style="238" bestFit="1" customWidth="1"/>
    <col min="51" max="51" width="7" style="238" bestFit="1" customWidth="1"/>
    <col min="52" max="52" width="5.85546875" style="238" bestFit="1" customWidth="1"/>
    <col min="53" max="53" width="4.5703125" style="238" bestFit="1" customWidth="1"/>
    <col min="54" max="54" width="8" style="238" bestFit="1" customWidth="1"/>
    <col min="55" max="55" width="6.85546875" style="238" bestFit="1" customWidth="1"/>
    <col min="56" max="56" width="10" style="238" bestFit="1" customWidth="1"/>
    <col min="57" max="58" width="8.85546875" style="238" bestFit="1" customWidth="1"/>
    <col min="59" max="59" width="7.7109375" style="238" bestFit="1" customWidth="1"/>
    <col min="60" max="60" width="6.42578125" style="238" bestFit="1" customWidth="1"/>
    <col min="61" max="61" width="8.42578125" bestFit="1" customWidth="1"/>
    <col min="62" max="62" width="9.140625" customWidth="1"/>
    <col min="63" max="63" width="5.140625" bestFit="1" customWidth="1"/>
    <col min="64" max="64" width="24.5703125" bestFit="1" customWidth="1"/>
    <col min="65" max="66" width="6.7109375" bestFit="1" customWidth="1"/>
    <col min="67" max="67" width="8.5703125" bestFit="1" customWidth="1"/>
    <col min="68" max="68" width="7.7109375" bestFit="1" customWidth="1"/>
    <col min="69" max="69" width="7.85546875" bestFit="1" customWidth="1"/>
    <col min="70" max="70" width="6.7109375" bestFit="1" customWidth="1"/>
    <col min="71" max="71" width="5.85546875" bestFit="1" customWidth="1"/>
    <col min="72" max="72" width="4.28515625" bestFit="1" customWidth="1"/>
    <col min="73" max="73" width="7.5703125" bestFit="1" customWidth="1"/>
    <col min="74" max="74" width="6.7109375" bestFit="1" customWidth="1"/>
    <col min="75" max="75" width="9.5703125" bestFit="1" customWidth="1"/>
    <col min="76" max="76" width="8.7109375" bestFit="1" customWidth="1"/>
    <col min="77" max="77" width="8.42578125" bestFit="1" customWidth="1"/>
    <col min="78" max="78" width="7.5703125" bestFit="1" customWidth="1"/>
    <col min="79" max="79" width="5.85546875" customWidth="1"/>
    <col min="80" max="80" width="7.5703125" bestFit="1" customWidth="1"/>
    <col min="81" max="81" width="9.140625" customWidth="1"/>
    <col min="82" max="82" width="5.140625" bestFit="1" customWidth="1"/>
    <col min="83" max="83" width="22.28515625" bestFit="1" customWidth="1"/>
    <col min="84" max="85" width="6.7109375" bestFit="1" customWidth="1"/>
    <col min="86" max="86" width="8.5703125" bestFit="1" customWidth="1"/>
    <col min="87" max="87" width="7.7109375" bestFit="1" customWidth="1"/>
    <col min="88" max="88" width="7.85546875" bestFit="1" customWidth="1"/>
    <col min="89" max="89" width="6.7109375" bestFit="1" customWidth="1"/>
    <col min="90" max="90" width="5.85546875" bestFit="1" customWidth="1"/>
    <col min="91" max="91" width="4.28515625" bestFit="1" customWidth="1"/>
    <col min="92" max="92" width="7.5703125" bestFit="1" customWidth="1"/>
    <col min="93" max="93" width="6.7109375" bestFit="1" customWidth="1"/>
    <col min="94" max="94" width="9.5703125" bestFit="1" customWidth="1"/>
    <col min="95" max="95" width="8.7109375" bestFit="1" customWidth="1"/>
    <col min="96" max="96" width="8.42578125" bestFit="1" customWidth="1"/>
    <col min="97" max="97" width="7.5703125" bestFit="1" customWidth="1"/>
    <col min="98" max="98" width="5.85546875" bestFit="1" customWidth="1"/>
    <col min="99" max="99" width="8.140625" bestFit="1" customWidth="1"/>
    <col min="100" max="100" width="8.7109375" customWidth="1"/>
    <col min="101" max="101" width="5" bestFit="1" customWidth="1"/>
    <col min="102" max="102" width="23.28515625" bestFit="1" customWidth="1"/>
    <col min="103" max="104" width="6.7109375" bestFit="1" customWidth="1"/>
    <col min="105" max="105" width="9.28515625" bestFit="1" customWidth="1"/>
    <col min="106" max="107" width="8" bestFit="1" customWidth="1"/>
    <col min="108" max="108" width="7" bestFit="1" customWidth="1"/>
    <col min="109" max="109" width="5.85546875" bestFit="1" customWidth="1"/>
    <col min="110" max="110" width="4.5703125" bestFit="1" customWidth="1"/>
    <col min="111" max="111" width="8" bestFit="1" customWidth="1"/>
    <col min="112" max="112" width="6.85546875" bestFit="1" customWidth="1"/>
    <col min="113" max="113" width="10" bestFit="1" customWidth="1"/>
    <col min="114" max="115" width="8.85546875" bestFit="1" customWidth="1"/>
    <col min="116" max="116" width="7.7109375" bestFit="1" customWidth="1"/>
    <col min="117" max="117" width="6.42578125" bestFit="1" customWidth="1"/>
    <col min="118" max="118" width="7.7109375" bestFit="1" customWidth="1"/>
  </cols>
  <sheetData>
    <row r="1" spans="1:118" s="239" customFormat="1" ht="15.75" customHeight="1" x14ac:dyDescent="0.25">
      <c r="A1" s="342"/>
      <c r="B1" s="342"/>
      <c r="C1" s="342"/>
      <c r="D1" s="343" t="s">
        <v>1</v>
      </c>
      <c r="E1" s="343"/>
      <c r="F1" s="343" t="s">
        <v>1158</v>
      </c>
      <c r="G1" s="344" t="s">
        <v>1155</v>
      </c>
      <c r="H1" s="345" t="s">
        <v>1156</v>
      </c>
      <c r="I1" s="346" t="s">
        <v>1157</v>
      </c>
      <c r="J1" s="346" t="s">
        <v>1999</v>
      </c>
      <c r="K1" s="346" t="s">
        <v>1998</v>
      </c>
      <c r="L1" s="347" t="s">
        <v>1167</v>
      </c>
      <c r="M1" s="348"/>
      <c r="N1" s="386" t="s">
        <v>3</v>
      </c>
      <c r="O1" s="321"/>
      <c r="P1" s="321" t="s">
        <v>1159</v>
      </c>
      <c r="Q1" s="350" t="s">
        <v>1155</v>
      </c>
      <c r="R1" s="351"/>
      <c r="S1" s="346" t="s">
        <v>1157</v>
      </c>
      <c r="T1" s="346" t="s">
        <v>1999</v>
      </c>
      <c r="U1" s="346" t="s">
        <v>1998</v>
      </c>
      <c r="V1" s="347" t="s">
        <v>1167</v>
      </c>
      <c r="W1" s="342"/>
      <c r="X1" s="347" t="s">
        <v>6</v>
      </c>
      <c r="Y1" s="321"/>
      <c r="Z1" s="321" t="s">
        <v>1158</v>
      </c>
      <c r="AA1" s="350" t="s">
        <v>1155</v>
      </c>
      <c r="AB1" s="351"/>
      <c r="AC1" s="346" t="s">
        <v>1157</v>
      </c>
      <c r="AD1" s="346" t="s">
        <v>1999</v>
      </c>
      <c r="AE1" s="346" t="s">
        <v>1998</v>
      </c>
      <c r="AF1" s="347" t="s">
        <v>1167</v>
      </c>
      <c r="AG1" s="342"/>
      <c r="AH1" s="343" t="s">
        <v>7</v>
      </c>
      <c r="AI1" s="343"/>
      <c r="AJ1" s="343" t="s">
        <v>1158</v>
      </c>
      <c r="AK1" s="344" t="s">
        <v>1155</v>
      </c>
      <c r="AL1" s="345" t="s">
        <v>1156</v>
      </c>
      <c r="AM1" s="346" t="s">
        <v>1157</v>
      </c>
      <c r="AN1" s="346" t="s">
        <v>1597</v>
      </c>
      <c r="AO1" s="346"/>
      <c r="AP1" s="347" t="s">
        <v>1596</v>
      </c>
      <c r="AQ1" s="354"/>
      <c r="AR1" s="343" t="s">
        <v>1158</v>
      </c>
      <c r="AS1" s="343" t="s">
        <v>1</v>
      </c>
      <c r="AT1" s="343" t="s">
        <v>1253</v>
      </c>
      <c r="AU1" s="343" t="s">
        <v>968</v>
      </c>
      <c r="AV1" s="343" t="s">
        <v>1615</v>
      </c>
      <c r="AW1" s="343" t="s">
        <v>1594</v>
      </c>
      <c r="AX1" s="343" t="s">
        <v>1616</v>
      </c>
      <c r="AY1" s="343" t="s">
        <v>1617</v>
      </c>
      <c r="AZ1" s="343" t="s">
        <v>1595</v>
      </c>
      <c r="BA1" s="343" t="s">
        <v>1160</v>
      </c>
      <c r="BB1" s="343" t="s">
        <v>1618</v>
      </c>
      <c r="BC1" s="343" t="s">
        <v>1165</v>
      </c>
      <c r="BD1" s="343" t="s">
        <v>1619</v>
      </c>
      <c r="BE1" s="343" t="s">
        <v>1620</v>
      </c>
      <c r="BF1" s="343" t="s">
        <v>1621</v>
      </c>
      <c r="BG1" s="343" t="s">
        <v>1622</v>
      </c>
      <c r="BH1" s="343" t="s">
        <v>1623</v>
      </c>
      <c r="BI1" s="344" t="s">
        <v>1155</v>
      </c>
      <c r="BJ1" s="348"/>
      <c r="BK1" s="321" t="s">
        <v>1159</v>
      </c>
      <c r="BL1" s="349" t="s">
        <v>3</v>
      </c>
      <c r="BM1" s="321" t="s">
        <v>1253</v>
      </c>
      <c r="BN1" s="321" t="s">
        <v>968</v>
      </c>
      <c r="BO1" s="321" t="s">
        <v>1615</v>
      </c>
      <c r="BP1" s="321" t="s">
        <v>1594</v>
      </c>
      <c r="BQ1" s="321" t="s">
        <v>1616</v>
      </c>
      <c r="BR1" s="321" t="s">
        <v>1617</v>
      </c>
      <c r="BS1" s="321" t="s">
        <v>1595</v>
      </c>
      <c r="BT1" s="321" t="s">
        <v>1160</v>
      </c>
      <c r="BU1" s="321" t="s">
        <v>1618</v>
      </c>
      <c r="BV1" s="321" t="s">
        <v>1165</v>
      </c>
      <c r="BW1" s="321" t="s">
        <v>1619</v>
      </c>
      <c r="BX1" s="321" t="s">
        <v>1620</v>
      </c>
      <c r="BY1" s="321" t="s">
        <v>1621</v>
      </c>
      <c r="BZ1" s="321" t="s">
        <v>1622</v>
      </c>
      <c r="CA1" s="321" t="s">
        <v>1623</v>
      </c>
      <c r="CB1" s="350" t="s">
        <v>1155</v>
      </c>
      <c r="CC1" s="342"/>
      <c r="CD1" s="321" t="s">
        <v>1158</v>
      </c>
      <c r="CE1" s="349" t="s">
        <v>6</v>
      </c>
      <c r="CF1" s="321" t="s">
        <v>1253</v>
      </c>
      <c r="CG1" s="321" t="s">
        <v>968</v>
      </c>
      <c r="CH1" s="321" t="s">
        <v>1615</v>
      </c>
      <c r="CI1" s="321" t="s">
        <v>1594</v>
      </c>
      <c r="CJ1" s="321" t="s">
        <v>1616</v>
      </c>
      <c r="CK1" s="321" t="s">
        <v>1617</v>
      </c>
      <c r="CL1" s="321" t="s">
        <v>1595</v>
      </c>
      <c r="CM1" s="321" t="s">
        <v>1160</v>
      </c>
      <c r="CN1" s="239" t="s">
        <v>1618</v>
      </c>
      <c r="CO1" s="321" t="s">
        <v>1165</v>
      </c>
      <c r="CP1" s="321" t="s">
        <v>1619</v>
      </c>
      <c r="CQ1" s="321" t="s">
        <v>1620</v>
      </c>
      <c r="CR1" s="321" t="s">
        <v>1621</v>
      </c>
      <c r="CS1" s="321" t="s">
        <v>1622</v>
      </c>
      <c r="CT1" s="321" t="s">
        <v>1623</v>
      </c>
      <c r="CU1" s="352" t="s">
        <v>1155</v>
      </c>
      <c r="CV1" s="342"/>
      <c r="CW1" s="343" t="s">
        <v>1158</v>
      </c>
      <c r="CX1" s="343" t="s">
        <v>6</v>
      </c>
      <c r="CY1" s="343" t="s">
        <v>1253</v>
      </c>
      <c r="CZ1" s="343" t="s">
        <v>968</v>
      </c>
      <c r="DA1" s="343" t="s">
        <v>1615</v>
      </c>
      <c r="DB1" s="343" t="s">
        <v>1594</v>
      </c>
      <c r="DC1" s="343" t="s">
        <v>1616</v>
      </c>
      <c r="DD1" s="343" t="s">
        <v>1617</v>
      </c>
      <c r="DE1" s="343" t="s">
        <v>1595</v>
      </c>
      <c r="DF1" s="343" t="s">
        <v>1160</v>
      </c>
      <c r="DG1" s="343" t="s">
        <v>1618</v>
      </c>
      <c r="DH1" s="343" t="s">
        <v>1165</v>
      </c>
      <c r="DI1" s="343" t="s">
        <v>1619</v>
      </c>
      <c r="DJ1" s="343" t="s">
        <v>1620</v>
      </c>
      <c r="DK1" s="343" t="s">
        <v>1621</v>
      </c>
      <c r="DL1" s="343" t="s">
        <v>1622</v>
      </c>
      <c r="DM1" s="343" t="s">
        <v>1623</v>
      </c>
      <c r="DN1" s="344" t="s">
        <v>1155</v>
      </c>
    </row>
    <row r="2" spans="1:118" s="366" customFormat="1" ht="15.75" customHeight="1" x14ac:dyDescent="0.25">
      <c r="A2" s="353" t="s">
        <v>1</v>
      </c>
      <c r="B2" s="353">
        <v>8</v>
      </c>
      <c r="C2" s="354"/>
      <c r="D2" s="361">
        <v>2014</v>
      </c>
      <c r="E2" s="362">
        <v>8</v>
      </c>
      <c r="F2" s="238">
        <v>2014</v>
      </c>
      <c r="G2" s="367">
        <f>LARGE($BI$2:$BI$33,1)</f>
        <v>352.14</v>
      </c>
      <c r="H2" s="355">
        <f>G2-$J$12</f>
        <v>86.5</v>
      </c>
      <c r="I2" s="356">
        <f>H2^2</f>
        <v>7482.25</v>
      </c>
      <c r="J2" s="356">
        <v>16</v>
      </c>
      <c r="K2" s="356">
        <f>H2/$J$2</f>
        <v>5.40625</v>
      </c>
      <c r="L2" s="238">
        <f>IF(K2&gt;6,0,
IF(AND(K2&lt;=6,K2&gt;5),1,
IF(AND(K2&lt;=5,K2&gt;4),2,
IF(AND(K2&lt;=4,K2&gt;3),3,
IF(AND(K2&lt;=3,K2&gt;2),4,
IF(AND(K2&lt;=2,K2&gt;1),5,
IF(AND(K2&lt;=1,K2&gt;0),6,
IF(AND(K2&lt;=0,K2&gt;-1),7,
8))))))))</f>
        <v>1</v>
      </c>
      <c r="M2" s="354"/>
      <c r="N2" s="361">
        <v>2014</v>
      </c>
      <c r="O2" s="362"/>
      <c r="P2" s="366">
        <v>2014</v>
      </c>
      <c r="Q2" s="367">
        <f>LARGE($CB$2:$CB$151,1)</f>
        <v>377.1</v>
      </c>
      <c r="R2" s="357">
        <f>Q2-$T$12</f>
        <v>212.50000000000003</v>
      </c>
      <c r="S2" s="356">
        <f>R2^2</f>
        <v>45156.250000000015</v>
      </c>
      <c r="T2" s="356">
        <v>16</v>
      </c>
      <c r="U2" s="356">
        <f>R2/T2</f>
        <v>13.281250000000002</v>
      </c>
      <c r="V2" s="238">
        <f>IF(U2&gt;6,0,
IF(AND(U2&lt;=6,U2&gt;5),1,
IF(AND(U2&lt;=5,U2&gt;4),2,
IF(AND(U2&lt;=4,U2&gt;3),3,
IF(AND(U2&lt;=3,U2&gt;2),4,
IF(AND(U2&lt;=2,U2&gt;1),5,
IF(AND(U2&lt;=1,U2&gt;0),6,
IF(AND(U2&lt;=0,U2&gt;-1),7,
8))))))))</f>
        <v>0</v>
      </c>
      <c r="W2" s="354"/>
      <c r="X2" s="361">
        <v>2014</v>
      </c>
      <c r="Y2" s="362"/>
      <c r="Z2" s="321">
        <v>2014</v>
      </c>
      <c r="AA2" s="367">
        <f>LARGE($CU$2:$CU$151,1)</f>
        <v>386.9</v>
      </c>
      <c r="AB2" s="357">
        <f>AA2-$AD$12</f>
        <v>169.16666666666663</v>
      </c>
      <c r="AC2" s="356">
        <f t="shared" ref="AC2:AC65" si="0">AB2^2</f>
        <v>28617.361111111099</v>
      </c>
      <c r="AD2" s="356">
        <v>16</v>
      </c>
      <c r="AE2" s="356">
        <f>AB2/$AD$2</f>
        <v>10.572916666666664</v>
      </c>
      <c r="AF2" s="238">
        <f>IF(AE2&gt;6,0,
IF(AND(AE2&lt;=6,AE2&gt;5),1,
IF(AND(AE2&lt;=5,AE2&gt;4),2,
IF(AND(AE2&lt;=4,AE2&gt;3),3,
IF(AND(AE2&lt;=3,AE2&gt;2),4,
IF(AND(AE2&lt;=2,AE2&gt;1),5,
IF(AND(AE2&lt;=1,AE2&gt;0),6,
IF(AND(AE2&lt;=0,AE2&gt;-1),7,
8))))))))</f>
        <v>0</v>
      </c>
      <c r="AG2" s="354"/>
      <c r="AH2" s="361">
        <v>2014</v>
      </c>
      <c r="AI2" s="362"/>
      <c r="AJ2" s="238">
        <v>2014</v>
      </c>
      <c r="AK2" s="367">
        <f>LARGE($DN$2:$DN$33,1)</f>
        <v>266.39999999999998</v>
      </c>
      <c r="AL2" s="373">
        <f>AK2-$AN$12</f>
        <v>113.09999999999997</v>
      </c>
      <c r="AM2" s="374">
        <f>AL2^2</f>
        <v>12791.609999999991</v>
      </c>
      <c r="AN2" s="374">
        <v>16</v>
      </c>
      <c r="AO2" s="374">
        <f>AL2/$AN$2</f>
        <v>7.0687499999999979</v>
      </c>
      <c r="AP2" s="238">
        <f>IF(AO2&gt;6,0,
IF(AND(AO2&lt;=6,AO2&gt;5),1,
IF(AND(AO2&lt;=5,AO2&gt;4),2,
IF(AND(AO2&lt;=4,AO2&gt;3),3,
IF(AND(AO2&lt;=3,AO2&gt;2),4,
IF(AND(AO2&lt;=2,AO2&gt;1),5,
IF(AND(AO2&lt;=1,AO2&gt;0),6,
IF(AND(AO2&lt;=0,AO2&gt;-1),7,
8))))))))</f>
        <v>0</v>
      </c>
      <c r="AQ2" s="354"/>
      <c r="AR2" s="238">
        <v>2014</v>
      </c>
      <c r="AS2" s="368" t="s">
        <v>20</v>
      </c>
      <c r="AT2" s="369" t="s">
        <v>158</v>
      </c>
      <c r="AU2" s="369" t="s">
        <v>1</v>
      </c>
      <c r="AV2" s="369">
        <v>4761</v>
      </c>
      <c r="AW2" s="369">
        <v>40</v>
      </c>
      <c r="AX2" s="369">
        <v>16</v>
      </c>
      <c r="AY2" s="369">
        <v>273</v>
      </c>
      <c r="AZ2" s="369">
        <v>3</v>
      </c>
      <c r="BA2" s="369">
        <v>0</v>
      </c>
      <c r="BB2" s="369">
        <v>0</v>
      </c>
      <c r="BC2" s="369">
        <v>0</v>
      </c>
      <c r="BD2" s="369">
        <v>0</v>
      </c>
      <c r="BE2" s="366">
        <v>0</v>
      </c>
      <c r="BF2" s="366">
        <v>0</v>
      </c>
      <c r="BG2" s="366">
        <v>0</v>
      </c>
      <c r="BH2" s="366">
        <v>6</v>
      </c>
      <c r="BI2" s="367">
        <f>IFERROR(AV2/Instructions!$J$25,0)+AW2*Instructions!$J$27+AX2*Instructions!$J$29+IFERROR(AY2/Instructions!$E$34,0)+AZ2*Instructions!$E$36+Tier!BA2*Instructions!$E$25+IFERROR(BB2/Instructions!$E$27,0)+BC2*Instructions!$E$29+IFERROR((BD2+BF2)/Instructions!$J$32,0)+(BE2+BG2)*Instructions!$J$34+BH2*-2</f>
        <v>351.74</v>
      </c>
      <c r="BJ2" s="354"/>
      <c r="BK2" s="366">
        <v>2014</v>
      </c>
      <c r="BL2" s="370" t="s">
        <v>32</v>
      </c>
      <c r="BM2" s="372" t="s">
        <v>146</v>
      </c>
      <c r="BN2" s="372" t="s">
        <v>3</v>
      </c>
      <c r="BO2" s="372">
        <v>0</v>
      </c>
      <c r="BP2" s="423">
        <v>0</v>
      </c>
      <c r="BQ2" s="372">
        <v>0</v>
      </c>
      <c r="BR2" s="372">
        <v>1845</v>
      </c>
      <c r="BS2" s="372">
        <v>13</v>
      </c>
      <c r="BT2" s="372">
        <v>57</v>
      </c>
      <c r="BU2" s="372">
        <v>416</v>
      </c>
      <c r="BV2" s="372">
        <v>0</v>
      </c>
      <c r="BW2" s="372">
        <v>0</v>
      </c>
      <c r="BX2" s="372">
        <v>0</v>
      </c>
      <c r="BY2" s="372">
        <v>0</v>
      </c>
      <c r="BZ2" s="372">
        <v>0</v>
      </c>
      <c r="CA2" s="372">
        <v>5</v>
      </c>
      <c r="CB2" s="367">
        <f>IFERROR(BO2/Instructions!$J$25,0)+BP2*Instructions!$J$27+BQ2*Instructions!$J$29+IFERROR(BR2/Instructions!$E$34,0)+BS2*Instructions!$E$36+Tier!BT3*Instructions!$E$25+IFERROR(BU2/Instructions!$E$27,0)+BV2*Instructions!$E$29+IFERROR((BW2+BY2)/Instructions!$J$32,0)+(BX2+BZ2)*Instructions!$J$34+Tier!CA2*-2</f>
        <v>377.1</v>
      </c>
      <c r="CC2" s="354"/>
      <c r="CD2" s="321">
        <v>2014</v>
      </c>
      <c r="CE2" s="370" t="s">
        <v>36</v>
      </c>
      <c r="CF2" s="371" t="s">
        <v>147</v>
      </c>
      <c r="CG2" s="371" t="s">
        <v>6</v>
      </c>
      <c r="CH2" s="371">
        <v>20</v>
      </c>
      <c r="CI2" s="371">
        <v>1</v>
      </c>
      <c r="CJ2" s="371">
        <v>0</v>
      </c>
      <c r="CK2" s="371">
        <v>13</v>
      </c>
      <c r="CL2" s="371">
        <v>0</v>
      </c>
      <c r="CM2" s="371">
        <v>129</v>
      </c>
      <c r="CN2" s="371">
        <v>1698</v>
      </c>
      <c r="CO2" s="371">
        <v>13</v>
      </c>
      <c r="CP2" s="371">
        <v>319</v>
      </c>
      <c r="CQ2" s="371">
        <v>1</v>
      </c>
      <c r="CR2" s="371">
        <v>0</v>
      </c>
      <c r="CS2" s="371">
        <v>0</v>
      </c>
      <c r="CT2" s="371">
        <v>1</v>
      </c>
      <c r="CU2" s="367">
        <f>IFERROR(CH2/Instructions!$J$25,0)+CI2*Instructions!$J$27+CJ2*Instructions!$J$29+IFERROR(CK2/Instructions!$E$34,0)+CL2*Instructions!$E$36+Tier!CM2*Instructions!$E$25+IFERROR(CN2/Instructions!$E$27,0)+CO2*Instructions!$E$29+IFERROR((CP2+CR2)/Instructions!$J$32,0)+(CQ2+CS2)*Instructions!$J$34+Tier!CT2*-2</f>
        <v>386.9</v>
      </c>
      <c r="CV2" s="354"/>
      <c r="CW2" s="238">
        <v>2014</v>
      </c>
      <c r="CX2" s="365" t="s">
        <v>18</v>
      </c>
      <c r="CY2" s="366" t="s">
        <v>1628</v>
      </c>
      <c r="CZ2" s="366" t="s">
        <v>7</v>
      </c>
      <c r="DA2" s="366">
        <v>0</v>
      </c>
      <c r="DB2" s="366">
        <v>0</v>
      </c>
      <c r="DC2" s="366">
        <v>0</v>
      </c>
      <c r="DD2" s="366">
        <v>0</v>
      </c>
      <c r="DE2" s="366">
        <v>0</v>
      </c>
      <c r="DF2" s="366">
        <v>82</v>
      </c>
      <c r="DG2" s="366">
        <v>1124</v>
      </c>
      <c r="DH2" s="366">
        <v>12</v>
      </c>
      <c r="DI2" s="366">
        <v>0</v>
      </c>
      <c r="DJ2" s="366">
        <v>0</v>
      </c>
      <c r="DK2" s="366">
        <v>0</v>
      </c>
      <c r="DL2" s="366">
        <v>0</v>
      </c>
      <c r="DM2" s="366">
        <v>0</v>
      </c>
      <c r="DN2" s="367">
        <f>IFERROR(DA2/Instructions!$J$25,0)+DB2*Instructions!$J$27+DC2*Instructions!$J$29+IFERROR(DD2/Instructions!$E$34,0)+DE2*Instructions!$E$36+Tier!DF2*Instructions!$E$25+IFERROR(DG2/Instructions!$E$27,0)+DH2*Instructions!$E$29+IFERROR((DI2+DK2)/Instructions!$J$32,0)+(DJ2+DL2)*Instructions!$J$34+Tier!DM2*-2</f>
        <v>266.39999999999998</v>
      </c>
    </row>
    <row r="3" spans="1:118" s="366" customFormat="1" ht="15.75" customHeight="1" x14ac:dyDescent="0.25">
      <c r="A3" s="353" t="s">
        <v>1081</v>
      </c>
      <c r="B3" s="353"/>
      <c r="C3" s="354"/>
      <c r="D3" s="363">
        <v>0</v>
      </c>
      <c r="E3" s="364">
        <f>IFERROR(AVERAGEIF($L$2:$L$33,D3,$G$2:G33),AVERAGE(J5:J6))</f>
        <v>369.64</v>
      </c>
      <c r="F3" s="238">
        <v>2014</v>
      </c>
      <c r="G3" s="367">
        <f>LARGE($BI$2:$BI$33,2)</f>
        <v>351.74</v>
      </c>
      <c r="H3" s="355">
        <f t="shared" ref="H3:H33" si="1">G3-$J$12</f>
        <v>86.100000000000023</v>
      </c>
      <c r="I3" s="356">
        <f t="shared" ref="I3:I33" si="2">H3^2</f>
        <v>7413.2100000000037</v>
      </c>
      <c r="J3" s="356">
        <f>AVERAGE(I2:INDEX(I2:I33,Instructions!$E$11*Instructions!$E$15,1))</f>
        <v>2001.0621666666684</v>
      </c>
      <c r="K3" s="356">
        <f t="shared" ref="K3:K33" si="3">H3/$J$2</f>
        <v>5.3812500000000014</v>
      </c>
      <c r="L3" s="238">
        <f t="shared" ref="L3:L33" si="4">IF(K3&gt;6,0,
IF(AND(K3&lt;=6,K3&gt;5),1,
IF(AND(K3&lt;=5,K3&gt;4),2,
IF(AND(K3&lt;=4,K3&gt;3),3,
IF(AND(K3&lt;=3,K3&gt;2),4,
IF(AND(K3&lt;=2,K3&gt;1),5,
IF(AND(K3&lt;=1,K3&gt;0),6,
IF(AND(K3&lt;=0,K3&gt;-1),7,
8))))))))</f>
        <v>1</v>
      </c>
      <c r="M3" s="354"/>
      <c r="N3" s="363">
        <v>0</v>
      </c>
      <c r="O3" s="364">
        <f>IFERROR(AVERAGEIF($V$2:$V$151,N3,$Q$2:$Q$151),AVERAGE(T5:T6))</f>
        <v>315.93333333333334</v>
      </c>
      <c r="P3" s="366">
        <v>2014</v>
      </c>
      <c r="Q3" s="367">
        <f>LARGE($CB$2:$CB$151,2)</f>
        <v>367.3</v>
      </c>
      <c r="R3" s="357">
        <f t="shared" ref="R3:R33" si="5">Q3-$T$12</f>
        <v>202.70000000000002</v>
      </c>
      <c r="S3" s="356">
        <f t="shared" ref="S3:S51" si="6">R3^2</f>
        <v>41087.290000000008</v>
      </c>
      <c r="T3" s="356">
        <f>AVERAGE(S2:INDEX(S2:S151,Instructions!$E$11*(Instructions!$E$19+Instructions!$J$15*0.5),1))</f>
        <v>5904.4083333333356</v>
      </c>
      <c r="U3" s="356">
        <f t="shared" ref="U3:U66" si="7">R3/$T$2</f>
        <v>12.668750000000001</v>
      </c>
      <c r="V3" s="238">
        <f t="shared" ref="V3:V66" si="8">IF(U3&gt;6,0,
IF(AND(U3&lt;=6,U3&gt;5),1,
IF(AND(U3&lt;=5,U3&gt;4),2,
IF(AND(U3&lt;=4,U3&gt;3),3,
IF(AND(U3&lt;=3,U3&gt;2),4,
IF(AND(U3&lt;=2,U3&gt;1),5,
IF(AND(U3&lt;=1,U3&gt;0),6,
IF(AND(U3&lt;=0,U3&gt;-1),7,
8))))))))</f>
        <v>0</v>
      </c>
      <c r="W3" s="354"/>
      <c r="X3" s="363">
        <v>0</v>
      </c>
      <c r="Y3" s="364">
        <f t="shared" ref="Y3:Y10" si="9">IFERROR(AVERAGEIF($AF$2:$AF$151,X3,$AA$2:$AA$151),AVERAGE(AD5:AD6))</f>
        <v>342.42499999999995</v>
      </c>
      <c r="Z3" s="321">
        <v>2014</v>
      </c>
      <c r="AA3" s="367">
        <f>LARGE($CU$2:$CU$151,2)</f>
        <v>338.9</v>
      </c>
      <c r="AB3" s="357">
        <f t="shared" ref="AB3:AB66" si="10">AA3-$AD$12</f>
        <v>121.16666666666663</v>
      </c>
      <c r="AC3" s="356">
        <f t="shared" si="0"/>
        <v>14681.361111111102</v>
      </c>
      <c r="AD3" s="356">
        <f>AVERAGE(AC2:INDEX(AC2:AC151,Instructions!$E$11*(Instructions!$E$17+Instructions!$J$15*0.5),1))</f>
        <v>3455.2365555555548</v>
      </c>
      <c r="AE3" s="356">
        <f t="shared" ref="AE3:AE66" si="11">AB3/$AD$2</f>
        <v>7.5729166666666643</v>
      </c>
      <c r="AF3" s="238">
        <f t="shared" ref="AF3:AF66" si="12">IF(AE3&gt;6,0,
IF(AND(AE3&lt;=6,AE3&gt;5),1,
IF(AND(AE3&lt;=5,AE3&gt;4),2,
IF(AND(AE3&lt;=4,AE3&gt;3),3,
IF(AND(AE3&lt;=3,AE3&gt;2),4,
IF(AND(AE3&lt;=2,AE3&gt;1),5,
IF(AND(AE3&lt;=1,AE3&gt;0),6,
IF(AND(AE3&lt;=0,AE3&gt;-1),7,
8))))))))</f>
        <v>0</v>
      </c>
      <c r="AG3" s="354"/>
      <c r="AH3" s="363">
        <v>0</v>
      </c>
      <c r="AI3" s="364">
        <f t="shared" ref="AI3:AI11" si="13">IFERROR(AVERAGEIF($AP$2:$AP$33,AH3,$AK$2:$AK$33),AVERAGE(AN5:AN6))</f>
        <v>266.39999999999998</v>
      </c>
      <c r="AJ3" s="238">
        <v>2014</v>
      </c>
      <c r="AK3" s="367">
        <f>LARGE($DN$2:$DN$33,2)</f>
        <v>229.9</v>
      </c>
      <c r="AL3" s="373">
        <f t="shared" ref="AL3:AL33" si="14">AK3-$AN$12</f>
        <v>76.599999999999994</v>
      </c>
      <c r="AM3" s="374">
        <f t="shared" ref="AM3:AM33" si="15">AL3^2</f>
        <v>5867.5599999999995</v>
      </c>
      <c r="AN3" s="374">
        <f>AVERAGE(AM2:INDEX(Tier!M2:M33,Instructions!$E$11,1))</f>
        <v>1501.9167267334983</v>
      </c>
      <c r="AO3" s="374">
        <f t="shared" ref="AO3:AO33" si="16">AL3/$AN$2</f>
        <v>4.7874999999999996</v>
      </c>
      <c r="AP3" s="238">
        <f t="shared" ref="AP3:AP69" si="17">IF(AO3&gt;6,0,
IF(AND(AO3&lt;=6,AO3&gt;5),1,
IF(AND(AO3&lt;=5,AO3&gt;4),2,
IF(AND(AO3&lt;=4,AO3&gt;3),3,
IF(AND(AO3&lt;=3,AO3&gt;2),4,
IF(AND(AO3&lt;=2,AO3&gt;1),5,
IF(AND(AO3&lt;=1,AO3&gt;0),6,
IF(AND(AO3&lt;=0,AO3&gt;-1),7,
8))))))))</f>
        <v>2</v>
      </c>
      <c r="AQ3" s="354"/>
      <c r="AR3" s="238">
        <v>2014</v>
      </c>
      <c r="AS3" s="368" t="s">
        <v>13</v>
      </c>
      <c r="AT3" s="369" t="s">
        <v>1624</v>
      </c>
      <c r="AU3" s="369" t="s">
        <v>1</v>
      </c>
      <c r="AV3" s="369">
        <v>4381</v>
      </c>
      <c r="AW3" s="369">
        <v>38</v>
      </c>
      <c r="AX3" s="369">
        <v>5</v>
      </c>
      <c r="AY3" s="369">
        <v>269</v>
      </c>
      <c r="AZ3" s="369">
        <v>2</v>
      </c>
      <c r="BA3" s="369">
        <v>0</v>
      </c>
      <c r="BB3" s="369">
        <v>0</v>
      </c>
      <c r="BC3" s="369">
        <v>0</v>
      </c>
      <c r="BD3" s="369">
        <v>0</v>
      </c>
      <c r="BE3" s="366">
        <v>0</v>
      </c>
      <c r="BF3" s="366">
        <v>0</v>
      </c>
      <c r="BG3" s="366">
        <v>0</v>
      </c>
      <c r="BH3" s="366">
        <v>2</v>
      </c>
      <c r="BI3" s="367">
        <f>IFERROR(AV3/Instructions!$J$25,0)+AW3*Instructions!$J$27+AX3*Instructions!$J$29+IFERROR(AY3/Instructions!$E$34,0)+AZ3*Instructions!$E$36+Tier!BA3*Instructions!$E$25+IFERROR(BB3/Instructions!$E$27,0)+BC3*Instructions!$E$29+IFERROR((BD3+BF3)/Instructions!$J$32,0)+(BE3+BG3)*Instructions!$J$34+BH3*-2</f>
        <v>352.14</v>
      </c>
      <c r="BJ3" s="354"/>
      <c r="BK3" s="366">
        <v>2014</v>
      </c>
      <c r="BL3" s="370" t="s">
        <v>1631</v>
      </c>
      <c r="BM3" s="372" t="s">
        <v>147</v>
      </c>
      <c r="BN3" s="372" t="s">
        <v>3</v>
      </c>
      <c r="BO3" s="372">
        <v>0</v>
      </c>
      <c r="BP3" s="423">
        <v>0</v>
      </c>
      <c r="BQ3" s="372">
        <v>0</v>
      </c>
      <c r="BR3" s="372">
        <v>1361</v>
      </c>
      <c r="BS3" s="372">
        <v>8</v>
      </c>
      <c r="BT3" s="372">
        <v>83</v>
      </c>
      <c r="BU3" s="372">
        <v>854</v>
      </c>
      <c r="BV3" s="372">
        <v>3</v>
      </c>
      <c r="BW3" s="372">
        <v>0</v>
      </c>
      <c r="BX3" s="372">
        <v>0</v>
      </c>
      <c r="BY3" s="372">
        <v>0</v>
      </c>
      <c r="BZ3" s="372">
        <v>0</v>
      </c>
      <c r="CA3" s="372">
        <v>0</v>
      </c>
      <c r="CB3" s="367">
        <f>IFERROR(BO3/Instructions!$J$25,0)+BP3*Instructions!$J$27+BQ3*Instructions!$J$29+IFERROR(BR3/Instructions!$E$34,0)+BS3*Instructions!$E$36+Tier!BT4*Instructions!$E$25+IFERROR(BU3/Instructions!$E$27,0)+BV3*Instructions!$E$29+IFERROR((BW3+BY3)/Instructions!$J$32,0)+(BX3+BZ3)*Instructions!$J$34+Tier!CA3*-2</f>
        <v>324.5</v>
      </c>
      <c r="CC3" s="354"/>
      <c r="CD3" s="321">
        <v>2014</v>
      </c>
      <c r="CE3" s="370" t="s">
        <v>29</v>
      </c>
      <c r="CF3" s="371" t="s">
        <v>1624</v>
      </c>
      <c r="CG3" s="371" t="s">
        <v>6</v>
      </c>
      <c r="CH3" s="371">
        <v>0</v>
      </c>
      <c r="CI3" s="371">
        <v>0</v>
      </c>
      <c r="CJ3" s="371">
        <v>0</v>
      </c>
      <c r="CK3" s="371">
        <v>0</v>
      </c>
      <c r="CL3" s="371">
        <v>0</v>
      </c>
      <c r="CM3" s="371">
        <v>98</v>
      </c>
      <c r="CN3" s="371">
        <v>1519</v>
      </c>
      <c r="CO3" s="371">
        <v>13</v>
      </c>
      <c r="CP3" s="371">
        <v>0</v>
      </c>
      <c r="CQ3" s="371">
        <v>0</v>
      </c>
      <c r="CR3" s="371">
        <v>0</v>
      </c>
      <c r="CS3" s="371">
        <v>0</v>
      </c>
      <c r="CT3" s="371">
        <v>0</v>
      </c>
      <c r="CU3" s="367">
        <f>IFERROR(CH3/Instructions!$J$25,0)+CI3*Instructions!$J$27+CJ3*Instructions!$J$29+IFERROR(CK3/Instructions!$E$34,0)+CL3*Instructions!$E$36+Tier!CM3*Instructions!$E$25+IFERROR(CN3/Instructions!$E$27,0)+CO3*Instructions!$E$29+IFERROR((CP3+CR3)/Instructions!$J$32,0)+(CQ3+CS3)*Instructions!$J$34+Tier!CT3*-2</f>
        <v>327.9</v>
      </c>
      <c r="CV3" s="354"/>
      <c r="CW3" s="238">
        <v>2014</v>
      </c>
      <c r="CX3" s="365" t="s">
        <v>50</v>
      </c>
      <c r="CY3" s="366" t="s">
        <v>1626</v>
      </c>
      <c r="CZ3" s="366" t="s">
        <v>7</v>
      </c>
      <c r="DA3" s="366">
        <v>0</v>
      </c>
      <c r="DB3" s="366">
        <v>0</v>
      </c>
      <c r="DC3" s="366">
        <v>0</v>
      </c>
      <c r="DD3" s="366">
        <v>0</v>
      </c>
      <c r="DE3" s="366">
        <v>0</v>
      </c>
      <c r="DF3" s="366">
        <v>69</v>
      </c>
      <c r="DG3" s="366">
        <v>821</v>
      </c>
      <c r="DH3" s="366">
        <v>12</v>
      </c>
      <c r="DI3" s="366">
        <v>0</v>
      </c>
      <c r="DJ3" s="366">
        <v>0</v>
      </c>
      <c r="DK3" s="366">
        <v>0</v>
      </c>
      <c r="DL3" s="366">
        <v>0</v>
      </c>
      <c r="DM3" s="366">
        <v>0</v>
      </c>
      <c r="DN3" s="367">
        <f>IFERROR(DA3/Instructions!$J$25,0)+DB3*Instructions!$J$27+DC3*Instructions!$J$29+IFERROR(DD3/Instructions!$E$34,0)+DE3*Instructions!$E$36+Tier!DF3*Instructions!$E$25+IFERROR(DG3/Instructions!$E$27,0)+DH3*Instructions!$E$29+IFERROR((DI3+DK3)/Instructions!$J$32,0)+(DJ3+DL3)*Instructions!$J$34+Tier!DM3*-2</f>
        <v>223.1</v>
      </c>
    </row>
    <row r="4" spans="1:118" s="366" customFormat="1" ht="15.75" customHeight="1" x14ac:dyDescent="0.25">
      <c r="A4" s="353">
        <v>0</v>
      </c>
      <c r="B4" s="358">
        <f t="shared" ref="B4:B12" si="18">E53</f>
        <v>385.74799999999993</v>
      </c>
      <c r="C4" s="354"/>
      <c r="D4" s="363">
        <v>1</v>
      </c>
      <c r="E4" s="364">
        <f>IFERROR(AVERAGEIF($L$2:$L$33,D4,$G$2:G34),AVERAGE(J6:J7))</f>
        <v>351.94</v>
      </c>
      <c r="F4" s="238">
        <v>2014</v>
      </c>
      <c r="G4" s="367">
        <f>LARGE($BI$2:$BI$33,3)</f>
        <v>328.59999999999997</v>
      </c>
      <c r="H4" s="355">
        <f t="shared" si="1"/>
        <v>62.95999999999998</v>
      </c>
      <c r="I4" s="356">
        <f t="shared" si="2"/>
        <v>3963.9615999999974</v>
      </c>
      <c r="J4" s="356"/>
      <c r="K4" s="356">
        <f t="shared" si="3"/>
        <v>3.9349999999999987</v>
      </c>
      <c r="L4" s="238">
        <f t="shared" si="4"/>
        <v>3</v>
      </c>
      <c r="M4" s="354"/>
      <c r="N4" s="363">
        <v>1</v>
      </c>
      <c r="O4" s="364">
        <f t="shared" ref="O4:O10" si="19">IFERROR(AVERAGEIF($V$2:$V$151,N4,$Q$2:$Q$151),AVERAGE(T6:T7))</f>
        <v>254.39999999999998</v>
      </c>
      <c r="P4" s="366">
        <v>2014</v>
      </c>
      <c r="Q4" s="367">
        <f>LARGE($CB$2:$CB$151,3)</f>
        <v>324.5</v>
      </c>
      <c r="R4" s="357">
        <f t="shared" si="5"/>
        <v>159.9</v>
      </c>
      <c r="S4" s="356">
        <f t="shared" si="6"/>
        <v>25568.010000000002</v>
      </c>
      <c r="T4" s="238"/>
      <c r="U4" s="356">
        <f t="shared" si="7"/>
        <v>9.9937500000000004</v>
      </c>
      <c r="V4" s="238">
        <f t="shared" si="8"/>
        <v>0</v>
      </c>
      <c r="W4" s="354"/>
      <c r="X4" s="363">
        <v>1</v>
      </c>
      <c r="Y4" s="364">
        <f t="shared" si="9"/>
        <v>299.8</v>
      </c>
      <c r="Z4" s="321">
        <v>2014</v>
      </c>
      <c r="AA4" s="367">
        <f>LARGE($CU$2:$CU$151,3)</f>
        <v>327.9</v>
      </c>
      <c r="AB4" s="357">
        <f t="shared" si="10"/>
        <v>110.16666666666663</v>
      </c>
      <c r="AC4" s="356">
        <f t="shared" si="0"/>
        <v>12136.694444444436</v>
      </c>
      <c r="AD4" s="238"/>
      <c r="AE4" s="356">
        <f t="shared" si="11"/>
        <v>6.8854166666666643</v>
      </c>
      <c r="AF4" s="238">
        <f t="shared" si="12"/>
        <v>0</v>
      </c>
      <c r="AG4" s="354"/>
      <c r="AH4" s="363">
        <v>1</v>
      </c>
      <c r="AI4" s="364">
        <f t="shared" si="13"/>
        <v>241.3</v>
      </c>
      <c r="AJ4" s="238">
        <v>2014</v>
      </c>
      <c r="AK4" s="367">
        <f>LARGE($DN$2:$DN$33,3)</f>
        <v>223.1</v>
      </c>
      <c r="AL4" s="373">
        <f t="shared" si="14"/>
        <v>69.799999999999983</v>
      </c>
      <c r="AM4" s="374">
        <f t="shared" si="15"/>
        <v>4872.0399999999972</v>
      </c>
      <c r="AN4" s="374"/>
      <c r="AO4" s="374">
        <f t="shared" si="16"/>
        <v>4.3624999999999989</v>
      </c>
      <c r="AP4" s="238">
        <f t="shared" si="17"/>
        <v>2</v>
      </c>
      <c r="AQ4" s="354"/>
      <c r="AR4" s="238">
        <v>2014</v>
      </c>
      <c r="AS4" s="368" t="s">
        <v>45</v>
      </c>
      <c r="AT4" s="369" t="s">
        <v>140</v>
      </c>
      <c r="AU4" s="369" t="s">
        <v>1</v>
      </c>
      <c r="AV4" s="369">
        <v>3475</v>
      </c>
      <c r="AW4" s="369">
        <v>20</v>
      </c>
      <c r="AX4" s="369">
        <v>7</v>
      </c>
      <c r="AY4" s="369">
        <v>849</v>
      </c>
      <c r="AZ4" s="369">
        <v>6</v>
      </c>
      <c r="BA4" s="369">
        <v>1</v>
      </c>
      <c r="BB4" s="369">
        <v>17</v>
      </c>
      <c r="BC4" s="369">
        <v>0</v>
      </c>
      <c r="BD4" s="369">
        <v>0</v>
      </c>
      <c r="BE4" s="366">
        <v>0</v>
      </c>
      <c r="BF4" s="366">
        <v>0</v>
      </c>
      <c r="BG4" s="366">
        <v>0</v>
      </c>
      <c r="BH4" s="366">
        <v>0</v>
      </c>
      <c r="BI4" s="367">
        <f>IFERROR(AV4/Instructions!$J$25,0)+AW4*Instructions!$J$27+AX4*Instructions!$J$29+IFERROR(AY4/Instructions!$E$34,0)+AZ4*Instructions!$E$36+Tier!BA4*Instructions!$E$25+IFERROR(BB4/Instructions!$E$27,0)+BC4*Instructions!$E$29+IFERROR((BD4+BF4)/Instructions!$J$32,0)+(BE4+BG4)*Instructions!$J$34+BH4*-2</f>
        <v>328.59999999999997</v>
      </c>
      <c r="BJ4" s="354"/>
      <c r="BK4" s="366">
        <v>2014</v>
      </c>
      <c r="BL4" s="370" t="s">
        <v>10</v>
      </c>
      <c r="BM4" s="372" t="s">
        <v>140</v>
      </c>
      <c r="BN4" s="372" t="s">
        <v>3</v>
      </c>
      <c r="BO4" s="372">
        <v>0</v>
      </c>
      <c r="BP4" s="423">
        <v>0</v>
      </c>
      <c r="BQ4" s="372">
        <v>0</v>
      </c>
      <c r="BR4" s="372">
        <v>1306</v>
      </c>
      <c r="BS4" s="372">
        <v>13</v>
      </c>
      <c r="BT4" s="372">
        <v>37</v>
      </c>
      <c r="BU4" s="372">
        <v>367</v>
      </c>
      <c r="BV4" s="372">
        <v>4</v>
      </c>
      <c r="BW4" s="372">
        <v>0</v>
      </c>
      <c r="BX4" s="372">
        <v>0</v>
      </c>
      <c r="BY4" s="372">
        <v>0</v>
      </c>
      <c r="BZ4" s="372">
        <v>0</v>
      </c>
      <c r="CA4" s="372">
        <v>2</v>
      </c>
      <c r="CB4" s="367">
        <f>IFERROR(BO4/Instructions!$J$25,0)+BP4*Instructions!$J$27+BQ4*Instructions!$J$29+IFERROR(BR4/Instructions!$E$34,0)+BS4*Instructions!$E$36+Tier!BT5*Instructions!$E$25+IFERROR(BU4/Instructions!$E$27,0)+BV4*Instructions!$E$29+IFERROR((BW4+BY4)/Instructions!$J$32,0)+(BX4+BZ4)*Instructions!$J$34+Tier!CA4*-2</f>
        <v>367.3</v>
      </c>
      <c r="CC4" s="354"/>
      <c r="CD4" s="321">
        <v>2014</v>
      </c>
      <c r="CE4" s="370" t="s">
        <v>17</v>
      </c>
      <c r="CF4" s="371" t="s">
        <v>146</v>
      </c>
      <c r="CG4" s="371" t="s">
        <v>6</v>
      </c>
      <c r="CH4" s="371">
        <v>0</v>
      </c>
      <c r="CI4" s="371">
        <v>0</v>
      </c>
      <c r="CJ4" s="371">
        <v>0</v>
      </c>
      <c r="CK4" s="371">
        <v>0</v>
      </c>
      <c r="CL4" s="371">
        <v>0</v>
      </c>
      <c r="CM4" s="371">
        <v>88</v>
      </c>
      <c r="CN4" s="371">
        <v>1320</v>
      </c>
      <c r="CO4" s="371">
        <v>16</v>
      </c>
      <c r="CP4" s="371">
        <v>0</v>
      </c>
      <c r="CQ4" s="371">
        <v>0</v>
      </c>
      <c r="CR4" s="371">
        <v>0</v>
      </c>
      <c r="CS4" s="371">
        <v>0</v>
      </c>
      <c r="CT4" s="371">
        <v>0</v>
      </c>
      <c r="CU4" s="367">
        <f>IFERROR(CH4/Instructions!$J$25,0)+CI4*Instructions!$J$27+CJ4*Instructions!$J$29+IFERROR(CK4/Instructions!$E$34,0)+CL4*Instructions!$E$36+Tier!CM4*Instructions!$E$25+IFERROR(CN4/Instructions!$E$27,0)+CO4*Instructions!$E$29+IFERROR((CP4+CR4)/Instructions!$J$32,0)+(CQ4+CS4)*Instructions!$J$34+Tier!CT4*-2</f>
        <v>316</v>
      </c>
      <c r="CV4" s="354"/>
      <c r="CW4" s="238">
        <v>2014</v>
      </c>
      <c r="CX4" s="365" t="s">
        <v>8</v>
      </c>
      <c r="CY4" s="366" t="s">
        <v>1625</v>
      </c>
      <c r="CZ4" s="366" t="s">
        <v>7</v>
      </c>
      <c r="DA4" s="366">
        <v>0</v>
      </c>
      <c r="DB4" s="366">
        <v>0</v>
      </c>
      <c r="DC4" s="366">
        <v>0</v>
      </c>
      <c r="DD4" s="366">
        <v>0</v>
      </c>
      <c r="DE4" s="366">
        <v>0</v>
      </c>
      <c r="DF4" s="366">
        <v>85</v>
      </c>
      <c r="DG4" s="366">
        <v>889</v>
      </c>
      <c r="DH4" s="366">
        <v>10</v>
      </c>
      <c r="DI4" s="366">
        <v>0</v>
      </c>
      <c r="DJ4" s="366">
        <v>0</v>
      </c>
      <c r="DK4" s="366">
        <v>0</v>
      </c>
      <c r="DL4" s="366">
        <v>0</v>
      </c>
      <c r="DM4" s="366">
        <v>2</v>
      </c>
      <c r="DN4" s="367">
        <f>IFERROR(DA4/Instructions!$J$25,0)+DB4*Instructions!$J$27+DC4*Instructions!$J$29+IFERROR(DD4/Instructions!$E$34,0)+DE4*Instructions!$E$36+Tier!DF4*Instructions!$E$25+IFERROR(DG4/Instructions!$E$27,0)+DH4*Instructions!$E$29+IFERROR((DI4+DK4)/Instructions!$J$32,0)+(DJ4+DL4)*Instructions!$J$34+Tier!DM4*-2</f>
        <v>229.9</v>
      </c>
    </row>
    <row r="5" spans="1:118" s="366" customFormat="1" ht="15.75" customHeight="1" x14ac:dyDescent="0.25">
      <c r="A5" s="353">
        <v>1</v>
      </c>
      <c r="B5" s="358">
        <f t="shared" si="18"/>
        <v>355.73066666666665</v>
      </c>
      <c r="C5" s="354"/>
      <c r="D5" s="363">
        <v>2</v>
      </c>
      <c r="E5" s="364">
        <f>IFERROR(AVERAGEIF($L$2:$L$33,D5,$G$2:G35),AVERAGE(J7:J8))</f>
        <v>337.64</v>
      </c>
      <c r="F5" s="238">
        <v>2014</v>
      </c>
      <c r="G5" s="367">
        <f>LARGE($BI$2:$BI$33,4)</f>
        <v>308.68000000000006</v>
      </c>
      <c r="H5" s="355">
        <f t="shared" si="1"/>
        <v>43.040000000000077</v>
      </c>
      <c r="I5" s="356">
        <f t="shared" si="2"/>
        <v>1852.4416000000067</v>
      </c>
      <c r="J5" s="356">
        <f>J6+J2</f>
        <v>377.64</v>
      </c>
      <c r="K5" s="356">
        <f t="shared" si="3"/>
        <v>2.6900000000000048</v>
      </c>
      <c r="L5" s="238">
        <f t="shared" si="4"/>
        <v>4</v>
      </c>
      <c r="M5" s="354"/>
      <c r="N5" s="363">
        <v>2</v>
      </c>
      <c r="O5" s="364">
        <f t="shared" si="19"/>
        <v>238.9</v>
      </c>
      <c r="P5" s="366">
        <v>2014</v>
      </c>
      <c r="Q5" s="367">
        <f>LARGE($CB$2:$CB$151,4)</f>
        <v>278.60000000000002</v>
      </c>
      <c r="R5" s="357">
        <f t="shared" si="5"/>
        <v>114.00000000000003</v>
      </c>
      <c r="S5" s="356">
        <f t="shared" si="6"/>
        <v>12996.000000000007</v>
      </c>
      <c r="T5" s="356">
        <f>T6+T2</f>
        <v>276.60000000000002</v>
      </c>
      <c r="U5" s="356">
        <f t="shared" si="7"/>
        <v>7.1250000000000018</v>
      </c>
      <c r="V5" s="238">
        <f t="shared" si="8"/>
        <v>0</v>
      </c>
      <c r="W5" s="354"/>
      <c r="X5" s="363">
        <v>2</v>
      </c>
      <c r="Y5" s="364">
        <f t="shared" si="9"/>
        <v>295.93333333333334</v>
      </c>
      <c r="Z5" s="321">
        <v>2014</v>
      </c>
      <c r="AA5" s="367">
        <f>LARGE($CU$2:$CU$151,4)</f>
        <v>316</v>
      </c>
      <c r="AB5" s="357">
        <f t="shared" si="10"/>
        <v>98.266666666666652</v>
      </c>
      <c r="AC5" s="356">
        <f t="shared" si="0"/>
        <v>9656.337777777775</v>
      </c>
      <c r="AD5" s="356">
        <f>AD6+AD2</f>
        <v>329.73333333333335</v>
      </c>
      <c r="AE5" s="356">
        <f t="shared" si="11"/>
        <v>6.1416666666666657</v>
      </c>
      <c r="AF5" s="238">
        <f t="shared" si="12"/>
        <v>0</v>
      </c>
      <c r="AG5" s="354"/>
      <c r="AH5" s="363">
        <v>2</v>
      </c>
      <c r="AI5" s="364">
        <f t="shared" si="13"/>
        <v>222.85</v>
      </c>
      <c r="AJ5" s="238">
        <v>2014</v>
      </c>
      <c r="AK5" s="367">
        <f>LARGE($DN$2:$DN$33,4)</f>
        <v>220.8</v>
      </c>
      <c r="AL5" s="373">
        <f t="shared" si="14"/>
        <v>67.5</v>
      </c>
      <c r="AM5" s="374">
        <f t="shared" si="15"/>
        <v>4556.25</v>
      </c>
      <c r="AN5" s="356">
        <f>AN6+AN2</f>
        <v>265.3</v>
      </c>
      <c r="AO5" s="374">
        <f t="shared" si="16"/>
        <v>4.21875</v>
      </c>
      <c r="AP5" s="238">
        <f t="shared" si="17"/>
        <v>2</v>
      </c>
      <c r="AQ5" s="354"/>
      <c r="AR5" s="238">
        <v>2014</v>
      </c>
      <c r="AS5" s="365" t="s">
        <v>1644</v>
      </c>
      <c r="AT5" s="366" t="s">
        <v>144</v>
      </c>
      <c r="AU5" s="369" t="s">
        <v>1</v>
      </c>
      <c r="AV5" s="369">
        <v>4727</v>
      </c>
      <c r="AW5" s="369">
        <v>39</v>
      </c>
      <c r="AX5" s="369">
        <v>15</v>
      </c>
      <c r="AY5" s="369">
        <v>-24</v>
      </c>
      <c r="AZ5" s="369">
        <v>0</v>
      </c>
      <c r="BA5" s="369">
        <v>0</v>
      </c>
      <c r="BB5" s="369">
        <v>0</v>
      </c>
      <c r="BC5" s="369">
        <v>0</v>
      </c>
      <c r="BD5" s="366">
        <v>0</v>
      </c>
      <c r="BE5" s="366">
        <v>0</v>
      </c>
      <c r="BF5" s="366">
        <v>0</v>
      </c>
      <c r="BG5" s="366">
        <v>0</v>
      </c>
      <c r="BH5" s="366">
        <v>2</v>
      </c>
      <c r="BI5" s="367">
        <f>IFERROR(AV5/Instructions!$J$25,0)+AW5*Instructions!$J$27+AX5*Instructions!$J$29+IFERROR(AY5/Instructions!$E$34,0)+AZ5*Instructions!$E$36+Tier!BA5*Instructions!$E$25+IFERROR(BB5/Instructions!$E$27,0)+BC5*Instructions!$E$29+IFERROR((BD5+BF5)/Instructions!$J$32,0)+(BE5+BG5)*Instructions!$J$34+BH5*-2</f>
        <v>308.68000000000006</v>
      </c>
      <c r="BJ5" s="354"/>
      <c r="BK5" s="366">
        <v>2014</v>
      </c>
      <c r="BL5" s="370" t="s">
        <v>9</v>
      </c>
      <c r="BM5" s="372" t="s">
        <v>141</v>
      </c>
      <c r="BN5" s="372" t="s">
        <v>3</v>
      </c>
      <c r="BO5" s="372">
        <v>0</v>
      </c>
      <c r="BP5" s="423">
        <v>0</v>
      </c>
      <c r="BQ5" s="372">
        <v>0</v>
      </c>
      <c r="BR5" s="372">
        <v>1038</v>
      </c>
      <c r="BS5" s="372">
        <v>6</v>
      </c>
      <c r="BT5" s="372">
        <v>102</v>
      </c>
      <c r="BU5" s="372">
        <v>808</v>
      </c>
      <c r="BV5" s="372">
        <v>4</v>
      </c>
      <c r="BW5" s="372">
        <v>0</v>
      </c>
      <c r="BX5" s="372">
        <v>0</v>
      </c>
      <c r="BY5" s="372">
        <v>0</v>
      </c>
      <c r="BZ5" s="372">
        <v>0</v>
      </c>
      <c r="CA5" s="372">
        <v>2</v>
      </c>
      <c r="CB5" s="367">
        <f>IFERROR(BO5/Instructions!$J$25,0)+BP5*Instructions!$J$27+BQ5*Instructions!$J$29+IFERROR(BR5/Instructions!$E$34,0)+BS5*Instructions!$E$36+Tier!BT6*Instructions!$E$25+IFERROR(BU5/Instructions!$E$27,0)+BV5*Instructions!$E$29+IFERROR((BW5+BY5)/Instructions!$J$32,0)+(BX5+BZ5)*Instructions!$J$34+Tier!CA5*-2</f>
        <v>278.60000000000002</v>
      </c>
      <c r="CC5" s="354"/>
      <c r="CD5" s="321">
        <v>2014</v>
      </c>
      <c r="CE5" s="370" t="s">
        <v>14</v>
      </c>
      <c r="CF5" s="371" t="s">
        <v>144</v>
      </c>
      <c r="CG5" s="371" t="s">
        <v>6</v>
      </c>
      <c r="CH5" s="371">
        <v>0</v>
      </c>
      <c r="CI5" s="371">
        <v>0</v>
      </c>
      <c r="CJ5" s="371">
        <v>0</v>
      </c>
      <c r="CK5" s="371">
        <v>0</v>
      </c>
      <c r="CL5" s="371">
        <v>0</v>
      </c>
      <c r="CM5" s="371">
        <v>111</v>
      </c>
      <c r="CN5" s="371">
        <v>1619</v>
      </c>
      <c r="CO5" s="371">
        <v>11</v>
      </c>
      <c r="CP5" s="371">
        <v>0</v>
      </c>
      <c r="CQ5" s="371">
        <v>0</v>
      </c>
      <c r="CR5" s="371">
        <v>0</v>
      </c>
      <c r="CS5" s="371">
        <v>0</v>
      </c>
      <c r="CT5" s="371">
        <v>0</v>
      </c>
      <c r="CU5" s="367">
        <f>IFERROR(CH5/Instructions!$J$25,0)+CI5*Instructions!$J$27+CJ5*Instructions!$J$29+IFERROR(CK5/Instructions!$E$34,0)+CL5*Instructions!$E$36+Tier!CM5*Instructions!$E$25+IFERROR(CN5/Instructions!$E$27,0)+CO5*Instructions!$E$29+IFERROR((CP5+CR5)/Instructions!$J$32,0)+(CQ5+CS5)*Instructions!$J$34+Tier!CT5*-2</f>
        <v>338.9</v>
      </c>
      <c r="CV5" s="354"/>
      <c r="CW5" s="238">
        <v>2014</v>
      </c>
      <c r="CX5" s="365" t="s">
        <v>30</v>
      </c>
      <c r="CY5" s="366" t="s">
        <v>159</v>
      </c>
      <c r="CZ5" s="366" t="s">
        <v>7</v>
      </c>
      <c r="DA5" s="366">
        <v>0</v>
      </c>
      <c r="DB5" s="366">
        <v>0</v>
      </c>
      <c r="DC5" s="366">
        <v>0</v>
      </c>
      <c r="DD5" s="366">
        <v>0</v>
      </c>
      <c r="DE5" s="366">
        <v>0</v>
      </c>
      <c r="DF5" s="366">
        <v>84</v>
      </c>
      <c r="DG5" s="366">
        <v>1008</v>
      </c>
      <c r="DH5" s="366">
        <v>6</v>
      </c>
      <c r="DI5" s="366">
        <v>0</v>
      </c>
      <c r="DJ5" s="366">
        <v>0</v>
      </c>
      <c r="DK5" s="366">
        <v>0</v>
      </c>
      <c r="DL5" s="366">
        <v>0</v>
      </c>
      <c r="DM5" s="366">
        <v>0</v>
      </c>
      <c r="DN5" s="367">
        <f>IFERROR(DA5/Instructions!$J$25,0)+DB5*Instructions!$J$27+DC5*Instructions!$J$29+IFERROR(DD5/Instructions!$E$34,0)+DE5*Instructions!$E$36+Tier!DF5*Instructions!$E$25+IFERROR(DG5/Instructions!$E$27,0)+DH5*Instructions!$E$29+IFERROR((DI5+DK5)/Instructions!$J$32,0)+(DJ5+DL5)*Instructions!$J$34+Tier!DM5*-2</f>
        <v>220.8</v>
      </c>
    </row>
    <row r="6" spans="1:118" s="366" customFormat="1" ht="15.75" customHeight="1" x14ac:dyDescent="0.25">
      <c r="A6" s="353">
        <v>2</v>
      </c>
      <c r="B6" s="358">
        <f t="shared" si="18"/>
        <v>339.0506666666667</v>
      </c>
      <c r="C6" s="354"/>
      <c r="D6" s="363">
        <v>3</v>
      </c>
      <c r="E6" s="364">
        <f>IFERROR(AVERAGEIF($L$2:$L$33,D6,$G$2:G36),AVERAGE(J8:J9))</f>
        <v>328.59999999999997</v>
      </c>
      <c r="F6" s="238">
        <v>2014</v>
      </c>
      <c r="G6" s="367">
        <f>LARGE($BI$2:$BI$33,5)</f>
        <v>303.98000000000008</v>
      </c>
      <c r="H6" s="355">
        <f t="shared" si="1"/>
        <v>38.340000000000089</v>
      </c>
      <c r="I6" s="356">
        <f t="shared" si="2"/>
        <v>1469.9556000000068</v>
      </c>
      <c r="J6" s="356">
        <f>J7+J2</f>
        <v>361.64</v>
      </c>
      <c r="K6" s="356">
        <f t="shared" si="3"/>
        <v>2.3962500000000055</v>
      </c>
      <c r="L6" s="238">
        <f t="shared" si="4"/>
        <v>4</v>
      </c>
      <c r="M6" s="354"/>
      <c r="N6" s="363">
        <v>3</v>
      </c>
      <c r="O6" s="364">
        <f t="shared" si="19"/>
        <v>220.6</v>
      </c>
      <c r="P6" s="366">
        <v>2014</v>
      </c>
      <c r="Q6" s="367">
        <f>LARGE($CB$2:$CB$151,5)</f>
        <v>277.5</v>
      </c>
      <c r="R6" s="357">
        <f t="shared" si="5"/>
        <v>112.9</v>
      </c>
      <c r="S6" s="356">
        <f t="shared" si="6"/>
        <v>12746.410000000002</v>
      </c>
      <c r="T6" s="356">
        <f>T7+T2</f>
        <v>260.60000000000002</v>
      </c>
      <c r="U6" s="356">
        <f t="shared" si="7"/>
        <v>7.0562500000000004</v>
      </c>
      <c r="V6" s="238">
        <f t="shared" si="8"/>
        <v>0</v>
      </c>
      <c r="W6" s="354"/>
      <c r="X6" s="363">
        <v>3</v>
      </c>
      <c r="Y6" s="364">
        <f t="shared" si="9"/>
        <v>276.8</v>
      </c>
      <c r="Z6" s="321">
        <v>2014</v>
      </c>
      <c r="AA6" s="367">
        <f>LARGE($CU$2:$CU$151,5)</f>
        <v>299.8</v>
      </c>
      <c r="AB6" s="357">
        <f t="shared" si="10"/>
        <v>82.066666666666663</v>
      </c>
      <c r="AC6" s="356">
        <f t="shared" si="0"/>
        <v>6734.9377777777772</v>
      </c>
      <c r="AD6" s="356">
        <f>AD7+AD2</f>
        <v>313.73333333333335</v>
      </c>
      <c r="AE6" s="356">
        <f t="shared" si="11"/>
        <v>5.1291666666666664</v>
      </c>
      <c r="AF6" s="238">
        <f t="shared" si="12"/>
        <v>1</v>
      </c>
      <c r="AG6" s="354"/>
      <c r="AH6" s="363">
        <v>3</v>
      </c>
      <c r="AI6" s="364">
        <f t="shared" si="13"/>
        <v>209.3</v>
      </c>
      <c r="AJ6" s="238">
        <v>2014</v>
      </c>
      <c r="AK6" s="367">
        <f>LARGE($DN$2:$DN$33,5)</f>
        <v>217.6</v>
      </c>
      <c r="AL6" s="373">
        <f t="shared" si="14"/>
        <v>64.299999999999983</v>
      </c>
      <c r="AM6" s="374">
        <f t="shared" si="15"/>
        <v>4134.489999999998</v>
      </c>
      <c r="AN6" s="356">
        <f>AN7+AN2</f>
        <v>249.3</v>
      </c>
      <c r="AO6" s="374">
        <f t="shared" si="16"/>
        <v>4.0187499999999989</v>
      </c>
      <c r="AP6" s="238">
        <f t="shared" si="17"/>
        <v>2</v>
      </c>
      <c r="AQ6" s="354"/>
      <c r="AR6" s="238">
        <v>2014</v>
      </c>
      <c r="AS6" s="370" t="s">
        <v>16</v>
      </c>
      <c r="AT6" s="371" t="s">
        <v>1625</v>
      </c>
      <c r="AU6" s="419" t="s">
        <v>1</v>
      </c>
      <c r="AV6" s="371">
        <v>4952</v>
      </c>
      <c r="AW6" s="371">
        <v>33</v>
      </c>
      <c r="AX6" s="371">
        <v>17</v>
      </c>
      <c r="AY6" s="371">
        <v>68</v>
      </c>
      <c r="AZ6" s="371">
        <v>1</v>
      </c>
      <c r="BA6" s="371">
        <v>1</v>
      </c>
      <c r="BB6" s="371">
        <v>1</v>
      </c>
      <c r="BC6" s="371">
        <v>0</v>
      </c>
      <c r="BD6" s="372">
        <v>0</v>
      </c>
      <c r="BE6" s="372">
        <v>0</v>
      </c>
      <c r="BF6" s="372">
        <v>0</v>
      </c>
      <c r="BG6" s="372">
        <v>0</v>
      </c>
      <c r="BH6" s="372">
        <v>3</v>
      </c>
      <c r="BI6" s="367">
        <f>IFERROR(AV6/Instructions!$J$25,0)+AW6*Instructions!$J$27+AX6*Instructions!$J$29+IFERROR(AY6/Instructions!$E$34,0)+AZ6*Instructions!$E$36+Tier!BA6*Instructions!$E$25+IFERROR(BB6/Instructions!$E$27,0)+BC6*Instructions!$E$29+IFERROR((BD6+BF6)/Instructions!$J$32,0)+(BE6+BG6)*Instructions!$J$34+BH6*-2</f>
        <v>303.98000000000008</v>
      </c>
      <c r="BJ6" s="354"/>
      <c r="BK6" s="366">
        <v>2014</v>
      </c>
      <c r="BL6" s="370" t="s">
        <v>1647</v>
      </c>
      <c r="BM6" s="372" t="s">
        <v>151</v>
      </c>
      <c r="BN6" s="372" t="s">
        <v>3</v>
      </c>
      <c r="BO6" s="372">
        <v>5</v>
      </c>
      <c r="BP6" s="423">
        <v>1</v>
      </c>
      <c r="BQ6" s="372">
        <v>0</v>
      </c>
      <c r="BR6" s="372">
        <v>1246</v>
      </c>
      <c r="BS6" s="372">
        <v>8</v>
      </c>
      <c r="BT6" s="372">
        <v>38</v>
      </c>
      <c r="BU6" s="372">
        <v>327</v>
      </c>
      <c r="BV6" s="372">
        <v>5</v>
      </c>
      <c r="BW6" s="372">
        <v>0</v>
      </c>
      <c r="BX6" s="372">
        <v>0</v>
      </c>
      <c r="BY6" s="372">
        <v>0</v>
      </c>
      <c r="BZ6" s="372">
        <v>0</v>
      </c>
      <c r="CA6" s="372">
        <v>2</v>
      </c>
      <c r="CB6" s="367">
        <f>IFERROR(BO6/Instructions!$J$25,0)+BP6*Instructions!$J$27+BQ6*Instructions!$J$29+IFERROR(BR6/Instructions!$E$34,0)+BS6*Instructions!$E$36+Tier!BT7*Instructions!$E$25+IFERROR(BU6/Instructions!$E$27,0)+BV6*Instructions!$E$29+IFERROR((BW6+BY6)/Instructions!$J$32,0)+(BX6+BZ6)*Instructions!$J$34+Tier!CA6*-2</f>
        <v>277.5</v>
      </c>
      <c r="CC6" s="354"/>
      <c r="CD6" s="321">
        <v>2014</v>
      </c>
      <c r="CE6" s="370" t="s">
        <v>1206</v>
      </c>
      <c r="CF6" s="371" t="s">
        <v>154</v>
      </c>
      <c r="CG6" s="371" t="s">
        <v>6</v>
      </c>
      <c r="CH6" s="371">
        <v>0</v>
      </c>
      <c r="CI6" s="371">
        <v>0</v>
      </c>
      <c r="CJ6" s="371">
        <v>0</v>
      </c>
      <c r="CK6" s="371">
        <v>35</v>
      </c>
      <c r="CL6" s="371">
        <v>0</v>
      </c>
      <c r="CM6" s="371">
        <v>91</v>
      </c>
      <c r="CN6" s="371">
        <v>1305</v>
      </c>
      <c r="CO6" s="371">
        <v>12</v>
      </c>
      <c r="CP6" s="371">
        <v>171</v>
      </c>
      <c r="CQ6" s="371">
        <v>0</v>
      </c>
      <c r="CR6" s="371">
        <v>0</v>
      </c>
      <c r="CS6" s="371">
        <v>0</v>
      </c>
      <c r="CT6" s="371">
        <v>0</v>
      </c>
      <c r="CU6" s="367">
        <f>IFERROR(CH6/Instructions!$J$25,0)+CI6*Instructions!$J$27+CJ6*Instructions!$J$29+IFERROR(CK6/Instructions!$E$34,0)+CL6*Instructions!$E$36+Tier!CM6*Instructions!$E$25+IFERROR(CN6/Instructions!$E$27,0)+CO6*Instructions!$E$29+IFERROR((CP6+CR6)/Instructions!$J$32,0)+(CQ6+CS6)*Instructions!$J$34+Tier!CT6*-2</f>
        <v>297</v>
      </c>
      <c r="CV6" s="354"/>
      <c r="CW6" s="238">
        <v>2014</v>
      </c>
      <c r="CX6" s="365" t="s">
        <v>44</v>
      </c>
      <c r="CY6" s="366" t="s">
        <v>141</v>
      </c>
      <c r="CZ6" s="366" t="s">
        <v>7</v>
      </c>
      <c r="DA6" s="366">
        <v>0</v>
      </c>
      <c r="DB6" s="366">
        <v>0</v>
      </c>
      <c r="DC6" s="366">
        <v>0</v>
      </c>
      <c r="DD6" s="366">
        <v>0</v>
      </c>
      <c r="DE6" s="366">
        <v>0</v>
      </c>
      <c r="DF6" s="366">
        <v>90</v>
      </c>
      <c r="DG6" s="366">
        <v>916</v>
      </c>
      <c r="DH6" s="366">
        <v>6</v>
      </c>
      <c r="DI6" s="366">
        <v>0</v>
      </c>
      <c r="DJ6" s="366">
        <v>0</v>
      </c>
      <c r="DK6" s="366">
        <v>0</v>
      </c>
      <c r="DL6" s="366">
        <v>0</v>
      </c>
      <c r="DM6" s="366">
        <v>0</v>
      </c>
      <c r="DN6" s="367">
        <f>IFERROR(DA6/Instructions!$J$25,0)+DB6*Instructions!$J$27+DC6*Instructions!$J$29+IFERROR(DD6/Instructions!$E$34,0)+DE6*Instructions!$E$36+Tier!DF6*Instructions!$E$25+IFERROR(DG6/Instructions!$E$27,0)+DH6*Instructions!$E$29+IFERROR((DI6+DK6)/Instructions!$J$32,0)+(DJ6+DL6)*Instructions!$J$34+Tier!DM6*-2</f>
        <v>217.6</v>
      </c>
    </row>
    <row r="7" spans="1:118" s="366" customFormat="1" ht="15.75" customHeight="1" x14ac:dyDescent="0.25">
      <c r="A7" s="353">
        <v>3</v>
      </c>
      <c r="B7" s="358">
        <f t="shared" si="18"/>
        <v>323.71999999999997</v>
      </c>
      <c r="C7" s="354"/>
      <c r="D7" s="363">
        <v>4</v>
      </c>
      <c r="E7" s="364">
        <f>IFERROR(AVERAGEIF($L$2:$L$33,D7,$G$2:G37),AVERAGE(J9:J10))</f>
        <v>304.28000000000003</v>
      </c>
      <c r="F7" s="238">
        <v>2014</v>
      </c>
      <c r="G7" s="367">
        <f>LARGE($BI$2:$BI$33,6)</f>
        <v>300.18</v>
      </c>
      <c r="H7" s="355">
        <f t="shared" si="1"/>
        <v>34.54000000000002</v>
      </c>
      <c r="I7" s="356">
        <f t="shared" si="2"/>
        <v>1193.0116000000014</v>
      </c>
      <c r="J7" s="356">
        <f>J8+J2</f>
        <v>345.64</v>
      </c>
      <c r="K7" s="356">
        <f t="shared" si="3"/>
        <v>2.1587500000000013</v>
      </c>
      <c r="L7" s="238">
        <f t="shared" si="4"/>
        <v>4</v>
      </c>
      <c r="M7" s="354"/>
      <c r="N7" s="363">
        <v>4</v>
      </c>
      <c r="O7" s="364">
        <f t="shared" si="19"/>
        <v>208.65</v>
      </c>
      <c r="P7" s="366">
        <v>2014</v>
      </c>
      <c r="Q7" s="367">
        <f>LARGE($CB$2:$CB$151,6)</f>
        <v>270.60000000000002</v>
      </c>
      <c r="R7" s="357">
        <f t="shared" si="5"/>
        <v>106.00000000000003</v>
      </c>
      <c r="S7" s="356">
        <f t="shared" si="6"/>
        <v>11236.000000000005</v>
      </c>
      <c r="T7" s="356">
        <f>T8+T2</f>
        <v>244.6</v>
      </c>
      <c r="U7" s="356">
        <f t="shared" si="7"/>
        <v>6.6250000000000018</v>
      </c>
      <c r="V7" s="238">
        <f t="shared" si="8"/>
        <v>0</v>
      </c>
      <c r="W7" s="354"/>
      <c r="X7" s="363">
        <v>4</v>
      </c>
      <c r="Y7" s="364">
        <f t="shared" si="9"/>
        <v>259.73333333333335</v>
      </c>
      <c r="Z7" s="321">
        <v>2014</v>
      </c>
      <c r="AA7" s="367">
        <f>LARGE($CU$2:$CU$151,6)</f>
        <v>297.39999999999998</v>
      </c>
      <c r="AB7" s="357">
        <f t="shared" si="10"/>
        <v>79.666666666666629</v>
      </c>
      <c r="AC7" s="356">
        <f t="shared" si="0"/>
        <v>6346.7777777777719</v>
      </c>
      <c r="AD7" s="356">
        <f>AD8+AD2</f>
        <v>297.73333333333335</v>
      </c>
      <c r="AE7" s="356">
        <f t="shared" si="11"/>
        <v>4.9791666666666643</v>
      </c>
      <c r="AF7" s="238">
        <f t="shared" si="12"/>
        <v>2</v>
      </c>
      <c r="AG7" s="354"/>
      <c r="AH7" s="363">
        <v>4</v>
      </c>
      <c r="AI7" s="364">
        <f t="shared" si="13"/>
        <v>193.3</v>
      </c>
      <c r="AJ7" s="238">
        <v>2014</v>
      </c>
      <c r="AK7" s="367">
        <f>LARGE($DN$2:$DN$33,6)</f>
        <v>177.2</v>
      </c>
      <c r="AL7" s="373">
        <f t="shared" si="14"/>
        <v>23.899999999999977</v>
      </c>
      <c r="AM7" s="374">
        <f t="shared" si="15"/>
        <v>571.2099999999989</v>
      </c>
      <c r="AN7" s="356">
        <f>AN8+AN2</f>
        <v>233.3</v>
      </c>
      <c r="AO7" s="374">
        <f t="shared" si="16"/>
        <v>1.4937499999999986</v>
      </c>
      <c r="AP7" s="238">
        <f t="shared" si="17"/>
        <v>5</v>
      </c>
      <c r="AQ7" s="354"/>
      <c r="AR7" s="238">
        <v>2014</v>
      </c>
      <c r="AS7" s="370" t="s">
        <v>59</v>
      </c>
      <c r="AT7" s="371" t="s">
        <v>147</v>
      </c>
      <c r="AU7" s="419" t="s">
        <v>1</v>
      </c>
      <c r="AV7" s="371">
        <v>4952</v>
      </c>
      <c r="AW7" s="371">
        <v>32</v>
      </c>
      <c r="AX7" s="371">
        <v>9</v>
      </c>
      <c r="AY7" s="371">
        <v>27</v>
      </c>
      <c r="AZ7" s="371">
        <v>0</v>
      </c>
      <c r="BA7" s="371">
        <v>0</v>
      </c>
      <c r="BB7" s="371">
        <v>-6</v>
      </c>
      <c r="BC7" s="371">
        <v>0</v>
      </c>
      <c r="BD7" s="372">
        <v>0</v>
      </c>
      <c r="BE7" s="372">
        <v>0</v>
      </c>
      <c r="BF7" s="372">
        <v>0</v>
      </c>
      <c r="BG7" s="372">
        <v>0</v>
      </c>
      <c r="BH7" s="372">
        <v>5</v>
      </c>
      <c r="BI7" s="367">
        <f>IFERROR(AV7/Instructions!$J$25,0)+AW7*Instructions!$J$27+AX7*Instructions!$J$29+IFERROR(AY7/Instructions!$E$34,0)+AZ7*Instructions!$E$36+Tier!BA7*Instructions!$E$25+IFERROR(BB7/Instructions!$E$27,0)+BC7*Instructions!$E$29+IFERROR((BD7+BF7)/Instructions!$J$32,0)+(BE7+BG7)*Instructions!$J$34+BH7*-2</f>
        <v>300.18</v>
      </c>
      <c r="BJ7" s="354"/>
      <c r="BK7" s="366">
        <v>2014</v>
      </c>
      <c r="BL7" s="370" t="s">
        <v>12</v>
      </c>
      <c r="BM7" s="372" t="s">
        <v>1624</v>
      </c>
      <c r="BN7" s="372" t="s">
        <v>3</v>
      </c>
      <c r="BO7" s="372">
        <v>0</v>
      </c>
      <c r="BP7" s="423">
        <v>0</v>
      </c>
      <c r="BQ7" s="372">
        <v>0</v>
      </c>
      <c r="BR7" s="372">
        <v>1139</v>
      </c>
      <c r="BS7" s="372">
        <v>9</v>
      </c>
      <c r="BT7" s="372">
        <v>42</v>
      </c>
      <c r="BU7" s="372">
        <v>427</v>
      </c>
      <c r="BV7" s="372">
        <v>4</v>
      </c>
      <c r="BW7" s="372">
        <v>0</v>
      </c>
      <c r="BX7" s="372">
        <v>0</v>
      </c>
      <c r="BY7" s="372">
        <v>0</v>
      </c>
      <c r="BZ7" s="372">
        <v>0</v>
      </c>
      <c r="CA7" s="372">
        <v>2</v>
      </c>
      <c r="CB7" s="367">
        <f>IFERROR(BO7/Instructions!$J$25,0)+BP7*Instructions!$J$27+BQ7*Instructions!$J$29+IFERROR(BR7/Instructions!$E$34,0)+BS7*Instructions!$E$36+Tier!BT8*Instructions!$E$25+IFERROR(BU7/Instructions!$E$27,0)+BV7*Instructions!$E$29+IFERROR((BW7+BY7)/Instructions!$J$32,0)+(BX7+BZ7)*Instructions!$J$34+Tier!CA7*-2</f>
        <v>270.60000000000002</v>
      </c>
      <c r="CC7" s="354"/>
      <c r="CD7" s="321">
        <v>2014</v>
      </c>
      <c r="CE7" s="370" t="s">
        <v>40</v>
      </c>
      <c r="CF7" s="371" t="s">
        <v>1624</v>
      </c>
      <c r="CG7" s="371" t="s">
        <v>6</v>
      </c>
      <c r="CH7" s="371">
        <v>0</v>
      </c>
      <c r="CI7" s="371">
        <v>0</v>
      </c>
      <c r="CJ7" s="371">
        <v>0</v>
      </c>
      <c r="CK7" s="371">
        <v>37</v>
      </c>
      <c r="CL7" s="371">
        <v>0</v>
      </c>
      <c r="CM7" s="371">
        <v>91</v>
      </c>
      <c r="CN7" s="371">
        <v>1287</v>
      </c>
      <c r="CO7" s="371">
        <v>12</v>
      </c>
      <c r="CP7" s="371">
        <v>112</v>
      </c>
      <c r="CQ7" s="371">
        <v>0</v>
      </c>
      <c r="CR7" s="371">
        <v>0</v>
      </c>
      <c r="CS7" s="371">
        <v>0</v>
      </c>
      <c r="CT7" s="371">
        <v>1</v>
      </c>
      <c r="CU7" s="367">
        <f>IFERROR(CH7/Instructions!$J$25,0)+CI7*Instructions!$J$27+CJ7*Instructions!$J$29+IFERROR(CK7/Instructions!$E$34,0)+CL7*Instructions!$E$36+Tier!CM7*Instructions!$E$25+IFERROR(CN7/Instructions!$E$27,0)+CO7*Instructions!$E$29+IFERROR((CP7+CR7)/Instructions!$J$32,0)+(CQ7+CS7)*Instructions!$J$34+Tier!CT7*-2</f>
        <v>293.39999999999998</v>
      </c>
      <c r="CV7" s="354"/>
      <c r="CW7" s="238">
        <v>2014</v>
      </c>
      <c r="CX7" s="365" t="s">
        <v>225</v>
      </c>
      <c r="CY7" s="366" t="s">
        <v>158</v>
      </c>
      <c r="CZ7" s="366" t="s">
        <v>7</v>
      </c>
      <c r="DA7" s="366">
        <v>0</v>
      </c>
      <c r="DB7" s="366">
        <v>0</v>
      </c>
      <c r="DC7" s="366">
        <v>0</v>
      </c>
      <c r="DD7" s="366">
        <v>0</v>
      </c>
      <c r="DE7" s="366">
        <v>0</v>
      </c>
      <c r="DF7" s="366">
        <v>51</v>
      </c>
      <c r="DG7" s="366">
        <v>774</v>
      </c>
      <c r="DH7" s="366">
        <v>8</v>
      </c>
      <c r="DI7" s="366">
        <v>0</v>
      </c>
      <c r="DJ7" s="366">
        <v>0</v>
      </c>
      <c r="DK7" s="366">
        <v>0</v>
      </c>
      <c r="DL7" s="366">
        <v>0</v>
      </c>
      <c r="DM7" s="366">
        <v>0</v>
      </c>
      <c r="DN7" s="367">
        <f>IFERROR(DA7/Instructions!$J$25,0)+DB7*Instructions!$J$27+DC7*Instructions!$J$29+IFERROR(DD7/Instructions!$E$34,0)+DE7*Instructions!$E$36+Tier!DF7*Instructions!$E$25+IFERROR(DG7/Instructions!$E$27,0)+DH7*Instructions!$E$29+IFERROR((DI7+DK7)/Instructions!$J$32,0)+(DJ7+DL7)*Instructions!$J$34+Tier!DM7*-2</f>
        <v>176.4</v>
      </c>
    </row>
    <row r="8" spans="1:118" s="366" customFormat="1" ht="15.75" customHeight="1" x14ac:dyDescent="0.25">
      <c r="A8" s="353">
        <v>4</v>
      </c>
      <c r="B8" s="358">
        <f t="shared" si="18"/>
        <v>308.94733333333335</v>
      </c>
      <c r="C8" s="354"/>
      <c r="D8" s="363">
        <v>5</v>
      </c>
      <c r="E8" s="364">
        <f>IFERROR(AVERAGEIF($L$2:$L$33,D8,$G$2:G38),AVERAGE(J10:J11))</f>
        <v>282.26</v>
      </c>
      <c r="F8" s="238">
        <v>2014</v>
      </c>
      <c r="G8" s="367">
        <f>LARGE($BI$2:$BI$33,7)</f>
        <v>282.26</v>
      </c>
      <c r="H8" s="355">
        <f t="shared" si="1"/>
        <v>16.620000000000005</v>
      </c>
      <c r="I8" s="356">
        <f t="shared" si="2"/>
        <v>276.22440000000017</v>
      </c>
      <c r="J8" s="356">
        <f>J9+J2</f>
        <v>329.64</v>
      </c>
      <c r="K8" s="356">
        <f t="shared" si="3"/>
        <v>1.0387500000000003</v>
      </c>
      <c r="L8" s="238">
        <f t="shared" si="4"/>
        <v>5</v>
      </c>
      <c r="M8" s="354"/>
      <c r="N8" s="363">
        <v>5</v>
      </c>
      <c r="O8" s="364">
        <f t="shared" si="19"/>
        <v>191.18</v>
      </c>
      <c r="P8" s="366">
        <v>2014</v>
      </c>
      <c r="Q8" s="367">
        <f>LARGE($CB$2:$CB$151,7)</f>
        <v>254.39999999999998</v>
      </c>
      <c r="R8" s="357">
        <f t="shared" si="5"/>
        <v>89.799999999999983</v>
      </c>
      <c r="S8" s="356">
        <f t="shared" si="6"/>
        <v>8064.0399999999972</v>
      </c>
      <c r="T8" s="356">
        <f>T9+T2</f>
        <v>228.6</v>
      </c>
      <c r="U8" s="356">
        <f t="shared" si="7"/>
        <v>5.6124999999999989</v>
      </c>
      <c r="V8" s="238">
        <f t="shared" si="8"/>
        <v>1</v>
      </c>
      <c r="W8" s="354"/>
      <c r="X8" s="363">
        <v>5</v>
      </c>
      <c r="Y8" s="364">
        <f t="shared" si="9"/>
        <v>245.1</v>
      </c>
      <c r="Z8" s="321">
        <v>2014</v>
      </c>
      <c r="AA8" s="367">
        <f>LARGE($CU$2:$CU$151,7)</f>
        <v>297</v>
      </c>
      <c r="AB8" s="357">
        <f t="shared" si="10"/>
        <v>79.266666666666652</v>
      </c>
      <c r="AC8" s="356">
        <f t="shared" si="0"/>
        <v>6283.2044444444418</v>
      </c>
      <c r="AD8" s="356">
        <f>AD9+AD2</f>
        <v>281.73333333333335</v>
      </c>
      <c r="AE8" s="356">
        <f t="shared" si="11"/>
        <v>4.9541666666666657</v>
      </c>
      <c r="AF8" s="238">
        <f t="shared" si="12"/>
        <v>2</v>
      </c>
      <c r="AG8" s="354"/>
      <c r="AH8" s="363">
        <v>5</v>
      </c>
      <c r="AI8" s="364">
        <f t="shared" si="13"/>
        <v>176.53333333333333</v>
      </c>
      <c r="AJ8" s="238">
        <v>2014</v>
      </c>
      <c r="AK8" s="367">
        <f>LARGE($DN$2:$DN$33,7)</f>
        <v>176.4</v>
      </c>
      <c r="AL8" s="373">
        <f t="shared" si="14"/>
        <v>23.099999999999994</v>
      </c>
      <c r="AM8" s="374">
        <f t="shared" si="15"/>
        <v>533.60999999999979</v>
      </c>
      <c r="AN8" s="356">
        <f>AN9+AN2</f>
        <v>217.3</v>
      </c>
      <c r="AO8" s="374">
        <f t="shared" si="16"/>
        <v>1.4437499999999996</v>
      </c>
      <c r="AP8" s="238">
        <f t="shared" si="17"/>
        <v>5</v>
      </c>
      <c r="AQ8" s="354"/>
      <c r="AR8" s="238">
        <v>2014</v>
      </c>
      <c r="AS8" s="370" t="s">
        <v>38</v>
      </c>
      <c r="AT8" s="371" t="s">
        <v>148</v>
      </c>
      <c r="AU8" s="419" t="s">
        <v>1</v>
      </c>
      <c r="AV8" s="371">
        <v>4694</v>
      </c>
      <c r="AW8" s="371">
        <v>28</v>
      </c>
      <c r="AX8" s="371">
        <v>14</v>
      </c>
      <c r="AY8" s="371">
        <v>145</v>
      </c>
      <c r="AZ8" s="371">
        <v>0</v>
      </c>
      <c r="BA8" s="371">
        <v>0</v>
      </c>
      <c r="BB8" s="371">
        <v>0</v>
      </c>
      <c r="BC8" s="371">
        <v>0</v>
      </c>
      <c r="BD8" s="372">
        <v>0</v>
      </c>
      <c r="BE8" s="372">
        <v>0</v>
      </c>
      <c r="BF8" s="372">
        <v>0</v>
      </c>
      <c r="BG8" s="372">
        <v>0</v>
      </c>
      <c r="BH8" s="372">
        <v>2</v>
      </c>
      <c r="BI8" s="367">
        <f>IFERROR(AV8/Instructions!$J$25,0)+AW8*Instructions!$J$27+AX8*Instructions!$J$29+IFERROR(AY8/Instructions!$E$34,0)+AZ8*Instructions!$E$36+Tier!BA8*Instructions!$E$25+IFERROR(BB8/Instructions!$E$27,0)+BC8*Instructions!$E$29+IFERROR((BD8+BF8)/Instructions!$J$32,0)+(BE8+BG8)*Instructions!$J$34+BH8*-2</f>
        <v>282.26</v>
      </c>
      <c r="BJ8" s="354"/>
      <c r="BK8" s="366">
        <v>2014</v>
      </c>
      <c r="BL8" s="370" t="s">
        <v>4</v>
      </c>
      <c r="BM8" s="372" t="s">
        <v>1629</v>
      </c>
      <c r="BN8" s="372" t="s">
        <v>3</v>
      </c>
      <c r="BO8" s="372">
        <v>0</v>
      </c>
      <c r="BP8" s="423">
        <v>0</v>
      </c>
      <c r="BQ8" s="372">
        <v>0</v>
      </c>
      <c r="BR8" s="372">
        <v>1033</v>
      </c>
      <c r="BS8" s="372">
        <v>9</v>
      </c>
      <c r="BT8" s="372">
        <v>40</v>
      </c>
      <c r="BU8" s="372">
        <v>291</v>
      </c>
      <c r="BV8" s="372">
        <v>5</v>
      </c>
      <c r="BW8" s="372">
        <v>0</v>
      </c>
      <c r="BX8" s="372">
        <v>0</v>
      </c>
      <c r="BY8" s="372">
        <v>0</v>
      </c>
      <c r="BZ8" s="372">
        <v>0</v>
      </c>
      <c r="CA8" s="372">
        <v>3</v>
      </c>
      <c r="CB8" s="367">
        <f>IFERROR(BO8/Instructions!$J$25,0)+BP8*Instructions!$J$27+BQ8*Instructions!$J$29+IFERROR(BR8/Instructions!$E$34,0)+BS8*Instructions!$E$36+Tier!BT9*Instructions!$E$25+IFERROR(BU8/Instructions!$E$27,0)+BV8*Instructions!$E$29+IFERROR((BW8+BY8)/Instructions!$J$32,0)+(BX8+BZ8)*Instructions!$J$34+Tier!CA8*-2</f>
        <v>254.39999999999998</v>
      </c>
      <c r="CC8" s="354"/>
      <c r="CD8" s="321">
        <v>2014</v>
      </c>
      <c r="CE8" s="370" t="s">
        <v>88</v>
      </c>
      <c r="CF8" s="371" t="s">
        <v>144</v>
      </c>
      <c r="CG8" s="371" t="s">
        <v>6</v>
      </c>
      <c r="CH8" s="371">
        <v>0</v>
      </c>
      <c r="CI8" s="371">
        <v>0</v>
      </c>
      <c r="CJ8" s="371">
        <v>0</v>
      </c>
      <c r="CK8" s="371">
        <v>44</v>
      </c>
      <c r="CL8" s="371">
        <v>0</v>
      </c>
      <c r="CM8" s="371">
        <v>101</v>
      </c>
      <c r="CN8" s="371">
        <v>1404</v>
      </c>
      <c r="CO8" s="371">
        <v>9</v>
      </c>
      <c r="CP8" s="371">
        <v>11</v>
      </c>
      <c r="CQ8" s="371">
        <v>0</v>
      </c>
      <c r="CR8" s="371">
        <v>54</v>
      </c>
      <c r="CS8" s="371">
        <v>0</v>
      </c>
      <c r="CT8" s="371">
        <v>0</v>
      </c>
      <c r="CU8" s="367">
        <f>IFERROR(CH8/Instructions!$J$25,0)+CI8*Instructions!$J$27+CJ8*Instructions!$J$29+IFERROR(CK8/Instructions!$E$34,0)+CL8*Instructions!$E$36+Tier!CM8*Instructions!$E$25+IFERROR(CN8/Instructions!$E$27,0)+CO8*Instructions!$E$29+IFERROR((CP8+CR8)/Instructions!$J$32,0)+(CQ8+CS8)*Instructions!$J$34+Tier!CT8*-2</f>
        <v>299.8</v>
      </c>
      <c r="CV8" s="354"/>
      <c r="CW8" s="238">
        <v>2014</v>
      </c>
      <c r="CX8" s="365" t="s">
        <v>15</v>
      </c>
      <c r="CY8" s="366" t="s">
        <v>144</v>
      </c>
      <c r="CZ8" s="366" t="s">
        <v>7</v>
      </c>
      <c r="DA8" s="366">
        <v>0</v>
      </c>
      <c r="DB8" s="366">
        <v>0</v>
      </c>
      <c r="DC8" s="366">
        <v>0</v>
      </c>
      <c r="DD8" s="366">
        <v>0</v>
      </c>
      <c r="DE8" s="366">
        <v>0</v>
      </c>
      <c r="DF8" s="366">
        <v>43</v>
      </c>
      <c r="DG8" s="366">
        <v>489</v>
      </c>
      <c r="DH8" s="366">
        <v>12</v>
      </c>
      <c r="DI8" s="366">
        <v>0</v>
      </c>
      <c r="DJ8" s="366">
        <v>0</v>
      </c>
      <c r="DK8" s="366">
        <v>0</v>
      </c>
      <c r="DL8" s="366">
        <v>0</v>
      </c>
      <c r="DM8" s="366">
        <v>0</v>
      </c>
      <c r="DN8" s="367">
        <f>IFERROR(DA8/Instructions!$J$25,0)+DB8*Instructions!$J$27+DC8*Instructions!$J$29+IFERROR(DD8/Instructions!$E$34,0)+DE8*Instructions!$E$36+Tier!DF8*Instructions!$E$25+IFERROR(DG8/Instructions!$E$27,0)+DH8*Instructions!$E$29+IFERROR((DI8+DK8)/Instructions!$J$32,0)+(DJ8+DL8)*Instructions!$J$34+Tier!DM8*-2</f>
        <v>163.9</v>
      </c>
    </row>
    <row r="9" spans="1:118" s="366" customFormat="1" ht="15.75" customHeight="1" x14ac:dyDescent="0.25">
      <c r="A9" s="359">
        <v>5</v>
      </c>
      <c r="B9" s="358">
        <f t="shared" si="18"/>
        <v>290.34588888888891</v>
      </c>
      <c r="C9" s="354"/>
      <c r="D9" s="363">
        <v>6</v>
      </c>
      <c r="E9" s="364">
        <f>IFERROR(AVERAGEIF($L$2:$L$33,D9,$G$2:G39),AVERAGE(J11:J12))</f>
        <v>273.34000000000003</v>
      </c>
      <c r="F9" s="238">
        <v>2014</v>
      </c>
      <c r="G9" s="367">
        <f>LARGE($BI$2:$BI$33,8)</f>
        <v>279.50000000000006</v>
      </c>
      <c r="H9" s="355">
        <f t="shared" si="1"/>
        <v>13.86000000000007</v>
      </c>
      <c r="I9" s="356">
        <f t="shared" si="2"/>
        <v>192.09960000000194</v>
      </c>
      <c r="J9" s="356">
        <f>J10+J2</f>
        <v>313.64</v>
      </c>
      <c r="K9" s="356">
        <f t="shared" si="3"/>
        <v>0.86625000000000441</v>
      </c>
      <c r="L9" s="238">
        <f t="shared" si="4"/>
        <v>6</v>
      </c>
      <c r="M9" s="354"/>
      <c r="N9" s="363">
        <v>6</v>
      </c>
      <c r="O9" s="364">
        <f>IFERROR(AVERAGEIF($V$2:$V$151,N9,$Q$2:$Q$151),AVERAGE(T11:T12))</f>
        <v>170.46666666666667</v>
      </c>
      <c r="P9" s="366">
        <v>2014</v>
      </c>
      <c r="Q9" s="367">
        <f>LARGE($CB$2:$CB$151,8)</f>
        <v>238.9</v>
      </c>
      <c r="R9" s="357">
        <f t="shared" si="5"/>
        <v>74.300000000000011</v>
      </c>
      <c r="S9" s="356">
        <f t="shared" si="6"/>
        <v>5520.4900000000016</v>
      </c>
      <c r="T9" s="356">
        <f>T10+T2</f>
        <v>212.6</v>
      </c>
      <c r="U9" s="356">
        <f t="shared" si="7"/>
        <v>4.6437500000000007</v>
      </c>
      <c r="V9" s="238">
        <f t="shared" si="8"/>
        <v>2</v>
      </c>
      <c r="W9" s="354"/>
      <c r="X9" s="363">
        <v>6</v>
      </c>
      <c r="Y9" s="364">
        <f t="shared" si="9"/>
        <v>225.5333333333333</v>
      </c>
      <c r="Z9" s="321">
        <v>2014</v>
      </c>
      <c r="AA9" s="367">
        <f>LARGE($CU$2:$CU$151,8)</f>
        <v>293.39999999999998</v>
      </c>
      <c r="AB9" s="357">
        <f t="shared" si="10"/>
        <v>75.666666666666629</v>
      </c>
      <c r="AC9" s="356">
        <f t="shared" si="0"/>
        <v>5725.4444444444389</v>
      </c>
      <c r="AD9" s="356">
        <f>AD10+AD2</f>
        <v>265.73333333333335</v>
      </c>
      <c r="AE9" s="356">
        <f t="shared" si="11"/>
        <v>4.7291666666666643</v>
      </c>
      <c r="AF9" s="238">
        <f t="shared" si="12"/>
        <v>2</v>
      </c>
      <c r="AG9" s="354"/>
      <c r="AH9" s="363">
        <v>6</v>
      </c>
      <c r="AI9" s="364">
        <f t="shared" si="13"/>
        <v>162.10000000000002</v>
      </c>
      <c r="AJ9" s="238">
        <v>2014</v>
      </c>
      <c r="AK9" s="367">
        <f>LARGE($DN$2:$DN$33,8)</f>
        <v>176</v>
      </c>
      <c r="AL9" s="373">
        <f t="shared" si="14"/>
        <v>22.699999999999989</v>
      </c>
      <c r="AM9" s="374">
        <f t="shared" si="15"/>
        <v>515.28999999999951</v>
      </c>
      <c r="AN9" s="356">
        <f>AN10+AN2</f>
        <v>201.3</v>
      </c>
      <c r="AO9" s="374">
        <f t="shared" si="16"/>
        <v>1.4187499999999993</v>
      </c>
      <c r="AP9" s="238">
        <f t="shared" si="17"/>
        <v>5</v>
      </c>
      <c r="AQ9" s="354"/>
      <c r="AR9" s="238">
        <v>2014</v>
      </c>
      <c r="AS9" s="370" t="s">
        <v>79</v>
      </c>
      <c r="AT9" s="371" t="s">
        <v>166</v>
      </c>
      <c r="AU9" s="419" t="s">
        <v>1</v>
      </c>
      <c r="AV9" s="371">
        <v>4045</v>
      </c>
      <c r="AW9" s="371">
        <v>27</v>
      </c>
      <c r="AX9" s="371">
        <v>12</v>
      </c>
      <c r="AY9" s="371">
        <v>311</v>
      </c>
      <c r="AZ9" s="371">
        <v>1</v>
      </c>
      <c r="BA9" s="371">
        <v>1</v>
      </c>
      <c r="BB9" s="371">
        <v>-4</v>
      </c>
      <c r="BC9" s="371">
        <v>0</v>
      </c>
      <c r="BD9" s="372">
        <v>0</v>
      </c>
      <c r="BE9" s="372">
        <v>0</v>
      </c>
      <c r="BF9" s="372">
        <v>0</v>
      </c>
      <c r="BG9" s="372">
        <v>0</v>
      </c>
      <c r="BH9" s="372">
        <v>2</v>
      </c>
      <c r="BI9" s="367">
        <f>IFERROR(AV9/Instructions!$J$25,0)+AW9*Instructions!$J$27+AX9*Instructions!$J$29+IFERROR(AY9/Instructions!$E$34,0)+AZ9*Instructions!$E$36+Tier!BA9*Instructions!$E$25+IFERROR(BB9/Instructions!$E$27,0)+BC9*Instructions!$E$29+IFERROR((BD9+BF9)/Instructions!$J$32,0)+(BE9+BG9)*Instructions!$J$34+BH9*-2</f>
        <v>279.50000000000006</v>
      </c>
      <c r="BJ9" s="354"/>
      <c r="BK9" s="366">
        <v>2014</v>
      </c>
      <c r="BL9" s="370" t="s">
        <v>988</v>
      </c>
      <c r="BM9" s="372" t="s">
        <v>162</v>
      </c>
      <c r="BN9" s="372" t="s">
        <v>3</v>
      </c>
      <c r="BO9" s="372">
        <v>0</v>
      </c>
      <c r="BP9" s="423">
        <v>0</v>
      </c>
      <c r="BQ9" s="372">
        <v>0</v>
      </c>
      <c r="BR9" s="372">
        <v>1266</v>
      </c>
      <c r="BS9" s="372">
        <v>8</v>
      </c>
      <c r="BT9" s="372">
        <v>44</v>
      </c>
      <c r="BU9" s="372">
        <v>263</v>
      </c>
      <c r="BV9" s="372">
        <v>0</v>
      </c>
      <c r="BW9" s="372">
        <v>0</v>
      </c>
      <c r="BX9" s="372">
        <v>0</v>
      </c>
      <c r="BY9" s="372">
        <v>0</v>
      </c>
      <c r="BZ9" s="372">
        <v>0</v>
      </c>
      <c r="CA9" s="372">
        <v>0</v>
      </c>
      <c r="CB9" s="367">
        <f>IFERROR(BO9/Instructions!$J$25,0)+BP9*Instructions!$J$27+BQ9*Instructions!$J$29+IFERROR(BR9/Instructions!$E$34,0)+BS9*Instructions!$E$36+Tier!BT10*Instructions!$E$25+IFERROR(BU9/Instructions!$E$27,0)+BV9*Instructions!$E$29+IFERROR((BW9+BY9)/Instructions!$J$32,0)+(BX9+BZ9)*Instructions!$J$34+Tier!CA9*-2</f>
        <v>238.9</v>
      </c>
      <c r="CC9" s="354"/>
      <c r="CD9" s="321">
        <v>2014</v>
      </c>
      <c r="CE9" s="370" t="s">
        <v>27</v>
      </c>
      <c r="CF9" s="371" t="s">
        <v>148</v>
      </c>
      <c r="CG9" s="371" t="s">
        <v>6</v>
      </c>
      <c r="CH9" s="371">
        <v>0</v>
      </c>
      <c r="CI9" s="371">
        <v>0</v>
      </c>
      <c r="CJ9" s="371">
        <v>0</v>
      </c>
      <c r="CK9" s="371">
        <v>1</v>
      </c>
      <c r="CL9" s="371">
        <v>0</v>
      </c>
      <c r="CM9" s="371">
        <v>104</v>
      </c>
      <c r="CN9" s="371">
        <v>1593</v>
      </c>
      <c r="CO9" s="371">
        <v>6</v>
      </c>
      <c r="CP9" s="371">
        <v>0</v>
      </c>
      <c r="CQ9" s="371">
        <v>0</v>
      </c>
      <c r="CR9" s="371">
        <v>0</v>
      </c>
      <c r="CS9" s="371">
        <v>0</v>
      </c>
      <c r="CT9" s="371">
        <v>1</v>
      </c>
      <c r="CU9" s="367">
        <f>IFERROR(CH9/Instructions!$J$25,0)+CI9*Instructions!$J$27+CJ9*Instructions!$J$29+IFERROR(CK9/Instructions!$E$34,0)+CL9*Instructions!$E$36+Tier!CM9*Instructions!$E$25+IFERROR(CN9/Instructions!$E$27,0)+CO9*Instructions!$E$29+IFERROR((CP9+CR9)/Instructions!$J$32,0)+(CQ9+CS9)*Instructions!$J$34+Tier!CT9*-2</f>
        <v>297.39999999999998</v>
      </c>
      <c r="CV9" s="354"/>
      <c r="CW9" s="238">
        <v>2014</v>
      </c>
      <c r="CX9" s="365" t="s">
        <v>228</v>
      </c>
      <c r="CY9" s="366" t="s">
        <v>1629</v>
      </c>
      <c r="CZ9" s="366" t="s">
        <v>7</v>
      </c>
      <c r="DA9" s="366">
        <v>0</v>
      </c>
      <c r="DB9" s="366">
        <v>0</v>
      </c>
      <c r="DC9" s="366">
        <v>0</v>
      </c>
      <c r="DD9" s="366">
        <v>0</v>
      </c>
      <c r="DE9" s="366">
        <v>0</v>
      </c>
      <c r="DF9" s="366">
        <v>67</v>
      </c>
      <c r="DG9" s="366">
        <v>862</v>
      </c>
      <c r="DH9" s="366">
        <v>5</v>
      </c>
      <c r="DI9" s="366">
        <v>0</v>
      </c>
      <c r="DJ9" s="366">
        <v>0</v>
      </c>
      <c r="DK9" s="366">
        <v>0</v>
      </c>
      <c r="DL9" s="366">
        <v>0</v>
      </c>
      <c r="DM9" s="366">
        <v>3</v>
      </c>
      <c r="DN9" s="367">
        <f>IFERROR(DA9/Instructions!$J$25,0)+DB9*Instructions!$J$27+DC9*Instructions!$J$29+IFERROR(DD9/Instructions!$E$34,0)+DE9*Instructions!$E$36+Tier!DF9*Instructions!$E$25+IFERROR(DG9/Instructions!$E$27,0)+DH9*Instructions!$E$29+IFERROR((DI9+DK9)/Instructions!$J$32,0)+(DJ9+DL9)*Instructions!$J$34+Tier!DM9*-2</f>
        <v>177.2</v>
      </c>
    </row>
    <row r="10" spans="1:118" s="366" customFormat="1" ht="15.75" customHeight="1" x14ac:dyDescent="0.25">
      <c r="A10" s="353">
        <v>6</v>
      </c>
      <c r="B10" s="358">
        <f t="shared" si="18"/>
        <v>274.0911111111111</v>
      </c>
      <c r="C10" s="354"/>
      <c r="D10" s="363">
        <v>7</v>
      </c>
      <c r="E10" s="364">
        <f>IFERROR(AVERAGEIF($L$2:$L$33,D10,$G$2:G40),AVERAGE(J12:J13))</f>
        <v>259.58</v>
      </c>
      <c r="F10" s="238">
        <v>2014</v>
      </c>
      <c r="G10" s="367">
        <f>LARGE($BI$2:$BI$33,9)</f>
        <v>278.06</v>
      </c>
      <c r="H10" s="355">
        <f t="shared" si="1"/>
        <v>12.420000000000016</v>
      </c>
      <c r="I10" s="356">
        <f t="shared" si="2"/>
        <v>154.25640000000038</v>
      </c>
      <c r="J10" s="356">
        <f>J11+J2</f>
        <v>297.64</v>
      </c>
      <c r="K10" s="356">
        <f t="shared" si="3"/>
        <v>0.77625000000000099</v>
      </c>
      <c r="L10" s="238">
        <f t="shared" si="4"/>
        <v>6</v>
      </c>
      <c r="M10" s="354"/>
      <c r="N10" s="363">
        <v>7</v>
      </c>
      <c r="O10" s="364">
        <f t="shared" si="19"/>
        <v>155.58333333333334</v>
      </c>
      <c r="P10" s="366">
        <v>2014</v>
      </c>
      <c r="Q10" s="367">
        <f>LARGE($CB$2:$CB$151,9)</f>
        <v>212.4</v>
      </c>
      <c r="R10" s="357">
        <f t="shared" si="5"/>
        <v>47.800000000000011</v>
      </c>
      <c r="S10" s="356">
        <f t="shared" si="6"/>
        <v>2284.8400000000011</v>
      </c>
      <c r="T10" s="356">
        <f>T11+T2</f>
        <v>196.6</v>
      </c>
      <c r="U10" s="356">
        <f t="shared" si="7"/>
        <v>2.9875000000000007</v>
      </c>
      <c r="V10" s="238">
        <f t="shared" si="8"/>
        <v>4</v>
      </c>
      <c r="W10" s="354"/>
      <c r="X10" s="363">
        <v>7</v>
      </c>
      <c r="Y10" s="364">
        <f t="shared" si="9"/>
        <v>208.76666666666668</v>
      </c>
      <c r="Z10" s="321">
        <v>2014</v>
      </c>
      <c r="AA10" s="367">
        <f>LARGE($CU$2:$CU$151,9)</f>
        <v>276.8</v>
      </c>
      <c r="AB10" s="357">
        <f t="shared" si="10"/>
        <v>59.066666666666663</v>
      </c>
      <c r="AC10" s="356">
        <f t="shared" si="0"/>
        <v>3488.8711111111106</v>
      </c>
      <c r="AD10" s="356">
        <f>AD11+AD2</f>
        <v>249.73333333333335</v>
      </c>
      <c r="AE10" s="356">
        <f t="shared" si="11"/>
        <v>3.6916666666666664</v>
      </c>
      <c r="AF10" s="238">
        <f t="shared" si="12"/>
        <v>3</v>
      </c>
      <c r="AG10" s="354"/>
      <c r="AH10" s="363">
        <v>7</v>
      </c>
      <c r="AI10" s="364">
        <f t="shared" si="13"/>
        <v>145.65</v>
      </c>
      <c r="AJ10" s="238">
        <v>2014</v>
      </c>
      <c r="AK10" s="367">
        <f>LARGE($DN$2:$DN$33,9)</f>
        <v>164.3</v>
      </c>
      <c r="AL10" s="373">
        <f t="shared" si="14"/>
        <v>11</v>
      </c>
      <c r="AM10" s="374">
        <f t="shared" si="15"/>
        <v>121</v>
      </c>
      <c r="AN10" s="356">
        <f>AN11+AN2</f>
        <v>185.3</v>
      </c>
      <c r="AO10" s="374">
        <f t="shared" si="16"/>
        <v>0.6875</v>
      </c>
      <c r="AP10" s="238">
        <f t="shared" si="17"/>
        <v>6</v>
      </c>
      <c r="AQ10" s="354"/>
      <c r="AR10" s="238">
        <v>2014</v>
      </c>
      <c r="AS10" s="370" t="s">
        <v>35</v>
      </c>
      <c r="AT10" s="371" t="s">
        <v>1628</v>
      </c>
      <c r="AU10" s="419" t="s">
        <v>1</v>
      </c>
      <c r="AV10" s="371">
        <v>4109</v>
      </c>
      <c r="AW10" s="371">
        <v>33</v>
      </c>
      <c r="AX10" s="371">
        <v>9</v>
      </c>
      <c r="AY10" s="371">
        <v>57</v>
      </c>
      <c r="AZ10" s="371">
        <v>0</v>
      </c>
      <c r="BA10" s="371">
        <v>0</v>
      </c>
      <c r="BB10" s="371">
        <v>0</v>
      </c>
      <c r="BC10" s="371">
        <v>0</v>
      </c>
      <c r="BD10" s="372">
        <v>0</v>
      </c>
      <c r="BE10" s="372">
        <v>0</v>
      </c>
      <c r="BF10" s="372">
        <v>0</v>
      </c>
      <c r="BG10" s="372">
        <v>0</v>
      </c>
      <c r="BH10" s="372">
        <v>3</v>
      </c>
      <c r="BI10" s="367">
        <f>IFERROR(AV10/Instructions!$J$25,0)+AW10*Instructions!$J$27+AX10*Instructions!$J$29+IFERROR(AY10/Instructions!$E$34,0)+AZ10*Instructions!$E$36+Tier!BA10*Instructions!$E$25+IFERROR(BB10/Instructions!$E$27,0)+BC10*Instructions!$E$29+IFERROR((BD10+BF10)/Instructions!$J$32,0)+(BE10+BG10)*Instructions!$J$34+BH10*-2</f>
        <v>278.06</v>
      </c>
      <c r="BJ10" s="354"/>
      <c r="BK10" s="366">
        <v>2014</v>
      </c>
      <c r="BL10" s="370" t="s">
        <v>97</v>
      </c>
      <c r="BM10" s="372" t="s">
        <v>166</v>
      </c>
      <c r="BN10" s="372" t="s">
        <v>3</v>
      </c>
      <c r="BO10" s="372">
        <v>0</v>
      </c>
      <c r="BP10" s="423">
        <v>0</v>
      </c>
      <c r="BQ10" s="372">
        <v>0</v>
      </c>
      <c r="BR10" s="372">
        <v>1099</v>
      </c>
      <c r="BS10" s="372">
        <v>8</v>
      </c>
      <c r="BT10" s="372">
        <v>38</v>
      </c>
      <c r="BU10" s="372">
        <v>275</v>
      </c>
      <c r="BV10" s="372">
        <v>1</v>
      </c>
      <c r="BW10" s="372">
        <v>0</v>
      </c>
      <c r="BX10" s="372">
        <v>0</v>
      </c>
      <c r="BY10" s="372">
        <v>0</v>
      </c>
      <c r="BZ10" s="372">
        <v>0</v>
      </c>
      <c r="CA10" s="372">
        <v>3</v>
      </c>
      <c r="CB10" s="367">
        <f>IFERROR(BO10/Instructions!$J$25,0)+BP10*Instructions!$J$27+BQ10*Instructions!$J$29+IFERROR(BR10/Instructions!$E$34,0)+BS10*Instructions!$E$36+Tier!BT11*Instructions!$E$25+IFERROR(BU10/Instructions!$E$27,0)+BV10*Instructions!$E$29+IFERROR((BW10+BY10)/Instructions!$J$32,0)+(BX10+BZ10)*Instructions!$J$34+Tier!CA10*-2</f>
        <v>212.4</v>
      </c>
      <c r="CC10" s="354"/>
      <c r="CD10" s="321">
        <v>2014</v>
      </c>
      <c r="CE10" s="370" t="s">
        <v>86</v>
      </c>
      <c r="CF10" s="371" t="s">
        <v>137</v>
      </c>
      <c r="CG10" s="371" t="s">
        <v>6</v>
      </c>
      <c r="CH10" s="371">
        <v>0</v>
      </c>
      <c r="CI10" s="371">
        <v>0</v>
      </c>
      <c r="CJ10" s="371">
        <v>0</v>
      </c>
      <c r="CK10" s="371">
        <v>0</v>
      </c>
      <c r="CL10" s="371">
        <v>0</v>
      </c>
      <c r="CM10" s="371">
        <v>85</v>
      </c>
      <c r="CN10" s="371">
        <v>1318</v>
      </c>
      <c r="CO10" s="371">
        <v>10</v>
      </c>
      <c r="CP10" s="371">
        <v>25</v>
      </c>
      <c r="CQ10" s="371">
        <v>0</v>
      </c>
      <c r="CR10" s="371">
        <v>0</v>
      </c>
      <c r="CS10" s="371">
        <v>0</v>
      </c>
      <c r="CT10" s="371">
        <v>0</v>
      </c>
      <c r="CU10" s="367">
        <f>IFERROR(CH10/Instructions!$J$25,0)+CI10*Instructions!$J$27+CJ10*Instructions!$J$29+IFERROR(CK10/Instructions!$E$34,0)+CL10*Instructions!$E$36+Tier!CM10*Instructions!$E$25+IFERROR(CN10/Instructions!$E$27,0)+CO10*Instructions!$E$29+IFERROR((CP10+CR10)/Instructions!$J$32,0)+(CQ10+CS10)*Instructions!$J$34+Tier!CT10*-2</f>
        <v>276.8</v>
      </c>
      <c r="CV10" s="354"/>
      <c r="CW10" s="238">
        <v>2014</v>
      </c>
      <c r="CX10" s="365" t="s">
        <v>220</v>
      </c>
      <c r="CY10" s="366" t="s">
        <v>163</v>
      </c>
      <c r="CZ10" s="366" t="s">
        <v>7</v>
      </c>
      <c r="DA10" s="366">
        <v>0</v>
      </c>
      <c r="DB10" s="366">
        <v>0</v>
      </c>
      <c r="DC10" s="366">
        <v>0</v>
      </c>
      <c r="DD10" s="366">
        <v>0</v>
      </c>
      <c r="DE10" s="366">
        <v>0</v>
      </c>
      <c r="DF10" s="366">
        <v>63</v>
      </c>
      <c r="DG10" s="366">
        <v>890</v>
      </c>
      <c r="DH10" s="366">
        <v>4</v>
      </c>
      <c r="DI10" s="366">
        <v>0</v>
      </c>
      <c r="DJ10" s="366">
        <v>0</v>
      </c>
      <c r="DK10" s="366">
        <v>0</v>
      </c>
      <c r="DL10" s="366">
        <v>0</v>
      </c>
      <c r="DM10" s="366">
        <v>0</v>
      </c>
      <c r="DN10" s="367">
        <f>IFERROR(DA10/Instructions!$J$25,0)+DB10*Instructions!$J$27+DC10*Instructions!$J$29+IFERROR(DD10/Instructions!$E$34,0)+DE10*Instructions!$E$36+Tier!DF10*Instructions!$E$25+IFERROR(DG10/Instructions!$E$27,0)+DH10*Instructions!$E$29+IFERROR((DI10+DK10)/Instructions!$J$32,0)+(DJ10+DL10)*Instructions!$J$34+Tier!DM10*-2</f>
        <v>176</v>
      </c>
    </row>
    <row r="11" spans="1:118" s="366" customFormat="1" ht="15.75" customHeight="1" x14ac:dyDescent="0.25">
      <c r="A11" s="238">
        <v>7</v>
      </c>
      <c r="B11" s="358">
        <f t="shared" si="18"/>
        <v>263.20429206349206</v>
      </c>
      <c r="C11" s="354"/>
      <c r="D11" s="363">
        <v>8</v>
      </c>
      <c r="E11" s="364">
        <f>AVERAGE(J13:J14)</f>
        <v>241.64</v>
      </c>
      <c r="F11" s="238">
        <v>2014</v>
      </c>
      <c r="G11" s="367">
        <f>LARGE($BI$2:$BI$33,10)</f>
        <v>269.5</v>
      </c>
      <c r="H11" s="355">
        <f t="shared" si="1"/>
        <v>3.8600000000000136</v>
      </c>
      <c r="I11" s="356">
        <f t="shared" si="2"/>
        <v>14.899600000000106</v>
      </c>
      <c r="J11" s="356">
        <f>J12+J2</f>
        <v>281.64</v>
      </c>
      <c r="K11" s="356">
        <f t="shared" si="3"/>
        <v>0.24125000000000085</v>
      </c>
      <c r="L11" s="238">
        <f t="shared" si="4"/>
        <v>6</v>
      </c>
      <c r="M11" s="354"/>
      <c r="N11" s="363">
        <v>8</v>
      </c>
      <c r="O11" s="364">
        <f>AVERAGE(T13:T14)</f>
        <v>140.6</v>
      </c>
      <c r="P11" s="366">
        <v>2014</v>
      </c>
      <c r="Q11" s="367">
        <f>LARGE($CB$2:$CB$151,10)</f>
        <v>211.9</v>
      </c>
      <c r="R11" s="357">
        <f t="shared" si="5"/>
        <v>47.300000000000011</v>
      </c>
      <c r="S11" s="356">
        <f t="shared" si="6"/>
        <v>2237.2900000000009</v>
      </c>
      <c r="T11" s="356">
        <f>T12+T2</f>
        <v>180.6</v>
      </c>
      <c r="U11" s="356">
        <f t="shared" si="7"/>
        <v>2.9562500000000007</v>
      </c>
      <c r="V11" s="238">
        <f t="shared" si="8"/>
        <v>4</v>
      </c>
      <c r="W11" s="354"/>
      <c r="X11" s="363">
        <v>8</v>
      </c>
      <c r="Y11" s="364">
        <f>AVERAGE(AD13:AD14)</f>
        <v>193.73333333333335</v>
      </c>
      <c r="Z11" s="321">
        <v>2014</v>
      </c>
      <c r="AA11" s="367">
        <f>LARGE($CU$2:$CU$151,10)</f>
        <v>261.60000000000002</v>
      </c>
      <c r="AB11" s="357">
        <f t="shared" si="10"/>
        <v>43.866666666666674</v>
      </c>
      <c r="AC11" s="356">
        <f t="shared" si="0"/>
        <v>1924.2844444444452</v>
      </c>
      <c r="AD11" s="356">
        <f>AD12+AD2</f>
        <v>233.73333333333335</v>
      </c>
      <c r="AE11" s="356">
        <f t="shared" si="11"/>
        <v>2.7416666666666671</v>
      </c>
      <c r="AF11" s="238">
        <f t="shared" si="12"/>
        <v>4</v>
      </c>
      <c r="AG11" s="354"/>
      <c r="AH11" s="363">
        <v>8</v>
      </c>
      <c r="AI11" s="364">
        <f t="shared" si="13"/>
        <v>87.905263157894723</v>
      </c>
      <c r="AJ11" s="238">
        <v>2014</v>
      </c>
      <c r="AK11" s="367">
        <f>LARGE($DN$2:$DN$33,10)</f>
        <v>163.9</v>
      </c>
      <c r="AL11" s="373">
        <f t="shared" si="14"/>
        <v>10.599999999999994</v>
      </c>
      <c r="AM11" s="374">
        <f t="shared" si="15"/>
        <v>112.35999999999989</v>
      </c>
      <c r="AN11" s="356">
        <f>AN12+AN2</f>
        <v>169.3</v>
      </c>
      <c r="AO11" s="374">
        <f t="shared" si="16"/>
        <v>0.66249999999999964</v>
      </c>
      <c r="AP11" s="238">
        <f t="shared" si="17"/>
        <v>6</v>
      </c>
      <c r="AQ11" s="354"/>
      <c r="AR11" s="238">
        <v>2014</v>
      </c>
      <c r="AS11" s="370" t="s">
        <v>67</v>
      </c>
      <c r="AT11" s="371" t="s">
        <v>154</v>
      </c>
      <c r="AU11" s="419" t="s">
        <v>1</v>
      </c>
      <c r="AV11" s="371">
        <v>4410</v>
      </c>
      <c r="AW11" s="371">
        <v>30</v>
      </c>
      <c r="AX11" s="371">
        <v>14</v>
      </c>
      <c r="AY11" s="371">
        <v>31</v>
      </c>
      <c r="AZ11" s="371">
        <v>1</v>
      </c>
      <c r="BA11" s="371">
        <v>0</v>
      </c>
      <c r="BB11" s="371">
        <v>0</v>
      </c>
      <c r="BC11" s="371">
        <v>0</v>
      </c>
      <c r="BD11" s="372">
        <v>0</v>
      </c>
      <c r="BE11" s="372">
        <v>0</v>
      </c>
      <c r="BF11" s="372">
        <v>0</v>
      </c>
      <c r="BG11" s="372">
        <v>0</v>
      </c>
      <c r="BH11" s="372">
        <v>4</v>
      </c>
      <c r="BI11" s="367">
        <f>IFERROR(AV11/Instructions!$J$25,0)+AW11*Instructions!$J$27+AX11*Instructions!$J$29+IFERROR(AY11/Instructions!$E$34,0)+AZ11*Instructions!$E$36+Tier!BA11*Instructions!$E$25+IFERROR(BB11/Instructions!$E$27,0)+BC11*Instructions!$E$29+IFERROR((BD11+BF11)/Instructions!$J$32,0)+(BE11+BG11)*Instructions!$J$34+BH11*-2</f>
        <v>269.5</v>
      </c>
      <c r="BJ11" s="354"/>
      <c r="BK11" s="366">
        <v>2014</v>
      </c>
      <c r="BL11" s="370" t="s">
        <v>106</v>
      </c>
      <c r="BM11" s="372" t="s">
        <v>145</v>
      </c>
      <c r="BN11" s="372" t="s">
        <v>3</v>
      </c>
      <c r="BO11" s="372">
        <v>0</v>
      </c>
      <c r="BP11" s="372">
        <v>0</v>
      </c>
      <c r="BQ11" s="372">
        <v>0</v>
      </c>
      <c r="BR11" s="372">
        <v>1124</v>
      </c>
      <c r="BS11" s="372">
        <v>9</v>
      </c>
      <c r="BT11" s="372">
        <v>27</v>
      </c>
      <c r="BU11" s="372">
        <v>215</v>
      </c>
      <c r="BV11" s="372">
        <v>0</v>
      </c>
      <c r="BW11" s="372">
        <v>0</v>
      </c>
      <c r="BX11" s="372">
        <v>0</v>
      </c>
      <c r="BY11" s="372">
        <v>0</v>
      </c>
      <c r="BZ11" s="372">
        <v>0</v>
      </c>
      <c r="CA11" s="372">
        <v>2</v>
      </c>
      <c r="CB11" s="367">
        <f>IFERROR(BO11/Instructions!$J$25,0)+BP11*Instructions!$J$27+BQ11*Instructions!$J$29+IFERROR(BR11/Instructions!$E$34,0)+BS11*Instructions!$E$36+Tier!BT12*Instructions!$E$25+IFERROR(BU11/Instructions!$E$27,0)+BV11*Instructions!$E$29+IFERROR((BW11+BY11)/Instructions!$J$32,0)+(BX11+BZ11)*Instructions!$J$34+Tier!CA11*-2</f>
        <v>211.9</v>
      </c>
      <c r="CC11" s="354"/>
      <c r="CD11" s="321">
        <v>2014</v>
      </c>
      <c r="CE11" s="370" t="s">
        <v>1163</v>
      </c>
      <c r="CF11" s="371" t="s">
        <v>158</v>
      </c>
      <c r="CG11" s="371" t="s">
        <v>6</v>
      </c>
      <c r="CH11" s="371">
        <v>0</v>
      </c>
      <c r="CI11" s="371">
        <v>0</v>
      </c>
      <c r="CJ11" s="371">
        <v>0</v>
      </c>
      <c r="CK11" s="371">
        <v>20</v>
      </c>
      <c r="CL11" s="371">
        <v>0</v>
      </c>
      <c r="CM11" s="371">
        <v>82</v>
      </c>
      <c r="CN11" s="371">
        <v>1345</v>
      </c>
      <c r="CO11" s="371">
        <v>7</v>
      </c>
      <c r="CP11" s="371">
        <v>0</v>
      </c>
      <c r="CQ11" s="371">
        <v>0</v>
      </c>
      <c r="CR11" s="371">
        <v>0</v>
      </c>
      <c r="CS11" s="371">
        <v>0</v>
      </c>
      <c r="CT11" s="371">
        <v>1</v>
      </c>
      <c r="CU11" s="367">
        <f>IFERROR(CH11/Instructions!$J$25,0)+CI11*Instructions!$J$27+CJ11*Instructions!$J$29+IFERROR(CK11/Instructions!$E$34,0)+CL11*Instructions!$E$36+Tier!CM11*Instructions!$E$25+IFERROR(CN11/Instructions!$E$27,0)+CO11*Instructions!$E$29+IFERROR((CP11+CR11)/Instructions!$J$32,0)+(CQ11+CS11)*Instructions!$J$34+Tier!CT11*-2</f>
        <v>258.5</v>
      </c>
      <c r="CV11" s="354"/>
      <c r="CW11" s="238">
        <v>2014</v>
      </c>
      <c r="CX11" s="365" t="s">
        <v>242</v>
      </c>
      <c r="CY11" s="366" t="s">
        <v>154</v>
      </c>
      <c r="CZ11" s="366" t="s">
        <v>7</v>
      </c>
      <c r="DA11" s="366">
        <v>0</v>
      </c>
      <c r="DB11" s="366">
        <v>0</v>
      </c>
      <c r="DC11" s="366">
        <v>0</v>
      </c>
      <c r="DD11" s="366">
        <v>0</v>
      </c>
      <c r="DE11" s="366">
        <v>0</v>
      </c>
      <c r="DF11" s="366">
        <v>63</v>
      </c>
      <c r="DG11" s="366">
        <v>623</v>
      </c>
      <c r="DH11" s="366">
        <v>6</v>
      </c>
      <c r="DI11" s="366">
        <v>0</v>
      </c>
      <c r="DJ11" s="366">
        <v>0</v>
      </c>
      <c r="DK11" s="366">
        <v>0</v>
      </c>
      <c r="DL11" s="366">
        <v>0</v>
      </c>
      <c r="DM11" s="366">
        <v>4</v>
      </c>
      <c r="DN11" s="367">
        <f>IFERROR(DA11/Instructions!$J$25,0)+DB11*Instructions!$J$27+DC11*Instructions!$J$29+IFERROR(DD11/Instructions!$E$34,0)+DE11*Instructions!$E$36+Tier!DF11*Instructions!$E$25+IFERROR(DG11/Instructions!$E$27,0)+DH11*Instructions!$E$29+IFERROR((DI11+DK11)/Instructions!$J$32,0)+(DJ11+DL11)*Instructions!$J$34+Tier!DM11*-2</f>
        <v>153.30000000000001</v>
      </c>
    </row>
    <row r="12" spans="1:118" s="366" customFormat="1" ht="15.75" customHeight="1" x14ac:dyDescent="0.25">
      <c r="A12" s="238">
        <v>8</v>
      </c>
      <c r="B12" s="358">
        <f t="shared" si="18"/>
        <v>243.892</v>
      </c>
      <c r="C12" s="354"/>
      <c r="D12" s="361">
        <v>2015</v>
      </c>
      <c r="E12" s="362">
        <v>8</v>
      </c>
      <c r="F12" s="238">
        <v>2014</v>
      </c>
      <c r="G12" s="367">
        <f>LARGE($BI$2:$BI$33,11)</f>
        <v>266.3</v>
      </c>
      <c r="H12" s="355">
        <f t="shared" si="1"/>
        <v>0.66000000000002501</v>
      </c>
      <c r="I12" s="356">
        <f t="shared" si="2"/>
        <v>0.43560000000003302</v>
      </c>
      <c r="J12" s="481">
        <f>(INDEX($G$2:$G$33,Instructions!$E$11*Instructions!$E$15,1)
+IF(Instructions!$E$15=2,INDEX($G$2:$G$33,Instructions!$E$11,1),0))
/(Instructions!$E$15)</f>
        <v>265.64</v>
      </c>
      <c r="K12" s="356">
        <f t="shared" si="3"/>
        <v>4.1250000000001563E-2</v>
      </c>
      <c r="L12" s="238">
        <f t="shared" si="4"/>
        <v>6</v>
      </c>
      <c r="M12" s="354"/>
      <c r="N12" s="361">
        <v>2015</v>
      </c>
      <c r="O12" s="362"/>
      <c r="P12" s="366">
        <v>2014</v>
      </c>
      <c r="Q12" s="367">
        <f>LARGE($CB$2:$CB$151,11)</f>
        <v>205.4</v>
      </c>
      <c r="R12" s="357">
        <f t="shared" si="5"/>
        <v>40.800000000000011</v>
      </c>
      <c r="S12" s="356">
        <f t="shared" si="6"/>
        <v>1664.640000000001</v>
      </c>
      <c r="T12" s="481">
        <f>(INDEX(Tier!$Q$2:$Q$151, Instructions!$E$11*Instructions!$E$19,1)
+IF(Instructions!$E$19=2, INDEX(Tier!$Q$2:$Q$151,Instructions!$E$11,1),0)
+IF(Instructions!$J$15&gt;0, INDEX(Tier!$Q$2:$Q$151,Instructions!$E$11*(Instructions!$E$19+Instructions!$J$15*0.5),1),0)
+IF(Instructions!$J$15=2, INDEX(Tier!$Q$2:$Q$151,Instructions!$E$11*(Instructions!$E$19+0.5),1),0))
/(Instructions!$E$19+Instructions!$J$15)</f>
        <v>164.6</v>
      </c>
      <c r="U12" s="356">
        <f t="shared" si="7"/>
        <v>2.5500000000000007</v>
      </c>
      <c r="V12" s="238">
        <f t="shared" si="8"/>
        <v>4</v>
      </c>
      <c r="W12" s="354"/>
      <c r="X12" s="361">
        <v>2015</v>
      </c>
      <c r="Y12" s="362"/>
      <c r="Z12" s="321">
        <v>2014</v>
      </c>
      <c r="AA12" s="367">
        <f>LARGE($CU$2:$CU$151,11)</f>
        <v>259.10000000000002</v>
      </c>
      <c r="AB12" s="357">
        <f t="shared" si="10"/>
        <v>41.366666666666674</v>
      </c>
      <c r="AC12" s="356">
        <f t="shared" si="0"/>
        <v>1711.2011111111117</v>
      </c>
      <c r="AD12" s="481">
        <f>(INDEX(Tier!$AA$2:$AA$151,Instructions!$E$11,1)
+IF(Instructions!$E$17&gt;=2,INDEX(Tier!$AA$2:$AA$151,Instructions!$E$11*2,1),0)
+IF(Instructions!$E$17=3,INDEX(Tier!$AA$2:$AA$151,Instructions!$E$11*3,1),0)
+IF(Instructions!$J$15&gt;0,INDEX(Tier!$AA$2:$AA$151,Instructions!$E$11*(Instructions!$E$17+Instructions!$J$15*0.5),1),0)
+IF(Instructions!$J$15=2,INDEX(Tier!$AA$2:$AA$151,Instructions!$E$11*(Instructions!$E$17+0.5),1),0))
/(Instructions!$E$17+Instructions!$J$15)</f>
        <v>217.73333333333335</v>
      </c>
      <c r="AE12" s="356">
        <f t="shared" si="11"/>
        <v>2.5854166666666671</v>
      </c>
      <c r="AF12" s="238">
        <f t="shared" si="12"/>
        <v>4</v>
      </c>
      <c r="AG12" s="354"/>
      <c r="AH12" s="361">
        <v>2015</v>
      </c>
      <c r="AI12" s="362"/>
      <c r="AJ12" s="238">
        <v>2014</v>
      </c>
      <c r="AK12" s="367">
        <f>LARGE($DN$2:$DN$33,11)</f>
        <v>158.1</v>
      </c>
      <c r="AL12" s="373">
        <f t="shared" si="14"/>
        <v>4.7999999999999829</v>
      </c>
      <c r="AM12" s="374">
        <f t="shared" si="15"/>
        <v>23.039999999999836</v>
      </c>
      <c r="AN12" s="481">
        <f>INDEX(Tier!AK2:AK33,Instructions!$E$11,1)</f>
        <v>153.30000000000001</v>
      </c>
      <c r="AO12" s="374">
        <f t="shared" si="16"/>
        <v>0.29999999999999893</v>
      </c>
      <c r="AP12" s="238">
        <f t="shared" si="17"/>
        <v>6</v>
      </c>
      <c r="AQ12" s="354"/>
      <c r="AR12" s="238">
        <v>2014</v>
      </c>
      <c r="AS12" s="370" t="s">
        <v>51</v>
      </c>
      <c r="AT12" s="371" t="s">
        <v>1626</v>
      </c>
      <c r="AU12" s="419" t="s">
        <v>1</v>
      </c>
      <c r="AV12" s="371">
        <v>4286</v>
      </c>
      <c r="AW12" s="371">
        <v>31</v>
      </c>
      <c r="AX12" s="371">
        <v>18</v>
      </c>
      <c r="AY12" s="371">
        <v>102</v>
      </c>
      <c r="AZ12" s="371">
        <v>0</v>
      </c>
      <c r="BA12" s="371">
        <v>0</v>
      </c>
      <c r="BB12" s="371">
        <v>0</v>
      </c>
      <c r="BC12" s="371">
        <v>0</v>
      </c>
      <c r="BD12" s="372">
        <v>0</v>
      </c>
      <c r="BE12" s="372">
        <v>0</v>
      </c>
      <c r="BF12" s="372">
        <v>0</v>
      </c>
      <c r="BG12" s="372">
        <v>0</v>
      </c>
      <c r="BH12" s="372">
        <v>2</v>
      </c>
      <c r="BI12" s="367">
        <f>IFERROR(AV12/Instructions!$J$25,0)+AW12*Instructions!$J$27+AX12*Instructions!$J$29+IFERROR(AY12/Instructions!$E$34,0)+AZ12*Instructions!$E$36+Tier!BA12*Instructions!$E$25+IFERROR(BB12/Instructions!$E$27,0)+BC12*Instructions!$E$29+IFERROR((BD12+BF12)/Instructions!$J$32,0)+(BE12+BG12)*Instructions!$J$34+BH12*-2</f>
        <v>265.64</v>
      </c>
      <c r="BJ12" s="354"/>
      <c r="BK12" s="366">
        <v>2014</v>
      </c>
      <c r="BL12" s="370" t="s">
        <v>2</v>
      </c>
      <c r="BM12" s="372" t="s">
        <v>137</v>
      </c>
      <c r="BN12" s="372" t="s">
        <v>3</v>
      </c>
      <c r="BO12" s="372">
        <v>0</v>
      </c>
      <c r="BP12" s="423">
        <v>0</v>
      </c>
      <c r="BQ12" s="372">
        <v>0</v>
      </c>
      <c r="BR12" s="372">
        <v>1319</v>
      </c>
      <c r="BS12" s="372">
        <v>5</v>
      </c>
      <c r="BT12" s="372">
        <v>28</v>
      </c>
      <c r="BU12" s="372">
        <v>155</v>
      </c>
      <c r="BV12" s="372">
        <v>0</v>
      </c>
      <c r="BW12" s="372">
        <v>0</v>
      </c>
      <c r="BX12" s="372">
        <v>0</v>
      </c>
      <c r="BY12" s="372">
        <v>0</v>
      </c>
      <c r="BZ12" s="372">
        <v>0</v>
      </c>
      <c r="CA12" s="372">
        <v>3</v>
      </c>
      <c r="CB12" s="367">
        <f>IFERROR(BO12/Instructions!$J$25,0)+BP12*Instructions!$J$27+BQ12*Instructions!$J$29+IFERROR(BR12/Instructions!$E$34,0)+BS12*Instructions!$E$36+Tier!BT13*Instructions!$E$25+IFERROR(BU12/Instructions!$E$27,0)+BV12*Instructions!$E$29+IFERROR((BW12+BY12)/Instructions!$J$32,0)+(BX12+BZ12)*Instructions!$J$34+Tier!CA12*-2</f>
        <v>205.4</v>
      </c>
      <c r="CC12" s="354"/>
      <c r="CD12" s="321">
        <v>2014</v>
      </c>
      <c r="CE12" s="370" t="s">
        <v>104</v>
      </c>
      <c r="CF12" s="371" t="s">
        <v>1627</v>
      </c>
      <c r="CG12" s="371" t="s">
        <v>6</v>
      </c>
      <c r="CH12" s="371">
        <v>0</v>
      </c>
      <c r="CI12" s="371">
        <v>0</v>
      </c>
      <c r="CJ12" s="371">
        <v>0</v>
      </c>
      <c r="CK12" s="371">
        <v>0</v>
      </c>
      <c r="CL12" s="371">
        <v>0</v>
      </c>
      <c r="CM12" s="371">
        <v>68</v>
      </c>
      <c r="CN12" s="371">
        <v>1051</v>
      </c>
      <c r="CO12" s="371">
        <v>12</v>
      </c>
      <c r="CP12" s="371">
        <v>0</v>
      </c>
      <c r="CQ12" s="371">
        <v>0</v>
      </c>
      <c r="CR12" s="371">
        <v>0</v>
      </c>
      <c r="CS12" s="371">
        <v>0</v>
      </c>
      <c r="CT12" s="371">
        <v>0</v>
      </c>
      <c r="CU12" s="367">
        <f>IFERROR(CH12/Instructions!$J$25,0)+CI12*Instructions!$J$27+CJ12*Instructions!$J$29+IFERROR(CK12/Instructions!$E$34,0)+CL12*Instructions!$E$36+Tier!CM12*Instructions!$E$25+IFERROR(CN12/Instructions!$E$27,0)+CO12*Instructions!$E$29+IFERROR((CP12+CR12)/Instructions!$J$32,0)+(CQ12+CS12)*Instructions!$J$34+Tier!CT12*-2</f>
        <v>245.1</v>
      </c>
      <c r="CV12" s="354"/>
      <c r="CW12" s="238">
        <v>2014</v>
      </c>
      <c r="CX12" s="365" t="s">
        <v>28</v>
      </c>
      <c r="CY12" s="366" t="s">
        <v>146</v>
      </c>
      <c r="CZ12" s="366" t="s">
        <v>7</v>
      </c>
      <c r="DA12" s="366">
        <v>0</v>
      </c>
      <c r="DB12" s="366">
        <v>0</v>
      </c>
      <c r="DC12" s="366">
        <v>0</v>
      </c>
      <c r="DD12" s="366">
        <v>0</v>
      </c>
      <c r="DE12" s="366">
        <v>0</v>
      </c>
      <c r="DF12" s="366">
        <v>64</v>
      </c>
      <c r="DG12" s="366">
        <v>703</v>
      </c>
      <c r="DH12" s="366">
        <v>5</v>
      </c>
      <c r="DI12" s="366">
        <v>0</v>
      </c>
      <c r="DJ12" s="366">
        <v>0</v>
      </c>
      <c r="DK12" s="366">
        <v>0</v>
      </c>
      <c r="DL12" s="366">
        <v>0</v>
      </c>
      <c r="DM12" s="366">
        <v>0</v>
      </c>
      <c r="DN12" s="367">
        <f>IFERROR(DA12/Instructions!$J$25,0)+DB12*Instructions!$J$27+DC12*Instructions!$J$29+IFERROR(DD12/Instructions!$E$34,0)+DE12*Instructions!$E$36+Tier!DF12*Instructions!$E$25+IFERROR(DG12/Instructions!$E$27,0)+DH12*Instructions!$E$29+IFERROR((DI12+DK12)/Instructions!$J$32,0)+(DJ12+DL12)*Instructions!$J$34+Tier!DM12*-2</f>
        <v>164.3</v>
      </c>
    </row>
    <row r="13" spans="1:118" s="366" customFormat="1" ht="15.75" customHeight="1" x14ac:dyDescent="0.25">
      <c r="A13" s="238"/>
      <c r="B13" s="238"/>
      <c r="C13" s="354"/>
      <c r="D13" s="363">
        <v>0</v>
      </c>
      <c r="E13" s="364">
        <f t="shared" ref="E13:E20" si="20">IFERROR(AVERAGEIF($L$35:$L$66,D13,$G$35:$G$66),AVERAGE(J38:J39))</f>
        <v>389.08000000000004</v>
      </c>
      <c r="F13" s="238">
        <v>2014</v>
      </c>
      <c r="G13" s="367">
        <f>LARGE($BI$2:$BI$33,12)</f>
        <v>265.64</v>
      </c>
      <c r="H13" s="355">
        <f t="shared" si="1"/>
        <v>0</v>
      </c>
      <c r="I13" s="356">
        <f t="shared" si="2"/>
        <v>0</v>
      </c>
      <c r="J13" s="356">
        <f>J12-J2</f>
        <v>249.64</v>
      </c>
      <c r="K13" s="356">
        <f t="shared" si="3"/>
        <v>0</v>
      </c>
      <c r="L13" s="238">
        <f t="shared" si="4"/>
        <v>7</v>
      </c>
      <c r="M13" s="354"/>
      <c r="N13" s="363">
        <v>0</v>
      </c>
      <c r="O13" s="364">
        <f>IFERROR(AVERAGEIF($V$153:$V$302,N13,$Q$153:$Q$302),AVERAGE(T156:T157))</f>
        <v>268.54999999999995</v>
      </c>
      <c r="P13" s="366">
        <v>2014</v>
      </c>
      <c r="Q13" s="367">
        <f>LARGE($CB$2:$CB$151,12)</f>
        <v>204.9</v>
      </c>
      <c r="R13" s="357">
        <f t="shared" si="5"/>
        <v>40.300000000000011</v>
      </c>
      <c r="S13" s="356">
        <f t="shared" si="6"/>
        <v>1624.0900000000008</v>
      </c>
      <c r="T13" s="356">
        <f>T12-T2</f>
        <v>148.6</v>
      </c>
      <c r="U13" s="356">
        <f t="shared" si="7"/>
        <v>2.5187500000000007</v>
      </c>
      <c r="V13" s="238">
        <f t="shared" si="8"/>
        <v>4</v>
      </c>
      <c r="W13" s="354"/>
      <c r="X13" s="363">
        <v>0</v>
      </c>
      <c r="Y13" s="364">
        <f t="shared" ref="Y13:Y20" si="21">IFERROR(AVERAGEIF($AF$153:$AF$302,X13,$AA$153:$AA$302),AVERAGE(AD156:AD157))</f>
        <v>348.58</v>
      </c>
      <c r="Z13" s="321">
        <v>2014</v>
      </c>
      <c r="AA13" s="367">
        <f>LARGE($CU$2:$CU$151,12)</f>
        <v>258.5</v>
      </c>
      <c r="AB13" s="357">
        <f t="shared" si="10"/>
        <v>40.766666666666652</v>
      </c>
      <c r="AC13" s="356">
        <f t="shared" si="0"/>
        <v>1661.9211111111099</v>
      </c>
      <c r="AD13" s="356">
        <f>AD12-AD2</f>
        <v>201.73333333333335</v>
      </c>
      <c r="AE13" s="356">
        <f t="shared" si="11"/>
        <v>2.5479166666666657</v>
      </c>
      <c r="AF13" s="238">
        <f t="shared" si="12"/>
        <v>4</v>
      </c>
      <c r="AG13" s="354"/>
      <c r="AH13" s="363">
        <v>0</v>
      </c>
      <c r="AI13" s="364">
        <f t="shared" ref="AI13:AI21" si="22">IFERROR(AVERAGEIF($AP$35:$AP$66,AH13,$AK$35:$AK$66),AVERAGE(AN38:AN39))</f>
        <v>240.67499999999998</v>
      </c>
      <c r="AJ13" s="238">
        <v>2014</v>
      </c>
      <c r="AK13" s="367">
        <f>LARGE($DN$2:$DN$33,12)</f>
        <v>153.30000000000001</v>
      </c>
      <c r="AL13" s="373">
        <f t="shared" si="14"/>
        <v>0</v>
      </c>
      <c r="AM13" s="374">
        <f t="shared" si="15"/>
        <v>0</v>
      </c>
      <c r="AN13" s="356">
        <f>AN12-AN2</f>
        <v>137.30000000000001</v>
      </c>
      <c r="AO13" s="374">
        <f t="shared" si="16"/>
        <v>0</v>
      </c>
      <c r="AP13" s="238">
        <f t="shared" si="17"/>
        <v>7</v>
      </c>
      <c r="AQ13" s="354"/>
      <c r="AR13" s="238">
        <v>2014</v>
      </c>
      <c r="AS13" s="370" t="s">
        <v>49</v>
      </c>
      <c r="AT13" s="371" t="s">
        <v>146</v>
      </c>
      <c r="AU13" s="419" t="s">
        <v>1</v>
      </c>
      <c r="AV13" s="371">
        <v>3705</v>
      </c>
      <c r="AW13" s="371">
        <v>34</v>
      </c>
      <c r="AX13" s="371">
        <v>9</v>
      </c>
      <c r="AY13" s="371">
        <v>61</v>
      </c>
      <c r="AZ13" s="371">
        <v>0</v>
      </c>
      <c r="BA13" s="371">
        <v>0</v>
      </c>
      <c r="BB13" s="371">
        <v>0</v>
      </c>
      <c r="BC13" s="371">
        <v>0</v>
      </c>
      <c r="BD13" s="372">
        <v>0</v>
      </c>
      <c r="BE13" s="372">
        <v>0</v>
      </c>
      <c r="BF13" s="372">
        <v>0</v>
      </c>
      <c r="BG13" s="372">
        <v>0</v>
      </c>
      <c r="BH13" s="372">
        <v>3</v>
      </c>
      <c r="BI13" s="367">
        <f>IFERROR(AV13/Instructions!$J$25,0)+AW13*Instructions!$J$27+AX13*Instructions!$J$29+IFERROR(AY13/Instructions!$E$34,0)+AZ13*Instructions!$E$36+Tier!BA13*Instructions!$E$25+IFERROR(BB13/Instructions!$E$27,0)+BC13*Instructions!$E$29+IFERROR((BD13+BF13)/Instructions!$J$32,0)+(BE13+BG13)*Instructions!$J$34+BH13*-2</f>
        <v>266.3</v>
      </c>
      <c r="BJ13" s="354"/>
      <c r="BK13" s="366">
        <v>2014</v>
      </c>
      <c r="BL13" s="370" t="s">
        <v>123</v>
      </c>
      <c r="BM13" s="372" t="s">
        <v>144</v>
      </c>
      <c r="BN13" s="372" t="s">
        <v>3</v>
      </c>
      <c r="BO13" s="372">
        <v>0</v>
      </c>
      <c r="BP13" s="423">
        <v>0</v>
      </c>
      <c r="BQ13" s="372">
        <v>0</v>
      </c>
      <c r="BR13" s="372">
        <v>849</v>
      </c>
      <c r="BS13" s="372">
        <v>8</v>
      </c>
      <c r="BT13" s="372">
        <v>34</v>
      </c>
      <c r="BU13" s="372">
        <v>324</v>
      </c>
      <c r="BV13" s="372">
        <v>2</v>
      </c>
      <c r="BW13" s="372">
        <v>0</v>
      </c>
      <c r="BX13" s="372">
        <v>0</v>
      </c>
      <c r="BY13" s="372">
        <v>0</v>
      </c>
      <c r="BZ13" s="372">
        <v>0</v>
      </c>
      <c r="CA13" s="372">
        <v>0</v>
      </c>
      <c r="CB13" s="367">
        <f>IFERROR(BO13/Instructions!$J$25,0)+BP13*Instructions!$J$27+BQ13*Instructions!$J$29+IFERROR(BR13/Instructions!$E$34,0)+BS13*Instructions!$E$36+Tier!BT14*Instructions!$E$25+IFERROR(BU13/Instructions!$E$27,0)+BV13*Instructions!$E$29+IFERROR((BW13+BY13)/Instructions!$J$32,0)+(BX13+BZ13)*Instructions!$J$34+Tier!CA13*-2</f>
        <v>194.3</v>
      </c>
      <c r="CC13" s="354"/>
      <c r="CD13" s="321">
        <v>2014</v>
      </c>
      <c r="CE13" s="370" t="s">
        <v>33</v>
      </c>
      <c r="CF13" s="371" t="s">
        <v>141</v>
      </c>
      <c r="CG13" s="371" t="s">
        <v>6</v>
      </c>
      <c r="CH13" s="371">
        <v>0</v>
      </c>
      <c r="CI13" s="371">
        <v>0</v>
      </c>
      <c r="CJ13" s="371">
        <v>0</v>
      </c>
      <c r="CK13" s="371">
        <v>33</v>
      </c>
      <c r="CL13" s="371">
        <v>0</v>
      </c>
      <c r="CM13" s="371">
        <v>85</v>
      </c>
      <c r="CN13" s="371">
        <v>1133</v>
      </c>
      <c r="CO13" s="371">
        <v>10</v>
      </c>
      <c r="CP13" s="371">
        <v>0</v>
      </c>
      <c r="CQ13" s="371">
        <v>0</v>
      </c>
      <c r="CR13" s="371">
        <v>0</v>
      </c>
      <c r="CS13" s="371">
        <v>0</v>
      </c>
      <c r="CT13" s="371">
        <v>0</v>
      </c>
      <c r="CU13" s="367">
        <f>IFERROR(CH13/Instructions!$J$25,0)+CI13*Instructions!$J$27+CJ13*Instructions!$J$29+IFERROR(CK13/Instructions!$E$34,0)+CL13*Instructions!$E$36+Tier!CM13*Instructions!$E$25+IFERROR(CN13/Instructions!$E$27,0)+CO13*Instructions!$E$29+IFERROR((CP13+CR13)/Instructions!$J$32,0)+(CQ13+CS13)*Instructions!$J$34+Tier!CT13*-2</f>
        <v>261.60000000000002</v>
      </c>
      <c r="CV13" s="354"/>
      <c r="CW13" s="238">
        <v>2014</v>
      </c>
      <c r="CX13" s="365" t="s">
        <v>1688</v>
      </c>
      <c r="CY13" s="366" t="s">
        <v>147</v>
      </c>
      <c r="CZ13" s="366" t="s">
        <v>7</v>
      </c>
      <c r="DA13" s="366">
        <v>0</v>
      </c>
      <c r="DB13" s="366">
        <v>0</v>
      </c>
      <c r="DC13" s="366">
        <v>0</v>
      </c>
      <c r="DD13" s="366">
        <v>0</v>
      </c>
      <c r="DE13" s="366">
        <v>0</v>
      </c>
      <c r="DF13" s="366">
        <v>66</v>
      </c>
      <c r="DG13" s="366">
        <v>761</v>
      </c>
      <c r="DH13" s="366">
        <v>3</v>
      </c>
      <c r="DI13" s="366">
        <v>0</v>
      </c>
      <c r="DJ13" s="366">
        <v>0</v>
      </c>
      <c r="DK13" s="366">
        <v>0</v>
      </c>
      <c r="DL13" s="366">
        <v>0</v>
      </c>
      <c r="DM13" s="366">
        <v>1</v>
      </c>
      <c r="DN13" s="367">
        <f>IFERROR(DA13/Instructions!$J$25,0)+DB13*Instructions!$J$27+DC13*Instructions!$J$29+IFERROR(DD13/Instructions!$E$34,0)+DE13*Instructions!$E$36+Tier!DF13*Instructions!$E$25+IFERROR(DG13/Instructions!$E$27,0)+DH13*Instructions!$E$29+IFERROR((DI13+DK13)/Instructions!$J$32,0)+(DJ13+DL13)*Instructions!$J$34+Tier!DM13*-2</f>
        <v>158.1</v>
      </c>
    </row>
    <row r="14" spans="1:118" s="366" customFormat="1" ht="15.75" customHeight="1" x14ac:dyDescent="0.25">
      <c r="A14" s="353" t="s">
        <v>3</v>
      </c>
      <c r="B14" s="353"/>
      <c r="C14" s="354"/>
      <c r="D14" s="363">
        <v>1</v>
      </c>
      <c r="E14" s="364">
        <f t="shared" si="20"/>
        <v>368.48</v>
      </c>
      <c r="F14" s="238">
        <v>2014</v>
      </c>
      <c r="G14" s="367">
        <f>LARGE($BI$2:$BI$33,13)</f>
        <v>262.44</v>
      </c>
      <c r="H14" s="355">
        <f t="shared" si="1"/>
        <v>-3.1999999999999886</v>
      </c>
      <c r="I14" s="356">
        <f t="shared" si="2"/>
        <v>10.239999999999927</v>
      </c>
      <c r="J14" s="356">
        <f>J13-J2</f>
        <v>233.64</v>
      </c>
      <c r="K14" s="356">
        <f t="shared" si="3"/>
        <v>-0.19999999999999929</v>
      </c>
      <c r="L14" s="238">
        <f t="shared" si="4"/>
        <v>7</v>
      </c>
      <c r="M14" s="354"/>
      <c r="N14" s="363">
        <v>1</v>
      </c>
      <c r="O14" s="364">
        <f t="shared" ref="O14:O20" si="23">IFERROR(AVERAGEIF($V$153:$V$302,N14,$Q$153:$Q$302),AVERAGE(T157:T158))</f>
        <v>252.60000000000002</v>
      </c>
      <c r="P14" s="366">
        <v>2014</v>
      </c>
      <c r="Q14" s="367">
        <f>LARGE($CB$2:$CB$151,13)</f>
        <v>194.3</v>
      </c>
      <c r="R14" s="357">
        <f t="shared" si="5"/>
        <v>29.700000000000017</v>
      </c>
      <c r="S14" s="356">
        <f t="shared" si="6"/>
        <v>882.09000000000106</v>
      </c>
      <c r="T14" s="356">
        <f>T13-T2</f>
        <v>132.6</v>
      </c>
      <c r="U14" s="356">
        <f t="shared" si="7"/>
        <v>1.8562500000000011</v>
      </c>
      <c r="V14" s="238">
        <f t="shared" si="8"/>
        <v>5</v>
      </c>
      <c r="W14" s="354"/>
      <c r="X14" s="363">
        <v>1</v>
      </c>
      <c r="Y14" s="364">
        <f t="shared" si="21"/>
        <v>304</v>
      </c>
      <c r="Z14" s="321">
        <v>2014</v>
      </c>
      <c r="AA14" s="367">
        <f>LARGE($CU$2:$CU$151,13)</f>
        <v>245.1</v>
      </c>
      <c r="AB14" s="357">
        <f t="shared" si="10"/>
        <v>27.366666666666646</v>
      </c>
      <c r="AC14" s="356">
        <f t="shared" si="0"/>
        <v>748.93444444444333</v>
      </c>
      <c r="AD14" s="356">
        <f>AD13-AD2</f>
        <v>185.73333333333335</v>
      </c>
      <c r="AE14" s="356">
        <f t="shared" si="11"/>
        <v>1.7104166666666654</v>
      </c>
      <c r="AF14" s="238">
        <f t="shared" si="12"/>
        <v>5</v>
      </c>
      <c r="AG14" s="354"/>
      <c r="AH14" s="363">
        <v>1</v>
      </c>
      <c r="AI14" s="364">
        <f t="shared" si="22"/>
        <v>218.7</v>
      </c>
      <c r="AJ14" s="238">
        <v>2014</v>
      </c>
      <c r="AK14" s="367">
        <f>LARGE($DN$2:$DN$33,13)</f>
        <v>138</v>
      </c>
      <c r="AL14" s="373">
        <f t="shared" si="14"/>
        <v>-15.300000000000011</v>
      </c>
      <c r="AM14" s="374">
        <f t="shared" si="15"/>
        <v>234.09000000000034</v>
      </c>
      <c r="AN14" s="356">
        <f>AN13-AN2</f>
        <v>121.30000000000001</v>
      </c>
      <c r="AO14" s="374">
        <f t="shared" si="16"/>
        <v>-0.95625000000000071</v>
      </c>
      <c r="AP14" s="238">
        <f t="shared" si="17"/>
        <v>7</v>
      </c>
      <c r="AQ14" s="354"/>
      <c r="AR14" s="238">
        <v>2014</v>
      </c>
      <c r="AS14" s="370" t="s">
        <v>77</v>
      </c>
      <c r="AT14" s="371" t="s">
        <v>162</v>
      </c>
      <c r="AU14" s="419" t="s">
        <v>1</v>
      </c>
      <c r="AV14" s="371">
        <v>3986</v>
      </c>
      <c r="AW14" s="371">
        <v>27</v>
      </c>
      <c r="AX14" s="371">
        <v>12</v>
      </c>
      <c r="AY14" s="371">
        <v>70</v>
      </c>
      <c r="AZ14" s="371">
        <v>2</v>
      </c>
      <c r="BA14" s="371">
        <v>0</v>
      </c>
      <c r="BB14" s="371">
        <v>0</v>
      </c>
      <c r="BC14" s="371">
        <v>0</v>
      </c>
      <c r="BD14" s="372">
        <v>0</v>
      </c>
      <c r="BE14" s="372">
        <v>0</v>
      </c>
      <c r="BF14" s="372">
        <v>0</v>
      </c>
      <c r="BG14" s="372">
        <v>0</v>
      </c>
      <c r="BH14" s="372">
        <v>0</v>
      </c>
      <c r="BI14" s="367">
        <f>IFERROR(AV14/Instructions!$J$25,0)+AW14*Instructions!$J$27+AX14*Instructions!$J$29+IFERROR(AY14/Instructions!$E$34,0)+AZ14*Instructions!$E$36+Tier!BA14*Instructions!$E$25+IFERROR(BB14/Instructions!$E$27,0)+BC14*Instructions!$E$29+IFERROR((BD14+BF14)/Instructions!$J$32,0)+(BE14+BG14)*Instructions!$J$34+BH14*-2</f>
        <v>262.44</v>
      </c>
      <c r="BJ14" s="354"/>
      <c r="BK14" s="366">
        <v>2014</v>
      </c>
      <c r="BL14" s="370" t="s">
        <v>52</v>
      </c>
      <c r="BM14" s="372" t="s">
        <v>152</v>
      </c>
      <c r="BN14" s="372" t="s">
        <v>3</v>
      </c>
      <c r="BO14" s="372">
        <v>0</v>
      </c>
      <c r="BP14" s="423">
        <v>0</v>
      </c>
      <c r="BQ14" s="372">
        <v>0</v>
      </c>
      <c r="BR14" s="372">
        <v>1074</v>
      </c>
      <c r="BS14" s="372">
        <v>8</v>
      </c>
      <c r="BT14" s="372">
        <v>17</v>
      </c>
      <c r="BU14" s="372">
        <v>155</v>
      </c>
      <c r="BV14" s="372">
        <v>0</v>
      </c>
      <c r="BW14" s="372">
        <v>0</v>
      </c>
      <c r="BX14" s="372">
        <v>0</v>
      </c>
      <c r="BY14" s="372">
        <v>0</v>
      </c>
      <c r="BZ14" s="372">
        <v>0</v>
      </c>
      <c r="CA14" s="372">
        <v>0</v>
      </c>
      <c r="CB14" s="367">
        <f>IFERROR(BO14/Instructions!$J$25,0)+BP14*Instructions!$J$27+BQ14*Instructions!$J$29+IFERROR(BR14/Instructions!$E$34,0)+BS14*Instructions!$E$36+Tier!BT15*Instructions!$E$25+IFERROR(BU14/Instructions!$E$27,0)+BV14*Instructions!$E$29+IFERROR((BW14+BY14)/Instructions!$J$32,0)+(BX14+BZ14)*Instructions!$J$34+Tier!CA14*-2</f>
        <v>204.9</v>
      </c>
      <c r="CC14" s="354"/>
      <c r="CD14" s="321">
        <v>2014</v>
      </c>
      <c r="CE14" s="370" t="s">
        <v>91</v>
      </c>
      <c r="CF14" s="371" t="s">
        <v>142</v>
      </c>
      <c r="CG14" s="371" t="s">
        <v>6</v>
      </c>
      <c r="CH14" s="371">
        <v>0</v>
      </c>
      <c r="CI14" s="371">
        <v>0</v>
      </c>
      <c r="CJ14" s="371">
        <v>0</v>
      </c>
      <c r="CK14" s="371">
        <v>30</v>
      </c>
      <c r="CL14" s="371">
        <v>0</v>
      </c>
      <c r="CM14" s="371">
        <v>99</v>
      </c>
      <c r="CN14" s="371">
        <v>1331</v>
      </c>
      <c r="CO14" s="371">
        <v>4</v>
      </c>
      <c r="CP14" s="371">
        <v>0</v>
      </c>
      <c r="CQ14" s="371">
        <v>0</v>
      </c>
      <c r="CR14" s="371">
        <v>0</v>
      </c>
      <c r="CS14" s="371">
        <v>0</v>
      </c>
      <c r="CT14" s="371">
        <v>0</v>
      </c>
      <c r="CU14" s="367">
        <f>IFERROR(CH14/Instructions!$J$25,0)+CI14*Instructions!$J$27+CJ14*Instructions!$J$29+IFERROR(CK14/Instructions!$E$34,0)+CL14*Instructions!$E$36+Tier!CM14*Instructions!$E$25+IFERROR(CN14/Instructions!$E$27,0)+CO14*Instructions!$E$29+IFERROR((CP14+CR14)/Instructions!$J$32,0)+(CQ14+CS14)*Instructions!$J$34+Tier!CT14*-2</f>
        <v>259.10000000000002</v>
      </c>
      <c r="CV14" s="354"/>
      <c r="CW14" s="238">
        <v>2014</v>
      </c>
      <c r="CX14" s="365" t="s">
        <v>221</v>
      </c>
      <c r="CY14" s="366" t="s">
        <v>158</v>
      </c>
      <c r="CZ14" s="366" t="s">
        <v>7</v>
      </c>
      <c r="DA14" s="366">
        <v>0</v>
      </c>
      <c r="DB14" s="366">
        <v>0</v>
      </c>
      <c r="DC14" s="366">
        <v>0</v>
      </c>
      <c r="DD14" s="366">
        <v>0</v>
      </c>
      <c r="DE14" s="366">
        <v>0</v>
      </c>
      <c r="DF14" s="366">
        <v>29</v>
      </c>
      <c r="DG14" s="366">
        <v>395</v>
      </c>
      <c r="DH14" s="366">
        <v>8</v>
      </c>
      <c r="DI14" s="366">
        <v>0</v>
      </c>
      <c r="DJ14" s="366">
        <v>0</v>
      </c>
      <c r="DK14" s="366">
        <v>0</v>
      </c>
      <c r="DL14" s="366">
        <v>0</v>
      </c>
      <c r="DM14" s="366">
        <v>0</v>
      </c>
      <c r="DN14" s="367">
        <f>IFERROR(DA14/Instructions!$J$25,0)+DB14*Instructions!$J$27+DC14*Instructions!$J$29+IFERROR(DD14/Instructions!$E$34,0)+DE14*Instructions!$E$36+Tier!DF14*Instructions!$E$25+IFERROR(DG14/Instructions!$E$27,0)+DH14*Instructions!$E$29+IFERROR((DI14+DK14)/Instructions!$J$32,0)+(DJ14+DL14)*Instructions!$J$34+Tier!DM14*-2</f>
        <v>116.5</v>
      </c>
    </row>
    <row r="15" spans="1:118" s="366" customFormat="1" ht="15.75" customHeight="1" x14ac:dyDescent="0.25">
      <c r="A15" s="353" t="s">
        <v>1081</v>
      </c>
      <c r="B15" s="353"/>
      <c r="C15" s="354"/>
      <c r="D15" s="363">
        <v>2</v>
      </c>
      <c r="E15" s="364">
        <f t="shared" si="20"/>
        <v>344.70000000000005</v>
      </c>
      <c r="F15" s="238">
        <v>2014</v>
      </c>
      <c r="G15" s="367">
        <f>LARGE($BI$2:$BI$33,14)</f>
        <v>250.65999999999997</v>
      </c>
      <c r="H15" s="355">
        <f t="shared" si="1"/>
        <v>-14.980000000000018</v>
      </c>
      <c r="I15" s="356">
        <f t="shared" si="2"/>
        <v>224.40040000000056</v>
      </c>
      <c r="J15" s="356"/>
      <c r="K15" s="356">
        <f t="shared" si="3"/>
        <v>-0.93625000000000114</v>
      </c>
      <c r="L15" s="238">
        <f t="shared" si="4"/>
        <v>7</v>
      </c>
      <c r="M15" s="354"/>
      <c r="N15" s="363">
        <v>2</v>
      </c>
      <c r="O15" s="364">
        <f t="shared" si="23"/>
        <v>236.36666666666665</v>
      </c>
      <c r="P15" s="366">
        <v>2014</v>
      </c>
      <c r="Q15" s="367">
        <f>LARGE($CB$2:$CB$151,14)</f>
        <v>193.2</v>
      </c>
      <c r="R15" s="357">
        <f t="shared" si="5"/>
        <v>28.599999999999994</v>
      </c>
      <c r="S15" s="356">
        <f t="shared" si="6"/>
        <v>817.9599999999997</v>
      </c>
      <c r="T15" s="356"/>
      <c r="U15" s="356">
        <f t="shared" si="7"/>
        <v>1.7874999999999996</v>
      </c>
      <c r="V15" s="238">
        <f t="shared" si="8"/>
        <v>5</v>
      </c>
      <c r="W15" s="354"/>
      <c r="X15" s="363">
        <v>2</v>
      </c>
      <c r="Y15" s="364">
        <f t="shared" si="21"/>
        <v>295.13333333333333</v>
      </c>
      <c r="Z15" s="321">
        <v>2014</v>
      </c>
      <c r="AA15" s="367">
        <f>LARGE($CU$2:$CU$151,14)</f>
        <v>231</v>
      </c>
      <c r="AB15" s="357">
        <f t="shared" si="10"/>
        <v>13.266666666666652</v>
      </c>
      <c r="AC15" s="356">
        <f t="shared" si="0"/>
        <v>176.00444444444403</v>
      </c>
      <c r="AD15" s="356"/>
      <c r="AE15" s="356">
        <f t="shared" si="11"/>
        <v>0.82916666666666572</v>
      </c>
      <c r="AF15" s="238">
        <f t="shared" si="12"/>
        <v>6</v>
      </c>
      <c r="AG15" s="354"/>
      <c r="AH15" s="363">
        <v>2</v>
      </c>
      <c r="AI15" s="364">
        <f t="shared" si="22"/>
        <v>202.7</v>
      </c>
      <c r="AJ15" s="238">
        <v>2014</v>
      </c>
      <c r="AK15" s="367">
        <f>LARGE($DN$2:$DN$33,14)</f>
        <v>136.5</v>
      </c>
      <c r="AL15" s="373">
        <f t="shared" si="14"/>
        <v>-16.800000000000011</v>
      </c>
      <c r="AM15" s="374">
        <f t="shared" si="15"/>
        <v>282.24000000000041</v>
      </c>
      <c r="AN15" s="356"/>
      <c r="AO15" s="374">
        <f t="shared" si="16"/>
        <v>-1.0500000000000007</v>
      </c>
      <c r="AP15" s="238">
        <f t="shared" si="17"/>
        <v>8</v>
      </c>
      <c r="AQ15" s="354"/>
      <c r="AR15" s="238">
        <v>2014</v>
      </c>
      <c r="AS15" s="370" t="s">
        <v>55</v>
      </c>
      <c r="AT15" s="371" t="s">
        <v>141</v>
      </c>
      <c r="AU15" s="419" t="s">
        <v>1</v>
      </c>
      <c r="AV15" s="371">
        <v>3812</v>
      </c>
      <c r="AW15" s="371">
        <v>28</v>
      </c>
      <c r="AX15" s="371">
        <v>18</v>
      </c>
      <c r="AY15" s="371">
        <v>191</v>
      </c>
      <c r="AZ15" s="371">
        <v>2</v>
      </c>
      <c r="BA15" s="371">
        <v>0</v>
      </c>
      <c r="BB15" s="371">
        <v>0</v>
      </c>
      <c r="BC15" s="371">
        <v>0</v>
      </c>
      <c r="BD15" s="372">
        <v>0</v>
      </c>
      <c r="BE15" s="372">
        <v>0</v>
      </c>
      <c r="BF15" s="372">
        <v>0</v>
      </c>
      <c r="BG15" s="372">
        <v>0</v>
      </c>
      <c r="BH15" s="372">
        <v>6</v>
      </c>
      <c r="BI15" s="367">
        <f>IFERROR(AV15/Instructions!$J$25,0)+AW15*Instructions!$J$27+AX15*Instructions!$J$29+IFERROR(AY15/Instructions!$E$34,0)+AZ15*Instructions!$E$36+Tier!BA15*Instructions!$E$25+IFERROR(BB15/Instructions!$E$27,0)+BC15*Instructions!$E$29+IFERROR((BD15+BF15)/Instructions!$J$32,0)+(BE15+BG15)*Instructions!$J$34+BH15*-2</f>
        <v>247.58000000000004</v>
      </c>
      <c r="BJ15" s="354"/>
      <c r="BK15" s="366">
        <v>2014</v>
      </c>
      <c r="BL15" s="370" t="s">
        <v>85</v>
      </c>
      <c r="BM15" s="372" t="s">
        <v>142</v>
      </c>
      <c r="BN15" s="372" t="s">
        <v>3</v>
      </c>
      <c r="BO15" s="372">
        <v>0</v>
      </c>
      <c r="BP15" s="372">
        <v>0</v>
      </c>
      <c r="BQ15" s="372">
        <v>0</v>
      </c>
      <c r="BR15" s="372">
        <v>860</v>
      </c>
      <c r="BS15" s="372">
        <v>7</v>
      </c>
      <c r="BT15" s="372">
        <v>34</v>
      </c>
      <c r="BU15" s="372">
        <v>322</v>
      </c>
      <c r="BV15" s="372">
        <v>1</v>
      </c>
      <c r="BW15" s="372">
        <v>0</v>
      </c>
      <c r="BX15" s="372">
        <v>0</v>
      </c>
      <c r="BY15" s="372">
        <v>0</v>
      </c>
      <c r="BZ15" s="372">
        <v>0</v>
      </c>
      <c r="CA15" s="372">
        <v>1</v>
      </c>
      <c r="CB15" s="367">
        <f>IFERROR(BO15/Instructions!$J$25,0)+BP15*Instructions!$J$27+BQ15*Instructions!$J$29+IFERROR(BR15/Instructions!$E$34,0)+BS15*Instructions!$E$36+Tier!BT16*Instructions!$E$25+IFERROR(BU15/Instructions!$E$27,0)+BV15*Instructions!$E$29+IFERROR((BW15+BY15)/Instructions!$J$32,0)+(BX15+BZ15)*Instructions!$J$34+Tier!CA15*-2</f>
        <v>193.2</v>
      </c>
      <c r="CC15" s="354"/>
      <c r="CD15" s="321">
        <v>2014</v>
      </c>
      <c r="CE15" s="370" t="s">
        <v>108</v>
      </c>
      <c r="CF15" s="371" t="s">
        <v>151</v>
      </c>
      <c r="CG15" s="371" t="s">
        <v>6</v>
      </c>
      <c r="CH15" s="371">
        <v>0</v>
      </c>
      <c r="CI15" s="371">
        <v>0</v>
      </c>
      <c r="CJ15" s="371">
        <v>0</v>
      </c>
      <c r="CK15" s="371">
        <v>0</v>
      </c>
      <c r="CL15" s="371">
        <v>0</v>
      </c>
      <c r="CM15" s="371">
        <v>76</v>
      </c>
      <c r="CN15" s="371">
        <v>1210</v>
      </c>
      <c r="CO15" s="371">
        <v>6</v>
      </c>
      <c r="CP15" s="371">
        <v>0</v>
      </c>
      <c r="CQ15" s="371">
        <v>0</v>
      </c>
      <c r="CR15" s="371">
        <v>0</v>
      </c>
      <c r="CS15" s="371">
        <v>0</v>
      </c>
      <c r="CT15" s="371">
        <v>1</v>
      </c>
      <c r="CU15" s="367">
        <f>IFERROR(CH15/Instructions!$J$25,0)+CI15*Instructions!$J$27+CJ15*Instructions!$J$29+IFERROR(CK15/Instructions!$E$34,0)+CL15*Instructions!$E$36+Tier!CM15*Instructions!$E$25+IFERROR(CN15/Instructions!$E$27,0)+CO15*Instructions!$E$29+IFERROR((CP15+CR15)/Instructions!$J$32,0)+(CQ15+CS15)*Instructions!$J$34+Tier!CT15*-2</f>
        <v>231</v>
      </c>
      <c r="CV15" s="354"/>
      <c r="CW15" s="238">
        <v>2014</v>
      </c>
      <c r="CX15" s="365" t="s">
        <v>170</v>
      </c>
      <c r="CY15" s="366" t="s">
        <v>150</v>
      </c>
      <c r="CZ15" s="366" t="s">
        <v>7</v>
      </c>
      <c r="DA15" s="366">
        <v>0</v>
      </c>
      <c r="DB15" s="366">
        <v>0</v>
      </c>
      <c r="DC15" s="366">
        <v>0</v>
      </c>
      <c r="DD15" s="366">
        <v>0</v>
      </c>
      <c r="DE15" s="366">
        <v>0</v>
      </c>
      <c r="DF15" s="366">
        <v>52</v>
      </c>
      <c r="DG15" s="366">
        <v>634</v>
      </c>
      <c r="DH15" s="366">
        <v>3</v>
      </c>
      <c r="DI15" s="366">
        <v>0</v>
      </c>
      <c r="DJ15" s="366">
        <v>0</v>
      </c>
      <c r="DK15" s="366">
        <v>0</v>
      </c>
      <c r="DL15" s="366">
        <v>0</v>
      </c>
      <c r="DM15" s="366">
        <v>0</v>
      </c>
      <c r="DN15" s="367">
        <f>IFERROR(DA15/Instructions!$J$25,0)+DB15*Instructions!$J$27+DC15*Instructions!$J$29+IFERROR(DD15/Instructions!$E$34,0)+DE15*Instructions!$E$36+Tier!DF15*Instructions!$E$25+IFERROR(DG15/Instructions!$E$27,0)+DH15*Instructions!$E$29+IFERROR((DI15+DK15)/Instructions!$J$32,0)+(DJ15+DL15)*Instructions!$J$34+Tier!DM15*-2</f>
        <v>133.4</v>
      </c>
    </row>
    <row r="16" spans="1:118" s="366" customFormat="1" ht="15.75" customHeight="1" x14ac:dyDescent="0.25">
      <c r="A16" s="353">
        <v>0</v>
      </c>
      <c r="B16" s="358">
        <f t="shared" ref="B16:B24" si="24">O53</f>
        <v>324.10222222222217</v>
      </c>
      <c r="C16" s="354"/>
      <c r="D16" s="363">
        <v>3</v>
      </c>
      <c r="E16" s="364">
        <f t="shared" si="20"/>
        <v>336.26000000000005</v>
      </c>
      <c r="F16" s="238">
        <v>2014</v>
      </c>
      <c r="G16" s="367">
        <f>LARGE($BI$2:$BI$33,15)</f>
        <v>249.57999999999998</v>
      </c>
      <c r="H16" s="355">
        <f t="shared" si="1"/>
        <v>-16.060000000000002</v>
      </c>
      <c r="I16" s="356">
        <f t="shared" si="2"/>
        <v>257.92360000000008</v>
      </c>
      <c r="J16" s="356"/>
      <c r="K16" s="356">
        <f t="shared" si="3"/>
        <v>-1.0037500000000001</v>
      </c>
      <c r="L16" s="238">
        <f t="shared" si="4"/>
        <v>8</v>
      </c>
      <c r="M16" s="354"/>
      <c r="N16" s="363">
        <v>3</v>
      </c>
      <c r="O16" s="364">
        <f t="shared" si="23"/>
        <v>217.79999999999998</v>
      </c>
      <c r="P16" s="366">
        <v>2014</v>
      </c>
      <c r="Q16" s="367">
        <f>LARGE($CB$2:$CB$151,15)</f>
        <v>191.7</v>
      </c>
      <c r="R16" s="357">
        <f t="shared" si="5"/>
        <v>27.099999999999994</v>
      </c>
      <c r="S16" s="356">
        <f t="shared" si="6"/>
        <v>734.40999999999974</v>
      </c>
      <c r="T16" s="356"/>
      <c r="U16" s="356">
        <f t="shared" si="7"/>
        <v>1.6937499999999996</v>
      </c>
      <c r="V16" s="238">
        <f t="shared" si="8"/>
        <v>5</v>
      </c>
      <c r="W16" s="354"/>
      <c r="X16" s="363">
        <v>3</v>
      </c>
      <c r="Y16" s="364">
        <f t="shared" si="21"/>
        <v>275.85333333333335</v>
      </c>
      <c r="Z16" s="321">
        <v>2014</v>
      </c>
      <c r="AA16" s="367">
        <f>LARGE($CU$2:$CU$151,15)</f>
        <v>228.60000000000002</v>
      </c>
      <c r="AB16" s="357">
        <f t="shared" si="10"/>
        <v>10.866666666666674</v>
      </c>
      <c r="AC16" s="356">
        <f t="shared" si="0"/>
        <v>118.08444444444461</v>
      </c>
      <c r="AD16" s="356"/>
      <c r="AE16" s="356">
        <f t="shared" si="11"/>
        <v>0.67916666666666714</v>
      </c>
      <c r="AF16" s="238">
        <f t="shared" si="12"/>
        <v>6</v>
      </c>
      <c r="AG16" s="354"/>
      <c r="AH16" s="363">
        <v>3</v>
      </c>
      <c r="AI16" s="364">
        <f t="shared" si="22"/>
        <v>189.83333333333334</v>
      </c>
      <c r="AJ16" s="238">
        <v>2014</v>
      </c>
      <c r="AK16" s="367">
        <f>LARGE($DN$2:$DN$33,15)</f>
        <v>133.4</v>
      </c>
      <c r="AL16" s="373">
        <f t="shared" si="14"/>
        <v>-19.900000000000006</v>
      </c>
      <c r="AM16" s="374">
        <f t="shared" si="15"/>
        <v>396.01000000000022</v>
      </c>
      <c r="AN16" s="356"/>
      <c r="AO16" s="374">
        <f t="shared" si="16"/>
        <v>-1.2437500000000004</v>
      </c>
      <c r="AP16" s="238">
        <f t="shared" si="17"/>
        <v>8</v>
      </c>
      <c r="AQ16" s="354"/>
      <c r="AR16" s="238">
        <v>2014</v>
      </c>
      <c r="AS16" s="370" t="s">
        <v>1599</v>
      </c>
      <c r="AT16" s="371" t="s">
        <v>1630</v>
      </c>
      <c r="AU16" s="419" t="s">
        <v>1</v>
      </c>
      <c r="AV16" s="371">
        <v>3369</v>
      </c>
      <c r="AW16" s="371">
        <v>19</v>
      </c>
      <c r="AX16" s="371">
        <v>10</v>
      </c>
      <c r="AY16" s="371">
        <v>639</v>
      </c>
      <c r="AZ16" s="371">
        <v>1</v>
      </c>
      <c r="BA16" s="371">
        <v>0</v>
      </c>
      <c r="BB16" s="371">
        <v>0</v>
      </c>
      <c r="BC16" s="371">
        <v>0</v>
      </c>
      <c r="BD16" s="372">
        <v>0</v>
      </c>
      <c r="BE16" s="372">
        <v>0</v>
      </c>
      <c r="BF16" s="372">
        <v>0</v>
      </c>
      <c r="BG16" s="372">
        <v>0</v>
      </c>
      <c r="BH16" s="372">
        <v>5</v>
      </c>
      <c r="BI16" s="367">
        <f>IFERROR(AV16/Instructions!$J$25,0)+AW16*Instructions!$J$27+AX16*Instructions!$J$29+IFERROR(AY16/Instructions!$E$34,0)+AZ16*Instructions!$E$36+Tier!BA16*Instructions!$E$25+IFERROR(BB16/Instructions!$E$27,0)+BC16*Instructions!$E$29+IFERROR((BD16+BF16)/Instructions!$J$32,0)+(BE16+BG16)*Instructions!$J$34+BH16*-2</f>
        <v>250.65999999999997</v>
      </c>
      <c r="BJ16" s="354"/>
      <c r="BK16" s="366">
        <v>2014</v>
      </c>
      <c r="BL16" s="370" t="s">
        <v>119</v>
      </c>
      <c r="BM16" s="372" t="s">
        <v>1625</v>
      </c>
      <c r="BN16" s="372" t="s">
        <v>3</v>
      </c>
      <c r="BO16" s="372">
        <v>0</v>
      </c>
      <c r="BP16" s="423">
        <v>0</v>
      </c>
      <c r="BQ16" s="372">
        <v>0</v>
      </c>
      <c r="BR16" s="372">
        <v>964</v>
      </c>
      <c r="BS16" s="372">
        <v>9</v>
      </c>
      <c r="BT16" s="372">
        <v>29</v>
      </c>
      <c r="BU16" s="372">
        <v>145</v>
      </c>
      <c r="BV16" s="372">
        <v>0</v>
      </c>
      <c r="BW16" s="372">
        <v>0</v>
      </c>
      <c r="BX16" s="372">
        <v>0</v>
      </c>
      <c r="BY16" s="372">
        <v>0</v>
      </c>
      <c r="BZ16" s="372">
        <v>0</v>
      </c>
      <c r="CA16" s="372">
        <v>1</v>
      </c>
      <c r="CB16" s="367">
        <f>IFERROR(BO16/Instructions!$J$25,0)+BP16*Instructions!$J$27+BQ16*Instructions!$J$29+IFERROR(BR16/Instructions!$E$34,0)+BS16*Instructions!$E$36+Tier!BT17*Instructions!$E$25+IFERROR(BU16/Instructions!$E$27,0)+BV16*Instructions!$E$29+IFERROR((BW16+BY16)/Instructions!$J$32,0)+(BX16+BZ16)*Instructions!$J$34+Tier!CA16*-2</f>
        <v>173.9</v>
      </c>
      <c r="CC16" s="354"/>
      <c r="CD16" s="321">
        <v>2014</v>
      </c>
      <c r="CE16" s="370" t="s">
        <v>1668</v>
      </c>
      <c r="CF16" s="371" t="s">
        <v>142</v>
      </c>
      <c r="CG16" s="371" t="s">
        <v>6</v>
      </c>
      <c r="CH16" s="371">
        <v>0</v>
      </c>
      <c r="CI16" s="371">
        <v>0</v>
      </c>
      <c r="CJ16" s="371">
        <v>0</v>
      </c>
      <c r="CK16" s="371">
        <v>0</v>
      </c>
      <c r="CL16" s="371">
        <v>0</v>
      </c>
      <c r="CM16" s="371">
        <v>71</v>
      </c>
      <c r="CN16" s="371">
        <v>1077</v>
      </c>
      <c r="CO16" s="371">
        <v>8</v>
      </c>
      <c r="CP16" s="371">
        <v>0</v>
      </c>
      <c r="CQ16" s="371">
        <v>0</v>
      </c>
      <c r="CR16" s="371">
        <v>0</v>
      </c>
      <c r="CS16" s="371">
        <v>0</v>
      </c>
      <c r="CT16" s="371">
        <v>0</v>
      </c>
      <c r="CU16" s="367">
        <f>IFERROR(CH16/Instructions!$J$25,0)+CI16*Instructions!$J$27+CJ16*Instructions!$J$29+IFERROR(CK16/Instructions!$E$34,0)+CL16*Instructions!$E$36+Tier!CM16*Instructions!$E$25+IFERROR(CN16/Instructions!$E$27,0)+CO16*Instructions!$E$29+IFERROR((CP16+CR16)/Instructions!$J$32,0)+(CQ16+CS16)*Instructions!$J$34+Tier!CT16*-2</f>
        <v>226.7</v>
      </c>
      <c r="CV16" s="354"/>
      <c r="CW16" s="238">
        <v>2014</v>
      </c>
      <c r="CX16" s="365" t="s">
        <v>54</v>
      </c>
      <c r="CY16" s="366" t="s">
        <v>166</v>
      </c>
      <c r="CZ16" s="366" t="s">
        <v>7</v>
      </c>
      <c r="DA16" s="366">
        <v>0</v>
      </c>
      <c r="DB16" s="366">
        <v>0</v>
      </c>
      <c r="DC16" s="366">
        <v>0</v>
      </c>
      <c r="DD16" s="366">
        <v>0</v>
      </c>
      <c r="DE16" s="366">
        <v>0</v>
      </c>
      <c r="DF16" s="366">
        <v>58</v>
      </c>
      <c r="DG16" s="366">
        <v>605</v>
      </c>
      <c r="DH16" s="366">
        <v>3</v>
      </c>
      <c r="DI16" s="366">
        <v>0</v>
      </c>
      <c r="DJ16" s="366">
        <v>0</v>
      </c>
      <c r="DK16" s="366">
        <v>0</v>
      </c>
      <c r="DL16" s="366">
        <v>0</v>
      </c>
      <c r="DM16" s="366">
        <v>0</v>
      </c>
      <c r="DN16" s="367">
        <f>IFERROR(DA16/Instructions!$J$25,0)+DB16*Instructions!$J$27+DC16*Instructions!$J$29+IFERROR(DD16/Instructions!$E$34,0)+DE16*Instructions!$E$36+Tier!DF16*Instructions!$E$25+IFERROR(DG16/Instructions!$E$27,0)+DH16*Instructions!$E$29+IFERROR((DI16+DK16)/Instructions!$J$32,0)+(DJ16+DL16)*Instructions!$J$34+Tier!DM16*-2</f>
        <v>136.5</v>
      </c>
    </row>
    <row r="17" spans="1:118" s="366" customFormat="1" ht="15.75" customHeight="1" x14ac:dyDescent="0.25">
      <c r="A17" s="353">
        <v>1</v>
      </c>
      <c r="B17" s="358">
        <f t="shared" si="24"/>
        <v>256.10000000000002</v>
      </c>
      <c r="C17" s="354"/>
      <c r="D17" s="363">
        <v>4</v>
      </c>
      <c r="E17" s="364">
        <f t="shared" si="20"/>
        <v>314.12</v>
      </c>
      <c r="F17" s="238">
        <v>2014</v>
      </c>
      <c r="G17" s="367">
        <f>LARGE($BI$2:$BI$33,16)</f>
        <v>247.58000000000004</v>
      </c>
      <c r="H17" s="355">
        <f t="shared" si="1"/>
        <v>-18.059999999999945</v>
      </c>
      <c r="I17" s="356">
        <f t="shared" si="2"/>
        <v>326.16359999999804</v>
      </c>
      <c r="K17" s="356">
        <f t="shared" si="3"/>
        <v>-1.1287499999999966</v>
      </c>
      <c r="L17" s="238">
        <f t="shared" si="4"/>
        <v>8</v>
      </c>
      <c r="M17" s="354"/>
      <c r="N17" s="363">
        <v>4</v>
      </c>
      <c r="O17" s="364">
        <f t="shared" si="23"/>
        <v>205.39999999999998</v>
      </c>
      <c r="P17" s="366">
        <v>2014</v>
      </c>
      <c r="Q17" s="367">
        <f>LARGE($CB$2:$CB$151,16)</f>
        <v>189.2</v>
      </c>
      <c r="R17" s="357">
        <f t="shared" si="5"/>
        <v>24.599999999999994</v>
      </c>
      <c r="S17" s="356">
        <f t="shared" si="6"/>
        <v>605.15999999999974</v>
      </c>
      <c r="U17" s="356">
        <f t="shared" si="7"/>
        <v>1.5374999999999996</v>
      </c>
      <c r="V17" s="238">
        <f t="shared" si="8"/>
        <v>5</v>
      </c>
      <c r="W17" s="354"/>
      <c r="X17" s="363">
        <v>4</v>
      </c>
      <c r="Y17" s="364">
        <f t="shared" si="21"/>
        <v>265.89999999999998</v>
      </c>
      <c r="Z17" s="321">
        <v>2014</v>
      </c>
      <c r="AA17" s="367">
        <f>LARGE($CU$2:$CU$151,16)</f>
        <v>226.7</v>
      </c>
      <c r="AB17" s="357">
        <f t="shared" si="10"/>
        <v>8.9666666666666401</v>
      </c>
      <c r="AC17" s="356">
        <f t="shared" si="0"/>
        <v>80.401111111110637</v>
      </c>
      <c r="AD17" s="356"/>
      <c r="AE17" s="356">
        <f t="shared" si="11"/>
        <v>0.56041666666666501</v>
      </c>
      <c r="AF17" s="238">
        <f t="shared" si="12"/>
        <v>6</v>
      </c>
      <c r="AG17" s="354"/>
      <c r="AH17" s="363">
        <v>4</v>
      </c>
      <c r="AI17" s="364">
        <f t="shared" si="22"/>
        <v>164.3</v>
      </c>
      <c r="AJ17" s="238">
        <v>2014</v>
      </c>
      <c r="AK17" s="367">
        <f>LARGE($DN$2:$DN$33,16)</f>
        <v>133.4</v>
      </c>
      <c r="AL17" s="373">
        <f t="shared" si="14"/>
        <v>-19.900000000000006</v>
      </c>
      <c r="AM17" s="374">
        <f t="shared" si="15"/>
        <v>396.01000000000022</v>
      </c>
      <c r="AN17" s="374"/>
      <c r="AO17" s="374">
        <f t="shared" si="16"/>
        <v>-1.2437500000000004</v>
      </c>
      <c r="AP17" s="238">
        <f t="shared" si="17"/>
        <v>8</v>
      </c>
      <c r="AQ17" s="354"/>
      <c r="AR17" s="238">
        <v>2014</v>
      </c>
      <c r="AS17" s="370" t="s">
        <v>26</v>
      </c>
      <c r="AT17" s="371" t="s">
        <v>159</v>
      </c>
      <c r="AU17" s="419" t="s">
        <v>1</v>
      </c>
      <c r="AV17" s="371">
        <v>3127</v>
      </c>
      <c r="AW17" s="371">
        <v>18</v>
      </c>
      <c r="AX17" s="371">
        <v>12</v>
      </c>
      <c r="AY17" s="371">
        <v>539</v>
      </c>
      <c r="AZ17" s="371">
        <v>5</v>
      </c>
      <c r="BA17" s="371">
        <v>0</v>
      </c>
      <c r="BB17" s="371">
        <v>0</v>
      </c>
      <c r="BC17" s="371">
        <v>0</v>
      </c>
      <c r="BD17" s="372">
        <v>0</v>
      </c>
      <c r="BE17" s="372">
        <v>0</v>
      </c>
      <c r="BF17" s="372">
        <v>0</v>
      </c>
      <c r="BG17" s="372">
        <v>0</v>
      </c>
      <c r="BH17" s="372">
        <v>5</v>
      </c>
      <c r="BI17" s="367">
        <f>IFERROR(AV17/Instructions!$J$25,0)+AW17*Instructions!$J$27+AX17*Instructions!$J$29+IFERROR(AY17/Instructions!$E$34,0)+AZ17*Instructions!$E$36+Tier!BA17*Instructions!$E$25+IFERROR(BB17/Instructions!$E$27,0)+BC17*Instructions!$E$29+IFERROR((BD17+BF17)/Instructions!$J$32,0)+(BE17+BG17)*Instructions!$J$34+BH17*-2</f>
        <v>246.98000000000002</v>
      </c>
      <c r="BJ17" s="354"/>
      <c r="BK17" s="366">
        <v>2014</v>
      </c>
      <c r="BL17" s="370" t="s">
        <v>68</v>
      </c>
      <c r="BM17" s="372" t="s">
        <v>1630</v>
      </c>
      <c r="BN17" s="372" t="s">
        <v>3</v>
      </c>
      <c r="BO17" s="372">
        <v>0</v>
      </c>
      <c r="BP17" s="372">
        <v>0</v>
      </c>
      <c r="BQ17" s="372">
        <v>0</v>
      </c>
      <c r="BR17" s="372">
        <v>1106</v>
      </c>
      <c r="BS17" s="372">
        <v>4</v>
      </c>
      <c r="BT17" s="372">
        <v>11</v>
      </c>
      <c r="BU17" s="372">
        <v>111</v>
      </c>
      <c r="BV17" s="372">
        <v>1</v>
      </c>
      <c r="BW17" s="372">
        <v>0</v>
      </c>
      <c r="BX17" s="372">
        <v>0</v>
      </c>
      <c r="BY17" s="372">
        <v>0</v>
      </c>
      <c r="BZ17" s="372">
        <v>0</v>
      </c>
      <c r="CA17" s="372">
        <v>2</v>
      </c>
      <c r="CB17" s="367">
        <f>IFERROR(BO17/Instructions!$J$25,0)+BP17*Instructions!$J$27+BQ17*Instructions!$J$29+IFERROR(BR17/Instructions!$E$34,0)+BS17*Instructions!$E$36+Tier!BT18*Instructions!$E$25+IFERROR(BU17/Instructions!$E$27,0)+BV17*Instructions!$E$29+IFERROR((BW17+BY17)/Instructions!$J$32,0)+(BX17+BZ17)*Instructions!$J$34+Tier!CA17*-2</f>
        <v>191.7</v>
      </c>
      <c r="CC17" s="354"/>
      <c r="CD17" s="321">
        <v>2014</v>
      </c>
      <c r="CE17" s="370" t="s">
        <v>116</v>
      </c>
      <c r="CF17" s="371" t="s">
        <v>159</v>
      </c>
      <c r="CG17" s="371" t="s">
        <v>6</v>
      </c>
      <c r="CH17" s="371">
        <v>0</v>
      </c>
      <c r="CI17" s="371">
        <v>0</v>
      </c>
      <c r="CJ17" s="371">
        <v>0</v>
      </c>
      <c r="CK17" s="371">
        <v>0</v>
      </c>
      <c r="CL17" s="371">
        <v>0</v>
      </c>
      <c r="CM17" s="371">
        <v>73</v>
      </c>
      <c r="CN17" s="371">
        <v>1008</v>
      </c>
      <c r="CO17" s="371">
        <v>9</v>
      </c>
      <c r="CP17" s="371">
        <v>0</v>
      </c>
      <c r="CQ17" s="371">
        <v>0</v>
      </c>
      <c r="CR17" s="371">
        <v>0</v>
      </c>
      <c r="CS17" s="371">
        <v>0</v>
      </c>
      <c r="CT17" s="371">
        <v>1</v>
      </c>
      <c r="CU17" s="367">
        <f>IFERROR(CH17/Instructions!$J$25,0)+CI17*Instructions!$J$27+CJ17*Instructions!$J$29+IFERROR(CK17/Instructions!$E$34,0)+CL17*Instructions!$E$36+Tier!CM17*Instructions!$E$25+IFERROR(CN17/Instructions!$E$27,0)+CO17*Instructions!$E$29+IFERROR((CP17+CR17)/Instructions!$J$32,0)+(CQ17+CS17)*Instructions!$J$34+Tier!CT17*-2</f>
        <v>225.8</v>
      </c>
      <c r="CV17" s="354"/>
      <c r="CW17" s="238">
        <v>2014</v>
      </c>
      <c r="CX17" s="365" t="s">
        <v>226</v>
      </c>
      <c r="CY17" s="366" t="s">
        <v>167</v>
      </c>
      <c r="CZ17" s="366" t="s">
        <v>7</v>
      </c>
      <c r="DA17" s="366">
        <v>0</v>
      </c>
      <c r="DB17" s="366">
        <v>0</v>
      </c>
      <c r="DC17" s="366">
        <v>0</v>
      </c>
      <c r="DD17" s="366">
        <v>0</v>
      </c>
      <c r="DE17" s="366">
        <v>0</v>
      </c>
      <c r="DF17" s="366">
        <v>58</v>
      </c>
      <c r="DG17" s="366">
        <v>534</v>
      </c>
      <c r="DH17" s="366">
        <v>4</v>
      </c>
      <c r="DI17" s="366">
        <v>0</v>
      </c>
      <c r="DJ17" s="366">
        <v>0</v>
      </c>
      <c r="DK17" s="366">
        <v>0</v>
      </c>
      <c r="DL17" s="366">
        <v>0</v>
      </c>
      <c r="DM17" s="366">
        <v>1</v>
      </c>
      <c r="DN17" s="367">
        <f>IFERROR(DA17/Instructions!$J$25,0)+DB17*Instructions!$J$27+DC17*Instructions!$J$29+IFERROR(DD17/Instructions!$E$34,0)+DE17*Instructions!$E$36+Tier!DF17*Instructions!$E$25+IFERROR(DG17/Instructions!$E$27,0)+DH17*Instructions!$E$29+IFERROR((DI17+DK17)/Instructions!$J$32,0)+(DJ17+DL17)*Instructions!$J$34+Tier!DM17*-2</f>
        <v>133.4</v>
      </c>
    </row>
    <row r="18" spans="1:118" s="366" customFormat="1" ht="15.75" customHeight="1" x14ac:dyDescent="0.25">
      <c r="A18" s="353">
        <v>2</v>
      </c>
      <c r="B18" s="358">
        <f t="shared" si="24"/>
        <v>251.05555555555557</v>
      </c>
      <c r="C18" s="354"/>
      <c r="D18" s="363">
        <v>5</v>
      </c>
      <c r="E18" s="364">
        <f t="shared" si="20"/>
        <v>306.72000000000003</v>
      </c>
      <c r="F18" s="238">
        <v>2014</v>
      </c>
      <c r="G18" s="367">
        <f>LARGE($BI$2:$BI$33,17)</f>
        <v>246.98000000000002</v>
      </c>
      <c r="H18" s="355">
        <f t="shared" si="1"/>
        <v>-18.659999999999968</v>
      </c>
      <c r="I18" s="356">
        <f t="shared" si="2"/>
        <v>348.19559999999882</v>
      </c>
      <c r="J18" s="356"/>
      <c r="K18" s="356">
        <f t="shared" si="3"/>
        <v>-1.166249999999998</v>
      </c>
      <c r="L18" s="238">
        <f t="shared" si="4"/>
        <v>8</v>
      </c>
      <c r="M18" s="354"/>
      <c r="N18" s="363">
        <v>5</v>
      </c>
      <c r="O18" s="364">
        <f t="shared" si="23"/>
        <v>189.63333333333333</v>
      </c>
      <c r="P18" s="366">
        <v>2014</v>
      </c>
      <c r="Q18" s="367">
        <f>LARGE($CB$2:$CB$151,17)</f>
        <v>187.5</v>
      </c>
      <c r="R18" s="357">
        <f t="shared" si="5"/>
        <v>22.900000000000006</v>
      </c>
      <c r="S18" s="356">
        <f t="shared" si="6"/>
        <v>524.41000000000031</v>
      </c>
      <c r="U18" s="356">
        <f t="shared" si="7"/>
        <v>1.4312500000000004</v>
      </c>
      <c r="V18" s="238">
        <f t="shared" si="8"/>
        <v>5</v>
      </c>
      <c r="W18" s="354"/>
      <c r="X18" s="363">
        <v>5</v>
      </c>
      <c r="Y18" s="364">
        <f t="shared" si="21"/>
        <v>248.42500000000001</v>
      </c>
      <c r="Z18" s="321">
        <v>2014</v>
      </c>
      <c r="AA18" s="367">
        <f>LARGE($CU$2:$CU$151,17)</f>
        <v>225.8</v>
      </c>
      <c r="AB18" s="357">
        <f t="shared" si="10"/>
        <v>8.0666666666666629</v>
      </c>
      <c r="AC18" s="356">
        <f t="shared" si="0"/>
        <v>65.071111111111051</v>
      </c>
      <c r="AD18" s="356"/>
      <c r="AE18" s="356">
        <f t="shared" si="11"/>
        <v>0.50416666666666643</v>
      </c>
      <c r="AF18" s="238">
        <f t="shared" si="12"/>
        <v>6</v>
      </c>
      <c r="AG18" s="354"/>
      <c r="AH18" s="363">
        <v>5</v>
      </c>
      <c r="AI18" s="364">
        <f t="shared" si="22"/>
        <v>153.55000000000001</v>
      </c>
      <c r="AJ18" s="238">
        <v>2014</v>
      </c>
      <c r="AK18" s="367">
        <f>LARGE($DN$2:$DN$33,17)</f>
        <v>124.7</v>
      </c>
      <c r="AL18" s="373">
        <f t="shared" si="14"/>
        <v>-28.600000000000009</v>
      </c>
      <c r="AM18" s="374">
        <f t="shared" si="15"/>
        <v>817.96000000000049</v>
      </c>
      <c r="AN18" s="374"/>
      <c r="AO18" s="374">
        <f t="shared" si="16"/>
        <v>-1.7875000000000005</v>
      </c>
      <c r="AP18" s="238">
        <f t="shared" si="17"/>
        <v>8</v>
      </c>
      <c r="AQ18" s="354"/>
      <c r="AR18" s="238">
        <v>2014</v>
      </c>
      <c r="AS18" s="370" t="s">
        <v>24</v>
      </c>
      <c r="AT18" s="371" t="s">
        <v>142</v>
      </c>
      <c r="AU18" s="419" t="s">
        <v>1</v>
      </c>
      <c r="AV18" s="371">
        <v>4257</v>
      </c>
      <c r="AW18" s="371">
        <v>22</v>
      </c>
      <c r="AX18" s="371">
        <v>12</v>
      </c>
      <c r="AY18" s="371">
        <v>93</v>
      </c>
      <c r="AZ18" s="371">
        <v>2</v>
      </c>
      <c r="BA18" s="371">
        <v>0</v>
      </c>
      <c r="BB18" s="371">
        <v>0</v>
      </c>
      <c r="BC18" s="371">
        <v>0</v>
      </c>
      <c r="BD18" s="372">
        <v>0</v>
      </c>
      <c r="BE18" s="372">
        <v>0</v>
      </c>
      <c r="BF18" s="372">
        <v>0</v>
      </c>
      <c r="BG18" s="372">
        <v>0</v>
      </c>
      <c r="BH18" s="372">
        <v>3</v>
      </c>
      <c r="BI18" s="367">
        <f>IFERROR(AV18/Instructions!$J$25,0)+AW18*Instructions!$J$27+AX18*Instructions!$J$29+IFERROR(AY18/Instructions!$E$34,0)+AZ18*Instructions!$E$36+Tier!BA18*Instructions!$E$25+IFERROR(BB18/Instructions!$E$27,0)+BC18*Instructions!$E$29+IFERROR((BD18+BF18)/Instructions!$J$32,0)+(BE18+BG18)*Instructions!$J$34+BH18*-2</f>
        <v>249.57999999999998</v>
      </c>
      <c r="BJ18" s="354"/>
      <c r="BK18" s="366">
        <v>2014</v>
      </c>
      <c r="BL18" s="370" t="s">
        <v>987</v>
      </c>
      <c r="BM18" s="372" t="s">
        <v>138</v>
      </c>
      <c r="BN18" s="372" t="s">
        <v>3</v>
      </c>
      <c r="BO18" s="372">
        <v>0</v>
      </c>
      <c r="BP18" s="372">
        <v>0</v>
      </c>
      <c r="BQ18" s="372">
        <v>0</v>
      </c>
      <c r="BR18" s="372">
        <v>570</v>
      </c>
      <c r="BS18" s="372">
        <v>9</v>
      </c>
      <c r="BT18" s="372">
        <v>44</v>
      </c>
      <c r="BU18" s="372">
        <v>312</v>
      </c>
      <c r="BV18" s="372">
        <v>1</v>
      </c>
      <c r="BW18" s="372">
        <v>0</v>
      </c>
      <c r="BX18" s="372">
        <v>0</v>
      </c>
      <c r="BY18" s="372">
        <v>47</v>
      </c>
      <c r="BZ18" s="372">
        <v>0</v>
      </c>
      <c r="CA18" s="372">
        <v>1</v>
      </c>
      <c r="CB18" s="367">
        <f>IFERROR(BO18/Instructions!$J$25,0)+BP18*Instructions!$J$27+BQ18*Instructions!$J$29+IFERROR(BR18/Instructions!$E$34,0)+BS18*Instructions!$E$36+Tier!BT19*Instructions!$E$25+IFERROR(BU18/Instructions!$E$27,0)+BV18*Instructions!$E$29+IFERROR((BW18+BY18)/Instructions!$J$32,0)+(BX18+BZ18)*Instructions!$J$34+Tier!CA18*-2</f>
        <v>189.2</v>
      </c>
      <c r="CC18" s="354"/>
      <c r="CD18" s="321">
        <v>2014</v>
      </c>
      <c r="CE18" s="370" t="s">
        <v>69</v>
      </c>
      <c r="CF18" s="371" t="s">
        <v>152</v>
      </c>
      <c r="CG18" s="371" t="s">
        <v>6</v>
      </c>
      <c r="CH18" s="371">
        <v>0</v>
      </c>
      <c r="CI18" s="371">
        <v>0</v>
      </c>
      <c r="CJ18" s="371">
        <v>0</v>
      </c>
      <c r="CK18" s="371">
        <v>7</v>
      </c>
      <c r="CL18" s="371">
        <v>0</v>
      </c>
      <c r="CM18" s="371">
        <v>56</v>
      </c>
      <c r="CN18" s="371">
        <v>1169</v>
      </c>
      <c r="CO18" s="371">
        <v>6</v>
      </c>
      <c r="CP18" s="371">
        <v>0</v>
      </c>
      <c r="CQ18" s="371">
        <v>0</v>
      </c>
      <c r="CR18" s="371">
        <v>0</v>
      </c>
      <c r="CS18" s="371">
        <v>0</v>
      </c>
      <c r="CT18" s="371">
        <v>0</v>
      </c>
      <c r="CU18" s="367">
        <f>IFERROR(CH18/Instructions!$J$25,0)+CI18*Instructions!$J$27+CJ18*Instructions!$J$29+IFERROR(CK18/Instructions!$E$34,0)+CL18*Instructions!$E$36+Tier!CM18*Instructions!$E$25+IFERROR(CN18/Instructions!$E$27,0)+CO18*Instructions!$E$29+IFERROR((CP18+CR18)/Instructions!$J$32,0)+(CQ18+CS18)*Instructions!$J$34+Tier!CT18*-2</f>
        <v>209.60000000000002</v>
      </c>
      <c r="CV18" s="354"/>
      <c r="CW18" s="238">
        <v>2014</v>
      </c>
      <c r="CX18" s="365" t="s">
        <v>1687</v>
      </c>
      <c r="CY18" s="366" t="s">
        <v>162</v>
      </c>
      <c r="CZ18" s="366" t="s">
        <v>7</v>
      </c>
      <c r="DA18" s="366">
        <v>0</v>
      </c>
      <c r="DB18" s="366">
        <v>0</v>
      </c>
      <c r="DC18" s="366">
        <v>0</v>
      </c>
      <c r="DD18" s="366">
        <v>0</v>
      </c>
      <c r="DE18" s="366">
        <v>0</v>
      </c>
      <c r="DF18" s="366">
        <v>48</v>
      </c>
      <c r="DG18" s="366">
        <v>527</v>
      </c>
      <c r="DH18" s="366">
        <v>4</v>
      </c>
      <c r="DI18" s="366">
        <v>0</v>
      </c>
      <c r="DJ18" s="366">
        <v>0</v>
      </c>
      <c r="DK18" s="366">
        <v>0</v>
      </c>
      <c r="DL18" s="366">
        <v>0</v>
      </c>
      <c r="DM18" s="366">
        <v>0</v>
      </c>
      <c r="DN18" s="367">
        <f>IFERROR(DA18/Instructions!$J$25,0)+DB18*Instructions!$J$27+DC18*Instructions!$J$29+IFERROR(DD18/Instructions!$E$34,0)+DE18*Instructions!$E$36+Tier!DF18*Instructions!$E$25+IFERROR(DG18/Instructions!$E$27,0)+DH18*Instructions!$E$29+IFERROR((DI18+DK18)/Instructions!$J$32,0)+(DJ18+DL18)*Instructions!$J$34+Tier!DM18*-2</f>
        <v>124.7</v>
      </c>
    </row>
    <row r="19" spans="1:118" s="366" customFormat="1" ht="15.75" customHeight="1" x14ac:dyDescent="0.25">
      <c r="A19" s="353">
        <v>3</v>
      </c>
      <c r="B19" s="358">
        <f t="shared" si="24"/>
        <v>232.15333333333331</v>
      </c>
      <c r="C19" s="354"/>
      <c r="D19" s="363">
        <v>6</v>
      </c>
      <c r="E19" s="364">
        <f t="shared" si="20"/>
        <v>289.24</v>
      </c>
      <c r="F19" s="238">
        <v>2014</v>
      </c>
      <c r="G19" s="367">
        <f>LARGE($BI$2:$BI$33,18)</f>
        <v>223.62</v>
      </c>
      <c r="H19" s="355">
        <f t="shared" si="1"/>
        <v>-42.019999999999982</v>
      </c>
      <c r="I19" s="356">
        <f t="shared" si="2"/>
        <v>1765.6803999999984</v>
      </c>
      <c r="J19" s="356"/>
      <c r="K19" s="356">
        <f t="shared" si="3"/>
        <v>-2.6262499999999989</v>
      </c>
      <c r="L19" s="238">
        <f t="shared" si="4"/>
        <v>8</v>
      </c>
      <c r="M19" s="354"/>
      <c r="N19" s="363">
        <v>6</v>
      </c>
      <c r="O19" s="364">
        <f t="shared" si="23"/>
        <v>172.25</v>
      </c>
      <c r="P19" s="366">
        <v>2014</v>
      </c>
      <c r="Q19" s="367">
        <f>LARGE($CB$2:$CB$151,18)</f>
        <v>173.9</v>
      </c>
      <c r="R19" s="357">
        <f t="shared" si="5"/>
        <v>9.3000000000000114</v>
      </c>
      <c r="S19" s="356">
        <f t="shared" si="6"/>
        <v>86.490000000000208</v>
      </c>
      <c r="T19" s="356"/>
      <c r="U19" s="356">
        <f t="shared" si="7"/>
        <v>0.58125000000000071</v>
      </c>
      <c r="V19" s="238">
        <f t="shared" si="8"/>
        <v>6</v>
      </c>
      <c r="W19" s="354"/>
      <c r="X19" s="363">
        <v>6</v>
      </c>
      <c r="Y19" s="364">
        <f t="shared" si="21"/>
        <v>228.35</v>
      </c>
      <c r="Z19" s="321">
        <v>2014</v>
      </c>
      <c r="AA19" s="367">
        <f>LARGE($CU$2:$CU$151,18)</f>
        <v>221.5</v>
      </c>
      <c r="AB19" s="357">
        <f t="shared" si="10"/>
        <v>3.7666666666666515</v>
      </c>
      <c r="AC19" s="356">
        <f t="shared" si="0"/>
        <v>14.187777777777663</v>
      </c>
      <c r="AD19" s="356"/>
      <c r="AE19" s="356">
        <f t="shared" si="11"/>
        <v>0.23541666666666572</v>
      </c>
      <c r="AF19" s="238">
        <f t="shared" si="12"/>
        <v>6</v>
      </c>
      <c r="AG19" s="354"/>
      <c r="AH19" s="363">
        <v>6</v>
      </c>
      <c r="AI19" s="364">
        <f t="shared" si="22"/>
        <v>138.69999999999999</v>
      </c>
      <c r="AJ19" s="238">
        <v>2014</v>
      </c>
      <c r="AK19" s="367">
        <f>LARGE($DN$2:$DN$33,18)</f>
        <v>116.5</v>
      </c>
      <c r="AL19" s="373">
        <f t="shared" si="14"/>
        <v>-36.800000000000011</v>
      </c>
      <c r="AM19" s="374">
        <f t="shared" si="15"/>
        <v>1354.2400000000009</v>
      </c>
      <c r="AN19" s="374"/>
      <c r="AO19" s="374">
        <f t="shared" si="16"/>
        <v>-2.3000000000000007</v>
      </c>
      <c r="AP19" s="238">
        <f t="shared" si="17"/>
        <v>8</v>
      </c>
      <c r="AQ19" s="354"/>
      <c r="AR19" s="238">
        <v>2014</v>
      </c>
      <c r="AS19" s="370" t="s">
        <v>63</v>
      </c>
      <c r="AT19" s="371" t="s">
        <v>145</v>
      </c>
      <c r="AU19" s="419" t="s">
        <v>1</v>
      </c>
      <c r="AV19" s="371">
        <v>3398</v>
      </c>
      <c r="AW19" s="371">
        <v>19</v>
      </c>
      <c r="AX19" s="371">
        <v>17</v>
      </c>
      <c r="AY19" s="371">
        <v>169</v>
      </c>
      <c r="AZ19" s="371">
        <v>4</v>
      </c>
      <c r="BA19" s="371">
        <v>1</v>
      </c>
      <c r="BB19" s="371">
        <v>18</v>
      </c>
      <c r="BC19" s="371">
        <v>1</v>
      </c>
      <c r="BD19" s="372">
        <v>0</v>
      </c>
      <c r="BE19" s="372">
        <v>0</v>
      </c>
      <c r="BF19" s="372">
        <v>0</v>
      </c>
      <c r="BG19" s="372">
        <v>0</v>
      </c>
      <c r="BH19" s="372">
        <v>2</v>
      </c>
      <c r="BI19" s="367">
        <f>IFERROR(AV19/Instructions!$J$25,0)+AW19*Instructions!$J$27+AX19*Instructions!$J$29+IFERROR(AY19/Instructions!$E$34,0)+AZ19*Instructions!$E$36+Tier!BA19*Instructions!$E$25+IFERROR(BB19/Instructions!$E$27,0)+BC19*Instructions!$E$29+IFERROR((BD19+BF19)/Instructions!$J$32,0)+(BE19+BG19)*Instructions!$J$34+BH19*-2</f>
        <v>223.62</v>
      </c>
      <c r="BJ19" s="354"/>
      <c r="BK19" s="366">
        <v>2014</v>
      </c>
      <c r="BL19" s="370" t="s">
        <v>46</v>
      </c>
      <c r="BM19" s="372" t="s">
        <v>145</v>
      </c>
      <c r="BN19" s="372" t="s">
        <v>3</v>
      </c>
      <c r="BO19" s="372">
        <v>0</v>
      </c>
      <c r="BP19" s="372">
        <v>0</v>
      </c>
      <c r="BQ19" s="372">
        <v>0</v>
      </c>
      <c r="BR19" s="372">
        <v>680</v>
      </c>
      <c r="BS19" s="372">
        <v>5</v>
      </c>
      <c r="BT19" s="372">
        <v>43</v>
      </c>
      <c r="BU19" s="372">
        <v>349</v>
      </c>
      <c r="BV19" s="372">
        <v>2</v>
      </c>
      <c r="BW19" s="372">
        <v>0</v>
      </c>
      <c r="BX19" s="372">
        <v>0</v>
      </c>
      <c r="BY19" s="372">
        <v>0</v>
      </c>
      <c r="BZ19" s="372">
        <v>0</v>
      </c>
      <c r="CA19" s="372">
        <v>0</v>
      </c>
      <c r="CB19" s="367">
        <f>IFERROR(BO19/Instructions!$J$25,0)+BP19*Instructions!$J$27+BQ19*Instructions!$J$29+IFERROR(BR19/Instructions!$E$34,0)+BS19*Instructions!$E$36+Tier!BT20*Instructions!$E$25+IFERROR(BU19/Instructions!$E$27,0)+BV19*Instructions!$E$29+IFERROR((BW19+BY19)/Instructions!$J$32,0)+(BX19+BZ19)*Instructions!$J$34+Tier!CA19*-2</f>
        <v>160.9</v>
      </c>
      <c r="CC19" s="354"/>
      <c r="CD19" s="321">
        <v>2014</v>
      </c>
      <c r="CE19" s="370" t="s">
        <v>201</v>
      </c>
      <c r="CF19" s="371" t="s">
        <v>166</v>
      </c>
      <c r="CG19" s="371" t="s">
        <v>6</v>
      </c>
      <c r="CH19" s="371">
        <v>0</v>
      </c>
      <c r="CI19" s="371">
        <v>0</v>
      </c>
      <c r="CJ19" s="371">
        <v>0</v>
      </c>
      <c r="CK19" s="371">
        <v>-4</v>
      </c>
      <c r="CL19" s="371">
        <v>0</v>
      </c>
      <c r="CM19" s="371">
        <v>84</v>
      </c>
      <c r="CN19" s="371">
        <v>758</v>
      </c>
      <c r="CO19" s="371">
        <v>5</v>
      </c>
      <c r="CP19" s="371">
        <v>204</v>
      </c>
      <c r="CQ19" s="371">
        <v>0</v>
      </c>
      <c r="CR19" s="371">
        <v>954</v>
      </c>
      <c r="CS19" s="371">
        <v>0</v>
      </c>
      <c r="CT19" s="371">
        <v>0</v>
      </c>
      <c r="CU19" s="367">
        <f>IFERROR(CH19/Instructions!$J$25,0)+CI19*Instructions!$J$27+CJ19*Instructions!$J$29+IFERROR(CK19/Instructions!$E$34,0)+CL19*Instructions!$E$36+Tier!CM19*Instructions!$E$25+IFERROR(CN19/Instructions!$E$27,0)+CO19*Instructions!$E$29+IFERROR((CP19+CR19)/Instructions!$J$32,0)+(CQ19+CS19)*Instructions!$J$34+Tier!CT19*-2</f>
        <v>189.39999999999998</v>
      </c>
      <c r="CV19" s="354"/>
      <c r="CW19" s="238">
        <v>2014</v>
      </c>
      <c r="CX19" s="365" t="s">
        <v>227</v>
      </c>
      <c r="CY19" s="366" t="s">
        <v>145</v>
      </c>
      <c r="CZ19" s="366" t="s">
        <v>7</v>
      </c>
      <c r="DA19" s="366">
        <v>0</v>
      </c>
      <c r="DB19" s="366">
        <v>0</v>
      </c>
      <c r="DC19" s="366">
        <v>0</v>
      </c>
      <c r="DD19" s="366">
        <v>0</v>
      </c>
      <c r="DE19" s="366">
        <v>0</v>
      </c>
      <c r="DF19" s="366">
        <v>62</v>
      </c>
      <c r="DG19" s="366">
        <v>460</v>
      </c>
      <c r="DH19" s="366">
        <v>5</v>
      </c>
      <c r="DI19" s="366">
        <v>0</v>
      </c>
      <c r="DJ19" s="366">
        <v>0</v>
      </c>
      <c r="DK19" s="366">
        <v>0</v>
      </c>
      <c r="DL19" s="366">
        <v>0</v>
      </c>
      <c r="DM19" s="366">
        <v>0</v>
      </c>
      <c r="DN19" s="367">
        <f>IFERROR(DA19/Instructions!$J$25,0)+DB19*Instructions!$J$27+DC19*Instructions!$J$29+IFERROR(DD19/Instructions!$E$34,0)+DE19*Instructions!$E$36+Tier!DF19*Instructions!$E$25+IFERROR(DG19/Instructions!$E$27,0)+DH19*Instructions!$E$29+IFERROR((DI19+DK19)/Instructions!$J$32,0)+(DJ19+DL19)*Instructions!$J$34+Tier!DM19*-2</f>
        <v>138</v>
      </c>
    </row>
    <row r="20" spans="1:118" s="366" customFormat="1" ht="15.75" customHeight="1" x14ac:dyDescent="0.25">
      <c r="A20" s="353">
        <v>4</v>
      </c>
      <c r="B20" s="358">
        <f t="shared" si="24"/>
        <v>215.018</v>
      </c>
      <c r="C20" s="354"/>
      <c r="D20" s="363">
        <v>7</v>
      </c>
      <c r="E20" s="364">
        <f t="shared" si="20"/>
        <v>271.916</v>
      </c>
      <c r="F20" s="238">
        <v>2014</v>
      </c>
      <c r="G20" s="367">
        <f>LARGE($BI$2:$BI$33,19)</f>
        <v>220</v>
      </c>
      <c r="H20" s="355">
        <f t="shared" si="1"/>
        <v>-45.639999999999986</v>
      </c>
      <c r="I20" s="356">
        <f t="shared" si="2"/>
        <v>2083.009599999999</v>
      </c>
      <c r="J20" s="356"/>
      <c r="K20" s="356">
        <f t="shared" si="3"/>
        <v>-2.8524999999999991</v>
      </c>
      <c r="L20" s="238">
        <f t="shared" si="4"/>
        <v>8</v>
      </c>
      <c r="M20" s="354"/>
      <c r="N20" s="363">
        <v>7</v>
      </c>
      <c r="O20" s="364">
        <f t="shared" si="23"/>
        <v>152.30000000000001</v>
      </c>
      <c r="P20" s="366">
        <v>2014</v>
      </c>
      <c r="Q20" s="367">
        <f>LARGE($CB$2:$CB$151,19)</f>
        <v>172.1</v>
      </c>
      <c r="R20" s="357">
        <f t="shared" si="5"/>
        <v>7.5</v>
      </c>
      <c r="S20" s="356">
        <f t="shared" si="6"/>
        <v>56.25</v>
      </c>
      <c r="T20" s="356"/>
      <c r="U20" s="356">
        <f t="shared" si="7"/>
        <v>0.46875</v>
      </c>
      <c r="V20" s="238">
        <f t="shared" si="8"/>
        <v>6</v>
      </c>
      <c r="W20" s="354"/>
      <c r="X20" s="363">
        <v>7</v>
      </c>
      <c r="Y20" s="364">
        <f t="shared" si="21"/>
        <v>211.73333333333335</v>
      </c>
      <c r="Z20" s="321">
        <v>2014</v>
      </c>
      <c r="AA20" s="367">
        <f>LARGE($CU$2:$CU$151,19)</f>
        <v>219.60000000000002</v>
      </c>
      <c r="AB20" s="357">
        <f t="shared" si="10"/>
        <v>1.8666666666666742</v>
      </c>
      <c r="AC20" s="356">
        <f t="shared" si="0"/>
        <v>3.4844444444444727</v>
      </c>
      <c r="AD20" s="356"/>
      <c r="AE20" s="356">
        <f t="shared" si="11"/>
        <v>0.11666666666666714</v>
      </c>
      <c r="AF20" s="238">
        <f t="shared" si="12"/>
        <v>6</v>
      </c>
      <c r="AG20" s="354"/>
      <c r="AH20" s="363">
        <v>7</v>
      </c>
      <c r="AI20" s="364">
        <f t="shared" si="22"/>
        <v>123.11000000000001</v>
      </c>
      <c r="AJ20" s="238">
        <v>2014</v>
      </c>
      <c r="AK20" s="367">
        <f>LARGE($DN$2:$DN$33,19)</f>
        <v>114.7</v>
      </c>
      <c r="AL20" s="373">
        <f t="shared" si="14"/>
        <v>-38.600000000000009</v>
      </c>
      <c r="AM20" s="374">
        <f t="shared" si="15"/>
        <v>1489.9600000000007</v>
      </c>
      <c r="AN20" s="374"/>
      <c r="AO20" s="374">
        <f t="shared" si="16"/>
        <v>-2.4125000000000005</v>
      </c>
      <c r="AP20" s="238">
        <f t="shared" si="17"/>
        <v>8</v>
      </c>
      <c r="AQ20" s="354"/>
      <c r="AR20" s="238">
        <v>2014</v>
      </c>
      <c r="AS20" s="365" t="s">
        <v>70</v>
      </c>
      <c r="AT20" s="366" t="s">
        <v>1629</v>
      </c>
      <c r="AU20" s="366" t="s">
        <v>1</v>
      </c>
      <c r="AV20" s="366">
        <v>3265</v>
      </c>
      <c r="AW20" s="366">
        <v>18</v>
      </c>
      <c r="AX20" s="366">
        <v>6</v>
      </c>
      <c r="AY20" s="366">
        <v>254</v>
      </c>
      <c r="AZ20" s="366">
        <v>1</v>
      </c>
      <c r="BA20" s="366">
        <v>0</v>
      </c>
      <c r="BB20" s="366">
        <v>0</v>
      </c>
      <c r="BC20" s="366">
        <v>0</v>
      </c>
      <c r="BD20" s="366">
        <v>0</v>
      </c>
      <c r="BE20" s="366">
        <v>0</v>
      </c>
      <c r="BF20" s="366">
        <v>0</v>
      </c>
      <c r="BG20" s="366">
        <v>0</v>
      </c>
      <c r="BH20" s="366">
        <v>1</v>
      </c>
      <c r="BI20" s="367">
        <f>IFERROR(AV20/Instructions!$J$25,0)+AW20*Instructions!$J$27+AX20*Instructions!$J$29+IFERROR(AY20/Instructions!$E$34,0)+AZ20*Instructions!$E$36+Tier!BA20*Instructions!$E$25+IFERROR(BB20/Instructions!$E$27,0)+BC20*Instructions!$E$29+IFERROR((BD20+BF20)/Instructions!$J$32,0)+(BE20+BG20)*Instructions!$J$34+BH20*-2</f>
        <v>220</v>
      </c>
      <c r="BJ20" s="354"/>
      <c r="BK20" s="366">
        <v>2014</v>
      </c>
      <c r="BL20" s="370" t="s">
        <v>122</v>
      </c>
      <c r="BM20" s="372" t="s">
        <v>1629</v>
      </c>
      <c r="BN20" s="372" t="s">
        <v>3</v>
      </c>
      <c r="BO20" s="372">
        <v>0</v>
      </c>
      <c r="BP20" s="372">
        <v>0</v>
      </c>
      <c r="BQ20" s="372">
        <v>0</v>
      </c>
      <c r="BR20" s="372">
        <v>463</v>
      </c>
      <c r="BS20" s="372">
        <v>6</v>
      </c>
      <c r="BT20" s="372">
        <v>16</v>
      </c>
      <c r="BU20" s="372">
        <v>147</v>
      </c>
      <c r="BV20" s="372">
        <v>1</v>
      </c>
      <c r="BW20" s="372">
        <v>0</v>
      </c>
      <c r="BX20" s="372">
        <v>0</v>
      </c>
      <c r="BY20" s="372">
        <v>829</v>
      </c>
      <c r="BZ20" s="372">
        <v>1</v>
      </c>
      <c r="CA20" s="372">
        <v>2</v>
      </c>
      <c r="CB20" s="367">
        <f>IFERROR(BO20/Instructions!$J$25,0)+BP20*Instructions!$J$27+BQ20*Instructions!$J$29+IFERROR(BR20/Instructions!$E$34,0)+BS20*Instructions!$E$36+Tier!BT21*Instructions!$E$25+IFERROR(BU20/Instructions!$E$27,0)+BV20*Instructions!$E$29+IFERROR((BW20+BY20)/Instructions!$J$32,0)+(BX20+BZ20)*Instructions!$J$34+Tier!CA20*-2</f>
        <v>145</v>
      </c>
      <c r="CC20" s="354"/>
      <c r="CD20" s="321">
        <v>2014</v>
      </c>
      <c r="CE20" s="370" t="s">
        <v>90</v>
      </c>
      <c r="CF20" s="371" t="s">
        <v>166</v>
      </c>
      <c r="CG20" s="371" t="s">
        <v>6</v>
      </c>
      <c r="CH20" s="371">
        <v>0</v>
      </c>
      <c r="CI20" s="371">
        <v>0</v>
      </c>
      <c r="CJ20" s="371">
        <v>0</v>
      </c>
      <c r="CK20" s="371">
        <v>16</v>
      </c>
      <c r="CL20" s="371">
        <v>0</v>
      </c>
      <c r="CM20" s="371">
        <v>67</v>
      </c>
      <c r="CN20" s="371">
        <v>862</v>
      </c>
      <c r="CO20" s="371">
        <v>10</v>
      </c>
      <c r="CP20" s="371">
        <v>0</v>
      </c>
      <c r="CQ20" s="371">
        <v>0</v>
      </c>
      <c r="CR20" s="371">
        <v>0</v>
      </c>
      <c r="CS20" s="371">
        <v>0</v>
      </c>
      <c r="CT20" s="371">
        <v>1</v>
      </c>
      <c r="CU20" s="367">
        <f>IFERROR(CH20/Instructions!$J$25,0)+CI20*Instructions!$J$27+CJ20*Instructions!$J$29+IFERROR(CK20/Instructions!$E$34,0)+CL20*Instructions!$E$36+Tier!CM20*Instructions!$E$25+IFERROR(CN20/Instructions!$E$27,0)+CO20*Instructions!$E$29+IFERROR((CP20+CR20)/Instructions!$J$32,0)+(CQ20+CS20)*Instructions!$J$34+Tier!CT20*-2</f>
        <v>212.8</v>
      </c>
      <c r="CV20" s="354"/>
      <c r="CW20" s="238">
        <v>2014</v>
      </c>
      <c r="CX20" s="368" t="s">
        <v>1690</v>
      </c>
      <c r="CY20" s="369" t="s">
        <v>156</v>
      </c>
      <c r="CZ20" s="369" t="s">
        <v>7</v>
      </c>
      <c r="DA20" s="369">
        <v>0</v>
      </c>
      <c r="DB20" s="369">
        <v>0</v>
      </c>
      <c r="DC20" s="369">
        <v>0</v>
      </c>
      <c r="DD20" s="369">
        <v>0</v>
      </c>
      <c r="DE20" s="369">
        <v>0</v>
      </c>
      <c r="DF20" s="366">
        <v>47</v>
      </c>
      <c r="DG20" s="366">
        <v>497</v>
      </c>
      <c r="DH20" s="366">
        <v>3</v>
      </c>
      <c r="DI20" s="366">
        <v>0</v>
      </c>
      <c r="DJ20" s="366">
        <v>0</v>
      </c>
      <c r="DK20" s="366">
        <v>0</v>
      </c>
      <c r="DL20" s="366">
        <v>0</v>
      </c>
      <c r="DM20" s="366">
        <v>0</v>
      </c>
      <c r="DN20" s="367">
        <f>IFERROR(DA20/Instructions!$J$25,0)+DB20*Instructions!$J$27+DC20*Instructions!$J$29+IFERROR(DD20/Instructions!$E$34,0)+DE20*Instructions!$E$36+Tier!DF20*Instructions!$E$25+IFERROR(DG20/Instructions!$E$27,0)+DH20*Instructions!$E$29+IFERROR((DI20+DK20)/Instructions!$J$32,0)+(DJ20+DL20)*Instructions!$J$34+Tier!DM20*-2</f>
        <v>114.7</v>
      </c>
    </row>
    <row r="21" spans="1:118" s="366" customFormat="1" ht="15.75" customHeight="1" x14ac:dyDescent="0.25">
      <c r="A21" s="359">
        <v>5</v>
      </c>
      <c r="B21" s="358">
        <f t="shared" si="24"/>
        <v>193.93866666666665</v>
      </c>
      <c r="C21" s="354"/>
      <c r="D21" s="363">
        <v>8</v>
      </c>
      <c r="E21" s="364">
        <f>AVERAGE(J46:J47)</f>
        <v>256.48</v>
      </c>
      <c r="F21" s="238">
        <v>2014</v>
      </c>
      <c r="G21" s="367">
        <f>LARGE($BI$2:$BI$33,20)</f>
        <v>192</v>
      </c>
      <c r="H21" s="355">
        <f t="shared" si="1"/>
        <v>-73.639999999999986</v>
      </c>
      <c r="I21" s="356">
        <f t="shared" si="2"/>
        <v>5422.8495999999977</v>
      </c>
      <c r="J21" s="356"/>
      <c r="K21" s="356">
        <f t="shared" si="3"/>
        <v>-4.6024999999999991</v>
      </c>
      <c r="L21" s="238">
        <f t="shared" si="4"/>
        <v>8</v>
      </c>
      <c r="M21" s="354"/>
      <c r="N21" s="363">
        <v>8</v>
      </c>
      <c r="O21" s="364">
        <f>AVERAGE(T164:T165)</f>
        <v>140.6</v>
      </c>
      <c r="P21" s="366">
        <v>2014</v>
      </c>
      <c r="Q21" s="367">
        <f>LARGE($CB$2:$CB$151,20)</f>
        <v>165.39999999999998</v>
      </c>
      <c r="R21" s="357">
        <f t="shared" si="5"/>
        <v>0.79999999999998295</v>
      </c>
      <c r="S21" s="356">
        <f t="shared" si="6"/>
        <v>0.6399999999999727</v>
      </c>
      <c r="T21" s="238"/>
      <c r="U21" s="356">
        <f t="shared" si="7"/>
        <v>4.9999999999998934E-2</v>
      </c>
      <c r="V21" s="238">
        <f t="shared" si="8"/>
        <v>6</v>
      </c>
      <c r="W21" s="354"/>
      <c r="X21" s="363">
        <v>8</v>
      </c>
      <c r="Y21" s="364">
        <f>AVERAGE(AD164:AD165)</f>
        <v>199.13333333333333</v>
      </c>
      <c r="Z21" s="321">
        <v>2014</v>
      </c>
      <c r="AA21" s="367">
        <f>LARGE($CU$2:$CU$151,20)</f>
        <v>212.8</v>
      </c>
      <c r="AB21" s="357">
        <f t="shared" si="10"/>
        <v>-4.9333333333333371</v>
      </c>
      <c r="AC21" s="356">
        <f t="shared" si="0"/>
        <v>24.337777777777816</v>
      </c>
      <c r="AD21" s="356"/>
      <c r="AE21" s="356">
        <f t="shared" si="11"/>
        <v>-0.30833333333333357</v>
      </c>
      <c r="AF21" s="238">
        <f t="shared" si="12"/>
        <v>7</v>
      </c>
      <c r="AG21" s="354"/>
      <c r="AH21" s="363">
        <v>8</v>
      </c>
      <c r="AI21" s="364">
        <f t="shared" si="22"/>
        <v>84.666666666666657</v>
      </c>
      <c r="AJ21" s="238">
        <v>2014</v>
      </c>
      <c r="AK21" s="367">
        <f>LARGE($DN$2:$DN$33,20)</f>
        <v>94.5</v>
      </c>
      <c r="AL21" s="373">
        <f t="shared" si="14"/>
        <v>-58.800000000000011</v>
      </c>
      <c r="AM21" s="374">
        <f t="shared" si="15"/>
        <v>3457.4400000000014</v>
      </c>
      <c r="AN21" s="374"/>
      <c r="AO21" s="374">
        <f t="shared" si="16"/>
        <v>-3.6750000000000007</v>
      </c>
      <c r="AP21" s="238">
        <f t="shared" si="17"/>
        <v>8</v>
      </c>
      <c r="AQ21" s="354"/>
      <c r="AR21" s="238">
        <v>2014</v>
      </c>
      <c r="AS21" s="365" t="s">
        <v>176</v>
      </c>
      <c r="AT21" s="366" t="s">
        <v>167</v>
      </c>
      <c r="AU21" s="366" t="s">
        <v>1</v>
      </c>
      <c r="AV21" s="366">
        <v>3270</v>
      </c>
      <c r="AW21" s="366">
        <v>21</v>
      </c>
      <c r="AX21" s="366">
        <v>12</v>
      </c>
      <c r="AY21" s="366">
        <v>92</v>
      </c>
      <c r="AZ21" s="366">
        <v>0</v>
      </c>
      <c r="BA21" s="366">
        <v>0</v>
      </c>
      <c r="BB21" s="366">
        <v>0</v>
      </c>
      <c r="BC21" s="366">
        <v>0</v>
      </c>
      <c r="BD21" s="366">
        <v>0</v>
      </c>
      <c r="BE21" s="366">
        <v>0</v>
      </c>
      <c r="BF21" s="366">
        <v>0</v>
      </c>
      <c r="BG21" s="366">
        <v>0</v>
      </c>
      <c r="BH21" s="366">
        <v>4</v>
      </c>
      <c r="BI21" s="367">
        <f>IFERROR(AV21/Instructions!$J$25,0)+AW21*Instructions!$J$27+AX21*Instructions!$J$29+IFERROR(AY21/Instructions!$E$34,0)+AZ21*Instructions!$E$36+Tier!BA21*Instructions!$E$25+IFERROR(BB21/Instructions!$E$27,0)+BC21*Instructions!$E$29+IFERROR((BD21+BF21)/Instructions!$J$32,0)+(BE21+BG21)*Instructions!$J$34+BH21*-2</f>
        <v>192</v>
      </c>
      <c r="BJ21" s="354"/>
      <c r="BK21" s="366">
        <v>2014</v>
      </c>
      <c r="BL21" s="370" t="s">
        <v>92</v>
      </c>
      <c r="BM21" s="372" t="s">
        <v>137</v>
      </c>
      <c r="BN21" s="372" t="s">
        <v>3</v>
      </c>
      <c r="BO21" s="372">
        <v>0</v>
      </c>
      <c r="BP21" s="372">
        <v>0</v>
      </c>
      <c r="BQ21" s="372">
        <v>0</v>
      </c>
      <c r="BR21" s="372">
        <v>329</v>
      </c>
      <c r="BS21" s="372">
        <v>6</v>
      </c>
      <c r="BT21" s="372">
        <v>40</v>
      </c>
      <c r="BU21" s="372">
        <v>387</v>
      </c>
      <c r="BV21" s="372">
        <v>0</v>
      </c>
      <c r="BW21" s="372">
        <v>506</v>
      </c>
      <c r="BX21" s="372">
        <v>2</v>
      </c>
      <c r="BY21" s="372">
        <v>15</v>
      </c>
      <c r="BZ21" s="372">
        <v>0</v>
      </c>
      <c r="CA21" s="372">
        <v>1</v>
      </c>
      <c r="CB21" s="367">
        <f>IFERROR(BO21/Instructions!$J$25,0)+BP21*Instructions!$J$27+BQ21*Instructions!$J$29+IFERROR(BR21/Instructions!$E$34,0)+BS21*Instructions!$E$36+Tier!BT22*Instructions!$E$25+IFERROR(BU21/Instructions!$E$27,0)+BV21*Instructions!$E$29+IFERROR((BW21+BY21)/Instructions!$J$32,0)+(BX21+BZ21)*Instructions!$J$34+Tier!CA21*-2</f>
        <v>163.60000000000002</v>
      </c>
      <c r="CC21" s="354"/>
      <c r="CD21" s="321">
        <v>2014</v>
      </c>
      <c r="CE21" s="370" t="s">
        <v>84</v>
      </c>
      <c r="CF21" s="371" t="s">
        <v>1628</v>
      </c>
      <c r="CG21" s="371" t="s">
        <v>6</v>
      </c>
      <c r="CH21" s="371">
        <v>0</v>
      </c>
      <c r="CI21" s="371">
        <v>0</v>
      </c>
      <c r="CJ21" s="371">
        <v>0</v>
      </c>
      <c r="CK21" s="371">
        <v>94</v>
      </c>
      <c r="CL21" s="371">
        <v>0</v>
      </c>
      <c r="CM21" s="371">
        <v>92</v>
      </c>
      <c r="CN21" s="371">
        <v>972</v>
      </c>
      <c r="CO21" s="371">
        <v>4</v>
      </c>
      <c r="CP21" s="371">
        <v>299</v>
      </c>
      <c r="CQ21" s="371">
        <v>1</v>
      </c>
      <c r="CR21" s="371">
        <v>0</v>
      </c>
      <c r="CS21" s="371">
        <v>0</v>
      </c>
      <c r="CT21" s="371">
        <v>0</v>
      </c>
      <c r="CU21" s="367">
        <f>IFERROR(CH21/Instructions!$J$25,0)+CI21*Instructions!$J$27+CJ21*Instructions!$J$29+IFERROR(CK21/Instructions!$E$34,0)+CL21*Instructions!$E$36+Tier!CM21*Instructions!$E$25+IFERROR(CN21/Instructions!$E$27,0)+CO21*Instructions!$E$29+IFERROR((CP21+CR21)/Instructions!$J$32,0)+(CQ21+CS21)*Instructions!$J$34+Tier!CT21*-2</f>
        <v>228.60000000000002</v>
      </c>
      <c r="CV21" s="354"/>
      <c r="CW21" s="238">
        <v>2014</v>
      </c>
      <c r="CX21" s="365" t="s">
        <v>233</v>
      </c>
      <c r="CY21" s="366" t="s">
        <v>140</v>
      </c>
      <c r="CZ21" s="366" t="s">
        <v>7</v>
      </c>
      <c r="DA21" s="366">
        <v>0</v>
      </c>
      <c r="DB21" s="366">
        <v>0</v>
      </c>
      <c r="DC21" s="366">
        <v>0</v>
      </c>
      <c r="DD21" s="366">
        <v>0</v>
      </c>
      <c r="DE21" s="366">
        <v>0</v>
      </c>
      <c r="DF21" s="366">
        <v>22</v>
      </c>
      <c r="DG21" s="366">
        <v>362</v>
      </c>
      <c r="DH21" s="366">
        <v>3</v>
      </c>
      <c r="DI21" s="366">
        <v>0</v>
      </c>
      <c r="DJ21" s="366">
        <v>0</v>
      </c>
      <c r="DK21" s="366">
        <v>37</v>
      </c>
      <c r="DL21" s="366">
        <v>0</v>
      </c>
      <c r="DM21" s="366">
        <v>0</v>
      </c>
      <c r="DN21" s="367">
        <f>IFERROR(DA21/Instructions!$J$25,0)+DB21*Instructions!$J$27+DC21*Instructions!$J$29+IFERROR(DD21/Instructions!$E$34,0)+DE21*Instructions!$E$36+Tier!DF21*Instructions!$E$25+IFERROR(DG21/Instructions!$E$27,0)+DH21*Instructions!$E$29+IFERROR((DI21+DK21)/Instructions!$J$32,0)+(DJ21+DL21)*Instructions!$J$34+Tier!DM21*-2</f>
        <v>76.2</v>
      </c>
    </row>
    <row r="22" spans="1:118" s="366" customFormat="1" ht="15.75" customHeight="1" x14ac:dyDescent="0.25">
      <c r="A22" s="353">
        <v>6</v>
      </c>
      <c r="B22" s="358">
        <f t="shared" si="24"/>
        <v>186.47777777777779</v>
      </c>
      <c r="C22" s="354"/>
      <c r="D22" s="361">
        <v>2016</v>
      </c>
      <c r="E22" s="362">
        <v>8</v>
      </c>
      <c r="F22" s="238">
        <v>2014</v>
      </c>
      <c r="G22" s="367">
        <f>LARGE($BI$2:$BI$33,21)</f>
        <v>179.72</v>
      </c>
      <c r="H22" s="355">
        <f t="shared" si="1"/>
        <v>-85.919999999999987</v>
      </c>
      <c r="I22" s="356">
        <f t="shared" si="2"/>
        <v>7382.2463999999982</v>
      </c>
      <c r="J22" s="356"/>
      <c r="K22" s="356">
        <f t="shared" si="3"/>
        <v>-5.3699999999999992</v>
      </c>
      <c r="L22" s="238">
        <f t="shared" si="4"/>
        <v>8</v>
      </c>
      <c r="M22" s="354"/>
      <c r="N22" s="361">
        <v>2016</v>
      </c>
      <c r="O22" s="362"/>
      <c r="P22" s="366">
        <v>2014</v>
      </c>
      <c r="Q22" s="367">
        <f>LARGE($CB$2:$CB$151,21)</f>
        <v>163.60000000000002</v>
      </c>
      <c r="R22" s="357">
        <f t="shared" si="5"/>
        <v>-0.99999999999997158</v>
      </c>
      <c r="S22" s="356">
        <f t="shared" si="6"/>
        <v>0.99999999999994316</v>
      </c>
      <c r="T22" s="238"/>
      <c r="U22" s="356">
        <f t="shared" si="7"/>
        <v>-6.2499999999998224E-2</v>
      </c>
      <c r="V22" s="238">
        <f t="shared" si="8"/>
        <v>7</v>
      </c>
      <c r="W22" s="354"/>
      <c r="X22" s="361">
        <v>2016</v>
      </c>
      <c r="Y22" s="362"/>
      <c r="Z22" s="321">
        <v>2014</v>
      </c>
      <c r="AA22" s="367">
        <f>LARGE($CU$2:$CU$151,21)</f>
        <v>212.1</v>
      </c>
      <c r="AB22" s="357">
        <f t="shared" si="10"/>
        <v>-5.6333333333333542</v>
      </c>
      <c r="AC22" s="356">
        <f t="shared" si="0"/>
        <v>31.73444444444468</v>
      </c>
      <c r="AD22" s="356"/>
      <c r="AE22" s="356">
        <f t="shared" si="11"/>
        <v>-0.35208333333333464</v>
      </c>
      <c r="AF22" s="238">
        <f t="shared" si="12"/>
        <v>7</v>
      </c>
      <c r="AG22" s="354"/>
      <c r="AH22" s="361">
        <v>2016</v>
      </c>
      <c r="AI22" s="362"/>
      <c r="AJ22" s="238">
        <v>2014</v>
      </c>
      <c r="AK22" s="367">
        <f>LARGE($DN$2:$DN$33,21)</f>
        <v>79.3</v>
      </c>
      <c r="AL22" s="373">
        <f t="shared" si="14"/>
        <v>-74.000000000000014</v>
      </c>
      <c r="AM22" s="374">
        <f t="shared" si="15"/>
        <v>5476.0000000000018</v>
      </c>
      <c r="AN22" s="374"/>
      <c r="AO22" s="374">
        <f t="shared" si="16"/>
        <v>-4.6250000000000009</v>
      </c>
      <c r="AP22" s="238">
        <f t="shared" si="17"/>
        <v>8</v>
      </c>
      <c r="AQ22" s="354"/>
      <c r="AR22" s="238">
        <v>2014</v>
      </c>
      <c r="AS22" s="365" t="s">
        <v>172</v>
      </c>
      <c r="AT22" s="366" t="s">
        <v>151</v>
      </c>
      <c r="AU22" s="366" t="s">
        <v>1</v>
      </c>
      <c r="AV22" s="366">
        <v>2483</v>
      </c>
      <c r="AW22" s="366">
        <v>17</v>
      </c>
      <c r="AX22" s="366">
        <v>8</v>
      </c>
      <c r="AY22" s="366">
        <v>184</v>
      </c>
      <c r="AZ22" s="366">
        <v>2</v>
      </c>
      <c r="BA22" s="366">
        <v>0</v>
      </c>
      <c r="BB22" s="366">
        <v>0</v>
      </c>
      <c r="BC22" s="366">
        <v>0</v>
      </c>
      <c r="BD22" s="366">
        <v>0</v>
      </c>
      <c r="BE22" s="366">
        <v>0</v>
      </c>
      <c r="BF22" s="366">
        <v>0</v>
      </c>
      <c r="BG22" s="366">
        <v>0</v>
      </c>
      <c r="BH22" s="366">
        <v>1</v>
      </c>
      <c r="BI22" s="367">
        <f>IFERROR(AV22/Instructions!$J$25,0)+AW22*Instructions!$J$27+AX22*Instructions!$J$29+IFERROR(AY22/Instructions!$E$34,0)+AZ22*Instructions!$E$36+Tier!BA22*Instructions!$E$25+IFERROR(BB22/Instructions!$E$27,0)+BC22*Instructions!$E$29+IFERROR((BD22+BF22)/Instructions!$J$32,0)+(BE22+BG22)*Instructions!$J$34+BH22*-2</f>
        <v>179.72</v>
      </c>
      <c r="BJ22" s="354"/>
      <c r="BK22" s="366">
        <v>2014</v>
      </c>
      <c r="BL22" s="370" t="s">
        <v>64</v>
      </c>
      <c r="BM22" s="372" t="s">
        <v>153</v>
      </c>
      <c r="BN22" s="372" t="s">
        <v>3</v>
      </c>
      <c r="BO22" s="372">
        <v>0</v>
      </c>
      <c r="BP22" s="372">
        <v>0</v>
      </c>
      <c r="BQ22" s="372">
        <v>0</v>
      </c>
      <c r="BR22" s="372">
        <v>660</v>
      </c>
      <c r="BS22" s="372">
        <v>3</v>
      </c>
      <c r="BT22" s="372">
        <v>46</v>
      </c>
      <c r="BU22" s="372">
        <v>395</v>
      </c>
      <c r="BV22" s="372">
        <v>2</v>
      </c>
      <c r="BW22" s="372">
        <v>0</v>
      </c>
      <c r="BX22" s="372">
        <v>0</v>
      </c>
      <c r="BY22" s="372">
        <v>0</v>
      </c>
      <c r="BZ22" s="372">
        <v>0</v>
      </c>
      <c r="CA22" s="372">
        <v>2</v>
      </c>
      <c r="CB22" s="367">
        <f>IFERROR(BO22/Instructions!$J$25,0)+BP22*Instructions!$J$27+BQ22*Instructions!$J$29+IFERROR(BR22/Instructions!$E$34,0)+BS22*Instructions!$E$36+Tier!BT23*Instructions!$E$25+IFERROR(BU22/Instructions!$E$27,0)+BV22*Instructions!$E$29+IFERROR((BW22+BY22)/Instructions!$J$32,0)+(BX22+BZ22)*Instructions!$J$34+Tier!CA22*-2</f>
        <v>149.5</v>
      </c>
      <c r="CC22" s="354"/>
      <c r="CD22" s="321">
        <v>2014</v>
      </c>
      <c r="CE22" s="370" t="s">
        <v>83</v>
      </c>
      <c r="CF22" s="371" t="s">
        <v>162</v>
      </c>
      <c r="CG22" s="371" t="s">
        <v>6</v>
      </c>
      <c r="CH22" s="371">
        <v>0</v>
      </c>
      <c r="CI22" s="371">
        <v>0</v>
      </c>
      <c r="CJ22" s="371">
        <v>0</v>
      </c>
      <c r="CK22" s="371">
        <v>0</v>
      </c>
      <c r="CL22" s="371">
        <v>0</v>
      </c>
      <c r="CM22" s="371">
        <v>49</v>
      </c>
      <c r="CN22" s="371">
        <v>767</v>
      </c>
      <c r="CO22" s="371">
        <v>11</v>
      </c>
      <c r="CP22" s="371">
        <v>0</v>
      </c>
      <c r="CQ22" s="371">
        <v>0</v>
      </c>
      <c r="CR22" s="371">
        <v>0</v>
      </c>
      <c r="CS22" s="371">
        <v>0</v>
      </c>
      <c r="CT22" s="371">
        <v>0</v>
      </c>
      <c r="CU22" s="367">
        <f>IFERROR(CH22/Instructions!$J$25,0)+CI22*Instructions!$J$27+CJ22*Instructions!$J$29+IFERROR(CK22/Instructions!$E$34,0)+CL22*Instructions!$E$36+Tier!CM22*Instructions!$E$25+IFERROR(CN22/Instructions!$E$27,0)+CO22*Instructions!$E$29+IFERROR((CP22+CR22)/Instructions!$J$32,0)+(CQ22+CS22)*Instructions!$J$34+Tier!CT22*-2</f>
        <v>191.7</v>
      </c>
      <c r="CV22" s="354"/>
      <c r="CW22" s="238">
        <v>2014</v>
      </c>
      <c r="CX22" s="365" t="s">
        <v>1689</v>
      </c>
      <c r="CY22" s="366" t="s">
        <v>161</v>
      </c>
      <c r="CZ22" s="366" t="s">
        <v>7</v>
      </c>
      <c r="DA22" s="366">
        <v>0</v>
      </c>
      <c r="DB22" s="366">
        <v>0</v>
      </c>
      <c r="DC22" s="366">
        <v>0</v>
      </c>
      <c r="DD22" s="366">
        <v>0</v>
      </c>
      <c r="DE22" s="366">
        <v>0</v>
      </c>
      <c r="DF22" s="366">
        <v>24</v>
      </c>
      <c r="DG22" s="366">
        <v>424</v>
      </c>
      <c r="DH22" s="366">
        <v>2</v>
      </c>
      <c r="DI22" s="366">
        <v>0</v>
      </c>
      <c r="DJ22" s="366">
        <v>0</v>
      </c>
      <c r="DK22" s="366">
        <v>0</v>
      </c>
      <c r="DL22" s="366">
        <v>0</v>
      </c>
      <c r="DM22" s="366">
        <v>0</v>
      </c>
      <c r="DN22" s="367">
        <f>IFERROR(DA22/Instructions!$J$25,0)+DB22*Instructions!$J$27+DC22*Instructions!$J$29+IFERROR(DD22/Instructions!$E$34,0)+DE22*Instructions!$E$36+Tier!DF22*Instructions!$E$25+IFERROR(DG22/Instructions!$E$27,0)+DH22*Instructions!$E$29+IFERROR((DI22+DK22)/Instructions!$J$32,0)+(DJ22+DL22)*Instructions!$J$34+Tier!DM22*-2</f>
        <v>78.400000000000006</v>
      </c>
    </row>
    <row r="23" spans="1:118" s="366" customFormat="1" ht="15.75" customHeight="1" x14ac:dyDescent="0.25">
      <c r="A23" s="238">
        <v>7</v>
      </c>
      <c r="B23" s="358">
        <f t="shared" si="24"/>
        <v>168.39711111111112</v>
      </c>
      <c r="C23" s="354"/>
      <c r="D23" s="363">
        <v>0</v>
      </c>
      <c r="E23" s="364">
        <f t="shared" ref="E23:E30" si="25">IFERROR(AVERAGEIF($L$68:$L$99,D23,$G$68:$G$99),AVERAGE(J71:J72))</f>
        <v>376.02</v>
      </c>
      <c r="F23" s="238">
        <v>2014</v>
      </c>
      <c r="G23" s="367">
        <f>LARGE($BI$2:$BI$33,22)</f>
        <v>175.66</v>
      </c>
      <c r="H23" s="355">
        <f t="shared" si="1"/>
        <v>-89.97999999999999</v>
      </c>
      <c r="I23" s="356">
        <f t="shared" si="2"/>
        <v>8096.4003999999977</v>
      </c>
      <c r="J23" s="356"/>
      <c r="K23" s="356">
        <f t="shared" si="3"/>
        <v>-5.6237499999999994</v>
      </c>
      <c r="L23" s="238">
        <f t="shared" si="4"/>
        <v>8</v>
      </c>
      <c r="M23" s="354"/>
      <c r="N23" s="363">
        <v>0</v>
      </c>
      <c r="O23" s="364">
        <f>IFERROR(AVERAGEIF($V$304:$V$453,N23,$Q$304:$Q$453),AVERAGE(T307:T308))</f>
        <v>312.93333333333334</v>
      </c>
      <c r="P23" s="366">
        <v>2014</v>
      </c>
      <c r="Q23" s="367">
        <f>LARGE($CB$2:$CB$151,22)</f>
        <v>160.9</v>
      </c>
      <c r="R23" s="357">
        <f t="shared" si="5"/>
        <v>-3.6999999999999886</v>
      </c>
      <c r="S23" s="356">
        <f t="shared" si="6"/>
        <v>13.689999999999916</v>
      </c>
      <c r="T23" s="238"/>
      <c r="U23" s="356">
        <f t="shared" si="7"/>
        <v>-0.23124999999999929</v>
      </c>
      <c r="V23" s="238">
        <f t="shared" si="8"/>
        <v>7</v>
      </c>
      <c r="W23" s="354"/>
      <c r="X23" s="363">
        <v>0</v>
      </c>
      <c r="Y23" s="364">
        <f t="shared" ref="Y23:Y30" si="26">IFERROR(AVERAGEIF($AF$304:$AF$453,X23,$AA$304:$AA$453),AVERAGE(AD307:AD308))</f>
        <v>315.70000000000005</v>
      </c>
      <c r="Z23" s="321">
        <v>2014</v>
      </c>
      <c r="AA23" s="367">
        <f>LARGE($CU$2:$CU$151,22)</f>
        <v>210.6</v>
      </c>
      <c r="AB23" s="357">
        <f t="shared" si="10"/>
        <v>-7.1333333333333542</v>
      </c>
      <c r="AC23" s="356">
        <f t="shared" si="0"/>
        <v>50.884444444444739</v>
      </c>
      <c r="AD23" s="356"/>
      <c r="AE23" s="356">
        <f t="shared" si="11"/>
        <v>-0.44583333333333464</v>
      </c>
      <c r="AF23" s="238">
        <f t="shared" si="12"/>
        <v>7</v>
      </c>
      <c r="AG23" s="354"/>
      <c r="AH23" s="363">
        <v>0</v>
      </c>
      <c r="AI23" s="364">
        <f t="shared" ref="AI23:AI31" si="27">IFERROR(AVERAGEIF($AP$68:$AP$99,AH23,$AK$68:$AK$99),AVERAGE(AN71:AN72))</f>
        <v>253.8</v>
      </c>
      <c r="AJ23" s="238">
        <v>2014</v>
      </c>
      <c r="AK23" s="367">
        <f>LARGE($DN$2:$DN$33,22)</f>
        <v>78.400000000000006</v>
      </c>
      <c r="AL23" s="373">
        <f t="shared" si="14"/>
        <v>-74.900000000000006</v>
      </c>
      <c r="AM23" s="374">
        <f t="shared" si="15"/>
        <v>5610.0100000000011</v>
      </c>
      <c r="AN23" s="374"/>
      <c r="AO23" s="374">
        <f t="shared" si="16"/>
        <v>-4.6812500000000004</v>
      </c>
      <c r="AP23" s="238">
        <f t="shared" si="17"/>
        <v>8</v>
      </c>
      <c r="AQ23" s="354"/>
      <c r="AR23" s="238">
        <v>2014</v>
      </c>
      <c r="AS23" s="365" t="s">
        <v>73</v>
      </c>
      <c r="AT23" s="366" t="s">
        <v>138</v>
      </c>
      <c r="AU23" s="366" t="s">
        <v>1</v>
      </c>
      <c r="AV23" s="366">
        <v>2919</v>
      </c>
      <c r="AW23" s="366">
        <v>14</v>
      </c>
      <c r="AX23" s="366">
        <v>12</v>
      </c>
      <c r="AY23" s="366">
        <v>209</v>
      </c>
      <c r="AZ23" s="366">
        <v>1</v>
      </c>
      <c r="BA23" s="366">
        <v>0</v>
      </c>
      <c r="BB23" s="366">
        <v>0</v>
      </c>
      <c r="BC23" s="366">
        <v>0</v>
      </c>
      <c r="BD23" s="366">
        <v>0</v>
      </c>
      <c r="BE23" s="366">
        <v>0</v>
      </c>
      <c r="BF23" s="366">
        <v>0</v>
      </c>
      <c r="BG23" s="366">
        <v>0</v>
      </c>
      <c r="BH23" s="366">
        <v>0</v>
      </c>
      <c r="BI23" s="367">
        <f>IFERROR(AV23/Instructions!$J$25,0)+AW23*Instructions!$J$27+AX23*Instructions!$J$29+IFERROR(AY23/Instructions!$E$34,0)+AZ23*Instructions!$E$36+Tier!BA23*Instructions!$E$25+IFERROR(BB23/Instructions!$E$27,0)+BC23*Instructions!$E$29+IFERROR((BD23+BF23)/Instructions!$J$32,0)+(BE23+BG23)*Instructions!$J$34+BH23*-2</f>
        <v>175.66</v>
      </c>
      <c r="BJ23" s="354"/>
      <c r="BK23" s="366">
        <v>2014</v>
      </c>
      <c r="BL23" s="370" t="s">
        <v>1161</v>
      </c>
      <c r="BM23" s="372" t="s">
        <v>164</v>
      </c>
      <c r="BN23" s="372" t="s">
        <v>3</v>
      </c>
      <c r="BO23" s="372">
        <v>0</v>
      </c>
      <c r="BP23" s="372">
        <v>0</v>
      </c>
      <c r="BQ23" s="372">
        <v>0</v>
      </c>
      <c r="BR23" s="372">
        <v>821</v>
      </c>
      <c r="BS23" s="372">
        <v>6</v>
      </c>
      <c r="BT23" s="372">
        <v>18</v>
      </c>
      <c r="BU23" s="372">
        <v>123</v>
      </c>
      <c r="BV23" s="372">
        <v>1</v>
      </c>
      <c r="BW23" s="372">
        <v>0</v>
      </c>
      <c r="BX23" s="372">
        <v>0</v>
      </c>
      <c r="BY23" s="372">
        <v>0</v>
      </c>
      <c r="BZ23" s="372">
        <v>0</v>
      </c>
      <c r="CA23" s="372">
        <v>1</v>
      </c>
      <c r="CB23" s="367">
        <f>IFERROR(BO23/Instructions!$J$25,0)+BP23*Instructions!$J$27+BQ23*Instructions!$J$29+IFERROR(BR23/Instructions!$E$34,0)+BS23*Instructions!$E$36+Tier!BT24*Instructions!$E$25+IFERROR(BU23/Instructions!$E$27,0)+BV23*Instructions!$E$29+IFERROR((BW23+BY23)/Instructions!$J$32,0)+(BX23+BZ23)*Instructions!$J$34+Tier!CA23*-2</f>
        <v>152.4</v>
      </c>
      <c r="CC23" s="354"/>
      <c r="CD23" s="321">
        <v>2014</v>
      </c>
      <c r="CE23" s="370" t="s">
        <v>1639</v>
      </c>
      <c r="CF23" s="371" t="s">
        <v>162</v>
      </c>
      <c r="CG23" s="371" t="s">
        <v>6</v>
      </c>
      <c r="CH23" s="371">
        <v>0</v>
      </c>
      <c r="CI23" s="371">
        <v>0</v>
      </c>
      <c r="CJ23" s="371">
        <v>0</v>
      </c>
      <c r="CK23" s="371">
        <v>0</v>
      </c>
      <c r="CL23" s="371">
        <v>0</v>
      </c>
      <c r="CM23" s="371">
        <v>79</v>
      </c>
      <c r="CN23" s="371">
        <v>1065</v>
      </c>
      <c r="CO23" s="371">
        <v>6</v>
      </c>
      <c r="CP23" s="371">
        <v>0</v>
      </c>
      <c r="CQ23" s="371">
        <v>0</v>
      </c>
      <c r="CR23" s="371">
        <v>0</v>
      </c>
      <c r="CS23" s="371">
        <v>0</v>
      </c>
      <c r="CT23" s="371">
        <v>0</v>
      </c>
      <c r="CU23" s="367">
        <f>IFERROR(CH23/Instructions!$J$25,0)+CI23*Instructions!$J$27+CJ23*Instructions!$J$29+IFERROR(CK23/Instructions!$E$34,0)+CL23*Instructions!$E$36+Tier!CM23*Instructions!$E$25+IFERROR(CN23/Instructions!$E$27,0)+CO23*Instructions!$E$29+IFERROR((CP23+CR23)/Instructions!$J$32,0)+(CQ23+CS23)*Instructions!$J$34+Tier!CT23*-2</f>
        <v>221.5</v>
      </c>
      <c r="CV23" s="354"/>
      <c r="CW23" s="238">
        <v>2014</v>
      </c>
      <c r="CX23" s="365" t="s">
        <v>1309</v>
      </c>
      <c r="CY23" s="366" t="s">
        <v>1624</v>
      </c>
      <c r="CZ23" s="366" t="s">
        <v>7</v>
      </c>
      <c r="DA23" s="366">
        <v>0</v>
      </c>
      <c r="DB23" s="366">
        <v>0</v>
      </c>
      <c r="DC23" s="366">
        <v>0</v>
      </c>
      <c r="DD23" s="366">
        <v>0</v>
      </c>
      <c r="DE23" s="366">
        <v>0</v>
      </c>
      <c r="DF23" s="366">
        <v>29</v>
      </c>
      <c r="DG23" s="366">
        <v>323</v>
      </c>
      <c r="DH23" s="366">
        <v>3</v>
      </c>
      <c r="DI23" s="366">
        <v>0</v>
      </c>
      <c r="DJ23" s="366">
        <v>0</v>
      </c>
      <c r="DK23" s="366">
        <v>0</v>
      </c>
      <c r="DL23" s="366">
        <v>0</v>
      </c>
      <c r="DM23" s="366">
        <v>0</v>
      </c>
      <c r="DN23" s="367">
        <f>IFERROR(DA23/Instructions!$J$25,0)+DB23*Instructions!$J$27+DC23*Instructions!$J$29+IFERROR(DD23/Instructions!$E$34,0)+DE23*Instructions!$E$36+Tier!DF23*Instructions!$E$25+IFERROR(DG23/Instructions!$E$27,0)+DH23*Instructions!$E$29+IFERROR((DI23+DK23)/Instructions!$J$32,0)+(DJ23+DL23)*Instructions!$J$34+Tier!DM23*-2</f>
        <v>79.3</v>
      </c>
    </row>
    <row r="24" spans="1:118" s="366" customFormat="1" ht="15.75" customHeight="1" x14ac:dyDescent="0.25">
      <c r="A24" s="238">
        <v>8</v>
      </c>
      <c r="B24" s="358">
        <f t="shared" si="24"/>
        <v>145.08000000000001</v>
      </c>
      <c r="C24" s="354"/>
      <c r="D24" s="363">
        <v>1</v>
      </c>
      <c r="E24" s="364">
        <f t="shared" si="25"/>
        <v>343.46</v>
      </c>
      <c r="F24" s="238">
        <v>2014</v>
      </c>
      <c r="G24" s="367">
        <f>LARGE($BI$2:$BI$33,23)</f>
        <v>174.12</v>
      </c>
      <c r="H24" s="355">
        <f t="shared" si="1"/>
        <v>-91.519999999999982</v>
      </c>
      <c r="I24" s="356">
        <f t="shared" si="2"/>
        <v>8375.910399999997</v>
      </c>
      <c r="J24" s="356"/>
      <c r="K24" s="356">
        <f t="shared" si="3"/>
        <v>-5.7199999999999989</v>
      </c>
      <c r="L24" s="238">
        <f t="shared" si="4"/>
        <v>8</v>
      </c>
      <c r="M24" s="354"/>
      <c r="N24" s="363">
        <v>1</v>
      </c>
      <c r="O24" s="364">
        <f t="shared" ref="O24:O30" si="28">IFERROR(AVERAGEIF($V$304:$V$453,N24,$Q$304:$Q$453),AVERAGE(T308:T309))</f>
        <v>247.10000000000002</v>
      </c>
      <c r="P24" s="366">
        <v>2014</v>
      </c>
      <c r="Q24" s="367">
        <f>LARGE($CB$2:$CB$151,23)</f>
        <v>157.30000000000001</v>
      </c>
      <c r="R24" s="357">
        <f t="shared" si="5"/>
        <v>-7.2999999999999829</v>
      </c>
      <c r="S24" s="356">
        <f t="shared" si="6"/>
        <v>53.28999999999975</v>
      </c>
      <c r="T24" s="238"/>
      <c r="U24" s="356">
        <f t="shared" si="7"/>
        <v>-0.45624999999999893</v>
      </c>
      <c r="V24" s="238">
        <f t="shared" si="8"/>
        <v>7</v>
      </c>
      <c r="W24" s="354"/>
      <c r="X24" s="363">
        <v>1</v>
      </c>
      <c r="Y24" s="364">
        <f t="shared" si="26"/>
        <v>302.67500000000001</v>
      </c>
      <c r="Z24" s="321">
        <v>2014</v>
      </c>
      <c r="AA24" s="367">
        <f>LARGE($CU$2:$CU$151,23)</f>
        <v>209.60000000000002</v>
      </c>
      <c r="AB24" s="357">
        <f t="shared" si="10"/>
        <v>-8.1333333333333258</v>
      </c>
      <c r="AC24" s="356">
        <f t="shared" si="0"/>
        <v>66.151111111110993</v>
      </c>
      <c r="AD24" s="356"/>
      <c r="AE24" s="356">
        <f t="shared" si="11"/>
        <v>-0.50833333333333286</v>
      </c>
      <c r="AF24" s="238">
        <f t="shared" si="12"/>
        <v>7</v>
      </c>
      <c r="AG24" s="354"/>
      <c r="AH24" s="363">
        <v>1</v>
      </c>
      <c r="AI24" s="364">
        <f t="shared" si="27"/>
        <v>237.8</v>
      </c>
      <c r="AJ24" s="238">
        <v>2014</v>
      </c>
      <c r="AK24" s="367">
        <f>LARGE($DN$2:$DN$33,23)</f>
        <v>76.2</v>
      </c>
      <c r="AL24" s="373">
        <f t="shared" si="14"/>
        <v>-77.100000000000009</v>
      </c>
      <c r="AM24" s="374">
        <f t="shared" si="15"/>
        <v>5944.4100000000017</v>
      </c>
      <c r="AN24" s="374"/>
      <c r="AO24" s="374">
        <f t="shared" si="16"/>
        <v>-4.8187500000000005</v>
      </c>
      <c r="AP24" s="238">
        <f t="shared" si="17"/>
        <v>8</v>
      </c>
      <c r="AQ24" s="354"/>
      <c r="AR24" s="238">
        <v>2014</v>
      </c>
      <c r="AS24" s="365" t="s">
        <v>1691</v>
      </c>
      <c r="AT24" s="366" t="s">
        <v>156</v>
      </c>
      <c r="AU24" s="366" t="s">
        <v>1</v>
      </c>
      <c r="AV24" s="366">
        <v>3018</v>
      </c>
      <c r="AW24" s="366">
        <v>18</v>
      </c>
      <c r="AX24" s="366">
        <v>10</v>
      </c>
      <c r="AY24" s="366">
        <v>14</v>
      </c>
      <c r="AZ24" s="366">
        <v>1</v>
      </c>
      <c r="BA24" s="366">
        <v>0</v>
      </c>
      <c r="BB24" s="366">
        <v>0</v>
      </c>
      <c r="BC24" s="366">
        <v>0</v>
      </c>
      <c r="BD24" s="366">
        <v>0</v>
      </c>
      <c r="BE24" s="366">
        <v>0</v>
      </c>
      <c r="BF24" s="366">
        <v>0</v>
      </c>
      <c r="BG24" s="366">
        <v>0</v>
      </c>
      <c r="BH24" s="366">
        <v>3</v>
      </c>
      <c r="BI24" s="367">
        <f>IFERROR(AV24/Instructions!$J$25,0)+AW24*Instructions!$J$27+AX24*Instructions!$J$29+IFERROR(AY24/Instructions!$E$34,0)+AZ24*Instructions!$E$36+Tier!BA24*Instructions!$E$25+IFERROR(BB24/Instructions!$E$27,0)+BC24*Instructions!$E$29+IFERROR((BD24+BF24)/Instructions!$J$32,0)+(BE24+BG24)*Instructions!$J$34+BH24*-2</f>
        <v>174.12</v>
      </c>
      <c r="BJ24" s="354"/>
      <c r="BK24" s="366">
        <v>2014</v>
      </c>
      <c r="BL24" s="370" t="s">
        <v>183</v>
      </c>
      <c r="BM24" s="372" t="s">
        <v>154</v>
      </c>
      <c r="BN24" s="372" t="s">
        <v>3</v>
      </c>
      <c r="BO24" s="372">
        <v>0</v>
      </c>
      <c r="BP24" s="372">
        <v>0</v>
      </c>
      <c r="BQ24" s="372">
        <v>0</v>
      </c>
      <c r="BR24" s="372">
        <v>721</v>
      </c>
      <c r="BS24" s="372">
        <v>7</v>
      </c>
      <c r="BT24" s="372">
        <v>18</v>
      </c>
      <c r="BU24" s="372">
        <v>130</v>
      </c>
      <c r="BV24" s="372">
        <v>0</v>
      </c>
      <c r="BW24" s="372">
        <v>0</v>
      </c>
      <c r="BX24" s="372">
        <v>0</v>
      </c>
      <c r="BY24" s="372">
        <v>0</v>
      </c>
      <c r="BZ24" s="372">
        <v>0</v>
      </c>
      <c r="CA24" s="372">
        <v>0</v>
      </c>
      <c r="CB24" s="367">
        <f>IFERROR(BO24/Instructions!$J$25,0)+BP24*Instructions!$J$27+BQ24*Instructions!$J$29+IFERROR(BR24/Instructions!$E$34,0)+BS24*Instructions!$E$36+Tier!BT25*Instructions!$E$25+IFERROR(BU24/Instructions!$E$27,0)+BV24*Instructions!$E$29+IFERROR((BW24+BY24)/Instructions!$J$32,0)+(BX24+BZ24)*Instructions!$J$34+Tier!CA24*-2</f>
        <v>172.1</v>
      </c>
      <c r="CC24" s="354"/>
      <c r="CD24" s="321">
        <v>2014</v>
      </c>
      <c r="CE24" s="370" t="s">
        <v>21</v>
      </c>
      <c r="CF24" s="371" t="s">
        <v>145</v>
      </c>
      <c r="CG24" s="371" t="s">
        <v>6</v>
      </c>
      <c r="CH24" s="371">
        <v>0</v>
      </c>
      <c r="CI24" s="371">
        <v>0</v>
      </c>
      <c r="CJ24" s="371">
        <v>0</v>
      </c>
      <c r="CK24" s="371">
        <v>2</v>
      </c>
      <c r="CL24" s="371">
        <v>0</v>
      </c>
      <c r="CM24" s="371">
        <v>69</v>
      </c>
      <c r="CN24" s="371">
        <v>1041</v>
      </c>
      <c r="CO24" s="371">
        <v>6</v>
      </c>
      <c r="CP24" s="371">
        <v>0</v>
      </c>
      <c r="CQ24" s="371">
        <v>0</v>
      </c>
      <c r="CR24" s="371">
        <v>0</v>
      </c>
      <c r="CS24" s="371">
        <v>0</v>
      </c>
      <c r="CT24" s="371">
        <v>2</v>
      </c>
      <c r="CU24" s="367">
        <f>IFERROR(CH24/Instructions!$J$25,0)+CI24*Instructions!$J$27+CJ24*Instructions!$J$29+IFERROR(CK24/Instructions!$E$34,0)+CL24*Instructions!$E$36+Tier!CM24*Instructions!$E$25+IFERROR(CN24/Instructions!$E$27,0)+CO24*Instructions!$E$29+IFERROR((CP24+CR24)/Instructions!$J$32,0)+(CQ24+CS24)*Instructions!$J$34+Tier!CT24*-2</f>
        <v>205.3</v>
      </c>
      <c r="CV24" s="354"/>
      <c r="CW24" s="238">
        <v>2014</v>
      </c>
      <c r="CX24" s="365" t="s">
        <v>1132</v>
      </c>
      <c r="CY24" s="366" t="s">
        <v>1625</v>
      </c>
      <c r="CZ24" s="366" t="s">
        <v>7</v>
      </c>
      <c r="DA24" s="366">
        <v>0</v>
      </c>
      <c r="DB24" s="366">
        <v>0</v>
      </c>
      <c r="DC24" s="366">
        <v>0</v>
      </c>
      <c r="DD24" s="366">
        <v>0</v>
      </c>
      <c r="DE24" s="366">
        <v>0</v>
      </c>
      <c r="DF24" s="366">
        <v>14</v>
      </c>
      <c r="DG24" s="366">
        <v>176</v>
      </c>
      <c r="DH24" s="366">
        <v>5</v>
      </c>
      <c r="DI24" s="366">
        <v>0</v>
      </c>
      <c r="DJ24" s="366">
        <v>0</v>
      </c>
      <c r="DK24" s="366">
        <v>0</v>
      </c>
      <c r="DL24" s="366">
        <v>0</v>
      </c>
      <c r="DM24" s="366">
        <v>0</v>
      </c>
      <c r="DN24" s="367">
        <f>IFERROR(DA24/Instructions!$J$25,0)+DB24*Instructions!$J$27+DC24*Instructions!$J$29+IFERROR(DD24/Instructions!$E$34,0)+DE24*Instructions!$E$36+Tier!DF24*Instructions!$E$25+IFERROR(DG24/Instructions!$E$27,0)+DH24*Instructions!$E$29+IFERROR((DI24+DK24)/Instructions!$J$32,0)+(DJ24+DL24)*Instructions!$J$34+Tier!DM24*-2</f>
        <v>61.6</v>
      </c>
    </row>
    <row r="25" spans="1:118" s="366" customFormat="1" ht="15.75" customHeight="1" x14ac:dyDescent="0.25">
      <c r="A25" s="238"/>
      <c r="B25" s="238"/>
      <c r="C25" s="354"/>
      <c r="D25" s="363">
        <v>2</v>
      </c>
      <c r="E25" s="364">
        <f t="shared" si="25"/>
        <v>332.32</v>
      </c>
      <c r="F25" s="238">
        <v>2014</v>
      </c>
      <c r="G25" s="367">
        <f>LARGE($BI$2:$BI$33,24)</f>
        <v>166.22</v>
      </c>
      <c r="H25" s="355">
        <f t="shared" si="1"/>
        <v>-99.419999999999987</v>
      </c>
      <c r="I25" s="356">
        <f t="shared" si="2"/>
        <v>9884.3363999999983</v>
      </c>
      <c r="J25" s="356"/>
      <c r="K25" s="356">
        <f t="shared" si="3"/>
        <v>-6.2137499999999992</v>
      </c>
      <c r="L25" s="238">
        <f t="shared" si="4"/>
        <v>8</v>
      </c>
      <c r="M25" s="354"/>
      <c r="N25" s="363">
        <v>2</v>
      </c>
      <c r="O25" s="364">
        <f t="shared" si="28"/>
        <v>237.85000000000002</v>
      </c>
      <c r="P25" s="366">
        <v>2014</v>
      </c>
      <c r="Q25" s="367">
        <f>LARGE($CB$2:$CB$151,24)</f>
        <v>152.4</v>
      </c>
      <c r="R25" s="357">
        <f t="shared" si="5"/>
        <v>-12.199999999999989</v>
      </c>
      <c r="S25" s="356">
        <f t="shared" si="6"/>
        <v>148.83999999999972</v>
      </c>
      <c r="T25" s="238"/>
      <c r="U25" s="356">
        <f t="shared" si="7"/>
        <v>-0.76249999999999929</v>
      </c>
      <c r="V25" s="238">
        <f t="shared" si="8"/>
        <v>7</v>
      </c>
      <c r="W25" s="354"/>
      <c r="X25" s="363">
        <v>2</v>
      </c>
      <c r="Y25" s="364">
        <f t="shared" si="26"/>
        <v>283.70000000000005</v>
      </c>
      <c r="Z25" s="321">
        <v>2014</v>
      </c>
      <c r="AA25" s="367">
        <f>LARGE($CU$2:$CU$151,24)</f>
        <v>205.3</v>
      </c>
      <c r="AB25" s="357">
        <f t="shared" si="10"/>
        <v>-12.433333333333337</v>
      </c>
      <c r="AC25" s="356">
        <f t="shared" si="0"/>
        <v>154.58777777777786</v>
      </c>
      <c r="AD25" s="356"/>
      <c r="AE25" s="356">
        <f t="shared" si="11"/>
        <v>-0.77708333333333357</v>
      </c>
      <c r="AF25" s="238">
        <f t="shared" si="12"/>
        <v>7</v>
      </c>
      <c r="AG25" s="354"/>
      <c r="AH25" s="363">
        <v>2</v>
      </c>
      <c r="AI25" s="364">
        <f t="shared" si="27"/>
        <v>221</v>
      </c>
      <c r="AJ25" s="238">
        <v>2014</v>
      </c>
      <c r="AK25" s="367">
        <f>LARGE($DN$2:$DN$33,24)</f>
        <v>74</v>
      </c>
      <c r="AL25" s="373">
        <f t="shared" si="14"/>
        <v>-79.300000000000011</v>
      </c>
      <c r="AM25" s="374">
        <f t="shared" si="15"/>
        <v>6288.4900000000016</v>
      </c>
      <c r="AN25" s="374"/>
      <c r="AO25" s="374">
        <f t="shared" si="16"/>
        <v>-4.9562500000000007</v>
      </c>
      <c r="AP25" s="238">
        <f t="shared" si="17"/>
        <v>8</v>
      </c>
      <c r="AQ25" s="354"/>
      <c r="AR25" s="238">
        <v>2014</v>
      </c>
      <c r="AS25" s="365" t="s">
        <v>174</v>
      </c>
      <c r="AT25" s="366" t="s">
        <v>1613</v>
      </c>
      <c r="AU25" s="366" t="s">
        <v>1</v>
      </c>
      <c r="AV25" s="366">
        <v>2908</v>
      </c>
      <c r="AW25" s="366">
        <v>11</v>
      </c>
      <c r="AX25" s="366">
        <v>17</v>
      </c>
      <c r="AY25" s="366">
        <v>419</v>
      </c>
      <c r="AZ25" s="366">
        <v>0</v>
      </c>
      <c r="BA25" s="366">
        <v>0</v>
      </c>
      <c r="BB25" s="366">
        <v>0</v>
      </c>
      <c r="BC25" s="366">
        <v>0</v>
      </c>
      <c r="BD25" s="366">
        <v>0</v>
      </c>
      <c r="BE25" s="366">
        <v>0</v>
      </c>
      <c r="BF25" s="366">
        <v>0</v>
      </c>
      <c r="BG25" s="366">
        <v>0</v>
      </c>
      <c r="BH25" s="366">
        <v>1</v>
      </c>
      <c r="BI25" s="367">
        <f>IFERROR(AV25/Instructions!$J$25,0)+AW25*Instructions!$J$27+AX25*Instructions!$J$29+IFERROR(AY25/Instructions!$E$34,0)+AZ25*Instructions!$E$36+Tier!BA25*Instructions!$E$25+IFERROR(BB25/Instructions!$E$27,0)+BC25*Instructions!$E$29+IFERROR((BD25+BF25)/Instructions!$J$32,0)+(BE25+BG25)*Instructions!$J$34+BH25*-2</f>
        <v>166.22</v>
      </c>
      <c r="BJ25" s="354"/>
      <c r="BK25" s="366">
        <v>2014</v>
      </c>
      <c r="BL25" s="370" t="s">
        <v>985</v>
      </c>
      <c r="BM25" s="372" t="s">
        <v>150</v>
      </c>
      <c r="BN25" s="372" t="s">
        <v>3</v>
      </c>
      <c r="BO25" s="372">
        <v>0</v>
      </c>
      <c r="BP25" s="372">
        <v>0</v>
      </c>
      <c r="BQ25" s="372">
        <v>0</v>
      </c>
      <c r="BR25" s="372">
        <v>246</v>
      </c>
      <c r="BS25" s="372">
        <v>3</v>
      </c>
      <c r="BT25" s="372">
        <v>45</v>
      </c>
      <c r="BU25" s="372">
        <v>352</v>
      </c>
      <c r="BV25" s="372">
        <v>1</v>
      </c>
      <c r="BW25" s="372">
        <v>0</v>
      </c>
      <c r="BX25" s="372">
        <v>0</v>
      </c>
      <c r="BY25" s="372">
        <v>963</v>
      </c>
      <c r="BZ25" s="372">
        <v>0</v>
      </c>
      <c r="CA25" s="372">
        <v>1</v>
      </c>
      <c r="CB25" s="367">
        <f>IFERROR(BO25/Instructions!$J$25,0)+BP25*Instructions!$J$27+BQ25*Instructions!$J$29+IFERROR(BR25/Instructions!$E$34,0)+BS25*Instructions!$E$36+Tier!BT26*Instructions!$E$25+IFERROR(BU25/Instructions!$E$27,0)+BV25*Instructions!$E$29+IFERROR((BW25+BY25)/Instructions!$J$32,0)+(BX25+BZ25)*Instructions!$J$34+Tier!CA25*-2</f>
        <v>106.8</v>
      </c>
      <c r="CC25" s="354"/>
      <c r="CD25" s="321">
        <v>2014</v>
      </c>
      <c r="CE25" s="370" t="s">
        <v>132</v>
      </c>
      <c r="CF25" s="371" t="s">
        <v>1628</v>
      </c>
      <c r="CG25" s="371" t="s">
        <v>6</v>
      </c>
      <c r="CH25" s="371">
        <v>0</v>
      </c>
      <c r="CI25" s="371">
        <v>0</v>
      </c>
      <c r="CJ25" s="371">
        <v>0</v>
      </c>
      <c r="CK25" s="371">
        <v>13</v>
      </c>
      <c r="CL25" s="371">
        <v>0</v>
      </c>
      <c r="CM25" s="371">
        <v>74</v>
      </c>
      <c r="CN25" s="371">
        <v>953</v>
      </c>
      <c r="CO25" s="371">
        <v>7</v>
      </c>
      <c r="CP25" s="371">
        <v>0</v>
      </c>
      <c r="CQ25" s="371">
        <v>0</v>
      </c>
      <c r="CR25" s="371">
        <v>0</v>
      </c>
      <c r="CS25" s="371">
        <v>0</v>
      </c>
      <c r="CT25" s="371">
        <v>1</v>
      </c>
      <c r="CU25" s="367">
        <f>IFERROR(CH25/Instructions!$J$25,0)+CI25*Instructions!$J$27+CJ25*Instructions!$J$29+IFERROR(CK25/Instructions!$E$34,0)+CL25*Instructions!$E$36+Tier!CM25*Instructions!$E$25+IFERROR(CN25/Instructions!$E$27,0)+CO25*Instructions!$E$29+IFERROR((CP25+CR25)/Instructions!$J$32,0)+(CQ25+CS25)*Instructions!$J$34+Tier!CT25*-2</f>
        <v>210.6</v>
      </c>
      <c r="CV25" s="354"/>
      <c r="CW25" s="238">
        <v>2014</v>
      </c>
      <c r="CX25" s="365" t="s">
        <v>231</v>
      </c>
      <c r="CY25" s="366" t="s">
        <v>1629</v>
      </c>
      <c r="CZ25" s="366" t="s">
        <v>7</v>
      </c>
      <c r="DA25" s="366">
        <v>0</v>
      </c>
      <c r="DB25" s="366">
        <v>0</v>
      </c>
      <c r="DC25" s="366">
        <v>0</v>
      </c>
      <c r="DD25" s="366">
        <v>0</v>
      </c>
      <c r="DE25" s="366">
        <v>0</v>
      </c>
      <c r="DF25" s="366">
        <v>25</v>
      </c>
      <c r="DG25" s="366">
        <v>226</v>
      </c>
      <c r="DH25" s="366">
        <v>4</v>
      </c>
      <c r="DI25" s="366">
        <v>0</v>
      </c>
      <c r="DJ25" s="366">
        <v>0</v>
      </c>
      <c r="DK25" s="366">
        <v>0</v>
      </c>
      <c r="DL25" s="366">
        <v>0</v>
      </c>
      <c r="DM25" s="366">
        <v>0</v>
      </c>
      <c r="DN25" s="367">
        <f>IFERROR(DA25/Instructions!$J$25,0)+DB25*Instructions!$J$27+DC25*Instructions!$J$29+IFERROR(DD25/Instructions!$E$34,0)+DE25*Instructions!$E$36+Tier!DF25*Instructions!$E$25+IFERROR(DG25/Instructions!$E$27,0)+DH25*Instructions!$E$29+IFERROR((DI25+DK25)/Instructions!$J$32,0)+(DJ25+DL25)*Instructions!$J$34+Tier!DM25*-2</f>
        <v>71.599999999999994</v>
      </c>
    </row>
    <row r="26" spans="1:118" s="366" customFormat="1" ht="15.75" customHeight="1" x14ac:dyDescent="0.25">
      <c r="A26" s="353" t="s">
        <v>6</v>
      </c>
      <c r="B26" s="353">
        <v>8</v>
      </c>
      <c r="C26" s="354"/>
      <c r="D26" s="363">
        <v>3</v>
      </c>
      <c r="E26" s="364">
        <f t="shared" si="25"/>
        <v>315.94</v>
      </c>
      <c r="F26" s="238">
        <v>2014</v>
      </c>
      <c r="G26" s="367">
        <f>LARGE($BI$2:$BI$33,25)</f>
        <v>156.94</v>
      </c>
      <c r="H26" s="355">
        <f t="shared" si="1"/>
        <v>-108.69999999999999</v>
      </c>
      <c r="I26" s="356">
        <f t="shared" si="2"/>
        <v>11815.689999999997</v>
      </c>
      <c r="J26" s="356"/>
      <c r="K26" s="356">
        <f t="shared" si="3"/>
        <v>-6.7937499999999993</v>
      </c>
      <c r="L26" s="238">
        <f t="shared" si="4"/>
        <v>8</v>
      </c>
      <c r="M26" s="354"/>
      <c r="N26" s="363">
        <v>3</v>
      </c>
      <c r="O26" s="364">
        <f t="shared" si="28"/>
        <v>222.75</v>
      </c>
      <c r="P26" s="366">
        <v>2014</v>
      </c>
      <c r="Q26" s="367">
        <f>LARGE($CB$2:$CB$151,25)</f>
        <v>149.80000000000001</v>
      </c>
      <c r="R26" s="357">
        <f t="shared" si="5"/>
        <v>-14.799999999999983</v>
      </c>
      <c r="S26" s="356">
        <f t="shared" si="6"/>
        <v>219.03999999999951</v>
      </c>
      <c r="T26" s="238"/>
      <c r="U26" s="356">
        <f t="shared" si="7"/>
        <v>-0.92499999999999893</v>
      </c>
      <c r="V26" s="238">
        <f t="shared" si="8"/>
        <v>7</v>
      </c>
      <c r="W26" s="354"/>
      <c r="X26" s="363">
        <v>3</v>
      </c>
      <c r="Y26" s="364">
        <f t="shared" si="26"/>
        <v>265.85000000000002</v>
      </c>
      <c r="Z26" s="321">
        <v>2014</v>
      </c>
      <c r="AA26" s="367">
        <f>LARGE($CU$2:$CU$151,25)</f>
        <v>202.2</v>
      </c>
      <c r="AB26" s="357">
        <f t="shared" si="10"/>
        <v>-15.53333333333336</v>
      </c>
      <c r="AC26" s="356">
        <f t="shared" si="0"/>
        <v>241.28444444444526</v>
      </c>
      <c r="AD26" s="356"/>
      <c r="AE26" s="356">
        <f t="shared" si="11"/>
        <v>-0.97083333333333499</v>
      </c>
      <c r="AF26" s="238">
        <f t="shared" si="12"/>
        <v>7</v>
      </c>
      <c r="AG26" s="354"/>
      <c r="AH26" s="363">
        <v>3</v>
      </c>
      <c r="AI26" s="364">
        <f t="shared" si="27"/>
        <v>207.15</v>
      </c>
      <c r="AJ26" s="238">
        <v>2014</v>
      </c>
      <c r="AK26" s="367">
        <f>LARGE($DN$2:$DN$33,25)</f>
        <v>71.599999999999994</v>
      </c>
      <c r="AL26" s="373">
        <f t="shared" si="14"/>
        <v>-81.700000000000017</v>
      </c>
      <c r="AM26" s="374">
        <f t="shared" si="15"/>
        <v>6674.8900000000031</v>
      </c>
      <c r="AN26" s="374"/>
      <c r="AO26" s="374">
        <f t="shared" si="16"/>
        <v>-5.1062500000000011</v>
      </c>
      <c r="AP26" s="238">
        <f t="shared" si="17"/>
        <v>8</v>
      </c>
      <c r="AQ26" s="354"/>
      <c r="AR26" s="238">
        <v>2014</v>
      </c>
      <c r="AS26" s="365" t="s">
        <v>175</v>
      </c>
      <c r="AT26" s="366" t="s">
        <v>161</v>
      </c>
      <c r="AU26" s="366" t="s">
        <v>1</v>
      </c>
      <c r="AV26" s="366">
        <v>3326</v>
      </c>
      <c r="AW26" s="366">
        <v>12</v>
      </c>
      <c r="AX26" s="366">
        <v>13</v>
      </c>
      <c r="AY26" s="366">
        <v>39</v>
      </c>
      <c r="AZ26" s="366">
        <v>0</v>
      </c>
      <c r="BA26" s="366">
        <v>0</v>
      </c>
      <c r="BB26" s="366">
        <v>0</v>
      </c>
      <c r="BC26" s="366">
        <v>0</v>
      </c>
      <c r="BD26" s="366">
        <v>0</v>
      </c>
      <c r="BE26" s="366">
        <v>0</v>
      </c>
      <c r="BF26" s="366">
        <v>0</v>
      </c>
      <c r="BG26" s="366">
        <v>0</v>
      </c>
      <c r="BH26" s="366">
        <v>1</v>
      </c>
      <c r="BI26" s="367">
        <f>IFERROR(AV26/Instructions!$J$25,0)+AW26*Instructions!$J$27+AX26*Instructions!$J$29+IFERROR(AY26/Instructions!$E$34,0)+AZ26*Instructions!$E$36+Tier!BA26*Instructions!$E$25+IFERROR(BB26/Instructions!$E$27,0)+BC26*Instructions!$E$29+IFERROR((BD26+BF26)/Instructions!$J$32,0)+(BE26+BG26)*Instructions!$J$34+BH26*-2</f>
        <v>156.94</v>
      </c>
      <c r="BJ26" s="354"/>
      <c r="BK26" s="366">
        <v>2014</v>
      </c>
      <c r="BL26" s="370" t="s">
        <v>120</v>
      </c>
      <c r="BM26" s="372" t="s">
        <v>159</v>
      </c>
      <c r="BN26" s="372" t="s">
        <v>3</v>
      </c>
      <c r="BO26" s="372">
        <v>0</v>
      </c>
      <c r="BP26" s="372">
        <v>0</v>
      </c>
      <c r="BQ26" s="372">
        <v>0</v>
      </c>
      <c r="BR26" s="372">
        <v>809</v>
      </c>
      <c r="BS26" s="372">
        <v>3</v>
      </c>
      <c r="BT26" s="372">
        <v>25</v>
      </c>
      <c r="BU26" s="372">
        <v>181</v>
      </c>
      <c r="BV26" s="372">
        <v>1</v>
      </c>
      <c r="BW26" s="372">
        <v>0</v>
      </c>
      <c r="BX26" s="372">
        <v>0</v>
      </c>
      <c r="BY26" s="372">
        <v>0</v>
      </c>
      <c r="BZ26" s="372">
        <v>0</v>
      </c>
      <c r="CA26" s="372">
        <v>1</v>
      </c>
      <c r="CB26" s="367">
        <f>IFERROR(BO26/Instructions!$J$25,0)+BP26*Instructions!$J$27+BQ26*Instructions!$J$29+IFERROR(BR26/Instructions!$E$34,0)+BS26*Instructions!$E$36+Tier!BT27*Instructions!$E$25+IFERROR(BU26/Instructions!$E$27,0)+BV26*Instructions!$E$29+IFERROR((BW26+BY26)/Instructions!$J$32,0)+(BX26+BZ26)*Instructions!$J$34+Tier!CA26*-2</f>
        <v>137</v>
      </c>
      <c r="CC26" s="354"/>
      <c r="CD26" s="321">
        <v>2014</v>
      </c>
      <c r="CE26" s="370" t="s">
        <v>99</v>
      </c>
      <c r="CF26" s="371" t="s">
        <v>1630</v>
      </c>
      <c r="CG26" s="371" t="s">
        <v>6</v>
      </c>
      <c r="CH26" s="371">
        <v>0</v>
      </c>
      <c r="CI26" s="371">
        <v>0</v>
      </c>
      <c r="CJ26" s="371">
        <v>0</v>
      </c>
      <c r="CK26" s="371">
        <v>4</v>
      </c>
      <c r="CL26" s="371">
        <v>0</v>
      </c>
      <c r="CM26" s="371">
        <v>83</v>
      </c>
      <c r="CN26" s="371">
        <v>1062</v>
      </c>
      <c r="CO26" s="371">
        <v>5</v>
      </c>
      <c r="CP26" s="371">
        <v>0</v>
      </c>
      <c r="CQ26" s="371">
        <v>0</v>
      </c>
      <c r="CR26" s="371">
        <v>0</v>
      </c>
      <c r="CS26" s="371">
        <v>0</v>
      </c>
      <c r="CT26" s="371">
        <v>0</v>
      </c>
      <c r="CU26" s="367">
        <f>IFERROR(CH26/Instructions!$J$25,0)+CI26*Instructions!$J$27+CJ26*Instructions!$J$29+IFERROR(CK26/Instructions!$E$34,0)+CL26*Instructions!$E$36+Tier!CM26*Instructions!$E$25+IFERROR(CN26/Instructions!$E$27,0)+CO26*Instructions!$E$29+IFERROR((CP26+CR26)/Instructions!$J$32,0)+(CQ26+CS26)*Instructions!$J$34+Tier!CT26*-2</f>
        <v>219.60000000000002</v>
      </c>
      <c r="CV26" s="354"/>
      <c r="CW26" s="238">
        <v>2014</v>
      </c>
      <c r="CX26" s="368" t="s">
        <v>37</v>
      </c>
      <c r="CY26" s="369" t="s">
        <v>152</v>
      </c>
      <c r="CZ26" s="369" t="s">
        <v>7</v>
      </c>
      <c r="DA26" s="369">
        <v>0</v>
      </c>
      <c r="DB26" s="369">
        <v>0</v>
      </c>
      <c r="DC26" s="369">
        <v>0</v>
      </c>
      <c r="DD26" s="369">
        <v>0</v>
      </c>
      <c r="DE26" s="369">
        <v>0</v>
      </c>
      <c r="DF26" s="366">
        <v>50</v>
      </c>
      <c r="DG26" s="366">
        <v>465</v>
      </c>
      <c r="DH26" s="366">
        <v>0</v>
      </c>
      <c r="DI26" s="366">
        <v>0</v>
      </c>
      <c r="DJ26" s="366">
        <v>0</v>
      </c>
      <c r="DK26" s="366">
        <v>0</v>
      </c>
      <c r="DL26" s="366">
        <v>0</v>
      </c>
      <c r="DM26" s="366">
        <v>1</v>
      </c>
      <c r="DN26" s="367">
        <f>IFERROR(DA26/Instructions!$J$25,0)+DB26*Instructions!$J$27+DC26*Instructions!$J$29+IFERROR(DD26/Instructions!$E$34,0)+DE26*Instructions!$E$36+Tier!DF26*Instructions!$E$25+IFERROR(DG26/Instructions!$E$27,0)+DH26*Instructions!$E$29+IFERROR((DI26+DK26)/Instructions!$J$32,0)+(DJ26+DL26)*Instructions!$J$34+Tier!DM26*-2</f>
        <v>94.5</v>
      </c>
    </row>
    <row r="27" spans="1:118" s="366" customFormat="1" ht="15.75" customHeight="1" x14ac:dyDescent="0.25">
      <c r="A27" s="353" t="s">
        <v>1081</v>
      </c>
      <c r="B27" s="353"/>
      <c r="C27" s="354"/>
      <c r="D27" s="363">
        <v>4</v>
      </c>
      <c r="E27" s="364">
        <f t="shared" si="25"/>
        <v>301.99</v>
      </c>
      <c r="F27" s="238">
        <v>2014</v>
      </c>
      <c r="G27" s="367">
        <f>LARGE($BI$2:$BI$33,26)</f>
        <v>150.80000000000001</v>
      </c>
      <c r="H27" s="355">
        <f t="shared" si="1"/>
        <v>-114.83999999999997</v>
      </c>
      <c r="I27" s="356">
        <f t="shared" si="2"/>
        <v>13188.225599999994</v>
      </c>
      <c r="J27" s="356"/>
      <c r="K27" s="356">
        <f t="shared" si="3"/>
        <v>-7.1774999999999984</v>
      </c>
      <c r="L27" s="238">
        <f t="shared" si="4"/>
        <v>8</v>
      </c>
      <c r="M27" s="354"/>
      <c r="N27" s="363">
        <v>4</v>
      </c>
      <c r="O27" s="364">
        <f t="shared" si="28"/>
        <v>203.14000000000004</v>
      </c>
      <c r="P27" s="366">
        <v>2014</v>
      </c>
      <c r="Q27" s="367">
        <f>LARGE($CB$2:$CB$151,26)</f>
        <v>149.5</v>
      </c>
      <c r="R27" s="357">
        <f t="shared" si="5"/>
        <v>-15.099999999999994</v>
      </c>
      <c r="S27" s="356">
        <f t="shared" si="6"/>
        <v>228.00999999999982</v>
      </c>
      <c r="T27" s="238"/>
      <c r="U27" s="356">
        <f t="shared" si="7"/>
        <v>-0.94374999999999964</v>
      </c>
      <c r="V27" s="238">
        <f t="shared" si="8"/>
        <v>7</v>
      </c>
      <c r="W27" s="354"/>
      <c r="X27" s="363">
        <v>4</v>
      </c>
      <c r="Y27" s="364">
        <f t="shared" si="26"/>
        <v>248.82</v>
      </c>
      <c r="Z27" s="321">
        <v>2014</v>
      </c>
      <c r="AA27" s="367">
        <f>LARGE($CU$2:$CU$151,26)</f>
        <v>200.2</v>
      </c>
      <c r="AB27" s="357">
        <f t="shared" si="10"/>
        <v>-17.53333333333336</v>
      </c>
      <c r="AC27" s="356">
        <f t="shared" si="0"/>
        <v>307.41777777777872</v>
      </c>
      <c r="AD27" s="356"/>
      <c r="AE27" s="356">
        <f t="shared" si="11"/>
        <v>-1.095833333333335</v>
      </c>
      <c r="AF27" s="238">
        <f t="shared" si="12"/>
        <v>8</v>
      </c>
      <c r="AG27" s="354"/>
      <c r="AH27" s="363">
        <v>4</v>
      </c>
      <c r="AI27" s="364">
        <f t="shared" si="27"/>
        <v>188.33333333333334</v>
      </c>
      <c r="AJ27" s="238">
        <v>2014</v>
      </c>
      <c r="AK27" s="367">
        <f>LARGE($DN$2:$DN$33,26)</f>
        <v>70</v>
      </c>
      <c r="AL27" s="373">
        <f t="shared" si="14"/>
        <v>-83.300000000000011</v>
      </c>
      <c r="AM27" s="374">
        <f t="shared" si="15"/>
        <v>6938.8900000000021</v>
      </c>
      <c r="AN27" s="374"/>
      <c r="AO27" s="374">
        <f t="shared" si="16"/>
        <v>-5.2062500000000007</v>
      </c>
      <c r="AP27" s="238">
        <f t="shared" si="17"/>
        <v>8</v>
      </c>
      <c r="AQ27" s="354"/>
      <c r="AR27" s="238">
        <v>2014</v>
      </c>
      <c r="AS27" s="365" t="s">
        <v>173</v>
      </c>
      <c r="AT27" s="366" t="s">
        <v>164</v>
      </c>
      <c r="AU27" s="366" t="s">
        <v>1</v>
      </c>
      <c r="AV27" s="366">
        <v>2525</v>
      </c>
      <c r="AW27" s="366">
        <v>13</v>
      </c>
      <c r="AX27" s="366">
        <v>13</v>
      </c>
      <c r="AY27" s="366">
        <v>238</v>
      </c>
      <c r="AZ27" s="366">
        <v>1</v>
      </c>
      <c r="BA27" s="366">
        <v>0</v>
      </c>
      <c r="BB27" s="366">
        <v>0</v>
      </c>
      <c r="BC27" s="366">
        <v>0</v>
      </c>
      <c r="BD27" s="366">
        <v>0</v>
      </c>
      <c r="BE27" s="366">
        <v>0</v>
      </c>
      <c r="BF27" s="366">
        <v>0</v>
      </c>
      <c r="BG27" s="366">
        <v>0</v>
      </c>
      <c r="BH27" s="366">
        <v>3</v>
      </c>
      <c r="BI27" s="367">
        <f>IFERROR(AV27/Instructions!$J$25,0)+AW27*Instructions!$J$27+AX27*Instructions!$J$29+IFERROR(AY27/Instructions!$E$34,0)+AZ27*Instructions!$E$36+Tier!BA27*Instructions!$E$25+IFERROR(BB27/Instructions!$E$27,0)+BC27*Instructions!$E$29+IFERROR((BD27+BF27)/Instructions!$J$32,0)+(BE27+BG27)*Instructions!$J$34+BH27*-2</f>
        <v>150.80000000000001</v>
      </c>
      <c r="BJ27" s="354"/>
      <c r="BK27" s="366">
        <v>2014</v>
      </c>
      <c r="BL27" s="370" t="s">
        <v>1650</v>
      </c>
      <c r="BM27" s="372" t="s">
        <v>150</v>
      </c>
      <c r="BN27" s="372" t="s">
        <v>3</v>
      </c>
      <c r="BO27" s="372">
        <v>0</v>
      </c>
      <c r="BP27" s="372">
        <v>0</v>
      </c>
      <c r="BQ27" s="372">
        <v>0</v>
      </c>
      <c r="BR27" s="372">
        <v>765</v>
      </c>
      <c r="BS27" s="372">
        <v>4</v>
      </c>
      <c r="BT27" s="372">
        <v>16</v>
      </c>
      <c r="BU27" s="372">
        <v>148</v>
      </c>
      <c r="BV27" s="372">
        <v>1</v>
      </c>
      <c r="BW27" s="372">
        <v>0</v>
      </c>
      <c r="BX27" s="372">
        <v>0</v>
      </c>
      <c r="BY27" s="372">
        <v>0</v>
      </c>
      <c r="BZ27" s="372">
        <v>0</v>
      </c>
      <c r="CA27" s="372">
        <v>1</v>
      </c>
      <c r="CB27" s="367">
        <f>IFERROR(BO27/Instructions!$J$25,0)+BP27*Instructions!$J$27+BQ27*Instructions!$J$29+IFERROR(BR27/Instructions!$E$34,0)+BS27*Instructions!$E$36+Tier!BT28*Instructions!$E$25+IFERROR(BU27/Instructions!$E$27,0)+BV27*Instructions!$E$29+IFERROR((BW27+BY27)/Instructions!$J$32,0)+(BX27+BZ27)*Instructions!$J$34+Tier!CA27*-2</f>
        <v>157.30000000000001</v>
      </c>
      <c r="CC27" s="354"/>
      <c r="CD27" s="321">
        <v>2014</v>
      </c>
      <c r="CE27" s="370" t="s">
        <v>124</v>
      </c>
      <c r="CF27" s="371" t="s">
        <v>137</v>
      </c>
      <c r="CG27" s="371" t="s">
        <v>6</v>
      </c>
      <c r="CH27" s="371">
        <v>0</v>
      </c>
      <c r="CI27" s="371">
        <v>0</v>
      </c>
      <c r="CJ27" s="371">
        <v>0</v>
      </c>
      <c r="CK27" s="371">
        <v>0</v>
      </c>
      <c r="CL27" s="371">
        <v>0</v>
      </c>
      <c r="CM27" s="371">
        <v>67</v>
      </c>
      <c r="CN27" s="371">
        <v>872</v>
      </c>
      <c r="CO27" s="371">
        <v>8</v>
      </c>
      <c r="CP27" s="371">
        <v>0</v>
      </c>
      <c r="CQ27" s="371">
        <v>0</v>
      </c>
      <c r="CR27" s="371">
        <v>0</v>
      </c>
      <c r="CS27" s="371">
        <v>0</v>
      </c>
      <c r="CT27" s="371">
        <v>0</v>
      </c>
      <c r="CU27" s="367">
        <f>IFERROR(CH27/Instructions!$J$25,0)+CI27*Instructions!$J$27+CJ27*Instructions!$J$29+IFERROR(CK27/Instructions!$E$34,0)+CL27*Instructions!$E$36+Tier!CM27*Instructions!$E$25+IFERROR(CN27/Instructions!$E$27,0)+CO27*Instructions!$E$29+IFERROR((CP27+CR27)/Instructions!$J$32,0)+(CQ27+CS27)*Instructions!$J$34+Tier!CT27*-2</f>
        <v>202.2</v>
      </c>
      <c r="CV27" s="354"/>
      <c r="CW27" s="238">
        <v>2014</v>
      </c>
      <c r="CX27" s="368" t="s">
        <v>1252</v>
      </c>
      <c r="CY27" s="369" t="s">
        <v>154</v>
      </c>
      <c r="CZ27" s="369" t="s">
        <v>7</v>
      </c>
      <c r="DA27" s="369">
        <v>0</v>
      </c>
      <c r="DB27" s="369">
        <v>0</v>
      </c>
      <c r="DC27" s="369">
        <v>0</v>
      </c>
      <c r="DD27" s="369">
        <v>0</v>
      </c>
      <c r="DE27" s="369">
        <v>0</v>
      </c>
      <c r="DF27" s="366">
        <v>16</v>
      </c>
      <c r="DG27" s="366">
        <v>188</v>
      </c>
      <c r="DH27" s="366">
        <v>4</v>
      </c>
      <c r="DI27" s="366">
        <v>0</v>
      </c>
      <c r="DJ27" s="366">
        <v>0</v>
      </c>
      <c r="DK27" s="366">
        <v>0</v>
      </c>
      <c r="DL27" s="366">
        <v>0</v>
      </c>
      <c r="DM27" s="366">
        <v>1</v>
      </c>
      <c r="DN27" s="367">
        <f>IFERROR(DA27/Instructions!$J$25,0)+DB27*Instructions!$J$27+DC27*Instructions!$J$29+IFERROR(DD27/Instructions!$E$34,0)+DE27*Instructions!$E$36+Tier!DF27*Instructions!$E$25+IFERROR(DG27/Instructions!$E$27,0)+DH27*Instructions!$E$29+IFERROR((DI27+DK27)/Instructions!$J$32,0)+(DJ27+DL27)*Instructions!$J$34+Tier!DM27*-2</f>
        <v>56.8</v>
      </c>
    </row>
    <row r="28" spans="1:118" s="366" customFormat="1" ht="15.75" customHeight="1" x14ac:dyDescent="0.25">
      <c r="A28" s="353">
        <v>0</v>
      </c>
      <c r="B28" s="358">
        <f t="shared" ref="B28:B36" si="29">Y53</f>
        <v>321.54233333333337</v>
      </c>
      <c r="C28" s="354"/>
      <c r="D28" s="363">
        <v>5</v>
      </c>
      <c r="E28" s="364">
        <f t="shared" si="25"/>
        <v>282.33000000000004</v>
      </c>
      <c r="F28" s="238">
        <v>2014</v>
      </c>
      <c r="G28" s="367">
        <f>LARGE($BI$2:$BI$33,27)</f>
        <v>139.41999999999999</v>
      </c>
      <c r="H28" s="355">
        <f t="shared" si="1"/>
        <v>-126.22</v>
      </c>
      <c r="I28" s="356">
        <f t="shared" si="2"/>
        <v>15931.4884</v>
      </c>
      <c r="J28" s="356"/>
      <c r="K28" s="356">
        <f t="shared" si="3"/>
        <v>-7.8887499999999999</v>
      </c>
      <c r="L28" s="238">
        <f t="shared" si="4"/>
        <v>8</v>
      </c>
      <c r="M28" s="354"/>
      <c r="N28" s="363">
        <v>5</v>
      </c>
      <c r="O28" s="364">
        <f t="shared" si="28"/>
        <v>188.5</v>
      </c>
      <c r="P28" s="366">
        <v>2014</v>
      </c>
      <c r="Q28" s="367">
        <f>LARGE($CB$2:$CB$151,27)</f>
        <v>145</v>
      </c>
      <c r="R28" s="357">
        <f t="shared" si="5"/>
        <v>-19.599999999999994</v>
      </c>
      <c r="S28" s="356">
        <f t="shared" si="6"/>
        <v>384.1599999999998</v>
      </c>
      <c r="T28" s="238"/>
      <c r="U28" s="356">
        <f t="shared" si="7"/>
        <v>-1.2249999999999996</v>
      </c>
      <c r="V28" s="238">
        <f t="shared" si="8"/>
        <v>8</v>
      </c>
      <c r="W28" s="354"/>
      <c r="X28" s="363">
        <v>5</v>
      </c>
      <c r="Y28" s="364">
        <f t="shared" si="26"/>
        <v>231.8</v>
      </c>
      <c r="Z28" s="321">
        <v>2014</v>
      </c>
      <c r="AA28" s="367">
        <f>LARGE($CU$2:$CU$151,27)</f>
        <v>198</v>
      </c>
      <c r="AB28" s="357">
        <f t="shared" si="10"/>
        <v>-19.733333333333348</v>
      </c>
      <c r="AC28" s="356">
        <f t="shared" si="0"/>
        <v>389.40444444444506</v>
      </c>
      <c r="AD28" s="356"/>
      <c r="AE28" s="356">
        <f t="shared" si="11"/>
        <v>-1.2333333333333343</v>
      </c>
      <c r="AF28" s="238">
        <f t="shared" si="12"/>
        <v>8</v>
      </c>
      <c r="AG28" s="354"/>
      <c r="AH28" s="363">
        <v>5</v>
      </c>
      <c r="AI28" s="364">
        <f t="shared" si="27"/>
        <v>170.15</v>
      </c>
      <c r="AJ28" s="238">
        <v>2014</v>
      </c>
      <c r="AK28" s="367">
        <f>LARGE($DN$2:$DN$33,27)</f>
        <v>65.7</v>
      </c>
      <c r="AL28" s="373">
        <f t="shared" si="14"/>
        <v>-87.600000000000009</v>
      </c>
      <c r="AM28" s="374">
        <f t="shared" si="15"/>
        <v>7673.7600000000011</v>
      </c>
      <c r="AN28" s="374"/>
      <c r="AO28" s="374">
        <f t="shared" si="16"/>
        <v>-5.4750000000000005</v>
      </c>
      <c r="AP28" s="238">
        <f t="shared" si="17"/>
        <v>8</v>
      </c>
      <c r="AQ28" s="354"/>
      <c r="AR28" s="238">
        <v>2014</v>
      </c>
      <c r="AS28" s="365" t="s">
        <v>178</v>
      </c>
      <c r="AT28" s="366" t="s">
        <v>137</v>
      </c>
      <c r="AU28" s="366" t="s">
        <v>1</v>
      </c>
      <c r="AV28" s="366">
        <v>2418</v>
      </c>
      <c r="AW28" s="366">
        <v>14</v>
      </c>
      <c r="AX28" s="366">
        <v>11</v>
      </c>
      <c r="AY28" s="366">
        <v>87</v>
      </c>
      <c r="AZ28" s="366">
        <v>1</v>
      </c>
      <c r="BA28" s="366">
        <v>0</v>
      </c>
      <c r="BB28" s="366">
        <v>0</v>
      </c>
      <c r="BC28" s="366">
        <v>0</v>
      </c>
      <c r="BD28" s="366">
        <v>0</v>
      </c>
      <c r="BE28" s="366">
        <v>0</v>
      </c>
      <c r="BF28" s="366">
        <v>0</v>
      </c>
      <c r="BG28" s="366">
        <v>0</v>
      </c>
      <c r="BH28" s="366">
        <v>3</v>
      </c>
      <c r="BI28" s="367">
        <f>IFERROR(AV28/Instructions!$J$25,0)+AW28*Instructions!$J$27+AX28*Instructions!$J$29+IFERROR(AY28/Instructions!$E$34,0)+AZ28*Instructions!$E$36+Tier!BA28*Instructions!$E$25+IFERROR(BB28/Instructions!$E$27,0)+BC28*Instructions!$E$29+IFERROR((BD28+BF28)/Instructions!$J$32,0)+(BE28+BG28)*Instructions!$J$34+BH28*-2</f>
        <v>139.41999999999999</v>
      </c>
      <c r="BJ28" s="354"/>
      <c r="BK28" s="366">
        <v>2014</v>
      </c>
      <c r="BL28" s="370" t="s">
        <v>1651</v>
      </c>
      <c r="BM28" s="372" t="s">
        <v>158</v>
      </c>
      <c r="BN28" s="372" t="s">
        <v>3</v>
      </c>
      <c r="BO28" s="372">
        <v>0</v>
      </c>
      <c r="BP28" s="372">
        <v>0</v>
      </c>
      <c r="BQ28" s="372">
        <v>0</v>
      </c>
      <c r="BR28" s="372">
        <v>425</v>
      </c>
      <c r="BS28" s="372">
        <v>2</v>
      </c>
      <c r="BT28" s="372">
        <v>38</v>
      </c>
      <c r="BU28" s="372">
        <v>300</v>
      </c>
      <c r="BV28" s="372">
        <v>6</v>
      </c>
      <c r="BW28" s="372">
        <v>0</v>
      </c>
      <c r="BX28" s="372">
        <v>0</v>
      </c>
      <c r="BY28" s="372">
        <v>0</v>
      </c>
      <c r="BZ28" s="372">
        <v>0</v>
      </c>
      <c r="CA28" s="372">
        <v>2</v>
      </c>
      <c r="CB28" s="367">
        <f>IFERROR(BO28/Instructions!$J$25,0)+BP28*Instructions!$J$27+BQ28*Instructions!$J$29+IFERROR(BR28/Instructions!$E$34,0)+BS28*Instructions!$E$36+Tier!BT29*Instructions!$E$25+IFERROR(BU28/Instructions!$E$27,0)+BV28*Instructions!$E$29+IFERROR((BW28+BY28)/Instructions!$J$32,0)+(BX28+BZ28)*Instructions!$J$34+Tier!CA28*-2</f>
        <v>136.5</v>
      </c>
      <c r="CC28" s="354"/>
      <c r="CD28" s="321">
        <v>2014</v>
      </c>
      <c r="CE28" s="370" t="s">
        <v>94</v>
      </c>
      <c r="CF28" s="371" t="s">
        <v>156</v>
      </c>
      <c r="CG28" s="371" t="s">
        <v>6</v>
      </c>
      <c r="CH28" s="371">
        <v>0</v>
      </c>
      <c r="CI28" s="371">
        <v>0</v>
      </c>
      <c r="CJ28" s="371">
        <v>0</v>
      </c>
      <c r="CK28" s="371">
        <v>8</v>
      </c>
      <c r="CL28" s="371">
        <v>0</v>
      </c>
      <c r="CM28" s="371">
        <v>65</v>
      </c>
      <c r="CN28" s="371">
        <v>982</v>
      </c>
      <c r="CO28" s="371">
        <v>6</v>
      </c>
      <c r="CP28" s="371">
        <v>0</v>
      </c>
      <c r="CQ28" s="371">
        <v>0</v>
      </c>
      <c r="CR28" s="371">
        <v>0</v>
      </c>
      <c r="CS28" s="371">
        <v>0</v>
      </c>
      <c r="CT28" s="371">
        <v>1</v>
      </c>
      <c r="CU28" s="367">
        <f>IFERROR(CH28/Instructions!$J$25,0)+CI28*Instructions!$J$27+CJ28*Instructions!$J$29+IFERROR(CK28/Instructions!$E$34,0)+CL28*Instructions!$E$36+Tier!CM28*Instructions!$E$25+IFERROR(CN28/Instructions!$E$27,0)+CO28*Instructions!$E$29+IFERROR((CP28+CR28)/Instructions!$J$32,0)+(CQ28+CS28)*Instructions!$J$34+Tier!CT28*-2</f>
        <v>198</v>
      </c>
      <c r="CV28" s="354"/>
      <c r="CW28" s="238">
        <v>2014</v>
      </c>
      <c r="CX28" s="368" t="s">
        <v>1601</v>
      </c>
      <c r="CY28" s="369" t="s">
        <v>164</v>
      </c>
      <c r="CZ28" s="369" t="s">
        <v>7</v>
      </c>
      <c r="DA28" s="369">
        <v>0</v>
      </c>
      <c r="DB28" s="369">
        <v>0</v>
      </c>
      <c r="DC28" s="369">
        <v>0</v>
      </c>
      <c r="DD28" s="369">
        <v>0</v>
      </c>
      <c r="DE28" s="369">
        <v>0</v>
      </c>
      <c r="DF28" s="366">
        <v>23</v>
      </c>
      <c r="DG28" s="366">
        <v>247</v>
      </c>
      <c r="DH28" s="366">
        <v>3</v>
      </c>
      <c r="DI28" s="366">
        <v>0</v>
      </c>
      <c r="DJ28" s="366">
        <v>0</v>
      </c>
      <c r="DK28" s="366">
        <v>0</v>
      </c>
      <c r="DL28" s="366">
        <v>0</v>
      </c>
      <c r="DM28" s="366">
        <v>0</v>
      </c>
      <c r="DN28" s="367">
        <f>IFERROR(DA28/Instructions!$J$25,0)+DB28*Instructions!$J$27+DC28*Instructions!$J$29+IFERROR(DD28/Instructions!$E$34,0)+DE28*Instructions!$E$36+Tier!DF28*Instructions!$E$25+IFERROR(DG28/Instructions!$E$27,0)+DH28*Instructions!$E$29+IFERROR((DI28+DK28)/Instructions!$J$32,0)+(DJ28+DL28)*Instructions!$J$34+Tier!DM28*-2</f>
        <v>65.7</v>
      </c>
    </row>
    <row r="29" spans="1:118" s="366" customFormat="1" ht="15.75" customHeight="1" x14ac:dyDescent="0.25">
      <c r="A29" s="353">
        <v>1</v>
      </c>
      <c r="B29" s="358">
        <f t="shared" si="29"/>
        <v>292.30833333333334</v>
      </c>
      <c r="C29" s="354"/>
      <c r="D29" s="363">
        <v>6</v>
      </c>
      <c r="E29" s="364">
        <f t="shared" si="25"/>
        <v>265.67999999999995</v>
      </c>
      <c r="F29" s="238">
        <v>2014</v>
      </c>
      <c r="G29" s="367">
        <f>LARGE($BI$2:$BI$33,28)</f>
        <v>126.94</v>
      </c>
      <c r="H29" s="355">
        <f t="shared" si="1"/>
        <v>-138.69999999999999</v>
      </c>
      <c r="I29" s="356">
        <f t="shared" si="2"/>
        <v>19237.689999999995</v>
      </c>
      <c r="J29" s="356"/>
      <c r="K29" s="356">
        <f t="shared" si="3"/>
        <v>-8.6687499999999993</v>
      </c>
      <c r="L29" s="238">
        <f t="shared" si="4"/>
        <v>8</v>
      </c>
      <c r="M29" s="354"/>
      <c r="N29" s="363">
        <v>6</v>
      </c>
      <c r="O29" s="364">
        <f t="shared" si="28"/>
        <v>175.53333333333333</v>
      </c>
      <c r="P29" s="366">
        <v>2014</v>
      </c>
      <c r="Q29" s="367">
        <f>LARGE($CB$2:$CB$151,28)</f>
        <v>139.30000000000001</v>
      </c>
      <c r="R29" s="357">
        <f t="shared" si="5"/>
        <v>-25.299999999999983</v>
      </c>
      <c r="S29" s="356">
        <f t="shared" si="6"/>
        <v>640.08999999999912</v>
      </c>
      <c r="T29" s="238"/>
      <c r="U29" s="356">
        <f t="shared" si="7"/>
        <v>-1.5812499999999989</v>
      </c>
      <c r="V29" s="238">
        <f t="shared" si="8"/>
        <v>8</v>
      </c>
      <c r="W29" s="354"/>
      <c r="X29" s="363">
        <v>6</v>
      </c>
      <c r="Y29" s="364">
        <f t="shared" si="26"/>
        <v>218.78000000000003</v>
      </c>
      <c r="Z29" s="321">
        <v>2014</v>
      </c>
      <c r="AA29" s="367">
        <f>LARGE($CU$2:$CU$151,28)</f>
        <v>191.7</v>
      </c>
      <c r="AB29" s="357">
        <f t="shared" si="10"/>
        <v>-26.03333333333336</v>
      </c>
      <c r="AC29" s="356">
        <f t="shared" si="0"/>
        <v>677.73444444444578</v>
      </c>
      <c r="AD29" s="356"/>
      <c r="AE29" s="356">
        <f t="shared" si="11"/>
        <v>-1.627083333333335</v>
      </c>
      <c r="AF29" s="238">
        <f t="shared" si="12"/>
        <v>8</v>
      </c>
      <c r="AG29" s="354"/>
      <c r="AH29" s="363">
        <v>6</v>
      </c>
      <c r="AI29" s="364">
        <f t="shared" si="27"/>
        <v>154.30000000000001</v>
      </c>
      <c r="AJ29" s="238">
        <v>2014</v>
      </c>
      <c r="AK29" s="367">
        <f>LARGE($DN$2:$DN$33,28)</f>
        <v>62.9</v>
      </c>
      <c r="AL29" s="373">
        <f t="shared" si="14"/>
        <v>-90.4</v>
      </c>
      <c r="AM29" s="374">
        <f t="shared" si="15"/>
        <v>8172.1600000000008</v>
      </c>
      <c r="AN29" s="374"/>
      <c r="AO29" s="374">
        <f t="shared" si="16"/>
        <v>-5.65</v>
      </c>
      <c r="AP29" s="238">
        <f t="shared" si="17"/>
        <v>8</v>
      </c>
      <c r="AQ29" s="354"/>
      <c r="AR29" s="238">
        <v>2014</v>
      </c>
      <c r="AS29" s="365" t="s">
        <v>75</v>
      </c>
      <c r="AT29" s="366" t="s">
        <v>1627</v>
      </c>
      <c r="AU29" s="366" t="s">
        <v>1</v>
      </c>
      <c r="AV29" s="366">
        <v>2206</v>
      </c>
      <c r="AW29" s="366">
        <v>11</v>
      </c>
      <c r="AX29" s="366">
        <v>14</v>
      </c>
      <c r="AY29" s="366">
        <v>127</v>
      </c>
      <c r="AZ29" s="366">
        <v>3</v>
      </c>
      <c r="BA29" s="366">
        <v>0</v>
      </c>
      <c r="BB29" s="366">
        <v>0</v>
      </c>
      <c r="BC29" s="366">
        <v>0</v>
      </c>
      <c r="BD29" s="366">
        <v>0</v>
      </c>
      <c r="BE29" s="366">
        <v>0</v>
      </c>
      <c r="BF29" s="366">
        <v>0</v>
      </c>
      <c r="BG29" s="366">
        <v>0</v>
      </c>
      <c r="BH29" s="366">
        <v>4</v>
      </c>
      <c r="BI29" s="367">
        <f>IFERROR(AV29/Instructions!$J$25,0)+AW29*Instructions!$J$27+AX29*Instructions!$J$29+IFERROR(AY29/Instructions!$E$34,0)+AZ29*Instructions!$E$36+Tier!BA29*Instructions!$E$25+IFERROR(BB29/Instructions!$E$27,0)+BC29*Instructions!$E$29+IFERROR((BD29+BF29)/Instructions!$J$32,0)+(BE29+BG29)*Instructions!$J$34+BH29*-2</f>
        <v>126.94</v>
      </c>
      <c r="BJ29" s="354"/>
      <c r="BK29" s="366">
        <v>2014</v>
      </c>
      <c r="BL29" s="370" t="s">
        <v>87</v>
      </c>
      <c r="BM29" s="372" t="s">
        <v>148</v>
      </c>
      <c r="BN29" s="372" t="s">
        <v>3</v>
      </c>
      <c r="BO29" s="372">
        <v>0</v>
      </c>
      <c r="BP29" s="372">
        <v>0</v>
      </c>
      <c r="BQ29" s="372">
        <v>0</v>
      </c>
      <c r="BR29" s="372">
        <v>707</v>
      </c>
      <c r="BS29" s="372">
        <v>6</v>
      </c>
      <c r="BT29" s="372">
        <v>20</v>
      </c>
      <c r="BU29" s="372">
        <v>148</v>
      </c>
      <c r="BV29" s="372">
        <v>0</v>
      </c>
      <c r="BW29" s="372">
        <v>0</v>
      </c>
      <c r="BX29" s="372">
        <v>0</v>
      </c>
      <c r="BY29" s="372">
        <v>0</v>
      </c>
      <c r="BZ29" s="372">
        <v>0</v>
      </c>
      <c r="CA29" s="372">
        <v>0</v>
      </c>
      <c r="CB29" s="367">
        <f>IFERROR(BO29/Instructions!$J$25,0)+BP29*Instructions!$J$27+BQ29*Instructions!$J$29+IFERROR(BR29/Instructions!$E$34,0)+BS29*Instructions!$E$36+Tier!BT30*Instructions!$E$25+IFERROR(BU29/Instructions!$E$27,0)+BV29*Instructions!$E$29+IFERROR((BW29+BY29)/Instructions!$J$32,0)+(BX29+BZ29)*Instructions!$J$34+Tier!CA29*-2</f>
        <v>187.5</v>
      </c>
      <c r="CC29" s="354"/>
      <c r="CD29" s="321">
        <v>2014</v>
      </c>
      <c r="CE29" s="370" t="s">
        <v>1675</v>
      </c>
      <c r="CF29" s="371" t="s">
        <v>148</v>
      </c>
      <c r="CG29" s="371" t="s">
        <v>6</v>
      </c>
      <c r="CH29" s="371">
        <v>0</v>
      </c>
      <c r="CI29" s="371">
        <v>0</v>
      </c>
      <c r="CJ29" s="371">
        <v>0</v>
      </c>
      <c r="CK29" s="371">
        <v>0</v>
      </c>
      <c r="CL29" s="371">
        <v>0</v>
      </c>
      <c r="CM29" s="371">
        <v>80</v>
      </c>
      <c r="CN29" s="371">
        <v>921</v>
      </c>
      <c r="CO29" s="371">
        <v>7</v>
      </c>
      <c r="CP29" s="371">
        <v>0</v>
      </c>
      <c r="CQ29" s="371">
        <v>0</v>
      </c>
      <c r="CR29" s="371">
        <v>0</v>
      </c>
      <c r="CS29" s="371">
        <v>0</v>
      </c>
      <c r="CT29" s="371">
        <v>1</v>
      </c>
      <c r="CU29" s="367">
        <f>IFERROR(CH29/Instructions!$J$25,0)+CI29*Instructions!$J$27+CJ29*Instructions!$J$29+IFERROR(CK29/Instructions!$E$34,0)+CL29*Instructions!$E$36+Tier!CM29*Instructions!$E$25+IFERROR(CN29/Instructions!$E$27,0)+CO29*Instructions!$E$29+IFERROR((CP29+CR29)/Instructions!$J$32,0)+(CQ29+CS29)*Instructions!$J$34+Tier!CT29*-2</f>
        <v>212.1</v>
      </c>
      <c r="CV29" s="354"/>
      <c r="CW29" s="238">
        <v>2014</v>
      </c>
      <c r="CX29" s="368" t="s">
        <v>1721</v>
      </c>
      <c r="CY29" s="369" t="s">
        <v>153</v>
      </c>
      <c r="CZ29" s="369" t="s">
        <v>7</v>
      </c>
      <c r="DA29" s="369">
        <v>0</v>
      </c>
      <c r="DB29" s="369">
        <v>0</v>
      </c>
      <c r="DC29" s="369">
        <v>0</v>
      </c>
      <c r="DD29" s="369">
        <v>0</v>
      </c>
      <c r="DE29" s="369">
        <v>0</v>
      </c>
      <c r="DF29" s="366">
        <v>33</v>
      </c>
      <c r="DG29" s="366">
        <v>350</v>
      </c>
      <c r="DH29" s="366">
        <v>1</v>
      </c>
      <c r="DI29" s="366">
        <v>0</v>
      </c>
      <c r="DJ29" s="366">
        <v>0</v>
      </c>
      <c r="DK29" s="366">
        <v>0</v>
      </c>
      <c r="DL29" s="366">
        <v>0</v>
      </c>
      <c r="DM29" s="366">
        <v>0</v>
      </c>
      <c r="DN29" s="367">
        <f>IFERROR(DA29/Instructions!$J$25,0)+DB29*Instructions!$J$27+DC29*Instructions!$J$29+IFERROR(DD29/Instructions!$E$34,0)+DE29*Instructions!$E$36+Tier!DF29*Instructions!$E$25+IFERROR(DG29/Instructions!$E$27,0)+DH29*Instructions!$E$29+IFERROR((DI29+DK29)/Instructions!$J$32,0)+(DJ29+DL29)*Instructions!$J$34+Tier!DM29*-2</f>
        <v>74</v>
      </c>
    </row>
    <row r="30" spans="1:118" s="366" customFormat="1" ht="15.75" customHeight="1" x14ac:dyDescent="0.25">
      <c r="A30" s="353">
        <v>2</v>
      </c>
      <c r="B30" s="358">
        <f t="shared" si="29"/>
        <v>272.08133333333336</v>
      </c>
      <c r="C30" s="354"/>
      <c r="D30" s="363">
        <v>7</v>
      </c>
      <c r="E30" s="364">
        <f t="shared" si="25"/>
        <v>254.34857142857146</v>
      </c>
      <c r="F30" s="238">
        <v>2014</v>
      </c>
      <c r="G30" s="367">
        <f>LARGE($BI$2:$BI$33,29)</f>
        <v>119.31999999999998</v>
      </c>
      <c r="H30" s="355">
        <f t="shared" si="1"/>
        <v>-146.32</v>
      </c>
      <c r="I30" s="356">
        <f t="shared" si="2"/>
        <v>21409.542399999998</v>
      </c>
      <c r="J30" s="356"/>
      <c r="K30" s="356">
        <f t="shared" si="3"/>
        <v>-9.1449999999999996</v>
      </c>
      <c r="L30" s="238">
        <f t="shared" si="4"/>
        <v>8</v>
      </c>
      <c r="M30" s="354"/>
      <c r="N30" s="363">
        <v>7</v>
      </c>
      <c r="O30" s="364">
        <f t="shared" si="28"/>
        <v>158.18</v>
      </c>
      <c r="P30" s="366">
        <v>2014</v>
      </c>
      <c r="Q30" s="367">
        <f>LARGE($CB$2:$CB$151,29)</f>
        <v>137</v>
      </c>
      <c r="R30" s="357">
        <f t="shared" si="5"/>
        <v>-27.599999999999994</v>
      </c>
      <c r="S30" s="356">
        <f t="shared" si="6"/>
        <v>761.75999999999965</v>
      </c>
      <c r="T30" s="238"/>
      <c r="U30" s="356">
        <f t="shared" si="7"/>
        <v>-1.7249999999999996</v>
      </c>
      <c r="V30" s="238">
        <f t="shared" si="8"/>
        <v>8</v>
      </c>
      <c r="W30" s="354"/>
      <c r="X30" s="363">
        <v>7</v>
      </c>
      <c r="Y30" s="364">
        <f t="shared" si="26"/>
        <v>200.41272727272727</v>
      </c>
      <c r="Z30" s="321">
        <v>2014</v>
      </c>
      <c r="AA30" s="367">
        <f>LARGE($CU$2:$CU$151,29)</f>
        <v>190.6</v>
      </c>
      <c r="AB30" s="357">
        <f t="shared" si="10"/>
        <v>-27.133333333333354</v>
      </c>
      <c r="AC30" s="356">
        <f t="shared" si="0"/>
        <v>736.21777777777891</v>
      </c>
      <c r="AD30" s="356"/>
      <c r="AE30" s="356">
        <f t="shared" si="11"/>
        <v>-1.6958333333333346</v>
      </c>
      <c r="AF30" s="238">
        <f t="shared" si="12"/>
        <v>8</v>
      </c>
      <c r="AG30" s="354"/>
      <c r="AH30" s="363">
        <v>7</v>
      </c>
      <c r="AI30" s="364">
        <f t="shared" si="27"/>
        <v>141.46666666666667</v>
      </c>
      <c r="AJ30" s="238">
        <v>2014</v>
      </c>
      <c r="AK30" s="367">
        <f>LARGE($DN$2:$DN$33,29)</f>
        <v>61.6</v>
      </c>
      <c r="AL30" s="373">
        <f t="shared" si="14"/>
        <v>-91.700000000000017</v>
      </c>
      <c r="AM30" s="374">
        <f t="shared" si="15"/>
        <v>8408.8900000000031</v>
      </c>
      <c r="AN30" s="374"/>
      <c r="AO30" s="374">
        <f t="shared" si="16"/>
        <v>-5.7312500000000011</v>
      </c>
      <c r="AP30" s="238">
        <f t="shared" si="17"/>
        <v>8</v>
      </c>
      <c r="AQ30" s="354"/>
      <c r="AR30" s="238">
        <v>2014</v>
      </c>
      <c r="AS30" s="365" t="s">
        <v>31</v>
      </c>
      <c r="AT30" s="366" t="s">
        <v>137</v>
      </c>
      <c r="AU30" s="366" t="s">
        <v>1</v>
      </c>
      <c r="AV30" s="366">
        <v>2163</v>
      </c>
      <c r="AW30" s="366">
        <v>13</v>
      </c>
      <c r="AX30" s="366">
        <v>10</v>
      </c>
      <c r="AY30" s="366">
        <v>68</v>
      </c>
      <c r="AZ30" s="366">
        <v>0</v>
      </c>
      <c r="BA30" s="366">
        <v>0</v>
      </c>
      <c r="BB30" s="366">
        <v>0</v>
      </c>
      <c r="BC30" s="366">
        <v>0</v>
      </c>
      <c r="BD30" s="366">
        <v>0</v>
      </c>
      <c r="BE30" s="366">
        <v>0</v>
      </c>
      <c r="BF30" s="366">
        <v>0</v>
      </c>
      <c r="BG30" s="366">
        <v>0</v>
      </c>
      <c r="BH30" s="366">
        <v>3</v>
      </c>
      <c r="BI30" s="367">
        <f>IFERROR(AV30/Instructions!$J$25,0)+AW30*Instructions!$J$27+AX30*Instructions!$J$29+IFERROR(AY30/Instructions!$E$34,0)+AZ30*Instructions!$E$36+Tier!BA30*Instructions!$E$25+IFERROR(BB30/Instructions!$E$27,0)+BC30*Instructions!$E$29+IFERROR((BD30+BF30)/Instructions!$J$32,0)+(BE30+BG30)*Instructions!$J$34+BH30*-2</f>
        <v>119.31999999999998</v>
      </c>
      <c r="BJ30" s="354"/>
      <c r="BK30" s="366">
        <v>2014</v>
      </c>
      <c r="BL30" s="370" t="s">
        <v>1648</v>
      </c>
      <c r="BM30" s="372" t="s">
        <v>156</v>
      </c>
      <c r="BN30" s="372" t="s">
        <v>3</v>
      </c>
      <c r="BO30" s="372">
        <v>0</v>
      </c>
      <c r="BP30" s="372">
        <v>0</v>
      </c>
      <c r="BQ30" s="372">
        <v>0</v>
      </c>
      <c r="BR30" s="372">
        <v>525</v>
      </c>
      <c r="BS30" s="372">
        <v>2</v>
      </c>
      <c r="BT30" s="372">
        <v>66</v>
      </c>
      <c r="BU30" s="372">
        <v>501</v>
      </c>
      <c r="BV30" s="372">
        <v>1</v>
      </c>
      <c r="BW30" s="372">
        <v>5</v>
      </c>
      <c r="BX30" s="372">
        <v>0</v>
      </c>
      <c r="BY30" s="372">
        <v>0</v>
      </c>
      <c r="BZ30" s="372">
        <v>0</v>
      </c>
      <c r="CA30" s="372">
        <v>0</v>
      </c>
      <c r="CB30" s="367">
        <f>IFERROR(BO30/Instructions!$J$25,0)+BP30*Instructions!$J$27+BQ30*Instructions!$J$29+IFERROR(BR30/Instructions!$E$34,0)+BS30*Instructions!$E$36+Tier!BT31*Instructions!$E$25+IFERROR(BU30/Instructions!$E$27,0)+BV30*Instructions!$E$29+IFERROR((BW30+BY30)/Instructions!$J$32,0)+(BX30+BZ30)*Instructions!$J$34+Tier!CA30*-2</f>
        <v>129.6</v>
      </c>
      <c r="CC30" s="354"/>
      <c r="CD30" s="321">
        <v>2014</v>
      </c>
      <c r="CE30" s="370" t="s">
        <v>1722</v>
      </c>
      <c r="CF30" s="371" t="s">
        <v>148</v>
      </c>
      <c r="CG30" s="371" t="s">
        <v>6</v>
      </c>
      <c r="CH30" s="371">
        <v>0</v>
      </c>
      <c r="CI30" s="371">
        <v>0</v>
      </c>
      <c r="CJ30" s="371">
        <v>0</v>
      </c>
      <c r="CK30" s="371">
        <v>36</v>
      </c>
      <c r="CL30" s="371">
        <v>1</v>
      </c>
      <c r="CM30" s="371">
        <v>38</v>
      </c>
      <c r="CN30" s="371">
        <v>504</v>
      </c>
      <c r="CO30" s="371">
        <v>2</v>
      </c>
      <c r="CP30" s="371">
        <v>240</v>
      </c>
      <c r="CQ30" s="371">
        <v>1</v>
      </c>
      <c r="CR30" s="371">
        <v>1128</v>
      </c>
      <c r="CS30" s="371">
        <v>0</v>
      </c>
      <c r="CT30" s="371">
        <v>1</v>
      </c>
      <c r="CU30" s="367">
        <f>IFERROR(CH30/Instructions!$J$25,0)+CI30*Instructions!$J$27+CJ30*Instructions!$J$29+IFERROR(CK30/Instructions!$E$34,0)+CL30*Instructions!$E$36+Tier!CM30*Instructions!$E$25+IFERROR(CN30/Instructions!$E$27,0)+CO30*Instructions!$E$29+IFERROR((CP30+CR30)/Instructions!$J$32,0)+(CQ30+CS30)*Instructions!$J$34+Tier!CT30*-2</f>
        <v>114</v>
      </c>
      <c r="CV30" s="354"/>
      <c r="CW30" s="238">
        <v>2014</v>
      </c>
      <c r="CX30" s="368" t="s">
        <v>169</v>
      </c>
      <c r="CY30" s="369" t="s">
        <v>137</v>
      </c>
      <c r="CZ30" s="369" t="s">
        <v>7</v>
      </c>
      <c r="DA30" s="369">
        <v>0</v>
      </c>
      <c r="DB30" s="369">
        <v>0</v>
      </c>
      <c r="DC30" s="369">
        <v>0</v>
      </c>
      <c r="DD30" s="369">
        <v>0</v>
      </c>
      <c r="DE30" s="369">
        <v>0</v>
      </c>
      <c r="DF30" s="366">
        <v>32</v>
      </c>
      <c r="DG30" s="366">
        <v>340</v>
      </c>
      <c r="DH30" s="366">
        <v>1</v>
      </c>
      <c r="DI30" s="366">
        <v>0</v>
      </c>
      <c r="DJ30" s="366">
        <v>0</v>
      </c>
      <c r="DK30" s="366">
        <v>0</v>
      </c>
      <c r="DL30" s="366">
        <v>0</v>
      </c>
      <c r="DM30" s="366">
        <v>1</v>
      </c>
      <c r="DN30" s="367">
        <f>IFERROR(DA30/Instructions!$J$25,0)+DB30*Instructions!$J$27+DC30*Instructions!$J$29+IFERROR(DD30/Instructions!$E$34,0)+DE30*Instructions!$E$36+Tier!DF30*Instructions!$E$25+IFERROR(DG30/Instructions!$E$27,0)+DH30*Instructions!$E$29+IFERROR((DI30+DK30)/Instructions!$J$32,0)+(DJ30+DL30)*Instructions!$J$34+Tier!DM30*-2</f>
        <v>70</v>
      </c>
    </row>
    <row r="31" spans="1:118" s="366" customFormat="1" ht="15.75" customHeight="1" x14ac:dyDescent="0.25">
      <c r="A31" s="353">
        <v>3</v>
      </c>
      <c r="B31" s="358">
        <f t="shared" si="29"/>
        <v>255.05044444444448</v>
      </c>
      <c r="C31" s="354"/>
      <c r="D31" s="363">
        <v>8</v>
      </c>
      <c r="E31" s="364">
        <f>AVERAGE(J79:J80)</f>
        <v>235.94</v>
      </c>
      <c r="F31" s="238">
        <v>2014</v>
      </c>
      <c r="G31" s="367">
        <f>LARGE($BI$2:$BI$33,30)</f>
        <v>107.64000000000001</v>
      </c>
      <c r="H31" s="355">
        <f t="shared" si="1"/>
        <v>-157.99999999999997</v>
      </c>
      <c r="I31" s="356">
        <f t="shared" si="2"/>
        <v>24963.999999999993</v>
      </c>
      <c r="J31" s="356"/>
      <c r="K31" s="356">
        <f t="shared" si="3"/>
        <v>-9.8749999999999982</v>
      </c>
      <c r="L31" s="238">
        <f t="shared" si="4"/>
        <v>8</v>
      </c>
      <c r="M31" s="354"/>
      <c r="N31" s="363">
        <v>8</v>
      </c>
      <c r="O31" s="364">
        <f>AVERAGE(T315:T316)</f>
        <v>140.6</v>
      </c>
      <c r="P31" s="366">
        <v>2014</v>
      </c>
      <c r="Q31" s="367">
        <f>LARGE($CB$2:$CB$151,30)</f>
        <v>136.5</v>
      </c>
      <c r="R31" s="357">
        <f t="shared" si="5"/>
        <v>-28.099999999999994</v>
      </c>
      <c r="S31" s="356">
        <f t="shared" si="6"/>
        <v>789.60999999999967</v>
      </c>
      <c r="T31" s="238"/>
      <c r="U31" s="356">
        <f t="shared" si="7"/>
        <v>-1.7562499999999996</v>
      </c>
      <c r="V31" s="238">
        <f t="shared" si="8"/>
        <v>8</v>
      </c>
      <c r="W31" s="354"/>
      <c r="X31" s="363">
        <v>8</v>
      </c>
      <c r="Y31" s="364">
        <f>AVERAGE(AD315:AD316)</f>
        <v>187.70000000000002</v>
      </c>
      <c r="Z31" s="321">
        <v>2014</v>
      </c>
      <c r="AA31" s="367">
        <f>LARGE($CU$2:$CU$151,30)</f>
        <v>189.39999999999998</v>
      </c>
      <c r="AB31" s="357">
        <f t="shared" si="10"/>
        <v>-28.333333333333371</v>
      </c>
      <c r="AC31" s="356">
        <f t="shared" si="0"/>
        <v>802.77777777777987</v>
      </c>
      <c r="AD31" s="356"/>
      <c r="AE31" s="356">
        <f t="shared" si="11"/>
        <v>-1.7708333333333357</v>
      </c>
      <c r="AF31" s="238">
        <f t="shared" si="12"/>
        <v>8</v>
      </c>
      <c r="AG31" s="354"/>
      <c r="AH31" s="363">
        <v>8</v>
      </c>
      <c r="AI31" s="364">
        <f t="shared" si="27"/>
        <v>101.64666666666666</v>
      </c>
      <c r="AJ31" s="238">
        <v>2014</v>
      </c>
      <c r="AK31" s="367">
        <f>LARGE($DN$2:$DN$33,30)</f>
        <v>60.9</v>
      </c>
      <c r="AL31" s="373">
        <f t="shared" si="14"/>
        <v>-92.4</v>
      </c>
      <c r="AM31" s="374">
        <f t="shared" si="15"/>
        <v>8537.76</v>
      </c>
      <c r="AN31" s="374"/>
      <c r="AO31" s="374">
        <f t="shared" si="16"/>
        <v>-5.7750000000000004</v>
      </c>
      <c r="AP31" s="238">
        <f t="shared" si="17"/>
        <v>8</v>
      </c>
      <c r="AQ31" s="354"/>
      <c r="AR31" s="238">
        <v>2014</v>
      </c>
      <c r="AS31" s="365" t="s">
        <v>1602</v>
      </c>
      <c r="AT31" s="366" t="s">
        <v>150</v>
      </c>
      <c r="AU31" s="366" t="s">
        <v>1</v>
      </c>
      <c r="AV31" s="366">
        <v>2001</v>
      </c>
      <c r="AW31" s="366">
        <v>12</v>
      </c>
      <c r="AX31" s="366">
        <v>9</v>
      </c>
      <c r="AY31" s="366">
        <v>36</v>
      </c>
      <c r="AZ31" s="366">
        <v>0</v>
      </c>
      <c r="BA31" s="366">
        <v>0</v>
      </c>
      <c r="BB31" s="366">
        <v>0</v>
      </c>
      <c r="BC31" s="366">
        <v>0</v>
      </c>
      <c r="BD31" s="366">
        <v>0</v>
      </c>
      <c r="BE31" s="366">
        <v>0</v>
      </c>
      <c r="BF31" s="366">
        <v>0</v>
      </c>
      <c r="BG31" s="366">
        <v>0</v>
      </c>
      <c r="BH31" s="366">
        <v>3</v>
      </c>
      <c r="BI31" s="367">
        <f>IFERROR(AV31/Instructions!$J$25,0)+AW31*Instructions!$J$27+AX31*Instructions!$J$29+IFERROR(AY31/Instructions!$E$34,0)+AZ31*Instructions!$E$36+Tier!BA31*Instructions!$E$25+IFERROR(BB31/Instructions!$E$27,0)+BC31*Instructions!$E$29+IFERROR((BD31+BF31)/Instructions!$J$32,0)+(BE31+BG31)*Instructions!$J$34+BH31*-2</f>
        <v>107.64000000000001</v>
      </c>
      <c r="BJ31" s="354"/>
      <c r="BK31" s="366">
        <v>2014</v>
      </c>
      <c r="BL31" s="370" t="s">
        <v>983</v>
      </c>
      <c r="BM31" s="372" t="s">
        <v>161</v>
      </c>
      <c r="BN31" s="372" t="s">
        <v>3</v>
      </c>
      <c r="BO31" s="372">
        <v>0</v>
      </c>
      <c r="BP31" s="372">
        <v>0</v>
      </c>
      <c r="BQ31" s="372">
        <v>0</v>
      </c>
      <c r="BR31" s="372">
        <v>607</v>
      </c>
      <c r="BS31" s="372">
        <v>8</v>
      </c>
      <c r="BT31" s="372">
        <v>9</v>
      </c>
      <c r="BU31" s="372">
        <v>87</v>
      </c>
      <c r="BV31" s="372">
        <v>0</v>
      </c>
      <c r="BW31" s="372">
        <v>0</v>
      </c>
      <c r="BX31" s="372">
        <v>0</v>
      </c>
      <c r="BY31" s="372">
        <v>0</v>
      </c>
      <c r="BZ31" s="372">
        <v>0</v>
      </c>
      <c r="CA31" s="372">
        <v>2</v>
      </c>
      <c r="CB31" s="367">
        <f>IFERROR(BO31/Instructions!$J$25,0)+BP31*Instructions!$J$27+BQ31*Instructions!$J$29+IFERROR(BR31/Instructions!$E$34,0)+BS31*Instructions!$E$36+Tier!BT32*Instructions!$E$25+IFERROR(BU31/Instructions!$E$27,0)+BV31*Instructions!$E$29+IFERROR((BW31+BY31)/Instructions!$J$32,0)+(BX31+BZ31)*Instructions!$J$34+Tier!CA31*-2</f>
        <v>165.39999999999998</v>
      </c>
      <c r="CC31" s="354"/>
      <c r="CD31" s="321">
        <v>2014</v>
      </c>
      <c r="CE31" s="370" t="s">
        <v>93</v>
      </c>
      <c r="CF31" s="371" t="s">
        <v>164</v>
      </c>
      <c r="CG31" s="371" t="s">
        <v>6</v>
      </c>
      <c r="CH31" s="371">
        <v>0</v>
      </c>
      <c r="CI31" s="371">
        <v>0</v>
      </c>
      <c r="CJ31" s="371">
        <v>0</v>
      </c>
      <c r="CK31" s="371">
        <v>0</v>
      </c>
      <c r="CL31" s="371">
        <v>0</v>
      </c>
      <c r="CM31" s="371">
        <v>74</v>
      </c>
      <c r="CN31" s="371">
        <v>962</v>
      </c>
      <c r="CO31" s="371">
        <v>5</v>
      </c>
      <c r="CP31" s="371">
        <v>0</v>
      </c>
      <c r="CQ31" s="371">
        <v>0</v>
      </c>
      <c r="CR31" s="371">
        <v>0</v>
      </c>
      <c r="CS31" s="371">
        <v>0</v>
      </c>
      <c r="CT31" s="371">
        <v>0</v>
      </c>
      <c r="CU31" s="367">
        <f>IFERROR(CH31/Instructions!$J$25,0)+CI31*Instructions!$J$27+CJ31*Instructions!$J$29+IFERROR(CK31/Instructions!$E$34,0)+CL31*Instructions!$E$36+Tier!CM31*Instructions!$E$25+IFERROR(CN31/Instructions!$E$27,0)+CO31*Instructions!$E$29+IFERROR((CP31+CR31)/Instructions!$J$32,0)+(CQ31+CS31)*Instructions!$J$34+Tier!CT31*-2</f>
        <v>200.2</v>
      </c>
      <c r="CV31" s="354"/>
      <c r="CW31" s="238">
        <v>2014</v>
      </c>
      <c r="CX31" s="368" t="s">
        <v>22</v>
      </c>
      <c r="CY31" s="369" t="s">
        <v>1630</v>
      </c>
      <c r="CZ31" s="369" t="s">
        <v>7</v>
      </c>
      <c r="DA31" s="369">
        <v>0</v>
      </c>
      <c r="DB31" s="369">
        <v>0</v>
      </c>
      <c r="DC31" s="369">
        <v>0</v>
      </c>
      <c r="DD31" s="369">
        <v>4</v>
      </c>
      <c r="DE31" s="369">
        <v>0</v>
      </c>
      <c r="DF31" s="366">
        <v>26</v>
      </c>
      <c r="DG31" s="366">
        <v>245</v>
      </c>
      <c r="DH31" s="366">
        <v>2</v>
      </c>
      <c r="DI31" s="366">
        <v>0</v>
      </c>
      <c r="DJ31" s="366">
        <v>0</v>
      </c>
      <c r="DK31" s="366">
        <v>0</v>
      </c>
      <c r="DL31" s="366">
        <v>0</v>
      </c>
      <c r="DM31" s="366">
        <v>0</v>
      </c>
      <c r="DN31" s="367">
        <f>IFERROR(DA31/Instructions!$J$25,0)+DB31*Instructions!$J$27+DC31*Instructions!$J$29+IFERROR(DD31/Instructions!$E$34,0)+DE31*Instructions!$E$36+Tier!DF31*Instructions!$E$25+IFERROR(DG31/Instructions!$E$27,0)+DH31*Instructions!$E$29+IFERROR((DI31+DK31)/Instructions!$J$32,0)+(DJ31+DL31)*Instructions!$J$34+Tier!DM31*-2</f>
        <v>62.9</v>
      </c>
    </row>
    <row r="32" spans="1:118" s="366" customFormat="1" ht="15.75" customHeight="1" x14ac:dyDescent="0.25">
      <c r="A32" s="353">
        <v>4</v>
      </c>
      <c r="B32" s="358">
        <f t="shared" si="29"/>
        <v>240.59066666666666</v>
      </c>
      <c r="C32" s="354"/>
      <c r="D32" s="361">
        <v>2017</v>
      </c>
      <c r="E32" s="362">
        <v>8</v>
      </c>
      <c r="F32" s="238">
        <v>2014</v>
      </c>
      <c r="G32" s="367">
        <f>LARGE($BI$2:$BI$33,31)</f>
        <v>103.54</v>
      </c>
      <c r="H32" s="355">
        <f t="shared" si="1"/>
        <v>-162.09999999999997</v>
      </c>
      <c r="I32" s="356">
        <f t="shared" si="2"/>
        <v>26276.409999999989</v>
      </c>
      <c r="J32" s="356"/>
      <c r="K32" s="356">
        <f t="shared" si="3"/>
        <v>-10.131249999999998</v>
      </c>
      <c r="L32" s="238">
        <f t="shared" si="4"/>
        <v>8</v>
      </c>
      <c r="M32" s="354"/>
      <c r="N32" s="361">
        <v>2017</v>
      </c>
      <c r="O32" s="362"/>
      <c r="P32" s="366">
        <v>2014</v>
      </c>
      <c r="Q32" s="367">
        <f>LARGE($CB$2:$CB$151,31)</f>
        <v>129.6</v>
      </c>
      <c r="R32" s="357">
        <f t="shared" si="5"/>
        <v>-35</v>
      </c>
      <c r="S32" s="356">
        <f t="shared" si="6"/>
        <v>1225</v>
      </c>
      <c r="T32" s="238"/>
      <c r="U32" s="356">
        <f t="shared" si="7"/>
        <v>-2.1875</v>
      </c>
      <c r="V32" s="238">
        <f t="shared" si="8"/>
        <v>8</v>
      </c>
      <c r="W32" s="354"/>
      <c r="X32" s="361">
        <v>2017</v>
      </c>
      <c r="Y32" s="362"/>
      <c r="Z32" s="321">
        <v>2014</v>
      </c>
      <c r="AA32" s="367">
        <f>LARGE($CU$2:$CU$151,31)</f>
        <v>182.8</v>
      </c>
      <c r="AB32" s="357">
        <f t="shared" si="10"/>
        <v>-34.933333333333337</v>
      </c>
      <c r="AC32" s="356">
        <f t="shared" si="0"/>
        <v>1220.337777777778</v>
      </c>
      <c r="AD32" s="356"/>
      <c r="AE32" s="356">
        <f t="shared" si="11"/>
        <v>-2.1833333333333336</v>
      </c>
      <c r="AF32" s="238">
        <f t="shared" si="12"/>
        <v>8</v>
      </c>
      <c r="AG32" s="354"/>
      <c r="AH32" s="361">
        <v>2017</v>
      </c>
      <c r="AI32" s="362"/>
      <c r="AJ32" s="238">
        <v>2014</v>
      </c>
      <c r="AK32" s="367">
        <f>LARGE($DN$2:$DN$33,31)</f>
        <v>59.1</v>
      </c>
      <c r="AL32" s="373">
        <f t="shared" si="14"/>
        <v>-94.200000000000017</v>
      </c>
      <c r="AM32" s="374">
        <f t="shared" si="15"/>
        <v>8873.6400000000031</v>
      </c>
      <c r="AN32" s="374"/>
      <c r="AO32" s="374">
        <f t="shared" si="16"/>
        <v>-5.8875000000000011</v>
      </c>
      <c r="AP32" s="238">
        <f t="shared" si="17"/>
        <v>8</v>
      </c>
      <c r="AQ32" s="354"/>
      <c r="AR32" s="238">
        <v>2014</v>
      </c>
      <c r="AS32" s="365" t="s">
        <v>81</v>
      </c>
      <c r="AT32" s="366" t="s">
        <v>153</v>
      </c>
      <c r="AU32" s="366" t="s">
        <v>1</v>
      </c>
      <c r="AV32" s="366">
        <v>1626</v>
      </c>
      <c r="AW32" s="366">
        <v>11</v>
      </c>
      <c r="AX32" s="366">
        <v>3</v>
      </c>
      <c r="AY32" s="366">
        <v>25</v>
      </c>
      <c r="AZ32" s="366">
        <v>0</v>
      </c>
      <c r="BA32" s="366">
        <v>0</v>
      </c>
      <c r="BB32" s="366">
        <v>0</v>
      </c>
      <c r="BC32" s="366">
        <v>0</v>
      </c>
      <c r="BD32" s="366">
        <v>0</v>
      </c>
      <c r="BE32" s="366">
        <v>0</v>
      </c>
      <c r="BF32" s="366">
        <v>0</v>
      </c>
      <c r="BG32" s="366">
        <v>0</v>
      </c>
      <c r="BH32" s="366">
        <v>1</v>
      </c>
      <c r="BI32" s="367">
        <f>IFERROR(AV32/Instructions!$J$25,0)+AW32*Instructions!$J$27+AX32*Instructions!$J$29+IFERROR(AY32/Instructions!$E$34,0)+AZ32*Instructions!$E$36+Tier!BA32*Instructions!$E$25+IFERROR(BB32/Instructions!$E$27,0)+BC32*Instructions!$E$29+IFERROR((BD32+BF32)/Instructions!$J$32,0)+(BE32+BG32)*Instructions!$J$34+BH32*-2</f>
        <v>103.54</v>
      </c>
      <c r="BJ32" s="354"/>
      <c r="BK32" s="366">
        <v>2014</v>
      </c>
      <c r="BL32" s="370" t="s">
        <v>82</v>
      </c>
      <c r="BM32" s="372" t="s">
        <v>1628</v>
      </c>
      <c r="BN32" s="372" t="s">
        <v>3</v>
      </c>
      <c r="BO32" s="372">
        <v>0</v>
      </c>
      <c r="BP32" s="372">
        <v>0</v>
      </c>
      <c r="BQ32" s="372">
        <v>0</v>
      </c>
      <c r="BR32" s="372">
        <v>391</v>
      </c>
      <c r="BS32" s="372">
        <v>2</v>
      </c>
      <c r="BT32" s="372">
        <v>52</v>
      </c>
      <c r="BU32" s="372">
        <v>447</v>
      </c>
      <c r="BV32" s="372">
        <v>3</v>
      </c>
      <c r="BW32" s="372">
        <v>0</v>
      </c>
      <c r="BX32" s="372">
        <v>0</v>
      </c>
      <c r="BY32" s="372">
        <v>0</v>
      </c>
      <c r="BZ32" s="372">
        <v>0</v>
      </c>
      <c r="CA32" s="372">
        <v>0</v>
      </c>
      <c r="CB32" s="367">
        <f>IFERROR(BO32/Instructions!$J$25,0)+BP32*Instructions!$J$27+BQ32*Instructions!$J$29+IFERROR(BR32/Instructions!$E$34,0)+BS32*Instructions!$E$36+Tier!BT33*Instructions!$E$25+IFERROR(BU32/Instructions!$E$27,0)+BV32*Instructions!$E$29+IFERROR((BW32+BY32)/Instructions!$J$32,0)+(BX32+BZ32)*Instructions!$J$34+Tier!CA32*-2</f>
        <v>149.80000000000001</v>
      </c>
      <c r="CC32" s="354"/>
      <c r="CD32" s="321">
        <v>2014</v>
      </c>
      <c r="CE32" s="370" t="s">
        <v>134</v>
      </c>
      <c r="CF32" s="371" t="s">
        <v>1626</v>
      </c>
      <c r="CG32" s="371" t="s">
        <v>6</v>
      </c>
      <c r="CH32" s="371">
        <v>0</v>
      </c>
      <c r="CI32" s="371">
        <v>0</v>
      </c>
      <c r="CJ32" s="371">
        <v>0</v>
      </c>
      <c r="CK32" s="371">
        <v>14</v>
      </c>
      <c r="CL32" s="371">
        <v>0</v>
      </c>
      <c r="CM32" s="371">
        <v>62</v>
      </c>
      <c r="CN32" s="371">
        <v>778</v>
      </c>
      <c r="CO32" s="371">
        <v>7</v>
      </c>
      <c r="CP32" s="371">
        <v>100</v>
      </c>
      <c r="CQ32" s="371">
        <v>0</v>
      </c>
      <c r="CR32" s="371">
        <v>0</v>
      </c>
      <c r="CS32" s="371">
        <v>0</v>
      </c>
      <c r="CT32" s="371">
        <v>1</v>
      </c>
      <c r="CU32" s="367">
        <f>IFERROR(CH32/Instructions!$J$25,0)+CI32*Instructions!$J$27+CJ32*Instructions!$J$29+IFERROR(CK32/Instructions!$E$34,0)+CL32*Instructions!$E$36+Tier!CM32*Instructions!$E$25+IFERROR(CN32/Instructions!$E$27,0)+CO32*Instructions!$E$29+IFERROR((CP32+CR32)/Instructions!$J$32,0)+(CQ32+CS32)*Instructions!$J$34+Tier!CT32*-2</f>
        <v>181.2</v>
      </c>
      <c r="CV32" s="354"/>
      <c r="CW32" s="238">
        <v>2014</v>
      </c>
      <c r="CX32" s="368" t="s">
        <v>41</v>
      </c>
      <c r="CY32" s="369" t="s">
        <v>138</v>
      </c>
      <c r="CZ32" s="369" t="s">
        <v>7</v>
      </c>
      <c r="DA32" s="369">
        <v>0</v>
      </c>
      <c r="DB32" s="369">
        <v>0</v>
      </c>
      <c r="DC32" s="369">
        <v>0</v>
      </c>
      <c r="DD32" s="369">
        <v>0</v>
      </c>
      <c r="DE32" s="369">
        <v>0</v>
      </c>
      <c r="DF32" s="366">
        <v>24</v>
      </c>
      <c r="DG32" s="366">
        <v>231</v>
      </c>
      <c r="DH32" s="366">
        <v>2</v>
      </c>
      <c r="DI32" s="366">
        <v>0</v>
      </c>
      <c r="DJ32" s="366">
        <v>0</v>
      </c>
      <c r="DK32" s="366">
        <v>0</v>
      </c>
      <c r="DL32" s="366">
        <v>0</v>
      </c>
      <c r="DM32" s="366">
        <v>0</v>
      </c>
      <c r="DN32" s="367">
        <f>IFERROR(DA32/Instructions!$J$25,0)+DB32*Instructions!$J$27+DC32*Instructions!$J$29+IFERROR(DD32/Instructions!$E$34,0)+DE32*Instructions!$E$36+Tier!DF32*Instructions!$E$25+IFERROR(DG32/Instructions!$E$27,0)+DH32*Instructions!$E$29+IFERROR((DI32+DK32)/Instructions!$J$32,0)+(DJ32+DL32)*Instructions!$J$34+Tier!DM32*-2</f>
        <v>59.1</v>
      </c>
    </row>
    <row r="33" spans="1:118" s="366" customFormat="1" ht="15.75" customHeight="1" x14ac:dyDescent="0.25">
      <c r="A33" s="359">
        <v>5</v>
      </c>
      <c r="B33" s="358">
        <f t="shared" si="29"/>
        <v>226.27266666666668</v>
      </c>
      <c r="C33" s="354"/>
      <c r="D33" s="363">
        <v>0</v>
      </c>
      <c r="E33" s="364">
        <f t="shared" ref="E33:E40" si="30">IFERROR(AVERAGEIF($L$101:$L$132,D33,$G$101:$G$132),AVERAGE(J104:J105))</f>
        <v>358.73999999999995</v>
      </c>
      <c r="F33" s="238">
        <v>2014</v>
      </c>
      <c r="G33" s="367">
        <f>LARGE($BI$2:$BI$33,32)</f>
        <v>95.360000000000014</v>
      </c>
      <c r="H33" s="355">
        <f t="shared" si="1"/>
        <v>-170.27999999999997</v>
      </c>
      <c r="I33" s="356">
        <f t="shared" si="2"/>
        <v>28995.278399999992</v>
      </c>
      <c r="J33" s="356"/>
      <c r="K33" s="356">
        <f t="shared" si="3"/>
        <v>-10.642499999999998</v>
      </c>
      <c r="L33" s="238">
        <f t="shared" si="4"/>
        <v>8</v>
      </c>
      <c r="M33" s="354"/>
      <c r="N33" s="363">
        <v>0</v>
      </c>
      <c r="O33" s="364">
        <f t="shared" ref="O33:O40" si="31">IFERROR(AVERAGEIF($V$455:$V$604,N33,$Q$455:$Q$604),AVERAGE(T458:T459))</f>
        <v>316.5</v>
      </c>
      <c r="P33" s="366">
        <v>2014</v>
      </c>
      <c r="Q33" s="367">
        <f>LARGE($CB$2:$CB$151,32)</f>
        <v>127.1</v>
      </c>
      <c r="R33" s="357">
        <f t="shared" si="5"/>
        <v>-37.5</v>
      </c>
      <c r="S33" s="356">
        <f t="shared" si="6"/>
        <v>1406.25</v>
      </c>
      <c r="T33" s="238"/>
      <c r="U33" s="356">
        <f t="shared" si="7"/>
        <v>-2.34375</v>
      </c>
      <c r="V33" s="238">
        <f t="shared" si="8"/>
        <v>8</v>
      </c>
      <c r="W33" s="354"/>
      <c r="X33" s="363">
        <v>0</v>
      </c>
      <c r="Y33" s="364">
        <f t="shared" ref="Y33:Y40" si="32">IFERROR(AVERAGEIF($AF$455:$AF$604,X33,$AA$455:$AA$604),AVERAGE(AD458:AD459))</f>
        <v>309.05</v>
      </c>
      <c r="Z33" s="321">
        <v>2014</v>
      </c>
      <c r="AA33" s="367">
        <f>LARGE($CU$2:$CU$151,32)</f>
        <v>181.2</v>
      </c>
      <c r="AB33" s="357">
        <f t="shared" si="10"/>
        <v>-36.53333333333336</v>
      </c>
      <c r="AC33" s="356">
        <f t="shared" si="0"/>
        <v>1334.6844444444464</v>
      </c>
      <c r="AD33" s="356"/>
      <c r="AE33" s="356">
        <f t="shared" si="11"/>
        <v>-2.283333333333335</v>
      </c>
      <c r="AF33" s="238">
        <f t="shared" si="12"/>
        <v>8</v>
      </c>
      <c r="AG33" s="354"/>
      <c r="AH33" s="363">
        <v>0</v>
      </c>
      <c r="AI33" s="364">
        <f t="shared" ref="AI33:AI41" si="33">IFERROR(AVERAGEIF($AP$101:$AP$132,AH33,$AK$101:$AK$132),AVERAGE(AN104:AN105))</f>
        <v>234.8</v>
      </c>
      <c r="AJ33" s="238">
        <v>2014</v>
      </c>
      <c r="AK33" s="367">
        <f>LARGE($DN$2:$DN$33,32)</f>
        <v>56.8</v>
      </c>
      <c r="AL33" s="373">
        <f t="shared" si="14"/>
        <v>-96.500000000000014</v>
      </c>
      <c r="AM33" s="374">
        <f t="shared" si="15"/>
        <v>9312.2500000000036</v>
      </c>
      <c r="AN33" s="374"/>
      <c r="AO33" s="374">
        <f t="shared" si="16"/>
        <v>-6.0312500000000009</v>
      </c>
      <c r="AP33" s="238">
        <f t="shared" si="17"/>
        <v>8</v>
      </c>
      <c r="AQ33" s="354"/>
      <c r="AR33" s="238">
        <v>2014</v>
      </c>
      <c r="AS33" s="365" t="s">
        <v>1194</v>
      </c>
      <c r="AT33" s="366" t="s">
        <v>152</v>
      </c>
      <c r="AU33" s="366" t="s">
        <v>1</v>
      </c>
      <c r="AV33" s="366">
        <v>1694</v>
      </c>
      <c r="AW33" s="366">
        <v>4</v>
      </c>
      <c r="AX33" s="366">
        <v>6</v>
      </c>
      <c r="AY33" s="366">
        <v>176</v>
      </c>
      <c r="AZ33" s="366">
        <v>1</v>
      </c>
      <c r="BA33" s="366">
        <v>0</v>
      </c>
      <c r="BB33" s="366">
        <v>0</v>
      </c>
      <c r="BC33" s="366">
        <v>0</v>
      </c>
      <c r="BD33" s="366">
        <v>0</v>
      </c>
      <c r="BE33" s="366">
        <v>0</v>
      </c>
      <c r="BF33" s="366">
        <v>0</v>
      </c>
      <c r="BG33" s="366">
        <v>0</v>
      </c>
      <c r="BH33" s="366">
        <v>0</v>
      </c>
      <c r="BI33" s="367">
        <f>IFERROR(AV33/Instructions!$J$25,0)+AW33*Instructions!$J$27+AX33*Instructions!$J$29+IFERROR(AY33/Instructions!$E$34,0)+AZ33*Instructions!$E$36+Tier!BA33*Instructions!$E$25+IFERROR(BB33/Instructions!$E$27,0)+BC33*Instructions!$E$29+IFERROR((BD33+BF33)/Instructions!$J$32,0)+(BE33+BG33)*Instructions!$J$34+BH33*-2</f>
        <v>95.360000000000014</v>
      </c>
      <c r="BJ33" s="354"/>
      <c r="BK33" s="366">
        <v>2014</v>
      </c>
      <c r="BL33" s="370" t="s">
        <v>1142</v>
      </c>
      <c r="BM33" s="372" t="s">
        <v>1626</v>
      </c>
      <c r="BN33" s="372" t="s">
        <v>3</v>
      </c>
      <c r="BO33" s="372">
        <v>0</v>
      </c>
      <c r="BP33" s="372">
        <v>0</v>
      </c>
      <c r="BQ33" s="372">
        <v>0</v>
      </c>
      <c r="BR33" s="372">
        <v>582</v>
      </c>
      <c r="BS33" s="372">
        <v>3</v>
      </c>
      <c r="BT33" s="372">
        <v>36</v>
      </c>
      <c r="BU33" s="372">
        <v>271</v>
      </c>
      <c r="BV33" s="372">
        <v>1</v>
      </c>
      <c r="BW33" s="372">
        <v>0</v>
      </c>
      <c r="BX33" s="372">
        <v>0</v>
      </c>
      <c r="BY33" s="372">
        <v>22</v>
      </c>
      <c r="BZ33" s="372">
        <v>0</v>
      </c>
      <c r="CA33" s="372">
        <v>0</v>
      </c>
      <c r="CB33" s="367">
        <f>IFERROR(BO33/Instructions!$J$25,0)+BP33*Instructions!$J$27+BQ33*Instructions!$J$29+IFERROR(BR33/Instructions!$E$34,0)+BS33*Instructions!$E$36+Tier!BT34*Instructions!$E$25+IFERROR(BU33/Instructions!$E$27,0)+BV33*Instructions!$E$29+IFERROR((BW33+BY33)/Instructions!$J$32,0)+(BX33+BZ33)*Instructions!$J$34+Tier!CA33*-2</f>
        <v>139.30000000000001</v>
      </c>
      <c r="CC33" s="354"/>
      <c r="CD33" s="321">
        <v>2014</v>
      </c>
      <c r="CE33" s="370" t="s">
        <v>1672</v>
      </c>
      <c r="CF33" s="371" t="s">
        <v>1626</v>
      </c>
      <c r="CG33" s="371" t="s">
        <v>6</v>
      </c>
      <c r="CH33" s="371">
        <v>0</v>
      </c>
      <c r="CI33" s="371">
        <v>0</v>
      </c>
      <c r="CJ33" s="371">
        <v>0</v>
      </c>
      <c r="CK33" s="371">
        <v>0</v>
      </c>
      <c r="CL33" s="371">
        <v>0</v>
      </c>
      <c r="CM33" s="371">
        <v>52</v>
      </c>
      <c r="CN33" s="371">
        <v>856</v>
      </c>
      <c r="CO33" s="371">
        <v>6</v>
      </c>
      <c r="CP33" s="371">
        <v>0</v>
      </c>
      <c r="CQ33" s="371">
        <v>0</v>
      </c>
      <c r="CR33" s="371">
        <v>0</v>
      </c>
      <c r="CS33" s="371">
        <v>0</v>
      </c>
      <c r="CT33" s="371">
        <v>0</v>
      </c>
      <c r="CU33" s="367">
        <f>IFERROR(CH33/Instructions!$J$25,0)+CI33*Instructions!$J$27+CJ33*Instructions!$J$29+IFERROR(CK33/Instructions!$E$34,0)+CL33*Instructions!$E$36+Tier!CM33*Instructions!$E$25+IFERROR(CN33/Instructions!$E$27,0)+CO33*Instructions!$E$29+IFERROR((CP33+CR33)/Instructions!$J$32,0)+(CQ33+CS33)*Instructions!$J$34+Tier!CT33*-2</f>
        <v>173.6</v>
      </c>
      <c r="CV33" s="354"/>
      <c r="CW33" s="238">
        <v>2014</v>
      </c>
      <c r="CX33" s="368" t="s">
        <v>1311</v>
      </c>
      <c r="CY33" s="369" t="s">
        <v>1613</v>
      </c>
      <c r="CZ33" s="369" t="s">
        <v>7</v>
      </c>
      <c r="DA33" s="369">
        <v>0</v>
      </c>
      <c r="DB33" s="369">
        <v>0</v>
      </c>
      <c r="DC33" s="369">
        <v>0</v>
      </c>
      <c r="DD33" s="369">
        <v>0</v>
      </c>
      <c r="DE33" s="369">
        <v>0</v>
      </c>
      <c r="DF33" s="366">
        <v>26</v>
      </c>
      <c r="DG33" s="366">
        <v>289</v>
      </c>
      <c r="DH33" s="366">
        <v>1</v>
      </c>
      <c r="DI33" s="366">
        <v>0</v>
      </c>
      <c r="DJ33" s="366">
        <v>0</v>
      </c>
      <c r="DK33" s="366">
        <v>0</v>
      </c>
      <c r="DL33" s="366">
        <v>0</v>
      </c>
      <c r="DM33" s="366">
        <v>0</v>
      </c>
      <c r="DN33" s="367">
        <f>IFERROR(DA33/Instructions!$J$25,0)+DB33*Instructions!$J$27+DC33*Instructions!$J$29+IFERROR(DD33/Instructions!$E$34,0)+DE33*Instructions!$E$36+Tier!DF33*Instructions!$E$25+IFERROR(DG33/Instructions!$E$27,0)+DH33*Instructions!$E$29+IFERROR((DI33+DK33)/Instructions!$J$32,0)+(DJ33+DL33)*Instructions!$J$34+Tier!DM33*-2</f>
        <v>60.9</v>
      </c>
    </row>
    <row r="34" spans="1:118" s="366" customFormat="1" ht="15.75" customHeight="1" x14ac:dyDescent="0.25">
      <c r="A34" s="353">
        <v>6</v>
      </c>
      <c r="B34" s="358">
        <f t="shared" si="29"/>
        <v>208.79726984126987</v>
      </c>
      <c r="C34" s="354"/>
      <c r="D34" s="363">
        <v>1</v>
      </c>
      <c r="E34" s="364">
        <f t="shared" si="30"/>
        <v>345.92</v>
      </c>
      <c r="F34" s="354"/>
      <c r="G34" s="376"/>
      <c r="H34" s="376"/>
      <c r="I34" s="376"/>
      <c r="J34" s="376"/>
      <c r="K34" s="376"/>
      <c r="L34" s="376"/>
      <c r="M34" s="354"/>
      <c r="N34" s="363">
        <v>1</v>
      </c>
      <c r="O34" s="364">
        <f t="shared" si="31"/>
        <v>260.06666666666672</v>
      </c>
      <c r="P34" s="366">
        <v>2014</v>
      </c>
      <c r="Q34" s="367">
        <f>LARGE($CB$2:$CB$151,33)</f>
        <v>123.80000000000001</v>
      </c>
      <c r="R34" s="357">
        <f t="shared" ref="R34:R65" si="34">Q34-$T$12</f>
        <v>-40.799999999999983</v>
      </c>
      <c r="S34" s="356">
        <f t="shared" si="6"/>
        <v>1664.6399999999985</v>
      </c>
      <c r="T34" s="238"/>
      <c r="U34" s="356">
        <f t="shared" si="7"/>
        <v>-2.5499999999999989</v>
      </c>
      <c r="V34" s="238">
        <f t="shared" si="8"/>
        <v>8</v>
      </c>
      <c r="W34" s="354"/>
      <c r="X34" s="363">
        <v>1</v>
      </c>
      <c r="Y34" s="364">
        <f t="shared" si="32"/>
        <v>284.20000000000005</v>
      </c>
      <c r="Z34" s="321">
        <v>2014</v>
      </c>
      <c r="AA34" s="367">
        <f>LARGE($CU$2:$CU$151,33)</f>
        <v>180.2</v>
      </c>
      <c r="AB34" s="357">
        <f t="shared" si="10"/>
        <v>-37.53333333333336</v>
      </c>
      <c r="AC34" s="356">
        <f t="shared" si="0"/>
        <v>1408.751111111113</v>
      </c>
      <c r="AD34" s="356"/>
      <c r="AE34" s="356">
        <f t="shared" si="11"/>
        <v>-2.345833333333335</v>
      </c>
      <c r="AF34" s="238">
        <f t="shared" si="12"/>
        <v>8</v>
      </c>
      <c r="AG34" s="354"/>
      <c r="AH34" s="363">
        <v>1</v>
      </c>
      <c r="AI34" s="364">
        <f t="shared" si="33"/>
        <v>225.3</v>
      </c>
      <c r="AJ34" s="354"/>
      <c r="AK34" s="376"/>
      <c r="AL34" s="376"/>
      <c r="AM34" s="376"/>
      <c r="AN34" s="376"/>
      <c r="AO34" s="376"/>
      <c r="AP34" s="376"/>
      <c r="AQ34" s="354"/>
      <c r="AR34" s="354"/>
      <c r="AS34" s="375"/>
      <c r="AT34" s="354"/>
      <c r="AU34" s="354"/>
      <c r="AV34" s="354"/>
      <c r="AW34" s="354"/>
      <c r="AX34" s="354"/>
      <c r="AY34" s="354"/>
      <c r="AZ34" s="354"/>
      <c r="BA34" s="354"/>
      <c r="BB34" s="354"/>
      <c r="BC34" s="354"/>
      <c r="BD34" s="354"/>
      <c r="BE34" s="354"/>
      <c r="BF34" s="354"/>
      <c r="BG34" s="354"/>
      <c r="BH34" s="354"/>
      <c r="BI34" s="376"/>
      <c r="BJ34" s="354"/>
      <c r="BK34" s="366">
        <v>2014</v>
      </c>
      <c r="BL34" s="370" t="s">
        <v>71</v>
      </c>
      <c r="BM34" s="372" t="s">
        <v>154</v>
      </c>
      <c r="BN34" s="372" t="s">
        <v>3</v>
      </c>
      <c r="BO34" s="372">
        <v>0</v>
      </c>
      <c r="BP34" s="372">
        <v>0</v>
      </c>
      <c r="BQ34" s="372">
        <v>0</v>
      </c>
      <c r="BR34" s="372">
        <v>639</v>
      </c>
      <c r="BS34" s="372">
        <v>4</v>
      </c>
      <c r="BT34" s="372">
        <v>30</v>
      </c>
      <c r="BU34" s="372">
        <v>226</v>
      </c>
      <c r="BV34" s="372">
        <v>0</v>
      </c>
      <c r="BW34" s="372">
        <v>0</v>
      </c>
      <c r="BX34" s="372">
        <v>0</v>
      </c>
      <c r="BY34" s="372">
        <v>0</v>
      </c>
      <c r="BZ34" s="372">
        <v>0</v>
      </c>
      <c r="CA34" s="372">
        <v>1</v>
      </c>
      <c r="CB34" s="367">
        <f>IFERROR(BO34/Instructions!$J$25,0)+BP34*Instructions!$J$27+BQ34*Instructions!$J$29+IFERROR(BR34/Instructions!$E$34,0)+BS34*Instructions!$E$36+Tier!BT35*Instructions!$E$25+IFERROR(BU34/Instructions!$E$27,0)+BV34*Instructions!$E$29+IFERROR((BW34+BY34)/Instructions!$J$32,0)+(BX34+BZ34)*Instructions!$J$34+Tier!CA34*-2</f>
        <v>119.5</v>
      </c>
      <c r="CC34" s="354"/>
      <c r="CD34" s="321">
        <v>2014</v>
      </c>
      <c r="CE34" s="370" t="s">
        <v>80</v>
      </c>
      <c r="CF34" s="371" t="s">
        <v>153</v>
      </c>
      <c r="CG34" s="371" t="s">
        <v>6</v>
      </c>
      <c r="CH34" s="371">
        <v>0</v>
      </c>
      <c r="CI34" s="371">
        <v>0</v>
      </c>
      <c r="CJ34" s="371">
        <v>0</v>
      </c>
      <c r="CK34" s="371">
        <v>2</v>
      </c>
      <c r="CL34" s="371">
        <v>0</v>
      </c>
      <c r="CM34" s="371">
        <v>47</v>
      </c>
      <c r="CN34" s="371">
        <v>841</v>
      </c>
      <c r="CO34" s="371">
        <v>6</v>
      </c>
      <c r="CP34" s="371">
        <v>0</v>
      </c>
      <c r="CQ34" s="371">
        <v>0</v>
      </c>
      <c r="CR34" s="371">
        <v>0</v>
      </c>
      <c r="CS34" s="371">
        <v>0</v>
      </c>
      <c r="CT34" s="371">
        <v>1</v>
      </c>
      <c r="CU34" s="367">
        <f>IFERROR(CH34/Instructions!$J$25,0)+CI34*Instructions!$J$27+CJ34*Instructions!$J$29+IFERROR(CK34/Instructions!$E$34,0)+CL34*Instructions!$E$36+Tier!CM34*Instructions!$E$25+IFERROR(CN34/Instructions!$E$27,0)+CO34*Instructions!$E$29+IFERROR((CP34+CR34)/Instructions!$J$32,0)+(CQ34+CS34)*Instructions!$J$34+Tier!CT34*-2</f>
        <v>165.3</v>
      </c>
      <c r="CV34" s="354"/>
      <c r="CW34" s="354"/>
      <c r="CX34" s="421"/>
      <c r="CY34" s="422"/>
      <c r="CZ34" s="422"/>
      <c r="DA34" s="422"/>
      <c r="DB34" s="422"/>
      <c r="DC34" s="422"/>
      <c r="DD34" s="422"/>
      <c r="DE34" s="422"/>
      <c r="DF34" s="380"/>
      <c r="DG34" s="380"/>
      <c r="DH34" s="380"/>
      <c r="DI34" s="380"/>
      <c r="DJ34" s="380"/>
      <c r="DK34" s="380"/>
      <c r="DL34" s="380"/>
      <c r="DM34" s="380"/>
      <c r="DN34" s="382"/>
    </row>
    <row r="35" spans="1:118" s="366" customFormat="1" ht="15.75" customHeight="1" x14ac:dyDescent="0.25">
      <c r="A35" s="238">
        <v>7</v>
      </c>
      <c r="B35" s="358">
        <f t="shared" si="29"/>
        <v>190.36365656565656</v>
      </c>
      <c r="C35" s="354"/>
      <c r="D35" s="363">
        <v>2</v>
      </c>
      <c r="E35" s="364">
        <f t="shared" si="30"/>
        <v>326.73999999999995</v>
      </c>
      <c r="F35" s="238">
        <v>2015</v>
      </c>
      <c r="G35" s="367">
        <f>LARGE($BI$35:$BI$66,1)</f>
        <v>389.08000000000004</v>
      </c>
      <c r="H35" s="355">
        <f>G35-$J$45</f>
        <v>108.60000000000002</v>
      </c>
      <c r="I35" s="356">
        <f t="shared" ref="I35:I66" si="35">H35^2</f>
        <v>11793.960000000005</v>
      </c>
      <c r="J35" s="356">
        <v>16</v>
      </c>
      <c r="K35" s="356">
        <f>H35/$J$35</f>
        <v>6.7875000000000014</v>
      </c>
      <c r="L35" s="238">
        <f>IF(K35&gt;6,0,
IF(AND(K35&lt;=6,K35&gt;5),1,
IF(AND(K35&lt;=5,K35&gt;4),2,
IF(AND(K35&lt;=4,K35&gt;3),3,
IF(AND(K35&lt;=3,K35&gt;2),4,
IF(AND(K35&lt;=2,K35&gt;1),5,
IF(AND(K35&lt;=1,K35&gt;0),6,
IF(AND(K35&lt;=0,K35&gt;-1),7,
8))))))))</f>
        <v>0</v>
      </c>
      <c r="M35" s="354"/>
      <c r="N35" s="363">
        <v>2</v>
      </c>
      <c r="O35" s="364">
        <f t="shared" si="31"/>
        <v>240.60000000000002</v>
      </c>
      <c r="P35" s="366">
        <v>2014</v>
      </c>
      <c r="Q35" s="367">
        <f>LARGE($CB$2:$CB$151,34)</f>
        <v>119.5</v>
      </c>
      <c r="R35" s="357">
        <f t="shared" si="34"/>
        <v>-45.099999999999994</v>
      </c>
      <c r="S35" s="356">
        <f t="shared" si="6"/>
        <v>2034.0099999999995</v>
      </c>
      <c r="T35" s="238"/>
      <c r="U35" s="356">
        <f t="shared" si="7"/>
        <v>-2.8187499999999996</v>
      </c>
      <c r="V35" s="238">
        <f t="shared" si="8"/>
        <v>8</v>
      </c>
      <c r="W35" s="354"/>
      <c r="X35" s="363">
        <v>2</v>
      </c>
      <c r="Y35" s="364">
        <f t="shared" si="32"/>
        <v>259.31333333333333</v>
      </c>
      <c r="Z35" s="321">
        <v>2014</v>
      </c>
      <c r="AA35" s="367">
        <f>LARGE($CU$2:$CU$151,34)</f>
        <v>179.1</v>
      </c>
      <c r="AB35" s="357">
        <f t="shared" si="10"/>
        <v>-38.633333333333354</v>
      </c>
      <c r="AC35" s="356">
        <f t="shared" si="0"/>
        <v>1492.5344444444461</v>
      </c>
      <c r="AD35" s="356"/>
      <c r="AE35" s="356">
        <f t="shared" si="11"/>
        <v>-2.4145833333333346</v>
      </c>
      <c r="AF35" s="238">
        <f t="shared" si="12"/>
        <v>8</v>
      </c>
      <c r="AG35" s="354"/>
      <c r="AH35" s="363">
        <v>2</v>
      </c>
      <c r="AI35" s="364">
        <f t="shared" si="33"/>
        <v>202.4</v>
      </c>
      <c r="AJ35" s="238">
        <v>2015</v>
      </c>
      <c r="AK35" s="367">
        <f>LARGE($DN$35:$DN$66,1)</f>
        <v>255.6</v>
      </c>
      <c r="AL35" s="373">
        <f>AK35-$AN$45</f>
        <v>124.9</v>
      </c>
      <c r="AM35" s="374">
        <f t="shared" ref="AM35:AM66" si="36">AL35^2</f>
        <v>15600.010000000002</v>
      </c>
      <c r="AN35" s="374">
        <v>16</v>
      </c>
      <c r="AO35" s="374">
        <f>AL35/$AN$35</f>
        <v>7.8062500000000004</v>
      </c>
      <c r="AP35" s="238">
        <f t="shared" si="17"/>
        <v>0</v>
      </c>
      <c r="AQ35" s="354"/>
      <c r="AR35" s="238">
        <v>2015</v>
      </c>
      <c r="AS35" s="365" t="s">
        <v>26</v>
      </c>
      <c r="AT35" s="366" t="s">
        <v>159</v>
      </c>
      <c r="AU35" s="366" t="s">
        <v>1</v>
      </c>
      <c r="AV35" s="366">
        <v>3837</v>
      </c>
      <c r="AW35" s="366">
        <v>35</v>
      </c>
      <c r="AX35" s="366">
        <v>10</v>
      </c>
      <c r="AY35" s="366">
        <v>636</v>
      </c>
      <c r="AZ35" s="366">
        <v>10</v>
      </c>
      <c r="BA35" s="366">
        <v>0</v>
      </c>
      <c r="BB35" s="366">
        <v>0</v>
      </c>
      <c r="BC35" s="366">
        <v>0</v>
      </c>
      <c r="BD35" s="366">
        <v>0</v>
      </c>
      <c r="BE35" s="366">
        <v>0</v>
      </c>
      <c r="BF35" s="366">
        <v>0</v>
      </c>
      <c r="BG35" s="366">
        <v>0</v>
      </c>
      <c r="BH35" s="366">
        <v>4</v>
      </c>
      <c r="BI35" s="367">
        <f>IFERROR(AV35/Instructions!$J$25,0)+AW35*Instructions!$J$27+AX35*Instructions!$J$29+IFERROR(AY35/Instructions!$E$34,0)+AZ35*Instructions!$E$36+Tier!BA35*Instructions!$E$25+IFERROR(BB35/Instructions!$E$27,0)+BC35*Instructions!$E$29+IFERROR((BD35+BF35)/Instructions!$J$32,0)+(BE35+BG35)*Instructions!$J$34+BH35*-2</f>
        <v>389.08000000000004</v>
      </c>
      <c r="BJ35" s="354"/>
      <c r="BK35" s="366">
        <v>2014</v>
      </c>
      <c r="BL35" s="370" t="s">
        <v>100</v>
      </c>
      <c r="BM35" s="372" t="s">
        <v>161</v>
      </c>
      <c r="BN35" s="372" t="s">
        <v>3</v>
      </c>
      <c r="BO35" s="372">
        <v>0</v>
      </c>
      <c r="BP35" s="372">
        <v>0</v>
      </c>
      <c r="BQ35" s="372">
        <v>0</v>
      </c>
      <c r="BR35" s="372">
        <v>673</v>
      </c>
      <c r="BS35" s="372">
        <v>4</v>
      </c>
      <c r="BT35" s="372">
        <v>11</v>
      </c>
      <c r="BU35" s="372">
        <v>64</v>
      </c>
      <c r="BV35" s="372">
        <v>1</v>
      </c>
      <c r="BW35" s="372">
        <v>0</v>
      </c>
      <c r="BX35" s="372">
        <v>0</v>
      </c>
      <c r="BY35" s="372">
        <v>0</v>
      </c>
      <c r="BZ35" s="372">
        <v>0</v>
      </c>
      <c r="CA35" s="372">
        <v>1</v>
      </c>
      <c r="CB35" s="367">
        <f>IFERROR(BO35/Instructions!$J$25,0)+BP35*Instructions!$J$27+BQ35*Instructions!$J$29+IFERROR(BR35/Instructions!$E$34,0)+BS35*Instructions!$E$36+Tier!BT36*Instructions!$E$25+IFERROR(BU35/Instructions!$E$27,0)+BV35*Instructions!$E$29+IFERROR((BW35+BY35)/Instructions!$J$32,0)+(BX35+BZ35)*Instructions!$J$34+Tier!CA35*-2</f>
        <v>111.7</v>
      </c>
      <c r="CC35" s="354"/>
      <c r="CD35" s="321">
        <v>2014</v>
      </c>
      <c r="CE35" s="370" t="s">
        <v>196</v>
      </c>
      <c r="CF35" s="371" t="s">
        <v>145</v>
      </c>
      <c r="CG35" s="371" t="s">
        <v>6</v>
      </c>
      <c r="CH35" s="371">
        <v>79</v>
      </c>
      <c r="CI35" s="371">
        <v>1</v>
      </c>
      <c r="CJ35" s="371">
        <v>0</v>
      </c>
      <c r="CK35" s="371">
        <v>51</v>
      </c>
      <c r="CL35" s="371">
        <v>0</v>
      </c>
      <c r="CM35" s="371">
        <v>56</v>
      </c>
      <c r="CN35" s="371">
        <v>790</v>
      </c>
      <c r="CO35" s="371">
        <v>5</v>
      </c>
      <c r="CP35" s="371">
        <v>0</v>
      </c>
      <c r="CQ35" s="371">
        <v>0</v>
      </c>
      <c r="CR35" s="371">
        <v>0</v>
      </c>
      <c r="CS35" s="371">
        <v>0</v>
      </c>
      <c r="CT35" s="371">
        <v>0</v>
      </c>
      <c r="CU35" s="367">
        <f>IFERROR(CH35/Instructions!$J$25,0)+CI35*Instructions!$J$27+CJ35*Instructions!$J$29+IFERROR(CK35/Instructions!$E$34,0)+CL35*Instructions!$E$36+Tier!CM35*Instructions!$E$25+IFERROR(CN35/Instructions!$E$27,0)+CO35*Instructions!$E$29+IFERROR((CP35+CR35)/Instructions!$J$32,0)+(CQ35+CS35)*Instructions!$J$34+Tier!CT35*-2</f>
        <v>177.26</v>
      </c>
      <c r="CV35" s="354"/>
      <c r="CW35" s="238">
        <v>2015</v>
      </c>
      <c r="CX35" s="368" t="s">
        <v>18</v>
      </c>
      <c r="CY35" s="369" t="s">
        <v>1628</v>
      </c>
      <c r="CZ35" s="369" t="s">
        <v>7</v>
      </c>
      <c r="DA35" s="369">
        <v>0</v>
      </c>
      <c r="DB35" s="369">
        <v>0</v>
      </c>
      <c r="DC35" s="369">
        <v>0</v>
      </c>
      <c r="DD35" s="369">
        <v>0</v>
      </c>
      <c r="DE35" s="369">
        <v>0</v>
      </c>
      <c r="DF35" s="366">
        <v>72</v>
      </c>
      <c r="DG35" s="366">
        <v>1176</v>
      </c>
      <c r="DH35" s="366">
        <v>11</v>
      </c>
      <c r="DI35" s="366">
        <v>0</v>
      </c>
      <c r="DJ35" s="366">
        <v>0</v>
      </c>
      <c r="DK35" s="366">
        <v>5</v>
      </c>
      <c r="DL35" s="366">
        <v>0</v>
      </c>
      <c r="DM35" s="366">
        <v>0</v>
      </c>
      <c r="DN35" s="367">
        <f>IFERROR(DA35/Instructions!$J$25,0)+DB35*Instructions!$J$27+DC35*Instructions!$J$29+IFERROR(DD35/Instructions!$E$34,0)+DE35*Instructions!$E$36+Tier!DF35*Instructions!$E$25+IFERROR(DG35/Instructions!$E$27,0)+DH35*Instructions!$E$29+IFERROR((DI35+DK35)/Instructions!$J$32,0)+(DJ35+DL35)*Instructions!$J$34+Tier!DM35*-2</f>
        <v>255.6</v>
      </c>
    </row>
    <row r="36" spans="1:118" s="366" customFormat="1" ht="15.75" customHeight="1" x14ac:dyDescent="0.25">
      <c r="A36" s="238">
        <v>8</v>
      </c>
      <c r="B36" s="358">
        <f t="shared" si="29"/>
        <v>177.58222222222221</v>
      </c>
      <c r="C36" s="354"/>
      <c r="D36" s="363">
        <v>3</v>
      </c>
      <c r="E36" s="364">
        <f t="shared" si="30"/>
        <v>310.73999999999995</v>
      </c>
      <c r="F36" s="238">
        <v>2015</v>
      </c>
      <c r="G36" s="367">
        <f>LARGE($BI$35:$BI$66,2)</f>
        <v>344.70000000000005</v>
      </c>
      <c r="H36" s="355">
        <f t="shared" ref="H36:H66" si="37">G36-$J$45</f>
        <v>64.220000000000027</v>
      </c>
      <c r="I36" s="356">
        <f t="shared" si="35"/>
        <v>4124.2084000000032</v>
      </c>
      <c r="J36" s="356">
        <f>AVERAGE(I35:INDEX(I35:I66,Instructions!$E$11*Instructions!$E$15,1))</f>
        <v>1831.0261333333337</v>
      </c>
      <c r="K36" s="356">
        <f t="shared" ref="K36:K66" si="38">H36/$J$35</f>
        <v>4.0137500000000017</v>
      </c>
      <c r="L36" s="238">
        <f t="shared" ref="L36:L66" si="39">IF(K36&gt;6,0,
IF(AND(K36&lt;=6,K36&gt;5),1,
IF(AND(K36&lt;=5,K36&gt;4),2,
IF(AND(K36&lt;=4,K36&gt;3),3,
IF(AND(K36&lt;=3,K36&gt;2),4,
IF(AND(K36&lt;=2,K36&gt;1),5,
IF(AND(K36&lt;=1,K36&gt;0),6,
IF(AND(K36&lt;=0,K36&gt;-1),7,
8))))))))</f>
        <v>2</v>
      </c>
      <c r="M36" s="354"/>
      <c r="N36" s="363">
        <v>3</v>
      </c>
      <c r="O36" s="364">
        <f t="shared" si="31"/>
        <v>227.9</v>
      </c>
      <c r="P36" s="366">
        <v>2014</v>
      </c>
      <c r="Q36" s="367">
        <f>LARGE($CB$2:$CB$151,35)</f>
        <v>118.39999999999999</v>
      </c>
      <c r="R36" s="357">
        <f t="shared" si="34"/>
        <v>-46.2</v>
      </c>
      <c r="S36" s="356">
        <f t="shared" si="6"/>
        <v>2134.44</v>
      </c>
      <c r="T36" s="238"/>
      <c r="U36" s="356">
        <f t="shared" si="7"/>
        <v>-2.8875000000000002</v>
      </c>
      <c r="V36" s="238">
        <f t="shared" si="8"/>
        <v>8</v>
      </c>
      <c r="W36" s="354"/>
      <c r="X36" s="363">
        <v>3</v>
      </c>
      <c r="Y36" s="364">
        <f t="shared" si="32"/>
        <v>248.55</v>
      </c>
      <c r="Z36" s="321">
        <v>2014</v>
      </c>
      <c r="AA36" s="367">
        <f>LARGE($CU$2:$CU$151,35)</f>
        <v>177.3</v>
      </c>
      <c r="AB36" s="357">
        <f t="shared" si="10"/>
        <v>-40.433333333333337</v>
      </c>
      <c r="AC36" s="356">
        <f t="shared" si="0"/>
        <v>1634.8544444444447</v>
      </c>
      <c r="AD36" s="356"/>
      <c r="AE36" s="356">
        <f t="shared" si="11"/>
        <v>-2.5270833333333336</v>
      </c>
      <c r="AF36" s="238">
        <f t="shared" si="12"/>
        <v>8</v>
      </c>
      <c r="AG36" s="354"/>
      <c r="AH36" s="363">
        <v>3</v>
      </c>
      <c r="AI36" s="364">
        <f t="shared" si="33"/>
        <v>188.7</v>
      </c>
      <c r="AJ36" s="238">
        <v>2015</v>
      </c>
      <c r="AK36" s="367">
        <f>LARGE($DN$35:$DN$66,2)</f>
        <v>242.39999999999998</v>
      </c>
      <c r="AL36" s="373">
        <f t="shared" ref="AL36:AL66" si="40">AK36-$AN$45</f>
        <v>111.69999999999999</v>
      </c>
      <c r="AM36" s="374">
        <f t="shared" si="36"/>
        <v>12476.889999999998</v>
      </c>
      <c r="AN36" s="374">
        <f>AVERAGE(AM35:INDEX(Tier!M35:M66,Instructions!$E$11,1))</f>
        <v>839.24878381682174</v>
      </c>
      <c r="AO36" s="374">
        <f t="shared" ref="AO36:AO66" si="41">AL36/$AN$35</f>
        <v>6.9812499999999993</v>
      </c>
      <c r="AP36" s="238">
        <f t="shared" si="17"/>
        <v>0</v>
      </c>
      <c r="AQ36" s="354"/>
      <c r="AR36" s="238">
        <v>2015</v>
      </c>
      <c r="AS36" s="365" t="s">
        <v>35</v>
      </c>
      <c r="AT36" s="366" t="s">
        <v>1628</v>
      </c>
      <c r="AU36" s="366" t="s">
        <v>1</v>
      </c>
      <c r="AV36" s="366">
        <v>4770</v>
      </c>
      <c r="AW36" s="366">
        <v>36</v>
      </c>
      <c r="AX36" s="366">
        <v>7</v>
      </c>
      <c r="AY36" s="366">
        <v>53</v>
      </c>
      <c r="AZ36" s="366">
        <v>3</v>
      </c>
      <c r="BA36" s="366">
        <v>1</v>
      </c>
      <c r="BB36" s="366">
        <v>36</v>
      </c>
      <c r="BC36" s="366">
        <v>0</v>
      </c>
      <c r="BD36" s="366">
        <v>0</v>
      </c>
      <c r="BE36" s="366">
        <v>0</v>
      </c>
      <c r="BF36" s="366">
        <v>0</v>
      </c>
      <c r="BG36" s="366">
        <v>0</v>
      </c>
      <c r="BH36" s="366">
        <v>2</v>
      </c>
      <c r="BI36" s="367">
        <f>IFERROR(AV36/Instructions!$J$25,0)+AW36*Instructions!$J$27+AX36*Instructions!$J$29+IFERROR(AY36/Instructions!$E$34,0)+AZ36*Instructions!$E$36+Tier!BA36*Instructions!$E$25+IFERROR(BB36/Instructions!$E$27,0)+BC36*Instructions!$E$29+IFERROR((BD36+BF36)/Instructions!$J$32,0)+(BE36+BG36)*Instructions!$J$34+BH36*-2</f>
        <v>344.70000000000005</v>
      </c>
      <c r="BJ36" s="354"/>
      <c r="BK36" s="366">
        <v>2014</v>
      </c>
      <c r="BL36" s="370" t="s">
        <v>109</v>
      </c>
      <c r="BM36" s="372" t="s">
        <v>1633</v>
      </c>
      <c r="BN36" s="372" t="s">
        <v>3</v>
      </c>
      <c r="BO36" s="372">
        <v>0</v>
      </c>
      <c r="BP36" s="372">
        <v>0</v>
      </c>
      <c r="BQ36" s="372">
        <v>0</v>
      </c>
      <c r="BR36" s="372">
        <v>547</v>
      </c>
      <c r="BS36" s="372">
        <v>5</v>
      </c>
      <c r="BT36" s="372">
        <v>10</v>
      </c>
      <c r="BU36" s="372">
        <v>54</v>
      </c>
      <c r="BV36" s="372">
        <v>0</v>
      </c>
      <c r="BW36" s="372">
        <v>0</v>
      </c>
      <c r="BX36" s="372">
        <v>0</v>
      </c>
      <c r="BY36" s="372">
        <v>103</v>
      </c>
      <c r="BZ36" s="372">
        <v>0</v>
      </c>
      <c r="CA36" s="372">
        <v>1</v>
      </c>
      <c r="CB36" s="367">
        <f>IFERROR(BO36/Instructions!$J$25,0)+BP36*Instructions!$J$27+BQ36*Instructions!$J$29+IFERROR(BR36/Instructions!$E$34,0)+BS36*Instructions!$E$36+Tier!BT37*Instructions!$E$25+IFERROR(BU36/Instructions!$E$27,0)+BV36*Instructions!$E$29+IFERROR((BW36+BY36)/Instructions!$J$32,0)+(BX36+BZ36)*Instructions!$J$34+Tier!CA36*-2</f>
        <v>112.10000000000001</v>
      </c>
      <c r="CC36" s="354"/>
      <c r="CD36" s="321">
        <v>2014</v>
      </c>
      <c r="CE36" s="370" t="s">
        <v>1671</v>
      </c>
      <c r="CF36" s="371" t="s">
        <v>1625</v>
      </c>
      <c r="CG36" s="371" t="s">
        <v>6</v>
      </c>
      <c r="CH36" s="371">
        <v>0</v>
      </c>
      <c r="CI36" s="371">
        <v>0</v>
      </c>
      <c r="CJ36" s="371">
        <v>0</v>
      </c>
      <c r="CK36" s="371">
        <v>0</v>
      </c>
      <c r="CL36" s="371">
        <v>0</v>
      </c>
      <c r="CM36" s="371">
        <v>59</v>
      </c>
      <c r="CN36" s="371">
        <v>902</v>
      </c>
      <c r="CO36" s="371">
        <v>5</v>
      </c>
      <c r="CP36" s="371">
        <v>0</v>
      </c>
      <c r="CQ36" s="371">
        <v>0</v>
      </c>
      <c r="CR36" s="371">
        <v>0</v>
      </c>
      <c r="CS36" s="371">
        <v>0</v>
      </c>
      <c r="CT36" s="371">
        <v>1</v>
      </c>
      <c r="CU36" s="367">
        <f>IFERROR(CH36/Instructions!$J$25,0)+CI36*Instructions!$J$27+CJ36*Instructions!$J$29+IFERROR(CK36/Instructions!$E$34,0)+CL36*Instructions!$E$36+Tier!CM36*Instructions!$E$25+IFERROR(CN36/Instructions!$E$27,0)+CO36*Instructions!$E$29+IFERROR((CP36+CR36)/Instructions!$J$32,0)+(CQ36+CS36)*Instructions!$J$34+Tier!CT36*-2</f>
        <v>177.2</v>
      </c>
      <c r="CV36" s="354"/>
      <c r="CW36" s="238">
        <v>2015</v>
      </c>
      <c r="CX36" s="368" t="s">
        <v>241</v>
      </c>
      <c r="CY36" s="369" t="s">
        <v>161</v>
      </c>
      <c r="CZ36" s="369" t="s">
        <v>7</v>
      </c>
      <c r="DA36" s="369">
        <v>0</v>
      </c>
      <c r="DB36" s="369">
        <v>0</v>
      </c>
      <c r="DC36" s="369">
        <v>0</v>
      </c>
      <c r="DD36" s="369">
        <v>0</v>
      </c>
      <c r="DE36" s="369">
        <v>0</v>
      </c>
      <c r="DF36" s="366">
        <v>79</v>
      </c>
      <c r="DG36" s="366">
        <v>1043</v>
      </c>
      <c r="DH36" s="366">
        <v>9</v>
      </c>
      <c r="DI36" s="366">
        <v>0</v>
      </c>
      <c r="DJ36" s="366">
        <v>0</v>
      </c>
      <c r="DK36" s="366">
        <v>0</v>
      </c>
      <c r="DL36" s="366">
        <v>0</v>
      </c>
      <c r="DM36" s="366">
        <v>0</v>
      </c>
      <c r="DN36" s="367">
        <f>IFERROR(DA36/Instructions!$J$25,0)+DB36*Instructions!$J$27+DC36*Instructions!$J$29+IFERROR(DD36/Instructions!$E$34,0)+DE36*Instructions!$E$36+Tier!DF36*Instructions!$E$25+IFERROR(DG36/Instructions!$E$27,0)+DH36*Instructions!$E$29+IFERROR((DI36+DK36)/Instructions!$J$32,0)+(DJ36+DL36)*Instructions!$J$34+Tier!DM36*-2</f>
        <v>237.3</v>
      </c>
    </row>
    <row r="37" spans="1:118" s="366" customFormat="1" ht="15.75" customHeight="1" x14ac:dyDescent="0.25">
      <c r="A37" s="238"/>
      <c r="B37" s="238"/>
      <c r="C37" s="354"/>
      <c r="D37" s="363">
        <v>4</v>
      </c>
      <c r="E37" s="364">
        <f t="shared" si="30"/>
        <v>294.02999999999997</v>
      </c>
      <c r="F37" s="238">
        <v>2015</v>
      </c>
      <c r="G37" s="367">
        <f>LARGE($BI$35:$BI$66,3)</f>
        <v>336.26000000000005</v>
      </c>
      <c r="H37" s="355">
        <f t="shared" si="37"/>
        <v>55.78000000000003</v>
      </c>
      <c r="I37" s="356">
        <f t="shared" si="35"/>
        <v>3111.4084000000034</v>
      </c>
      <c r="J37" s="356"/>
      <c r="K37" s="356">
        <f t="shared" si="38"/>
        <v>3.4862500000000018</v>
      </c>
      <c r="L37" s="238">
        <f t="shared" si="39"/>
        <v>3</v>
      </c>
      <c r="M37" s="354"/>
      <c r="N37" s="363">
        <v>4</v>
      </c>
      <c r="O37" s="364">
        <f t="shared" si="31"/>
        <v>212.1</v>
      </c>
      <c r="P37" s="366">
        <v>2014</v>
      </c>
      <c r="Q37" s="367">
        <f>LARGE($CB$2:$CB$151,36)</f>
        <v>114.2</v>
      </c>
      <c r="R37" s="357">
        <f t="shared" si="34"/>
        <v>-50.399999999999991</v>
      </c>
      <c r="S37" s="356">
        <f t="shared" si="6"/>
        <v>2540.1599999999989</v>
      </c>
      <c r="T37" s="238"/>
      <c r="U37" s="356">
        <f t="shared" si="7"/>
        <v>-3.1499999999999995</v>
      </c>
      <c r="V37" s="238">
        <f t="shared" si="8"/>
        <v>8</v>
      </c>
      <c r="W37" s="354"/>
      <c r="X37" s="363">
        <v>4</v>
      </c>
      <c r="Y37" s="364">
        <f t="shared" si="32"/>
        <v>230.56666666666669</v>
      </c>
      <c r="Z37" s="321">
        <v>2014</v>
      </c>
      <c r="AA37" s="367">
        <f>LARGE($CU$2:$CU$151,36)</f>
        <v>177.26</v>
      </c>
      <c r="AB37" s="357">
        <f t="shared" si="10"/>
        <v>-40.473333333333358</v>
      </c>
      <c r="AC37" s="356">
        <f t="shared" si="0"/>
        <v>1638.090711111113</v>
      </c>
      <c r="AD37" s="356"/>
      <c r="AE37" s="356">
        <f t="shared" si="11"/>
        <v>-2.5295833333333348</v>
      </c>
      <c r="AF37" s="238">
        <f t="shared" si="12"/>
        <v>8</v>
      </c>
      <c r="AG37" s="354"/>
      <c r="AH37" s="363">
        <v>4</v>
      </c>
      <c r="AI37" s="364">
        <f t="shared" si="33"/>
        <v>169.72499999999999</v>
      </c>
      <c r="AJ37" s="238">
        <v>2015</v>
      </c>
      <c r="AK37" s="367">
        <f>LARGE($DN$35:$DN$66,3)</f>
        <v>237.3</v>
      </c>
      <c r="AL37" s="373">
        <f t="shared" si="40"/>
        <v>106.60000000000002</v>
      </c>
      <c r="AM37" s="374">
        <f t="shared" si="36"/>
        <v>11363.560000000005</v>
      </c>
      <c r="AN37" s="374"/>
      <c r="AO37" s="374">
        <f t="shared" si="41"/>
        <v>6.6625000000000014</v>
      </c>
      <c r="AP37" s="238">
        <f t="shared" si="17"/>
        <v>0</v>
      </c>
      <c r="AQ37" s="354"/>
      <c r="AR37" s="238">
        <v>2015</v>
      </c>
      <c r="AS37" s="365" t="s">
        <v>45</v>
      </c>
      <c r="AT37" s="366" t="s">
        <v>140</v>
      </c>
      <c r="AU37" s="366" t="s">
        <v>1</v>
      </c>
      <c r="AV37" s="366">
        <v>4024</v>
      </c>
      <c r="AW37" s="366">
        <v>34</v>
      </c>
      <c r="AX37" s="366">
        <v>8</v>
      </c>
      <c r="AY37" s="366">
        <v>553</v>
      </c>
      <c r="AZ37" s="366">
        <v>1</v>
      </c>
      <c r="BA37" s="366">
        <v>0</v>
      </c>
      <c r="BB37" s="366">
        <v>0</v>
      </c>
      <c r="BC37" s="366">
        <v>0</v>
      </c>
      <c r="BD37" s="366">
        <v>0</v>
      </c>
      <c r="BE37" s="366">
        <v>0</v>
      </c>
      <c r="BF37" s="366">
        <v>0</v>
      </c>
      <c r="BG37" s="366">
        <v>0</v>
      </c>
      <c r="BH37" s="366">
        <v>3</v>
      </c>
      <c r="BI37" s="367">
        <f>IFERROR(AV37/Instructions!$J$25,0)+AW37*Instructions!$J$27+AX37*Instructions!$J$29+IFERROR(AY37/Instructions!$E$34,0)+AZ37*Instructions!$E$36+Tier!BA37*Instructions!$E$25+IFERROR(BB37/Instructions!$E$27,0)+BC37*Instructions!$E$29+IFERROR((BD37+BF37)/Instructions!$J$32,0)+(BE37+BG37)*Instructions!$J$34+BH37*-2</f>
        <v>336.26000000000005</v>
      </c>
      <c r="BJ37" s="354"/>
      <c r="BK37" s="366">
        <v>2014</v>
      </c>
      <c r="BL37" s="370" t="s">
        <v>78</v>
      </c>
      <c r="BM37" s="372" t="s">
        <v>164</v>
      </c>
      <c r="BN37" s="372" t="s">
        <v>3</v>
      </c>
      <c r="BO37" s="372">
        <v>0</v>
      </c>
      <c r="BP37" s="372">
        <v>0</v>
      </c>
      <c r="BQ37" s="372">
        <v>0</v>
      </c>
      <c r="BR37" s="372">
        <v>663</v>
      </c>
      <c r="BS37" s="372">
        <v>1</v>
      </c>
      <c r="BT37" s="372">
        <v>24</v>
      </c>
      <c r="BU37" s="372">
        <v>151</v>
      </c>
      <c r="BV37" s="372">
        <v>1</v>
      </c>
      <c r="BW37" s="372">
        <v>0</v>
      </c>
      <c r="BX37" s="372">
        <v>0</v>
      </c>
      <c r="BY37" s="372">
        <v>0</v>
      </c>
      <c r="BZ37" s="372">
        <v>0</v>
      </c>
      <c r="CA37" s="372">
        <v>1</v>
      </c>
      <c r="CB37" s="367">
        <f>IFERROR(BO37/Instructions!$J$25,0)+BP37*Instructions!$J$27+BQ37*Instructions!$J$29+IFERROR(BR37/Instructions!$E$34,0)+BS37*Instructions!$E$36+Tier!BT38*Instructions!$E$25+IFERROR(BU37/Instructions!$E$27,0)+BV37*Instructions!$E$29+IFERROR((BW37+BY37)/Instructions!$J$32,0)+(BX37+BZ37)*Instructions!$J$34+Tier!CA37*-2</f>
        <v>118.39999999999999</v>
      </c>
      <c r="CC37" s="354"/>
      <c r="CD37" s="321">
        <v>2014</v>
      </c>
      <c r="CE37" s="370" t="s">
        <v>25</v>
      </c>
      <c r="CF37" s="371" t="s">
        <v>141</v>
      </c>
      <c r="CG37" s="371" t="s">
        <v>6</v>
      </c>
      <c r="CH37" s="371">
        <v>0</v>
      </c>
      <c r="CI37" s="371">
        <v>0</v>
      </c>
      <c r="CJ37" s="371">
        <v>0</v>
      </c>
      <c r="CK37" s="371">
        <v>0</v>
      </c>
      <c r="CL37" s="371">
        <v>0</v>
      </c>
      <c r="CM37" s="371">
        <v>61</v>
      </c>
      <c r="CN37" s="371">
        <v>721</v>
      </c>
      <c r="CO37" s="371">
        <v>8</v>
      </c>
      <c r="CP37" s="371">
        <v>0</v>
      </c>
      <c r="CQ37" s="371">
        <v>0</v>
      </c>
      <c r="CR37" s="371">
        <v>0</v>
      </c>
      <c r="CS37" s="371">
        <v>0</v>
      </c>
      <c r="CT37" s="371">
        <v>1</v>
      </c>
      <c r="CU37" s="367">
        <f>IFERROR(CH37/Instructions!$J$25,0)+CI37*Instructions!$J$27+CJ37*Instructions!$J$29+IFERROR(CK37/Instructions!$E$34,0)+CL37*Instructions!$E$36+Tier!CM37*Instructions!$E$25+IFERROR(CN37/Instructions!$E$27,0)+CO37*Instructions!$E$29+IFERROR((CP37+CR37)/Instructions!$J$32,0)+(CQ37+CS37)*Instructions!$J$34+Tier!CT37*-2</f>
        <v>179.1</v>
      </c>
      <c r="CV37" s="354"/>
      <c r="CW37" s="238">
        <v>2015</v>
      </c>
      <c r="CX37" s="368" t="s">
        <v>30</v>
      </c>
      <c r="CY37" s="369" t="s">
        <v>159</v>
      </c>
      <c r="CZ37" s="369" t="s">
        <v>7</v>
      </c>
      <c r="DA37" s="369">
        <v>0</v>
      </c>
      <c r="DB37" s="369">
        <v>0</v>
      </c>
      <c r="DC37" s="369">
        <v>0</v>
      </c>
      <c r="DD37" s="369">
        <v>0</v>
      </c>
      <c r="DE37" s="369">
        <v>0</v>
      </c>
      <c r="DF37" s="366">
        <v>77</v>
      </c>
      <c r="DG37" s="366">
        <v>1104</v>
      </c>
      <c r="DH37" s="366">
        <v>7</v>
      </c>
      <c r="DI37" s="366">
        <v>0</v>
      </c>
      <c r="DJ37" s="366">
        <v>0</v>
      </c>
      <c r="DK37" s="366">
        <v>0</v>
      </c>
      <c r="DL37" s="366">
        <v>0</v>
      </c>
      <c r="DM37" s="366">
        <v>1</v>
      </c>
      <c r="DN37" s="367">
        <f>IFERROR(DA37/Instructions!$J$25,0)+DB37*Instructions!$J$27+DC37*Instructions!$J$29+IFERROR(DD37/Instructions!$E$34,0)+DE37*Instructions!$E$36+Tier!DF37*Instructions!$E$25+IFERROR(DG37/Instructions!$E$27,0)+DH37*Instructions!$E$29+IFERROR((DI37+DK37)/Instructions!$J$32,0)+(DJ37+DL37)*Instructions!$J$34+Tier!DM37*-2</f>
        <v>227.4</v>
      </c>
    </row>
    <row r="38" spans="1:118" s="366" customFormat="1" ht="15.75" customHeight="1" x14ac:dyDescent="0.25">
      <c r="A38" s="353" t="s">
        <v>7</v>
      </c>
      <c r="B38" s="353">
        <v>8</v>
      </c>
      <c r="C38" s="354"/>
      <c r="D38" s="363">
        <v>5</v>
      </c>
      <c r="E38" s="364">
        <f t="shared" si="30"/>
        <v>274.59333333333336</v>
      </c>
      <c r="F38" s="238">
        <v>2015</v>
      </c>
      <c r="G38" s="367">
        <f>LARGE($BI$35:$BI$66,4)</f>
        <v>314.12</v>
      </c>
      <c r="H38" s="355">
        <f t="shared" si="37"/>
        <v>33.639999999999986</v>
      </c>
      <c r="I38" s="356">
        <f t="shared" si="35"/>
        <v>1131.6495999999991</v>
      </c>
      <c r="J38" s="356">
        <f>J39+J35</f>
        <v>392.48</v>
      </c>
      <c r="K38" s="356">
        <f t="shared" si="38"/>
        <v>2.1024999999999991</v>
      </c>
      <c r="L38" s="238">
        <f t="shared" si="39"/>
        <v>4</v>
      </c>
      <c r="M38" s="354"/>
      <c r="N38" s="363">
        <v>5</v>
      </c>
      <c r="O38" s="364">
        <f t="shared" si="31"/>
        <v>198.2</v>
      </c>
      <c r="P38" s="366">
        <v>2014</v>
      </c>
      <c r="Q38" s="367">
        <f>LARGE($CB$2:$CB$151,37)</f>
        <v>112.10000000000001</v>
      </c>
      <c r="R38" s="357">
        <f t="shared" si="34"/>
        <v>-52.499999999999986</v>
      </c>
      <c r="S38" s="356">
        <f t="shared" si="6"/>
        <v>2756.2499999999986</v>
      </c>
      <c r="T38" s="238"/>
      <c r="U38" s="356">
        <f t="shared" si="7"/>
        <v>-3.2812499999999991</v>
      </c>
      <c r="V38" s="238">
        <f t="shared" si="8"/>
        <v>8</v>
      </c>
      <c r="W38" s="354"/>
      <c r="X38" s="363">
        <v>5</v>
      </c>
      <c r="Y38" s="364">
        <f t="shared" si="32"/>
        <v>221.375</v>
      </c>
      <c r="Z38" s="321">
        <v>2014</v>
      </c>
      <c r="AA38" s="367">
        <f>LARGE($CU$2:$CU$151,37)</f>
        <v>177.2</v>
      </c>
      <c r="AB38" s="357">
        <f t="shared" si="10"/>
        <v>-40.53333333333336</v>
      </c>
      <c r="AC38" s="356">
        <f t="shared" si="0"/>
        <v>1642.9511111111133</v>
      </c>
      <c r="AD38" s="356"/>
      <c r="AE38" s="356">
        <f t="shared" si="11"/>
        <v>-2.533333333333335</v>
      </c>
      <c r="AF38" s="238">
        <f t="shared" si="12"/>
        <v>8</v>
      </c>
      <c r="AG38" s="354"/>
      <c r="AH38" s="363">
        <v>5</v>
      </c>
      <c r="AI38" s="364">
        <f t="shared" si="33"/>
        <v>158.19999999999999</v>
      </c>
      <c r="AJ38" s="238">
        <v>2015</v>
      </c>
      <c r="AK38" s="367">
        <f>LARGE($DN$35:$DN$66,4)</f>
        <v>227.4</v>
      </c>
      <c r="AL38" s="373">
        <f t="shared" si="40"/>
        <v>96.700000000000017</v>
      </c>
      <c r="AM38" s="374">
        <f t="shared" si="36"/>
        <v>9350.8900000000031</v>
      </c>
      <c r="AN38" s="356">
        <f>AN39+AN35</f>
        <v>242.7</v>
      </c>
      <c r="AO38" s="374">
        <f t="shared" si="41"/>
        <v>6.0437500000000011</v>
      </c>
      <c r="AP38" s="238">
        <f t="shared" si="17"/>
        <v>0</v>
      </c>
      <c r="AQ38" s="354"/>
      <c r="AR38" s="238">
        <v>2015</v>
      </c>
      <c r="AS38" s="365" t="s">
        <v>174</v>
      </c>
      <c r="AT38" s="366" t="s">
        <v>1613</v>
      </c>
      <c r="AU38" s="366" t="s">
        <v>1</v>
      </c>
      <c r="AV38" s="366">
        <v>4428</v>
      </c>
      <c r="AW38" s="366">
        <v>35</v>
      </c>
      <c r="AX38" s="366">
        <v>18</v>
      </c>
      <c r="AY38" s="366">
        <v>310</v>
      </c>
      <c r="AZ38" s="366">
        <v>2</v>
      </c>
      <c r="BA38" s="366">
        <v>0</v>
      </c>
      <c r="BB38" s="366">
        <v>0</v>
      </c>
      <c r="BC38" s="366">
        <v>0</v>
      </c>
      <c r="BD38" s="366">
        <v>0</v>
      </c>
      <c r="BE38" s="366">
        <v>0</v>
      </c>
      <c r="BF38" s="366">
        <v>0</v>
      </c>
      <c r="BG38" s="366">
        <v>0</v>
      </c>
      <c r="BH38" s="366">
        <v>5</v>
      </c>
      <c r="BI38" s="367">
        <f>IFERROR(AV38/Instructions!$J$25,0)+AW38*Instructions!$J$27+AX38*Instructions!$J$29+IFERROR(AY38/Instructions!$E$34,0)+AZ38*Instructions!$E$36+Tier!BA38*Instructions!$E$25+IFERROR(BB38/Instructions!$E$27,0)+BC38*Instructions!$E$29+IFERROR((BD38+BF38)/Instructions!$J$32,0)+(BE38+BG38)*Instructions!$J$34+BH38*-2</f>
        <v>314.12</v>
      </c>
      <c r="BJ38" s="354"/>
      <c r="BK38" s="366">
        <v>2014</v>
      </c>
      <c r="BL38" s="370" t="s">
        <v>1692</v>
      </c>
      <c r="BM38" s="372" t="s">
        <v>158</v>
      </c>
      <c r="BN38" s="372" t="s">
        <v>3</v>
      </c>
      <c r="BO38" s="372">
        <v>0</v>
      </c>
      <c r="BP38" s="372">
        <v>0</v>
      </c>
      <c r="BQ38" s="372">
        <v>0</v>
      </c>
      <c r="BR38" s="372">
        <v>519</v>
      </c>
      <c r="BS38" s="372">
        <v>3</v>
      </c>
      <c r="BT38" s="372">
        <v>27</v>
      </c>
      <c r="BU38" s="372">
        <v>229</v>
      </c>
      <c r="BV38" s="372">
        <v>0</v>
      </c>
      <c r="BW38" s="372">
        <v>0</v>
      </c>
      <c r="BX38" s="372">
        <v>0</v>
      </c>
      <c r="BY38" s="372">
        <v>0</v>
      </c>
      <c r="BZ38" s="372">
        <v>0</v>
      </c>
      <c r="CA38" s="372">
        <v>1</v>
      </c>
      <c r="CB38" s="367">
        <f>IFERROR(BO38/Instructions!$J$25,0)+BP38*Instructions!$J$27+BQ38*Instructions!$J$29+IFERROR(BR38/Instructions!$E$34,0)+BS38*Instructions!$E$36+Tier!BT39*Instructions!$E$25+IFERROR(BU38/Instructions!$E$27,0)+BV38*Instructions!$E$29+IFERROR((BW38+BY38)/Instructions!$J$32,0)+(BX38+BZ38)*Instructions!$J$34+Tier!CA38*-2</f>
        <v>123.80000000000001</v>
      </c>
      <c r="CC38" s="354"/>
      <c r="CD38" s="321">
        <v>2014</v>
      </c>
      <c r="CE38" s="370" t="s">
        <v>89</v>
      </c>
      <c r="CF38" s="371" t="s">
        <v>163</v>
      </c>
      <c r="CG38" s="371" t="s">
        <v>6</v>
      </c>
      <c r="CH38" s="371">
        <v>0</v>
      </c>
      <c r="CI38" s="371">
        <v>0</v>
      </c>
      <c r="CJ38" s="371">
        <v>0</v>
      </c>
      <c r="CK38" s="371">
        <v>54</v>
      </c>
      <c r="CL38" s="371">
        <v>0</v>
      </c>
      <c r="CM38" s="371">
        <v>57</v>
      </c>
      <c r="CN38" s="371">
        <v>715</v>
      </c>
      <c r="CO38" s="371">
        <v>6</v>
      </c>
      <c r="CP38" s="371">
        <v>0</v>
      </c>
      <c r="CQ38" s="371">
        <v>0</v>
      </c>
      <c r="CR38" s="371">
        <v>0</v>
      </c>
      <c r="CS38" s="371">
        <v>0</v>
      </c>
      <c r="CT38" s="371">
        <v>1</v>
      </c>
      <c r="CU38" s="367">
        <f>IFERROR(CH38/Instructions!$J$25,0)+CI38*Instructions!$J$27+CJ38*Instructions!$J$29+IFERROR(CK38/Instructions!$E$34,0)+CL38*Instructions!$E$36+Tier!CM38*Instructions!$E$25+IFERROR(CN38/Instructions!$E$27,0)+CO38*Instructions!$E$29+IFERROR((CP38+CR38)/Instructions!$J$32,0)+(CQ38+CS38)*Instructions!$J$34+Tier!CT38*-2</f>
        <v>167.9</v>
      </c>
      <c r="CV38" s="354"/>
      <c r="CW38" s="238">
        <v>2015</v>
      </c>
      <c r="CX38" s="365" t="s">
        <v>220</v>
      </c>
      <c r="CY38" s="366" t="s">
        <v>163</v>
      </c>
      <c r="CZ38" s="369" t="s">
        <v>7</v>
      </c>
      <c r="DA38" s="369">
        <v>0</v>
      </c>
      <c r="DB38" s="369">
        <v>0</v>
      </c>
      <c r="DC38" s="369">
        <v>0</v>
      </c>
      <c r="DD38" s="369">
        <v>36</v>
      </c>
      <c r="DE38" s="366">
        <v>0</v>
      </c>
      <c r="DF38" s="366">
        <v>94</v>
      </c>
      <c r="DG38" s="366">
        <v>1088</v>
      </c>
      <c r="DH38" s="366">
        <v>6</v>
      </c>
      <c r="DI38" s="366">
        <v>0</v>
      </c>
      <c r="DJ38" s="366">
        <v>0</v>
      </c>
      <c r="DK38" s="366">
        <v>0</v>
      </c>
      <c r="DL38" s="366">
        <v>0</v>
      </c>
      <c r="DM38" s="366">
        <v>0</v>
      </c>
      <c r="DN38" s="367">
        <f>IFERROR(DA38/Instructions!$J$25,0)+DB38*Instructions!$J$27+DC38*Instructions!$J$29+IFERROR(DD38/Instructions!$E$34,0)+DE38*Instructions!$E$36+Tier!DF38*Instructions!$E$25+IFERROR(DG38/Instructions!$E$27,0)+DH38*Instructions!$E$29+IFERROR((DI38+DK38)/Instructions!$J$32,0)+(DJ38+DL38)*Instructions!$J$34+Tier!DM38*-2</f>
        <v>242.39999999999998</v>
      </c>
    </row>
    <row r="39" spans="1:118" s="366" customFormat="1" ht="15.75" customHeight="1" x14ac:dyDescent="0.25">
      <c r="A39" s="353" t="s">
        <v>1081</v>
      </c>
      <c r="B39" s="353"/>
      <c r="C39" s="354"/>
      <c r="D39" s="363">
        <v>6</v>
      </c>
      <c r="E39" s="364">
        <f t="shared" si="30"/>
        <v>263.62666666666667</v>
      </c>
      <c r="F39" s="238">
        <v>2015</v>
      </c>
      <c r="G39" s="367">
        <f>LARGE($BI$35:$BI$66,5)</f>
        <v>309.24</v>
      </c>
      <c r="H39" s="355">
        <f t="shared" si="37"/>
        <v>28.759999999999991</v>
      </c>
      <c r="I39" s="356">
        <f t="shared" si="35"/>
        <v>827.13759999999945</v>
      </c>
      <c r="J39" s="356">
        <f>J40+J35</f>
        <v>376.48</v>
      </c>
      <c r="K39" s="356">
        <f t="shared" si="38"/>
        <v>1.7974999999999994</v>
      </c>
      <c r="L39" s="238">
        <f t="shared" si="39"/>
        <v>5</v>
      </c>
      <c r="M39" s="354"/>
      <c r="N39" s="363">
        <v>6</v>
      </c>
      <c r="O39" s="364">
        <f t="shared" si="31"/>
        <v>180.125</v>
      </c>
      <c r="P39" s="366">
        <v>2014</v>
      </c>
      <c r="Q39" s="367">
        <f>LARGE($CB$2:$CB$151,38)</f>
        <v>111.7</v>
      </c>
      <c r="R39" s="357">
        <f t="shared" si="34"/>
        <v>-52.899999999999991</v>
      </c>
      <c r="S39" s="356">
        <f t="shared" si="6"/>
        <v>2798.4099999999989</v>
      </c>
      <c r="T39" s="238"/>
      <c r="U39" s="356">
        <f t="shared" si="7"/>
        <v>-3.3062499999999995</v>
      </c>
      <c r="V39" s="238">
        <f t="shared" si="8"/>
        <v>8</v>
      </c>
      <c r="W39" s="354"/>
      <c r="X39" s="363">
        <v>6</v>
      </c>
      <c r="Y39" s="364">
        <f t="shared" si="32"/>
        <v>198.77142857142857</v>
      </c>
      <c r="Z39" s="321">
        <v>2014</v>
      </c>
      <c r="AA39" s="367">
        <f>LARGE($CU$2:$CU$151,38)</f>
        <v>173.89999999999998</v>
      </c>
      <c r="AB39" s="357">
        <f t="shared" si="10"/>
        <v>-43.833333333333371</v>
      </c>
      <c r="AC39" s="356">
        <f t="shared" si="0"/>
        <v>1921.3611111111145</v>
      </c>
      <c r="AD39" s="356"/>
      <c r="AE39" s="356">
        <f t="shared" si="11"/>
        <v>-2.7395833333333357</v>
      </c>
      <c r="AF39" s="238">
        <f t="shared" si="12"/>
        <v>8</v>
      </c>
      <c r="AG39" s="354"/>
      <c r="AH39" s="363">
        <v>6</v>
      </c>
      <c r="AI39" s="364">
        <f t="shared" si="33"/>
        <v>142.43333333333334</v>
      </c>
      <c r="AJ39" s="238">
        <v>2015</v>
      </c>
      <c r="AK39" s="367">
        <f>LARGE($DN$35:$DN$66,5)</f>
        <v>192.5</v>
      </c>
      <c r="AL39" s="373">
        <f t="shared" si="40"/>
        <v>61.800000000000011</v>
      </c>
      <c r="AM39" s="374">
        <f t="shared" si="36"/>
        <v>3819.2400000000016</v>
      </c>
      <c r="AN39" s="356">
        <f>AN40+AN35</f>
        <v>226.7</v>
      </c>
      <c r="AO39" s="374">
        <f t="shared" si="41"/>
        <v>3.8625000000000007</v>
      </c>
      <c r="AP39" s="238">
        <f t="shared" si="17"/>
        <v>3</v>
      </c>
      <c r="AQ39" s="354"/>
      <c r="AR39" s="238">
        <v>2015</v>
      </c>
      <c r="AS39" s="365" t="s">
        <v>81</v>
      </c>
      <c r="AT39" s="366" t="s">
        <v>153</v>
      </c>
      <c r="AU39" s="366" t="s">
        <v>1</v>
      </c>
      <c r="AV39" s="366">
        <v>4671</v>
      </c>
      <c r="AW39" s="366">
        <v>35</v>
      </c>
      <c r="AX39" s="366">
        <v>11</v>
      </c>
      <c r="AY39" s="366">
        <v>24</v>
      </c>
      <c r="AZ39" s="366">
        <v>1</v>
      </c>
      <c r="BA39" s="366">
        <v>0</v>
      </c>
      <c r="BB39" s="366">
        <v>0</v>
      </c>
      <c r="BC39" s="366">
        <v>0</v>
      </c>
      <c r="BD39" s="366">
        <v>0</v>
      </c>
      <c r="BE39" s="366">
        <v>0</v>
      </c>
      <c r="BF39" s="366">
        <v>0</v>
      </c>
      <c r="BG39" s="366">
        <v>0</v>
      </c>
      <c r="BH39" s="366">
        <v>2</v>
      </c>
      <c r="BI39" s="367">
        <f>IFERROR(AV39/Instructions!$J$25,0)+AW39*Instructions!$J$27+AX39*Instructions!$J$29+IFERROR(AY39/Instructions!$E$34,0)+AZ39*Instructions!$E$36+Tier!BA39*Instructions!$E$25+IFERROR(BB39/Instructions!$E$27,0)+BC39*Instructions!$E$29+IFERROR((BD39+BF39)/Instructions!$J$32,0)+(BE39+BG39)*Instructions!$J$34+BH39*-2</f>
        <v>309.24</v>
      </c>
      <c r="BJ39" s="354"/>
      <c r="BK39" s="366">
        <v>2014</v>
      </c>
      <c r="BL39" s="370" t="s">
        <v>1603</v>
      </c>
      <c r="BM39" s="372" t="s">
        <v>1627</v>
      </c>
      <c r="BN39" s="372" t="s">
        <v>3</v>
      </c>
      <c r="BO39" s="372">
        <v>0</v>
      </c>
      <c r="BP39" s="372">
        <v>0</v>
      </c>
      <c r="BQ39" s="372">
        <v>0</v>
      </c>
      <c r="BR39" s="372">
        <v>406</v>
      </c>
      <c r="BS39" s="372">
        <v>1</v>
      </c>
      <c r="BT39" s="372">
        <v>33</v>
      </c>
      <c r="BU39" s="372">
        <v>315</v>
      </c>
      <c r="BV39" s="372">
        <v>1</v>
      </c>
      <c r="BW39" s="372">
        <v>55</v>
      </c>
      <c r="BX39" s="372">
        <v>0</v>
      </c>
      <c r="BY39" s="372">
        <v>158</v>
      </c>
      <c r="BZ39" s="372">
        <v>0</v>
      </c>
      <c r="CA39" s="372">
        <v>3</v>
      </c>
      <c r="CB39" s="367">
        <f>IFERROR(BO39/Instructions!$J$25,0)+BP39*Instructions!$J$27+BQ39*Instructions!$J$29+IFERROR(BR39/Instructions!$E$34,0)+BS39*Instructions!$E$36+Tier!BT40*Instructions!$E$25+IFERROR(BU39/Instructions!$E$27,0)+BV39*Instructions!$E$29+IFERROR((BW39+BY39)/Instructions!$J$32,0)+(BX39+BZ39)*Instructions!$J$34+Tier!CA39*-2</f>
        <v>96.1</v>
      </c>
      <c r="CC39" s="354"/>
      <c r="CD39" s="321">
        <v>2014</v>
      </c>
      <c r="CE39" s="370" t="s">
        <v>114</v>
      </c>
      <c r="CF39" s="371" t="s">
        <v>154</v>
      </c>
      <c r="CG39" s="371" t="s">
        <v>6</v>
      </c>
      <c r="CH39" s="371">
        <v>0</v>
      </c>
      <c r="CI39" s="371">
        <v>0</v>
      </c>
      <c r="CJ39" s="371">
        <v>0</v>
      </c>
      <c r="CK39" s="371">
        <v>0</v>
      </c>
      <c r="CL39" s="371">
        <v>0</v>
      </c>
      <c r="CM39" s="371">
        <v>71</v>
      </c>
      <c r="CN39" s="371">
        <v>938</v>
      </c>
      <c r="CO39" s="371">
        <v>3</v>
      </c>
      <c r="CP39" s="371">
        <v>0</v>
      </c>
      <c r="CQ39" s="371">
        <v>0</v>
      </c>
      <c r="CR39" s="371">
        <v>0</v>
      </c>
      <c r="CS39" s="371">
        <v>0</v>
      </c>
      <c r="CT39" s="371">
        <v>0</v>
      </c>
      <c r="CU39" s="367">
        <f>IFERROR(CH39/Instructions!$J$25,0)+CI39*Instructions!$J$27+CJ39*Instructions!$J$29+IFERROR(CK39/Instructions!$E$34,0)+CL39*Instructions!$E$36+Tier!CM39*Instructions!$E$25+IFERROR(CN39/Instructions!$E$27,0)+CO39*Instructions!$E$29+IFERROR((CP39+CR39)/Instructions!$J$32,0)+(CQ39+CS39)*Instructions!$J$34+Tier!CT39*-2</f>
        <v>182.8</v>
      </c>
      <c r="CV39" s="354"/>
      <c r="CW39" s="238">
        <v>2015</v>
      </c>
      <c r="CX39" s="370" t="s">
        <v>223</v>
      </c>
      <c r="CY39" s="371" t="s">
        <v>145</v>
      </c>
      <c r="CZ39" s="419" t="s">
        <v>7</v>
      </c>
      <c r="DA39" s="371">
        <v>0</v>
      </c>
      <c r="DB39" s="371">
        <v>0</v>
      </c>
      <c r="DC39" s="371">
        <v>0</v>
      </c>
      <c r="DD39" s="371">
        <v>0</v>
      </c>
      <c r="DE39" s="372">
        <v>0</v>
      </c>
      <c r="DF39" s="372">
        <v>52</v>
      </c>
      <c r="DG39" s="372">
        <v>615</v>
      </c>
      <c r="DH39" s="372">
        <v>13</v>
      </c>
      <c r="DI39" s="372">
        <v>0</v>
      </c>
      <c r="DJ39" s="372">
        <v>0</v>
      </c>
      <c r="DK39" s="372">
        <v>0</v>
      </c>
      <c r="DL39" s="372">
        <v>0</v>
      </c>
      <c r="DM39" s="372">
        <v>0</v>
      </c>
      <c r="DN39" s="367">
        <f>IFERROR(DA39/Instructions!$J$25,0)+DB39*Instructions!$J$27+DC39*Instructions!$J$29+IFERROR(DD39/Instructions!$E$34,0)+DE39*Instructions!$E$36+Tier!DF39*Instructions!$E$25+IFERROR(DG39/Instructions!$E$27,0)+DH39*Instructions!$E$29+IFERROR((DI39+DK39)/Instructions!$J$32,0)+(DJ39+DL39)*Instructions!$J$34+Tier!DM39*-2</f>
        <v>191.5</v>
      </c>
    </row>
    <row r="40" spans="1:118" s="366" customFormat="1" ht="15.75" customHeight="1" x14ac:dyDescent="0.25">
      <c r="A40" s="353">
        <v>0</v>
      </c>
      <c r="B40" s="358">
        <f t="shared" ref="B40:B45" si="42">AI53</f>
        <v>255.62333333333336</v>
      </c>
      <c r="C40" s="354"/>
      <c r="D40" s="363">
        <v>7</v>
      </c>
      <c r="E40" s="364">
        <f t="shared" si="30"/>
        <v>249.25999999999996</v>
      </c>
      <c r="F40" s="238">
        <v>2015</v>
      </c>
      <c r="G40" s="367">
        <f>LARGE($BI$35:$BI$66,6)</f>
        <v>304.2</v>
      </c>
      <c r="H40" s="355">
        <f t="shared" si="37"/>
        <v>23.71999999999997</v>
      </c>
      <c r="I40" s="356">
        <f t="shared" si="35"/>
        <v>562.63839999999857</v>
      </c>
      <c r="J40" s="356">
        <f>J41+J35</f>
        <v>360.48</v>
      </c>
      <c r="K40" s="356">
        <f t="shared" si="38"/>
        <v>1.4824999999999982</v>
      </c>
      <c r="L40" s="238">
        <f t="shared" si="39"/>
        <v>5</v>
      </c>
      <c r="M40" s="354"/>
      <c r="N40" s="363">
        <v>7</v>
      </c>
      <c r="O40" s="364">
        <f t="shared" si="31"/>
        <v>165.46666666666667</v>
      </c>
      <c r="P40" s="366">
        <v>2014</v>
      </c>
      <c r="Q40" s="367">
        <f>LARGE($CB$2:$CB$151,39)</f>
        <v>109.9</v>
      </c>
      <c r="R40" s="357">
        <f t="shared" si="34"/>
        <v>-54.699999999999989</v>
      </c>
      <c r="S40" s="356">
        <f t="shared" si="6"/>
        <v>2992.0899999999988</v>
      </c>
      <c r="T40" s="238"/>
      <c r="U40" s="356">
        <f t="shared" si="7"/>
        <v>-3.4187499999999993</v>
      </c>
      <c r="V40" s="238">
        <f t="shared" si="8"/>
        <v>8</v>
      </c>
      <c r="W40" s="354"/>
      <c r="X40" s="363">
        <v>7</v>
      </c>
      <c r="Y40" s="364">
        <f t="shared" si="32"/>
        <v>184.43333333333331</v>
      </c>
      <c r="Z40" s="321">
        <v>2014</v>
      </c>
      <c r="AA40" s="367">
        <f>LARGE($CU$2:$CU$151,39)</f>
        <v>173.6</v>
      </c>
      <c r="AB40" s="357">
        <f t="shared" si="10"/>
        <v>-44.133333333333354</v>
      </c>
      <c r="AC40" s="356">
        <f t="shared" si="0"/>
        <v>1947.751111111113</v>
      </c>
      <c r="AD40" s="356"/>
      <c r="AE40" s="356">
        <f t="shared" si="11"/>
        <v>-2.7583333333333346</v>
      </c>
      <c r="AF40" s="238">
        <f t="shared" si="12"/>
        <v>8</v>
      </c>
      <c r="AG40" s="354"/>
      <c r="AH40" s="363">
        <v>7</v>
      </c>
      <c r="AI40" s="364">
        <f t="shared" si="33"/>
        <v>124.94285714285714</v>
      </c>
      <c r="AJ40" s="238">
        <v>2015</v>
      </c>
      <c r="AK40" s="367">
        <f>LARGE($DN$35:$DN$66,6)</f>
        <v>191.5</v>
      </c>
      <c r="AL40" s="373">
        <f t="shared" si="40"/>
        <v>60.800000000000011</v>
      </c>
      <c r="AM40" s="374">
        <f t="shared" si="36"/>
        <v>3696.6400000000012</v>
      </c>
      <c r="AN40" s="356">
        <f>AN41+AN35</f>
        <v>210.7</v>
      </c>
      <c r="AO40" s="374">
        <f t="shared" si="41"/>
        <v>3.8000000000000007</v>
      </c>
      <c r="AP40" s="238">
        <f t="shared" si="17"/>
        <v>3</v>
      </c>
      <c r="AQ40" s="354"/>
      <c r="AR40" s="238">
        <v>2015</v>
      </c>
      <c r="AS40" s="365" t="s">
        <v>16</v>
      </c>
      <c r="AT40" s="366" t="s">
        <v>1625</v>
      </c>
      <c r="AU40" s="366" t="s">
        <v>1</v>
      </c>
      <c r="AV40" s="366">
        <v>4870</v>
      </c>
      <c r="AW40" s="366">
        <v>32</v>
      </c>
      <c r="AX40" s="366">
        <v>11</v>
      </c>
      <c r="AY40" s="366">
        <v>14</v>
      </c>
      <c r="AZ40" s="366">
        <v>1</v>
      </c>
      <c r="BA40" s="366">
        <v>0</v>
      </c>
      <c r="BB40" s="366">
        <v>0</v>
      </c>
      <c r="BC40" s="366">
        <v>0</v>
      </c>
      <c r="BD40" s="366">
        <v>0</v>
      </c>
      <c r="BE40" s="366">
        <v>0</v>
      </c>
      <c r="BF40" s="366">
        <v>0</v>
      </c>
      <c r="BG40" s="366">
        <v>0</v>
      </c>
      <c r="BH40" s="366">
        <v>2</v>
      </c>
      <c r="BI40" s="367">
        <f>IFERROR(AV40/Instructions!$J$25,0)+AW40*Instructions!$J$27+AX40*Instructions!$J$29+IFERROR(AY40/Instructions!$E$34,0)+AZ40*Instructions!$E$36+Tier!BA40*Instructions!$E$25+IFERROR(BB40/Instructions!$E$27,0)+BC40*Instructions!$E$29+IFERROR((BD40+BF40)/Instructions!$J$32,0)+(BE40+BG40)*Instructions!$J$34+BH40*-2</f>
        <v>304.2</v>
      </c>
      <c r="BJ40" s="354"/>
      <c r="BK40" s="366">
        <v>2014</v>
      </c>
      <c r="BL40" s="370" t="s">
        <v>74</v>
      </c>
      <c r="BM40" s="372" t="s">
        <v>163</v>
      </c>
      <c r="BN40" s="372" t="s">
        <v>3</v>
      </c>
      <c r="BO40" s="372">
        <v>0</v>
      </c>
      <c r="BP40" s="372">
        <v>0</v>
      </c>
      <c r="BQ40" s="372">
        <v>0</v>
      </c>
      <c r="BR40" s="372">
        <v>569</v>
      </c>
      <c r="BS40" s="372">
        <v>2</v>
      </c>
      <c r="BT40" s="372">
        <v>18</v>
      </c>
      <c r="BU40" s="372">
        <v>133</v>
      </c>
      <c r="BV40" s="372">
        <v>0</v>
      </c>
      <c r="BW40" s="372">
        <v>0</v>
      </c>
      <c r="BX40" s="372">
        <v>0</v>
      </c>
      <c r="BY40" s="372">
        <v>198</v>
      </c>
      <c r="BZ40" s="372">
        <v>0</v>
      </c>
      <c r="CA40" s="372">
        <v>2</v>
      </c>
      <c r="CB40" s="367">
        <f>IFERROR(BO40/Instructions!$J$25,0)+BP40*Instructions!$J$27+BQ40*Instructions!$J$29+IFERROR(BR40/Instructions!$E$34,0)+BS40*Instructions!$E$36+Tier!BT41*Instructions!$E$25+IFERROR(BU40/Instructions!$E$27,0)+BV40*Instructions!$E$29+IFERROR((BW40+BY40)/Instructions!$J$32,0)+(BX40+BZ40)*Instructions!$J$34+Tier!CA40*-2</f>
        <v>114.2</v>
      </c>
      <c r="CC40" s="354"/>
      <c r="CD40" s="321">
        <v>2014</v>
      </c>
      <c r="CE40" s="370" t="s">
        <v>1642</v>
      </c>
      <c r="CF40" s="371" t="s">
        <v>151</v>
      </c>
      <c r="CG40" s="371" t="s">
        <v>6</v>
      </c>
      <c r="CH40" s="371">
        <v>0</v>
      </c>
      <c r="CI40" s="371">
        <v>0</v>
      </c>
      <c r="CJ40" s="371">
        <v>0</v>
      </c>
      <c r="CK40" s="371">
        <v>0</v>
      </c>
      <c r="CL40" s="371">
        <v>0</v>
      </c>
      <c r="CM40" s="371">
        <v>85</v>
      </c>
      <c r="CN40" s="371">
        <v>936</v>
      </c>
      <c r="CO40" s="371">
        <v>3</v>
      </c>
      <c r="CP40" s="371">
        <v>0</v>
      </c>
      <c r="CQ40" s="371">
        <v>0</v>
      </c>
      <c r="CR40" s="371">
        <v>0</v>
      </c>
      <c r="CS40" s="371">
        <v>0</v>
      </c>
      <c r="CT40" s="371">
        <v>3</v>
      </c>
      <c r="CU40" s="367">
        <f>IFERROR(CH40/Instructions!$J$25,0)+CI40*Instructions!$J$27+CJ40*Instructions!$J$29+IFERROR(CK40/Instructions!$E$34,0)+CL40*Instructions!$E$36+Tier!CM40*Instructions!$E$25+IFERROR(CN40/Instructions!$E$27,0)+CO40*Instructions!$E$29+IFERROR((CP40+CR40)/Instructions!$J$32,0)+(CQ40+CS40)*Instructions!$J$34+Tier!CT40*-2</f>
        <v>190.6</v>
      </c>
      <c r="CV40" s="354"/>
      <c r="CW40" s="238">
        <v>2015</v>
      </c>
      <c r="CX40" s="370" t="s">
        <v>228</v>
      </c>
      <c r="CY40" s="371" t="s">
        <v>1629</v>
      </c>
      <c r="CZ40" s="419" t="s">
        <v>7</v>
      </c>
      <c r="DA40" s="371">
        <v>0</v>
      </c>
      <c r="DB40" s="371">
        <v>0</v>
      </c>
      <c r="DC40" s="371">
        <v>0</v>
      </c>
      <c r="DD40" s="371">
        <v>0</v>
      </c>
      <c r="DE40" s="372">
        <v>0</v>
      </c>
      <c r="DF40" s="372">
        <v>72</v>
      </c>
      <c r="DG40" s="372">
        <v>875</v>
      </c>
      <c r="DH40" s="372">
        <v>5</v>
      </c>
      <c r="DI40" s="372">
        <v>0</v>
      </c>
      <c r="DJ40" s="372">
        <v>0</v>
      </c>
      <c r="DK40" s="372">
        <v>0</v>
      </c>
      <c r="DL40" s="372">
        <v>0</v>
      </c>
      <c r="DM40" s="372">
        <v>2</v>
      </c>
      <c r="DN40" s="367">
        <f>IFERROR(DA40/Instructions!$J$25,0)+DB40*Instructions!$J$27+DC40*Instructions!$J$29+IFERROR(DD40/Instructions!$E$34,0)+DE40*Instructions!$E$36+Tier!DF40*Instructions!$E$25+IFERROR(DG40/Instructions!$E$27,0)+DH40*Instructions!$E$29+IFERROR((DI40+DK40)/Instructions!$J$32,0)+(DJ40+DL40)*Instructions!$J$34+Tier!DM40*-2</f>
        <v>185.5</v>
      </c>
    </row>
    <row r="41" spans="1:118" s="366" customFormat="1" ht="15.75" customHeight="1" x14ac:dyDescent="0.25">
      <c r="A41" s="353">
        <v>1</v>
      </c>
      <c r="B41" s="358">
        <f t="shared" si="42"/>
        <v>226.95333333333335</v>
      </c>
      <c r="C41" s="354"/>
      <c r="D41" s="363">
        <v>8</v>
      </c>
      <c r="E41" s="364">
        <f>AVERAGE(J112:J113)</f>
        <v>230.73999999999995</v>
      </c>
      <c r="F41" s="238">
        <v>2015</v>
      </c>
      <c r="G41" s="367">
        <f>LARGE($BI$35:$BI$66,7)</f>
        <v>293.24</v>
      </c>
      <c r="H41" s="355">
        <f t="shared" si="37"/>
        <v>12.759999999999991</v>
      </c>
      <c r="I41" s="356">
        <f t="shared" si="35"/>
        <v>162.81759999999977</v>
      </c>
      <c r="J41" s="356">
        <f>J42+J35</f>
        <v>344.48</v>
      </c>
      <c r="K41" s="356">
        <f t="shared" si="38"/>
        <v>0.79749999999999943</v>
      </c>
      <c r="L41" s="238">
        <f t="shared" si="39"/>
        <v>6</v>
      </c>
      <c r="M41" s="354"/>
      <c r="N41" s="363">
        <v>8</v>
      </c>
      <c r="O41" s="364">
        <f>AVERAGE(T466:T467)</f>
        <v>148.06666666666669</v>
      </c>
      <c r="P41" s="366">
        <v>2014</v>
      </c>
      <c r="Q41" s="367">
        <f>LARGE($CB$2:$CB$151,40)</f>
        <v>109.60000000000001</v>
      </c>
      <c r="R41" s="357">
        <f t="shared" si="34"/>
        <v>-54.999999999999986</v>
      </c>
      <c r="S41" s="356">
        <f t="shared" si="6"/>
        <v>3024.9999999999986</v>
      </c>
      <c r="T41" s="238"/>
      <c r="U41" s="356">
        <f t="shared" si="7"/>
        <v>-3.4374999999999991</v>
      </c>
      <c r="V41" s="238">
        <f t="shared" si="8"/>
        <v>8</v>
      </c>
      <c r="W41" s="354"/>
      <c r="X41" s="363">
        <v>8</v>
      </c>
      <c r="Y41" s="364">
        <f>AVERAGE(AD466:AD467)</f>
        <v>168.53333333333333</v>
      </c>
      <c r="Z41" s="321">
        <v>2014</v>
      </c>
      <c r="AA41" s="367">
        <f>LARGE($CU$2:$CU$151,40)</f>
        <v>173.6</v>
      </c>
      <c r="AB41" s="357">
        <f t="shared" si="10"/>
        <v>-44.133333333333354</v>
      </c>
      <c r="AC41" s="356">
        <f t="shared" si="0"/>
        <v>1947.751111111113</v>
      </c>
      <c r="AD41" s="356"/>
      <c r="AE41" s="356">
        <f t="shared" si="11"/>
        <v>-2.7583333333333346</v>
      </c>
      <c r="AF41" s="238">
        <f t="shared" si="12"/>
        <v>8</v>
      </c>
      <c r="AG41" s="354"/>
      <c r="AH41" s="363">
        <v>8</v>
      </c>
      <c r="AI41" s="364">
        <f t="shared" si="33"/>
        <v>87.242857142857147</v>
      </c>
      <c r="AJ41" s="238">
        <v>2015</v>
      </c>
      <c r="AK41" s="367">
        <f>LARGE($DN$35:$DN$66,7)</f>
        <v>185.5</v>
      </c>
      <c r="AL41" s="373">
        <f t="shared" si="40"/>
        <v>54.800000000000011</v>
      </c>
      <c r="AM41" s="374">
        <f t="shared" si="36"/>
        <v>3003.0400000000013</v>
      </c>
      <c r="AN41" s="356">
        <f>AN42+AN35</f>
        <v>194.7</v>
      </c>
      <c r="AO41" s="374">
        <f t="shared" si="41"/>
        <v>3.4250000000000007</v>
      </c>
      <c r="AP41" s="238">
        <f t="shared" si="17"/>
        <v>3</v>
      </c>
      <c r="AQ41" s="354"/>
      <c r="AR41" s="238">
        <v>2015</v>
      </c>
      <c r="AS41" s="365" t="s">
        <v>13</v>
      </c>
      <c r="AT41" s="366" t="s">
        <v>1624</v>
      </c>
      <c r="AU41" s="366" t="s">
        <v>1</v>
      </c>
      <c r="AV41" s="366">
        <v>3821</v>
      </c>
      <c r="AW41" s="366">
        <v>31</v>
      </c>
      <c r="AX41" s="366">
        <v>8</v>
      </c>
      <c r="AY41" s="366">
        <v>344</v>
      </c>
      <c r="AZ41" s="366">
        <v>1</v>
      </c>
      <c r="BA41" s="366">
        <v>0</v>
      </c>
      <c r="BB41" s="366">
        <v>0</v>
      </c>
      <c r="BC41" s="366">
        <v>0</v>
      </c>
      <c r="BD41" s="366">
        <v>0</v>
      </c>
      <c r="BE41" s="366">
        <v>0</v>
      </c>
      <c r="BF41" s="366">
        <v>0</v>
      </c>
      <c r="BG41" s="366">
        <v>0</v>
      </c>
      <c r="BH41" s="366">
        <v>4</v>
      </c>
      <c r="BI41" s="367">
        <f>IFERROR(AV41/Instructions!$J$25,0)+AW41*Instructions!$J$27+AX41*Instructions!$J$29+IFERROR(AY41/Instructions!$E$34,0)+AZ41*Instructions!$E$36+Tier!BA41*Instructions!$E$25+IFERROR(BB41/Instructions!$E$27,0)+BC41*Instructions!$E$29+IFERROR((BD41+BF41)/Instructions!$J$32,0)+(BE41+BG41)*Instructions!$J$34+BH41*-2</f>
        <v>293.24</v>
      </c>
      <c r="BJ41" s="354"/>
      <c r="BK41" s="366">
        <v>2014</v>
      </c>
      <c r="BL41" s="370" t="s">
        <v>105</v>
      </c>
      <c r="BM41" s="372" t="s">
        <v>167</v>
      </c>
      <c r="BN41" s="372" t="s">
        <v>3</v>
      </c>
      <c r="BO41" s="372">
        <v>0</v>
      </c>
      <c r="BP41" s="372">
        <v>0</v>
      </c>
      <c r="BQ41" s="372">
        <v>0</v>
      </c>
      <c r="BR41" s="372">
        <v>534</v>
      </c>
      <c r="BS41" s="372">
        <v>2</v>
      </c>
      <c r="BT41" s="372">
        <v>36</v>
      </c>
      <c r="BU41" s="372">
        <v>212</v>
      </c>
      <c r="BV41" s="372">
        <v>0</v>
      </c>
      <c r="BW41" s="372">
        <v>0</v>
      </c>
      <c r="BX41" s="372">
        <v>0</v>
      </c>
      <c r="BY41" s="372">
        <v>59</v>
      </c>
      <c r="BZ41" s="372">
        <v>0</v>
      </c>
      <c r="CA41" s="372">
        <v>1</v>
      </c>
      <c r="CB41" s="367">
        <f>IFERROR(BO41/Instructions!$J$25,0)+BP41*Instructions!$J$27+BQ41*Instructions!$J$29+IFERROR(BR41/Instructions!$E$34,0)+BS41*Instructions!$E$36+Tier!BT42*Instructions!$E$25+IFERROR(BU41/Instructions!$E$27,0)+BV41*Instructions!$E$29+IFERROR((BW41+BY41)/Instructions!$J$32,0)+(BX41+BZ41)*Instructions!$J$34+Tier!CA41*-2</f>
        <v>109.60000000000001</v>
      </c>
      <c r="CC41" s="354"/>
      <c r="CD41" s="321">
        <v>2014</v>
      </c>
      <c r="CE41" s="370" t="s">
        <v>43</v>
      </c>
      <c r="CF41" s="371" t="s">
        <v>1627</v>
      </c>
      <c r="CG41" s="371" t="s">
        <v>6</v>
      </c>
      <c r="CH41" s="371">
        <v>0</v>
      </c>
      <c r="CI41" s="371">
        <v>0</v>
      </c>
      <c r="CJ41" s="371">
        <v>0</v>
      </c>
      <c r="CK41" s="371">
        <v>0</v>
      </c>
      <c r="CL41" s="371">
        <v>0</v>
      </c>
      <c r="CM41" s="371">
        <v>70</v>
      </c>
      <c r="CN41" s="371">
        <v>1002</v>
      </c>
      <c r="CO41" s="371">
        <v>2</v>
      </c>
      <c r="CP41" s="371">
        <v>0</v>
      </c>
      <c r="CQ41" s="371">
        <v>0</v>
      </c>
      <c r="CR41" s="371">
        <v>0</v>
      </c>
      <c r="CS41" s="371">
        <v>0</v>
      </c>
      <c r="CT41" s="371">
        <v>1</v>
      </c>
      <c r="CU41" s="367">
        <f>IFERROR(CH41/Instructions!$J$25,0)+CI41*Instructions!$J$27+CJ41*Instructions!$J$29+IFERROR(CK41/Instructions!$E$34,0)+CL41*Instructions!$E$36+Tier!CM41*Instructions!$E$25+IFERROR(CN41/Instructions!$E$27,0)+CO41*Instructions!$E$29+IFERROR((CP41+CR41)/Instructions!$J$32,0)+(CQ41+CS41)*Instructions!$J$34+Tier!CT41*-2</f>
        <v>180.2</v>
      </c>
      <c r="CV41" s="354"/>
      <c r="CW41" s="238">
        <v>2015</v>
      </c>
      <c r="CX41" s="370" t="s">
        <v>1686</v>
      </c>
      <c r="CY41" s="371" t="s">
        <v>1625</v>
      </c>
      <c r="CZ41" s="419" t="s">
        <v>7</v>
      </c>
      <c r="DA41" s="371">
        <v>0</v>
      </c>
      <c r="DB41" s="371">
        <v>0</v>
      </c>
      <c r="DC41" s="371">
        <v>0</v>
      </c>
      <c r="DD41" s="371">
        <v>0</v>
      </c>
      <c r="DE41" s="372">
        <v>0</v>
      </c>
      <c r="DF41" s="372">
        <v>74</v>
      </c>
      <c r="DG41" s="372">
        <v>825</v>
      </c>
      <c r="DH41" s="372">
        <v>6</v>
      </c>
      <c r="DI41" s="372">
        <v>0</v>
      </c>
      <c r="DJ41" s="372">
        <v>0</v>
      </c>
      <c r="DK41" s="372">
        <v>0</v>
      </c>
      <c r="DL41" s="372">
        <v>0</v>
      </c>
      <c r="DM41" s="372">
        <v>0</v>
      </c>
      <c r="DN41" s="367">
        <f>IFERROR(DA41/Instructions!$J$25,0)+DB41*Instructions!$J$27+DC41*Instructions!$J$29+IFERROR(DD41/Instructions!$E$34,0)+DE41*Instructions!$E$36+Tier!DF41*Instructions!$E$25+IFERROR(DG41/Instructions!$E$27,0)+DH41*Instructions!$E$29+IFERROR((DI41+DK41)/Instructions!$J$32,0)+(DJ41+DL41)*Instructions!$J$34+Tier!DM41*-2</f>
        <v>192.5</v>
      </c>
    </row>
    <row r="42" spans="1:118" s="366" customFormat="1" ht="15.75" customHeight="1" x14ac:dyDescent="0.25">
      <c r="A42" s="353">
        <v>2</v>
      </c>
      <c r="B42" s="358">
        <f t="shared" si="42"/>
        <v>207.59</v>
      </c>
      <c r="C42" s="354"/>
      <c r="D42" s="361">
        <v>2018</v>
      </c>
      <c r="E42" s="362">
        <v>8</v>
      </c>
      <c r="F42" s="238">
        <v>2015</v>
      </c>
      <c r="G42" s="367">
        <f>LARGE($BI$35:$BI$66,8)</f>
        <v>290.77999999999997</v>
      </c>
      <c r="H42" s="355">
        <f t="shared" si="37"/>
        <v>10.299999999999955</v>
      </c>
      <c r="I42" s="356">
        <f t="shared" si="35"/>
        <v>106.08999999999907</v>
      </c>
      <c r="J42" s="356">
        <f>J43+J35</f>
        <v>328.48</v>
      </c>
      <c r="K42" s="356">
        <f t="shared" si="38"/>
        <v>0.64374999999999716</v>
      </c>
      <c r="L42" s="238">
        <f t="shared" si="39"/>
        <v>6</v>
      </c>
      <c r="M42" s="354"/>
      <c r="N42" s="361">
        <v>2018</v>
      </c>
      <c r="O42" s="362"/>
      <c r="P42" s="366">
        <v>2014</v>
      </c>
      <c r="Q42" s="367">
        <f>LARGE($CB$2:$CB$151,41)</f>
        <v>106.8</v>
      </c>
      <c r="R42" s="357">
        <f t="shared" si="34"/>
        <v>-57.8</v>
      </c>
      <c r="S42" s="356">
        <f t="shared" si="6"/>
        <v>3340.8399999999997</v>
      </c>
      <c r="T42" s="238"/>
      <c r="U42" s="356">
        <f t="shared" si="7"/>
        <v>-3.6124999999999998</v>
      </c>
      <c r="V42" s="238">
        <f t="shared" si="8"/>
        <v>8</v>
      </c>
      <c r="W42" s="354"/>
      <c r="X42" s="361">
        <v>2018</v>
      </c>
      <c r="Y42" s="362"/>
      <c r="Z42" s="321">
        <v>2014</v>
      </c>
      <c r="AA42" s="367">
        <f>LARGE($CU$2:$CU$151,41)</f>
        <v>169.2</v>
      </c>
      <c r="AB42" s="357">
        <f t="shared" si="10"/>
        <v>-48.53333333333336</v>
      </c>
      <c r="AC42" s="356">
        <f t="shared" si="0"/>
        <v>2355.484444444447</v>
      </c>
      <c r="AD42" s="356"/>
      <c r="AE42" s="356">
        <f t="shared" si="11"/>
        <v>-3.033333333333335</v>
      </c>
      <c r="AF42" s="238">
        <f t="shared" si="12"/>
        <v>8</v>
      </c>
      <c r="AG42" s="354"/>
      <c r="AH42" s="361">
        <v>2018</v>
      </c>
      <c r="AI42" s="362"/>
      <c r="AJ42" s="238">
        <v>2015</v>
      </c>
      <c r="AK42" s="367">
        <f>LARGE($DN$35:$DN$66,8)</f>
        <v>164.3</v>
      </c>
      <c r="AL42" s="373">
        <f t="shared" si="40"/>
        <v>33.600000000000023</v>
      </c>
      <c r="AM42" s="374">
        <f t="shared" si="36"/>
        <v>1128.9600000000016</v>
      </c>
      <c r="AN42" s="356">
        <f>AN43+AN35</f>
        <v>178.7</v>
      </c>
      <c r="AO42" s="374">
        <f t="shared" si="41"/>
        <v>2.1000000000000014</v>
      </c>
      <c r="AP42" s="238">
        <f t="shared" si="17"/>
        <v>4</v>
      </c>
      <c r="AQ42" s="354"/>
      <c r="AR42" s="238">
        <v>2015</v>
      </c>
      <c r="AS42" s="365" t="s">
        <v>67</v>
      </c>
      <c r="AT42" s="366" t="s">
        <v>154</v>
      </c>
      <c r="AU42" s="366" t="s">
        <v>1</v>
      </c>
      <c r="AV42" s="366">
        <v>4436</v>
      </c>
      <c r="AW42" s="366">
        <v>35</v>
      </c>
      <c r="AX42" s="366">
        <v>14</v>
      </c>
      <c r="AY42" s="366">
        <v>61</v>
      </c>
      <c r="AZ42" s="366">
        <v>0</v>
      </c>
      <c r="BA42" s="366">
        <v>0</v>
      </c>
      <c r="BB42" s="366">
        <v>0</v>
      </c>
      <c r="BC42" s="366">
        <v>0</v>
      </c>
      <c r="BD42" s="366">
        <v>0</v>
      </c>
      <c r="BE42" s="366">
        <v>0</v>
      </c>
      <c r="BF42" s="366">
        <v>0</v>
      </c>
      <c r="BG42" s="366">
        <v>0</v>
      </c>
      <c r="BH42" s="366">
        <v>4</v>
      </c>
      <c r="BI42" s="367">
        <f>IFERROR(AV42/Instructions!$J$25,0)+AW42*Instructions!$J$27+AX42*Instructions!$J$29+IFERROR(AY42/Instructions!$E$34,0)+AZ42*Instructions!$E$36+Tier!BA42*Instructions!$E$25+IFERROR(BB42/Instructions!$E$27,0)+BC42*Instructions!$E$29+IFERROR((BD42+BF42)/Instructions!$J$32,0)+(BE42+BG42)*Instructions!$J$34+BH42*-2</f>
        <v>287.54000000000002</v>
      </c>
      <c r="BJ42" s="354"/>
      <c r="BK42" s="366">
        <v>2014</v>
      </c>
      <c r="BL42" s="370" t="s">
        <v>977</v>
      </c>
      <c r="BM42" s="372" t="s">
        <v>1613</v>
      </c>
      <c r="BN42" s="372" t="s">
        <v>3</v>
      </c>
      <c r="BO42" s="372">
        <v>0</v>
      </c>
      <c r="BP42" s="372">
        <v>0</v>
      </c>
      <c r="BQ42" s="372">
        <v>0</v>
      </c>
      <c r="BR42" s="372">
        <v>186</v>
      </c>
      <c r="BS42" s="372">
        <v>1</v>
      </c>
      <c r="BT42" s="372">
        <v>25</v>
      </c>
      <c r="BU42" s="372">
        <v>198</v>
      </c>
      <c r="BV42" s="372">
        <v>1</v>
      </c>
      <c r="BW42" s="372">
        <v>0</v>
      </c>
      <c r="BX42" s="372">
        <v>0</v>
      </c>
      <c r="BY42" s="372">
        <v>972</v>
      </c>
      <c r="BZ42" s="372">
        <v>0</v>
      </c>
      <c r="CA42" s="372">
        <v>0</v>
      </c>
      <c r="CB42" s="367">
        <f>IFERROR(BO42/Instructions!$J$25,0)+BP42*Instructions!$J$27+BQ42*Instructions!$J$29+IFERROR(BR42/Instructions!$E$34,0)+BS42*Instructions!$E$36+Tier!BT43*Instructions!$E$25+IFERROR(BU42/Instructions!$E$27,0)+BV42*Instructions!$E$29+IFERROR((BW42+BY42)/Instructions!$J$32,0)+(BX42+BZ42)*Instructions!$J$34+Tier!CA42*-2</f>
        <v>67.400000000000006</v>
      </c>
      <c r="CC42" s="354"/>
      <c r="CD42" s="321">
        <v>2014</v>
      </c>
      <c r="CE42" s="370" t="s">
        <v>121</v>
      </c>
      <c r="CF42" s="371" t="s">
        <v>1625</v>
      </c>
      <c r="CG42" s="371" t="s">
        <v>6</v>
      </c>
      <c r="CH42" s="371">
        <v>0</v>
      </c>
      <c r="CI42" s="371">
        <v>0</v>
      </c>
      <c r="CJ42" s="371">
        <v>0</v>
      </c>
      <c r="CK42" s="371">
        <v>-2</v>
      </c>
      <c r="CL42" s="371">
        <v>0</v>
      </c>
      <c r="CM42" s="371">
        <v>63</v>
      </c>
      <c r="CN42" s="371">
        <v>931</v>
      </c>
      <c r="CO42" s="371">
        <v>3</v>
      </c>
      <c r="CP42" s="371">
        <v>0</v>
      </c>
      <c r="CQ42" s="371">
        <v>0</v>
      </c>
      <c r="CR42" s="371">
        <v>0</v>
      </c>
      <c r="CS42" s="371">
        <v>0</v>
      </c>
      <c r="CT42" s="371">
        <v>0</v>
      </c>
      <c r="CU42" s="367">
        <f>IFERROR(CH42/Instructions!$J$25,0)+CI42*Instructions!$J$27+CJ42*Instructions!$J$29+IFERROR(CK42/Instructions!$E$34,0)+CL42*Instructions!$E$36+Tier!CM42*Instructions!$E$25+IFERROR(CN42/Instructions!$E$27,0)+CO42*Instructions!$E$29+IFERROR((CP42+CR42)/Instructions!$J$32,0)+(CQ42+CS42)*Instructions!$J$34+Tier!CT42*-2</f>
        <v>173.89999999999998</v>
      </c>
      <c r="CV42" s="354"/>
      <c r="CW42" s="238">
        <v>2015</v>
      </c>
      <c r="CX42" s="370" t="s">
        <v>243</v>
      </c>
      <c r="CY42" s="371" t="s">
        <v>1624</v>
      </c>
      <c r="CZ42" s="419" t="s">
        <v>7</v>
      </c>
      <c r="DA42" s="371">
        <v>0</v>
      </c>
      <c r="DB42" s="371">
        <v>0</v>
      </c>
      <c r="DC42" s="371">
        <v>0</v>
      </c>
      <c r="DD42" s="371">
        <v>11</v>
      </c>
      <c r="DE42" s="372">
        <v>0</v>
      </c>
      <c r="DF42" s="372">
        <v>58</v>
      </c>
      <c r="DG42" s="372">
        <v>510</v>
      </c>
      <c r="DH42" s="372">
        <v>8</v>
      </c>
      <c r="DI42" s="372">
        <v>0</v>
      </c>
      <c r="DJ42" s="372">
        <v>0</v>
      </c>
      <c r="DK42" s="372">
        <v>0</v>
      </c>
      <c r="DL42" s="372">
        <v>0</v>
      </c>
      <c r="DM42" s="372">
        <v>0</v>
      </c>
      <c r="DN42" s="367">
        <f>IFERROR(DA42/Instructions!$J$25,0)+DB42*Instructions!$J$27+DC42*Instructions!$J$29+IFERROR(DD42/Instructions!$E$34,0)+DE42*Instructions!$E$36+Tier!DF42*Instructions!$E$25+IFERROR(DG42/Instructions!$E$27,0)+DH42*Instructions!$E$29+IFERROR((DI42+DK42)/Instructions!$J$32,0)+(DJ42+DL42)*Instructions!$J$34+Tier!DM42*-2</f>
        <v>158.1</v>
      </c>
    </row>
    <row r="43" spans="1:118" s="366" customFormat="1" ht="15.75" customHeight="1" x14ac:dyDescent="0.25">
      <c r="A43" s="353">
        <v>3</v>
      </c>
      <c r="B43" s="358">
        <f t="shared" si="42"/>
        <v>195.54777777777778</v>
      </c>
      <c r="C43" s="354"/>
      <c r="D43" s="363">
        <v>0</v>
      </c>
      <c r="E43" s="364">
        <f t="shared" ref="E43:E50" si="43">IFERROR(AVERAGEIF($L$134:$L$165,D43,$G$134:$G$165),AVERAGE(J137:J138))</f>
        <v>415.08</v>
      </c>
      <c r="F43" s="238">
        <v>2015</v>
      </c>
      <c r="G43" s="367">
        <f>LARGE($BI$35:$BI$66,9)</f>
        <v>289.44</v>
      </c>
      <c r="H43" s="355">
        <f t="shared" si="37"/>
        <v>8.9599999999999795</v>
      </c>
      <c r="I43" s="356">
        <f t="shared" si="35"/>
        <v>80.281599999999628</v>
      </c>
      <c r="J43" s="356">
        <f>J44+J35</f>
        <v>312.48</v>
      </c>
      <c r="K43" s="356">
        <f t="shared" si="38"/>
        <v>0.55999999999999872</v>
      </c>
      <c r="L43" s="238">
        <f t="shared" si="39"/>
        <v>6</v>
      </c>
      <c r="M43" s="354"/>
      <c r="N43" s="363">
        <v>0</v>
      </c>
      <c r="O43" s="364">
        <f>IFERROR(AVERAGEIF($V$606:$V$755,N43,$Q$606:$Q$755),AVERAGE(T609:T610))</f>
        <v>360.73999999999995</v>
      </c>
      <c r="P43" s="366">
        <v>2014</v>
      </c>
      <c r="Q43" s="367">
        <f>LARGE($CB$2:$CB$151,42)</f>
        <v>96.300000000000011</v>
      </c>
      <c r="R43" s="357">
        <f t="shared" si="34"/>
        <v>-68.299999999999983</v>
      </c>
      <c r="S43" s="356">
        <f t="shared" si="6"/>
        <v>4664.8899999999976</v>
      </c>
      <c r="T43" s="238"/>
      <c r="U43" s="356">
        <f t="shared" si="7"/>
        <v>-4.2687499999999989</v>
      </c>
      <c r="V43" s="238">
        <f t="shared" si="8"/>
        <v>8</v>
      </c>
      <c r="W43" s="354"/>
      <c r="X43" s="363">
        <v>0</v>
      </c>
      <c r="Y43" s="364">
        <f t="shared" ref="Y43:Y50" si="44">IFERROR(AVERAGEIF($AF$606:$AF$755,X43,$AA$606:$AA$755),AVERAGE(AD609:AD610))</f>
        <v>320.05</v>
      </c>
      <c r="Z43" s="321">
        <v>2014</v>
      </c>
      <c r="AA43" s="367">
        <f>LARGE($CU$2:$CU$151,42)</f>
        <v>167.9</v>
      </c>
      <c r="AB43" s="357">
        <f t="shared" si="10"/>
        <v>-49.833333333333343</v>
      </c>
      <c r="AC43" s="356">
        <f t="shared" si="0"/>
        <v>2483.3611111111122</v>
      </c>
      <c r="AD43" s="356"/>
      <c r="AE43" s="356">
        <f t="shared" si="11"/>
        <v>-3.1145833333333339</v>
      </c>
      <c r="AF43" s="238">
        <f t="shared" si="12"/>
        <v>8</v>
      </c>
      <c r="AG43" s="354"/>
      <c r="AH43" s="363">
        <v>0</v>
      </c>
      <c r="AI43" s="364">
        <f t="shared" ref="AI43:AI51" si="45">IFERROR(AVERAGEIF($AP$134:$AP$165,AH43,$AK$134:$AK$165),AVERAGE(AN137:AN138))</f>
        <v>277.20000000000005</v>
      </c>
      <c r="AJ43" s="238">
        <v>2015</v>
      </c>
      <c r="AK43" s="367">
        <f>LARGE($DN$35:$DN$66,9)</f>
        <v>158.1</v>
      </c>
      <c r="AL43" s="373">
        <f t="shared" si="40"/>
        <v>27.400000000000006</v>
      </c>
      <c r="AM43" s="374">
        <f t="shared" si="36"/>
        <v>750.76000000000033</v>
      </c>
      <c r="AN43" s="356">
        <f>AN44+AN35</f>
        <v>162.69999999999999</v>
      </c>
      <c r="AO43" s="374">
        <f t="shared" si="41"/>
        <v>1.7125000000000004</v>
      </c>
      <c r="AP43" s="238">
        <f t="shared" si="17"/>
        <v>5</v>
      </c>
      <c r="AQ43" s="354"/>
      <c r="AR43" s="238">
        <v>2015</v>
      </c>
      <c r="AS43" s="365" t="s">
        <v>24</v>
      </c>
      <c r="AT43" s="366" t="s">
        <v>142</v>
      </c>
      <c r="AU43" s="366" t="s">
        <v>1</v>
      </c>
      <c r="AV43" s="366">
        <v>4262</v>
      </c>
      <c r="AW43" s="366">
        <v>32</v>
      </c>
      <c r="AX43" s="366">
        <v>13</v>
      </c>
      <c r="AY43" s="366">
        <v>159</v>
      </c>
      <c r="AZ43" s="366">
        <v>1</v>
      </c>
      <c r="BA43" s="366">
        <v>1</v>
      </c>
      <c r="BB43" s="366">
        <v>-6</v>
      </c>
      <c r="BC43" s="366">
        <v>0</v>
      </c>
      <c r="BD43" s="366">
        <v>0</v>
      </c>
      <c r="BE43" s="366">
        <v>0</v>
      </c>
      <c r="BF43" s="366">
        <v>0</v>
      </c>
      <c r="BG43" s="366">
        <v>0</v>
      </c>
      <c r="BH43" s="366">
        <v>2</v>
      </c>
      <c r="BI43" s="367">
        <f>IFERROR(AV43/Instructions!$J$25,0)+AW43*Instructions!$J$27+AX43*Instructions!$J$29+IFERROR(AY43/Instructions!$E$34,0)+AZ43*Instructions!$E$36+Tier!BA43*Instructions!$E$25+IFERROR(BB43/Instructions!$E$27,0)+BC43*Instructions!$E$29+IFERROR((BD43+BF43)/Instructions!$J$32,0)+(BE43+BG43)*Instructions!$J$34+BH43*-2</f>
        <v>290.77999999999997</v>
      </c>
      <c r="BJ43" s="354"/>
      <c r="BK43" s="366">
        <v>2014</v>
      </c>
      <c r="BL43" s="370" t="s">
        <v>129</v>
      </c>
      <c r="BM43" s="372" t="s">
        <v>167</v>
      </c>
      <c r="BN43" s="372" t="s">
        <v>3</v>
      </c>
      <c r="BO43" s="372">
        <v>0</v>
      </c>
      <c r="BP43" s="372">
        <v>0</v>
      </c>
      <c r="BQ43" s="372">
        <v>0</v>
      </c>
      <c r="BR43" s="372">
        <v>424</v>
      </c>
      <c r="BS43" s="372">
        <v>2</v>
      </c>
      <c r="BT43" s="372">
        <v>17</v>
      </c>
      <c r="BU43" s="372">
        <v>143</v>
      </c>
      <c r="BV43" s="372">
        <v>0</v>
      </c>
      <c r="BW43" s="372">
        <v>0</v>
      </c>
      <c r="BX43" s="372">
        <v>0</v>
      </c>
      <c r="BY43" s="372">
        <v>429</v>
      </c>
      <c r="BZ43" s="372">
        <v>0</v>
      </c>
      <c r="CA43" s="372">
        <v>0</v>
      </c>
      <c r="CB43" s="367">
        <f>IFERROR(BO43/Instructions!$J$25,0)+BP43*Instructions!$J$27+BQ43*Instructions!$J$29+IFERROR(BR43/Instructions!$E$34,0)+BS43*Instructions!$E$36+Tier!BT44*Instructions!$E$25+IFERROR(BU43/Instructions!$E$27,0)+BV43*Instructions!$E$29+IFERROR((BW43+BY43)/Instructions!$J$32,0)+(BX43+BZ43)*Instructions!$J$34+Tier!CA43*-2</f>
        <v>89.7</v>
      </c>
      <c r="CC43" s="354"/>
      <c r="CD43" s="321">
        <v>2014</v>
      </c>
      <c r="CE43" s="370" t="s">
        <v>72</v>
      </c>
      <c r="CF43" s="371" t="s">
        <v>1633</v>
      </c>
      <c r="CG43" s="371" t="s">
        <v>6</v>
      </c>
      <c r="CH43" s="371">
        <v>0</v>
      </c>
      <c r="CI43" s="371">
        <v>0</v>
      </c>
      <c r="CJ43" s="371">
        <v>0</v>
      </c>
      <c r="CK43" s="371">
        <v>202</v>
      </c>
      <c r="CL43" s="371">
        <v>1</v>
      </c>
      <c r="CM43" s="371">
        <v>51</v>
      </c>
      <c r="CN43" s="371">
        <v>483</v>
      </c>
      <c r="CO43" s="371">
        <v>1</v>
      </c>
      <c r="CP43" s="371">
        <v>0</v>
      </c>
      <c r="CQ43" s="371">
        <v>0</v>
      </c>
      <c r="CR43" s="371">
        <v>778</v>
      </c>
      <c r="CS43" s="371">
        <v>0</v>
      </c>
      <c r="CT43" s="371">
        <v>0</v>
      </c>
      <c r="CU43" s="367">
        <f>IFERROR(CH43/Instructions!$J$25,0)+CI43*Instructions!$J$27+CJ43*Instructions!$J$29+IFERROR(CK43/Instructions!$E$34,0)+CL43*Instructions!$E$36+Tier!CM43*Instructions!$E$25+IFERROR(CN43/Instructions!$E$27,0)+CO43*Instructions!$E$29+IFERROR((CP43+CR43)/Instructions!$J$32,0)+(CQ43+CS43)*Instructions!$J$34+Tier!CT43*-2</f>
        <v>131.5</v>
      </c>
      <c r="CV43" s="354"/>
      <c r="CW43" s="238">
        <v>2015</v>
      </c>
      <c r="CX43" s="370" t="s">
        <v>50</v>
      </c>
      <c r="CY43" s="371" t="s">
        <v>1626</v>
      </c>
      <c r="CZ43" s="419" t="s">
        <v>7</v>
      </c>
      <c r="DA43" s="371">
        <v>0</v>
      </c>
      <c r="DB43" s="371">
        <v>0</v>
      </c>
      <c r="DC43" s="371">
        <v>0</v>
      </c>
      <c r="DD43" s="371">
        <v>0</v>
      </c>
      <c r="DE43" s="372">
        <v>0</v>
      </c>
      <c r="DF43" s="372">
        <v>56</v>
      </c>
      <c r="DG43" s="372">
        <v>630</v>
      </c>
      <c r="DH43" s="372">
        <v>5</v>
      </c>
      <c r="DI43" s="372">
        <v>0</v>
      </c>
      <c r="DJ43" s="372">
        <v>0</v>
      </c>
      <c r="DK43" s="372">
        <v>0</v>
      </c>
      <c r="DL43" s="372">
        <v>0</v>
      </c>
      <c r="DM43" s="372">
        <v>0</v>
      </c>
      <c r="DN43" s="367">
        <f>IFERROR(DA43/Instructions!$J$25,0)+DB43*Instructions!$J$27+DC43*Instructions!$J$29+IFERROR(DD43/Instructions!$E$34,0)+DE43*Instructions!$E$36+Tier!DF43*Instructions!$E$25+IFERROR(DG43/Instructions!$E$27,0)+DH43*Instructions!$E$29+IFERROR((DI43+DK43)/Instructions!$J$32,0)+(DJ43+DL43)*Instructions!$J$34+Tier!DM43*-2</f>
        <v>149</v>
      </c>
    </row>
    <row r="44" spans="1:118" s="366" customFormat="1" ht="15.75" customHeight="1" x14ac:dyDescent="0.25">
      <c r="A44" s="353">
        <v>4</v>
      </c>
      <c r="B44" s="358">
        <f t="shared" si="42"/>
        <v>174.58666666666667</v>
      </c>
      <c r="C44" s="354"/>
      <c r="D44" s="363">
        <v>1</v>
      </c>
      <c r="E44" s="364">
        <f t="shared" si="43"/>
        <v>366.6</v>
      </c>
      <c r="F44" s="238">
        <v>2015</v>
      </c>
      <c r="G44" s="367">
        <f>LARGE($BI$35:$BI$66,10)</f>
        <v>287.54000000000002</v>
      </c>
      <c r="H44" s="355">
        <f t="shared" si="37"/>
        <v>7.0600000000000023</v>
      </c>
      <c r="I44" s="356">
        <f t="shared" si="35"/>
        <v>49.843600000000031</v>
      </c>
      <c r="J44" s="356">
        <f>J45+J35</f>
        <v>296.48</v>
      </c>
      <c r="K44" s="356">
        <f t="shared" si="38"/>
        <v>0.44125000000000014</v>
      </c>
      <c r="L44" s="238">
        <f t="shared" si="39"/>
        <v>6</v>
      </c>
      <c r="M44" s="354"/>
      <c r="N44" s="363">
        <v>1</v>
      </c>
      <c r="O44" s="364">
        <f>IFERROR(AVERAGEIF($V$606:$V$755,N44,$Q$606:$Q$755),AVERAGE(T610:T611))</f>
        <v>260.06666666666672</v>
      </c>
      <c r="P44" s="366">
        <v>2014</v>
      </c>
      <c r="Q44" s="367">
        <f>LARGE($CB$2:$CB$151,43)</f>
        <v>96.1</v>
      </c>
      <c r="R44" s="357">
        <f t="shared" si="34"/>
        <v>-68.5</v>
      </c>
      <c r="S44" s="356">
        <f t="shared" si="6"/>
        <v>4692.25</v>
      </c>
      <c r="T44" s="238"/>
      <c r="U44" s="356">
        <f t="shared" si="7"/>
        <v>-4.28125</v>
      </c>
      <c r="V44" s="238">
        <f t="shared" si="8"/>
        <v>8</v>
      </c>
      <c r="W44" s="354"/>
      <c r="X44" s="363">
        <v>1</v>
      </c>
      <c r="Y44" s="364">
        <f t="shared" si="44"/>
        <v>286.39999999999998</v>
      </c>
      <c r="Z44" s="321">
        <v>2014</v>
      </c>
      <c r="AA44" s="367">
        <f>LARGE($CU$2:$CU$151,43)</f>
        <v>167.3</v>
      </c>
      <c r="AB44" s="357">
        <f t="shared" si="10"/>
        <v>-50.433333333333337</v>
      </c>
      <c r="AC44" s="356">
        <f t="shared" si="0"/>
        <v>2543.5211111111116</v>
      </c>
      <c r="AD44" s="356"/>
      <c r="AE44" s="356">
        <f t="shared" si="11"/>
        <v>-3.1520833333333336</v>
      </c>
      <c r="AF44" s="238">
        <f t="shared" si="12"/>
        <v>8</v>
      </c>
      <c r="AG44" s="354"/>
      <c r="AH44" s="363">
        <v>1</v>
      </c>
      <c r="AI44" s="364">
        <f t="shared" si="45"/>
        <v>222.2</v>
      </c>
      <c r="AJ44" s="238">
        <v>2015</v>
      </c>
      <c r="AK44" s="367">
        <f>LARGE($DN$35:$DN$66,10)</f>
        <v>149</v>
      </c>
      <c r="AL44" s="373">
        <f t="shared" si="40"/>
        <v>18.300000000000011</v>
      </c>
      <c r="AM44" s="374">
        <f t="shared" si="36"/>
        <v>334.89000000000044</v>
      </c>
      <c r="AN44" s="356">
        <f>AN45+AN35</f>
        <v>146.69999999999999</v>
      </c>
      <c r="AO44" s="374">
        <f t="shared" si="41"/>
        <v>1.1437500000000007</v>
      </c>
      <c r="AP44" s="238">
        <f t="shared" si="17"/>
        <v>5</v>
      </c>
      <c r="AQ44" s="354"/>
      <c r="AR44" s="238">
        <v>2015</v>
      </c>
      <c r="AS44" s="365" t="s">
        <v>177</v>
      </c>
      <c r="AT44" s="366" t="s">
        <v>152</v>
      </c>
      <c r="AU44" s="366" t="s">
        <v>1</v>
      </c>
      <c r="AV44" s="366">
        <v>4166</v>
      </c>
      <c r="AW44" s="366">
        <v>29</v>
      </c>
      <c r="AX44" s="366">
        <v>11</v>
      </c>
      <c r="AY44" s="366">
        <v>48</v>
      </c>
      <c r="AZ44" s="366">
        <v>5</v>
      </c>
      <c r="BA44" s="366">
        <v>0</v>
      </c>
      <c r="BB44" s="366">
        <v>0</v>
      </c>
      <c r="BC44" s="366">
        <v>0</v>
      </c>
      <c r="BD44" s="366">
        <v>0</v>
      </c>
      <c r="BE44" s="366">
        <v>0</v>
      </c>
      <c r="BF44" s="366">
        <v>0</v>
      </c>
      <c r="BG44" s="366">
        <v>0</v>
      </c>
      <c r="BH44" s="366">
        <v>3</v>
      </c>
      <c r="BI44" s="367">
        <f>IFERROR(AV44/Instructions!$J$25,0)+AW44*Instructions!$J$27+AX44*Instructions!$J$29+IFERROR(AY44/Instructions!$E$34,0)+AZ44*Instructions!$E$36+Tier!BA44*Instructions!$E$25+IFERROR(BB44/Instructions!$E$27,0)+BC44*Instructions!$E$29+IFERROR((BD44+BF44)/Instructions!$J$32,0)+(BE44+BG44)*Instructions!$J$34+BH44*-2</f>
        <v>289.44</v>
      </c>
      <c r="BJ44" s="354"/>
      <c r="BK44" s="366">
        <v>2014</v>
      </c>
      <c r="BL44" s="370" t="s">
        <v>972</v>
      </c>
      <c r="BM44" s="372" t="s">
        <v>144</v>
      </c>
      <c r="BN44" s="372" t="s">
        <v>3</v>
      </c>
      <c r="BO44" s="372">
        <v>0</v>
      </c>
      <c r="BP44" s="372">
        <v>0</v>
      </c>
      <c r="BQ44" s="372">
        <v>0</v>
      </c>
      <c r="BR44" s="372">
        <v>434</v>
      </c>
      <c r="BS44" s="372">
        <v>3</v>
      </c>
      <c r="BT44" s="372">
        <v>21</v>
      </c>
      <c r="BU44" s="372">
        <v>139</v>
      </c>
      <c r="BV44" s="372">
        <v>1</v>
      </c>
      <c r="BW44" s="372">
        <v>0</v>
      </c>
      <c r="BX44" s="372">
        <v>0</v>
      </c>
      <c r="BY44" s="372">
        <v>0</v>
      </c>
      <c r="BZ44" s="372">
        <v>0</v>
      </c>
      <c r="CA44" s="372">
        <v>0</v>
      </c>
      <c r="CB44" s="367">
        <f>IFERROR(BO44/Instructions!$J$25,0)+BP44*Instructions!$J$27+BQ44*Instructions!$J$29+IFERROR(BR44/Instructions!$E$34,0)+BS44*Instructions!$E$36+Tier!BT45*Instructions!$E$25+IFERROR(BU44/Instructions!$E$27,0)+BV44*Instructions!$E$29+IFERROR((BW44+BY44)/Instructions!$J$32,0)+(BX44+BZ44)*Instructions!$J$34+Tier!CA44*-2</f>
        <v>96.300000000000011</v>
      </c>
      <c r="CC44" s="354"/>
      <c r="CD44" s="321">
        <v>2014</v>
      </c>
      <c r="CE44" s="370" t="s">
        <v>96</v>
      </c>
      <c r="CF44" s="371" t="s">
        <v>146</v>
      </c>
      <c r="CG44" s="371" t="s">
        <v>6</v>
      </c>
      <c r="CH44" s="371">
        <v>0</v>
      </c>
      <c r="CI44" s="371">
        <v>0</v>
      </c>
      <c r="CJ44" s="371">
        <v>0</v>
      </c>
      <c r="CK44" s="371">
        <v>0</v>
      </c>
      <c r="CL44" s="371">
        <v>0</v>
      </c>
      <c r="CM44" s="371">
        <v>37</v>
      </c>
      <c r="CN44" s="371">
        <v>621</v>
      </c>
      <c r="CO44" s="371">
        <v>8</v>
      </c>
      <c r="CP44" s="371">
        <v>0</v>
      </c>
      <c r="CQ44" s="371">
        <v>0</v>
      </c>
      <c r="CR44" s="371">
        <v>0</v>
      </c>
      <c r="CS44" s="371">
        <v>0</v>
      </c>
      <c r="CT44" s="371">
        <v>0</v>
      </c>
      <c r="CU44" s="367">
        <f>IFERROR(CH44/Instructions!$J$25,0)+CI44*Instructions!$J$27+CJ44*Instructions!$J$29+IFERROR(CK44/Instructions!$E$34,0)+CL44*Instructions!$E$36+Tier!CM44*Instructions!$E$25+IFERROR(CN44/Instructions!$E$27,0)+CO44*Instructions!$E$29+IFERROR((CP44+CR44)/Instructions!$J$32,0)+(CQ44+CS44)*Instructions!$J$34+Tier!CT44*-2</f>
        <v>147.1</v>
      </c>
      <c r="CV44" s="354"/>
      <c r="CW44" s="238">
        <v>2015</v>
      </c>
      <c r="CX44" s="370" t="s">
        <v>28</v>
      </c>
      <c r="CY44" s="371" t="s">
        <v>146</v>
      </c>
      <c r="CZ44" s="419" t="s">
        <v>7</v>
      </c>
      <c r="DA44" s="371">
        <v>0</v>
      </c>
      <c r="DB44" s="371">
        <v>0</v>
      </c>
      <c r="DC44" s="371">
        <v>0</v>
      </c>
      <c r="DD44" s="371">
        <v>0</v>
      </c>
      <c r="DE44" s="372">
        <v>0</v>
      </c>
      <c r="DF44" s="372">
        <v>77</v>
      </c>
      <c r="DG44" s="372">
        <v>713</v>
      </c>
      <c r="DH44" s="372">
        <v>3</v>
      </c>
      <c r="DI44" s="372">
        <v>0</v>
      </c>
      <c r="DJ44" s="372">
        <v>0</v>
      </c>
      <c r="DK44" s="372">
        <v>0</v>
      </c>
      <c r="DL44" s="372">
        <v>0</v>
      </c>
      <c r="DM44" s="372">
        <v>1</v>
      </c>
      <c r="DN44" s="367">
        <f>IFERROR(DA44/Instructions!$J$25,0)+DB44*Instructions!$J$27+DC44*Instructions!$J$29+IFERROR(DD44/Instructions!$E$34,0)+DE44*Instructions!$E$36+Tier!DF44*Instructions!$E$25+IFERROR(DG44/Instructions!$E$27,0)+DH44*Instructions!$E$29+IFERROR((DI44+DK44)/Instructions!$J$32,0)+(DJ44+DL44)*Instructions!$J$34+Tier!DM44*-2</f>
        <v>164.3</v>
      </c>
    </row>
    <row r="45" spans="1:118" s="366" customFormat="1" ht="15.75" customHeight="1" x14ac:dyDescent="0.25">
      <c r="A45" s="359">
        <v>5</v>
      </c>
      <c r="B45" s="358">
        <f t="shared" si="42"/>
        <v>160.52555555555554</v>
      </c>
      <c r="C45" s="354"/>
      <c r="D45" s="363">
        <v>2</v>
      </c>
      <c r="E45" s="364">
        <f t="shared" si="43"/>
        <v>350.96000000000004</v>
      </c>
      <c r="F45" s="238">
        <v>2015</v>
      </c>
      <c r="G45" s="367">
        <f>LARGE($BI$35:$BI$66,11)</f>
        <v>285.2</v>
      </c>
      <c r="H45" s="355">
        <f t="shared" si="37"/>
        <v>4.7199999999999704</v>
      </c>
      <c r="I45" s="356">
        <f t="shared" si="35"/>
        <v>22.278399999999721</v>
      </c>
      <c r="J45" s="481">
        <f>(INDEX($G$35:$G$66,Instructions!$E$11*Instructions!$E$15,1)
+IF(Instructions!$E$15=2,INDEX($G$35:$G$66,Instructions!$E$11,1),0))
/(Instructions!$E$15)</f>
        <v>280.48</v>
      </c>
      <c r="K45" s="356">
        <f t="shared" si="38"/>
        <v>0.29499999999999815</v>
      </c>
      <c r="L45" s="238">
        <f t="shared" si="39"/>
        <v>6</v>
      </c>
      <c r="M45" s="354"/>
      <c r="N45" s="363">
        <v>2</v>
      </c>
      <c r="O45" s="364">
        <f t="shared" ref="O45:O50" si="46">IFERROR(AVERAGEIF($V$606:$V$755,N45,$Q$606:$Q$755),AVERAGE(T611:T612))</f>
        <v>275.64999999999998</v>
      </c>
      <c r="P45" s="366">
        <v>2014</v>
      </c>
      <c r="Q45" s="367">
        <f>LARGE($CB$2:$CB$151,44)</f>
        <v>94</v>
      </c>
      <c r="R45" s="357">
        <f t="shared" si="34"/>
        <v>-70.599999999999994</v>
      </c>
      <c r="S45" s="356">
        <f t="shared" si="6"/>
        <v>4984.3599999999988</v>
      </c>
      <c r="T45" s="238"/>
      <c r="U45" s="356">
        <f t="shared" si="7"/>
        <v>-4.4124999999999996</v>
      </c>
      <c r="V45" s="238">
        <f t="shared" si="8"/>
        <v>8</v>
      </c>
      <c r="W45" s="354"/>
      <c r="X45" s="363">
        <v>2</v>
      </c>
      <c r="Y45" s="364">
        <f t="shared" si="44"/>
        <v>261.33333333333337</v>
      </c>
      <c r="Z45" s="321">
        <v>2014</v>
      </c>
      <c r="AA45" s="367">
        <f>LARGE($CU$2:$CU$151,44)</f>
        <v>165.3</v>
      </c>
      <c r="AB45" s="357">
        <f t="shared" si="10"/>
        <v>-52.433333333333337</v>
      </c>
      <c r="AC45" s="356">
        <f t="shared" si="0"/>
        <v>2749.2544444444447</v>
      </c>
      <c r="AD45" s="356"/>
      <c r="AE45" s="356">
        <f t="shared" si="11"/>
        <v>-3.2770833333333336</v>
      </c>
      <c r="AF45" s="238">
        <f t="shared" si="12"/>
        <v>8</v>
      </c>
      <c r="AG45" s="354"/>
      <c r="AH45" s="363">
        <v>2</v>
      </c>
      <c r="AI45" s="364">
        <f t="shared" si="45"/>
        <v>202.6</v>
      </c>
      <c r="AJ45" s="238">
        <v>2015</v>
      </c>
      <c r="AK45" s="367">
        <f>LARGE($DN$35:$DN$66,11)</f>
        <v>130.69999999999999</v>
      </c>
      <c r="AL45" s="373">
        <f t="shared" si="40"/>
        <v>0</v>
      </c>
      <c r="AM45" s="374">
        <f t="shared" si="36"/>
        <v>0</v>
      </c>
      <c r="AN45" s="481">
        <f>INDEX(Tier!AK35:AK66,Instructions!$E$11,1)</f>
        <v>130.69999999999999</v>
      </c>
      <c r="AO45" s="374">
        <f t="shared" si="41"/>
        <v>0</v>
      </c>
      <c r="AP45" s="238">
        <f t="shared" si="17"/>
        <v>7</v>
      </c>
      <c r="AQ45" s="354"/>
      <c r="AR45" s="238">
        <v>2015</v>
      </c>
      <c r="AS45" s="365" t="s">
        <v>172</v>
      </c>
      <c r="AT45" s="366" t="s">
        <v>164</v>
      </c>
      <c r="AU45" s="366" t="s">
        <v>1</v>
      </c>
      <c r="AV45" s="366">
        <v>3905</v>
      </c>
      <c r="AW45" s="366">
        <v>31</v>
      </c>
      <c r="AX45" s="366">
        <v>15</v>
      </c>
      <c r="AY45" s="366">
        <v>270</v>
      </c>
      <c r="AZ45" s="366">
        <v>2</v>
      </c>
      <c r="BA45" s="366">
        <v>0</v>
      </c>
      <c r="BB45" s="366">
        <v>0</v>
      </c>
      <c r="BC45" s="366">
        <v>0</v>
      </c>
      <c r="BD45" s="366">
        <v>0</v>
      </c>
      <c r="BE45" s="366">
        <v>0</v>
      </c>
      <c r="BF45" s="366">
        <v>0</v>
      </c>
      <c r="BG45" s="366">
        <v>0</v>
      </c>
      <c r="BH45" s="366">
        <v>2</v>
      </c>
      <c r="BI45" s="367">
        <f>IFERROR(AV45/Instructions!$J$25,0)+AW45*Instructions!$J$27+AX45*Instructions!$J$29+IFERROR(AY45/Instructions!$E$34,0)+AZ45*Instructions!$E$36+Tier!BA45*Instructions!$E$25+IFERROR(BB45/Instructions!$E$27,0)+BC45*Instructions!$E$29+IFERROR((BD45+BF45)/Instructions!$J$32,0)+(BE45+BG45)*Instructions!$J$34+BH45*-2</f>
        <v>285.2</v>
      </c>
      <c r="BJ45" s="354"/>
      <c r="BK45" s="366">
        <v>2014</v>
      </c>
      <c r="BL45" s="370" t="s">
        <v>984</v>
      </c>
      <c r="BM45" s="372" t="s">
        <v>151</v>
      </c>
      <c r="BN45" s="372" t="s">
        <v>3</v>
      </c>
      <c r="BO45" s="372">
        <v>0</v>
      </c>
      <c r="BP45" s="372">
        <v>0</v>
      </c>
      <c r="BQ45" s="372">
        <v>0</v>
      </c>
      <c r="BR45" s="372">
        <v>528</v>
      </c>
      <c r="BS45" s="372">
        <v>2</v>
      </c>
      <c r="BT45" s="372">
        <v>15</v>
      </c>
      <c r="BU45" s="372">
        <v>113</v>
      </c>
      <c r="BV45" s="372">
        <v>1</v>
      </c>
      <c r="BW45" s="372">
        <v>0</v>
      </c>
      <c r="BX45" s="372">
        <v>0</v>
      </c>
      <c r="BY45" s="372">
        <v>0</v>
      </c>
      <c r="BZ45" s="372">
        <v>0</v>
      </c>
      <c r="CA45" s="372">
        <v>0</v>
      </c>
      <c r="CB45" s="367">
        <f>IFERROR(BO45/Instructions!$J$25,0)+BP45*Instructions!$J$27+BQ45*Instructions!$J$29+IFERROR(BR45/Instructions!$E$34,0)+BS45*Instructions!$E$36+Tier!BT46*Instructions!$E$25+IFERROR(BU45/Instructions!$E$27,0)+BV45*Instructions!$E$29+IFERROR((BW45+BY45)/Instructions!$J$32,0)+(BX45+BZ45)*Instructions!$J$34+Tier!CA45*-2</f>
        <v>127.1</v>
      </c>
      <c r="CC45" s="354"/>
      <c r="CD45" s="321">
        <v>2014</v>
      </c>
      <c r="CE45" s="370" t="s">
        <v>1682</v>
      </c>
      <c r="CF45" s="371" t="s">
        <v>138</v>
      </c>
      <c r="CG45" s="371" t="s">
        <v>6</v>
      </c>
      <c r="CH45" s="371">
        <v>0</v>
      </c>
      <c r="CI45" s="371">
        <v>0</v>
      </c>
      <c r="CJ45" s="371">
        <v>0</v>
      </c>
      <c r="CK45" s="371">
        <v>0</v>
      </c>
      <c r="CL45" s="371">
        <v>0</v>
      </c>
      <c r="CM45" s="371">
        <v>59</v>
      </c>
      <c r="CN45" s="371">
        <v>742</v>
      </c>
      <c r="CO45" s="371">
        <v>6</v>
      </c>
      <c r="CP45" s="371">
        <v>0</v>
      </c>
      <c r="CQ45" s="371">
        <v>0</v>
      </c>
      <c r="CR45" s="371">
        <v>0</v>
      </c>
      <c r="CS45" s="371">
        <v>0</v>
      </c>
      <c r="CT45" s="371">
        <v>0</v>
      </c>
      <c r="CU45" s="367">
        <f>IFERROR(CH45/Instructions!$J$25,0)+CI45*Instructions!$J$27+CJ45*Instructions!$J$29+IFERROR(CK45/Instructions!$E$34,0)+CL45*Instructions!$E$36+Tier!CM45*Instructions!$E$25+IFERROR(CN45/Instructions!$E$27,0)+CO45*Instructions!$E$29+IFERROR((CP45+CR45)/Instructions!$J$32,0)+(CQ45+CS45)*Instructions!$J$34+Tier!CT45*-2</f>
        <v>169.2</v>
      </c>
      <c r="CV45" s="354"/>
      <c r="CW45" s="238">
        <v>2015</v>
      </c>
      <c r="CX45" s="370" t="s">
        <v>58</v>
      </c>
      <c r="CY45" s="371" t="s">
        <v>142</v>
      </c>
      <c r="CZ45" s="419" t="s">
        <v>7</v>
      </c>
      <c r="DA45" s="371">
        <v>0</v>
      </c>
      <c r="DB45" s="371">
        <v>0</v>
      </c>
      <c r="DC45" s="371">
        <v>0</v>
      </c>
      <c r="DD45" s="371">
        <v>0</v>
      </c>
      <c r="DE45" s="372">
        <v>0</v>
      </c>
      <c r="DF45" s="372">
        <v>47</v>
      </c>
      <c r="DG45" s="372">
        <v>537</v>
      </c>
      <c r="DH45" s="372">
        <v>5</v>
      </c>
      <c r="DI45" s="372">
        <v>0</v>
      </c>
      <c r="DJ45" s="372">
        <v>0</v>
      </c>
      <c r="DK45" s="372">
        <v>0</v>
      </c>
      <c r="DL45" s="372">
        <v>0</v>
      </c>
      <c r="DM45" s="372">
        <v>0</v>
      </c>
      <c r="DN45" s="367">
        <f>IFERROR(DA45/Instructions!$J$25,0)+DB45*Instructions!$J$27+DC45*Instructions!$J$29+IFERROR(DD45/Instructions!$E$34,0)+DE45*Instructions!$E$36+Tier!DF45*Instructions!$E$25+IFERROR(DG45/Instructions!$E$27,0)+DH45*Instructions!$E$29+IFERROR((DI45+DK45)/Instructions!$J$32,0)+(DJ45+DL45)*Instructions!$J$34+Tier!DM45*-2</f>
        <v>130.69999999999999</v>
      </c>
    </row>
    <row r="46" spans="1:118" s="366" customFormat="1" ht="15.75" customHeight="1" x14ac:dyDescent="0.25">
      <c r="A46" s="359">
        <v>6</v>
      </c>
      <c r="B46" s="358">
        <f>AI59</f>
        <v>144.24222222222221</v>
      </c>
      <c r="C46" s="354"/>
      <c r="D46" s="363">
        <v>3</v>
      </c>
      <c r="E46" s="364">
        <f t="shared" si="43"/>
        <v>332.78</v>
      </c>
      <c r="F46" s="238">
        <v>2015</v>
      </c>
      <c r="G46" s="367">
        <f>LARGE($BI$35:$BI$66,12)</f>
        <v>280.48</v>
      </c>
      <c r="H46" s="355">
        <f t="shared" si="37"/>
        <v>0</v>
      </c>
      <c r="I46" s="356">
        <f t="shared" si="35"/>
        <v>0</v>
      </c>
      <c r="J46" s="356">
        <f>J45-J35</f>
        <v>264.48</v>
      </c>
      <c r="K46" s="356">
        <f t="shared" si="38"/>
        <v>0</v>
      </c>
      <c r="L46" s="238">
        <f t="shared" si="39"/>
        <v>7</v>
      </c>
      <c r="M46" s="354"/>
      <c r="N46" s="363">
        <v>3</v>
      </c>
      <c r="O46" s="364">
        <f t="shared" si="46"/>
        <v>249.25</v>
      </c>
      <c r="P46" s="366">
        <v>2014</v>
      </c>
      <c r="Q46" s="367">
        <f>LARGE($CB$2:$CB$151,45)</f>
        <v>92.399999999999991</v>
      </c>
      <c r="R46" s="357">
        <f t="shared" si="34"/>
        <v>-72.2</v>
      </c>
      <c r="S46" s="356">
        <f t="shared" si="6"/>
        <v>5212.84</v>
      </c>
      <c r="T46" s="238"/>
      <c r="U46" s="356">
        <f t="shared" si="7"/>
        <v>-4.5125000000000002</v>
      </c>
      <c r="V46" s="238">
        <f t="shared" si="8"/>
        <v>8</v>
      </c>
      <c r="W46" s="354"/>
      <c r="X46" s="363">
        <v>3</v>
      </c>
      <c r="Y46" s="364">
        <f t="shared" si="44"/>
        <v>241.1</v>
      </c>
      <c r="Z46" s="321">
        <v>2014</v>
      </c>
      <c r="AA46" s="367">
        <f>LARGE($CU$2:$CU$151,45)</f>
        <v>162.9</v>
      </c>
      <c r="AB46" s="357">
        <f t="shared" si="10"/>
        <v>-54.833333333333343</v>
      </c>
      <c r="AC46" s="356">
        <f t="shared" si="0"/>
        <v>3006.6944444444457</v>
      </c>
      <c r="AD46" s="356"/>
      <c r="AE46" s="356">
        <f t="shared" si="11"/>
        <v>-3.4270833333333339</v>
      </c>
      <c r="AF46" s="238">
        <f t="shared" si="12"/>
        <v>8</v>
      </c>
      <c r="AG46" s="354"/>
      <c r="AH46" s="363">
        <v>3</v>
      </c>
      <c r="AI46" s="364">
        <f t="shared" si="45"/>
        <v>193.6</v>
      </c>
      <c r="AJ46" s="238">
        <v>2015</v>
      </c>
      <c r="AK46" s="367">
        <f>LARGE($DN$35:$DN$66,12)</f>
        <v>130.69999999999999</v>
      </c>
      <c r="AL46" s="373">
        <f t="shared" si="40"/>
        <v>0</v>
      </c>
      <c r="AM46" s="374">
        <f t="shared" si="36"/>
        <v>0</v>
      </c>
      <c r="AN46" s="356">
        <f>AN45-AN35</f>
        <v>114.69999999999999</v>
      </c>
      <c r="AO46" s="374">
        <f t="shared" si="41"/>
        <v>0</v>
      </c>
      <c r="AP46" s="238">
        <f t="shared" si="17"/>
        <v>7</v>
      </c>
      <c r="AQ46" s="354"/>
      <c r="AR46" s="238">
        <v>2015</v>
      </c>
      <c r="AS46" s="365" t="s">
        <v>51</v>
      </c>
      <c r="AT46" s="366" t="s">
        <v>1626</v>
      </c>
      <c r="AU46" s="366" t="s">
        <v>1</v>
      </c>
      <c r="AV46" s="366">
        <v>4792</v>
      </c>
      <c r="AW46" s="366">
        <v>29</v>
      </c>
      <c r="AX46" s="366">
        <v>13</v>
      </c>
      <c r="AY46" s="366">
        <v>28</v>
      </c>
      <c r="AZ46" s="366">
        <v>0</v>
      </c>
      <c r="BA46" s="366">
        <v>0</v>
      </c>
      <c r="BB46" s="366">
        <v>0</v>
      </c>
      <c r="BC46" s="366">
        <v>0</v>
      </c>
      <c r="BD46" s="366">
        <v>0</v>
      </c>
      <c r="BE46" s="366">
        <v>0</v>
      </c>
      <c r="BF46" s="366">
        <v>0</v>
      </c>
      <c r="BG46" s="366">
        <v>0</v>
      </c>
      <c r="BH46" s="366">
        <v>2</v>
      </c>
      <c r="BI46" s="367">
        <f>IFERROR(AV46/Instructions!$J$25,0)+AW46*Instructions!$J$27+AX46*Instructions!$J$29+IFERROR(AY46/Instructions!$E$34,0)+AZ46*Instructions!$E$36+Tier!BA46*Instructions!$E$25+IFERROR(BB46/Instructions!$E$27,0)+BC46*Instructions!$E$29+IFERROR((BD46+BF46)/Instructions!$J$32,0)+(BE46+BG46)*Instructions!$J$34+BH46*-2</f>
        <v>280.48</v>
      </c>
      <c r="BJ46" s="354"/>
      <c r="BK46" s="366">
        <v>2014</v>
      </c>
      <c r="BL46" s="370" t="s">
        <v>1659</v>
      </c>
      <c r="BM46" s="372" t="s">
        <v>1625</v>
      </c>
      <c r="BN46" s="372" t="s">
        <v>3</v>
      </c>
      <c r="BO46" s="372">
        <v>0</v>
      </c>
      <c r="BP46" s="372">
        <v>0</v>
      </c>
      <c r="BQ46" s="372">
        <v>0</v>
      </c>
      <c r="BR46" s="372">
        <v>222</v>
      </c>
      <c r="BS46" s="372">
        <v>2</v>
      </c>
      <c r="BT46" s="372">
        <v>45</v>
      </c>
      <c r="BU46" s="372">
        <v>378</v>
      </c>
      <c r="BV46" s="372">
        <v>1</v>
      </c>
      <c r="BW46" s="372">
        <v>0</v>
      </c>
      <c r="BX46" s="372">
        <v>0</v>
      </c>
      <c r="BY46" s="372">
        <v>0</v>
      </c>
      <c r="BZ46" s="372">
        <v>0</v>
      </c>
      <c r="CA46" s="372">
        <v>0</v>
      </c>
      <c r="CB46" s="367">
        <f>IFERROR(BO46/Instructions!$J$25,0)+BP46*Instructions!$J$27+BQ46*Instructions!$J$29+IFERROR(BR46/Instructions!$E$34,0)+BS46*Instructions!$E$36+Tier!BT47*Instructions!$E$25+IFERROR(BU46/Instructions!$E$27,0)+BV46*Instructions!$E$29+IFERROR((BW46+BY46)/Instructions!$J$32,0)+(BX46+BZ46)*Instructions!$J$34+Tier!CA46*-2</f>
        <v>90</v>
      </c>
      <c r="CC46" s="354"/>
      <c r="CD46" s="321">
        <v>2014</v>
      </c>
      <c r="CE46" s="370" t="s">
        <v>53</v>
      </c>
      <c r="CF46" s="371" t="s">
        <v>1626</v>
      </c>
      <c r="CG46" s="371" t="s">
        <v>6</v>
      </c>
      <c r="CH46" s="371">
        <v>0</v>
      </c>
      <c r="CI46" s="371">
        <v>0</v>
      </c>
      <c r="CJ46" s="371">
        <v>0</v>
      </c>
      <c r="CK46" s="371">
        <v>0</v>
      </c>
      <c r="CL46" s="371">
        <v>0</v>
      </c>
      <c r="CM46" s="371">
        <v>77</v>
      </c>
      <c r="CN46" s="371">
        <v>783</v>
      </c>
      <c r="CO46" s="371">
        <v>4</v>
      </c>
      <c r="CP46" s="371">
        <v>99</v>
      </c>
      <c r="CQ46" s="371">
        <v>0</v>
      </c>
      <c r="CR46" s="371">
        <v>0</v>
      </c>
      <c r="CS46" s="371">
        <v>0</v>
      </c>
      <c r="CT46" s="371">
        <v>1</v>
      </c>
      <c r="CU46" s="367">
        <f>IFERROR(CH46/Instructions!$J$25,0)+CI46*Instructions!$J$27+CJ46*Instructions!$J$29+IFERROR(CK46/Instructions!$E$34,0)+CL46*Instructions!$E$36+Tier!CM46*Instructions!$E$25+IFERROR(CN46/Instructions!$E$27,0)+CO46*Instructions!$E$29+IFERROR((CP46+CR46)/Instructions!$J$32,0)+(CQ46+CS46)*Instructions!$J$34+Tier!CT46*-2</f>
        <v>177.3</v>
      </c>
      <c r="CV46" s="354"/>
      <c r="CW46" s="238">
        <v>2015</v>
      </c>
      <c r="CX46" s="370" t="s">
        <v>41</v>
      </c>
      <c r="CY46" s="371" t="s">
        <v>138</v>
      </c>
      <c r="CZ46" s="419" t="s">
        <v>7</v>
      </c>
      <c r="DA46" s="371">
        <v>0</v>
      </c>
      <c r="DB46" s="371">
        <v>0</v>
      </c>
      <c r="DC46" s="371">
        <v>0</v>
      </c>
      <c r="DD46" s="371">
        <v>0</v>
      </c>
      <c r="DE46" s="372">
        <v>0</v>
      </c>
      <c r="DF46" s="372">
        <v>49</v>
      </c>
      <c r="DG46" s="372">
        <v>495</v>
      </c>
      <c r="DH46" s="372">
        <v>5</v>
      </c>
      <c r="DI46" s="372">
        <v>0</v>
      </c>
      <c r="DJ46" s="372">
        <v>0</v>
      </c>
      <c r="DK46" s="372">
        <v>0</v>
      </c>
      <c r="DL46" s="372">
        <v>0</v>
      </c>
      <c r="DM46" s="372">
        <v>0</v>
      </c>
      <c r="DN46" s="367">
        <f>IFERROR(DA46/Instructions!$J$25,0)+DB46*Instructions!$J$27+DC46*Instructions!$J$29+IFERROR(DD46/Instructions!$E$34,0)+DE46*Instructions!$E$36+Tier!DF46*Instructions!$E$25+IFERROR(DG46/Instructions!$E$27,0)+DH46*Instructions!$E$29+IFERROR((DI46+DK46)/Instructions!$J$32,0)+(DJ46+DL46)*Instructions!$J$34+Tier!DM46*-2</f>
        <v>128.5</v>
      </c>
    </row>
    <row r="47" spans="1:118" s="366" customFormat="1" ht="15.75" customHeight="1" x14ac:dyDescent="0.25">
      <c r="A47" s="353">
        <v>7</v>
      </c>
      <c r="B47" s="358">
        <f>AI60</f>
        <v>129.00276190476191</v>
      </c>
      <c r="C47" s="354"/>
      <c r="D47" s="363">
        <v>4</v>
      </c>
      <c r="E47" s="364">
        <f t="shared" si="43"/>
        <v>323.92</v>
      </c>
      <c r="F47" s="238">
        <v>2015</v>
      </c>
      <c r="G47" s="367">
        <f>LARGE($BI$35:$BI$66,13)</f>
        <v>272.98</v>
      </c>
      <c r="H47" s="355">
        <f t="shared" si="37"/>
        <v>-7.5</v>
      </c>
      <c r="I47" s="356">
        <f t="shared" si="35"/>
        <v>56.25</v>
      </c>
      <c r="J47" s="356">
        <f>J46-J35</f>
        <v>248.48000000000002</v>
      </c>
      <c r="K47" s="356">
        <f t="shared" si="38"/>
        <v>-0.46875</v>
      </c>
      <c r="L47" s="238">
        <f t="shared" si="39"/>
        <v>7</v>
      </c>
      <c r="M47" s="354"/>
      <c r="N47" s="363">
        <v>4</v>
      </c>
      <c r="O47" s="364">
        <f t="shared" si="46"/>
        <v>229.6</v>
      </c>
      <c r="P47" s="366">
        <v>2014</v>
      </c>
      <c r="Q47" s="367">
        <f>LARGE($CB$2:$CB$151,46)</f>
        <v>90</v>
      </c>
      <c r="R47" s="357">
        <f t="shared" si="34"/>
        <v>-74.599999999999994</v>
      </c>
      <c r="S47" s="356">
        <f t="shared" si="6"/>
        <v>5565.1599999999989</v>
      </c>
      <c r="T47" s="238"/>
      <c r="U47" s="356">
        <f t="shared" si="7"/>
        <v>-4.6624999999999996</v>
      </c>
      <c r="V47" s="238">
        <f t="shared" si="8"/>
        <v>8</v>
      </c>
      <c r="W47" s="354"/>
      <c r="X47" s="363">
        <v>4</v>
      </c>
      <c r="Y47" s="364">
        <f t="shared" si="44"/>
        <v>229.72</v>
      </c>
      <c r="Z47" s="321">
        <v>2014</v>
      </c>
      <c r="AA47" s="367">
        <f>LARGE($CU$2:$CU$151,46)</f>
        <v>162.19999999999999</v>
      </c>
      <c r="AB47" s="357">
        <f t="shared" si="10"/>
        <v>-55.53333333333336</v>
      </c>
      <c r="AC47" s="356">
        <f t="shared" si="0"/>
        <v>3083.9511111111142</v>
      </c>
      <c r="AD47" s="356"/>
      <c r="AE47" s="356">
        <f t="shared" si="11"/>
        <v>-3.470833333333335</v>
      </c>
      <c r="AF47" s="238">
        <f t="shared" si="12"/>
        <v>8</v>
      </c>
      <c r="AG47" s="354"/>
      <c r="AH47" s="363">
        <v>4</v>
      </c>
      <c r="AI47" s="364">
        <f t="shared" si="45"/>
        <v>170.6</v>
      </c>
      <c r="AJ47" s="238">
        <v>2015</v>
      </c>
      <c r="AK47" s="367">
        <f>LARGE($DN$35:$DN$66,13)</f>
        <v>128.5</v>
      </c>
      <c r="AL47" s="373">
        <f t="shared" si="40"/>
        <v>-2.1999999999999886</v>
      </c>
      <c r="AM47" s="374">
        <f t="shared" si="36"/>
        <v>4.8399999999999501</v>
      </c>
      <c r="AN47" s="356">
        <f>AN46-AN35</f>
        <v>98.699999999999989</v>
      </c>
      <c r="AO47" s="374">
        <f t="shared" si="41"/>
        <v>-0.13749999999999929</v>
      </c>
      <c r="AP47" s="238">
        <f t="shared" si="17"/>
        <v>7</v>
      </c>
      <c r="AQ47" s="354"/>
      <c r="AR47" s="238">
        <v>2015</v>
      </c>
      <c r="AS47" s="365" t="s">
        <v>1131</v>
      </c>
      <c r="AT47" s="366" t="s">
        <v>1627</v>
      </c>
      <c r="AU47" s="366" t="s">
        <v>1</v>
      </c>
      <c r="AV47" s="366">
        <v>4042</v>
      </c>
      <c r="AW47" s="366">
        <v>22</v>
      </c>
      <c r="AX47" s="366">
        <v>15</v>
      </c>
      <c r="AY47" s="366">
        <v>213</v>
      </c>
      <c r="AZ47" s="366">
        <v>6</v>
      </c>
      <c r="BA47" s="366">
        <v>0</v>
      </c>
      <c r="BB47" s="366">
        <v>0</v>
      </c>
      <c r="BC47" s="366">
        <v>0</v>
      </c>
      <c r="BD47" s="366">
        <v>0</v>
      </c>
      <c r="BE47" s="366">
        <v>0</v>
      </c>
      <c r="BF47" s="366">
        <v>0</v>
      </c>
      <c r="BG47" s="366">
        <v>0</v>
      </c>
      <c r="BH47" s="366">
        <v>2</v>
      </c>
      <c r="BI47" s="367">
        <f>IFERROR(AV47/Instructions!$J$25,0)+AW47*Instructions!$J$27+AX47*Instructions!$J$29+IFERROR(AY47/Instructions!$E$34,0)+AZ47*Instructions!$E$36+Tier!BA47*Instructions!$E$25+IFERROR(BB47/Instructions!$E$27,0)+BC47*Instructions!$E$29+IFERROR((BD47+BF47)/Instructions!$J$32,0)+(BE47+BG47)*Instructions!$J$34+BH47*-2</f>
        <v>272.98</v>
      </c>
      <c r="BJ47" s="354"/>
      <c r="BK47" s="366">
        <v>2014</v>
      </c>
      <c r="BL47" s="370" t="s">
        <v>113</v>
      </c>
      <c r="BM47" s="372" t="s">
        <v>1630</v>
      </c>
      <c r="BN47" s="372" t="s">
        <v>3</v>
      </c>
      <c r="BO47" s="372">
        <v>0</v>
      </c>
      <c r="BP47" s="372">
        <v>0</v>
      </c>
      <c r="BQ47" s="372">
        <v>0</v>
      </c>
      <c r="BR47" s="372">
        <v>333</v>
      </c>
      <c r="BS47" s="372">
        <v>4</v>
      </c>
      <c r="BT47" s="372">
        <v>12</v>
      </c>
      <c r="BU47" s="372">
        <v>68</v>
      </c>
      <c r="BV47" s="372">
        <v>0</v>
      </c>
      <c r="BW47" s="372">
        <v>0</v>
      </c>
      <c r="BX47" s="372">
        <v>0</v>
      </c>
      <c r="BY47" s="372">
        <v>268</v>
      </c>
      <c r="BZ47" s="372">
        <v>0</v>
      </c>
      <c r="CA47" s="372">
        <v>1</v>
      </c>
      <c r="CB47" s="367">
        <f>IFERROR(BO47/Instructions!$J$25,0)+BP47*Instructions!$J$27+BQ47*Instructions!$J$29+IFERROR(BR47/Instructions!$E$34,0)+BS47*Instructions!$E$36+Tier!BT48*Instructions!$E$25+IFERROR(BU47/Instructions!$E$27,0)+BV47*Instructions!$E$29+IFERROR((BW47+BY47)/Instructions!$J$32,0)+(BX47+BZ47)*Instructions!$J$34+Tier!CA47*-2</f>
        <v>63.099999999999994</v>
      </c>
      <c r="CC47" s="354"/>
      <c r="CD47" s="321">
        <v>2014</v>
      </c>
      <c r="CE47" s="370" t="s">
        <v>125</v>
      </c>
      <c r="CF47" s="371" t="s">
        <v>140</v>
      </c>
      <c r="CG47" s="371" t="s">
        <v>6</v>
      </c>
      <c r="CH47" s="371">
        <v>0</v>
      </c>
      <c r="CI47" s="371">
        <v>0</v>
      </c>
      <c r="CJ47" s="371">
        <v>0</v>
      </c>
      <c r="CK47" s="371">
        <v>8</v>
      </c>
      <c r="CL47" s="371">
        <v>0</v>
      </c>
      <c r="CM47" s="371">
        <v>66</v>
      </c>
      <c r="CN47" s="371">
        <v>825</v>
      </c>
      <c r="CO47" s="371">
        <v>3</v>
      </c>
      <c r="CP47" s="371">
        <v>42</v>
      </c>
      <c r="CQ47" s="371">
        <v>0</v>
      </c>
      <c r="CR47" s="371">
        <v>81</v>
      </c>
      <c r="CS47" s="371">
        <v>0</v>
      </c>
      <c r="CT47" s="371">
        <v>0</v>
      </c>
      <c r="CU47" s="367">
        <f>IFERROR(CH47/Instructions!$J$25,0)+CI47*Instructions!$J$27+CJ47*Instructions!$J$29+IFERROR(CK47/Instructions!$E$34,0)+CL47*Instructions!$E$36+Tier!CM47*Instructions!$E$25+IFERROR(CN47/Instructions!$E$27,0)+CO47*Instructions!$E$29+IFERROR((CP47+CR47)/Instructions!$J$32,0)+(CQ47+CS47)*Instructions!$J$34+Tier!CT47*-2</f>
        <v>167.3</v>
      </c>
      <c r="CV47" s="354"/>
      <c r="CW47" s="238">
        <v>2015</v>
      </c>
      <c r="CX47" s="370" t="s">
        <v>15</v>
      </c>
      <c r="CY47" s="371" t="s">
        <v>1613</v>
      </c>
      <c r="CZ47" s="419" t="s">
        <v>7</v>
      </c>
      <c r="DA47" s="371">
        <v>0</v>
      </c>
      <c r="DB47" s="371">
        <v>0</v>
      </c>
      <c r="DC47" s="371">
        <v>0</v>
      </c>
      <c r="DD47" s="371">
        <v>0</v>
      </c>
      <c r="DE47" s="372">
        <v>0</v>
      </c>
      <c r="DF47" s="372">
        <v>46</v>
      </c>
      <c r="DG47" s="372">
        <v>455</v>
      </c>
      <c r="DH47" s="372">
        <v>5</v>
      </c>
      <c r="DI47" s="372">
        <v>0</v>
      </c>
      <c r="DJ47" s="372">
        <v>0</v>
      </c>
      <c r="DK47" s="372">
        <v>0</v>
      </c>
      <c r="DL47" s="372">
        <v>0</v>
      </c>
      <c r="DM47" s="372">
        <v>0</v>
      </c>
      <c r="DN47" s="367">
        <f>IFERROR(DA47/Instructions!$J$25,0)+DB47*Instructions!$J$27+DC47*Instructions!$J$29+IFERROR(DD47/Instructions!$E$34,0)+DE47*Instructions!$E$36+Tier!DF47*Instructions!$E$25+IFERROR(DG47/Instructions!$E$27,0)+DH47*Instructions!$E$29+IFERROR((DI47+DK47)/Instructions!$J$32,0)+(DJ47+DL47)*Instructions!$J$34+Tier!DM47*-2</f>
        <v>121.5</v>
      </c>
    </row>
    <row r="48" spans="1:118" s="366" customFormat="1" ht="15.75" customHeight="1" x14ac:dyDescent="0.25">
      <c r="A48" s="238">
        <v>8</v>
      </c>
      <c r="B48" s="358">
        <f>AI61</f>
        <v>88.666864415941802</v>
      </c>
      <c r="C48" s="354"/>
      <c r="D48" s="363">
        <v>5</v>
      </c>
      <c r="E48" s="364">
        <f t="shared" si="43"/>
        <v>302.82499999999999</v>
      </c>
      <c r="F48" s="238">
        <v>2015</v>
      </c>
      <c r="G48" s="367">
        <f>LARGE($BI$35:$BI$66,14)</f>
        <v>269.59999999999997</v>
      </c>
      <c r="H48" s="355">
        <f t="shared" si="37"/>
        <v>-10.880000000000052</v>
      </c>
      <c r="I48" s="356">
        <f t="shared" si="35"/>
        <v>118.37440000000113</v>
      </c>
      <c r="J48" s="356"/>
      <c r="K48" s="356">
        <f t="shared" si="38"/>
        <v>-0.68000000000000327</v>
      </c>
      <c r="L48" s="238">
        <f t="shared" si="39"/>
        <v>7</v>
      </c>
      <c r="M48" s="354"/>
      <c r="N48" s="363">
        <v>5</v>
      </c>
      <c r="O48" s="364">
        <f t="shared" si="46"/>
        <v>196.06666666666669</v>
      </c>
      <c r="P48" s="366">
        <v>2014</v>
      </c>
      <c r="Q48" s="367">
        <f>LARGE($CB$2:$CB$151,47)</f>
        <v>89.7</v>
      </c>
      <c r="R48" s="357">
        <f t="shared" si="34"/>
        <v>-74.899999999999991</v>
      </c>
      <c r="S48" s="356">
        <f t="shared" si="6"/>
        <v>5610.0099999999984</v>
      </c>
      <c r="T48" s="238"/>
      <c r="U48" s="356">
        <f t="shared" si="7"/>
        <v>-4.6812499999999995</v>
      </c>
      <c r="V48" s="238">
        <f t="shared" si="8"/>
        <v>8</v>
      </c>
      <c r="W48" s="354"/>
      <c r="X48" s="363">
        <v>5</v>
      </c>
      <c r="Y48" s="364">
        <f t="shared" si="44"/>
        <v>214.24799999999999</v>
      </c>
      <c r="Z48" s="321">
        <v>2014</v>
      </c>
      <c r="AA48" s="367">
        <f>LARGE($CU$2:$CU$151,47)</f>
        <v>161.19999999999999</v>
      </c>
      <c r="AB48" s="357">
        <f t="shared" si="10"/>
        <v>-56.53333333333336</v>
      </c>
      <c r="AC48" s="356">
        <f t="shared" si="0"/>
        <v>3196.0177777777808</v>
      </c>
      <c r="AD48" s="356"/>
      <c r="AE48" s="356">
        <f t="shared" si="11"/>
        <v>-3.533333333333335</v>
      </c>
      <c r="AF48" s="238">
        <f t="shared" si="12"/>
        <v>8</v>
      </c>
      <c r="AG48" s="354"/>
      <c r="AH48" s="363">
        <v>5</v>
      </c>
      <c r="AI48" s="364">
        <f t="shared" si="45"/>
        <v>156.19999999999999</v>
      </c>
      <c r="AJ48" s="238">
        <v>2015</v>
      </c>
      <c r="AK48" s="367">
        <f>LARGE($DN$35:$DN$66,14)</f>
        <v>125.7</v>
      </c>
      <c r="AL48" s="373">
        <f t="shared" si="40"/>
        <v>-4.9999999999999858</v>
      </c>
      <c r="AM48" s="374">
        <f t="shared" si="36"/>
        <v>24.999999999999858</v>
      </c>
      <c r="AN48" s="356"/>
      <c r="AO48" s="374">
        <f t="shared" si="41"/>
        <v>-0.31249999999999911</v>
      </c>
      <c r="AP48" s="238">
        <f t="shared" si="17"/>
        <v>7</v>
      </c>
      <c r="AQ48" s="354"/>
      <c r="AR48" s="238">
        <v>2015</v>
      </c>
      <c r="AS48" s="365" t="s">
        <v>176</v>
      </c>
      <c r="AT48" s="366" t="s">
        <v>167</v>
      </c>
      <c r="AU48" s="366" t="s">
        <v>1</v>
      </c>
      <c r="AV48" s="366">
        <v>3987</v>
      </c>
      <c r="AW48" s="366">
        <v>32</v>
      </c>
      <c r="AX48" s="366">
        <v>13</v>
      </c>
      <c r="AY48" s="366">
        <v>138</v>
      </c>
      <c r="AZ48" s="366">
        <v>0</v>
      </c>
      <c r="BA48" s="366">
        <v>0</v>
      </c>
      <c r="BB48" s="366">
        <v>0</v>
      </c>
      <c r="BC48" s="366">
        <v>0</v>
      </c>
      <c r="BD48" s="366">
        <v>0</v>
      </c>
      <c r="BE48" s="366">
        <v>0</v>
      </c>
      <c r="BF48" s="366">
        <v>0</v>
      </c>
      <c r="BG48" s="366">
        <v>0</v>
      </c>
      <c r="BH48" s="366">
        <v>3</v>
      </c>
      <c r="BI48" s="367">
        <f>IFERROR(AV48/Instructions!$J$25,0)+AW48*Instructions!$J$27+AX48*Instructions!$J$29+IFERROR(AY48/Instructions!$E$34,0)+AZ48*Instructions!$E$36+Tier!BA48*Instructions!$E$25+IFERROR(BB48/Instructions!$E$27,0)+BC48*Instructions!$E$29+IFERROR((BD48+BF48)/Instructions!$J$32,0)+(BE48+BG48)*Instructions!$J$34+BH48*-2</f>
        <v>269.28000000000003</v>
      </c>
      <c r="BJ48" s="354"/>
      <c r="BK48" s="366">
        <v>2014</v>
      </c>
      <c r="BL48" s="370" t="s">
        <v>1654</v>
      </c>
      <c r="BM48" s="372" t="s">
        <v>1628</v>
      </c>
      <c r="BN48" s="372" t="s">
        <v>3</v>
      </c>
      <c r="BO48" s="372">
        <v>0</v>
      </c>
      <c r="BP48" s="372">
        <v>0</v>
      </c>
      <c r="BQ48" s="372">
        <v>0</v>
      </c>
      <c r="BR48" s="372">
        <v>412</v>
      </c>
      <c r="BS48" s="372">
        <v>5</v>
      </c>
      <c r="BT48" s="372">
        <v>1</v>
      </c>
      <c r="BU48" s="372">
        <v>7</v>
      </c>
      <c r="BV48" s="372">
        <v>0</v>
      </c>
      <c r="BW48" s="372">
        <v>0</v>
      </c>
      <c r="BX48" s="372">
        <v>0</v>
      </c>
      <c r="BY48" s="372">
        <v>0</v>
      </c>
      <c r="BZ48" s="372">
        <v>0</v>
      </c>
      <c r="CA48" s="372">
        <v>0</v>
      </c>
      <c r="CB48" s="367">
        <f>IFERROR(BO48/Instructions!$J$25,0)+BP48*Instructions!$J$27+BQ48*Instructions!$J$29+IFERROR(BR48/Instructions!$E$34,0)+BS48*Instructions!$E$36+Tier!BT49*Instructions!$E$25+IFERROR(BU48/Instructions!$E$27,0)+BV48*Instructions!$E$29+IFERROR((BW48+BY48)/Instructions!$J$32,0)+(BX48+BZ48)*Instructions!$J$34+Tier!CA48*-2</f>
        <v>82.9</v>
      </c>
      <c r="CC48" s="354"/>
      <c r="CD48" s="321">
        <v>2014</v>
      </c>
      <c r="CE48" s="370" t="s">
        <v>194</v>
      </c>
      <c r="CF48" s="371" t="s">
        <v>147</v>
      </c>
      <c r="CG48" s="371" t="s">
        <v>6</v>
      </c>
      <c r="CH48" s="371">
        <v>0</v>
      </c>
      <c r="CI48" s="371">
        <v>0</v>
      </c>
      <c r="CJ48" s="371">
        <v>0</v>
      </c>
      <c r="CK48" s="371">
        <v>12</v>
      </c>
      <c r="CL48" s="371">
        <v>0</v>
      </c>
      <c r="CM48" s="371">
        <v>26</v>
      </c>
      <c r="CN48" s="371">
        <v>549</v>
      </c>
      <c r="CO48" s="371">
        <v>8</v>
      </c>
      <c r="CP48" s="371">
        <v>0</v>
      </c>
      <c r="CQ48" s="371">
        <v>0</v>
      </c>
      <c r="CR48" s="371">
        <v>0</v>
      </c>
      <c r="CS48" s="371">
        <v>0</v>
      </c>
      <c r="CT48" s="371">
        <v>0</v>
      </c>
      <c r="CU48" s="367">
        <f>IFERROR(CH48/Instructions!$J$25,0)+CI48*Instructions!$J$27+CJ48*Instructions!$J$29+IFERROR(CK48/Instructions!$E$34,0)+CL48*Instructions!$E$36+Tier!CM48*Instructions!$E$25+IFERROR(CN48/Instructions!$E$27,0)+CO48*Instructions!$E$29+IFERROR((CP48+CR48)/Instructions!$J$32,0)+(CQ48+CS48)*Instructions!$J$34+Tier!CT48*-2</f>
        <v>130.1</v>
      </c>
      <c r="CV48" s="354"/>
      <c r="CW48" s="238">
        <v>2015</v>
      </c>
      <c r="CX48" s="370" t="s">
        <v>168</v>
      </c>
      <c r="CY48" s="371" t="s">
        <v>141</v>
      </c>
      <c r="CZ48" s="419" t="s">
        <v>7</v>
      </c>
      <c r="DA48" s="371">
        <v>0</v>
      </c>
      <c r="DB48" s="371">
        <v>0</v>
      </c>
      <c r="DC48" s="371">
        <v>0</v>
      </c>
      <c r="DD48" s="371">
        <v>0</v>
      </c>
      <c r="DE48" s="372">
        <v>0</v>
      </c>
      <c r="DF48" s="372">
        <v>34</v>
      </c>
      <c r="DG48" s="372">
        <v>439</v>
      </c>
      <c r="DH48" s="372">
        <v>5</v>
      </c>
      <c r="DI48" s="372">
        <v>0</v>
      </c>
      <c r="DJ48" s="372">
        <v>0</v>
      </c>
      <c r="DK48" s="372">
        <v>0</v>
      </c>
      <c r="DL48" s="372">
        <v>0</v>
      </c>
      <c r="DM48" s="372">
        <v>0</v>
      </c>
      <c r="DN48" s="367">
        <f>IFERROR(DA48/Instructions!$J$25,0)+DB48*Instructions!$J$27+DC48*Instructions!$J$29+IFERROR(DD48/Instructions!$E$34,0)+DE48*Instructions!$E$36+Tier!DF48*Instructions!$E$25+IFERROR(DG48/Instructions!$E$27,0)+DH48*Instructions!$E$29+IFERROR((DI48+DK48)/Instructions!$J$32,0)+(DJ48+DL48)*Instructions!$J$34+Tier!DM48*-2</f>
        <v>107.9</v>
      </c>
    </row>
    <row r="49" spans="1:118" s="366" customFormat="1" ht="15.75" customHeight="1" x14ac:dyDescent="0.25">
      <c r="A49" s="238"/>
      <c r="B49" s="238"/>
      <c r="C49" s="354"/>
      <c r="D49" s="363">
        <v>6</v>
      </c>
      <c r="E49" s="364">
        <f t="shared" si="43"/>
        <v>281.60000000000002</v>
      </c>
      <c r="F49" s="238">
        <v>2015</v>
      </c>
      <c r="G49" s="367">
        <f>LARGE($BI$35:$BI$66,15)</f>
        <v>269.28000000000003</v>
      </c>
      <c r="H49" s="355">
        <f t="shared" si="37"/>
        <v>-11.199999999999989</v>
      </c>
      <c r="I49" s="356">
        <f t="shared" si="35"/>
        <v>125.43999999999974</v>
      </c>
      <c r="J49" s="356"/>
      <c r="K49" s="356">
        <f t="shared" si="38"/>
        <v>-0.69999999999999929</v>
      </c>
      <c r="L49" s="238">
        <f t="shared" si="39"/>
        <v>7</v>
      </c>
      <c r="M49" s="354"/>
      <c r="N49" s="363">
        <v>6</v>
      </c>
      <c r="O49" s="364">
        <f t="shared" si="46"/>
        <v>207.02</v>
      </c>
      <c r="P49" s="366">
        <v>2014</v>
      </c>
      <c r="Q49" s="367">
        <f>LARGE($CB$2:$CB$151,48)</f>
        <v>89.3</v>
      </c>
      <c r="R49" s="357">
        <f t="shared" si="34"/>
        <v>-75.3</v>
      </c>
      <c r="S49" s="356">
        <f t="shared" si="6"/>
        <v>5670.0899999999992</v>
      </c>
      <c r="T49" s="238"/>
      <c r="U49" s="356">
        <f t="shared" si="7"/>
        <v>-4.7062499999999998</v>
      </c>
      <c r="V49" s="238">
        <f t="shared" si="8"/>
        <v>8</v>
      </c>
      <c r="W49" s="354"/>
      <c r="X49" s="363">
        <v>6</v>
      </c>
      <c r="Y49" s="364">
        <f t="shared" si="44"/>
        <v>199.66</v>
      </c>
      <c r="Z49" s="321">
        <v>2014</v>
      </c>
      <c r="AA49" s="367">
        <f>LARGE($CU$2:$CU$151,48)</f>
        <v>158.9</v>
      </c>
      <c r="AB49" s="357">
        <f t="shared" si="10"/>
        <v>-58.833333333333343</v>
      </c>
      <c r="AC49" s="356">
        <f t="shared" si="0"/>
        <v>3461.3611111111122</v>
      </c>
      <c r="AD49" s="356"/>
      <c r="AE49" s="356">
        <f t="shared" si="11"/>
        <v>-3.6770833333333339</v>
      </c>
      <c r="AF49" s="238">
        <f t="shared" si="12"/>
        <v>8</v>
      </c>
      <c r="AG49" s="354"/>
      <c r="AH49" s="363">
        <v>6</v>
      </c>
      <c r="AI49" s="364">
        <f t="shared" si="45"/>
        <v>138.30000000000001</v>
      </c>
      <c r="AJ49" s="238">
        <v>2015</v>
      </c>
      <c r="AK49" s="367">
        <f>LARGE($DN$35:$DN$66,15)</f>
        <v>121.8</v>
      </c>
      <c r="AL49" s="373">
        <f t="shared" si="40"/>
        <v>-8.8999999999999915</v>
      </c>
      <c r="AM49" s="374">
        <f t="shared" si="36"/>
        <v>79.209999999999852</v>
      </c>
      <c r="AN49" s="356"/>
      <c r="AO49" s="374">
        <f t="shared" si="41"/>
        <v>-0.55624999999999947</v>
      </c>
      <c r="AP49" s="238">
        <f t="shared" si="17"/>
        <v>7</v>
      </c>
      <c r="AQ49" s="354"/>
      <c r="AR49" s="238">
        <v>2015</v>
      </c>
      <c r="AS49" s="365" t="s">
        <v>180</v>
      </c>
      <c r="AT49" s="366" t="s">
        <v>156</v>
      </c>
      <c r="AU49" s="366" t="s">
        <v>1</v>
      </c>
      <c r="AV49" s="366">
        <v>3035</v>
      </c>
      <c r="AW49" s="366">
        <v>20</v>
      </c>
      <c r="AX49" s="366">
        <v>6</v>
      </c>
      <c r="AY49" s="366">
        <v>568</v>
      </c>
      <c r="AZ49" s="366">
        <v>4</v>
      </c>
      <c r="BA49" s="366">
        <v>1</v>
      </c>
      <c r="BB49" s="366">
        <v>4</v>
      </c>
      <c r="BC49" s="366">
        <v>0</v>
      </c>
      <c r="BD49" s="366">
        <v>0</v>
      </c>
      <c r="BE49" s="366">
        <v>0</v>
      </c>
      <c r="BF49" s="366">
        <v>0</v>
      </c>
      <c r="BG49" s="366">
        <v>0</v>
      </c>
      <c r="BH49" s="366">
        <v>1</v>
      </c>
      <c r="BI49" s="367">
        <f>IFERROR(AV49/Instructions!$J$25,0)+AW49*Instructions!$J$27+AX49*Instructions!$J$29+IFERROR(AY49/Instructions!$E$34,0)+AZ49*Instructions!$E$36+Tier!BA49*Instructions!$E$25+IFERROR(BB49/Instructions!$E$27,0)+BC49*Instructions!$E$29+IFERROR((BD49+BF49)/Instructions!$J$32,0)+(BE49+BG49)*Instructions!$J$34+BH49*-2</f>
        <v>269.59999999999997</v>
      </c>
      <c r="BJ49" s="354"/>
      <c r="BK49" s="366">
        <v>2014</v>
      </c>
      <c r="BL49" s="370" t="s">
        <v>1693</v>
      </c>
      <c r="BM49" s="372" t="s">
        <v>1652</v>
      </c>
      <c r="BN49" s="372" t="s">
        <v>3</v>
      </c>
      <c r="BO49" s="372">
        <v>0</v>
      </c>
      <c r="BP49" s="372">
        <v>0</v>
      </c>
      <c r="BQ49" s="372">
        <v>0</v>
      </c>
      <c r="BR49" s="372">
        <v>390</v>
      </c>
      <c r="BS49" s="372">
        <v>4</v>
      </c>
      <c r="BT49" s="372">
        <v>11</v>
      </c>
      <c r="BU49" s="372">
        <v>69</v>
      </c>
      <c r="BV49" s="372">
        <v>0</v>
      </c>
      <c r="BW49" s="372">
        <v>0</v>
      </c>
      <c r="BX49" s="372">
        <v>0</v>
      </c>
      <c r="BY49" s="372">
        <v>0</v>
      </c>
      <c r="BZ49" s="372">
        <v>0</v>
      </c>
      <c r="CA49" s="372">
        <v>0</v>
      </c>
      <c r="CB49" s="367">
        <f>IFERROR(BO49/Instructions!$J$25,0)+BP49*Instructions!$J$27+BQ49*Instructions!$J$29+IFERROR(BR49/Instructions!$E$34,0)+BS49*Instructions!$E$36+Tier!BT50*Instructions!$E$25+IFERROR(BU49/Instructions!$E$27,0)+BV49*Instructions!$E$29+IFERROR((BW49+BY49)/Instructions!$J$32,0)+(BX49+BZ49)*Instructions!$J$34+Tier!CA49*-2</f>
        <v>109.9</v>
      </c>
      <c r="CC49" s="354"/>
      <c r="CD49" s="321">
        <v>2014</v>
      </c>
      <c r="CE49" s="370" t="s">
        <v>1669</v>
      </c>
      <c r="CF49" s="371" t="s">
        <v>167</v>
      </c>
      <c r="CG49" s="371" t="s">
        <v>6</v>
      </c>
      <c r="CH49" s="371">
        <v>0</v>
      </c>
      <c r="CI49" s="371">
        <v>0</v>
      </c>
      <c r="CJ49" s="371">
        <v>0</v>
      </c>
      <c r="CK49" s="371">
        <v>0</v>
      </c>
      <c r="CL49" s="371">
        <v>0</v>
      </c>
      <c r="CM49" s="371">
        <v>73</v>
      </c>
      <c r="CN49" s="371">
        <v>666</v>
      </c>
      <c r="CO49" s="371">
        <v>6</v>
      </c>
      <c r="CP49" s="371">
        <v>0</v>
      </c>
      <c r="CQ49" s="371">
        <v>0</v>
      </c>
      <c r="CR49" s="371">
        <v>0</v>
      </c>
      <c r="CS49" s="371">
        <v>0</v>
      </c>
      <c r="CT49" s="371">
        <v>1</v>
      </c>
      <c r="CU49" s="367">
        <f>IFERROR(CH49/Instructions!$J$25,0)+CI49*Instructions!$J$27+CJ49*Instructions!$J$29+IFERROR(CK49/Instructions!$E$34,0)+CL49*Instructions!$E$36+Tier!CM49*Instructions!$E$25+IFERROR(CN49/Instructions!$E$27,0)+CO49*Instructions!$E$29+IFERROR((CP49+CR49)/Instructions!$J$32,0)+(CQ49+CS49)*Instructions!$J$34+Tier!CT49*-2</f>
        <v>173.6</v>
      </c>
      <c r="CV49" s="354"/>
      <c r="CW49" s="238">
        <v>2015</v>
      </c>
      <c r="CX49" s="370" t="s">
        <v>8</v>
      </c>
      <c r="CY49" s="371" t="s">
        <v>140</v>
      </c>
      <c r="CZ49" s="419" t="s">
        <v>7</v>
      </c>
      <c r="DA49" s="371">
        <v>0</v>
      </c>
      <c r="DB49" s="371">
        <v>0</v>
      </c>
      <c r="DC49" s="371">
        <v>0</v>
      </c>
      <c r="DD49" s="371">
        <v>0</v>
      </c>
      <c r="DE49" s="372">
        <v>0</v>
      </c>
      <c r="DF49" s="372">
        <v>48</v>
      </c>
      <c r="DG49" s="372">
        <v>605</v>
      </c>
      <c r="DH49" s="372">
        <v>2</v>
      </c>
      <c r="DI49" s="372">
        <v>0</v>
      </c>
      <c r="DJ49" s="372">
        <v>0</v>
      </c>
      <c r="DK49" s="372">
        <v>0</v>
      </c>
      <c r="DL49" s="372">
        <v>0</v>
      </c>
      <c r="DM49" s="372">
        <v>0</v>
      </c>
      <c r="DN49" s="367">
        <f>IFERROR(DA49/Instructions!$J$25,0)+DB49*Instructions!$J$27+DC49*Instructions!$J$29+IFERROR(DD49/Instructions!$E$34,0)+DE49*Instructions!$E$36+Tier!DF49*Instructions!$E$25+IFERROR(DG49/Instructions!$E$27,0)+DH49*Instructions!$E$29+IFERROR((DI49+DK49)/Instructions!$J$32,0)+(DJ49+DL49)*Instructions!$J$34+Tier!DM49*-2</f>
        <v>120.5</v>
      </c>
    </row>
    <row r="50" spans="1:118" s="366" customFormat="1" ht="15.75" customHeight="1" x14ac:dyDescent="0.25">
      <c r="A50" s="238"/>
      <c r="B50" s="238"/>
      <c r="C50" s="354"/>
      <c r="D50" s="363">
        <v>7</v>
      </c>
      <c r="E50" s="364">
        <f t="shared" si="43"/>
        <v>276.91333333333336</v>
      </c>
      <c r="F50" s="238">
        <v>2015</v>
      </c>
      <c r="G50" s="367">
        <f>LARGE($BI$35:$BI$66,16)</f>
        <v>267.24</v>
      </c>
      <c r="H50" s="355">
        <f t="shared" si="37"/>
        <v>-13.240000000000009</v>
      </c>
      <c r="I50" s="356">
        <f t="shared" si="35"/>
        <v>175.29760000000024</v>
      </c>
      <c r="J50" s="356"/>
      <c r="K50" s="356">
        <f t="shared" si="38"/>
        <v>-0.82750000000000057</v>
      </c>
      <c r="L50" s="238">
        <f t="shared" si="39"/>
        <v>7</v>
      </c>
      <c r="M50" s="354"/>
      <c r="N50" s="363">
        <v>7</v>
      </c>
      <c r="O50" s="364">
        <f t="shared" si="46"/>
        <v>185.87333333333333</v>
      </c>
      <c r="P50" s="366">
        <v>2014</v>
      </c>
      <c r="Q50" s="367">
        <f>LARGE($CB$2:$CB$151,49)</f>
        <v>88.6</v>
      </c>
      <c r="R50" s="357">
        <f t="shared" si="34"/>
        <v>-76</v>
      </c>
      <c r="S50" s="356">
        <f t="shared" si="6"/>
        <v>5776</v>
      </c>
      <c r="T50" s="238"/>
      <c r="U50" s="356">
        <f t="shared" si="7"/>
        <v>-4.75</v>
      </c>
      <c r="V50" s="238">
        <f t="shared" si="8"/>
        <v>8</v>
      </c>
      <c r="W50" s="354"/>
      <c r="X50" s="363">
        <v>7</v>
      </c>
      <c r="Y50" s="364">
        <f t="shared" si="44"/>
        <v>176.85</v>
      </c>
      <c r="Z50" s="321">
        <v>2014</v>
      </c>
      <c r="AA50" s="367">
        <f>LARGE($CU$2:$CU$151,49)</f>
        <v>154.69999999999999</v>
      </c>
      <c r="AB50" s="357">
        <f t="shared" si="10"/>
        <v>-63.03333333333336</v>
      </c>
      <c r="AC50" s="356">
        <f t="shared" si="0"/>
        <v>3973.2011111111146</v>
      </c>
      <c r="AD50" s="356"/>
      <c r="AE50" s="356">
        <f t="shared" si="11"/>
        <v>-3.939583333333335</v>
      </c>
      <c r="AF50" s="238">
        <f t="shared" si="12"/>
        <v>8</v>
      </c>
      <c r="AG50" s="354"/>
      <c r="AH50" s="363">
        <v>7</v>
      </c>
      <c r="AI50" s="364">
        <f t="shared" si="45"/>
        <v>123.8</v>
      </c>
      <c r="AJ50" s="238">
        <v>2015</v>
      </c>
      <c r="AK50" s="367">
        <f>LARGE($DN$35:$DN$66,16)</f>
        <v>121.5</v>
      </c>
      <c r="AL50" s="373">
        <f t="shared" si="40"/>
        <v>-9.1999999999999886</v>
      </c>
      <c r="AM50" s="374">
        <f t="shared" si="36"/>
        <v>84.639999999999787</v>
      </c>
      <c r="AN50" s="374"/>
      <c r="AO50" s="374">
        <f t="shared" si="41"/>
        <v>-0.57499999999999929</v>
      </c>
      <c r="AP50" s="238">
        <f t="shared" si="17"/>
        <v>7</v>
      </c>
      <c r="AQ50" s="354"/>
      <c r="AR50" s="238">
        <v>2015</v>
      </c>
      <c r="AS50" s="365" t="s">
        <v>70</v>
      </c>
      <c r="AT50" s="366" t="s">
        <v>1629</v>
      </c>
      <c r="AU50" s="366" t="s">
        <v>1</v>
      </c>
      <c r="AV50" s="366">
        <v>3486</v>
      </c>
      <c r="AW50" s="366">
        <v>20</v>
      </c>
      <c r="AX50" s="366">
        <v>7</v>
      </c>
      <c r="AY50" s="366">
        <v>498</v>
      </c>
      <c r="AZ50" s="366">
        <v>2</v>
      </c>
      <c r="BA50" s="366">
        <v>0</v>
      </c>
      <c r="BB50" s="366">
        <v>0</v>
      </c>
      <c r="BC50" s="366">
        <v>0</v>
      </c>
      <c r="BD50" s="366">
        <v>0</v>
      </c>
      <c r="BE50" s="366">
        <v>0</v>
      </c>
      <c r="BF50" s="366">
        <v>0</v>
      </c>
      <c r="BG50" s="366">
        <v>0</v>
      </c>
      <c r="BH50" s="366">
        <v>0</v>
      </c>
      <c r="BI50" s="367">
        <f>IFERROR(AV50/Instructions!$J$25,0)+AW50*Instructions!$J$27+AX50*Instructions!$J$29+IFERROR(AY50/Instructions!$E$34,0)+AZ50*Instructions!$E$36+Tier!BA50*Instructions!$E$25+IFERROR(BB50/Instructions!$E$27,0)+BC50*Instructions!$E$29+IFERROR((BD50+BF50)/Instructions!$J$32,0)+(BE50+BG50)*Instructions!$J$34+BH50*-2</f>
        <v>267.24</v>
      </c>
      <c r="BJ50" s="354"/>
      <c r="BK50" s="366">
        <v>2014</v>
      </c>
      <c r="BL50" s="370" t="s">
        <v>56</v>
      </c>
      <c r="BM50" s="372" t="s">
        <v>142</v>
      </c>
      <c r="BN50" s="372" t="s">
        <v>3</v>
      </c>
      <c r="BO50" s="372">
        <v>0</v>
      </c>
      <c r="BP50" s="372">
        <v>0</v>
      </c>
      <c r="BQ50" s="372">
        <v>0</v>
      </c>
      <c r="BR50" s="372">
        <v>297</v>
      </c>
      <c r="BS50" s="372">
        <v>2</v>
      </c>
      <c r="BT50" s="372">
        <v>40</v>
      </c>
      <c r="BU50" s="372">
        <v>253</v>
      </c>
      <c r="BV50" s="372">
        <v>0</v>
      </c>
      <c r="BW50" s="372">
        <v>0</v>
      </c>
      <c r="BX50" s="372">
        <v>0</v>
      </c>
      <c r="BY50" s="372">
        <v>0</v>
      </c>
      <c r="BZ50" s="372">
        <v>0</v>
      </c>
      <c r="CA50" s="372">
        <v>0</v>
      </c>
      <c r="CB50" s="367">
        <f>IFERROR(BO50/Instructions!$J$25,0)+BP50*Instructions!$J$27+BQ50*Instructions!$J$29+IFERROR(BR50/Instructions!$E$34,0)+BS50*Instructions!$E$36+Tier!BT51*Instructions!$E$25+IFERROR(BU50/Instructions!$E$27,0)+BV50*Instructions!$E$29+IFERROR((BW50+BY50)/Instructions!$J$32,0)+(BX50+BZ50)*Instructions!$J$34+Tier!CA50*-2</f>
        <v>94</v>
      </c>
      <c r="CC50" s="354"/>
      <c r="CD50" s="321">
        <v>2014</v>
      </c>
      <c r="CE50" s="370" t="s">
        <v>1082</v>
      </c>
      <c r="CF50" s="371" t="s">
        <v>1613</v>
      </c>
      <c r="CG50" s="371" t="s">
        <v>6</v>
      </c>
      <c r="CH50" s="371">
        <v>0</v>
      </c>
      <c r="CI50" s="371">
        <v>0</v>
      </c>
      <c r="CJ50" s="371">
        <v>0</v>
      </c>
      <c r="CK50" s="371">
        <v>0</v>
      </c>
      <c r="CL50" s="371">
        <v>0</v>
      </c>
      <c r="CM50" s="371">
        <v>51</v>
      </c>
      <c r="CN50" s="371">
        <v>677</v>
      </c>
      <c r="CO50" s="371">
        <v>6</v>
      </c>
      <c r="CP50" s="371">
        <v>0</v>
      </c>
      <c r="CQ50" s="371">
        <v>0</v>
      </c>
      <c r="CR50" s="371">
        <v>0</v>
      </c>
      <c r="CS50" s="371">
        <v>0</v>
      </c>
      <c r="CT50" s="371">
        <v>0</v>
      </c>
      <c r="CU50" s="367">
        <f>IFERROR(CH50/Instructions!$J$25,0)+CI50*Instructions!$J$27+CJ50*Instructions!$J$29+IFERROR(CK50/Instructions!$E$34,0)+CL50*Instructions!$E$36+Tier!CM50*Instructions!$E$25+IFERROR(CN50/Instructions!$E$27,0)+CO50*Instructions!$E$29+IFERROR((CP50+CR50)/Instructions!$J$32,0)+(CQ50+CS50)*Instructions!$J$34+Tier!CT50*-2</f>
        <v>154.69999999999999</v>
      </c>
      <c r="CV50" s="354"/>
      <c r="CW50" s="238">
        <v>2015</v>
      </c>
      <c r="CX50" s="370" t="s">
        <v>240</v>
      </c>
      <c r="CY50" s="371" t="s">
        <v>148</v>
      </c>
      <c r="CZ50" s="419" t="s">
        <v>7</v>
      </c>
      <c r="DA50" s="371">
        <v>0</v>
      </c>
      <c r="DB50" s="371">
        <v>0</v>
      </c>
      <c r="DC50" s="371">
        <v>0</v>
      </c>
      <c r="DD50" s="371">
        <v>0</v>
      </c>
      <c r="DE50" s="372">
        <v>0</v>
      </c>
      <c r="DF50" s="372">
        <v>59</v>
      </c>
      <c r="DG50" s="372">
        <v>657</v>
      </c>
      <c r="DH50" s="372">
        <v>1</v>
      </c>
      <c r="DI50" s="372">
        <v>0</v>
      </c>
      <c r="DJ50" s="372">
        <v>0</v>
      </c>
      <c r="DK50" s="372">
        <v>0</v>
      </c>
      <c r="DL50" s="372">
        <v>0</v>
      </c>
      <c r="DM50" s="372">
        <v>0</v>
      </c>
      <c r="DN50" s="367">
        <f>IFERROR(DA50/Instructions!$J$25,0)+DB50*Instructions!$J$27+DC50*Instructions!$J$29+IFERROR(DD50/Instructions!$E$34,0)+DE50*Instructions!$E$36+Tier!DF50*Instructions!$E$25+IFERROR(DG50/Instructions!$E$27,0)+DH50*Instructions!$E$29+IFERROR((DI50+DK50)/Instructions!$J$32,0)+(DJ50+DL50)*Instructions!$J$34+Tier!DM50*-2</f>
        <v>130.69999999999999</v>
      </c>
    </row>
    <row r="51" spans="1:118" s="366" customFormat="1" ht="15.75" customHeight="1" x14ac:dyDescent="0.25">
      <c r="A51" s="238"/>
      <c r="B51" s="238"/>
      <c r="C51" s="354"/>
      <c r="D51" s="363">
        <v>8</v>
      </c>
      <c r="E51" s="364">
        <f>AVERAGE(J145:J146)</f>
        <v>254.60000000000002</v>
      </c>
      <c r="F51" s="238">
        <v>2015</v>
      </c>
      <c r="G51" s="367">
        <f>LARGE($BI$35:$BI$66,17)</f>
        <v>256.31999999999994</v>
      </c>
      <c r="H51" s="355">
        <f t="shared" si="37"/>
        <v>-24.160000000000082</v>
      </c>
      <c r="I51" s="356">
        <f t="shared" si="35"/>
        <v>583.70560000000398</v>
      </c>
      <c r="J51" s="356"/>
      <c r="K51" s="356">
        <f t="shared" si="38"/>
        <v>-1.5100000000000051</v>
      </c>
      <c r="L51" s="238">
        <f t="shared" si="39"/>
        <v>8</v>
      </c>
      <c r="M51" s="354"/>
      <c r="N51" s="363">
        <v>8</v>
      </c>
      <c r="O51" s="364">
        <f>AVERAGE(T617:T618)</f>
        <v>148.06666666666669</v>
      </c>
      <c r="P51" s="366">
        <v>2014</v>
      </c>
      <c r="Q51" s="367">
        <f>LARGE($CB$2:$CB$151,50)</f>
        <v>86.800000000000011</v>
      </c>
      <c r="R51" s="357">
        <f t="shared" si="34"/>
        <v>-77.799999999999983</v>
      </c>
      <c r="S51" s="356">
        <f t="shared" si="6"/>
        <v>6052.8399999999974</v>
      </c>
      <c r="T51" s="238"/>
      <c r="U51" s="356">
        <f t="shared" si="7"/>
        <v>-4.8624999999999989</v>
      </c>
      <c r="V51" s="238">
        <f t="shared" si="8"/>
        <v>8</v>
      </c>
      <c r="W51" s="354"/>
      <c r="X51" s="363">
        <v>8</v>
      </c>
      <c r="Y51" s="364">
        <f>AVERAGE(AD617:AD618)</f>
        <v>166.9</v>
      </c>
      <c r="Z51" s="321">
        <v>2014</v>
      </c>
      <c r="AA51" s="367">
        <f>LARGE($CU$2:$CU$151,50)</f>
        <v>151.9</v>
      </c>
      <c r="AB51" s="357">
        <f t="shared" si="10"/>
        <v>-65.833333333333343</v>
      </c>
      <c r="AC51" s="356">
        <f t="shared" si="0"/>
        <v>4334.0277777777792</v>
      </c>
      <c r="AD51" s="356"/>
      <c r="AE51" s="356">
        <f t="shared" si="11"/>
        <v>-4.1145833333333339</v>
      </c>
      <c r="AF51" s="238">
        <f t="shared" si="12"/>
        <v>8</v>
      </c>
      <c r="AG51" s="354"/>
      <c r="AH51" s="363">
        <v>8</v>
      </c>
      <c r="AI51" s="364">
        <f t="shared" si="45"/>
        <v>83.770588235294127</v>
      </c>
      <c r="AJ51" s="238">
        <v>2015</v>
      </c>
      <c r="AK51" s="367">
        <f>LARGE($DN$35:$DN$66,17)</f>
        <v>121.1</v>
      </c>
      <c r="AL51" s="373">
        <f t="shared" si="40"/>
        <v>-9.5999999999999943</v>
      </c>
      <c r="AM51" s="374">
        <f t="shared" si="36"/>
        <v>92.159999999999897</v>
      </c>
      <c r="AN51" s="374"/>
      <c r="AO51" s="374">
        <f t="shared" si="41"/>
        <v>-0.59999999999999964</v>
      </c>
      <c r="AP51" s="238">
        <f t="shared" si="17"/>
        <v>7</v>
      </c>
      <c r="AQ51" s="354"/>
      <c r="AR51" s="238">
        <v>2015</v>
      </c>
      <c r="AS51" s="365" t="s">
        <v>79</v>
      </c>
      <c r="AT51" s="366" t="s">
        <v>166</v>
      </c>
      <c r="AU51" s="366" t="s">
        <v>1</v>
      </c>
      <c r="AV51" s="366">
        <v>4208</v>
      </c>
      <c r="AW51" s="366">
        <v>24</v>
      </c>
      <c r="AX51" s="366">
        <v>12</v>
      </c>
      <c r="AY51" s="366">
        <v>141</v>
      </c>
      <c r="AZ51" s="366">
        <v>1</v>
      </c>
      <c r="BA51" s="366">
        <v>1</v>
      </c>
      <c r="BB51" s="366">
        <v>9</v>
      </c>
      <c r="BC51" s="366">
        <v>0</v>
      </c>
      <c r="BD51" s="366">
        <v>0</v>
      </c>
      <c r="BE51" s="366">
        <v>0</v>
      </c>
      <c r="BF51" s="366">
        <v>0</v>
      </c>
      <c r="BG51" s="366">
        <v>0</v>
      </c>
      <c r="BH51" s="366">
        <v>3</v>
      </c>
      <c r="BI51" s="367">
        <f>IFERROR(AV51/Instructions!$J$25,0)+AW51*Instructions!$J$27+AX51*Instructions!$J$29+IFERROR(AY51/Instructions!$E$34,0)+AZ51*Instructions!$E$36+Tier!BA51*Instructions!$E$25+IFERROR(BB51/Instructions!$E$27,0)+BC51*Instructions!$E$29+IFERROR((BD51+BF51)/Instructions!$J$32,0)+(BE51+BG51)*Instructions!$J$34+BH51*-2</f>
        <v>256.31999999999994</v>
      </c>
      <c r="BJ51" s="354"/>
      <c r="BK51" s="366">
        <v>2014</v>
      </c>
      <c r="BL51" s="370" t="s">
        <v>986</v>
      </c>
      <c r="BM51" s="372" t="s">
        <v>138</v>
      </c>
      <c r="BN51" s="372" t="s">
        <v>3</v>
      </c>
      <c r="BO51" s="372">
        <v>0</v>
      </c>
      <c r="BP51" s="372">
        <v>0</v>
      </c>
      <c r="BQ51" s="372">
        <v>0</v>
      </c>
      <c r="BR51" s="372">
        <v>538</v>
      </c>
      <c r="BS51" s="372">
        <v>0</v>
      </c>
      <c r="BT51" s="372">
        <v>27</v>
      </c>
      <c r="BU51" s="372">
        <v>135</v>
      </c>
      <c r="BV51" s="372">
        <v>0</v>
      </c>
      <c r="BW51" s="372">
        <v>0</v>
      </c>
      <c r="BX51" s="372">
        <v>0</v>
      </c>
      <c r="BY51" s="372">
        <v>0</v>
      </c>
      <c r="BZ51" s="372">
        <v>0</v>
      </c>
      <c r="CA51" s="372">
        <v>0</v>
      </c>
      <c r="CB51" s="367">
        <f>IFERROR(BO51/Instructions!$J$25,0)+BP51*Instructions!$J$27+BQ51*Instructions!$J$29+IFERROR(BR51/Instructions!$E$34,0)+BS51*Instructions!$E$36+Tier!BT52*Instructions!$E$25+IFERROR(BU51/Instructions!$E$27,0)+BV51*Instructions!$E$29+IFERROR((BW51+BY51)/Instructions!$J$32,0)+(BX51+BZ51)*Instructions!$J$34+Tier!CA51*-2</f>
        <v>80.3</v>
      </c>
      <c r="CC51" s="354"/>
      <c r="CD51" s="321">
        <v>2014</v>
      </c>
      <c r="CE51" s="370" t="s">
        <v>130</v>
      </c>
      <c r="CF51" s="371" t="s">
        <v>156</v>
      </c>
      <c r="CG51" s="371" t="s">
        <v>6</v>
      </c>
      <c r="CH51" s="371">
        <v>0</v>
      </c>
      <c r="CI51" s="371">
        <v>0</v>
      </c>
      <c r="CJ51" s="371">
        <v>0</v>
      </c>
      <c r="CK51" s="371">
        <v>0</v>
      </c>
      <c r="CL51" s="371">
        <v>0</v>
      </c>
      <c r="CM51" s="371">
        <v>65</v>
      </c>
      <c r="CN51" s="371">
        <v>699</v>
      </c>
      <c r="CO51" s="371">
        <v>5</v>
      </c>
      <c r="CP51" s="371">
        <v>11</v>
      </c>
      <c r="CQ51" s="371">
        <v>0</v>
      </c>
      <c r="CR51" s="371">
        <v>0</v>
      </c>
      <c r="CS51" s="371">
        <v>0</v>
      </c>
      <c r="CT51" s="371">
        <v>1</v>
      </c>
      <c r="CU51" s="367">
        <f>IFERROR(CH51/Instructions!$J$25,0)+CI51*Instructions!$J$27+CJ51*Instructions!$J$29+IFERROR(CK51/Instructions!$E$34,0)+CL51*Instructions!$E$36+Tier!CM51*Instructions!$E$25+IFERROR(CN51/Instructions!$E$27,0)+CO51*Instructions!$E$29+IFERROR((CP51+CR51)/Instructions!$J$32,0)+(CQ51+CS51)*Instructions!$J$34+Tier!CT51*-2</f>
        <v>162.9</v>
      </c>
      <c r="CV51" s="354"/>
      <c r="CW51" s="238">
        <v>2015</v>
      </c>
      <c r="CX51" s="370" t="s">
        <v>54</v>
      </c>
      <c r="CY51" s="371" t="s">
        <v>156</v>
      </c>
      <c r="CZ51" s="419" t="s">
        <v>7</v>
      </c>
      <c r="DA51" s="371">
        <v>0</v>
      </c>
      <c r="DB51" s="371">
        <v>0</v>
      </c>
      <c r="DC51" s="371">
        <v>0</v>
      </c>
      <c r="DD51" s="371">
        <v>0</v>
      </c>
      <c r="DE51" s="372">
        <v>0</v>
      </c>
      <c r="DF51" s="372">
        <v>51</v>
      </c>
      <c r="DG51" s="372">
        <v>528</v>
      </c>
      <c r="DH51" s="372">
        <v>3</v>
      </c>
      <c r="DI51" s="372">
        <v>0</v>
      </c>
      <c r="DJ51" s="372">
        <v>0</v>
      </c>
      <c r="DK51" s="372">
        <v>0</v>
      </c>
      <c r="DL51" s="372">
        <v>0</v>
      </c>
      <c r="DM51" s="372">
        <v>0</v>
      </c>
      <c r="DN51" s="367">
        <f>IFERROR(DA51/Instructions!$J$25,0)+DB51*Instructions!$J$27+DC51*Instructions!$J$29+IFERROR(DD51/Instructions!$E$34,0)+DE51*Instructions!$E$36+Tier!DF51*Instructions!$E$25+IFERROR(DG51/Instructions!$E$27,0)+DH51*Instructions!$E$29+IFERROR((DI51+DK51)/Instructions!$J$32,0)+(DJ51+DL51)*Instructions!$J$34+Tier!DM51*-2</f>
        <v>121.8</v>
      </c>
    </row>
    <row r="52" spans="1:118" s="366" customFormat="1" ht="15.75" customHeight="1" x14ac:dyDescent="0.25">
      <c r="A52" s="238"/>
      <c r="B52" s="238"/>
      <c r="C52" s="354"/>
      <c r="D52" s="361" t="s">
        <v>1166</v>
      </c>
      <c r="E52" s="362">
        <v>8</v>
      </c>
      <c r="F52" s="238">
        <v>2015</v>
      </c>
      <c r="G52" s="367">
        <f>LARGE($BI$35:$BI$66,18)</f>
        <v>244.2</v>
      </c>
      <c r="H52" s="355">
        <f t="shared" si="37"/>
        <v>-36.28000000000003</v>
      </c>
      <c r="I52" s="356">
        <f t="shared" si="35"/>
        <v>1316.2384000000022</v>
      </c>
      <c r="J52" s="356"/>
      <c r="K52" s="356">
        <f t="shared" si="38"/>
        <v>-2.2675000000000018</v>
      </c>
      <c r="L52" s="238">
        <f t="shared" si="39"/>
        <v>8</v>
      </c>
      <c r="M52" s="354"/>
      <c r="N52" s="361" t="s">
        <v>1166</v>
      </c>
      <c r="O52" s="362">
        <v>8</v>
      </c>
      <c r="P52" s="366">
        <v>2014</v>
      </c>
      <c r="Q52" s="367">
        <f>LARGE($CB$2:$CB$151,51)</f>
        <v>84.600000000000009</v>
      </c>
      <c r="R52" s="357">
        <f t="shared" si="34"/>
        <v>-79.999999999999986</v>
      </c>
      <c r="S52" s="356">
        <f>R52^2</f>
        <v>6399.9999999999982</v>
      </c>
      <c r="T52" s="356"/>
      <c r="U52" s="356">
        <f t="shared" si="7"/>
        <v>-4.9999999999999991</v>
      </c>
      <c r="V52" s="238">
        <f t="shared" si="8"/>
        <v>8</v>
      </c>
      <c r="W52" s="354"/>
      <c r="X52" s="361" t="s">
        <v>1166</v>
      </c>
      <c r="Y52" s="362"/>
      <c r="Z52" s="321">
        <v>2014</v>
      </c>
      <c r="AA52" s="367">
        <f>LARGE($CU$2:$CU$151,51)</f>
        <v>151.4</v>
      </c>
      <c r="AB52" s="357">
        <f t="shared" si="10"/>
        <v>-66.333333333333343</v>
      </c>
      <c r="AC52" s="356">
        <f t="shared" si="0"/>
        <v>4400.1111111111122</v>
      </c>
      <c r="AD52" s="356"/>
      <c r="AE52" s="356">
        <f t="shared" si="11"/>
        <v>-4.1458333333333339</v>
      </c>
      <c r="AF52" s="238">
        <f t="shared" si="12"/>
        <v>8</v>
      </c>
      <c r="AG52" s="354"/>
      <c r="AH52" s="361" t="s">
        <v>1166</v>
      </c>
      <c r="AI52" s="362"/>
      <c r="AJ52" s="238">
        <v>2015</v>
      </c>
      <c r="AK52" s="367">
        <f>LARGE($DN$35:$DN$66,18)</f>
        <v>120.5</v>
      </c>
      <c r="AL52" s="373">
        <f t="shared" si="40"/>
        <v>-10.199999999999989</v>
      </c>
      <c r="AM52" s="374">
        <f t="shared" si="36"/>
        <v>104.03999999999976</v>
      </c>
      <c r="AN52" s="374"/>
      <c r="AO52" s="374">
        <f t="shared" si="41"/>
        <v>-0.63749999999999929</v>
      </c>
      <c r="AP52" s="238">
        <f t="shared" si="17"/>
        <v>7</v>
      </c>
      <c r="AQ52" s="354"/>
      <c r="AR52" s="238">
        <v>2015</v>
      </c>
      <c r="AS52" s="365" t="s">
        <v>63</v>
      </c>
      <c r="AT52" s="366" t="s">
        <v>145</v>
      </c>
      <c r="AU52" s="366" t="s">
        <v>1</v>
      </c>
      <c r="AV52" s="366">
        <v>3250</v>
      </c>
      <c r="AW52" s="366">
        <v>25</v>
      </c>
      <c r="AX52" s="366">
        <v>7</v>
      </c>
      <c r="AY52" s="366">
        <v>142</v>
      </c>
      <c r="AZ52" s="366">
        <v>3</v>
      </c>
      <c r="BA52" s="366">
        <v>0</v>
      </c>
      <c r="BB52" s="366">
        <v>0</v>
      </c>
      <c r="BC52" s="366">
        <v>0</v>
      </c>
      <c r="BD52" s="366">
        <v>0</v>
      </c>
      <c r="BE52" s="366">
        <v>0</v>
      </c>
      <c r="BF52" s="366">
        <v>0</v>
      </c>
      <c r="BG52" s="366">
        <v>0</v>
      </c>
      <c r="BH52" s="366">
        <v>2</v>
      </c>
      <c r="BI52" s="367">
        <f>IFERROR(AV52/Instructions!$J$25,0)+AW52*Instructions!$J$27+AX52*Instructions!$J$29+IFERROR(AY52/Instructions!$E$34,0)+AZ52*Instructions!$E$36+Tier!BA52*Instructions!$E$25+IFERROR(BB52/Instructions!$E$27,0)+BC52*Instructions!$E$29+IFERROR((BD52+BF52)/Instructions!$J$32,0)+(BE52+BG52)*Instructions!$J$34+BH52*-2</f>
        <v>244.2</v>
      </c>
      <c r="BJ52" s="354"/>
      <c r="BK52" s="366">
        <v>2014</v>
      </c>
      <c r="BL52" s="370" t="s">
        <v>42</v>
      </c>
      <c r="BM52" s="372" t="s">
        <v>1627</v>
      </c>
      <c r="BN52" s="372" t="s">
        <v>3</v>
      </c>
      <c r="BO52" s="372">
        <v>0</v>
      </c>
      <c r="BP52" s="372">
        <v>0</v>
      </c>
      <c r="BQ52" s="372">
        <v>0</v>
      </c>
      <c r="BR52" s="372">
        <v>494</v>
      </c>
      <c r="BS52" s="372">
        <v>2</v>
      </c>
      <c r="BT52" s="372">
        <v>13</v>
      </c>
      <c r="BU52" s="372">
        <v>64</v>
      </c>
      <c r="BV52" s="372">
        <v>0</v>
      </c>
      <c r="BW52" s="372">
        <v>0</v>
      </c>
      <c r="BX52" s="372">
        <v>0</v>
      </c>
      <c r="BY52" s="372">
        <v>0</v>
      </c>
      <c r="BZ52" s="372">
        <v>0</v>
      </c>
      <c r="CA52" s="372">
        <v>0</v>
      </c>
      <c r="CB52" s="367">
        <f>IFERROR(BO52/Instructions!$J$25,0)+BP52*Instructions!$J$27+BQ52*Instructions!$J$29+IFERROR(BR52/Instructions!$E$34,0)+BS52*Instructions!$E$36+Tier!BT53*Instructions!$E$25+IFERROR(BU52/Instructions!$E$27,0)+BV52*Instructions!$E$29+IFERROR((BW52+BY52)/Instructions!$J$32,0)+(BX52+BZ52)*Instructions!$J$34+Tier!CA52*-2</f>
        <v>86.800000000000011</v>
      </c>
      <c r="CC52" s="354"/>
      <c r="CD52" s="321">
        <v>2014</v>
      </c>
      <c r="CE52" s="370" t="s">
        <v>202</v>
      </c>
      <c r="CF52" s="371" t="s">
        <v>153</v>
      </c>
      <c r="CG52" s="371" t="s">
        <v>6</v>
      </c>
      <c r="CH52" s="371">
        <v>0</v>
      </c>
      <c r="CI52" s="371">
        <v>0</v>
      </c>
      <c r="CJ52" s="371">
        <v>0</v>
      </c>
      <c r="CK52" s="371">
        <v>-6</v>
      </c>
      <c r="CL52" s="371">
        <v>0</v>
      </c>
      <c r="CM52" s="371">
        <v>48</v>
      </c>
      <c r="CN52" s="371">
        <v>696</v>
      </c>
      <c r="CO52" s="371">
        <v>5</v>
      </c>
      <c r="CP52" s="371">
        <v>0</v>
      </c>
      <c r="CQ52" s="371">
        <v>0</v>
      </c>
      <c r="CR52" s="371">
        <v>0</v>
      </c>
      <c r="CS52" s="371">
        <v>0</v>
      </c>
      <c r="CT52" s="371">
        <v>0</v>
      </c>
      <c r="CU52" s="367">
        <f>IFERROR(CH52/Instructions!$J$25,0)+CI52*Instructions!$J$27+CJ52*Instructions!$J$29+IFERROR(CK52/Instructions!$E$34,0)+CL52*Instructions!$E$36+Tier!CM52*Instructions!$E$25+IFERROR(CN52/Instructions!$E$27,0)+CO52*Instructions!$E$29+IFERROR((CP52+CR52)/Instructions!$J$32,0)+(CQ52+CS52)*Instructions!$J$34+Tier!CT52*-2</f>
        <v>147</v>
      </c>
      <c r="CV52" s="354"/>
      <c r="CW52" s="238">
        <v>2015</v>
      </c>
      <c r="CX52" s="370" t="s">
        <v>1687</v>
      </c>
      <c r="CY52" s="371" t="s">
        <v>144</v>
      </c>
      <c r="CZ52" s="419" t="s">
        <v>7</v>
      </c>
      <c r="DA52" s="371">
        <v>0</v>
      </c>
      <c r="DB52" s="371">
        <v>0</v>
      </c>
      <c r="DC52" s="371">
        <v>0</v>
      </c>
      <c r="DD52" s="371">
        <v>0</v>
      </c>
      <c r="DE52" s="372">
        <v>0</v>
      </c>
      <c r="DF52" s="372">
        <v>46</v>
      </c>
      <c r="DG52" s="372">
        <v>517</v>
      </c>
      <c r="DH52" s="372">
        <v>3</v>
      </c>
      <c r="DI52" s="372">
        <v>0</v>
      </c>
      <c r="DJ52" s="372">
        <v>0</v>
      </c>
      <c r="DK52" s="372">
        <v>0</v>
      </c>
      <c r="DL52" s="372">
        <v>0</v>
      </c>
      <c r="DM52" s="372">
        <v>0</v>
      </c>
      <c r="DN52" s="367">
        <f>IFERROR(DA52/Instructions!$J$25,0)+DB52*Instructions!$J$27+DC52*Instructions!$J$29+IFERROR(DD52/Instructions!$E$34,0)+DE52*Instructions!$E$36+Tier!DF52*Instructions!$E$25+IFERROR(DG52/Instructions!$E$27,0)+DH52*Instructions!$E$29+IFERROR((DI52+DK52)/Instructions!$J$32,0)+(DJ52+DL52)*Instructions!$J$34+Tier!DM52*-2</f>
        <v>115.7</v>
      </c>
    </row>
    <row r="53" spans="1:118" s="366" customFormat="1" ht="15.75" customHeight="1" x14ac:dyDescent="0.25">
      <c r="A53" s="238"/>
      <c r="B53" s="238"/>
      <c r="C53" s="354"/>
      <c r="D53" s="363">
        <v>0</v>
      </c>
      <c r="E53" s="364">
        <f>(E3+E13*2+E23*3+E33*4+E43*5)/15</f>
        <v>385.74799999999993</v>
      </c>
      <c r="F53" s="238">
        <v>2015</v>
      </c>
      <c r="G53" s="367">
        <f>LARGE($BI$35:$BI$66,19)</f>
        <v>231.94</v>
      </c>
      <c r="H53" s="355">
        <f t="shared" si="37"/>
        <v>-48.54000000000002</v>
      </c>
      <c r="I53" s="356">
        <f t="shared" si="35"/>
        <v>2356.131600000002</v>
      </c>
      <c r="J53" s="356"/>
      <c r="K53" s="356">
        <f t="shared" si="38"/>
        <v>-3.0337500000000013</v>
      </c>
      <c r="L53" s="238">
        <f t="shared" si="39"/>
        <v>8</v>
      </c>
      <c r="M53" s="354"/>
      <c r="N53" s="363">
        <v>0</v>
      </c>
      <c r="O53" s="364">
        <f>(O3+O13*2+O23*3+O33*4+O43*5)/15</f>
        <v>324.10222222222217</v>
      </c>
      <c r="P53" s="366">
        <v>2014</v>
      </c>
      <c r="Q53" s="367">
        <f>LARGE($CB$2:$CB$151,52)</f>
        <v>82.9</v>
      </c>
      <c r="R53" s="357">
        <f t="shared" si="34"/>
        <v>-81.699999999999989</v>
      </c>
      <c r="S53" s="356">
        <f t="shared" ref="S53:S116" si="47">R53^2</f>
        <v>6674.8899999999985</v>
      </c>
      <c r="T53" s="356"/>
      <c r="U53" s="356">
        <f t="shared" si="7"/>
        <v>-5.1062499999999993</v>
      </c>
      <c r="V53" s="238">
        <f t="shared" si="8"/>
        <v>8</v>
      </c>
      <c r="W53" s="354"/>
      <c r="X53" s="363">
        <v>0</v>
      </c>
      <c r="Y53" s="364">
        <f>(Y3+Y13*2+Y23*3+Y33*4+Y43*5)/15</f>
        <v>321.54233333333337</v>
      </c>
      <c r="Z53" s="321">
        <v>2014</v>
      </c>
      <c r="AA53" s="367">
        <f>LARGE($CU$2:$CU$151,52)</f>
        <v>147.1</v>
      </c>
      <c r="AB53" s="357">
        <f t="shared" si="10"/>
        <v>-70.633333333333354</v>
      </c>
      <c r="AC53" s="356">
        <f t="shared" si="0"/>
        <v>4989.067777777781</v>
      </c>
      <c r="AD53" s="356"/>
      <c r="AE53" s="356">
        <f t="shared" si="11"/>
        <v>-4.4145833333333346</v>
      </c>
      <c r="AF53" s="238">
        <f t="shared" si="12"/>
        <v>8</v>
      </c>
      <c r="AG53" s="354"/>
      <c r="AH53" s="363">
        <v>0</v>
      </c>
      <c r="AI53" s="364">
        <f>(AI3+AI13*2+AI23*3+AI33*4+AI43*5)/15</f>
        <v>255.62333333333336</v>
      </c>
      <c r="AJ53" s="238">
        <v>2015</v>
      </c>
      <c r="AK53" s="367">
        <f>LARGE($DN$35:$DN$66,19)</f>
        <v>115.7</v>
      </c>
      <c r="AL53" s="373">
        <f t="shared" si="40"/>
        <v>-14.999999999999986</v>
      </c>
      <c r="AM53" s="374">
        <f t="shared" si="36"/>
        <v>224.99999999999957</v>
      </c>
      <c r="AN53" s="374"/>
      <c r="AO53" s="374">
        <f t="shared" si="41"/>
        <v>-0.93749999999999911</v>
      </c>
      <c r="AP53" s="238">
        <f t="shared" si="17"/>
        <v>7</v>
      </c>
      <c r="AQ53" s="354"/>
      <c r="AR53" s="238">
        <v>2015</v>
      </c>
      <c r="AS53" s="365" t="s">
        <v>38</v>
      </c>
      <c r="AT53" s="366" t="s">
        <v>148</v>
      </c>
      <c r="AU53" s="366" t="s">
        <v>1</v>
      </c>
      <c r="AV53" s="366">
        <v>4591</v>
      </c>
      <c r="AW53" s="366">
        <v>21</v>
      </c>
      <c r="AX53" s="366">
        <v>16</v>
      </c>
      <c r="AY53" s="366">
        <v>63</v>
      </c>
      <c r="AZ53" s="366">
        <v>0</v>
      </c>
      <c r="BA53" s="366">
        <v>0</v>
      </c>
      <c r="BB53" s="366">
        <v>0</v>
      </c>
      <c r="BC53" s="366">
        <v>0</v>
      </c>
      <c r="BD53" s="366">
        <v>0</v>
      </c>
      <c r="BE53" s="366">
        <v>0</v>
      </c>
      <c r="BF53" s="366">
        <v>0</v>
      </c>
      <c r="BG53" s="366">
        <v>0</v>
      </c>
      <c r="BH53" s="366">
        <v>5</v>
      </c>
      <c r="BI53" s="367">
        <f>IFERROR(AV53/Instructions!$J$25,0)+AW53*Instructions!$J$27+AX53*Instructions!$J$29+IFERROR(AY53/Instructions!$E$34,0)+AZ53*Instructions!$E$36+Tier!BA53*Instructions!$E$25+IFERROR(BB53/Instructions!$E$27,0)+BC53*Instructions!$E$29+IFERROR((BD53+BF53)/Instructions!$J$32,0)+(BE53+BG53)*Instructions!$J$34+BH53*-2</f>
        <v>231.94</v>
      </c>
      <c r="BJ53" s="354"/>
      <c r="BK53" s="366">
        <v>2014</v>
      </c>
      <c r="BL53" s="370" t="s">
        <v>65</v>
      </c>
      <c r="BM53" s="372" t="s">
        <v>156</v>
      </c>
      <c r="BN53" s="372" t="s">
        <v>3</v>
      </c>
      <c r="BO53" s="372">
        <v>0</v>
      </c>
      <c r="BP53" s="372">
        <v>0</v>
      </c>
      <c r="BQ53" s="372">
        <v>0</v>
      </c>
      <c r="BR53" s="372">
        <v>300</v>
      </c>
      <c r="BS53" s="372">
        <v>0</v>
      </c>
      <c r="BT53" s="372">
        <v>19</v>
      </c>
      <c r="BU53" s="372">
        <v>125</v>
      </c>
      <c r="BV53" s="372">
        <v>1</v>
      </c>
      <c r="BW53" s="372">
        <v>0</v>
      </c>
      <c r="BX53" s="372">
        <v>0</v>
      </c>
      <c r="BY53" s="372">
        <v>306</v>
      </c>
      <c r="BZ53" s="372">
        <v>1</v>
      </c>
      <c r="CA53" s="372">
        <v>1</v>
      </c>
      <c r="CB53" s="367">
        <f>IFERROR(BO53/Instructions!$J$25,0)+BP53*Instructions!$J$27+BQ53*Instructions!$J$29+IFERROR(BR53/Instructions!$E$34,0)+BS53*Instructions!$E$36+Tier!BT54*Instructions!$E$25+IFERROR(BU53/Instructions!$E$27,0)+BV53*Instructions!$E$29+IFERROR((BW53+BY53)/Instructions!$J$32,0)+(BX53+BZ53)*Instructions!$J$34+Tier!CA53*-2</f>
        <v>65.5</v>
      </c>
      <c r="CC53" s="354"/>
      <c r="CD53" s="321">
        <v>2014</v>
      </c>
      <c r="CE53" s="370" t="s">
        <v>131</v>
      </c>
      <c r="CF53" s="371" t="s">
        <v>147</v>
      </c>
      <c r="CG53" s="371" t="s">
        <v>6</v>
      </c>
      <c r="CH53" s="371">
        <v>0</v>
      </c>
      <c r="CI53" s="371">
        <v>0</v>
      </c>
      <c r="CJ53" s="371">
        <v>0</v>
      </c>
      <c r="CK53" s="371">
        <v>19</v>
      </c>
      <c r="CL53" s="371">
        <v>0</v>
      </c>
      <c r="CM53" s="371">
        <v>53</v>
      </c>
      <c r="CN53" s="371">
        <v>644</v>
      </c>
      <c r="CO53" s="371">
        <v>2</v>
      </c>
      <c r="CP53" s="371">
        <v>0</v>
      </c>
      <c r="CQ53" s="371">
        <v>0</v>
      </c>
      <c r="CR53" s="371">
        <v>494</v>
      </c>
      <c r="CS53" s="371">
        <v>0</v>
      </c>
      <c r="CT53" s="371">
        <v>0</v>
      </c>
      <c r="CU53" s="367">
        <f>IFERROR(CH53/Instructions!$J$25,0)+CI53*Instructions!$J$27+CJ53*Instructions!$J$29+IFERROR(CK53/Instructions!$E$34,0)+CL53*Instructions!$E$36+Tier!CM53*Instructions!$E$25+IFERROR(CN53/Instructions!$E$27,0)+CO53*Instructions!$E$29+IFERROR((CP53+CR53)/Instructions!$J$32,0)+(CQ53+CS53)*Instructions!$J$34+Tier!CT53*-2</f>
        <v>131.30000000000001</v>
      </c>
      <c r="CV53" s="354"/>
      <c r="CW53" s="238">
        <v>2015</v>
      </c>
      <c r="CX53" s="365" t="s">
        <v>225</v>
      </c>
      <c r="CY53" s="366" t="s">
        <v>158</v>
      </c>
      <c r="CZ53" s="366" t="s">
        <v>7</v>
      </c>
      <c r="DA53" s="366">
        <v>0</v>
      </c>
      <c r="DB53" s="366">
        <v>0</v>
      </c>
      <c r="DC53" s="366">
        <v>0</v>
      </c>
      <c r="DD53" s="366">
        <v>0</v>
      </c>
      <c r="DE53" s="366">
        <v>0</v>
      </c>
      <c r="DF53" s="366">
        <v>54</v>
      </c>
      <c r="DG53" s="366">
        <v>491</v>
      </c>
      <c r="DH53" s="366">
        <v>3</v>
      </c>
      <c r="DI53" s="366">
        <v>0</v>
      </c>
      <c r="DJ53" s="366">
        <v>0</v>
      </c>
      <c r="DK53" s="366">
        <v>0</v>
      </c>
      <c r="DL53" s="366">
        <v>0</v>
      </c>
      <c r="DM53" s="366">
        <v>0</v>
      </c>
      <c r="DN53" s="367">
        <f>IFERROR(DA53/Instructions!$J$25,0)+DB53*Instructions!$J$27+DC53*Instructions!$J$29+IFERROR(DD53/Instructions!$E$34,0)+DE53*Instructions!$E$36+Tier!DF53*Instructions!$E$25+IFERROR(DG53/Instructions!$E$27,0)+DH53*Instructions!$E$29+IFERROR((DI53+DK53)/Instructions!$J$32,0)+(DJ53+DL53)*Instructions!$J$34+Tier!DM53*-2</f>
        <v>121.1</v>
      </c>
    </row>
    <row r="54" spans="1:118" s="366" customFormat="1" ht="15.75" customHeight="1" x14ac:dyDescent="0.25">
      <c r="A54" s="238"/>
      <c r="B54" s="238"/>
      <c r="C54" s="354"/>
      <c r="D54" s="363">
        <v>1</v>
      </c>
      <c r="E54" s="364">
        <f t="shared" ref="E54:E61" si="48">(E4+E14*2+E24*3+E34*4+E44*5)/15</f>
        <v>355.73066666666665</v>
      </c>
      <c r="F54" s="238">
        <v>2015</v>
      </c>
      <c r="G54" s="367">
        <f>LARGE($BI$35:$BI$66,20)</f>
        <v>224.46</v>
      </c>
      <c r="H54" s="355">
        <f t="shared" si="37"/>
        <v>-56.02000000000001</v>
      </c>
      <c r="I54" s="356">
        <f t="shared" si="35"/>
        <v>3138.240400000001</v>
      </c>
      <c r="J54" s="356"/>
      <c r="K54" s="356">
        <f t="shared" si="38"/>
        <v>-3.5012500000000006</v>
      </c>
      <c r="L54" s="238">
        <f t="shared" si="39"/>
        <v>8</v>
      </c>
      <c r="M54" s="354"/>
      <c r="N54" s="363">
        <v>1</v>
      </c>
      <c r="O54" s="364">
        <f t="shared" ref="O54:O61" si="49">(O4+O14*2+O24*3+O34*4+O44*5)/15</f>
        <v>256.10000000000002</v>
      </c>
      <c r="P54" s="366">
        <v>2014</v>
      </c>
      <c r="Q54" s="367">
        <f>LARGE($CB$2:$CB$151,53)</f>
        <v>80.599999999999994</v>
      </c>
      <c r="R54" s="357">
        <f t="shared" si="34"/>
        <v>-84</v>
      </c>
      <c r="S54" s="356">
        <f t="shared" si="47"/>
        <v>7056</v>
      </c>
      <c r="T54" s="238"/>
      <c r="U54" s="356">
        <f t="shared" si="7"/>
        <v>-5.25</v>
      </c>
      <c r="V54" s="238">
        <f t="shared" si="8"/>
        <v>8</v>
      </c>
      <c r="W54" s="354"/>
      <c r="X54" s="363">
        <v>1</v>
      </c>
      <c r="Y54" s="364">
        <f t="shared" ref="Y54:Y61" si="50">(Y4+Y14*2+Y24*3+Y34*4+Y44*5)/15</f>
        <v>292.30833333333334</v>
      </c>
      <c r="Z54" s="321">
        <v>2014</v>
      </c>
      <c r="AA54" s="367">
        <f>LARGE($CU$2:$CU$151,53)</f>
        <v>147</v>
      </c>
      <c r="AB54" s="357">
        <f t="shared" si="10"/>
        <v>-70.733333333333348</v>
      </c>
      <c r="AC54" s="356">
        <f t="shared" si="0"/>
        <v>5003.2044444444464</v>
      </c>
      <c r="AD54" s="356"/>
      <c r="AE54" s="356">
        <f t="shared" si="11"/>
        <v>-4.4208333333333343</v>
      </c>
      <c r="AF54" s="238">
        <f t="shared" si="12"/>
        <v>8</v>
      </c>
      <c r="AG54" s="354"/>
      <c r="AH54" s="363">
        <v>1</v>
      </c>
      <c r="AI54" s="364">
        <f t="shared" ref="AI54:AI61" si="51">(AI4+AI14*2+AI24*3+AI34*4+AI44*5)/15</f>
        <v>226.95333333333335</v>
      </c>
      <c r="AJ54" s="238">
        <v>2015</v>
      </c>
      <c r="AK54" s="367">
        <f>LARGE($DN$35:$DN$66,20)</f>
        <v>114.9</v>
      </c>
      <c r="AL54" s="373">
        <f t="shared" si="40"/>
        <v>-15.799999999999983</v>
      </c>
      <c r="AM54" s="374">
        <f t="shared" si="36"/>
        <v>249.63999999999947</v>
      </c>
      <c r="AN54" s="374"/>
      <c r="AO54" s="374">
        <f t="shared" si="41"/>
        <v>-0.98749999999999893</v>
      </c>
      <c r="AP54" s="238">
        <f t="shared" si="17"/>
        <v>7</v>
      </c>
      <c r="AQ54" s="354"/>
      <c r="AR54" s="238">
        <v>2015</v>
      </c>
      <c r="AS54" s="365" t="s">
        <v>55</v>
      </c>
      <c r="AT54" s="366" t="s">
        <v>141</v>
      </c>
      <c r="AU54" s="366" t="s">
        <v>1</v>
      </c>
      <c r="AV54" s="366">
        <v>3659</v>
      </c>
      <c r="AW54" s="366">
        <v>21</v>
      </c>
      <c r="AX54" s="366">
        <v>11</v>
      </c>
      <c r="AY54" s="366">
        <v>201</v>
      </c>
      <c r="AZ54" s="366">
        <v>1</v>
      </c>
      <c r="BA54" s="366">
        <v>0</v>
      </c>
      <c r="BB54" s="366">
        <v>0</v>
      </c>
      <c r="BC54" s="366">
        <v>0</v>
      </c>
      <c r="BD54" s="366">
        <v>0</v>
      </c>
      <c r="BE54" s="366">
        <v>0</v>
      </c>
      <c r="BF54" s="366">
        <v>0</v>
      </c>
      <c r="BG54" s="366">
        <v>0</v>
      </c>
      <c r="BH54" s="366">
        <v>5</v>
      </c>
      <c r="BI54" s="367">
        <f>IFERROR(AV54/Instructions!$J$25,0)+AW54*Instructions!$J$27+AX54*Instructions!$J$29+IFERROR(AY54/Instructions!$E$34,0)+AZ54*Instructions!$E$36+Tier!BA54*Instructions!$E$25+IFERROR(BB54/Instructions!$E$27,0)+BC54*Instructions!$E$29+IFERROR((BD54+BF54)/Instructions!$J$32,0)+(BE54+BG54)*Instructions!$J$34+BH54*-2</f>
        <v>224.46</v>
      </c>
      <c r="BJ54" s="354"/>
      <c r="BK54" s="366">
        <v>2014</v>
      </c>
      <c r="BL54" s="370" t="s">
        <v>1385</v>
      </c>
      <c r="BM54" s="372" t="s">
        <v>148</v>
      </c>
      <c r="BN54" s="372" t="s">
        <v>3</v>
      </c>
      <c r="BO54" s="372">
        <v>0</v>
      </c>
      <c r="BP54" s="372">
        <v>0</v>
      </c>
      <c r="BQ54" s="372">
        <v>0</v>
      </c>
      <c r="BR54" s="372">
        <v>144</v>
      </c>
      <c r="BS54" s="372">
        <v>2</v>
      </c>
      <c r="BT54" s="372">
        <v>13</v>
      </c>
      <c r="BU54" s="372">
        <v>222</v>
      </c>
      <c r="BV54" s="372">
        <v>3</v>
      </c>
      <c r="BW54" s="372">
        <v>0</v>
      </c>
      <c r="BX54" s="372">
        <v>0</v>
      </c>
      <c r="BY54" s="372">
        <v>0</v>
      </c>
      <c r="BZ54" s="372">
        <v>0</v>
      </c>
      <c r="CA54" s="372">
        <v>1</v>
      </c>
      <c r="CB54" s="367">
        <f>IFERROR(BO54/Instructions!$J$25,0)+BP54*Instructions!$J$27+BQ54*Instructions!$J$29+IFERROR(BR54/Instructions!$E$34,0)+BS54*Instructions!$E$36+Tier!BT55*Instructions!$E$25+IFERROR(BU54/Instructions!$E$27,0)+BV54*Instructions!$E$29+IFERROR((BW54+BY54)/Instructions!$J$32,0)+(BX54+BZ54)*Instructions!$J$34+Tier!CA54*-2</f>
        <v>72.599999999999994</v>
      </c>
      <c r="CC54" s="354"/>
      <c r="CD54" s="321">
        <v>2014</v>
      </c>
      <c r="CE54" s="370" t="s">
        <v>76</v>
      </c>
      <c r="CF54" s="371" t="s">
        <v>138</v>
      </c>
      <c r="CG54" s="371" t="s">
        <v>6</v>
      </c>
      <c r="CH54" s="371">
        <v>0</v>
      </c>
      <c r="CI54" s="371">
        <v>0</v>
      </c>
      <c r="CJ54" s="371">
        <v>0</v>
      </c>
      <c r="CK54" s="371">
        <v>117</v>
      </c>
      <c r="CL54" s="371">
        <v>1</v>
      </c>
      <c r="CM54" s="371">
        <v>33</v>
      </c>
      <c r="CN54" s="371">
        <v>384</v>
      </c>
      <c r="CO54" s="371">
        <v>1</v>
      </c>
      <c r="CP54" s="371">
        <v>0</v>
      </c>
      <c r="CQ54" s="371">
        <v>0</v>
      </c>
      <c r="CR54" s="371">
        <v>871</v>
      </c>
      <c r="CS54" s="371">
        <v>0</v>
      </c>
      <c r="CT54" s="371">
        <v>0</v>
      </c>
      <c r="CU54" s="367">
        <f>IFERROR(CH54/Instructions!$J$25,0)+CI54*Instructions!$J$27+CJ54*Instructions!$J$29+IFERROR(CK54/Instructions!$E$34,0)+CL54*Instructions!$E$36+Tier!CM54*Instructions!$E$25+IFERROR(CN54/Instructions!$E$27,0)+CO54*Instructions!$E$29+IFERROR((CP54+CR54)/Instructions!$J$32,0)+(CQ54+CS54)*Instructions!$J$34+Tier!CT54*-2</f>
        <v>95.1</v>
      </c>
      <c r="CV54" s="354"/>
      <c r="CW54" s="238">
        <v>2015</v>
      </c>
      <c r="CX54" s="365" t="s">
        <v>62</v>
      </c>
      <c r="CY54" s="366" t="s">
        <v>1626</v>
      </c>
      <c r="CZ54" s="366" t="s">
        <v>7</v>
      </c>
      <c r="DA54" s="366">
        <v>0</v>
      </c>
      <c r="DB54" s="366">
        <v>0</v>
      </c>
      <c r="DC54" s="366">
        <v>0</v>
      </c>
      <c r="DD54" s="366">
        <v>0</v>
      </c>
      <c r="DE54" s="366">
        <v>0</v>
      </c>
      <c r="DF54" s="366">
        <v>37</v>
      </c>
      <c r="DG54" s="366">
        <v>429</v>
      </c>
      <c r="DH54" s="366">
        <v>4</v>
      </c>
      <c r="DI54" s="366">
        <v>0</v>
      </c>
      <c r="DJ54" s="366">
        <v>0</v>
      </c>
      <c r="DK54" s="366">
        <v>0</v>
      </c>
      <c r="DL54" s="366">
        <v>0</v>
      </c>
      <c r="DM54" s="366">
        <v>0</v>
      </c>
      <c r="DN54" s="367">
        <f>IFERROR(DA54/Instructions!$J$25,0)+DB54*Instructions!$J$27+DC54*Instructions!$J$29+IFERROR(DD54/Instructions!$E$34,0)+DE54*Instructions!$E$36+Tier!DF54*Instructions!$E$25+IFERROR(DG54/Instructions!$E$27,0)+DH54*Instructions!$E$29+IFERROR((DI54+DK54)/Instructions!$J$32,0)+(DJ54+DL54)*Instructions!$J$34+Tier!DM54*-2</f>
        <v>103.9</v>
      </c>
    </row>
    <row r="55" spans="1:118" s="366" customFormat="1" ht="15.75" customHeight="1" x14ac:dyDescent="0.25">
      <c r="A55" s="238"/>
      <c r="B55" s="238"/>
      <c r="C55" s="354"/>
      <c r="D55" s="363">
        <v>2</v>
      </c>
      <c r="E55" s="364">
        <f t="shared" si="48"/>
        <v>339.0506666666667</v>
      </c>
      <c r="F55" s="238">
        <v>2015</v>
      </c>
      <c r="G55" s="367">
        <f>LARGE($BI$35:$BI$66,21)</f>
        <v>212.12</v>
      </c>
      <c r="H55" s="355">
        <f t="shared" si="37"/>
        <v>-68.360000000000014</v>
      </c>
      <c r="I55" s="356">
        <f t="shared" si="35"/>
        <v>4673.0896000000021</v>
      </c>
      <c r="J55" s="356"/>
      <c r="K55" s="356">
        <f t="shared" si="38"/>
        <v>-4.2725000000000009</v>
      </c>
      <c r="L55" s="238">
        <f t="shared" si="39"/>
        <v>8</v>
      </c>
      <c r="M55" s="354"/>
      <c r="N55" s="363">
        <v>2</v>
      </c>
      <c r="O55" s="364">
        <f t="shared" si="49"/>
        <v>251.05555555555557</v>
      </c>
      <c r="P55" s="366">
        <v>2014</v>
      </c>
      <c r="Q55" s="367">
        <f>LARGE($CB$2:$CB$151,54)</f>
        <v>80.400000000000006</v>
      </c>
      <c r="R55" s="357">
        <f t="shared" si="34"/>
        <v>-84.199999999999989</v>
      </c>
      <c r="S55" s="356">
        <f t="shared" si="47"/>
        <v>7089.6399999999985</v>
      </c>
      <c r="T55" s="238"/>
      <c r="U55" s="356">
        <f t="shared" si="7"/>
        <v>-5.2624999999999993</v>
      </c>
      <c r="V55" s="238">
        <f t="shared" si="8"/>
        <v>8</v>
      </c>
      <c r="W55" s="354"/>
      <c r="X55" s="363">
        <v>2</v>
      </c>
      <c r="Y55" s="364">
        <f t="shared" si="50"/>
        <v>272.08133333333336</v>
      </c>
      <c r="Z55" s="321">
        <v>2014</v>
      </c>
      <c r="AA55" s="367">
        <f>LARGE($CU$2:$CU$151,54)</f>
        <v>144.19999999999999</v>
      </c>
      <c r="AB55" s="357">
        <f t="shared" si="10"/>
        <v>-73.53333333333336</v>
      </c>
      <c r="AC55" s="356">
        <f t="shared" si="0"/>
        <v>5407.1511111111149</v>
      </c>
      <c r="AD55" s="356"/>
      <c r="AE55" s="356">
        <f t="shared" si="11"/>
        <v>-4.595833333333335</v>
      </c>
      <c r="AF55" s="238">
        <f t="shared" si="12"/>
        <v>8</v>
      </c>
      <c r="AG55" s="354"/>
      <c r="AH55" s="363">
        <v>2</v>
      </c>
      <c r="AI55" s="364">
        <f t="shared" si="51"/>
        <v>207.59</v>
      </c>
      <c r="AJ55" s="238">
        <v>2015</v>
      </c>
      <c r="AK55" s="367">
        <f>LARGE($DN$35:$DN$66,21)</f>
        <v>107.9</v>
      </c>
      <c r="AL55" s="373">
        <f t="shared" si="40"/>
        <v>-22.799999999999983</v>
      </c>
      <c r="AM55" s="374">
        <f t="shared" si="36"/>
        <v>519.83999999999924</v>
      </c>
      <c r="AN55" s="374"/>
      <c r="AO55" s="374">
        <f t="shared" si="41"/>
        <v>-1.4249999999999989</v>
      </c>
      <c r="AP55" s="238">
        <f t="shared" si="17"/>
        <v>8</v>
      </c>
      <c r="AQ55" s="354"/>
      <c r="AR55" s="238">
        <v>2015</v>
      </c>
      <c r="AS55" s="365" t="s">
        <v>59</v>
      </c>
      <c r="AT55" s="366" t="s">
        <v>147</v>
      </c>
      <c r="AU55" s="366" t="s">
        <v>1</v>
      </c>
      <c r="AV55" s="366">
        <v>3938</v>
      </c>
      <c r="AW55" s="366">
        <v>21</v>
      </c>
      <c r="AX55" s="366">
        <v>16</v>
      </c>
      <c r="AY55" s="366">
        <v>29</v>
      </c>
      <c r="AZ55" s="366">
        <v>0</v>
      </c>
      <c r="BA55" s="366">
        <v>0</v>
      </c>
      <c r="BB55" s="366">
        <v>-3</v>
      </c>
      <c r="BC55" s="366">
        <v>0</v>
      </c>
      <c r="BD55" s="366">
        <v>0</v>
      </c>
      <c r="BE55" s="366">
        <v>0</v>
      </c>
      <c r="BF55" s="366">
        <v>0</v>
      </c>
      <c r="BG55" s="366">
        <v>0</v>
      </c>
      <c r="BH55" s="366">
        <v>0</v>
      </c>
      <c r="BI55" s="367">
        <f>IFERROR(AV55/Instructions!$J$25,0)+AW55*Instructions!$J$27+AX55*Instructions!$J$29+IFERROR(AY55/Instructions!$E$34,0)+AZ55*Instructions!$E$36+Tier!BA55*Instructions!$E$25+IFERROR(BB55/Instructions!$E$27,0)+BC55*Instructions!$E$29+IFERROR((BD55+BF55)/Instructions!$J$32,0)+(BE55+BG55)*Instructions!$J$34+BH55*-2</f>
        <v>212.12</v>
      </c>
      <c r="BJ55" s="354"/>
      <c r="BK55" s="366">
        <v>2014</v>
      </c>
      <c r="BL55" s="370" t="s">
        <v>1279</v>
      </c>
      <c r="BM55" s="372" t="s">
        <v>162</v>
      </c>
      <c r="BN55" s="372" t="s">
        <v>3</v>
      </c>
      <c r="BO55" s="372">
        <v>0</v>
      </c>
      <c r="BP55" s="372">
        <v>0</v>
      </c>
      <c r="BQ55" s="372">
        <v>0</v>
      </c>
      <c r="BR55" s="372">
        <v>292</v>
      </c>
      <c r="BS55" s="372">
        <v>4</v>
      </c>
      <c r="BT55" s="372">
        <v>8</v>
      </c>
      <c r="BU55" s="372">
        <v>114</v>
      </c>
      <c r="BV55" s="372">
        <v>0</v>
      </c>
      <c r="BW55" s="372">
        <v>0</v>
      </c>
      <c r="BX55" s="372">
        <v>0</v>
      </c>
      <c r="BY55" s="372">
        <v>15</v>
      </c>
      <c r="BZ55" s="372">
        <v>0</v>
      </c>
      <c r="CA55" s="372">
        <v>1</v>
      </c>
      <c r="CB55" s="367">
        <f>IFERROR(BO55/Instructions!$J$25,0)+BP55*Instructions!$J$27+BQ55*Instructions!$J$29+IFERROR(BR55/Instructions!$E$34,0)+BS55*Instructions!$E$36+Tier!BT56*Instructions!$E$25+IFERROR(BU55/Instructions!$E$27,0)+BV55*Instructions!$E$29+IFERROR((BW55+BY55)/Instructions!$J$32,0)+(BX55+BZ55)*Instructions!$J$34+Tier!CA55*-2</f>
        <v>84.600000000000009</v>
      </c>
      <c r="CC55" s="354"/>
      <c r="CD55" s="321">
        <v>2014</v>
      </c>
      <c r="CE55" s="370" t="s">
        <v>187</v>
      </c>
      <c r="CF55" s="371" t="s">
        <v>161</v>
      </c>
      <c r="CG55" s="371" t="s">
        <v>6</v>
      </c>
      <c r="CH55" s="371">
        <v>0</v>
      </c>
      <c r="CI55" s="371">
        <v>0</v>
      </c>
      <c r="CJ55" s="371">
        <v>0</v>
      </c>
      <c r="CK55" s="371">
        <v>15</v>
      </c>
      <c r="CL55" s="371">
        <v>0</v>
      </c>
      <c r="CM55" s="371">
        <v>63</v>
      </c>
      <c r="CN55" s="371">
        <v>824</v>
      </c>
      <c r="CO55" s="371">
        <v>2</v>
      </c>
      <c r="CP55" s="371">
        <v>0</v>
      </c>
      <c r="CQ55" s="371">
        <v>0</v>
      </c>
      <c r="CR55" s="371">
        <v>0</v>
      </c>
      <c r="CS55" s="371">
        <v>0</v>
      </c>
      <c r="CT55" s="371">
        <v>0</v>
      </c>
      <c r="CU55" s="367">
        <f>IFERROR(CH55/Instructions!$J$25,0)+CI55*Instructions!$J$27+CJ55*Instructions!$J$29+IFERROR(CK55/Instructions!$E$34,0)+CL55*Instructions!$E$36+Tier!CM55*Instructions!$E$25+IFERROR(CN55/Instructions!$E$27,0)+CO55*Instructions!$E$29+IFERROR((CP55+CR55)/Instructions!$J$32,0)+(CQ55+CS55)*Instructions!$J$34+Tier!CT55*-2</f>
        <v>158.9</v>
      </c>
      <c r="CV55" s="354"/>
      <c r="CW55" s="238">
        <v>2015</v>
      </c>
      <c r="CX55" s="365" t="s">
        <v>1688</v>
      </c>
      <c r="CY55" s="366" t="s">
        <v>147</v>
      </c>
      <c r="CZ55" s="366" t="s">
        <v>7</v>
      </c>
      <c r="DA55" s="366">
        <v>0</v>
      </c>
      <c r="DB55" s="366">
        <v>0</v>
      </c>
      <c r="DC55" s="366">
        <v>0</v>
      </c>
      <c r="DD55" s="366">
        <v>2</v>
      </c>
      <c r="DE55" s="366">
        <v>0</v>
      </c>
      <c r="DF55" s="366">
        <v>60</v>
      </c>
      <c r="DG55" s="366">
        <v>535</v>
      </c>
      <c r="DH55" s="366">
        <v>2</v>
      </c>
      <c r="DI55" s="366">
        <v>0</v>
      </c>
      <c r="DJ55" s="366">
        <v>0</v>
      </c>
      <c r="DK55" s="366">
        <v>0</v>
      </c>
      <c r="DL55" s="366">
        <v>0</v>
      </c>
      <c r="DM55" s="366">
        <v>0</v>
      </c>
      <c r="DN55" s="367">
        <f>IFERROR(DA55/Instructions!$J$25,0)+DB55*Instructions!$J$27+DC55*Instructions!$J$29+IFERROR(DD55/Instructions!$E$34,0)+DE55*Instructions!$E$36+Tier!DF55*Instructions!$E$25+IFERROR(DG55/Instructions!$E$27,0)+DH55*Instructions!$E$29+IFERROR((DI55+DK55)/Instructions!$J$32,0)+(DJ55+DL55)*Instructions!$J$34+Tier!DM55*-2</f>
        <v>125.7</v>
      </c>
    </row>
    <row r="56" spans="1:118" s="366" customFormat="1" ht="15.75" customHeight="1" x14ac:dyDescent="0.25">
      <c r="A56" s="238"/>
      <c r="B56" s="238"/>
      <c r="C56" s="354"/>
      <c r="D56" s="363">
        <v>3</v>
      </c>
      <c r="E56" s="364">
        <f t="shared" si="48"/>
        <v>323.71999999999997</v>
      </c>
      <c r="F56" s="238">
        <v>2015</v>
      </c>
      <c r="G56" s="367">
        <f>LARGE($BI$35:$BI$66,22)</f>
        <v>205.01999999999998</v>
      </c>
      <c r="H56" s="355">
        <f t="shared" si="37"/>
        <v>-75.460000000000036</v>
      </c>
      <c r="I56" s="356">
        <f t="shared" si="35"/>
        <v>5694.2116000000051</v>
      </c>
      <c r="J56" s="356"/>
      <c r="K56" s="356">
        <f t="shared" si="38"/>
        <v>-4.7162500000000023</v>
      </c>
      <c r="L56" s="238">
        <f t="shared" si="39"/>
        <v>8</v>
      </c>
      <c r="M56" s="354"/>
      <c r="N56" s="363">
        <v>3</v>
      </c>
      <c r="O56" s="364">
        <f t="shared" si="49"/>
        <v>232.15333333333331</v>
      </c>
      <c r="P56" s="366">
        <v>2014</v>
      </c>
      <c r="Q56" s="367">
        <f>LARGE($CB$2:$CB$151,55)</f>
        <v>80.3</v>
      </c>
      <c r="R56" s="357">
        <f t="shared" si="34"/>
        <v>-84.3</v>
      </c>
      <c r="S56" s="356">
        <f t="shared" si="47"/>
        <v>7106.49</v>
      </c>
      <c r="T56" s="356"/>
      <c r="U56" s="356">
        <f t="shared" si="7"/>
        <v>-5.2687499999999998</v>
      </c>
      <c r="V56" s="238">
        <f t="shared" si="8"/>
        <v>8</v>
      </c>
      <c r="W56" s="354"/>
      <c r="X56" s="363">
        <v>3</v>
      </c>
      <c r="Y56" s="364">
        <f t="shared" si="50"/>
        <v>255.05044444444448</v>
      </c>
      <c r="Z56" s="321">
        <v>2014</v>
      </c>
      <c r="AA56" s="367">
        <f>LARGE($CU$2:$CU$151,55)</f>
        <v>142.19999999999999</v>
      </c>
      <c r="AB56" s="357">
        <f t="shared" si="10"/>
        <v>-75.53333333333336</v>
      </c>
      <c r="AC56" s="356">
        <f t="shared" si="0"/>
        <v>5705.2844444444481</v>
      </c>
      <c r="AD56" s="356"/>
      <c r="AE56" s="356">
        <f t="shared" si="11"/>
        <v>-4.720833333333335</v>
      </c>
      <c r="AF56" s="238">
        <f t="shared" si="12"/>
        <v>8</v>
      </c>
      <c r="AG56" s="354"/>
      <c r="AH56" s="363">
        <v>3</v>
      </c>
      <c r="AI56" s="364">
        <f t="shared" si="51"/>
        <v>195.54777777777778</v>
      </c>
      <c r="AJ56" s="238">
        <v>2015</v>
      </c>
      <c r="AK56" s="367">
        <f>LARGE($DN$35:$DN$66,22)</f>
        <v>103.9</v>
      </c>
      <c r="AL56" s="373">
        <f t="shared" si="40"/>
        <v>-26.799999999999983</v>
      </c>
      <c r="AM56" s="374">
        <f t="shared" si="36"/>
        <v>718.2399999999991</v>
      </c>
      <c r="AN56" s="374"/>
      <c r="AO56" s="374">
        <f t="shared" si="41"/>
        <v>-1.6749999999999989</v>
      </c>
      <c r="AP56" s="238">
        <f t="shared" si="17"/>
        <v>8</v>
      </c>
      <c r="AQ56" s="354"/>
      <c r="AR56" s="238">
        <v>2015</v>
      </c>
      <c r="AS56" s="365" t="s">
        <v>1133</v>
      </c>
      <c r="AT56" s="366" t="s">
        <v>163</v>
      </c>
      <c r="AU56" s="366" t="s">
        <v>1</v>
      </c>
      <c r="AV56" s="366">
        <v>2818</v>
      </c>
      <c r="AW56" s="366">
        <v>19</v>
      </c>
      <c r="AX56" s="366">
        <v>10</v>
      </c>
      <c r="AY56" s="366">
        <v>252</v>
      </c>
      <c r="AZ56" s="366">
        <v>2</v>
      </c>
      <c r="BA56" s="366">
        <v>1</v>
      </c>
      <c r="BB56" s="366">
        <v>41</v>
      </c>
      <c r="BC56" s="366">
        <v>1</v>
      </c>
      <c r="BD56" s="366">
        <v>0</v>
      </c>
      <c r="BE56" s="366">
        <v>0</v>
      </c>
      <c r="BF56" s="366">
        <v>0</v>
      </c>
      <c r="BG56" s="366">
        <v>0</v>
      </c>
      <c r="BH56" s="366">
        <v>6</v>
      </c>
      <c r="BI56" s="367">
        <f>IFERROR(AV56/Instructions!$J$25,0)+AW56*Instructions!$J$27+AX56*Instructions!$J$29+IFERROR(AY56/Instructions!$E$34,0)+AZ56*Instructions!$E$36+Tier!BA56*Instructions!$E$25+IFERROR(BB56/Instructions!$E$27,0)+BC56*Instructions!$E$29+IFERROR((BD56+BF56)/Instructions!$J$32,0)+(BE56+BG56)*Instructions!$J$34+BH56*-2</f>
        <v>205.01999999999998</v>
      </c>
      <c r="BJ56" s="354"/>
      <c r="BK56" s="366">
        <v>2014</v>
      </c>
      <c r="BL56" s="370" t="s">
        <v>1694</v>
      </c>
      <c r="BM56" s="372" t="s">
        <v>163</v>
      </c>
      <c r="BN56" s="372" t="s">
        <v>3</v>
      </c>
      <c r="BO56" s="372">
        <v>0</v>
      </c>
      <c r="BP56" s="372">
        <v>0</v>
      </c>
      <c r="BQ56" s="372">
        <v>0</v>
      </c>
      <c r="BR56" s="372">
        <v>57</v>
      </c>
      <c r="BS56" s="372">
        <v>0</v>
      </c>
      <c r="BT56" s="372">
        <v>22</v>
      </c>
      <c r="BU56" s="372">
        <v>159</v>
      </c>
      <c r="BV56" s="372">
        <v>2</v>
      </c>
      <c r="BW56" s="372">
        <v>47</v>
      </c>
      <c r="BX56" s="372">
        <v>0</v>
      </c>
      <c r="BY56" s="372">
        <v>738</v>
      </c>
      <c r="BZ56" s="372">
        <v>0</v>
      </c>
      <c r="CA56" s="372">
        <v>0</v>
      </c>
      <c r="CB56" s="367">
        <f>IFERROR(BO56/Instructions!$J$25,0)+BP56*Instructions!$J$27+BQ56*Instructions!$J$29+IFERROR(BR56/Instructions!$E$34,0)+BS56*Instructions!$E$36+Tier!BT57*Instructions!$E$25+IFERROR(BU56/Instructions!$E$27,0)+BV56*Instructions!$E$29+IFERROR((BW56+BY56)/Instructions!$J$32,0)+(BX56+BZ56)*Instructions!$J$34+Tier!CA56*-2</f>
        <v>53.6</v>
      </c>
      <c r="CC56" s="354"/>
      <c r="CD56" s="321">
        <v>2014</v>
      </c>
      <c r="CE56" s="370" t="s">
        <v>189</v>
      </c>
      <c r="CF56" s="371" t="s">
        <v>152</v>
      </c>
      <c r="CG56" s="371" t="s">
        <v>6</v>
      </c>
      <c r="CH56" s="371">
        <v>0</v>
      </c>
      <c r="CI56" s="371">
        <v>0</v>
      </c>
      <c r="CJ56" s="371">
        <v>0</v>
      </c>
      <c r="CK56" s="371">
        <v>21</v>
      </c>
      <c r="CL56" s="371">
        <v>0</v>
      </c>
      <c r="CM56" s="371">
        <v>36</v>
      </c>
      <c r="CN56" s="371">
        <v>453</v>
      </c>
      <c r="CO56" s="371">
        <v>2</v>
      </c>
      <c r="CP56" s="371">
        <v>208</v>
      </c>
      <c r="CQ56" s="371">
        <v>0</v>
      </c>
      <c r="CR56" s="371">
        <v>710</v>
      </c>
      <c r="CS56" s="371">
        <v>0</v>
      </c>
      <c r="CT56" s="371">
        <v>1</v>
      </c>
      <c r="CU56" s="367">
        <f>IFERROR(CH56/Instructions!$J$25,0)+CI56*Instructions!$J$27+CJ56*Instructions!$J$29+IFERROR(CK56/Instructions!$E$34,0)+CL56*Instructions!$E$36+Tier!CM56*Instructions!$E$25+IFERROR(CN56/Instructions!$E$27,0)+CO56*Instructions!$E$29+IFERROR((CP56+CR56)/Instructions!$J$32,0)+(CQ56+CS56)*Instructions!$J$34+Tier!CT56*-2</f>
        <v>93.4</v>
      </c>
      <c r="CV56" s="354"/>
      <c r="CW56" s="238">
        <v>2015</v>
      </c>
      <c r="CX56" s="365" t="s">
        <v>1296</v>
      </c>
      <c r="CY56" s="366" t="s">
        <v>162</v>
      </c>
      <c r="CZ56" s="366" t="s">
        <v>7</v>
      </c>
      <c r="DA56" s="366">
        <v>0</v>
      </c>
      <c r="DB56" s="366">
        <v>0</v>
      </c>
      <c r="DC56" s="366">
        <v>0</v>
      </c>
      <c r="DD56" s="366">
        <v>0</v>
      </c>
      <c r="DE56" s="366">
        <v>0</v>
      </c>
      <c r="DF56" s="366">
        <v>33</v>
      </c>
      <c r="DG56" s="366">
        <v>412</v>
      </c>
      <c r="DH56" s="366">
        <v>4</v>
      </c>
      <c r="DI56" s="366">
        <v>0</v>
      </c>
      <c r="DJ56" s="366">
        <v>0</v>
      </c>
      <c r="DK56" s="366">
        <v>0</v>
      </c>
      <c r="DL56" s="366">
        <v>0</v>
      </c>
      <c r="DM56" s="366">
        <v>0</v>
      </c>
      <c r="DN56" s="367">
        <f>IFERROR(DA56/Instructions!$J$25,0)+DB56*Instructions!$J$27+DC56*Instructions!$J$29+IFERROR(DD56/Instructions!$E$34,0)+DE56*Instructions!$E$36+Tier!DF56*Instructions!$E$25+IFERROR(DG56/Instructions!$E$27,0)+DH56*Instructions!$E$29+IFERROR((DI56+DK56)/Instructions!$J$32,0)+(DJ56+DL56)*Instructions!$J$34+Tier!DM56*-2</f>
        <v>98.2</v>
      </c>
    </row>
    <row r="57" spans="1:118" s="366" customFormat="1" ht="15.75" customHeight="1" x14ac:dyDescent="0.25">
      <c r="A57" s="238"/>
      <c r="B57" s="238"/>
      <c r="C57" s="354"/>
      <c r="D57" s="363">
        <v>4</v>
      </c>
      <c r="E57" s="364">
        <f t="shared" si="48"/>
        <v>308.94733333333335</v>
      </c>
      <c r="F57" s="238">
        <v>2015</v>
      </c>
      <c r="G57" s="367">
        <f>LARGE($BI$35:$BI$66,23)</f>
        <v>198.44</v>
      </c>
      <c r="H57" s="355">
        <f t="shared" si="37"/>
        <v>-82.04000000000002</v>
      </c>
      <c r="I57" s="356">
        <f t="shared" si="35"/>
        <v>6730.5616000000036</v>
      </c>
      <c r="J57" s="356"/>
      <c r="K57" s="356">
        <f t="shared" si="38"/>
        <v>-5.1275000000000013</v>
      </c>
      <c r="L57" s="238">
        <f t="shared" si="39"/>
        <v>8</v>
      </c>
      <c r="M57" s="354"/>
      <c r="N57" s="363">
        <v>4</v>
      </c>
      <c r="O57" s="364">
        <f t="shared" si="49"/>
        <v>215.018</v>
      </c>
      <c r="P57" s="366">
        <v>2014</v>
      </c>
      <c r="Q57" s="367">
        <f>LARGE($CB$2:$CB$151,56)</f>
        <v>78.7</v>
      </c>
      <c r="R57" s="357">
        <f t="shared" si="34"/>
        <v>-85.899999999999991</v>
      </c>
      <c r="S57" s="356">
        <f t="shared" si="47"/>
        <v>7378.8099999999986</v>
      </c>
      <c r="T57" s="356"/>
      <c r="U57" s="356">
        <f t="shared" si="7"/>
        <v>-5.3687499999999995</v>
      </c>
      <c r="V57" s="238">
        <f t="shared" si="8"/>
        <v>8</v>
      </c>
      <c r="W57" s="354"/>
      <c r="X57" s="363">
        <v>4</v>
      </c>
      <c r="Y57" s="364">
        <f t="shared" si="50"/>
        <v>240.59066666666666</v>
      </c>
      <c r="Z57" s="321">
        <v>2014</v>
      </c>
      <c r="AA57" s="367">
        <f>LARGE($CU$2:$CU$151,56)</f>
        <v>140.30000000000001</v>
      </c>
      <c r="AB57" s="357">
        <f t="shared" si="10"/>
        <v>-77.433333333333337</v>
      </c>
      <c r="AC57" s="356">
        <f t="shared" si="0"/>
        <v>5995.9211111111117</v>
      </c>
      <c r="AD57" s="356"/>
      <c r="AE57" s="356">
        <f t="shared" si="11"/>
        <v>-4.8395833333333336</v>
      </c>
      <c r="AF57" s="238">
        <f t="shared" si="12"/>
        <v>8</v>
      </c>
      <c r="AG57" s="354"/>
      <c r="AH57" s="363">
        <v>4</v>
      </c>
      <c r="AI57" s="364">
        <f t="shared" si="51"/>
        <v>174.58666666666667</v>
      </c>
      <c r="AJ57" s="238">
        <v>2015</v>
      </c>
      <c r="AK57" s="367">
        <f>LARGE($DN$35:$DN$66,23)</f>
        <v>98.2</v>
      </c>
      <c r="AL57" s="373">
        <f t="shared" si="40"/>
        <v>-32.499999999999986</v>
      </c>
      <c r="AM57" s="374">
        <f t="shared" si="36"/>
        <v>1056.2499999999991</v>
      </c>
      <c r="AN57" s="374"/>
      <c r="AO57" s="374">
        <f t="shared" si="41"/>
        <v>-2.0312499999999991</v>
      </c>
      <c r="AP57" s="238">
        <f t="shared" si="17"/>
        <v>8</v>
      </c>
      <c r="AQ57" s="354"/>
      <c r="AR57" s="238">
        <v>2015</v>
      </c>
      <c r="AS57" s="365" t="s">
        <v>1134</v>
      </c>
      <c r="AT57" s="366" t="s">
        <v>137</v>
      </c>
      <c r="AU57" s="366" t="s">
        <v>1</v>
      </c>
      <c r="AV57" s="366">
        <v>3725</v>
      </c>
      <c r="AW57" s="366">
        <v>19</v>
      </c>
      <c r="AX57" s="366">
        <v>14</v>
      </c>
      <c r="AY57" s="366">
        <v>39</v>
      </c>
      <c r="AZ57" s="366">
        <v>0</v>
      </c>
      <c r="BA57" s="366">
        <v>0</v>
      </c>
      <c r="BB57" s="366">
        <v>0</v>
      </c>
      <c r="BC57" s="366">
        <v>0</v>
      </c>
      <c r="BD57" s="366">
        <v>0</v>
      </c>
      <c r="BE57" s="366">
        <v>0</v>
      </c>
      <c r="BF57" s="366">
        <v>0</v>
      </c>
      <c r="BG57" s="366">
        <v>0</v>
      </c>
      <c r="BH57" s="366">
        <v>3</v>
      </c>
      <c r="BI57" s="367">
        <f>IFERROR(AV57/Instructions!$J$25,0)+AW57*Instructions!$J$27+AX57*Instructions!$J$29+IFERROR(AY57/Instructions!$E$34,0)+AZ57*Instructions!$E$36+Tier!BA57*Instructions!$E$25+IFERROR(BB57/Instructions!$E$27,0)+BC57*Instructions!$E$29+IFERROR((BD57+BF57)/Instructions!$J$32,0)+(BE57+BG57)*Instructions!$J$34+BH57*-2</f>
        <v>194.9</v>
      </c>
      <c r="BJ57" s="354"/>
      <c r="BK57" s="366">
        <v>2014</v>
      </c>
      <c r="BL57" s="370" t="s">
        <v>1665</v>
      </c>
      <c r="BM57" s="372" t="s">
        <v>1613</v>
      </c>
      <c r="BN57" s="372" t="s">
        <v>3</v>
      </c>
      <c r="BO57" s="372">
        <v>0</v>
      </c>
      <c r="BP57" s="372">
        <v>0</v>
      </c>
      <c r="BQ57" s="372">
        <v>0</v>
      </c>
      <c r="BR57" s="372">
        <v>326</v>
      </c>
      <c r="BS57" s="372">
        <v>2</v>
      </c>
      <c r="BT57" s="372">
        <v>20</v>
      </c>
      <c r="BU57" s="372">
        <v>186</v>
      </c>
      <c r="BV57" s="372">
        <v>0</v>
      </c>
      <c r="BW57" s="372">
        <v>0</v>
      </c>
      <c r="BX57" s="372">
        <v>0</v>
      </c>
      <c r="BY57" s="372">
        <v>0</v>
      </c>
      <c r="BZ57" s="372">
        <v>0</v>
      </c>
      <c r="CA57" s="372">
        <v>1</v>
      </c>
      <c r="CB57" s="367">
        <f>IFERROR(BO57/Instructions!$J$25,0)+BP57*Instructions!$J$27+BQ57*Instructions!$J$29+IFERROR(BR57/Instructions!$E$34,0)+BS57*Instructions!$E$36+Tier!BT58*Instructions!$E$25+IFERROR(BU57/Instructions!$E$27,0)+BV57*Instructions!$E$29+IFERROR((BW57+BY57)/Instructions!$J$32,0)+(BX57+BZ57)*Instructions!$J$34+Tier!CA57*-2</f>
        <v>63.2</v>
      </c>
      <c r="CC57" s="354"/>
      <c r="CD57" s="321">
        <v>2014</v>
      </c>
      <c r="CE57" s="370" t="s">
        <v>1605</v>
      </c>
      <c r="CF57" s="371" t="s">
        <v>1613</v>
      </c>
      <c r="CG57" s="371" t="s">
        <v>6</v>
      </c>
      <c r="CH57" s="371">
        <v>0</v>
      </c>
      <c r="CI57" s="371">
        <v>0</v>
      </c>
      <c r="CJ57" s="371">
        <v>0</v>
      </c>
      <c r="CK57" s="371">
        <v>582</v>
      </c>
      <c r="CL57" s="371">
        <v>4</v>
      </c>
      <c r="CM57" s="371">
        <v>23</v>
      </c>
      <c r="CN57" s="371">
        <v>124</v>
      </c>
      <c r="CO57" s="371">
        <v>0</v>
      </c>
      <c r="CP57" s="371">
        <v>0</v>
      </c>
      <c r="CQ57" s="371">
        <v>0</v>
      </c>
      <c r="CR57" s="371">
        <v>0</v>
      </c>
      <c r="CS57" s="371">
        <v>0</v>
      </c>
      <c r="CT57" s="371">
        <v>2</v>
      </c>
      <c r="CU57" s="367">
        <f>IFERROR(CH57/Instructions!$J$25,0)+CI57*Instructions!$J$27+CJ57*Instructions!$J$29+IFERROR(CK57/Instructions!$E$34,0)+CL57*Instructions!$E$36+Tier!CM57*Instructions!$E$25+IFERROR(CN57/Instructions!$E$27,0)+CO57*Instructions!$E$29+IFERROR((CP57+CR57)/Instructions!$J$32,0)+(CQ57+CS57)*Instructions!$J$34+Tier!CT57*-2</f>
        <v>113.60000000000001</v>
      </c>
      <c r="CV57" s="354"/>
      <c r="CW57" s="238">
        <v>2015</v>
      </c>
      <c r="CX57" s="365" t="s">
        <v>44</v>
      </c>
      <c r="CY57" s="366" t="s">
        <v>141</v>
      </c>
      <c r="CZ57" s="366" t="s">
        <v>7</v>
      </c>
      <c r="DA57" s="366">
        <v>0</v>
      </c>
      <c r="DB57" s="366">
        <v>0</v>
      </c>
      <c r="DC57" s="366">
        <v>0</v>
      </c>
      <c r="DD57" s="366">
        <v>0</v>
      </c>
      <c r="DE57" s="366">
        <v>0</v>
      </c>
      <c r="DF57" s="366">
        <v>53</v>
      </c>
      <c r="DG57" s="366">
        <v>439</v>
      </c>
      <c r="DH57" s="366">
        <v>3</v>
      </c>
      <c r="DI57" s="366">
        <v>0</v>
      </c>
      <c r="DJ57" s="366">
        <v>0</v>
      </c>
      <c r="DK57" s="366">
        <v>0</v>
      </c>
      <c r="DL57" s="366">
        <v>0</v>
      </c>
      <c r="DM57" s="366">
        <v>0</v>
      </c>
      <c r="DN57" s="367">
        <f>IFERROR(DA57/Instructions!$J$25,0)+DB57*Instructions!$J$27+DC57*Instructions!$J$29+IFERROR(DD57/Instructions!$E$34,0)+DE57*Instructions!$E$36+Tier!DF57*Instructions!$E$25+IFERROR(DG57/Instructions!$E$27,0)+DH57*Instructions!$E$29+IFERROR((DI57+DK57)/Instructions!$J$32,0)+(DJ57+DL57)*Instructions!$J$34+Tier!DM57*-2</f>
        <v>114.9</v>
      </c>
    </row>
    <row r="58" spans="1:118" s="366" customFormat="1" ht="15.75" customHeight="1" x14ac:dyDescent="0.25">
      <c r="A58" s="238"/>
      <c r="B58" s="238"/>
      <c r="C58" s="354"/>
      <c r="D58" s="363">
        <v>5</v>
      </c>
      <c r="E58" s="364">
        <f t="shared" si="48"/>
        <v>290.34588888888891</v>
      </c>
      <c r="F58" s="238">
        <v>2015</v>
      </c>
      <c r="G58" s="367">
        <f>LARGE($BI$35:$BI$66,24)</f>
        <v>194.9</v>
      </c>
      <c r="H58" s="355">
        <f t="shared" si="37"/>
        <v>-85.580000000000013</v>
      </c>
      <c r="I58" s="356">
        <f t="shared" si="35"/>
        <v>7323.9364000000023</v>
      </c>
      <c r="J58" s="356"/>
      <c r="K58" s="356">
        <f t="shared" si="38"/>
        <v>-5.3487500000000008</v>
      </c>
      <c r="L58" s="238">
        <f t="shared" si="39"/>
        <v>8</v>
      </c>
      <c r="M58" s="354"/>
      <c r="N58" s="363">
        <v>5</v>
      </c>
      <c r="O58" s="364">
        <f t="shared" si="49"/>
        <v>193.93866666666665</v>
      </c>
      <c r="P58" s="366">
        <v>2014</v>
      </c>
      <c r="Q58" s="367">
        <f>LARGE($CB$2:$CB$151,57)</f>
        <v>75.5</v>
      </c>
      <c r="R58" s="357">
        <f t="shared" si="34"/>
        <v>-89.1</v>
      </c>
      <c r="S58" s="356">
        <f t="shared" si="47"/>
        <v>7938.8099999999986</v>
      </c>
      <c r="T58" s="356"/>
      <c r="U58" s="356">
        <f t="shared" si="7"/>
        <v>-5.5687499999999996</v>
      </c>
      <c r="V58" s="238">
        <f t="shared" si="8"/>
        <v>8</v>
      </c>
      <c r="W58" s="354"/>
      <c r="X58" s="363">
        <v>5</v>
      </c>
      <c r="Y58" s="364">
        <f t="shared" si="50"/>
        <v>226.27266666666668</v>
      </c>
      <c r="Z58" s="321">
        <v>2014</v>
      </c>
      <c r="AA58" s="367">
        <f>LARGE($CU$2:$CU$151,57)</f>
        <v>139.30000000000001</v>
      </c>
      <c r="AB58" s="357">
        <f t="shared" si="10"/>
        <v>-78.433333333333337</v>
      </c>
      <c r="AC58" s="356">
        <f t="shared" si="0"/>
        <v>6151.7877777777785</v>
      </c>
      <c r="AD58" s="356"/>
      <c r="AE58" s="356">
        <f t="shared" si="11"/>
        <v>-4.9020833333333336</v>
      </c>
      <c r="AF58" s="238">
        <f t="shared" si="12"/>
        <v>8</v>
      </c>
      <c r="AG58" s="354"/>
      <c r="AH58" s="363">
        <v>5</v>
      </c>
      <c r="AI58" s="364">
        <f t="shared" si="51"/>
        <v>160.52555555555554</v>
      </c>
      <c r="AJ58" s="238">
        <v>2015</v>
      </c>
      <c r="AK58" s="367">
        <f>LARGE($DN$35:$DN$66,24)</f>
        <v>91.6</v>
      </c>
      <c r="AL58" s="373">
        <f t="shared" si="40"/>
        <v>-39.099999999999994</v>
      </c>
      <c r="AM58" s="374">
        <f t="shared" si="36"/>
        <v>1528.8099999999995</v>
      </c>
      <c r="AN58" s="374"/>
      <c r="AO58" s="374">
        <f t="shared" si="41"/>
        <v>-2.4437499999999996</v>
      </c>
      <c r="AP58" s="238">
        <f t="shared" si="17"/>
        <v>8</v>
      </c>
      <c r="AQ58" s="354"/>
      <c r="AR58" s="238">
        <v>2015</v>
      </c>
      <c r="AS58" s="365" t="s">
        <v>73</v>
      </c>
      <c r="AT58" s="366" t="s">
        <v>138</v>
      </c>
      <c r="AU58" s="366" t="s">
        <v>1</v>
      </c>
      <c r="AV58" s="366">
        <v>3231</v>
      </c>
      <c r="AW58" s="366">
        <v>14</v>
      </c>
      <c r="AX58" s="366">
        <v>9</v>
      </c>
      <c r="AY58" s="366">
        <v>192</v>
      </c>
      <c r="AZ58" s="366">
        <v>3</v>
      </c>
      <c r="BA58" s="366">
        <v>0</v>
      </c>
      <c r="BB58" s="366">
        <v>0</v>
      </c>
      <c r="BC58" s="366">
        <v>0</v>
      </c>
      <c r="BD58" s="366">
        <v>0</v>
      </c>
      <c r="BE58" s="366">
        <v>0</v>
      </c>
      <c r="BF58" s="366">
        <v>0</v>
      </c>
      <c r="BG58" s="366">
        <v>0</v>
      </c>
      <c r="BH58" s="366">
        <v>3</v>
      </c>
      <c r="BI58" s="367">
        <f>IFERROR(AV58/Instructions!$J$25,0)+AW58*Instructions!$J$27+AX58*Instructions!$J$29+IFERROR(AY58/Instructions!$E$34,0)+AZ58*Instructions!$E$36+Tier!BA58*Instructions!$E$25+IFERROR(BB58/Instructions!$E$27,0)+BC58*Instructions!$E$29+IFERROR((BD58+BF58)/Instructions!$J$32,0)+(BE58+BG58)*Instructions!$J$34+BH58*-2</f>
        <v>198.44</v>
      </c>
      <c r="BJ58" s="354"/>
      <c r="BK58" s="366">
        <v>2014</v>
      </c>
      <c r="BL58" s="370" t="s">
        <v>1646</v>
      </c>
      <c r="BM58" s="372" t="s">
        <v>137</v>
      </c>
      <c r="BN58" s="372" t="s">
        <v>3</v>
      </c>
      <c r="BO58" s="372">
        <v>0</v>
      </c>
      <c r="BP58" s="372">
        <v>0</v>
      </c>
      <c r="BQ58" s="372">
        <v>0</v>
      </c>
      <c r="BR58" s="372">
        <v>172</v>
      </c>
      <c r="BS58" s="372">
        <v>4</v>
      </c>
      <c r="BT58" s="372">
        <v>2</v>
      </c>
      <c r="BU58" s="372">
        <v>16</v>
      </c>
      <c r="BV58" s="372">
        <v>0</v>
      </c>
      <c r="BW58" s="372">
        <v>0</v>
      </c>
      <c r="BX58" s="372">
        <v>0</v>
      </c>
      <c r="BY58" s="372">
        <v>340</v>
      </c>
      <c r="BZ58" s="372">
        <v>1</v>
      </c>
      <c r="CA58" s="372">
        <v>0</v>
      </c>
      <c r="CB58" s="367">
        <f>IFERROR(BO58/Instructions!$J$25,0)+BP58*Instructions!$J$27+BQ58*Instructions!$J$29+IFERROR(BR58/Instructions!$E$34,0)+BS58*Instructions!$E$36+Tier!BT59*Instructions!$E$25+IFERROR(BU58/Instructions!$E$27,0)+BV58*Instructions!$E$29+IFERROR((BW58+BY58)/Instructions!$J$32,0)+(BX58+BZ58)*Instructions!$J$34+Tier!CA58*-2</f>
        <v>56.800000000000004</v>
      </c>
      <c r="CC58" s="354"/>
      <c r="CD58" s="321">
        <v>2014</v>
      </c>
      <c r="CE58" s="370" t="s">
        <v>66</v>
      </c>
      <c r="CF58" s="371" t="s">
        <v>1630</v>
      </c>
      <c r="CG58" s="371" t="s">
        <v>6</v>
      </c>
      <c r="CH58" s="371">
        <v>0</v>
      </c>
      <c r="CI58" s="371">
        <v>0</v>
      </c>
      <c r="CJ58" s="371">
        <v>0</v>
      </c>
      <c r="CK58" s="371">
        <v>4</v>
      </c>
      <c r="CL58" s="371">
        <v>0</v>
      </c>
      <c r="CM58" s="371">
        <v>68</v>
      </c>
      <c r="CN58" s="371">
        <v>698</v>
      </c>
      <c r="CO58" s="371">
        <v>4</v>
      </c>
      <c r="CP58" s="371">
        <v>0</v>
      </c>
      <c r="CQ58" s="371">
        <v>0</v>
      </c>
      <c r="CR58" s="371">
        <v>0</v>
      </c>
      <c r="CS58" s="371">
        <v>0</v>
      </c>
      <c r="CT58" s="371">
        <v>0</v>
      </c>
      <c r="CU58" s="367">
        <f>IFERROR(CH58/Instructions!$J$25,0)+CI58*Instructions!$J$27+CJ58*Instructions!$J$29+IFERROR(CK58/Instructions!$E$34,0)+CL58*Instructions!$E$36+Tier!CM58*Instructions!$E$25+IFERROR(CN58/Instructions!$E$27,0)+CO58*Instructions!$E$29+IFERROR((CP58+CR58)/Instructions!$J$32,0)+(CQ58+CS58)*Instructions!$J$34+Tier!CT58*-2</f>
        <v>162.19999999999999</v>
      </c>
      <c r="CV58" s="354"/>
      <c r="CW58" s="238">
        <v>2015</v>
      </c>
      <c r="CX58" s="365" t="s">
        <v>169</v>
      </c>
      <c r="CY58" s="366" t="s">
        <v>137</v>
      </c>
      <c r="CZ58" s="366" t="s">
        <v>7</v>
      </c>
      <c r="DA58" s="366">
        <v>0</v>
      </c>
      <c r="DB58" s="366">
        <v>0</v>
      </c>
      <c r="DC58" s="366">
        <v>0</v>
      </c>
      <c r="DD58" s="366">
        <v>0</v>
      </c>
      <c r="DE58" s="366">
        <v>0</v>
      </c>
      <c r="DF58" s="366">
        <v>27</v>
      </c>
      <c r="DG58" s="366">
        <v>398</v>
      </c>
      <c r="DH58" s="366">
        <v>3</v>
      </c>
      <c r="DI58" s="366">
        <v>0</v>
      </c>
      <c r="DJ58" s="366">
        <v>0</v>
      </c>
      <c r="DK58" s="366">
        <v>0</v>
      </c>
      <c r="DL58" s="366">
        <v>0</v>
      </c>
      <c r="DM58" s="366">
        <v>0</v>
      </c>
      <c r="DN58" s="367">
        <f>IFERROR(DA58/Instructions!$J$25,0)+DB58*Instructions!$J$27+DC58*Instructions!$J$29+IFERROR(DD58/Instructions!$E$34,0)+DE58*Instructions!$E$36+Tier!DF58*Instructions!$E$25+IFERROR(DG58/Instructions!$E$27,0)+DH58*Instructions!$E$29+IFERROR((DI58+DK58)/Instructions!$J$32,0)+(DJ58+DL58)*Instructions!$J$34+Tier!DM58*-2</f>
        <v>84.8</v>
      </c>
    </row>
    <row r="59" spans="1:118" s="366" customFormat="1" ht="15.75" customHeight="1" x14ac:dyDescent="0.25">
      <c r="A59" s="238"/>
      <c r="B59" s="238"/>
      <c r="C59" s="354"/>
      <c r="D59" s="363">
        <v>6</v>
      </c>
      <c r="E59" s="364">
        <f t="shared" si="48"/>
        <v>274.0911111111111</v>
      </c>
      <c r="F59" s="238">
        <v>2015</v>
      </c>
      <c r="G59" s="367">
        <f>LARGE($BI$35:$BI$66,25)</f>
        <v>166.64000000000001</v>
      </c>
      <c r="H59" s="355">
        <f t="shared" si="37"/>
        <v>-113.84</v>
      </c>
      <c r="I59" s="356">
        <f t="shared" si="35"/>
        <v>12959.545600000001</v>
      </c>
      <c r="J59" s="356"/>
      <c r="K59" s="356">
        <f t="shared" si="38"/>
        <v>-7.1150000000000002</v>
      </c>
      <c r="L59" s="238">
        <f t="shared" si="39"/>
        <v>8</v>
      </c>
      <c r="M59" s="354"/>
      <c r="N59" s="363">
        <v>6</v>
      </c>
      <c r="O59" s="364">
        <f t="shared" si="49"/>
        <v>186.47777777777779</v>
      </c>
      <c r="P59" s="366">
        <v>2014</v>
      </c>
      <c r="Q59" s="367">
        <f>LARGE($CB$2:$CB$151,58)</f>
        <v>74.5</v>
      </c>
      <c r="R59" s="357">
        <f t="shared" si="34"/>
        <v>-90.1</v>
      </c>
      <c r="S59" s="356">
        <f t="shared" si="47"/>
        <v>8118.0099999999993</v>
      </c>
      <c r="T59" s="356"/>
      <c r="U59" s="356">
        <f t="shared" si="7"/>
        <v>-5.6312499999999996</v>
      </c>
      <c r="V59" s="238">
        <f t="shared" si="8"/>
        <v>8</v>
      </c>
      <c r="W59" s="354"/>
      <c r="X59" s="363">
        <v>6</v>
      </c>
      <c r="Y59" s="364">
        <f t="shared" si="50"/>
        <v>208.79726984126987</v>
      </c>
      <c r="Z59" s="321">
        <v>2014</v>
      </c>
      <c r="AA59" s="367">
        <f>LARGE($CU$2:$CU$151,58)</f>
        <v>135.4</v>
      </c>
      <c r="AB59" s="357">
        <f t="shared" si="10"/>
        <v>-82.333333333333343</v>
      </c>
      <c r="AC59" s="356">
        <f t="shared" si="0"/>
        <v>6778.7777777777792</v>
      </c>
      <c r="AD59" s="356"/>
      <c r="AE59" s="356">
        <f t="shared" si="11"/>
        <v>-5.1458333333333339</v>
      </c>
      <c r="AF59" s="238">
        <f t="shared" si="12"/>
        <v>8</v>
      </c>
      <c r="AG59" s="354"/>
      <c r="AH59" s="363">
        <v>6</v>
      </c>
      <c r="AI59" s="364">
        <f t="shared" si="51"/>
        <v>144.24222222222221</v>
      </c>
      <c r="AJ59" s="238">
        <v>2015</v>
      </c>
      <c r="AK59" s="367">
        <f>LARGE($DN$35:$DN$66,25)</f>
        <v>84.8</v>
      </c>
      <c r="AL59" s="373">
        <f t="shared" si="40"/>
        <v>-45.899999999999991</v>
      </c>
      <c r="AM59" s="374">
        <f t="shared" si="36"/>
        <v>2106.809999999999</v>
      </c>
      <c r="AN59" s="374"/>
      <c r="AO59" s="374">
        <f t="shared" si="41"/>
        <v>-2.8687499999999995</v>
      </c>
      <c r="AP59" s="238">
        <f t="shared" si="17"/>
        <v>8</v>
      </c>
      <c r="AQ59" s="354"/>
      <c r="AR59" s="238">
        <v>2015</v>
      </c>
      <c r="AS59" s="365" t="s">
        <v>175</v>
      </c>
      <c r="AT59" s="366" t="s">
        <v>151</v>
      </c>
      <c r="AU59" s="366" t="s">
        <v>1</v>
      </c>
      <c r="AV59" s="366">
        <v>2606</v>
      </c>
      <c r="AW59" s="366">
        <v>19</v>
      </c>
      <c r="AX59" s="366">
        <v>7</v>
      </c>
      <c r="AY59" s="366">
        <v>44</v>
      </c>
      <c r="AZ59" s="366">
        <v>0</v>
      </c>
      <c r="BA59" s="366">
        <v>0</v>
      </c>
      <c r="BB59" s="366">
        <v>0</v>
      </c>
      <c r="BC59" s="366">
        <v>0</v>
      </c>
      <c r="BD59" s="366">
        <v>0</v>
      </c>
      <c r="BE59" s="366">
        <v>0</v>
      </c>
      <c r="BF59" s="366">
        <v>0</v>
      </c>
      <c r="BG59" s="366">
        <v>0</v>
      </c>
      <c r="BH59" s="366">
        <v>2</v>
      </c>
      <c r="BI59" s="367">
        <f>IFERROR(AV59/Instructions!$J$25,0)+AW59*Instructions!$J$27+AX59*Instructions!$J$29+IFERROR(AY59/Instructions!$E$34,0)+AZ59*Instructions!$E$36+Tier!BA59*Instructions!$E$25+IFERROR(BB59/Instructions!$E$27,0)+BC59*Instructions!$E$29+IFERROR((BD59+BF59)/Instructions!$J$32,0)+(BE59+BG59)*Instructions!$J$34+BH59*-2</f>
        <v>166.64000000000001</v>
      </c>
      <c r="BJ59" s="354"/>
      <c r="BK59" s="366">
        <v>2014</v>
      </c>
      <c r="BL59" s="370" t="s">
        <v>1657</v>
      </c>
      <c r="BM59" s="372" t="s">
        <v>156</v>
      </c>
      <c r="BN59" s="372" t="s">
        <v>3</v>
      </c>
      <c r="BO59" s="372">
        <v>0</v>
      </c>
      <c r="BP59" s="372">
        <v>0</v>
      </c>
      <c r="BQ59" s="372">
        <v>0</v>
      </c>
      <c r="BR59" s="372">
        <v>432</v>
      </c>
      <c r="BS59" s="372">
        <v>2</v>
      </c>
      <c r="BT59" s="372">
        <v>8</v>
      </c>
      <c r="BU59" s="372">
        <v>49</v>
      </c>
      <c r="BV59" s="372">
        <v>0</v>
      </c>
      <c r="BW59" s="372">
        <v>0</v>
      </c>
      <c r="BX59" s="372">
        <v>0</v>
      </c>
      <c r="BY59" s="372">
        <v>52</v>
      </c>
      <c r="BZ59" s="372">
        <v>0</v>
      </c>
      <c r="CA59" s="372">
        <v>0</v>
      </c>
      <c r="CB59" s="367">
        <f>IFERROR(BO59/Instructions!$J$25,0)+BP59*Instructions!$J$27+BQ59*Instructions!$J$29+IFERROR(BR59/Instructions!$E$34,0)+BS59*Instructions!$E$36+Tier!BT60*Instructions!$E$25+IFERROR(BU59/Instructions!$E$27,0)+BV59*Instructions!$E$29+IFERROR((BW59+BY59)/Instructions!$J$32,0)+(BX59+BZ59)*Instructions!$J$34+Tier!CA59*-2</f>
        <v>68.100000000000009</v>
      </c>
      <c r="CC59" s="354"/>
      <c r="CD59" s="321">
        <v>2014</v>
      </c>
      <c r="CE59" s="370" t="s">
        <v>203</v>
      </c>
      <c r="CF59" s="371" t="s">
        <v>167</v>
      </c>
      <c r="CG59" s="371" t="s">
        <v>6</v>
      </c>
      <c r="CH59" s="371">
        <v>0</v>
      </c>
      <c r="CI59" s="371">
        <v>0</v>
      </c>
      <c r="CJ59" s="371">
        <v>0</v>
      </c>
      <c r="CK59" s="371">
        <v>0</v>
      </c>
      <c r="CL59" s="371">
        <v>0</v>
      </c>
      <c r="CM59" s="371">
        <v>47</v>
      </c>
      <c r="CN59" s="371">
        <v>693</v>
      </c>
      <c r="CO59" s="371">
        <v>4</v>
      </c>
      <c r="CP59" s="371">
        <v>0</v>
      </c>
      <c r="CQ59" s="371">
        <v>0</v>
      </c>
      <c r="CR59" s="371">
        <v>0</v>
      </c>
      <c r="CS59" s="371">
        <v>0</v>
      </c>
      <c r="CT59" s="371">
        <v>0</v>
      </c>
      <c r="CU59" s="367">
        <f>IFERROR(CH59/Instructions!$J$25,0)+CI59*Instructions!$J$27+CJ59*Instructions!$J$29+IFERROR(CK59/Instructions!$E$34,0)+CL59*Instructions!$E$36+Tier!CM59*Instructions!$E$25+IFERROR(CN59/Instructions!$E$27,0)+CO59*Instructions!$E$29+IFERROR((CP59+CR59)/Instructions!$J$32,0)+(CQ59+CS59)*Instructions!$J$34+Tier!CT59*-2</f>
        <v>140.30000000000001</v>
      </c>
      <c r="CV59" s="354"/>
      <c r="CW59" s="238">
        <v>2015</v>
      </c>
      <c r="CX59" s="365" t="s">
        <v>229</v>
      </c>
      <c r="CY59" s="366" t="s">
        <v>1627</v>
      </c>
      <c r="CZ59" s="366" t="s">
        <v>7</v>
      </c>
      <c r="DA59" s="366">
        <v>0</v>
      </c>
      <c r="DB59" s="366">
        <v>0</v>
      </c>
      <c r="DC59" s="366">
        <v>0</v>
      </c>
      <c r="DD59" s="366">
        <v>0</v>
      </c>
      <c r="DE59" s="366">
        <v>0</v>
      </c>
      <c r="DF59" s="366">
        <v>21</v>
      </c>
      <c r="DG59" s="366">
        <v>338</v>
      </c>
      <c r="DH59" s="366">
        <v>4</v>
      </c>
      <c r="DI59" s="366">
        <v>0</v>
      </c>
      <c r="DJ59" s="366">
        <v>0</v>
      </c>
      <c r="DK59" s="366">
        <v>0</v>
      </c>
      <c r="DL59" s="366">
        <v>0</v>
      </c>
      <c r="DM59" s="366">
        <v>0</v>
      </c>
      <c r="DN59" s="367">
        <f>IFERROR(DA59/Instructions!$J$25,0)+DB59*Instructions!$J$27+DC59*Instructions!$J$29+IFERROR(DD59/Instructions!$E$34,0)+DE59*Instructions!$E$36+Tier!DF59*Instructions!$E$25+IFERROR(DG59/Instructions!$E$27,0)+DH59*Instructions!$E$29+IFERROR((DI59+DK59)/Instructions!$J$32,0)+(DJ59+DL59)*Instructions!$J$34+Tier!DM59*-2</f>
        <v>78.8</v>
      </c>
    </row>
    <row r="60" spans="1:118" s="366" customFormat="1" ht="15.75" customHeight="1" x14ac:dyDescent="0.25">
      <c r="A60" s="238"/>
      <c r="B60" s="238"/>
      <c r="C60" s="354"/>
      <c r="D60" s="363">
        <v>7</v>
      </c>
      <c r="E60" s="364">
        <f t="shared" si="48"/>
        <v>263.20429206349206</v>
      </c>
      <c r="F60" s="238">
        <v>2015</v>
      </c>
      <c r="G60" s="367">
        <f>LARGE($BI$35:$BI$66,26)</f>
        <v>159.94</v>
      </c>
      <c r="H60" s="355">
        <f t="shared" si="37"/>
        <v>-120.54000000000002</v>
      </c>
      <c r="I60" s="356">
        <f t="shared" si="35"/>
        <v>14529.891600000004</v>
      </c>
      <c r="J60" s="356"/>
      <c r="K60" s="356">
        <f t="shared" si="38"/>
        <v>-7.5337500000000013</v>
      </c>
      <c r="L60" s="238">
        <f t="shared" si="39"/>
        <v>8</v>
      </c>
      <c r="M60" s="354"/>
      <c r="N60" s="363">
        <v>7</v>
      </c>
      <c r="O60" s="364">
        <f t="shared" si="49"/>
        <v>168.39711111111112</v>
      </c>
      <c r="P60" s="366">
        <v>2014</v>
      </c>
      <c r="Q60" s="367">
        <f>LARGE($CB$2:$CB$151,59)</f>
        <v>73.7</v>
      </c>
      <c r="R60" s="357">
        <f t="shared" si="34"/>
        <v>-90.899999999999991</v>
      </c>
      <c r="S60" s="356">
        <f t="shared" si="47"/>
        <v>8262.8099999999977</v>
      </c>
      <c r="T60" s="356"/>
      <c r="U60" s="356">
        <f t="shared" si="7"/>
        <v>-5.6812499999999995</v>
      </c>
      <c r="V60" s="238">
        <f t="shared" si="8"/>
        <v>8</v>
      </c>
      <c r="W60" s="354"/>
      <c r="X60" s="363">
        <v>7</v>
      </c>
      <c r="Y60" s="364">
        <f t="shared" si="50"/>
        <v>190.36365656565656</v>
      </c>
      <c r="Z60" s="321">
        <v>2014</v>
      </c>
      <c r="AA60" s="367">
        <f>LARGE($CU$2:$CU$151,59)</f>
        <v>131.5</v>
      </c>
      <c r="AB60" s="357">
        <f t="shared" si="10"/>
        <v>-86.233333333333348</v>
      </c>
      <c r="AC60" s="356">
        <f t="shared" si="0"/>
        <v>7436.18777777778</v>
      </c>
      <c r="AD60" s="356"/>
      <c r="AE60" s="356">
        <f t="shared" si="11"/>
        <v>-5.3895833333333343</v>
      </c>
      <c r="AF60" s="238">
        <f t="shared" si="12"/>
        <v>8</v>
      </c>
      <c r="AG60" s="354"/>
      <c r="AH60" s="363">
        <v>7</v>
      </c>
      <c r="AI60" s="364">
        <f t="shared" si="51"/>
        <v>129.00276190476191</v>
      </c>
      <c r="AJ60" s="238">
        <v>2015</v>
      </c>
      <c r="AK60" s="367">
        <f>LARGE($DN$35:$DN$66,26)</f>
        <v>80.599999999999994</v>
      </c>
      <c r="AL60" s="373">
        <f t="shared" si="40"/>
        <v>-50.099999999999994</v>
      </c>
      <c r="AM60" s="374">
        <f t="shared" si="36"/>
        <v>2510.0099999999993</v>
      </c>
      <c r="AN60" s="374"/>
      <c r="AO60" s="374">
        <f t="shared" si="41"/>
        <v>-3.1312499999999996</v>
      </c>
      <c r="AP60" s="238">
        <f t="shared" si="17"/>
        <v>8</v>
      </c>
      <c r="AQ60" s="354"/>
      <c r="AR60" s="238">
        <v>2015</v>
      </c>
      <c r="AS60" s="365" t="s">
        <v>77</v>
      </c>
      <c r="AT60" s="366" t="s">
        <v>162</v>
      </c>
      <c r="AU60" s="366" t="s">
        <v>1</v>
      </c>
      <c r="AV60" s="366">
        <v>2791</v>
      </c>
      <c r="AW60" s="366">
        <v>14</v>
      </c>
      <c r="AX60" s="366">
        <v>12</v>
      </c>
      <c r="AY60" s="366">
        <v>23</v>
      </c>
      <c r="AZ60" s="366">
        <v>3</v>
      </c>
      <c r="BA60" s="366">
        <v>0</v>
      </c>
      <c r="BB60" s="366">
        <v>0</v>
      </c>
      <c r="BC60" s="366">
        <v>0</v>
      </c>
      <c r="BD60" s="366">
        <v>0</v>
      </c>
      <c r="BE60" s="366">
        <v>0</v>
      </c>
      <c r="BF60" s="366">
        <v>0</v>
      </c>
      <c r="BG60" s="366">
        <v>0</v>
      </c>
      <c r="BH60" s="366">
        <v>2</v>
      </c>
      <c r="BI60" s="367">
        <f>IFERROR(AV60/Instructions!$J$25,0)+AW60*Instructions!$J$27+AX60*Instructions!$J$29+IFERROR(AY60/Instructions!$E$34,0)+AZ60*Instructions!$E$36+Tier!BA60*Instructions!$E$25+IFERROR(BB60/Instructions!$E$27,0)+BC60*Instructions!$E$29+IFERROR((BD60+BF60)/Instructions!$J$32,0)+(BE60+BG60)*Instructions!$J$34+BH60*-2</f>
        <v>159.94</v>
      </c>
      <c r="BJ60" s="354"/>
      <c r="BK60" s="366">
        <v>2014</v>
      </c>
      <c r="BL60" s="370" t="s">
        <v>101</v>
      </c>
      <c r="BM60" s="372" t="s">
        <v>1625</v>
      </c>
      <c r="BN60" s="372" t="s">
        <v>3</v>
      </c>
      <c r="BO60" s="372">
        <v>0</v>
      </c>
      <c r="BP60" s="372">
        <v>0</v>
      </c>
      <c r="BQ60" s="372">
        <v>0</v>
      </c>
      <c r="BR60" s="372">
        <v>362</v>
      </c>
      <c r="BS60" s="372">
        <v>3</v>
      </c>
      <c r="BT60" s="372">
        <v>8</v>
      </c>
      <c r="BU60" s="372">
        <v>63</v>
      </c>
      <c r="BV60" s="372">
        <v>0</v>
      </c>
      <c r="BW60" s="372">
        <v>0</v>
      </c>
      <c r="BX60" s="372">
        <v>0</v>
      </c>
      <c r="BY60" s="372">
        <v>28</v>
      </c>
      <c r="BZ60" s="372">
        <v>0</v>
      </c>
      <c r="CA60" s="372">
        <v>1</v>
      </c>
      <c r="CB60" s="367">
        <f>IFERROR(BO60/Instructions!$J$25,0)+BP60*Instructions!$J$27+BQ60*Instructions!$J$29+IFERROR(BR60/Instructions!$E$34,0)+BS60*Instructions!$E$36+Tier!BT61*Instructions!$E$25+IFERROR(BU60/Instructions!$E$27,0)+BV60*Instructions!$E$29+IFERROR((BW60+BY60)/Instructions!$J$32,0)+(BX60+BZ60)*Instructions!$J$34+Tier!CA60*-2</f>
        <v>74.5</v>
      </c>
      <c r="CC60" s="354"/>
      <c r="CD60" s="321">
        <v>2014</v>
      </c>
      <c r="CE60" s="370" t="s">
        <v>57</v>
      </c>
      <c r="CF60" s="371" t="s">
        <v>152</v>
      </c>
      <c r="CG60" s="371" t="s">
        <v>6</v>
      </c>
      <c r="CH60" s="371">
        <v>0</v>
      </c>
      <c r="CI60" s="371">
        <v>0</v>
      </c>
      <c r="CJ60" s="371">
        <v>0</v>
      </c>
      <c r="CK60" s="371">
        <v>0</v>
      </c>
      <c r="CL60" s="371">
        <v>0</v>
      </c>
      <c r="CM60" s="371">
        <v>68</v>
      </c>
      <c r="CN60" s="371">
        <v>752</v>
      </c>
      <c r="CO60" s="371">
        <v>3</v>
      </c>
      <c r="CP60" s="371">
        <v>0</v>
      </c>
      <c r="CQ60" s="371">
        <v>0</v>
      </c>
      <c r="CR60" s="371">
        <v>0</v>
      </c>
      <c r="CS60" s="371">
        <v>0</v>
      </c>
      <c r="CT60" s="371">
        <v>0</v>
      </c>
      <c r="CU60" s="367">
        <f>IFERROR(CH60/Instructions!$J$25,0)+CI60*Instructions!$J$27+CJ60*Instructions!$J$29+IFERROR(CK60/Instructions!$E$34,0)+CL60*Instructions!$E$36+Tier!CM60*Instructions!$E$25+IFERROR(CN60/Instructions!$E$27,0)+CO60*Instructions!$E$29+IFERROR((CP60+CR60)/Instructions!$J$32,0)+(CQ60+CS60)*Instructions!$J$34+Tier!CT60*-2</f>
        <v>161.19999999999999</v>
      </c>
      <c r="CV60" s="354"/>
      <c r="CW60" s="238">
        <v>2015</v>
      </c>
      <c r="CX60" s="365" t="s">
        <v>1689</v>
      </c>
      <c r="CY60" s="366" t="s">
        <v>166</v>
      </c>
      <c r="CZ60" s="366" t="s">
        <v>7</v>
      </c>
      <c r="DA60" s="366">
        <v>0</v>
      </c>
      <c r="DB60" s="366">
        <v>0</v>
      </c>
      <c r="DC60" s="366">
        <v>0</v>
      </c>
      <c r="DD60" s="366">
        <v>0</v>
      </c>
      <c r="DE60" s="366">
        <v>0</v>
      </c>
      <c r="DF60" s="366">
        <v>35</v>
      </c>
      <c r="DG60" s="366">
        <v>386</v>
      </c>
      <c r="DH60" s="366">
        <v>3</v>
      </c>
      <c r="DI60" s="366">
        <v>0</v>
      </c>
      <c r="DJ60" s="366">
        <v>0</v>
      </c>
      <c r="DK60" s="366">
        <v>0</v>
      </c>
      <c r="DL60" s="366">
        <v>0</v>
      </c>
      <c r="DM60" s="366">
        <v>0</v>
      </c>
      <c r="DN60" s="367">
        <f>IFERROR(DA60/Instructions!$J$25,0)+DB60*Instructions!$J$27+DC60*Instructions!$J$29+IFERROR(DD60/Instructions!$E$34,0)+DE60*Instructions!$E$36+Tier!DF60*Instructions!$E$25+IFERROR(DG60/Instructions!$E$27,0)+DH60*Instructions!$E$29+IFERROR((DI60+DK60)/Instructions!$J$32,0)+(DJ60+DL60)*Instructions!$J$34+Tier!DM60*-2</f>
        <v>91.6</v>
      </c>
    </row>
    <row r="61" spans="1:118" s="366" customFormat="1" ht="15.75" customHeight="1" x14ac:dyDescent="0.25">
      <c r="A61" s="238"/>
      <c r="B61" s="238"/>
      <c r="C61" s="354"/>
      <c r="D61" s="363">
        <v>8</v>
      </c>
      <c r="E61" s="364">
        <f t="shared" si="48"/>
        <v>243.892</v>
      </c>
      <c r="F61" s="238">
        <v>2015</v>
      </c>
      <c r="G61" s="367">
        <f>LARGE($BI$35:$BI$66,27)</f>
        <v>129.74</v>
      </c>
      <c r="H61" s="355">
        <f t="shared" si="37"/>
        <v>-150.74</v>
      </c>
      <c r="I61" s="356">
        <f t="shared" si="35"/>
        <v>22722.547600000002</v>
      </c>
      <c r="J61" s="356"/>
      <c r="K61" s="356">
        <f t="shared" si="38"/>
        <v>-9.4212500000000006</v>
      </c>
      <c r="L61" s="238">
        <f t="shared" si="39"/>
        <v>8</v>
      </c>
      <c r="M61" s="354"/>
      <c r="N61" s="363">
        <v>8</v>
      </c>
      <c r="O61" s="364">
        <f t="shared" si="49"/>
        <v>145.08000000000001</v>
      </c>
      <c r="P61" s="366">
        <v>2014</v>
      </c>
      <c r="Q61" s="367">
        <f>LARGE($CB$2:$CB$151,60)</f>
        <v>72.599999999999994</v>
      </c>
      <c r="R61" s="357">
        <f t="shared" si="34"/>
        <v>-92</v>
      </c>
      <c r="S61" s="356">
        <f t="shared" si="47"/>
        <v>8464</v>
      </c>
      <c r="T61" s="356"/>
      <c r="U61" s="356">
        <f t="shared" si="7"/>
        <v>-5.75</v>
      </c>
      <c r="V61" s="238">
        <f t="shared" si="8"/>
        <v>8</v>
      </c>
      <c r="W61" s="354"/>
      <c r="X61" s="363">
        <v>8</v>
      </c>
      <c r="Y61" s="364">
        <f t="shared" si="50"/>
        <v>177.58222222222221</v>
      </c>
      <c r="Z61" s="321">
        <v>2014</v>
      </c>
      <c r="AA61" s="367">
        <f>LARGE($CU$2:$CU$151,60)</f>
        <v>131.30000000000001</v>
      </c>
      <c r="AB61" s="357">
        <f t="shared" si="10"/>
        <v>-86.433333333333337</v>
      </c>
      <c r="AC61" s="356">
        <f t="shared" si="0"/>
        <v>7470.7211111111119</v>
      </c>
      <c r="AD61" s="356"/>
      <c r="AE61" s="356">
        <f t="shared" si="11"/>
        <v>-5.4020833333333336</v>
      </c>
      <c r="AF61" s="238">
        <f t="shared" si="12"/>
        <v>8</v>
      </c>
      <c r="AG61" s="354"/>
      <c r="AH61" s="363">
        <v>8</v>
      </c>
      <c r="AI61" s="364">
        <f t="shared" si="51"/>
        <v>88.666864415941802</v>
      </c>
      <c r="AJ61" s="238">
        <v>2015</v>
      </c>
      <c r="AK61" s="367">
        <f>LARGE($DN$35:$DN$66,27)</f>
        <v>78.900000000000006</v>
      </c>
      <c r="AL61" s="373">
        <f t="shared" si="40"/>
        <v>-51.799999999999983</v>
      </c>
      <c r="AM61" s="374">
        <f t="shared" si="36"/>
        <v>2683.2399999999984</v>
      </c>
      <c r="AN61" s="374"/>
      <c r="AO61" s="374">
        <f t="shared" si="41"/>
        <v>-3.2374999999999989</v>
      </c>
      <c r="AP61" s="238">
        <f t="shared" si="17"/>
        <v>8</v>
      </c>
      <c r="AQ61" s="354"/>
      <c r="AR61" s="238">
        <v>2015</v>
      </c>
      <c r="AS61" s="365" t="s">
        <v>75</v>
      </c>
      <c r="AT61" s="366" t="s">
        <v>161</v>
      </c>
      <c r="AU61" s="366" t="s">
        <v>1</v>
      </c>
      <c r="AV61" s="366">
        <v>2109</v>
      </c>
      <c r="AW61" s="366">
        <v>12</v>
      </c>
      <c r="AX61" s="366">
        <v>4</v>
      </c>
      <c r="AY61" s="366">
        <v>98</v>
      </c>
      <c r="AZ61" s="366">
        <v>1</v>
      </c>
      <c r="BA61" s="366">
        <v>0</v>
      </c>
      <c r="BB61" s="366">
        <v>0</v>
      </c>
      <c r="BC61" s="366">
        <v>0</v>
      </c>
      <c r="BD61" s="366">
        <v>0</v>
      </c>
      <c r="BE61" s="366">
        <v>0</v>
      </c>
      <c r="BF61" s="366">
        <v>0</v>
      </c>
      <c r="BG61" s="366">
        <v>0</v>
      </c>
      <c r="BH61" s="366">
        <v>6</v>
      </c>
      <c r="BI61" s="367">
        <f>IFERROR(AV61/Instructions!$J$25,0)+AW61*Instructions!$J$27+AX61*Instructions!$J$29+IFERROR(AY61/Instructions!$E$34,0)+AZ61*Instructions!$E$36+Tier!BA61*Instructions!$E$25+IFERROR(BB61/Instructions!$E$27,0)+BC61*Instructions!$E$29+IFERROR((BD61+BF61)/Instructions!$J$32,0)+(BE61+BG61)*Instructions!$J$34+BH61*-2</f>
        <v>128.16000000000003</v>
      </c>
      <c r="BJ61" s="354"/>
      <c r="BK61" s="366">
        <v>2014</v>
      </c>
      <c r="BL61" s="370" t="s">
        <v>975</v>
      </c>
      <c r="BM61" s="372" t="s">
        <v>140</v>
      </c>
      <c r="BN61" s="372" t="s">
        <v>3</v>
      </c>
      <c r="BO61" s="372">
        <v>0</v>
      </c>
      <c r="BP61" s="372">
        <v>0</v>
      </c>
      <c r="BQ61" s="372">
        <v>0</v>
      </c>
      <c r="BR61" s="372">
        <v>310</v>
      </c>
      <c r="BS61" s="372">
        <v>0</v>
      </c>
      <c r="BT61" s="372">
        <v>16</v>
      </c>
      <c r="BU61" s="372">
        <v>186</v>
      </c>
      <c r="BV61" s="372">
        <v>2</v>
      </c>
      <c r="BW61" s="372">
        <v>0</v>
      </c>
      <c r="BX61" s="372">
        <v>0</v>
      </c>
      <c r="BY61" s="372">
        <v>0</v>
      </c>
      <c r="BZ61" s="372">
        <v>0</v>
      </c>
      <c r="CA61" s="372">
        <v>1</v>
      </c>
      <c r="CB61" s="367">
        <f>IFERROR(BO61/Instructions!$J$25,0)+BP61*Instructions!$J$27+BQ61*Instructions!$J$29+IFERROR(BR61/Instructions!$E$34,0)+BS61*Instructions!$E$36+Tier!BT62*Instructions!$E$25+IFERROR(BU61/Instructions!$E$27,0)+BV61*Instructions!$E$29+IFERROR((BW61+BY61)/Instructions!$J$32,0)+(BX61+BZ61)*Instructions!$J$34+Tier!CA61*-2</f>
        <v>80.599999999999994</v>
      </c>
      <c r="CC61" s="354"/>
      <c r="CD61" s="321">
        <v>2014</v>
      </c>
      <c r="CE61" s="370" t="s">
        <v>191</v>
      </c>
      <c r="CF61" s="371" t="s">
        <v>150</v>
      </c>
      <c r="CG61" s="371" t="s">
        <v>6</v>
      </c>
      <c r="CH61" s="371">
        <v>0</v>
      </c>
      <c r="CI61" s="371">
        <v>0</v>
      </c>
      <c r="CJ61" s="371">
        <v>0</v>
      </c>
      <c r="CK61" s="371">
        <v>14</v>
      </c>
      <c r="CL61" s="371">
        <v>0</v>
      </c>
      <c r="CM61" s="371">
        <v>48</v>
      </c>
      <c r="CN61" s="371">
        <v>748</v>
      </c>
      <c r="CO61" s="371">
        <v>3</v>
      </c>
      <c r="CP61" s="371">
        <v>0</v>
      </c>
      <c r="CQ61" s="371">
        <v>0</v>
      </c>
      <c r="CR61" s="371">
        <v>0</v>
      </c>
      <c r="CS61" s="371">
        <v>0</v>
      </c>
      <c r="CT61" s="371">
        <v>0</v>
      </c>
      <c r="CU61" s="367">
        <f>IFERROR(CH61/Instructions!$J$25,0)+CI61*Instructions!$J$27+CJ61*Instructions!$J$29+IFERROR(CK61/Instructions!$E$34,0)+CL61*Instructions!$E$36+Tier!CM61*Instructions!$E$25+IFERROR(CN61/Instructions!$E$27,0)+CO61*Instructions!$E$29+IFERROR((CP61+CR61)/Instructions!$J$32,0)+(CQ61+CS61)*Instructions!$J$34+Tier!CT61*-2</f>
        <v>142.19999999999999</v>
      </c>
      <c r="CV61" s="354"/>
      <c r="CW61" s="238">
        <v>2015</v>
      </c>
      <c r="CX61" s="365" t="s">
        <v>1144</v>
      </c>
      <c r="CY61" s="366" t="s">
        <v>167</v>
      </c>
      <c r="CZ61" s="366" t="s">
        <v>7</v>
      </c>
      <c r="DA61" s="366">
        <v>0</v>
      </c>
      <c r="DB61" s="366">
        <v>0</v>
      </c>
      <c r="DC61" s="366">
        <v>0</v>
      </c>
      <c r="DD61" s="366">
        <v>0</v>
      </c>
      <c r="DE61" s="366">
        <v>0</v>
      </c>
      <c r="DF61" s="366">
        <v>28</v>
      </c>
      <c r="DG61" s="366">
        <v>329</v>
      </c>
      <c r="DH61" s="366">
        <v>3</v>
      </c>
      <c r="DI61" s="366">
        <v>0</v>
      </c>
      <c r="DJ61" s="366">
        <v>0</v>
      </c>
      <c r="DK61" s="366">
        <v>0</v>
      </c>
      <c r="DL61" s="366">
        <v>0</v>
      </c>
      <c r="DM61" s="366">
        <v>0</v>
      </c>
      <c r="DN61" s="367">
        <f>IFERROR(DA61/Instructions!$J$25,0)+DB61*Instructions!$J$27+DC61*Instructions!$J$29+IFERROR(DD61/Instructions!$E$34,0)+DE61*Instructions!$E$36+Tier!DF61*Instructions!$E$25+IFERROR(DG61/Instructions!$E$27,0)+DH61*Instructions!$E$29+IFERROR((DI61+DK61)/Instructions!$J$32,0)+(DJ61+DL61)*Instructions!$J$34+Tier!DM61*-2</f>
        <v>78.900000000000006</v>
      </c>
    </row>
    <row r="62" spans="1:118" s="366" customFormat="1" ht="15.75" customHeight="1" x14ac:dyDescent="0.25">
      <c r="A62" s="238"/>
      <c r="B62" s="238"/>
      <c r="C62" s="354"/>
      <c r="D62" s="368"/>
      <c r="E62" s="369"/>
      <c r="F62" s="238">
        <v>2015</v>
      </c>
      <c r="G62" s="367">
        <f>LARGE($BI$35:$BI$66,28)</f>
        <v>128.84</v>
      </c>
      <c r="H62" s="355">
        <f t="shared" si="37"/>
        <v>-151.64000000000001</v>
      </c>
      <c r="I62" s="356">
        <f t="shared" si="35"/>
        <v>22994.689600000005</v>
      </c>
      <c r="J62" s="356"/>
      <c r="K62" s="356">
        <f t="shared" si="38"/>
        <v>-9.4775000000000009</v>
      </c>
      <c r="L62" s="238">
        <f t="shared" si="39"/>
        <v>8</v>
      </c>
      <c r="M62" s="354"/>
      <c r="N62" s="372"/>
      <c r="O62" s="372"/>
      <c r="P62" s="366">
        <v>2014</v>
      </c>
      <c r="Q62" s="367">
        <f>LARGE($CB$2:$CB$151,61)</f>
        <v>70.5</v>
      </c>
      <c r="R62" s="357">
        <f t="shared" si="34"/>
        <v>-94.1</v>
      </c>
      <c r="S62" s="356">
        <f t="shared" si="47"/>
        <v>8854.81</v>
      </c>
      <c r="T62" s="356"/>
      <c r="U62" s="356">
        <f t="shared" si="7"/>
        <v>-5.8812499999999996</v>
      </c>
      <c r="V62" s="238">
        <f t="shared" si="8"/>
        <v>8</v>
      </c>
      <c r="W62" s="354"/>
      <c r="Z62" s="321">
        <v>2014</v>
      </c>
      <c r="AA62" s="367">
        <f>LARGE($CU$2:$CU$151,61)</f>
        <v>130.1</v>
      </c>
      <c r="AB62" s="357">
        <f t="shared" si="10"/>
        <v>-87.633333333333354</v>
      </c>
      <c r="AC62" s="356">
        <f t="shared" si="0"/>
        <v>7679.6011111111147</v>
      </c>
      <c r="AD62" s="356"/>
      <c r="AE62" s="356">
        <f t="shared" si="11"/>
        <v>-5.4770833333333346</v>
      </c>
      <c r="AF62" s="238">
        <f t="shared" si="12"/>
        <v>8</v>
      </c>
      <c r="AG62" s="354"/>
      <c r="AJ62" s="238">
        <v>2015</v>
      </c>
      <c r="AK62" s="367">
        <f>LARGE($DN$35:$DN$66,28)</f>
        <v>78.8</v>
      </c>
      <c r="AL62" s="373">
        <f t="shared" si="40"/>
        <v>-51.899999999999991</v>
      </c>
      <c r="AM62" s="374">
        <f t="shared" si="36"/>
        <v>2693.6099999999992</v>
      </c>
      <c r="AN62" s="374"/>
      <c r="AO62" s="374">
        <f t="shared" si="41"/>
        <v>-3.2437499999999995</v>
      </c>
      <c r="AP62" s="238">
        <f t="shared" si="17"/>
        <v>8</v>
      </c>
      <c r="AQ62" s="354"/>
      <c r="AR62" s="238">
        <v>2015</v>
      </c>
      <c r="AS62" s="365" t="s">
        <v>20</v>
      </c>
      <c r="AT62" s="366" t="s">
        <v>158</v>
      </c>
      <c r="AU62" s="366" t="s">
        <v>1</v>
      </c>
      <c r="AV62" s="366">
        <v>1881</v>
      </c>
      <c r="AW62" s="366">
        <v>15</v>
      </c>
      <c r="AX62" s="366">
        <v>12</v>
      </c>
      <c r="AY62" s="366">
        <v>196</v>
      </c>
      <c r="AZ62" s="366">
        <v>0</v>
      </c>
      <c r="BA62" s="366">
        <v>0</v>
      </c>
      <c r="BB62" s="366">
        <v>0</v>
      </c>
      <c r="BC62" s="366">
        <v>0</v>
      </c>
      <c r="BD62" s="366">
        <v>0</v>
      </c>
      <c r="BE62" s="366">
        <v>0</v>
      </c>
      <c r="BF62" s="366">
        <v>0</v>
      </c>
      <c r="BG62" s="366">
        <v>0</v>
      </c>
      <c r="BH62" s="366">
        <v>1</v>
      </c>
      <c r="BI62" s="367">
        <f>IFERROR(AV62/Instructions!$J$25,0)+AW62*Instructions!$J$27+AX62*Instructions!$J$29+IFERROR(AY62/Instructions!$E$34,0)+AZ62*Instructions!$E$36+Tier!BA62*Instructions!$E$25+IFERROR(BB62/Instructions!$E$27,0)+BC62*Instructions!$E$29+IFERROR((BD62+BF62)/Instructions!$J$32,0)+(BE62+BG62)*Instructions!$J$34+BH62*-2</f>
        <v>128.84</v>
      </c>
      <c r="BJ62" s="354"/>
      <c r="BK62" s="366">
        <v>2014</v>
      </c>
      <c r="BL62" s="370" t="s">
        <v>1658</v>
      </c>
      <c r="BM62" s="372" t="s">
        <v>158</v>
      </c>
      <c r="BN62" s="372" t="s">
        <v>3</v>
      </c>
      <c r="BO62" s="372">
        <v>0</v>
      </c>
      <c r="BP62" s="372">
        <v>0</v>
      </c>
      <c r="BQ62" s="372">
        <v>0</v>
      </c>
      <c r="BR62" s="372">
        <v>351</v>
      </c>
      <c r="BS62" s="372">
        <v>1</v>
      </c>
      <c r="BT62" s="372">
        <v>21</v>
      </c>
      <c r="BU62" s="372">
        <v>173</v>
      </c>
      <c r="BV62" s="372">
        <v>0</v>
      </c>
      <c r="BW62" s="372">
        <v>0</v>
      </c>
      <c r="BX62" s="372">
        <v>0</v>
      </c>
      <c r="BY62" s="372">
        <v>78</v>
      </c>
      <c r="BZ62" s="372">
        <v>0</v>
      </c>
      <c r="CA62" s="372">
        <v>0</v>
      </c>
      <c r="CB62" s="367">
        <f>IFERROR(BO62/Instructions!$J$25,0)+BP62*Instructions!$J$27+BQ62*Instructions!$J$29+IFERROR(BR62/Instructions!$E$34,0)+BS62*Instructions!$E$36+Tier!BT63*Instructions!$E$25+IFERROR(BU62/Instructions!$E$27,0)+BV62*Instructions!$E$29+IFERROR((BW62+BY62)/Instructions!$J$32,0)+(BX62+BZ62)*Instructions!$J$34+Tier!CA62*-2</f>
        <v>92.399999999999991</v>
      </c>
      <c r="CC62" s="354"/>
      <c r="CD62" s="321">
        <v>2014</v>
      </c>
      <c r="CE62" s="370" t="s">
        <v>47</v>
      </c>
      <c r="CF62" s="371" t="s">
        <v>153</v>
      </c>
      <c r="CG62" s="371" t="s">
        <v>6</v>
      </c>
      <c r="CH62" s="371">
        <v>0</v>
      </c>
      <c r="CI62" s="371">
        <v>0</v>
      </c>
      <c r="CJ62" s="371">
        <v>0</v>
      </c>
      <c r="CK62" s="371">
        <v>0</v>
      </c>
      <c r="CL62" s="371">
        <v>0</v>
      </c>
      <c r="CM62" s="371">
        <v>63</v>
      </c>
      <c r="CN62" s="371">
        <v>784</v>
      </c>
      <c r="CO62" s="371">
        <v>2</v>
      </c>
      <c r="CP62" s="371">
        <v>0</v>
      </c>
      <c r="CQ62" s="371">
        <v>0</v>
      </c>
      <c r="CR62" s="371">
        <v>0</v>
      </c>
      <c r="CS62" s="371">
        <v>0</v>
      </c>
      <c r="CT62" s="371">
        <v>1</v>
      </c>
      <c r="CU62" s="367">
        <f>IFERROR(CH62/Instructions!$J$25,0)+CI62*Instructions!$J$27+CJ62*Instructions!$J$29+IFERROR(CK62/Instructions!$E$34,0)+CL62*Instructions!$E$36+Tier!CM62*Instructions!$E$25+IFERROR(CN62/Instructions!$E$27,0)+CO62*Instructions!$E$29+IFERROR((CP62+CR62)/Instructions!$J$32,0)+(CQ62+CS62)*Instructions!$J$34+Tier!CT62*-2</f>
        <v>151.4</v>
      </c>
      <c r="CV62" s="354"/>
      <c r="CW62" s="238">
        <v>2015</v>
      </c>
      <c r="CX62" s="365" t="s">
        <v>238</v>
      </c>
      <c r="CY62" s="366" t="s">
        <v>1630</v>
      </c>
      <c r="CZ62" s="366" t="s">
        <v>7</v>
      </c>
      <c r="DA62" s="366">
        <v>0</v>
      </c>
      <c r="DB62" s="366">
        <v>0</v>
      </c>
      <c r="DC62" s="366">
        <v>0</v>
      </c>
      <c r="DD62" s="366">
        <v>0</v>
      </c>
      <c r="DE62" s="366">
        <v>0</v>
      </c>
      <c r="DF62" s="366">
        <v>30</v>
      </c>
      <c r="DG62" s="366">
        <v>326</v>
      </c>
      <c r="DH62" s="366">
        <v>3</v>
      </c>
      <c r="DI62" s="366">
        <v>0</v>
      </c>
      <c r="DJ62" s="366">
        <v>0</v>
      </c>
      <c r="DK62" s="366">
        <v>0</v>
      </c>
      <c r="DL62" s="366">
        <v>0</v>
      </c>
      <c r="DM62" s="366">
        <v>0</v>
      </c>
      <c r="DN62" s="367">
        <f>IFERROR(DA62/Instructions!$J$25,0)+DB62*Instructions!$J$27+DC62*Instructions!$J$29+IFERROR(DD62/Instructions!$E$34,0)+DE62*Instructions!$E$36+Tier!DF62*Instructions!$E$25+IFERROR(DG62/Instructions!$E$27,0)+DH62*Instructions!$E$29+IFERROR((DI62+DK62)/Instructions!$J$32,0)+(DJ62+DL62)*Instructions!$J$34+Tier!DM62*-2</f>
        <v>80.599999999999994</v>
      </c>
    </row>
    <row r="63" spans="1:118" s="366" customFormat="1" ht="15.75" customHeight="1" x14ac:dyDescent="0.25">
      <c r="A63" s="238"/>
      <c r="B63" s="238"/>
      <c r="C63" s="354"/>
      <c r="D63" s="368"/>
      <c r="E63" s="369"/>
      <c r="F63" s="238">
        <v>2015</v>
      </c>
      <c r="G63" s="367">
        <f>LARGE($BI$35:$BI$66,29)</f>
        <v>128.16000000000003</v>
      </c>
      <c r="H63" s="355">
        <f t="shared" si="37"/>
        <v>-152.32</v>
      </c>
      <c r="I63" s="356">
        <f t="shared" si="35"/>
        <v>23201.382399999999</v>
      </c>
      <c r="J63" s="356"/>
      <c r="K63" s="356">
        <f t="shared" si="38"/>
        <v>-9.52</v>
      </c>
      <c r="L63" s="238">
        <f t="shared" si="39"/>
        <v>8</v>
      </c>
      <c r="M63" s="354"/>
      <c r="N63" s="372"/>
      <c r="O63" s="372"/>
      <c r="P63" s="366">
        <v>2014</v>
      </c>
      <c r="Q63" s="367">
        <f>LARGE($CB$2:$CB$151,62)</f>
        <v>68.5</v>
      </c>
      <c r="R63" s="357">
        <f t="shared" si="34"/>
        <v>-96.1</v>
      </c>
      <c r="S63" s="356">
        <f t="shared" si="47"/>
        <v>9235.2099999999991</v>
      </c>
      <c r="T63" s="238"/>
      <c r="U63" s="356">
        <f t="shared" si="7"/>
        <v>-6.0062499999999996</v>
      </c>
      <c r="V63" s="238">
        <f t="shared" si="8"/>
        <v>8</v>
      </c>
      <c r="W63" s="354"/>
      <c r="Z63" s="321">
        <v>2014</v>
      </c>
      <c r="AA63" s="367">
        <f>LARGE($CU$2:$CU$151,62)</f>
        <v>129.30000000000001</v>
      </c>
      <c r="AB63" s="357">
        <f t="shared" si="10"/>
        <v>-88.433333333333337</v>
      </c>
      <c r="AC63" s="356">
        <f t="shared" si="0"/>
        <v>7820.4544444444455</v>
      </c>
      <c r="AD63" s="356"/>
      <c r="AE63" s="356">
        <f t="shared" si="11"/>
        <v>-5.5270833333333336</v>
      </c>
      <c r="AF63" s="238">
        <f t="shared" si="12"/>
        <v>8</v>
      </c>
      <c r="AG63" s="354"/>
      <c r="AJ63" s="238">
        <v>2015</v>
      </c>
      <c r="AK63" s="367">
        <f>LARGE($DN$35:$DN$66,29)</f>
        <v>78.5</v>
      </c>
      <c r="AL63" s="373">
        <f t="shared" si="40"/>
        <v>-52.199999999999989</v>
      </c>
      <c r="AM63" s="374">
        <f t="shared" si="36"/>
        <v>2724.8399999999988</v>
      </c>
      <c r="AN63" s="374"/>
      <c r="AO63" s="374">
        <f t="shared" si="41"/>
        <v>-3.2624999999999993</v>
      </c>
      <c r="AP63" s="238">
        <f t="shared" si="17"/>
        <v>8</v>
      </c>
      <c r="AQ63" s="354"/>
      <c r="AR63" s="238">
        <v>2015</v>
      </c>
      <c r="AS63" s="365" t="s">
        <v>179</v>
      </c>
      <c r="AT63" s="366" t="s">
        <v>1630</v>
      </c>
      <c r="AU63" s="366" t="s">
        <v>1</v>
      </c>
      <c r="AV63" s="366">
        <v>2031</v>
      </c>
      <c r="AW63" s="366">
        <v>10</v>
      </c>
      <c r="AX63" s="366">
        <v>7</v>
      </c>
      <c r="AY63" s="366">
        <v>185</v>
      </c>
      <c r="AZ63" s="366">
        <v>1</v>
      </c>
      <c r="BA63" s="366">
        <v>0</v>
      </c>
      <c r="BB63" s="366">
        <v>0</v>
      </c>
      <c r="BC63" s="366">
        <v>0</v>
      </c>
      <c r="BD63" s="366">
        <v>0</v>
      </c>
      <c r="BE63" s="366">
        <v>0</v>
      </c>
      <c r="BF63" s="366">
        <v>0</v>
      </c>
      <c r="BG63" s="366">
        <v>0</v>
      </c>
      <c r="BH63" s="366">
        <v>1</v>
      </c>
      <c r="BI63" s="367">
        <f>IFERROR(AV63/Instructions!$J$25,0)+AW63*Instructions!$J$27+AX63*Instructions!$J$29+IFERROR(AY63/Instructions!$E$34,0)+AZ63*Instructions!$E$36+Tier!BA63*Instructions!$E$25+IFERROR(BB63/Instructions!$E$27,0)+BC63*Instructions!$E$29+IFERROR((BD63+BF63)/Instructions!$J$32,0)+(BE63+BG63)*Instructions!$J$34+BH63*-2</f>
        <v>129.74</v>
      </c>
      <c r="BJ63" s="354"/>
      <c r="BK63" s="366">
        <v>2014</v>
      </c>
      <c r="BL63" s="370" t="s">
        <v>981</v>
      </c>
      <c r="BM63" s="372" t="s">
        <v>142</v>
      </c>
      <c r="BN63" s="372" t="s">
        <v>3</v>
      </c>
      <c r="BO63" s="372">
        <v>0</v>
      </c>
      <c r="BP63" s="372">
        <v>0</v>
      </c>
      <c r="BQ63" s="372">
        <v>0</v>
      </c>
      <c r="BR63" s="372">
        <v>51</v>
      </c>
      <c r="BS63" s="372">
        <v>0</v>
      </c>
      <c r="BT63" s="372">
        <v>34</v>
      </c>
      <c r="BU63" s="372">
        <v>316</v>
      </c>
      <c r="BV63" s="372">
        <v>4</v>
      </c>
      <c r="BW63" s="372">
        <v>0</v>
      </c>
      <c r="BX63" s="372">
        <v>0</v>
      </c>
      <c r="BY63" s="372">
        <v>0</v>
      </c>
      <c r="BZ63" s="372">
        <v>0</v>
      </c>
      <c r="CA63" s="372">
        <v>0</v>
      </c>
      <c r="CB63" s="367">
        <f>IFERROR(BO63/Instructions!$J$25,0)+BP63*Instructions!$J$27+BQ63*Instructions!$J$29+IFERROR(BR63/Instructions!$E$34,0)+BS63*Instructions!$E$36+Tier!BT64*Instructions!$E$25+IFERROR(BU63/Instructions!$E$27,0)+BV63*Instructions!$E$29+IFERROR((BW63+BY63)/Instructions!$J$32,0)+(BX63+BZ63)*Instructions!$J$34+Tier!CA63*-2</f>
        <v>78.7</v>
      </c>
      <c r="CC63" s="354"/>
      <c r="CD63" s="321">
        <v>2014</v>
      </c>
      <c r="CE63" s="370" t="s">
        <v>1723</v>
      </c>
      <c r="CF63" s="371" t="s">
        <v>158</v>
      </c>
      <c r="CG63" s="371" t="s">
        <v>6</v>
      </c>
      <c r="CH63" s="371">
        <v>0</v>
      </c>
      <c r="CI63" s="371">
        <v>0</v>
      </c>
      <c r="CJ63" s="371">
        <v>0</v>
      </c>
      <c r="CK63" s="371">
        <v>0</v>
      </c>
      <c r="CL63" s="371">
        <v>0</v>
      </c>
      <c r="CM63" s="371">
        <v>64</v>
      </c>
      <c r="CN63" s="371">
        <v>779</v>
      </c>
      <c r="CO63" s="371">
        <v>2</v>
      </c>
      <c r="CP63" s="371">
        <v>0</v>
      </c>
      <c r="CQ63" s="371">
        <v>0</v>
      </c>
      <c r="CR63" s="371">
        <v>0</v>
      </c>
      <c r="CS63" s="371">
        <v>0</v>
      </c>
      <c r="CT63" s="371">
        <v>1</v>
      </c>
      <c r="CU63" s="367">
        <f>IFERROR(CH63/Instructions!$J$25,0)+CI63*Instructions!$J$27+CJ63*Instructions!$J$29+IFERROR(CK63/Instructions!$E$34,0)+CL63*Instructions!$E$36+Tier!CM63*Instructions!$E$25+IFERROR(CN63/Instructions!$E$27,0)+CO63*Instructions!$E$29+IFERROR((CP63+CR63)/Instructions!$J$32,0)+(CQ63+CS63)*Instructions!$J$34+Tier!CT63*-2</f>
        <v>151.9</v>
      </c>
      <c r="CV63" s="354"/>
      <c r="CW63" s="238">
        <v>2015</v>
      </c>
      <c r="CX63" s="365" t="s">
        <v>1690</v>
      </c>
      <c r="CY63" s="366" t="s">
        <v>1628</v>
      </c>
      <c r="CZ63" s="366" t="s">
        <v>7</v>
      </c>
      <c r="DA63" s="366">
        <v>0</v>
      </c>
      <c r="DB63" s="366">
        <v>0</v>
      </c>
      <c r="DC63" s="366">
        <v>0</v>
      </c>
      <c r="DD63" s="366">
        <v>0</v>
      </c>
      <c r="DE63" s="366">
        <v>0</v>
      </c>
      <c r="DF63" s="366">
        <v>23</v>
      </c>
      <c r="DG63" s="366">
        <v>259</v>
      </c>
      <c r="DH63" s="366">
        <v>4</v>
      </c>
      <c r="DI63" s="366">
        <v>0</v>
      </c>
      <c r="DJ63" s="366">
        <v>0</v>
      </c>
      <c r="DK63" s="366">
        <v>0</v>
      </c>
      <c r="DL63" s="366">
        <v>0</v>
      </c>
      <c r="DM63" s="366">
        <v>0</v>
      </c>
      <c r="DN63" s="367">
        <f>IFERROR(DA63/Instructions!$J$25,0)+DB63*Instructions!$J$27+DC63*Instructions!$J$29+IFERROR(DD63/Instructions!$E$34,0)+DE63*Instructions!$E$36+Tier!DF63*Instructions!$E$25+IFERROR(DG63/Instructions!$E$27,0)+DH63*Instructions!$E$29+IFERROR((DI63+DK63)/Instructions!$J$32,0)+(DJ63+DL63)*Instructions!$J$34+Tier!DM63*-2</f>
        <v>72.900000000000006</v>
      </c>
    </row>
    <row r="64" spans="1:118" s="366" customFormat="1" ht="15.75" customHeight="1" x14ac:dyDescent="0.25">
      <c r="A64" s="238"/>
      <c r="B64" s="238"/>
      <c r="C64" s="354"/>
      <c r="D64" s="368"/>
      <c r="E64" s="369"/>
      <c r="F64" s="238">
        <v>2015</v>
      </c>
      <c r="G64" s="367">
        <f>LARGE($BI$35:$BI$66,30)</f>
        <v>116.78</v>
      </c>
      <c r="H64" s="355">
        <f t="shared" si="37"/>
        <v>-163.70000000000002</v>
      </c>
      <c r="I64" s="356">
        <f t="shared" si="35"/>
        <v>26797.690000000006</v>
      </c>
      <c r="J64" s="356"/>
      <c r="K64" s="356">
        <f t="shared" si="38"/>
        <v>-10.231250000000001</v>
      </c>
      <c r="L64" s="238">
        <f t="shared" si="39"/>
        <v>8</v>
      </c>
      <c r="M64" s="354"/>
      <c r="N64" s="372"/>
      <c r="O64" s="372"/>
      <c r="P64" s="366">
        <v>2014</v>
      </c>
      <c r="Q64" s="367">
        <f>LARGE($CB$2:$CB$151,63)</f>
        <v>68.100000000000009</v>
      </c>
      <c r="R64" s="357">
        <f t="shared" si="34"/>
        <v>-96.499999999999986</v>
      </c>
      <c r="S64" s="356">
        <f t="shared" si="47"/>
        <v>9312.2499999999964</v>
      </c>
      <c r="T64" s="238"/>
      <c r="U64" s="356">
        <f t="shared" si="7"/>
        <v>-6.0312499999999991</v>
      </c>
      <c r="V64" s="238">
        <f t="shared" si="8"/>
        <v>8</v>
      </c>
      <c r="W64" s="354"/>
      <c r="Z64" s="321">
        <v>2014</v>
      </c>
      <c r="AA64" s="367">
        <f>LARGE($CU$2:$CU$151,63)</f>
        <v>128.69999999999999</v>
      </c>
      <c r="AB64" s="357">
        <f t="shared" si="10"/>
        <v>-89.03333333333336</v>
      </c>
      <c r="AC64" s="356">
        <f t="shared" si="0"/>
        <v>7926.9344444444496</v>
      </c>
      <c r="AD64" s="356"/>
      <c r="AE64" s="356">
        <f t="shared" si="11"/>
        <v>-5.564583333333335</v>
      </c>
      <c r="AF64" s="238">
        <f t="shared" si="12"/>
        <v>8</v>
      </c>
      <c r="AG64" s="354"/>
      <c r="AJ64" s="238">
        <v>2015</v>
      </c>
      <c r="AK64" s="367">
        <f>LARGE($DN$35:$DN$66,30)</f>
        <v>72.900000000000006</v>
      </c>
      <c r="AL64" s="373">
        <f t="shared" si="40"/>
        <v>-57.799999999999983</v>
      </c>
      <c r="AM64" s="374">
        <f t="shared" si="36"/>
        <v>3340.8399999999979</v>
      </c>
      <c r="AN64" s="374"/>
      <c r="AO64" s="374">
        <f t="shared" si="41"/>
        <v>-3.6124999999999989</v>
      </c>
      <c r="AP64" s="238">
        <f t="shared" si="17"/>
        <v>8</v>
      </c>
      <c r="AQ64" s="354"/>
      <c r="AR64" s="238">
        <v>2015</v>
      </c>
      <c r="AS64" s="365" t="s">
        <v>181</v>
      </c>
      <c r="AT64" s="366" t="s">
        <v>144</v>
      </c>
      <c r="AU64" s="366" t="s">
        <v>1</v>
      </c>
      <c r="AV64" s="366">
        <v>1967</v>
      </c>
      <c r="AW64" s="366">
        <v>10</v>
      </c>
      <c r="AX64" s="366">
        <v>6</v>
      </c>
      <c r="AY64" s="366">
        <v>61</v>
      </c>
      <c r="AZ64" s="366">
        <v>1</v>
      </c>
      <c r="BA64" s="366">
        <v>0</v>
      </c>
      <c r="BB64" s="366">
        <v>0</v>
      </c>
      <c r="BC64" s="366">
        <v>0</v>
      </c>
      <c r="BD64" s="366">
        <v>0</v>
      </c>
      <c r="BE64" s="366">
        <v>0</v>
      </c>
      <c r="BF64" s="366">
        <v>0</v>
      </c>
      <c r="BG64" s="366">
        <v>0</v>
      </c>
      <c r="BH64" s="366">
        <v>1</v>
      </c>
      <c r="BI64" s="367">
        <f>IFERROR(AV64/Instructions!$J$25,0)+AW64*Instructions!$J$27+AX64*Instructions!$J$29+IFERROR(AY64/Instructions!$E$34,0)+AZ64*Instructions!$E$36+Tier!BA64*Instructions!$E$25+IFERROR(BB64/Instructions!$E$27,0)+BC64*Instructions!$E$29+IFERROR((BD64+BF64)/Instructions!$J$32,0)+(BE64+BG64)*Instructions!$J$34+BH64*-2</f>
        <v>116.78</v>
      </c>
      <c r="BJ64" s="354"/>
      <c r="BK64" s="366">
        <v>2014</v>
      </c>
      <c r="BL64" s="370" t="s">
        <v>126</v>
      </c>
      <c r="BM64" s="372" t="s">
        <v>1624</v>
      </c>
      <c r="BN64" s="372" t="s">
        <v>3</v>
      </c>
      <c r="BO64" s="372">
        <v>0</v>
      </c>
      <c r="BP64" s="372">
        <v>0</v>
      </c>
      <c r="BQ64" s="372">
        <v>0</v>
      </c>
      <c r="BR64" s="372">
        <v>333</v>
      </c>
      <c r="BS64" s="372">
        <v>2</v>
      </c>
      <c r="BT64" s="372">
        <v>18</v>
      </c>
      <c r="BU64" s="372">
        <v>140</v>
      </c>
      <c r="BV64" s="372">
        <v>0</v>
      </c>
      <c r="BW64" s="372">
        <v>0</v>
      </c>
      <c r="BX64" s="372">
        <v>0</v>
      </c>
      <c r="BY64" s="372">
        <v>0</v>
      </c>
      <c r="BZ64" s="372">
        <v>0</v>
      </c>
      <c r="CA64" s="372">
        <v>0</v>
      </c>
      <c r="CB64" s="367">
        <f>IFERROR(BO64/Instructions!$J$25,0)+BP64*Instructions!$J$27+BQ64*Instructions!$J$29+IFERROR(BR64/Instructions!$E$34,0)+BS64*Instructions!$E$36+Tier!BT65*Instructions!$E$25+IFERROR(BU64/Instructions!$E$27,0)+BV64*Instructions!$E$29+IFERROR((BW64+BY64)/Instructions!$J$32,0)+(BX64+BZ64)*Instructions!$J$34+Tier!CA64*-2</f>
        <v>89.3</v>
      </c>
      <c r="CC64" s="354"/>
      <c r="CD64" s="321">
        <v>2014</v>
      </c>
      <c r="CE64" s="370" t="s">
        <v>48</v>
      </c>
      <c r="CF64" s="371" t="s">
        <v>137</v>
      </c>
      <c r="CG64" s="371" t="s">
        <v>6</v>
      </c>
      <c r="CH64" s="371">
        <v>0</v>
      </c>
      <c r="CI64" s="371">
        <v>0</v>
      </c>
      <c r="CJ64" s="371">
        <v>0</v>
      </c>
      <c r="CK64" s="371">
        <v>0</v>
      </c>
      <c r="CL64" s="371">
        <v>0</v>
      </c>
      <c r="CM64" s="371">
        <v>58</v>
      </c>
      <c r="CN64" s="371">
        <v>702</v>
      </c>
      <c r="CO64" s="371">
        <v>3</v>
      </c>
      <c r="CP64" s="371">
        <v>0</v>
      </c>
      <c r="CQ64" s="371">
        <v>0</v>
      </c>
      <c r="CR64" s="371">
        <v>0</v>
      </c>
      <c r="CS64" s="371">
        <v>0</v>
      </c>
      <c r="CT64" s="371">
        <v>1</v>
      </c>
      <c r="CU64" s="367">
        <f>IFERROR(CH64/Instructions!$J$25,0)+CI64*Instructions!$J$27+CJ64*Instructions!$J$29+IFERROR(CK64/Instructions!$E$34,0)+CL64*Instructions!$E$36+Tier!CM64*Instructions!$E$25+IFERROR(CN64/Instructions!$E$27,0)+CO64*Instructions!$E$29+IFERROR((CP64+CR64)/Instructions!$J$32,0)+(CQ64+CS64)*Instructions!$J$34+Tier!CT64*-2</f>
        <v>144.19999999999999</v>
      </c>
      <c r="CV64" s="354"/>
      <c r="CW64" s="238">
        <v>2015</v>
      </c>
      <c r="CX64" s="365" t="s">
        <v>979</v>
      </c>
      <c r="CY64" s="366" t="s">
        <v>167</v>
      </c>
      <c r="CZ64" s="366" t="s">
        <v>7</v>
      </c>
      <c r="DA64" s="366">
        <v>0</v>
      </c>
      <c r="DB64" s="366">
        <v>0</v>
      </c>
      <c r="DC64" s="366">
        <v>0</v>
      </c>
      <c r="DD64" s="366">
        <v>36</v>
      </c>
      <c r="DE64" s="366">
        <v>0</v>
      </c>
      <c r="DF64" s="366">
        <v>30</v>
      </c>
      <c r="DG64" s="366">
        <v>269</v>
      </c>
      <c r="DH64" s="366">
        <v>3</v>
      </c>
      <c r="DI64" s="366">
        <v>0</v>
      </c>
      <c r="DJ64" s="366">
        <v>0</v>
      </c>
      <c r="DK64" s="366">
        <v>32</v>
      </c>
      <c r="DL64" s="366">
        <v>0</v>
      </c>
      <c r="DM64" s="366">
        <v>0</v>
      </c>
      <c r="DN64" s="367">
        <f>IFERROR(DA64/Instructions!$J$25,0)+DB64*Instructions!$J$27+DC64*Instructions!$J$29+IFERROR(DD64/Instructions!$E$34,0)+DE64*Instructions!$E$36+Tier!DF64*Instructions!$E$25+IFERROR(DG64/Instructions!$E$27,0)+DH64*Instructions!$E$29+IFERROR((DI64+DK64)/Instructions!$J$32,0)+(DJ64+DL64)*Instructions!$J$34+Tier!DM64*-2</f>
        <v>78.5</v>
      </c>
    </row>
    <row r="65" spans="1:118" s="366" customFormat="1" ht="15.75" customHeight="1" x14ac:dyDescent="0.25">
      <c r="A65" s="238"/>
      <c r="B65" s="238"/>
      <c r="C65" s="354"/>
      <c r="D65" s="368"/>
      <c r="E65" s="369"/>
      <c r="F65" s="238">
        <v>2015</v>
      </c>
      <c r="G65" s="367">
        <f>LARGE($BI$35:$BI$66,31)</f>
        <v>108.19999999999999</v>
      </c>
      <c r="H65" s="355">
        <f t="shared" si="37"/>
        <v>-172.28000000000003</v>
      </c>
      <c r="I65" s="356">
        <f t="shared" si="35"/>
        <v>29680.398400000009</v>
      </c>
      <c r="J65" s="356"/>
      <c r="K65" s="356">
        <f t="shared" si="38"/>
        <v>-10.767500000000002</v>
      </c>
      <c r="L65" s="238">
        <f t="shared" si="39"/>
        <v>8</v>
      </c>
      <c r="M65" s="354"/>
      <c r="N65" s="372"/>
      <c r="O65" s="372"/>
      <c r="P65" s="366">
        <v>2014</v>
      </c>
      <c r="Q65" s="367">
        <f>LARGE($CB$2:$CB$151,64)</f>
        <v>67.400000000000006</v>
      </c>
      <c r="R65" s="357">
        <f t="shared" si="34"/>
        <v>-97.199999999999989</v>
      </c>
      <c r="S65" s="356">
        <f t="shared" si="47"/>
        <v>9447.8399999999983</v>
      </c>
      <c r="T65" s="238"/>
      <c r="U65" s="356">
        <f t="shared" si="7"/>
        <v>-6.0749999999999993</v>
      </c>
      <c r="V65" s="238">
        <f t="shared" si="8"/>
        <v>8</v>
      </c>
      <c r="W65" s="354"/>
      <c r="Z65" s="321">
        <v>2014</v>
      </c>
      <c r="AA65" s="367">
        <f>LARGE($CU$2:$CU$151,64)</f>
        <v>119.98</v>
      </c>
      <c r="AB65" s="357">
        <f t="shared" si="10"/>
        <v>-97.753333333333345</v>
      </c>
      <c r="AC65" s="356">
        <f t="shared" si="0"/>
        <v>9555.7141777777797</v>
      </c>
      <c r="AD65" s="356"/>
      <c r="AE65" s="356">
        <f t="shared" si="11"/>
        <v>-6.109583333333334</v>
      </c>
      <c r="AF65" s="238">
        <f t="shared" si="12"/>
        <v>8</v>
      </c>
      <c r="AG65" s="354"/>
      <c r="AJ65" s="238">
        <v>2015</v>
      </c>
      <c r="AK65" s="367">
        <f>LARGE($DN$35:$DN$66,31)</f>
        <v>70.099999999999994</v>
      </c>
      <c r="AL65" s="373">
        <f t="shared" si="40"/>
        <v>-60.599999999999994</v>
      </c>
      <c r="AM65" s="374">
        <f t="shared" si="36"/>
        <v>3672.3599999999992</v>
      </c>
      <c r="AN65" s="374"/>
      <c r="AO65" s="374">
        <f t="shared" si="41"/>
        <v>-3.7874999999999996</v>
      </c>
      <c r="AP65" s="238">
        <f t="shared" si="17"/>
        <v>8</v>
      </c>
      <c r="AQ65" s="354"/>
      <c r="AR65" s="238">
        <v>2015</v>
      </c>
      <c r="AS65" s="365" t="s">
        <v>1599</v>
      </c>
      <c r="AT65" s="366" t="s">
        <v>1630</v>
      </c>
      <c r="AU65" s="366" t="s">
        <v>1</v>
      </c>
      <c r="AV65" s="366">
        <v>1615</v>
      </c>
      <c r="AW65" s="366">
        <v>6</v>
      </c>
      <c r="AX65" s="366">
        <v>5</v>
      </c>
      <c r="AY65" s="366">
        <v>256</v>
      </c>
      <c r="AZ65" s="366">
        <v>1</v>
      </c>
      <c r="BA65" s="366">
        <v>0</v>
      </c>
      <c r="BB65" s="366">
        <v>0</v>
      </c>
      <c r="BC65" s="366">
        <v>0</v>
      </c>
      <c r="BD65" s="366">
        <v>0</v>
      </c>
      <c r="BE65" s="366">
        <v>0</v>
      </c>
      <c r="BF65" s="366">
        <v>0</v>
      </c>
      <c r="BG65" s="366">
        <v>0</v>
      </c>
      <c r="BH65" s="366">
        <v>1</v>
      </c>
      <c r="BI65" s="367">
        <f>IFERROR(AV65/Instructions!$J$25,0)+AW65*Instructions!$J$27+AX65*Instructions!$J$29+IFERROR(AY65/Instructions!$E$34,0)+AZ65*Instructions!$E$36+Tier!BA65*Instructions!$E$25+IFERROR(BB65/Instructions!$E$27,0)+BC65*Instructions!$E$29+IFERROR((BD65+BF65)/Instructions!$J$32,0)+(BE65+BG65)*Instructions!$J$34+BH65*-2</f>
        <v>108.19999999999999</v>
      </c>
      <c r="BJ65" s="354"/>
      <c r="BK65" s="366">
        <v>2014</v>
      </c>
      <c r="BL65" s="370" t="s">
        <v>117</v>
      </c>
      <c r="BM65" s="372" t="s">
        <v>148</v>
      </c>
      <c r="BN65" s="372" t="s">
        <v>3</v>
      </c>
      <c r="BO65" s="372">
        <v>0</v>
      </c>
      <c r="BP65" s="372">
        <v>0</v>
      </c>
      <c r="BQ65" s="372">
        <v>0</v>
      </c>
      <c r="BR65" s="372">
        <v>248</v>
      </c>
      <c r="BS65" s="372">
        <v>1</v>
      </c>
      <c r="BT65" s="372">
        <v>30</v>
      </c>
      <c r="BU65" s="372">
        <v>225</v>
      </c>
      <c r="BV65" s="372">
        <v>1</v>
      </c>
      <c r="BW65" s="372">
        <v>0</v>
      </c>
      <c r="BX65" s="372">
        <v>0</v>
      </c>
      <c r="BY65" s="372">
        <v>0</v>
      </c>
      <c r="BZ65" s="372">
        <v>0</v>
      </c>
      <c r="CA65" s="372">
        <v>1</v>
      </c>
      <c r="CB65" s="367">
        <f>IFERROR(BO65/Instructions!$J$25,0)+BP65*Instructions!$J$27+BQ65*Instructions!$J$29+IFERROR(BR65/Instructions!$E$34,0)+BS65*Instructions!$E$36+Tier!BT66*Instructions!$E$25+IFERROR(BU65/Instructions!$E$27,0)+BV65*Instructions!$E$29+IFERROR((BW65+BY65)/Instructions!$J$32,0)+(BX65+BZ65)*Instructions!$J$34+Tier!CA65*-2</f>
        <v>66.3</v>
      </c>
      <c r="CC65" s="354"/>
      <c r="CD65" s="321">
        <v>2014</v>
      </c>
      <c r="CE65" s="370" t="s">
        <v>107</v>
      </c>
      <c r="CF65" s="371" t="s">
        <v>1625</v>
      </c>
      <c r="CG65" s="371" t="s">
        <v>6</v>
      </c>
      <c r="CH65" s="371">
        <v>0</v>
      </c>
      <c r="CI65" s="371">
        <v>0</v>
      </c>
      <c r="CJ65" s="371">
        <v>0</v>
      </c>
      <c r="CK65" s="371">
        <v>73</v>
      </c>
      <c r="CL65" s="371">
        <v>1</v>
      </c>
      <c r="CM65" s="371">
        <v>53</v>
      </c>
      <c r="CN65" s="371">
        <v>550</v>
      </c>
      <c r="CO65" s="371">
        <v>3</v>
      </c>
      <c r="CP65" s="371">
        <v>35</v>
      </c>
      <c r="CQ65" s="371">
        <v>0</v>
      </c>
      <c r="CR65" s="371">
        <v>12</v>
      </c>
      <c r="CS65" s="371">
        <v>0</v>
      </c>
      <c r="CT65" s="371">
        <v>0</v>
      </c>
      <c r="CU65" s="367">
        <f>IFERROR(CH65/Instructions!$J$25,0)+CI65*Instructions!$J$27+CJ65*Instructions!$J$29+IFERROR(CK65/Instructions!$E$34,0)+CL65*Instructions!$E$36+Tier!CM65*Instructions!$E$25+IFERROR(CN65/Instructions!$E$27,0)+CO65*Instructions!$E$29+IFERROR((CP65+CR65)/Instructions!$J$32,0)+(CQ65+CS65)*Instructions!$J$34+Tier!CT65*-2</f>
        <v>139.30000000000001</v>
      </c>
      <c r="CV65" s="354"/>
      <c r="CW65" s="238">
        <v>2015</v>
      </c>
      <c r="CX65" s="365" t="s">
        <v>1146</v>
      </c>
      <c r="CY65" s="366" t="s">
        <v>153</v>
      </c>
      <c r="CZ65" s="366" t="s">
        <v>7</v>
      </c>
      <c r="DA65" s="366">
        <v>0</v>
      </c>
      <c r="DB65" s="366">
        <v>0</v>
      </c>
      <c r="DC65" s="366">
        <v>0</v>
      </c>
      <c r="DD65" s="366">
        <v>0</v>
      </c>
      <c r="DE65" s="366">
        <v>0</v>
      </c>
      <c r="DF65" s="366">
        <v>21</v>
      </c>
      <c r="DG65" s="366">
        <v>311</v>
      </c>
      <c r="DH65" s="366">
        <v>3</v>
      </c>
      <c r="DI65" s="366">
        <v>0</v>
      </c>
      <c r="DJ65" s="366">
        <v>0</v>
      </c>
      <c r="DK65" s="366">
        <v>0</v>
      </c>
      <c r="DL65" s="366">
        <v>0</v>
      </c>
      <c r="DM65" s="366">
        <v>0</v>
      </c>
      <c r="DN65" s="367">
        <f>IFERROR(DA65/Instructions!$J$25,0)+DB65*Instructions!$J$27+DC65*Instructions!$J$29+IFERROR(DD65/Instructions!$E$34,0)+DE65*Instructions!$E$36+Tier!DF65*Instructions!$E$25+IFERROR(DG65/Instructions!$E$27,0)+DH65*Instructions!$E$29+IFERROR((DI65+DK65)/Instructions!$J$32,0)+(DJ65+DL65)*Instructions!$J$34+Tier!DM65*-2</f>
        <v>70.099999999999994</v>
      </c>
    </row>
    <row r="66" spans="1:118" s="366" customFormat="1" ht="15.75" customHeight="1" x14ac:dyDescent="0.25">
      <c r="A66" s="238"/>
      <c r="B66" s="238"/>
      <c r="C66" s="354"/>
      <c r="D66" s="368"/>
      <c r="E66" s="369"/>
      <c r="F66" s="238">
        <v>2015</v>
      </c>
      <c r="G66" s="367">
        <f>LARGE($BI$35:$BI$66,32)</f>
        <v>91.36</v>
      </c>
      <c r="H66" s="355">
        <f t="shared" si="37"/>
        <v>-189.12</v>
      </c>
      <c r="I66" s="356">
        <f t="shared" si="35"/>
        <v>35766.374400000001</v>
      </c>
      <c r="J66" s="356"/>
      <c r="K66" s="356">
        <f t="shared" si="38"/>
        <v>-11.82</v>
      </c>
      <c r="L66" s="238">
        <f t="shared" si="39"/>
        <v>8</v>
      </c>
      <c r="M66" s="354"/>
      <c r="N66" s="372"/>
      <c r="O66" s="372"/>
      <c r="P66" s="366">
        <v>2014</v>
      </c>
      <c r="Q66" s="367">
        <f>LARGE($CB$2:$CB$151,65)</f>
        <v>66.3</v>
      </c>
      <c r="R66" s="357">
        <f t="shared" ref="R66:R97" si="52">Q66-$T$12</f>
        <v>-98.3</v>
      </c>
      <c r="S66" s="356">
        <f t="shared" si="47"/>
        <v>9662.89</v>
      </c>
      <c r="T66" s="238"/>
      <c r="U66" s="356">
        <f t="shared" si="7"/>
        <v>-6.1437499999999998</v>
      </c>
      <c r="V66" s="238">
        <f t="shared" si="8"/>
        <v>8</v>
      </c>
      <c r="W66" s="354"/>
      <c r="Z66" s="321">
        <v>2014</v>
      </c>
      <c r="AA66" s="367">
        <f>LARGE($CU$2:$CU$151,65)</f>
        <v>119.9</v>
      </c>
      <c r="AB66" s="357">
        <f t="shared" si="10"/>
        <v>-97.833333333333343</v>
      </c>
      <c r="AC66" s="356">
        <f t="shared" ref="AC66:AC129" si="53">AB66^2</f>
        <v>9571.3611111111131</v>
      </c>
      <c r="AD66" s="356"/>
      <c r="AE66" s="356">
        <f t="shared" si="11"/>
        <v>-6.1145833333333339</v>
      </c>
      <c r="AF66" s="238">
        <f t="shared" si="12"/>
        <v>8</v>
      </c>
      <c r="AG66" s="354"/>
      <c r="AJ66" s="238">
        <v>2015</v>
      </c>
      <c r="AK66" s="367">
        <f>LARGE($DN$35:$DN$66,32)</f>
        <v>69.8</v>
      </c>
      <c r="AL66" s="373">
        <f t="shared" si="40"/>
        <v>-60.899999999999991</v>
      </c>
      <c r="AM66" s="374">
        <f t="shared" si="36"/>
        <v>3708.809999999999</v>
      </c>
      <c r="AN66" s="374"/>
      <c r="AO66" s="374">
        <f t="shared" si="41"/>
        <v>-3.8062499999999995</v>
      </c>
      <c r="AP66" s="238">
        <f t="shared" si="17"/>
        <v>8</v>
      </c>
      <c r="AQ66" s="354"/>
      <c r="AR66" s="238">
        <v>2015</v>
      </c>
      <c r="AS66" s="365" t="s">
        <v>1644</v>
      </c>
      <c r="AT66" s="366" t="s">
        <v>144</v>
      </c>
      <c r="AU66" s="366" t="s">
        <v>1</v>
      </c>
      <c r="AV66" s="366">
        <v>2249</v>
      </c>
      <c r="AW66" s="366">
        <v>9</v>
      </c>
      <c r="AX66" s="366">
        <v>17</v>
      </c>
      <c r="AY66" s="366">
        <v>-6</v>
      </c>
      <c r="AZ66" s="366">
        <v>0</v>
      </c>
      <c r="BA66" s="366">
        <v>0</v>
      </c>
      <c r="BB66" s="366">
        <v>0</v>
      </c>
      <c r="BC66" s="366">
        <v>0</v>
      </c>
      <c r="BD66" s="366">
        <v>0</v>
      </c>
      <c r="BE66" s="366">
        <v>0</v>
      </c>
      <c r="BF66" s="366">
        <v>0</v>
      </c>
      <c r="BG66" s="366">
        <v>0</v>
      </c>
      <c r="BH66" s="366">
        <v>0</v>
      </c>
      <c r="BI66" s="367">
        <f>IFERROR(AV66/Instructions!$J$25,0)+AW66*Instructions!$J$27+AX66*Instructions!$J$29+IFERROR(AY66/Instructions!$E$34,0)+AZ66*Instructions!$E$36+Tier!BA66*Instructions!$E$25+IFERROR(BB66/Instructions!$E$27,0)+BC66*Instructions!$E$29+IFERROR((BD66+BF66)/Instructions!$J$32,0)+(BE66+BG66)*Instructions!$J$34+BH66*-2</f>
        <v>91.36</v>
      </c>
      <c r="BJ66" s="354"/>
      <c r="BK66" s="366">
        <v>2014</v>
      </c>
      <c r="BL66" s="370" t="s">
        <v>60</v>
      </c>
      <c r="BM66" s="372" t="s">
        <v>1626</v>
      </c>
      <c r="BN66" s="372" t="s">
        <v>3</v>
      </c>
      <c r="BO66" s="372">
        <v>0</v>
      </c>
      <c r="BP66" s="372">
        <v>0</v>
      </c>
      <c r="BQ66" s="372">
        <v>0</v>
      </c>
      <c r="BR66" s="372">
        <v>330</v>
      </c>
      <c r="BS66" s="372">
        <v>3</v>
      </c>
      <c r="BT66" s="372">
        <v>9</v>
      </c>
      <c r="BU66" s="372">
        <v>69</v>
      </c>
      <c r="BV66" s="372">
        <v>0</v>
      </c>
      <c r="BW66" s="372">
        <v>0</v>
      </c>
      <c r="BX66" s="372">
        <v>0</v>
      </c>
      <c r="BY66" s="372">
        <v>0</v>
      </c>
      <c r="BZ66" s="372">
        <v>0</v>
      </c>
      <c r="CA66" s="372">
        <v>0</v>
      </c>
      <c r="CB66" s="367">
        <f>IFERROR(BO66/Instructions!$J$25,0)+BP66*Instructions!$J$27+BQ66*Instructions!$J$29+IFERROR(BR66/Instructions!$E$34,0)+BS66*Instructions!$E$36+Tier!BT67*Instructions!$E$25+IFERROR(BU66/Instructions!$E$27,0)+BV66*Instructions!$E$29+IFERROR((BW66+BY66)/Instructions!$J$32,0)+(BX66+BZ66)*Instructions!$J$34+Tier!CA66*-2</f>
        <v>61.9</v>
      </c>
      <c r="CC66" s="354"/>
      <c r="CD66" s="321">
        <v>2014</v>
      </c>
      <c r="CE66" s="370" t="s">
        <v>1656</v>
      </c>
      <c r="CF66" s="371" t="s">
        <v>152</v>
      </c>
      <c r="CG66" s="371" t="s">
        <v>6</v>
      </c>
      <c r="CH66" s="371">
        <v>0</v>
      </c>
      <c r="CI66" s="371">
        <v>0</v>
      </c>
      <c r="CJ66" s="371">
        <v>0</v>
      </c>
      <c r="CK66" s="371">
        <v>216</v>
      </c>
      <c r="CL66" s="371">
        <v>1</v>
      </c>
      <c r="CM66" s="371">
        <v>42</v>
      </c>
      <c r="CN66" s="371">
        <v>477</v>
      </c>
      <c r="CO66" s="371">
        <v>2</v>
      </c>
      <c r="CP66" s="371">
        <v>0</v>
      </c>
      <c r="CQ66" s="371">
        <v>0</v>
      </c>
      <c r="CR66" s="371">
        <v>0</v>
      </c>
      <c r="CS66" s="371">
        <v>0</v>
      </c>
      <c r="CT66" s="371">
        <v>0</v>
      </c>
      <c r="CU66" s="367">
        <f>IFERROR(CH66/Instructions!$J$25,0)+CI66*Instructions!$J$27+CJ66*Instructions!$J$29+IFERROR(CK66/Instructions!$E$34,0)+CL66*Instructions!$E$36+Tier!CM66*Instructions!$E$25+IFERROR(CN66/Instructions!$E$27,0)+CO66*Instructions!$E$29+IFERROR((CP66+CR66)/Instructions!$J$32,0)+(CQ66+CS66)*Instructions!$J$34+Tier!CT66*-2</f>
        <v>129.30000000000001</v>
      </c>
      <c r="CV66" s="354"/>
      <c r="CW66" s="238">
        <v>2015</v>
      </c>
      <c r="CX66" s="365" t="s">
        <v>1297</v>
      </c>
      <c r="CY66" s="366" t="s">
        <v>1627</v>
      </c>
      <c r="CZ66" s="366" t="s">
        <v>7</v>
      </c>
      <c r="DA66" s="366">
        <v>0</v>
      </c>
      <c r="DB66" s="366">
        <v>0</v>
      </c>
      <c r="DC66" s="366">
        <v>0</v>
      </c>
      <c r="DD66" s="366">
        <v>0</v>
      </c>
      <c r="DE66" s="366">
        <v>0</v>
      </c>
      <c r="DF66" s="366">
        <v>23</v>
      </c>
      <c r="DG66" s="366">
        <v>288</v>
      </c>
      <c r="DH66" s="366">
        <v>3</v>
      </c>
      <c r="DI66" s="366">
        <v>0</v>
      </c>
      <c r="DJ66" s="366">
        <v>0</v>
      </c>
      <c r="DK66" s="366">
        <v>0</v>
      </c>
      <c r="DL66" s="366">
        <v>0</v>
      </c>
      <c r="DM66" s="366">
        <v>0</v>
      </c>
      <c r="DN66" s="367">
        <f>IFERROR(DA66/Instructions!$J$25,0)+DB66*Instructions!$J$27+DC66*Instructions!$J$29+IFERROR(DD66/Instructions!$E$34,0)+DE66*Instructions!$E$36+Tier!DF66*Instructions!$E$25+IFERROR(DG66/Instructions!$E$27,0)+DH66*Instructions!$E$29+IFERROR((DI66+DK66)/Instructions!$J$32,0)+(DJ66+DL66)*Instructions!$J$34+Tier!DM66*-2</f>
        <v>69.8</v>
      </c>
    </row>
    <row r="67" spans="1:118" s="366" customFormat="1" ht="15.75" customHeight="1" x14ac:dyDescent="0.25">
      <c r="A67" s="238"/>
      <c r="B67" s="238"/>
      <c r="C67" s="354"/>
      <c r="D67" s="377"/>
      <c r="E67" s="378"/>
      <c r="F67" s="354"/>
      <c r="G67" s="376"/>
      <c r="H67" s="376"/>
      <c r="I67" s="376"/>
      <c r="J67" s="376"/>
      <c r="K67" s="376"/>
      <c r="L67" s="376"/>
      <c r="M67" s="376"/>
      <c r="N67" s="372"/>
      <c r="O67" s="372"/>
      <c r="P67" s="366">
        <v>2014</v>
      </c>
      <c r="Q67" s="367">
        <f>LARGE($CB$2:$CB$151,66)</f>
        <v>65.5</v>
      </c>
      <c r="R67" s="357">
        <f t="shared" si="52"/>
        <v>-99.1</v>
      </c>
      <c r="S67" s="356">
        <f t="shared" si="47"/>
        <v>9820.81</v>
      </c>
      <c r="T67" s="238"/>
      <c r="U67" s="356">
        <f t="shared" ref="U67:U130" si="54">R67/$T$2</f>
        <v>-6.1937499999999996</v>
      </c>
      <c r="V67" s="238">
        <f t="shared" ref="V67:V130" si="55">IF(U67&gt;6,0,
IF(AND(U67&lt;=6,U67&gt;5),1,
IF(AND(U67&lt;=5,U67&gt;4),2,
IF(AND(U67&lt;=4,U67&gt;3),3,
IF(AND(U67&lt;=3,U67&gt;2),4,
IF(AND(U67&lt;=2,U67&gt;1),5,
IF(AND(U67&lt;=1,U67&gt;0),6,
IF(AND(U67&lt;=0,U67&gt;-1),7,
8))))))))</f>
        <v>8</v>
      </c>
      <c r="W67" s="354"/>
      <c r="Z67" s="321">
        <v>2014</v>
      </c>
      <c r="AA67" s="367">
        <f>LARGE($CU$2:$CU$151,66)</f>
        <v>118.6</v>
      </c>
      <c r="AB67" s="357">
        <f t="shared" ref="AB67:AB130" si="56">AA67-$AD$12</f>
        <v>-99.133333333333354</v>
      </c>
      <c r="AC67" s="356">
        <f t="shared" si="53"/>
        <v>9827.4177777777822</v>
      </c>
      <c r="AD67" s="356"/>
      <c r="AE67" s="356">
        <f t="shared" ref="AE67:AE130" si="57">AB67/$AD$2</f>
        <v>-6.1958333333333346</v>
      </c>
      <c r="AF67" s="238">
        <f t="shared" ref="AF67:AF130" si="58">IF(AE67&gt;6,0,
IF(AND(AE67&lt;=6,AE67&gt;5),1,
IF(AND(AE67&lt;=5,AE67&gt;4),2,
IF(AND(AE67&lt;=4,AE67&gt;3),3,
IF(AND(AE67&lt;=3,AE67&gt;2),4,
IF(AND(AE67&lt;=2,AE67&gt;1),5,
IF(AND(AE67&lt;=1,AE67&gt;0),6,
IF(AND(AE67&lt;=0,AE67&gt;-1),7,
8))))))))</f>
        <v>8</v>
      </c>
      <c r="AG67" s="354"/>
      <c r="AH67" s="380"/>
      <c r="AI67" s="380"/>
      <c r="AJ67" s="354"/>
      <c r="AK67" s="376"/>
      <c r="AL67" s="376"/>
      <c r="AM67" s="376"/>
      <c r="AN67" s="376"/>
      <c r="AO67" s="376"/>
      <c r="AP67" s="376"/>
      <c r="AQ67" s="354"/>
      <c r="AR67" s="354"/>
      <c r="AS67" s="375"/>
      <c r="AT67" s="354"/>
      <c r="AU67" s="354"/>
      <c r="AV67" s="354"/>
      <c r="AW67" s="354"/>
      <c r="AX67" s="354"/>
      <c r="AY67" s="354"/>
      <c r="AZ67" s="354"/>
      <c r="BA67" s="354"/>
      <c r="BB67" s="354"/>
      <c r="BC67" s="354"/>
      <c r="BD67" s="354"/>
      <c r="BE67" s="354"/>
      <c r="BF67" s="354"/>
      <c r="BG67" s="354"/>
      <c r="BH67" s="354"/>
      <c r="BI67" s="376"/>
      <c r="BJ67" s="354"/>
      <c r="BK67" s="366">
        <v>2014</v>
      </c>
      <c r="BL67" s="370" t="s">
        <v>1324</v>
      </c>
      <c r="BM67" s="372" t="s">
        <v>146</v>
      </c>
      <c r="BN67" s="372" t="s">
        <v>3</v>
      </c>
      <c r="BO67" s="372">
        <v>0</v>
      </c>
      <c r="BP67" s="372">
        <v>0</v>
      </c>
      <c r="BQ67" s="372">
        <v>0</v>
      </c>
      <c r="BR67" s="372">
        <v>343</v>
      </c>
      <c r="BS67" s="372">
        <v>3</v>
      </c>
      <c r="BT67" s="372">
        <v>4</v>
      </c>
      <c r="BU67" s="372">
        <v>23</v>
      </c>
      <c r="BV67" s="372">
        <v>0</v>
      </c>
      <c r="BW67" s="372">
        <v>0</v>
      </c>
      <c r="BX67" s="372">
        <v>0</v>
      </c>
      <c r="BY67" s="372">
        <v>0</v>
      </c>
      <c r="BZ67" s="372">
        <v>0</v>
      </c>
      <c r="CA67" s="372">
        <v>2</v>
      </c>
      <c r="CB67" s="367">
        <f>IFERROR(BO67/Instructions!$J$25,0)+BP67*Instructions!$J$27+BQ67*Instructions!$J$29+IFERROR(BR67/Instructions!$E$34,0)+BS67*Instructions!$E$36+Tier!BT68*Instructions!$E$25+IFERROR(BU67/Instructions!$E$27,0)+BV67*Instructions!$E$29+IFERROR((BW67+BY67)/Instructions!$J$32,0)+(BX67+BZ67)*Instructions!$J$34+Tier!CA67*-2</f>
        <v>88.6</v>
      </c>
      <c r="CC67" s="354"/>
      <c r="CD67" s="321">
        <v>2014</v>
      </c>
      <c r="CE67" s="370" t="s">
        <v>111</v>
      </c>
      <c r="CF67" s="371" t="s">
        <v>150</v>
      </c>
      <c r="CG67" s="371" t="s">
        <v>6</v>
      </c>
      <c r="CH67" s="371">
        <v>0</v>
      </c>
      <c r="CI67" s="371">
        <v>0</v>
      </c>
      <c r="CJ67" s="371">
        <v>0</v>
      </c>
      <c r="CK67" s="371">
        <v>224</v>
      </c>
      <c r="CL67" s="371">
        <v>2</v>
      </c>
      <c r="CM67" s="371">
        <v>31</v>
      </c>
      <c r="CN67" s="371">
        <v>242</v>
      </c>
      <c r="CO67" s="371">
        <v>0</v>
      </c>
      <c r="CP67" s="371">
        <v>391</v>
      </c>
      <c r="CQ67" s="371">
        <v>1</v>
      </c>
      <c r="CR67" s="371">
        <v>19</v>
      </c>
      <c r="CS67" s="371">
        <v>0</v>
      </c>
      <c r="CT67" s="371">
        <v>0</v>
      </c>
      <c r="CU67" s="367">
        <f>IFERROR(CH67/Instructions!$J$25,0)+CI67*Instructions!$J$27+CJ67*Instructions!$J$29+IFERROR(CK67/Instructions!$E$34,0)+CL67*Instructions!$E$36+Tier!CM67*Instructions!$E$25+IFERROR(CN67/Instructions!$E$27,0)+CO67*Instructions!$E$29+IFERROR((CP67+CR67)/Instructions!$J$32,0)+(CQ67+CS67)*Instructions!$J$34+Tier!CT67*-2</f>
        <v>95.600000000000009</v>
      </c>
      <c r="CV67" s="354"/>
      <c r="CW67" s="354"/>
      <c r="CX67" s="420"/>
      <c r="CY67" s="380"/>
      <c r="CZ67" s="380"/>
      <c r="DA67" s="380"/>
      <c r="DB67" s="380"/>
      <c r="DC67" s="380"/>
      <c r="DD67" s="380"/>
      <c r="DE67" s="380"/>
      <c r="DF67" s="380"/>
      <c r="DG67" s="380"/>
      <c r="DH67" s="380"/>
      <c r="DI67" s="380"/>
      <c r="DJ67" s="380"/>
      <c r="DK67" s="380"/>
      <c r="DL67" s="380"/>
      <c r="DM67" s="380"/>
      <c r="DN67" s="382"/>
    </row>
    <row r="68" spans="1:118" s="366" customFormat="1" ht="15.75" customHeight="1" x14ac:dyDescent="0.25">
      <c r="A68" s="238"/>
      <c r="B68" s="238"/>
      <c r="C68" s="354"/>
      <c r="D68" s="368"/>
      <c r="E68" s="369"/>
      <c r="F68" s="238">
        <v>2016</v>
      </c>
      <c r="G68" s="367">
        <f>LARGE($BI$68:$BI$99,1)</f>
        <v>376.02</v>
      </c>
      <c r="H68" s="355">
        <f>G68-$J$78</f>
        <v>116.07999999999998</v>
      </c>
      <c r="I68" s="356">
        <f t="shared" ref="I68:I99" si="59">H68^2</f>
        <v>13474.566399999996</v>
      </c>
      <c r="J68" s="356">
        <v>16</v>
      </c>
      <c r="K68" s="356">
        <f>H68/$J$68</f>
        <v>7.254999999999999</v>
      </c>
      <c r="L68" s="238">
        <f>IF(K68&gt;6,0,
IF(AND(K68&lt;=6,K68&gt;5),1,
IF(AND(K68&lt;=5,K68&gt;4),2,
IF(AND(K68&lt;=4,K68&gt;3),3,
IF(AND(K68&lt;=3,K68&gt;2),4,
IF(AND(K68&lt;=2,K68&gt;1),5,
IF(AND(K68&lt;=1,K68&gt;0),6,
IF(AND(K68&lt;=0,K68&gt;-1),7,
8))))))))</f>
        <v>0</v>
      </c>
      <c r="M68" s="354"/>
      <c r="N68" s="372"/>
      <c r="O68" s="372"/>
      <c r="P68" s="366">
        <v>2014</v>
      </c>
      <c r="Q68" s="367">
        <f>LARGE($CB$2:$CB$151,67)</f>
        <v>63.2</v>
      </c>
      <c r="R68" s="357">
        <f t="shared" si="52"/>
        <v>-101.39999999999999</v>
      </c>
      <c r="S68" s="356">
        <f t="shared" si="47"/>
        <v>10281.959999999999</v>
      </c>
      <c r="T68" s="238"/>
      <c r="U68" s="356">
        <f t="shared" si="54"/>
        <v>-6.3374999999999995</v>
      </c>
      <c r="V68" s="238">
        <f t="shared" si="55"/>
        <v>8</v>
      </c>
      <c r="W68" s="354"/>
      <c r="Z68" s="321">
        <v>2014</v>
      </c>
      <c r="AA68" s="367">
        <f>LARGE($CU$2:$CU$151,67)</f>
        <v>116.7</v>
      </c>
      <c r="AB68" s="357">
        <f t="shared" si="56"/>
        <v>-101.03333333333335</v>
      </c>
      <c r="AC68" s="356">
        <f t="shared" si="53"/>
        <v>10207.734444444446</v>
      </c>
      <c r="AD68" s="356"/>
      <c r="AE68" s="356">
        <f t="shared" si="57"/>
        <v>-6.3145833333333341</v>
      </c>
      <c r="AF68" s="238">
        <f t="shared" si="58"/>
        <v>8</v>
      </c>
      <c r="AG68" s="354"/>
      <c r="AJ68" s="238">
        <v>2016</v>
      </c>
      <c r="AK68" s="367">
        <f>LARGE($DN$68:$DN$99,1)</f>
        <v>221</v>
      </c>
      <c r="AL68" s="373">
        <f>AK68-$AN$78</f>
        <v>71.199999999999989</v>
      </c>
      <c r="AM68" s="374">
        <f t="shared" ref="AM68:AM99" si="60">AL68^2</f>
        <v>5069.4399999999987</v>
      </c>
      <c r="AN68" s="374">
        <v>16</v>
      </c>
      <c r="AO68" s="374">
        <f>AL68/$AN$68</f>
        <v>4.4499999999999993</v>
      </c>
      <c r="AP68" s="238">
        <f t="shared" si="17"/>
        <v>2</v>
      </c>
      <c r="AQ68" s="354"/>
      <c r="AR68" s="238">
        <v>2016</v>
      </c>
      <c r="AS68" s="365" t="s">
        <v>13</v>
      </c>
      <c r="AT68" s="366" t="s">
        <v>1624</v>
      </c>
      <c r="AU68" s="366" t="s">
        <v>1</v>
      </c>
      <c r="AV68" s="366">
        <v>4428</v>
      </c>
      <c r="AW68" s="366">
        <v>40</v>
      </c>
      <c r="AX68" s="366">
        <v>7</v>
      </c>
      <c r="AY68" s="366">
        <v>369</v>
      </c>
      <c r="AZ68" s="366">
        <v>4</v>
      </c>
      <c r="BA68" s="366">
        <v>0</v>
      </c>
      <c r="BB68" s="366">
        <v>0</v>
      </c>
      <c r="BC68" s="366">
        <v>0</v>
      </c>
      <c r="BD68" s="366">
        <v>0</v>
      </c>
      <c r="BE68" s="366">
        <v>0</v>
      </c>
      <c r="BF68" s="366">
        <v>0</v>
      </c>
      <c r="BG68" s="366">
        <v>0</v>
      </c>
      <c r="BH68" s="366">
        <v>4</v>
      </c>
      <c r="BI68" s="367">
        <f>IFERROR(AV68/Instructions!$J$25,0)+AW68*Instructions!$J$27+AX68*Instructions!$J$29+IFERROR(AY68/Instructions!$E$34,0)+AZ68*Instructions!$E$36+Tier!BA68*Instructions!$E$25+IFERROR(BB68/Instructions!$E$27,0)+BC68*Instructions!$E$29+IFERROR((BD68+BF68)/Instructions!$J$32,0)+(BE68+BG68)*Instructions!$J$34+BH68*-2</f>
        <v>376.02</v>
      </c>
      <c r="BJ68" s="354"/>
      <c r="BK68" s="366">
        <v>2014</v>
      </c>
      <c r="BL68" s="370" t="s">
        <v>982</v>
      </c>
      <c r="BM68" s="372" t="s">
        <v>1625</v>
      </c>
      <c r="BN68" s="372" t="s">
        <v>3</v>
      </c>
      <c r="BO68" s="372">
        <v>0</v>
      </c>
      <c r="BP68" s="372">
        <v>0</v>
      </c>
      <c r="BQ68" s="372">
        <v>0</v>
      </c>
      <c r="BR68" s="372">
        <v>32</v>
      </c>
      <c r="BS68" s="372">
        <v>0</v>
      </c>
      <c r="BT68" s="372">
        <v>38</v>
      </c>
      <c r="BU68" s="372">
        <v>296</v>
      </c>
      <c r="BV68" s="372">
        <v>1</v>
      </c>
      <c r="BW68" s="372">
        <v>0</v>
      </c>
      <c r="BX68" s="372">
        <v>0</v>
      </c>
      <c r="BY68" s="372">
        <v>364</v>
      </c>
      <c r="BZ68" s="372">
        <v>0</v>
      </c>
      <c r="CA68" s="372">
        <v>2</v>
      </c>
      <c r="CB68" s="367">
        <f>IFERROR(BO68/Instructions!$J$25,0)+BP68*Instructions!$J$27+BQ68*Instructions!$J$29+IFERROR(BR68/Instructions!$E$34,0)+BS68*Instructions!$E$36+Tier!BT69*Instructions!$E$25+IFERROR(BU68/Instructions!$E$27,0)+BV68*Instructions!$E$29+IFERROR((BW68+BY68)/Instructions!$J$32,0)+(BX68+BZ68)*Instructions!$J$34+Tier!CA68*-2</f>
        <v>45.8</v>
      </c>
      <c r="CC68" s="354"/>
      <c r="CD68" s="321">
        <v>2014</v>
      </c>
      <c r="CE68" s="370" t="s">
        <v>208</v>
      </c>
      <c r="CF68" s="371" t="s">
        <v>138</v>
      </c>
      <c r="CG68" s="371" t="s">
        <v>6</v>
      </c>
      <c r="CH68" s="371">
        <v>0</v>
      </c>
      <c r="CI68" s="371">
        <v>0</v>
      </c>
      <c r="CJ68" s="371">
        <v>0</v>
      </c>
      <c r="CK68" s="371">
        <v>71</v>
      </c>
      <c r="CL68" s="371">
        <v>0</v>
      </c>
      <c r="CM68" s="371">
        <v>42</v>
      </c>
      <c r="CN68" s="371">
        <v>588</v>
      </c>
      <c r="CO68" s="371">
        <v>2</v>
      </c>
      <c r="CP68" s="371">
        <v>0</v>
      </c>
      <c r="CQ68" s="371">
        <v>0</v>
      </c>
      <c r="CR68" s="371">
        <v>0</v>
      </c>
      <c r="CS68" s="371">
        <v>0</v>
      </c>
      <c r="CT68" s="371">
        <v>0</v>
      </c>
      <c r="CU68" s="367">
        <f>IFERROR(CH68/Instructions!$J$25,0)+CI68*Instructions!$J$27+CJ68*Instructions!$J$29+IFERROR(CK68/Instructions!$E$34,0)+CL68*Instructions!$E$36+Tier!CM68*Instructions!$E$25+IFERROR(CN68/Instructions!$E$27,0)+CO68*Instructions!$E$29+IFERROR((CP68+CR68)/Instructions!$J$32,0)+(CQ68+CS68)*Instructions!$J$34+Tier!CT68*-2</f>
        <v>119.9</v>
      </c>
      <c r="CV68" s="354"/>
      <c r="CW68" s="238">
        <v>2016</v>
      </c>
      <c r="CX68" s="365" t="s">
        <v>228</v>
      </c>
      <c r="CY68" s="366" t="s">
        <v>1629</v>
      </c>
      <c r="CZ68" s="366" t="s">
        <v>7</v>
      </c>
      <c r="DA68" s="366">
        <v>0</v>
      </c>
      <c r="DB68" s="366">
        <v>0</v>
      </c>
      <c r="DC68" s="366">
        <v>0</v>
      </c>
      <c r="DD68" s="366">
        <v>-5</v>
      </c>
      <c r="DE68" s="366">
        <v>0</v>
      </c>
      <c r="DF68" s="366">
        <v>85</v>
      </c>
      <c r="DG68" s="366">
        <v>1125</v>
      </c>
      <c r="DH68" s="366">
        <v>4</v>
      </c>
      <c r="DI68" s="366">
        <v>0</v>
      </c>
      <c r="DJ68" s="366">
        <v>0</v>
      </c>
      <c r="DK68" s="366">
        <v>0</v>
      </c>
      <c r="DL68" s="366">
        <v>0</v>
      </c>
      <c r="DM68" s="366">
        <v>0</v>
      </c>
      <c r="DN68" s="367">
        <f>IFERROR(DA68/Instructions!$J$25,0)+DB68*Instructions!$J$27+DC68*Instructions!$J$29+IFERROR(DD68/Instructions!$E$34,0)+DE68*Instructions!$E$36+Tier!DF68*Instructions!$E$25+IFERROR(DG68/Instructions!$E$27,0)+DH68*Instructions!$E$29+IFERROR((DI68+DK68)/Instructions!$J$32,0)+(DJ68+DL68)*Instructions!$J$34+Tier!DM68*-2</f>
        <v>221</v>
      </c>
    </row>
    <row r="69" spans="1:118" s="366" customFormat="1" ht="15.75" customHeight="1" x14ac:dyDescent="0.25">
      <c r="A69" s="238"/>
      <c r="B69" s="238"/>
      <c r="C69" s="354"/>
      <c r="D69" s="368"/>
      <c r="E69" s="369"/>
      <c r="F69" s="238">
        <v>2016</v>
      </c>
      <c r="G69" s="367">
        <f>LARGE($BI$68:$BI$99,2)</f>
        <v>343.46</v>
      </c>
      <c r="H69" s="355">
        <f t="shared" ref="H69:H99" si="61">G69-$J$78</f>
        <v>83.519999999999982</v>
      </c>
      <c r="I69" s="356">
        <f t="shared" si="59"/>
        <v>6975.5903999999973</v>
      </c>
      <c r="J69" s="356">
        <f>AVERAGE(I68:INDEX(I68:I99,Instructions!$E$11*Instructions!$E$15,1))</f>
        <v>2536.8094999999998</v>
      </c>
      <c r="K69" s="356">
        <f t="shared" ref="K69:K99" si="62">H69/$J$68</f>
        <v>5.2199999999999989</v>
      </c>
      <c r="L69" s="238">
        <f t="shared" ref="L69:L99" si="63">IF(K69&gt;6,0,
IF(AND(K69&lt;=6,K69&gt;5),1,
IF(AND(K69&lt;=5,K69&gt;4),2,
IF(AND(K69&lt;=4,K69&gt;3),3,
IF(AND(K69&lt;=3,K69&gt;2),4,
IF(AND(K69&lt;=2,K69&gt;1),5,
IF(AND(K69&lt;=1,K69&gt;0),6,
IF(AND(K69&lt;=0,K69&gt;-1),7,
8))))))))</f>
        <v>1</v>
      </c>
      <c r="M69" s="354"/>
      <c r="N69" s="372"/>
      <c r="O69" s="372"/>
      <c r="P69" s="366">
        <v>2014</v>
      </c>
      <c r="Q69" s="367">
        <f>LARGE($CB$2:$CB$151,68)</f>
        <v>63.099999999999994</v>
      </c>
      <c r="R69" s="357">
        <f t="shared" si="52"/>
        <v>-101.5</v>
      </c>
      <c r="S69" s="356">
        <f t="shared" si="47"/>
        <v>10302.25</v>
      </c>
      <c r="T69" s="238"/>
      <c r="U69" s="356">
        <f t="shared" si="54"/>
        <v>-6.34375</v>
      </c>
      <c r="V69" s="238">
        <f t="shared" si="55"/>
        <v>8</v>
      </c>
      <c r="W69" s="354"/>
      <c r="Z69" s="321">
        <v>2014</v>
      </c>
      <c r="AA69" s="367">
        <f>LARGE($CU$2:$CU$151,68)</f>
        <v>115.8</v>
      </c>
      <c r="AB69" s="357">
        <f t="shared" si="56"/>
        <v>-101.93333333333335</v>
      </c>
      <c r="AC69" s="356">
        <f t="shared" si="53"/>
        <v>10390.404444444448</v>
      </c>
      <c r="AD69" s="356"/>
      <c r="AE69" s="356">
        <f t="shared" si="57"/>
        <v>-6.3708333333333345</v>
      </c>
      <c r="AF69" s="238">
        <f t="shared" si="58"/>
        <v>8</v>
      </c>
      <c r="AG69" s="354"/>
      <c r="AJ69" s="238">
        <v>2016</v>
      </c>
      <c r="AK69" s="367">
        <f>LARGE($DN$68:$DN$99,2)</f>
        <v>209</v>
      </c>
      <c r="AL69" s="373">
        <f t="shared" ref="AL69:AL99" si="64">AK69-$AN$78</f>
        <v>59.199999999999989</v>
      </c>
      <c r="AM69" s="374">
        <f t="shared" si="60"/>
        <v>3504.6399999999985</v>
      </c>
      <c r="AN69" s="374">
        <f>AVERAGE(AM68:INDEX(Tier!M68:M99,Instructions!$E$11,1))</f>
        <v>1957.1560111979161</v>
      </c>
      <c r="AO69" s="374">
        <f t="shared" ref="AO69:AO99" si="65">AL69/$AN$68</f>
        <v>3.6999999999999993</v>
      </c>
      <c r="AP69" s="238">
        <f t="shared" si="17"/>
        <v>3</v>
      </c>
      <c r="AQ69" s="354"/>
      <c r="AR69" s="238">
        <v>2016</v>
      </c>
      <c r="AS69" s="365" t="s">
        <v>38</v>
      </c>
      <c r="AT69" s="366" t="s">
        <v>148</v>
      </c>
      <c r="AU69" s="366" t="s">
        <v>1</v>
      </c>
      <c r="AV69" s="366">
        <v>4944</v>
      </c>
      <c r="AW69" s="366">
        <v>38</v>
      </c>
      <c r="AX69" s="366">
        <v>7</v>
      </c>
      <c r="AY69" s="366">
        <v>117</v>
      </c>
      <c r="AZ69" s="366">
        <v>0</v>
      </c>
      <c r="BA69" s="366">
        <v>0</v>
      </c>
      <c r="BB69" s="366">
        <v>0</v>
      </c>
      <c r="BC69" s="366">
        <v>0</v>
      </c>
      <c r="BD69" s="366">
        <v>0</v>
      </c>
      <c r="BE69" s="366">
        <v>0</v>
      </c>
      <c r="BF69" s="366">
        <v>0</v>
      </c>
      <c r="BG69" s="366">
        <v>0</v>
      </c>
      <c r="BH69" s="366">
        <v>2</v>
      </c>
      <c r="BI69" s="367">
        <f>IFERROR(AV69/Instructions!$J$25,0)+AW69*Instructions!$J$27+AX69*Instructions!$J$29+IFERROR(AY69/Instructions!$E$34,0)+AZ69*Instructions!$E$36+Tier!BA69*Instructions!$E$25+IFERROR(BB69/Instructions!$E$27,0)+BC69*Instructions!$E$29+IFERROR((BD69+BF69)/Instructions!$J$32,0)+(BE69+BG69)*Instructions!$J$34+BH69*-2</f>
        <v>343.46</v>
      </c>
      <c r="BJ69" s="354"/>
      <c r="BK69" s="366">
        <v>2014</v>
      </c>
      <c r="BL69" s="370" t="s">
        <v>1238</v>
      </c>
      <c r="BM69" s="372" t="s">
        <v>153</v>
      </c>
      <c r="BN69" s="372" t="s">
        <v>3</v>
      </c>
      <c r="BO69" s="372">
        <v>0</v>
      </c>
      <c r="BP69" s="372">
        <v>0</v>
      </c>
      <c r="BQ69" s="372">
        <v>0</v>
      </c>
      <c r="BR69" s="372">
        <v>208</v>
      </c>
      <c r="BS69" s="372">
        <v>1</v>
      </c>
      <c r="BT69" s="372">
        <v>11</v>
      </c>
      <c r="BU69" s="372">
        <v>79</v>
      </c>
      <c r="BV69" s="372">
        <v>3</v>
      </c>
      <c r="BW69" s="372">
        <v>0</v>
      </c>
      <c r="BX69" s="372">
        <v>0</v>
      </c>
      <c r="BY69" s="372">
        <v>0</v>
      </c>
      <c r="BZ69" s="372">
        <v>0</v>
      </c>
      <c r="CA69" s="372">
        <v>0</v>
      </c>
      <c r="CB69" s="367">
        <f>IFERROR(BO69/Instructions!$J$25,0)+BP69*Instructions!$J$27+BQ69*Instructions!$J$29+IFERROR(BR69/Instructions!$E$34,0)+BS69*Instructions!$E$36+Tier!BT70*Instructions!$E$25+IFERROR(BU69/Instructions!$E$27,0)+BV69*Instructions!$E$29+IFERROR((BW69+BY69)/Instructions!$J$32,0)+(BX69+BZ69)*Instructions!$J$34+Tier!CA69*-2</f>
        <v>53.7</v>
      </c>
      <c r="CC69" s="354"/>
      <c r="CD69" s="321">
        <v>2014</v>
      </c>
      <c r="CE69" s="370" t="s">
        <v>1670</v>
      </c>
      <c r="CF69" s="371" t="s">
        <v>163</v>
      </c>
      <c r="CG69" s="371" t="s">
        <v>6</v>
      </c>
      <c r="CH69" s="371">
        <v>0</v>
      </c>
      <c r="CI69" s="371">
        <v>0</v>
      </c>
      <c r="CJ69" s="371">
        <v>0</v>
      </c>
      <c r="CK69" s="371">
        <v>0</v>
      </c>
      <c r="CL69" s="371">
        <v>0</v>
      </c>
      <c r="CM69" s="371">
        <v>40</v>
      </c>
      <c r="CN69" s="371">
        <v>647</v>
      </c>
      <c r="CO69" s="371">
        <v>2</v>
      </c>
      <c r="CP69" s="371">
        <v>0</v>
      </c>
      <c r="CQ69" s="371">
        <v>0</v>
      </c>
      <c r="CR69" s="371">
        <v>0</v>
      </c>
      <c r="CS69" s="371">
        <v>0</v>
      </c>
      <c r="CT69" s="371">
        <v>0</v>
      </c>
      <c r="CU69" s="367">
        <f>IFERROR(CH69/Instructions!$J$25,0)+CI69*Instructions!$J$27+CJ69*Instructions!$J$29+IFERROR(CK69/Instructions!$E$34,0)+CL69*Instructions!$E$36+Tier!CM69*Instructions!$E$25+IFERROR(CN69/Instructions!$E$27,0)+CO69*Instructions!$E$29+IFERROR((CP69+CR69)/Instructions!$J$32,0)+(CQ69+CS69)*Instructions!$J$34+Tier!CT69*-2</f>
        <v>116.7</v>
      </c>
      <c r="CV69" s="354"/>
      <c r="CW69" s="238">
        <v>2016</v>
      </c>
      <c r="CX69" s="365" t="s">
        <v>8</v>
      </c>
      <c r="CY69" s="366" t="s">
        <v>140</v>
      </c>
      <c r="CZ69" s="366" t="s">
        <v>7</v>
      </c>
      <c r="DA69" s="366">
        <v>0</v>
      </c>
      <c r="DB69" s="366">
        <v>0</v>
      </c>
      <c r="DC69" s="366">
        <v>0</v>
      </c>
      <c r="DD69" s="366">
        <v>0</v>
      </c>
      <c r="DE69" s="366">
        <v>0</v>
      </c>
      <c r="DF69" s="366">
        <v>65</v>
      </c>
      <c r="DG69" s="366">
        <v>923</v>
      </c>
      <c r="DH69" s="366">
        <v>6</v>
      </c>
      <c r="DI69" s="366">
        <v>0</v>
      </c>
      <c r="DJ69" s="366">
        <v>0</v>
      </c>
      <c r="DK69" s="366">
        <v>0</v>
      </c>
      <c r="DL69" s="366">
        <v>0</v>
      </c>
      <c r="DM69" s="366">
        <v>0</v>
      </c>
      <c r="DN69" s="367">
        <f>IFERROR(DA69/Instructions!$J$25,0)+DB69*Instructions!$J$27+DC69*Instructions!$J$29+IFERROR(DD69/Instructions!$E$34,0)+DE69*Instructions!$E$36+Tier!DF69*Instructions!$E$25+IFERROR(DG69/Instructions!$E$27,0)+DH69*Instructions!$E$29+IFERROR((DI69+DK69)/Instructions!$J$32,0)+(DJ69+DL69)*Instructions!$J$34+Tier!DM69*-2</f>
        <v>193.3</v>
      </c>
    </row>
    <row r="70" spans="1:118" s="366" customFormat="1" ht="15.75" customHeight="1" x14ac:dyDescent="0.25">
      <c r="A70" s="238"/>
      <c r="B70" s="238"/>
      <c r="C70" s="354"/>
      <c r="D70" s="368"/>
      <c r="E70" s="369"/>
      <c r="F70" s="238">
        <v>2016</v>
      </c>
      <c r="G70" s="367">
        <f>LARGE($BI$68:$BI$99,3)</f>
        <v>332.32</v>
      </c>
      <c r="H70" s="355">
        <f t="shared" si="61"/>
        <v>72.38</v>
      </c>
      <c r="I70" s="356">
        <f t="shared" si="59"/>
        <v>5238.8643999999995</v>
      </c>
      <c r="J70" s="356"/>
      <c r="K70" s="356">
        <f t="shared" si="62"/>
        <v>4.5237499999999997</v>
      </c>
      <c r="L70" s="238">
        <f t="shared" si="63"/>
        <v>2</v>
      </c>
      <c r="M70" s="354"/>
      <c r="N70" s="372"/>
      <c r="O70" s="372"/>
      <c r="P70" s="366">
        <v>2014</v>
      </c>
      <c r="Q70" s="367">
        <f>LARGE($CB$2:$CB$151,69)</f>
        <v>61.9</v>
      </c>
      <c r="R70" s="357">
        <f t="shared" si="52"/>
        <v>-102.69999999999999</v>
      </c>
      <c r="S70" s="356">
        <f t="shared" si="47"/>
        <v>10547.289999999997</v>
      </c>
      <c r="T70" s="238"/>
      <c r="U70" s="356">
        <f t="shared" si="54"/>
        <v>-6.4187499999999993</v>
      </c>
      <c r="V70" s="238">
        <f t="shared" si="55"/>
        <v>8</v>
      </c>
      <c r="W70" s="354"/>
      <c r="Z70" s="321">
        <v>2014</v>
      </c>
      <c r="AA70" s="367">
        <f>LARGE($CU$2:$CU$151,69)</f>
        <v>114.8</v>
      </c>
      <c r="AB70" s="357">
        <f t="shared" si="56"/>
        <v>-102.93333333333335</v>
      </c>
      <c r="AC70" s="356">
        <f t="shared" si="53"/>
        <v>10595.271111111115</v>
      </c>
      <c r="AD70" s="356"/>
      <c r="AE70" s="356">
        <f t="shared" si="57"/>
        <v>-6.4333333333333345</v>
      </c>
      <c r="AF70" s="238">
        <f t="shared" si="58"/>
        <v>8</v>
      </c>
      <c r="AG70" s="354"/>
      <c r="AJ70" s="238">
        <v>2016</v>
      </c>
      <c r="AK70" s="367">
        <f>LARGE($DN$68:$DN$99,3)</f>
        <v>205.3</v>
      </c>
      <c r="AL70" s="373">
        <f t="shared" si="64"/>
        <v>55.5</v>
      </c>
      <c r="AM70" s="374">
        <f t="shared" si="60"/>
        <v>3080.25</v>
      </c>
      <c r="AN70" s="374"/>
      <c r="AO70" s="374">
        <f t="shared" si="65"/>
        <v>3.46875</v>
      </c>
      <c r="AP70" s="238">
        <f t="shared" ref="AP70:AP99" si="66">IF(AO70&gt;6,0,
IF(AND(AO70&lt;=6,AO70&gt;5),1,
IF(AND(AO70&lt;=5,AO70&gt;4),2,
IF(AND(AO70&lt;=4,AO70&gt;3),3,
IF(AND(AO70&lt;=3,AO70&gt;2),4,
IF(AND(AO70&lt;=2,AO70&gt;1),5,
IF(AND(AO70&lt;=1,AO70&gt;0),6,
IF(AND(AO70&lt;=0,AO70&gt;-1),7,
8))))))))</f>
        <v>3</v>
      </c>
      <c r="AQ70" s="354"/>
      <c r="AR70" s="238">
        <v>2016</v>
      </c>
      <c r="AS70" s="365" t="s">
        <v>16</v>
      </c>
      <c r="AT70" s="366" t="s">
        <v>1625</v>
      </c>
      <c r="AU70" s="366" t="s">
        <v>1</v>
      </c>
      <c r="AV70" s="366">
        <v>5208</v>
      </c>
      <c r="AW70" s="366">
        <v>37</v>
      </c>
      <c r="AX70" s="366">
        <v>15</v>
      </c>
      <c r="AY70" s="366">
        <v>20</v>
      </c>
      <c r="AZ70" s="366">
        <v>2</v>
      </c>
      <c r="BA70" s="366">
        <v>0</v>
      </c>
      <c r="BB70" s="366">
        <v>0</v>
      </c>
      <c r="BC70" s="366">
        <v>0</v>
      </c>
      <c r="BD70" s="366">
        <v>0</v>
      </c>
      <c r="BE70" s="366">
        <v>0</v>
      </c>
      <c r="BF70" s="366">
        <v>0</v>
      </c>
      <c r="BG70" s="366">
        <v>0</v>
      </c>
      <c r="BH70" s="366">
        <v>4</v>
      </c>
      <c r="BI70" s="367">
        <f>IFERROR(AV70/Instructions!$J$25,0)+AW70*Instructions!$J$27+AX70*Instructions!$J$29+IFERROR(AY70/Instructions!$E$34,0)+AZ70*Instructions!$E$36+Tier!BA70*Instructions!$E$25+IFERROR(BB70/Instructions!$E$27,0)+BC70*Instructions!$E$29+IFERROR((BD70+BF70)/Instructions!$J$32,0)+(BE70+BG70)*Instructions!$J$34+BH70*-2</f>
        <v>332.32</v>
      </c>
      <c r="BJ70" s="354"/>
      <c r="BK70" s="366">
        <v>2014</v>
      </c>
      <c r="BL70" s="370" t="s">
        <v>1695</v>
      </c>
      <c r="BM70" s="372" t="s">
        <v>163</v>
      </c>
      <c r="BN70" s="372" t="s">
        <v>3</v>
      </c>
      <c r="BO70" s="372">
        <v>0</v>
      </c>
      <c r="BP70" s="372">
        <v>0</v>
      </c>
      <c r="BQ70" s="372">
        <v>0</v>
      </c>
      <c r="BR70" s="372">
        <v>392</v>
      </c>
      <c r="BS70" s="372">
        <v>2</v>
      </c>
      <c r="BT70" s="372">
        <v>1</v>
      </c>
      <c r="BU70" s="372">
        <v>13</v>
      </c>
      <c r="BV70" s="372">
        <v>0</v>
      </c>
      <c r="BW70" s="372">
        <v>0</v>
      </c>
      <c r="BX70" s="372">
        <v>0</v>
      </c>
      <c r="BY70" s="372">
        <v>0</v>
      </c>
      <c r="BZ70" s="372">
        <v>0</v>
      </c>
      <c r="CA70" s="372">
        <v>1</v>
      </c>
      <c r="CB70" s="367">
        <f>IFERROR(BO70/Instructions!$J$25,0)+BP70*Instructions!$J$27+BQ70*Instructions!$J$29+IFERROR(BR70/Instructions!$E$34,0)+BS70*Instructions!$E$36+Tier!BT71*Instructions!$E$25+IFERROR(BU70/Instructions!$E$27,0)+BV70*Instructions!$E$29+IFERROR((BW70+BY70)/Instructions!$J$32,0)+(BX70+BZ70)*Instructions!$J$34+Tier!CA70*-2</f>
        <v>68.5</v>
      </c>
      <c r="CC70" s="354"/>
      <c r="CD70" s="321">
        <v>2014</v>
      </c>
      <c r="CE70" s="370" t="s">
        <v>1120</v>
      </c>
      <c r="CF70" s="371" t="s">
        <v>154</v>
      </c>
      <c r="CG70" s="371" t="s">
        <v>6</v>
      </c>
      <c r="CH70" s="371">
        <v>0</v>
      </c>
      <c r="CI70" s="371">
        <v>0</v>
      </c>
      <c r="CJ70" s="371">
        <v>0</v>
      </c>
      <c r="CK70" s="371">
        <v>0</v>
      </c>
      <c r="CL70" s="371">
        <v>0</v>
      </c>
      <c r="CM70" s="371">
        <v>36</v>
      </c>
      <c r="CN70" s="371">
        <v>418</v>
      </c>
      <c r="CO70" s="371">
        <v>2</v>
      </c>
      <c r="CP70" s="371">
        <v>53</v>
      </c>
      <c r="CQ70" s="371">
        <v>0</v>
      </c>
      <c r="CR70" s="371">
        <v>509</v>
      </c>
      <c r="CS70" s="371">
        <v>0</v>
      </c>
      <c r="CT70" s="371">
        <v>0</v>
      </c>
      <c r="CU70" s="367">
        <f>IFERROR(CH70/Instructions!$J$25,0)+CI70*Instructions!$J$27+CJ70*Instructions!$J$29+IFERROR(CK70/Instructions!$E$34,0)+CL70*Instructions!$E$36+Tier!CM70*Instructions!$E$25+IFERROR(CN70/Instructions!$E$27,0)+CO70*Instructions!$E$29+IFERROR((CP70+CR70)/Instructions!$J$32,0)+(CQ70+CS70)*Instructions!$J$34+Tier!CT70*-2</f>
        <v>89.8</v>
      </c>
      <c r="CV70" s="354"/>
      <c r="CW70" s="238">
        <v>2016</v>
      </c>
      <c r="CX70" s="365" t="s">
        <v>41</v>
      </c>
      <c r="CY70" s="366" t="s">
        <v>138</v>
      </c>
      <c r="CZ70" s="366" t="s">
        <v>7</v>
      </c>
      <c r="DA70" s="366">
        <v>0</v>
      </c>
      <c r="DB70" s="366">
        <v>0</v>
      </c>
      <c r="DC70" s="366">
        <v>0</v>
      </c>
      <c r="DD70" s="366">
        <v>0</v>
      </c>
      <c r="DE70" s="366">
        <v>0</v>
      </c>
      <c r="DF70" s="366">
        <v>83</v>
      </c>
      <c r="DG70" s="366">
        <v>840</v>
      </c>
      <c r="DH70" s="366">
        <v>7</v>
      </c>
      <c r="DI70" s="366">
        <v>0</v>
      </c>
      <c r="DJ70" s="366">
        <v>0</v>
      </c>
      <c r="DK70" s="366">
        <v>0</v>
      </c>
      <c r="DL70" s="366">
        <v>0</v>
      </c>
      <c r="DM70" s="366">
        <v>0</v>
      </c>
      <c r="DN70" s="367">
        <f>IFERROR(DA70/Instructions!$J$25,0)+DB70*Instructions!$J$27+DC70*Instructions!$J$29+IFERROR(DD70/Instructions!$E$34,0)+DE70*Instructions!$E$36+Tier!DF70*Instructions!$E$25+IFERROR(DG70/Instructions!$E$27,0)+DH70*Instructions!$E$29+IFERROR((DI70+DK70)/Instructions!$J$32,0)+(DJ70+DL70)*Instructions!$J$34+Tier!DM70*-2</f>
        <v>209</v>
      </c>
    </row>
    <row r="71" spans="1:118" s="366" customFormat="1" ht="15.75" customHeight="1" x14ac:dyDescent="0.25">
      <c r="A71" s="238"/>
      <c r="B71" s="238"/>
      <c r="C71" s="354"/>
      <c r="D71" s="365"/>
      <c r="F71" s="238">
        <v>2016</v>
      </c>
      <c r="G71" s="367">
        <f>LARGE($BI$68:$BI$99,4)</f>
        <v>303.70000000000005</v>
      </c>
      <c r="H71" s="355">
        <f t="shared" si="61"/>
        <v>43.760000000000048</v>
      </c>
      <c r="I71" s="356">
        <f t="shared" si="59"/>
        <v>1914.9376000000041</v>
      </c>
      <c r="J71" s="356">
        <f>J72+J68</f>
        <v>371.94</v>
      </c>
      <c r="K71" s="356">
        <f t="shared" si="62"/>
        <v>2.735000000000003</v>
      </c>
      <c r="L71" s="238">
        <f t="shared" si="63"/>
        <v>4</v>
      </c>
      <c r="M71" s="354"/>
      <c r="N71" s="372"/>
      <c r="O71" s="372"/>
      <c r="P71" s="366">
        <v>2014</v>
      </c>
      <c r="Q71" s="367">
        <f>LARGE($CB$2:$CB$151,70)</f>
        <v>57.8</v>
      </c>
      <c r="R71" s="357">
        <f t="shared" si="52"/>
        <v>-106.8</v>
      </c>
      <c r="S71" s="356">
        <f t="shared" si="47"/>
        <v>11406.24</v>
      </c>
      <c r="T71" s="238"/>
      <c r="U71" s="356">
        <f t="shared" si="54"/>
        <v>-6.6749999999999998</v>
      </c>
      <c r="V71" s="238">
        <f t="shared" si="55"/>
        <v>8</v>
      </c>
      <c r="W71" s="354"/>
      <c r="Z71" s="321">
        <v>2014</v>
      </c>
      <c r="AA71" s="367">
        <f>LARGE($CU$2:$CU$151,70)</f>
        <v>114</v>
      </c>
      <c r="AB71" s="357">
        <f t="shared" si="56"/>
        <v>-103.73333333333335</v>
      </c>
      <c r="AC71" s="356">
        <f t="shared" si="53"/>
        <v>10760.604444444447</v>
      </c>
      <c r="AD71" s="356"/>
      <c r="AE71" s="356">
        <f t="shared" si="57"/>
        <v>-6.4833333333333343</v>
      </c>
      <c r="AF71" s="238">
        <f t="shared" si="58"/>
        <v>8</v>
      </c>
      <c r="AG71" s="354"/>
      <c r="AJ71" s="238">
        <v>2016</v>
      </c>
      <c r="AK71" s="367">
        <f>LARGE($DN$68:$DN$99,4)</f>
        <v>193.3</v>
      </c>
      <c r="AL71" s="373">
        <f t="shared" si="64"/>
        <v>43.5</v>
      </c>
      <c r="AM71" s="374">
        <f t="shared" si="60"/>
        <v>1892.25</v>
      </c>
      <c r="AN71" s="356">
        <f>AN72+AN68</f>
        <v>261.8</v>
      </c>
      <c r="AO71" s="374">
        <f t="shared" si="65"/>
        <v>2.71875</v>
      </c>
      <c r="AP71" s="238">
        <f t="shared" si="66"/>
        <v>4</v>
      </c>
      <c r="AQ71" s="354"/>
      <c r="AR71" s="238">
        <v>2016</v>
      </c>
      <c r="AS71" s="365" t="s">
        <v>20</v>
      </c>
      <c r="AT71" s="366" t="s">
        <v>158</v>
      </c>
      <c r="AU71" s="366" t="s">
        <v>1</v>
      </c>
      <c r="AV71" s="366">
        <v>4240</v>
      </c>
      <c r="AW71" s="366">
        <v>31</v>
      </c>
      <c r="AX71" s="366">
        <v>13</v>
      </c>
      <c r="AY71" s="366">
        <v>341</v>
      </c>
      <c r="AZ71" s="366">
        <v>2</v>
      </c>
      <c r="BA71" s="366">
        <v>0</v>
      </c>
      <c r="BB71" s="366">
        <v>0</v>
      </c>
      <c r="BC71" s="366">
        <v>0</v>
      </c>
      <c r="BD71" s="366">
        <v>0</v>
      </c>
      <c r="BE71" s="366">
        <v>0</v>
      </c>
      <c r="BF71" s="366">
        <v>0</v>
      </c>
      <c r="BG71" s="366">
        <v>0</v>
      </c>
      <c r="BH71" s="366">
        <v>5</v>
      </c>
      <c r="BI71" s="367">
        <f>IFERROR(AV71/Instructions!$J$25,0)+AW71*Instructions!$J$27+AX71*Instructions!$J$29+IFERROR(AY71/Instructions!$E$34,0)+AZ71*Instructions!$E$36+Tier!BA71*Instructions!$E$25+IFERROR(BB71/Instructions!$E$27,0)+BC71*Instructions!$E$29+IFERROR((BD71+BF71)/Instructions!$J$32,0)+(BE71+BG71)*Instructions!$J$34+BH71*-2</f>
        <v>303.70000000000005</v>
      </c>
      <c r="BJ71" s="354"/>
      <c r="BK71" s="366">
        <v>2014</v>
      </c>
      <c r="BL71" s="370" t="s">
        <v>1653</v>
      </c>
      <c r="BM71" s="372" t="s">
        <v>150</v>
      </c>
      <c r="BN71" s="372" t="s">
        <v>3</v>
      </c>
      <c r="BO71" s="372">
        <v>0</v>
      </c>
      <c r="BP71" s="372">
        <v>0</v>
      </c>
      <c r="BQ71" s="372">
        <v>0</v>
      </c>
      <c r="BR71" s="372">
        <v>293</v>
      </c>
      <c r="BS71" s="372">
        <v>1</v>
      </c>
      <c r="BT71" s="372">
        <v>18</v>
      </c>
      <c r="BU71" s="372">
        <v>152</v>
      </c>
      <c r="BV71" s="372">
        <v>0</v>
      </c>
      <c r="BW71" s="372">
        <v>0</v>
      </c>
      <c r="BX71" s="372">
        <v>0</v>
      </c>
      <c r="BY71" s="372">
        <v>0</v>
      </c>
      <c r="BZ71" s="372">
        <v>0</v>
      </c>
      <c r="CA71" s="372">
        <v>2</v>
      </c>
      <c r="CB71" s="367">
        <f>IFERROR(BO71/Instructions!$J$25,0)+BP71*Instructions!$J$27+BQ71*Instructions!$J$29+IFERROR(BR71/Instructions!$E$34,0)+BS71*Instructions!$E$36+Tier!BT72*Instructions!$E$25+IFERROR(BU71/Instructions!$E$27,0)+BV71*Instructions!$E$29+IFERROR((BW71+BY71)/Instructions!$J$32,0)+(BX71+BZ71)*Instructions!$J$34+Tier!CA71*-2</f>
        <v>75.5</v>
      </c>
      <c r="CC71" s="354"/>
      <c r="CD71" s="321">
        <v>2014</v>
      </c>
      <c r="CE71" s="370" t="s">
        <v>1678</v>
      </c>
      <c r="CF71" s="371" t="s">
        <v>137</v>
      </c>
      <c r="CG71" s="371" t="s">
        <v>6</v>
      </c>
      <c r="CH71" s="371">
        <v>0</v>
      </c>
      <c r="CI71" s="371">
        <v>0</v>
      </c>
      <c r="CJ71" s="371">
        <v>0</v>
      </c>
      <c r="CK71" s="371">
        <v>0</v>
      </c>
      <c r="CL71" s="371">
        <v>0</v>
      </c>
      <c r="CM71" s="371">
        <v>55</v>
      </c>
      <c r="CN71" s="371">
        <v>577</v>
      </c>
      <c r="CO71" s="371">
        <v>3</v>
      </c>
      <c r="CP71" s="371">
        <v>0</v>
      </c>
      <c r="CQ71" s="371">
        <v>0</v>
      </c>
      <c r="CR71" s="371">
        <v>0</v>
      </c>
      <c r="CS71" s="371">
        <v>0</v>
      </c>
      <c r="CT71" s="371">
        <v>1</v>
      </c>
      <c r="CU71" s="367">
        <f>IFERROR(CH71/Instructions!$J$25,0)+CI71*Instructions!$J$27+CJ71*Instructions!$J$29+IFERROR(CK71/Instructions!$E$34,0)+CL71*Instructions!$E$36+Tier!CM71*Instructions!$E$25+IFERROR(CN71/Instructions!$E$27,0)+CO71*Instructions!$E$29+IFERROR((CP71+CR71)/Instructions!$J$32,0)+(CQ71+CS71)*Instructions!$J$34+Tier!CT71*-2</f>
        <v>128.69999999999999</v>
      </c>
      <c r="CV71" s="354"/>
      <c r="CW71" s="238">
        <v>2016</v>
      </c>
      <c r="CX71" s="365" t="s">
        <v>30</v>
      </c>
      <c r="CY71" s="366" t="s">
        <v>159</v>
      </c>
      <c r="CZ71" s="366" t="s">
        <v>7</v>
      </c>
      <c r="DA71" s="366">
        <v>0</v>
      </c>
      <c r="DB71" s="366">
        <v>0</v>
      </c>
      <c r="DC71" s="366">
        <v>0</v>
      </c>
      <c r="DD71" s="366">
        <v>0</v>
      </c>
      <c r="DE71" s="366">
        <v>0</v>
      </c>
      <c r="DF71" s="366">
        <v>80</v>
      </c>
      <c r="DG71" s="366">
        <v>1073</v>
      </c>
      <c r="DH71" s="366">
        <v>3</v>
      </c>
      <c r="DI71" s="366">
        <v>0</v>
      </c>
      <c r="DJ71" s="366">
        <v>0</v>
      </c>
      <c r="DK71" s="366">
        <v>0</v>
      </c>
      <c r="DL71" s="366">
        <v>0</v>
      </c>
      <c r="DM71" s="366">
        <v>0</v>
      </c>
      <c r="DN71" s="367">
        <f>IFERROR(DA71/Instructions!$J$25,0)+DB71*Instructions!$J$27+DC71*Instructions!$J$29+IFERROR(DD71/Instructions!$E$34,0)+DE71*Instructions!$E$36+Tier!DF71*Instructions!$E$25+IFERROR(DG71/Instructions!$E$27,0)+DH71*Instructions!$E$29+IFERROR((DI71+DK71)/Instructions!$J$32,0)+(DJ71+DL71)*Instructions!$J$34+Tier!DM71*-2</f>
        <v>205.3</v>
      </c>
    </row>
    <row r="72" spans="1:118" s="366" customFormat="1" ht="15.75" customHeight="1" x14ac:dyDescent="0.25">
      <c r="A72" s="238"/>
      <c r="B72" s="238"/>
      <c r="C72" s="354"/>
      <c r="D72" s="370"/>
      <c r="E72" s="371"/>
      <c r="F72" s="238">
        <v>2016</v>
      </c>
      <c r="G72" s="367">
        <f>LARGE($BI$68:$BI$99,5)</f>
        <v>300.28000000000003</v>
      </c>
      <c r="H72" s="355">
        <f t="shared" si="61"/>
        <v>40.340000000000032</v>
      </c>
      <c r="I72" s="356">
        <f t="shared" si="59"/>
        <v>1627.3156000000026</v>
      </c>
      <c r="J72" s="356">
        <f>J73+J68</f>
        <v>355.94</v>
      </c>
      <c r="K72" s="356">
        <f t="shared" si="62"/>
        <v>2.521250000000002</v>
      </c>
      <c r="L72" s="238">
        <f t="shared" si="63"/>
        <v>4</v>
      </c>
      <c r="M72" s="354"/>
      <c r="N72" s="372"/>
      <c r="O72" s="372"/>
      <c r="P72" s="366">
        <v>2014</v>
      </c>
      <c r="Q72" s="367">
        <f>LARGE($CB$2:$CB$151,71)</f>
        <v>56.800000000000004</v>
      </c>
      <c r="R72" s="357">
        <f t="shared" si="52"/>
        <v>-107.79999999999998</v>
      </c>
      <c r="S72" s="356">
        <f t="shared" si="47"/>
        <v>11620.839999999997</v>
      </c>
      <c r="T72" s="238"/>
      <c r="U72" s="356">
        <f t="shared" si="54"/>
        <v>-6.7374999999999989</v>
      </c>
      <c r="V72" s="238">
        <f t="shared" si="55"/>
        <v>8</v>
      </c>
      <c r="W72" s="354"/>
      <c r="Z72" s="321">
        <v>2014</v>
      </c>
      <c r="AA72" s="367">
        <f>LARGE($CU$2:$CU$151,71)</f>
        <v>113.60000000000001</v>
      </c>
      <c r="AB72" s="357">
        <f t="shared" si="56"/>
        <v>-104.13333333333334</v>
      </c>
      <c r="AC72" s="356">
        <f t="shared" si="53"/>
        <v>10843.751111111113</v>
      </c>
      <c r="AD72" s="356"/>
      <c r="AE72" s="356">
        <f t="shared" si="57"/>
        <v>-6.5083333333333337</v>
      </c>
      <c r="AF72" s="238">
        <f t="shared" si="58"/>
        <v>8</v>
      </c>
      <c r="AG72" s="354"/>
      <c r="AH72" s="372"/>
      <c r="AI72" s="372"/>
      <c r="AJ72" s="238">
        <v>2016</v>
      </c>
      <c r="AK72" s="367">
        <f>LARGE($DN$68:$DN$99,5)</f>
        <v>188.1</v>
      </c>
      <c r="AL72" s="373">
        <f t="shared" si="64"/>
        <v>38.299999999999983</v>
      </c>
      <c r="AM72" s="374">
        <f t="shared" si="60"/>
        <v>1466.8899999999987</v>
      </c>
      <c r="AN72" s="356">
        <f>AN73+AN68</f>
        <v>245.8</v>
      </c>
      <c r="AO72" s="374">
        <f t="shared" si="65"/>
        <v>2.3937499999999989</v>
      </c>
      <c r="AP72" s="238">
        <f t="shared" si="66"/>
        <v>4</v>
      </c>
      <c r="AQ72" s="354"/>
      <c r="AR72" s="238">
        <v>2016</v>
      </c>
      <c r="AS72" s="365" t="s">
        <v>177</v>
      </c>
      <c r="AT72" s="366" t="s">
        <v>152</v>
      </c>
      <c r="AU72" s="366" t="s">
        <v>1</v>
      </c>
      <c r="AV72" s="366">
        <v>4917</v>
      </c>
      <c r="AW72" s="366">
        <v>25</v>
      </c>
      <c r="AX72" s="366">
        <v>12</v>
      </c>
      <c r="AY72" s="366">
        <v>96</v>
      </c>
      <c r="AZ72" s="366">
        <v>4</v>
      </c>
      <c r="BA72" s="366">
        <v>0</v>
      </c>
      <c r="BB72" s="366">
        <v>0</v>
      </c>
      <c r="BC72" s="366">
        <v>0</v>
      </c>
      <c r="BD72" s="366">
        <v>0</v>
      </c>
      <c r="BE72" s="366">
        <v>0</v>
      </c>
      <c r="BF72" s="366">
        <v>0</v>
      </c>
      <c r="BG72" s="366">
        <v>0</v>
      </c>
      <c r="BH72" s="366">
        <v>3</v>
      </c>
      <c r="BI72" s="367">
        <f>IFERROR(AV72/Instructions!$J$25,0)+AW72*Instructions!$J$27+AX72*Instructions!$J$29+IFERROR(AY72/Instructions!$E$34,0)+AZ72*Instructions!$E$36+Tier!BA72*Instructions!$E$25+IFERROR(BB72/Instructions!$E$27,0)+BC72*Instructions!$E$29+IFERROR((BD72+BF72)/Instructions!$J$32,0)+(BE72+BG72)*Instructions!$J$34+BH72*-2</f>
        <v>300.28000000000003</v>
      </c>
      <c r="BJ72" s="354"/>
      <c r="BK72" s="366">
        <v>2014</v>
      </c>
      <c r="BL72" s="370" t="s">
        <v>976</v>
      </c>
      <c r="BM72" s="372" t="s">
        <v>148</v>
      </c>
      <c r="BN72" s="372" t="s">
        <v>3</v>
      </c>
      <c r="BO72" s="372">
        <v>0</v>
      </c>
      <c r="BP72" s="372">
        <v>0</v>
      </c>
      <c r="BQ72" s="372">
        <v>0</v>
      </c>
      <c r="BR72" s="372">
        <v>217</v>
      </c>
      <c r="BS72" s="372">
        <v>1</v>
      </c>
      <c r="BT72" s="372">
        <v>29</v>
      </c>
      <c r="BU72" s="372">
        <v>173</v>
      </c>
      <c r="BV72" s="372">
        <v>1</v>
      </c>
      <c r="BW72" s="372">
        <v>0</v>
      </c>
      <c r="BX72" s="372">
        <v>0</v>
      </c>
      <c r="BY72" s="372">
        <v>10</v>
      </c>
      <c r="BZ72" s="372">
        <v>0</v>
      </c>
      <c r="CA72" s="372">
        <v>0</v>
      </c>
      <c r="CB72" s="367">
        <f>IFERROR(BO72/Instructions!$J$25,0)+BP72*Instructions!$J$27+BQ72*Instructions!$J$29+IFERROR(BR72/Instructions!$E$34,0)+BS72*Instructions!$E$36+Tier!BT73*Instructions!$E$25+IFERROR(BU72/Instructions!$E$27,0)+BV72*Instructions!$E$29+IFERROR((BW72+BY72)/Instructions!$J$32,0)+(BX72+BZ72)*Instructions!$J$34+Tier!CA72*-2</f>
        <v>53</v>
      </c>
      <c r="CC72" s="354"/>
      <c r="CD72" s="321">
        <v>2014</v>
      </c>
      <c r="CE72" s="370" t="s">
        <v>1724</v>
      </c>
      <c r="CF72" s="371" t="s">
        <v>1629</v>
      </c>
      <c r="CG72" s="371" t="s">
        <v>6</v>
      </c>
      <c r="CH72" s="371">
        <v>0</v>
      </c>
      <c r="CI72" s="371">
        <v>0</v>
      </c>
      <c r="CJ72" s="371">
        <v>0</v>
      </c>
      <c r="CK72" s="371">
        <v>0</v>
      </c>
      <c r="CL72" s="371">
        <v>0</v>
      </c>
      <c r="CM72" s="371">
        <v>60</v>
      </c>
      <c r="CN72" s="371">
        <v>754</v>
      </c>
      <c r="CO72" s="371">
        <v>0</v>
      </c>
      <c r="CP72" s="371">
        <v>0</v>
      </c>
      <c r="CQ72" s="371">
        <v>0</v>
      </c>
      <c r="CR72" s="371">
        <v>0</v>
      </c>
      <c r="CS72" s="371">
        <v>0</v>
      </c>
      <c r="CT72" s="371">
        <v>0</v>
      </c>
      <c r="CU72" s="367">
        <f>IFERROR(CH72/Instructions!$J$25,0)+CI72*Instructions!$J$27+CJ72*Instructions!$J$29+IFERROR(CK72/Instructions!$E$34,0)+CL72*Instructions!$E$36+Tier!CM72*Instructions!$E$25+IFERROR(CN72/Instructions!$E$27,0)+CO72*Instructions!$E$29+IFERROR((CP72+CR72)/Instructions!$J$32,0)+(CQ72+CS72)*Instructions!$J$34+Tier!CT72*-2</f>
        <v>135.4</v>
      </c>
      <c r="CV72" s="354"/>
      <c r="CW72" s="238">
        <v>2016</v>
      </c>
      <c r="CX72" s="365" t="s">
        <v>220</v>
      </c>
      <c r="CY72" s="366" t="s">
        <v>163</v>
      </c>
      <c r="CZ72" s="366" t="s">
        <v>7</v>
      </c>
      <c r="DA72" s="366">
        <v>0</v>
      </c>
      <c r="DB72" s="366">
        <v>0</v>
      </c>
      <c r="DC72" s="366">
        <v>0</v>
      </c>
      <c r="DD72" s="366">
        <v>11</v>
      </c>
      <c r="DE72" s="366">
        <v>0</v>
      </c>
      <c r="DF72" s="366">
        <v>65</v>
      </c>
      <c r="DG72" s="366">
        <v>800</v>
      </c>
      <c r="DH72" s="366">
        <v>7</v>
      </c>
      <c r="DI72" s="366">
        <v>0</v>
      </c>
      <c r="DJ72" s="366">
        <v>0</v>
      </c>
      <c r="DK72" s="366">
        <v>0</v>
      </c>
      <c r="DL72" s="366">
        <v>0</v>
      </c>
      <c r="DM72" s="366">
        <v>0</v>
      </c>
      <c r="DN72" s="367">
        <f>IFERROR(DA72/Instructions!$J$25,0)+DB72*Instructions!$J$27+DC72*Instructions!$J$29+IFERROR(DD72/Instructions!$E$34,0)+DE72*Instructions!$E$36+Tier!DF72*Instructions!$E$25+IFERROR(DG72/Instructions!$E$27,0)+DH72*Instructions!$E$29+IFERROR((DI72+DK72)/Instructions!$J$32,0)+(DJ72+DL72)*Instructions!$J$34+Tier!DM72*-2</f>
        <v>188.1</v>
      </c>
    </row>
    <row r="73" spans="1:118" s="366" customFormat="1" ht="15.75" customHeight="1" x14ac:dyDescent="0.25">
      <c r="A73" s="238"/>
      <c r="B73" s="238"/>
      <c r="C73" s="354"/>
      <c r="D73" s="370"/>
      <c r="E73" s="371"/>
      <c r="F73" s="238">
        <v>2016</v>
      </c>
      <c r="G73" s="367">
        <f>LARGE($BI$68:$BI$99,6)</f>
        <v>286.88</v>
      </c>
      <c r="H73" s="355">
        <f t="shared" si="61"/>
        <v>26.939999999999998</v>
      </c>
      <c r="I73" s="356">
        <f t="shared" si="59"/>
        <v>725.76359999999988</v>
      </c>
      <c r="J73" s="356">
        <f>J74+J68</f>
        <v>339.94</v>
      </c>
      <c r="K73" s="356">
        <f t="shared" si="62"/>
        <v>1.6837499999999999</v>
      </c>
      <c r="L73" s="238">
        <f t="shared" si="63"/>
        <v>5</v>
      </c>
      <c r="M73" s="354"/>
      <c r="N73" s="372"/>
      <c r="O73" s="372"/>
      <c r="P73" s="366">
        <v>2014</v>
      </c>
      <c r="Q73" s="367">
        <f>LARGE($CB$2:$CB$151,72)</f>
        <v>54.9</v>
      </c>
      <c r="R73" s="357">
        <f t="shared" si="52"/>
        <v>-109.69999999999999</v>
      </c>
      <c r="S73" s="356">
        <f t="shared" si="47"/>
        <v>12034.089999999998</v>
      </c>
      <c r="T73" s="238"/>
      <c r="U73" s="356">
        <f t="shared" si="54"/>
        <v>-6.8562499999999993</v>
      </c>
      <c r="V73" s="238">
        <f t="shared" si="55"/>
        <v>8</v>
      </c>
      <c r="W73" s="354"/>
      <c r="Z73" s="321">
        <v>2014</v>
      </c>
      <c r="AA73" s="367">
        <f>LARGE($CU$2:$CU$151,72)</f>
        <v>112</v>
      </c>
      <c r="AB73" s="357">
        <f t="shared" si="56"/>
        <v>-105.73333333333335</v>
      </c>
      <c r="AC73" s="356">
        <f t="shared" si="53"/>
        <v>11179.537777777781</v>
      </c>
      <c r="AD73" s="356"/>
      <c r="AE73" s="356">
        <f t="shared" si="57"/>
        <v>-6.6083333333333343</v>
      </c>
      <c r="AF73" s="238">
        <f t="shared" si="58"/>
        <v>8</v>
      </c>
      <c r="AG73" s="354"/>
      <c r="AH73" s="372"/>
      <c r="AI73" s="372"/>
      <c r="AJ73" s="238">
        <v>2016</v>
      </c>
      <c r="AK73" s="367">
        <f>LARGE($DN$68:$DN$99,6)</f>
        <v>183.6</v>
      </c>
      <c r="AL73" s="373">
        <f t="shared" si="64"/>
        <v>33.799999999999983</v>
      </c>
      <c r="AM73" s="374">
        <f t="shared" si="60"/>
        <v>1142.4399999999989</v>
      </c>
      <c r="AN73" s="356">
        <f>AN74+AN68</f>
        <v>229.8</v>
      </c>
      <c r="AO73" s="374">
        <f t="shared" si="65"/>
        <v>2.1124999999999989</v>
      </c>
      <c r="AP73" s="238">
        <f t="shared" si="66"/>
        <v>4</v>
      </c>
      <c r="AQ73" s="354"/>
      <c r="AR73" s="238">
        <v>2016</v>
      </c>
      <c r="AS73" s="365" t="s">
        <v>1295</v>
      </c>
      <c r="AT73" s="366" t="s">
        <v>146</v>
      </c>
      <c r="AU73" s="366" t="s">
        <v>1</v>
      </c>
      <c r="AV73" s="366">
        <v>3667</v>
      </c>
      <c r="AW73" s="366">
        <v>23</v>
      </c>
      <c r="AX73" s="366">
        <v>4</v>
      </c>
      <c r="AY73" s="366">
        <v>282</v>
      </c>
      <c r="AZ73" s="366">
        <v>6</v>
      </c>
      <c r="BA73" s="366">
        <v>0</v>
      </c>
      <c r="BB73" s="366">
        <v>0</v>
      </c>
      <c r="BC73" s="366">
        <v>0</v>
      </c>
      <c r="BD73" s="366">
        <v>0</v>
      </c>
      <c r="BE73" s="366">
        <v>0</v>
      </c>
      <c r="BF73" s="366">
        <v>0</v>
      </c>
      <c r="BG73" s="366">
        <v>0</v>
      </c>
      <c r="BH73" s="366">
        <v>4</v>
      </c>
      <c r="BI73" s="367">
        <f>IFERROR(AV73/Instructions!$J$25,0)+AW73*Instructions!$J$27+AX73*Instructions!$J$29+IFERROR(AY73/Instructions!$E$34,0)+AZ73*Instructions!$E$36+Tier!BA73*Instructions!$E$25+IFERROR(BB73/Instructions!$E$27,0)+BC73*Instructions!$E$29+IFERROR((BD73+BF73)/Instructions!$J$32,0)+(BE73+BG73)*Instructions!$J$34+BH73*-2</f>
        <v>286.88</v>
      </c>
      <c r="BJ73" s="354"/>
      <c r="BK73" s="366">
        <v>2014</v>
      </c>
      <c r="BL73" s="370" t="s">
        <v>103</v>
      </c>
      <c r="BM73" s="372" t="s">
        <v>162</v>
      </c>
      <c r="BN73" s="372" t="s">
        <v>3</v>
      </c>
      <c r="BO73" s="372">
        <v>0</v>
      </c>
      <c r="BP73" s="372">
        <v>0</v>
      </c>
      <c r="BQ73" s="372">
        <v>0</v>
      </c>
      <c r="BR73" s="372">
        <v>366</v>
      </c>
      <c r="BS73" s="372">
        <v>2</v>
      </c>
      <c r="BT73" s="372">
        <v>2</v>
      </c>
      <c r="BU73" s="372">
        <v>13</v>
      </c>
      <c r="BV73" s="372">
        <v>0</v>
      </c>
      <c r="BW73" s="372">
        <v>0</v>
      </c>
      <c r="BX73" s="372">
        <v>0</v>
      </c>
      <c r="BY73" s="372">
        <v>0</v>
      </c>
      <c r="BZ73" s="372">
        <v>0</v>
      </c>
      <c r="CA73" s="372">
        <v>1</v>
      </c>
      <c r="CB73" s="367">
        <f>IFERROR(BO73/Instructions!$J$25,0)+BP73*Instructions!$J$27+BQ73*Instructions!$J$29+IFERROR(BR73/Instructions!$E$34,0)+BS73*Instructions!$E$36+Tier!BT74*Instructions!$E$25+IFERROR(BU73/Instructions!$E$27,0)+BV73*Instructions!$E$29+IFERROR((BW73+BY73)/Instructions!$J$32,0)+(BX73+BZ73)*Instructions!$J$34+Tier!CA73*-2</f>
        <v>51.9</v>
      </c>
      <c r="CC73" s="354"/>
      <c r="CD73" s="321">
        <v>2014</v>
      </c>
      <c r="CE73" s="370" t="s">
        <v>1641</v>
      </c>
      <c r="CF73" s="371" t="s">
        <v>159</v>
      </c>
      <c r="CG73" s="371" t="s">
        <v>6</v>
      </c>
      <c r="CH73" s="371">
        <v>0</v>
      </c>
      <c r="CI73" s="371">
        <v>0</v>
      </c>
      <c r="CJ73" s="371">
        <v>0</v>
      </c>
      <c r="CK73" s="371">
        <v>95</v>
      </c>
      <c r="CL73" s="371">
        <v>0</v>
      </c>
      <c r="CM73" s="371">
        <v>21</v>
      </c>
      <c r="CN73" s="371">
        <v>296</v>
      </c>
      <c r="CO73" s="371">
        <v>2</v>
      </c>
      <c r="CP73" s="371">
        <v>153</v>
      </c>
      <c r="CQ73" s="371">
        <v>1</v>
      </c>
      <c r="CR73" s="371">
        <v>273</v>
      </c>
      <c r="CS73" s="371">
        <v>0</v>
      </c>
      <c r="CT73" s="371">
        <v>0</v>
      </c>
      <c r="CU73" s="367">
        <f>IFERROR(CH73/Instructions!$J$25,0)+CI73*Instructions!$J$27+CJ73*Instructions!$J$29+IFERROR(CK73/Instructions!$E$34,0)+CL73*Instructions!$E$36+Tier!CM73*Instructions!$E$25+IFERROR(CN73/Instructions!$E$27,0)+CO73*Instructions!$E$29+IFERROR((CP73+CR73)/Instructions!$J$32,0)+(CQ73+CS73)*Instructions!$J$34+Tier!CT73*-2</f>
        <v>78.099999999999994</v>
      </c>
      <c r="CV73" s="354"/>
      <c r="CW73" s="238">
        <v>2016</v>
      </c>
      <c r="CX73" s="365" t="s">
        <v>1297</v>
      </c>
      <c r="CY73" s="366" t="s">
        <v>1627</v>
      </c>
      <c r="CZ73" s="366" t="s">
        <v>7</v>
      </c>
      <c r="DA73" s="366">
        <v>0</v>
      </c>
      <c r="DB73" s="366">
        <v>0</v>
      </c>
      <c r="DC73" s="366">
        <v>0</v>
      </c>
      <c r="DD73" s="366">
        <v>0</v>
      </c>
      <c r="DE73" s="366">
        <v>0</v>
      </c>
      <c r="DF73" s="366">
        <v>57</v>
      </c>
      <c r="DG73" s="366">
        <v>660</v>
      </c>
      <c r="DH73" s="366">
        <v>8</v>
      </c>
      <c r="DI73" s="366">
        <v>0</v>
      </c>
      <c r="DJ73" s="366">
        <v>0</v>
      </c>
      <c r="DK73" s="366">
        <v>0</v>
      </c>
      <c r="DL73" s="366">
        <v>0</v>
      </c>
      <c r="DM73" s="366">
        <v>0</v>
      </c>
      <c r="DN73" s="367">
        <f>IFERROR(DA73/Instructions!$J$25,0)+DB73*Instructions!$J$27+DC73*Instructions!$J$29+IFERROR(DD73/Instructions!$E$34,0)+DE73*Instructions!$E$36+Tier!DF73*Instructions!$E$25+IFERROR(DG73/Instructions!$E$27,0)+DH73*Instructions!$E$29+IFERROR((DI73+DK73)/Instructions!$J$32,0)+(DJ73+DL73)*Instructions!$J$34+Tier!DM73*-2</f>
        <v>171</v>
      </c>
    </row>
    <row r="74" spans="1:118" s="366" customFormat="1" ht="15.75" customHeight="1" x14ac:dyDescent="0.25">
      <c r="A74" s="238"/>
      <c r="B74" s="238"/>
      <c r="C74" s="354"/>
      <c r="D74" s="370"/>
      <c r="E74" s="371"/>
      <c r="F74" s="238">
        <v>2016</v>
      </c>
      <c r="G74" s="367">
        <f>LARGE($BI$68:$BI$99,7)</f>
        <v>277.78000000000003</v>
      </c>
      <c r="H74" s="355">
        <f t="shared" si="61"/>
        <v>17.840000000000032</v>
      </c>
      <c r="I74" s="356">
        <f t="shared" si="59"/>
        <v>318.26560000000114</v>
      </c>
      <c r="J74" s="356">
        <f>J75+J68</f>
        <v>323.94</v>
      </c>
      <c r="K74" s="356">
        <f t="shared" si="62"/>
        <v>1.115000000000002</v>
      </c>
      <c r="L74" s="238">
        <f t="shared" si="63"/>
        <v>5</v>
      </c>
      <c r="M74" s="354"/>
      <c r="N74" s="372"/>
      <c r="O74" s="372"/>
      <c r="P74" s="366">
        <v>2014</v>
      </c>
      <c r="Q74" s="367">
        <f>LARGE($CB$2:$CB$151,73)</f>
        <v>53.7</v>
      </c>
      <c r="R74" s="357">
        <f t="shared" si="52"/>
        <v>-110.89999999999999</v>
      </c>
      <c r="S74" s="356">
        <f t="shared" si="47"/>
        <v>12298.809999999998</v>
      </c>
      <c r="T74" s="238"/>
      <c r="U74" s="356">
        <f t="shared" si="54"/>
        <v>-6.9312499999999995</v>
      </c>
      <c r="V74" s="238">
        <f t="shared" si="55"/>
        <v>8</v>
      </c>
      <c r="W74" s="354"/>
      <c r="Z74" s="321">
        <v>2014</v>
      </c>
      <c r="AA74" s="367">
        <f>LARGE($CU$2:$CU$151,73)</f>
        <v>107.4</v>
      </c>
      <c r="AB74" s="357">
        <f t="shared" si="56"/>
        <v>-110.33333333333334</v>
      </c>
      <c r="AC74" s="356">
        <f t="shared" si="53"/>
        <v>12173.444444444447</v>
      </c>
      <c r="AD74" s="356"/>
      <c r="AE74" s="356">
        <f t="shared" si="57"/>
        <v>-6.8958333333333339</v>
      </c>
      <c r="AF74" s="238">
        <f t="shared" si="58"/>
        <v>8</v>
      </c>
      <c r="AG74" s="354"/>
      <c r="AH74" s="372"/>
      <c r="AI74" s="372"/>
      <c r="AJ74" s="238">
        <v>2016</v>
      </c>
      <c r="AK74" s="367">
        <f>LARGE($DN$68:$DN$99,7)</f>
        <v>171</v>
      </c>
      <c r="AL74" s="373">
        <f t="shared" si="64"/>
        <v>21.199999999999989</v>
      </c>
      <c r="AM74" s="374">
        <f t="shared" si="60"/>
        <v>449.43999999999954</v>
      </c>
      <c r="AN74" s="356">
        <f>AN75+AN68</f>
        <v>213.8</v>
      </c>
      <c r="AO74" s="374">
        <f t="shared" si="65"/>
        <v>1.3249999999999993</v>
      </c>
      <c r="AP74" s="238">
        <f t="shared" si="66"/>
        <v>5</v>
      </c>
      <c r="AQ74" s="354"/>
      <c r="AR74" s="238">
        <v>2016</v>
      </c>
      <c r="AS74" s="365" t="s">
        <v>24</v>
      </c>
      <c r="AT74" s="366" t="s">
        <v>142</v>
      </c>
      <c r="AU74" s="366" t="s">
        <v>1</v>
      </c>
      <c r="AV74" s="366">
        <v>4327</v>
      </c>
      <c r="AW74" s="366">
        <v>24</v>
      </c>
      <c r="AX74" s="366">
        <v>10</v>
      </c>
      <c r="AY74" s="366">
        <v>207</v>
      </c>
      <c r="AZ74" s="366">
        <v>2</v>
      </c>
      <c r="BA74" s="366">
        <v>0</v>
      </c>
      <c r="BB74" s="366">
        <v>0</v>
      </c>
      <c r="BC74" s="366">
        <v>0</v>
      </c>
      <c r="BD74" s="366">
        <v>0</v>
      </c>
      <c r="BE74" s="366">
        <v>0</v>
      </c>
      <c r="BF74" s="366">
        <v>0</v>
      </c>
      <c r="BG74" s="366">
        <v>0</v>
      </c>
      <c r="BH74" s="366">
        <v>2</v>
      </c>
      <c r="BI74" s="367">
        <f>IFERROR(AV74/Instructions!$J$25,0)+AW74*Instructions!$J$27+AX74*Instructions!$J$29+IFERROR(AY74/Instructions!$E$34,0)+AZ74*Instructions!$E$36+Tier!BA74*Instructions!$E$25+IFERROR(BB74/Instructions!$E$27,0)+BC74*Instructions!$E$29+IFERROR((BD74+BF74)/Instructions!$J$32,0)+(BE74+BG74)*Instructions!$J$34+BH74*-2</f>
        <v>277.78000000000003</v>
      </c>
      <c r="BJ74" s="354"/>
      <c r="BK74" s="366">
        <v>2014</v>
      </c>
      <c r="BL74" s="370" t="s">
        <v>1663</v>
      </c>
      <c r="BM74" s="372" t="s">
        <v>1628</v>
      </c>
      <c r="BN74" s="372" t="s">
        <v>3</v>
      </c>
      <c r="BO74" s="372">
        <v>0</v>
      </c>
      <c r="BP74" s="372">
        <v>0</v>
      </c>
      <c r="BQ74" s="372">
        <v>0</v>
      </c>
      <c r="BR74" s="372">
        <v>340</v>
      </c>
      <c r="BS74" s="372">
        <v>2</v>
      </c>
      <c r="BT74" s="372">
        <v>4</v>
      </c>
      <c r="BU74" s="372">
        <v>20</v>
      </c>
      <c r="BV74" s="372">
        <v>0</v>
      </c>
      <c r="BW74" s="372">
        <v>0</v>
      </c>
      <c r="BX74" s="372">
        <v>0</v>
      </c>
      <c r="BY74" s="372">
        <v>0</v>
      </c>
      <c r="BZ74" s="372">
        <v>0</v>
      </c>
      <c r="CA74" s="372">
        <v>0</v>
      </c>
      <c r="CB74" s="367">
        <f>IFERROR(BO74/Instructions!$J$25,0)+BP74*Instructions!$J$27+BQ74*Instructions!$J$29+IFERROR(BR74/Instructions!$E$34,0)+BS74*Instructions!$E$36+Tier!BT75*Instructions!$E$25+IFERROR(BU74/Instructions!$E$27,0)+BV74*Instructions!$E$29+IFERROR((BW74+BY74)/Instructions!$J$32,0)+(BX74+BZ74)*Instructions!$J$34+Tier!CA74*-2</f>
        <v>52</v>
      </c>
      <c r="CC74" s="354"/>
      <c r="CD74" s="321">
        <v>2014</v>
      </c>
      <c r="CE74" s="370" t="s">
        <v>1118</v>
      </c>
      <c r="CF74" s="371" t="s">
        <v>161</v>
      </c>
      <c r="CG74" s="371" t="s">
        <v>6</v>
      </c>
      <c r="CH74" s="371">
        <v>0</v>
      </c>
      <c r="CI74" s="371">
        <v>0</v>
      </c>
      <c r="CJ74" s="371">
        <v>0</v>
      </c>
      <c r="CK74" s="371">
        <v>10</v>
      </c>
      <c r="CL74" s="371">
        <v>0</v>
      </c>
      <c r="CM74" s="371">
        <v>36</v>
      </c>
      <c r="CN74" s="371">
        <v>621</v>
      </c>
      <c r="CO74" s="371">
        <v>1</v>
      </c>
      <c r="CP74" s="371">
        <v>0</v>
      </c>
      <c r="CQ74" s="371">
        <v>0</v>
      </c>
      <c r="CR74" s="371">
        <v>96</v>
      </c>
      <c r="CS74" s="371">
        <v>0</v>
      </c>
      <c r="CT74" s="371">
        <v>0</v>
      </c>
      <c r="CU74" s="367">
        <f>IFERROR(CH74/Instructions!$J$25,0)+CI74*Instructions!$J$27+CJ74*Instructions!$J$29+IFERROR(CK74/Instructions!$E$34,0)+CL74*Instructions!$E$36+Tier!CM74*Instructions!$E$25+IFERROR(CN74/Instructions!$E$27,0)+CO74*Instructions!$E$29+IFERROR((CP74+CR74)/Instructions!$J$32,0)+(CQ74+CS74)*Instructions!$J$34+Tier!CT74*-2</f>
        <v>105.1</v>
      </c>
      <c r="CV74" s="354"/>
      <c r="CW74" s="238">
        <v>2016</v>
      </c>
      <c r="CX74" s="365" t="s">
        <v>44</v>
      </c>
      <c r="CY74" s="366" t="s">
        <v>1628</v>
      </c>
      <c r="CZ74" s="366" t="s">
        <v>7</v>
      </c>
      <c r="DA74" s="366">
        <v>0</v>
      </c>
      <c r="DB74" s="366">
        <v>0</v>
      </c>
      <c r="DC74" s="366">
        <v>0</v>
      </c>
      <c r="DD74" s="366">
        <v>10</v>
      </c>
      <c r="DE74" s="366">
        <v>0</v>
      </c>
      <c r="DF74" s="366">
        <v>55</v>
      </c>
      <c r="DG74" s="366">
        <v>701</v>
      </c>
      <c r="DH74" s="366">
        <v>7</v>
      </c>
      <c r="DI74" s="366">
        <v>0</v>
      </c>
      <c r="DJ74" s="366">
        <v>0</v>
      </c>
      <c r="DK74" s="366">
        <v>0</v>
      </c>
      <c r="DL74" s="366">
        <v>0</v>
      </c>
      <c r="DM74" s="366">
        <v>0</v>
      </c>
      <c r="DN74" s="367">
        <f>IFERROR(DA74/Instructions!$J$25,0)+DB74*Instructions!$J$27+DC74*Instructions!$J$29+IFERROR(DD74/Instructions!$E$34,0)+DE74*Instructions!$E$36+Tier!DF74*Instructions!$E$25+IFERROR(DG74/Instructions!$E$27,0)+DH74*Instructions!$E$29+IFERROR((DI74+DK74)/Instructions!$J$32,0)+(DJ74+DL74)*Instructions!$J$34+Tier!DM74*-2</f>
        <v>168.1</v>
      </c>
    </row>
    <row r="75" spans="1:118" s="366" customFormat="1" ht="15.75" customHeight="1" x14ac:dyDescent="0.25">
      <c r="A75" s="238"/>
      <c r="B75" s="238"/>
      <c r="C75" s="354"/>
      <c r="D75" s="370"/>
      <c r="E75" s="371"/>
      <c r="F75" s="238">
        <v>2016</v>
      </c>
      <c r="G75" s="367">
        <f>LARGE($BI$68:$BI$99,8)</f>
        <v>268.05999999999995</v>
      </c>
      <c r="H75" s="355">
        <f t="shared" si="61"/>
        <v>8.1199999999999477</v>
      </c>
      <c r="I75" s="356">
        <f t="shared" si="59"/>
        <v>65.934399999999144</v>
      </c>
      <c r="J75" s="356">
        <f>J76+J68</f>
        <v>307.94</v>
      </c>
      <c r="K75" s="356">
        <f t="shared" si="62"/>
        <v>0.50749999999999673</v>
      </c>
      <c r="L75" s="238">
        <f t="shared" si="63"/>
        <v>6</v>
      </c>
      <c r="M75" s="354"/>
      <c r="N75" s="372"/>
      <c r="O75" s="372"/>
      <c r="P75" s="366">
        <v>2014</v>
      </c>
      <c r="Q75" s="367">
        <f>LARGE($CB$2:$CB$151,74)</f>
        <v>53.6</v>
      </c>
      <c r="R75" s="357">
        <f t="shared" si="52"/>
        <v>-111</v>
      </c>
      <c r="S75" s="356">
        <f t="shared" si="47"/>
        <v>12321</v>
      </c>
      <c r="T75" s="238"/>
      <c r="U75" s="356">
        <f t="shared" si="54"/>
        <v>-6.9375</v>
      </c>
      <c r="V75" s="238">
        <f t="shared" si="55"/>
        <v>8</v>
      </c>
      <c r="W75" s="354"/>
      <c r="X75" s="371"/>
      <c r="Y75" s="371"/>
      <c r="Z75" s="321">
        <v>2014</v>
      </c>
      <c r="AA75" s="367">
        <f>LARGE($CU$2:$CU$151,74)</f>
        <v>105.1</v>
      </c>
      <c r="AB75" s="357">
        <f t="shared" si="56"/>
        <v>-112.63333333333335</v>
      </c>
      <c r="AC75" s="356">
        <f t="shared" si="53"/>
        <v>12686.267777777783</v>
      </c>
      <c r="AD75" s="356"/>
      <c r="AE75" s="356">
        <f t="shared" si="57"/>
        <v>-7.0395833333333346</v>
      </c>
      <c r="AF75" s="238">
        <f t="shared" si="58"/>
        <v>8</v>
      </c>
      <c r="AG75" s="354"/>
      <c r="AH75" s="372"/>
      <c r="AI75" s="372"/>
      <c r="AJ75" s="238">
        <v>2016</v>
      </c>
      <c r="AK75" s="367">
        <f>LARGE($DN$68:$DN$99,8)</f>
        <v>170.9</v>
      </c>
      <c r="AL75" s="373">
        <f t="shared" si="64"/>
        <v>21.099999999999994</v>
      </c>
      <c r="AM75" s="374">
        <f t="shared" si="60"/>
        <v>445.20999999999975</v>
      </c>
      <c r="AN75" s="356">
        <f>AN76+AN68</f>
        <v>197.8</v>
      </c>
      <c r="AO75" s="374">
        <f t="shared" si="65"/>
        <v>1.3187499999999996</v>
      </c>
      <c r="AP75" s="238">
        <f t="shared" si="66"/>
        <v>5</v>
      </c>
      <c r="AQ75" s="354"/>
      <c r="AR75" s="238">
        <v>2016</v>
      </c>
      <c r="AS75" s="365" t="s">
        <v>174</v>
      </c>
      <c r="AT75" s="366" t="s">
        <v>1613</v>
      </c>
      <c r="AU75" s="366" t="s">
        <v>1</v>
      </c>
      <c r="AV75" s="366">
        <v>3905</v>
      </c>
      <c r="AW75" s="366">
        <v>23</v>
      </c>
      <c r="AX75" s="366">
        <v>16</v>
      </c>
      <c r="AY75" s="366">
        <v>359</v>
      </c>
      <c r="AZ75" s="366">
        <v>3</v>
      </c>
      <c r="BA75" s="366">
        <v>1</v>
      </c>
      <c r="BB75" s="366">
        <v>20</v>
      </c>
      <c r="BC75" s="366">
        <v>1</v>
      </c>
      <c r="BD75" s="366">
        <v>0</v>
      </c>
      <c r="BE75" s="366">
        <v>0</v>
      </c>
      <c r="BF75" s="366">
        <v>0</v>
      </c>
      <c r="BG75" s="366">
        <v>0</v>
      </c>
      <c r="BH75" s="366">
        <v>6</v>
      </c>
      <c r="BI75" s="367">
        <f>IFERROR(AV75/Instructions!$J$25,0)+AW75*Instructions!$J$27+AX75*Instructions!$J$29+IFERROR(AY75/Instructions!$E$34,0)+AZ75*Instructions!$E$36+Tier!BA75*Instructions!$E$25+IFERROR(BB75/Instructions!$E$27,0)+BC75*Instructions!$E$29+IFERROR((BD75+BF75)/Instructions!$J$32,0)+(BE75+BG75)*Instructions!$J$34+BH75*-2</f>
        <v>267.10000000000002</v>
      </c>
      <c r="BJ75" s="354"/>
      <c r="BK75" s="366">
        <v>2014</v>
      </c>
      <c r="BL75" s="370" t="s">
        <v>1288</v>
      </c>
      <c r="BM75" s="372" t="s">
        <v>144</v>
      </c>
      <c r="BN75" s="372" t="s">
        <v>3</v>
      </c>
      <c r="BO75" s="372">
        <v>0</v>
      </c>
      <c r="BP75" s="372">
        <v>0</v>
      </c>
      <c r="BQ75" s="372">
        <v>0</v>
      </c>
      <c r="BR75" s="372">
        <v>272</v>
      </c>
      <c r="BS75" s="372">
        <v>3</v>
      </c>
      <c r="BT75" s="372">
        <v>4</v>
      </c>
      <c r="BU75" s="372">
        <v>25</v>
      </c>
      <c r="BV75" s="372">
        <v>0</v>
      </c>
      <c r="BW75" s="372">
        <v>0</v>
      </c>
      <c r="BX75" s="372">
        <v>0</v>
      </c>
      <c r="BY75" s="372">
        <v>0</v>
      </c>
      <c r="BZ75" s="372">
        <v>0</v>
      </c>
      <c r="CA75" s="372">
        <v>0</v>
      </c>
      <c r="CB75" s="367">
        <f>IFERROR(BO75/Instructions!$J$25,0)+BP75*Instructions!$J$27+BQ75*Instructions!$J$29+IFERROR(BR75/Instructions!$E$34,0)+BS75*Instructions!$E$36+Tier!BT76*Instructions!$E$25+IFERROR(BU75/Instructions!$E$27,0)+BV75*Instructions!$E$29+IFERROR((BW75+BY75)/Instructions!$J$32,0)+(BX75+BZ75)*Instructions!$J$34+Tier!CA75*-2</f>
        <v>73.7</v>
      </c>
      <c r="CC75" s="354"/>
      <c r="CD75" s="321">
        <v>2014</v>
      </c>
      <c r="CE75" s="370" t="s">
        <v>1643</v>
      </c>
      <c r="CF75" s="371" t="s">
        <v>1629</v>
      </c>
      <c r="CG75" s="371" t="s">
        <v>6</v>
      </c>
      <c r="CH75" s="371">
        <v>0</v>
      </c>
      <c r="CI75" s="371">
        <v>0</v>
      </c>
      <c r="CJ75" s="371">
        <v>0</v>
      </c>
      <c r="CK75" s="371">
        <v>113</v>
      </c>
      <c r="CL75" s="371">
        <v>1</v>
      </c>
      <c r="CM75" s="371">
        <v>23</v>
      </c>
      <c r="CN75" s="371">
        <v>156</v>
      </c>
      <c r="CO75" s="371">
        <v>0</v>
      </c>
      <c r="CP75" s="371">
        <v>405</v>
      </c>
      <c r="CQ75" s="371">
        <v>1</v>
      </c>
      <c r="CR75" s="371">
        <v>428</v>
      </c>
      <c r="CS75" s="371">
        <v>0</v>
      </c>
      <c r="CT75" s="371">
        <v>0</v>
      </c>
      <c r="CU75" s="367">
        <f>IFERROR(CH75/Instructions!$J$25,0)+CI75*Instructions!$J$27+CJ75*Instructions!$J$29+IFERROR(CK75/Instructions!$E$34,0)+CL75*Instructions!$E$36+Tier!CM75*Instructions!$E$25+IFERROR(CN75/Instructions!$E$27,0)+CO75*Instructions!$E$29+IFERROR((CP75+CR75)/Instructions!$J$32,0)+(CQ75+CS75)*Instructions!$J$34+Tier!CT75*-2</f>
        <v>61.9</v>
      </c>
      <c r="CV75" s="354"/>
      <c r="CW75" s="238">
        <v>2016</v>
      </c>
      <c r="CX75" s="365" t="s">
        <v>48</v>
      </c>
      <c r="CY75" s="366" t="s">
        <v>137</v>
      </c>
      <c r="CZ75" s="366" t="s">
        <v>7</v>
      </c>
      <c r="DA75" s="366">
        <v>0</v>
      </c>
      <c r="DB75" s="366">
        <v>0</v>
      </c>
      <c r="DC75" s="366">
        <v>0</v>
      </c>
      <c r="DD75" s="366">
        <v>0</v>
      </c>
      <c r="DE75" s="366">
        <v>0</v>
      </c>
      <c r="DF75" s="366">
        <v>78</v>
      </c>
      <c r="DG75" s="366">
        <v>816</v>
      </c>
      <c r="DH75" s="366">
        <v>4</v>
      </c>
      <c r="DI75" s="366">
        <v>0</v>
      </c>
      <c r="DJ75" s="366">
        <v>0</v>
      </c>
      <c r="DK75" s="366">
        <v>8</v>
      </c>
      <c r="DL75" s="366">
        <v>0</v>
      </c>
      <c r="DM75" s="366">
        <v>0</v>
      </c>
      <c r="DN75" s="367">
        <f>IFERROR(DA75/Instructions!$J$25,0)+DB75*Instructions!$J$27+DC75*Instructions!$J$29+IFERROR(DD75/Instructions!$E$34,0)+DE75*Instructions!$E$36+Tier!DF75*Instructions!$E$25+IFERROR(DG75/Instructions!$E$27,0)+DH75*Instructions!$E$29+IFERROR((DI75+DK75)/Instructions!$J$32,0)+(DJ75+DL75)*Instructions!$J$34+Tier!DM75*-2</f>
        <v>183.6</v>
      </c>
    </row>
    <row r="76" spans="1:118" s="366" customFormat="1" ht="15.75" customHeight="1" x14ac:dyDescent="0.25">
      <c r="A76" s="238"/>
      <c r="B76" s="238"/>
      <c r="C76" s="354"/>
      <c r="D76" s="370"/>
      <c r="E76" s="371"/>
      <c r="F76" s="238">
        <v>2016</v>
      </c>
      <c r="G76" s="367">
        <f>LARGE($BI$68:$BI$99,9)</f>
        <v>267.10000000000002</v>
      </c>
      <c r="H76" s="355">
        <f t="shared" si="61"/>
        <v>7.160000000000025</v>
      </c>
      <c r="I76" s="356">
        <f t="shared" si="59"/>
        <v>51.265600000000362</v>
      </c>
      <c r="J76" s="356">
        <f>J77+J68</f>
        <v>291.94</v>
      </c>
      <c r="K76" s="356">
        <f t="shared" si="62"/>
        <v>0.44750000000000156</v>
      </c>
      <c r="L76" s="238">
        <f t="shared" si="63"/>
        <v>6</v>
      </c>
      <c r="M76" s="354"/>
      <c r="N76" s="372"/>
      <c r="O76" s="372"/>
      <c r="P76" s="366">
        <v>2014</v>
      </c>
      <c r="Q76" s="367">
        <f>LARGE($CB$2:$CB$151,75)</f>
        <v>53.5</v>
      </c>
      <c r="R76" s="357">
        <f t="shared" si="52"/>
        <v>-111.1</v>
      </c>
      <c r="S76" s="356">
        <f t="shared" si="47"/>
        <v>12343.21</v>
      </c>
      <c r="T76" s="238"/>
      <c r="U76" s="356">
        <f t="shared" si="54"/>
        <v>-6.9437499999999996</v>
      </c>
      <c r="V76" s="238">
        <f t="shared" si="55"/>
        <v>8</v>
      </c>
      <c r="W76" s="354"/>
      <c r="Z76" s="321">
        <v>2014</v>
      </c>
      <c r="AA76" s="367">
        <f>LARGE($CU$2:$CU$151,75)</f>
        <v>103.6</v>
      </c>
      <c r="AB76" s="357">
        <f t="shared" si="56"/>
        <v>-114.13333333333335</v>
      </c>
      <c r="AC76" s="356">
        <f t="shared" si="53"/>
        <v>13026.417777777782</v>
      </c>
      <c r="AD76" s="356"/>
      <c r="AE76" s="356">
        <f t="shared" si="57"/>
        <v>-7.1333333333333346</v>
      </c>
      <c r="AF76" s="238">
        <f t="shared" si="58"/>
        <v>8</v>
      </c>
      <c r="AG76" s="354"/>
      <c r="AH76" s="372"/>
      <c r="AI76" s="372"/>
      <c r="AJ76" s="238">
        <v>2016</v>
      </c>
      <c r="AK76" s="367">
        <f>LARGE($DN$68:$DN$99,9)</f>
        <v>170.6</v>
      </c>
      <c r="AL76" s="373">
        <f t="shared" si="64"/>
        <v>20.799999999999983</v>
      </c>
      <c r="AM76" s="374">
        <f t="shared" si="60"/>
        <v>432.6399999999993</v>
      </c>
      <c r="AN76" s="356">
        <f>AN77+AN68</f>
        <v>181.8</v>
      </c>
      <c r="AO76" s="374">
        <f t="shared" si="65"/>
        <v>1.2999999999999989</v>
      </c>
      <c r="AP76" s="238">
        <f t="shared" si="66"/>
        <v>5</v>
      </c>
      <c r="AQ76" s="354"/>
      <c r="AR76" s="238">
        <v>2016</v>
      </c>
      <c r="AS76" s="365" t="s">
        <v>51</v>
      </c>
      <c r="AT76" s="366" t="s">
        <v>1626</v>
      </c>
      <c r="AU76" s="366" t="s">
        <v>1</v>
      </c>
      <c r="AV76" s="366">
        <v>4386</v>
      </c>
      <c r="AW76" s="366">
        <v>33</v>
      </c>
      <c r="AX76" s="366">
        <v>21</v>
      </c>
      <c r="AY76" s="366">
        <v>35</v>
      </c>
      <c r="AZ76" s="366">
        <v>0</v>
      </c>
      <c r="BA76" s="366">
        <v>0</v>
      </c>
      <c r="BB76" s="366">
        <v>0</v>
      </c>
      <c r="BC76" s="366">
        <v>0</v>
      </c>
      <c r="BD76" s="366">
        <v>0</v>
      </c>
      <c r="BE76" s="366">
        <v>0</v>
      </c>
      <c r="BF76" s="366">
        <v>0</v>
      </c>
      <c r="BG76" s="366">
        <v>0</v>
      </c>
      <c r="BH76" s="366">
        <v>5</v>
      </c>
      <c r="BI76" s="367">
        <f>IFERROR(AV76/Instructions!$J$25,0)+AW76*Instructions!$J$27+AX76*Instructions!$J$29+IFERROR(AY76/Instructions!$E$34,0)+AZ76*Instructions!$E$36+Tier!BA76*Instructions!$E$25+IFERROR(BB76/Instructions!$E$27,0)+BC76*Instructions!$E$29+IFERROR((BD76+BF76)/Instructions!$J$32,0)+(BE76+BG76)*Instructions!$J$34+BH76*-2</f>
        <v>258.94</v>
      </c>
      <c r="BJ76" s="354"/>
      <c r="BK76" s="366">
        <v>2014</v>
      </c>
      <c r="BL76" s="370" t="s">
        <v>182</v>
      </c>
      <c r="BM76" s="372" t="s">
        <v>163</v>
      </c>
      <c r="BN76" s="372" t="s">
        <v>3</v>
      </c>
      <c r="BO76" s="372">
        <v>0</v>
      </c>
      <c r="BP76" s="372">
        <v>0</v>
      </c>
      <c r="BQ76" s="372">
        <v>0</v>
      </c>
      <c r="BR76" s="372">
        <v>131</v>
      </c>
      <c r="BS76" s="372">
        <v>0</v>
      </c>
      <c r="BT76" s="372">
        <v>26</v>
      </c>
      <c r="BU76" s="372">
        <v>197</v>
      </c>
      <c r="BV76" s="372">
        <v>1</v>
      </c>
      <c r="BW76" s="372">
        <v>155</v>
      </c>
      <c r="BX76" s="372">
        <v>0</v>
      </c>
      <c r="BY76" s="372">
        <v>0</v>
      </c>
      <c r="BZ76" s="372">
        <v>0</v>
      </c>
      <c r="CA76" s="372">
        <v>0</v>
      </c>
      <c r="CB76" s="367">
        <f>IFERROR(BO76/Instructions!$J$25,0)+BP76*Instructions!$J$27+BQ76*Instructions!$J$29+IFERROR(BR76/Instructions!$E$34,0)+BS76*Instructions!$E$36+Tier!BT77*Instructions!$E$25+IFERROR(BU76/Instructions!$E$27,0)+BV76*Instructions!$E$29+IFERROR((BW76+BY76)/Instructions!$J$32,0)+(BX76+BZ76)*Instructions!$J$34+Tier!CA76*-2</f>
        <v>57.8</v>
      </c>
      <c r="CC76" s="354"/>
      <c r="CD76" s="321">
        <v>2014</v>
      </c>
      <c r="CE76" s="370" t="s">
        <v>211</v>
      </c>
      <c r="CF76" s="371" t="s">
        <v>142</v>
      </c>
      <c r="CG76" s="371" t="s">
        <v>6</v>
      </c>
      <c r="CH76" s="371">
        <v>0</v>
      </c>
      <c r="CI76" s="371">
        <v>0</v>
      </c>
      <c r="CJ76" s="371">
        <v>0</v>
      </c>
      <c r="CK76" s="371">
        <v>-1</v>
      </c>
      <c r="CL76" s="371">
        <v>0</v>
      </c>
      <c r="CM76" s="371">
        <v>24</v>
      </c>
      <c r="CN76" s="371">
        <v>314</v>
      </c>
      <c r="CO76" s="371">
        <v>1</v>
      </c>
      <c r="CP76" s="371">
        <v>284</v>
      </c>
      <c r="CQ76" s="371">
        <v>0</v>
      </c>
      <c r="CR76" s="371">
        <v>584</v>
      </c>
      <c r="CS76" s="371">
        <v>0</v>
      </c>
      <c r="CT76" s="371">
        <v>0</v>
      </c>
      <c r="CU76" s="367">
        <f>IFERROR(CH76/Instructions!$J$25,0)+CI76*Instructions!$J$27+CJ76*Instructions!$J$29+IFERROR(CK76/Instructions!$E$34,0)+CL76*Instructions!$E$36+Tier!CM76*Instructions!$E$25+IFERROR(CN76/Instructions!$E$27,0)+CO76*Instructions!$E$29+IFERROR((CP76+CR76)/Instructions!$J$32,0)+(CQ76+CS76)*Instructions!$J$34+Tier!CT76*-2</f>
        <v>61.3</v>
      </c>
      <c r="CV76" s="354"/>
      <c r="CW76" s="238">
        <v>2016</v>
      </c>
      <c r="CX76" s="365" t="s">
        <v>37</v>
      </c>
      <c r="CY76" s="366" t="s">
        <v>152</v>
      </c>
      <c r="CZ76" s="366" t="s">
        <v>7</v>
      </c>
      <c r="DA76" s="366">
        <v>0</v>
      </c>
      <c r="DB76" s="366">
        <v>0</v>
      </c>
      <c r="DC76" s="366">
        <v>0</v>
      </c>
      <c r="DD76" s="366">
        <v>0</v>
      </c>
      <c r="DE76" s="366">
        <v>0</v>
      </c>
      <c r="DF76" s="366">
        <v>66</v>
      </c>
      <c r="DG76" s="366">
        <v>686</v>
      </c>
      <c r="DH76" s="366">
        <v>6</v>
      </c>
      <c r="DI76" s="366">
        <v>0</v>
      </c>
      <c r="DJ76" s="366">
        <v>0</v>
      </c>
      <c r="DK76" s="366">
        <v>0</v>
      </c>
      <c r="DL76" s="366">
        <v>0</v>
      </c>
      <c r="DM76" s="366">
        <v>0</v>
      </c>
      <c r="DN76" s="367">
        <f>IFERROR(DA76/Instructions!$J$25,0)+DB76*Instructions!$J$27+DC76*Instructions!$J$29+IFERROR(DD76/Instructions!$E$34,0)+DE76*Instructions!$E$36+Tier!DF76*Instructions!$E$25+IFERROR(DG76/Instructions!$E$27,0)+DH76*Instructions!$E$29+IFERROR((DI76+DK76)/Instructions!$J$32,0)+(DJ76+DL76)*Instructions!$J$34+Tier!DM76*-2</f>
        <v>170.6</v>
      </c>
    </row>
    <row r="77" spans="1:118" s="366" customFormat="1" ht="15.75" customHeight="1" x14ac:dyDescent="0.25">
      <c r="A77" s="238"/>
      <c r="B77" s="238"/>
      <c r="C77" s="354"/>
      <c r="D77" s="370"/>
      <c r="E77" s="371"/>
      <c r="F77" s="238">
        <v>2016</v>
      </c>
      <c r="G77" s="367">
        <f>LARGE($BI$68:$BI$99,10)</f>
        <v>266.92</v>
      </c>
      <c r="H77" s="355">
        <f t="shared" si="61"/>
        <v>6.9800000000000182</v>
      </c>
      <c r="I77" s="356">
        <f t="shared" si="59"/>
        <v>48.720400000000254</v>
      </c>
      <c r="J77" s="356">
        <f>J78+J68</f>
        <v>275.94</v>
      </c>
      <c r="K77" s="356">
        <f t="shared" si="62"/>
        <v>0.43625000000000114</v>
      </c>
      <c r="L77" s="238">
        <f t="shared" si="63"/>
        <v>6</v>
      </c>
      <c r="M77" s="354"/>
      <c r="N77" s="372"/>
      <c r="O77" s="372"/>
      <c r="P77" s="366">
        <v>2014</v>
      </c>
      <c r="Q77" s="367">
        <f>LARGE($CB$2:$CB$151,76)</f>
        <v>53.300000000000004</v>
      </c>
      <c r="R77" s="357">
        <f t="shared" si="52"/>
        <v>-111.29999999999998</v>
      </c>
      <c r="S77" s="356">
        <f t="shared" si="47"/>
        <v>12387.689999999997</v>
      </c>
      <c r="T77" s="238"/>
      <c r="U77" s="356">
        <f t="shared" si="54"/>
        <v>-6.9562499999999989</v>
      </c>
      <c r="V77" s="238">
        <f t="shared" si="55"/>
        <v>8</v>
      </c>
      <c r="W77" s="354"/>
      <c r="Z77" s="321">
        <v>2014</v>
      </c>
      <c r="AA77" s="367">
        <f>LARGE($CU$2:$CU$151,76)</f>
        <v>102.5</v>
      </c>
      <c r="AB77" s="357">
        <f t="shared" si="56"/>
        <v>-115.23333333333335</v>
      </c>
      <c r="AC77" s="356">
        <f t="shared" si="53"/>
        <v>13278.721111111114</v>
      </c>
      <c r="AD77" s="356"/>
      <c r="AE77" s="356">
        <f t="shared" si="57"/>
        <v>-7.2020833333333343</v>
      </c>
      <c r="AF77" s="238">
        <f t="shared" si="58"/>
        <v>8</v>
      </c>
      <c r="AG77" s="354"/>
      <c r="AH77" s="372"/>
      <c r="AI77" s="372"/>
      <c r="AJ77" s="238">
        <v>2016</v>
      </c>
      <c r="AK77" s="367">
        <f>LARGE($DN$68:$DN$99,10)</f>
        <v>168.1</v>
      </c>
      <c r="AL77" s="373">
        <f t="shared" si="64"/>
        <v>18.299999999999983</v>
      </c>
      <c r="AM77" s="374">
        <f t="shared" si="60"/>
        <v>334.88999999999936</v>
      </c>
      <c r="AN77" s="356">
        <f>AN78+AN68</f>
        <v>165.8</v>
      </c>
      <c r="AO77" s="374">
        <f t="shared" si="65"/>
        <v>1.1437499999999989</v>
      </c>
      <c r="AP77" s="238">
        <f t="shared" si="66"/>
        <v>5</v>
      </c>
      <c r="AQ77" s="354"/>
      <c r="AR77" s="238">
        <v>2016</v>
      </c>
      <c r="AS77" s="365" t="s">
        <v>45</v>
      </c>
      <c r="AT77" s="366" t="s">
        <v>140</v>
      </c>
      <c r="AU77" s="366" t="s">
        <v>1</v>
      </c>
      <c r="AV77" s="366">
        <v>4219</v>
      </c>
      <c r="AW77" s="366">
        <v>21</v>
      </c>
      <c r="AX77" s="366">
        <v>11</v>
      </c>
      <c r="AY77" s="366">
        <v>259</v>
      </c>
      <c r="AZ77" s="366">
        <v>1</v>
      </c>
      <c r="BA77" s="366">
        <v>2</v>
      </c>
      <c r="BB77" s="366">
        <v>14</v>
      </c>
      <c r="BC77" s="366">
        <v>1</v>
      </c>
      <c r="BD77" s="366">
        <v>0</v>
      </c>
      <c r="BE77" s="366">
        <v>0</v>
      </c>
      <c r="BF77" s="366">
        <v>0</v>
      </c>
      <c r="BG77" s="366">
        <v>0</v>
      </c>
      <c r="BH77" s="366">
        <v>2</v>
      </c>
      <c r="BI77" s="367">
        <f>IFERROR(AV77/Instructions!$J$25,0)+AW77*Instructions!$J$27+AX77*Instructions!$J$29+IFERROR(AY77/Instructions!$E$34,0)+AZ77*Instructions!$E$36+Tier!BA77*Instructions!$E$25+IFERROR(BB77/Instructions!$E$27,0)+BC77*Instructions!$E$29+IFERROR((BD77+BF77)/Instructions!$J$32,0)+(BE77+BG77)*Instructions!$J$34+BH77*-2</f>
        <v>268.05999999999995</v>
      </c>
      <c r="BJ77" s="354"/>
      <c r="BK77" s="366">
        <v>2014</v>
      </c>
      <c r="BL77" s="370" t="s">
        <v>184</v>
      </c>
      <c r="BM77" s="372" t="s">
        <v>1627</v>
      </c>
      <c r="BN77" s="372" t="s">
        <v>3</v>
      </c>
      <c r="BO77" s="372">
        <v>0</v>
      </c>
      <c r="BP77" s="372">
        <v>0</v>
      </c>
      <c r="BQ77" s="372">
        <v>0</v>
      </c>
      <c r="BR77" s="372">
        <v>185</v>
      </c>
      <c r="BS77" s="372">
        <v>1</v>
      </c>
      <c r="BT77" s="372">
        <v>19</v>
      </c>
      <c r="BU77" s="372">
        <v>190</v>
      </c>
      <c r="BV77" s="372">
        <v>0</v>
      </c>
      <c r="BW77" s="372">
        <v>0</v>
      </c>
      <c r="BX77" s="372">
        <v>0</v>
      </c>
      <c r="BY77" s="372">
        <v>0</v>
      </c>
      <c r="BZ77" s="372">
        <v>0</v>
      </c>
      <c r="CA77" s="372">
        <v>1</v>
      </c>
      <c r="CB77" s="367">
        <f>IFERROR(BO77/Instructions!$J$25,0)+BP77*Instructions!$J$27+BQ77*Instructions!$J$29+IFERROR(BR77/Instructions!$E$34,0)+BS77*Instructions!$E$36+Tier!BT78*Instructions!$E$25+IFERROR(BU77/Instructions!$E$27,0)+BV77*Instructions!$E$29+IFERROR((BW77+BY77)/Instructions!$J$32,0)+(BX77+BZ77)*Instructions!$J$34+Tier!CA77*-2</f>
        <v>70.5</v>
      </c>
      <c r="CC77" s="354"/>
      <c r="CD77" s="321">
        <v>2014</v>
      </c>
      <c r="CE77" s="370" t="s">
        <v>1725</v>
      </c>
      <c r="CF77" s="371" t="s">
        <v>162</v>
      </c>
      <c r="CG77" s="371" t="s">
        <v>6</v>
      </c>
      <c r="CH77" s="371">
        <v>0</v>
      </c>
      <c r="CI77" s="371">
        <v>0</v>
      </c>
      <c r="CJ77" s="371">
        <v>0</v>
      </c>
      <c r="CK77" s="371">
        <v>16</v>
      </c>
      <c r="CL77" s="371">
        <v>0</v>
      </c>
      <c r="CM77" s="371">
        <v>9</v>
      </c>
      <c r="CN77" s="371">
        <v>131</v>
      </c>
      <c r="CO77" s="371">
        <v>0</v>
      </c>
      <c r="CP77" s="371">
        <v>275</v>
      </c>
      <c r="CQ77" s="371">
        <v>0</v>
      </c>
      <c r="CR77" s="371">
        <v>978</v>
      </c>
      <c r="CS77" s="371">
        <v>1</v>
      </c>
      <c r="CT77" s="371">
        <v>0</v>
      </c>
      <c r="CU77" s="367">
        <f>IFERROR(CH77/Instructions!$J$25,0)+CI77*Instructions!$J$27+CJ77*Instructions!$J$29+IFERROR(CK77/Instructions!$E$34,0)+CL77*Instructions!$E$36+Tier!CM77*Instructions!$E$25+IFERROR(CN77/Instructions!$E$27,0)+CO77*Instructions!$E$29+IFERROR((CP77+CR77)/Instructions!$J$32,0)+(CQ77+CS77)*Instructions!$J$34+Tier!CT77*-2</f>
        <v>29.7</v>
      </c>
      <c r="CV77" s="354"/>
      <c r="CW77" s="238">
        <v>2016</v>
      </c>
      <c r="CX77" s="365" t="s">
        <v>50</v>
      </c>
      <c r="CY77" s="366" t="s">
        <v>1626</v>
      </c>
      <c r="CZ77" s="366" t="s">
        <v>7</v>
      </c>
      <c r="DA77" s="366">
        <v>0</v>
      </c>
      <c r="DB77" s="366">
        <v>0</v>
      </c>
      <c r="DC77" s="366">
        <v>0</v>
      </c>
      <c r="DD77" s="366">
        <v>0</v>
      </c>
      <c r="DE77" s="366">
        <v>0</v>
      </c>
      <c r="DF77" s="366">
        <v>53</v>
      </c>
      <c r="DG77" s="366">
        <v>548</v>
      </c>
      <c r="DH77" s="366">
        <v>7</v>
      </c>
      <c r="DI77" s="366">
        <v>0</v>
      </c>
      <c r="DJ77" s="366">
        <v>0</v>
      </c>
      <c r="DK77" s="366">
        <v>0</v>
      </c>
      <c r="DL77" s="366">
        <v>0</v>
      </c>
      <c r="DM77" s="366">
        <v>0</v>
      </c>
      <c r="DN77" s="367">
        <f>IFERROR(DA77/Instructions!$J$25,0)+DB77*Instructions!$J$27+DC77*Instructions!$J$29+IFERROR(DD77/Instructions!$E$34,0)+DE77*Instructions!$E$36+Tier!DF77*Instructions!$E$25+IFERROR(DG77/Instructions!$E$27,0)+DH77*Instructions!$E$29+IFERROR((DI77+DK77)/Instructions!$J$32,0)+(DJ77+DL77)*Instructions!$J$34+Tier!DM77*-2</f>
        <v>149.80000000000001</v>
      </c>
    </row>
    <row r="78" spans="1:118" s="366" customFormat="1" ht="15.75" customHeight="1" x14ac:dyDescent="0.25">
      <c r="A78" s="238"/>
      <c r="B78" s="238"/>
      <c r="C78" s="354"/>
      <c r="D78" s="370"/>
      <c r="E78" s="371"/>
      <c r="F78" s="238">
        <v>2016</v>
      </c>
      <c r="G78" s="367">
        <f>LARGE($BI$68:$BI$99,11)</f>
        <v>260.64</v>
      </c>
      <c r="H78" s="355">
        <f t="shared" si="61"/>
        <v>0.69999999999998863</v>
      </c>
      <c r="I78" s="356">
        <f t="shared" si="59"/>
        <v>0.48999999999998406</v>
      </c>
      <c r="J78" s="481">
        <f>(INDEX($G$68:$G$99,Instructions!$E$11*Instructions!$E$15,1)
+IF(Instructions!$E$15=2,INDEX($G$68:$G$99,Instructions!$E$11,1),0))
/(Instructions!$E$15)</f>
        <v>259.94</v>
      </c>
      <c r="K78" s="356">
        <f t="shared" si="62"/>
        <v>4.3749999999999289E-2</v>
      </c>
      <c r="L78" s="238">
        <f t="shared" si="63"/>
        <v>6</v>
      </c>
      <c r="M78" s="354"/>
      <c r="N78" s="372"/>
      <c r="O78" s="372"/>
      <c r="P78" s="366">
        <v>2014</v>
      </c>
      <c r="Q78" s="367">
        <f>LARGE($CB$2:$CB$151,77)</f>
        <v>53</v>
      </c>
      <c r="R78" s="357">
        <f t="shared" si="52"/>
        <v>-111.6</v>
      </c>
      <c r="S78" s="356">
        <f t="shared" si="47"/>
        <v>12454.56</v>
      </c>
      <c r="T78" s="238"/>
      <c r="U78" s="356">
        <f t="shared" si="54"/>
        <v>-6.9749999999999996</v>
      </c>
      <c r="V78" s="238">
        <f t="shared" si="55"/>
        <v>8</v>
      </c>
      <c r="W78" s="354"/>
      <c r="X78" s="371"/>
      <c r="Y78" s="371"/>
      <c r="Z78" s="321">
        <v>2014</v>
      </c>
      <c r="AA78" s="367">
        <f>LARGE($CU$2:$CU$151,77)</f>
        <v>100.6</v>
      </c>
      <c r="AB78" s="357">
        <f t="shared" si="56"/>
        <v>-117.13333333333335</v>
      </c>
      <c r="AC78" s="356">
        <f t="shared" si="53"/>
        <v>13720.217777777783</v>
      </c>
      <c r="AD78" s="356"/>
      <c r="AE78" s="356">
        <f t="shared" si="57"/>
        <v>-7.3208333333333346</v>
      </c>
      <c r="AF78" s="238">
        <f t="shared" si="58"/>
        <v>8</v>
      </c>
      <c r="AG78" s="354"/>
      <c r="AH78" s="372"/>
      <c r="AI78" s="372"/>
      <c r="AJ78" s="238">
        <v>2016</v>
      </c>
      <c r="AK78" s="367">
        <f>LARGE($DN$68:$DN$99,11)</f>
        <v>154.30000000000001</v>
      </c>
      <c r="AL78" s="373">
        <f t="shared" si="64"/>
        <v>4.5</v>
      </c>
      <c r="AM78" s="374">
        <f t="shared" si="60"/>
        <v>20.25</v>
      </c>
      <c r="AN78" s="481">
        <f>INDEX(Tier!AK68:AK99,Instructions!$E$11,1)</f>
        <v>149.80000000000001</v>
      </c>
      <c r="AO78" s="374">
        <f t="shared" si="65"/>
        <v>0.28125</v>
      </c>
      <c r="AP78" s="238">
        <f t="shared" si="66"/>
        <v>6</v>
      </c>
      <c r="AQ78" s="354"/>
      <c r="AR78" s="238">
        <v>2016</v>
      </c>
      <c r="AS78" s="365" t="s">
        <v>180</v>
      </c>
      <c r="AT78" s="366" t="s">
        <v>156</v>
      </c>
      <c r="AU78" s="366" t="s">
        <v>1</v>
      </c>
      <c r="AV78" s="366">
        <v>3023</v>
      </c>
      <c r="AW78" s="366">
        <v>17</v>
      </c>
      <c r="AX78" s="366">
        <v>6</v>
      </c>
      <c r="AY78" s="366">
        <v>580</v>
      </c>
      <c r="AZ78" s="366">
        <v>6</v>
      </c>
      <c r="BA78" s="366">
        <v>0</v>
      </c>
      <c r="BB78" s="366">
        <v>0</v>
      </c>
      <c r="BC78" s="366">
        <v>0</v>
      </c>
      <c r="BD78" s="366">
        <v>0</v>
      </c>
      <c r="BE78" s="366">
        <v>0</v>
      </c>
      <c r="BF78" s="366">
        <v>0</v>
      </c>
      <c r="BG78" s="366">
        <v>0</v>
      </c>
      <c r="BH78" s="366">
        <v>2</v>
      </c>
      <c r="BI78" s="367">
        <f>IFERROR(AV78/Instructions!$J$25,0)+AW78*Instructions!$J$27+AX78*Instructions!$J$29+IFERROR(AY78/Instructions!$E$34,0)+AZ78*Instructions!$E$36+Tier!BA78*Instructions!$E$25+IFERROR(BB78/Instructions!$E$27,0)+BC78*Instructions!$E$29+IFERROR((BD78+BF78)/Instructions!$J$32,0)+(BE78+BG78)*Instructions!$J$34+BH78*-2</f>
        <v>266.92</v>
      </c>
      <c r="BJ78" s="354"/>
      <c r="BK78" s="366">
        <v>2014</v>
      </c>
      <c r="BL78" s="370" t="s">
        <v>1649</v>
      </c>
      <c r="BM78" s="372" t="s">
        <v>1626</v>
      </c>
      <c r="BN78" s="372" t="s">
        <v>3</v>
      </c>
      <c r="BO78" s="372">
        <v>0</v>
      </c>
      <c r="BP78" s="372">
        <v>0</v>
      </c>
      <c r="BQ78" s="372">
        <v>0</v>
      </c>
      <c r="BR78" s="372">
        <v>223</v>
      </c>
      <c r="BS78" s="372">
        <v>0</v>
      </c>
      <c r="BT78" s="372">
        <v>29</v>
      </c>
      <c r="BU78" s="372">
        <v>211</v>
      </c>
      <c r="BV78" s="372">
        <v>0</v>
      </c>
      <c r="BW78" s="372">
        <v>0</v>
      </c>
      <c r="BX78" s="372">
        <v>0</v>
      </c>
      <c r="BY78" s="372">
        <v>8</v>
      </c>
      <c r="BZ78" s="372">
        <v>0</v>
      </c>
      <c r="CA78" s="372">
        <v>0</v>
      </c>
      <c r="CB78" s="367">
        <f>IFERROR(BO78/Instructions!$J$25,0)+BP78*Instructions!$J$27+BQ78*Instructions!$J$29+IFERROR(BR78/Instructions!$E$34,0)+BS78*Instructions!$E$36+Tier!BT79*Instructions!$E$25+IFERROR(BU78/Instructions!$E$27,0)+BV78*Instructions!$E$29+IFERROR((BW78+BY78)/Instructions!$J$32,0)+(BX78+BZ78)*Instructions!$J$34+Tier!CA78*-2</f>
        <v>80.400000000000006</v>
      </c>
      <c r="CC78" s="354"/>
      <c r="CD78" s="321">
        <v>2014</v>
      </c>
      <c r="CE78" s="370" t="s">
        <v>1681</v>
      </c>
      <c r="CF78" s="371" t="s">
        <v>161</v>
      </c>
      <c r="CG78" s="371" t="s">
        <v>6</v>
      </c>
      <c r="CH78" s="371">
        <v>0</v>
      </c>
      <c r="CI78" s="371">
        <v>0</v>
      </c>
      <c r="CJ78" s="371">
        <v>0</v>
      </c>
      <c r="CK78" s="371">
        <v>0</v>
      </c>
      <c r="CL78" s="371">
        <v>0</v>
      </c>
      <c r="CM78" s="371">
        <v>47</v>
      </c>
      <c r="CN78" s="371">
        <v>568</v>
      </c>
      <c r="CO78" s="371">
        <v>2</v>
      </c>
      <c r="CP78" s="371">
        <v>0</v>
      </c>
      <c r="CQ78" s="371">
        <v>0</v>
      </c>
      <c r="CR78" s="371">
        <v>0</v>
      </c>
      <c r="CS78" s="371">
        <v>0</v>
      </c>
      <c r="CT78" s="371">
        <v>0</v>
      </c>
      <c r="CU78" s="367">
        <f>IFERROR(CH78/Instructions!$J$25,0)+CI78*Instructions!$J$27+CJ78*Instructions!$J$29+IFERROR(CK78/Instructions!$E$34,0)+CL78*Instructions!$E$36+Tier!CM78*Instructions!$E$25+IFERROR(CN78/Instructions!$E$27,0)+CO78*Instructions!$E$29+IFERROR((CP78+CR78)/Instructions!$J$32,0)+(CQ78+CS78)*Instructions!$J$34+Tier!CT78*-2</f>
        <v>115.8</v>
      </c>
      <c r="CV78" s="354"/>
      <c r="CW78" s="238">
        <v>2016</v>
      </c>
      <c r="CX78" s="365" t="s">
        <v>1202</v>
      </c>
      <c r="CY78" s="366" t="s">
        <v>1626</v>
      </c>
      <c r="CZ78" s="366" t="s">
        <v>7</v>
      </c>
      <c r="DA78" s="366">
        <v>0</v>
      </c>
      <c r="DB78" s="366">
        <v>0</v>
      </c>
      <c r="DC78" s="366">
        <v>0</v>
      </c>
      <c r="DD78" s="366">
        <v>0</v>
      </c>
      <c r="DE78" s="366">
        <v>0</v>
      </c>
      <c r="DF78" s="366">
        <v>36</v>
      </c>
      <c r="DG78" s="366">
        <v>478</v>
      </c>
      <c r="DH78" s="366">
        <v>8</v>
      </c>
      <c r="DI78" s="366">
        <v>0</v>
      </c>
      <c r="DJ78" s="366">
        <v>0</v>
      </c>
      <c r="DK78" s="366">
        <v>10</v>
      </c>
      <c r="DL78" s="366">
        <v>0</v>
      </c>
      <c r="DM78" s="366">
        <v>0</v>
      </c>
      <c r="DN78" s="367">
        <f>IFERROR(DA78/Instructions!$J$25,0)+DB78*Instructions!$J$27+DC78*Instructions!$J$29+IFERROR(DD78/Instructions!$E$34,0)+DE78*Instructions!$E$36+Tier!DF78*Instructions!$E$25+IFERROR(DG78/Instructions!$E$27,0)+DH78*Instructions!$E$29+IFERROR((DI78+DK78)/Instructions!$J$32,0)+(DJ78+DL78)*Instructions!$J$34+Tier!DM78*-2</f>
        <v>131.80000000000001</v>
      </c>
    </row>
    <row r="79" spans="1:118" s="366" customFormat="1" ht="15.75" customHeight="1" x14ac:dyDescent="0.25">
      <c r="A79" s="238"/>
      <c r="B79" s="238"/>
      <c r="C79" s="354"/>
      <c r="D79" s="370"/>
      <c r="E79" s="371"/>
      <c r="F79" s="238">
        <v>2016</v>
      </c>
      <c r="G79" s="367">
        <f>LARGE($BI$68:$BI$99,12)</f>
        <v>259.94</v>
      </c>
      <c r="H79" s="355">
        <f t="shared" si="61"/>
        <v>0</v>
      </c>
      <c r="I79" s="356">
        <f t="shared" si="59"/>
        <v>0</v>
      </c>
      <c r="J79" s="356">
        <f>J78-J68</f>
        <v>243.94</v>
      </c>
      <c r="K79" s="356">
        <f t="shared" si="62"/>
        <v>0</v>
      </c>
      <c r="L79" s="238">
        <f t="shared" si="63"/>
        <v>7</v>
      </c>
      <c r="M79" s="354"/>
      <c r="N79" s="372"/>
      <c r="O79" s="372"/>
      <c r="P79" s="366">
        <v>2014</v>
      </c>
      <c r="Q79" s="367">
        <f>LARGE($CB$2:$CB$151,78)</f>
        <v>52</v>
      </c>
      <c r="R79" s="357">
        <f t="shared" si="52"/>
        <v>-112.6</v>
      </c>
      <c r="S79" s="356">
        <f t="shared" si="47"/>
        <v>12678.759999999998</v>
      </c>
      <c r="T79" s="238"/>
      <c r="U79" s="356">
        <f t="shared" si="54"/>
        <v>-7.0374999999999996</v>
      </c>
      <c r="V79" s="238">
        <f t="shared" si="55"/>
        <v>8</v>
      </c>
      <c r="W79" s="354"/>
      <c r="X79" s="371"/>
      <c r="Y79" s="371"/>
      <c r="Z79" s="321">
        <v>2014</v>
      </c>
      <c r="AA79" s="367">
        <f>LARGE($CU$2:$CU$151,78)</f>
        <v>99.88</v>
      </c>
      <c r="AB79" s="357">
        <f t="shared" si="56"/>
        <v>-117.85333333333335</v>
      </c>
      <c r="AC79" s="356">
        <f t="shared" si="53"/>
        <v>13889.408177777783</v>
      </c>
      <c r="AD79" s="238"/>
      <c r="AE79" s="356">
        <f t="shared" si="57"/>
        <v>-7.3658333333333346</v>
      </c>
      <c r="AF79" s="238">
        <f t="shared" si="58"/>
        <v>8</v>
      </c>
      <c r="AG79" s="354"/>
      <c r="AH79" s="372"/>
      <c r="AI79" s="372"/>
      <c r="AJ79" s="238">
        <v>2016</v>
      </c>
      <c r="AK79" s="367">
        <f>LARGE($DN$68:$DN$99,12)</f>
        <v>149.80000000000001</v>
      </c>
      <c r="AL79" s="373">
        <f t="shared" si="64"/>
        <v>0</v>
      </c>
      <c r="AM79" s="374">
        <f t="shared" si="60"/>
        <v>0</v>
      </c>
      <c r="AN79" s="356">
        <f>AN78-AN68</f>
        <v>133.80000000000001</v>
      </c>
      <c r="AO79" s="374">
        <f t="shared" si="65"/>
        <v>0</v>
      </c>
      <c r="AP79" s="238">
        <f t="shared" si="66"/>
        <v>7</v>
      </c>
      <c r="AQ79" s="354"/>
      <c r="AR79" s="238">
        <v>2016</v>
      </c>
      <c r="AS79" s="365" t="s">
        <v>1131</v>
      </c>
      <c r="AT79" s="366" t="s">
        <v>1627</v>
      </c>
      <c r="AU79" s="366" t="s">
        <v>1</v>
      </c>
      <c r="AV79" s="366">
        <v>4090</v>
      </c>
      <c r="AW79" s="366">
        <v>28</v>
      </c>
      <c r="AX79" s="366">
        <v>18</v>
      </c>
      <c r="AY79" s="366">
        <v>165</v>
      </c>
      <c r="AZ79" s="366">
        <v>1</v>
      </c>
      <c r="BA79" s="366">
        <v>0</v>
      </c>
      <c r="BB79" s="366">
        <v>0</v>
      </c>
      <c r="BC79" s="366">
        <v>0</v>
      </c>
      <c r="BD79" s="366">
        <v>0</v>
      </c>
      <c r="BE79" s="366">
        <v>0</v>
      </c>
      <c r="BF79" s="366">
        <v>0</v>
      </c>
      <c r="BG79" s="366">
        <v>0</v>
      </c>
      <c r="BH79" s="366">
        <v>6</v>
      </c>
      <c r="BI79" s="367">
        <f>IFERROR(AV79/Instructions!$J$25,0)+AW79*Instructions!$J$27+AX79*Instructions!$J$29+IFERROR(AY79/Instructions!$E$34,0)+AZ79*Instructions!$E$36+Tier!BA79*Instructions!$E$25+IFERROR(BB79/Instructions!$E$27,0)+BC79*Instructions!$E$29+IFERROR((BD79+BF79)/Instructions!$J$32,0)+(BE79+BG79)*Instructions!$J$34+BH79*-2</f>
        <v>250.10000000000002</v>
      </c>
      <c r="BJ79" s="354"/>
      <c r="BK79" s="366">
        <v>2014</v>
      </c>
      <c r="BL79" s="370" t="s">
        <v>979</v>
      </c>
      <c r="BM79" s="372" t="s">
        <v>167</v>
      </c>
      <c r="BN79" s="372" t="s">
        <v>3</v>
      </c>
      <c r="BO79" s="372">
        <v>0</v>
      </c>
      <c r="BP79" s="372">
        <v>0</v>
      </c>
      <c r="BQ79" s="372">
        <v>0</v>
      </c>
      <c r="BR79" s="372">
        <v>85</v>
      </c>
      <c r="BS79" s="372">
        <v>0</v>
      </c>
      <c r="BT79" s="372">
        <v>37</v>
      </c>
      <c r="BU79" s="372">
        <v>265</v>
      </c>
      <c r="BV79" s="372">
        <v>1</v>
      </c>
      <c r="BW79" s="372">
        <v>0</v>
      </c>
      <c r="BX79" s="372">
        <v>0</v>
      </c>
      <c r="BY79" s="372">
        <v>0</v>
      </c>
      <c r="BZ79" s="372">
        <v>0</v>
      </c>
      <c r="CA79" s="372">
        <v>1</v>
      </c>
      <c r="CB79" s="367">
        <f>IFERROR(BO79/Instructions!$J$25,0)+BP79*Instructions!$J$27+BQ79*Instructions!$J$29+IFERROR(BR79/Instructions!$E$34,0)+BS79*Instructions!$E$36+Tier!BT80*Instructions!$E$25+IFERROR(BU79/Instructions!$E$27,0)+BV79*Instructions!$E$29+IFERROR((BW79+BY79)/Instructions!$J$32,0)+(BX79+BZ79)*Instructions!$J$34+Tier!CA79*-2</f>
        <v>44</v>
      </c>
      <c r="CC79" s="354"/>
      <c r="CD79" s="321">
        <v>2014</v>
      </c>
      <c r="CE79" s="370" t="s">
        <v>127</v>
      </c>
      <c r="CF79" s="371" t="s">
        <v>163</v>
      </c>
      <c r="CG79" s="371" t="s">
        <v>6</v>
      </c>
      <c r="CH79" s="371">
        <v>0</v>
      </c>
      <c r="CI79" s="371">
        <v>0</v>
      </c>
      <c r="CJ79" s="371">
        <v>0</v>
      </c>
      <c r="CK79" s="371">
        <v>0</v>
      </c>
      <c r="CL79" s="371">
        <v>0</v>
      </c>
      <c r="CM79" s="371">
        <v>28</v>
      </c>
      <c r="CN79" s="371">
        <v>498</v>
      </c>
      <c r="CO79" s="371">
        <v>3</v>
      </c>
      <c r="CP79" s="371">
        <v>0</v>
      </c>
      <c r="CQ79" s="371">
        <v>0</v>
      </c>
      <c r="CR79" s="371">
        <v>0</v>
      </c>
      <c r="CS79" s="371">
        <v>0</v>
      </c>
      <c r="CT79" s="371">
        <v>0</v>
      </c>
      <c r="CU79" s="367">
        <f>IFERROR(CH79/Instructions!$J$25,0)+CI79*Instructions!$J$27+CJ79*Instructions!$J$29+IFERROR(CK79/Instructions!$E$34,0)+CL79*Instructions!$E$36+Tier!CM79*Instructions!$E$25+IFERROR(CN79/Instructions!$E$27,0)+CO79*Instructions!$E$29+IFERROR((CP79+CR79)/Instructions!$J$32,0)+(CQ79+CS79)*Instructions!$J$34+Tier!CT79*-2</f>
        <v>95.8</v>
      </c>
      <c r="CV79" s="354"/>
      <c r="CW79" s="238">
        <v>2016</v>
      </c>
      <c r="CX79" s="365" t="s">
        <v>1147</v>
      </c>
      <c r="CY79" s="366" t="s">
        <v>158</v>
      </c>
      <c r="CZ79" s="366" t="s">
        <v>7</v>
      </c>
      <c r="DA79" s="366">
        <v>0</v>
      </c>
      <c r="DB79" s="366">
        <v>0</v>
      </c>
      <c r="DC79" s="366">
        <v>0</v>
      </c>
      <c r="DD79" s="366">
        <v>0</v>
      </c>
      <c r="DE79" s="366">
        <v>0</v>
      </c>
      <c r="DF79" s="366">
        <v>59</v>
      </c>
      <c r="DG79" s="366">
        <v>584</v>
      </c>
      <c r="DH79" s="366">
        <v>5</v>
      </c>
      <c r="DI79" s="366">
        <v>0</v>
      </c>
      <c r="DJ79" s="366">
        <v>0</v>
      </c>
      <c r="DK79" s="366">
        <v>0</v>
      </c>
      <c r="DL79" s="366">
        <v>0</v>
      </c>
      <c r="DM79" s="366">
        <v>0</v>
      </c>
      <c r="DN79" s="367">
        <f>IFERROR(DA79/Instructions!$J$25,0)+DB79*Instructions!$J$27+DC79*Instructions!$J$29+IFERROR(DD79/Instructions!$E$34,0)+DE79*Instructions!$E$36+Tier!DF79*Instructions!$E$25+IFERROR(DG79/Instructions!$E$27,0)+DH79*Instructions!$E$29+IFERROR((DI79+DK79)/Instructions!$J$32,0)+(DJ79+DL79)*Instructions!$J$34+Tier!DM79*-2</f>
        <v>147.4</v>
      </c>
    </row>
    <row r="80" spans="1:118" s="366" customFormat="1" ht="15.75" customHeight="1" x14ac:dyDescent="0.25">
      <c r="A80" s="238"/>
      <c r="B80" s="238"/>
      <c r="C80" s="354"/>
      <c r="D80" s="370"/>
      <c r="E80" s="371"/>
      <c r="F80" s="238">
        <v>2016</v>
      </c>
      <c r="G80" s="367">
        <f>LARGE($BI$68:$BI$99,13)</f>
        <v>258.94</v>
      </c>
      <c r="H80" s="355">
        <f t="shared" si="61"/>
        <v>-1</v>
      </c>
      <c r="I80" s="356">
        <f t="shared" si="59"/>
        <v>1</v>
      </c>
      <c r="J80" s="356">
        <f>J79-J68</f>
        <v>227.94</v>
      </c>
      <c r="K80" s="356">
        <f t="shared" si="62"/>
        <v>-6.25E-2</v>
      </c>
      <c r="L80" s="238">
        <f t="shared" si="63"/>
        <v>7</v>
      </c>
      <c r="M80" s="354"/>
      <c r="N80" s="372"/>
      <c r="O80" s="372"/>
      <c r="P80" s="366">
        <v>2014</v>
      </c>
      <c r="Q80" s="367">
        <f>LARGE($CB$2:$CB$151,79)</f>
        <v>51.9</v>
      </c>
      <c r="R80" s="357">
        <f t="shared" si="52"/>
        <v>-112.69999999999999</v>
      </c>
      <c r="S80" s="356">
        <f t="shared" si="47"/>
        <v>12701.289999999997</v>
      </c>
      <c r="T80" s="238"/>
      <c r="U80" s="356">
        <f t="shared" si="54"/>
        <v>-7.0437499999999993</v>
      </c>
      <c r="V80" s="238">
        <f t="shared" si="55"/>
        <v>8</v>
      </c>
      <c r="W80" s="354"/>
      <c r="X80" s="371"/>
      <c r="Y80" s="371"/>
      <c r="Z80" s="321">
        <v>2014</v>
      </c>
      <c r="AA80" s="367">
        <f>LARGE($CU$2:$CU$151,79)</f>
        <v>99</v>
      </c>
      <c r="AB80" s="357">
        <f t="shared" si="56"/>
        <v>-118.73333333333335</v>
      </c>
      <c r="AC80" s="356">
        <f t="shared" si="53"/>
        <v>14097.604444444449</v>
      </c>
      <c r="AD80" s="238"/>
      <c r="AE80" s="356">
        <f t="shared" si="57"/>
        <v>-7.4208333333333343</v>
      </c>
      <c r="AF80" s="238">
        <f t="shared" si="58"/>
        <v>8</v>
      </c>
      <c r="AG80" s="354"/>
      <c r="AH80" s="372"/>
      <c r="AI80" s="372"/>
      <c r="AJ80" s="238">
        <v>2016</v>
      </c>
      <c r="AK80" s="367">
        <f>LARGE($DN$68:$DN$99,13)</f>
        <v>147.4</v>
      </c>
      <c r="AL80" s="373">
        <f t="shared" si="64"/>
        <v>-2.4000000000000057</v>
      </c>
      <c r="AM80" s="374">
        <f t="shared" si="60"/>
        <v>5.7600000000000273</v>
      </c>
      <c r="AN80" s="356">
        <f>AN79-AN68</f>
        <v>117.80000000000001</v>
      </c>
      <c r="AO80" s="374">
        <f t="shared" si="65"/>
        <v>-0.15000000000000036</v>
      </c>
      <c r="AP80" s="238">
        <f t="shared" si="66"/>
        <v>7</v>
      </c>
      <c r="AQ80" s="354"/>
      <c r="AR80" s="238">
        <v>2016</v>
      </c>
      <c r="AS80" s="365" t="s">
        <v>1133</v>
      </c>
      <c r="AT80" s="366" t="s">
        <v>163</v>
      </c>
      <c r="AU80" s="366" t="s">
        <v>1</v>
      </c>
      <c r="AV80" s="366">
        <v>3426</v>
      </c>
      <c r="AW80" s="366">
        <v>26</v>
      </c>
      <c r="AX80" s="366">
        <v>9</v>
      </c>
      <c r="AY80" s="366">
        <v>349</v>
      </c>
      <c r="AZ80" s="366">
        <v>2</v>
      </c>
      <c r="BA80" s="366">
        <v>0</v>
      </c>
      <c r="BB80" s="366">
        <v>0</v>
      </c>
      <c r="BC80" s="366">
        <v>0</v>
      </c>
      <c r="BD80" s="366">
        <v>0</v>
      </c>
      <c r="BE80" s="366">
        <v>0</v>
      </c>
      <c r="BF80" s="366">
        <v>0</v>
      </c>
      <c r="BG80" s="366">
        <v>0</v>
      </c>
      <c r="BH80" s="366">
        <v>5</v>
      </c>
      <c r="BI80" s="367">
        <f>IFERROR(AV80/Instructions!$J$25,0)+AW80*Instructions!$J$27+AX80*Instructions!$J$29+IFERROR(AY80/Instructions!$E$34,0)+AZ80*Instructions!$E$36+Tier!BA80*Instructions!$E$25+IFERROR(BB80/Instructions!$E$27,0)+BC80*Instructions!$E$29+IFERROR((BD80+BF80)/Instructions!$J$32,0)+(BE80+BG80)*Instructions!$J$34+BH80*-2</f>
        <v>259.94</v>
      </c>
      <c r="BJ80" s="354"/>
      <c r="BK80" s="366">
        <v>2014</v>
      </c>
      <c r="BL80" s="370" t="s">
        <v>1150</v>
      </c>
      <c r="BM80" s="372" t="s">
        <v>159</v>
      </c>
      <c r="BN80" s="372" t="s">
        <v>3</v>
      </c>
      <c r="BO80" s="372">
        <v>0</v>
      </c>
      <c r="BP80" s="372">
        <v>0</v>
      </c>
      <c r="BQ80" s="372">
        <v>0</v>
      </c>
      <c r="BR80" s="372">
        <v>145</v>
      </c>
      <c r="BS80" s="372">
        <v>1</v>
      </c>
      <c r="BT80" s="372">
        <v>5</v>
      </c>
      <c r="BU80" s="372">
        <v>60</v>
      </c>
      <c r="BV80" s="372">
        <v>1</v>
      </c>
      <c r="BW80" s="372">
        <v>0</v>
      </c>
      <c r="BX80" s="372">
        <v>0</v>
      </c>
      <c r="BY80" s="372">
        <v>262</v>
      </c>
      <c r="BZ80" s="372">
        <v>0</v>
      </c>
      <c r="CA80" s="372">
        <v>0</v>
      </c>
      <c r="CB80" s="367">
        <f>IFERROR(BO80/Instructions!$J$25,0)+BP80*Instructions!$J$27+BQ80*Instructions!$J$29+IFERROR(BR80/Instructions!$E$34,0)+BS80*Instructions!$E$36+Tier!BT81*Instructions!$E$25+IFERROR(BU80/Instructions!$E$27,0)+BV80*Instructions!$E$29+IFERROR((BW80+BY80)/Instructions!$J$32,0)+(BX80+BZ80)*Instructions!$J$34+Tier!CA80*-2</f>
        <v>53.5</v>
      </c>
      <c r="CC80" s="354"/>
      <c r="CD80" s="321">
        <v>2014</v>
      </c>
      <c r="CE80" s="370" t="s">
        <v>133</v>
      </c>
      <c r="CF80" s="371" t="s">
        <v>148</v>
      </c>
      <c r="CG80" s="371" t="s">
        <v>6</v>
      </c>
      <c r="CH80" s="371">
        <v>0</v>
      </c>
      <c r="CI80" s="371">
        <v>0</v>
      </c>
      <c r="CJ80" s="371">
        <v>0</v>
      </c>
      <c r="CK80" s="371">
        <v>0</v>
      </c>
      <c r="CL80" s="371">
        <v>0</v>
      </c>
      <c r="CM80" s="371">
        <v>51</v>
      </c>
      <c r="CN80" s="371">
        <v>556</v>
      </c>
      <c r="CO80" s="371">
        <v>2</v>
      </c>
      <c r="CP80" s="371">
        <v>0</v>
      </c>
      <c r="CQ80" s="371">
        <v>0</v>
      </c>
      <c r="CR80" s="371">
        <v>0</v>
      </c>
      <c r="CS80" s="371">
        <v>0</v>
      </c>
      <c r="CT80" s="371">
        <v>0</v>
      </c>
      <c r="CU80" s="367">
        <f>IFERROR(CH80/Instructions!$J$25,0)+CI80*Instructions!$J$27+CJ80*Instructions!$J$29+IFERROR(CK80/Instructions!$E$34,0)+CL80*Instructions!$E$36+Tier!CM80*Instructions!$E$25+IFERROR(CN80/Instructions!$E$27,0)+CO80*Instructions!$E$29+IFERROR((CP80+CR80)/Instructions!$J$32,0)+(CQ80+CS80)*Instructions!$J$34+Tier!CT80*-2</f>
        <v>118.6</v>
      </c>
      <c r="CV80" s="354"/>
      <c r="CW80" s="238">
        <v>2016</v>
      </c>
      <c r="CX80" s="365" t="s">
        <v>225</v>
      </c>
      <c r="CY80" s="366" t="s">
        <v>1625</v>
      </c>
      <c r="CZ80" s="366" t="s">
        <v>7</v>
      </c>
      <c r="DA80" s="366">
        <v>0</v>
      </c>
      <c r="DB80" s="366">
        <v>0</v>
      </c>
      <c r="DC80" s="366">
        <v>0</v>
      </c>
      <c r="DD80" s="366">
        <v>2</v>
      </c>
      <c r="DE80" s="366">
        <v>1</v>
      </c>
      <c r="DF80" s="366">
        <v>50</v>
      </c>
      <c r="DG80" s="366">
        <v>631</v>
      </c>
      <c r="DH80" s="366">
        <v>3</v>
      </c>
      <c r="DI80" s="366">
        <v>0</v>
      </c>
      <c r="DJ80" s="366">
        <v>0</v>
      </c>
      <c r="DK80" s="366">
        <v>0</v>
      </c>
      <c r="DL80" s="366">
        <v>0</v>
      </c>
      <c r="DM80" s="366">
        <v>0</v>
      </c>
      <c r="DN80" s="367">
        <f>IFERROR(DA80/Instructions!$J$25,0)+DB80*Instructions!$J$27+DC80*Instructions!$J$29+IFERROR(DD80/Instructions!$E$34,0)+DE80*Instructions!$E$36+Tier!DF80*Instructions!$E$25+IFERROR(DG80/Instructions!$E$27,0)+DH80*Instructions!$E$29+IFERROR((DI80+DK80)/Instructions!$J$32,0)+(DJ80+DL80)*Instructions!$J$34+Tier!DM80*-2</f>
        <v>137.30000000000001</v>
      </c>
    </row>
    <row r="81" spans="1:118" s="366" customFormat="1" ht="15.75" customHeight="1" x14ac:dyDescent="0.25">
      <c r="A81" s="238"/>
      <c r="B81" s="238"/>
      <c r="C81" s="354"/>
      <c r="D81" s="370"/>
      <c r="E81" s="371"/>
      <c r="F81" s="238">
        <v>2016</v>
      </c>
      <c r="G81" s="367">
        <f>LARGE($BI$68:$BI$99,14)</f>
        <v>258.48</v>
      </c>
      <c r="H81" s="355">
        <f t="shared" si="61"/>
        <v>-1.4599999999999795</v>
      </c>
      <c r="I81" s="356">
        <f t="shared" si="59"/>
        <v>2.1315999999999402</v>
      </c>
      <c r="J81" s="356"/>
      <c r="K81" s="356">
        <f t="shared" si="62"/>
        <v>-9.1249999999998721E-2</v>
      </c>
      <c r="L81" s="238">
        <f t="shared" si="63"/>
        <v>7</v>
      </c>
      <c r="M81" s="354"/>
      <c r="N81" s="372"/>
      <c r="O81" s="372"/>
      <c r="P81" s="366">
        <v>2014</v>
      </c>
      <c r="Q81" s="367">
        <f>LARGE($CB$2:$CB$151,80)</f>
        <v>49.599999999999994</v>
      </c>
      <c r="R81" s="357">
        <f t="shared" si="52"/>
        <v>-115</v>
      </c>
      <c r="S81" s="356">
        <f t="shared" si="47"/>
        <v>13225</v>
      </c>
      <c r="T81" s="238"/>
      <c r="U81" s="356">
        <f t="shared" si="54"/>
        <v>-7.1875</v>
      </c>
      <c r="V81" s="238">
        <f t="shared" si="55"/>
        <v>8</v>
      </c>
      <c r="W81" s="354"/>
      <c r="X81" s="371"/>
      <c r="Y81" s="371"/>
      <c r="Z81" s="321">
        <v>2014</v>
      </c>
      <c r="AA81" s="367">
        <f>LARGE($CU$2:$CU$151,80)</f>
        <v>98.4</v>
      </c>
      <c r="AB81" s="357">
        <f t="shared" si="56"/>
        <v>-119.33333333333334</v>
      </c>
      <c r="AC81" s="356">
        <f t="shared" si="53"/>
        <v>14240.444444444447</v>
      </c>
      <c r="AD81" s="356"/>
      <c r="AE81" s="356">
        <f t="shared" si="57"/>
        <v>-7.4583333333333339</v>
      </c>
      <c r="AF81" s="238">
        <f t="shared" si="58"/>
        <v>8</v>
      </c>
      <c r="AG81" s="354"/>
      <c r="AH81" s="372"/>
      <c r="AI81" s="372"/>
      <c r="AJ81" s="238">
        <v>2016</v>
      </c>
      <c r="AK81" s="367">
        <f>LARGE($DN$68:$DN$99,14)</f>
        <v>144.19999999999999</v>
      </c>
      <c r="AL81" s="373">
        <f t="shared" si="64"/>
        <v>-5.6000000000000227</v>
      </c>
      <c r="AM81" s="374">
        <f t="shared" si="60"/>
        <v>31.360000000000255</v>
      </c>
      <c r="AN81" s="356"/>
      <c r="AO81" s="374">
        <f t="shared" si="65"/>
        <v>-0.35000000000000142</v>
      </c>
      <c r="AP81" s="238">
        <f t="shared" si="66"/>
        <v>7</v>
      </c>
      <c r="AQ81" s="354"/>
      <c r="AR81" s="238">
        <v>2016</v>
      </c>
      <c r="AS81" s="365" t="s">
        <v>63</v>
      </c>
      <c r="AT81" s="366" t="s">
        <v>145</v>
      </c>
      <c r="AU81" s="366" t="s">
        <v>1</v>
      </c>
      <c r="AV81" s="366">
        <v>4206</v>
      </c>
      <c r="AW81" s="366">
        <v>18</v>
      </c>
      <c r="AX81" s="366">
        <v>8</v>
      </c>
      <c r="AY81" s="366">
        <v>184</v>
      </c>
      <c r="AZ81" s="366">
        <v>4</v>
      </c>
      <c r="BA81" s="366">
        <v>0</v>
      </c>
      <c r="BB81" s="366">
        <v>0</v>
      </c>
      <c r="BC81" s="366">
        <v>0</v>
      </c>
      <c r="BD81" s="366">
        <v>0</v>
      </c>
      <c r="BE81" s="366">
        <v>0</v>
      </c>
      <c r="BF81" s="366">
        <v>0</v>
      </c>
      <c r="BG81" s="366">
        <v>0</v>
      </c>
      <c r="BH81" s="366">
        <v>3</v>
      </c>
      <c r="BI81" s="367">
        <f>IFERROR(AV81/Instructions!$J$25,0)+AW81*Instructions!$J$27+AX81*Instructions!$J$29+IFERROR(AY81/Instructions!$E$34,0)+AZ81*Instructions!$E$36+Tier!BA81*Instructions!$E$25+IFERROR(BB81/Instructions!$E$27,0)+BC81*Instructions!$E$29+IFERROR((BD81+BF81)/Instructions!$J$32,0)+(BE81+BG81)*Instructions!$J$34+BH81*-2</f>
        <v>260.64</v>
      </c>
      <c r="BJ81" s="354"/>
      <c r="BK81" s="366">
        <v>2014</v>
      </c>
      <c r="BL81" s="370" t="s">
        <v>1149</v>
      </c>
      <c r="BM81" s="372" t="s">
        <v>166</v>
      </c>
      <c r="BN81" s="372" t="s">
        <v>3</v>
      </c>
      <c r="BO81" s="372">
        <v>0</v>
      </c>
      <c r="BP81" s="372">
        <v>0</v>
      </c>
      <c r="BQ81" s="372">
        <v>0</v>
      </c>
      <c r="BR81" s="372">
        <v>122</v>
      </c>
      <c r="BS81" s="372">
        <v>0</v>
      </c>
      <c r="BT81" s="372">
        <v>21</v>
      </c>
      <c r="BU81" s="372">
        <v>187</v>
      </c>
      <c r="BV81" s="372">
        <v>1</v>
      </c>
      <c r="BW81" s="372">
        <v>0</v>
      </c>
      <c r="BX81" s="372">
        <v>0</v>
      </c>
      <c r="BY81" s="372">
        <v>102</v>
      </c>
      <c r="BZ81" s="372">
        <v>0</v>
      </c>
      <c r="CA81" s="372">
        <v>0</v>
      </c>
      <c r="CB81" s="367">
        <f>IFERROR(BO81/Instructions!$J$25,0)+BP81*Instructions!$J$27+BQ81*Instructions!$J$29+IFERROR(BR81/Instructions!$E$34,0)+BS81*Instructions!$E$36+Tier!BT82*Instructions!$E$25+IFERROR(BU81/Instructions!$E$27,0)+BV81*Instructions!$E$29+IFERROR((BW81+BY81)/Instructions!$J$32,0)+(BX81+BZ81)*Instructions!$J$34+Tier!CA81*-2</f>
        <v>47.9</v>
      </c>
      <c r="CC81" s="354"/>
      <c r="CD81" s="321">
        <v>2014</v>
      </c>
      <c r="CE81" s="370" t="s">
        <v>197</v>
      </c>
      <c r="CF81" s="371" t="s">
        <v>146</v>
      </c>
      <c r="CG81" s="371" t="s">
        <v>6</v>
      </c>
      <c r="CH81" s="371">
        <v>0</v>
      </c>
      <c r="CI81" s="371">
        <v>0</v>
      </c>
      <c r="CJ81" s="371">
        <v>0</v>
      </c>
      <c r="CK81" s="371">
        <v>0</v>
      </c>
      <c r="CL81" s="371">
        <v>0</v>
      </c>
      <c r="CM81" s="371">
        <v>37</v>
      </c>
      <c r="CN81" s="371">
        <v>420</v>
      </c>
      <c r="CO81" s="371">
        <v>4</v>
      </c>
      <c r="CP81" s="371">
        <v>0</v>
      </c>
      <c r="CQ81" s="371">
        <v>0</v>
      </c>
      <c r="CR81" s="371">
        <v>0</v>
      </c>
      <c r="CS81" s="371">
        <v>0</v>
      </c>
      <c r="CT81" s="371">
        <v>2</v>
      </c>
      <c r="CU81" s="367">
        <f>IFERROR(CH81/Instructions!$J$25,0)+CI81*Instructions!$J$27+CJ81*Instructions!$J$29+IFERROR(CK81/Instructions!$E$34,0)+CL81*Instructions!$E$36+Tier!CM81*Instructions!$E$25+IFERROR(CN81/Instructions!$E$27,0)+CO81*Instructions!$E$29+IFERROR((CP81+CR81)/Instructions!$J$32,0)+(CQ81+CS81)*Instructions!$J$34+Tier!CT81*-2</f>
        <v>99</v>
      </c>
      <c r="CV81" s="354"/>
      <c r="CW81" s="238">
        <v>2016</v>
      </c>
      <c r="CX81" s="365" t="s">
        <v>28</v>
      </c>
      <c r="CY81" s="366" t="s">
        <v>146</v>
      </c>
      <c r="CZ81" s="366" t="s">
        <v>7</v>
      </c>
      <c r="DA81" s="366">
        <v>0</v>
      </c>
      <c r="DB81" s="366">
        <v>0</v>
      </c>
      <c r="DC81" s="366">
        <v>0</v>
      </c>
      <c r="DD81" s="366">
        <v>0</v>
      </c>
      <c r="DE81" s="366">
        <v>0</v>
      </c>
      <c r="DF81" s="366">
        <v>69</v>
      </c>
      <c r="DG81" s="366">
        <v>673</v>
      </c>
      <c r="DH81" s="366">
        <v>3</v>
      </c>
      <c r="DI81" s="366">
        <v>0</v>
      </c>
      <c r="DJ81" s="366">
        <v>0</v>
      </c>
      <c r="DK81" s="366">
        <v>0</v>
      </c>
      <c r="DL81" s="366">
        <v>0</v>
      </c>
      <c r="DM81" s="366">
        <v>0</v>
      </c>
      <c r="DN81" s="367">
        <f>IFERROR(DA81/Instructions!$J$25,0)+DB81*Instructions!$J$27+DC81*Instructions!$J$29+IFERROR(DD81/Instructions!$E$34,0)+DE81*Instructions!$E$36+Tier!DF81*Instructions!$E$25+IFERROR(DG81/Instructions!$E$27,0)+DH81*Instructions!$E$29+IFERROR((DI81+DK81)/Instructions!$J$32,0)+(DJ81+DL81)*Instructions!$J$34+Tier!DM81*-2</f>
        <v>154.30000000000001</v>
      </c>
    </row>
    <row r="82" spans="1:118" s="366" customFormat="1" ht="15.75" customHeight="1" x14ac:dyDescent="0.25">
      <c r="A82" s="238"/>
      <c r="B82" s="238"/>
      <c r="C82" s="354"/>
      <c r="D82" s="370"/>
      <c r="E82" s="371"/>
      <c r="F82" s="238">
        <v>2016</v>
      </c>
      <c r="G82" s="367">
        <f>LARGE($BI$68:$BI$99,15)</f>
        <v>256.56</v>
      </c>
      <c r="H82" s="355">
        <f t="shared" si="61"/>
        <v>-3.3799999999999955</v>
      </c>
      <c r="I82" s="356">
        <f t="shared" si="59"/>
        <v>11.42439999999997</v>
      </c>
      <c r="J82" s="356"/>
      <c r="K82" s="356">
        <f t="shared" si="62"/>
        <v>-0.21124999999999972</v>
      </c>
      <c r="L82" s="238">
        <f t="shared" si="63"/>
        <v>7</v>
      </c>
      <c r="M82" s="354"/>
      <c r="N82" s="372"/>
      <c r="O82" s="372"/>
      <c r="P82" s="366">
        <v>2014</v>
      </c>
      <c r="Q82" s="367">
        <f>LARGE($CB$2:$CB$151,81)</f>
        <v>47.9</v>
      </c>
      <c r="R82" s="357">
        <f t="shared" si="52"/>
        <v>-116.69999999999999</v>
      </c>
      <c r="S82" s="356">
        <f t="shared" si="47"/>
        <v>13618.889999999998</v>
      </c>
      <c r="T82" s="238"/>
      <c r="U82" s="356">
        <f t="shared" si="54"/>
        <v>-7.2937499999999993</v>
      </c>
      <c r="V82" s="238">
        <f t="shared" si="55"/>
        <v>8</v>
      </c>
      <c r="W82" s="354"/>
      <c r="X82" s="371"/>
      <c r="Y82" s="371"/>
      <c r="Z82" s="321">
        <v>2014</v>
      </c>
      <c r="AA82" s="367">
        <f>LARGE($CU$2:$CU$151,81)</f>
        <v>96.5</v>
      </c>
      <c r="AB82" s="357">
        <f t="shared" si="56"/>
        <v>-121.23333333333335</v>
      </c>
      <c r="AC82" s="356">
        <f t="shared" si="53"/>
        <v>14697.521111111115</v>
      </c>
      <c r="AD82" s="356"/>
      <c r="AE82" s="356">
        <f t="shared" si="57"/>
        <v>-7.5770833333333343</v>
      </c>
      <c r="AF82" s="238">
        <f t="shared" si="58"/>
        <v>8</v>
      </c>
      <c r="AG82" s="354"/>
      <c r="AH82" s="372"/>
      <c r="AI82" s="372"/>
      <c r="AJ82" s="238">
        <v>2016</v>
      </c>
      <c r="AK82" s="367">
        <f>LARGE($DN$68:$DN$99,15)</f>
        <v>137.30000000000001</v>
      </c>
      <c r="AL82" s="373">
        <f t="shared" si="64"/>
        <v>-12.5</v>
      </c>
      <c r="AM82" s="374">
        <f t="shared" si="60"/>
        <v>156.25</v>
      </c>
      <c r="AN82" s="356"/>
      <c r="AO82" s="374">
        <f t="shared" si="65"/>
        <v>-0.78125</v>
      </c>
      <c r="AP82" s="238">
        <f t="shared" si="66"/>
        <v>7</v>
      </c>
      <c r="AQ82" s="354"/>
      <c r="AR82" s="238">
        <v>2016</v>
      </c>
      <c r="AS82" s="365" t="s">
        <v>176</v>
      </c>
      <c r="AT82" s="366" t="s">
        <v>167</v>
      </c>
      <c r="AU82" s="366" t="s">
        <v>1</v>
      </c>
      <c r="AV82" s="366">
        <v>3937</v>
      </c>
      <c r="AW82" s="366">
        <v>28</v>
      </c>
      <c r="AX82" s="366">
        <v>6</v>
      </c>
      <c r="AY82" s="366">
        <v>70</v>
      </c>
      <c r="AZ82" s="366">
        <v>0</v>
      </c>
      <c r="BA82" s="366">
        <v>0</v>
      </c>
      <c r="BB82" s="366">
        <v>0</v>
      </c>
      <c r="BC82" s="366">
        <v>0</v>
      </c>
      <c r="BD82" s="366">
        <v>0</v>
      </c>
      <c r="BE82" s="366">
        <v>0</v>
      </c>
      <c r="BF82" s="366">
        <v>0</v>
      </c>
      <c r="BG82" s="366">
        <v>0</v>
      </c>
      <c r="BH82" s="366">
        <v>3</v>
      </c>
      <c r="BI82" s="367">
        <f>IFERROR(AV82/Instructions!$J$25,0)+AW82*Instructions!$J$27+AX82*Instructions!$J$29+IFERROR(AY82/Instructions!$E$34,0)+AZ82*Instructions!$E$36+Tier!BA82*Instructions!$E$25+IFERROR(BB82/Instructions!$E$27,0)+BC82*Instructions!$E$29+IFERROR((BD82+BF82)/Instructions!$J$32,0)+(BE82+BG82)*Instructions!$J$34+BH82*-2</f>
        <v>258.48</v>
      </c>
      <c r="BJ82" s="354"/>
      <c r="BK82" s="366">
        <v>2014</v>
      </c>
      <c r="BL82" s="370" t="s">
        <v>1232</v>
      </c>
      <c r="BM82" s="372" t="s">
        <v>152</v>
      </c>
      <c r="BN82" s="372" t="s">
        <v>3</v>
      </c>
      <c r="BO82" s="372">
        <v>0</v>
      </c>
      <c r="BP82" s="372">
        <v>0</v>
      </c>
      <c r="BQ82" s="372">
        <v>0</v>
      </c>
      <c r="BR82" s="372">
        <v>22</v>
      </c>
      <c r="BS82" s="372">
        <v>3</v>
      </c>
      <c r="BT82" s="372">
        <v>11</v>
      </c>
      <c r="BU82" s="372">
        <v>81</v>
      </c>
      <c r="BV82" s="372">
        <v>2</v>
      </c>
      <c r="BW82" s="372">
        <v>0</v>
      </c>
      <c r="BX82" s="372">
        <v>0</v>
      </c>
      <c r="BY82" s="372">
        <v>10</v>
      </c>
      <c r="BZ82" s="372">
        <v>0</v>
      </c>
      <c r="CA82" s="372">
        <v>0</v>
      </c>
      <c r="CB82" s="367">
        <f>IFERROR(BO82/Instructions!$J$25,0)+BP82*Instructions!$J$27+BQ82*Instructions!$J$29+IFERROR(BR82/Instructions!$E$34,0)+BS82*Instructions!$E$36+Tier!BT83*Instructions!$E$25+IFERROR(BU82/Instructions!$E$27,0)+BV82*Instructions!$E$29+IFERROR((BW82+BY82)/Instructions!$J$32,0)+(BX82+BZ82)*Instructions!$J$34+Tier!CA82*-2</f>
        <v>53.300000000000004</v>
      </c>
      <c r="CC82" s="354"/>
      <c r="CD82" s="321">
        <v>2014</v>
      </c>
      <c r="CE82" s="370" t="s">
        <v>219</v>
      </c>
      <c r="CF82" s="371" t="s">
        <v>156</v>
      </c>
      <c r="CG82" s="371" t="s">
        <v>6</v>
      </c>
      <c r="CH82" s="371">
        <v>0</v>
      </c>
      <c r="CI82" s="371">
        <v>0</v>
      </c>
      <c r="CJ82" s="371">
        <v>0</v>
      </c>
      <c r="CK82" s="371">
        <v>0</v>
      </c>
      <c r="CL82" s="371">
        <v>0</v>
      </c>
      <c r="CM82" s="371">
        <v>41</v>
      </c>
      <c r="CN82" s="371">
        <v>426</v>
      </c>
      <c r="CO82" s="371">
        <v>4</v>
      </c>
      <c r="CP82" s="371">
        <v>0</v>
      </c>
      <c r="CQ82" s="371">
        <v>0</v>
      </c>
      <c r="CR82" s="371">
        <v>0</v>
      </c>
      <c r="CS82" s="371">
        <v>0</v>
      </c>
      <c r="CT82" s="371">
        <v>2</v>
      </c>
      <c r="CU82" s="367">
        <f>IFERROR(CH82/Instructions!$J$25,0)+CI82*Instructions!$J$27+CJ82*Instructions!$J$29+IFERROR(CK82/Instructions!$E$34,0)+CL82*Instructions!$E$36+Tier!CM82*Instructions!$E$25+IFERROR(CN82/Instructions!$E$27,0)+CO82*Instructions!$E$29+IFERROR((CP82+CR82)/Instructions!$J$32,0)+(CQ82+CS82)*Instructions!$J$34+Tier!CT82*-2</f>
        <v>103.6</v>
      </c>
      <c r="CV82" s="354"/>
      <c r="CW82" s="238">
        <v>2016</v>
      </c>
      <c r="CX82" s="365" t="s">
        <v>34</v>
      </c>
      <c r="CY82" s="366" t="s">
        <v>162</v>
      </c>
      <c r="CZ82" s="366" t="s">
        <v>7</v>
      </c>
      <c r="DA82" s="366">
        <v>0</v>
      </c>
      <c r="DB82" s="366">
        <v>0</v>
      </c>
      <c r="DC82" s="366">
        <v>0</v>
      </c>
      <c r="DD82" s="366">
        <v>0</v>
      </c>
      <c r="DE82" s="366">
        <v>0</v>
      </c>
      <c r="DF82" s="366">
        <v>86</v>
      </c>
      <c r="DG82" s="366">
        <v>729</v>
      </c>
      <c r="DH82" s="366">
        <v>2</v>
      </c>
      <c r="DI82" s="366">
        <v>0</v>
      </c>
      <c r="DJ82" s="366">
        <v>0</v>
      </c>
      <c r="DK82" s="366">
        <v>0</v>
      </c>
      <c r="DL82" s="366">
        <v>0</v>
      </c>
      <c r="DM82" s="366">
        <v>0</v>
      </c>
      <c r="DN82" s="367">
        <f>IFERROR(DA82/Instructions!$J$25,0)+DB82*Instructions!$J$27+DC82*Instructions!$J$29+IFERROR(DD82/Instructions!$E$34,0)+DE82*Instructions!$E$36+Tier!DF82*Instructions!$E$25+IFERROR(DG82/Instructions!$E$27,0)+DH82*Instructions!$E$29+IFERROR((DI82+DK82)/Instructions!$J$32,0)+(DJ82+DL82)*Instructions!$J$34+Tier!DM82*-2</f>
        <v>170.9</v>
      </c>
    </row>
    <row r="83" spans="1:118" s="366" customFormat="1" ht="15.75" customHeight="1" x14ac:dyDescent="0.25">
      <c r="A83" s="238"/>
      <c r="B83" s="238"/>
      <c r="C83" s="354"/>
      <c r="D83" s="370"/>
      <c r="E83" s="371"/>
      <c r="F83" s="238">
        <v>2016</v>
      </c>
      <c r="G83" s="367">
        <f>LARGE($BI$68:$BI$99,16)</f>
        <v>250.26000000000002</v>
      </c>
      <c r="H83" s="355">
        <f t="shared" si="61"/>
        <v>-9.6799999999999784</v>
      </c>
      <c r="I83" s="356">
        <f t="shared" si="59"/>
        <v>93.702399999999585</v>
      </c>
      <c r="J83" s="356"/>
      <c r="K83" s="356">
        <f t="shared" si="62"/>
        <v>-0.60499999999999865</v>
      </c>
      <c r="L83" s="238">
        <f t="shared" si="63"/>
        <v>7</v>
      </c>
      <c r="M83" s="354"/>
      <c r="N83" s="372"/>
      <c r="O83" s="372"/>
      <c r="P83" s="366">
        <v>2014</v>
      </c>
      <c r="Q83" s="367">
        <f>LARGE($CB$2:$CB$151,82)</f>
        <v>46.2</v>
      </c>
      <c r="R83" s="357">
        <f t="shared" si="52"/>
        <v>-118.39999999999999</v>
      </c>
      <c r="S83" s="356">
        <f t="shared" si="47"/>
        <v>14018.559999999998</v>
      </c>
      <c r="T83" s="238"/>
      <c r="U83" s="356">
        <f t="shared" si="54"/>
        <v>-7.3999999999999995</v>
      </c>
      <c r="V83" s="238">
        <f t="shared" si="55"/>
        <v>8</v>
      </c>
      <c r="W83" s="354"/>
      <c r="X83" s="371"/>
      <c r="Y83" s="371"/>
      <c r="Z83" s="321">
        <v>2014</v>
      </c>
      <c r="AA83" s="367">
        <f>LARGE($CU$2:$CU$151,82)</f>
        <v>96.1</v>
      </c>
      <c r="AB83" s="357">
        <f t="shared" si="56"/>
        <v>-121.63333333333335</v>
      </c>
      <c r="AC83" s="356">
        <f t="shared" si="53"/>
        <v>14794.667777777782</v>
      </c>
      <c r="AD83" s="356"/>
      <c r="AE83" s="356">
        <f t="shared" si="57"/>
        <v>-7.6020833333333346</v>
      </c>
      <c r="AF83" s="238">
        <f t="shared" si="58"/>
        <v>8</v>
      </c>
      <c r="AG83" s="354"/>
      <c r="AH83" s="372"/>
      <c r="AI83" s="372"/>
      <c r="AJ83" s="238">
        <v>2016</v>
      </c>
      <c r="AK83" s="367">
        <f>LARGE($DN$68:$DN$99,16)</f>
        <v>136.19999999999999</v>
      </c>
      <c r="AL83" s="373">
        <f t="shared" si="64"/>
        <v>-13.600000000000023</v>
      </c>
      <c r="AM83" s="374">
        <f t="shared" si="60"/>
        <v>184.9600000000006</v>
      </c>
      <c r="AN83" s="374"/>
      <c r="AO83" s="374">
        <f t="shared" si="65"/>
        <v>-0.85000000000000142</v>
      </c>
      <c r="AP83" s="238">
        <f t="shared" si="66"/>
        <v>7</v>
      </c>
      <c r="AQ83" s="354"/>
      <c r="AR83" s="238">
        <v>2016</v>
      </c>
      <c r="AS83" s="365" t="s">
        <v>26</v>
      </c>
      <c r="AT83" s="366" t="s">
        <v>159</v>
      </c>
      <c r="AU83" s="366" t="s">
        <v>1</v>
      </c>
      <c r="AV83" s="366">
        <v>3509</v>
      </c>
      <c r="AW83" s="366">
        <v>19</v>
      </c>
      <c r="AX83" s="366">
        <v>14</v>
      </c>
      <c r="AY83" s="366">
        <v>359</v>
      </c>
      <c r="AZ83" s="366">
        <v>5</v>
      </c>
      <c r="BA83" s="366">
        <v>0</v>
      </c>
      <c r="BB83" s="366">
        <v>0</v>
      </c>
      <c r="BC83" s="366">
        <v>0</v>
      </c>
      <c r="BD83" s="366">
        <v>0</v>
      </c>
      <c r="BE83" s="366">
        <v>0</v>
      </c>
      <c r="BF83" s="366">
        <v>0</v>
      </c>
      <c r="BG83" s="366">
        <v>0</v>
      </c>
      <c r="BH83" s="366">
        <v>2</v>
      </c>
      <c r="BI83" s="367">
        <f>IFERROR(AV83/Instructions!$J$25,0)+AW83*Instructions!$J$27+AX83*Instructions!$J$29+IFERROR(AY83/Instructions!$E$34,0)+AZ83*Instructions!$E$36+Tier!BA83*Instructions!$E$25+IFERROR(BB83/Instructions!$E$27,0)+BC83*Instructions!$E$29+IFERROR((BD83+BF83)/Instructions!$J$32,0)+(BE83+BG83)*Instructions!$J$34+BH83*-2</f>
        <v>250.26000000000002</v>
      </c>
      <c r="BJ83" s="354"/>
      <c r="BK83" s="366">
        <v>2014</v>
      </c>
      <c r="BL83" s="370" t="s">
        <v>1696</v>
      </c>
      <c r="BM83" s="372" t="s">
        <v>166</v>
      </c>
      <c r="BN83" s="372" t="s">
        <v>3</v>
      </c>
      <c r="BO83" s="372">
        <v>0</v>
      </c>
      <c r="BP83" s="372">
        <v>0</v>
      </c>
      <c r="BQ83" s="372">
        <v>0</v>
      </c>
      <c r="BR83" s="372">
        <v>168</v>
      </c>
      <c r="BS83" s="372">
        <v>2</v>
      </c>
      <c r="BT83" s="372">
        <v>13</v>
      </c>
      <c r="BU83" s="372">
        <v>121</v>
      </c>
      <c r="BV83" s="372">
        <v>0</v>
      </c>
      <c r="BW83" s="372">
        <v>0</v>
      </c>
      <c r="BX83" s="372">
        <v>0</v>
      </c>
      <c r="BY83" s="372">
        <v>0</v>
      </c>
      <c r="BZ83" s="372">
        <v>0</v>
      </c>
      <c r="CA83" s="372">
        <v>1</v>
      </c>
      <c r="CB83" s="367">
        <f>IFERROR(BO83/Instructions!$J$25,0)+BP83*Instructions!$J$27+BQ83*Instructions!$J$29+IFERROR(BR83/Instructions!$E$34,0)+BS83*Instructions!$E$36+Tier!BT84*Instructions!$E$25+IFERROR(BU83/Instructions!$E$27,0)+BV83*Instructions!$E$29+IFERROR((BW83+BY83)/Instructions!$J$32,0)+(BX83+BZ83)*Instructions!$J$34+Tier!CA83*-2</f>
        <v>54.9</v>
      </c>
      <c r="CC83" s="354"/>
      <c r="CD83" s="321">
        <v>2014</v>
      </c>
      <c r="CE83" s="370" t="s">
        <v>209</v>
      </c>
      <c r="CF83" s="371" t="s">
        <v>161</v>
      </c>
      <c r="CG83" s="371" t="s">
        <v>6</v>
      </c>
      <c r="CH83" s="371">
        <v>0</v>
      </c>
      <c r="CI83" s="371">
        <v>0</v>
      </c>
      <c r="CJ83" s="371">
        <v>0</v>
      </c>
      <c r="CK83" s="371">
        <v>11</v>
      </c>
      <c r="CL83" s="371">
        <v>0</v>
      </c>
      <c r="CM83" s="371">
        <v>18</v>
      </c>
      <c r="CN83" s="371">
        <v>314</v>
      </c>
      <c r="CO83" s="371">
        <v>3</v>
      </c>
      <c r="CP83" s="371">
        <v>127</v>
      </c>
      <c r="CQ83" s="371">
        <v>0</v>
      </c>
      <c r="CR83" s="371">
        <v>246</v>
      </c>
      <c r="CS83" s="371">
        <v>0</v>
      </c>
      <c r="CT83" s="371">
        <v>0</v>
      </c>
      <c r="CU83" s="367">
        <f>IFERROR(CH83/Instructions!$J$25,0)+CI83*Instructions!$J$27+CJ83*Instructions!$J$29+IFERROR(CK83/Instructions!$E$34,0)+CL83*Instructions!$E$36+Tier!CM83*Instructions!$E$25+IFERROR(CN83/Instructions!$E$27,0)+CO83*Instructions!$E$29+IFERROR((CP83+CR83)/Instructions!$J$32,0)+(CQ83+CS83)*Instructions!$J$34+Tier!CT83*-2</f>
        <v>68.5</v>
      </c>
      <c r="CV83" s="354"/>
      <c r="CW83" s="238">
        <v>2016</v>
      </c>
      <c r="CX83" s="365" t="s">
        <v>58</v>
      </c>
      <c r="CY83" s="366" t="s">
        <v>142</v>
      </c>
      <c r="CZ83" s="366" t="s">
        <v>7</v>
      </c>
      <c r="DA83" s="366">
        <v>0</v>
      </c>
      <c r="DB83" s="366">
        <v>0</v>
      </c>
      <c r="DC83" s="366">
        <v>0</v>
      </c>
      <c r="DD83" s="366">
        <v>1</v>
      </c>
      <c r="DE83" s="366">
        <v>1</v>
      </c>
      <c r="DF83" s="366">
        <v>61</v>
      </c>
      <c r="DG83" s="366">
        <v>711</v>
      </c>
      <c r="DH83" s="366">
        <v>1</v>
      </c>
      <c r="DI83" s="366">
        <v>0</v>
      </c>
      <c r="DJ83" s="366">
        <v>0</v>
      </c>
      <c r="DK83" s="366">
        <v>0</v>
      </c>
      <c r="DL83" s="366">
        <v>0</v>
      </c>
      <c r="DM83" s="366">
        <v>0</v>
      </c>
      <c r="DN83" s="367">
        <f>IFERROR(DA83/Instructions!$J$25,0)+DB83*Instructions!$J$27+DC83*Instructions!$J$29+IFERROR(DD83/Instructions!$E$34,0)+DE83*Instructions!$E$36+Tier!DF83*Instructions!$E$25+IFERROR(DG83/Instructions!$E$27,0)+DH83*Instructions!$E$29+IFERROR((DI83+DK83)/Instructions!$J$32,0)+(DJ83+DL83)*Instructions!$J$34+Tier!DM83*-2</f>
        <v>144.19999999999999</v>
      </c>
    </row>
    <row r="84" spans="1:118" s="366" customFormat="1" ht="15.75" customHeight="1" x14ac:dyDescent="0.25">
      <c r="A84" s="238"/>
      <c r="B84" s="238"/>
      <c r="C84" s="354"/>
      <c r="D84" s="370"/>
      <c r="E84" s="371"/>
      <c r="F84" s="238">
        <v>2016</v>
      </c>
      <c r="G84" s="367">
        <f>LARGE($BI$68:$BI$99,17)</f>
        <v>250.10000000000002</v>
      </c>
      <c r="H84" s="355">
        <f t="shared" si="61"/>
        <v>-9.839999999999975</v>
      </c>
      <c r="I84" s="356">
        <f t="shared" si="59"/>
        <v>96.825599999999511</v>
      </c>
      <c r="J84" s="356"/>
      <c r="K84" s="356">
        <f t="shared" si="62"/>
        <v>-0.61499999999999844</v>
      </c>
      <c r="L84" s="238">
        <f t="shared" si="63"/>
        <v>7</v>
      </c>
      <c r="M84" s="354"/>
      <c r="N84" s="372"/>
      <c r="O84" s="372"/>
      <c r="P84" s="366">
        <v>2014</v>
      </c>
      <c r="Q84" s="367">
        <f>LARGE($CB$2:$CB$151,83)</f>
        <v>45.8</v>
      </c>
      <c r="R84" s="357">
        <f t="shared" si="52"/>
        <v>-118.8</v>
      </c>
      <c r="S84" s="356">
        <f t="shared" si="47"/>
        <v>14113.439999999999</v>
      </c>
      <c r="T84" s="238"/>
      <c r="U84" s="356">
        <f t="shared" si="54"/>
        <v>-7.4249999999999998</v>
      </c>
      <c r="V84" s="238">
        <f t="shared" si="55"/>
        <v>8</v>
      </c>
      <c r="W84" s="354"/>
      <c r="X84" s="371"/>
      <c r="Y84" s="371"/>
      <c r="Z84" s="321">
        <v>2014</v>
      </c>
      <c r="AA84" s="367">
        <f>LARGE($CU$2:$CU$151,83)</f>
        <v>95.8</v>
      </c>
      <c r="AB84" s="357">
        <f t="shared" si="56"/>
        <v>-121.93333333333335</v>
      </c>
      <c r="AC84" s="356">
        <f t="shared" si="53"/>
        <v>14867.737777777782</v>
      </c>
      <c r="AD84" s="356"/>
      <c r="AE84" s="356">
        <f t="shared" si="57"/>
        <v>-7.6208333333333345</v>
      </c>
      <c r="AF84" s="238">
        <f t="shared" si="58"/>
        <v>8</v>
      </c>
      <c r="AG84" s="354"/>
      <c r="AH84" s="372"/>
      <c r="AI84" s="372"/>
      <c r="AJ84" s="238">
        <v>2016</v>
      </c>
      <c r="AK84" s="367">
        <f>LARGE($DN$68:$DN$99,17)</f>
        <v>133.9</v>
      </c>
      <c r="AL84" s="373">
        <f t="shared" si="64"/>
        <v>-15.900000000000006</v>
      </c>
      <c r="AM84" s="374">
        <f t="shared" si="60"/>
        <v>252.81000000000017</v>
      </c>
      <c r="AN84" s="374"/>
      <c r="AO84" s="374">
        <f t="shared" si="65"/>
        <v>-0.99375000000000036</v>
      </c>
      <c r="AP84" s="238">
        <f t="shared" si="66"/>
        <v>7</v>
      </c>
      <c r="AQ84" s="354"/>
      <c r="AR84" s="238">
        <v>2016</v>
      </c>
      <c r="AS84" s="365" t="s">
        <v>59</v>
      </c>
      <c r="AT84" s="366" t="s">
        <v>147</v>
      </c>
      <c r="AU84" s="366" t="s">
        <v>1</v>
      </c>
      <c r="AV84" s="366">
        <v>3819</v>
      </c>
      <c r="AW84" s="366">
        <v>29</v>
      </c>
      <c r="AX84" s="366">
        <v>13</v>
      </c>
      <c r="AY84" s="366">
        <v>14</v>
      </c>
      <c r="AZ84" s="366">
        <v>1</v>
      </c>
      <c r="BA84" s="366">
        <v>0</v>
      </c>
      <c r="BB84" s="366">
        <v>0</v>
      </c>
      <c r="BC84" s="366">
        <v>0</v>
      </c>
      <c r="BD84" s="366">
        <v>0</v>
      </c>
      <c r="BE84" s="366">
        <v>0</v>
      </c>
      <c r="BF84" s="366">
        <v>0</v>
      </c>
      <c r="BG84" s="366">
        <v>0</v>
      </c>
      <c r="BH84" s="366">
        <v>2</v>
      </c>
      <c r="BI84" s="367">
        <f>IFERROR(AV84/Instructions!$J$25,0)+AW84*Instructions!$J$27+AX84*Instructions!$J$29+IFERROR(AY84/Instructions!$E$34,0)+AZ84*Instructions!$E$36+Tier!BA84*Instructions!$E$25+IFERROR(BB84/Instructions!$E$27,0)+BC84*Instructions!$E$29+IFERROR((BD84+BF84)/Instructions!$J$32,0)+(BE84+BG84)*Instructions!$J$34+BH84*-2</f>
        <v>246.16</v>
      </c>
      <c r="BJ84" s="354"/>
      <c r="BK84" s="366">
        <v>2014</v>
      </c>
      <c r="BL84" s="370" t="s">
        <v>1660</v>
      </c>
      <c r="BM84" s="372" t="s">
        <v>156</v>
      </c>
      <c r="BN84" s="372" t="s">
        <v>3</v>
      </c>
      <c r="BO84" s="372">
        <v>0</v>
      </c>
      <c r="BP84" s="372">
        <v>0</v>
      </c>
      <c r="BQ84" s="372">
        <v>0</v>
      </c>
      <c r="BR84" s="372">
        <v>126</v>
      </c>
      <c r="BS84" s="372">
        <v>0</v>
      </c>
      <c r="BT84" s="372">
        <v>16</v>
      </c>
      <c r="BU84" s="372">
        <v>176</v>
      </c>
      <c r="BV84" s="372">
        <v>0</v>
      </c>
      <c r="BW84" s="372">
        <v>0</v>
      </c>
      <c r="BX84" s="372">
        <v>0</v>
      </c>
      <c r="BY84" s="372">
        <v>75</v>
      </c>
      <c r="BZ84" s="372">
        <v>0</v>
      </c>
      <c r="CA84" s="372">
        <v>1</v>
      </c>
      <c r="CB84" s="367">
        <f>IFERROR(BO84/Instructions!$J$25,0)+BP84*Instructions!$J$27+BQ84*Instructions!$J$29+IFERROR(BR84/Instructions!$E$34,0)+BS84*Instructions!$E$36+Tier!BT85*Instructions!$E$25+IFERROR(BU84/Instructions!$E$27,0)+BV84*Instructions!$E$29+IFERROR((BW84+BY84)/Instructions!$J$32,0)+(BX84+BZ84)*Instructions!$J$34+Tier!CA84*-2</f>
        <v>46.2</v>
      </c>
      <c r="CC84" s="354"/>
      <c r="CD84" s="321">
        <v>2014</v>
      </c>
      <c r="CE84" s="370" t="s">
        <v>102</v>
      </c>
      <c r="CF84" s="371" t="s">
        <v>1613</v>
      </c>
      <c r="CG84" s="371" t="s">
        <v>6</v>
      </c>
      <c r="CH84" s="371">
        <v>32</v>
      </c>
      <c r="CI84" s="371">
        <v>1</v>
      </c>
      <c r="CJ84" s="371">
        <v>0</v>
      </c>
      <c r="CK84" s="371">
        <v>0</v>
      </c>
      <c r="CL84" s="371">
        <v>0</v>
      </c>
      <c r="CM84" s="371">
        <v>53</v>
      </c>
      <c r="CN84" s="371">
        <v>557</v>
      </c>
      <c r="CO84" s="371">
        <v>1</v>
      </c>
      <c r="CP84" s="371">
        <v>0</v>
      </c>
      <c r="CQ84" s="371">
        <v>0</v>
      </c>
      <c r="CR84" s="371">
        <v>0</v>
      </c>
      <c r="CS84" s="371">
        <v>0</v>
      </c>
      <c r="CT84" s="371">
        <v>0</v>
      </c>
      <c r="CU84" s="367">
        <f>IFERROR(CH84/Instructions!$J$25,0)+CI84*Instructions!$J$27+CJ84*Instructions!$J$29+IFERROR(CK84/Instructions!$E$34,0)+CL84*Instructions!$E$36+Tier!CM84*Instructions!$E$25+IFERROR(CN84/Instructions!$E$27,0)+CO84*Instructions!$E$29+IFERROR((CP84+CR84)/Instructions!$J$32,0)+(CQ84+CS84)*Instructions!$J$34+Tier!CT84*-2</f>
        <v>119.98</v>
      </c>
      <c r="CV84" s="354"/>
      <c r="CW84" s="238">
        <v>2016</v>
      </c>
      <c r="CX84" s="365" t="s">
        <v>1298</v>
      </c>
      <c r="CY84" s="366" t="s">
        <v>151</v>
      </c>
      <c r="CZ84" s="366" t="s">
        <v>7</v>
      </c>
      <c r="DA84" s="366">
        <v>0</v>
      </c>
      <c r="DB84" s="366">
        <v>0</v>
      </c>
      <c r="DC84" s="366">
        <v>0</v>
      </c>
      <c r="DD84" s="366">
        <v>0</v>
      </c>
      <c r="DE84" s="366">
        <v>0</v>
      </c>
      <c r="DF84" s="366">
        <v>54</v>
      </c>
      <c r="DG84" s="366">
        <v>559</v>
      </c>
      <c r="DH84" s="366">
        <v>4</v>
      </c>
      <c r="DI84" s="366">
        <v>0</v>
      </c>
      <c r="DJ84" s="366">
        <v>0</v>
      </c>
      <c r="DK84" s="366">
        <v>0</v>
      </c>
      <c r="DL84" s="366">
        <v>0</v>
      </c>
      <c r="DM84" s="366">
        <v>0</v>
      </c>
      <c r="DN84" s="367">
        <f>IFERROR(DA84/Instructions!$J$25,0)+DB84*Instructions!$J$27+DC84*Instructions!$J$29+IFERROR(DD84/Instructions!$E$34,0)+DE84*Instructions!$E$36+Tier!DF84*Instructions!$E$25+IFERROR(DG84/Instructions!$E$27,0)+DH84*Instructions!$E$29+IFERROR((DI84+DK84)/Instructions!$J$32,0)+(DJ84+DL84)*Instructions!$J$34+Tier!DM84*-2</f>
        <v>133.9</v>
      </c>
    </row>
    <row r="85" spans="1:118" s="366" customFormat="1" ht="15.75" customHeight="1" x14ac:dyDescent="0.25">
      <c r="A85" s="238"/>
      <c r="B85" s="238"/>
      <c r="C85" s="354"/>
      <c r="D85" s="370"/>
      <c r="E85" s="371"/>
      <c r="F85" s="238">
        <v>2016</v>
      </c>
      <c r="G85" s="367">
        <f>LARGE($BI$68:$BI$99,18)</f>
        <v>246.16</v>
      </c>
      <c r="H85" s="355">
        <f t="shared" si="61"/>
        <v>-13.780000000000001</v>
      </c>
      <c r="I85" s="356">
        <f t="shared" si="59"/>
        <v>189.88840000000002</v>
      </c>
      <c r="J85" s="356"/>
      <c r="K85" s="356">
        <f t="shared" si="62"/>
        <v>-0.86125000000000007</v>
      </c>
      <c r="L85" s="238">
        <f t="shared" si="63"/>
        <v>7</v>
      </c>
      <c r="M85" s="354"/>
      <c r="N85" s="372"/>
      <c r="O85" s="372"/>
      <c r="P85" s="366">
        <v>2014</v>
      </c>
      <c r="Q85" s="367">
        <f>LARGE($CB$2:$CB$151,84)</f>
        <v>44.7</v>
      </c>
      <c r="R85" s="357">
        <f t="shared" si="52"/>
        <v>-119.89999999999999</v>
      </c>
      <c r="S85" s="356">
        <f t="shared" si="47"/>
        <v>14376.009999999998</v>
      </c>
      <c r="T85" s="238"/>
      <c r="U85" s="356">
        <f t="shared" si="54"/>
        <v>-7.4937499999999995</v>
      </c>
      <c r="V85" s="238">
        <f t="shared" si="55"/>
        <v>8</v>
      </c>
      <c r="W85" s="354"/>
      <c r="X85" s="371"/>
      <c r="Y85" s="371"/>
      <c r="Z85" s="321">
        <v>2014</v>
      </c>
      <c r="AA85" s="367">
        <f>LARGE($CU$2:$CU$151,84)</f>
        <v>95.600000000000009</v>
      </c>
      <c r="AB85" s="357">
        <f t="shared" si="56"/>
        <v>-122.13333333333334</v>
      </c>
      <c r="AC85" s="356">
        <f t="shared" si="53"/>
        <v>14916.551111111112</v>
      </c>
      <c r="AD85" s="356"/>
      <c r="AE85" s="356">
        <f t="shared" si="57"/>
        <v>-7.6333333333333337</v>
      </c>
      <c r="AF85" s="238">
        <f t="shared" si="58"/>
        <v>8</v>
      </c>
      <c r="AG85" s="354"/>
      <c r="AH85" s="372"/>
      <c r="AI85" s="372"/>
      <c r="AJ85" s="238">
        <v>2016</v>
      </c>
      <c r="AK85" s="367">
        <f>LARGE($DN$68:$DN$99,18)</f>
        <v>131.80000000000001</v>
      </c>
      <c r="AL85" s="373">
        <f t="shared" si="64"/>
        <v>-18</v>
      </c>
      <c r="AM85" s="374">
        <f t="shared" si="60"/>
        <v>324</v>
      </c>
      <c r="AN85" s="374"/>
      <c r="AO85" s="374">
        <f t="shared" si="65"/>
        <v>-1.125</v>
      </c>
      <c r="AP85" s="238">
        <f t="shared" si="66"/>
        <v>8</v>
      </c>
      <c r="AQ85" s="354"/>
      <c r="AR85" s="238">
        <v>2016</v>
      </c>
      <c r="AS85" s="365" t="s">
        <v>81</v>
      </c>
      <c r="AT85" s="366" t="s">
        <v>153</v>
      </c>
      <c r="AU85" s="366" t="s">
        <v>1</v>
      </c>
      <c r="AV85" s="366">
        <v>4233</v>
      </c>
      <c r="AW85" s="366">
        <v>26</v>
      </c>
      <c r="AX85" s="366">
        <v>14</v>
      </c>
      <c r="AY85" s="366">
        <v>38</v>
      </c>
      <c r="AZ85" s="366">
        <v>0</v>
      </c>
      <c r="BA85" s="366">
        <v>0</v>
      </c>
      <c r="BB85" s="366">
        <v>0</v>
      </c>
      <c r="BC85" s="366">
        <v>0</v>
      </c>
      <c r="BD85" s="366">
        <v>0</v>
      </c>
      <c r="BE85" s="366">
        <v>0</v>
      </c>
      <c r="BF85" s="366">
        <v>0</v>
      </c>
      <c r="BG85" s="366">
        <v>0</v>
      </c>
      <c r="BH85" s="366">
        <v>4</v>
      </c>
      <c r="BI85" s="367">
        <f>IFERROR(AV85/Instructions!$J$25,0)+AW85*Instructions!$J$27+AX85*Instructions!$J$29+IFERROR(AY85/Instructions!$E$34,0)+AZ85*Instructions!$E$36+Tier!BA85*Instructions!$E$25+IFERROR(BB85/Instructions!$E$27,0)+BC85*Instructions!$E$29+IFERROR((BD85+BF85)/Instructions!$J$32,0)+(BE85+BG85)*Instructions!$J$34+BH85*-2</f>
        <v>241.12</v>
      </c>
      <c r="BJ85" s="354"/>
      <c r="BK85" s="366">
        <v>2014</v>
      </c>
      <c r="BL85" s="370" t="s">
        <v>128</v>
      </c>
      <c r="BM85" s="372" t="s">
        <v>146</v>
      </c>
      <c r="BN85" s="372" t="s">
        <v>3</v>
      </c>
      <c r="BO85" s="372">
        <v>0</v>
      </c>
      <c r="BP85" s="372">
        <v>0</v>
      </c>
      <c r="BQ85" s="372">
        <v>0</v>
      </c>
      <c r="BR85" s="372">
        <v>99</v>
      </c>
      <c r="BS85" s="372">
        <v>0</v>
      </c>
      <c r="BT85" s="372">
        <v>18</v>
      </c>
      <c r="BU85" s="372">
        <v>217</v>
      </c>
      <c r="BV85" s="372">
        <v>0</v>
      </c>
      <c r="BW85" s="372">
        <v>0</v>
      </c>
      <c r="BX85" s="372">
        <v>0</v>
      </c>
      <c r="BY85" s="372">
        <v>46</v>
      </c>
      <c r="BZ85" s="372">
        <v>0</v>
      </c>
      <c r="CA85" s="372">
        <v>0</v>
      </c>
      <c r="CB85" s="367">
        <f>IFERROR(BO85/Instructions!$J$25,0)+BP85*Instructions!$J$27+BQ85*Instructions!$J$29+IFERROR(BR85/Instructions!$E$34,0)+BS85*Instructions!$E$36+Tier!BT86*Instructions!$E$25+IFERROR(BU85/Instructions!$E$27,0)+BV85*Instructions!$E$29+IFERROR((BW85+BY85)/Instructions!$J$32,0)+(BX85+BZ85)*Instructions!$J$34+Tier!CA85*-2</f>
        <v>49.599999999999994</v>
      </c>
      <c r="CC85" s="354"/>
      <c r="CD85" s="321">
        <v>2014</v>
      </c>
      <c r="CE85" s="370" t="s">
        <v>190</v>
      </c>
      <c r="CF85" s="371" t="s">
        <v>1613</v>
      </c>
      <c r="CG85" s="371" t="s">
        <v>6</v>
      </c>
      <c r="CH85" s="371">
        <v>0</v>
      </c>
      <c r="CI85" s="371">
        <v>0</v>
      </c>
      <c r="CJ85" s="371">
        <v>0</v>
      </c>
      <c r="CK85" s="371">
        <v>0</v>
      </c>
      <c r="CL85" s="371">
        <v>0</v>
      </c>
      <c r="CM85" s="371">
        <v>48</v>
      </c>
      <c r="CN85" s="371">
        <v>548</v>
      </c>
      <c r="CO85" s="371">
        <v>2</v>
      </c>
      <c r="CP85" s="371">
        <v>0</v>
      </c>
      <c r="CQ85" s="371">
        <v>0</v>
      </c>
      <c r="CR85" s="371">
        <v>0</v>
      </c>
      <c r="CS85" s="371">
        <v>0</v>
      </c>
      <c r="CT85" s="371">
        <v>0</v>
      </c>
      <c r="CU85" s="367">
        <f>IFERROR(CH85/Instructions!$J$25,0)+CI85*Instructions!$J$27+CJ85*Instructions!$J$29+IFERROR(CK85/Instructions!$E$34,0)+CL85*Instructions!$E$36+Tier!CM85*Instructions!$E$25+IFERROR(CN85/Instructions!$E$27,0)+CO85*Instructions!$E$29+IFERROR((CP85+CR85)/Instructions!$J$32,0)+(CQ85+CS85)*Instructions!$J$34+Tier!CT85*-2</f>
        <v>114.8</v>
      </c>
      <c r="CV85" s="354"/>
      <c r="CW85" s="238">
        <v>2016</v>
      </c>
      <c r="CX85" s="365" t="s">
        <v>54</v>
      </c>
      <c r="CY85" s="366" t="s">
        <v>156</v>
      </c>
      <c r="CZ85" s="366" t="s">
        <v>7</v>
      </c>
      <c r="DA85" s="366">
        <v>0</v>
      </c>
      <c r="DB85" s="366">
        <v>0</v>
      </c>
      <c r="DC85" s="366">
        <v>0</v>
      </c>
      <c r="DD85" s="366">
        <v>0</v>
      </c>
      <c r="DE85" s="366">
        <v>0</v>
      </c>
      <c r="DF85" s="366">
        <v>57</v>
      </c>
      <c r="DG85" s="366">
        <v>552</v>
      </c>
      <c r="DH85" s="366">
        <v>4</v>
      </c>
      <c r="DI85" s="366">
        <v>0</v>
      </c>
      <c r="DJ85" s="366">
        <v>0</v>
      </c>
      <c r="DK85" s="366">
        <v>0</v>
      </c>
      <c r="DL85" s="366">
        <v>0</v>
      </c>
      <c r="DM85" s="366">
        <v>0</v>
      </c>
      <c r="DN85" s="367">
        <f>IFERROR(DA85/Instructions!$J$25,0)+DB85*Instructions!$J$27+DC85*Instructions!$J$29+IFERROR(DD85/Instructions!$E$34,0)+DE85*Instructions!$E$36+Tier!DF85*Instructions!$E$25+IFERROR(DG85/Instructions!$E$27,0)+DH85*Instructions!$E$29+IFERROR((DI85+DK85)/Instructions!$J$32,0)+(DJ85+DL85)*Instructions!$J$34+Tier!DM85*-2</f>
        <v>136.19999999999999</v>
      </c>
    </row>
    <row r="86" spans="1:118" s="366" customFormat="1" ht="15.75" customHeight="1" x14ac:dyDescent="0.25">
      <c r="A86" s="238"/>
      <c r="B86" s="238"/>
      <c r="C86" s="354"/>
      <c r="D86" s="365"/>
      <c r="F86" s="238">
        <v>2016</v>
      </c>
      <c r="G86" s="367">
        <f>LARGE($BI$68:$BI$99,19)</f>
        <v>241.12</v>
      </c>
      <c r="H86" s="355">
        <f t="shared" si="61"/>
        <v>-18.819999999999993</v>
      </c>
      <c r="I86" s="356">
        <f t="shared" si="59"/>
        <v>354.19239999999974</v>
      </c>
      <c r="J86" s="356"/>
      <c r="K86" s="356">
        <f t="shared" si="62"/>
        <v>-1.1762499999999996</v>
      </c>
      <c r="L86" s="238">
        <f t="shared" si="63"/>
        <v>8</v>
      </c>
      <c r="M86" s="354"/>
      <c r="N86" s="372"/>
      <c r="O86" s="372"/>
      <c r="P86" s="366">
        <v>2014</v>
      </c>
      <c r="Q86" s="367">
        <f>LARGE($CB$2:$CB$151,85)</f>
        <v>44</v>
      </c>
      <c r="R86" s="357">
        <f t="shared" si="52"/>
        <v>-120.6</v>
      </c>
      <c r="S86" s="356">
        <f t="shared" si="47"/>
        <v>14544.359999999999</v>
      </c>
      <c r="T86" s="238"/>
      <c r="U86" s="356">
        <f t="shared" si="54"/>
        <v>-7.5374999999999996</v>
      </c>
      <c r="V86" s="238">
        <f t="shared" si="55"/>
        <v>8</v>
      </c>
      <c r="W86" s="354"/>
      <c r="X86" s="371"/>
      <c r="Y86" s="371"/>
      <c r="Z86" s="321">
        <v>2014</v>
      </c>
      <c r="AA86" s="367">
        <f>LARGE($CU$2:$CU$151,85)</f>
        <v>95.1</v>
      </c>
      <c r="AB86" s="357">
        <f t="shared" si="56"/>
        <v>-122.63333333333335</v>
      </c>
      <c r="AC86" s="356">
        <f t="shared" si="53"/>
        <v>15038.934444444449</v>
      </c>
      <c r="AD86" s="356"/>
      <c r="AE86" s="356">
        <f t="shared" si="57"/>
        <v>-7.6645833333333346</v>
      </c>
      <c r="AF86" s="238">
        <f t="shared" si="58"/>
        <v>8</v>
      </c>
      <c r="AG86" s="354"/>
      <c r="AJ86" s="238">
        <v>2016</v>
      </c>
      <c r="AK86" s="367">
        <f>LARGE($DN$68:$DN$99,19)</f>
        <v>128.19999999999999</v>
      </c>
      <c r="AL86" s="373">
        <f t="shared" si="64"/>
        <v>-21.600000000000023</v>
      </c>
      <c r="AM86" s="374">
        <f t="shared" si="60"/>
        <v>466.56000000000097</v>
      </c>
      <c r="AN86" s="374"/>
      <c r="AO86" s="374">
        <f t="shared" si="65"/>
        <v>-1.3500000000000014</v>
      </c>
      <c r="AP86" s="238">
        <f t="shared" si="66"/>
        <v>8</v>
      </c>
      <c r="AQ86" s="354"/>
      <c r="AR86" s="238">
        <v>2016</v>
      </c>
      <c r="AS86" s="365" t="s">
        <v>35</v>
      </c>
      <c r="AT86" s="366" t="s">
        <v>1628</v>
      </c>
      <c r="AU86" s="366" t="s">
        <v>1</v>
      </c>
      <c r="AV86" s="366">
        <v>3554</v>
      </c>
      <c r="AW86" s="366">
        <v>28</v>
      </c>
      <c r="AX86" s="366">
        <v>2</v>
      </c>
      <c r="AY86" s="366">
        <v>64</v>
      </c>
      <c r="AZ86" s="366">
        <v>0</v>
      </c>
      <c r="BA86" s="366">
        <v>0</v>
      </c>
      <c r="BB86" s="366">
        <v>0</v>
      </c>
      <c r="BC86" s="366">
        <v>0</v>
      </c>
      <c r="BD86" s="366">
        <v>0</v>
      </c>
      <c r="BE86" s="366">
        <v>0</v>
      </c>
      <c r="BF86" s="366">
        <v>0</v>
      </c>
      <c r="BG86" s="366">
        <v>0</v>
      </c>
      <c r="BH86" s="366">
        <v>0</v>
      </c>
      <c r="BI86" s="367">
        <f>IFERROR(AV86/Instructions!$J$25,0)+AW86*Instructions!$J$27+AX86*Instructions!$J$29+IFERROR(AY86/Instructions!$E$34,0)+AZ86*Instructions!$E$36+Tier!BA86*Instructions!$E$25+IFERROR(BB86/Instructions!$E$27,0)+BC86*Instructions!$E$29+IFERROR((BD86+BF86)/Instructions!$J$32,0)+(BE86+BG86)*Instructions!$J$34+BH86*-2</f>
        <v>256.56</v>
      </c>
      <c r="BJ86" s="354"/>
      <c r="BK86" s="366">
        <v>2014</v>
      </c>
      <c r="BL86" s="370" t="s">
        <v>1655</v>
      </c>
      <c r="BM86" s="372" t="s">
        <v>1630</v>
      </c>
      <c r="BN86" s="372" t="s">
        <v>3</v>
      </c>
      <c r="BO86" s="372">
        <v>0</v>
      </c>
      <c r="BP86" s="372">
        <v>0</v>
      </c>
      <c r="BQ86" s="372">
        <v>0</v>
      </c>
      <c r="BR86" s="372">
        <v>9</v>
      </c>
      <c r="BS86" s="372">
        <v>0</v>
      </c>
      <c r="BT86" s="372">
        <v>18</v>
      </c>
      <c r="BU86" s="372">
        <v>189</v>
      </c>
      <c r="BV86" s="372">
        <v>2</v>
      </c>
      <c r="BW86" s="372">
        <v>0</v>
      </c>
      <c r="BX86" s="372">
        <v>0</v>
      </c>
      <c r="BY86" s="372">
        <v>19</v>
      </c>
      <c r="BZ86" s="372">
        <v>0</v>
      </c>
      <c r="CA86" s="372">
        <v>1</v>
      </c>
      <c r="CB86" s="367">
        <f>IFERROR(BO86/Instructions!$J$25,0)+BP86*Instructions!$J$27+BQ86*Instructions!$J$29+IFERROR(BR86/Instructions!$E$34,0)+BS86*Instructions!$E$36+Tier!BT87*Instructions!$E$25+IFERROR(BU86/Instructions!$E$27,0)+BV86*Instructions!$E$29+IFERROR((BW86+BY86)/Instructions!$J$32,0)+(BX86+BZ86)*Instructions!$J$34+Tier!CA86*-2</f>
        <v>40.799999999999997</v>
      </c>
      <c r="CC86" s="354"/>
      <c r="CD86" s="321">
        <v>2014</v>
      </c>
      <c r="CE86" s="370" t="s">
        <v>1726</v>
      </c>
      <c r="CF86" s="371" t="s">
        <v>158</v>
      </c>
      <c r="CG86" s="371" t="s">
        <v>6</v>
      </c>
      <c r="CH86" s="371">
        <v>0</v>
      </c>
      <c r="CI86" s="371">
        <v>0</v>
      </c>
      <c r="CJ86" s="371">
        <v>0</v>
      </c>
      <c r="CK86" s="371">
        <v>0</v>
      </c>
      <c r="CL86" s="371">
        <v>0</v>
      </c>
      <c r="CM86" s="371">
        <v>38</v>
      </c>
      <c r="CN86" s="371">
        <v>405</v>
      </c>
      <c r="CO86" s="371">
        <v>4</v>
      </c>
      <c r="CP86" s="371">
        <v>0</v>
      </c>
      <c r="CQ86" s="371">
        <v>0</v>
      </c>
      <c r="CR86" s="371">
        <v>0</v>
      </c>
      <c r="CS86" s="371">
        <v>0</v>
      </c>
      <c r="CT86" s="371">
        <v>0</v>
      </c>
      <c r="CU86" s="367">
        <f>IFERROR(CH86/Instructions!$J$25,0)+CI86*Instructions!$J$27+CJ86*Instructions!$J$29+IFERROR(CK86/Instructions!$E$34,0)+CL86*Instructions!$E$36+Tier!CM86*Instructions!$E$25+IFERROR(CN86/Instructions!$E$27,0)+CO86*Instructions!$E$29+IFERROR((CP86+CR86)/Instructions!$J$32,0)+(CQ86+CS86)*Instructions!$J$34+Tier!CT86*-2</f>
        <v>102.5</v>
      </c>
      <c r="CV86" s="354"/>
      <c r="CW86" s="238">
        <v>2016</v>
      </c>
      <c r="CX86" s="365" t="s">
        <v>221</v>
      </c>
      <c r="CY86" s="366" t="s">
        <v>158</v>
      </c>
      <c r="CZ86" s="366" t="s">
        <v>7</v>
      </c>
      <c r="DA86" s="366">
        <v>0</v>
      </c>
      <c r="DB86" s="366">
        <v>0</v>
      </c>
      <c r="DC86" s="366">
        <v>0</v>
      </c>
      <c r="DD86" s="366">
        <v>0</v>
      </c>
      <c r="DE86" s="366">
        <v>0</v>
      </c>
      <c r="DF86" s="366">
        <v>35</v>
      </c>
      <c r="DG86" s="366">
        <v>406</v>
      </c>
      <c r="DH86" s="366">
        <v>6</v>
      </c>
      <c r="DI86" s="366">
        <v>0</v>
      </c>
      <c r="DJ86" s="366">
        <v>0</v>
      </c>
      <c r="DK86" s="366">
        <v>0</v>
      </c>
      <c r="DL86" s="366">
        <v>0</v>
      </c>
      <c r="DM86" s="366">
        <v>0</v>
      </c>
      <c r="DN86" s="367">
        <f>IFERROR(DA86/Instructions!$J$25,0)+DB86*Instructions!$J$27+DC86*Instructions!$J$29+IFERROR(DD86/Instructions!$E$34,0)+DE86*Instructions!$E$36+Tier!DF86*Instructions!$E$25+IFERROR(DG86/Instructions!$E$27,0)+DH86*Instructions!$E$29+IFERROR((DI86+DK86)/Instructions!$J$32,0)+(DJ86+DL86)*Instructions!$J$34+Tier!DM86*-2</f>
        <v>111.6</v>
      </c>
    </row>
    <row r="87" spans="1:118" s="366" customFormat="1" ht="15.75" customHeight="1" x14ac:dyDescent="0.25">
      <c r="A87" s="238"/>
      <c r="B87" s="238"/>
      <c r="C87" s="354"/>
      <c r="D87" s="365"/>
      <c r="F87" s="238">
        <v>2016</v>
      </c>
      <c r="G87" s="367">
        <f>LARGE($BI$68:$BI$99,20)</f>
        <v>234.48000000000002</v>
      </c>
      <c r="H87" s="355">
        <f t="shared" si="61"/>
        <v>-25.45999999999998</v>
      </c>
      <c r="I87" s="356">
        <f t="shared" si="59"/>
        <v>648.21159999999895</v>
      </c>
      <c r="J87" s="356"/>
      <c r="K87" s="356">
        <f t="shared" si="62"/>
        <v>-1.5912499999999987</v>
      </c>
      <c r="L87" s="238">
        <f t="shared" si="63"/>
        <v>8</v>
      </c>
      <c r="M87" s="354"/>
      <c r="N87" s="372"/>
      <c r="O87" s="372"/>
      <c r="P87" s="366">
        <v>2014</v>
      </c>
      <c r="Q87" s="367">
        <f>LARGE($CB$2:$CB$151,86)</f>
        <v>40.799999999999997</v>
      </c>
      <c r="R87" s="357">
        <f t="shared" si="52"/>
        <v>-123.8</v>
      </c>
      <c r="S87" s="356">
        <f t="shared" si="47"/>
        <v>15326.439999999999</v>
      </c>
      <c r="T87" s="238"/>
      <c r="U87" s="356">
        <f t="shared" si="54"/>
        <v>-7.7374999999999998</v>
      </c>
      <c r="V87" s="238">
        <f t="shared" si="55"/>
        <v>8</v>
      </c>
      <c r="W87" s="354"/>
      <c r="X87" s="371"/>
      <c r="Y87" s="371"/>
      <c r="Z87" s="321">
        <v>2014</v>
      </c>
      <c r="AA87" s="367">
        <f>LARGE($CU$2:$CU$151,86)</f>
        <v>93.7</v>
      </c>
      <c r="AB87" s="357">
        <f t="shared" si="56"/>
        <v>-124.03333333333335</v>
      </c>
      <c r="AC87" s="356">
        <f t="shared" si="53"/>
        <v>15384.267777777781</v>
      </c>
      <c r="AD87" s="356"/>
      <c r="AE87" s="356">
        <f t="shared" si="57"/>
        <v>-7.7520833333333341</v>
      </c>
      <c r="AF87" s="238">
        <f t="shared" si="58"/>
        <v>8</v>
      </c>
      <c r="AG87" s="354"/>
      <c r="AJ87" s="238">
        <v>2016</v>
      </c>
      <c r="AK87" s="367">
        <f>LARGE($DN$68:$DN$99,20)</f>
        <v>119.6</v>
      </c>
      <c r="AL87" s="373">
        <f t="shared" si="64"/>
        <v>-30.200000000000017</v>
      </c>
      <c r="AM87" s="374">
        <f t="shared" si="60"/>
        <v>912.04000000000099</v>
      </c>
      <c r="AN87" s="374"/>
      <c r="AO87" s="374">
        <f t="shared" si="65"/>
        <v>-1.8875000000000011</v>
      </c>
      <c r="AP87" s="238">
        <f t="shared" si="66"/>
        <v>8</v>
      </c>
      <c r="AQ87" s="354"/>
      <c r="AR87" s="238">
        <v>2016</v>
      </c>
      <c r="AS87" s="365" t="s">
        <v>77</v>
      </c>
      <c r="AT87" s="366" t="s">
        <v>162</v>
      </c>
      <c r="AU87" s="366" t="s">
        <v>1</v>
      </c>
      <c r="AV87" s="366">
        <v>4317</v>
      </c>
      <c r="AW87" s="366">
        <v>20</v>
      </c>
      <c r="AX87" s="366">
        <v>15</v>
      </c>
      <c r="AY87" s="366">
        <v>58</v>
      </c>
      <c r="AZ87" s="366">
        <v>2</v>
      </c>
      <c r="BA87" s="366">
        <v>0</v>
      </c>
      <c r="BB87" s="366">
        <v>0</v>
      </c>
      <c r="BC87" s="366">
        <v>0</v>
      </c>
      <c r="BD87" s="366">
        <v>0</v>
      </c>
      <c r="BE87" s="366">
        <v>0</v>
      </c>
      <c r="BF87" s="366">
        <v>0</v>
      </c>
      <c r="BG87" s="366">
        <v>0</v>
      </c>
      <c r="BH87" s="366">
        <v>3</v>
      </c>
      <c r="BI87" s="367">
        <f>IFERROR(AV87/Instructions!$J$25,0)+AW87*Instructions!$J$27+AX87*Instructions!$J$29+IFERROR(AY87/Instructions!$E$34,0)+AZ87*Instructions!$E$36+Tier!BA87*Instructions!$E$25+IFERROR(BB87/Instructions!$E$27,0)+BC87*Instructions!$E$29+IFERROR((BD87+BF87)/Instructions!$J$32,0)+(BE87+BG87)*Instructions!$J$34+BH87*-2</f>
        <v>234.48000000000002</v>
      </c>
      <c r="BJ87" s="354"/>
      <c r="BK87" s="366">
        <v>2014</v>
      </c>
      <c r="BL87" s="370" t="s">
        <v>978</v>
      </c>
      <c r="BM87" s="372" t="s">
        <v>164</v>
      </c>
      <c r="BN87" s="372" t="s">
        <v>3</v>
      </c>
      <c r="BO87" s="372">
        <v>0</v>
      </c>
      <c r="BP87" s="372">
        <v>0</v>
      </c>
      <c r="BQ87" s="372">
        <v>0</v>
      </c>
      <c r="BR87" s="372">
        <v>141</v>
      </c>
      <c r="BS87" s="372">
        <v>1</v>
      </c>
      <c r="BT87" s="372">
        <v>11</v>
      </c>
      <c r="BU87" s="372">
        <v>92</v>
      </c>
      <c r="BV87" s="372">
        <v>0</v>
      </c>
      <c r="BW87" s="372">
        <v>0</v>
      </c>
      <c r="BX87" s="372">
        <v>0</v>
      </c>
      <c r="BY87" s="372">
        <v>34</v>
      </c>
      <c r="BZ87" s="372">
        <v>0</v>
      </c>
      <c r="CA87" s="372">
        <v>0</v>
      </c>
      <c r="CB87" s="367">
        <f>IFERROR(BO87/Instructions!$J$25,0)+BP87*Instructions!$J$27+BQ87*Instructions!$J$29+IFERROR(BR87/Instructions!$E$34,0)+BS87*Instructions!$E$36+Tier!BT88*Instructions!$E$25+IFERROR(BU87/Instructions!$E$27,0)+BV87*Instructions!$E$29+IFERROR((BW87+BY87)/Instructions!$J$32,0)+(BX87+BZ87)*Instructions!$J$34+Tier!CA87*-2</f>
        <v>38.299999999999997</v>
      </c>
      <c r="CC87" s="354"/>
      <c r="CD87" s="321">
        <v>2014</v>
      </c>
      <c r="CE87" s="370" t="s">
        <v>206</v>
      </c>
      <c r="CF87" s="371" t="s">
        <v>158</v>
      </c>
      <c r="CG87" s="371" t="s">
        <v>6</v>
      </c>
      <c r="CH87" s="371">
        <v>0</v>
      </c>
      <c r="CI87" s="371">
        <v>0</v>
      </c>
      <c r="CJ87" s="371">
        <v>0</v>
      </c>
      <c r="CK87" s="371">
        <v>17</v>
      </c>
      <c r="CL87" s="371">
        <v>0</v>
      </c>
      <c r="CM87" s="371">
        <v>32</v>
      </c>
      <c r="CN87" s="371">
        <v>444</v>
      </c>
      <c r="CO87" s="371">
        <v>3</v>
      </c>
      <c r="CP87" s="371">
        <v>0</v>
      </c>
      <c r="CQ87" s="371">
        <v>0</v>
      </c>
      <c r="CR87" s="371">
        <v>0</v>
      </c>
      <c r="CS87" s="371">
        <v>0</v>
      </c>
      <c r="CT87" s="371">
        <v>0</v>
      </c>
      <c r="CU87" s="367">
        <f>IFERROR(CH87/Instructions!$J$25,0)+CI87*Instructions!$J$27+CJ87*Instructions!$J$29+IFERROR(CK87/Instructions!$E$34,0)+CL87*Instructions!$E$36+Tier!CM87*Instructions!$E$25+IFERROR(CN87/Instructions!$E$27,0)+CO87*Instructions!$E$29+IFERROR((CP87+CR87)/Instructions!$J$32,0)+(CQ87+CS87)*Instructions!$J$34+Tier!CT87*-2</f>
        <v>96.1</v>
      </c>
      <c r="CV87" s="354"/>
      <c r="CW87" s="238">
        <v>2016</v>
      </c>
      <c r="CX87" s="365" t="s">
        <v>241</v>
      </c>
      <c r="CY87" s="366" t="s">
        <v>161</v>
      </c>
      <c r="CZ87" s="366" t="s">
        <v>7</v>
      </c>
      <c r="DA87" s="366">
        <v>0</v>
      </c>
      <c r="DB87" s="366">
        <v>0</v>
      </c>
      <c r="DC87" s="366">
        <v>0</v>
      </c>
      <c r="DD87" s="366">
        <v>0</v>
      </c>
      <c r="DE87" s="366">
        <v>0</v>
      </c>
      <c r="DF87" s="366">
        <v>55</v>
      </c>
      <c r="DG87" s="366">
        <v>612</v>
      </c>
      <c r="DH87" s="366">
        <v>2</v>
      </c>
      <c r="DI87" s="366">
        <v>0</v>
      </c>
      <c r="DJ87" s="366">
        <v>0</v>
      </c>
      <c r="DK87" s="366">
        <v>0</v>
      </c>
      <c r="DL87" s="366">
        <v>0</v>
      </c>
      <c r="DM87" s="366">
        <v>0</v>
      </c>
      <c r="DN87" s="367">
        <f>IFERROR(DA87/Instructions!$J$25,0)+DB87*Instructions!$J$27+DC87*Instructions!$J$29+IFERROR(DD87/Instructions!$E$34,0)+DE87*Instructions!$E$36+Tier!DF87*Instructions!$E$25+IFERROR(DG87/Instructions!$E$27,0)+DH87*Instructions!$E$29+IFERROR((DI87+DK87)/Instructions!$J$32,0)+(DJ87+DL87)*Instructions!$J$34+Tier!DM87*-2</f>
        <v>128.19999999999999</v>
      </c>
    </row>
    <row r="88" spans="1:118" s="366" customFormat="1" ht="15.75" customHeight="1" x14ac:dyDescent="0.25">
      <c r="A88" s="238"/>
      <c r="B88" s="238"/>
      <c r="C88" s="354"/>
      <c r="D88" s="365"/>
      <c r="F88" s="238">
        <v>2016</v>
      </c>
      <c r="G88" s="367">
        <f>LARGE($BI$68:$BI$99,21)</f>
        <v>224.18000000000004</v>
      </c>
      <c r="H88" s="355">
        <f t="shared" si="61"/>
        <v>-35.759999999999962</v>
      </c>
      <c r="I88" s="356">
        <f t="shared" si="59"/>
        <v>1278.7775999999974</v>
      </c>
      <c r="J88" s="356"/>
      <c r="K88" s="356">
        <f t="shared" si="62"/>
        <v>-2.2349999999999977</v>
      </c>
      <c r="L88" s="238">
        <f t="shared" si="63"/>
        <v>8</v>
      </c>
      <c r="M88" s="354"/>
      <c r="N88" s="372"/>
      <c r="O88" s="372"/>
      <c r="P88" s="366">
        <v>2014</v>
      </c>
      <c r="Q88" s="367">
        <f>LARGE($CB$2:$CB$151,87)</f>
        <v>38.299999999999997</v>
      </c>
      <c r="R88" s="357">
        <f t="shared" si="52"/>
        <v>-126.3</v>
      </c>
      <c r="S88" s="356">
        <f t="shared" si="47"/>
        <v>15951.689999999999</v>
      </c>
      <c r="T88" s="238"/>
      <c r="U88" s="356">
        <f t="shared" si="54"/>
        <v>-7.8937499999999998</v>
      </c>
      <c r="V88" s="238">
        <f t="shared" si="55"/>
        <v>8</v>
      </c>
      <c r="W88" s="354"/>
      <c r="X88" s="371"/>
      <c r="Y88" s="371"/>
      <c r="Z88" s="321">
        <v>2014</v>
      </c>
      <c r="AA88" s="367">
        <f>LARGE($CU$2:$CU$151,87)</f>
        <v>93.5</v>
      </c>
      <c r="AB88" s="357">
        <f t="shared" si="56"/>
        <v>-124.23333333333335</v>
      </c>
      <c r="AC88" s="356">
        <f t="shared" si="53"/>
        <v>15433.921111111114</v>
      </c>
      <c r="AD88" s="356"/>
      <c r="AE88" s="356">
        <f t="shared" si="57"/>
        <v>-7.7645833333333343</v>
      </c>
      <c r="AF88" s="238">
        <f t="shared" si="58"/>
        <v>8</v>
      </c>
      <c r="AG88" s="354"/>
      <c r="AJ88" s="238">
        <v>2016</v>
      </c>
      <c r="AK88" s="367">
        <f>LARGE($DN$68:$DN$99,21)</f>
        <v>114.3</v>
      </c>
      <c r="AL88" s="373">
        <f t="shared" si="64"/>
        <v>-35.500000000000014</v>
      </c>
      <c r="AM88" s="374">
        <f t="shared" si="60"/>
        <v>1260.2500000000009</v>
      </c>
      <c r="AN88" s="374"/>
      <c r="AO88" s="374">
        <f t="shared" si="65"/>
        <v>-2.2187500000000009</v>
      </c>
      <c r="AP88" s="238">
        <f t="shared" si="66"/>
        <v>8</v>
      </c>
      <c r="AQ88" s="354"/>
      <c r="AR88" s="238">
        <v>2016</v>
      </c>
      <c r="AS88" s="365" t="s">
        <v>67</v>
      </c>
      <c r="AT88" s="366" t="s">
        <v>154</v>
      </c>
      <c r="AU88" s="366" t="s">
        <v>1</v>
      </c>
      <c r="AV88" s="366">
        <v>4027</v>
      </c>
      <c r="AW88" s="366">
        <v>26</v>
      </c>
      <c r="AX88" s="366">
        <v>16</v>
      </c>
      <c r="AY88" s="366">
        <v>-9</v>
      </c>
      <c r="AZ88" s="366">
        <v>0</v>
      </c>
      <c r="BA88" s="366">
        <v>0</v>
      </c>
      <c r="BB88" s="366">
        <v>0</v>
      </c>
      <c r="BC88" s="366">
        <v>0</v>
      </c>
      <c r="BD88" s="366">
        <v>0</v>
      </c>
      <c r="BE88" s="366">
        <v>0</v>
      </c>
      <c r="BF88" s="366">
        <v>0</v>
      </c>
      <c r="BG88" s="366">
        <v>0</v>
      </c>
      <c r="BH88" s="366">
        <v>4</v>
      </c>
      <c r="BI88" s="367">
        <f>IFERROR(AV88/Instructions!$J$25,0)+AW88*Instructions!$J$27+AX88*Instructions!$J$29+IFERROR(AY88/Instructions!$E$34,0)+AZ88*Instructions!$E$36+Tier!BA88*Instructions!$E$25+IFERROR(BB88/Instructions!$E$27,0)+BC88*Instructions!$E$29+IFERROR((BD88+BF88)/Instructions!$J$32,0)+(BE88+BG88)*Instructions!$J$34+BH88*-2</f>
        <v>224.18000000000004</v>
      </c>
      <c r="BJ88" s="354"/>
      <c r="BK88" s="366">
        <v>2014</v>
      </c>
      <c r="BL88" s="370" t="s">
        <v>39</v>
      </c>
      <c r="BM88" s="372" t="s">
        <v>144</v>
      </c>
      <c r="BN88" s="372" t="s">
        <v>3</v>
      </c>
      <c r="BO88" s="372">
        <v>0</v>
      </c>
      <c r="BP88" s="372">
        <v>0</v>
      </c>
      <c r="BQ88" s="372">
        <v>0</v>
      </c>
      <c r="BR88" s="372">
        <v>172</v>
      </c>
      <c r="BS88" s="372">
        <v>1</v>
      </c>
      <c r="BT88" s="372">
        <v>9</v>
      </c>
      <c r="BU88" s="372">
        <v>62</v>
      </c>
      <c r="BV88" s="372">
        <v>0</v>
      </c>
      <c r="BW88" s="372">
        <v>0</v>
      </c>
      <c r="BX88" s="372">
        <v>0</v>
      </c>
      <c r="BY88" s="372">
        <v>0</v>
      </c>
      <c r="BZ88" s="372">
        <v>0</v>
      </c>
      <c r="CA88" s="372">
        <v>1</v>
      </c>
      <c r="CB88" s="367">
        <f>IFERROR(BO88/Instructions!$J$25,0)+BP88*Instructions!$J$27+BQ88*Instructions!$J$29+IFERROR(BR88/Instructions!$E$34,0)+BS88*Instructions!$E$36+Tier!BT89*Instructions!$E$25+IFERROR(BU88/Instructions!$E$27,0)+BV88*Instructions!$E$29+IFERROR((BW88+BY88)/Instructions!$J$32,0)+(BX88+BZ88)*Instructions!$J$34+Tier!CA88*-2</f>
        <v>29.4</v>
      </c>
      <c r="CC88" s="354"/>
      <c r="CD88" s="321">
        <v>2014</v>
      </c>
      <c r="CE88" s="370" t="s">
        <v>1673</v>
      </c>
      <c r="CF88" s="371" t="s">
        <v>159</v>
      </c>
      <c r="CG88" s="371" t="s">
        <v>6</v>
      </c>
      <c r="CH88" s="371">
        <v>0</v>
      </c>
      <c r="CI88" s="371">
        <v>0</v>
      </c>
      <c r="CJ88" s="371">
        <v>0</v>
      </c>
      <c r="CK88" s="371">
        <v>0</v>
      </c>
      <c r="CL88" s="371">
        <v>0</v>
      </c>
      <c r="CM88" s="371">
        <v>48</v>
      </c>
      <c r="CN88" s="371">
        <v>580</v>
      </c>
      <c r="CO88" s="371">
        <v>1</v>
      </c>
      <c r="CP88" s="371">
        <v>0</v>
      </c>
      <c r="CQ88" s="371">
        <v>0</v>
      </c>
      <c r="CR88" s="371">
        <v>0</v>
      </c>
      <c r="CS88" s="371">
        <v>0</v>
      </c>
      <c r="CT88" s="371">
        <v>0</v>
      </c>
      <c r="CU88" s="367">
        <f>IFERROR(CH88/Instructions!$J$25,0)+CI88*Instructions!$J$27+CJ88*Instructions!$J$29+IFERROR(CK88/Instructions!$E$34,0)+CL88*Instructions!$E$36+Tier!CM88*Instructions!$E$25+IFERROR(CN88/Instructions!$E$27,0)+CO88*Instructions!$E$29+IFERROR((CP88+CR88)/Instructions!$J$32,0)+(CQ88+CS88)*Instructions!$J$34+Tier!CT88*-2</f>
        <v>112</v>
      </c>
      <c r="CV88" s="354"/>
      <c r="CW88" s="238">
        <v>2016</v>
      </c>
      <c r="CX88" s="365" t="s">
        <v>168</v>
      </c>
      <c r="CY88" s="366" t="s">
        <v>141</v>
      </c>
      <c r="CZ88" s="366" t="s">
        <v>7</v>
      </c>
      <c r="DA88" s="366">
        <v>0</v>
      </c>
      <c r="DB88" s="366">
        <v>0</v>
      </c>
      <c r="DC88" s="366">
        <v>0</v>
      </c>
      <c r="DD88" s="366">
        <v>0</v>
      </c>
      <c r="DE88" s="366">
        <v>0</v>
      </c>
      <c r="DF88" s="366">
        <v>47</v>
      </c>
      <c r="DG88" s="366">
        <v>486</v>
      </c>
      <c r="DH88" s="366">
        <v>4</v>
      </c>
      <c r="DI88" s="366">
        <v>0</v>
      </c>
      <c r="DJ88" s="366">
        <v>0</v>
      </c>
      <c r="DK88" s="366">
        <v>0</v>
      </c>
      <c r="DL88" s="366">
        <v>0</v>
      </c>
      <c r="DM88" s="366">
        <v>0</v>
      </c>
      <c r="DN88" s="367">
        <f>IFERROR(DA88/Instructions!$J$25,0)+DB88*Instructions!$J$27+DC88*Instructions!$J$29+IFERROR(DD88/Instructions!$E$34,0)+DE88*Instructions!$E$36+Tier!DF88*Instructions!$E$25+IFERROR(DG88/Instructions!$E$27,0)+DH88*Instructions!$E$29+IFERROR((DI88+DK88)/Instructions!$J$32,0)+(DJ88+DL88)*Instructions!$J$34+Tier!DM88*-2</f>
        <v>119.6</v>
      </c>
    </row>
    <row r="89" spans="1:118" s="366" customFormat="1" ht="15.75" customHeight="1" x14ac:dyDescent="0.25">
      <c r="A89" s="238"/>
      <c r="B89" s="238"/>
      <c r="C89" s="354"/>
      <c r="D89" s="365"/>
      <c r="F89" s="238">
        <v>2016</v>
      </c>
      <c r="G89" s="367">
        <f>LARGE($BI$68:$BI$99,22)</f>
        <v>221.88000000000002</v>
      </c>
      <c r="H89" s="355">
        <f t="shared" si="61"/>
        <v>-38.059999999999974</v>
      </c>
      <c r="I89" s="356">
        <f t="shared" si="59"/>
        <v>1448.5635999999979</v>
      </c>
      <c r="J89" s="356"/>
      <c r="K89" s="356">
        <f t="shared" si="62"/>
        <v>-2.3787499999999984</v>
      </c>
      <c r="L89" s="238">
        <f t="shared" si="63"/>
        <v>8</v>
      </c>
      <c r="M89" s="354"/>
      <c r="N89" s="372"/>
      <c r="O89" s="372"/>
      <c r="P89" s="366">
        <v>2014</v>
      </c>
      <c r="Q89" s="367">
        <f>LARGE($CB$2:$CB$151,88)</f>
        <v>32.299999999999997</v>
      </c>
      <c r="R89" s="357">
        <f t="shared" si="52"/>
        <v>-132.30000000000001</v>
      </c>
      <c r="S89" s="356">
        <f t="shared" si="47"/>
        <v>17503.290000000005</v>
      </c>
      <c r="T89" s="238"/>
      <c r="U89" s="356">
        <f t="shared" si="54"/>
        <v>-8.2687500000000007</v>
      </c>
      <c r="V89" s="238">
        <f t="shared" si="55"/>
        <v>8</v>
      </c>
      <c r="W89" s="354"/>
      <c r="X89" s="371"/>
      <c r="Y89" s="371"/>
      <c r="Z89" s="321">
        <v>2014</v>
      </c>
      <c r="AA89" s="367">
        <f>LARGE($CU$2:$CU$151,88)</f>
        <v>93.4</v>
      </c>
      <c r="AB89" s="357">
        <f t="shared" si="56"/>
        <v>-124.33333333333334</v>
      </c>
      <c r="AC89" s="356">
        <f t="shared" si="53"/>
        <v>15458.777777777781</v>
      </c>
      <c r="AD89" s="356"/>
      <c r="AE89" s="356">
        <f t="shared" si="57"/>
        <v>-7.7708333333333339</v>
      </c>
      <c r="AF89" s="238">
        <f t="shared" si="58"/>
        <v>8</v>
      </c>
      <c r="AG89" s="354"/>
      <c r="AJ89" s="238">
        <v>2016</v>
      </c>
      <c r="AK89" s="367">
        <f>LARGE($DN$68:$DN$99,22)</f>
        <v>111.9</v>
      </c>
      <c r="AL89" s="373">
        <f t="shared" si="64"/>
        <v>-37.900000000000006</v>
      </c>
      <c r="AM89" s="374">
        <f t="shared" si="60"/>
        <v>1436.4100000000005</v>
      </c>
      <c r="AN89" s="374"/>
      <c r="AO89" s="374">
        <f t="shared" si="65"/>
        <v>-2.3687500000000004</v>
      </c>
      <c r="AP89" s="238">
        <f t="shared" si="66"/>
        <v>8</v>
      </c>
      <c r="AQ89" s="354"/>
      <c r="AR89" s="238">
        <v>2016</v>
      </c>
      <c r="AS89" s="365" t="s">
        <v>70</v>
      </c>
      <c r="AT89" s="366" t="s">
        <v>1629</v>
      </c>
      <c r="AU89" s="366" t="s">
        <v>1</v>
      </c>
      <c r="AV89" s="366">
        <v>3502</v>
      </c>
      <c r="AW89" s="366">
        <v>15</v>
      </c>
      <c r="AX89" s="366">
        <v>8</v>
      </c>
      <c r="AY89" s="366">
        <v>134</v>
      </c>
      <c r="AZ89" s="366">
        <v>5</v>
      </c>
      <c r="BA89" s="366">
        <v>1</v>
      </c>
      <c r="BB89" s="366">
        <v>3</v>
      </c>
      <c r="BC89" s="366">
        <v>0</v>
      </c>
      <c r="BD89" s="366">
        <v>0</v>
      </c>
      <c r="BE89" s="366">
        <v>0</v>
      </c>
      <c r="BF89" s="366">
        <v>0</v>
      </c>
      <c r="BG89" s="366">
        <v>0</v>
      </c>
      <c r="BH89" s="366">
        <v>4</v>
      </c>
      <c r="BI89" s="367">
        <f>IFERROR(AV89/Instructions!$J$25,0)+AW89*Instructions!$J$27+AX89*Instructions!$J$29+IFERROR(AY89/Instructions!$E$34,0)+AZ89*Instructions!$E$36+Tier!BA89*Instructions!$E$25+IFERROR(BB89/Instructions!$E$27,0)+BC89*Instructions!$E$29+IFERROR((BD89+BF89)/Instructions!$J$32,0)+(BE89+BG89)*Instructions!$J$34+BH89*-2</f>
        <v>220.78000000000003</v>
      </c>
      <c r="BJ89" s="354"/>
      <c r="BK89" s="366">
        <v>2014</v>
      </c>
      <c r="BL89" s="370" t="s">
        <v>1239</v>
      </c>
      <c r="BM89" s="372" t="s">
        <v>153</v>
      </c>
      <c r="BN89" s="372" t="s">
        <v>3</v>
      </c>
      <c r="BO89" s="372">
        <v>0</v>
      </c>
      <c r="BP89" s="372">
        <v>0</v>
      </c>
      <c r="BQ89" s="372">
        <v>0</v>
      </c>
      <c r="BR89" s="372">
        <v>246</v>
      </c>
      <c r="BS89" s="372">
        <v>0</v>
      </c>
      <c r="BT89" s="372">
        <v>2</v>
      </c>
      <c r="BU89" s="372">
        <v>11</v>
      </c>
      <c r="BV89" s="372">
        <v>0</v>
      </c>
      <c r="BW89" s="372">
        <v>0</v>
      </c>
      <c r="BX89" s="372">
        <v>0</v>
      </c>
      <c r="BY89" s="372">
        <v>0</v>
      </c>
      <c r="BZ89" s="372">
        <v>0</v>
      </c>
      <c r="CA89" s="372">
        <v>0</v>
      </c>
      <c r="CB89" s="367">
        <f>IFERROR(BO89/Instructions!$J$25,0)+BP89*Instructions!$J$27+BQ89*Instructions!$J$29+IFERROR(BR89/Instructions!$E$34,0)+BS89*Instructions!$E$36+Tier!BT90*Instructions!$E$25+IFERROR(BU89/Instructions!$E$27,0)+BV89*Instructions!$E$29+IFERROR((BW89+BY89)/Instructions!$J$32,0)+(BX89+BZ89)*Instructions!$J$34+Tier!CA89*-2</f>
        <v>44.7</v>
      </c>
      <c r="CC89" s="354"/>
      <c r="CD89" s="321">
        <v>2014</v>
      </c>
      <c r="CE89" s="370" t="s">
        <v>188</v>
      </c>
      <c r="CF89" s="371" t="s">
        <v>164</v>
      </c>
      <c r="CG89" s="371" t="s">
        <v>6</v>
      </c>
      <c r="CH89" s="371">
        <v>0</v>
      </c>
      <c r="CI89" s="371">
        <v>0</v>
      </c>
      <c r="CJ89" s="371">
        <v>0</v>
      </c>
      <c r="CK89" s="371">
        <v>86</v>
      </c>
      <c r="CL89" s="371">
        <v>0</v>
      </c>
      <c r="CM89" s="371">
        <v>38</v>
      </c>
      <c r="CN89" s="371">
        <v>409</v>
      </c>
      <c r="CO89" s="371">
        <v>1</v>
      </c>
      <c r="CP89" s="371">
        <v>199</v>
      </c>
      <c r="CQ89" s="371">
        <v>0</v>
      </c>
      <c r="CR89" s="371">
        <v>12</v>
      </c>
      <c r="CS89" s="371">
        <v>0</v>
      </c>
      <c r="CT89" s="371">
        <v>0</v>
      </c>
      <c r="CU89" s="367">
        <f>IFERROR(CH89/Instructions!$J$25,0)+CI89*Instructions!$J$27+CJ89*Instructions!$J$29+IFERROR(CK89/Instructions!$E$34,0)+CL89*Instructions!$E$36+Tier!CM89*Instructions!$E$25+IFERROR(CN89/Instructions!$E$27,0)+CO89*Instructions!$E$29+IFERROR((CP89+CR89)/Instructions!$J$32,0)+(CQ89+CS89)*Instructions!$J$34+Tier!CT89*-2</f>
        <v>93.5</v>
      </c>
      <c r="CV89" s="354"/>
      <c r="CW89" s="238">
        <v>2016</v>
      </c>
      <c r="CX89" s="365" t="s">
        <v>18</v>
      </c>
      <c r="CY89" s="366" t="s">
        <v>1628</v>
      </c>
      <c r="CZ89" s="366" t="s">
        <v>7</v>
      </c>
      <c r="DA89" s="366">
        <v>0</v>
      </c>
      <c r="DB89" s="366">
        <v>0</v>
      </c>
      <c r="DC89" s="366">
        <v>0</v>
      </c>
      <c r="DD89" s="366">
        <v>0</v>
      </c>
      <c r="DE89" s="366">
        <v>0</v>
      </c>
      <c r="DF89" s="366">
        <v>25</v>
      </c>
      <c r="DG89" s="366">
        <v>540</v>
      </c>
      <c r="DH89" s="366">
        <v>3</v>
      </c>
      <c r="DI89" s="366">
        <v>0</v>
      </c>
      <c r="DJ89" s="366">
        <v>0</v>
      </c>
      <c r="DK89" s="366">
        <v>0</v>
      </c>
      <c r="DL89" s="366">
        <v>0</v>
      </c>
      <c r="DM89" s="366">
        <v>0</v>
      </c>
      <c r="DN89" s="367">
        <f>IFERROR(DA89/Instructions!$J$25,0)+DB89*Instructions!$J$27+DC89*Instructions!$J$29+IFERROR(DD89/Instructions!$E$34,0)+DE89*Instructions!$E$36+Tier!DF89*Instructions!$E$25+IFERROR(DG89/Instructions!$E$27,0)+DH89*Instructions!$E$29+IFERROR((DI89+DK89)/Instructions!$J$32,0)+(DJ89+DL89)*Instructions!$J$34+Tier!DM89*-2</f>
        <v>97</v>
      </c>
    </row>
    <row r="90" spans="1:118" s="366" customFormat="1" ht="15.75" customHeight="1" x14ac:dyDescent="0.25">
      <c r="A90" s="238"/>
      <c r="B90" s="238"/>
      <c r="C90" s="354"/>
      <c r="D90" s="365"/>
      <c r="F90" s="238">
        <v>2016</v>
      </c>
      <c r="G90" s="367">
        <f>LARGE($BI$68:$BI$99,23)</f>
        <v>220.78000000000003</v>
      </c>
      <c r="H90" s="355">
        <f t="shared" si="61"/>
        <v>-39.159999999999968</v>
      </c>
      <c r="I90" s="356">
        <f t="shared" si="59"/>
        <v>1533.5055999999975</v>
      </c>
      <c r="J90" s="356"/>
      <c r="K90" s="356">
        <f t="shared" si="62"/>
        <v>-2.447499999999998</v>
      </c>
      <c r="L90" s="238">
        <f t="shared" si="63"/>
        <v>8</v>
      </c>
      <c r="M90" s="354"/>
      <c r="N90" s="372"/>
      <c r="O90" s="372"/>
      <c r="P90" s="366">
        <v>2014</v>
      </c>
      <c r="Q90" s="367">
        <f>LARGE($CB$2:$CB$151,89)</f>
        <v>30.7</v>
      </c>
      <c r="R90" s="357">
        <f t="shared" si="52"/>
        <v>-133.9</v>
      </c>
      <c r="S90" s="356">
        <f t="shared" si="47"/>
        <v>17929.210000000003</v>
      </c>
      <c r="T90" s="238"/>
      <c r="U90" s="356">
        <f t="shared" si="54"/>
        <v>-8.3687500000000004</v>
      </c>
      <c r="V90" s="238">
        <f t="shared" si="55"/>
        <v>8</v>
      </c>
      <c r="W90" s="354"/>
      <c r="X90" s="371"/>
      <c r="Y90" s="371"/>
      <c r="Z90" s="321">
        <v>2014</v>
      </c>
      <c r="AA90" s="367">
        <f>LARGE($CU$2:$CU$151,89)</f>
        <v>89.8</v>
      </c>
      <c r="AB90" s="357">
        <f t="shared" si="56"/>
        <v>-127.93333333333335</v>
      </c>
      <c r="AC90" s="356">
        <f t="shared" si="53"/>
        <v>16366.937777777783</v>
      </c>
      <c r="AD90" s="356"/>
      <c r="AE90" s="356">
        <f t="shared" si="57"/>
        <v>-7.9958333333333345</v>
      </c>
      <c r="AF90" s="238">
        <f t="shared" si="58"/>
        <v>8</v>
      </c>
      <c r="AG90" s="354"/>
      <c r="AJ90" s="238">
        <v>2016</v>
      </c>
      <c r="AK90" s="367">
        <f>LARGE($DN$68:$DN$99,23)</f>
        <v>111.6</v>
      </c>
      <c r="AL90" s="373">
        <f t="shared" si="64"/>
        <v>-38.200000000000017</v>
      </c>
      <c r="AM90" s="374">
        <f t="shared" si="60"/>
        <v>1459.2400000000014</v>
      </c>
      <c r="AN90" s="374"/>
      <c r="AO90" s="374">
        <f t="shared" si="65"/>
        <v>-2.3875000000000011</v>
      </c>
      <c r="AP90" s="238">
        <f t="shared" si="66"/>
        <v>8</v>
      </c>
      <c r="AQ90" s="354"/>
      <c r="AR90" s="238">
        <v>2016</v>
      </c>
      <c r="AS90" s="365" t="s">
        <v>1134</v>
      </c>
      <c r="AT90" s="366" t="s">
        <v>138</v>
      </c>
      <c r="AU90" s="366" t="s">
        <v>1</v>
      </c>
      <c r="AV90" s="366">
        <v>3877</v>
      </c>
      <c r="AW90" s="366">
        <v>20</v>
      </c>
      <c r="AX90" s="366">
        <v>5</v>
      </c>
      <c r="AY90" s="366">
        <v>53</v>
      </c>
      <c r="AZ90" s="366">
        <v>0</v>
      </c>
      <c r="BA90" s="366">
        <v>1</v>
      </c>
      <c r="BB90" s="366">
        <v>5</v>
      </c>
      <c r="BC90" s="366">
        <v>0</v>
      </c>
      <c r="BD90" s="366">
        <v>0</v>
      </c>
      <c r="BE90" s="366">
        <v>0</v>
      </c>
      <c r="BF90" s="366">
        <v>0</v>
      </c>
      <c r="BG90" s="366">
        <v>0</v>
      </c>
      <c r="BH90" s="366">
        <v>5</v>
      </c>
      <c r="BI90" s="367">
        <f>IFERROR(AV90/Instructions!$J$25,0)+AW90*Instructions!$J$27+AX90*Instructions!$J$29+IFERROR(AY90/Instructions!$E$34,0)+AZ90*Instructions!$E$36+Tier!BA90*Instructions!$E$25+IFERROR(BB90/Instructions!$E$27,0)+BC90*Instructions!$E$29+IFERROR((BD90+BF90)/Instructions!$J$32,0)+(BE90+BG90)*Instructions!$J$34+BH90*-2</f>
        <v>221.88000000000002</v>
      </c>
      <c r="BJ90" s="354"/>
      <c r="BK90" s="366">
        <v>2014</v>
      </c>
      <c r="BL90" s="370" t="s">
        <v>991</v>
      </c>
      <c r="BM90" s="372" t="s">
        <v>162</v>
      </c>
      <c r="BN90" s="372" t="s">
        <v>3</v>
      </c>
      <c r="BO90" s="372">
        <v>0</v>
      </c>
      <c r="BP90" s="372">
        <v>0</v>
      </c>
      <c r="BQ90" s="372">
        <v>0</v>
      </c>
      <c r="BR90" s="372">
        <v>0</v>
      </c>
      <c r="BS90" s="372">
        <v>0</v>
      </c>
      <c r="BT90" s="372">
        <v>19</v>
      </c>
      <c r="BU90" s="372">
        <v>182</v>
      </c>
      <c r="BV90" s="372">
        <v>1</v>
      </c>
      <c r="BW90" s="372">
        <v>0</v>
      </c>
      <c r="BX90" s="372">
        <v>0</v>
      </c>
      <c r="BY90" s="372">
        <v>28</v>
      </c>
      <c r="BZ90" s="372">
        <v>0</v>
      </c>
      <c r="CA90" s="372">
        <v>2</v>
      </c>
      <c r="CB90" s="367">
        <f>IFERROR(BO90/Instructions!$J$25,0)+BP90*Instructions!$J$27+BQ90*Instructions!$J$29+IFERROR(BR90/Instructions!$E$34,0)+BS90*Instructions!$E$36+Tier!BT91*Instructions!$E$25+IFERROR(BU90/Instructions!$E$27,0)+BV90*Instructions!$E$29+IFERROR((BW90+BY90)/Instructions!$J$32,0)+(BX90+BZ90)*Instructions!$J$34+Tier!CA90*-2</f>
        <v>21.2</v>
      </c>
      <c r="CC90" s="354"/>
      <c r="CD90" s="321">
        <v>2014</v>
      </c>
      <c r="CE90" s="370" t="s">
        <v>193</v>
      </c>
      <c r="CF90" s="371" t="s">
        <v>1624</v>
      </c>
      <c r="CG90" s="371" t="s">
        <v>6</v>
      </c>
      <c r="CH90" s="371">
        <v>0</v>
      </c>
      <c r="CI90" s="371">
        <v>0</v>
      </c>
      <c r="CJ90" s="371">
        <v>0</v>
      </c>
      <c r="CK90" s="371">
        <v>0</v>
      </c>
      <c r="CL90" s="371">
        <v>0</v>
      </c>
      <c r="CM90" s="371">
        <v>38</v>
      </c>
      <c r="CN90" s="371">
        <v>446</v>
      </c>
      <c r="CO90" s="371">
        <v>3</v>
      </c>
      <c r="CP90" s="371">
        <v>0</v>
      </c>
      <c r="CQ90" s="371">
        <v>0</v>
      </c>
      <c r="CR90" s="371">
        <v>0</v>
      </c>
      <c r="CS90" s="371">
        <v>0</v>
      </c>
      <c r="CT90" s="371">
        <v>0</v>
      </c>
      <c r="CU90" s="367">
        <f>IFERROR(CH90/Instructions!$J$25,0)+CI90*Instructions!$J$27+CJ90*Instructions!$J$29+IFERROR(CK90/Instructions!$E$34,0)+CL90*Instructions!$E$36+Tier!CM90*Instructions!$E$25+IFERROR(CN90/Instructions!$E$27,0)+CO90*Instructions!$E$29+IFERROR((CP90+CR90)/Instructions!$J$32,0)+(CQ90+CS90)*Instructions!$J$34+Tier!CT90*-2</f>
        <v>100.6</v>
      </c>
      <c r="CV90" s="354"/>
      <c r="CW90" s="238">
        <v>2016</v>
      </c>
      <c r="CX90" s="365" t="s">
        <v>22</v>
      </c>
      <c r="CY90" s="366" t="s">
        <v>152</v>
      </c>
      <c r="CZ90" s="366" t="s">
        <v>7</v>
      </c>
      <c r="DA90" s="366">
        <v>0</v>
      </c>
      <c r="DB90" s="366">
        <v>0</v>
      </c>
      <c r="DC90" s="366">
        <v>0</v>
      </c>
      <c r="DD90" s="366">
        <v>0</v>
      </c>
      <c r="DE90" s="366">
        <v>0</v>
      </c>
      <c r="DF90" s="366">
        <v>44</v>
      </c>
      <c r="DG90" s="366">
        <v>583</v>
      </c>
      <c r="DH90" s="366">
        <v>2</v>
      </c>
      <c r="DI90" s="366">
        <v>0</v>
      </c>
      <c r="DJ90" s="366">
        <v>0</v>
      </c>
      <c r="DK90" s="366">
        <v>0</v>
      </c>
      <c r="DL90" s="366">
        <v>0</v>
      </c>
      <c r="DM90" s="366">
        <v>0</v>
      </c>
      <c r="DN90" s="367">
        <f>IFERROR(DA90/Instructions!$J$25,0)+DB90*Instructions!$J$27+DC90*Instructions!$J$29+IFERROR(DD90/Instructions!$E$34,0)+DE90*Instructions!$E$36+Tier!DF90*Instructions!$E$25+IFERROR(DG90/Instructions!$E$27,0)+DH90*Instructions!$E$29+IFERROR((DI90+DK90)/Instructions!$J$32,0)+(DJ90+DL90)*Instructions!$J$34+Tier!DM90*-2</f>
        <v>114.3</v>
      </c>
    </row>
    <row r="91" spans="1:118" s="366" customFormat="1" ht="15.75" customHeight="1" x14ac:dyDescent="0.25">
      <c r="A91" s="238"/>
      <c r="B91" s="238"/>
      <c r="C91" s="354"/>
      <c r="D91" s="365"/>
      <c r="F91" s="238">
        <v>2016</v>
      </c>
      <c r="G91" s="367">
        <f>LARGE($BI$68:$BI$99,24)</f>
        <v>209.98</v>
      </c>
      <c r="H91" s="355">
        <f t="shared" si="61"/>
        <v>-49.960000000000008</v>
      </c>
      <c r="I91" s="356">
        <f t="shared" si="59"/>
        <v>2496.001600000001</v>
      </c>
      <c r="J91" s="356"/>
      <c r="K91" s="356">
        <f t="shared" si="62"/>
        <v>-3.1225000000000005</v>
      </c>
      <c r="L91" s="238">
        <f t="shared" si="63"/>
        <v>8</v>
      </c>
      <c r="M91" s="354"/>
      <c r="N91" s="372"/>
      <c r="O91" s="372"/>
      <c r="P91" s="366">
        <v>2014</v>
      </c>
      <c r="Q91" s="367">
        <f>LARGE($CB$2:$CB$151,90)</f>
        <v>30.200000000000003</v>
      </c>
      <c r="R91" s="357">
        <f t="shared" si="52"/>
        <v>-134.39999999999998</v>
      </c>
      <c r="S91" s="356">
        <f t="shared" si="47"/>
        <v>18063.359999999993</v>
      </c>
      <c r="T91" s="238"/>
      <c r="U91" s="356">
        <f t="shared" si="54"/>
        <v>-8.3999999999999986</v>
      </c>
      <c r="V91" s="238">
        <f t="shared" si="55"/>
        <v>8</v>
      </c>
      <c r="W91" s="354"/>
      <c r="X91" s="371"/>
      <c r="Y91" s="371"/>
      <c r="Z91" s="321">
        <v>2014</v>
      </c>
      <c r="AA91" s="367">
        <f>LARGE($CU$2:$CU$151,90)</f>
        <v>89.4</v>
      </c>
      <c r="AB91" s="357">
        <f t="shared" si="56"/>
        <v>-128.33333333333334</v>
      </c>
      <c r="AC91" s="356">
        <f t="shared" si="53"/>
        <v>16469.444444444445</v>
      </c>
      <c r="AD91" s="356"/>
      <c r="AE91" s="356">
        <f t="shared" si="57"/>
        <v>-8.0208333333333339</v>
      </c>
      <c r="AF91" s="238">
        <f t="shared" si="58"/>
        <v>8</v>
      </c>
      <c r="AG91" s="354"/>
      <c r="AJ91" s="238">
        <v>2016</v>
      </c>
      <c r="AK91" s="367">
        <f>LARGE($DN$68:$DN$99,24)</f>
        <v>106.2</v>
      </c>
      <c r="AL91" s="373">
        <f t="shared" si="64"/>
        <v>-43.600000000000009</v>
      </c>
      <c r="AM91" s="374">
        <f t="shared" si="60"/>
        <v>1900.9600000000007</v>
      </c>
      <c r="AN91" s="374"/>
      <c r="AO91" s="374">
        <f t="shared" si="65"/>
        <v>-2.7250000000000005</v>
      </c>
      <c r="AP91" s="238">
        <f t="shared" si="66"/>
        <v>8</v>
      </c>
      <c r="AQ91" s="354"/>
      <c r="AR91" s="238">
        <v>2016</v>
      </c>
      <c r="AS91" s="365" t="s">
        <v>1217</v>
      </c>
      <c r="AT91" s="366" t="s">
        <v>137</v>
      </c>
      <c r="AU91" s="366" t="s">
        <v>1</v>
      </c>
      <c r="AV91" s="366">
        <v>3782</v>
      </c>
      <c r="AW91" s="366">
        <v>16</v>
      </c>
      <c r="AX91" s="366">
        <v>14</v>
      </c>
      <c r="AY91" s="366">
        <v>150</v>
      </c>
      <c r="AZ91" s="366">
        <v>2</v>
      </c>
      <c r="BA91" s="366">
        <v>1</v>
      </c>
      <c r="BB91" s="366">
        <v>7</v>
      </c>
      <c r="BC91" s="366">
        <v>0</v>
      </c>
      <c r="BD91" s="366">
        <v>0</v>
      </c>
      <c r="BE91" s="366">
        <v>0</v>
      </c>
      <c r="BF91" s="366">
        <v>0</v>
      </c>
      <c r="BG91" s="366">
        <v>0</v>
      </c>
      <c r="BH91" s="366">
        <v>3</v>
      </c>
      <c r="BI91" s="367">
        <f>IFERROR(AV91/Instructions!$J$25,0)+AW91*Instructions!$J$27+AX91*Instructions!$J$29+IFERROR(AY91/Instructions!$E$34,0)+AZ91*Instructions!$E$36+Tier!BA91*Instructions!$E$25+IFERROR(BB91/Instructions!$E$27,0)+BC91*Instructions!$E$29+IFERROR((BD91+BF91)/Instructions!$J$32,0)+(BE91+BG91)*Instructions!$J$34+BH91*-2</f>
        <v>209.98</v>
      </c>
      <c r="BJ91" s="354"/>
      <c r="BK91" s="366">
        <v>2014</v>
      </c>
      <c r="BL91" s="370" t="s">
        <v>1303</v>
      </c>
      <c r="BM91" s="372" t="s">
        <v>1624</v>
      </c>
      <c r="BN91" s="372" t="s">
        <v>3</v>
      </c>
      <c r="BO91" s="372">
        <v>0</v>
      </c>
      <c r="BP91" s="372">
        <v>0</v>
      </c>
      <c r="BQ91" s="372">
        <v>0</v>
      </c>
      <c r="BR91" s="372">
        <v>64</v>
      </c>
      <c r="BS91" s="372">
        <v>0</v>
      </c>
      <c r="BT91" s="372">
        <v>1</v>
      </c>
      <c r="BU91" s="372">
        <v>11</v>
      </c>
      <c r="BV91" s="372">
        <v>0</v>
      </c>
      <c r="BW91" s="372">
        <v>0</v>
      </c>
      <c r="BX91" s="372">
        <v>0</v>
      </c>
      <c r="BY91" s="372">
        <v>456</v>
      </c>
      <c r="BZ91" s="372">
        <v>0</v>
      </c>
      <c r="CA91" s="372">
        <v>0</v>
      </c>
      <c r="CB91" s="367">
        <f>IFERROR(BO91/Instructions!$J$25,0)+BP91*Instructions!$J$27+BQ91*Instructions!$J$29+IFERROR(BR91/Instructions!$E$34,0)+BS91*Instructions!$E$36+Tier!BT92*Instructions!$E$25+IFERROR(BU91/Instructions!$E$27,0)+BV91*Instructions!$E$29+IFERROR((BW91+BY91)/Instructions!$J$32,0)+(BX91+BZ91)*Instructions!$J$34+Tier!CA91*-2</f>
        <v>12.5</v>
      </c>
      <c r="CC91" s="354"/>
      <c r="CD91" s="321">
        <v>2014</v>
      </c>
      <c r="CE91" s="370" t="s">
        <v>204</v>
      </c>
      <c r="CF91" s="371" t="s">
        <v>140</v>
      </c>
      <c r="CG91" s="371" t="s">
        <v>6</v>
      </c>
      <c r="CH91" s="371">
        <v>17</v>
      </c>
      <c r="CI91" s="371">
        <v>0</v>
      </c>
      <c r="CJ91" s="371">
        <v>0</v>
      </c>
      <c r="CK91" s="371">
        <v>15</v>
      </c>
      <c r="CL91" s="371">
        <v>0</v>
      </c>
      <c r="CM91" s="371">
        <v>38</v>
      </c>
      <c r="CN91" s="371">
        <v>537</v>
      </c>
      <c r="CO91" s="371">
        <v>1</v>
      </c>
      <c r="CP91" s="371">
        <v>0</v>
      </c>
      <c r="CQ91" s="371">
        <v>0</v>
      </c>
      <c r="CR91" s="371">
        <v>0</v>
      </c>
      <c r="CS91" s="371">
        <v>0</v>
      </c>
      <c r="CT91" s="371">
        <v>0</v>
      </c>
      <c r="CU91" s="367">
        <f>IFERROR(CH91/Instructions!$J$25,0)+CI91*Instructions!$J$27+CJ91*Instructions!$J$29+IFERROR(CK91/Instructions!$E$34,0)+CL91*Instructions!$E$36+Tier!CM91*Instructions!$E$25+IFERROR(CN91/Instructions!$E$27,0)+CO91*Instructions!$E$29+IFERROR((CP91+CR91)/Instructions!$J$32,0)+(CQ91+CS91)*Instructions!$J$34+Tier!CT91*-2</f>
        <v>99.88</v>
      </c>
      <c r="CV91" s="354"/>
      <c r="CW91" s="238">
        <v>2016</v>
      </c>
      <c r="CX91" s="365" t="s">
        <v>223</v>
      </c>
      <c r="CY91" s="366" t="s">
        <v>145</v>
      </c>
      <c r="CZ91" s="366" t="s">
        <v>7</v>
      </c>
      <c r="DA91" s="366">
        <v>0</v>
      </c>
      <c r="DB91" s="366">
        <v>0</v>
      </c>
      <c r="DC91" s="366">
        <v>0</v>
      </c>
      <c r="DD91" s="366">
        <v>0</v>
      </c>
      <c r="DE91" s="366">
        <v>0</v>
      </c>
      <c r="DF91" s="366">
        <v>29</v>
      </c>
      <c r="DG91" s="366">
        <v>394</v>
      </c>
      <c r="DH91" s="366">
        <v>5</v>
      </c>
      <c r="DI91" s="366">
        <v>0</v>
      </c>
      <c r="DJ91" s="366">
        <v>0</v>
      </c>
      <c r="DK91" s="366">
        <v>0</v>
      </c>
      <c r="DL91" s="366">
        <v>0</v>
      </c>
      <c r="DM91" s="366">
        <v>0</v>
      </c>
      <c r="DN91" s="367">
        <f>IFERROR(DA91/Instructions!$J$25,0)+DB91*Instructions!$J$27+DC91*Instructions!$J$29+IFERROR(DD91/Instructions!$E$34,0)+DE91*Instructions!$E$36+Tier!DF91*Instructions!$E$25+IFERROR(DG91/Instructions!$E$27,0)+DH91*Instructions!$E$29+IFERROR((DI91+DK91)/Instructions!$J$32,0)+(DJ91+DL91)*Instructions!$J$34+Tier!DM91*-2</f>
        <v>98.4</v>
      </c>
    </row>
    <row r="92" spans="1:118" s="366" customFormat="1" ht="15.75" customHeight="1" x14ac:dyDescent="0.25">
      <c r="A92" s="238"/>
      <c r="B92" s="238"/>
      <c r="C92" s="354"/>
      <c r="D92" s="365"/>
      <c r="F92" s="238">
        <v>2016</v>
      </c>
      <c r="G92" s="367">
        <f>LARGE($BI$68:$BI$99,25)</f>
        <v>198.44</v>
      </c>
      <c r="H92" s="355">
        <f t="shared" si="61"/>
        <v>-61.5</v>
      </c>
      <c r="I92" s="356">
        <f t="shared" si="59"/>
        <v>3782.25</v>
      </c>
      <c r="J92" s="356"/>
      <c r="K92" s="356">
        <f t="shared" si="62"/>
        <v>-3.84375</v>
      </c>
      <c r="L92" s="238">
        <f t="shared" si="63"/>
        <v>8</v>
      </c>
      <c r="M92" s="354"/>
      <c r="N92" s="372"/>
      <c r="O92" s="372"/>
      <c r="P92" s="366">
        <v>2014</v>
      </c>
      <c r="Q92" s="367">
        <f>LARGE($CB$2:$CB$151,91)</f>
        <v>30.2</v>
      </c>
      <c r="R92" s="357">
        <f t="shared" si="52"/>
        <v>-134.4</v>
      </c>
      <c r="S92" s="356">
        <f t="shared" si="47"/>
        <v>18063.36</v>
      </c>
      <c r="T92" s="238"/>
      <c r="U92" s="356">
        <f t="shared" si="54"/>
        <v>-8.4</v>
      </c>
      <c r="V92" s="238">
        <f t="shared" si="55"/>
        <v>8</v>
      </c>
      <c r="W92" s="354"/>
      <c r="X92" s="371"/>
      <c r="Y92" s="371"/>
      <c r="Z92" s="321">
        <v>2014</v>
      </c>
      <c r="AA92" s="367">
        <f>LARGE($CU$2:$CU$151,91)</f>
        <v>87.7</v>
      </c>
      <c r="AB92" s="357">
        <f t="shared" si="56"/>
        <v>-130.03333333333336</v>
      </c>
      <c r="AC92" s="356">
        <f t="shared" si="53"/>
        <v>16908.667777777784</v>
      </c>
      <c r="AD92" s="356"/>
      <c r="AE92" s="356">
        <f t="shared" si="57"/>
        <v>-8.127083333333335</v>
      </c>
      <c r="AF92" s="238">
        <f t="shared" si="58"/>
        <v>8</v>
      </c>
      <c r="AG92" s="354"/>
      <c r="AJ92" s="238">
        <v>2016</v>
      </c>
      <c r="AK92" s="367">
        <f>LARGE($DN$68:$DN$99,25)</f>
        <v>98.4</v>
      </c>
      <c r="AL92" s="373">
        <f t="shared" si="64"/>
        <v>-51.400000000000006</v>
      </c>
      <c r="AM92" s="374">
        <f t="shared" si="60"/>
        <v>2641.9600000000005</v>
      </c>
      <c r="AN92" s="374"/>
      <c r="AO92" s="374">
        <f t="shared" si="65"/>
        <v>-3.2125000000000004</v>
      </c>
      <c r="AP92" s="238">
        <f t="shared" si="66"/>
        <v>8</v>
      </c>
      <c r="AQ92" s="354"/>
      <c r="AR92" s="238">
        <v>2016</v>
      </c>
      <c r="AS92" s="365" t="s">
        <v>1599</v>
      </c>
      <c r="AT92" s="366" t="s">
        <v>1630</v>
      </c>
      <c r="AU92" s="366" t="s">
        <v>1</v>
      </c>
      <c r="AV92" s="366">
        <v>2241</v>
      </c>
      <c r="AW92" s="366">
        <v>16</v>
      </c>
      <c r="AX92" s="366">
        <v>4</v>
      </c>
      <c r="AY92" s="366">
        <v>468</v>
      </c>
      <c r="AZ92" s="366">
        <v>2</v>
      </c>
      <c r="BA92" s="366">
        <v>0</v>
      </c>
      <c r="BB92" s="366">
        <v>0</v>
      </c>
      <c r="BC92" s="366">
        <v>0</v>
      </c>
      <c r="BD92" s="366">
        <v>0</v>
      </c>
      <c r="BE92" s="366">
        <v>0</v>
      </c>
      <c r="BF92" s="366">
        <v>0</v>
      </c>
      <c r="BG92" s="366">
        <v>0</v>
      </c>
      <c r="BH92" s="366">
        <v>3</v>
      </c>
      <c r="BI92" s="367">
        <f>IFERROR(AV92/Instructions!$J$25,0)+AW92*Instructions!$J$27+AX92*Instructions!$J$29+IFERROR(AY92/Instructions!$E$34,0)+AZ92*Instructions!$E$36+Tier!BA92*Instructions!$E$25+IFERROR(BB92/Instructions!$E$27,0)+BC92*Instructions!$E$29+IFERROR((BD92+BF92)/Instructions!$J$32,0)+(BE92+BG92)*Instructions!$J$34+BH92*-2</f>
        <v>198.44</v>
      </c>
      <c r="BJ92" s="354"/>
      <c r="BK92" s="366">
        <v>2014</v>
      </c>
      <c r="BL92" s="370" t="s">
        <v>98</v>
      </c>
      <c r="BM92" s="372" t="s">
        <v>159</v>
      </c>
      <c r="BN92" s="372" t="s">
        <v>3</v>
      </c>
      <c r="BO92" s="372">
        <v>0</v>
      </c>
      <c r="BP92" s="372">
        <v>0</v>
      </c>
      <c r="BQ92" s="372">
        <v>0</v>
      </c>
      <c r="BR92" s="372">
        <v>219</v>
      </c>
      <c r="BS92" s="372">
        <v>0</v>
      </c>
      <c r="BT92" s="372">
        <v>5</v>
      </c>
      <c r="BU92" s="372">
        <v>44</v>
      </c>
      <c r="BV92" s="372">
        <v>0</v>
      </c>
      <c r="BW92" s="372">
        <v>0</v>
      </c>
      <c r="BX92" s="372">
        <v>0</v>
      </c>
      <c r="BY92" s="372">
        <v>0</v>
      </c>
      <c r="BZ92" s="372">
        <v>0</v>
      </c>
      <c r="CA92" s="372">
        <v>1</v>
      </c>
      <c r="CB92" s="367">
        <f>IFERROR(BO92/Instructions!$J$25,0)+BP92*Instructions!$J$27+BQ92*Instructions!$J$29+IFERROR(BR92/Instructions!$E$34,0)+BS92*Instructions!$E$36+Tier!BT93*Instructions!$E$25+IFERROR(BU92/Instructions!$E$27,0)+BV92*Instructions!$E$29+IFERROR((BW92+BY92)/Instructions!$J$32,0)+(BX92+BZ92)*Instructions!$J$34+Tier!CA92*-2</f>
        <v>32.299999999999997</v>
      </c>
      <c r="CC92" s="354"/>
      <c r="CD92" s="321">
        <v>2014</v>
      </c>
      <c r="CE92" s="370" t="s">
        <v>230</v>
      </c>
      <c r="CF92" s="371" t="s">
        <v>1628</v>
      </c>
      <c r="CG92" s="371" t="s">
        <v>6</v>
      </c>
      <c r="CH92" s="371">
        <v>0</v>
      </c>
      <c r="CI92" s="371">
        <v>0</v>
      </c>
      <c r="CJ92" s="371">
        <v>0</v>
      </c>
      <c r="CK92" s="371">
        <v>-2</v>
      </c>
      <c r="CL92" s="371">
        <v>0</v>
      </c>
      <c r="CM92" s="371">
        <v>26</v>
      </c>
      <c r="CN92" s="371">
        <v>259</v>
      </c>
      <c r="CO92" s="371">
        <v>6</v>
      </c>
      <c r="CP92" s="371">
        <v>0</v>
      </c>
      <c r="CQ92" s="371">
        <v>0</v>
      </c>
      <c r="CR92" s="371">
        <v>0</v>
      </c>
      <c r="CS92" s="371">
        <v>0</v>
      </c>
      <c r="CT92" s="371">
        <v>0</v>
      </c>
      <c r="CU92" s="367">
        <f>IFERROR(CH92/Instructions!$J$25,0)+CI92*Instructions!$J$27+CJ92*Instructions!$J$29+IFERROR(CK92/Instructions!$E$34,0)+CL92*Instructions!$E$36+Tier!CM92*Instructions!$E$25+IFERROR(CN92/Instructions!$E$27,0)+CO92*Instructions!$E$29+IFERROR((CP92+CR92)/Instructions!$J$32,0)+(CQ92+CS92)*Instructions!$J$34+Tier!CT92*-2</f>
        <v>87.7</v>
      </c>
      <c r="CV92" s="354"/>
      <c r="CW92" s="238">
        <v>2016</v>
      </c>
      <c r="CX92" s="365" t="s">
        <v>238</v>
      </c>
      <c r="CY92" s="366" t="s">
        <v>1630</v>
      </c>
      <c r="CZ92" s="366" t="s">
        <v>7</v>
      </c>
      <c r="DA92" s="366">
        <v>0</v>
      </c>
      <c r="DB92" s="366">
        <v>0</v>
      </c>
      <c r="DC92" s="366">
        <v>0</v>
      </c>
      <c r="DD92" s="366">
        <v>0</v>
      </c>
      <c r="DE92" s="366">
        <v>0</v>
      </c>
      <c r="DF92" s="366">
        <v>24</v>
      </c>
      <c r="DG92" s="366">
        <v>391</v>
      </c>
      <c r="DH92" s="366">
        <v>4</v>
      </c>
      <c r="DI92" s="366">
        <v>0</v>
      </c>
      <c r="DJ92" s="366">
        <v>0</v>
      </c>
      <c r="DK92" s="366">
        <v>0</v>
      </c>
      <c r="DL92" s="366">
        <v>0</v>
      </c>
      <c r="DM92" s="366">
        <v>0</v>
      </c>
      <c r="DN92" s="367">
        <f>IFERROR(DA92/Instructions!$J$25,0)+DB92*Instructions!$J$27+DC92*Instructions!$J$29+IFERROR(DD92/Instructions!$E$34,0)+DE92*Instructions!$E$36+Tier!DF92*Instructions!$E$25+IFERROR(DG92/Instructions!$E$27,0)+DH92*Instructions!$E$29+IFERROR((DI92+DK92)/Instructions!$J$32,0)+(DJ92+DL92)*Instructions!$J$34+Tier!DM92*-2</f>
        <v>87.1</v>
      </c>
    </row>
    <row r="93" spans="1:118" s="366" customFormat="1" ht="15.75" customHeight="1" x14ac:dyDescent="0.25">
      <c r="A93" s="238"/>
      <c r="B93" s="238"/>
      <c r="C93" s="354"/>
      <c r="D93" s="365"/>
      <c r="F93" s="238">
        <v>2016</v>
      </c>
      <c r="G93" s="367">
        <f>LARGE($BI$68:$BI$99,26)</f>
        <v>189.73999999999998</v>
      </c>
      <c r="H93" s="355">
        <f t="shared" si="61"/>
        <v>-70.200000000000017</v>
      </c>
      <c r="I93" s="356">
        <f t="shared" si="59"/>
        <v>4928.0400000000027</v>
      </c>
      <c r="J93" s="356"/>
      <c r="K93" s="356">
        <f t="shared" si="62"/>
        <v>-4.3875000000000011</v>
      </c>
      <c r="L93" s="238">
        <f t="shared" si="63"/>
        <v>8</v>
      </c>
      <c r="M93" s="354"/>
      <c r="N93" s="372"/>
      <c r="O93" s="372"/>
      <c r="P93" s="366">
        <v>2014</v>
      </c>
      <c r="Q93" s="367">
        <f>LARGE($CB$2:$CB$151,92)</f>
        <v>29.4</v>
      </c>
      <c r="R93" s="357">
        <f t="shared" si="52"/>
        <v>-135.19999999999999</v>
      </c>
      <c r="S93" s="356">
        <f t="shared" si="47"/>
        <v>18279.039999999997</v>
      </c>
      <c r="T93" s="238"/>
      <c r="U93" s="356">
        <f t="shared" si="54"/>
        <v>-8.4499999999999993</v>
      </c>
      <c r="V93" s="238">
        <f t="shared" si="55"/>
        <v>8</v>
      </c>
      <c r="W93" s="354"/>
      <c r="X93" s="371"/>
      <c r="Y93" s="371"/>
      <c r="Z93" s="321">
        <v>2014</v>
      </c>
      <c r="AA93" s="367">
        <f>LARGE($CU$2:$CU$151,92)</f>
        <v>86.8</v>
      </c>
      <c r="AB93" s="357">
        <f t="shared" si="56"/>
        <v>-130.93333333333334</v>
      </c>
      <c r="AC93" s="356">
        <f t="shared" si="53"/>
        <v>17143.537777777779</v>
      </c>
      <c r="AD93" s="356"/>
      <c r="AE93" s="356">
        <f t="shared" si="57"/>
        <v>-8.1833333333333336</v>
      </c>
      <c r="AF93" s="238">
        <f t="shared" si="58"/>
        <v>8</v>
      </c>
      <c r="AG93" s="354"/>
      <c r="AJ93" s="238">
        <v>2016</v>
      </c>
      <c r="AK93" s="367">
        <f>LARGE($DN$68:$DN$99,26)</f>
        <v>97</v>
      </c>
      <c r="AL93" s="373">
        <f t="shared" si="64"/>
        <v>-52.800000000000011</v>
      </c>
      <c r="AM93" s="374">
        <f t="shared" si="60"/>
        <v>2787.8400000000011</v>
      </c>
      <c r="AN93" s="374"/>
      <c r="AO93" s="374">
        <f t="shared" si="65"/>
        <v>-3.3000000000000007</v>
      </c>
      <c r="AP93" s="238">
        <f t="shared" si="66"/>
        <v>8</v>
      </c>
      <c r="AQ93" s="354"/>
      <c r="AR93" s="238">
        <v>2016</v>
      </c>
      <c r="AS93" s="365" t="s">
        <v>79</v>
      </c>
      <c r="AT93" s="366" t="s">
        <v>166</v>
      </c>
      <c r="AU93" s="366" t="s">
        <v>1</v>
      </c>
      <c r="AV93" s="366">
        <v>2995</v>
      </c>
      <c r="AW93" s="366">
        <v>19</v>
      </c>
      <c r="AX93" s="366">
        <v>12</v>
      </c>
      <c r="AY93" s="366">
        <v>164</v>
      </c>
      <c r="AZ93" s="366">
        <v>1</v>
      </c>
      <c r="BA93" s="366">
        <v>0</v>
      </c>
      <c r="BB93" s="366">
        <v>0</v>
      </c>
      <c r="BC93" s="366">
        <v>0</v>
      </c>
      <c r="BD93" s="366">
        <v>0</v>
      </c>
      <c r="BE93" s="366">
        <v>0</v>
      </c>
      <c r="BF93" s="366">
        <v>0</v>
      </c>
      <c r="BG93" s="366">
        <v>0</v>
      </c>
      <c r="BH93" s="366">
        <v>3</v>
      </c>
      <c r="BI93" s="367">
        <f>IFERROR(AV93/Instructions!$J$25,0)+AW93*Instructions!$J$27+AX93*Instructions!$J$29+IFERROR(AY93/Instructions!$E$34,0)+AZ93*Instructions!$E$36+Tier!BA93*Instructions!$E$25+IFERROR(BB93/Instructions!$E$27,0)+BC93*Instructions!$E$29+IFERROR((BD93+BF93)/Instructions!$J$32,0)+(BE93+BG93)*Instructions!$J$34+BH93*-2</f>
        <v>188.20000000000002</v>
      </c>
      <c r="BJ93" s="354"/>
      <c r="BK93" s="366">
        <v>2014</v>
      </c>
      <c r="BL93" s="370" t="s">
        <v>1290</v>
      </c>
      <c r="BM93" s="372" t="s">
        <v>152</v>
      </c>
      <c r="BN93" s="372" t="s">
        <v>3</v>
      </c>
      <c r="BO93" s="372">
        <v>0</v>
      </c>
      <c r="BP93" s="372">
        <v>0</v>
      </c>
      <c r="BQ93" s="372">
        <v>0</v>
      </c>
      <c r="BR93" s="372">
        <v>75</v>
      </c>
      <c r="BS93" s="372">
        <v>1</v>
      </c>
      <c r="BT93" s="372">
        <v>8</v>
      </c>
      <c r="BU93" s="372">
        <v>107</v>
      </c>
      <c r="BV93" s="372">
        <v>0</v>
      </c>
      <c r="BW93" s="372">
        <v>0</v>
      </c>
      <c r="BX93" s="372">
        <v>0</v>
      </c>
      <c r="BY93" s="372">
        <v>0</v>
      </c>
      <c r="BZ93" s="372">
        <v>0</v>
      </c>
      <c r="CA93" s="372">
        <v>0</v>
      </c>
      <c r="CB93" s="367">
        <f>IFERROR(BO93/Instructions!$J$25,0)+BP93*Instructions!$J$27+BQ93*Instructions!$J$29+IFERROR(BR93/Instructions!$E$34,0)+BS93*Instructions!$E$36+Tier!BT94*Instructions!$E$25+IFERROR(BU93/Instructions!$E$27,0)+BV93*Instructions!$E$29+IFERROR((BW93+BY93)/Instructions!$J$32,0)+(BX93+BZ93)*Instructions!$J$34+Tier!CA93*-2</f>
        <v>30.2</v>
      </c>
      <c r="CC93" s="354"/>
      <c r="CD93" s="321">
        <v>2014</v>
      </c>
      <c r="CE93" s="370" t="s">
        <v>1598</v>
      </c>
      <c r="CF93" s="371" t="s">
        <v>1630</v>
      </c>
      <c r="CG93" s="371" t="s">
        <v>6</v>
      </c>
      <c r="CH93" s="371">
        <v>0</v>
      </c>
      <c r="CI93" s="371">
        <v>0</v>
      </c>
      <c r="CJ93" s="371">
        <v>0</v>
      </c>
      <c r="CK93" s="371">
        <v>0</v>
      </c>
      <c r="CL93" s="371">
        <v>0</v>
      </c>
      <c r="CM93" s="371">
        <v>35</v>
      </c>
      <c r="CN93" s="371">
        <v>435</v>
      </c>
      <c r="CO93" s="371">
        <v>3</v>
      </c>
      <c r="CP93" s="371">
        <v>0</v>
      </c>
      <c r="CQ93" s="371">
        <v>0</v>
      </c>
      <c r="CR93" s="371">
        <v>0</v>
      </c>
      <c r="CS93" s="371">
        <v>0</v>
      </c>
      <c r="CT93" s="371">
        <v>0</v>
      </c>
      <c r="CU93" s="367">
        <f>IFERROR(CH93/Instructions!$J$25,0)+CI93*Instructions!$J$27+CJ93*Instructions!$J$29+IFERROR(CK93/Instructions!$E$34,0)+CL93*Instructions!$E$36+Tier!CM93*Instructions!$E$25+IFERROR(CN93/Instructions!$E$27,0)+CO93*Instructions!$E$29+IFERROR((CP93+CR93)/Instructions!$J$32,0)+(CQ93+CS93)*Instructions!$J$34+Tier!CT93*-2</f>
        <v>96.5</v>
      </c>
      <c r="CV93" s="354"/>
      <c r="CW93" s="238">
        <v>2016</v>
      </c>
      <c r="CX93" s="365" t="s">
        <v>234</v>
      </c>
      <c r="CY93" s="366" t="s">
        <v>1389</v>
      </c>
      <c r="CZ93" s="366" t="s">
        <v>7</v>
      </c>
      <c r="DA93" s="366">
        <v>0</v>
      </c>
      <c r="DB93" s="366">
        <v>0</v>
      </c>
      <c r="DC93" s="366">
        <v>0</v>
      </c>
      <c r="DD93" s="366">
        <v>0</v>
      </c>
      <c r="DE93" s="366">
        <v>0</v>
      </c>
      <c r="DF93" s="366">
        <v>50</v>
      </c>
      <c r="DG93" s="366">
        <v>499</v>
      </c>
      <c r="DH93" s="366">
        <v>2</v>
      </c>
      <c r="DI93" s="366">
        <v>0</v>
      </c>
      <c r="DJ93" s="366">
        <v>0</v>
      </c>
      <c r="DK93" s="366">
        <v>0</v>
      </c>
      <c r="DL93" s="366">
        <v>0</v>
      </c>
      <c r="DM93" s="366">
        <v>0</v>
      </c>
      <c r="DN93" s="367">
        <f>IFERROR(DA93/Instructions!$J$25,0)+DB93*Instructions!$J$27+DC93*Instructions!$J$29+IFERROR(DD93/Instructions!$E$34,0)+DE93*Instructions!$E$36+Tier!DF93*Instructions!$E$25+IFERROR(DG93/Instructions!$E$27,0)+DH93*Instructions!$E$29+IFERROR((DI93+DK93)/Instructions!$J$32,0)+(DJ93+DL93)*Instructions!$J$34+Tier!DM93*-2</f>
        <v>111.9</v>
      </c>
    </row>
    <row r="94" spans="1:118" s="366" customFormat="1" ht="15.75" customHeight="1" x14ac:dyDescent="0.25">
      <c r="A94" s="238"/>
      <c r="B94" s="238"/>
      <c r="C94" s="354"/>
      <c r="D94" s="365"/>
      <c r="F94" s="238">
        <v>2016</v>
      </c>
      <c r="G94" s="367">
        <f>LARGE($BI$68:$BI$99,27)</f>
        <v>188.20000000000002</v>
      </c>
      <c r="H94" s="355">
        <f t="shared" si="61"/>
        <v>-71.739999999999981</v>
      </c>
      <c r="I94" s="356">
        <f t="shared" si="59"/>
        <v>5146.6275999999971</v>
      </c>
      <c r="J94" s="356"/>
      <c r="K94" s="356">
        <f t="shared" si="62"/>
        <v>-4.4837499999999988</v>
      </c>
      <c r="L94" s="238">
        <f t="shared" si="63"/>
        <v>8</v>
      </c>
      <c r="M94" s="354"/>
      <c r="N94" s="372"/>
      <c r="O94" s="372"/>
      <c r="P94" s="366">
        <v>2014</v>
      </c>
      <c r="Q94" s="367">
        <f>LARGE($CB$2:$CB$151,93)</f>
        <v>27.8</v>
      </c>
      <c r="R94" s="357">
        <f t="shared" si="52"/>
        <v>-136.79999999999998</v>
      </c>
      <c r="S94" s="356">
        <f t="shared" si="47"/>
        <v>18714.239999999994</v>
      </c>
      <c r="T94" s="238"/>
      <c r="U94" s="356">
        <f t="shared" si="54"/>
        <v>-8.5499999999999989</v>
      </c>
      <c r="V94" s="238">
        <f t="shared" si="55"/>
        <v>8</v>
      </c>
      <c r="W94" s="354"/>
      <c r="X94" s="371"/>
      <c r="Y94" s="371"/>
      <c r="Z94" s="321">
        <v>2014</v>
      </c>
      <c r="AA94" s="367">
        <f>LARGE($CU$2:$CU$151,93)</f>
        <v>86.1</v>
      </c>
      <c r="AB94" s="357">
        <f t="shared" si="56"/>
        <v>-131.63333333333335</v>
      </c>
      <c r="AC94" s="356">
        <f t="shared" si="53"/>
        <v>17327.334444444448</v>
      </c>
      <c r="AD94" s="356"/>
      <c r="AE94" s="356">
        <f t="shared" si="57"/>
        <v>-8.2270833333333346</v>
      </c>
      <c r="AF94" s="238">
        <f t="shared" si="58"/>
        <v>8</v>
      </c>
      <c r="AG94" s="354"/>
      <c r="AJ94" s="238">
        <v>2016</v>
      </c>
      <c r="AK94" s="367">
        <f>LARGE($DN$68:$DN$99,27)</f>
        <v>90.8</v>
      </c>
      <c r="AL94" s="373">
        <f t="shared" si="64"/>
        <v>-59.000000000000014</v>
      </c>
      <c r="AM94" s="374">
        <f t="shared" si="60"/>
        <v>3481.0000000000018</v>
      </c>
      <c r="AN94" s="374"/>
      <c r="AO94" s="374">
        <f t="shared" si="65"/>
        <v>-3.6875000000000009</v>
      </c>
      <c r="AP94" s="238">
        <f t="shared" si="66"/>
        <v>8</v>
      </c>
      <c r="AQ94" s="354"/>
      <c r="AR94" s="238">
        <v>2016</v>
      </c>
      <c r="AS94" s="365" t="s">
        <v>1225</v>
      </c>
      <c r="AT94" s="366" t="s">
        <v>144</v>
      </c>
      <c r="AU94" s="366" t="s">
        <v>1</v>
      </c>
      <c r="AV94" s="366">
        <v>3401</v>
      </c>
      <c r="AW94" s="366">
        <v>18</v>
      </c>
      <c r="AX94" s="366">
        <v>10</v>
      </c>
      <c r="AY94" s="366">
        <v>57</v>
      </c>
      <c r="AZ94" s="366">
        <v>0</v>
      </c>
      <c r="BA94" s="366">
        <v>0</v>
      </c>
      <c r="BB94" s="366">
        <v>0</v>
      </c>
      <c r="BC94" s="366">
        <v>0</v>
      </c>
      <c r="BD94" s="366">
        <v>0</v>
      </c>
      <c r="BE94" s="366">
        <v>0</v>
      </c>
      <c r="BF94" s="366">
        <v>0</v>
      </c>
      <c r="BG94" s="366">
        <v>0</v>
      </c>
      <c r="BH94" s="366">
        <v>2</v>
      </c>
      <c r="BI94" s="367">
        <f>IFERROR(AV94/Instructions!$J$25,0)+AW94*Instructions!$J$27+AX94*Instructions!$J$29+IFERROR(AY94/Instructions!$E$34,0)+AZ94*Instructions!$E$36+Tier!BA94*Instructions!$E$25+IFERROR(BB94/Instructions!$E$27,0)+BC94*Instructions!$E$29+IFERROR((BD94+BF94)/Instructions!$J$32,0)+(BE94+BG94)*Instructions!$J$34+BH94*-2</f>
        <v>189.73999999999998</v>
      </c>
      <c r="BJ94" s="354"/>
      <c r="BK94" s="366">
        <v>2014</v>
      </c>
      <c r="BL94" s="370" t="s">
        <v>974</v>
      </c>
      <c r="BM94" s="372" t="s">
        <v>151</v>
      </c>
      <c r="BN94" s="372" t="s">
        <v>3</v>
      </c>
      <c r="BO94" s="372">
        <v>0</v>
      </c>
      <c r="BP94" s="372">
        <v>0</v>
      </c>
      <c r="BQ94" s="372">
        <v>0</v>
      </c>
      <c r="BR94" s="372">
        <v>153</v>
      </c>
      <c r="BS94" s="372">
        <v>0</v>
      </c>
      <c r="BT94" s="372">
        <v>6</v>
      </c>
      <c r="BU94" s="372">
        <v>86</v>
      </c>
      <c r="BV94" s="372">
        <v>0</v>
      </c>
      <c r="BW94" s="372">
        <v>0</v>
      </c>
      <c r="BX94" s="372">
        <v>0</v>
      </c>
      <c r="BY94" s="372">
        <v>0</v>
      </c>
      <c r="BZ94" s="372">
        <v>0</v>
      </c>
      <c r="CA94" s="372">
        <v>0</v>
      </c>
      <c r="CB94" s="367">
        <f>IFERROR(BO94/Instructions!$J$25,0)+BP94*Instructions!$J$27+BQ94*Instructions!$J$29+IFERROR(BR94/Instructions!$E$34,0)+BS94*Instructions!$E$36+Tier!BT95*Instructions!$E$25+IFERROR(BU94/Instructions!$E$27,0)+BV94*Instructions!$E$29+IFERROR((BW94+BY94)/Instructions!$J$32,0)+(BX94+BZ94)*Instructions!$J$34+Tier!CA94*-2</f>
        <v>24.9</v>
      </c>
      <c r="CC94" s="354"/>
      <c r="CD94" s="321">
        <v>2014</v>
      </c>
      <c r="CE94" s="370" t="s">
        <v>1727</v>
      </c>
      <c r="CF94" s="371" t="s">
        <v>144</v>
      </c>
      <c r="CG94" s="371" t="s">
        <v>6</v>
      </c>
      <c r="CH94" s="371">
        <v>0</v>
      </c>
      <c r="CI94" s="371">
        <v>0</v>
      </c>
      <c r="CJ94" s="371">
        <v>0</v>
      </c>
      <c r="CK94" s="371">
        <v>0</v>
      </c>
      <c r="CL94" s="371">
        <v>0</v>
      </c>
      <c r="CM94" s="371">
        <v>49</v>
      </c>
      <c r="CN94" s="371">
        <v>464</v>
      </c>
      <c r="CO94" s="371">
        <v>2</v>
      </c>
      <c r="CP94" s="371">
        <v>74</v>
      </c>
      <c r="CQ94" s="371">
        <v>0</v>
      </c>
      <c r="CR94" s="371">
        <v>0</v>
      </c>
      <c r="CS94" s="371">
        <v>0</v>
      </c>
      <c r="CT94" s="371">
        <v>0</v>
      </c>
      <c r="CU94" s="367">
        <f>IFERROR(CH94/Instructions!$J$25,0)+CI94*Instructions!$J$27+CJ94*Instructions!$J$29+IFERROR(CK94/Instructions!$E$34,0)+CL94*Instructions!$E$36+Tier!CM94*Instructions!$E$25+IFERROR(CN94/Instructions!$E$27,0)+CO94*Instructions!$E$29+IFERROR((CP94+CR94)/Instructions!$J$32,0)+(CQ94+CS94)*Instructions!$J$34+Tier!CT94*-2</f>
        <v>107.4</v>
      </c>
      <c r="CV94" s="354"/>
      <c r="CW94" s="238">
        <v>2016</v>
      </c>
      <c r="CX94" s="365" t="s">
        <v>232</v>
      </c>
      <c r="CY94" s="366" t="s">
        <v>151</v>
      </c>
      <c r="CZ94" s="366" t="s">
        <v>7</v>
      </c>
      <c r="DA94" s="366">
        <v>0</v>
      </c>
      <c r="DB94" s="366">
        <v>0</v>
      </c>
      <c r="DC94" s="366">
        <v>0</v>
      </c>
      <c r="DD94" s="366">
        <v>0</v>
      </c>
      <c r="DE94" s="366">
        <v>0</v>
      </c>
      <c r="DF94" s="366">
        <v>50</v>
      </c>
      <c r="DG94" s="366">
        <v>442</v>
      </c>
      <c r="DH94" s="366">
        <v>2</v>
      </c>
      <c r="DI94" s="366">
        <v>0</v>
      </c>
      <c r="DJ94" s="366">
        <v>0</v>
      </c>
      <c r="DK94" s="366">
        <v>0</v>
      </c>
      <c r="DL94" s="366">
        <v>0</v>
      </c>
      <c r="DM94" s="366">
        <v>0</v>
      </c>
      <c r="DN94" s="367">
        <f>IFERROR(DA94/Instructions!$J$25,0)+DB94*Instructions!$J$27+DC94*Instructions!$J$29+IFERROR(DD94/Instructions!$E$34,0)+DE94*Instructions!$E$36+Tier!DF94*Instructions!$E$25+IFERROR(DG94/Instructions!$E$27,0)+DH94*Instructions!$E$29+IFERROR((DI94+DK94)/Instructions!$J$32,0)+(DJ94+DL94)*Instructions!$J$34+Tier!DM94*-2</f>
        <v>106.2</v>
      </c>
    </row>
    <row r="95" spans="1:118" s="366" customFormat="1" ht="15.75" customHeight="1" x14ac:dyDescent="0.25">
      <c r="A95" s="238"/>
      <c r="B95" s="238"/>
      <c r="C95" s="354"/>
      <c r="D95" s="365"/>
      <c r="F95" s="238">
        <v>2016</v>
      </c>
      <c r="G95" s="367">
        <f>LARGE($BI$68:$BI$99,28)</f>
        <v>168.98</v>
      </c>
      <c r="H95" s="355">
        <f t="shared" si="61"/>
        <v>-90.960000000000008</v>
      </c>
      <c r="I95" s="356">
        <f t="shared" si="59"/>
        <v>8273.7216000000008</v>
      </c>
      <c r="J95" s="356"/>
      <c r="K95" s="356">
        <f t="shared" si="62"/>
        <v>-5.6850000000000005</v>
      </c>
      <c r="L95" s="238">
        <f t="shared" si="63"/>
        <v>8</v>
      </c>
      <c r="M95" s="354"/>
      <c r="N95" s="372"/>
      <c r="O95" s="372"/>
      <c r="P95" s="366">
        <v>2014</v>
      </c>
      <c r="Q95" s="367">
        <f>LARGE($CB$2:$CB$151,94)</f>
        <v>27.5</v>
      </c>
      <c r="R95" s="357">
        <f t="shared" si="52"/>
        <v>-137.1</v>
      </c>
      <c r="S95" s="356">
        <f t="shared" si="47"/>
        <v>18796.41</v>
      </c>
      <c r="T95" s="238"/>
      <c r="U95" s="356">
        <f t="shared" si="54"/>
        <v>-8.5687499999999996</v>
      </c>
      <c r="V95" s="238">
        <f t="shared" si="55"/>
        <v>8</v>
      </c>
      <c r="W95" s="354"/>
      <c r="X95" s="371"/>
      <c r="Y95" s="371"/>
      <c r="Z95" s="321">
        <v>2014</v>
      </c>
      <c r="AA95" s="367">
        <f>LARGE($CU$2:$CU$151,94)</f>
        <v>84.5</v>
      </c>
      <c r="AB95" s="357">
        <f t="shared" si="56"/>
        <v>-133.23333333333335</v>
      </c>
      <c r="AC95" s="356">
        <f t="shared" si="53"/>
        <v>17751.121111111115</v>
      </c>
      <c r="AD95" s="356"/>
      <c r="AE95" s="356">
        <f t="shared" si="57"/>
        <v>-8.3270833333333343</v>
      </c>
      <c r="AF95" s="238">
        <f t="shared" si="58"/>
        <v>8</v>
      </c>
      <c r="AG95" s="354"/>
      <c r="AJ95" s="238">
        <v>2016</v>
      </c>
      <c r="AK95" s="367">
        <f>LARGE($DN$68:$DN$99,28)</f>
        <v>88.1</v>
      </c>
      <c r="AL95" s="373">
        <f t="shared" si="64"/>
        <v>-61.700000000000017</v>
      </c>
      <c r="AM95" s="374">
        <f t="shared" si="60"/>
        <v>3806.8900000000021</v>
      </c>
      <c r="AN95" s="374"/>
      <c r="AO95" s="374">
        <f t="shared" si="65"/>
        <v>-3.8562500000000011</v>
      </c>
      <c r="AP95" s="238">
        <f t="shared" si="66"/>
        <v>8</v>
      </c>
      <c r="AQ95" s="354"/>
      <c r="AR95" s="238">
        <v>2016</v>
      </c>
      <c r="AS95" s="365" t="s">
        <v>181</v>
      </c>
      <c r="AT95" s="366" t="s">
        <v>151</v>
      </c>
      <c r="AU95" s="366" t="s">
        <v>1</v>
      </c>
      <c r="AV95" s="366">
        <v>2957</v>
      </c>
      <c r="AW95" s="366">
        <v>15</v>
      </c>
      <c r="AX95" s="366">
        <v>16</v>
      </c>
      <c r="AY95" s="366">
        <v>131</v>
      </c>
      <c r="AZ95" s="366">
        <v>2</v>
      </c>
      <c r="BA95" s="366">
        <v>1</v>
      </c>
      <c r="BB95" s="366">
        <v>-14</v>
      </c>
      <c r="BC95" s="366">
        <v>0</v>
      </c>
      <c r="BD95" s="366">
        <v>0</v>
      </c>
      <c r="BE95" s="366">
        <v>0</v>
      </c>
      <c r="BF95" s="366">
        <v>0</v>
      </c>
      <c r="BG95" s="366">
        <v>0</v>
      </c>
      <c r="BH95" s="366">
        <v>1</v>
      </c>
      <c r="BI95" s="367">
        <f>IFERROR(AV95/Instructions!$J$25,0)+AW95*Instructions!$J$27+AX95*Instructions!$J$29+IFERROR(AY95/Instructions!$E$34,0)+AZ95*Instructions!$E$36+Tier!BA95*Instructions!$E$25+IFERROR(BB95/Instructions!$E$27,0)+BC95*Instructions!$E$29+IFERROR((BD95+BF95)/Instructions!$J$32,0)+(BE95+BG95)*Instructions!$J$34+BH95*-2</f>
        <v>168.98</v>
      </c>
      <c r="BJ95" s="354"/>
      <c r="BK95" s="366">
        <v>2014</v>
      </c>
      <c r="BL95" s="370" t="s">
        <v>1697</v>
      </c>
      <c r="BM95" s="372" t="s">
        <v>166</v>
      </c>
      <c r="BN95" s="372" t="s">
        <v>3</v>
      </c>
      <c r="BO95" s="372">
        <v>0</v>
      </c>
      <c r="BP95" s="372">
        <v>0</v>
      </c>
      <c r="BQ95" s="372">
        <v>0</v>
      </c>
      <c r="BR95" s="372">
        <v>148</v>
      </c>
      <c r="BS95" s="372">
        <v>1</v>
      </c>
      <c r="BT95" s="372">
        <v>1</v>
      </c>
      <c r="BU95" s="372">
        <v>8</v>
      </c>
      <c r="BV95" s="372">
        <v>0</v>
      </c>
      <c r="BW95" s="372">
        <v>0</v>
      </c>
      <c r="BX95" s="372">
        <v>0</v>
      </c>
      <c r="BY95" s="372">
        <v>0</v>
      </c>
      <c r="BZ95" s="372">
        <v>0</v>
      </c>
      <c r="CA95" s="372">
        <v>0</v>
      </c>
      <c r="CB95" s="367">
        <f>IFERROR(BO95/Instructions!$J$25,0)+BP95*Instructions!$J$27+BQ95*Instructions!$J$29+IFERROR(BR95/Instructions!$E$34,0)+BS95*Instructions!$E$36+Tier!BT96*Instructions!$E$25+IFERROR(BU95/Instructions!$E$27,0)+BV95*Instructions!$E$29+IFERROR((BW95+BY95)/Instructions!$J$32,0)+(BX95+BZ95)*Instructions!$J$34+Tier!CA95*-2</f>
        <v>26.6</v>
      </c>
      <c r="CC95" s="354"/>
      <c r="CD95" s="321">
        <v>2014</v>
      </c>
      <c r="CE95" s="370" t="s">
        <v>1684</v>
      </c>
      <c r="CF95" s="371" t="s">
        <v>150</v>
      </c>
      <c r="CG95" s="371" t="s">
        <v>6</v>
      </c>
      <c r="CH95" s="371">
        <v>0</v>
      </c>
      <c r="CI95" s="371">
        <v>0</v>
      </c>
      <c r="CJ95" s="371">
        <v>0</v>
      </c>
      <c r="CK95" s="371">
        <v>13</v>
      </c>
      <c r="CL95" s="371">
        <v>0</v>
      </c>
      <c r="CM95" s="371">
        <v>30</v>
      </c>
      <c r="CN95" s="371">
        <v>435</v>
      </c>
      <c r="CO95" s="371">
        <v>1</v>
      </c>
      <c r="CP95" s="371">
        <v>90</v>
      </c>
      <c r="CQ95" s="371">
        <v>1</v>
      </c>
      <c r="CR95" s="371">
        <v>9</v>
      </c>
      <c r="CS95" s="371">
        <v>0</v>
      </c>
      <c r="CT95" s="371">
        <v>0</v>
      </c>
      <c r="CU95" s="367">
        <f>IFERROR(CH95/Instructions!$J$25,0)+CI95*Instructions!$J$27+CJ95*Instructions!$J$29+IFERROR(CK95/Instructions!$E$34,0)+CL95*Instructions!$E$36+Tier!CM95*Instructions!$E$25+IFERROR(CN95/Instructions!$E$27,0)+CO95*Instructions!$E$29+IFERROR((CP95+CR95)/Instructions!$J$32,0)+(CQ95+CS95)*Instructions!$J$34+Tier!CT95*-2</f>
        <v>86.8</v>
      </c>
      <c r="CV95" s="354"/>
      <c r="CW95" s="238">
        <v>2016</v>
      </c>
      <c r="CX95" s="365" t="s">
        <v>1219</v>
      </c>
      <c r="CY95" s="366" t="s">
        <v>1630</v>
      </c>
      <c r="CZ95" s="366" t="s">
        <v>7</v>
      </c>
      <c r="DA95" s="366">
        <v>0</v>
      </c>
      <c r="DB95" s="366">
        <v>0</v>
      </c>
      <c r="DC95" s="366">
        <v>0</v>
      </c>
      <c r="DD95" s="366">
        <v>0</v>
      </c>
      <c r="DE95" s="366">
        <v>0</v>
      </c>
      <c r="DF95" s="366">
        <v>29</v>
      </c>
      <c r="DG95" s="366">
        <v>350</v>
      </c>
      <c r="DH95" s="366">
        <v>3</v>
      </c>
      <c r="DI95" s="366">
        <v>0</v>
      </c>
      <c r="DJ95" s="366">
        <v>0</v>
      </c>
      <c r="DK95" s="366">
        <v>0</v>
      </c>
      <c r="DL95" s="366">
        <v>0</v>
      </c>
      <c r="DM95" s="366">
        <v>0</v>
      </c>
      <c r="DN95" s="367">
        <f>IFERROR(DA95/Instructions!$J$25,0)+DB95*Instructions!$J$27+DC95*Instructions!$J$29+IFERROR(DD95/Instructions!$E$34,0)+DE95*Instructions!$E$36+Tier!DF95*Instructions!$E$25+IFERROR(DG95/Instructions!$E$27,0)+DH95*Instructions!$E$29+IFERROR((DI95+DK95)/Instructions!$J$32,0)+(DJ95+DL95)*Instructions!$J$34+Tier!DM95*-2</f>
        <v>82</v>
      </c>
    </row>
    <row r="96" spans="1:118" s="366" customFormat="1" ht="15.75" customHeight="1" x14ac:dyDescent="0.25">
      <c r="A96" s="238"/>
      <c r="B96" s="238"/>
      <c r="C96" s="354"/>
      <c r="D96" s="365"/>
      <c r="F96" s="238">
        <v>2016</v>
      </c>
      <c r="G96" s="367">
        <f>LARGE($BI$68:$BI$99,29)</f>
        <v>133.4</v>
      </c>
      <c r="H96" s="355">
        <f t="shared" si="61"/>
        <v>-126.53999999999999</v>
      </c>
      <c r="I96" s="356">
        <f t="shared" si="59"/>
        <v>16012.371599999999</v>
      </c>
      <c r="J96" s="356"/>
      <c r="K96" s="356">
        <f t="shared" si="62"/>
        <v>-7.9087499999999995</v>
      </c>
      <c r="L96" s="238">
        <f t="shared" si="63"/>
        <v>8</v>
      </c>
      <c r="M96" s="354"/>
      <c r="N96" s="372"/>
      <c r="O96" s="372"/>
      <c r="P96" s="366">
        <v>2014</v>
      </c>
      <c r="Q96" s="367">
        <f>LARGE($CB$2:$CB$151,95)</f>
        <v>26.6</v>
      </c>
      <c r="R96" s="357">
        <f t="shared" si="52"/>
        <v>-138</v>
      </c>
      <c r="S96" s="356">
        <f t="shared" si="47"/>
        <v>19044</v>
      </c>
      <c r="T96" s="238"/>
      <c r="U96" s="356">
        <f t="shared" si="54"/>
        <v>-8.625</v>
      </c>
      <c r="V96" s="238">
        <f t="shared" si="55"/>
        <v>8</v>
      </c>
      <c r="W96" s="354"/>
      <c r="X96" s="371"/>
      <c r="Y96" s="371"/>
      <c r="Z96" s="321">
        <v>2014</v>
      </c>
      <c r="AA96" s="367">
        <f>LARGE($CU$2:$CU$151,95)</f>
        <v>82.9</v>
      </c>
      <c r="AB96" s="357">
        <f t="shared" si="56"/>
        <v>-134.83333333333334</v>
      </c>
      <c r="AC96" s="356">
        <f t="shared" si="53"/>
        <v>18180.027777777781</v>
      </c>
      <c r="AD96" s="356"/>
      <c r="AE96" s="356">
        <f t="shared" si="57"/>
        <v>-8.4270833333333339</v>
      </c>
      <c r="AF96" s="238">
        <f t="shared" si="58"/>
        <v>8</v>
      </c>
      <c r="AG96" s="354"/>
      <c r="AJ96" s="238">
        <v>2016</v>
      </c>
      <c r="AK96" s="367">
        <f>LARGE($DN$68:$DN$99,29)</f>
        <v>87.1</v>
      </c>
      <c r="AL96" s="373">
        <f t="shared" si="64"/>
        <v>-62.700000000000017</v>
      </c>
      <c r="AM96" s="374">
        <f t="shared" si="60"/>
        <v>3931.2900000000022</v>
      </c>
      <c r="AN96" s="374"/>
      <c r="AO96" s="374">
        <f t="shared" si="65"/>
        <v>-3.9187500000000011</v>
      </c>
      <c r="AP96" s="238">
        <f t="shared" si="66"/>
        <v>8</v>
      </c>
      <c r="AQ96" s="354"/>
      <c r="AR96" s="238">
        <v>2016</v>
      </c>
      <c r="AS96" s="365" t="s">
        <v>172</v>
      </c>
      <c r="AT96" s="366" t="s">
        <v>164</v>
      </c>
      <c r="AU96" s="366" t="s">
        <v>1</v>
      </c>
      <c r="AV96" s="366">
        <v>2710</v>
      </c>
      <c r="AW96" s="366">
        <v>12</v>
      </c>
      <c r="AX96" s="366">
        <v>17</v>
      </c>
      <c r="AY96" s="366">
        <v>130</v>
      </c>
      <c r="AZ96" s="366">
        <v>0</v>
      </c>
      <c r="BA96" s="366">
        <v>0</v>
      </c>
      <c r="BB96" s="366">
        <v>0</v>
      </c>
      <c r="BC96" s="366">
        <v>0</v>
      </c>
      <c r="BD96" s="366">
        <v>0</v>
      </c>
      <c r="BE96" s="366">
        <v>0</v>
      </c>
      <c r="BF96" s="366">
        <v>0</v>
      </c>
      <c r="BG96" s="366">
        <v>0</v>
      </c>
      <c r="BH96" s="366">
        <v>1</v>
      </c>
      <c r="BI96" s="367">
        <f>IFERROR(AV96/Instructions!$J$25,0)+AW96*Instructions!$J$27+AX96*Instructions!$J$29+IFERROR(AY96/Instructions!$E$34,0)+AZ96*Instructions!$E$36+Tier!BA96*Instructions!$E$25+IFERROR(BB96/Instructions!$E$27,0)+BC96*Instructions!$E$29+IFERROR((BD96+BF96)/Instructions!$J$32,0)+(BE96+BG96)*Instructions!$J$34+BH96*-2</f>
        <v>133.4</v>
      </c>
      <c r="BJ96" s="354"/>
      <c r="BK96" s="366">
        <v>2014</v>
      </c>
      <c r="BL96" s="370" t="s">
        <v>1634</v>
      </c>
      <c r="BM96" s="372" t="s">
        <v>141</v>
      </c>
      <c r="BN96" s="372" t="s">
        <v>3</v>
      </c>
      <c r="BO96" s="372">
        <v>0</v>
      </c>
      <c r="BP96" s="372">
        <v>0</v>
      </c>
      <c r="BQ96" s="372">
        <v>0</v>
      </c>
      <c r="BR96" s="372">
        <v>158</v>
      </c>
      <c r="BS96" s="372">
        <v>0</v>
      </c>
      <c r="BT96" s="372">
        <v>5</v>
      </c>
      <c r="BU96" s="372">
        <v>57</v>
      </c>
      <c r="BV96" s="372">
        <v>0</v>
      </c>
      <c r="BW96" s="372">
        <v>0</v>
      </c>
      <c r="BX96" s="372">
        <v>0</v>
      </c>
      <c r="BY96" s="372">
        <v>0</v>
      </c>
      <c r="BZ96" s="372">
        <v>0</v>
      </c>
      <c r="CA96" s="372">
        <v>0</v>
      </c>
      <c r="CB96" s="367">
        <f>IFERROR(BO96/Instructions!$J$25,0)+BP96*Instructions!$J$27+BQ96*Instructions!$J$29+IFERROR(BR96/Instructions!$E$34,0)+BS96*Instructions!$E$36+Tier!BT97*Instructions!$E$25+IFERROR(BU96/Instructions!$E$27,0)+BV96*Instructions!$E$29+IFERROR((BW96+BY96)/Instructions!$J$32,0)+(BX96+BZ96)*Instructions!$J$34+Tier!CA96*-2</f>
        <v>27.5</v>
      </c>
      <c r="CC96" s="354"/>
      <c r="CD96" s="321">
        <v>2014</v>
      </c>
      <c r="CE96" s="370" t="s">
        <v>1674</v>
      </c>
      <c r="CF96" s="371" t="s">
        <v>166</v>
      </c>
      <c r="CG96" s="371" t="s">
        <v>6</v>
      </c>
      <c r="CH96" s="371">
        <v>0</v>
      </c>
      <c r="CI96" s="371">
        <v>0</v>
      </c>
      <c r="CJ96" s="371">
        <v>0</v>
      </c>
      <c r="CK96" s="371">
        <v>0</v>
      </c>
      <c r="CL96" s="371">
        <v>0</v>
      </c>
      <c r="CM96" s="371">
        <v>39</v>
      </c>
      <c r="CN96" s="371">
        <v>474</v>
      </c>
      <c r="CO96" s="371">
        <v>2</v>
      </c>
      <c r="CP96" s="371">
        <v>0</v>
      </c>
      <c r="CQ96" s="371">
        <v>0</v>
      </c>
      <c r="CR96" s="371">
        <v>0</v>
      </c>
      <c r="CS96" s="371">
        <v>0</v>
      </c>
      <c r="CT96" s="371">
        <v>0</v>
      </c>
      <c r="CU96" s="367">
        <f>IFERROR(CH96/Instructions!$J$25,0)+CI96*Instructions!$J$27+CJ96*Instructions!$J$29+IFERROR(CK96/Instructions!$E$34,0)+CL96*Instructions!$E$36+Tier!CM96*Instructions!$E$25+IFERROR(CN96/Instructions!$E$27,0)+CO96*Instructions!$E$29+IFERROR((CP96+CR96)/Instructions!$J$32,0)+(CQ96+CS96)*Instructions!$J$34+Tier!CT96*-2</f>
        <v>98.4</v>
      </c>
      <c r="CV96" s="354"/>
      <c r="CW96" s="238">
        <v>2016</v>
      </c>
      <c r="CX96" s="365" t="s">
        <v>15</v>
      </c>
      <c r="CY96" s="366" t="s">
        <v>1613</v>
      </c>
      <c r="CZ96" s="366" t="s">
        <v>7</v>
      </c>
      <c r="DA96" s="366">
        <v>0</v>
      </c>
      <c r="DB96" s="366">
        <v>0</v>
      </c>
      <c r="DC96" s="366">
        <v>0</v>
      </c>
      <c r="DD96" s="366">
        <v>0</v>
      </c>
      <c r="DE96" s="366">
        <v>0</v>
      </c>
      <c r="DF96" s="366">
        <v>30</v>
      </c>
      <c r="DG96" s="366">
        <v>281</v>
      </c>
      <c r="DH96" s="366">
        <v>4</v>
      </c>
      <c r="DI96" s="366">
        <v>0</v>
      </c>
      <c r="DJ96" s="366">
        <v>0</v>
      </c>
      <c r="DK96" s="366">
        <v>0</v>
      </c>
      <c r="DL96" s="366">
        <v>0</v>
      </c>
      <c r="DM96" s="366">
        <v>0</v>
      </c>
      <c r="DN96" s="367">
        <f>IFERROR(DA96/Instructions!$J$25,0)+DB96*Instructions!$J$27+DC96*Instructions!$J$29+IFERROR(DD96/Instructions!$E$34,0)+DE96*Instructions!$E$36+Tier!DF96*Instructions!$E$25+IFERROR(DG96/Instructions!$E$27,0)+DH96*Instructions!$E$29+IFERROR((DI96+DK96)/Instructions!$J$32,0)+(DJ96+DL96)*Instructions!$J$34+Tier!DM96*-2</f>
        <v>82.1</v>
      </c>
    </row>
    <row r="97" spans="1:118" s="366" customFormat="1" ht="15.75" customHeight="1" x14ac:dyDescent="0.25">
      <c r="A97" s="238"/>
      <c r="B97" s="238"/>
      <c r="C97" s="354"/>
      <c r="D97" s="365"/>
      <c r="F97" s="238">
        <v>2016</v>
      </c>
      <c r="G97" s="367">
        <f>LARGE($BI$68:$BI$99,30)</f>
        <v>111.14</v>
      </c>
      <c r="H97" s="355">
        <f t="shared" si="61"/>
        <v>-148.80000000000001</v>
      </c>
      <c r="I97" s="356">
        <f t="shared" si="59"/>
        <v>22141.440000000002</v>
      </c>
      <c r="J97" s="356"/>
      <c r="K97" s="356">
        <f t="shared" si="62"/>
        <v>-9.3000000000000007</v>
      </c>
      <c r="L97" s="238">
        <f t="shared" si="63"/>
        <v>8</v>
      </c>
      <c r="M97" s="354"/>
      <c r="N97" s="372"/>
      <c r="O97" s="372"/>
      <c r="P97" s="366">
        <v>2014</v>
      </c>
      <c r="Q97" s="367">
        <f>LARGE($CB$2:$CB$151,96)</f>
        <v>24.9</v>
      </c>
      <c r="R97" s="357">
        <f t="shared" si="52"/>
        <v>-139.69999999999999</v>
      </c>
      <c r="S97" s="356">
        <f t="shared" si="47"/>
        <v>19516.089999999997</v>
      </c>
      <c r="T97" s="238"/>
      <c r="U97" s="356">
        <f t="shared" si="54"/>
        <v>-8.7312499999999993</v>
      </c>
      <c r="V97" s="238">
        <f t="shared" si="55"/>
        <v>8</v>
      </c>
      <c r="W97" s="354"/>
      <c r="X97" s="371"/>
      <c r="Y97" s="371"/>
      <c r="Z97" s="321">
        <v>2014</v>
      </c>
      <c r="AA97" s="367">
        <f>LARGE($CU$2:$CU$151,96)</f>
        <v>81</v>
      </c>
      <c r="AB97" s="357">
        <f t="shared" si="56"/>
        <v>-136.73333333333335</v>
      </c>
      <c r="AC97" s="356">
        <f t="shared" si="53"/>
        <v>18696.00444444445</v>
      </c>
      <c r="AD97" s="356"/>
      <c r="AE97" s="356">
        <f t="shared" si="57"/>
        <v>-8.5458333333333343</v>
      </c>
      <c r="AF97" s="238">
        <f t="shared" si="58"/>
        <v>8</v>
      </c>
      <c r="AG97" s="354"/>
      <c r="AJ97" s="238">
        <v>2016</v>
      </c>
      <c r="AK97" s="367">
        <f>LARGE($DN$68:$DN$99,30)</f>
        <v>82.1</v>
      </c>
      <c r="AL97" s="373">
        <f t="shared" si="64"/>
        <v>-67.700000000000017</v>
      </c>
      <c r="AM97" s="374">
        <f t="shared" si="60"/>
        <v>4583.2900000000027</v>
      </c>
      <c r="AN97" s="374"/>
      <c r="AO97" s="374">
        <f t="shared" si="65"/>
        <v>-4.2312500000000011</v>
      </c>
      <c r="AP97" s="238">
        <f t="shared" si="66"/>
        <v>8</v>
      </c>
      <c r="AQ97" s="354"/>
      <c r="AR97" s="238">
        <v>2016</v>
      </c>
      <c r="AS97" s="365" t="s">
        <v>1221</v>
      </c>
      <c r="AT97" s="366" t="s">
        <v>1389</v>
      </c>
      <c r="AU97" s="366" t="s">
        <v>1</v>
      </c>
      <c r="AV97" s="366">
        <v>2201</v>
      </c>
      <c r="AW97" s="366">
        <v>9</v>
      </c>
      <c r="AX97" s="366">
        <v>11</v>
      </c>
      <c r="AY97" s="366">
        <v>51</v>
      </c>
      <c r="AZ97" s="366">
        <v>1</v>
      </c>
      <c r="BA97" s="366">
        <v>0</v>
      </c>
      <c r="BB97" s="366">
        <v>0</v>
      </c>
      <c r="BC97" s="366">
        <v>0</v>
      </c>
      <c r="BD97" s="366">
        <v>0</v>
      </c>
      <c r="BE97" s="366">
        <v>0</v>
      </c>
      <c r="BF97" s="366">
        <v>0</v>
      </c>
      <c r="BG97" s="366">
        <v>0</v>
      </c>
      <c r="BH97" s="366">
        <v>1</v>
      </c>
      <c r="BI97" s="367">
        <f>IFERROR(AV97/Instructions!$J$25,0)+AW97*Instructions!$J$27+AX97*Instructions!$J$29+IFERROR(AY97/Instructions!$E$34,0)+AZ97*Instructions!$E$36+Tier!BA97*Instructions!$E$25+IFERROR(BB97/Instructions!$E$27,0)+BC97*Instructions!$E$29+IFERROR((BD97+BF97)/Instructions!$J$32,0)+(BE97+BG97)*Instructions!$J$34+BH97*-2</f>
        <v>111.14</v>
      </c>
      <c r="BJ97" s="354"/>
      <c r="BK97" s="366">
        <v>2014</v>
      </c>
      <c r="BL97" s="370" t="s">
        <v>1698</v>
      </c>
      <c r="BM97" s="372" t="s">
        <v>1629</v>
      </c>
      <c r="BN97" s="372" t="s">
        <v>3</v>
      </c>
      <c r="BO97" s="372">
        <v>0</v>
      </c>
      <c r="BP97" s="372">
        <v>0</v>
      </c>
      <c r="BQ97" s="372">
        <v>0</v>
      </c>
      <c r="BR97" s="372">
        <v>3</v>
      </c>
      <c r="BS97" s="372">
        <v>0</v>
      </c>
      <c r="BT97" s="372">
        <v>6</v>
      </c>
      <c r="BU97" s="372">
        <v>64</v>
      </c>
      <c r="BV97" s="372">
        <v>2</v>
      </c>
      <c r="BW97" s="372">
        <v>0</v>
      </c>
      <c r="BX97" s="372">
        <v>0</v>
      </c>
      <c r="BY97" s="372">
        <v>65</v>
      </c>
      <c r="BZ97" s="372">
        <v>0</v>
      </c>
      <c r="CA97" s="372">
        <v>0</v>
      </c>
      <c r="CB97" s="367">
        <f>IFERROR(BO97/Instructions!$J$25,0)+BP97*Instructions!$J$27+BQ97*Instructions!$J$29+IFERROR(BR97/Instructions!$E$34,0)+BS97*Instructions!$E$36+Tier!BT98*Instructions!$E$25+IFERROR(BU97/Instructions!$E$27,0)+BV97*Instructions!$E$29+IFERROR((BW97+BY97)/Instructions!$J$32,0)+(BX97+BZ97)*Instructions!$J$34+Tier!CA97*-2</f>
        <v>19.7</v>
      </c>
      <c r="CC97" s="354"/>
      <c r="CD97" s="321">
        <v>2014</v>
      </c>
      <c r="CE97" s="370" t="s">
        <v>215</v>
      </c>
      <c r="CF97" s="371" t="s">
        <v>1630</v>
      </c>
      <c r="CG97" s="371" t="s">
        <v>6</v>
      </c>
      <c r="CH97" s="371">
        <v>0</v>
      </c>
      <c r="CI97" s="371">
        <v>0</v>
      </c>
      <c r="CJ97" s="371">
        <v>0</v>
      </c>
      <c r="CK97" s="371">
        <v>28</v>
      </c>
      <c r="CL97" s="371">
        <v>1</v>
      </c>
      <c r="CM97" s="371">
        <v>6</v>
      </c>
      <c r="CN97" s="371">
        <v>62</v>
      </c>
      <c r="CO97" s="371">
        <v>2</v>
      </c>
      <c r="CP97" s="371">
        <v>188</v>
      </c>
      <c r="CQ97" s="371">
        <v>0</v>
      </c>
      <c r="CR97" s="371">
        <v>614</v>
      </c>
      <c r="CS97" s="371">
        <v>0</v>
      </c>
      <c r="CT97" s="371">
        <v>0</v>
      </c>
      <c r="CU97" s="367">
        <f>IFERROR(CH97/Instructions!$J$25,0)+CI97*Instructions!$J$27+CJ97*Instructions!$J$29+IFERROR(CK97/Instructions!$E$34,0)+CL97*Instructions!$E$36+Tier!CM97*Instructions!$E$25+IFERROR(CN97/Instructions!$E$27,0)+CO97*Instructions!$E$29+IFERROR((CP97+CR97)/Instructions!$J$32,0)+(CQ97+CS97)*Instructions!$J$34+Tier!CT97*-2</f>
        <v>33</v>
      </c>
      <c r="CV97" s="354"/>
      <c r="CW97" s="238">
        <v>2016</v>
      </c>
      <c r="CX97" s="365" t="s">
        <v>1299</v>
      </c>
      <c r="CY97" s="366" t="s">
        <v>147</v>
      </c>
      <c r="CZ97" s="366" t="s">
        <v>7</v>
      </c>
      <c r="DA97" s="366">
        <v>0</v>
      </c>
      <c r="DB97" s="366">
        <v>0</v>
      </c>
      <c r="DC97" s="366">
        <v>0</v>
      </c>
      <c r="DD97" s="366">
        <v>0</v>
      </c>
      <c r="DE97" s="366">
        <v>0</v>
      </c>
      <c r="DF97" s="366">
        <v>39</v>
      </c>
      <c r="DG97" s="366">
        <v>338</v>
      </c>
      <c r="DH97" s="366">
        <v>3</v>
      </c>
      <c r="DI97" s="366">
        <v>0</v>
      </c>
      <c r="DJ97" s="366">
        <v>0</v>
      </c>
      <c r="DK97" s="366">
        <v>0</v>
      </c>
      <c r="DL97" s="366">
        <v>0</v>
      </c>
      <c r="DM97" s="366">
        <v>0</v>
      </c>
      <c r="DN97" s="367">
        <f>IFERROR(DA97/Instructions!$J$25,0)+DB97*Instructions!$J$27+DC97*Instructions!$J$29+IFERROR(DD97/Instructions!$E$34,0)+DE97*Instructions!$E$36+Tier!DF97*Instructions!$E$25+IFERROR(DG97/Instructions!$E$27,0)+DH97*Instructions!$E$29+IFERROR((DI97+DK97)/Instructions!$J$32,0)+(DJ97+DL97)*Instructions!$J$34+Tier!DM97*-2</f>
        <v>90.8</v>
      </c>
    </row>
    <row r="98" spans="1:118" s="366" customFormat="1" ht="15.75" customHeight="1" x14ac:dyDescent="0.25">
      <c r="A98" s="238"/>
      <c r="B98" s="238"/>
      <c r="C98" s="354"/>
      <c r="D98" s="365"/>
      <c r="F98" s="238">
        <v>2016</v>
      </c>
      <c r="G98" s="367">
        <f>LARGE($BI$68:$BI$99,31)</f>
        <v>79.599999999999994</v>
      </c>
      <c r="H98" s="355">
        <f t="shared" si="61"/>
        <v>-180.34</v>
      </c>
      <c r="I98" s="356">
        <f t="shared" si="59"/>
        <v>32522.515600000002</v>
      </c>
      <c r="J98" s="356"/>
      <c r="K98" s="356">
        <f t="shared" si="62"/>
        <v>-11.27125</v>
      </c>
      <c r="L98" s="238">
        <f t="shared" si="63"/>
        <v>8</v>
      </c>
      <c r="M98" s="354"/>
      <c r="N98" s="372"/>
      <c r="O98" s="372"/>
      <c r="P98" s="366">
        <v>2014</v>
      </c>
      <c r="Q98" s="367">
        <f>LARGE($CB$2:$CB$151,97)</f>
        <v>24.7</v>
      </c>
      <c r="R98" s="357">
        <f t="shared" ref="R98:R129" si="67">Q98-$T$12</f>
        <v>-139.9</v>
      </c>
      <c r="S98" s="356">
        <f t="shared" si="47"/>
        <v>19572.010000000002</v>
      </c>
      <c r="T98" s="238"/>
      <c r="U98" s="356">
        <f t="shared" si="54"/>
        <v>-8.7437500000000004</v>
      </c>
      <c r="V98" s="238">
        <f t="shared" si="55"/>
        <v>8</v>
      </c>
      <c r="W98" s="354"/>
      <c r="X98" s="371"/>
      <c r="Y98" s="371"/>
      <c r="Z98" s="321">
        <v>2014</v>
      </c>
      <c r="AA98" s="367">
        <f>LARGE($CU$2:$CU$151,97)</f>
        <v>80.5</v>
      </c>
      <c r="AB98" s="357">
        <f t="shared" si="56"/>
        <v>-137.23333333333335</v>
      </c>
      <c r="AC98" s="356">
        <f t="shared" si="53"/>
        <v>18832.98777777778</v>
      </c>
      <c r="AD98" s="356"/>
      <c r="AE98" s="356">
        <f t="shared" si="57"/>
        <v>-8.5770833333333343</v>
      </c>
      <c r="AF98" s="238">
        <f t="shared" si="58"/>
        <v>8</v>
      </c>
      <c r="AG98" s="354"/>
      <c r="AJ98" s="238">
        <v>2016</v>
      </c>
      <c r="AK98" s="367">
        <f>LARGE($DN$68:$DN$99,31)</f>
        <v>82</v>
      </c>
      <c r="AL98" s="373">
        <f t="shared" si="64"/>
        <v>-67.800000000000011</v>
      </c>
      <c r="AM98" s="374">
        <f t="shared" si="60"/>
        <v>4596.840000000002</v>
      </c>
      <c r="AN98" s="374"/>
      <c r="AO98" s="374">
        <f t="shared" si="65"/>
        <v>-4.2375000000000007</v>
      </c>
      <c r="AP98" s="238">
        <f t="shared" si="66"/>
        <v>8</v>
      </c>
      <c r="AQ98" s="354"/>
      <c r="AR98" s="238">
        <v>2016</v>
      </c>
      <c r="AS98" s="365" t="s">
        <v>1224</v>
      </c>
      <c r="AT98" s="366" t="s">
        <v>141</v>
      </c>
      <c r="AU98" s="366" t="s">
        <v>1</v>
      </c>
      <c r="AV98" s="366">
        <v>1611</v>
      </c>
      <c r="AW98" s="366">
        <v>8</v>
      </c>
      <c r="AX98" s="366">
        <v>14</v>
      </c>
      <c r="AY98" s="366">
        <v>2</v>
      </c>
      <c r="AZ98" s="366">
        <v>0</v>
      </c>
      <c r="BA98" s="366">
        <v>1</v>
      </c>
      <c r="BB98" s="366">
        <v>2</v>
      </c>
      <c r="BC98" s="366">
        <v>1</v>
      </c>
      <c r="BD98" s="366">
        <v>0</v>
      </c>
      <c r="BE98" s="366">
        <v>0</v>
      </c>
      <c r="BF98" s="366">
        <v>0</v>
      </c>
      <c r="BG98" s="366">
        <v>0</v>
      </c>
      <c r="BH98" s="366">
        <v>2</v>
      </c>
      <c r="BI98" s="367">
        <f>IFERROR(AV98/Instructions!$J$25,0)+AW98*Instructions!$J$27+AX98*Instructions!$J$29+IFERROR(AY98/Instructions!$E$34,0)+AZ98*Instructions!$E$36+Tier!BA98*Instructions!$E$25+IFERROR(BB98/Instructions!$E$27,0)+BC98*Instructions!$E$29+IFERROR((BD98+BF98)/Instructions!$J$32,0)+(BE98+BG98)*Instructions!$J$34+BH98*-2</f>
        <v>71.84</v>
      </c>
      <c r="BJ98" s="354"/>
      <c r="BK98" s="366">
        <v>2014</v>
      </c>
      <c r="BL98" s="370" t="s">
        <v>1293</v>
      </c>
      <c r="BM98" s="372" t="s">
        <v>1613</v>
      </c>
      <c r="BN98" s="372" t="s">
        <v>3</v>
      </c>
      <c r="BO98" s="372">
        <v>0</v>
      </c>
      <c r="BP98" s="372">
        <v>0</v>
      </c>
      <c r="BQ98" s="372">
        <v>0</v>
      </c>
      <c r="BR98" s="372">
        <v>86</v>
      </c>
      <c r="BS98" s="372">
        <v>2</v>
      </c>
      <c r="BT98" s="372">
        <v>1</v>
      </c>
      <c r="BU98" s="372">
        <v>-4</v>
      </c>
      <c r="BV98" s="372">
        <v>0</v>
      </c>
      <c r="BW98" s="372">
        <v>0</v>
      </c>
      <c r="BX98" s="372">
        <v>0</v>
      </c>
      <c r="BY98" s="372">
        <v>0</v>
      </c>
      <c r="BZ98" s="372">
        <v>0</v>
      </c>
      <c r="CA98" s="372">
        <v>0</v>
      </c>
      <c r="CB98" s="367">
        <f>IFERROR(BO98/Instructions!$J$25,0)+BP98*Instructions!$J$27+BQ98*Instructions!$J$29+IFERROR(BR98/Instructions!$E$34,0)+BS98*Instructions!$E$36+Tier!BT99*Instructions!$E$25+IFERROR(BU98/Instructions!$E$27,0)+BV98*Instructions!$E$29+IFERROR((BW98+BY98)/Instructions!$J$32,0)+(BX98+BZ98)*Instructions!$J$34+Tier!CA98*-2</f>
        <v>30.200000000000003</v>
      </c>
      <c r="CC98" s="354"/>
      <c r="CD98" s="321">
        <v>2014</v>
      </c>
      <c r="CE98" s="370" t="s">
        <v>217</v>
      </c>
      <c r="CF98" s="371" t="s">
        <v>138</v>
      </c>
      <c r="CG98" s="371" t="s">
        <v>6</v>
      </c>
      <c r="CH98" s="371">
        <v>0</v>
      </c>
      <c r="CI98" s="371">
        <v>0</v>
      </c>
      <c r="CJ98" s="371">
        <v>0</v>
      </c>
      <c r="CK98" s="371">
        <v>-11</v>
      </c>
      <c r="CL98" s="371">
        <v>0</v>
      </c>
      <c r="CM98" s="371">
        <v>31</v>
      </c>
      <c r="CN98" s="371">
        <v>475</v>
      </c>
      <c r="CO98" s="371">
        <v>2</v>
      </c>
      <c r="CP98" s="371">
        <v>0</v>
      </c>
      <c r="CQ98" s="371">
        <v>0</v>
      </c>
      <c r="CR98" s="371">
        <v>0</v>
      </c>
      <c r="CS98" s="371">
        <v>0</v>
      </c>
      <c r="CT98" s="371">
        <v>0</v>
      </c>
      <c r="CU98" s="367">
        <f>IFERROR(CH98/Instructions!$J$25,0)+CI98*Instructions!$J$27+CJ98*Instructions!$J$29+IFERROR(CK98/Instructions!$E$34,0)+CL98*Instructions!$E$36+Tier!CM98*Instructions!$E$25+IFERROR(CN98/Instructions!$E$27,0)+CO98*Instructions!$E$29+IFERROR((CP98+CR98)/Instructions!$J$32,0)+(CQ98+CS98)*Instructions!$J$34+Tier!CT98*-2</f>
        <v>89.4</v>
      </c>
      <c r="CV98" s="354"/>
      <c r="CW98" s="238">
        <v>2016</v>
      </c>
      <c r="CX98" s="365" t="s">
        <v>227</v>
      </c>
      <c r="CY98" s="366" t="s">
        <v>153</v>
      </c>
      <c r="CZ98" s="366" t="s">
        <v>7</v>
      </c>
      <c r="DA98" s="366">
        <v>0</v>
      </c>
      <c r="DB98" s="366">
        <v>0</v>
      </c>
      <c r="DC98" s="366">
        <v>0</v>
      </c>
      <c r="DD98" s="366">
        <v>0</v>
      </c>
      <c r="DE98" s="366">
        <v>0</v>
      </c>
      <c r="DF98" s="366">
        <v>37</v>
      </c>
      <c r="DG98" s="366">
        <v>391</v>
      </c>
      <c r="DH98" s="366">
        <v>2</v>
      </c>
      <c r="DI98" s="366">
        <v>0</v>
      </c>
      <c r="DJ98" s="366">
        <v>0</v>
      </c>
      <c r="DK98" s="366">
        <v>0</v>
      </c>
      <c r="DL98" s="366">
        <v>0</v>
      </c>
      <c r="DM98" s="366">
        <v>0</v>
      </c>
      <c r="DN98" s="367">
        <f>IFERROR(DA98/Instructions!$J$25,0)+DB98*Instructions!$J$27+DC98*Instructions!$J$29+IFERROR(DD98/Instructions!$E$34,0)+DE98*Instructions!$E$36+Tier!DF98*Instructions!$E$25+IFERROR(DG98/Instructions!$E$27,0)+DH98*Instructions!$E$29+IFERROR((DI98+DK98)/Instructions!$J$32,0)+(DJ98+DL98)*Instructions!$J$34+Tier!DM98*-2</f>
        <v>88.1</v>
      </c>
    </row>
    <row r="99" spans="1:118" s="366" customFormat="1" ht="15.75" customHeight="1" x14ac:dyDescent="0.25">
      <c r="A99" s="238"/>
      <c r="B99" s="238"/>
      <c r="C99" s="354"/>
      <c r="D99" s="365"/>
      <c r="F99" s="238">
        <v>2016</v>
      </c>
      <c r="G99" s="367">
        <f>LARGE($BI$68:$BI$99,32)</f>
        <v>71.84</v>
      </c>
      <c r="H99" s="355">
        <f t="shared" si="61"/>
        <v>-188.1</v>
      </c>
      <c r="I99" s="356">
        <f t="shared" si="59"/>
        <v>35381.61</v>
      </c>
      <c r="J99" s="356"/>
      <c r="K99" s="356">
        <f t="shared" si="62"/>
        <v>-11.75625</v>
      </c>
      <c r="L99" s="238">
        <f t="shared" si="63"/>
        <v>8</v>
      </c>
      <c r="M99" s="354"/>
      <c r="N99" s="372"/>
      <c r="O99" s="372"/>
      <c r="P99" s="366">
        <v>2014</v>
      </c>
      <c r="Q99" s="367">
        <f>LARGE($CB$2:$CB$151,98)</f>
        <v>24.6</v>
      </c>
      <c r="R99" s="357">
        <f t="shared" si="67"/>
        <v>-140</v>
      </c>
      <c r="S99" s="356">
        <f t="shared" si="47"/>
        <v>19600</v>
      </c>
      <c r="T99" s="238"/>
      <c r="U99" s="356">
        <f t="shared" si="54"/>
        <v>-8.75</v>
      </c>
      <c r="V99" s="238">
        <f t="shared" si="55"/>
        <v>8</v>
      </c>
      <c r="W99" s="354"/>
      <c r="X99" s="371"/>
      <c r="Y99" s="371"/>
      <c r="Z99" s="321">
        <v>2014</v>
      </c>
      <c r="AA99" s="367">
        <f>LARGE($CU$2:$CU$151,98)</f>
        <v>78.099999999999994</v>
      </c>
      <c r="AB99" s="357">
        <f t="shared" si="56"/>
        <v>-139.63333333333335</v>
      </c>
      <c r="AC99" s="356">
        <f t="shared" si="53"/>
        <v>19497.467777777783</v>
      </c>
      <c r="AD99" s="356"/>
      <c r="AE99" s="356">
        <f t="shared" si="57"/>
        <v>-8.7270833333333346</v>
      </c>
      <c r="AF99" s="238">
        <f t="shared" si="58"/>
        <v>8</v>
      </c>
      <c r="AG99" s="354"/>
      <c r="AJ99" s="238">
        <v>2016</v>
      </c>
      <c r="AK99" s="367">
        <f>LARGE($DN$68:$DN$99,32)</f>
        <v>75.599999999999994</v>
      </c>
      <c r="AL99" s="373">
        <f t="shared" si="64"/>
        <v>-74.200000000000017</v>
      </c>
      <c r="AM99" s="374">
        <f t="shared" si="60"/>
        <v>5505.6400000000021</v>
      </c>
      <c r="AN99" s="374"/>
      <c r="AO99" s="374">
        <f t="shared" si="65"/>
        <v>-4.6375000000000011</v>
      </c>
      <c r="AP99" s="238">
        <f t="shared" si="66"/>
        <v>8</v>
      </c>
      <c r="AQ99" s="354"/>
      <c r="AR99" s="238">
        <v>2016</v>
      </c>
      <c r="AS99" s="365" t="s">
        <v>175</v>
      </c>
      <c r="AT99" s="366" t="s">
        <v>141</v>
      </c>
      <c r="AU99" s="366" t="s">
        <v>1</v>
      </c>
      <c r="AV99" s="366">
        <v>1445</v>
      </c>
      <c r="AW99" s="366">
        <v>6</v>
      </c>
      <c r="AX99" s="366">
        <v>0</v>
      </c>
      <c r="AY99" s="366">
        <v>-2</v>
      </c>
      <c r="AZ99" s="366">
        <v>0</v>
      </c>
      <c r="BA99" s="366">
        <v>0</v>
      </c>
      <c r="BB99" s="366">
        <v>0</v>
      </c>
      <c r="BC99" s="366">
        <v>0</v>
      </c>
      <c r="BD99" s="366">
        <v>0</v>
      </c>
      <c r="BE99" s="366">
        <v>0</v>
      </c>
      <c r="BF99" s="366">
        <v>0</v>
      </c>
      <c r="BG99" s="366">
        <v>0</v>
      </c>
      <c r="BH99" s="366">
        <v>1</v>
      </c>
      <c r="BI99" s="367">
        <f>IFERROR(AV99/Instructions!$J$25,0)+AW99*Instructions!$J$27+AX99*Instructions!$J$29+IFERROR(AY99/Instructions!$E$34,0)+AZ99*Instructions!$E$36+Tier!BA99*Instructions!$E$25+IFERROR(BB99/Instructions!$E$27,0)+BC99*Instructions!$E$29+IFERROR((BD99+BF99)/Instructions!$J$32,0)+(BE99+BG99)*Instructions!$J$34+BH99*-2</f>
        <v>79.599999999999994</v>
      </c>
      <c r="BJ99" s="354"/>
      <c r="BK99" s="366">
        <v>2014</v>
      </c>
      <c r="BL99" s="370" t="s">
        <v>1699</v>
      </c>
      <c r="BM99" s="372" t="s">
        <v>154</v>
      </c>
      <c r="BN99" s="372" t="s">
        <v>3</v>
      </c>
      <c r="BO99" s="372">
        <v>0</v>
      </c>
      <c r="BP99" s="372">
        <v>0</v>
      </c>
      <c r="BQ99" s="372">
        <v>0</v>
      </c>
      <c r="BR99" s="372">
        <v>115</v>
      </c>
      <c r="BS99" s="372">
        <v>0</v>
      </c>
      <c r="BT99" s="372">
        <v>10</v>
      </c>
      <c r="BU99" s="372">
        <v>87</v>
      </c>
      <c r="BV99" s="372">
        <v>0</v>
      </c>
      <c r="BW99" s="372">
        <v>0</v>
      </c>
      <c r="BX99" s="372">
        <v>0</v>
      </c>
      <c r="BY99" s="372">
        <v>0</v>
      </c>
      <c r="BZ99" s="372">
        <v>0</v>
      </c>
      <c r="CA99" s="372">
        <v>0</v>
      </c>
      <c r="CB99" s="367">
        <f>IFERROR(BO99/Instructions!$J$25,0)+BP99*Instructions!$J$27+BQ99*Instructions!$J$29+IFERROR(BR99/Instructions!$E$34,0)+BS99*Instructions!$E$36+Tier!BT100*Instructions!$E$25+IFERROR(BU99/Instructions!$E$27,0)+BV99*Instructions!$E$29+IFERROR((BW99+BY99)/Instructions!$J$32,0)+(BX99+BZ99)*Instructions!$J$34+Tier!CA99*-2</f>
        <v>21.2</v>
      </c>
      <c r="CC99" s="354"/>
      <c r="CD99" s="321">
        <v>2014</v>
      </c>
      <c r="CE99" s="370" t="s">
        <v>1220</v>
      </c>
      <c r="CF99" s="371" t="s">
        <v>152</v>
      </c>
      <c r="CG99" s="371" t="s">
        <v>6</v>
      </c>
      <c r="CH99" s="371">
        <v>0</v>
      </c>
      <c r="CI99" s="371">
        <v>0</v>
      </c>
      <c r="CJ99" s="371">
        <v>0</v>
      </c>
      <c r="CK99" s="371">
        <v>0</v>
      </c>
      <c r="CL99" s="371">
        <v>0</v>
      </c>
      <c r="CM99" s="371">
        <v>39</v>
      </c>
      <c r="CN99" s="371">
        <v>507</v>
      </c>
      <c r="CO99" s="371">
        <v>1</v>
      </c>
      <c r="CP99" s="371">
        <v>0</v>
      </c>
      <c r="CQ99" s="371">
        <v>0</v>
      </c>
      <c r="CR99" s="371">
        <v>36</v>
      </c>
      <c r="CS99" s="371">
        <v>0</v>
      </c>
      <c r="CT99" s="371">
        <v>1</v>
      </c>
      <c r="CU99" s="367">
        <f>IFERROR(CH99/Instructions!$J$25,0)+CI99*Instructions!$J$27+CJ99*Instructions!$J$29+IFERROR(CK99/Instructions!$E$34,0)+CL99*Instructions!$E$36+Tier!CM99*Instructions!$E$25+IFERROR(CN99/Instructions!$E$27,0)+CO99*Instructions!$E$29+IFERROR((CP99+CR99)/Instructions!$J$32,0)+(CQ99+CS99)*Instructions!$J$34+Tier!CT99*-2</f>
        <v>93.7</v>
      </c>
      <c r="CV99" s="354"/>
      <c r="CW99" s="238">
        <v>2016</v>
      </c>
      <c r="CX99" s="365" t="s">
        <v>239</v>
      </c>
      <c r="CY99" s="366" t="s">
        <v>166</v>
      </c>
      <c r="CZ99" s="366" t="s">
        <v>7</v>
      </c>
      <c r="DA99" s="366">
        <v>0</v>
      </c>
      <c r="DB99" s="366">
        <v>0</v>
      </c>
      <c r="DC99" s="366">
        <v>0</v>
      </c>
      <c r="DD99" s="366">
        <v>0</v>
      </c>
      <c r="DE99" s="366">
        <v>0</v>
      </c>
      <c r="DF99" s="366">
        <v>26</v>
      </c>
      <c r="DG99" s="366">
        <v>256</v>
      </c>
      <c r="DH99" s="366">
        <v>4</v>
      </c>
      <c r="DI99" s="366">
        <v>0</v>
      </c>
      <c r="DJ99" s="366">
        <v>0</v>
      </c>
      <c r="DK99" s="366">
        <v>0</v>
      </c>
      <c r="DL99" s="366">
        <v>0</v>
      </c>
      <c r="DM99" s="366">
        <v>0</v>
      </c>
      <c r="DN99" s="367">
        <f>IFERROR(DA99/Instructions!$J$25,0)+DB99*Instructions!$J$27+DC99*Instructions!$J$29+IFERROR(DD99/Instructions!$E$34,0)+DE99*Instructions!$E$36+Tier!DF99*Instructions!$E$25+IFERROR(DG99/Instructions!$E$27,0)+DH99*Instructions!$E$29+IFERROR((DI99+DK99)/Instructions!$J$32,0)+(DJ99+DL99)*Instructions!$J$34+Tier!DM99*-2</f>
        <v>75.599999999999994</v>
      </c>
    </row>
    <row r="100" spans="1:118" s="366" customFormat="1" ht="15.75" customHeight="1" x14ac:dyDescent="0.25">
      <c r="A100" s="238"/>
      <c r="B100" s="238"/>
      <c r="C100" s="354"/>
      <c r="D100" s="375"/>
      <c r="E100" s="354"/>
      <c r="F100" s="354"/>
      <c r="G100" s="376"/>
      <c r="H100" s="376"/>
      <c r="I100" s="376"/>
      <c r="J100" s="376"/>
      <c r="K100" s="376"/>
      <c r="L100" s="376"/>
      <c r="M100" s="376"/>
      <c r="N100" s="372"/>
      <c r="O100" s="372"/>
      <c r="P100" s="366">
        <v>2014</v>
      </c>
      <c r="Q100" s="367">
        <f>LARGE($CB$2:$CB$151,99)</f>
        <v>23</v>
      </c>
      <c r="R100" s="357">
        <f t="shared" si="67"/>
        <v>-141.6</v>
      </c>
      <c r="S100" s="356">
        <f t="shared" si="47"/>
        <v>20050.559999999998</v>
      </c>
      <c r="T100" s="238"/>
      <c r="U100" s="356">
        <f t="shared" si="54"/>
        <v>-8.85</v>
      </c>
      <c r="V100" s="238">
        <f t="shared" si="55"/>
        <v>8</v>
      </c>
      <c r="W100" s="354"/>
      <c r="X100" s="371"/>
      <c r="Y100" s="371"/>
      <c r="Z100" s="321">
        <v>2014</v>
      </c>
      <c r="AA100" s="367">
        <f>LARGE($CU$2:$CU$151,99)</f>
        <v>75.400000000000006</v>
      </c>
      <c r="AB100" s="357">
        <f t="shared" si="56"/>
        <v>-142.33333333333334</v>
      </c>
      <c r="AC100" s="356">
        <f t="shared" si="53"/>
        <v>20258.777777777781</v>
      </c>
      <c r="AD100" s="356"/>
      <c r="AE100" s="356">
        <f t="shared" si="57"/>
        <v>-8.8958333333333339</v>
      </c>
      <c r="AF100" s="238">
        <f t="shared" si="58"/>
        <v>8</v>
      </c>
      <c r="AG100" s="354"/>
      <c r="AH100" s="380"/>
      <c r="AI100" s="380"/>
      <c r="AJ100" s="354"/>
      <c r="AK100" s="376"/>
      <c r="AL100" s="376"/>
      <c r="AM100" s="376"/>
      <c r="AN100" s="376"/>
      <c r="AO100" s="376"/>
      <c r="AP100" s="376"/>
      <c r="AQ100" s="354"/>
      <c r="AR100" s="379"/>
      <c r="AS100" s="354"/>
      <c r="AT100" s="354"/>
      <c r="AU100" s="354"/>
      <c r="AV100" s="354"/>
      <c r="AW100" s="354"/>
      <c r="AX100" s="354"/>
      <c r="AY100" s="354"/>
      <c r="AZ100" s="354"/>
      <c r="BA100" s="354"/>
      <c r="BB100" s="354"/>
      <c r="BC100" s="354"/>
      <c r="BD100" s="354"/>
      <c r="BE100" s="354"/>
      <c r="BF100" s="354"/>
      <c r="BG100" s="354"/>
      <c r="BH100" s="354"/>
      <c r="BI100" s="376"/>
      <c r="BJ100" s="354"/>
      <c r="BK100" s="366">
        <v>2014</v>
      </c>
      <c r="BL100" s="370" t="s">
        <v>115</v>
      </c>
      <c r="BM100" s="372" t="s">
        <v>140</v>
      </c>
      <c r="BN100" s="372" t="s">
        <v>3</v>
      </c>
      <c r="BO100" s="372">
        <v>0</v>
      </c>
      <c r="BP100" s="372">
        <v>0</v>
      </c>
      <c r="BQ100" s="372">
        <v>0</v>
      </c>
      <c r="BR100" s="372">
        <v>175</v>
      </c>
      <c r="BS100" s="372">
        <v>0</v>
      </c>
      <c r="BT100" s="372">
        <v>1</v>
      </c>
      <c r="BU100" s="372">
        <v>12</v>
      </c>
      <c r="BV100" s="372">
        <v>0</v>
      </c>
      <c r="BW100" s="372">
        <v>0</v>
      </c>
      <c r="BX100" s="372">
        <v>0</v>
      </c>
      <c r="BY100" s="372">
        <v>0</v>
      </c>
      <c r="BZ100" s="372">
        <v>0</v>
      </c>
      <c r="CA100" s="372">
        <v>0</v>
      </c>
      <c r="CB100" s="367">
        <f>IFERROR(BO100/Instructions!$J$25,0)+BP100*Instructions!$J$27+BQ100*Instructions!$J$29+IFERROR(BR100/Instructions!$E$34,0)+BS100*Instructions!$E$36+Tier!BT101*Instructions!$E$25+IFERROR(BU100/Instructions!$E$27,0)+BV100*Instructions!$E$29+IFERROR((BW100+BY100)/Instructions!$J$32,0)+(BX100+BZ100)*Instructions!$J$34+Tier!CA100*-2</f>
        <v>30.7</v>
      </c>
      <c r="CC100" s="354"/>
      <c r="CD100" s="321">
        <v>2014</v>
      </c>
      <c r="CE100" s="370" t="s">
        <v>234</v>
      </c>
      <c r="CF100" s="371" t="s">
        <v>150</v>
      </c>
      <c r="CG100" s="371" t="s">
        <v>6</v>
      </c>
      <c r="CH100" s="371">
        <v>0</v>
      </c>
      <c r="CI100" s="371">
        <v>0</v>
      </c>
      <c r="CJ100" s="371">
        <v>0</v>
      </c>
      <c r="CK100" s="371">
        <v>0</v>
      </c>
      <c r="CL100" s="371">
        <v>0</v>
      </c>
      <c r="CM100" s="371">
        <v>27</v>
      </c>
      <c r="CN100" s="371">
        <v>259</v>
      </c>
      <c r="CO100" s="371">
        <v>5</v>
      </c>
      <c r="CP100" s="371">
        <v>0</v>
      </c>
      <c r="CQ100" s="371">
        <v>0</v>
      </c>
      <c r="CR100" s="371">
        <v>0</v>
      </c>
      <c r="CS100" s="371">
        <v>0</v>
      </c>
      <c r="CT100" s="371">
        <v>0</v>
      </c>
      <c r="CU100" s="367">
        <f>IFERROR(CH100/Instructions!$J$25,0)+CI100*Instructions!$J$27+CJ100*Instructions!$J$29+IFERROR(CK100/Instructions!$E$34,0)+CL100*Instructions!$E$36+Tier!CM100*Instructions!$E$25+IFERROR(CN100/Instructions!$E$27,0)+CO100*Instructions!$E$29+IFERROR((CP100+CR100)/Instructions!$J$32,0)+(CQ100+CS100)*Instructions!$J$34+Tier!CT100*-2</f>
        <v>82.9</v>
      </c>
      <c r="CV100" s="354"/>
      <c r="CW100" s="354"/>
      <c r="CX100" s="420"/>
      <c r="CY100" s="380"/>
      <c r="CZ100" s="380"/>
      <c r="DA100" s="380"/>
      <c r="DB100" s="380"/>
      <c r="DC100" s="380"/>
      <c r="DD100" s="380"/>
      <c r="DE100" s="380"/>
      <c r="DF100" s="380"/>
      <c r="DG100" s="380"/>
      <c r="DH100" s="380"/>
      <c r="DI100" s="380"/>
      <c r="DJ100" s="380"/>
      <c r="DK100" s="380"/>
      <c r="DL100" s="380"/>
      <c r="DM100" s="380"/>
      <c r="DN100" s="382"/>
    </row>
    <row r="101" spans="1:118" s="366" customFormat="1" ht="15.75" customHeight="1" x14ac:dyDescent="0.25">
      <c r="A101" s="238"/>
      <c r="B101" s="238"/>
      <c r="C101" s="354"/>
      <c r="D101" s="365"/>
      <c r="F101" s="238">
        <v>2017</v>
      </c>
      <c r="G101" s="367">
        <f>LARGE($BI$101:$BI$132,1)</f>
        <v>345.92</v>
      </c>
      <c r="H101" s="355">
        <f>G101-$J$111</f>
        <v>91.180000000000064</v>
      </c>
      <c r="I101" s="356">
        <f t="shared" ref="I101:I132" si="68">H101^2</f>
        <v>8313.7924000000112</v>
      </c>
      <c r="J101" s="356">
        <v>16</v>
      </c>
      <c r="K101" s="356">
        <f>H101/$J$101</f>
        <v>5.698750000000004</v>
      </c>
      <c r="L101" s="238">
        <f>IF(K101&gt;6,0,
IF(AND(K101&lt;=6,K101&gt;5),1,
IF(AND(K101&lt;=5,K101&gt;4),2,
IF(AND(K101&lt;=4,K101&gt;3),3,
IF(AND(K101&lt;=3,K101&gt;2),4,
IF(AND(K101&lt;=2,K101&gt;1),5,
IF(AND(K101&lt;=1,K101&gt;0),6,
IF(AND(K101&lt;=0,K101&gt;-1),7,
8))))))))</f>
        <v>1</v>
      </c>
      <c r="M101" s="354"/>
      <c r="N101" s="372"/>
      <c r="O101" s="372"/>
      <c r="P101" s="366">
        <v>2014</v>
      </c>
      <c r="Q101" s="367">
        <f>LARGE($CB$2:$CB$151,100)</f>
        <v>22</v>
      </c>
      <c r="R101" s="357">
        <f t="shared" si="67"/>
        <v>-142.6</v>
      </c>
      <c r="S101" s="356">
        <f t="shared" si="47"/>
        <v>20334.759999999998</v>
      </c>
      <c r="T101" s="238"/>
      <c r="U101" s="356">
        <f t="shared" si="54"/>
        <v>-8.9124999999999996</v>
      </c>
      <c r="V101" s="238">
        <f t="shared" si="55"/>
        <v>8</v>
      </c>
      <c r="W101" s="354"/>
      <c r="X101" s="371"/>
      <c r="Y101" s="371"/>
      <c r="Z101" s="321">
        <v>2014</v>
      </c>
      <c r="AA101" s="367">
        <f>LARGE($CU$2:$CU$151,100)</f>
        <v>72</v>
      </c>
      <c r="AB101" s="357">
        <f t="shared" si="56"/>
        <v>-145.73333333333335</v>
      </c>
      <c r="AC101" s="356">
        <f t="shared" si="53"/>
        <v>21238.204444444447</v>
      </c>
      <c r="AD101" s="356"/>
      <c r="AE101" s="356">
        <f t="shared" si="57"/>
        <v>-9.1083333333333343</v>
      </c>
      <c r="AF101" s="238">
        <f t="shared" si="58"/>
        <v>8</v>
      </c>
      <c r="AG101" s="354"/>
      <c r="AJ101" s="238">
        <v>2017</v>
      </c>
      <c r="AK101" s="367">
        <f>LARGE($DN$101:$DN$132,1)</f>
        <v>234.8</v>
      </c>
      <c r="AL101" s="373">
        <f>AK101-$AN$111</f>
        <v>102.10000000000002</v>
      </c>
      <c r="AM101" s="374">
        <f t="shared" ref="AM101:AM132" si="69">AL101^2</f>
        <v>10424.410000000005</v>
      </c>
      <c r="AN101" s="374">
        <v>16</v>
      </c>
      <c r="AO101" s="374">
        <f>AL101/$AN$101</f>
        <v>6.3812500000000014</v>
      </c>
      <c r="AP101" s="238">
        <f t="shared" ref="AP101:AP164" si="70">IF(AO101&gt;6,0,
IF(AND(AO101&lt;=6,AO101&gt;5),1,
IF(AND(AO101&lt;=5,AO101&gt;4),2,
IF(AND(AO101&lt;=4,AO101&gt;3),3,
IF(AND(AO101&lt;=3,AO101&gt;2),4,
IF(AND(AO101&lt;=2,AO101&gt;1),5,
IF(AND(AO101&lt;=1,AO101&gt;0),6,
IF(AND(AO101&lt;=0,AO101&gt;-1),7,
8))))))))</f>
        <v>0</v>
      </c>
      <c r="AQ101" s="354"/>
      <c r="AR101" s="238">
        <v>2017</v>
      </c>
      <c r="AS101" t="s">
        <v>45</v>
      </c>
      <c r="AT101" t="s">
        <v>140</v>
      </c>
      <c r="AU101" s="366" t="s">
        <v>1</v>
      </c>
      <c r="AV101" s="418">
        <v>3983</v>
      </c>
      <c r="AW101" s="440">
        <v>34</v>
      </c>
      <c r="AX101" s="440">
        <v>11</v>
      </c>
      <c r="AY101" s="440">
        <v>586</v>
      </c>
      <c r="AZ101" s="440">
        <v>3</v>
      </c>
      <c r="BA101" s="238">
        <v>0</v>
      </c>
      <c r="BB101" s="238">
        <v>0</v>
      </c>
      <c r="BC101" s="238">
        <v>0</v>
      </c>
      <c r="BD101" s="238">
        <v>0</v>
      </c>
      <c r="BE101" s="238">
        <v>0</v>
      </c>
      <c r="BF101" s="238">
        <v>0</v>
      </c>
      <c r="BG101" s="238">
        <v>0</v>
      </c>
      <c r="BH101" s="238">
        <v>2</v>
      </c>
      <c r="BI101" s="367">
        <f>IFERROR(AV101/Instructions!$J$25,0)+AW101*Instructions!$J$27+AX101*Instructions!$J$29+IFERROR(AY101/Instructions!$E$34,0)+AZ101*Instructions!$E$36+Tier!BA101*Instructions!$E$25+IFERROR(BB101/Instructions!$E$27,0)+BC101*Instructions!$E$29+IFERROR((BD101+BF101)/Instructions!$J$32,0)+(BE101+BG101)*Instructions!$J$34+BH101*-2</f>
        <v>345.92</v>
      </c>
      <c r="BJ101" s="354"/>
      <c r="BK101" s="366">
        <v>2014</v>
      </c>
      <c r="BL101" s="370" t="s">
        <v>973</v>
      </c>
      <c r="BM101" s="372" t="s">
        <v>159</v>
      </c>
      <c r="BN101" s="372" t="s">
        <v>3</v>
      </c>
      <c r="BO101" s="372">
        <v>0</v>
      </c>
      <c r="BP101" s="372">
        <v>0</v>
      </c>
      <c r="BQ101" s="372">
        <v>0</v>
      </c>
      <c r="BR101" s="372">
        <v>78</v>
      </c>
      <c r="BS101" s="372">
        <v>0</v>
      </c>
      <c r="BT101" s="372">
        <v>12</v>
      </c>
      <c r="BU101" s="372">
        <v>93</v>
      </c>
      <c r="BV101" s="372">
        <v>0</v>
      </c>
      <c r="BW101" s="372">
        <v>0</v>
      </c>
      <c r="BX101" s="372">
        <v>0</v>
      </c>
      <c r="BY101" s="372">
        <v>2</v>
      </c>
      <c r="BZ101" s="372">
        <v>0</v>
      </c>
      <c r="CA101" s="372">
        <v>0</v>
      </c>
      <c r="CB101" s="367">
        <f>IFERROR(BO101/Instructions!$J$25,0)+BP101*Instructions!$J$27+BQ101*Instructions!$J$29+IFERROR(BR101/Instructions!$E$34,0)+BS101*Instructions!$E$36+Tier!BT102*Instructions!$E$25+IFERROR(BU101/Instructions!$E$27,0)+BV101*Instructions!$E$29+IFERROR((BW101+BY101)/Instructions!$J$32,0)+(BX101+BZ101)*Instructions!$J$34+Tier!CA101*-2</f>
        <v>21.1</v>
      </c>
      <c r="CC101" s="354"/>
      <c r="CD101" s="321">
        <v>2014</v>
      </c>
      <c r="CE101" s="370" t="s">
        <v>195</v>
      </c>
      <c r="CF101" s="371" t="s">
        <v>150</v>
      </c>
      <c r="CG101" s="371" t="s">
        <v>6</v>
      </c>
      <c r="CH101" s="371">
        <v>0</v>
      </c>
      <c r="CI101" s="371">
        <v>0</v>
      </c>
      <c r="CJ101" s="371">
        <v>0</v>
      </c>
      <c r="CK101" s="371">
        <v>0</v>
      </c>
      <c r="CL101" s="371">
        <v>0</v>
      </c>
      <c r="CM101" s="371">
        <v>25</v>
      </c>
      <c r="CN101" s="371">
        <v>375</v>
      </c>
      <c r="CO101" s="371">
        <v>3</v>
      </c>
      <c r="CP101" s="371">
        <v>0</v>
      </c>
      <c r="CQ101" s="371">
        <v>0</v>
      </c>
      <c r="CR101" s="371">
        <v>0</v>
      </c>
      <c r="CS101" s="371">
        <v>0</v>
      </c>
      <c r="CT101" s="371">
        <v>0</v>
      </c>
      <c r="CU101" s="367">
        <f>IFERROR(CH101/Instructions!$J$25,0)+CI101*Instructions!$J$27+CJ101*Instructions!$J$29+IFERROR(CK101/Instructions!$E$34,0)+CL101*Instructions!$E$36+Tier!CM101*Instructions!$E$25+IFERROR(CN101/Instructions!$E$27,0)+CO101*Instructions!$E$29+IFERROR((CP101+CR101)/Instructions!$J$32,0)+(CQ101+CS101)*Instructions!$J$34+Tier!CT101*-2</f>
        <v>80.5</v>
      </c>
      <c r="CV101" s="354"/>
      <c r="CW101" s="238">
        <v>2017</v>
      </c>
      <c r="CX101" s="365" t="s">
        <v>18</v>
      </c>
      <c r="CY101" s="366" t="s">
        <v>157</v>
      </c>
      <c r="CZ101" s="366" t="s">
        <v>7</v>
      </c>
      <c r="DA101" s="366">
        <v>0</v>
      </c>
      <c r="DB101" s="366">
        <v>0</v>
      </c>
      <c r="DC101" s="366">
        <v>0</v>
      </c>
      <c r="DD101" s="366">
        <v>0</v>
      </c>
      <c r="DE101" s="366">
        <v>0</v>
      </c>
      <c r="DF101" s="366">
        <v>69</v>
      </c>
      <c r="DG101" s="366">
        <v>1083</v>
      </c>
      <c r="DH101" s="366">
        <v>8</v>
      </c>
      <c r="DI101" s="366">
        <v>0</v>
      </c>
      <c r="DJ101" s="366">
        <v>0</v>
      </c>
      <c r="DK101" s="366">
        <v>0</v>
      </c>
      <c r="DL101" s="366">
        <v>0</v>
      </c>
      <c r="DM101" s="366">
        <v>0</v>
      </c>
      <c r="DN101" s="367">
        <f>IFERROR(DA101/Instructions!$J$25,0)+DB101*Instructions!$J$27+DC101*Instructions!$J$29+IFERROR(DD101/Instructions!$E$34,0)+DE101*Instructions!$E$36+Tier!DF101*Instructions!$E$25+IFERROR(DG101/Instructions!$E$27,0)+DH101*Instructions!$E$29+IFERROR((DI101+DK101)/Instructions!$J$32,0)+(DJ101+DL101)*Instructions!$J$34+Tier!DM101*-2</f>
        <v>225.3</v>
      </c>
    </row>
    <row r="102" spans="1:118" s="366" customFormat="1" ht="15.75" customHeight="1" x14ac:dyDescent="0.25">
      <c r="A102" s="238"/>
      <c r="B102" s="238"/>
      <c r="C102" s="354"/>
      <c r="D102" s="365"/>
      <c r="F102" s="238">
        <v>2017</v>
      </c>
      <c r="G102" s="367">
        <f>LARGE($BI$101:$BI$132,2)</f>
        <v>297.48</v>
      </c>
      <c r="H102" s="355">
        <f t="shared" ref="H102:H132" si="71">G102-$J$111</f>
        <v>42.740000000000066</v>
      </c>
      <c r="I102" s="356">
        <f t="shared" si="68"/>
        <v>1826.7076000000056</v>
      </c>
      <c r="J102" s="356">
        <f>AVERAGE(I101:INDEX(I101:I132,Instructions!$E$11*Instructions!$E$15,1))</f>
        <v>1335.3603333333365</v>
      </c>
      <c r="K102" s="356">
        <f t="shared" ref="K102:K132" si="72">H102/$J$101</f>
        <v>2.6712500000000041</v>
      </c>
      <c r="L102" s="238">
        <f t="shared" ref="L102:L132" si="73">IF(K102&gt;6,0,
IF(AND(K102&lt;=6,K102&gt;5),1,
IF(AND(K102&lt;=5,K102&gt;4),2,
IF(AND(K102&lt;=4,K102&gt;3),3,
IF(AND(K102&lt;=3,K102&gt;2),4,
IF(AND(K102&lt;=2,K102&gt;1),5,
IF(AND(K102&lt;=1,K102&gt;0),6,
IF(AND(K102&lt;=0,K102&gt;-1),7,
8))))))))</f>
        <v>4</v>
      </c>
      <c r="M102" s="354"/>
      <c r="N102" s="372"/>
      <c r="O102" s="372"/>
      <c r="P102" s="366">
        <v>2014</v>
      </c>
      <c r="Q102" s="367">
        <f>LARGE($CB$2:$CB$151,101)</f>
        <v>21.2</v>
      </c>
      <c r="R102" s="357">
        <f t="shared" si="67"/>
        <v>-143.4</v>
      </c>
      <c r="S102" s="356">
        <f t="shared" si="47"/>
        <v>20563.560000000001</v>
      </c>
      <c r="T102" s="356"/>
      <c r="U102" s="356">
        <f t="shared" si="54"/>
        <v>-8.9625000000000004</v>
      </c>
      <c r="V102" s="238">
        <f t="shared" si="55"/>
        <v>8</v>
      </c>
      <c r="W102" s="354"/>
      <c r="X102" s="371"/>
      <c r="Y102" s="371"/>
      <c r="Z102" s="321">
        <v>2014</v>
      </c>
      <c r="AA102" s="367">
        <f>LARGE($CU$2:$CU$151,101)</f>
        <v>68.7</v>
      </c>
      <c r="AB102" s="357">
        <f t="shared" si="56"/>
        <v>-149.03333333333336</v>
      </c>
      <c r="AC102" s="356">
        <f t="shared" si="53"/>
        <v>22210.934444444454</v>
      </c>
      <c r="AD102" s="356"/>
      <c r="AE102" s="356">
        <f t="shared" si="57"/>
        <v>-9.314583333333335</v>
      </c>
      <c r="AF102" s="238">
        <f t="shared" si="58"/>
        <v>8</v>
      </c>
      <c r="AG102" s="354"/>
      <c r="AJ102" s="238">
        <v>2017</v>
      </c>
      <c r="AK102" s="367">
        <f>LARGE($DN$101:$DN$132,2)</f>
        <v>225.3</v>
      </c>
      <c r="AL102" s="373">
        <f t="shared" ref="AL102:AL132" si="74">AK102-$AN$111</f>
        <v>92.600000000000023</v>
      </c>
      <c r="AM102" s="374">
        <f t="shared" si="69"/>
        <v>8574.7600000000039</v>
      </c>
      <c r="AN102" s="374">
        <f>AVERAGE(AM101:INDEX(Tier!M101:M132,Instructions!$E$11,1))</f>
        <v>3340.0806640624992</v>
      </c>
      <c r="AO102" s="374">
        <f t="shared" ref="AO102:AO132" si="75">AL102/$AN$101</f>
        <v>5.7875000000000014</v>
      </c>
      <c r="AP102" s="238">
        <f t="shared" si="70"/>
        <v>1</v>
      </c>
      <c r="AQ102" s="354"/>
      <c r="AR102" s="238">
        <v>2017</v>
      </c>
      <c r="AS102" t="s">
        <v>26</v>
      </c>
      <c r="AT102" t="s">
        <v>159</v>
      </c>
      <c r="AU102" s="366" t="s">
        <v>1</v>
      </c>
      <c r="AV102" s="418">
        <v>3302</v>
      </c>
      <c r="AW102" s="440">
        <v>22</v>
      </c>
      <c r="AX102" s="440">
        <v>16</v>
      </c>
      <c r="AY102" s="440">
        <v>754</v>
      </c>
      <c r="AZ102" s="440">
        <v>6</v>
      </c>
      <c r="BA102" s="238">
        <v>0</v>
      </c>
      <c r="BB102" s="238">
        <v>0</v>
      </c>
      <c r="BC102" s="238">
        <v>0</v>
      </c>
      <c r="BD102" s="238">
        <v>0</v>
      </c>
      <c r="BE102" s="238">
        <v>0</v>
      </c>
      <c r="BF102" s="238">
        <v>0</v>
      </c>
      <c r="BG102" s="238">
        <v>0</v>
      </c>
      <c r="BH102" s="238">
        <v>1</v>
      </c>
      <c r="BI102" s="367">
        <f>IFERROR(AV102/Instructions!$J$25,0)+AW102*Instructions!$J$27+AX102*Instructions!$J$29+IFERROR(AY102/Instructions!$E$34,0)+AZ102*Instructions!$E$36+Tier!BA102*Instructions!$E$25+IFERROR(BB102/Instructions!$E$27,0)+BC102*Instructions!$E$29+IFERROR((BD102+BF102)/Instructions!$J$32,0)+(BE102+BG102)*Instructions!$J$34+BH102*-2</f>
        <v>297.48</v>
      </c>
      <c r="BJ102" s="354"/>
      <c r="BK102" s="366">
        <v>2014</v>
      </c>
      <c r="BL102" s="370" t="s">
        <v>1304</v>
      </c>
      <c r="BM102" s="372" t="s">
        <v>1624</v>
      </c>
      <c r="BN102" s="372" t="s">
        <v>3</v>
      </c>
      <c r="BO102" s="372">
        <v>0</v>
      </c>
      <c r="BP102" s="372">
        <v>0</v>
      </c>
      <c r="BQ102" s="372">
        <v>0</v>
      </c>
      <c r="BR102" s="372">
        <v>85</v>
      </c>
      <c r="BS102" s="372">
        <v>1</v>
      </c>
      <c r="BT102" s="372">
        <v>4</v>
      </c>
      <c r="BU102" s="372">
        <v>23</v>
      </c>
      <c r="BV102" s="372">
        <v>0</v>
      </c>
      <c r="BW102" s="372">
        <v>0</v>
      </c>
      <c r="BX102" s="372">
        <v>0</v>
      </c>
      <c r="BY102" s="372">
        <v>0</v>
      </c>
      <c r="BZ102" s="372">
        <v>0</v>
      </c>
      <c r="CA102" s="372">
        <v>0</v>
      </c>
      <c r="CB102" s="367">
        <f>IFERROR(BO102/Instructions!$J$25,0)+BP102*Instructions!$J$27+BQ102*Instructions!$J$29+IFERROR(BR102/Instructions!$E$34,0)+BS102*Instructions!$E$36+Tier!BT103*Instructions!$E$25+IFERROR(BU102/Instructions!$E$27,0)+BV102*Instructions!$E$29+IFERROR((BW102+BY102)/Instructions!$J$32,0)+(BX102+BZ102)*Instructions!$J$34+Tier!CA102*-2</f>
        <v>27.8</v>
      </c>
      <c r="CC102" s="354"/>
      <c r="CD102" s="321">
        <v>2014</v>
      </c>
      <c r="CE102" s="370" t="s">
        <v>1121</v>
      </c>
      <c r="CF102" s="371" t="s">
        <v>153</v>
      </c>
      <c r="CG102" s="371" t="s">
        <v>6</v>
      </c>
      <c r="CH102" s="371">
        <v>10</v>
      </c>
      <c r="CI102" s="371">
        <v>0</v>
      </c>
      <c r="CJ102" s="371">
        <v>0</v>
      </c>
      <c r="CK102" s="371">
        <v>6</v>
      </c>
      <c r="CL102" s="371">
        <v>0</v>
      </c>
      <c r="CM102" s="371">
        <v>14</v>
      </c>
      <c r="CN102" s="371">
        <v>190</v>
      </c>
      <c r="CO102" s="371">
        <v>0</v>
      </c>
      <c r="CP102" s="371">
        <v>277</v>
      </c>
      <c r="CQ102" s="371">
        <v>1</v>
      </c>
      <c r="CR102" s="371">
        <v>417</v>
      </c>
      <c r="CS102" s="371">
        <v>0</v>
      </c>
      <c r="CT102" s="371">
        <v>0</v>
      </c>
      <c r="CU102" s="367">
        <f>IFERROR(CH102/Instructions!$J$25,0)+CI102*Instructions!$J$27+CJ102*Instructions!$J$29+IFERROR(CK102/Instructions!$E$34,0)+CL102*Instructions!$E$36+Tier!CM102*Instructions!$E$25+IFERROR(CN102/Instructions!$E$27,0)+CO102*Instructions!$E$29+IFERROR((CP102+CR102)/Instructions!$J$32,0)+(CQ102+CS102)*Instructions!$J$34+Tier!CT102*-2</f>
        <v>40</v>
      </c>
      <c r="CV102" s="354"/>
      <c r="CW102" s="238">
        <v>2017</v>
      </c>
      <c r="CX102" s="365" t="s">
        <v>228</v>
      </c>
      <c r="CY102" s="366" t="s">
        <v>136</v>
      </c>
      <c r="CZ102" s="366" t="s">
        <v>7</v>
      </c>
      <c r="DA102" s="366">
        <v>0</v>
      </c>
      <c r="DB102" s="366">
        <v>0</v>
      </c>
      <c r="DC102" s="366">
        <v>0</v>
      </c>
      <c r="DD102" s="366">
        <v>0</v>
      </c>
      <c r="DE102" s="366">
        <v>0</v>
      </c>
      <c r="DF102" s="366">
        <v>83</v>
      </c>
      <c r="DG102" s="366">
        <v>1038</v>
      </c>
      <c r="DH102" s="366">
        <v>8</v>
      </c>
      <c r="DI102" s="366">
        <v>0</v>
      </c>
      <c r="DJ102" s="366">
        <v>0</v>
      </c>
      <c r="DK102" s="366">
        <v>0</v>
      </c>
      <c r="DL102" s="366">
        <v>0</v>
      </c>
      <c r="DM102" s="366">
        <v>0</v>
      </c>
      <c r="DN102" s="367">
        <f>IFERROR(DA102/Instructions!$J$25,0)+DB102*Instructions!$J$27+DC102*Instructions!$J$29+IFERROR(DD102/Instructions!$E$34,0)+DE102*Instructions!$E$36+Tier!DF102*Instructions!$E$25+IFERROR(DG102/Instructions!$E$27,0)+DH102*Instructions!$E$29+IFERROR((DI102+DK102)/Instructions!$J$32,0)+(DJ102+DL102)*Instructions!$J$34+Tier!DM102*-2</f>
        <v>234.8</v>
      </c>
    </row>
    <row r="103" spans="1:118" s="366" customFormat="1" ht="15.75" customHeight="1" x14ac:dyDescent="0.25">
      <c r="A103" s="238"/>
      <c r="B103" s="238"/>
      <c r="C103" s="354"/>
      <c r="D103" s="365"/>
      <c r="F103" s="238">
        <v>2017</v>
      </c>
      <c r="G103" s="367">
        <f>LARGE($BI$101:$BI$132,3)</f>
        <v>297.18</v>
      </c>
      <c r="H103" s="355">
        <f t="shared" si="71"/>
        <v>42.440000000000055</v>
      </c>
      <c r="I103" s="356">
        <f t="shared" si="68"/>
        <v>1801.1536000000046</v>
      </c>
      <c r="J103" s="356"/>
      <c r="K103" s="356">
        <f t="shared" si="72"/>
        <v>2.6525000000000034</v>
      </c>
      <c r="L103" s="238">
        <f t="shared" si="73"/>
        <v>4</v>
      </c>
      <c r="M103" s="354"/>
      <c r="N103" s="372"/>
      <c r="O103" s="372"/>
      <c r="P103" s="366">
        <v>2014</v>
      </c>
      <c r="Q103" s="367">
        <f>LARGE($CB$2:$CB$151,102)</f>
        <v>21.2</v>
      </c>
      <c r="R103" s="357">
        <f t="shared" si="67"/>
        <v>-143.4</v>
      </c>
      <c r="S103" s="356">
        <f t="shared" si="47"/>
        <v>20563.560000000001</v>
      </c>
      <c r="T103" s="356"/>
      <c r="U103" s="356">
        <f t="shared" si="54"/>
        <v>-8.9625000000000004</v>
      </c>
      <c r="V103" s="238">
        <f t="shared" si="55"/>
        <v>8</v>
      </c>
      <c r="W103" s="354"/>
      <c r="X103" s="371"/>
      <c r="Y103" s="371"/>
      <c r="Z103" s="321">
        <v>2014</v>
      </c>
      <c r="AA103" s="367">
        <f>LARGE($CU$2:$CU$151,102)</f>
        <v>68.5</v>
      </c>
      <c r="AB103" s="357">
        <f t="shared" si="56"/>
        <v>-149.23333333333335</v>
      </c>
      <c r="AC103" s="356">
        <f t="shared" si="53"/>
        <v>22270.587777777782</v>
      </c>
      <c r="AD103" s="356"/>
      <c r="AE103" s="356">
        <f t="shared" si="57"/>
        <v>-9.3270833333333343</v>
      </c>
      <c r="AF103" s="238">
        <f t="shared" si="58"/>
        <v>8</v>
      </c>
      <c r="AG103" s="354"/>
      <c r="AJ103" s="238">
        <v>2017</v>
      </c>
      <c r="AK103" s="367">
        <f>LARGE($DN$101:$DN$132,3)</f>
        <v>202.4</v>
      </c>
      <c r="AL103" s="373">
        <f t="shared" si="74"/>
        <v>69.700000000000017</v>
      </c>
      <c r="AM103" s="374">
        <f t="shared" si="69"/>
        <v>4858.090000000002</v>
      </c>
      <c r="AN103" s="374"/>
      <c r="AO103" s="374">
        <f t="shared" si="75"/>
        <v>4.3562500000000011</v>
      </c>
      <c r="AP103" s="238">
        <f t="shared" si="70"/>
        <v>2</v>
      </c>
      <c r="AQ103" s="354"/>
      <c r="AR103" s="238">
        <v>2017</v>
      </c>
      <c r="AS103" t="s">
        <v>35</v>
      </c>
      <c r="AT103" t="s">
        <v>157</v>
      </c>
      <c r="AU103" s="366" t="s">
        <v>1</v>
      </c>
      <c r="AV103" s="418">
        <v>4576</v>
      </c>
      <c r="AW103" s="440">
        <v>32</v>
      </c>
      <c r="AX103" s="440">
        <v>8</v>
      </c>
      <c r="AY103" s="440">
        <v>28</v>
      </c>
      <c r="AZ103" s="440">
        <v>0</v>
      </c>
      <c r="BA103" s="238">
        <v>0</v>
      </c>
      <c r="BB103" s="238">
        <v>0</v>
      </c>
      <c r="BC103" s="238">
        <v>0</v>
      </c>
      <c r="BD103" s="238">
        <v>0</v>
      </c>
      <c r="BE103" s="238">
        <v>0</v>
      </c>
      <c r="BF103" s="238">
        <v>0</v>
      </c>
      <c r="BG103" s="238">
        <v>0</v>
      </c>
      <c r="BH103" s="238">
        <v>2</v>
      </c>
      <c r="BI103" s="367">
        <f>IFERROR(AV103/Instructions!$J$25,0)+AW103*Instructions!$J$27+AX103*Instructions!$J$29+IFERROR(AY103/Instructions!$E$34,0)+AZ103*Instructions!$E$36+Tier!BA103*Instructions!$E$25+IFERROR(BB103/Instructions!$E$27,0)+BC103*Instructions!$E$29+IFERROR((BD103+BF103)/Instructions!$J$32,0)+(BE103+BG103)*Instructions!$J$34+BH103*-2</f>
        <v>293.83999999999997</v>
      </c>
      <c r="BJ103" s="354"/>
      <c r="BK103" s="366">
        <v>2014</v>
      </c>
      <c r="BL103" s="370" t="s">
        <v>1700</v>
      </c>
      <c r="BM103" s="372" t="s">
        <v>167</v>
      </c>
      <c r="BN103" s="372" t="s">
        <v>3</v>
      </c>
      <c r="BO103" s="372">
        <v>0</v>
      </c>
      <c r="BP103" s="372">
        <v>0</v>
      </c>
      <c r="BQ103" s="372">
        <v>0</v>
      </c>
      <c r="BR103" s="372">
        <v>96</v>
      </c>
      <c r="BS103" s="372">
        <v>0</v>
      </c>
      <c r="BT103" s="372">
        <v>11</v>
      </c>
      <c r="BU103" s="372">
        <v>71</v>
      </c>
      <c r="BV103" s="372">
        <v>0</v>
      </c>
      <c r="BW103" s="372">
        <v>0</v>
      </c>
      <c r="BX103" s="372">
        <v>0</v>
      </c>
      <c r="BY103" s="372">
        <v>0</v>
      </c>
      <c r="BZ103" s="372">
        <v>0</v>
      </c>
      <c r="CA103" s="372">
        <v>0</v>
      </c>
      <c r="CB103" s="367">
        <f>IFERROR(BO103/Instructions!$J$25,0)+BP103*Instructions!$J$27+BQ103*Instructions!$J$29+IFERROR(BR103/Instructions!$E$34,0)+BS103*Instructions!$E$36+Tier!BT104*Instructions!$E$25+IFERROR(BU103/Instructions!$E$27,0)+BV103*Instructions!$E$29+IFERROR((BW103+BY103)/Instructions!$J$32,0)+(BX103+BZ103)*Instructions!$J$34+Tier!CA103*-2</f>
        <v>18.7</v>
      </c>
      <c r="CC103" s="354"/>
      <c r="CD103" s="321">
        <v>2014</v>
      </c>
      <c r="CE103" s="370" t="s">
        <v>218</v>
      </c>
      <c r="CF103" s="371" t="s">
        <v>146</v>
      </c>
      <c r="CG103" s="371" t="s">
        <v>6</v>
      </c>
      <c r="CH103" s="371">
        <v>0</v>
      </c>
      <c r="CI103" s="371">
        <v>0</v>
      </c>
      <c r="CJ103" s="371">
        <v>0</v>
      </c>
      <c r="CK103" s="371">
        <v>7</v>
      </c>
      <c r="CL103" s="371">
        <v>0</v>
      </c>
      <c r="CM103" s="371">
        <v>7</v>
      </c>
      <c r="CN103" s="371">
        <v>116</v>
      </c>
      <c r="CO103" s="371">
        <v>0</v>
      </c>
      <c r="CP103" s="371">
        <v>275</v>
      </c>
      <c r="CQ103" s="371">
        <v>0</v>
      </c>
      <c r="CR103" s="371">
        <v>742</v>
      </c>
      <c r="CS103" s="371">
        <v>0</v>
      </c>
      <c r="CT103" s="371">
        <v>0</v>
      </c>
      <c r="CU103" s="367">
        <f>IFERROR(CH103/Instructions!$J$25,0)+CI103*Instructions!$J$27+CJ103*Instructions!$J$29+IFERROR(CK103/Instructions!$E$34,0)+CL103*Instructions!$E$36+Tier!CM103*Instructions!$E$25+IFERROR(CN103/Instructions!$E$27,0)+CO103*Instructions!$E$29+IFERROR((CP103+CR103)/Instructions!$J$32,0)+(CQ103+CS103)*Instructions!$J$34+Tier!CT103*-2</f>
        <v>19.3</v>
      </c>
      <c r="CV103" s="354"/>
      <c r="CW103" s="238">
        <v>2017</v>
      </c>
      <c r="CX103" s="365" t="s">
        <v>48</v>
      </c>
      <c r="CY103" s="366" t="s">
        <v>137</v>
      </c>
      <c r="CZ103" s="366" t="s">
        <v>7</v>
      </c>
      <c r="DA103" s="366">
        <v>0</v>
      </c>
      <c r="DB103" s="366">
        <v>0</v>
      </c>
      <c r="DC103" s="366">
        <v>0</v>
      </c>
      <c r="DD103" s="366">
        <v>0</v>
      </c>
      <c r="DE103" s="366">
        <v>0</v>
      </c>
      <c r="DF103" s="366">
        <v>74</v>
      </c>
      <c r="DG103" s="366">
        <v>824</v>
      </c>
      <c r="DH103" s="366">
        <v>8</v>
      </c>
      <c r="DI103" s="366">
        <v>0</v>
      </c>
      <c r="DJ103" s="366">
        <v>0</v>
      </c>
      <c r="DK103" s="366">
        <v>0</v>
      </c>
      <c r="DL103" s="366">
        <v>0</v>
      </c>
      <c r="DM103" s="366">
        <v>1</v>
      </c>
      <c r="DN103" s="367">
        <f>IFERROR(DA103/Instructions!$J$25,0)+DB103*Instructions!$J$27+DC103*Instructions!$J$29+IFERROR(DD103/Instructions!$E$34,0)+DE103*Instructions!$E$36+Tier!DF103*Instructions!$E$25+IFERROR(DG103/Instructions!$E$27,0)+DH103*Instructions!$E$29+IFERROR((DI103+DK103)/Instructions!$J$32,0)+(DJ103+DL103)*Instructions!$J$34+Tier!DM103*-2</f>
        <v>202.4</v>
      </c>
    </row>
    <row r="104" spans="1:118" s="366" customFormat="1" ht="15.75" customHeight="1" x14ac:dyDescent="0.25">
      <c r="A104" s="238"/>
      <c r="B104" s="238"/>
      <c r="C104" s="354"/>
      <c r="D104" s="365"/>
      <c r="F104" s="238">
        <v>2017</v>
      </c>
      <c r="G104" s="367">
        <f>LARGE($BI$101:$BI$132,4)</f>
        <v>293.83999999999997</v>
      </c>
      <c r="H104" s="355">
        <f t="shared" si="71"/>
        <v>39.100000000000023</v>
      </c>
      <c r="I104" s="356">
        <f t="shared" si="68"/>
        <v>1528.8100000000018</v>
      </c>
      <c r="J104" s="356">
        <f>J105+J101</f>
        <v>366.73999999999995</v>
      </c>
      <c r="K104" s="356">
        <f t="shared" si="72"/>
        <v>2.4437500000000014</v>
      </c>
      <c r="L104" s="238">
        <f t="shared" si="73"/>
        <v>4</v>
      </c>
      <c r="M104" s="354"/>
      <c r="N104" s="372"/>
      <c r="O104" s="372"/>
      <c r="P104" s="366">
        <v>2014</v>
      </c>
      <c r="Q104" s="367">
        <f>LARGE($CB$2:$CB$151,103)</f>
        <v>21.1</v>
      </c>
      <c r="R104" s="357">
        <f t="shared" si="67"/>
        <v>-143.5</v>
      </c>
      <c r="S104" s="356">
        <f t="shared" si="47"/>
        <v>20592.25</v>
      </c>
      <c r="T104" s="238"/>
      <c r="U104" s="356">
        <f t="shared" si="54"/>
        <v>-8.96875</v>
      </c>
      <c r="V104" s="238">
        <f t="shared" si="55"/>
        <v>8</v>
      </c>
      <c r="W104" s="354"/>
      <c r="X104" s="371"/>
      <c r="Y104" s="371"/>
      <c r="Z104" s="321">
        <v>2014</v>
      </c>
      <c r="AA104" s="367">
        <f>LARGE($CU$2:$CU$151,103)</f>
        <v>64.5</v>
      </c>
      <c r="AB104" s="357">
        <f t="shared" si="56"/>
        <v>-153.23333333333335</v>
      </c>
      <c r="AC104" s="356">
        <f t="shared" si="53"/>
        <v>23480.454444444447</v>
      </c>
      <c r="AD104" s="356"/>
      <c r="AE104" s="356">
        <f t="shared" si="57"/>
        <v>-9.5770833333333343</v>
      </c>
      <c r="AF104" s="238">
        <f t="shared" si="58"/>
        <v>8</v>
      </c>
      <c r="AG104" s="354"/>
      <c r="AJ104" s="238">
        <v>2017</v>
      </c>
      <c r="AK104" s="367">
        <f>LARGE($DN$101:$DN$132,4)</f>
        <v>172.2</v>
      </c>
      <c r="AL104" s="373">
        <f t="shared" si="74"/>
        <v>39.5</v>
      </c>
      <c r="AM104" s="374">
        <f t="shared" si="69"/>
        <v>1560.25</v>
      </c>
      <c r="AN104" s="356">
        <f>AN105+AN101</f>
        <v>244.7</v>
      </c>
      <c r="AO104" s="374">
        <f t="shared" si="75"/>
        <v>2.46875</v>
      </c>
      <c r="AP104" s="238">
        <f t="shared" si="70"/>
        <v>4</v>
      </c>
      <c r="AQ104" s="354"/>
      <c r="AR104" s="238">
        <v>2017</v>
      </c>
      <c r="AS104" t="s">
        <v>177</v>
      </c>
      <c r="AT104" t="s">
        <v>152</v>
      </c>
      <c r="AU104" s="366" t="s">
        <v>1</v>
      </c>
      <c r="AV104" s="418">
        <v>4093</v>
      </c>
      <c r="AW104" s="440">
        <v>27</v>
      </c>
      <c r="AX104" s="440">
        <v>13</v>
      </c>
      <c r="AY104" s="440">
        <v>179</v>
      </c>
      <c r="AZ104" s="440">
        <v>4</v>
      </c>
      <c r="BA104" s="238">
        <v>0</v>
      </c>
      <c r="BB104" s="238">
        <v>0</v>
      </c>
      <c r="BC104" s="238">
        <v>0</v>
      </c>
      <c r="BD104" s="238">
        <v>0</v>
      </c>
      <c r="BE104" s="238">
        <v>0</v>
      </c>
      <c r="BF104" s="238">
        <v>0</v>
      </c>
      <c r="BG104" s="238">
        <v>0</v>
      </c>
      <c r="BH104" s="238">
        <v>0</v>
      </c>
      <c r="BI104" s="367">
        <f>IFERROR(AV104/Instructions!$J$25,0)+AW104*Instructions!$J$27+AX104*Instructions!$J$29+IFERROR(AY104/Instructions!$E$34,0)+AZ104*Instructions!$E$36+Tier!BA104*Instructions!$E$25+IFERROR(BB104/Instructions!$E$27,0)+BC104*Instructions!$E$29+IFERROR((BD104+BF104)/Instructions!$J$32,0)+(BE104+BG104)*Instructions!$J$34+BH104*-2</f>
        <v>287.62</v>
      </c>
      <c r="BJ104" s="354"/>
      <c r="BK104" s="366">
        <v>2014</v>
      </c>
      <c r="BL104" s="370" t="s">
        <v>980</v>
      </c>
      <c r="BM104" s="372" t="s">
        <v>1628</v>
      </c>
      <c r="BN104" s="372" t="s">
        <v>3</v>
      </c>
      <c r="BO104" s="372">
        <v>0</v>
      </c>
      <c r="BP104" s="372">
        <v>0</v>
      </c>
      <c r="BQ104" s="372">
        <v>0</v>
      </c>
      <c r="BR104" s="372">
        <v>89</v>
      </c>
      <c r="BS104" s="372">
        <v>1</v>
      </c>
      <c r="BT104" s="372">
        <v>2</v>
      </c>
      <c r="BU104" s="372">
        <v>8</v>
      </c>
      <c r="BV104" s="372">
        <v>0</v>
      </c>
      <c r="BW104" s="372">
        <v>0</v>
      </c>
      <c r="BX104" s="372">
        <v>0</v>
      </c>
      <c r="BY104" s="372">
        <v>0</v>
      </c>
      <c r="BZ104" s="372">
        <v>0</v>
      </c>
      <c r="CA104" s="372">
        <v>0</v>
      </c>
      <c r="CB104" s="367">
        <f>IFERROR(BO104/Instructions!$J$25,0)+BP104*Instructions!$J$27+BQ104*Instructions!$J$29+IFERROR(BR104/Instructions!$E$34,0)+BS104*Instructions!$E$36+Tier!BT105*Instructions!$E$25+IFERROR(BU104/Instructions!$E$27,0)+BV104*Instructions!$E$29+IFERROR((BW104+BY104)/Instructions!$J$32,0)+(BX104+BZ104)*Instructions!$J$34+Tier!CA104*-2</f>
        <v>24.7</v>
      </c>
      <c r="CC104" s="354"/>
      <c r="CD104" s="321">
        <v>2014</v>
      </c>
      <c r="CE104" s="370" t="s">
        <v>112</v>
      </c>
      <c r="CF104" s="371" t="s">
        <v>1628</v>
      </c>
      <c r="CG104" s="371" t="s">
        <v>6</v>
      </c>
      <c r="CH104" s="371">
        <v>0</v>
      </c>
      <c r="CI104" s="371">
        <v>0</v>
      </c>
      <c r="CJ104" s="371">
        <v>0</v>
      </c>
      <c r="CK104" s="371">
        <v>0</v>
      </c>
      <c r="CL104" s="371">
        <v>0</v>
      </c>
      <c r="CM104" s="371">
        <v>27</v>
      </c>
      <c r="CN104" s="371">
        <v>200</v>
      </c>
      <c r="CO104" s="371">
        <v>1</v>
      </c>
      <c r="CP104" s="371">
        <v>132</v>
      </c>
      <c r="CQ104" s="371">
        <v>0</v>
      </c>
      <c r="CR104" s="371">
        <v>482</v>
      </c>
      <c r="CS104" s="371">
        <v>0</v>
      </c>
      <c r="CT104" s="371">
        <v>0</v>
      </c>
      <c r="CU104" s="367">
        <f>IFERROR(CH104/Instructions!$J$25,0)+CI104*Instructions!$J$27+CJ104*Instructions!$J$29+IFERROR(CK104/Instructions!$E$34,0)+CL104*Instructions!$E$36+Tier!CM104*Instructions!$E$25+IFERROR(CN104/Instructions!$E$27,0)+CO104*Instructions!$E$29+IFERROR((CP104+CR104)/Instructions!$J$32,0)+(CQ104+CS104)*Instructions!$J$34+Tier!CT104*-2</f>
        <v>53</v>
      </c>
      <c r="CV104" s="354"/>
      <c r="CW104" s="238">
        <v>2017</v>
      </c>
      <c r="CX104" s="365" t="s">
        <v>8</v>
      </c>
      <c r="CY104" s="366" t="s">
        <v>140</v>
      </c>
      <c r="CZ104" s="366" t="s">
        <v>7</v>
      </c>
      <c r="DA104" s="366">
        <v>0</v>
      </c>
      <c r="DB104" s="366">
        <v>0</v>
      </c>
      <c r="DC104" s="366">
        <v>0</v>
      </c>
      <c r="DD104" s="366">
        <v>0</v>
      </c>
      <c r="DE104" s="366">
        <v>0</v>
      </c>
      <c r="DF104" s="366">
        <v>57</v>
      </c>
      <c r="DG104" s="366">
        <v>520</v>
      </c>
      <c r="DH104" s="366">
        <v>10</v>
      </c>
      <c r="DI104" s="366">
        <v>0</v>
      </c>
      <c r="DJ104" s="366">
        <v>0</v>
      </c>
      <c r="DK104" s="366">
        <v>0</v>
      </c>
      <c r="DL104" s="366">
        <v>0</v>
      </c>
      <c r="DM104" s="366">
        <v>0</v>
      </c>
      <c r="DN104" s="367">
        <f>IFERROR(DA104/Instructions!$J$25,0)+DB104*Instructions!$J$27+DC104*Instructions!$J$29+IFERROR(DD104/Instructions!$E$34,0)+DE104*Instructions!$E$36+Tier!DF104*Instructions!$E$25+IFERROR(DG104/Instructions!$E$27,0)+DH104*Instructions!$E$29+IFERROR((DI104+DK104)/Instructions!$J$32,0)+(DJ104+DL104)*Instructions!$J$34+Tier!DM104*-2</f>
        <v>169</v>
      </c>
    </row>
    <row r="105" spans="1:118" s="366" customFormat="1" ht="15.75" customHeight="1" x14ac:dyDescent="0.25">
      <c r="A105" s="238"/>
      <c r="B105" s="238"/>
      <c r="C105" s="354"/>
      <c r="D105" s="365"/>
      <c r="F105" s="238">
        <v>2017</v>
      </c>
      <c r="G105" s="367">
        <f>LARGE($BI$101:$BI$132,5)</f>
        <v>287.62</v>
      </c>
      <c r="H105" s="355">
        <f t="shared" si="71"/>
        <v>32.880000000000052</v>
      </c>
      <c r="I105" s="356">
        <f t="shared" si="68"/>
        <v>1081.0944000000034</v>
      </c>
      <c r="J105" s="356">
        <f>J106+J101</f>
        <v>350.73999999999995</v>
      </c>
      <c r="K105" s="356">
        <f t="shared" si="72"/>
        <v>2.0550000000000033</v>
      </c>
      <c r="L105" s="238">
        <f t="shared" si="73"/>
        <v>4</v>
      </c>
      <c r="M105" s="354"/>
      <c r="N105" s="372"/>
      <c r="O105" s="372"/>
      <c r="P105" s="366">
        <v>2014</v>
      </c>
      <c r="Q105" s="367">
        <f>LARGE($CB$2:$CB$151,104)</f>
        <v>20.8</v>
      </c>
      <c r="R105" s="357">
        <f t="shared" si="67"/>
        <v>-143.79999999999998</v>
      </c>
      <c r="S105" s="356">
        <f t="shared" si="47"/>
        <v>20678.439999999995</v>
      </c>
      <c r="T105" s="238"/>
      <c r="U105" s="356">
        <f t="shared" si="54"/>
        <v>-8.9874999999999989</v>
      </c>
      <c r="V105" s="238">
        <f t="shared" si="55"/>
        <v>8</v>
      </c>
      <c r="W105" s="354"/>
      <c r="X105" s="371"/>
      <c r="Y105" s="371"/>
      <c r="Z105" s="321">
        <v>2014</v>
      </c>
      <c r="AA105" s="367">
        <f>LARGE($CU$2:$CU$151,104)</f>
        <v>64.400000000000006</v>
      </c>
      <c r="AB105" s="357">
        <f t="shared" si="56"/>
        <v>-153.33333333333334</v>
      </c>
      <c r="AC105" s="356">
        <f t="shared" si="53"/>
        <v>23511.111111111113</v>
      </c>
      <c r="AD105" s="356"/>
      <c r="AE105" s="356">
        <f t="shared" si="57"/>
        <v>-9.5833333333333339</v>
      </c>
      <c r="AF105" s="238">
        <f t="shared" si="58"/>
        <v>8</v>
      </c>
      <c r="AG105" s="354"/>
      <c r="AJ105" s="238">
        <v>2017</v>
      </c>
      <c r="AK105" s="367">
        <f>LARGE($DN$101:$DN$132,5)</f>
        <v>169</v>
      </c>
      <c r="AL105" s="373">
        <f t="shared" si="74"/>
        <v>36.300000000000011</v>
      </c>
      <c r="AM105" s="374">
        <f t="shared" si="69"/>
        <v>1317.6900000000007</v>
      </c>
      <c r="AN105" s="356">
        <f>AN106+AN101</f>
        <v>228.7</v>
      </c>
      <c r="AO105" s="374">
        <f t="shared" si="75"/>
        <v>2.2687500000000007</v>
      </c>
      <c r="AP105" s="238">
        <f t="shared" si="70"/>
        <v>4</v>
      </c>
      <c r="AQ105" s="354"/>
      <c r="AR105" s="238">
        <v>2017</v>
      </c>
      <c r="AS105" t="s">
        <v>24</v>
      </c>
      <c r="AT105" t="s">
        <v>142</v>
      </c>
      <c r="AU105" s="366" t="s">
        <v>1</v>
      </c>
      <c r="AV105" s="418">
        <v>4446</v>
      </c>
      <c r="AW105" s="440">
        <v>29</v>
      </c>
      <c r="AX105" s="440">
        <v>10</v>
      </c>
      <c r="AY105" s="440">
        <v>98</v>
      </c>
      <c r="AZ105" s="440">
        <v>0</v>
      </c>
      <c r="BA105" s="238">
        <v>0</v>
      </c>
      <c r="BB105" s="238">
        <v>0</v>
      </c>
      <c r="BC105" s="238">
        <v>0</v>
      </c>
      <c r="BD105" s="238">
        <v>0</v>
      </c>
      <c r="BE105" s="238">
        <v>0</v>
      </c>
      <c r="BF105" s="238">
        <v>0</v>
      </c>
      <c r="BG105" s="238">
        <v>0</v>
      </c>
      <c r="BH105" s="238">
        <v>2</v>
      </c>
      <c r="BI105" s="367">
        <f>IFERROR(AV105/Instructions!$J$25,0)+AW105*Instructions!$J$27+AX105*Instructions!$J$29+IFERROR(AY105/Instructions!$E$34,0)+AZ105*Instructions!$E$36+Tier!BA105*Instructions!$E$25+IFERROR(BB105/Instructions!$E$27,0)+BC105*Instructions!$E$29+IFERROR((BD105+BF105)/Instructions!$J$32,0)+(BE105+BG105)*Instructions!$J$34+BH105*-2</f>
        <v>279.64000000000004</v>
      </c>
      <c r="BJ105" s="354"/>
      <c r="BK105" s="366">
        <v>2014</v>
      </c>
      <c r="BL105" s="370" t="s">
        <v>1320</v>
      </c>
      <c r="BM105" s="372" t="s">
        <v>138</v>
      </c>
      <c r="BN105" s="372" t="s">
        <v>3</v>
      </c>
      <c r="BO105" s="372">
        <v>0</v>
      </c>
      <c r="BP105" s="372">
        <v>0</v>
      </c>
      <c r="BQ105" s="372">
        <v>0</v>
      </c>
      <c r="BR105" s="372">
        <v>88</v>
      </c>
      <c r="BS105" s="372">
        <v>0</v>
      </c>
      <c r="BT105" s="372">
        <v>9</v>
      </c>
      <c r="BU105" s="372">
        <v>62</v>
      </c>
      <c r="BV105" s="372">
        <v>0</v>
      </c>
      <c r="BW105" s="372">
        <v>0</v>
      </c>
      <c r="BX105" s="372">
        <v>0</v>
      </c>
      <c r="BY105" s="372">
        <v>8</v>
      </c>
      <c r="BZ105" s="372">
        <v>0</v>
      </c>
      <c r="CA105" s="372">
        <v>0</v>
      </c>
      <c r="CB105" s="367">
        <f>IFERROR(BO105/Instructions!$J$25,0)+BP105*Instructions!$J$27+BQ105*Instructions!$J$29+IFERROR(BR105/Instructions!$E$34,0)+BS105*Instructions!$E$36+Tier!BT106*Instructions!$E$25+IFERROR(BU105/Instructions!$E$27,0)+BV105*Instructions!$E$29+IFERROR((BW105+BY105)/Instructions!$J$32,0)+(BX105+BZ105)*Instructions!$J$34+Tier!CA105*-2</f>
        <v>23</v>
      </c>
      <c r="CC105" s="354"/>
      <c r="CD105" s="321">
        <v>2014</v>
      </c>
      <c r="CE105" s="370" t="s">
        <v>1244</v>
      </c>
      <c r="CF105" s="371" t="s">
        <v>145</v>
      </c>
      <c r="CG105" s="371" t="s">
        <v>6</v>
      </c>
      <c r="CH105" s="371">
        <v>0</v>
      </c>
      <c r="CI105" s="371">
        <v>0</v>
      </c>
      <c r="CJ105" s="371">
        <v>0</v>
      </c>
      <c r="CK105" s="371">
        <v>21</v>
      </c>
      <c r="CL105" s="371">
        <v>0</v>
      </c>
      <c r="CM105" s="371">
        <v>17</v>
      </c>
      <c r="CN105" s="371">
        <v>193</v>
      </c>
      <c r="CO105" s="371">
        <v>1</v>
      </c>
      <c r="CP105" s="371">
        <v>174</v>
      </c>
      <c r="CQ105" s="371">
        <v>0</v>
      </c>
      <c r="CR105" s="371">
        <v>397</v>
      </c>
      <c r="CS105" s="371">
        <v>0</v>
      </c>
      <c r="CT105" s="371">
        <v>0</v>
      </c>
      <c r="CU105" s="367">
        <f>IFERROR(CH105/Instructions!$J$25,0)+CI105*Instructions!$J$27+CJ105*Instructions!$J$29+IFERROR(CK105/Instructions!$E$34,0)+CL105*Instructions!$E$36+Tier!CM105*Instructions!$E$25+IFERROR(CN105/Instructions!$E$27,0)+CO105*Instructions!$E$29+IFERROR((CP105+CR105)/Instructions!$J$32,0)+(CQ105+CS105)*Instructions!$J$34+Tier!CT105*-2</f>
        <v>44.400000000000006</v>
      </c>
      <c r="CV105" s="354"/>
      <c r="CW105" s="238">
        <v>2017</v>
      </c>
      <c r="CX105" s="365" t="s">
        <v>1412</v>
      </c>
      <c r="CY105" s="366" t="s">
        <v>154</v>
      </c>
      <c r="CZ105" s="366" t="s">
        <v>7</v>
      </c>
      <c r="DA105" s="366">
        <v>0</v>
      </c>
      <c r="DB105" s="366">
        <v>0</v>
      </c>
      <c r="DC105" s="366">
        <v>0</v>
      </c>
      <c r="DD105" s="366">
        <v>0</v>
      </c>
      <c r="DE105" s="366">
        <v>0</v>
      </c>
      <c r="DF105" s="366">
        <v>64</v>
      </c>
      <c r="DG105" s="366">
        <v>722</v>
      </c>
      <c r="DH105" s="366">
        <v>6</v>
      </c>
      <c r="DI105" s="366">
        <v>0</v>
      </c>
      <c r="DJ105" s="366">
        <v>0</v>
      </c>
      <c r="DK105" s="366">
        <v>0</v>
      </c>
      <c r="DL105" s="366">
        <v>0</v>
      </c>
      <c r="DM105" s="366">
        <v>0</v>
      </c>
      <c r="DN105" s="367">
        <f>IFERROR(DA105/Instructions!$J$25,0)+DB105*Instructions!$J$27+DC105*Instructions!$J$29+IFERROR(DD105/Instructions!$E$34,0)+DE105*Instructions!$E$36+Tier!DF105*Instructions!$E$25+IFERROR(DG105/Instructions!$E$27,0)+DH105*Instructions!$E$29+IFERROR((DI105+DK105)/Instructions!$J$32,0)+(DJ105+DL105)*Instructions!$J$34+Tier!DM105*-2</f>
        <v>172.2</v>
      </c>
    </row>
    <row r="106" spans="1:118" s="366" customFormat="1" ht="15.75" customHeight="1" x14ac:dyDescent="0.25">
      <c r="A106" s="238"/>
      <c r="B106" s="238"/>
      <c r="C106" s="354"/>
      <c r="D106" s="365"/>
      <c r="F106" s="238">
        <v>2017</v>
      </c>
      <c r="G106" s="367">
        <f>LARGE($BI$101:$BI$132,6)</f>
        <v>279.64000000000004</v>
      </c>
      <c r="H106" s="355">
        <f t="shared" si="71"/>
        <v>24.900000000000091</v>
      </c>
      <c r="I106" s="356">
        <f t="shared" si="68"/>
        <v>620.01000000000454</v>
      </c>
      <c r="J106" s="356">
        <f>J107+J101</f>
        <v>334.73999999999995</v>
      </c>
      <c r="K106" s="356">
        <f t="shared" si="72"/>
        <v>1.5562500000000057</v>
      </c>
      <c r="L106" s="238">
        <f t="shared" si="73"/>
        <v>5</v>
      </c>
      <c r="M106" s="354"/>
      <c r="N106" s="372"/>
      <c r="O106" s="372"/>
      <c r="P106" s="366">
        <v>2014</v>
      </c>
      <c r="Q106" s="367">
        <f>LARGE($CB$2:$CB$151,105)</f>
        <v>20.100000000000001</v>
      </c>
      <c r="R106" s="357">
        <f t="shared" si="67"/>
        <v>-144.5</v>
      </c>
      <c r="S106" s="356">
        <f t="shared" si="47"/>
        <v>20880.25</v>
      </c>
      <c r="T106" s="356"/>
      <c r="U106" s="356">
        <f t="shared" si="54"/>
        <v>-9.03125</v>
      </c>
      <c r="V106" s="238">
        <f t="shared" si="55"/>
        <v>8</v>
      </c>
      <c r="W106" s="354"/>
      <c r="X106" s="371"/>
      <c r="Y106" s="371"/>
      <c r="Z106" s="321">
        <v>2014</v>
      </c>
      <c r="AA106" s="367">
        <f>LARGE($CU$2:$CU$151,105)</f>
        <v>62.7</v>
      </c>
      <c r="AB106" s="357">
        <f t="shared" si="56"/>
        <v>-155.03333333333336</v>
      </c>
      <c r="AC106" s="356">
        <f t="shared" si="53"/>
        <v>24035.334444444452</v>
      </c>
      <c r="AD106" s="356"/>
      <c r="AE106" s="356">
        <f t="shared" si="57"/>
        <v>-9.689583333333335</v>
      </c>
      <c r="AF106" s="238">
        <f t="shared" si="58"/>
        <v>8</v>
      </c>
      <c r="AG106" s="354"/>
      <c r="AJ106" s="238">
        <v>2017</v>
      </c>
      <c r="AK106" s="367">
        <f>LARGE($DN$101:$DN$132,6)</f>
        <v>169</v>
      </c>
      <c r="AL106" s="373">
        <f t="shared" si="74"/>
        <v>36.300000000000011</v>
      </c>
      <c r="AM106" s="374">
        <f t="shared" si="69"/>
        <v>1317.6900000000007</v>
      </c>
      <c r="AN106" s="356">
        <f>AN107+AN101</f>
        <v>212.7</v>
      </c>
      <c r="AO106" s="374">
        <f t="shared" si="75"/>
        <v>2.2687500000000007</v>
      </c>
      <c r="AP106" s="238">
        <f t="shared" si="70"/>
        <v>4</v>
      </c>
      <c r="AQ106" s="354"/>
      <c r="AR106" s="238">
        <v>2017</v>
      </c>
      <c r="AS106" t="s">
        <v>70</v>
      </c>
      <c r="AT106" t="s">
        <v>136</v>
      </c>
      <c r="AU106" s="366" t="s">
        <v>1</v>
      </c>
      <c r="AV106" s="418">
        <v>4042</v>
      </c>
      <c r="AW106" s="440">
        <v>26</v>
      </c>
      <c r="AX106" s="440">
        <v>5</v>
      </c>
      <c r="AY106" s="440">
        <v>355</v>
      </c>
      <c r="AZ106" s="440">
        <v>1</v>
      </c>
      <c r="BA106" s="238">
        <v>0</v>
      </c>
      <c r="BB106" s="238">
        <v>0</v>
      </c>
      <c r="BC106" s="238">
        <v>0</v>
      </c>
      <c r="BD106" s="238">
        <v>0</v>
      </c>
      <c r="BE106" s="238">
        <v>0</v>
      </c>
      <c r="BF106" s="238">
        <v>0</v>
      </c>
      <c r="BG106" s="238">
        <v>0</v>
      </c>
      <c r="BH106" s="238">
        <v>0</v>
      </c>
      <c r="BI106" s="367">
        <f>IFERROR(AV106/Instructions!$J$25,0)+AW106*Instructions!$J$27+AX106*Instructions!$J$29+IFERROR(AY106/Instructions!$E$34,0)+AZ106*Instructions!$E$36+Tier!BA106*Instructions!$E$25+IFERROR(BB106/Instructions!$E$27,0)+BC106*Instructions!$E$29+IFERROR((BD106+BF106)/Instructions!$J$32,0)+(BE106+BG106)*Instructions!$J$34+BH106*-2</f>
        <v>297.18</v>
      </c>
      <c r="BJ106" s="354"/>
      <c r="BK106" s="366">
        <v>2014</v>
      </c>
      <c r="BL106" s="370" t="s">
        <v>1701</v>
      </c>
      <c r="BM106" s="372" t="s">
        <v>153</v>
      </c>
      <c r="BN106" s="372" t="s">
        <v>3</v>
      </c>
      <c r="BO106" s="372">
        <v>0</v>
      </c>
      <c r="BP106" s="372">
        <v>0</v>
      </c>
      <c r="BQ106" s="372">
        <v>0</v>
      </c>
      <c r="BR106" s="372">
        <v>11</v>
      </c>
      <c r="BS106" s="372">
        <v>0</v>
      </c>
      <c r="BT106" s="372">
        <v>8</v>
      </c>
      <c r="BU106" s="372">
        <v>140</v>
      </c>
      <c r="BV106" s="372">
        <v>0</v>
      </c>
      <c r="BW106" s="372">
        <v>0</v>
      </c>
      <c r="BX106" s="372">
        <v>0</v>
      </c>
      <c r="BY106" s="372">
        <v>0</v>
      </c>
      <c r="BZ106" s="372">
        <v>0</v>
      </c>
      <c r="CA106" s="372">
        <v>0</v>
      </c>
      <c r="CB106" s="367">
        <f>IFERROR(BO106/Instructions!$J$25,0)+BP106*Instructions!$J$27+BQ106*Instructions!$J$29+IFERROR(BR106/Instructions!$E$34,0)+BS106*Instructions!$E$36+Tier!BT107*Instructions!$E$25+IFERROR(BU106/Instructions!$E$27,0)+BV106*Instructions!$E$29+IFERROR((BW106+BY106)/Instructions!$J$32,0)+(BX106+BZ106)*Instructions!$J$34+Tier!CA106*-2</f>
        <v>17.100000000000001</v>
      </c>
      <c r="CC106" s="354"/>
      <c r="CD106" s="321">
        <v>2014</v>
      </c>
      <c r="CE106" s="370" t="s">
        <v>1685</v>
      </c>
      <c r="CF106" s="371" t="s">
        <v>1627</v>
      </c>
      <c r="CG106" s="371" t="s">
        <v>6</v>
      </c>
      <c r="CH106" s="371">
        <v>0</v>
      </c>
      <c r="CI106" s="371">
        <v>0</v>
      </c>
      <c r="CJ106" s="371">
        <v>0</v>
      </c>
      <c r="CK106" s="371">
        <v>0</v>
      </c>
      <c r="CL106" s="371">
        <v>0</v>
      </c>
      <c r="CM106" s="371">
        <v>31</v>
      </c>
      <c r="CN106" s="371">
        <v>380</v>
      </c>
      <c r="CO106" s="371">
        <v>2</v>
      </c>
      <c r="CP106" s="371">
        <v>0</v>
      </c>
      <c r="CQ106" s="371">
        <v>0</v>
      </c>
      <c r="CR106" s="371">
        <v>0</v>
      </c>
      <c r="CS106" s="371">
        <v>0</v>
      </c>
      <c r="CT106" s="371">
        <v>0</v>
      </c>
      <c r="CU106" s="367">
        <f>IFERROR(CH106/Instructions!$J$25,0)+CI106*Instructions!$J$27+CJ106*Instructions!$J$29+IFERROR(CK106/Instructions!$E$34,0)+CL106*Instructions!$E$36+Tier!CM106*Instructions!$E$25+IFERROR(CN106/Instructions!$E$27,0)+CO106*Instructions!$E$29+IFERROR((CP106+CR106)/Instructions!$J$32,0)+(CQ106+CS106)*Instructions!$J$34+Tier!CT106*-2</f>
        <v>81</v>
      </c>
      <c r="CV106" s="354"/>
      <c r="CW106" s="238">
        <v>2017</v>
      </c>
      <c r="CX106" s="365" t="s">
        <v>220</v>
      </c>
      <c r="CY106" s="366" t="s">
        <v>163</v>
      </c>
      <c r="CZ106" s="366" t="s">
        <v>7</v>
      </c>
      <c r="DA106" s="366">
        <v>0</v>
      </c>
      <c r="DB106" s="366">
        <v>0</v>
      </c>
      <c r="DC106" s="366">
        <v>0</v>
      </c>
      <c r="DD106" s="366">
        <v>0</v>
      </c>
      <c r="DE106" s="366">
        <v>0</v>
      </c>
      <c r="DF106" s="366">
        <v>74</v>
      </c>
      <c r="DG106" s="366">
        <v>807</v>
      </c>
      <c r="DH106" s="366">
        <v>3</v>
      </c>
      <c r="DI106" s="366">
        <v>0</v>
      </c>
      <c r="DJ106" s="366">
        <v>0</v>
      </c>
      <c r="DK106" s="366">
        <v>0</v>
      </c>
      <c r="DL106" s="366">
        <v>0</v>
      </c>
      <c r="DM106" s="366">
        <v>2</v>
      </c>
      <c r="DN106" s="367">
        <f>IFERROR(DA106/Instructions!$J$25,0)+DB106*Instructions!$J$27+DC106*Instructions!$J$29+IFERROR(DD106/Instructions!$E$34,0)+DE106*Instructions!$E$36+Tier!DF106*Instructions!$E$25+IFERROR(DG106/Instructions!$E$27,0)+DH106*Instructions!$E$29+IFERROR((DI106+DK106)/Instructions!$J$32,0)+(DJ106+DL106)*Instructions!$J$34+Tier!DM106*-2</f>
        <v>168.7</v>
      </c>
    </row>
    <row r="107" spans="1:118" s="366" customFormat="1" ht="15.75" customHeight="1" x14ac:dyDescent="0.25">
      <c r="A107" s="238"/>
      <c r="B107" s="238"/>
      <c r="C107" s="354"/>
      <c r="D107" s="365"/>
      <c r="F107" s="238">
        <v>2017</v>
      </c>
      <c r="G107" s="367">
        <f>LARGE($BI$101:$BI$132,7)</f>
        <v>272.40000000000003</v>
      </c>
      <c r="H107" s="355">
        <f t="shared" si="71"/>
        <v>17.660000000000082</v>
      </c>
      <c r="I107" s="356">
        <f t="shared" si="68"/>
        <v>311.87560000000292</v>
      </c>
      <c r="J107" s="356">
        <f>J108+J101</f>
        <v>318.73999999999995</v>
      </c>
      <c r="K107" s="356">
        <f t="shared" si="72"/>
        <v>1.1037500000000051</v>
      </c>
      <c r="L107" s="238">
        <f t="shared" si="73"/>
        <v>5</v>
      </c>
      <c r="M107" s="354"/>
      <c r="N107" s="372"/>
      <c r="O107" s="372"/>
      <c r="P107" s="366">
        <v>2014</v>
      </c>
      <c r="Q107" s="367">
        <f>LARGE($CB$2:$CB$151,106)</f>
        <v>19.7</v>
      </c>
      <c r="R107" s="357">
        <f t="shared" si="67"/>
        <v>-144.9</v>
      </c>
      <c r="S107" s="356">
        <f t="shared" si="47"/>
        <v>20996.010000000002</v>
      </c>
      <c r="T107" s="356"/>
      <c r="U107" s="356">
        <f t="shared" si="54"/>
        <v>-9.0562500000000004</v>
      </c>
      <c r="V107" s="238">
        <f t="shared" si="55"/>
        <v>8</v>
      </c>
      <c r="W107" s="354"/>
      <c r="X107" s="371"/>
      <c r="Y107" s="371"/>
      <c r="Z107" s="321">
        <v>2014</v>
      </c>
      <c r="AA107" s="367">
        <f>LARGE($CU$2:$CU$151,106)</f>
        <v>62.1</v>
      </c>
      <c r="AB107" s="357">
        <f t="shared" si="56"/>
        <v>-155.63333333333335</v>
      </c>
      <c r="AC107" s="356">
        <f t="shared" si="53"/>
        <v>24221.73444444445</v>
      </c>
      <c r="AD107" s="356"/>
      <c r="AE107" s="356">
        <f t="shared" si="57"/>
        <v>-9.7270833333333346</v>
      </c>
      <c r="AF107" s="238">
        <f t="shared" si="58"/>
        <v>8</v>
      </c>
      <c r="AG107" s="354"/>
      <c r="AJ107" s="238">
        <v>2017</v>
      </c>
      <c r="AK107" s="367">
        <f>LARGE($DN$101:$DN$132,7)</f>
        <v>168.7</v>
      </c>
      <c r="AL107" s="373">
        <f t="shared" si="74"/>
        <v>36</v>
      </c>
      <c r="AM107" s="374">
        <f t="shared" si="69"/>
        <v>1296</v>
      </c>
      <c r="AN107" s="356">
        <f>AN108+AN101</f>
        <v>196.7</v>
      </c>
      <c r="AO107" s="374">
        <f t="shared" si="75"/>
        <v>2.25</v>
      </c>
      <c r="AP107" s="238">
        <f t="shared" si="70"/>
        <v>4</v>
      </c>
      <c r="AQ107" s="354"/>
      <c r="AR107" s="238">
        <v>2017</v>
      </c>
      <c r="AS107" t="s">
        <v>51</v>
      </c>
      <c r="AT107" t="s">
        <v>1388</v>
      </c>
      <c r="AU107" s="366" t="s">
        <v>1</v>
      </c>
      <c r="AV107" s="418">
        <v>4515</v>
      </c>
      <c r="AW107" s="440">
        <v>28</v>
      </c>
      <c r="AX107" s="440">
        <v>10</v>
      </c>
      <c r="AY107" s="440">
        <v>-2</v>
      </c>
      <c r="AZ107" s="440">
        <v>0</v>
      </c>
      <c r="BA107" s="238">
        <v>0</v>
      </c>
      <c r="BB107" s="238">
        <v>0</v>
      </c>
      <c r="BC107" s="238">
        <v>0</v>
      </c>
      <c r="BD107" s="238">
        <v>0</v>
      </c>
      <c r="BE107" s="238">
        <v>0</v>
      </c>
      <c r="BF107" s="238">
        <v>0</v>
      </c>
      <c r="BG107" s="238">
        <v>0</v>
      </c>
      <c r="BH107" s="238">
        <v>0</v>
      </c>
      <c r="BI107" s="367">
        <f>IFERROR(AV107/Instructions!$J$25,0)+AW107*Instructions!$J$27+AX107*Instructions!$J$29+IFERROR(AY107/Instructions!$E$34,0)+AZ107*Instructions!$E$36+Tier!BA107*Instructions!$E$25+IFERROR(BB107/Instructions!$E$27,0)+BC107*Instructions!$E$29+IFERROR((BD107+BF107)/Instructions!$J$32,0)+(BE107+BG107)*Instructions!$J$34+BH107*-2</f>
        <v>272.40000000000003</v>
      </c>
      <c r="BJ107" s="354"/>
      <c r="BK107" s="366">
        <v>2014</v>
      </c>
      <c r="BL107" s="370" t="s">
        <v>1702</v>
      </c>
      <c r="BM107" s="372" t="s">
        <v>154</v>
      </c>
      <c r="BN107" s="372" t="s">
        <v>3</v>
      </c>
      <c r="BO107" s="372">
        <v>0</v>
      </c>
      <c r="BP107" s="372">
        <v>0</v>
      </c>
      <c r="BQ107" s="372">
        <v>0</v>
      </c>
      <c r="BR107" s="372">
        <v>33</v>
      </c>
      <c r="BS107" s="372">
        <v>0</v>
      </c>
      <c r="BT107" s="372">
        <v>2</v>
      </c>
      <c r="BU107" s="372">
        <v>9</v>
      </c>
      <c r="BV107" s="372">
        <v>0</v>
      </c>
      <c r="BW107" s="372">
        <v>0</v>
      </c>
      <c r="BX107" s="372">
        <v>0</v>
      </c>
      <c r="BY107" s="372">
        <v>261</v>
      </c>
      <c r="BZ107" s="372">
        <v>0</v>
      </c>
      <c r="CA107" s="372">
        <v>0</v>
      </c>
      <c r="CB107" s="367">
        <f>IFERROR(BO107/Instructions!$J$25,0)+BP107*Instructions!$J$27+BQ107*Instructions!$J$29+IFERROR(BR107/Instructions!$E$34,0)+BS107*Instructions!$E$36+Tier!BT108*Instructions!$E$25+IFERROR(BU107/Instructions!$E$27,0)+BV107*Instructions!$E$29+IFERROR((BW107+BY107)/Instructions!$J$32,0)+(BX107+BZ107)*Instructions!$J$34+Tier!CA107*-2</f>
        <v>10.200000000000001</v>
      </c>
      <c r="CC107" s="354"/>
      <c r="CD107" s="321">
        <v>2014</v>
      </c>
      <c r="CE107" s="370" t="s">
        <v>135</v>
      </c>
      <c r="CF107" s="371" t="s">
        <v>1613</v>
      </c>
      <c r="CG107" s="371" t="s">
        <v>6</v>
      </c>
      <c r="CH107" s="371">
        <v>0</v>
      </c>
      <c r="CI107" s="371">
        <v>0</v>
      </c>
      <c r="CJ107" s="371">
        <v>0</v>
      </c>
      <c r="CK107" s="371">
        <v>9</v>
      </c>
      <c r="CL107" s="371">
        <v>0</v>
      </c>
      <c r="CM107" s="371">
        <v>37</v>
      </c>
      <c r="CN107" s="371">
        <v>422</v>
      </c>
      <c r="CO107" s="371">
        <v>1</v>
      </c>
      <c r="CP107" s="371">
        <v>0</v>
      </c>
      <c r="CQ107" s="371">
        <v>0</v>
      </c>
      <c r="CR107" s="371">
        <v>0</v>
      </c>
      <c r="CS107" s="371">
        <v>0</v>
      </c>
      <c r="CT107" s="371">
        <v>0</v>
      </c>
      <c r="CU107" s="367">
        <f>IFERROR(CH107/Instructions!$J$25,0)+CI107*Instructions!$J$27+CJ107*Instructions!$J$29+IFERROR(CK107/Instructions!$E$34,0)+CL107*Instructions!$E$36+Tier!CM107*Instructions!$E$25+IFERROR(CN107/Instructions!$E$27,0)+CO107*Instructions!$E$29+IFERROR((CP107+CR107)/Instructions!$J$32,0)+(CQ107+CS107)*Instructions!$J$34+Tier!CT107*-2</f>
        <v>86.1</v>
      </c>
      <c r="CV107" s="354"/>
      <c r="CW107" s="238">
        <v>2017</v>
      </c>
      <c r="CX107" s="365" t="s">
        <v>41</v>
      </c>
      <c r="CY107" s="366" t="s">
        <v>138</v>
      </c>
      <c r="CZ107" s="366" t="s">
        <v>7</v>
      </c>
      <c r="DA107" s="366">
        <v>0</v>
      </c>
      <c r="DB107" s="366">
        <v>0</v>
      </c>
      <c r="DC107" s="366">
        <v>0</v>
      </c>
      <c r="DD107" s="366">
        <v>0</v>
      </c>
      <c r="DE107" s="366">
        <v>0</v>
      </c>
      <c r="DF107" s="366">
        <v>57</v>
      </c>
      <c r="DG107" s="366">
        <v>532</v>
      </c>
      <c r="DH107" s="366">
        <v>8</v>
      </c>
      <c r="DI107" s="366">
        <v>0</v>
      </c>
      <c r="DJ107" s="366">
        <v>0</v>
      </c>
      <c r="DK107" s="366">
        <v>0</v>
      </c>
      <c r="DL107" s="366">
        <v>0</v>
      </c>
      <c r="DM107" s="366">
        <v>0</v>
      </c>
      <c r="DN107" s="367">
        <f>IFERROR(DA107/Instructions!$J$25,0)+DB107*Instructions!$J$27+DC107*Instructions!$J$29+IFERROR(DD107/Instructions!$E$34,0)+DE107*Instructions!$E$36+Tier!DF107*Instructions!$E$25+IFERROR(DG107/Instructions!$E$27,0)+DH107*Instructions!$E$29+IFERROR((DI107+DK107)/Instructions!$J$32,0)+(DJ107+DL107)*Instructions!$J$34+Tier!DM107*-2</f>
        <v>158.19999999999999</v>
      </c>
    </row>
    <row r="108" spans="1:118" s="366" customFormat="1" ht="15.75" customHeight="1" x14ac:dyDescent="0.25">
      <c r="A108" s="238"/>
      <c r="B108" s="238"/>
      <c r="C108" s="354"/>
      <c r="D108" s="365"/>
      <c r="F108" s="238">
        <v>2017</v>
      </c>
      <c r="G108" s="367">
        <f>LARGE($BI$101:$BI$132,8)</f>
        <v>271.74</v>
      </c>
      <c r="H108" s="355">
        <f t="shared" si="71"/>
        <v>17.000000000000057</v>
      </c>
      <c r="I108" s="356">
        <f t="shared" si="68"/>
        <v>289.00000000000193</v>
      </c>
      <c r="J108" s="356">
        <f>J109+J101</f>
        <v>302.73999999999995</v>
      </c>
      <c r="K108" s="356">
        <f t="shared" si="72"/>
        <v>1.0625000000000036</v>
      </c>
      <c r="L108" s="238">
        <f t="shared" si="73"/>
        <v>5</v>
      </c>
      <c r="M108" s="354"/>
      <c r="N108" s="372"/>
      <c r="O108" s="372"/>
      <c r="P108" s="366">
        <v>2014</v>
      </c>
      <c r="Q108" s="367">
        <f>LARGE($CB$2:$CB$151,107)</f>
        <v>18.899999999999999</v>
      </c>
      <c r="R108" s="357">
        <f t="shared" si="67"/>
        <v>-145.69999999999999</v>
      </c>
      <c r="S108" s="356">
        <f t="shared" si="47"/>
        <v>21228.489999999998</v>
      </c>
      <c r="T108" s="356"/>
      <c r="U108" s="356">
        <f t="shared" si="54"/>
        <v>-9.1062499999999993</v>
      </c>
      <c r="V108" s="238">
        <f t="shared" si="55"/>
        <v>8</v>
      </c>
      <c r="W108" s="354"/>
      <c r="X108" s="371"/>
      <c r="Y108" s="371"/>
      <c r="Z108" s="321">
        <v>2014</v>
      </c>
      <c r="AA108" s="367">
        <f>LARGE($CU$2:$CU$151,107)</f>
        <v>61.9</v>
      </c>
      <c r="AB108" s="357">
        <f t="shared" si="56"/>
        <v>-155.83333333333334</v>
      </c>
      <c r="AC108" s="356">
        <f t="shared" si="53"/>
        <v>24284.027777777781</v>
      </c>
      <c r="AD108" s="356"/>
      <c r="AE108" s="356">
        <f t="shared" si="57"/>
        <v>-9.7395833333333339</v>
      </c>
      <c r="AF108" s="238">
        <f t="shared" si="58"/>
        <v>8</v>
      </c>
      <c r="AG108" s="354"/>
      <c r="AJ108" s="238">
        <v>2017</v>
      </c>
      <c r="AK108" s="367">
        <f>LARGE($DN$101:$DN$132,8)</f>
        <v>158.19999999999999</v>
      </c>
      <c r="AL108" s="373">
        <f t="shared" si="74"/>
        <v>25.5</v>
      </c>
      <c r="AM108" s="374">
        <f t="shared" si="69"/>
        <v>650.25</v>
      </c>
      <c r="AN108" s="356">
        <f>AN109+AN101</f>
        <v>180.7</v>
      </c>
      <c r="AO108" s="374">
        <f t="shared" si="75"/>
        <v>1.59375</v>
      </c>
      <c r="AP108" s="238">
        <f t="shared" si="70"/>
        <v>5</v>
      </c>
      <c r="AQ108" s="354"/>
      <c r="AR108" s="238">
        <v>2017</v>
      </c>
      <c r="AS108" t="s">
        <v>59</v>
      </c>
      <c r="AT108" t="s">
        <v>147</v>
      </c>
      <c r="AU108" s="366" t="s">
        <v>1</v>
      </c>
      <c r="AV108" s="418">
        <v>4251</v>
      </c>
      <c r="AW108" s="440">
        <v>28</v>
      </c>
      <c r="AX108" s="440">
        <v>14</v>
      </c>
      <c r="AY108" s="440">
        <v>47</v>
      </c>
      <c r="AZ108" s="440">
        <v>0</v>
      </c>
      <c r="BA108" s="238">
        <v>0</v>
      </c>
      <c r="BB108" s="238">
        <v>0</v>
      </c>
      <c r="BC108" s="238">
        <v>0</v>
      </c>
      <c r="BD108" s="238">
        <v>0</v>
      </c>
      <c r="BE108" s="238">
        <v>0</v>
      </c>
      <c r="BF108" s="238">
        <v>0</v>
      </c>
      <c r="BG108" s="238">
        <v>0</v>
      </c>
      <c r="BH108" s="238">
        <v>2</v>
      </c>
      <c r="BI108" s="367">
        <f>IFERROR(AV108/Instructions!$J$25,0)+AW108*Instructions!$J$27+AX108*Instructions!$J$29+IFERROR(AY108/Instructions!$E$34,0)+AZ108*Instructions!$E$36+Tier!BA108*Instructions!$E$25+IFERROR(BB108/Instructions!$E$27,0)+BC108*Instructions!$E$29+IFERROR((BD108+BF108)/Instructions!$J$32,0)+(BE108+BG108)*Instructions!$J$34+BH108*-2</f>
        <v>254.73999999999995</v>
      </c>
      <c r="BJ108" s="354"/>
      <c r="BK108" s="366">
        <v>2014</v>
      </c>
      <c r="BL108" s="370" t="s">
        <v>1664</v>
      </c>
      <c r="BM108" s="372" t="s">
        <v>158</v>
      </c>
      <c r="BN108" s="372" t="s">
        <v>3</v>
      </c>
      <c r="BO108" s="372">
        <v>0</v>
      </c>
      <c r="BP108" s="372">
        <v>0</v>
      </c>
      <c r="BQ108" s="372">
        <v>0</v>
      </c>
      <c r="BR108" s="372">
        <v>18</v>
      </c>
      <c r="BS108" s="372">
        <v>0</v>
      </c>
      <c r="BT108" s="372">
        <v>6</v>
      </c>
      <c r="BU108" s="372">
        <v>68</v>
      </c>
      <c r="BV108" s="372">
        <v>1</v>
      </c>
      <c r="BW108" s="372">
        <v>0</v>
      </c>
      <c r="BX108" s="372">
        <v>0</v>
      </c>
      <c r="BY108" s="372">
        <v>0</v>
      </c>
      <c r="BZ108" s="372">
        <v>0</v>
      </c>
      <c r="CA108" s="372">
        <v>0</v>
      </c>
      <c r="CB108" s="367">
        <f>IFERROR(BO108/Instructions!$J$25,0)+BP108*Instructions!$J$27+BQ108*Instructions!$J$29+IFERROR(BR108/Instructions!$E$34,0)+BS108*Instructions!$E$36+Tier!BT109*Instructions!$E$25+IFERROR(BU108/Instructions!$E$27,0)+BV108*Instructions!$E$29+IFERROR((BW108+BY108)/Instructions!$J$32,0)+(BX108+BZ108)*Instructions!$J$34+Tier!CA108*-2</f>
        <v>24.6</v>
      </c>
      <c r="CC108" s="354"/>
      <c r="CD108" s="321">
        <v>2014</v>
      </c>
      <c r="CE108" s="370" t="s">
        <v>1728</v>
      </c>
      <c r="CF108" s="371" t="s">
        <v>151</v>
      </c>
      <c r="CG108" s="371" t="s">
        <v>6</v>
      </c>
      <c r="CH108" s="371">
        <v>0</v>
      </c>
      <c r="CI108" s="371">
        <v>0</v>
      </c>
      <c r="CJ108" s="371">
        <v>0</v>
      </c>
      <c r="CK108" s="371">
        <v>19</v>
      </c>
      <c r="CL108" s="371">
        <v>0</v>
      </c>
      <c r="CM108" s="371">
        <v>31</v>
      </c>
      <c r="CN108" s="371">
        <v>331</v>
      </c>
      <c r="CO108" s="371">
        <v>1</v>
      </c>
      <c r="CP108" s="371">
        <v>54</v>
      </c>
      <c r="CQ108" s="371">
        <v>0</v>
      </c>
      <c r="CR108" s="371">
        <v>136</v>
      </c>
      <c r="CS108" s="371">
        <v>0</v>
      </c>
      <c r="CT108" s="371">
        <v>0</v>
      </c>
      <c r="CU108" s="367">
        <f>IFERROR(CH108/Instructions!$J$25,0)+CI108*Instructions!$J$27+CJ108*Instructions!$J$29+IFERROR(CK108/Instructions!$E$34,0)+CL108*Instructions!$E$36+Tier!CM108*Instructions!$E$25+IFERROR(CN108/Instructions!$E$27,0)+CO108*Instructions!$E$29+IFERROR((CP108+CR108)/Instructions!$J$32,0)+(CQ108+CS108)*Instructions!$J$34+Tier!CT108*-2</f>
        <v>72</v>
      </c>
      <c r="CV108" s="354"/>
      <c r="CW108" s="238">
        <v>2017</v>
      </c>
      <c r="CX108" s="365" t="s">
        <v>1297</v>
      </c>
      <c r="CY108" s="366" t="s">
        <v>149</v>
      </c>
      <c r="CZ108" s="366" t="s">
        <v>7</v>
      </c>
      <c r="DA108" s="366">
        <v>0</v>
      </c>
      <c r="DB108" s="366">
        <v>0</v>
      </c>
      <c r="DC108" s="366">
        <v>0</v>
      </c>
      <c r="DD108" s="366">
        <v>0</v>
      </c>
      <c r="DE108" s="366">
        <v>0</v>
      </c>
      <c r="DF108" s="366">
        <v>48</v>
      </c>
      <c r="DG108" s="366">
        <v>591</v>
      </c>
      <c r="DH108" s="366">
        <v>6</v>
      </c>
      <c r="DI108" s="366">
        <v>0</v>
      </c>
      <c r="DJ108" s="366">
        <v>0</v>
      </c>
      <c r="DK108" s="366">
        <v>0</v>
      </c>
      <c r="DL108" s="366">
        <v>0</v>
      </c>
      <c r="DM108" s="366">
        <v>0</v>
      </c>
      <c r="DN108" s="367">
        <f>IFERROR(DA108/Instructions!$J$25,0)+DB108*Instructions!$J$27+DC108*Instructions!$J$29+IFERROR(DD108/Instructions!$E$34,0)+DE108*Instructions!$E$36+Tier!DF108*Instructions!$E$25+IFERROR(DG108/Instructions!$E$27,0)+DH108*Instructions!$E$29+IFERROR((DI108+DK108)/Instructions!$J$32,0)+(DJ108+DL108)*Instructions!$J$34+Tier!DM108*-2</f>
        <v>143.1</v>
      </c>
    </row>
    <row r="109" spans="1:118" s="366" customFormat="1" ht="15.75" customHeight="1" x14ac:dyDescent="0.25">
      <c r="A109" s="238"/>
      <c r="B109" s="238"/>
      <c r="C109" s="354"/>
      <c r="D109" s="365"/>
      <c r="F109" s="238">
        <v>2017</v>
      </c>
      <c r="G109" s="367">
        <f>LARGE($BI$101:$BI$132,9)</f>
        <v>266.7</v>
      </c>
      <c r="H109" s="355">
        <f t="shared" si="71"/>
        <v>11.960000000000036</v>
      </c>
      <c r="I109" s="356">
        <f t="shared" si="68"/>
        <v>143.04160000000087</v>
      </c>
      <c r="J109" s="356">
        <f>J110+J101</f>
        <v>286.73999999999995</v>
      </c>
      <c r="K109" s="356">
        <f t="shared" si="72"/>
        <v>0.74750000000000227</v>
      </c>
      <c r="L109" s="238">
        <f t="shared" si="73"/>
        <v>6</v>
      </c>
      <c r="M109" s="354"/>
      <c r="N109" s="372"/>
      <c r="O109" s="372"/>
      <c r="P109" s="366">
        <v>2014</v>
      </c>
      <c r="Q109" s="367">
        <f>LARGE($CB$2:$CB$151,108)</f>
        <v>18.7</v>
      </c>
      <c r="R109" s="357">
        <f t="shared" si="67"/>
        <v>-145.9</v>
      </c>
      <c r="S109" s="356">
        <f t="shared" si="47"/>
        <v>21286.81</v>
      </c>
      <c r="T109" s="356"/>
      <c r="U109" s="356">
        <f t="shared" si="54"/>
        <v>-9.1187500000000004</v>
      </c>
      <c r="V109" s="238">
        <f t="shared" si="55"/>
        <v>8</v>
      </c>
      <c r="W109" s="354"/>
      <c r="X109" s="371"/>
      <c r="Y109" s="371"/>
      <c r="Z109" s="321">
        <v>2014</v>
      </c>
      <c r="AA109" s="367">
        <f>LARGE($CU$2:$CU$151,108)</f>
        <v>61.3</v>
      </c>
      <c r="AB109" s="357">
        <f t="shared" si="56"/>
        <v>-156.43333333333334</v>
      </c>
      <c r="AC109" s="356">
        <f t="shared" si="53"/>
        <v>24471.387777777778</v>
      </c>
      <c r="AD109" s="356"/>
      <c r="AE109" s="356">
        <f t="shared" si="57"/>
        <v>-9.7770833333333336</v>
      </c>
      <c r="AF109" s="238">
        <f t="shared" si="58"/>
        <v>8</v>
      </c>
      <c r="AG109" s="354"/>
      <c r="AJ109" s="238">
        <v>2017</v>
      </c>
      <c r="AK109" s="367">
        <f>LARGE($DN$101:$DN$132,9)</f>
        <v>147</v>
      </c>
      <c r="AL109" s="373">
        <f t="shared" si="74"/>
        <v>14.300000000000011</v>
      </c>
      <c r="AM109" s="374">
        <f t="shared" si="69"/>
        <v>204.49000000000032</v>
      </c>
      <c r="AN109" s="356">
        <f>AN110+AN101</f>
        <v>164.7</v>
      </c>
      <c r="AO109" s="374">
        <f t="shared" si="75"/>
        <v>0.89375000000000071</v>
      </c>
      <c r="AP109" s="238">
        <f t="shared" si="70"/>
        <v>6</v>
      </c>
      <c r="AQ109" s="354"/>
      <c r="AR109" s="238">
        <v>2017</v>
      </c>
      <c r="AS109" t="s">
        <v>1217</v>
      </c>
      <c r="AT109" t="s">
        <v>137</v>
      </c>
      <c r="AU109" s="366" t="s">
        <v>1</v>
      </c>
      <c r="AV109" s="418">
        <v>3296</v>
      </c>
      <c r="AW109" s="440">
        <v>33</v>
      </c>
      <c r="AX109" s="440">
        <v>7</v>
      </c>
      <c r="AY109" s="440">
        <v>299</v>
      </c>
      <c r="AZ109" s="440">
        <v>0</v>
      </c>
      <c r="BA109" s="238">
        <v>0</v>
      </c>
      <c r="BB109" s="238">
        <v>0</v>
      </c>
      <c r="BC109" s="238">
        <v>0</v>
      </c>
      <c r="BD109" s="238">
        <v>0</v>
      </c>
      <c r="BE109" s="238">
        <v>0</v>
      </c>
      <c r="BF109" s="238">
        <v>0</v>
      </c>
      <c r="BG109" s="238">
        <v>0</v>
      </c>
      <c r="BH109" s="238">
        <v>4</v>
      </c>
      <c r="BI109" s="367">
        <f>IFERROR(AV109/Instructions!$J$25,0)+AW109*Instructions!$J$27+AX109*Instructions!$J$29+IFERROR(AY109/Instructions!$E$34,0)+AZ109*Instructions!$E$36+Tier!BA109*Instructions!$E$25+IFERROR(BB109/Instructions!$E$27,0)+BC109*Instructions!$E$29+IFERROR((BD109+BF109)/Instructions!$J$32,0)+(BE109+BG109)*Instructions!$J$34+BH109*-2</f>
        <v>271.74</v>
      </c>
      <c r="BJ109" s="354"/>
      <c r="BK109" s="366">
        <v>2014</v>
      </c>
      <c r="BL109" s="370" t="s">
        <v>1230</v>
      </c>
      <c r="BM109" s="372" t="s">
        <v>1629</v>
      </c>
      <c r="BN109" s="372" t="s">
        <v>3</v>
      </c>
      <c r="BO109" s="372">
        <v>0</v>
      </c>
      <c r="BP109" s="372">
        <v>0</v>
      </c>
      <c r="BQ109" s="372">
        <v>0</v>
      </c>
      <c r="BR109" s="372">
        <v>8</v>
      </c>
      <c r="BS109" s="372">
        <v>0</v>
      </c>
      <c r="BT109" s="372">
        <v>10</v>
      </c>
      <c r="BU109" s="372">
        <v>71</v>
      </c>
      <c r="BV109" s="372">
        <v>1</v>
      </c>
      <c r="BW109" s="372">
        <v>0</v>
      </c>
      <c r="BX109" s="372">
        <v>0</v>
      </c>
      <c r="BY109" s="372">
        <v>13</v>
      </c>
      <c r="BZ109" s="372">
        <v>0</v>
      </c>
      <c r="CA109" s="372">
        <v>0</v>
      </c>
      <c r="CB109" s="367">
        <f>IFERROR(BO109/Instructions!$J$25,0)+BP109*Instructions!$J$27+BQ109*Instructions!$J$29+IFERROR(BR109/Instructions!$E$34,0)+BS109*Instructions!$E$36+Tier!BT110*Instructions!$E$25+IFERROR(BU109/Instructions!$E$27,0)+BV109*Instructions!$E$29+IFERROR((BW109+BY109)/Instructions!$J$32,0)+(BX109+BZ109)*Instructions!$J$34+Tier!CA109*-2</f>
        <v>18.899999999999999</v>
      </c>
      <c r="CC109" s="354"/>
      <c r="CD109" s="321">
        <v>2014</v>
      </c>
      <c r="CE109" s="370" t="s">
        <v>1250</v>
      </c>
      <c r="CF109" s="371" t="s">
        <v>140</v>
      </c>
      <c r="CG109" s="371" t="s">
        <v>6</v>
      </c>
      <c r="CH109" s="371">
        <v>0</v>
      </c>
      <c r="CI109" s="371">
        <v>0</v>
      </c>
      <c r="CJ109" s="371">
        <v>0</v>
      </c>
      <c r="CK109" s="371">
        <v>0</v>
      </c>
      <c r="CL109" s="371">
        <v>0</v>
      </c>
      <c r="CM109" s="371">
        <v>29</v>
      </c>
      <c r="CN109" s="371">
        <v>271</v>
      </c>
      <c r="CO109" s="371">
        <v>1</v>
      </c>
      <c r="CP109" s="371">
        <v>0</v>
      </c>
      <c r="CQ109" s="371">
        <v>0</v>
      </c>
      <c r="CR109" s="371">
        <v>376</v>
      </c>
      <c r="CS109" s="371">
        <v>0</v>
      </c>
      <c r="CT109" s="371">
        <v>0</v>
      </c>
      <c r="CU109" s="367">
        <f>IFERROR(CH109/Instructions!$J$25,0)+CI109*Instructions!$J$27+CJ109*Instructions!$J$29+IFERROR(CK109/Instructions!$E$34,0)+CL109*Instructions!$E$36+Tier!CM109*Instructions!$E$25+IFERROR(CN109/Instructions!$E$27,0)+CO109*Instructions!$E$29+IFERROR((CP109+CR109)/Instructions!$J$32,0)+(CQ109+CS109)*Instructions!$J$34+Tier!CT109*-2</f>
        <v>62.1</v>
      </c>
      <c r="CV109" s="354"/>
      <c r="CW109" s="238">
        <v>2017</v>
      </c>
      <c r="CX109" s="365" t="s">
        <v>1147</v>
      </c>
      <c r="CY109" s="366" t="s">
        <v>158</v>
      </c>
      <c r="CZ109" s="366" t="s">
        <v>7</v>
      </c>
      <c r="DA109" s="366">
        <v>0</v>
      </c>
      <c r="DB109" s="366">
        <v>0</v>
      </c>
      <c r="DC109" s="366">
        <v>0</v>
      </c>
      <c r="DD109" s="366">
        <v>0</v>
      </c>
      <c r="DE109" s="366">
        <v>0</v>
      </c>
      <c r="DF109" s="366">
        <v>80</v>
      </c>
      <c r="DG109" s="366">
        <v>690</v>
      </c>
      <c r="DH109" s="366">
        <v>4</v>
      </c>
      <c r="DI109" s="366">
        <v>0</v>
      </c>
      <c r="DJ109" s="366">
        <v>0</v>
      </c>
      <c r="DK109" s="366">
        <v>0</v>
      </c>
      <c r="DL109" s="366">
        <v>0</v>
      </c>
      <c r="DM109" s="366">
        <v>2</v>
      </c>
      <c r="DN109" s="367">
        <f>IFERROR(DA109/Instructions!$J$25,0)+DB109*Instructions!$J$27+DC109*Instructions!$J$29+IFERROR(DD109/Instructions!$E$34,0)+DE109*Instructions!$E$36+Tier!DF109*Instructions!$E$25+IFERROR(DG109/Instructions!$E$27,0)+DH109*Instructions!$E$29+IFERROR((DI109+DK109)/Instructions!$J$32,0)+(DJ109+DL109)*Instructions!$J$34+Tier!DM109*-2</f>
        <v>169</v>
      </c>
    </row>
    <row r="110" spans="1:118" s="366" customFormat="1" ht="15.75" customHeight="1" x14ac:dyDescent="0.25">
      <c r="A110" s="238"/>
      <c r="B110" s="238"/>
      <c r="C110" s="354"/>
      <c r="D110" s="365"/>
      <c r="F110" s="238">
        <v>2017</v>
      </c>
      <c r="G110" s="367">
        <f>LARGE($BI$101:$BI$132,10)</f>
        <v>262.71999999999997</v>
      </c>
      <c r="H110" s="355">
        <f t="shared" si="71"/>
        <v>7.9800000000000182</v>
      </c>
      <c r="I110" s="356">
        <f t="shared" si="68"/>
        <v>63.68040000000029</v>
      </c>
      <c r="J110" s="356">
        <f>J111+J101</f>
        <v>270.73999999999995</v>
      </c>
      <c r="K110" s="356">
        <f t="shared" si="72"/>
        <v>0.49875000000000114</v>
      </c>
      <c r="L110" s="238">
        <f t="shared" si="73"/>
        <v>6</v>
      </c>
      <c r="M110" s="354"/>
      <c r="N110" s="372"/>
      <c r="O110" s="372"/>
      <c r="P110" s="366">
        <v>2014</v>
      </c>
      <c r="Q110" s="367">
        <f>LARGE($CB$2:$CB$151,109)</f>
        <v>18.600000000000001</v>
      </c>
      <c r="R110" s="357">
        <f t="shared" si="67"/>
        <v>-146</v>
      </c>
      <c r="S110" s="356">
        <f t="shared" si="47"/>
        <v>21316</v>
      </c>
      <c r="T110" s="356"/>
      <c r="U110" s="356">
        <f t="shared" si="54"/>
        <v>-9.125</v>
      </c>
      <c r="V110" s="238">
        <f t="shared" si="55"/>
        <v>8</v>
      </c>
      <c r="W110" s="354"/>
      <c r="X110" s="371"/>
      <c r="Y110" s="371"/>
      <c r="Z110" s="321">
        <v>2014</v>
      </c>
      <c r="AA110" s="367">
        <f>LARGE($CU$2:$CU$151,109)</f>
        <v>61</v>
      </c>
      <c r="AB110" s="357">
        <f t="shared" si="56"/>
        <v>-156.73333333333335</v>
      </c>
      <c r="AC110" s="356">
        <f t="shared" si="53"/>
        <v>24565.337777777782</v>
      </c>
      <c r="AD110" s="356"/>
      <c r="AE110" s="356">
        <f t="shared" si="57"/>
        <v>-9.7958333333333343</v>
      </c>
      <c r="AF110" s="238">
        <f t="shared" si="58"/>
        <v>8</v>
      </c>
      <c r="AG110" s="354"/>
      <c r="AJ110" s="238">
        <v>2017</v>
      </c>
      <c r="AK110" s="367">
        <f>LARGE($DN$101:$DN$132,10)</f>
        <v>143.1</v>
      </c>
      <c r="AL110" s="373">
        <f t="shared" si="74"/>
        <v>10.400000000000006</v>
      </c>
      <c r="AM110" s="374">
        <f t="shared" si="69"/>
        <v>108.16000000000012</v>
      </c>
      <c r="AN110" s="356">
        <f>AN111+AN101</f>
        <v>148.69999999999999</v>
      </c>
      <c r="AO110" s="374">
        <f t="shared" si="75"/>
        <v>0.65000000000000036</v>
      </c>
      <c r="AP110" s="238">
        <f t="shared" si="70"/>
        <v>6</v>
      </c>
      <c r="AQ110" s="354"/>
      <c r="AR110" s="238">
        <v>2017</v>
      </c>
      <c r="AS110" t="s">
        <v>1295</v>
      </c>
      <c r="AT110" t="s">
        <v>146</v>
      </c>
      <c r="AU110" s="366" t="s">
        <v>1</v>
      </c>
      <c r="AV110" s="418">
        <v>3325</v>
      </c>
      <c r="AW110" s="440">
        <v>22</v>
      </c>
      <c r="AX110" s="440">
        <v>13</v>
      </c>
      <c r="AY110" s="440">
        <v>357</v>
      </c>
      <c r="AZ110" s="440">
        <v>6</v>
      </c>
      <c r="BA110" s="238">
        <v>0</v>
      </c>
      <c r="BB110" s="238">
        <v>0</v>
      </c>
      <c r="BC110" s="238">
        <v>0</v>
      </c>
      <c r="BD110" s="238">
        <v>0</v>
      </c>
      <c r="BE110" s="238">
        <v>0</v>
      </c>
      <c r="BF110" s="238">
        <v>0</v>
      </c>
      <c r="BG110" s="238">
        <v>0</v>
      </c>
      <c r="BH110" s="238">
        <v>0</v>
      </c>
      <c r="BI110" s="367">
        <f>IFERROR(AV110/Instructions!$J$25,0)+AW110*Instructions!$J$27+AX110*Instructions!$J$29+IFERROR(AY110/Instructions!$E$34,0)+AZ110*Instructions!$E$36+Tier!BA110*Instructions!$E$25+IFERROR(BB110/Instructions!$E$27,0)+BC110*Instructions!$E$29+IFERROR((BD110+BF110)/Instructions!$J$32,0)+(BE110+BG110)*Instructions!$J$34+BH110*-2</f>
        <v>266.7</v>
      </c>
      <c r="BJ110" s="354"/>
      <c r="BK110" s="366">
        <v>2014</v>
      </c>
      <c r="BL110" s="370" t="s">
        <v>1236</v>
      </c>
      <c r="BM110" s="372" t="s">
        <v>167</v>
      </c>
      <c r="BN110" s="372" t="s">
        <v>3</v>
      </c>
      <c r="BO110" s="372">
        <v>0</v>
      </c>
      <c r="BP110" s="372">
        <v>0</v>
      </c>
      <c r="BQ110" s="372">
        <v>0</v>
      </c>
      <c r="BR110" s="372">
        <v>0</v>
      </c>
      <c r="BS110" s="372">
        <v>0</v>
      </c>
      <c r="BT110" s="372">
        <v>5</v>
      </c>
      <c r="BU110" s="372">
        <v>18</v>
      </c>
      <c r="BV110" s="372">
        <v>2</v>
      </c>
      <c r="BW110" s="372">
        <v>0</v>
      </c>
      <c r="BX110" s="372">
        <v>0</v>
      </c>
      <c r="BY110" s="372">
        <v>0</v>
      </c>
      <c r="BZ110" s="372">
        <v>0</v>
      </c>
      <c r="CA110" s="372">
        <v>0</v>
      </c>
      <c r="CB110" s="367">
        <f>IFERROR(BO110/Instructions!$J$25,0)+BP110*Instructions!$J$27+BQ110*Instructions!$J$29+IFERROR(BR110/Instructions!$E$34,0)+BS110*Instructions!$E$36+Tier!BT111*Instructions!$E$25+IFERROR(BU110/Instructions!$E$27,0)+BV110*Instructions!$E$29+IFERROR((BW110+BY110)/Instructions!$J$32,0)+(BX110+BZ110)*Instructions!$J$34+Tier!CA110*-2</f>
        <v>20.8</v>
      </c>
      <c r="CC110" s="354"/>
      <c r="CD110" s="321">
        <v>2014</v>
      </c>
      <c r="CE110" s="370" t="s">
        <v>222</v>
      </c>
      <c r="CF110" s="371" t="s">
        <v>164</v>
      </c>
      <c r="CG110" s="371" t="s">
        <v>6</v>
      </c>
      <c r="CH110" s="371">
        <v>0</v>
      </c>
      <c r="CI110" s="371">
        <v>0</v>
      </c>
      <c r="CJ110" s="371">
        <v>0</v>
      </c>
      <c r="CK110" s="371">
        <v>0</v>
      </c>
      <c r="CL110" s="371">
        <v>0</v>
      </c>
      <c r="CM110" s="371">
        <v>38</v>
      </c>
      <c r="CN110" s="371">
        <v>345</v>
      </c>
      <c r="CO110" s="371">
        <v>2</v>
      </c>
      <c r="CP110" s="371">
        <v>0</v>
      </c>
      <c r="CQ110" s="371">
        <v>0</v>
      </c>
      <c r="CR110" s="371">
        <v>21</v>
      </c>
      <c r="CS110" s="371">
        <v>0</v>
      </c>
      <c r="CT110" s="371">
        <v>0</v>
      </c>
      <c r="CU110" s="367">
        <f>IFERROR(CH110/Instructions!$J$25,0)+CI110*Instructions!$J$27+CJ110*Instructions!$J$29+IFERROR(CK110/Instructions!$E$34,0)+CL110*Instructions!$E$36+Tier!CM110*Instructions!$E$25+IFERROR(CN110/Instructions!$E$27,0)+CO110*Instructions!$E$29+IFERROR((CP110+CR110)/Instructions!$J$32,0)+(CQ110+CS110)*Instructions!$J$34+Tier!CT110*-2</f>
        <v>84.5</v>
      </c>
      <c r="CV110" s="354"/>
      <c r="CW110" s="238">
        <v>2017</v>
      </c>
      <c r="CX110" s="365" t="s">
        <v>28</v>
      </c>
      <c r="CY110" s="366" t="s">
        <v>146</v>
      </c>
      <c r="CZ110" s="366" t="s">
        <v>7</v>
      </c>
      <c r="DA110" s="366">
        <v>0</v>
      </c>
      <c r="DB110" s="366">
        <v>0</v>
      </c>
      <c r="DC110" s="366">
        <v>0</v>
      </c>
      <c r="DD110" s="366">
        <v>0</v>
      </c>
      <c r="DE110" s="366">
        <v>0</v>
      </c>
      <c r="DF110" s="366">
        <v>63</v>
      </c>
      <c r="DG110" s="366">
        <v>560</v>
      </c>
      <c r="DH110" s="366">
        <v>5</v>
      </c>
      <c r="DI110" s="366">
        <v>0</v>
      </c>
      <c r="DJ110" s="366">
        <v>0</v>
      </c>
      <c r="DK110" s="366">
        <v>0</v>
      </c>
      <c r="DL110" s="366">
        <v>0</v>
      </c>
      <c r="DM110" s="366">
        <v>1</v>
      </c>
      <c r="DN110" s="367">
        <f>IFERROR(DA110/Instructions!$J$25,0)+DB110*Instructions!$J$27+DC110*Instructions!$J$29+IFERROR(DD110/Instructions!$E$34,0)+DE110*Instructions!$E$36+Tier!DF110*Instructions!$E$25+IFERROR(DG110/Instructions!$E$27,0)+DH110*Instructions!$E$29+IFERROR((DI110+DK110)/Instructions!$J$32,0)+(DJ110+DL110)*Instructions!$J$34+Tier!DM110*-2</f>
        <v>147</v>
      </c>
    </row>
    <row r="111" spans="1:118" s="366" customFormat="1" ht="15.75" customHeight="1" x14ac:dyDescent="0.25">
      <c r="A111" s="238"/>
      <c r="B111" s="238"/>
      <c r="C111" s="354"/>
      <c r="D111" s="365"/>
      <c r="F111" s="238">
        <v>2017</v>
      </c>
      <c r="G111" s="367">
        <f>LARGE($BI$101:$BI$132,11)</f>
        <v>261.46000000000004</v>
      </c>
      <c r="H111" s="355">
        <f t="shared" si="71"/>
        <v>6.7200000000000841</v>
      </c>
      <c r="I111" s="356">
        <f t="shared" si="68"/>
        <v>45.15840000000113</v>
      </c>
      <c r="J111" s="481">
        <f>(INDEX($G$101:$G$132,Instructions!$E$11*Instructions!$E$15,1)
+IF(Instructions!$E$15=2,INDEX($G$101:$G$132,Instructions!$E$11,1),0))
/(Instructions!$E$15)</f>
        <v>254.73999999999995</v>
      </c>
      <c r="K111" s="356">
        <f t="shared" si="72"/>
        <v>0.42000000000000526</v>
      </c>
      <c r="L111" s="238">
        <f t="shared" si="73"/>
        <v>6</v>
      </c>
      <c r="M111" s="354"/>
      <c r="N111" s="372"/>
      <c r="O111" s="372"/>
      <c r="P111" s="366">
        <v>2014</v>
      </c>
      <c r="Q111" s="367">
        <f>LARGE($CB$2:$CB$151,110)</f>
        <v>18.100000000000001</v>
      </c>
      <c r="R111" s="357">
        <f t="shared" si="67"/>
        <v>-146.5</v>
      </c>
      <c r="S111" s="356">
        <f t="shared" si="47"/>
        <v>21462.25</v>
      </c>
      <c r="T111" s="356"/>
      <c r="U111" s="356">
        <f t="shared" si="54"/>
        <v>-9.15625</v>
      </c>
      <c r="V111" s="238">
        <f t="shared" si="55"/>
        <v>8</v>
      </c>
      <c r="W111" s="354"/>
      <c r="X111" s="371"/>
      <c r="Y111" s="371"/>
      <c r="Z111" s="321">
        <v>2014</v>
      </c>
      <c r="AA111" s="367">
        <f>LARGE($CU$2:$CU$151,110)</f>
        <v>56.9</v>
      </c>
      <c r="AB111" s="357">
        <f t="shared" si="56"/>
        <v>-160.83333333333334</v>
      </c>
      <c r="AC111" s="356">
        <f t="shared" si="53"/>
        <v>25867.361111111113</v>
      </c>
      <c r="AD111" s="356"/>
      <c r="AE111" s="356">
        <f t="shared" si="57"/>
        <v>-10.052083333333334</v>
      </c>
      <c r="AF111" s="238">
        <f t="shared" si="58"/>
        <v>8</v>
      </c>
      <c r="AG111" s="354"/>
      <c r="AJ111" s="238">
        <v>2017</v>
      </c>
      <c r="AK111" s="367">
        <f>LARGE($DN$101:$DN$132,11)</f>
        <v>137.19999999999999</v>
      </c>
      <c r="AL111" s="373">
        <f t="shared" si="74"/>
        <v>4.5</v>
      </c>
      <c r="AM111" s="374">
        <f t="shared" si="69"/>
        <v>20.25</v>
      </c>
      <c r="AN111" s="481">
        <f>INDEX(Tier!AK101:AK132,Instructions!$E$11,1)</f>
        <v>132.69999999999999</v>
      </c>
      <c r="AO111" s="374">
        <f t="shared" si="75"/>
        <v>0.28125</v>
      </c>
      <c r="AP111" s="238">
        <f t="shared" si="70"/>
        <v>6</v>
      </c>
      <c r="AQ111" s="354"/>
      <c r="AR111" s="238">
        <v>2017</v>
      </c>
      <c r="AS111" t="s">
        <v>16</v>
      </c>
      <c r="AT111" t="s">
        <v>143</v>
      </c>
      <c r="AU111" s="366" t="s">
        <v>1</v>
      </c>
      <c r="AV111" s="418">
        <v>4338</v>
      </c>
      <c r="AW111" s="440">
        <v>23</v>
      </c>
      <c r="AX111" s="440">
        <v>8</v>
      </c>
      <c r="AY111" s="440">
        <v>12</v>
      </c>
      <c r="AZ111" s="440">
        <v>2</v>
      </c>
      <c r="BA111" s="238">
        <v>0</v>
      </c>
      <c r="BB111" s="238">
        <v>0</v>
      </c>
      <c r="BC111" s="238">
        <v>0</v>
      </c>
      <c r="BD111" s="238">
        <v>0</v>
      </c>
      <c r="BE111" s="238">
        <v>0</v>
      </c>
      <c r="BF111" s="238">
        <v>0</v>
      </c>
      <c r="BG111" s="238">
        <v>0</v>
      </c>
      <c r="BH111" s="238">
        <v>0</v>
      </c>
      <c r="BI111" s="367">
        <f>IFERROR(AV111/Instructions!$J$25,0)+AW111*Instructions!$J$27+AX111*Instructions!$J$29+IFERROR(AY111/Instructions!$E$34,0)+AZ111*Instructions!$E$36+Tier!BA111*Instructions!$E$25+IFERROR(BB111/Instructions!$E$27,0)+BC111*Instructions!$E$29+IFERROR((BD111+BF111)/Instructions!$J$32,0)+(BE111+BG111)*Instructions!$J$34+BH111*-2</f>
        <v>262.71999999999997</v>
      </c>
      <c r="BJ111" s="354"/>
      <c r="BK111" s="366">
        <v>2014</v>
      </c>
      <c r="BL111" s="370" t="s">
        <v>1152</v>
      </c>
      <c r="BM111" s="372" t="s">
        <v>145</v>
      </c>
      <c r="BN111" s="372" t="s">
        <v>3</v>
      </c>
      <c r="BO111" s="372">
        <v>0</v>
      </c>
      <c r="BP111" s="372">
        <v>0</v>
      </c>
      <c r="BQ111" s="372">
        <v>0</v>
      </c>
      <c r="BR111" s="372">
        <v>27</v>
      </c>
      <c r="BS111" s="372">
        <v>1</v>
      </c>
      <c r="BT111" s="372">
        <v>7</v>
      </c>
      <c r="BU111" s="372">
        <v>49</v>
      </c>
      <c r="BV111" s="372">
        <v>0</v>
      </c>
      <c r="BW111" s="372">
        <v>0</v>
      </c>
      <c r="BX111" s="372">
        <v>0</v>
      </c>
      <c r="BY111" s="372">
        <v>0</v>
      </c>
      <c r="BZ111" s="372">
        <v>0</v>
      </c>
      <c r="CA111" s="372">
        <v>0</v>
      </c>
      <c r="CB111" s="367">
        <f>IFERROR(BO111/Instructions!$J$25,0)+BP111*Instructions!$J$27+BQ111*Instructions!$J$29+IFERROR(BR111/Instructions!$E$34,0)+BS111*Instructions!$E$36+Tier!BT112*Instructions!$E$25+IFERROR(BU111/Instructions!$E$27,0)+BV111*Instructions!$E$29+IFERROR((BW111+BY111)/Instructions!$J$32,0)+(BX111+BZ111)*Instructions!$J$34+Tier!CA111*-2</f>
        <v>18.600000000000001</v>
      </c>
      <c r="CC111" s="354"/>
      <c r="CD111" s="321">
        <v>2014</v>
      </c>
      <c r="CE111" s="370" t="s">
        <v>1113</v>
      </c>
      <c r="CF111" s="371" t="s">
        <v>162</v>
      </c>
      <c r="CG111" s="371" t="s">
        <v>6</v>
      </c>
      <c r="CH111" s="371">
        <v>0</v>
      </c>
      <c r="CI111" s="371">
        <v>0</v>
      </c>
      <c r="CJ111" s="371">
        <v>0</v>
      </c>
      <c r="CK111" s="371">
        <v>0</v>
      </c>
      <c r="CL111" s="371">
        <v>0</v>
      </c>
      <c r="CM111" s="371">
        <v>24</v>
      </c>
      <c r="CN111" s="371">
        <v>267</v>
      </c>
      <c r="CO111" s="371">
        <v>3</v>
      </c>
      <c r="CP111" s="371">
        <v>0</v>
      </c>
      <c r="CQ111" s="371">
        <v>0</v>
      </c>
      <c r="CR111" s="371">
        <v>0</v>
      </c>
      <c r="CS111" s="371">
        <v>0</v>
      </c>
      <c r="CT111" s="371">
        <v>0</v>
      </c>
      <c r="CU111" s="367">
        <f>IFERROR(CH111/Instructions!$J$25,0)+CI111*Instructions!$J$27+CJ111*Instructions!$J$29+IFERROR(CK111/Instructions!$E$34,0)+CL111*Instructions!$E$36+Tier!CM111*Instructions!$E$25+IFERROR(CN111/Instructions!$E$27,0)+CO111*Instructions!$E$29+IFERROR((CP111+CR111)/Instructions!$J$32,0)+(CQ111+CS111)*Instructions!$J$34+Tier!CT111*-2</f>
        <v>68.7</v>
      </c>
      <c r="CV111" s="354"/>
      <c r="CW111" s="238">
        <v>2017</v>
      </c>
      <c r="CX111" s="365" t="s">
        <v>22</v>
      </c>
      <c r="CY111" s="366" t="s">
        <v>152</v>
      </c>
      <c r="CZ111" s="366" t="s">
        <v>7</v>
      </c>
      <c r="DA111" s="366">
        <v>0</v>
      </c>
      <c r="DB111" s="366">
        <v>0</v>
      </c>
      <c r="DC111" s="366">
        <v>0</v>
      </c>
      <c r="DD111" s="366">
        <v>0</v>
      </c>
      <c r="DE111" s="366">
        <v>0</v>
      </c>
      <c r="DF111" s="366">
        <v>43</v>
      </c>
      <c r="DG111" s="366">
        <v>648</v>
      </c>
      <c r="DH111" s="366">
        <v>3</v>
      </c>
      <c r="DI111" s="366">
        <v>0</v>
      </c>
      <c r="DJ111" s="366">
        <v>0</v>
      </c>
      <c r="DK111" s="366">
        <v>0</v>
      </c>
      <c r="DL111" s="366">
        <v>0</v>
      </c>
      <c r="DM111" s="366">
        <v>2</v>
      </c>
      <c r="DN111" s="367">
        <f>IFERROR(DA111/Instructions!$J$25,0)+DB111*Instructions!$J$27+DC111*Instructions!$J$29+IFERROR(DD111/Instructions!$E$34,0)+DE111*Instructions!$E$36+Tier!DF111*Instructions!$E$25+IFERROR(DG111/Instructions!$E$27,0)+DH111*Instructions!$E$29+IFERROR((DI111+DK111)/Instructions!$J$32,0)+(DJ111+DL111)*Instructions!$J$34+Tier!DM111*-2</f>
        <v>121.8</v>
      </c>
    </row>
    <row r="112" spans="1:118" s="366" customFormat="1" ht="15.75" customHeight="1" x14ac:dyDescent="0.25">
      <c r="A112" s="238"/>
      <c r="B112" s="238"/>
      <c r="C112" s="354"/>
      <c r="D112" s="365"/>
      <c r="F112" s="238">
        <v>2017</v>
      </c>
      <c r="G112" s="367">
        <f>LARGE($BI$101:$BI$132,12)</f>
        <v>254.73999999999995</v>
      </c>
      <c r="H112" s="355">
        <f t="shared" si="71"/>
        <v>0</v>
      </c>
      <c r="I112" s="356">
        <f t="shared" si="68"/>
        <v>0</v>
      </c>
      <c r="J112" s="356">
        <f>J111-J101</f>
        <v>238.73999999999995</v>
      </c>
      <c r="K112" s="356">
        <f t="shared" si="72"/>
        <v>0</v>
      </c>
      <c r="L112" s="238">
        <f t="shared" si="73"/>
        <v>7</v>
      </c>
      <c r="M112" s="354"/>
      <c r="N112" s="372"/>
      <c r="O112" s="372"/>
      <c r="P112" s="366">
        <v>2014</v>
      </c>
      <c r="Q112" s="367">
        <f>LARGE($CB$2:$CB$151,111)</f>
        <v>17.100000000000001</v>
      </c>
      <c r="R112" s="357">
        <f t="shared" si="67"/>
        <v>-147.5</v>
      </c>
      <c r="S112" s="356">
        <f t="shared" si="47"/>
        <v>21756.25</v>
      </c>
      <c r="T112" s="356"/>
      <c r="U112" s="356">
        <f t="shared" si="54"/>
        <v>-9.21875</v>
      </c>
      <c r="V112" s="238">
        <f t="shared" si="55"/>
        <v>8</v>
      </c>
      <c r="W112" s="354"/>
      <c r="X112" s="371"/>
      <c r="Y112" s="371"/>
      <c r="Z112" s="321">
        <v>2014</v>
      </c>
      <c r="AA112" s="367">
        <f>LARGE($CU$2:$CU$151,111)</f>
        <v>54.3</v>
      </c>
      <c r="AB112" s="357">
        <f t="shared" si="56"/>
        <v>-163.43333333333334</v>
      </c>
      <c r="AC112" s="356">
        <f t="shared" si="53"/>
        <v>26710.454444444447</v>
      </c>
      <c r="AD112" s="356"/>
      <c r="AE112" s="356">
        <f t="shared" si="57"/>
        <v>-10.214583333333334</v>
      </c>
      <c r="AF112" s="238">
        <f t="shared" si="58"/>
        <v>8</v>
      </c>
      <c r="AG112" s="354"/>
      <c r="AJ112" s="238">
        <v>2017</v>
      </c>
      <c r="AK112" s="367">
        <f>LARGE($DN$101:$DN$132,12)</f>
        <v>132.69999999999999</v>
      </c>
      <c r="AL112" s="373">
        <f t="shared" si="74"/>
        <v>0</v>
      </c>
      <c r="AM112" s="374">
        <f t="shared" si="69"/>
        <v>0</v>
      </c>
      <c r="AN112" s="356">
        <f>AN111-AN101</f>
        <v>116.69999999999999</v>
      </c>
      <c r="AO112" s="374">
        <f t="shared" si="75"/>
        <v>0</v>
      </c>
      <c r="AP112" s="238">
        <f t="shared" si="70"/>
        <v>7</v>
      </c>
      <c r="AQ112" s="354"/>
      <c r="AR112" s="238">
        <v>2017</v>
      </c>
      <c r="AS112" t="s">
        <v>1196</v>
      </c>
      <c r="AT112" t="s">
        <v>1389</v>
      </c>
      <c r="AU112" s="366" t="s">
        <v>1</v>
      </c>
      <c r="AV112" s="418">
        <v>3809</v>
      </c>
      <c r="AW112" s="440">
        <v>28</v>
      </c>
      <c r="AX112" s="440">
        <v>7</v>
      </c>
      <c r="AY112" s="440">
        <v>51</v>
      </c>
      <c r="AZ112" s="440">
        <v>1</v>
      </c>
      <c r="BA112" s="238">
        <v>0</v>
      </c>
      <c r="BB112" s="238">
        <v>0</v>
      </c>
      <c r="BC112" s="238">
        <v>0</v>
      </c>
      <c r="BD112" s="238">
        <v>0</v>
      </c>
      <c r="BE112" s="238">
        <v>0</v>
      </c>
      <c r="BF112" s="238">
        <v>0</v>
      </c>
      <c r="BG112" s="238">
        <v>0</v>
      </c>
      <c r="BH112" s="238">
        <v>0</v>
      </c>
      <c r="BI112" s="367">
        <f>IFERROR(AV112/Instructions!$J$25,0)+AW112*Instructions!$J$27+AX112*Instructions!$J$29+IFERROR(AY112/Instructions!$E$34,0)+AZ112*Instructions!$E$36+Tier!BA112*Instructions!$E$25+IFERROR(BB112/Instructions!$E$27,0)+BC112*Instructions!$E$29+IFERROR((BD112+BF112)/Instructions!$J$32,0)+(BE112+BG112)*Instructions!$J$34+BH112*-2</f>
        <v>261.46000000000004</v>
      </c>
      <c r="BJ112" s="354"/>
      <c r="BK112" s="366">
        <v>2014</v>
      </c>
      <c r="BL112" s="370" t="s">
        <v>1283</v>
      </c>
      <c r="BM112" s="372" t="s">
        <v>1633</v>
      </c>
      <c r="BN112" s="372" t="s">
        <v>3</v>
      </c>
      <c r="BO112" s="372">
        <v>0</v>
      </c>
      <c r="BP112" s="372">
        <v>0</v>
      </c>
      <c r="BQ112" s="372">
        <v>0</v>
      </c>
      <c r="BR112" s="372">
        <v>23</v>
      </c>
      <c r="BS112" s="372">
        <v>1</v>
      </c>
      <c r="BT112" s="372">
        <v>5</v>
      </c>
      <c r="BU112" s="372">
        <v>48</v>
      </c>
      <c r="BV112" s="372">
        <v>0</v>
      </c>
      <c r="BW112" s="372">
        <v>0</v>
      </c>
      <c r="BX112" s="372">
        <v>0</v>
      </c>
      <c r="BY112" s="372">
        <v>0</v>
      </c>
      <c r="BZ112" s="372">
        <v>0</v>
      </c>
      <c r="CA112" s="372">
        <v>0</v>
      </c>
      <c r="CB112" s="367">
        <f>IFERROR(BO112/Instructions!$J$25,0)+BP112*Instructions!$J$27+BQ112*Instructions!$J$29+IFERROR(BR112/Instructions!$E$34,0)+BS112*Instructions!$E$36+Tier!BT113*Instructions!$E$25+IFERROR(BU112/Instructions!$E$27,0)+BV112*Instructions!$E$29+IFERROR((BW112+BY112)/Instructions!$J$32,0)+(BX112+BZ112)*Instructions!$J$34+Tier!CA112*-2</f>
        <v>20.100000000000001</v>
      </c>
      <c r="CC112" s="354"/>
      <c r="CD112" s="321">
        <v>2014</v>
      </c>
      <c r="CE112" s="370" t="s">
        <v>1729</v>
      </c>
      <c r="CF112" s="371" t="s">
        <v>1633</v>
      </c>
      <c r="CG112" s="371" t="s">
        <v>6</v>
      </c>
      <c r="CH112" s="371">
        <v>0</v>
      </c>
      <c r="CI112" s="371">
        <v>0</v>
      </c>
      <c r="CJ112" s="371">
        <v>0</v>
      </c>
      <c r="CK112" s="371">
        <v>1</v>
      </c>
      <c r="CL112" s="371">
        <v>0</v>
      </c>
      <c r="CM112" s="371">
        <v>34</v>
      </c>
      <c r="CN112" s="371">
        <v>353</v>
      </c>
      <c r="CO112" s="371">
        <v>1</v>
      </c>
      <c r="CP112" s="371">
        <v>0</v>
      </c>
      <c r="CQ112" s="371">
        <v>0</v>
      </c>
      <c r="CR112" s="371">
        <v>0</v>
      </c>
      <c r="CS112" s="371">
        <v>0</v>
      </c>
      <c r="CT112" s="371">
        <v>0</v>
      </c>
      <c r="CU112" s="367">
        <f>IFERROR(CH112/Instructions!$J$25,0)+CI112*Instructions!$J$27+CJ112*Instructions!$J$29+IFERROR(CK112/Instructions!$E$34,0)+CL112*Instructions!$E$36+Tier!CM112*Instructions!$E$25+IFERROR(CN112/Instructions!$E$27,0)+CO112*Instructions!$E$29+IFERROR((CP112+CR112)/Instructions!$J$32,0)+(CQ112+CS112)*Instructions!$J$34+Tier!CT112*-2</f>
        <v>75.400000000000006</v>
      </c>
      <c r="CV112" s="354"/>
      <c r="CW112" s="238">
        <v>2017</v>
      </c>
      <c r="CX112" s="365" t="s">
        <v>1148</v>
      </c>
      <c r="CY112" s="366" t="s">
        <v>145</v>
      </c>
      <c r="CZ112" s="366" t="s">
        <v>7</v>
      </c>
      <c r="DA112" s="366">
        <v>0</v>
      </c>
      <c r="DB112" s="366">
        <v>0</v>
      </c>
      <c r="DC112" s="366">
        <v>0</v>
      </c>
      <c r="DD112" s="366">
        <v>0</v>
      </c>
      <c r="DE112" s="366">
        <v>0</v>
      </c>
      <c r="DF112" s="366">
        <v>42</v>
      </c>
      <c r="DG112" s="366">
        <v>404</v>
      </c>
      <c r="DH112" s="366">
        <v>7</v>
      </c>
      <c r="DI112" s="366">
        <v>0</v>
      </c>
      <c r="DJ112" s="366">
        <v>0</v>
      </c>
      <c r="DK112" s="366">
        <v>0</v>
      </c>
      <c r="DL112" s="366">
        <v>0</v>
      </c>
      <c r="DM112" s="366">
        <v>0</v>
      </c>
      <c r="DN112" s="367">
        <f>IFERROR(DA112/Instructions!$J$25,0)+DB112*Instructions!$J$27+DC112*Instructions!$J$29+IFERROR(DD112/Instructions!$E$34,0)+DE112*Instructions!$E$36+Tier!DF112*Instructions!$E$25+IFERROR(DG112/Instructions!$E$27,0)+DH112*Instructions!$E$29+IFERROR((DI112+DK112)/Instructions!$J$32,0)+(DJ112+DL112)*Instructions!$J$34+Tier!DM112*-2</f>
        <v>124.4</v>
      </c>
    </row>
    <row r="113" spans="1:118" s="366" customFormat="1" ht="15.75" customHeight="1" x14ac:dyDescent="0.25">
      <c r="A113" s="238"/>
      <c r="B113" s="238"/>
      <c r="C113" s="354"/>
      <c r="D113" s="365"/>
      <c r="F113" s="238">
        <v>2017</v>
      </c>
      <c r="G113" s="367">
        <f>LARGE($BI$101:$BI$132,13)</f>
        <v>243.77999999999997</v>
      </c>
      <c r="H113" s="355">
        <f t="shared" si="71"/>
        <v>-10.95999999999998</v>
      </c>
      <c r="I113" s="356">
        <f t="shared" si="68"/>
        <v>120.12159999999955</v>
      </c>
      <c r="J113" s="356">
        <f>J112-J101</f>
        <v>222.73999999999995</v>
      </c>
      <c r="K113" s="356">
        <f t="shared" si="72"/>
        <v>-0.68499999999999872</v>
      </c>
      <c r="L113" s="238">
        <f t="shared" si="73"/>
        <v>7</v>
      </c>
      <c r="M113" s="354"/>
      <c r="N113" s="372"/>
      <c r="O113" s="372"/>
      <c r="P113" s="366">
        <v>2014</v>
      </c>
      <c r="Q113" s="367">
        <f>LARGE($CB$2:$CB$151,112)</f>
        <v>16.900000000000002</v>
      </c>
      <c r="R113" s="357">
        <f t="shared" si="67"/>
        <v>-147.69999999999999</v>
      </c>
      <c r="S113" s="356">
        <f t="shared" si="47"/>
        <v>21815.289999999997</v>
      </c>
      <c r="T113" s="238"/>
      <c r="U113" s="356">
        <f t="shared" si="54"/>
        <v>-9.2312499999999993</v>
      </c>
      <c r="V113" s="238">
        <f t="shared" si="55"/>
        <v>8</v>
      </c>
      <c r="W113" s="354"/>
      <c r="X113" s="371"/>
      <c r="Y113" s="371"/>
      <c r="Z113" s="321">
        <v>2014</v>
      </c>
      <c r="AA113" s="367">
        <f>LARGE($CU$2:$CU$151,112)</f>
        <v>53</v>
      </c>
      <c r="AB113" s="357">
        <f t="shared" si="56"/>
        <v>-164.73333333333335</v>
      </c>
      <c r="AC113" s="356">
        <f t="shared" si="53"/>
        <v>27137.071111111116</v>
      </c>
      <c r="AD113" s="356"/>
      <c r="AE113" s="356">
        <f t="shared" si="57"/>
        <v>-10.295833333333334</v>
      </c>
      <c r="AF113" s="238">
        <f t="shared" si="58"/>
        <v>8</v>
      </c>
      <c r="AG113" s="354"/>
      <c r="AJ113" s="238">
        <v>2017</v>
      </c>
      <c r="AK113" s="367">
        <f>LARGE($DN$101:$DN$132,13)</f>
        <v>132.4</v>
      </c>
      <c r="AL113" s="373">
        <f t="shared" si="74"/>
        <v>-0.29999999999998295</v>
      </c>
      <c r="AM113" s="374">
        <f t="shared" si="69"/>
        <v>8.9999999999989769E-2</v>
      </c>
      <c r="AN113" s="356">
        <f>AN112-AN101</f>
        <v>100.69999999999999</v>
      </c>
      <c r="AO113" s="374">
        <f t="shared" si="75"/>
        <v>-1.8749999999998934E-2</v>
      </c>
      <c r="AP113" s="238">
        <f t="shared" si="70"/>
        <v>7</v>
      </c>
      <c r="AQ113" s="354"/>
      <c r="AR113" s="238">
        <v>2017</v>
      </c>
      <c r="AS113" t="s">
        <v>174</v>
      </c>
      <c r="AT113" t="s">
        <v>165</v>
      </c>
      <c r="AU113" s="366" t="s">
        <v>1</v>
      </c>
      <c r="AV113" s="418">
        <v>3687</v>
      </c>
      <c r="AW113" s="440">
        <v>21</v>
      </c>
      <c r="AX113" s="440">
        <v>13</v>
      </c>
      <c r="AY113" s="440">
        <v>323</v>
      </c>
      <c r="AZ113" s="440">
        <v>2</v>
      </c>
      <c r="BA113" s="238">
        <v>0</v>
      </c>
      <c r="BB113" s="238">
        <v>0</v>
      </c>
      <c r="BC113" s="238">
        <v>0</v>
      </c>
      <c r="BD113" s="238">
        <v>0</v>
      </c>
      <c r="BE113" s="238">
        <v>0</v>
      </c>
      <c r="BF113" s="238">
        <v>0</v>
      </c>
      <c r="BG113" s="238">
        <v>0</v>
      </c>
      <c r="BH113" s="238">
        <v>3</v>
      </c>
      <c r="BI113" s="367">
        <f>IFERROR(AV113/Instructions!$J$25,0)+AW113*Instructions!$J$27+AX113*Instructions!$J$29+IFERROR(AY113/Instructions!$E$34,0)+AZ113*Instructions!$E$36+Tier!BA113*Instructions!$E$25+IFERROR(BB113/Instructions!$E$27,0)+BC113*Instructions!$E$29+IFERROR((BD113+BF113)/Instructions!$J$32,0)+(BE113+BG113)*Instructions!$J$34+BH113*-2</f>
        <v>243.77999999999997</v>
      </c>
      <c r="BJ113" s="354"/>
      <c r="BK113" s="366">
        <v>2014</v>
      </c>
      <c r="BL113" s="370" t="s">
        <v>1703</v>
      </c>
      <c r="BM113" s="372" t="s">
        <v>153</v>
      </c>
      <c r="BN113" s="372" t="s">
        <v>3</v>
      </c>
      <c r="BO113" s="372">
        <v>0</v>
      </c>
      <c r="BP113" s="372">
        <v>0</v>
      </c>
      <c r="BQ113" s="372">
        <v>0</v>
      </c>
      <c r="BR113" s="372">
        <v>41</v>
      </c>
      <c r="BS113" s="372">
        <v>1</v>
      </c>
      <c r="BT113" s="372">
        <v>7</v>
      </c>
      <c r="BU113" s="372">
        <v>29</v>
      </c>
      <c r="BV113" s="372">
        <v>0</v>
      </c>
      <c r="BW113" s="372">
        <v>0</v>
      </c>
      <c r="BX113" s="372">
        <v>0</v>
      </c>
      <c r="BY113" s="372">
        <v>0</v>
      </c>
      <c r="BZ113" s="372">
        <v>0</v>
      </c>
      <c r="CA113" s="372">
        <v>0</v>
      </c>
      <c r="CB113" s="367">
        <f>IFERROR(BO113/Instructions!$J$25,0)+BP113*Instructions!$J$27+BQ113*Instructions!$J$29+IFERROR(BR113/Instructions!$E$34,0)+BS113*Instructions!$E$36+Tier!BT114*Instructions!$E$25+IFERROR(BU113/Instructions!$E$27,0)+BV113*Instructions!$E$29+IFERROR((BW113+BY113)/Instructions!$J$32,0)+(BX113+BZ113)*Instructions!$J$34+Tier!CA113*-2</f>
        <v>22</v>
      </c>
      <c r="CC113" s="354"/>
      <c r="CD113" s="321">
        <v>2014</v>
      </c>
      <c r="CE113" s="370" t="s">
        <v>239</v>
      </c>
      <c r="CF113" s="371" t="s">
        <v>166</v>
      </c>
      <c r="CG113" s="371" t="s">
        <v>6</v>
      </c>
      <c r="CH113" s="371">
        <v>0</v>
      </c>
      <c r="CI113" s="371">
        <v>0</v>
      </c>
      <c r="CJ113" s="371">
        <v>0</v>
      </c>
      <c r="CK113" s="371">
        <v>0</v>
      </c>
      <c r="CL113" s="371">
        <v>0</v>
      </c>
      <c r="CM113" s="371">
        <v>24</v>
      </c>
      <c r="CN113" s="371">
        <v>284</v>
      </c>
      <c r="CO113" s="371">
        <v>2</v>
      </c>
      <c r="CP113" s="371">
        <v>0</v>
      </c>
      <c r="CQ113" s="371">
        <v>0</v>
      </c>
      <c r="CR113" s="371">
        <v>0</v>
      </c>
      <c r="CS113" s="371">
        <v>0</v>
      </c>
      <c r="CT113" s="371">
        <v>0</v>
      </c>
      <c r="CU113" s="367">
        <f>IFERROR(CH113/Instructions!$J$25,0)+CI113*Instructions!$J$27+CJ113*Instructions!$J$29+IFERROR(CK113/Instructions!$E$34,0)+CL113*Instructions!$E$36+Tier!CM113*Instructions!$E$25+IFERROR(CN113/Instructions!$E$27,0)+CO113*Instructions!$E$29+IFERROR((CP113+CR113)/Instructions!$J$32,0)+(CQ113+CS113)*Instructions!$J$34+Tier!CT113*-2</f>
        <v>64.400000000000006</v>
      </c>
      <c r="CV113" s="354"/>
      <c r="CW113" s="238">
        <v>2017</v>
      </c>
      <c r="CX113" s="365" t="s">
        <v>1202</v>
      </c>
      <c r="CY113" s="366" t="s">
        <v>1388</v>
      </c>
      <c r="CZ113" s="366" t="s">
        <v>7</v>
      </c>
      <c r="DA113" s="366">
        <v>0</v>
      </c>
      <c r="DB113" s="366">
        <v>0</v>
      </c>
      <c r="DC113" s="366">
        <v>0</v>
      </c>
      <c r="DD113" s="366">
        <v>0</v>
      </c>
      <c r="DE113" s="366">
        <v>0</v>
      </c>
      <c r="DF113" s="366">
        <v>45</v>
      </c>
      <c r="DG113" s="366">
        <v>579</v>
      </c>
      <c r="DH113" s="366">
        <v>4</v>
      </c>
      <c r="DI113" s="366">
        <v>0</v>
      </c>
      <c r="DJ113" s="366">
        <v>0</v>
      </c>
      <c r="DK113" s="366">
        <v>0</v>
      </c>
      <c r="DL113" s="366">
        <v>0</v>
      </c>
      <c r="DM113" s="366">
        <v>0</v>
      </c>
      <c r="DN113" s="367">
        <f>IFERROR(DA113/Instructions!$J$25,0)+DB113*Instructions!$J$27+DC113*Instructions!$J$29+IFERROR(DD113/Instructions!$E$34,0)+DE113*Instructions!$E$36+Tier!DF113*Instructions!$E$25+IFERROR(DG113/Instructions!$E$27,0)+DH113*Instructions!$E$29+IFERROR((DI113+DK113)/Instructions!$J$32,0)+(DJ113+DL113)*Instructions!$J$34+Tier!DM113*-2</f>
        <v>126.9</v>
      </c>
    </row>
    <row r="114" spans="1:118" s="366" customFormat="1" ht="15.75" customHeight="1" x14ac:dyDescent="0.25">
      <c r="A114" s="238"/>
      <c r="B114" s="238"/>
      <c r="C114" s="354"/>
      <c r="D114" s="365"/>
      <c r="F114" s="238">
        <v>2017</v>
      </c>
      <c r="G114" s="367">
        <f>LARGE($BI$101:$BI$132,14)</f>
        <v>235.88</v>
      </c>
      <c r="H114" s="355">
        <f t="shared" si="71"/>
        <v>-18.859999999999957</v>
      </c>
      <c r="I114" s="356">
        <f t="shared" si="68"/>
        <v>355.69959999999838</v>
      </c>
      <c r="J114" s="356"/>
      <c r="K114" s="356">
        <f t="shared" si="72"/>
        <v>-1.1787499999999973</v>
      </c>
      <c r="L114" s="238">
        <f t="shared" si="73"/>
        <v>8</v>
      </c>
      <c r="M114" s="354"/>
      <c r="N114" s="372"/>
      <c r="O114" s="372"/>
      <c r="P114" s="366">
        <v>2014</v>
      </c>
      <c r="Q114" s="367">
        <f>LARGE($CB$2:$CB$151,113)</f>
        <v>16.8</v>
      </c>
      <c r="R114" s="357">
        <f t="shared" si="67"/>
        <v>-147.79999999999998</v>
      </c>
      <c r="S114" s="356">
        <f t="shared" si="47"/>
        <v>21844.839999999997</v>
      </c>
      <c r="T114" s="238"/>
      <c r="U114" s="356">
        <f t="shared" si="54"/>
        <v>-9.2374999999999989</v>
      </c>
      <c r="V114" s="238">
        <f t="shared" si="55"/>
        <v>8</v>
      </c>
      <c r="W114" s="354"/>
      <c r="X114" s="371"/>
      <c r="Y114" s="371"/>
      <c r="Z114" s="321">
        <v>2014</v>
      </c>
      <c r="AA114" s="367">
        <f>LARGE($CU$2:$CU$151,113)</f>
        <v>50.4</v>
      </c>
      <c r="AB114" s="357">
        <f t="shared" si="56"/>
        <v>-167.33333333333334</v>
      </c>
      <c r="AC114" s="356">
        <f t="shared" si="53"/>
        <v>28000.444444444449</v>
      </c>
      <c r="AD114" s="356"/>
      <c r="AE114" s="356">
        <f t="shared" si="57"/>
        <v>-10.458333333333334</v>
      </c>
      <c r="AF114" s="238">
        <f t="shared" si="58"/>
        <v>8</v>
      </c>
      <c r="AG114" s="354"/>
      <c r="AJ114" s="238">
        <v>2017</v>
      </c>
      <c r="AK114" s="367">
        <f>LARGE($DN$101:$DN$132,14)</f>
        <v>126.9</v>
      </c>
      <c r="AL114" s="373">
        <f t="shared" si="74"/>
        <v>-5.7999999999999829</v>
      </c>
      <c r="AM114" s="374">
        <f t="shared" si="69"/>
        <v>33.639999999999802</v>
      </c>
      <c r="AN114" s="356"/>
      <c r="AO114" s="374">
        <f t="shared" si="75"/>
        <v>-0.36249999999999893</v>
      </c>
      <c r="AP114" s="238">
        <f t="shared" si="70"/>
        <v>7</v>
      </c>
      <c r="AQ114" s="354"/>
      <c r="AR114" s="238">
        <v>2017</v>
      </c>
      <c r="AS114" t="s">
        <v>38</v>
      </c>
      <c r="AT114" t="s">
        <v>148</v>
      </c>
      <c r="AU114" s="366" t="s">
        <v>1</v>
      </c>
      <c r="AV114" s="418">
        <v>4095</v>
      </c>
      <c r="AW114" s="426">
        <v>20</v>
      </c>
      <c r="AX114" s="426">
        <v>12</v>
      </c>
      <c r="AY114" s="426">
        <v>143</v>
      </c>
      <c r="AZ114" s="426">
        <v>0</v>
      </c>
      <c r="BA114" s="238">
        <v>0</v>
      </c>
      <c r="BB114" s="238">
        <v>0</v>
      </c>
      <c r="BC114" s="238">
        <v>0</v>
      </c>
      <c r="BD114" s="238">
        <v>0</v>
      </c>
      <c r="BE114" s="238">
        <v>0</v>
      </c>
      <c r="BF114" s="238">
        <v>0</v>
      </c>
      <c r="BG114" s="238">
        <v>0</v>
      </c>
      <c r="BH114" s="238">
        <v>0</v>
      </c>
      <c r="BI114" s="367">
        <f>IFERROR(AV114/Instructions!$J$25,0)+AW114*Instructions!$J$27+AX114*Instructions!$J$29+IFERROR(AY114/Instructions!$E$34,0)+AZ114*Instructions!$E$36+Tier!BA114*Instructions!$E$25+IFERROR(BB114/Instructions!$E$27,0)+BC114*Instructions!$E$29+IFERROR((BD114+BF114)/Instructions!$J$32,0)+(BE114+BG114)*Instructions!$J$34+BH114*-2</f>
        <v>234.10000000000002</v>
      </c>
      <c r="BJ114" s="354"/>
      <c r="BK114" s="366">
        <v>2014</v>
      </c>
      <c r="BL114" s="370" t="s">
        <v>1234</v>
      </c>
      <c r="BM114" s="372" t="s">
        <v>148</v>
      </c>
      <c r="BN114" s="372" t="s">
        <v>3</v>
      </c>
      <c r="BO114" s="372">
        <v>0</v>
      </c>
      <c r="BP114" s="372">
        <v>0</v>
      </c>
      <c r="BQ114" s="372">
        <v>0</v>
      </c>
      <c r="BR114" s="372">
        <v>0</v>
      </c>
      <c r="BS114" s="372">
        <v>0</v>
      </c>
      <c r="BT114" s="372">
        <v>9</v>
      </c>
      <c r="BU114" s="372">
        <v>62</v>
      </c>
      <c r="BV114" s="372">
        <v>1</v>
      </c>
      <c r="BW114" s="372">
        <v>0</v>
      </c>
      <c r="BX114" s="372">
        <v>0</v>
      </c>
      <c r="BY114" s="372">
        <v>0</v>
      </c>
      <c r="BZ114" s="372">
        <v>0</v>
      </c>
      <c r="CA114" s="372">
        <v>0</v>
      </c>
      <c r="CB114" s="367">
        <f>IFERROR(BO114/Instructions!$J$25,0)+BP114*Instructions!$J$27+BQ114*Instructions!$J$29+IFERROR(BR114/Instructions!$E$34,0)+BS114*Instructions!$E$36+Tier!BT115*Instructions!$E$25+IFERROR(BU114/Instructions!$E$27,0)+BV114*Instructions!$E$29+IFERROR((BW114+BY114)/Instructions!$J$32,0)+(BX114+BZ114)*Instructions!$J$34+Tier!CA114*-2</f>
        <v>14.2</v>
      </c>
      <c r="CC114" s="354"/>
      <c r="CD114" s="321">
        <v>2014</v>
      </c>
      <c r="CE114" s="370" t="s">
        <v>214</v>
      </c>
      <c r="CF114" s="371" t="s">
        <v>167</v>
      </c>
      <c r="CG114" s="371" t="s">
        <v>6</v>
      </c>
      <c r="CH114" s="371">
        <v>0</v>
      </c>
      <c r="CI114" s="371">
        <v>0</v>
      </c>
      <c r="CJ114" s="371">
        <v>0</v>
      </c>
      <c r="CK114" s="371">
        <v>0</v>
      </c>
      <c r="CL114" s="371">
        <v>0</v>
      </c>
      <c r="CM114" s="371">
        <v>21</v>
      </c>
      <c r="CN114" s="371">
        <v>280</v>
      </c>
      <c r="CO114" s="371">
        <v>2</v>
      </c>
      <c r="CP114" s="371">
        <v>0</v>
      </c>
      <c r="CQ114" s="371">
        <v>0</v>
      </c>
      <c r="CR114" s="371">
        <v>0</v>
      </c>
      <c r="CS114" s="371">
        <v>0</v>
      </c>
      <c r="CT114" s="371">
        <v>0</v>
      </c>
      <c r="CU114" s="367">
        <f>IFERROR(CH114/Instructions!$J$25,0)+CI114*Instructions!$J$27+CJ114*Instructions!$J$29+IFERROR(CK114/Instructions!$E$34,0)+CL114*Instructions!$E$36+Tier!CM114*Instructions!$E$25+IFERROR(CN114/Instructions!$E$27,0)+CO114*Instructions!$E$29+IFERROR((CP114+CR114)/Instructions!$J$32,0)+(CQ114+CS114)*Instructions!$J$34+Tier!CT114*-2</f>
        <v>61</v>
      </c>
      <c r="CV114" s="354"/>
      <c r="CW114" s="238">
        <v>2017</v>
      </c>
      <c r="CX114" s="365" t="s">
        <v>58</v>
      </c>
      <c r="CY114" s="366" t="s">
        <v>142</v>
      </c>
      <c r="CZ114" s="366" t="s">
        <v>7</v>
      </c>
      <c r="DA114" s="366">
        <v>0</v>
      </c>
      <c r="DB114" s="366">
        <v>0</v>
      </c>
      <c r="DC114" s="366">
        <v>0</v>
      </c>
      <c r="DD114" s="366">
        <v>0</v>
      </c>
      <c r="DE114" s="366">
        <v>0</v>
      </c>
      <c r="DF114" s="366">
        <v>53</v>
      </c>
      <c r="DG114" s="366">
        <v>574</v>
      </c>
      <c r="DH114" s="366">
        <v>4</v>
      </c>
      <c r="DI114" s="366">
        <v>0</v>
      </c>
      <c r="DJ114" s="366">
        <v>0</v>
      </c>
      <c r="DK114" s="366">
        <v>0</v>
      </c>
      <c r="DL114" s="366">
        <v>0</v>
      </c>
      <c r="DM114" s="366">
        <v>1</v>
      </c>
      <c r="DN114" s="367">
        <f>IFERROR(DA114/Instructions!$J$25,0)+DB114*Instructions!$J$27+DC114*Instructions!$J$29+IFERROR(DD114/Instructions!$E$34,0)+DE114*Instructions!$E$36+Tier!DF114*Instructions!$E$25+IFERROR(DG114/Instructions!$E$27,0)+DH114*Instructions!$E$29+IFERROR((DI114+DK114)/Instructions!$J$32,0)+(DJ114+DL114)*Instructions!$J$34+Tier!DM114*-2</f>
        <v>132.4</v>
      </c>
    </row>
    <row r="115" spans="1:118" s="366" customFormat="1" ht="15.75" customHeight="1" x14ac:dyDescent="0.25">
      <c r="A115" s="238"/>
      <c r="B115" s="238"/>
      <c r="C115" s="354"/>
      <c r="D115" s="365"/>
      <c r="F115" s="238">
        <v>2017</v>
      </c>
      <c r="G115" s="367">
        <f>LARGE($BI$101:$BI$132,15)</f>
        <v>234.10000000000002</v>
      </c>
      <c r="H115" s="355">
        <f t="shared" si="71"/>
        <v>-20.63999999999993</v>
      </c>
      <c r="I115" s="356">
        <f t="shared" si="68"/>
        <v>426.00959999999708</v>
      </c>
      <c r="J115" s="356"/>
      <c r="K115" s="356">
        <f t="shared" si="72"/>
        <v>-1.2899999999999956</v>
      </c>
      <c r="L115" s="238">
        <f t="shared" si="73"/>
        <v>8</v>
      </c>
      <c r="M115" s="354"/>
      <c r="N115" s="372"/>
      <c r="O115" s="372"/>
      <c r="P115" s="366">
        <v>2014</v>
      </c>
      <c r="Q115" s="367">
        <f>LARGE($CB$2:$CB$151,114)</f>
        <v>16</v>
      </c>
      <c r="R115" s="357">
        <f t="shared" si="67"/>
        <v>-148.6</v>
      </c>
      <c r="S115" s="356">
        <f t="shared" si="47"/>
        <v>22081.96</v>
      </c>
      <c r="T115" s="238"/>
      <c r="U115" s="356">
        <f t="shared" si="54"/>
        <v>-9.2874999999999996</v>
      </c>
      <c r="V115" s="238">
        <f t="shared" si="55"/>
        <v>8</v>
      </c>
      <c r="W115" s="354"/>
      <c r="X115" s="371"/>
      <c r="Y115" s="371"/>
      <c r="Z115" s="321">
        <v>2014</v>
      </c>
      <c r="AA115" s="367">
        <f>LARGE($CU$2:$CU$151,114)</f>
        <v>49.5</v>
      </c>
      <c r="AB115" s="357">
        <f t="shared" si="56"/>
        <v>-168.23333333333335</v>
      </c>
      <c r="AC115" s="356">
        <f t="shared" si="53"/>
        <v>28302.454444444451</v>
      </c>
      <c r="AD115" s="356"/>
      <c r="AE115" s="356">
        <f t="shared" si="57"/>
        <v>-10.514583333333334</v>
      </c>
      <c r="AF115" s="238">
        <f t="shared" si="58"/>
        <v>8</v>
      </c>
      <c r="AG115" s="354"/>
      <c r="AJ115" s="238">
        <v>2017</v>
      </c>
      <c r="AK115" s="367">
        <f>LARGE($DN$101:$DN$132,15)</f>
        <v>124.4</v>
      </c>
      <c r="AL115" s="373">
        <f t="shared" si="74"/>
        <v>-8.2999999999999829</v>
      </c>
      <c r="AM115" s="374">
        <f t="shared" si="69"/>
        <v>68.889999999999716</v>
      </c>
      <c r="AN115" s="356"/>
      <c r="AO115" s="374">
        <f t="shared" si="75"/>
        <v>-0.51874999999999893</v>
      </c>
      <c r="AP115" s="238">
        <f t="shared" si="70"/>
        <v>7</v>
      </c>
      <c r="AQ115" s="354"/>
      <c r="AR115" s="238">
        <v>2017</v>
      </c>
      <c r="AS115" t="s">
        <v>1221</v>
      </c>
      <c r="AT115" t="s">
        <v>138</v>
      </c>
      <c r="AU115" s="366" t="s">
        <v>1</v>
      </c>
      <c r="AV115" s="418">
        <v>3547</v>
      </c>
      <c r="AW115" s="426">
        <v>22</v>
      </c>
      <c r="AX115" s="426">
        <v>7</v>
      </c>
      <c r="AY115" s="426">
        <v>160</v>
      </c>
      <c r="AZ115" s="426">
        <v>1</v>
      </c>
      <c r="BA115" s="238">
        <v>0</v>
      </c>
      <c r="BB115" s="238">
        <v>0</v>
      </c>
      <c r="BC115" s="238">
        <v>0</v>
      </c>
      <c r="BD115" s="238">
        <v>0</v>
      </c>
      <c r="BE115" s="238">
        <v>0</v>
      </c>
      <c r="BF115" s="238">
        <v>0</v>
      </c>
      <c r="BG115" s="238">
        <v>0</v>
      </c>
      <c r="BH115" s="238">
        <v>1</v>
      </c>
      <c r="BI115" s="367">
        <f>IFERROR(AV115/Instructions!$J$25,0)+AW115*Instructions!$J$27+AX115*Instructions!$J$29+IFERROR(AY115/Instructions!$E$34,0)+AZ115*Instructions!$E$36+Tier!BA115*Instructions!$E$25+IFERROR(BB115/Instructions!$E$27,0)+BC115*Instructions!$E$29+IFERROR((BD115+BF115)/Instructions!$J$32,0)+(BE115+BG115)*Instructions!$J$34+BH115*-2</f>
        <v>235.88</v>
      </c>
      <c r="BJ115" s="354"/>
      <c r="BK115" s="366">
        <v>2014</v>
      </c>
      <c r="BL115" s="370" t="s">
        <v>1704</v>
      </c>
      <c r="BM115" s="372" t="s">
        <v>164</v>
      </c>
      <c r="BN115" s="372" t="s">
        <v>3</v>
      </c>
      <c r="BO115" s="372">
        <v>0</v>
      </c>
      <c r="BP115" s="372">
        <v>0</v>
      </c>
      <c r="BQ115" s="372">
        <v>0</v>
      </c>
      <c r="BR115" s="372">
        <v>20</v>
      </c>
      <c r="BS115" s="372">
        <v>0</v>
      </c>
      <c r="BT115" s="372">
        <v>2</v>
      </c>
      <c r="BU115" s="372">
        <v>35</v>
      </c>
      <c r="BV115" s="372">
        <v>1</v>
      </c>
      <c r="BW115" s="372">
        <v>0</v>
      </c>
      <c r="BX115" s="372">
        <v>0</v>
      </c>
      <c r="BY115" s="372">
        <v>12</v>
      </c>
      <c r="BZ115" s="372">
        <v>0</v>
      </c>
      <c r="CA115" s="372">
        <v>0</v>
      </c>
      <c r="CB115" s="367">
        <f>IFERROR(BO115/Instructions!$J$25,0)+BP115*Instructions!$J$27+BQ115*Instructions!$J$29+IFERROR(BR115/Instructions!$E$34,0)+BS115*Instructions!$E$36+Tier!BT116*Instructions!$E$25+IFERROR(BU115/Instructions!$E$27,0)+BV115*Instructions!$E$29+IFERROR((BW115+BY115)/Instructions!$J$32,0)+(BX115+BZ115)*Instructions!$J$34+Tier!CA115*-2</f>
        <v>13.5</v>
      </c>
      <c r="CC115" s="354"/>
      <c r="CD115" s="321">
        <v>2014</v>
      </c>
      <c r="CE115" s="370" t="s">
        <v>61</v>
      </c>
      <c r="CF115" s="371" t="s">
        <v>154</v>
      </c>
      <c r="CG115" s="371" t="s">
        <v>6</v>
      </c>
      <c r="CH115" s="371">
        <v>0</v>
      </c>
      <c r="CI115" s="371">
        <v>0</v>
      </c>
      <c r="CJ115" s="371">
        <v>0</v>
      </c>
      <c r="CK115" s="371">
        <v>0</v>
      </c>
      <c r="CL115" s="371">
        <v>0</v>
      </c>
      <c r="CM115" s="371">
        <v>23</v>
      </c>
      <c r="CN115" s="371">
        <v>337</v>
      </c>
      <c r="CO115" s="371">
        <v>1</v>
      </c>
      <c r="CP115" s="371">
        <v>0</v>
      </c>
      <c r="CQ115" s="371">
        <v>0</v>
      </c>
      <c r="CR115" s="371">
        <v>0</v>
      </c>
      <c r="CS115" s="371">
        <v>0</v>
      </c>
      <c r="CT115" s="371">
        <v>0</v>
      </c>
      <c r="CU115" s="367">
        <f>IFERROR(CH115/Instructions!$J$25,0)+CI115*Instructions!$J$27+CJ115*Instructions!$J$29+IFERROR(CK115/Instructions!$E$34,0)+CL115*Instructions!$E$36+Tier!CM115*Instructions!$E$25+IFERROR(CN115/Instructions!$E$27,0)+CO115*Instructions!$E$29+IFERROR((CP115+CR115)/Instructions!$J$32,0)+(CQ115+CS115)*Instructions!$J$34+Tier!CT115*-2</f>
        <v>62.7</v>
      </c>
      <c r="CV115" s="354"/>
      <c r="CW115" s="238">
        <v>2017</v>
      </c>
      <c r="CX115" s="365" t="s">
        <v>170</v>
      </c>
      <c r="CY115" s="366" t="s">
        <v>167</v>
      </c>
      <c r="CZ115" s="366" t="s">
        <v>7</v>
      </c>
      <c r="DA115" s="366">
        <v>0</v>
      </c>
      <c r="DB115" s="366">
        <v>0</v>
      </c>
      <c r="DC115" s="366">
        <v>0</v>
      </c>
      <c r="DD115" s="366">
        <v>0</v>
      </c>
      <c r="DE115" s="366">
        <v>0</v>
      </c>
      <c r="DF115" s="366">
        <v>54</v>
      </c>
      <c r="DG115" s="366">
        <v>687</v>
      </c>
      <c r="DH115" s="366">
        <v>2</v>
      </c>
      <c r="DI115" s="366">
        <v>0</v>
      </c>
      <c r="DJ115" s="366">
        <v>0</v>
      </c>
      <c r="DK115" s="366">
        <v>0</v>
      </c>
      <c r="DL115" s="366">
        <v>0</v>
      </c>
      <c r="DM115" s="366">
        <v>1</v>
      </c>
      <c r="DN115" s="367">
        <f>IFERROR(DA115/Instructions!$J$25,0)+DB115*Instructions!$J$27+DC115*Instructions!$J$29+IFERROR(DD115/Instructions!$E$34,0)+DE115*Instructions!$E$36+Tier!DF115*Instructions!$E$25+IFERROR(DG115/Instructions!$E$27,0)+DH115*Instructions!$E$29+IFERROR((DI115+DK115)/Instructions!$J$32,0)+(DJ115+DL115)*Instructions!$J$34+Tier!DM115*-2</f>
        <v>132.69999999999999</v>
      </c>
    </row>
    <row r="116" spans="1:118" s="366" customFormat="1" ht="15.75" customHeight="1" x14ac:dyDescent="0.25">
      <c r="A116" s="238"/>
      <c r="B116" s="238"/>
      <c r="C116" s="354"/>
      <c r="D116" s="365"/>
      <c r="F116" s="238">
        <v>2017</v>
      </c>
      <c r="G116" s="367">
        <f>LARGE($BI$101:$BI$132,16)</f>
        <v>226.65999999999997</v>
      </c>
      <c r="H116" s="355">
        <f t="shared" si="71"/>
        <v>-28.079999999999984</v>
      </c>
      <c r="I116" s="356">
        <f t="shared" si="68"/>
        <v>788.48639999999909</v>
      </c>
      <c r="J116" s="356"/>
      <c r="K116" s="356">
        <f t="shared" si="72"/>
        <v>-1.754999999999999</v>
      </c>
      <c r="L116" s="238">
        <f t="shared" si="73"/>
        <v>8</v>
      </c>
      <c r="M116" s="354"/>
      <c r="N116" s="372"/>
      <c r="O116" s="372"/>
      <c r="P116" s="366">
        <v>2014</v>
      </c>
      <c r="Q116" s="367">
        <f>LARGE($CB$2:$CB$151,115)</f>
        <v>15.9</v>
      </c>
      <c r="R116" s="357">
        <f t="shared" si="67"/>
        <v>-148.69999999999999</v>
      </c>
      <c r="S116" s="356">
        <f t="shared" si="47"/>
        <v>22111.689999999995</v>
      </c>
      <c r="T116" s="238"/>
      <c r="U116" s="356">
        <f t="shared" si="54"/>
        <v>-9.2937499999999993</v>
      </c>
      <c r="V116" s="238">
        <f t="shared" si="55"/>
        <v>8</v>
      </c>
      <c r="W116" s="354"/>
      <c r="X116" s="371"/>
      <c r="Y116" s="371"/>
      <c r="Z116" s="321">
        <v>2014</v>
      </c>
      <c r="AA116" s="367">
        <f>LARGE($CU$2:$CU$151,115)</f>
        <v>49.4</v>
      </c>
      <c r="AB116" s="357">
        <f t="shared" si="56"/>
        <v>-168.33333333333334</v>
      </c>
      <c r="AC116" s="356">
        <f t="shared" si="53"/>
        <v>28336.111111111113</v>
      </c>
      <c r="AD116" s="356"/>
      <c r="AE116" s="356">
        <f t="shared" si="57"/>
        <v>-10.520833333333334</v>
      </c>
      <c r="AF116" s="238">
        <f t="shared" si="58"/>
        <v>8</v>
      </c>
      <c r="AG116" s="354"/>
      <c r="AJ116" s="238">
        <v>2017</v>
      </c>
      <c r="AK116" s="367">
        <f>LARGE($DN$101:$DN$132,16)</f>
        <v>121.8</v>
      </c>
      <c r="AL116" s="373">
        <f t="shared" si="74"/>
        <v>-10.899999999999991</v>
      </c>
      <c r="AM116" s="374">
        <f t="shared" si="69"/>
        <v>118.80999999999982</v>
      </c>
      <c r="AN116" s="374"/>
      <c r="AO116" s="374">
        <f t="shared" si="75"/>
        <v>-0.68124999999999947</v>
      </c>
      <c r="AP116" s="238">
        <f t="shared" si="70"/>
        <v>7</v>
      </c>
      <c r="AQ116" s="354"/>
      <c r="AR116" s="238">
        <v>2017</v>
      </c>
      <c r="AS116" t="s">
        <v>63</v>
      </c>
      <c r="AT116" t="s">
        <v>145</v>
      </c>
      <c r="AU116" s="366" t="s">
        <v>1</v>
      </c>
      <c r="AV116" s="418">
        <v>3320</v>
      </c>
      <c r="AW116" s="426">
        <v>25</v>
      </c>
      <c r="AX116" s="426">
        <v>12</v>
      </c>
      <c r="AY116" s="426">
        <v>99</v>
      </c>
      <c r="AZ116" s="426">
        <v>0</v>
      </c>
      <c r="BA116" s="238">
        <v>0</v>
      </c>
      <c r="BB116" s="238">
        <v>0</v>
      </c>
      <c r="BC116" s="238">
        <v>0</v>
      </c>
      <c r="BD116" s="238">
        <v>0</v>
      </c>
      <c r="BE116" s="238">
        <v>0</v>
      </c>
      <c r="BF116" s="238">
        <v>0</v>
      </c>
      <c r="BG116" s="238">
        <v>0</v>
      </c>
      <c r="BH116" s="238">
        <v>0</v>
      </c>
      <c r="BI116" s="367">
        <f>IFERROR(AV116/Instructions!$J$25,0)+AW116*Instructions!$J$27+AX116*Instructions!$J$29+IFERROR(AY116/Instructions!$E$34,0)+AZ116*Instructions!$E$36+Tier!BA116*Instructions!$E$25+IFERROR(BB116/Instructions!$E$27,0)+BC116*Instructions!$E$29+IFERROR((BD116+BF116)/Instructions!$J$32,0)+(BE116+BG116)*Instructions!$J$34+BH116*-2</f>
        <v>218.70000000000002</v>
      </c>
      <c r="BJ116" s="354"/>
      <c r="BK116" s="366">
        <v>2014</v>
      </c>
      <c r="BL116" s="370" t="s">
        <v>1705</v>
      </c>
      <c r="BM116" s="372" t="s">
        <v>153</v>
      </c>
      <c r="BN116" s="372" t="s">
        <v>3</v>
      </c>
      <c r="BO116" s="372">
        <v>0</v>
      </c>
      <c r="BP116" s="372">
        <v>0</v>
      </c>
      <c r="BQ116" s="372">
        <v>0</v>
      </c>
      <c r="BR116" s="372">
        <v>51</v>
      </c>
      <c r="BS116" s="372">
        <v>1</v>
      </c>
      <c r="BT116" s="372">
        <v>2</v>
      </c>
      <c r="BU116" s="372">
        <v>8</v>
      </c>
      <c r="BV116" s="372">
        <v>0</v>
      </c>
      <c r="BW116" s="372">
        <v>0</v>
      </c>
      <c r="BX116" s="372">
        <v>0</v>
      </c>
      <c r="BY116" s="372">
        <v>0</v>
      </c>
      <c r="BZ116" s="372">
        <v>0</v>
      </c>
      <c r="CA116" s="372">
        <v>0</v>
      </c>
      <c r="CB116" s="367">
        <f>IFERROR(BO116/Instructions!$J$25,0)+BP116*Instructions!$J$27+BQ116*Instructions!$J$29+IFERROR(BR116/Instructions!$E$34,0)+BS116*Instructions!$E$36+Tier!BT117*Instructions!$E$25+IFERROR(BU116/Instructions!$E$27,0)+BV116*Instructions!$E$29+IFERROR((BW116+BY116)/Instructions!$J$32,0)+(BX116+BZ116)*Instructions!$J$34+Tier!CA116*-2</f>
        <v>16.900000000000002</v>
      </c>
      <c r="CC116" s="354"/>
      <c r="CD116" s="321">
        <v>2014</v>
      </c>
      <c r="CE116" s="370" t="s">
        <v>192</v>
      </c>
      <c r="CF116" s="371" t="s">
        <v>166</v>
      </c>
      <c r="CG116" s="371" t="s">
        <v>6</v>
      </c>
      <c r="CH116" s="371">
        <v>0</v>
      </c>
      <c r="CI116" s="371">
        <v>0</v>
      </c>
      <c r="CJ116" s="371">
        <v>0</v>
      </c>
      <c r="CK116" s="371">
        <v>0</v>
      </c>
      <c r="CL116" s="371">
        <v>0</v>
      </c>
      <c r="CM116" s="371">
        <v>29</v>
      </c>
      <c r="CN116" s="371">
        <v>295</v>
      </c>
      <c r="CO116" s="371">
        <v>1</v>
      </c>
      <c r="CP116" s="371">
        <v>0</v>
      </c>
      <c r="CQ116" s="371">
        <v>0</v>
      </c>
      <c r="CR116" s="371">
        <v>0</v>
      </c>
      <c r="CS116" s="371">
        <v>0</v>
      </c>
      <c r="CT116" s="371">
        <v>0</v>
      </c>
      <c r="CU116" s="367">
        <f>IFERROR(CH116/Instructions!$J$25,0)+CI116*Instructions!$J$27+CJ116*Instructions!$J$29+IFERROR(CK116/Instructions!$E$34,0)+CL116*Instructions!$E$36+Tier!CM116*Instructions!$E$25+IFERROR(CN116/Instructions!$E$27,0)+CO116*Instructions!$E$29+IFERROR((CP116+CR116)/Instructions!$J$32,0)+(CQ116+CS116)*Instructions!$J$34+Tier!CT116*-2</f>
        <v>64.5</v>
      </c>
      <c r="CV116" s="354"/>
      <c r="CW116" s="238">
        <v>2017</v>
      </c>
      <c r="CX116" s="365" t="s">
        <v>1411</v>
      </c>
      <c r="CY116" s="366" t="s">
        <v>149</v>
      </c>
      <c r="CZ116" s="366" t="s">
        <v>7</v>
      </c>
      <c r="DA116" s="366">
        <v>0</v>
      </c>
      <c r="DB116" s="366">
        <v>0</v>
      </c>
      <c r="DC116" s="366">
        <v>0</v>
      </c>
      <c r="DD116" s="366">
        <v>0</v>
      </c>
      <c r="DE116" s="366">
        <v>0</v>
      </c>
      <c r="DF116" s="366">
        <v>26</v>
      </c>
      <c r="DG116" s="366">
        <v>432</v>
      </c>
      <c r="DH116" s="366">
        <v>6</v>
      </c>
      <c r="DI116" s="366">
        <v>0</v>
      </c>
      <c r="DJ116" s="366">
        <v>0</v>
      </c>
      <c r="DK116" s="366">
        <v>0</v>
      </c>
      <c r="DL116" s="366">
        <v>0</v>
      </c>
      <c r="DM116" s="366">
        <v>2</v>
      </c>
      <c r="DN116" s="367">
        <f>IFERROR(DA116/Instructions!$J$25,0)+DB116*Instructions!$J$27+DC116*Instructions!$J$29+IFERROR(DD116/Instructions!$E$34,0)+DE116*Instructions!$E$36+Tier!DF116*Instructions!$E$25+IFERROR(DG116/Instructions!$E$27,0)+DH116*Instructions!$E$29+IFERROR((DI116+DK116)/Instructions!$J$32,0)+(DJ116+DL116)*Instructions!$J$34+Tier!DM116*-2</f>
        <v>101.2</v>
      </c>
    </row>
    <row r="117" spans="1:118" s="366" customFormat="1" ht="15.75" customHeight="1" x14ac:dyDescent="0.25">
      <c r="A117" s="238"/>
      <c r="B117" s="238"/>
      <c r="C117" s="354"/>
      <c r="D117" s="365"/>
      <c r="F117" s="238">
        <v>2017</v>
      </c>
      <c r="G117" s="367">
        <f>LARGE($BI$101:$BI$132,17)</f>
        <v>218.70000000000002</v>
      </c>
      <c r="H117" s="355">
        <f t="shared" si="71"/>
        <v>-36.039999999999935</v>
      </c>
      <c r="I117" s="356">
        <f t="shared" si="68"/>
        <v>1298.8815999999954</v>
      </c>
      <c r="J117" s="356"/>
      <c r="K117" s="356">
        <f t="shared" si="72"/>
        <v>-2.2524999999999959</v>
      </c>
      <c r="L117" s="238">
        <f t="shared" si="73"/>
        <v>8</v>
      </c>
      <c r="M117" s="354"/>
      <c r="N117" s="372"/>
      <c r="O117" s="372"/>
      <c r="P117" s="366">
        <v>2014</v>
      </c>
      <c r="Q117" s="367">
        <f>LARGE($CB$2:$CB$151,116)</f>
        <v>14.9</v>
      </c>
      <c r="R117" s="357">
        <f t="shared" si="67"/>
        <v>-149.69999999999999</v>
      </c>
      <c r="S117" s="356">
        <f t="shared" ref="S117:S151" si="76">R117^2</f>
        <v>22410.089999999997</v>
      </c>
      <c r="T117" s="238"/>
      <c r="U117" s="356">
        <f t="shared" si="54"/>
        <v>-9.3562499999999993</v>
      </c>
      <c r="V117" s="238">
        <f t="shared" si="55"/>
        <v>8</v>
      </c>
      <c r="W117" s="354"/>
      <c r="X117" s="371"/>
      <c r="Y117" s="371"/>
      <c r="Z117" s="321">
        <v>2014</v>
      </c>
      <c r="AA117" s="367">
        <f>LARGE($CU$2:$CU$151,116)</f>
        <v>47.7</v>
      </c>
      <c r="AB117" s="357">
        <f t="shared" si="56"/>
        <v>-170.03333333333336</v>
      </c>
      <c r="AC117" s="356">
        <f t="shared" si="53"/>
        <v>28911.334444444452</v>
      </c>
      <c r="AD117" s="356"/>
      <c r="AE117" s="356">
        <f t="shared" si="57"/>
        <v>-10.627083333333335</v>
      </c>
      <c r="AF117" s="238">
        <f t="shared" si="58"/>
        <v>8</v>
      </c>
      <c r="AG117" s="354"/>
      <c r="AJ117" s="238">
        <v>2017</v>
      </c>
      <c r="AK117" s="367">
        <f>LARGE($DN$101:$DN$132,17)</f>
        <v>119.6</v>
      </c>
      <c r="AL117" s="373">
        <f t="shared" si="74"/>
        <v>-13.099999999999994</v>
      </c>
      <c r="AM117" s="374">
        <f t="shared" si="69"/>
        <v>171.60999999999984</v>
      </c>
      <c r="AN117" s="374"/>
      <c r="AO117" s="374">
        <f t="shared" si="75"/>
        <v>-0.81874999999999964</v>
      </c>
      <c r="AP117" s="238">
        <f t="shared" si="70"/>
        <v>7</v>
      </c>
      <c r="AQ117" s="354"/>
      <c r="AR117" s="238">
        <v>2017</v>
      </c>
      <c r="AS117" t="s">
        <v>1133</v>
      </c>
      <c r="AT117" t="s">
        <v>163</v>
      </c>
      <c r="AU117" s="366" t="s">
        <v>1</v>
      </c>
      <c r="AV117" s="418">
        <v>3232</v>
      </c>
      <c r="AW117" s="426">
        <v>13</v>
      </c>
      <c r="AX117" s="426">
        <v>15</v>
      </c>
      <c r="AY117" s="426">
        <v>312</v>
      </c>
      <c r="AZ117" s="426">
        <v>5</v>
      </c>
      <c r="BA117" s="238">
        <v>0</v>
      </c>
      <c r="BB117" s="238">
        <v>0</v>
      </c>
      <c r="BC117" s="238">
        <v>0</v>
      </c>
      <c r="BD117" s="238">
        <v>0</v>
      </c>
      <c r="BE117" s="238">
        <v>0</v>
      </c>
      <c r="BF117" s="238">
        <v>0</v>
      </c>
      <c r="BG117" s="238">
        <v>0</v>
      </c>
      <c r="BH117" s="238">
        <v>0</v>
      </c>
      <c r="BI117" s="367">
        <f>IFERROR(AV117/Instructions!$J$25,0)+AW117*Instructions!$J$27+AX117*Instructions!$J$29+IFERROR(AY117/Instructions!$E$34,0)+AZ117*Instructions!$E$36+Tier!BA117*Instructions!$E$25+IFERROR(BB117/Instructions!$E$27,0)+BC117*Instructions!$E$29+IFERROR((BD117+BF117)/Instructions!$J$32,0)+(BE117+BG117)*Instructions!$J$34+BH117*-2</f>
        <v>212.48</v>
      </c>
      <c r="BJ117" s="354"/>
      <c r="BK117" s="366">
        <v>2014</v>
      </c>
      <c r="BL117" s="370" t="s">
        <v>1706</v>
      </c>
      <c r="BM117" s="372" t="s">
        <v>142</v>
      </c>
      <c r="BN117" s="372" t="s">
        <v>3</v>
      </c>
      <c r="BO117" s="372">
        <v>0</v>
      </c>
      <c r="BP117" s="372">
        <v>0</v>
      </c>
      <c r="BQ117" s="372">
        <v>0</v>
      </c>
      <c r="BR117" s="372">
        <v>19</v>
      </c>
      <c r="BS117" s="372">
        <v>0</v>
      </c>
      <c r="BT117" s="372">
        <v>5</v>
      </c>
      <c r="BU117" s="372">
        <v>39</v>
      </c>
      <c r="BV117" s="372">
        <v>1</v>
      </c>
      <c r="BW117" s="372">
        <v>0</v>
      </c>
      <c r="BX117" s="372">
        <v>0</v>
      </c>
      <c r="BY117" s="372">
        <v>0</v>
      </c>
      <c r="BZ117" s="372">
        <v>0</v>
      </c>
      <c r="CA117" s="372">
        <v>0</v>
      </c>
      <c r="CB117" s="367">
        <f>IFERROR(BO117/Instructions!$J$25,0)+BP117*Instructions!$J$27+BQ117*Instructions!$J$29+IFERROR(BR117/Instructions!$E$34,0)+BS117*Instructions!$E$36+Tier!BT118*Instructions!$E$25+IFERROR(BU117/Instructions!$E$27,0)+BV117*Instructions!$E$29+IFERROR((BW117+BY117)/Instructions!$J$32,0)+(BX117+BZ117)*Instructions!$J$34+Tier!CA117*-2</f>
        <v>16.8</v>
      </c>
      <c r="CC117" s="354"/>
      <c r="CD117" s="321">
        <v>2014</v>
      </c>
      <c r="CE117" s="370" t="s">
        <v>1730</v>
      </c>
      <c r="CF117" s="371" t="s">
        <v>1630</v>
      </c>
      <c r="CG117" s="371" t="s">
        <v>6</v>
      </c>
      <c r="CH117" s="371">
        <v>0</v>
      </c>
      <c r="CI117" s="371">
        <v>0</v>
      </c>
      <c r="CJ117" s="371">
        <v>0</v>
      </c>
      <c r="CK117" s="371">
        <v>0</v>
      </c>
      <c r="CL117" s="371">
        <v>0</v>
      </c>
      <c r="CM117" s="371">
        <v>14</v>
      </c>
      <c r="CN117" s="371">
        <v>294</v>
      </c>
      <c r="CO117" s="371">
        <v>1</v>
      </c>
      <c r="CP117" s="371">
        <v>0</v>
      </c>
      <c r="CQ117" s="371">
        <v>0</v>
      </c>
      <c r="CR117" s="371">
        <v>0</v>
      </c>
      <c r="CS117" s="371">
        <v>0</v>
      </c>
      <c r="CT117" s="371">
        <v>0</v>
      </c>
      <c r="CU117" s="367">
        <f>IFERROR(CH117/Instructions!$J$25,0)+CI117*Instructions!$J$27+CJ117*Instructions!$J$29+IFERROR(CK117/Instructions!$E$34,0)+CL117*Instructions!$E$36+Tier!CM117*Instructions!$E$25+IFERROR(CN117/Instructions!$E$27,0)+CO117*Instructions!$E$29+IFERROR((CP117+CR117)/Instructions!$J$32,0)+(CQ117+CS117)*Instructions!$J$34+Tier!CT117*-2</f>
        <v>49.4</v>
      </c>
      <c r="CV117" s="354"/>
      <c r="CW117" s="238">
        <v>2017</v>
      </c>
      <c r="CX117" s="365" t="s">
        <v>1686</v>
      </c>
      <c r="CY117" s="366" t="s">
        <v>162</v>
      </c>
      <c r="CZ117" s="366" t="s">
        <v>7</v>
      </c>
      <c r="DA117" s="366">
        <v>0</v>
      </c>
      <c r="DB117" s="366">
        <v>0</v>
      </c>
      <c r="DC117" s="366">
        <v>0</v>
      </c>
      <c r="DD117" s="366">
        <v>0</v>
      </c>
      <c r="DE117" s="366">
        <v>0</v>
      </c>
      <c r="DF117" s="366">
        <v>61</v>
      </c>
      <c r="DG117" s="366">
        <v>522</v>
      </c>
      <c r="DH117" s="366">
        <v>4</v>
      </c>
      <c r="DI117" s="366">
        <v>0</v>
      </c>
      <c r="DJ117" s="366">
        <v>0</v>
      </c>
      <c r="DK117" s="366">
        <v>0</v>
      </c>
      <c r="DL117" s="366">
        <v>0</v>
      </c>
      <c r="DM117" s="366">
        <v>0</v>
      </c>
      <c r="DN117" s="367">
        <f>IFERROR(DA117/Instructions!$J$25,0)+DB117*Instructions!$J$27+DC117*Instructions!$J$29+IFERROR(DD117/Instructions!$E$34,0)+DE117*Instructions!$E$36+Tier!DF117*Instructions!$E$25+IFERROR(DG117/Instructions!$E$27,0)+DH117*Instructions!$E$29+IFERROR((DI117+DK117)/Instructions!$J$32,0)+(DJ117+DL117)*Instructions!$J$34+Tier!DM117*-2</f>
        <v>137.19999999999999</v>
      </c>
    </row>
    <row r="118" spans="1:118" s="366" customFormat="1" ht="15.75" customHeight="1" x14ac:dyDescent="0.25">
      <c r="A118" s="238"/>
      <c r="B118" s="238"/>
      <c r="C118" s="354"/>
      <c r="D118" s="365"/>
      <c r="F118" s="238">
        <v>2017</v>
      </c>
      <c r="G118" s="367">
        <f>LARGE($BI$101:$BI$132,18)</f>
        <v>213.44000000000003</v>
      </c>
      <c r="H118" s="355">
        <f t="shared" si="71"/>
        <v>-41.299999999999926</v>
      </c>
      <c r="I118" s="356">
        <f t="shared" si="68"/>
        <v>1705.6899999999939</v>
      </c>
      <c r="J118" s="356"/>
      <c r="K118" s="356">
        <f t="shared" si="72"/>
        <v>-2.5812499999999954</v>
      </c>
      <c r="L118" s="238">
        <f t="shared" si="73"/>
        <v>8</v>
      </c>
      <c r="M118" s="354"/>
      <c r="N118" s="372"/>
      <c r="O118" s="372"/>
      <c r="P118" s="366">
        <v>2014</v>
      </c>
      <c r="Q118" s="367">
        <f>LARGE($CB$2:$CB$151,117)</f>
        <v>14.3</v>
      </c>
      <c r="R118" s="357">
        <f t="shared" si="67"/>
        <v>-150.29999999999998</v>
      </c>
      <c r="S118" s="356">
        <f t="shared" si="76"/>
        <v>22590.089999999997</v>
      </c>
      <c r="T118" s="238"/>
      <c r="U118" s="356">
        <f t="shared" si="54"/>
        <v>-9.3937499999999989</v>
      </c>
      <c r="V118" s="238">
        <f t="shared" si="55"/>
        <v>8</v>
      </c>
      <c r="W118" s="354"/>
      <c r="X118" s="371"/>
      <c r="Y118" s="371"/>
      <c r="Z118" s="321">
        <v>2014</v>
      </c>
      <c r="AA118" s="367">
        <f>LARGE($CU$2:$CU$151,117)</f>
        <v>45.8</v>
      </c>
      <c r="AB118" s="357">
        <f t="shared" si="56"/>
        <v>-171.93333333333334</v>
      </c>
      <c r="AC118" s="356">
        <f t="shared" si="53"/>
        <v>29561.071111111112</v>
      </c>
      <c r="AD118" s="356"/>
      <c r="AE118" s="356">
        <f t="shared" si="57"/>
        <v>-10.745833333333334</v>
      </c>
      <c r="AF118" s="238">
        <f t="shared" si="58"/>
        <v>8</v>
      </c>
      <c r="AG118" s="354"/>
      <c r="AJ118" s="238">
        <v>2017</v>
      </c>
      <c r="AK118" s="367">
        <f>LARGE($DN$101:$DN$132,18)</f>
        <v>116.8</v>
      </c>
      <c r="AL118" s="373">
        <f t="shared" si="74"/>
        <v>-15.899999999999991</v>
      </c>
      <c r="AM118" s="374">
        <f t="shared" si="69"/>
        <v>252.80999999999972</v>
      </c>
      <c r="AN118" s="374"/>
      <c r="AO118" s="374">
        <f t="shared" si="75"/>
        <v>-0.99374999999999947</v>
      </c>
      <c r="AP118" s="238">
        <f t="shared" si="70"/>
        <v>7</v>
      </c>
      <c r="AQ118" s="354"/>
      <c r="AR118" s="238">
        <v>2017</v>
      </c>
      <c r="AS118" t="s">
        <v>1131</v>
      </c>
      <c r="AT118" t="s">
        <v>149</v>
      </c>
      <c r="AU118" s="366" t="s">
        <v>1</v>
      </c>
      <c r="AV118" s="418">
        <v>3504</v>
      </c>
      <c r="AW118" s="426">
        <v>19</v>
      </c>
      <c r="AX118" s="426">
        <v>11</v>
      </c>
      <c r="AY118" s="426">
        <v>135</v>
      </c>
      <c r="AZ118" s="426">
        <v>1</v>
      </c>
      <c r="BA118" s="238">
        <v>0</v>
      </c>
      <c r="BB118" s="238">
        <v>0</v>
      </c>
      <c r="BC118" s="238">
        <v>0</v>
      </c>
      <c r="BD118" s="238">
        <v>0</v>
      </c>
      <c r="BE118" s="238">
        <v>0</v>
      </c>
      <c r="BF118" s="238">
        <v>0</v>
      </c>
      <c r="BG118" s="238">
        <v>0</v>
      </c>
      <c r="BH118" s="238">
        <v>1</v>
      </c>
      <c r="BI118" s="367">
        <f>IFERROR(AV118/Instructions!$J$25,0)+AW118*Instructions!$J$27+AX118*Instructions!$J$29+IFERROR(AY118/Instructions!$E$34,0)+AZ118*Instructions!$E$36+Tier!BA118*Instructions!$E$25+IFERROR(BB118/Instructions!$E$27,0)+BC118*Instructions!$E$29+IFERROR((BD118+BF118)/Instructions!$J$32,0)+(BE118+BG118)*Instructions!$J$34+BH118*-2</f>
        <v>211.66</v>
      </c>
      <c r="BJ118" s="354"/>
      <c r="BK118" s="366">
        <v>2014</v>
      </c>
      <c r="BL118" s="370" t="s">
        <v>1707</v>
      </c>
      <c r="BM118" s="372" t="s">
        <v>163</v>
      </c>
      <c r="BN118" s="372" t="s">
        <v>3</v>
      </c>
      <c r="BO118" s="372">
        <v>0</v>
      </c>
      <c r="BP118" s="372">
        <v>0</v>
      </c>
      <c r="BQ118" s="372">
        <v>0</v>
      </c>
      <c r="BR118" s="372">
        <v>9</v>
      </c>
      <c r="BS118" s="372">
        <v>1</v>
      </c>
      <c r="BT118" s="372">
        <v>5</v>
      </c>
      <c r="BU118" s="372">
        <v>28</v>
      </c>
      <c r="BV118" s="372">
        <v>0</v>
      </c>
      <c r="BW118" s="372">
        <v>0</v>
      </c>
      <c r="BX118" s="372">
        <v>0</v>
      </c>
      <c r="BY118" s="372">
        <v>43</v>
      </c>
      <c r="BZ118" s="372">
        <v>0</v>
      </c>
      <c r="CA118" s="372">
        <v>0</v>
      </c>
      <c r="CB118" s="367">
        <f>IFERROR(BO118/Instructions!$J$25,0)+BP118*Instructions!$J$27+BQ118*Instructions!$J$29+IFERROR(BR118/Instructions!$E$34,0)+BS118*Instructions!$E$36+Tier!BT119*Instructions!$E$25+IFERROR(BU118/Instructions!$E$27,0)+BV118*Instructions!$E$29+IFERROR((BW118+BY118)/Instructions!$J$32,0)+(BX118+BZ118)*Instructions!$J$34+Tier!CA118*-2</f>
        <v>9.6999999999999993</v>
      </c>
      <c r="CC118" s="354"/>
      <c r="CD118" s="321">
        <v>2014</v>
      </c>
      <c r="CE118" s="370" t="s">
        <v>1083</v>
      </c>
      <c r="CF118" s="371" t="s">
        <v>153</v>
      </c>
      <c r="CG118" s="371" t="s">
        <v>6</v>
      </c>
      <c r="CH118" s="371">
        <v>0</v>
      </c>
      <c r="CI118" s="371">
        <v>0</v>
      </c>
      <c r="CJ118" s="371">
        <v>0</v>
      </c>
      <c r="CK118" s="371">
        <v>0</v>
      </c>
      <c r="CL118" s="371">
        <v>0</v>
      </c>
      <c r="CM118" s="371">
        <v>22</v>
      </c>
      <c r="CN118" s="371">
        <v>229</v>
      </c>
      <c r="CO118" s="371">
        <v>2</v>
      </c>
      <c r="CP118" s="371">
        <v>0</v>
      </c>
      <c r="CQ118" s="371">
        <v>0</v>
      </c>
      <c r="CR118" s="371">
        <v>0</v>
      </c>
      <c r="CS118" s="371">
        <v>0</v>
      </c>
      <c r="CT118" s="371">
        <v>0</v>
      </c>
      <c r="CU118" s="367">
        <f>IFERROR(CH118/Instructions!$J$25,0)+CI118*Instructions!$J$27+CJ118*Instructions!$J$29+IFERROR(CK118/Instructions!$E$34,0)+CL118*Instructions!$E$36+Tier!CM118*Instructions!$E$25+IFERROR(CN118/Instructions!$E$27,0)+CO118*Instructions!$E$29+IFERROR((CP118+CR118)/Instructions!$J$32,0)+(CQ118+CS118)*Instructions!$J$34+Tier!CT118*-2</f>
        <v>56.9</v>
      </c>
      <c r="CV118" s="354"/>
      <c r="CW118" s="238">
        <v>2017</v>
      </c>
      <c r="CX118" s="365" t="s">
        <v>1205</v>
      </c>
      <c r="CY118" s="366" t="s">
        <v>148</v>
      </c>
      <c r="CZ118" s="366" t="s">
        <v>7</v>
      </c>
      <c r="DA118" s="366">
        <v>0</v>
      </c>
      <c r="DB118" s="366">
        <v>0</v>
      </c>
      <c r="DC118" s="366">
        <v>0</v>
      </c>
      <c r="DD118" s="366">
        <v>0</v>
      </c>
      <c r="DE118" s="366">
        <v>0</v>
      </c>
      <c r="DF118" s="366">
        <v>49</v>
      </c>
      <c r="DG118" s="366">
        <v>526</v>
      </c>
      <c r="DH118" s="366">
        <v>3</v>
      </c>
      <c r="DI118" s="366">
        <v>0</v>
      </c>
      <c r="DJ118" s="366">
        <v>0</v>
      </c>
      <c r="DK118" s="366">
        <v>0</v>
      </c>
      <c r="DL118" s="366">
        <v>0</v>
      </c>
      <c r="DM118" s="366">
        <v>0</v>
      </c>
      <c r="DN118" s="367">
        <f>IFERROR(DA118/Instructions!$J$25,0)+DB118*Instructions!$J$27+DC118*Instructions!$J$29+IFERROR(DD118/Instructions!$E$34,0)+DE118*Instructions!$E$36+Tier!DF118*Instructions!$E$25+IFERROR(DG118/Instructions!$E$27,0)+DH118*Instructions!$E$29+IFERROR((DI118+DK118)/Instructions!$J$32,0)+(DJ118+DL118)*Instructions!$J$34+Tier!DM118*-2</f>
        <v>119.6</v>
      </c>
    </row>
    <row r="119" spans="1:118" s="366" customFormat="1" ht="15.75" customHeight="1" x14ac:dyDescent="0.25">
      <c r="A119" s="238"/>
      <c r="B119" s="238"/>
      <c r="C119" s="354"/>
      <c r="D119" s="365"/>
      <c r="F119" s="238">
        <v>2017</v>
      </c>
      <c r="G119" s="367">
        <f>LARGE($BI$101:$BI$132,19)</f>
        <v>212.48</v>
      </c>
      <c r="H119" s="355">
        <f t="shared" si="71"/>
        <v>-42.259999999999962</v>
      </c>
      <c r="I119" s="356">
        <f t="shared" si="68"/>
        <v>1785.9075999999968</v>
      </c>
      <c r="J119" s="356"/>
      <c r="K119" s="356">
        <f t="shared" si="72"/>
        <v>-2.6412499999999977</v>
      </c>
      <c r="L119" s="238">
        <f t="shared" si="73"/>
        <v>8</v>
      </c>
      <c r="M119" s="354"/>
      <c r="N119" s="372"/>
      <c r="O119" s="372"/>
      <c r="P119" s="366">
        <v>2014</v>
      </c>
      <c r="Q119" s="367">
        <f>LARGE($CB$2:$CB$151,118)</f>
        <v>14.2</v>
      </c>
      <c r="R119" s="357">
        <f t="shared" si="67"/>
        <v>-150.4</v>
      </c>
      <c r="S119" s="356">
        <f t="shared" si="76"/>
        <v>22620.160000000003</v>
      </c>
      <c r="T119" s="238"/>
      <c r="U119" s="356">
        <f t="shared" si="54"/>
        <v>-9.4</v>
      </c>
      <c r="V119" s="238">
        <f t="shared" si="55"/>
        <v>8</v>
      </c>
      <c r="W119" s="354"/>
      <c r="X119" s="371"/>
      <c r="Y119" s="371"/>
      <c r="Z119" s="321">
        <v>2014</v>
      </c>
      <c r="AA119" s="367">
        <f>LARGE($CU$2:$CU$151,118)</f>
        <v>44.400000000000006</v>
      </c>
      <c r="AB119" s="357">
        <f t="shared" si="56"/>
        <v>-173.33333333333334</v>
      </c>
      <c r="AC119" s="356">
        <f t="shared" si="53"/>
        <v>30044.444444444449</v>
      </c>
      <c r="AD119" s="356"/>
      <c r="AE119" s="356">
        <f t="shared" si="57"/>
        <v>-10.833333333333334</v>
      </c>
      <c r="AF119" s="238">
        <f t="shared" si="58"/>
        <v>8</v>
      </c>
      <c r="AG119" s="354"/>
      <c r="AJ119" s="238">
        <v>2017</v>
      </c>
      <c r="AK119" s="367">
        <f>LARGE($DN$101:$DN$132,19)</f>
        <v>106.5</v>
      </c>
      <c r="AL119" s="373">
        <f t="shared" si="74"/>
        <v>-26.199999999999989</v>
      </c>
      <c r="AM119" s="374">
        <f t="shared" si="69"/>
        <v>686.43999999999937</v>
      </c>
      <c r="AN119" s="374"/>
      <c r="AO119" s="374">
        <f t="shared" si="75"/>
        <v>-1.6374999999999993</v>
      </c>
      <c r="AP119" s="238">
        <f t="shared" si="70"/>
        <v>8</v>
      </c>
      <c r="AQ119" s="354"/>
      <c r="AR119" s="238">
        <v>2017</v>
      </c>
      <c r="AS119" t="s">
        <v>176</v>
      </c>
      <c r="AT119" t="s">
        <v>167</v>
      </c>
      <c r="AU119" s="366" t="s">
        <v>1</v>
      </c>
      <c r="AV119" s="418">
        <v>3496</v>
      </c>
      <c r="AW119" s="426">
        <v>22</v>
      </c>
      <c r="AX119" s="426">
        <v>13</v>
      </c>
      <c r="AY119" s="426">
        <v>66</v>
      </c>
      <c r="AZ119" s="426">
        <v>0</v>
      </c>
      <c r="BA119" s="238">
        <v>0</v>
      </c>
      <c r="BB119" s="238">
        <v>0</v>
      </c>
      <c r="BC119" s="238">
        <v>0</v>
      </c>
      <c r="BD119" s="238">
        <v>0</v>
      </c>
      <c r="BE119" s="238">
        <v>0</v>
      </c>
      <c r="BF119" s="238">
        <v>0</v>
      </c>
      <c r="BG119" s="238">
        <v>0</v>
      </c>
      <c r="BH119" s="238">
        <v>2</v>
      </c>
      <c r="BI119" s="367">
        <f>IFERROR(AV119/Instructions!$J$25,0)+AW119*Instructions!$J$27+AX119*Instructions!$J$29+IFERROR(AY119/Instructions!$E$34,0)+AZ119*Instructions!$E$36+Tier!BA119*Instructions!$E$25+IFERROR(BB119/Instructions!$E$27,0)+BC119*Instructions!$E$29+IFERROR((BD119+BF119)/Instructions!$J$32,0)+(BE119+BG119)*Instructions!$J$34+BH119*-2</f>
        <v>204.44</v>
      </c>
      <c r="BJ119" s="354"/>
      <c r="BK119" s="366">
        <v>2014</v>
      </c>
      <c r="BL119" s="370" t="s">
        <v>1708</v>
      </c>
      <c r="BM119" s="372" t="s">
        <v>1633</v>
      </c>
      <c r="BN119" s="372" t="s">
        <v>3</v>
      </c>
      <c r="BO119" s="372">
        <v>0</v>
      </c>
      <c r="BP119" s="372">
        <v>0</v>
      </c>
      <c r="BQ119" s="372">
        <v>0</v>
      </c>
      <c r="BR119" s="372">
        <v>50</v>
      </c>
      <c r="BS119" s="372">
        <v>1</v>
      </c>
      <c r="BT119" s="372">
        <v>0</v>
      </c>
      <c r="BU119" s="372">
        <v>0</v>
      </c>
      <c r="BV119" s="372">
        <v>0</v>
      </c>
      <c r="BW119" s="372">
        <v>0</v>
      </c>
      <c r="BX119" s="372">
        <v>0</v>
      </c>
      <c r="BY119" s="372">
        <v>0</v>
      </c>
      <c r="BZ119" s="372">
        <v>0</v>
      </c>
      <c r="CA119" s="372">
        <v>0</v>
      </c>
      <c r="CB119" s="367">
        <f>IFERROR(BO119/Instructions!$J$25,0)+BP119*Instructions!$J$27+BQ119*Instructions!$J$29+IFERROR(BR119/Instructions!$E$34,0)+BS119*Instructions!$E$36+Tier!BT120*Instructions!$E$25+IFERROR(BU119/Instructions!$E$27,0)+BV119*Instructions!$E$29+IFERROR((BW119+BY119)/Instructions!$J$32,0)+(BX119+BZ119)*Instructions!$J$34+Tier!CA119*-2</f>
        <v>16</v>
      </c>
      <c r="CC119" s="354"/>
      <c r="CD119" s="321">
        <v>2014</v>
      </c>
      <c r="CE119" s="370" t="s">
        <v>207</v>
      </c>
      <c r="CF119" s="371" t="s">
        <v>137</v>
      </c>
      <c r="CG119" s="371" t="s">
        <v>6</v>
      </c>
      <c r="CH119" s="371">
        <v>0</v>
      </c>
      <c r="CI119" s="371">
        <v>0</v>
      </c>
      <c r="CJ119" s="371">
        <v>0</v>
      </c>
      <c r="CK119" s="371">
        <v>7</v>
      </c>
      <c r="CL119" s="371">
        <v>0</v>
      </c>
      <c r="CM119" s="371">
        <v>8</v>
      </c>
      <c r="CN119" s="371">
        <v>98</v>
      </c>
      <c r="CO119" s="371">
        <v>0</v>
      </c>
      <c r="CP119" s="371">
        <v>0</v>
      </c>
      <c r="CQ119" s="371">
        <v>0</v>
      </c>
      <c r="CR119" s="371">
        <v>415</v>
      </c>
      <c r="CS119" s="371">
        <v>1</v>
      </c>
      <c r="CT119" s="371">
        <v>1</v>
      </c>
      <c r="CU119" s="367">
        <f>IFERROR(CH119/Instructions!$J$25,0)+CI119*Instructions!$J$27+CJ119*Instructions!$J$29+IFERROR(CK119/Instructions!$E$34,0)+CL119*Instructions!$E$36+Tier!CM119*Instructions!$E$25+IFERROR(CN119/Instructions!$E$27,0)+CO119*Instructions!$E$29+IFERROR((CP119+CR119)/Instructions!$J$32,0)+(CQ119+CS119)*Instructions!$J$34+Tier!CT119*-2</f>
        <v>22.5</v>
      </c>
      <c r="CV119" s="354"/>
      <c r="CW119" s="238">
        <v>2017</v>
      </c>
      <c r="CX119" s="365" t="s">
        <v>54</v>
      </c>
      <c r="CY119" s="366" t="s">
        <v>156</v>
      </c>
      <c r="CZ119" s="366" t="s">
        <v>7</v>
      </c>
      <c r="DA119" s="366">
        <v>0</v>
      </c>
      <c r="DB119" s="366">
        <v>0</v>
      </c>
      <c r="DC119" s="366">
        <v>0</v>
      </c>
      <c r="DD119" s="366">
        <v>0</v>
      </c>
      <c r="DE119" s="366">
        <v>0</v>
      </c>
      <c r="DF119" s="366">
        <v>49</v>
      </c>
      <c r="DG119" s="366">
        <v>558</v>
      </c>
      <c r="DH119" s="366">
        <v>2</v>
      </c>
      <c r="DI119" s="366">
        <v>0</v>
      </c>
      <c r="DJ119" s="366">
        <v>0</v>
      </c>
      <c r="DK119" s="366">
        <v>0</v>
      </c>
      <c r="DL119" s="366">
        <v>0</v>
      </c>
      <c r="DM119" s="366">
        <v>0</v>
      </c>
      <c r="DN119" s="367">
        <f>IFERROR(DA119/Instructions!$J$25,0)+DB119*Instructions!$J$27+DC119*Instructions!$J$29+IFERROR(DD119/Instructions!$E$34,0)+DE119*Instructions!$E$36+Tier!DF119*Instructions!$E$25+IFERROR(DG119/Instructions!$E$27,0)+DH119*Instructions!$E$29+IFERROR((DI119+DK119)/Instructions!$J$32,0)+(DJ119+DL119)*Instructions!$J$34+Tier!DM119*-2</f>
        <v>116.8</v>
      </c>
    </row>
    <row r="120" spans="1:118" s="366" customFormat="1" ht="15.75" customHeight="1" x14ac:dyDescent="0.25">
      <c r="A120" s="238"/>
      <c r="B120" s="238"/>
      <c r="C120" s="354"/>
      <c r="D120" s="365"/>
      <c r="F120" s="238">
        <v>2017</v>
      </c>
      <c r="G120" s="367">
        <f>LARGE($BI$101:$BI$132,20)</f>
        <v>211.92000000000002</v>
      </c>
      <c r="H120" s="355">
        <f t="shared" si="71"/>
        <v>-42.819999999999936</v>
      </c>
      <c r="I120" s="356">
        <f t="shared" si="68"/>
        <v>1833.5523999999946</v>
      </c>
      <c r="J120" s="356"/>
      <c r="K120" s="356">
        <f t="shared" si="72"/>
        <v>-2.676249999999996</v>
      </c>
      <c r="L120" s="238">
        <f t="shared" si="73"/>
        <v>8</v>
      </c>
      <c r="M120" s="354"/>
      <c r="N120" s="372"/>
      <c r="O120" s="372"/>
      <c r="P120" s="366">
        <v>2014</v>
      </c>
      <c r="Q120" s="367">
        <f>LARGE($CB$2:$CB$151,119)</f>
        <v>13.5</v>
      </c>
      <c r="R120" s="357">
        <f t="shared" si="67"/>
        <v>-151.1</v>
      </c>
      <c r="S120" s="356">
        <f t="shared" si="76"/>
        <v>22831.21</v>
      </c>
      <c r="T120" s="238"/>
      <c r="U120" s="356">
        <f t="shared" si="54"/>
        <v>-9.4437499999999996</v>
      </c>
      <c r="V120" s="238">
        <f t="shared" si="55"/>
        <v>8</v>
      </c>
      <c r="W120" s="354"/>
      <c r="X120" s="371"/>
      <c r="Y120" s="371"/>
      <c r="Z120" s="321">
        <v>2014</v>
      </c>
      <c r="AA120" s="367">
        <f>LARGE($CU$2:$CU$151,119)</f>
        <v>42.9</v>
      </c>
      <c r="AB120" s="357">
        <f t="shared" si="56"/>
        <v>-174.83333333333334</v>
      </c>
      <c r="AC120" s="356">
        <f t="shared" si="53"/>
        <v>30566.694444444449</v>
      </c>
      <c r="AD120" s="356"/>
      <c r="AE120" s="356">
        <f t="shared" si="57"/>
        <v>-10.927083333333334</v>
      </c>
      <c r="AF120" s="238">
        <f t="shared" si="58"/>
        <v>8</v>
      </c>
      <c r="AG120" s="354"/>
      <c r="AJ120" s="238">
        <v>2017</v>
      </c>
      <c r="AK120" s="367">
        <f>LARGE($DN$101:$DN$132,20)</f>
        <v>101.7</v>
      </c>
      <c r="AL120" s="373">
        <f t="shared" si="74"/>
        <v>-30.999999999999986</v>
      </c>
      <c r="AM120" s="374">
        <f t="shared" si="69"/>
        <v>960.99999999999909</v>
      </c>
      <c r="AN120" s="374"/>
      <c r="AO120" s="374">
        <f t="shared" si="75"/>
        <v>-1.9374999999999991</v>
      </c>
      <c r="AP120" s="238">
        <f t="shared" si="70"/>
        <v>8</v>
      </c>
      <c r="AQ120" s="354"/>
      <c r="AR120" s="238">
        <v>2017</v>
      </c>
      <c r="AS120" t="s">
        <v>180</v>
      </c>
      <c r="AT120" t="s">
        <v>156</v>
      </c>
      <c r="AU120" s="366" t="s">
        <v>1</v>
      </c>
      <c r="AV120" s="418">
        <v>2799</v>
      </c>
      <c r="AW120" s="426">
        <v>14</v>
      </c>
      <c r="AX120" s="426">
        <v>4</v>
      </c>
      <c r="AY120" s="426">
        <v>427</v>
      </c>
      <c r="AZ120" s="426">
        <v>4</v>
      </c>
      <c r="BA120" s="238">
        <v>0</v>
      </c>
      <c r="BB120" s="238">
        <v>0</v>
      </c>
      <c r="BC120" s="238">
        <v>0</v>
      </c>
      <c r="BD120" s="238">
        <v>0</v>
      </c>
      <c r="BE120" s="238">
        <v>0</v>
      </c>
      <c r="BF120" s="238">
        <v>0</v>
      </c>
      <c r="BG120" s="238">
        <v>0</v>
      </c>
      <c r="BH120" s="238">
        <v>0</v>
      </c>
      <c r="BI120" s="367">
        <f>IFERROR(AV120/Instructions!$J$25,0)+AW120*Instructions!$J$27+AX120*Instructions!$J$29+IFERROR(AY120/Instructions!$E$34,0)+AZ120*Instructions!$E$36+Tier!BA120*Instructions!$E$25+IFERROR(BB120/Instructions!$E$27,0)+BC120*Instructions!$E$29+IFERROR((BD120+BF120)/Instructions!$J$32,0)+(BE120+BG120)*Instructions!$J$34+BH120*-2</f>
        <v>226.65999999999997</v>
      </c>
      <c r="BJ120" s="354"/>
      <c r="BK120" s="366">
        <v>2014</v>
      </c>
      <c r="BL120" s="370" t="s">
        <v>1331</v>
      </c>
      <c r="BM120" s="372" t="s">
        <v>159</v>
      </c>
      <c r="BN120" s="372" t="s">
        <v>3</v>
      </c>
      <c r="BO120" s="372">
        <v>0</v>
      </c>
      <c r="BP120" s="372">
        <v>0</v>
      </c>
      <c r="BQ120" s="372">
        <v>0</v>
      </c>
      <c r="BR120" s="372">
        <v>78</v>
      </c>
      <c r="BS120" s="372">
        <v>0</v>
      </c>
      <c r="BT120" s="372">
        <v>5</v>
      </c>
      <c r="BU120" s="372">
        <v>31</v>
      </c>
      <c r="BV120" s="372">
        <v>0</v>
      </c>
      <c r="BW120" s="372">
        <v>0</v>
      </c>
      <c r="BX120" s="372">
        <v>0</v>
      </c>
      <c r="BY120" s="372">
        <v>0</v>
      </c>
      <c r="BZ120" s="372">
        <v>0</v>
      </c>
      <c r="CA120" s="372">
        <v>0</v>
      </c>
      <c r="CB120" s="367">
        <f>IFERROR(BO120/Instructions!$J$25,0)+BP120*Instructions!$J$27+BQ120*Instructions!$J$29+IFERROR(BR120/Instructions!$E$34,0)+BS120*Instructions!$E$36+Tier!BT121*Instructions!$E$25+IFERROR(BU120/Instructions!$E$27,0)+BV120*Instructions!$E$29+IFERROR((BW120+BY120)/Instructions!$J$32,0)+(BX120+BZ120)*Instructions!$J$34+Tier!CA120*-2</f>
        <v>15.9</v>
      </c>
      <c r="CC120" s="354"/>
      <c r="CD120" s="321">
        <v>2014</v>
      </c>
      <c r="CE120" s="370" t="s">
        <v>1731</v>
      </c>
      <c r="CF120" s="371" t="s">
        <v>140</v>
      </c>
      <c r="CG120" s="371" t="s">
        <v>6</v>
      </c>
      <c r="CH120" s="371">
        <v>0</v>
      </c>
      <c r="CI120" s="371">
        <v>0</v>
      </c>
      <c r="CJ120" s="371">
        <v>0</v>
      </c>
      <c r="CK120" s="371">
        <v>2</v>
      </c>
      <c r="CL120" s="371">
        <v>0</v>
      </c>
      <c r="CM120" s="371">
        <v>11</v>
      </c>
      <c r="CN120" s="371">
        <v>195</v>
      </c>
      <c r="CO120" s="371">
        <v>2</v>
      </c>
      <c r="CP120" s="371">
        <v>0</v>
      </c>
      <c r="CQ120" s="371">
        <v>0</v>
      </c>
      <c r="CR120" s="371">
        <v>0</v>
      </c>
      <c r="CS120" s="371">
        <v>0</v>
      </c>
      <c r="CT120" s="371">
        <v>0</v>
      </c>
      <c r="CU120" s="367">
        <f>IFERROR(CH120/Instructions!$J$25,0)+CI120*Instructions!$J$27+CJ120*Instructions!$J$29+IFERROR(CK120/Instructions!$E$34,0)+CL120*Instructions!$E$36+Tier!CM120*Instructions!$E$25+IFERROR(CN120/Instructions!$E$27,0)+CO120*Instructions!$E$29+IFERROR((CP120+CR120)/Instructions!$J$32,0)+(CQ120+CS120)*Instructions!$J$34+Tier!CT120*-2</f>
        <v>42.7</v>
      </c>
      <c r="CV120" s="354"/>
      <c r="CW120" s="238">
        <v>2017</v>
      </c>
      <c r="CX120" s="365" t="s">
        <v>1451</v>
      </c>
      <c r="CY120" s="366" t="s">
        <v>155</v>
      </c>
      <c r="CZ120" s="366" t="s">
        <v>7</v>
      </c>
      <c r="DA120" s="366">
        <v>0</v>
      </c>
      <c r="DB120" s="366">
        <v>0</v>
      </c>
      <c r="DC120" s="366">
        <v>0</v>
      </c>
      <c r="DD120" s="366">
        <v>0</v>
      </c>
      <c r="DE120" s="366">
        <v>0</v>
      </c>
      <c r="DF120" s="366">
        <v>43</v>
      </c>
      <c r="DG120" s="366">
        <v>515</v>
      </c>
      <c r="DH120" s="366">
        <v>2</v>
      </c>
      <c r="DI120" s="366">
        <v>0</v>
      </c>
      <c r="DJ120" s="366">
        <v>0</v>
      </c>
      <c r="DK120" s="366">
        <v>0</v>
      </c>
      <c r="DL120" s="366">
        <v>0</v>
      </c>
      <c r="DM120" s="366">
        <v>0</v>
      </c>
      <c r="DN120" s="367">
        <f>IFERROR(DA120/Instructions!$J$25,0)+DB120*Instructions!$J$27+DC120*Instructions!$J$29+IFERROR(DD120/Instructions!$E$34,0)+DE120*Instructions!$E$36+Tier!DF120*Instructions!$E$25+IFERROR(DG120/Instructions!$E$27,0)+DH120*Instructions!$E$29+IFERROR((DI120+DK120)/Instructions!$J$32,0)+(DJ120+DL120)*Instructions!$J$34+Tier!DM120*-2</f>
        <v>106.5</v>
      </c>
    </row>
    <row r="121" spans="1:118" s="366" customFormat="1" ht="15.75" customHeight="1" x14ac:dyDescent="0.25">
      <c r="A121" s="238"/>
      <c r="B121" s="238"/>
      <c r="C121" s="354"/>
      <c r="D121" s="365"/>
      <c r="F121" s="238">
        <v>2017</v>
      </c>
      <c r="G121" s="367">
        <f>LARGE($BI$101:$BI$132,21)</f>
        <v>211.66</v>
      </c>
      <c r="H121" s="355">
        <f t="shared" si="71"/>
        <v>-43.079999999999956</v>
      </c>
      <c r="I121" s="356">
        <f t="shared" si="68"/>
        <v>1855.8863999999962</v>
      </c>
      <c r="J121" s="356"/>
      <c r="K121" s="356">
        <f t="shared" si="72"/>
        <v>-2.6924999999999972</v>
      </c>
      <c r="L121" s="238">
        <f t="shared" si="73"/>
        <v>8</v>
      </c>
      <c r="M121" s="354"/>
      <c r="N121" s="372"/>
      <c r="O121" s="372"/>
      <c r="P121" s="366">
        <v>2014</v>
      </c>
      <c r="Q121" s="367">
        <f>LARGE($CB$2:$CB$151,120)</f>
        <v>13.1</v>
      </c>
      <c r="R121" s="357">
        <f t="shared" si="67"/>
        <v>-151.5</v>
      </c>
      <c r="S121" s="356">
        <f t="shared" si="76"/>
        <v>22952.25</v>
      </c>
      <c r="T121" s="238"/>
      <c r="U121" s="356">
        <f t="shared" si="54"/>
        <v>-9.46875</v>
      </c>
      <c r="V121" s="238">
        <f t="shared" si="55"/>
        <v>8</v>
      </c>
      <c r="W121" s="354"/>
      <c r="X121" s="371"/>
      <c r="Y121" s="371"/>
      <c r="Z121" s="321">
        <v>2014</v>
      </c>
      <c r="AA121" s="367">
        <f>LARGE($CU$2:$CU$151,120)</f>
        <v>42.7</v>
      </c>
      <c r="AB121" s="357">
        <f t="shared" si="56"/>
        <v>-175.03333333333336</v>
      </c>
      <c r="AC121" s="356">
        <f t="shared" si="53"/>
        <v>30636.667777777788</v>
      </c>
      <c r="AD121" s="356"/>
      <c r="AE121" s="356">
        <f t="shared" si="57"/>
        <v>-10.939583333333335</v>
      </c>
      <c r="AF121" s="238">
        <f t="shared" si="58"/>
        <v>8</v>
      </c>
      <c r="AG121" s="354"/>
      <c r="AJ121" s="238">
        <v>2017</v>
      </c>
      <c r="AK121" s="367">
        <f>LARGE($DN$101:$DN$132,21)</f>
        <v>101.2</v>
      </c>
      <c r="AL121" s="373">
        <f t="shared" si="74"/>
        <v>-31.499999999999986</v>
      </c>
      <c r="AM121" s="374">
        <f t="shared" si="69"/>
        <v>992.24999999999909</v>
      </c>
      <c r="AN121" s="374"/>
      <c r="AO121" s="374">
        <f t="shared" si="75"/>
        <v>-1.9687499999999991</v>
      </c>
      <c r="AP121" s="238">
        <f t="shared" si="70"/>
        <v>8</v>
      </c>
      <c r="AQ121" s="354"/>
      <c r="AR121" s="238">
        <v>2017</v>
      </c>
      <c r="AS121" t="s">
        <v>75</v>
      </c>
      <c r="AT121" t="s">
        <v>164</v>
      </c>
      <c r="AU121" s="366" t="s">
        <v>1</v>
      </c>
      <c r="AV121" s="418">
        <v>2926</v>
      </c>
      <c r="AW121" s="426">
        <v>18</v>
      </c>
      <c r="AX121" s="426">
        <v>9</v>
      </c>
      <c r="AY121" s="426">
        <v>124</v>
      </c>
      <c r="AZ121" s="426">
        <v>5</v>
      </c>
      <c r="BA121" s="238">
        <v>0</v>
      </c>
      <c r="BB121" s="238">
        <v>0</v>
      </c>
      <c r="BC121" s="238">
        <v>0</v>
      </c>
      <c r="BD121" s="238">
        <v>0</v>
      </c>
      <c r="BE121" s="238">
        <v>0</v>
      </c>
      <c r="BF121" s="238">
        <v>0</v>
      </c>
      <c r="BG121" s="238">
        <v>0</v>
      </c>
      <c r="BH121" s="238">
        <v>0</v>
      </c>
      <c r="BI121" s="367">
        <f>IFERROR(AV121/Instructions!$J$25,0)+AW121*Instructions!$J$27+AX121*Instructions!$J$29+IFERROR(AY121/Instructions!$E$34,0)+AZ121*Instructions!$E$36+Tier!BA121*Instructions!$E$25+IFERROR(BB121/Instructions!$E$27,0)+BC121*Instructions!$E$29+IFERROR((BD121+BF121)/Instructions!$J$32,0)+(BE121+BG121)*Instructions!$J$34+BH121*-2</f>
        <v>213.44000000000003</v>
      </c>
      <c r="BJ121" s="354"/>
      <c r="BK121" s="366">
        <v>2014</v>
      </c>
      <c r="BL121" s="370" t="s">
        <v>1709</v>
      </c>
      <c r="BM121" s="372" t="s">
        <v>1633</v>
      </c>
      <c r="BN121" s="372" t="s">
        <v>3</v>
      </c>
      <c r="BO121" s="372">
        <v>0</v>
      </c>
      <c r="BP121" s="372">
        <v>0</v>
      </c>
      <c r="BQ121" s="372">
        <v>0</v>
      </c>
      <c r="BR121" s="372">
        <v>63</v>
      </c>
      <c r="BS121" s="372">
        <v>0</v>
      </c>
      <c r="BT121" s="372">
        <v>5</v>
      </c>
      <c r="BU121" s="372">
        <v>44</v>
      </c>
      <c r="BV121" s="372">
        <v>0</v>
      </c>
      <c r="BW121" s="372">
        <v>0</v>
      </c>
      <c r="BX121" s="372">
        <v>0</v>
      </c>
      <c r="BY121" s="372">
        <v>0</v>
      </c>
      <c r="BZ121" s="372">
        <v>0</v>
      </c>
      <c r="CA121" s="372">
        <v>0</v>
      </c>
      <c r="CB121" s="367">
        <f>IFERROR(BO121/Instructions!$J$25,0)+BP121*Instructions!$J$27+BQ121*Instructions!$J$29+IFERROR(BR121/Instructions!$E$34,0)+BS121*Instructions!$E$36+Tier!BT122*Instructions!$E$25+IFERROR(BU121/Instructions!$E$27,0)+BV121*Instructions!$E$29+IFERROR((BW121+BY121)/Instructions!$J$32,0)+(BX121+BZ121)*Instructions!$J$34+Tier!CA121*-2</f>
        <v>12.700000000000001</v>
      </c>
      <c r="CC121" s="354"/>
      <c r="CD121" s="321">
        <v>2014</v>
      </c>
      <c r="CE121" s="370" t="s">
        <v>1732</v>
      </c>
      <c r="CF121" s="371" t="s">
        <v>163</v>
      </c>
      <c r="CG121" s="371" t="s">
        <v>6</v>
      </c>
      <c r="CH121" s="371">
        <v>0</v>
      </c>
      <c r="CI121" s="371">
        <v>0</v>
      </c>
      <c r="CJ121" s="371">
        <v>0</v>
      </c>
      <c r="CK121" s="371">
        <v>0</v>
      </c>
      <c r="CL121" s="371">
        <v>0</v>
      </c>
      <c r="CM121" s="371">
        <v>19</v>
      </c>
      <c r="CN121" s="371">
        <v>254</v>
      </c>
      <c r="CO121" s="371">
        <v>1</v>
      </c>
      <c r="CP121" s="371">
        <v>0</v>
      </c>
      <c r="CQ121" s="371">
        <v>0</v>
      </c>
      <c r="CR121" s="371">
        <v>0</v>
      </c>
      <c r="CS121" s="371">
        <v>0</v>
      </c>
      <c r="CT121" s="371">
        <v>0</v>
      </c>
      <c r="CU121" s="367">
        <f>IFERROR(CH121/Instructions!$J$25,0)+CI121*Instructions!$J$27+CJ121*Instructions!$J$29+IFERROR(CK121/Instructions!$E$34,0)+CL121*Instructions!$E$36+Tier!CM121*Instructions!$E$25+IFERROR(CN121/Instructions!$E$27,0)+CO121*Instructions!$E$29+IFERROR((CP121+CR121)/Instructions!$J$32,0)+(CQ121+CS121)*Instructions!$J$34+Tier!CT121*-2</f>
        <v>50.4</v>
      </c>
      <c r="CV121" s="354"/>
      <c r="CW121" s="238">
        <v>2017</v>
      </c>
      <c r="CX121" s="365" t="s">
        <v>1424</v>
      </c>
      <c r="CY121" s="366" t="s">
        <v>161</v>
      </c>
      <c r="CZ121" s="366" t="s">
        <v>7</v>
      </c>
      <c r="DA121" s="366">
        <v>0</v>
      </c>
      <c r="DB121" s="366">
        <v>0</v>
      </c>
      <c r="DC121" s="366">
        <v>0</v>
      </c>
      <c r="DD121" s="366">
        <v>0</v>
      </c>
      <c r="DE121" s="366">
        <v>0</v>
      </c>
      <c r="DF121" s="366">
        <v>32</v>
      </c>
      <c r="DG121" s="366">
        <v>386</v>
      </c>
      <c r="DH121" s="366">
        <v>4</v>
      </c>
      <c r="DI121" s="366">
        <v>0</v>
      </c>
      <c r="DJ121" s="366">
        <v>0</v>
      </c>
      <c r="DK121" s="366">
        <v>0</v>
      </c>
      <c r="DL121" s="366">
        <v>0</v>
      </c>
      <c r="DM121" s="366">
        <v>0</v>
      </c>
      <c r="DN121" s="367">
        <f>IFERROR(DA121/Instructions!$J$25,0)+DB121*Instructions!$J$27+DC121*Instructions!$J$29+IFERROR(DD121/Instructions!$E$34,0)+DE121*Instructions!$E$36+Tier!DF121*Instructions!$E$25+IFERROR(DG121/Instructions!$E$27,0)+DH121*Instructions!$E$29+IFERROR((DI121+DK121)/Instructions!$J$32,0)+(DJ121+DL121)*Instructions!$J$34+Tier!DM121*-2</f>
        <v>94.6</v>
      </c>
    </row>
    <row r="122" spans="1:118" s="366" customFormat="1" ht="15.75" customHeight="1" x14ac:dyDescent="0.25">
      <c r="A122" s="238"/>
      <c r="B122" s="238"/>
      <c r="C122" s="354"/>
      <c r="D122" s="365"/>
      <c r="F122" s="238">
        <v>2017</v>
      </c>
      <c r="G122" s="367">
        <f>LARGE($BI$101:$BI$132,22)</f>
        <v>204.44</v>
      </c>
      <c r="H122" s="355">
        <f t="shared" si="71"/>
        <v>-50.299999999999955</v>
      </c>
      <c r="I122" s="356">
        <f t="shared" si="68"/>
        <v>2530.0899999999956</v>
      </c>
      <c r="J122" s="356"/>
      <c r="K122" s="356">
        <f t="shared" si="72"/>
        <v>-3.1437499999999972</v>
      </c>
      <c r="L122" s="238">
        <f t="shared" si="73"/>
        <v>8</v>
      </c>
      <c r="M122" s="354"/>
      <c r="N122" s="372"/>
      <c r="O122" s="372"/>
      <c r="P122" s="366">
        <v>2014</v>
      </c>
      <c r="Q122" s="367">
        <f>LARGE($CB$2:$CB$151,121)</f>
        <v>12.700000000000001</v>
      </c>
      <c r="R122" s="357">
        <f t="shared" si="67"/>
        <v>-151.9</v>
      </c>
      <c r="S122" s="356">
        <f t="shared" si="76"/>
        <v>23073.61</v>
      </c>
      <c r="T122" s="238"/>
      <c r="U122" s="356">
        <f t="shared" si="54"/>
        <v>-9.4937500000000004</v>
      </c>
      <c r="V122" s="238">
        <f t="shared" si="55"/>
        <v>8</v>
      </c>
      <c r="W122" s="354"/>
      <c r="X122" s="371"/>
      <c r="Y122" s="371"/>
      <c r="Z122" s="321">
        <v>2014</v>
      </c>
      <c r="AA122" s="367">
        <f>LARGE($CU$2:$CU$151,121)</f>
        <v>42</v>
      </c>
      <c r="AB122" s="357">
        <f t="shared" si="56"/>
        <v>-175.73333333333335</v>
      </c>
      <c r="AC122" s="356">
        <f t="shared" si="53"/>
        <v>30882.204444444451</v>
      </c>
      <c r="AD122" s="356"/>
      <c r="AE122" s="356">
        <f t="shared" si="57"/>
        <v>-10.983333333333334</v>
      </c>
      <c r="AF122" s="238">
        <f t="shared" si="58"/>
        <v>8</v>
      </c>
      <c r="AG122" s="354"/>
      <c r="AJ122" s="238">
        <v>2017</v>
      </c>
      <c r="AK122" s="367">
        <f>LARGE($DN$101:$DN$132,22)</f>
        <v>98.2</v>
      </c>
      <c r="AL122" s="373">
        <f t="shared" si="74"/>
        <v>-34.499999999999986</v>
      </c>
      <c r="AM122" s="374">
        <f t="shared" si="69"/>
        <v>1190.2499999999991</v>
      </c>
      <c r="AN122" s="374"/>
      <c r="AO122" s="374">
        <f t="shared" si="75"/>
        <v>-2.1562499999999991</v>
      </c>
      <c r="AP122" s="238">
        <f t="shared" si="70"/>
        <v>8</v>
      </c>
      <c r="AQ122" s="354"/>
      <c r="AR122" s="238">
        <v>2017</v>
      </c>
      <c r="AS122" t="s">
        <v>1423</v>
      </c>
      <c r="AT122" t="s">
        <v>161</v>
      </c>
      <c r="AU122" s="366" t="s">
        <v>1</v>
      </c>
      <c r="AV122" s="418">
        <v>2894</v>
      </c>
      <c r="AW122" s="426">
        <v>11</v>
      </c>
      <c r="AX122" s="426">
        <v>22</v>
      </c>
      <c r="AY122" s="426">
        <v>419</v>
      </c>
      <c r="AZ122" s="426">
        <v>5</v>
      </c>
      <c r="BA122" s="238">
        <v>0</v>
      </c>
      <c r="BB122" s="238">
        <v>0</v>
      </c>
      <c r="BC122" s="238">
        <v>0</v>
      </c>
      <c r="BD122" s="238">
        <v>0</v>
      </c>
      <c r="BE122" s="238">
        <v>0</v>
      </c>
      <c r="BF122" s="238">
        <v>0</v>
      </c>
      <c r="BG122" s="238">
        <v>0</v>
      </c>
      <c r="BH122" s="238">
        <v>0</v>
      </c>
      <c r="BI122" s="367">
        <f>IFERROR(AV122/Instructions!$J$25,0)+AW122*Instructions!$J$27+AX122*Instructions!$J$29+IFERROR(AY122/Instructions!$E$34,0)+AZ122*Instructions!$E$36+Tier!BA122*Instructions!$E$25+IFERROR(BB122/Instructions!$E$27,0)+BC122*Instructions!$E$29+IFERROR((BD122+BF122)/Instructions!$J$32,0)+(BE122+BG122)*Instructions!$J$34+BH122*-2</f>
        <v>187.66</v>
      </c>
      <c r="BJ122" s="354"/>
      <c r="BK122" s="366">
        <v>2014</v>
      </c>
      <c r="BL122" s="370" t="s">
        <v>1235</v>
      </c>
      <c r="BM122" s="372" t="s">
        <v>1625</v>
      </c>
      <c r="BN122" s="372" t="s">
        <v>3</v>
      </c>
      <c r="BO122" s="372">
        <v>0</v>
      </c>
      <c r="BP122" s="372">
        <v>0</v>
      </c>
      <c r="BQ122" s="372">
        <v>0</v>
      </c>
      <c r="BR122" s="372">
        <v>22</v>
      </c>
      <c r="BS122" s="372">
        <v>0</v>
      </c>
      <c r="BT122" s="372">
        <v>2</v>
      </c>
      <c r="BU122" s="372">
        <v>15</v>
      </c>
      <c r="BV122" s="372">
        <v>1</v>
      </c>
      <c r="BW122" s="372">
        <v>0</v>
      </c>
      <c r="BX122" s="372">
        <v>0</v>
      </c>
      <c r="BY122" s="372">
        <v>0</v>
      </c>
      <c r="BZ122" s="372">
        <v>0</v>
      </c>
      <c r="CA122" s="372">
        <v>0</v>
      </c>
      <c r="CB122" s="367">
        <f>IFERROR(BO122/Instructions!$J$25,0)+BP122*Instructions!$J$27+BQ122*Instructions!$J$29+IFERROR(BR122/Instructions!$E$34,0)+BS122*Instructions!$E$36+Tier!BT123*Instructions!$E$25+IFERROR(BU122/Instructions!$E$27,0)+BV122*Instructions!$E$29+IFERROR((BW122+BY122)/Instructions!$J$32,0)+(BX122+BZ122)*Instructions!$J$34+Tier!CA122*-2</f>
        <v>11.7</v>
      </c>
      <c r="CC122" s="354"/>
      <c r="CD122" s="321">
        <v>2014</v>
      </c>
      <c r="CE122" s="370" t="s">
        <v>1246</v>
      </c>
      <c r="CF122" s="371" t="s">
        <v>159</v>
      </c>
      <c r="CG122" s="371" t="s">
        <v>6</v>
      </c>
      <c r="CH122" s="371">
        <v>0</v>
      </c>
      <c r="CI122" s="371">
        <v>0</v>
      </c>
      <c r="CJ122" s="371">
        <v>0</v>
      </c>
      <c r="CK122" s="371">
        <v>0</v>
      </c>
      <c r="CL122" s="371">
        <v>0</v>
      </c>
      <c r="CM122" s="371">
        <v>13</v>
      </c>
      <c r="CN122" s="371">
        <v>151</v>
      </c>
      <c r="CO122" s="371">
        <v>1</v>
      </c>
      <c r="CP122" s="371">
        <v>86</v>
      </c>
      <c r="CQ122" s="371">
        <v>0</v>
      </c>
      <c r="CR122" s="371">
        <v>167</v>
      </c>
      <c r="CS122" s="371">
        <v>0</v>
      </c>
      <c r="CT122" s="371">
        <v>0</v>
      </c>
      <c r="CU122" s="367">
        <f>IFERROR(CH122/Instructions!$J$25,0)+CI122*Instructions!$J$27+CJ122*Instructions!$J$29+IFERROR(CK122/Instructions!$E$34,0)+CL122*Instructions!$E$36+Tier!CM122*Instructions!$E$25+IFERROR(CN122/Instructions!$E$27,0)+CO122*Instructions!$E$29+IFERROR((CP122+CR122)/Instructions!$J$32,0)+(CQ122+CS122)*Instructions!$J$34+Tier!CT122*-2</f>
        <v>34.1</v>
      </c>
      <c r="CV122" s="354"/>
      <c r="CW122" s="238">
        <v>2017</v>
      </c>
      <c r="CX122" s="365" t="s">
        <v>224</v>
      </c>
      <c r="CY122" s="366" t="s">
        <v>165</v>
      </c>
      <c r="CZ122" s="366" t="s">
        <v>7</v>
      </c>
      <c r="DA122" s="366">
        <v>0</v>
      </c>
      <c r="DB122" s="366">
        <v>0</v>
      </c>
      <c r="DC122" s="366">
        <v>0</v>
      </c>
      <c r="DD122" s="366">
        <v>0</v>
      </c>
      <c r="DE122" s="366">
        <v>0</v>
      </c>
      <c r="DF122" s="366">
        <v>24</v>
      </c>
      <c r="DG122" s="366">
        <v>318</v>
      </c>
      <c r="DH122" s="366">
        <v>5</v>
      </c>
      <c r="DI122" s="366">
        <v>0</v>
      </c>
      <c r="DJ122" s="366">
        <v>0</v>
      </c>
      <c r="DK122" s="366">
        <v>0</v>
      </c>
      <c r="DL122" s="366">
        <v>0</v>
      </c>
      <c r="DM122" s="366">
        <v>0</v>
      </c>
      <c r="DN122" s="367">
        <f>IFERROR(DA122/Instructions!$J$25,0)+DB122*Instructions!$J$27+DC122*Instructions!$J$29+IFERROR(DD122/Instructions!$E$34,0)+DE122*Instructions!$E$36+Tier!DF122*Instructions!$E$25+IFERROR(DG122/Instructions!$E$27,0)+DH122*Instructions!$E$29+IFERROR((DI122+DK122)/Instructions!$J$32,0)+(DJ122+DL122)*Instructions!$J$34+Tier!DM122*-2</f>
        <v>85.8</v>
      </c>
    </row>
    <row r="123" spans="1:118" s="366" customFormat="1" ht="15.75" customHeight="1" x14ac:dyDescent="0.25">
      <c r="A123" s="238"/>
      <c r="B123" s="238"/>
      <c r="C123" s="354"/>
      <c r="D123" s="365"/>
      <c r="F123" s="238">
        <v>2017</v>
      </c>
      <c r="G123" s="367">
        <f>LARGE($BI$101:$BI$132,23)</f>
        <v>197.32</v>
      </c>
      <c r="H123" s="355">
        <f t="shared" si="71"/>
        <v>-57.419999999999959</v>
      </c>
      <c r="I123" s="356">
        <f t="shared" si="68"/>
        <v>3297.0563999999954</v>
      </c>
      <c r="J123" s="356"/>
      <c r="K123" s="356">
        <f t="shared" si="72"/>
        <v>-3.5887499999999974</v>
      </c>
      <c r="L123" s="238">
        <f t="shared" si="73"/>
        <v>8</v>
      </c>
      <c r="M123" s="354"/>
      <c r="N123" s="372"/>
      <c r="O123" s="372"/>
      <c r="P123" s="366">
        <v>2014</v>
      </c>
      <c r="Q123" s="367">
        <f>LARGE($CB$2:$CB$151,122)</f>
        <v>12.5</v>
      </c>
      <c r="R123" s="357">
        <f t="shared" si="67"/>
        <v>-152.1</v>
      </c>
      <c r="S123" s="356">
        <f t="shared" si="76"/>
        <v>23134.41</v>
      </c>
      <c r="T123" s="238"/>
      <c r="U123" s="356">
        <f t="shared" si="54"/>
        <v>-9.5062499999999996</v>
      </c>
      <c r="V123" s="238">
        <f t="shared" si="55"/>
        <v>8</v>
      </c>
      <c r="W123" s="354"/>
      <c r="X123" s="371"/>
      <c r="Y123" s="371"/>
      <c r="Z123" s="321">
        <v>2014</v>
      </c>
      <c r="AA123" s="367">
        <f>LARGE($CU$2:$CU$151,122)</f>
        <v>41</v>
      </c>
      <c r="AB123" s="357">
        <f t="shared" si="56"/>
        <v>-176.73333333333335</v>
      </c>
      <c r="AC123" s="356">
        <f t="shared" si="53"/>
        <v>31234.671111111118</v>
      </c>
      <c r="AD123" s="356"/>
      <c r="AE123" s="356">
        <f t="shared" si="57"/>
        <v>-11.045833333333334</v>
      </c>
      <c r="AF123" s="238">
        <f t="shared" si="58"/>
        <v>8</v>
      </c>
      <c r="AG123" s="354"/>
      <c r="AJ123" s="238">
        <v>2017</v>
      </c>
      <c r="AK123" s="367">
        <f>LARGE($DN$101:$DN$132,23)</f>
        <v>97.8</v>
      </c>
      <c r="AL123" s="373">
        <f t="shared" si="74"/>
        <v>-34.899999999999991</v>
      </c>
      <c r="AM123" s="374">
        <f t="shared" si="69"/>
        <v>1218.0099999999993</v>
      </c>
      <c r="AN123" s="374"/>
      <c r="AO123" s="374">
        <f t="shared" si="75"/>
        <v>-2.1812499999999995</v>
      </c>
      <c r="AP123" s="238">
        <f t="shared" si="70"/>
        <v>8</v>
      </c>
      <c r="AQ123" s="354"/>
      <c r="AR123" s="238">
        <v>2017</v>
      </c>
      <c r="AS123" t="s">
        <v>67</v>
      </c>
      <c r="AT123" t="s">
        <v>154</v>
      </c>
      <c r="AU123" s="366" t="s">
        <v>1</v>
      </c>
      <c r="AV123" s="418">
        <v>3468</v>
      </c>
      <c r="AW123" s="426">
        <v>19</v>
      </c>
      <c r="AX123" s="426">
        <v>13</v>
      </c>
      <c r="AY123" s="426">
        <v>26</v>
      </c>
      <c r="AZ123" s="426">
        <v>1</v>
      </c>
      <c r="BA123" s="238">
        <v>0</v>
      </c>
      <c r="BB123" s="238">
        <v>0</v>
      </c>
      <c r="BC123" s="238">
        <v>0</v>
      </c>
      <c r="BD123" s="238">
        <v>0</v>
      </c>
      <c r="BE123" s="238">
        <v>0</v>
      </c>
      <c r="BF123" s="238">
        <v>0</v>
      </c>
      <c r="BG123" s="238">
        <v>0</v>
      </c>
      <c r="BH123" s="238">
        <v>0</v>
      </c>
      <c r="BI123" s="367">
        <f>IFERROR(AV123/Instructions!$J$25,0)+AW123*Instructions!$J$27+AX123*Instructions!$J$29+IFERROR(AY123/Instructions!$E$34,0)+AZ123*Instructions!$E$36+Tier!BA123*Instructions!$E$25+IFERROR(BB123/Instructions!$E$27,0)+BC123*Instructions!$E$29+IFERROR((BD123+BF123)/Instructions!$J$32,0)+(BE123+BG123)*Instructions!$J$34+BH123*-2</f>
        <v>197.32</v>
      </c>
      <c r="BJ123" s="354"/>
      <c r="BK123" s="366">
        <v>2014</v>
      </c>
      <c r="BL123" s="370" t="s">
        <v>5</v>
      </c>
      <c r="BM123" s="372" t="s">
        <v>138</v>
      </c>
      <c r="BN123" s="372" t="s">
        <v>3</v>
      </c>
      <c r="BO123" s="372">
        <v>0</v>
      </c>
      <c r="BP123" s="372">
        <v>0</v>
      </c>
      <c r="BQ123" s="372">
        <v>0</v>
      </c>
      <c r="BR123" s="372">
        <v>75</v>
      </c>
      <c r="BS123" s="372">
        <v>0</v>
      </c>
      <c r="BT123" s="372">
        <v>2</v>
      </c>
      <c r="BU123" s="372">
        <v>18</v>
      </c>
      <c r="BV123" s="372">
        <v>0</v>
      </c>
      <c r="BW123" s="372">
        <v>0</v>
      </c>
      <c r="BX123" s="372">
        <v>0</v>
      </c>
      <c r="BY123" s="372">
        <v>0</v>
      </c>
      <c r="BZ123" s="372">
        <v>0</v>
      </c>
      <c r="CA123" s="372">
        <v>0</v>
      </c>
      <c r="CB123" s="367">
        <f>IFERROR(BO123/Instructions!$J$25,0)+BP123*Instructions!$J$27+BQ123*Instructions!$J$29+IFERROR(BR123/Instructions!$E$34,0)+BS123*Instructions!$E$36+Tier!BT124*Instructions!$E$25+IFERROR(BU123/Instructions!$E$27,0)+BV123*Instructions!$E$29+IFERROR((BW123+BY123)/Instructions!$J$32,0)+(BX123+BZ123)*Instructions!$J$34+Tier!CA123*-2</f>
        <v>9.3000000000000007</v>
      </c>
      <c r="CC123" s="354"/>
      <c r="CD123" s="321">
        <v>2014</v>
      </c>
      <c r="CE123" s="370" t="s">
        <v>1676</v>
      </c>
      <c r="CF123" s="371" t="s">
        <v>147</v>
      </c>
      <c r="CG123" s="371" t="s">
        <v>6</v>
      </c>
      <c r="CH123" s="371">
        <v>0</v>
      </c>
      <c r="CI123" s="371">
        <v>0</v>
      </c>
      <c r="CJ123" s="371">
        <v>0</v>
      </c>
      <c r="CK123" s="371">
        <v>0</v>
      </c>
      <c r="CL123" s="371">
        <v>0</v>
      </c>
      <c r="CM123" s="371">
        <v>14</v>
      </c>
      <c r="CN123" s="371">
        <v>198</v>
      </c>
      <c r="CO123" s="371">
        <v>2</v>
      </c>
      <c r="CP123" s="371">
        <v>0</v>
      </c>
      <c r="CQ123" s="371">
        <v>0</v>
      </c>
      <c r="CR123" s="371">
        <v>0</v>
      </c>
      <c r="CS123" s="371">
        <v>0</v>
      </c>
      <c r="CT123" s="371">
        <v>0</v>
      </c>
      <c r="CU123" s="367">
        <f>IFERROR(CH123/Instructions!$J$25,0)+CI123*Instructions!$J$27+CJ123*Instructions!$J$29+IFERROR(CK123/Instructions!$E$34,0)+CL123*Instructions!$E$36+Tier!CM123*Instructions!$E$25+IFERROR(CN123/Instructions!$E$27,0)+CO123*Instructions!$E$29+IFERROR((CP123+CR123)/Instructions!$J$32,0)+(CQ123+CS123)*Instructions!$J$34+Tier!CT123*-2</f>
        <v>45.8</v>
      </c>
      <c r="CV123" s="354"/>
      <c r="CW123" s="238">
        <v>2017</v>
      </c>
      <c r="CX123" s="365" t="s">
        <v>1219</v>
      </c>
      <c r="CY123" s="366" t="s">
        <v>155</v>
      </c>
      <c r="CZ123" s="366" t="s">
        <v>7</v>
      </c>
      <c r="DA123" s="366">
        <v>0</v>
      </c>
      <c r="DB123" s="366">
        <v>0</v>
      </c>
      <c r="DC123" s="366">
        <v>0</v>
      </c>
      <c r="DD123" s="366">
        <v>0</v>
      </c>
      <c r="DE123" s="366">
        <v>0</v>
      </c>
      <c r="DF123" s="366">
        <v>21</v>
      </c>
      <c r="DG123" s="366">
        <v>336</v>
      </c>
      <c r="DH123" s="366">
        <v>4</v>
      </c>
      <c r="DI123" s="366">
        <v>0</v>
      </c>
      <c r="DJ123" s="366">
        <v>0</v>
      </c>
      <c r="DK123" s="366">
        <v>0</v>
      </c>
      <c r="DL123" s="366">
        <v>0</v>
      </c>
      <c r="DM123" s="366">
        <v>0</v>
      </c>
      <c r="DN123" s="367">
        <f>IFERROR(DA123/Instructions!$J$25,0)+DB123*Instructions!$J$27+DC123*Instructions!$J$29+IFERROR(DD123/Instructions!$E$34,0)+DE123*Instructions!$E$36+Tier!DF123*Instructions!$E$25+IFERROR(DG123/Instructions!$E$27,0)+DH123*Instructions!$E$29+IFERROR((DI123+DK123)/Instructions!$J$32,0)+(DJ123+DL123)*Instructions!$J$34+Tier!DM123*-2</f>
        <v>78.599999999999994</v>
      </c>
    </row>
    <row r="124" spans="1:118" s="366" customFormat="1" ht="15.75" customHeight="1" x14ac:dyDescent="0.25">
      <c r="A124" s="238"/>
      <c r="B124" s="238"/>
      <c r="C124" s="354"/>
      <c r="D124" s="365"/>
      <c r="F124" s="238">
        <v>2017</v>
      </c>
      <c r="G124" s="367">
        <f>LARGE($BI$101:$BI$132,24)</f>
        <v>187.66</v>
      </c>
      <c r="H124" s="355">
        <f t="shared" si="71"/>
        <v>-67.079999999999956</v>
      </c>
      <c r="I124" s="356">
        <f t="shared" si="68"/>
        <v>4499.7263999999941</v>
      </c>
      <c r="J124" s="356"/>
      <c r="K124" s="356">
        <f t="shared" si="72"/>
        <v>-4.1924999999999972</v>
      </c>
      <c r="L124" s="238">
        <f t="shared" si="73"/>
        <v>8</v>
      </c>
      <c r="M124" s="354"/>
      <c r="N124" s="372"/>
      <c r="O124" s="372"/>
      <c r="P124" s="366">
        <v>2014</v>
      </c>
      <c r="Q124" s="367">
        <f>LARGE($CB$2:$CB$151,123)</f>
        <v>12.100000000000001</v>
      </c>
      <c r="R124" s="357">
        <f t="shared" si="67"/>
        <v>-152.5</v>
      </c>
      <c r="S124" s="356">
        <f t="shared" si="76"/>
        <v>23256.25</v>
      </c>
      <c r="T124" s="238"/>
      <c r="U124" s="356">
        <f t="shared" si="54"/>
        <v>-9.53125</v>
      </c>
      <c r="V124" s="238">
        <f t="shared" si="55"/>
        <v>8</v>
      </c>
      <c r="W124" s="354"/>
      <c r="X124" s="371"/>
      <c r="Y124" s="371"/>
      <c r="Z124" s="321">
        <v>2014</v>
      </c>
      <c r="AA124" s="367">
        <f>LARGE($CU$2:$CU$151,123)</f>
        <v>40</v>
      </c>
      <c r="AB124" s="357">
        <f t="shared" si="56"/>
        <v>-177.73333333333335</v>
      </c>
      <c r="AC124" s="356">
        <f t="shared" si="53"/>
        <v>31589.137777777782</v>
      </c>
      <c r="AD124" s="356"/>
      <c r="AE124" s="356">
        <f t="shared" si="57"/>
        <v>-11.108333333333334</v>
      </c>
      <c r="AF124" s="238">
        <f t="shared" si="58"/>
        <v>8</v>
      </c>
      <c r="AG124" s="354"/>
      <c r="AJ124" s="238">
        <v>2017</v>
      </c>
      <c r="AK124" s="367">
        <f>LARGE($DN$101:$DN$132,24)</f>
        <v>94.6</v>
      </c>
      <c r="AL124" s="373">
        <f t="shared" si="74"/>
        <v>-38.099999999999994</v>
      </c>
      <c r="AM124" s="374">
        <f t="shared" si="69"/>
        <v>1451.6099999999997</v>
      </c>
      <c r="AN124" s="374"/>
      <c r="AO124" s="374">
        <f t="shared" si="75"/>
        <v>-2.3812499999999996</v>
      </c>
      <c r="AP124" s="238">
        <f t="shared" si="70"/>
        <v>8</v>
      </c>
      <c r="AQ124" s="354"/>
      <c r="AR124" s="238">
        <v>2017</v>
      </c>
      <c r="AS124" t="s">
        <v>1302</v>
      </c>
      <c r="AT124" t="s">
        <v>158</v>
      </c>
      <c r="AU124" s="366" t="s">
        <v>1</v>
      </c>
      <c r="AV124" s="418">
        <v>3098</v>
      </c>
      <c r="AW124" s="426">
        <v>13</v>
      </c>
      <c r="AX124" s="426">
        <v>7</v>
      </c>
      <c r="AY124" s="426">
        <v>260</v>
      </c>
      <c r="AZ124" s="426">
        <v>4</v>
      </c>
      <c r="BA124" s="238">
        <v>0</v>
      </c>
      <c r="BB124" s="238">
        <v>0</v>
      </c>
      <c r="BC124" s="238">
        <v>0</v>
      </c>
      <c r="BD124" s="238">
        <v>0</v>
      </c>
      <c r="BE124" s="238">
        <v>0</v>
      </c>
      <c r="BF124" s="238">
        <v>0</v>
      </c>
      <c r="BG124" s="238">
        <v>0</v>
      </c>
      <c r="BH124" s="238">
        <v>0</v>
      </c>
      <c r="BI124" s="367">
        <f>IFERROR(AV124/Instructions!$J$25,0)+AW124*Instructions!$J$27+AX124*Instructions!$J$29+IFERROR(AY124/Instructions!$E$34,0)+AZ124*Instructions!$E$36+Tier!BA124*Instructions!$E$25+IFERROR(BB124/Instructions!$E$27,0)+BC124*Instructions!$E$29+IFERROR((BD124+BF124)/Instructions!$J$32,0)+(BE124+BG124)*Instructions!$J$34+BH124*-2</f>
        <v>211.92000000000002</v>
      </c>
      <c r="BJ124" s="354"/>
      <c r="BK124" s="366">
        <v>2014</v>
      </c>
      <c r="BL124" s="370" t="s">
        <v>1317</v>
      </c>
      <c r="BM124" s="372" t="s">
        <v>1629</v>
      </c>
      <c r="BN124" s="372" t="s">
        <v>3</v>
      </c>
      <c r="BO124" s="372">
        <v>0</v>
      </c>
      <c r="BP124" s="372">
        <v>0</v>
      </c>
      <c r="BQ124" s="372">
        <v>0</v>
      </c>
      <c r="BR124" s="372">
        <v>31</v>
      </c>
      <c r="BS124" s="372">
        <v>1</v>
      </c>
      <c r="BT124" s="372">
        <v>0</v>
      </c>
      <c r="BU124" s="372">
        <v>0</v>
      </c>
      <c r="BV124" s="372">
        <v>0</v>
      </c>
      <c r="BW124" s="372">
        <v>0</v>
      </c>
      <c r="BX124" s="372">
        <v>0</v>
      </c>
      <c r="BY124" s="372">
        <v>0</v>
      </c>
      <c r="BZ124" s="372">
        <v>0</v>
      </c>
      <c r="CA124" s="372">
        <v>0</v>
      </c>
      <c r="CB124" s="367">
        <f>IFERROR(BO124/Instructions!$J$25,0)+BP124*Instructions!$J$27+BQ124*Instructions!$J$29+IFERROR(BR124/Instructions!$E$34,0)+BS124*Instructions!$E$36+Tier!BT125*Instructions!$E$25+IFERROR(BU124/Instructions!$E$27,0)+BV124*Instructions!$E$29+IFERROR((BW124+BY124)/Instructions!$J$32,0)+(BX124+BZ124)*Instructions!$J$34+Tier!CA124*-2</f>
        <v>18.100000000000001</v>
      </c>
      <c r="CC124" s="354"/>
      <c r="CD124" s="321">
        <v>2014</v>
      </c>
      <c r="CE124" s="370" t="s">
        <v>110</v>
      </c>
      <c r="CF124" s="371" t="s">
        <v>161</v>
      </c>
      <c r="CG124" s="371" t="s">
        <v>6</v>
      </c>
      <c r="CH124" s="371">
        <v>0</v>
      </c>
      <c r="CI124" s="371">
        <v>0</v>
      </c>
      <c r="CJ124" s="371">
        <v>0</v>
      </c>
      <c r="CK124" s="371">
        <v>0</v>
      </c>
      <c r="CL124" s="371">
        <v>0</v>
      </c>
      <c r="CM124" s="371">
        <v>24</v>
      </c>
      <c r="CN124" s="371">
        <v>303</v>
      </c>
      <c r="CO124" s="371">
        <v>0</v>
      </c>
      <c r="CP124" s="371">
        <v>0</v>
      </c>
      <c r="CQ124" s="371">
        <v>0</v>
      </c>
      <c r="CR124" s="371">
        <v>0</v>
      </c>
      <c r="CS124" s="371">
        <v>0</v>
      </c>
      <c r="CT124" s="371">
        <v>0</v>
      </c>
      <c r="CU124" s="367">
        <f>IFERROR(CH124/Instructions!$J$25,0)+CI124*Instructions!$J$27+CJ124*Instructions!$J$29+IFERROR(CK124/Instructions!$E$34,0)+CL124*Instructions!$E$36+Tier!CM124*Instructions!$E$25+IFERROR(CN124/Instructions!$E$27,0)+CO124*Instructions!$E$29+IFERROR((CP124+CR124)/Instructions!$J$32,0)+(CQ124+CS124)*Instructions!$J$34+Tier!CT124*-2</f>
        <v>54.3</v>
      </c>
      <c r="CV124" s="354"/>
      <c r="CW124" s="238">
        <v>2017</v>
      </c>
      <c r="CX124" s="365" t="s">
        <v>15</v>
      </c>
      <c r="CY124" s="366" t="s">
        <v>166</v>
      </c>
      <c r="CZ124" s="366" t="s">
        <v>7</v>
      </c>
      <c r="DA124" s="366">
        <v>0</v>
      </c>
      <c r="DB124" s="366">
        <v>0</v>
      </c>
      <c r="DC124" s="366">
        <v>0</v>
      </c>
      <c r="DD124" s="366">
        <v>0</v>
      </c>
      <c r="DE124" s="366">
        <v>0</v>
      </c>
      <c r="DF124" s="366">
        <v>41</v>
      </c>
      <c r="DG124" s="366">
        <v>388</v>
      </c>
      <c r="DH124" s="366">
        <v>3</v>
      </c>
      <c r="DI124" s="366">
        <v>0</v>
      </c>
      <c r="DJ124" s="366">
        <v>0</v>
      </c>
      <c r="DK124" s="366">
        <v>0</v>
      </c>
      <c r="DL124" s="366">
        <v>0</v>
      </c>
      <c r="DM124" s="366">
        <v>0</v>
      </c>
      <c r="DN124" s="367">
        <f>IFERROR(DA124/Instructions!$J$25,0)+DB124*Instructions!$J$27+DC124*Instructions!$J$29+IFERROR(DD124/Instructions!$E$34,0)+DE124*Instructions!$E$36+Tier!DF124*Instructions!$E$25+IFERROR(DG124/Instructions!$E$27,0)+DH124*Instructions!$E$29+IFERROR((DI124+DK124)/Instructions!$J$32,0)+(DJ124+DL124)*Instructions!$J$34+Tier!DM124*-2</f>
        <v>97.8</v>
      </c>
    </row>
    <row r="125" spans="1:118" s="366" customFormat="1" ht="15.75" customHeight="1" x14ac:dyDescent="0.25">
      <c r="A125" s="238"/>
      <c r="B125" s="238"/>
      <c r="C125" s="354"/>
      <c r="D125" s="365"/>
      <c r="F125" s="238">
        <v>2017</v>
      </c>
      <c r="G125" s="367">
        <f>LARGE($BI$101:$BI$132,25)</f>
        <v>181.04</v>
      </c>
      <c r="H125" s="355">
        <f t="shared" si="71"/>
        <v>-73.69999999999996</v>
      </c>
      <c r="I125" s="356">
        <f t="shared" si="68"/>
        <v>5431.6899999999941</v>
      </c>
      <c r="J125" s="356"/>
      <c r="K125" s="356">
        <f t="shared" si="72"/>
        <v>-4.6062499999999975</v>
      </c>
      <c r="L125" s="238">
        <f t="shared" si="73"/>
        <v>8</v>
      </c>
      <c r="M125" s="354"/>
      <c r="N125" s="372"/>
      <c r="O125" s="372"/>
      <c r="P125" s="366">
        <v>2014</v>
      </c>
      <c r="Q125" s="367">
        <f>LARGE($CB$2:$CB$151,124)</f>
        <v>11.7</v>
      </c>
      <c r="R125" s="357">
        <f t="shared" si="67"/>
        <v>-152.9</v>
      </c>
      <c r="S125" s="356">
        <f t="shared" si="76"/>
        <v>23378.410000000003</v>
      </c>
      <c r="T125" s="238"/>
      <c r="U125" s="356">
        <f t="shared" si="54"/>
        <v>-9.5562500000000004</v>
      </c>
      <c r="V125" s="238">
        <f t="shared" si="55"/>
        <v>8</v>
      </c>
      <c r="W125" s="354"/>
      <c r="X125" s="371"/>
      <c r="Y125" s="371"/>
      <c r="Z125" s="321">
        <v>2014</v>
      </c>
      <c r="AA125" s="367">
        <f>LARGE($CU$2:$CU$151,124)</f>
        <v>39.200000000000003</v>
      </c>
      <c r="AB125" s="357">
        <f t="shared" si="56"/>
        <v>-178.53333333333336</v>
      </c>
      <c r="AC125" s="356">
        <f t="shared" si="53"/>
        <v>31874.151111111121</v>
      </c>
      <c r="AD125" s="356"/>
      <c r="AE125" s="356">
        <f t="shared" si="57"/>
        <v>-11.158333333333335</v>
      </c>
      <c r="AF125" s="238">
        <f t="shared" si="58"/>
        <v>8</v>
      </c>
      <c r="AG125" s="354"/>
      <c r="AJ125" s="238">
        <v>2017</v>
      </c>
      <c r="AK125" s="367">
        <f>LARGE($DN$101:$DN$132,25)</f>
        <v>85.8</v>
      </c>
      <c r="AL125" s="373">
        <f t="shared" si="74"/>
        <v>-46.899999999999991</v>
      </c>
      <c r="AM125" s="374">
        <f t="shared" si="69"/>
        <v>2199.6099999999992</v>
      </c>
      <c r="AN125" s="374"/>
      <c r="AO125" s="374">
        <f t="shared" si="75"/>
        <v>-2.9312499999999995</v>
      </c>
      <c r="AP125" s="238">
        <f t="shared" si="70"/>
        <v>8</v>
      </c>
      <c r="AQ125" s="354"/>
      <c r="AR125" s="238">
        <v>2017</v>
      </c>
      <c r="AS125" t="s">
        <v>77</v>
      </c>
      <c r="AT125" t="s">
        <v>162</v>
      </c>
      <c r="AU125" s="366" t="s">
        <v>1</v>
      </c>
      <c r="AV125" s="418">
        <v>3141</v>
      </c>
      <c r="AW125" s="426">
        <v>18</v>
      </c>
      <c r="AX125" s="426">
        <v>13</v>
      </c>
      <c r="AY125" s="426">
        <v>54</v>
      </c>
      <c r="AZ125" s="426">
        <v>1</v>
      </c>
      <c r="BA125" s="238">
        <v>0</v>
      </c>
      <c r="BB125" s="238">
        <v>0</v>
      </c>
      <c r="BC125" s="238">
        <v>0</v>
      </c>
      <c r="BD125" s="238">
        <v>0</v>
      </c>
      <c r="BE125" s="238">
        <v>0</v>
      </c>
      <c r="BF125" s="238">
        <v>0</v>
      </c>
      <c r="BG125" s="238">
        <v>0</v>
      </c>
      <c r="BH125" s="238">
        <v>1</v>
      </c>
      <c r="BI125" s="367">
        <f>IFERROR(AV125/Instructions!$J$25,0)+AW125*Instructions!$J$27+AX125*Instructions!$J$29+IFERROR(AY125/Instructions!$E$34,0)+AZ125*Instructions!$E$36+Tier!BA125*Instructions!$E$25+IFERROR(BB125/Instructions!$E$27,0)+BC125*Instructions!$E$29+IFERROR((BD125+BF125)/Instructions!$J$32,0)+(BE125+BG125)*Instructions!$J$34+BH125*-2</f>
        <v>181.04</v>
      </c>
      <c r="BJ125" s="354"/>
      <c r="BK125" s="366">
        <v>2014</v>
      </c>
      <c r="BL125" s="370" t="s">
        <v>1712</v>
      </c>
      <c r="BM125" s="372" t="s">
        <v>1625</v>
      </c>
      <c r="BN125" s="372" t="s">
        <v>3</v>
      </c>
      <c r="BO125" s="372">
        <v>0</v>
      </c>
      <c r="BP125" s="372">
        <v>0</v>
      </c>
      <c r="BQ125" s="372">
        <v>0</v>
      </c>
      <c r="BR125" s="372">
        <v>4</v>
      </c>
      <c r="BS125" s="372">
        <v>0</v>
      </c>
      <c r="BT125" s="372">
        <v>9</v>
      </c>
      <c r="BU125" s="372">
        <v>27</v>
      </c>
      <c r="BV125" s="372">
        <v>1</v>
      </c>
      <c r="BW125" s="372">
        <v>0</v>
      </c>
      <c r="BX125" s="372">
        <v>0</v>
      </c>
      <c r="BY125" s="372">
        <v>0</v>
      </c>
      <c r="BZ125" s="372">
        <v>0</v>
      </c>
      <c r="CA125" s="372">
        <v>1</v>
      </c>
      <c r="CB125" s="367">
        <f>IFERROR(BO125/Instructions!$J$25,0)+BP125*Instructions!$J$27+BQ125*Instructions!$J$29+IFERROR(BR125/Instructions!$E$34,0)+BS125*Instructions!$E$36+Tier!BT126*Instructions!$E$25+IFERROR(BU125/Instructions!$E$27,0)+BV125*Instructions!$E$29+IFERROR((BW125+BY125)/Instructions!$J$32,0)+(BX125+BZ125)*Instructions!$J$34+Tier!CA125*-2</f>
        <v>12.100000000000001</v>
      </c>
      <c r="CC125" s="354"/>
      <c r="CD125" s="321">
        <v>2014</v>
      </c>
      <c r="CE125" s="370" t="s">
        <v>1734</v>
      </c>
      <c r="CF125" s="371" t="s">
        <v>141</v>
      </c>
      <c r="CG125" s="371" t="s">
        <v>6</v>
      </c>
      <c r="CH125" s="371">
        <v>0</v>
      </c>
      <c r="CI125" s="371">
        <v>0</v>
      </c>
      <c r="CJ125" s="371">
        <v>0</v>
      </c>
      <c r="CK125" s="371">
        <v>-8</v>
      </c>
      <c r="CL125" s="371">
        <v>0</v>
      </c>
      <c r="CM125" s="371">
        <v>0</v>
      </c>
      <c r="CN125" s="371">
        <v>0</v>
      </c>
      <c r="CO125" s="371">
        <v>0</v>
      </c>
      <c r="CP125" s="371">
        <v>30</v>
      </c>
      <c r="CQ125" s="371">
        <v>0</v>
      </c>
      <c r="CR125" s="371">
        <v>579</v>
      </c>
      <c r="CS125" s="371">
        <v>1</v>
      </c>
      <c r="CT125" s="371">
        <v>0</v>
      </c>
      <c r="CU125" s="367">
        <f>IFERROR(CH125/Instructions!$J$25,0)+CI125*Instructions!$J$27+CJ125*Instructions!$J$29+IFERROR(CK125/Instructions!$E$34,0)+CL125*Instructions!$E$36+Tier!CM125*Instructions!$E$25+IFERROR(CN125/Instructions!$E$27,0)+CO125*Instructions!$E$29+IFERROR((CP125+CR125)/Instructions!$J$32,0)+(CQ125+CS125)*Instructions!$J$34+Tier!CT125*-2</f>
        <v>5.2</v>
      </c>
      <c r="CV125" s="354"/>
      <c r="CW125" s="238">
        <v>2017</v>
      </c>
      <c r="CX125" s="365" t="s">
        <v>1299</v>
      </c>
      <c r="CY125" s="366" t="s">
        <v>147</v>
      </c>
      <c r="CZ125" s="366" t="s">
        <v>7</v>
      </c>
      <c r="DA125" s="366">
        <v>0</v>
      </c>
      <c r="DB125" s="366">
        <v>0</v>
      </c>
      <c r="DC125" s="366">
        <v>0</v>
      </c>
      <c r="DD125" s="366">
        <v>0</v>
      </c>
      <c r="DE125" s="366">
        <v>0</v>
      </c>
      <c r="DF125" s="366">
        <v>43</v>
      </c>
      <c r="DG125" s="366">
        <v>372</v>
      </c>
      <c r="DH125" s="366">
        <v>3</v>
      </c>
      <c r="DI125" s="366">
        <v>0</v>
      </c>
      <c r="DJ125" s="366">
        <v>0</v>
      </c>
      <c r="DK125" s="366">
        <v>0</v>
      </c>
      <c r="DL125" s="366">
        <v>0</v>
      </c>
      <c r="DM125" s="366">
        <v>0</v>
      </c>
      <c r="DN125" s="367">
        <f>IFERROR(DA125/Instructions!$J$25,0)+DB125*Instructions!$J$27+DC125*Instructions!$J$29+IFERROR(DD125/Instructions!$E$34,0)+DE125*Instructions!$E$36+Tier!DF125*Instructions!$E$25+IFERROR(DG125/Instructions!$E$27,0)+DH125*Instructions!$E$29+IFERROR((DI125+DK125)/Instructions!$J$32,0)+(DJ125+DL125)*Instructions!$J$34+Tier!DM125*-2</f>
        <v>98.2</v>
      </c>
    </row>
    <row r="126" spans="1:118" s="366" customFormat="1" ht="15.75" customHeight="1" x14ac:dyDescent="0.25">
      <c r="A126" s="238"/>
      <c r="B126" s="238"/>
      <c r="C126" s="354"/>
      <c r="D126" s="365"/>
      <c r="F126" s="238">
        <v>2017</v>
      </c>
      <c r="G126" s="367">
        <f>LARGE($BI$101:$BI$132,26)</f>
        <v>162.85999999999999</v>
      </c>
      <c r="H126" s="355">
        <f t="shared" si="71"/>
        <v>-91.879999999999967</v>
      </c>
      <c r="I126" s="356">
        <f t="shared" si="68"/>
        <v>8441.9343999999946</v>
      </c>
      <c r="J126" s="356"/>
      <c r="K126" s="356">
        <f t="shared" si="72"/>
        <v>-5.7424999999999979</v>
      </c>
      <c r="L126" s="238">
        <f t="shared" si="73"/>
        <v>8</v>
      </c>
      <c r="M126" s="354"/>
      <c r="N126" s="372"/>
      <c r="O126" s="372"/>
      <c r="P126" s="366">
        <v>2014</v>
      </c>
      <c r="Q126" s="367">
        <f>LARGE($CB$2:$CB$151,125)</f>
        <v>11.100000000000001</v>
      </c>
      <c r="R126" s="357">
        <f t="shared" si="67"/>
        <v>-153.5</v>
      </c>
      <c r="S126" s="356">
        <f t="shared" si="76"/>
        <v>23562.25</v>
      </c>
      <c r="T126" s="238"/>
      <c r="U126" s="356">
        <f t="shared" si="54"/>
        <v>-9.59375</v>
      </c>
      <c r="V126" s="238">
        <f t="shared" si="55"/>
        <v>8</v>
      </c>
      <c r="W126" s="354"/>
      <c r="X126" s="371"/>
      <c r="Y126" s="371"/>
      <c r="Z126" s="321">
        <v>2014</v>
      </c>
      <c r="AA126" s="367">
        <f>LARGE($CU$2:$CU$151,125)</f>
        <v>37.799999999999997</v>
      </c>
      <c r="AB126" s="357">
        <f t="shared" si="56"/>
        <v>-179.93333333333334</v>
      </c>
      <c r="AC126" s="356">
        <f t="shared" si="53"/>
        <v>32376.004444444447</v>
      </c>
      <c r="AD126" s="356"/>
      <c r="AE126" s="356">
        <f t="shared" si="57"/>
        <v>-11.245833333333334</v>
      </c>
      <c r="AF126" s="238">
        <f t="shared" si="58"/>
        <v>8</v>
      </c>
      <c r="AG126" s="354"/>
      <c r="AJ126" s="238">
        <v>2017</v>
      </c>
      <c r="AK126" s="367">
        <f>LARGE($DN$101:$DN$132,26)</f>
        <v>79.7</v>
      </c>
      <c r="AL126" s="373">
        <f t="shared" si="74"/>
        <v>-52.999999999999986</v>
      </c>
      <c r="AM126" s="374">
        <f t="shared" si="69"/>
        <v>2808.9999999999986</v>
      </c>
      <c r="AN126" s="374"/>
      <c r="AO126" s="374">
        <f t="shared" si="75"/>
        <v>-3.3124999999999991</v>
      </c>
      <c r="AP126" s="238">
        <f t="shared" si="70"/>
        <v>8</v>
      </c>
      <c r="AQ126" s="354"/>
      <c r="AR126" s="238">
        <v>2017</v>
      </c>
      <c r="AS126" t="s">
        <v>55</v>
      </c>
      <c r="AT126" t="s">
        <v>166</v>
      </c>
      <c r="AU126" s="366" t="s">
        <v>1</v>
      </c>
      <c r="AV126" s="418">
        <v>2666</v>
      </c>
      <c r="AW126" s="426">
        <v>19</v>
      </c>
      <c r="AX126" s="426">
        <v>14</v>
      </c>
      <c r="AY126" s="426">
        <v>32</v>
      </c>
      <c r="AZ126" s="426">
        <v>0</v>
      </c>
      <c r="BA126" s="238">
        <v>0</v>
      </c>
      <c r="BB126" s="238">
        <v>0</v>
      </c>
      <c r="BC126" s="238">
        <v>0</v>
      </c>
      <c r="BD126" s="238">
        <v>0</v>
      </c>
      <c r="BE126" s="238">
        <v>0</v>
      </c>
      <c r="BF126" s="238">
        <v>0</v>
      </c>
      <c r="BG126" s="238">
        <v>0</v>
      </c>
      <c r="BH126" s="238">
        <v>0</v>
      </c>
      <c r="BI126" s="367">
        <f>IFERROR(AV126/Instructions!$J$25,0)+AW126*Instructions!$J$27+AX126*Instructions!$J$29+IFERROR(AY126/Instructions!$E$34,0)+AZ126*Instructions!$E$36+Tier!BA126*Instructions!$E$25+IFERROR(BB126/Instructions!$E$27,0)+BC126*Instructions!$E$29+IFERROR((BD126+BF126)/Instructions!$J$32,0)+(BE126+BG126)*Instructions!$J$34+BH126*-2</f>
        <v>157.83999999999997</v>
      </c>
      <c r="BJ126" s="354"/>
      <c r="BK126" s="366">
        <v>2014</v>
      </c>
      <c r="BL126" s="370" t="s">
        <v>1710</v>
      </c>
      <c r="BM126" s="372" t="s">
        <v>156</v>
      </c>
      <c r="BN126" s="372" t="s">
        <v>3</v>
      </c>
      <c r="BO126" s="372">
        <v>0</v>
      </c>
      <c r="BP126" s="372">
        <v>0</v>
      </c>
      <c r="BQ126" s="372">
        <v>0</v>
      </c>
      <c r="BR126" s="372">
        <v>17</v>
      </c>
      <c r="BS126" s="372">
        <v>1</v>
      </c>
      <c r="BT126" s="372">
        <v>5</v>
      </c>
      <c r="BU126" s="372">
        <v>9</v>
      </c>
      <c r="BV126" s="372">
        <v>0</v>
      </c>
      <c r="BW126" s="372">
        <v>0</v>
      </c>
      <c r="BX126" s="372">
        <v>0</v>
      </c>
      <c r="BY126" s="372">
        <v>11</v>
      </c>
      <c r="BZ126" s="372">
        <v>0</v>
      </c>
      <c r="CA126" s="372">
        <v>0</v>
      </c>
      <c r="CB126" s="367">
        <f>IFERROR(BO126/Instructions!$J$25,0)+BP126*Instructions!$J$27+BQ126*Instructions!$J$29+IFERROR(BR126/Instructions!$E$34,0)+BS126*Instructions!$E$36+Tier!BT127*Instructions!$E$25+IFERROR(BU126/Instructions!$E$27,0)+BV126*Instructions!$E$29+IFERROR((BW126+BY126)/Instructions!$J$32,0)+(BX126+BZ126)*Instructions!$J$34+Tier!CA126*-2</f>
        <v>10.6</v>
      </c>
      <c r="CC126" s="354"/>
      <c r="CD126" s="321">
        <v>2014</v>
      </c>
      <c r="CE126" s="370" t="s">
        <v>1733</v>
      </c>
      <c r="CF126" s="371" t="s">
        <v>158</v>
      </c>
      <c r="CG126" s="371" t="s">
        <v>6</v>
      </c>
      <c r="CH126" s="371">
        <v>0</v>
      </c>
      <c r="CI126" s="371">
        <v>0</v>
      </c>
      <c r="CJ126" s="371">
        <v>0</v>
      </c>
      <c r="CK126" s="371">
        <v>0</v>
      </c>
      <c r="CL126" s="371">
        <v>0</v>
      </c>
      <c r="CM126" s="371">
        <v>1</v>
      </c>
      <c r="CN126" s="371">
        <v>8</v>
      </c>
      <c r="CO126" s="371">
        <v>0</v>
      </c>
      <c r="CP126" s="371">
        <v>125</v>
      </c>
      <c r="CQ126" s="371">
        <v>0</v>
      </c>
      <c r="CR126" s="371">
        <v>608</v>
      </c>
      <c r="CS126" s="371">
        <v>0</v>
      </c>
      <c r="CT126" s="371">
        <v>0</v>
      </c>
      <c r="CU126" s="367">
        <f>IFERROR(CH126/Instructions!$J$25,0)+CI126*Instructions!$J$27+CJ126*Instructions!$J$29+IFERROR(CK126/Instructions!$E$34,0)+CL126*Instructions!$E$36+Tier!CM126*Instructions!$E$25+IFERROR(CN126/Instructions!$E$27,0)+CO126*Instructions!$E$29+IFERROR((CP126+CR126)/Instructions!$J$32,0)+(CQ126+CS126)*Instructions!$J$34+Tier!CT126*-2</f>
        <v>1.8</v>
      </c>
      <c r="CV126" s="354"/>
      <c r="CW126" s="238">
        <v>2017</v>
      </c>
      <c r="CX126" s="365" t="s">
        <v>1328</v>
      </c>
      <c r="CY126" s="366" t="s">
        <v>137</v>
      </c>
      <c r="CZ126" s="366" t="s">
        <v>7</v>
      </c>
      <c r="DA126" s="366">
        <v>0</v>
      </c>
      <c r="DB126" s="366">
        <v>0</v>
      </c>
      <c r="DC126" s="366">
        <v>0</v>
      </c>
      <c r="DD126" s="366">
        <v>0</v>
      </c>
      <c r="DE126" s="366">
        <v>0</v>
      </c>
      <c r="DF126" s="366">
        <v>23</v>
      </c>
      <c r="DG126" s="366">
        <v>248</v>
      </c>
      <c r="DH126" s="366">
        <v>5</v>
      </c>
      <c r="DI126" s="366">
        <v>0</v>
      </c>
      <c r="DJ126" s="366">
        <v>0</v>
      </c>
      <c r="DK126" s="366">
        <v>0</v>
      </c>
      <c r="DL126" s="366">
        <v>0</v>
      </c>
      <c r="DM126" s="366">
        <v>0</v>
      </c>
      <c r="DN126" s="367">
        <f>IFERROR(DA126/Instructions!$J$25,0)+DB126*Instructions!$J$27+DC126*Instructions!$J$29+IFERROR(DD126/Instructions!$E$34,0)+DE126*Instructions!$E$36+Tier!DF126*Instructions!$E$25+IFERROR(DG126/Instructions!$E$27,0)+DH126*Instructions!$E$29+IFERROR((DI126+DK126)/Instructions!$J$32,0)+(DJ126+DL126)*Instructions!$J$34+Tier!DM126*-2</f>
        <v>77.8</v>
      </c>
    </row>
    <row r="127" spans="1:118" s="366" customFormat="1" ht="15.75" customHeight="1" x14ac:dyDescent="0.25">
      <c r="A127" s="238"/>
      <c r="B127" s="238"/>
      <c r="C127" s="354"/>
      <c r="D127" s="365"/>
      <c r="F127" s="238">
        <v>2017</v>
      </c>
      <c r="G127" s="367">
        <f>LARGE($BI$101:$BI$132,27)</f>
        <v>157.83999999999997</v>
      </c>
      <c r="H127" s="355">
        <f t="shared" si="71"/>
        <v>-96.899999999999977</v>
      </c>
      <c r="I127" s="356">
        <f t="shared" si="68"/>
        <v>9389.6099999999951</v>
      </c>
      <c r="J127" s="356"/>
      <c r="K127" s="356">
        <f t="shared" si="72"/>
        <v>-6.0562499999999986</v>
      </c>
      <c r="L127" s="238">
        <f t="shared" si="73"/>
        <v>8</v>
      </c>
      <c r="M127" s="354"/>
      <c r="N127" s="372"/>
      <c r="O127" s="372"/>
      <c r="P127" s="366">
        <v>2014</v>
      </c>
      <c r="Q127" s="367">
        <f>LARGE($CB$2:$CB$151,126)</f>
        <v>10.6</v>
      </c>
      <c r="R127" s="357">
        <f t="shared" si="67"/>
        <v>-154</v>
      </c>
      <c r="S127" s="356">
        <f t="shared" si="76"/>
        <v>23716</v>
      </c>
      <c r="T127" s="238"/>
      <c r="U127" s="356">
        <f t="shared" si="54"/>
        <v>-9.625</v>
      </c>
      <c r="V127" s="238">
        <f t="shared" si="55"/>
        <v>8</v>
      </c>
      <c r="W127" s="354"/>
      <c r="X127" s="371"/>
      <c r="Y127" s="371"/>
      <c r="Z127" s="321">
        <v>2014</v>
      </c>
      <c r="AA127" s="367">
        <f>LARGE($CU$2:$CU$151,126)</f>
        <v>37</v>
      </c>
      <c r="AB127" s="357">
        <f t="shared" si="56"/>
        <v>-180.73333333333335</v>
      </c>
      <c r="AC127" s="356">
        <f t="shared" si="53"/>
        <v>32664.537777777783</v>
      </c>
      <c r="AD127" s="356"/>
      <c r="AE127" s="356">
        <f t="shared" si="57"/>
        <v>-11.295833333333334</v>
      </c>
      <c r="AF127" s="238">
        <f t="shared" si="58"/>
        <v>8</v>
      </c>
      <c r="AG127" s="354"/>
      <c r="AJ127" s="238">
        <v>2017</v>
      </c>
      <c r="AK127" s="367">
        <f>LARGE($DN$101:$DN$132,27)</f>
        <v>79.599999999999994</v>
      </c>
      <c r="AL127" s="373">
        <f t="shared" si="74"/>
        <v>-53.099999999999994</v>
      </c>
      <c r="AM127" s="374">
        <f t="shared" si="69"/>
        <v>2819.6099999999992</v>
      </c>
      <c r="AN127" s="374"/>
      <c r="AO127" s="374">
        <f t="shared" si="75"/>
        <v>-3.3187499999999996</v>
      </c>
      <c r="AP127" s="238">
        <f t="shared" si="70"/>
        <v>8</v>
      </c>
      <c r="AQ127" s="354"/>
      <c r="AR127" s="238">
        <v>2017</v>
      </c>
      <c r="AS127" t="s">
        <v>1431</v>
      </c>
      <c r="AT127" t="s">
        <v>151</v>
      </c>
      <c r="AU127" s="366" t="s">
        <v>1</v>
      </c>
      <c r="AV127" s="418">
        <v>1699</v>
      </c>
      <c r="AW127" s="426">
        <v>19</v>
      </c>
      <c r="AX127" s="426">
        <v>8</v>
      </c>
      <c r="AY127" s="426">
        <v>269</v>
      </c>
      <c r="AZ127" s="426">
        <v>2</v>
      </c>
      <c r="BA127" s="238">
        <v>0</v>
      </c>
      <c r="BB127" s="238">
        <v>0</v>
      </c>
      <c r="BC127" s="238">
        <v>0</v>
      </c>
      <c r="BD127" s="238">
        <v>0</v>
      </c>
      <c r="BE127" s="238">
        <v>0</v>
      </c>
      <c r="BF127" s="238">
        <v>0</v>
      </c>
      <c r="BG127" s="238">
        <v>0</v>
      </c>
      <c r="BH127" s="238">
        <v>2</v>
      </c>
      <c r="BI127" s="367">
        <f>IFERROR(AV127/Instructions!$J$25,0)+AW127*Instructions!$J$27+AX127*Instructions!$J$29+IFERROR(AY127/Instructions!$E$34,0)+AZ127*Instructions!$E$36+Tier!BA127*Instructions!$E$25+IFERROR(BB127/Instructions!$E$27,0)+BC127*Instructions!$E$29+IFERROR((BD127+BF127)/Instructions!$J$32,0)+(BE127+BG127)*Instructions!$J$34+BH127*-2</f>
        <v>162.85999999999999</v>
      </c>
      <c r="BJ127" s="354"/>
      <c r="BK127" s="366">
        <v>2014</v>
      </c>
      <c r="BL127" s="370" t="s">
        <v>1604</v>
      </c>
      <c r="BM127" s="372" t="s">
        <v>140</v>
      </c>
      <c r="BN127" s="372" t="s">
        <v>3</v>
      </c>
      <c r="BO127" s="372">
        <v>0</v>
      </c>
      <c r="BP127" s="372">
        <v>0</v>
      </c>
      <c r="BQ127" s="372">
        <v>0</v>
      </c>
      <c r="BR127" s="372">
        <v>0</v>
      </c>
      <c r="BS127" s="372">
        <v>0</v>
      </c>
      <c r="BT127" s="372">
        <v>2</v>
      </c>
      <c r="BU127" s="372">
        <v>29</v>
      </c>
      <c r="BV127" s="372">
        <v>1</v>
      </c>
      <c r="BW127" s="372">
        <v>0</v>
      </c>
      <c r="BX127" s="372">
        <v>0</v>
      </c>
      <c r="BY127" s="372">
        <v>0</v>
      </c>
      <c r="BZ127" s="372">
        <v>0</v>
      </c>
      <c r="CA127" s="372">
        <v>0</v>
      </c>
      <c r="CB127" s="367">
        <f>IFERROR(BO127/Instructions!$J$25,0)+BP127*Instructions!$J$27+BQ127*Instructions!$J$29+IFERROR(BR127/Instructions!$E$34,0)+BS127*Instructions!$E$36+Tier!BT128*Instructions!$E$25+IFERROR(BU127/Instructions!$E$27,0)+BV127*Instructions!$E$29+IFERROR((BW127+BY127)/Instructions!$J$32,0)+(BX127+BZ127)*Instructions!$J$34+Tier!CA127*-2</f>
        <v>14.9</v>
      </c>
      <c r="CC127" s="354"/>
      <c r="CD127" s="321">
        <v>2014</v>
      </c>
      <c r="CE127" s="370" t="s">
        <v>1735</v>
      </c>
      <c r="CF127" s="371" t="s">
        <v>1633</v>
      </c>
      <c r="CG127" s="371" t="s">
        <v>6</v>
      </c>
      <c r="CH127" s="371">
        <v>0</v>
      </c>
      <c r="CI127" s="371">
        <v>0</v>
      </c>
      <c r="CJ127" s="371">
        <v>0</v>
      </c>
      <c r="CK127" s="371">
        <v>5</v>
      </c>
      <c r="CL127" s="371">
        <v>0</v>
      </c>
      <c r="CM127" s="371">
        <v>21</v>
      </c>
      <c r="CN127" s="371">
        <v>262</v>
      </c>
      <c r="CO127" s="371">
        <v>0</v>
      </c>
      <c r="CP127" s="371">
        <v>0</v>
      </c>
      <c r="CQ127" s="371">
        <v>0</v>
      </c>
      <c r="CR127" s="371">
        <v>43</v>
      </c>
      <c r="CS127" s="371">
        <v>0</v>
      </c>
      <c r="CT127" s="371">
        <v>0</v>
      </c>
      <c r="CU127" s="367">
        <f>IFERROR(CH127/Instructions!$J$25,0)+CI127*Instructions!$J$27+CJ127*Instructions!$J$29+IFERROR(CK127/Instructions!$E$34,0)+CL127*Instructions!$E$36+Tier!CM127*Instructions!$E$25+IFERROR(CN127/Instructions!$E$27,0)+CO127*Instructions!$E$29+IFERROR((CP127+CR127)/Instructions!$J$32,0)+(CQ127+CS127)*Instructions!$J$34+Tier!CT127*-2</f>
        <v>47.7</v>
      </c>
      <c r="CV127" s="354"/>
      <c r="CW127" s="238">
        <v>2017</v>
      </c>
      <c r="CX127" s="365" t="s">
        <v>229</v>
      </c>
      <c r="CY127" s="366" t="s">
        <v>164</v>
      </c>
      <c r="CZ127" s="366" t="s">
        <v>7</v>
      </c>
      <c r="DA127" s="366">
        <v>0</v>
      </c>
      <c r="DB127" s="366">
        <v>0</v>
      </c>
      <c r="DC127" s="366">
        <v>0</v>
      </c>
      <c r="DD127" s="366">
        <v>0</v>
      </c>
      <c r="DE127" s="366">
        <v>0</v>
      </c>
      <c r="DF127" s="366">
        <v>50</v>
      </c>
      <c r="DG127" s="366">
        <v>357</v>
      </c>
      <c r="DH127" s="366">
        <v>3</v>
      </c>
      <c r="DI127" s="366">
        <v>0</v>
      </c>
      <c r="DJ127" s="366">
        <v>0</v>
      </c>
      <c r="DK127" s="366">
        <v>0</v>
      </c>
      <c r="DL127" s="366">
        <v>0</v>
      </c>
      <c r="DM127" s="366">
        <v>1</v>
      </c>
      <c r="DN127" s="367">
        <f>IFERROR(DA127/Instructions!$J$25,0)+DB127*Instructions!$J$27+DC127*Instructions!$J$29+IFERROR(DD127/Instructions!$E$34,0)+DE127*Instructions!$E$36+Tier!DF127*Instructions!$E$25+IFERROR(DG127/Instructions!$E$27,0)+DH127*Instructions!$E$29+IFERROR((DI127+DK127)/Instructions!$J$32,0)+(DJ127+DL127)*Instructions!$J$34+Tier!DM127*-2</f>
        <v>101.7</v>
      </c>
    </row>
    <row r="128" spans="1:118" s="366" customFormat="1" ht="15.75" customHeight="1" x14ac:dyDescent="0.25">
      <c r="A128" s="238"/>
      <c r="B128" s="238"/>
      <c r="C128" s="354"/>
      <c r="D128" s="365"/>
      <c r="F128" s="238">
        <v>2017</v>
      </c>
      <c r="G128" s="367">
        <f>LARGE($BI$101:$BI$132,28)</f>
        <v>136.51999999999998</v>
      </c>
      <c r="H128" s="355">
        <f t="shared" si="71"/>
        <v>-118.21999999999997</v>
      </c>
      <c r="I128" s="356">
        <f t="shared" si="68"/>
        <v>13975.968399999992</v>
      </c>
      <c r="J128" s="356"/>
      <c r="K128" s="356">
        <f t="shared" si="72"/>
        <v>-7.3887499999999982</v>
      </c>
      <c r="L128" s="238">
        <f t="shared" si="73"/>
        <v>8</v>
      </c>
      <c r="M128" s="354"/>
      <c r="N128" s="372"/>
      <c r="O128" s="372"/>
      <c r="P128" s="366">
        <v>2014</v>
      </c>
      <c r="Q128" s="367">
        <f>LARGE($CB$2:$CB$151,127)</f>
        <v>10.200000000000001</v>
      </c>
      <c r="R128" s="357">
        <f t="shared" si="67"/>
        <v>-154.4</v>
      </c>
      <c r="S128" s="356">
        <f t="shared" si="76"/>
        <v>23839.360000000001</v>
      </c>
      <c r="T128" s="238"/>
      <c r="U128" s="356">
        <f t="shared" si="54"/>
        <v>-9.65</v>
      </c>
      <c r="V128" s="238">
        <f t="shared" si="55"/>
        <v>8</v>
      </c>
      <c r="W128" s="354"/>
      <c r="X128" s="371"/>
      <c r="Y128" s="371"/>
      <c r="Z128" s="321">
        <v>2014</v>
      </c>
      <c r="AA128" s="367">
        <f>LARGE($CU$2:$CU$151,127)</f>
        <v>34.1</v>
      </c>
      <c r="AB128" s="357">
        <f t="shared" si="56"/>
        <v>-183.63333333333335</v>
      </c>
      <c r="AC128" s="356">
        <f t="shared" si="53"/>
        <v>33721.201111111121</v>
      </c>
      <c r="AD128" s="356"/>
      <c r="AE128" s="356">
        <f t="shared" si="57"/>
        <v>-11.477083333333335</v>
      </c>
      <c r="AF128" s="238">
        <f t="shared" si="58"/>
        <v>8</v>
      </c>
      <c r="AG128" s="354"/>
      <c r="AJ128" s="238">
        <v>2017</v>
      </c>
      <c r="AK128" s="367">
        <f>LARGE($DN$101:$DN$132,28)</f>
        <v>78.599999999999994</v>
      </c>
      <c r="AL128" s="373">
        <f t="shared" si="74"/>
        <v>-54.099999999999994</v>
      </c>
      <c r="AM128" s="374">
        <f t="shared" si="69"/>
        <v>2926.8099999999995</v>
      </c>
      <c r="AN128" s="374"/>
      <c r="AO128" s="374">
        <f t="shared" si="75"/>
        <v>-3.3812499999999996</v>
      </c>
      <c r="AP128" s="238">
        <f t="shared" si="70"/>
        <v>8</v>
      </c>
      <c r="AQ128" s="354"/>
      <c r="AR128" s="238">
        <v>2017</v>
      </c>
      <c r="AS128" t="s">
        <v>1225</v>
      </c>
      <c r="AT128" t="s">
        <v>144</v>
      </c>
      <c r="AU128" s="366" t="s">
        <v>1</v>
      </c>
      <c r="AV128" s="418">
        <v>2285</v>
      </c>
      <c r="AW128" s="426">
        <v>12</v>
      </c>
      <c r="AX128" s="426">
        <v>14</v>
      </c>
      <c r="AY128" s="426">
        <v>127</v>
      </c>
      <c r="AZ128" s="426">
        <v>1</v>
      </c>
      <c r="BA128" s="238">
        <v>0</v>
      </c>
      <c r="BB128" s="238">
        <v>0</v>
      </c>
      <c r="BC128" s="238">
        <v>0</v>
      </c>
      <c r="BD128" s="238">
        <v>0</v>
      </c>
      <c r="BE128" s="238">
        <v>0</v>
      </c>
      <c r="BF128" s="238">
        <v>0</v>
      </c>
      <c r="BG128" s="238">
        <v>0</v>
      </c>
      <c r="BH128" s="238">
        <v>0</v>
      </c>
      <c r="BI128" s="367">
        <f>IFERROR(AV128/Instructions!$J$25,0)+AW128*Instructions!$J$27+AX128*Instructions!$J$29+IFERROR(AY128/Instructions!$E$34,0)+AZ128*Instructions!$E$36+Tier!BA128*Instructions!$E$25+IFERROR(BB128/Instructions!$E$27,0)+BC128*Instructions!$E$29+IFERROR((BD128+BF128)/Instructions!$J$32,0)+(BE128+BG128)*Instructions!$J$34+BH128*-2</f>
        <v>130.10000000000002</v>
      </c>
      <c r="BJ128" s="354"/>
      <c r="BK128" s="366">
        <v>2014</v>
      </c>
      <c r="BL128" s="370" t="s">
        <v>990</v>
      </c>
      <c r="BM128" s="372" t="s">
        <v>152</v>
      </c>
      <c r="BN128" s="372" t="s">
        <v>3</v>
      </c>
      <c r="BO128" s="372">
        <v>0</v>
      </c>
      <c r="BP128" s="372">
        <v>0</v>
      </c>
      <c r="BQ128" s="372">
        <v>0</v>
      </c>
      <c r="BR128" s="372">
        <v>12</v>
      </c>
      <c r="BS128" s="372">
        <v>0</v>
      </c>
      <c r="BT128" s="372">
        <v>6</v>
      </c>
      <c r="BU128" s="372">
        <v>27</v>
      </c>
      <c r="BV128" s="372">
        <v>1</v>
      </c>
      <c r="BW128" s="372">
        <v>0</v>
      </c>
      <c r="BX128" s="372">
        <v>0</v>
      </c>
      <c r="BY128" s="372">
        <v>0</v>
      </c>
      <c r="BZ128" s="372">
        <v>0</v>
      </c>
      <c r="CA128" s="372">
        <v>0</v>
      </c>
      <c r="CB128" s="367">
        <f>IFERROR(BO128/Instructions!$J$25,0)+BP128*Instructions!$J$27+BQ128*Instructions!$J$29+IFERROR(BR128/Instructions!$E$34,0)+BS128*Instructions!$E$36+Tier!BT129*Instructions!$E$25+IFERROR(BU128/Instructions!$E$27,0)+BV128*Instructions!$E$29+IFERROR((BW128+BY128)/Instructions!$J$32,0)+(BX128+BZ128)*Instructions!$J$34+Tier!CA128*-2</f>
        <v>9.9</v>
      </c>
      <c r="CC128" s="354"/>
      <c r="CD128" s="321">
        <v>2014</v>
      </c>
      <c r="CE128" s="370" t="s">
        <v>1318</v>
      </c>
      <c r="CF128" s="371" t="s">
        <v>1633</v>
      </c>
      <c r="CG128" s="371" t="s">
        <v>6</v>
      </c>
      <c r="CH128" s="371">
        <v>0</v>
      </c>
      <c r="CI128" s="371">
        <v>0</v>
      </c>
      <c r="CJ128" s="371">
        <v>0</v>
      </c>
      <c r="CK128" s="371">
        <v>23</v>
      </c>
      <c r="CL128" s="371">
        <v>1</v>
      </c>
      <c r="CM128" s="371">
        <v>6</v>
      </c>
      <c r="CN128" s="371">
        <v>78</v>
      </c>
      <c r="CO128" s="371">
        <v>1</v>
      </c>
      <c r="CP128" s="371">
        <v>0</v>
      </c>
      <c r="CQ128" s="371">
        <v>0</v>
      </c>
      <c r="CR128" s="371">
        <v>147</v>
      </c>
      <c r="CS128" s="371">
        <v>0</v>
      </c>
      <c r="CT128" s="371">
        <v>0</v>
      </c>
      <c r="CU128" s="367">
        <f>IFERROR(CH128/Instructions!$J$25,0)+CI128*Instructions!$J$27+CJ128*Instructions!$J$29+IFERROR(CK128/Instructions!$E$34,0)+CL128*Instructions!$E$36+Tier!CM128*Instructions!$E$25+IFERROR(CN128/Instructions!$E$27,0)+CO128*Instructions!$E$29+IFERROR((CP128+CR128)/Instructions!$J$32,0)+(CQ128+CS128)*Instructions!$J$34+Tier!CT128*-2</f>
        <v>28.1</v>
      </c>
      <c r="CV128" s="354"/>
      <c r="CW128" s="238">
        <v>2017</v>
      </c>
      <c r="CX128" s="365" t="s">
        <v>237</v>
      </c>
      <c r="CY128" s="366" t="s">
        <v>159</v>
      </c>
      <c r="CZ128" s="366" t="s">
        <v>7</v>
      </c>
      <c r="DA128" s="366">
        <v>0</v>
      </c>
      <c r="DB128" s="366">
        <v>0</v>
      </c>
      <c r="DC128" s="366">
        <v>0</v>
      </c>
      <c r="DD128" s="366">
        <v>0</v>
      </c>
      <c r="DE128" s="366">
        <v>0</v>
      </c>
      <c r="DF128" s="366">
        <v>30</v>
      </c>
      <c r="DG128" s="366">
        <v>437</v>
      </c>
      <c r="DH128" s="366">
        <v>1</v>
      </c>
      <c r="DI128" s="366">
        <v>0</v>
      </c>
      <c r="DJ128" s="366">
        <v>0</v>
      </c>
      <c r="DK128" s="366">
        <v>0</v>
      </c>
      <c r="DL128" s="366">
        <v>0</v>
      </c>
      <c r="DM128" s="366">
        <v>0</v>
      </c>
      <c r="DN128" s="367">
        <f>IFERROR(DA128/Instructions!$J$25,0)+DB128*Instructions!$J$27+DC128*Instructions!$J$29+IFERROR(DD128/Instructions!$E$34,0)+DE128*Instructions!$E$36+Tier!DF128*Instructions!$E$25+IFERROR(DG128/Instructions!$E$27,0)+DH128*Instructions!$E$29+IFERROR((DI128+DK128)/Instructions!$J$32,0)+(DJ128+DL128)*Instructions!$J$34+Tier!DM128*-2</f>
        <v>79.7</v>
      </c>
    </row>
    <row r="129" spans="1:118" s="366" customFormat="1" ht="15.75" customHeight="1" x14ac:dyDescent="0.25">
      <c r="A129" s="238"/>
      <c r="B129" s="238"/>
      <c r="C129" s="354"/>
      <c r="D129" s="365"/>
      <c r="F129" s="238">
        <v>2017</v>
      </c>
      <c r="G129" s="367">
        <f>LARGE($BI$101:$BI$132,29)</f>
        <v>131.6</v>
      </c>
      <c r="H129" s="355">
        <f t="shared" si="71"/>
        <v>-123.13999999999996</v>
      </c>
      <c r="I129" s="356">
        <f t="shared" si="68"/>
        <v>15163.459599999989</v>
      </c>
      <c r="J129" s="356"/>
      <c r="K129" s="356">
        <f t="shared" si="72"/>
        <v>-7.6962499999999974</v>
      </c>
      <c r="L129" s="238">
        <f t="shared" si="73"/>
        <v>8</v>
      </c>
      <c r="M129" s="354"/>
      <c r="N129" s="372"/>
      <c r="O129" s="372"/>
      <c r="P129" s="366">
        <v>2014</v>
      </c>
      <c r="Q129" s="367">
        <f>LARGE($CB$2:$CB$151,128)</f>
        <v>10.199999999999999</v>
      </c>
      <c r="R129" s="357">
        <f t="shared" si="67"/>
        <v>-154.4</v>
      </c>
      <c r="S129" s="356">
        <f t="shared" si="76"/>
        <v>23839.360000000001</v>
      </c>
      <c r="T129" s="238"/>
      <c r="U129" s="356">
        <f t="shared" si="54"/>
        <v>-9.65</v>
      </c>
      <c r="V129" s="238">
        <f t="shared" si="55"/>
        <v>8</v>
      </c>
      <c r="W129" s="354"/>
      <c r="X129" s="371"/>
      <c r="Y129" s="371"/>
      <c r="Z129" s="321">
        <v>2014</v>
      </c>
      <c r="AA129" s="367">
        <f>LARGE($CU$2:$CU$151,128)</f>
        <v>33.299999999999997</v>
      </c>
      <c r="AB129" s="357">
        <f t="shared" si="56"/>
        <v>-184.43333333333334</v>
      </c>
      <c r="AC129" s="356">
        <f t="shared" si="53"/>
        <v>34015.654444444444</v>
      </c>
      <c r="AD129" s="356"/>
      <c r="AE129" s="356">
        <f t="shared" si="57"/>
        <v>-11.527083333333334</v>
      </c>
      <c r="AF129" s="238">
        <f t="shared" si="58"/>
        <v>8</v>
      </c>
      <c r="AG129" s="354"/>
      <c r="AJ129" s="238">
        <v>2017</v>
      </c>
      <c r="AK129" s="367">
        <f>LARGE($DN$101:$DN$132,29)</f>
        <v>78.5</v>
      </c>
      <c r="AL129" s="373">
        <f t="shared" si="74"/>
        <v>-54.199999999999989</v>
      </c>
      <c r="AM129" s="374">
        <f t="shared" si="69"/>
        <v>2937.639999999999</v>
      </c>
      <c r="AN129" s="374"/>
      <c r="AO129" s="374">
        <f t="shared" si="75"/>
        <v>-3.3874999999999993</v>
      </c>
      <c r="AP129" s="238">
        <f t="shared" si="70"/>
        <v>8</v>
      </c>
      <c r="AQ129" s="354"/>
      <c r="AR129" s="238">
        <v>2017</v>
      </c>
      <c r="AS129" t="s">
        <v>1427</v>
      </c>
      <c r="AT129" t="s">
        <v>141</v>
      </c>
      <c r="AU129" s="366" t="s">
        <v>1</v>
      </c>
      <c r="AV129" s="418">
        <v>2193</v>
      </c>
      <c r="AW129" s="426">
        <v>7</v>
      </c>
      <c r="AX129" s="426">
        <v>7</v>
      </c>
      <c r="AY129" s="426">
        <v>248</v>
      </c>
      <c r="AZ129" s="426">
        <v>2</v>
      </c>
      <c r="BA129" s="238">
        <v>0</v>
      </c>
      <c r="BB129" s="238">
        <v>0</v>
      </c>
      <c r="BC129" s="238">
        <v>0</v>
      </c>
      <c r="BD129" s="238">
        <v>0</v>
      </c>
      <c r="BE129" s="238">
        <v>0</v>
      </c>
      <c r="BF129" s="238">
        <v>0</v>
      </c>
      <c r="BG129" s="238">
        <v>0</v>
      </c>
      <c r="BH129" s="238">
        <v>1</v>
      </c>
      <c r="BI129" s="367">
        <f>IFERROR(AV129/Instructions!$J$25,0)+AW129*Instructions!$J$27+AX129*Instructions!$J$29+IFERROR(AY129/Instructions!$E$34,0)+AZ129*Instructions!$E$36+Tier!BA129*Instructions!$E$25+IFERROR(BB129/Instructions!$E$27,0)+BC129*Instructions!$E$29+IFERROR((BD129+BF129)/Instructions!$J$32,0)+(BE129+BG129)*Instructions!$J$34+BH129*-2</f>
        <v>136.51999999999998</v>
      </c>
      <c r="BJ129" s="354"/>
      <c r="BK129" s="366">
        <v>2014</v>
      </c>
      <c r="BL129" s="370" t="s">
        <v>992</v>
      </c>
      <c r="BM129" s="372" t="s">
        <v>1652</v>
      </c>
      <c r="BN129" s="372" t="s">
        <v>3</v>
      </c>
      <c r="BO129" s="372">
        <v>0</v>
      </c>
      <c r="BP129" s="372">
        <v>0</v>
      </c>
      <c r="BQ129" s="372">
        <v>0</v>
      </c>
      <c r="BR129" s="372">
        <v>19</v>
      </c>
      <c r="BS129" s="372">
        <v>0</v>
      </c>
      <c r="BT129" s="372">
        <v>0</v>
      </c>
      <c r="BU129" s="372">
        <v>0</v>
      </c>
      <c r="BV129" s="372">
        <v>0</v>
      </c>
      <c r="BW129" s="372">
        <v>0</v>
      </c>
      <c r="BX129" s="372">
        <v>0</v>
      </c>
      <c r="BY129" s="372">
        <v>173</v>
      </c>
      <c r="BZ129" s="372">
        <v>0</v>
      </c>
      <c r="CA129" s="372">
        <v>0</v>
      </c>
      <c r="CB129" s="367">
        <f>IFERROR(BO129/Instructions!$J$25,0)+BP129*Instructions!$J$27+BQ129*Instructions!$J$29+IFERROR(BR129/Instructions!$E$34,0)+BS129*Instructions!$E$36+Tier!BT130*Instructions!$E$25+IFERROR(BU129/Instructions!$E$27,0)+BV129*Instructions!$E$29+IFERROR((BW129+BY129)/Instructions!$J$32,0)+(BX129+BZ129)*Instructions!$J$34+Tier!CA129*-2</f>
        <v>1.9</v>
      </c>
      <c r="CC129" s="354"/>
      <c r="CD129" s="321">
        <v>2014</v>
      </c>
      <c r="CE129" s="370" t="s">
        <v>1736</v>
      </c>
      <c r="CF129" s="371" t="s">
        <v>1625</v>
      </c>
      <c r="CG129" s="371" t="s">
        <v>6</v>
      </c>
      <c r="CH129" s="371">
        <v>0</v>
      </c>
      <c r="CI129" s="371">
        <v>0</v>
      </c>
      <c r="CJ129" s="371">
        <v>0</v>
      </c>
      <c r="CK129" s="371">
        <v>4</v>
      </c>
      <c r="CL129" s="371">
        <v>0</v>
      </c>
      <c r="CM129" s="371">
        <v>17</v>
      </c>
      <c r="CN129" s="371">
        <v>215</v>
      </c>
      <c r="CO129" s="371">
        <v>1</v>
      </c>
      <c r="CP129" s="371">
        <v>0</v>
      </c>
      <c r="CQ129" s="371">
        <v>0</v>
      </c>
      <c r="CR129" s="371">
        <v>0</v>
      </c>
      <c r="CS129" s="371">
        <v>0</v>
      </c>
      <c r="CT129" s="371">
        <v>1</v>
      </c>
      <c r="CU129" s="367">
        <f>IFERROR(CH129/Instructions!$J$25,0)+CI129*Instructions!$J$27+CJ129*Instructions!$J$29+IFERROR(CK129/Instructions!$E$34,0)+CL129*Instructions!$E$36+Tier!CM129*Instructions!$E$25+IFERROR(CN129/Instructions!$E$27,0)+CO129*Instructions!$E$29+IFERROR((CP129+CR129)/Instructions!$J$32,0)+(CQ129+CS129)*Instructions!$J$34+Tier!CT129*-2</f>
        <v>42.9</v>
      </c>
      <c r="CV129" s="354"/>
      <c r="CW129" s="238">
        <v>2017</v>
      </c>
      <c r="CX129" s="365" t="s">
        <v>50</v>
      </c>
      <c r="CY129" s="366" t="s">
        <v>1388</v>
      </c>
      <c r="CZ129" s="366" t="s">
        <v>7</v>
      </c>
      <c r="DA129" s="366">
        <v>0</v>
      </c>
      <c r="DB129" s="366">
        <v>0</v>
      </c>
      <c r="DC129" s="366">
        <v>0</v>
      </c>
      <c r="DD129" s="366">
        <v>0</v>
      </c>
      <c r="DE129" s="366">
        <v>0</v>
      </c>
      <c r="DF129" s="366">
        <v>30</v>
      </c>
      <c r="DG129" s="366">
        <v>316</v>
      </c>
      <c r="DH129" s="366">
        <v>3</v>
      </c>
      <c r="DI129" s="366">
        <v>0</v>
      </c>
      <c r="DJ129" s="366">
        <v>0</v>
      </c>
      <c r="DK129" s="366">
        <v>0</v>
      </c>
      <c r="DL129" s="366">
        <v>0</v>
      </c>
      <c r="DM129" s="366">
        <v>0</v>
      </c>
      <c r="DN129" s="367">
        <f>IFERROR(DA129/Instructions!$J$25,0)+DB129*Instructions!$J$27+DC129*Instructions!$J$29+IFERROR(DD129/Instructions!$E$34,0)+DE129*Instructions!$E$36+Tier!DF129*Instructions!$E$25+IFERROR(DG129/Instructions!$E$27,0)+DH129*Instructions!$E$29+IFERROR((DI129+DK129)/Instructions!$J$32,0)+(DJ129+DL129)*Instructions!$J$34+Tier!DM129*-2</f>
        <v>79.599999999999994</v>
      </c>
    </row>
    <row r="130" spans="1:118" s="366" customFormat="1" ht="15.75" customHeight="1" x14ac:dyDescent="0.25">
      <c r="A130" s="238"/>
      <c r="B130" s="238"/>
      <c r="C130" s="354"/>
      <c r="D130" s="365"/>
      <c r="F130" s="238">
        <v>2017</v>
      </c>
      <c r="G130" s="367">
        <f>LARGE($BI$101:$BI$132,30)</f>
        <v>130.10000000000002</v>
      </c>
      <c r="H130" s="355">
        <f t="shared" si="71"/>
        <v>-124.63999999999993</v>
      </c>
      <c r="I130" s="356">
        <f t="shared" si="68"/>
        <v>15535.129599999982</v>
      </c>
      <c r="J130" s="356"/>
      <c r="K130" s="356">
        <f t="shared" si="72"/>
        <v>-7.7899999999999956</v>
      </c>
      <c r="L130" s="238">
        <f t="shared" si="73"/>
        <v>8</v>
      </c>
      <c r="M130" s="354"/>
      <c r="N130" s="372"/>
      <c r="O130" s="372"/>
      <c r="P130" s="366">
        <v>2014</v>
      </c>
      <c r="Q130" s="367">
        <f>LARGE($CB$2:$CB$151,129)</f>
        <v>9.9</v>
      </c>
      <c r="R130" s="357">
        <f t="shared" ref="R130:R151" si="77">Q130-$T$12</f>
        <v>-154.69999999999999</v>
      </c>
      <c r="S130" s="356">
        <f t="shared" si="76"/>
        <v>23932.089999999997</v>
      </c>
      <c r="T130" s="238"/>
      <c r="U130" s="356">
        <f t="shared" si="54"/>
        <v>-9.6687499999999993</v>
      </c>
      <c r="V130" s="238">
        <f t="shared" si="55"/>
        <v>8</v>
      </c>
      <c r="W130" s="354"/>
      <c r="X130" s="371"/>
      <c r="Y130" s="371"/>
      <c r="Z130" s="321">
        <v>2014</v>
      </c>
      <c r="AA130" s="367">
        <f>LARGE($CU$2:$CU$151,129)</f>
        <v>33</v>
      </c>
      <c r="AB130" s="357">
        <f t="shared" si="56"/>
        <v>-184.73333333333335</v>
      </c>
      <c r="AC130" s="356">
        <f t="shared" ref="AC130:AC193" si="78">AB130^2</f>
        <v>34126.404444444452</v>
      </c>
      <c r="AD130" s="356"/>
      <c r="AE130" s="356">
        <f t="shared" si="57"/>
        <v>-11.545833333333334</v>
      </c>
      <c r="AF130" s="238">
        <f t="shared" si="58"/>
        <v>8</v>
      </c>
      <c r="AG130" s="354"/>
      <c r="AJ130" s="238">
        <v>2017</v>
      </c>
      <c r="AK130" s="367">
        <f>LARGE($DN$101:$DN$132,30)</f>
        <v>77.8</v>
      </c>
      <c r="AL130" s="373">
        <f t="shared" si="74"/>
        <v>-54.899999999999991</v>
      </c>
      <c r="AM130" s="374">
        <f t="shared" si="69"/>
        <v>3014.0099999999989</v>
      </c>
      <c r="AN130" s="374"/>
      <c r="AO130" s="374">
        <f t="shared" si="75"/>
        <v>-3.4312499999999995</v>
      </c>
      <c r="AP130" s="238">
        <f t="shared" si="70"/>
        <v>8</v>
      </c>
      <c r="AQ130" s="354"/>
      <c r="AR130" s="238">
        <v>2017</v>
      </c>
      <c r="AS130" t="s">
        <v>1145</v>
      </c>
      <c r="AT130" t="s">
        <v>139</v>
      </c>
      <c r="AU130" s="366" t="s">
        <v>1</v>
      </c>
      <c r="AV130" s="418">
        <v>1836</v>
      </c>
      <c r="AW130" s="426">
        <v>9</v>
      </c>
      <c r="AX130" s="426">
        <v>12</v>
      </c>
      <c r="AY130" s="426">
        <v>270</v>
      </c>
      <c r="AZ130" s="426">
        <v>2</v>
      </c>
      <c r="BA130" s="238">
        <v>1</v>
      </c>
      <c r="BB130" s="238">
        <v>10</v>
      </c>
      <c r="BC130" s="238">
        <v>0</v>
      </c>
      <c r="BD130" s="238">
        <v>0</v>
      </c>
      <c r="BE130" s="238">
        <v>0</v>
      </c>
      <c r="BF130" s="238">
        <v>0</v>
      </c>
      <c r="BG130" s="238">
        <v>0</v>
      </c>
      <c r="BH130" s="238">
        <v>1</v>
      </c>
      <c r="BI130" s="367">
        <f>IFERROR(AV130/Instructions!$J$25,0)+AW130*Instructions!$J$27+AX130*Instructions!$J$29+IFERROR(AY130/Instructions!$E$34,0)+AZ130*Instructions!$E$36+Tier!BA130*Instructions!$E$25+IFERROR(BB130/Instructions!$E$27,0)+BC130*Instructions!$E$29+IFERROR((BD130+BF130)/Instructions!$J$32,0)+(BE130+BG130)*Instructions!$J$34+BH130*-2</f>
        <v>124.44</v>
      </c>
      <c r="BJ130" s="354"/>
      <c r="BK130" s="366">
        <v>2014</v>
      </c>
      <c r="BL130" s="370" t="s">
        <v>1325</v>
      </c>
      <c r="BM130" s="372" t="s">
        <v>142</v>
      </c>
      <c r="BN130" s="372" t="s">
        <v>3</v>
      </c>
      <c r="BO130" s="372">
        <v>0</v>
      </c>
      <c r="BP130" s="372">
        <v>0</v>
      </c>
      <c r="BQ130" s="372">
        <v>0</v>
      </c>
      <c r="BR130" s="372">
        <v>73</v>
      </c>
      <c r="BS130" s="372">
        <v>0</v>
      </c>
      <c r="BT130" s="372">
        <v>0</v>
      </c>
      <c r="BU130" s="372">
        <v>0</v>
      </c>
      <c r="BV130" s="372">
        <v>0</v>
      </c>
      <c r="BW130" s="372">
        <v>0</v>
      </c>
      <c r="BX130" s="372">
        <v>0</v>
      </c>
      <c r="BY130" s="372">
        <v>28</v>
      </c>
      <c r="BZ130" s="372">
        <v>0</v>
      </c>
      <c r="CA130" s="372">
        <v>0</v>
      </c>
      <c r="CB130" s="367">
        <f>IFERROR(BO130/Instructions!$J$25,0)+BP130*Instructions!$J$27+BQ130*Instructions!$J$29+IFERROR(BR130/Instructions!$E$34,0)+BS130*Instructions!$E$36+Tier!BT131*Instructions!$E$25+IFERROR(BU130/Instructions!$E$27,0)+BV130*Instructions!$E$29+IFERROR((BW130+BY130)/Instructions!$J$32,0)+(BX130+BZ130)*Instructions!$J$34+Tier!CA130*-2</f>
        <v>14.3</v>
      </c>
      <c r="CC130" s="354"/>
      <c r="CD130" s="321">
        <v>2014</v>
      </c>
      <c r="CE130" s="370" t="s">
        <v>1117</v>
      </c>
      <c r="CF130" s="371" t="s">
        <v>142</v>
      </c>
      <c r="CG130" s="371" t="s">
        <v>6</v>
      </c>
      <c r="CH130" s="371">
        <v>0</v>
      </c>
      <c r="CI130" s="371">
        <v>0</v>
      </c>
      <c r="CJ130" s="371">
        <v>0</v>
      </c>
      <c r="CK130" s="371">
        <v>0</v>
      </c>
      <c r="CL130" s="371">
        <v>0</v>
      </c>
      <c r="CM130" s="371">
        <v>14</v>
      </c>
      <c r="CN130" s="371">
        <v>212</v>
      </c>
      <c r="CO130" s="371">
        <v>1</v>
      </c>
      <c r="CP130" s="371">
        <v>0</v>
      </c>
      <c r="CQ130" s="371">
        <v>0</v>
      </c>
      <c r="CR130" s="371">
        <v>0</v>
      </c>
      <c r="CS130" s="371">
        <v>0</v>
      </c>
      <c r="CT130" s="371">
        <v>1</v>
      </c>
      <c r="CU130" s="367">
        <f>IFERROR(CH130/Instructions!$J$25,0)+CI130*Instructions!$J$27+CJ130*Instructions!$J$29+IFERROR(CK130/Instructions!$E$34,0)+CL130*Instructions!$E$36+Tier!CM130*Instructions!$E$25+IFERROR(CN130/Instructions!$E$27,0)+CO130*Instructions!$E$29+IFERROR((CP130+CR130)/Instructions!$J$32,0)+(CQ130+CS130)*Instructions!$J$34+Tier!CT130*-2</f>
        <v>39.200000000000003</v>
      </c>
      <c r="CV130" s="354"/>
      <c r="CW130" s="238">
        <v>2017</v>
      </c>
      <c r="CX130" s="365" t="s">
        <v>1821</v>
      </c>
      <c r="CY130" s="366" t="s">
        <v>161</v>
      </c>
      <c r="CZ130" s="366" t="s">
        <v>7</v>
      </c>
      <c r="DA130" s="366">
        <v>0</v>
      </c>
      <c r="DB130" s="366">
        <v>0</v>
      </c>
      <c r="DC130" s="366">
        <v>0</v>
      </c>
      <c r="DD130" s="366">
        <v>0</v>
      </c>
      <c r="DE130" s="366">
        <v>0</v>
      </c>
      <c r="DF130" s="366">
        <v>33</v>
      </c>
      <c r="DG130" s="366">
        <v>395</v>
      </c>
      <c r="DH130" s="366">
        <v>1</v>
      </c>
      <c r="DI130" s="366">
        <v>0</v>
      </c>
      <c r="DJ130" s="366">
        <v>0</v>
      </c>
      <c r="DK130" s="366">
        <v>0</v>
      </c>
      <c r="DL130" s="366">
        <v>0</v>
      </c>
      <c r="DM130" s="366">
        <v>0</v>
      </c>
      <c r="DN130" s="367">
        <f>IFERROR(DA130/Instructions!$J$25,0)+DB130*Instructions!$J$27+DC130*Instructions!$J$29+IFERROR(DD130/Instructions!$E$34,0)+DE130*Instructions!$E$36+Tier!DF130*Instructions!$E$25+IFERROR(DG130/Instructions!$E$27,0)+DH130*Instructions!$E$29+IFERROR((DI130+DK130)/Instructions!$J$32,0)+(DJ130+DL130)*Instructions!$J$34+Tier!DM130*-2</f>
        <v>78.5</v>
      </c>
    </row>
    <row r="131" spans="1:118" s="366" customFormat="1" ht="15.75" customHeight="1" x14ac:dyDescent="0.25">
      <c r="A131" s="238"/>
      <c r="B131" s="238"/>
      <c r="C131" s="354"/>
      <c r="D131" s="365"/>
      <c r="F131" s="238">
        <v>2017</v>
      </c>
      <c r="G131" s="367">
        <f>LARGE($BI$101:$BI$132,31)</f>
        <v>124.44</v>
      </c>
      <c r="H131" s="355">
        <f t="shared" si="71"/>
        <v>-130.29999999999995</v>
      </c>
      <c r="I131" s="356">
        <f t="shared" si="68"/>
        <v>16978.089999999989</v>
      </c>
      <c r="J131" s="356"/>
      <c r="K131" s="356">
        <f t="shared" si="72"/>
        <v>-8.1437499999999972</v>
      </c>
      <c r="L131" s="238">
        <f t="shared" si="73"/>
        <v>8</v>
      </c>
      <c r="M131" s="354"/>
      <c r="N131" s="372"/>
      <c r="O131" s="372"/>
      <c r="P131" s="366">
        <v>2014</v>
      </c>
      <c r="Q131" s="367">
        <f>LARGE($CB$2:$CB$151,130)</f>
        <v>9.6999999999999993</v>
      </c>
      <c r="R131" s="357">
        <f t="shared" si="77"/>
        <v>-154.9</v>
      </c>
      <c r="S131" s="356">
        <f t="shared" si="76"/>
        <v>23994.010000000002</v>
      </c>
      <c r="T131" s="238"/>
      <c r="U131" s="356">
        <f t="shared" ref="U131:U151" si="79">R131/$T$2</f>
        <v>-9.6812500000000004</v>
      </c>
      <c r="V131" s="238">
        <f t="shared" ref="V131:V194" si="80">IF(U131&gt;6,0,
IF(AND(U131&lt;=6,U131&gt;5),1,
IF(AND(U131&lt;=5,U131&gt;4),2,
IF(AND(U131&lt;=4,U131&gt;3),3,
IF(AND(U131&lt;=3,U131&gt;2),4,
IF(AND(U131&lt;=2,U131&gt;1),5,
IF(AND(U131&lt;=1,U131&gt;0),6,
IF(AND(U131&lt;=0,U131&gt;-1),7,
8))))))))</f>
        <v>8</v>
      </c>
      <c r="W131" s="354"/>
      <c r="X131" s="371"/>
      <c r="Y131" s="371"/>
      <c r="Z131" s="321">
        <v>2014</v>
      </c>
      <c r="AA131" s="367">
        <f>LARGE($CU$2:$CU$151,130)</f>
        <v>32.700000000000003</v>
      </c>
      <c r="AB131" s="357">
        <f t="shared" ref="AB131:AB151" si="81">AA131-$AD$12</f>
        <v>-185.03333333333336</v>
      </c>
      <c r="AC131" s="356">
        <f t="shared" si="78"/>
        <v>34237.334444444452</v>
      </c>
      <c r="AD131" s="356"/>
      <c r="AE131" s="356">
        <f t="shared" ref="AE131:AE151" si="82">AB131/$AD$2</f>
        <v>-11.564583333333335</v>
      </c>
      <c r="AF131" s="238">
        <f t="shared" ref="AF131:AF194" si="83">IF(AE131&gt;6,0,
IF(AND(AE131&lt;=6,AE131&gt;5),1,
IF(AND(AE131&lt;=5,AE131&gt;4),2,
IF(AND(AE131&lt;=4,AE131&gt;3),3,
IF(AND(AE131&lt;=3,AE131&gt;2),4,
IF(AND(AE131&lt;=2,AE131&gt;1),5,
IF(AND(AE131&lt;=1,AE131&gt;0),6,
IF(AND(AE131&lt;=0,AE131&gt;-1),7,
8))))))))</f>
        <v>8</v>
      </c>
      <c r="AG131" s="354"/>
      <c r="AJ131" s="238">
        <v>2017</v>
      </c>
      <c r="AK131" s="367">
        <f>LARGE($DN$101:$DN$132,31)</f>
        <v>77.2</v>
      </c>
      <c r="AL131" s="373">
        <f t="shared" si="74"/>
        <v>-55.499999999999986</v>
      </c>
      <c r="AM131" s="374">
        <f t="shared" si="69"/>
        <v>3080.2499999999986</v>
      </c>
      <c r="AN131" s="374"/>
      <c r="AO131" s="374">
        <f t="shared" si="75"/>
        <v>-3.4687499999999991</v>
      </c>
      <c r="AP131" s="238">
        <f t="shared" si="70"/>
        <v>8</v>
      </c>
      <c r="AQ131" s="354"/>
      <c r="AR131" s="238">
        <v>2017</v>
      </c>
      <c r="AS131" t="s">
        <v>13</v>
      </c>
      <c r="AT131" t="s">
        <v>139</v>
      </c>
      <c r="AU131" s="366" t="s">
        <v>1</v>
      </c>
      <c r="AV131" s="418">
        <v>1675</v>
      </c>
      <c r="AW131" s="426">
        <v>16</v>
      </c>
      <c r="AX131" s="426">
        <v>6</v>
      </c>
      <c r="AY131" s="426">
        <v>126</v>
      </c>
      <c r="AZ131" s="426">
        <v>0</v>
      </c>
      <c r="BA131" s="238">
        <v>0</v>
      </c>
      <c r="BB131" s="238">
        <v>0</v>
      </c>
      <c r="BC131" s="238">
        <v>0</v>
      </c>
      <c r="BD131" s="238">
        <v>0</v>
      </c>
      <c r="BE131" s="238">
        <v>0</v>
      </c>
      <c r="BF131" s="238">
        <v>0</v>
      </c>
      <c r="BG131" s="238">
        <v>0</v>
      </c>
      <c r="BH131" s="238">
        <v>0</v>
      </c>
      <c r="BI131" s="367">
        <f>IFERROR(AV131/Instructions!$J$25,0)+AW131*Instructions!$J$27+AX131*Instructions!$J$29+IFERROR(AY131/Instructions!$E$34,0)+AZ131*Instructions!$E$36+Tier!BA131*Instructions!$E$25+IFERROR(BB131/Instructions!$E$27,0)+BC131*Instructions!$E$29+IFERROR((BD131+BF131)/Instructions!$J$32,0)+(BE131+BG131)*Instructions!$J$34+BH131*-2</f>
        <v>131.6</v>
      </c>
      <c r="BJ131" s="354"/>
      <c r="BK131" s="366">
        <v>2014</v>
      </c>
      <c r="BL131" s="370" t="s">
        <v>1711</v>
      </c>
      <c r="BM131" s="372" t="s">
        <v>1613</v>
      </c>
      <c r="BN131" s="372" t="s">
        <v>3</v>
      </c>
      <c r="BO131" s="372">
        <v>0</v>
      </c>
      <c r="BP131" s="372">
        <v>0</v>
      </c>
      <c r="BQ131" s="372">
        <v>0</v>
      </c>
      <c r="BR131" s="372">
        <v>0</v>
      </c>
      <c r="BS131" s="372">
        <v>0</v>
      </c>
      <c r="BT131" s="372">
        <v>7</v>
      </c>
      <c r="BU131" s="372">
        <v>81</v>
      </c>
      <c r="BV131" s="372">
        <v>0</v>
      </c>
      <c r="BW131" s="372">
        <v>0</v>
      </c>
      <c r="BX131" s="372">
        <v>0</v>
      </c>
      <c r="BY131" s="372">
        <v>0</v>
      </c>
      <c r="BZ131" s="372">
        <v>0</v>
      </c>
      <c r="CA131" s="372">
        <v>0</v>
      </c>
      <c r="CB131" s="367">
        <f>IFERROR(BO131/Instructions!$J$25,0)+BP131*Instructions!$J$27+BQ131*Instructions!$J$29+IFERROR(BR131/Instructions!$E$34,0)+BS131*Instructions!$E$36+Tier!BT132*Instructions!$E$25+IFERROR(BU131/Instructions!$E$27,0)+BV131*Instructions!$E$29+IFERROR((BW131+BY131)/Instructions!$J$32,0)+(BX131+BZ131)*Instructions!$J$34+Tier!CA131*-2</f>
        <v>13.1</v>
      </c>
      <c r="CC131" s="354"/>
      <c r="CD131" s="321">
        <v>2014</v>
      </c>
      <c r="CE131" s="370" t="s">
        <v>1110</v>
      </c>
      <c r="CF131" s="371" t="s">
        <v>1629</v>
      </c>
      <c r="CG131" s="371" t="s">
        <v>6</v>
      </c>
      <c r="CH131" s="371">
        <v>0</v>
      </c>
      <c r="CI131" s="371">
        <v>0</v>
      </c>
      <c r="CJ131" s="371">
        <v>0</v>
      </c>
      <c r="CK131" s="371">
        <v>0</v>
      </c>
      <c r="CL131" s="371">
        <v>0</v>
      </c>
      <c r="CM131" s="371">
        <v>16</v>
      </c>
      <c r="CN131" s="371">
        <v>260</v>
      </c>
      <c r="CO131" s="371">
        <v>0</v>
      </c>
      <c r="CP131" s="371">
        <v>0</v>
      </c>
      <c r="CQ131" s="371">
        <v>0</v>
      </c>
      <c r="CR131" s="371">
        <v>21</v>
      </c>
      <c r="CS131" s="371">
        <v>0</v>
      </c>
      <c r="CT131" s="371">
        <v>0</v>
      </c>
      <c r="CU131" s="367">
        <f>IFERROR(CH131/Instructions!$J$25,0)+CI131*Instructions!$J$27+CJ131*Instructions!$J$29+IFERROR(CK131/Instructions!$E$34,0)+CL131*Instructions!$E$36+Tier!CM131*Instructions!$E$25+IFERROR(CN131/Instructions!$E$27,0)+CO131*Instructions!$E$29+IFERROR((CP131+CR131)/Instructions!$J$32,0)+(CQ131+CS131)*Instructions!$J$34+Tier!CT131*-2</f>
        <v>42</v>
      </c>
      <c r="CV131" s="354"/>
      <c r="CW131" s="238">
        <v>2017</v>
      </c>
      <c r="CX131" s="365" t="s">
        <v>227</v>
      </c>
      <c r="CY131" s="366" t="s">
        <v>153</v>
      </c>
      <c r="CZ131" s="366" t="s">
        <v>7</v>
      </c>
      <c r="DA131" s="366">
        <v>0</v>
      </c>
      <c r="DB131" s="366">
        <v>0</v>
      </c>
      <c r="DC131" s="366">
        <v>0</v>
      </c>
      <c r="DD131" s="366">
        <v>0</v>
      </c>
      <c r="DE131" s="366">
        <v>0</v>
      </c>
      <c r="DF131" s="366">
        <v>33</v>
      </c>
      <c r="DG131" s="366">
        <v>322</v>
      </c>
      <c r="DH131" s="366">
        <v>2</v>
      </c>
      <c r="DI131" s="366">
        <v>0</v>
      </c>
      <c r="DJ131" s="366">
        <v>0</v>
      </c>
      <c r="DK131" s="366">
        <v>0</v>
      </c>
      <c r="DL131" s="366">
        <v>0</v>
      </c>
      <c r="DM131" s="366">
        <v>0</v>
      </c>
      <c r="DN131" s="367">
        <f>IFERROR(DA131/Instructions!$J$25,0)+DB131*Instructions!$J$27+DC131*Instructions!$J$29+IFERROR(DD131/Instructions!$E$34,0)+DE131*Instructions!$E$36+Tier!DF131*Instructions!$E$25+IFERROR(DG131/Instructions!$E$27,0)+DH131*Instructions!$E$29+IFERROR((DI131+DK131)/Instructions!$J$32,0)+(DJ131+DL131)*Instructions!$J$34+Tier!DM131*-2</f>
        <v>77.2</v>
      </c>
    </row>
    <row r="132" spans="1:118" s="366" customFormat="1" ht="15.75" customHeight="1" x14ac:dyDescent="0.25">
      <c r="A132" s="238"/>
      <c r="B132" s="238"/>
      <c r="C132" s="354"/>
      <c r="D132" s="365"/>
      <c r="F132" s="238">
        <v>2017</v>
      </c>
      <c r="G132" s="367">
        <f>LARGE($BI$101:$BI$132,32)</f>
        <v>102.36</v>
      </c>
      <c r="H132" s="355">
        <f t="shared" si="71"/>
        <v>-152.37999999999994</v>
      </c>
      <c r="I132" s="356">
        <f t="shared" si="68"/>
        <v>23219.66439999998</v>
      </c>
      <c r="J132" s="356"/>
      <c r="K132" s="356">
        <f t="shared" si="72"/>
        <v>-9.5237499999999962</v>
      </c>
      <c r="L132" s="238">
        <f t="shared" si="73"/>
        <v>8</v>
      </c>
      <c r="M132" s="354"/>
      <c r="N132" s="372"/>
      <c r="O132" s="372"/>
      <c r="P132" s="366">
        <v>2014</v>
      </c>
      <c r="Q132" s="367">
        <f>LARGE($CB$2:$CB$151,131)</f>
        <v>9.3000000000000007</v>
      </c>
      <c r="R132" s="357">
        <f t="shared" si="77"/>
        <v>-155.29999999999998</v>
      </c>
      <c r="S132" s="356">
        <f t="shared" si="76"/>
        <v>24118.089999999997</v>
      </c>
      <c r="T132" s="238"/>
      <c r="U132" s="356">
        <f t="shared" si="79"/>
        <v>-9.7062499999999989</v>
      </c>
      <c r="V132" s="238">
        <f t="shared" si="80"/>
        <v>8</v>
      </c>
      <c r="W132" s="354"/>
      <c r="X132" s="371"/>
      <c r="Y132" s="371"/>
      <c r="Z132" s="321">
        <v>2014</v>
      </c>
      <c r="AA132" s="367">
        <f>LARGE($CU$2:$CU$151,131)</f>
        <v>32.200000000000003</v>
      </c>
      <c r="AB132" s="357">
        <f t="shared" si="81"/>
        <v>-185.53333333333336</v>
      </c>
      <c r="AC132" s="356">
        <f t="shared" si="78"/>
        <v>34422.617777777785</v>
      </c>
      <c r="AD132" s="356"/>
      <c r="AE132" s="356">
        <f t="shared" si="82"/>
        <v>-11.595833333333335</v>
      </c>
      <c r="AF132" s="238">
        <f t="shared" si="83"/>
        <v>8</v>
      </c>
      <c r="AG132" s="354"/>
      <c r="AJ132" s="238">
        <v>2017</v>
      </c>
      <c r="AK132" s="367">
        <f>LARGE($DN$101:$DN$132,32)</f>
        <v>64.2</v>
      </c>
      <c r="AL132" s="373">
        <f t="shared" si="74"/>
        <v>-68.499999999999986</v>
      </c>
      <c r="AM132" s="374">
        <f t="shared" si="69"/>
        <v>4692.2499999999982</v>
      </c>
      <c r="AN132" s="374"/>
      <c r="AO132" s="374">
        <f t="shared" si="75"/>
        <v>-4.2812499999999991</v>
      </c>
      <c r="AP132" s="238">
        <f t="shared" si="70"/>
        <v>8</v>
      </c>
      <c r="AQ132" s="354"/>
      <c r="AR132" s="238">
        <v>2017</v>
      </c>
      <c r="AS132" t="s">
        <v>81</v>
      </c>
      <c r="AT132" t="s">
        <v>153</v>
      </c>
      <c r="AU132" s="366" t="s">
        <v>1</v>
      </c>
      <c r="AV132" s="418">
        <v>1979</v>
      </c>
      <c r="AW132" s="426">
        <v>9</v>
      </c>
      <c r="AX132" s="426">
        <v>7</v>
      </c>
      <c r="AY132" s="426">
        <v>12</v>
      </c>
      <c r="AZ132" s="426">
        <v>0</v>
      </c>
      <c r="BA132" s="238">
        <v>0</v>
      </c>
      <c r="BB132" s="238">
        <v>0</v>
      </c>
      <c r="BC132" s="238">
        <v>0</v>
      </c>
      <c r="BD132" s="238">
        <v>0</v>
      </c>
      <c r="BE132" s="238">
        <v>0</v>
      </c>
      <c r="BF132" s="238">
        <v>0</v>
      </c>
      <c r="BG132" s="238">
        <v>0</v>
      </c>
      <c r="BH132" s="238">
        <v>0</v>
      </c>
      <c r="BI132" s="367">
        <f>IFERROR(AV132/Instructions!$J$25,0)+AW132*Instructions!$J$27+AX132*Instructions!$J$29+IFERROR(AY132/Instructions!$E$34,0)+AZ132*Instructions!$E$36+Tier!BA132*Instructions!$E$25+IFERROR(BB132/Instructions!$E$27,0)+BC132*Instructions!$E$29+IFERROR((BD132+BF132)/Instructions!$J$32,0)+(BE132+BG132)*Instructions!$J$34+BH132*-2</f>
        <v>102.36</v>
      </c>
      <c r="BJ132" s="354"/>
      <c r="BK132" s="366">
        <v>2014</v>
      </c>
      <c r="BL132" s="370" t="s">
        <v>95</v>
      </c>
      <c r="BM132" s="372" t="s">
        <v>1626</v>
      </c>
      <c r="BN132" s="372" t="s">
        <v>3</v>
      </c>
      <c r="BO132" s="372">
        <v>0</v>
      </c>
      <c r="BP132" s="372">
        <v>0</v>
      </c>
      <c r="BQ132" s="372">
        <v>0</v>
      </c>
      <c r="BR132" s="372">
        <v>38</v>
      </c>
      <c r="BS132" s="372">
        <v>0</v>
      </c>
      <c r="BT132" s="372">
        <v>5</v>
      </c>
      <c r="BU132" s="372">
        <v>34</v>
      </c>
      <c r="BV132" s="372">
        <v>0</v>
      </c>
      <c r="BW132" s="372">
        <v>0</v>
      </c>
      <c r="BX132" s="372">
        <v>0</v>
      </c>
      <c r="BY132" s="372">
        <v>0</v>
      </c>
      <c r="BZ132" s="372">
        <v>0</v>
      </c>
      <c r="CA132" s="372">
        <v>0</v>
      </c>
      <c r="CB132" s="367">
        <f>IFERROR(BO132/Instructions!$J$25,0)+BP132*Instructions!$J$27+BQ132*Instructions!$J$29+IFERROR(BR132/Instructions!$E$34,0)+BS132*Instructions!$E$36+Tier!BT133*Instructions!$E$25+IFERROR(BU132/Instructions!$E$27,0)+BV132*Instructions!$E$29+IFERROR((BW132+BY132)/Instructions!$J$32,0)+(BX132+BZ132)*Instructions!$J$34+Tier!CA132*-2</f>
        <v>10.199999999999999</v>
      </c>
      <c r="CC132" s="354"/>
      <c r="CD132" s="321">
        <v>2014</v>
      </c>
      <c r="CE132" s="370" t="s">
        <v>1679</v>
      </c>
      <c r="CF132" s="371" t="s">
        <v>150</v>
      </c>
      <c r="CG132" s="371" t="s">
        <v>6</v>
      </c>
      <c r="CH132" s="371">
        <v>0</v>
      </c>
      <c r="CI132" s="371">
        <v>0</v>
      </c>
      <c r="CJ132" s="371">
        <v>0</v>
      </c>
      <c r="CK132" s="371">
        <v>4</v>
      </c>
      <c r="CL132" s="371">
        <v>0</v>
      </c>
      <c r="CM132" s="371">
        <v>11</v>
      </c>
      <c r="CN132" s="371">
        <v>159</v>
      </c>
      <c r="CO132" s="371">
        <v>1</v>
      </c>
      <c r="CP132" s="371">
        <v>0</v>
      </c>
      <c r="CQ132" s="371">
        <v>0</v>
      </c>
      <c r="CR132" s="371">
        <v>101</v>
      </c>
      <c r="CS132" s="371">
        <v>0</v>
      </c>
      <c r="CT132" s="371">
        <v>0</v>
      </c>
      <c r="CU132" s="367">
        <f>IFERROR(CH132/Instructions!$J$25,0)+CI132*Instructions!$J$27+CJ132*Instructions!$J$29+IFERROR(CK132/Instructions!$E$34,0)+CL132*Instructions!$E$36+Tier!CM132*Instructions!$E$25+IFERROR(CN132/Instructions!$E$27,0)+CO132*Instructions!$E$29+IFERROR((CP132+CR132)/Instructions!$J$32,0)+(CQ132+CS132)*Instructions!$J$34+Tier!CT132*-2</f>
        <v>33.299999999999997</v>
      </c>
      <c r="CV132" s="354"/>
      <c r="CW132" s="238">
        <v>2017</v>
      </c>
      <c r="CX132" s="365" t="s">
        <v>1814</v>
      </c>
      <c r="CY132" s="366" t="s">
        <v>156</v>
      </c>
      <c r="CZ132" s="366" t="s">
        <v>7</v>
      </c>
      <c r="DA132" s="366">
        <v>0</v>
      </c>
      <c r="DB132" s="366">
        <v>0</v>
      </c>
      <c r="DC132" s="366">
        <v>0</v>
      </c>
      <c r="DD132" s="366">
        <v>0</v>
      </c>
      <c r="DE132" s="366">
        <v>0</v>
      </c>
      <c r="DF132" s="366">
        <v>22</v>
      </c>
      <c r="DG132" s="366">
        <v>322</v>
      </c>
      <c r="DH132" s="366">
        <v>2</v>
      </c>
      <c r="DI132" s="366">
        <v>0</v>
      </c>
      <c r="DJ132" s="366">
        <v>0</v>
      </c>
      <c r="DK132" s="366">
        <v>0</v>
      </c>
      <c r="DL132" s="366">
        <v>0</v>
      </c>
      <c r="DM132" s="366">
        <v>1</v>
      </c>
      <c r="DN132" s="367">
        <f>IFERROR(DA132/Instructions!$J$25,0)+DB132*Instructions!$J$27+DC132*Instructions!$J$29+IFERROR(DD132/Instructions!$E$34,0)+DE132*Instructions!$E$36+Tier!DF132*Instructions!$E$25+IFERROR(DG132/Instructions!$E$27,0)+DH132*Instructions!$E$29+IFERROR((DI132+DK132)/Instructions!$J$32,0)+(DJ132+DL132)*Instructions!$J$34+Tier!DM132*-2</f>
        <v>64.2</v>
      </c>
    </row>
    <row r="133" spans="1:118" s="366" customFormat="1" ht="15.75" customHeight="1" x14ac:dyDescent="0.25">
      <c r="A133" s="238"/>
      <c r="B133" s="238"/>
      <c r="C133" s="354"/>
      <c r="D133" s="375"/>
      <c r="E133" s="354"/>
      <c r="F133" s="354"/>
      <c r="G133" s="376"/>
      <c r="H133" s="376"/>
      <c r="I133" s="376"/>
      <c r="J133" s="376"/>
      <c r="K133" s="376"/>
      <c r="L133" s="376"/>
      <c r="M133" s="376"/>
      <c r="N133" s="372"/>
      <c r="O133" s="372"/>
      <c r="P133" s="366">
        <v>2014</v>
      </c>
      <c r="Q133" s="367">
        <f>LARGE($CB$2:$CB$151,132)</f>
        <v>9.1</v>
      </c>
      <c r="R133" s="357">
        <f t="shared" si="77"/>
        <v>-155.5</v>
      </c>
      <c r="S133" s="356">
        <f t="shared" si="76"/>
        <v>24180.25</v>
      </c>
      <c r="T133" s="238"/>
      <c r="U133" s="356">
        <f t="shared" si="79"/>
        <v>-9.71875</v>
      </c>
      <c r="V133" s="238">
        <f t="shared" si="80"/>
        <v>8</v>
      </c>
      <c r="W133" s="354"/>
      <c r="X133" s="371"/>
      <c r="Y133" s="371"/>
      <c r="Z133" s="321">
        <v>2014</v>
      </c>
      <c r="AA133" s="367">
        <f>LARGE($CU$2:$CU$151,132)</f>
        <v>30.6</v>
      </c>
      <c r="AB133" s="357">
        <f t="shared" si="81"/>
        <v>-187.13333333333335</v>
      </c>
      <c r="AC133" s="356">
        <f t="shared" si="78"/>
        <v>35018.884444444455</v>
      </c>
      <c r="AD133" s="356"/>
      <c r="AE133" s="356">
        <f t="shared" si="82"/>
        <v>-11.695833333333335</v>
      </c>
      <c r="AF133" s="238">
        <f t="shared" si="83"/>
        <v>8</v>
      </c>
      <c r="AG133" s="354"/>
      <c r="AH133" s="380"/>
      <c r="AI133" s="380"/>
      <c r="AJ133" s="354"/>
      <c r="AK133" s="376"/>
      <c r="AL133" s="376"/>
      <c r="AM133" s="376"/>
      <c r="AN133" s="376"/>
      <c r="AO133" s="376"/>
      <c r="AP133" s="376"/>
      <c r="AQ133" s="354"/>
      <c r="AR133" s="379"/>
      <c r="AS133" s="354"/>
      <c r="AT133" s="354"/>
      <c r="AU133" s="354"/>
      <c r="AV133" s="354"/>
      <c r="AW133" s="354"/>
      <c r="AX133" s="354"/>
      <c r="AY133" s="354"/>
      <c r="AZ133" s="354"/>
      <c r="BA133" s="354"/>
      <c r="BB133" s="354"/>
      <c r="BC133" s="354"/>
      <c r="BD133" s="354"/>
      <c r="BE133" s="354"/>
      <c r="BF133" s="354"/>
      <c r="BG133" s="354"/>
      <c r="BH133" s="354"/>
      <c r="BI133" s="376"/>
      <c r="BJ133" s="354"/>
      <c r="BK133" s="366">
        <v>2014</v>
      </c>
      <c r="BL133" s="370" t="s">
        <v>1228</v>
      </c>
      <c r="BM133" s="372" t="s">
        <v>145</v>
      </c>
      <c r="BN133" s="372" t="s">
        <v>3</v>
      </c>
      <c r="BO133" s="372">
        <v>0</v>
      </c>
      <c r="BP133" s="372">
        <v>0</v>
      </c>
      <c r="BQ133" s="372">
        <v>0</v>
      </c>
      <c r="BR133" s="372">
        <v>43</v>
      </c>
      <c r="BS133" s="372">
        <v>0</v>
      </c>
      <c r="BT133" s="372">
        <v>3</v>
      </c>
      <c r="BU133" s="372">
        <v>27</v>
      </c>
      <c r="BV133" s="372">
        <v>0</v>
      </c>
      <c r="BW133" s="372">
        <v>0</v>
      </c>
      <c r="BX133" s="372">
        <v>0</v>
      </c>
      <c r="BY133" s="372">
        <v>0</v>
      </c>
      <c r="BZ133" s="372">
        <v>0</v>
      </c>
      <c r="CA133" s="372">
        <v>0</v>
      </c>
      <c r="CB133" s="367">
        <f>IFERROR(BO133/Instructions!$J$25,0)+BP133*Instructions!$J$27+BQ133*Instructions!$J$29+IFERROR(BR133/Instructions!$E$34,0)+BS133*Instructions!$E$36+Tier!BT134*Instructions!$E$25+IFERROR(BU133/Instructions!$E$27,0)+BV133*Instructions!$E$29+IFERROR((BW133+BY133)/Instructions!$J$32,0)+(BX133+BZ133)*Instructions!$J$34+Tier!CA133*-2</f>
        <v>8</v>
      </c>
      <c r="CC133" s="354"/>
      <c r="CD133" s="321">
        <v>2014</v>
      </c>
      <c r="CE133" s="370" t="s">
        <v>213</v>
      </c>
      <c r="CF133" s="371" t="s">
        <v>166</v>
      </c>
      <c r="CG133" s="371" t="s">
        <v>6</v>
      </c>
      <c r="CH133" s="371">
        <v>0</v>
      </c>
      <c r="CI133" s="371">
        <v>0</v>
      </c>
      <c r="CJ133" s="371">
        <v>0</v>
      </c>
      <c r="CK133" s="371">
        <v>3</v>
      </c>
      <c r="CL133" s="371">
        <v>0</v>
      </c>
      <c r="CM133" s="371">
        <v>12</v>
      </c>
      <c r="CN133" s="371">
        <v>135</v>
      </c>
      <c r="CO133" s="371">
        <v>2</v>
      </c>
      <c r="CP133" s="371">
        <v>0</v>
      </c>
      <c r="CQ133" s="371">
        <v>0</v>
      </c>
      <c r="CR133" s="371">
        <v>0</v>
      </c>
      <c r="CS133" s="371">
        <v>0</v>
      </c>
      <c r="CT133" s="371">
        <v>0</v>
      </c>
      <c r="CU133" s="367">
        <f>IFERROR(CH133/Instructions!$J$25,0)+CI133*Instructions!$J$27+CJ133*Instructions!$J$29+IFERROR(CK133/Instructions!$E$34,0)+CL133*Instructions!$E$36+Tier!CM133*Instructions!$E$25+IFERROR(CN133/Instructions!$E$27,0)+CO133*Instructions!$E$29+IFERROR((CP133+CR133)/Instructions!$J$32,0)+(CQ133+CS133)*Instructions!$J$34+Tier!CT133*-2</f>
        <v>37.799999999999997</v>
      </c>
      <c r="CV133" s="354"/>
      <c r="CW133" s="354"/>
      <c r="CX133" s="354"/>
      <c r="CY133" s="354"/>
      <c r="CZ133" s="354"/>
      <c r="DA133" s="354"/>
      <c r="DB133" s="354"/>
      <c r="DC133" s="354"/>
      <c r="DD133" s="354"/>
      <c r="DE133" s="354"/>
      <c r="DF133" s="354"/>
      <c r="DG133" s="354"/>
      <c r="DH133" s="354"/>
      <c r="DI133" s="354"/>
      <c r="DJ133" s="354"/>
      <c r="DK133" s="354"/>
      <c r="DL133" s="354"/>
      <c r="DM133" s="354"/>
      <c r="DN133" s="354"/>
    </row>
    <row r="134" spans="1:118" s="366" customFormat="1" ht="15.75" customHeight="1" x14ac:dyDescent="0.25">
      <c r="A134" s="238"/>
      <c r="B134" s="238"/>
      <c r="C134" s="354"/>
      <c r="D134" s="365"/>
      <c r="F134" s="238">
        <v>2018</v>
      </c>
      <c r="G134" s="367">
        <f>LARGE($BI$134:$BI$165,1)</f>
        <v>415.08</v>
      </c>
      <c r="H134" s="355">
        <f>G134-$J$144</f>
        <v>136.47999999999996</v>
      </c>
      <c r="I134" s="356">
        <f t="shared" ref="I134:I165" si="84">H134^2</f>
        <v>18626.790399999991</v>
      </c>
      <c r="J134" s="356">
        <v>16</v>
      </c>
      <c r="K134" s="356">
        <f>H134/$J$134</f>
        <v>8.5299999999999976</v>
      </c>
      <c r="L134" s="238">
        <f>IF(K134&gt;6,0,
IF(AND(K134&lt;=6,K134&gt;5),1,
IF(AND(K134&lt;=5,K134&gt;4),2,
IF(AND(K134&lt;=4,K134&gt;3),3,
IF(AND(K134&lt;=3,K134&gt;2),4,
IF(AND(K134&lt;=2,K134&gt;1),5,
IF(AND(K134&lt;=1,K134&gt;0),6,
IF(AND(K134&lt;=0,K134&gt;-1),7,
8))))))))</f>
        <v>0</v>
      </c>
      <c r="M134" s="354"/>
      <c r="N134" s="372"/>
      <c r="O134" s="372"/>
      <c r="P134" s="366">
        <v>2014</v>
      </c>
      <c r="Q134" s="367">
        <f>LARGE($CB$2:$CB$151,133)</f>
        <v>8.6999999999999993</v>
      </c>
      <c r="R134" s="357">
        <f t="shared" si="77"/>
        <v>-155.9</v>
      </c>
      <c r="S134" s="356">
        <f t="shared" si="76"/>
        <v>24304.81</v>
      </c>
      <c r="T134" s="238"/>
      <c r="U134" s="356">
        <f t="shared" si="79"/>
        <v>-9.7437500000000004</v>
      </c>
      <c r="V134" s="238">
        <f t="shared" si="80"/>
        <v>8</v>
      </c>
      <c r="W134" s="354"/>
      <c r="X134" s="371"/>
      <c r="Y134" s="371"/>
      <c r="Z134" s="321">
        <v>2014</v>
      </c>
      <c r="AA134" s="367">
        <f>LARGE($CU$2:$CU$151,133)</f>
        <v>29.8</v>
      </c>
      <c r="AB134" s="357">
        <f t="shared" si="81"/>
        <v>-187.93333333333334</v>
      </c>
      <c r="AC134" s="356">
        <f t="shared" si="78"/>
        <v>35318.937777777777</v>
      </c>
      <c r="AD134" s="356"/>
      <c r="AE134" s="356">
        <f t="shared" si="82"/>
        <v>-11.745833333333334</v>
      </c>
      <c r="AF134" s="238">
        <f t="shared" si="83"/>
        <v>8</v>
      </c>
      <c r="AG134" s="354"/>
      <c r="AJ134" s="238">
        <v>2018</v>
      </c>
      <c r="AK134" s="367">
        <f>LARGE($DN$134:$DN$165,1)</f>
        <v>294.60000000000002</v>
      </c>
      <c r="AL134" s="373">
        <f>AK134-$AN$144</f>
        <v>164.00000000000003</v>
      </c>
      <c r="AM134" s="374">
        <f t="shared" ref="AM134:AM165" si="85">AL134^2</f>
        <v>26896.000000000011</v>
      </c>
      <c r="AN134" s="374">
        <v>16</v>
      </c>
      <c r="AO134" s="374">
        <f>AL134/$AN$134</f>
        <v>10.250000000000002</v>
      </c>
      <c r="AP134" s="238">
        <f t="shared" si="70"/>
        <v>0</v>
      </c>
      <c r="AQ134" s="354"/>
      <c r="AR134" s="238">
        <v>2018</v>
      </c>
      <c r="AS134" t="s">
        <v>1928</v>
      </c>
      <c r="AT134" t="s">
        <v>136</v>
      </c>
      <c r="AU134" s="366" t="s">
        <v>1</v>
      </c>
      <c r="AV134" s="418">
        <v>5097</v>
      </c>
      <c r="AW134" s="440">
        <v>50</v>
      </c>
      <c r="AX134" s="440">
        <v>12</v>
      </c>
      <c r="AY134" s="440">
        <v>272</v>
      </c>
      <c r="AZ134" s="440">
        <v>2</v>
      </c>
      <c r="BA134" s="238">
        <v>0</v>
      </c>
      <c r="BB134" s="238">
        <v>0</v>
      </c>
      <c r="BC134" s="238">
        <v>0</v>
      </c>
      <c r="BD134" s="238">
        <v>0</v>
      </c>
      <c r="BE134" s="238">
        <v>0</v>
      </c>
      <c r="BF134" s="238">
        <v>0</v>
      </c>
      <c r="BG134" s="238">
        <v>0</v>
      </c>
      <c r="BH134" s="238">
        <v>2</v>
      </c>
      <c r="BI134" s="367">
        <f>IFERROR(AV134/Instructions!$J$25,0)+AW134*Instructions!$J$27+AX134*Instructions!$J$29+IFERROR(AY134/Instructions!$E$34,0)+AZ134*Instructions!$E$36+Tier!BA134*Instructions!$E$25+IFERROR(BB134/Instructions!$E$27,0)+BC134*Instructions!$E$29+IFERROR((BD134+BF134)/Instructions!$J$32,0)+(BE134+BG134)*Instructions!$J$34+BH134*-2</f>
        <v>415.08</v>
      </c>
      <c r="BJ134" s="354"/>
      <c r="BK134" s="366">
        <v>2014</v>
      </c>
      <c r="BL134" s="370" t="s">
        <v>1713</v>
      </c>
      <c r="BM134" s="372" t="s">
        <v>1627</v>
      </c>
      <c r="BN134" s="372" t="s">
        <v>3</v>
      </c>
      <c r="BO134" s="372">
        <v>0</v>
      </c>
      <c r="BP134" s="372">
        <v>0</v>
      </c>
      <c r="BQ134" s="372">
        <v>0</v>
      </c>
      <c r="BR134" s="372">
        <v>58</v>
      </c>
      <c r="BS134" s="372">
        <v>0</v>
      </c>
      <c r="BT134" s="372">
        <v>1</v>
      </c>
      <c r="BU134" s="372">
        <v>3</v>
      </c>
      <c r="BV134" s="372">
        <v>0</v>
      </c>
      <c r="BW134" s="372">
        <v>0</v>
      </c>
      <c r="BX134" s="372">
        <v>0</v>
      </c>
      <c r="BY134" s="372">
        <v>9</v>
      </c>
      <c r="BZ134" s="372">
        <v>0</v>
      </c>
      <c r="CA134" s="372">
        <v>0</v>
      </c>
      <c r="CB134" s="367">
        <f>IFERROR(BO134/Instructions!$J$25,0)+BP134*Instructions!$J$27+BQ134*Instructions!$J$29+IFERROR(BR134/Instructions!$E$34,0)+BS134*Instructions!$E$36+Tier!BT135*Instructions!$E$25+IFERROR(BU134/Instructions!$E$27,0)+BV134*Instructions!$E$29+IFERROR((BW134+BY134)/Instructions!$J$32,0)+(BX134+BZ134)*Instructions!$J$34+Tier!CA134*-2</f>
        <v>11.100000000000001</v>
      </c>
      <c r="CC134" s="354"/>
      <c r="CD134" s="321">
        <v>2014</v>
      </c>
      <c r="CE134" s="370" t="s">
        <v>199</v>
      </c>
      <c r="CF134" s="371" t="s">
        <v>162</v>
      </c>
      <c r="CG134" s="371" t="s">
        <v>6</v>
      </c>
      <c r="CH134" s="371">
        <v>0</v>
      </c>
      <c r="CI134" s="371">
        <v>0</v>
      </c>
      <c r="CJ134" s="371">
        <v>0</v>
      </c>
      <c r="CK134" s="371">
        <v>0</v>
      </c>
      <c r="CL134" s="371">
        <v>0</v>
      </c>
      <c r="CM134" s="371">
        <v>24</v>
      </c>
      <c r="CN134" s="371">
        <v>255</v>
      </c>
      <c r="CO134" s="371">
        <v>0</v>
      </c>
      <c r="CP134" s="371">
        <v>0</v>
      </c>
      <c r="CQ134" s="371">
        <v>0</v>
      </c>
      <c r="CR134" s="371">
        <v>0</v>
      </c>
      <c r="CS134" s="371">
        <v>0</v>
      </c>
      <c r="CT134" s="371">
        <v>0</v>
      </c>
      <c r="CU134" s="367">
        <f>IFERROR(CH134/Instructions!$J$25,0)+CI134*Instructions!$J$27+CJ134*Instructions!$J$29+IFERROR(CK134/Instructions!$E$34,0)+CL134*Instructions!$E$36+Tier!CM134*Instructions!$E$25+IFERROR(CN134/Instructions!$E$27,0)+CO134*Instructions!$E$29+IFERROR((CP134+CR134)/Instructions!$J$32,0)+(CQ134+CS134)*Instructions!$J$34+Tier!CT134*-2</f>
        <v>49.5</v>
      </c>
      <c r="CV134" s="354"/>
      <c r="CW134" s="238">
        <v>2018</v>
      </c>
      <c r="CX134" t="s">
        <v>228</v>
      </c>
      <c r="CY134" s="3" t="s">
        <v>136</v>
      </c>
      <c r="CZ134" s="366" t="s">
        <v>7</v>
      </c>
      <c r="DA134" s="366">
        <v>0</v>
      </c>
      <c r="DB134" s="366">
        <v>0</v>
      </c>
      <c r="DC134" s="366">
        <v>0</v>
      </c>
      <c r="DD134" s="366">
        <v>0</v>
      </c>
      <c r="DE134" s="366">
        <v>0</v>
      </c>
      <c r="DF134">
        <v>103</v>
      </c>
      <c r="DG134" s="418">
        <v>1336</v>
      </c>
      <c r="DH134">
        <v>10</v>
      </c>
      <c r="DI134" s="366">
        <v>0</v>
      </c>
      <c r="DJ134" s="366">
        <v>0</v>
      </c>
      <c r="DK134" s="366">
        <v>0</v>
      </c>
      <c r="DL134" s="366">
        <v>0</v>
      </c>
      <c r="DM134" s="366">
        <v>1</v>
      </c>
      <c r="DN134" s="367">
        <f>IFERROR(DA134/Instructions!$J$25,0)+DB134*Instructions!$J$27+DC134*Instructions!$J$29+IFERROR(DD134/Instructions!$E$34,0)+DE134*Instructions!$E$36+Tier!DF134*Instructions!$E$25+IFERROR(DG134/Instructions!$E$27,0)+DH134*Instructions!$E$29+IFERROR((DI134+DK134)/Instructions!$J$32,0)+(DJ134+DL134)*Instructions!$J$34+Tier!DM134*-2</f>
        <v>294.60000000000002</v>
      </c>
    </row>
    <row r="135" spans="1:118" s="366" customFormat="1" ht="15.75" customHeight="1" x14ac:dyDescent="0.25">
      <c r="A135" s="238"/>
      <c r="B135" s="238"/>
      <c r="C135" s="354"/>
      <c r="D135" s="365"/>
      <c r="F135" s="238">
        <v>2018</v>
      </c>
      <c r="G135" s="367">
        <f>LARGE($BI$134:$BI$165,2)</f>
        <v>350.96000000000004</v>
      </c>
      <c r="H135" s="355">
        <f>G135-$J$144</f>
        <v>72.360000000000014</v>
      </c>
      <c r="I135" s="356">
        <f t="shared" si="84"/>
        <v>5235.9696000000022</v>
      </c>
      <c r="J135" s="356">
        <f>AVERAGE(I134:INDEX(I134:I165,Instructions!$E$11*Instructions!$E$15,1))</f>
        <v>2850.0912999999987</v>
      </c>
      <c r="K135" s="356">
        <f t="shared" ref="K135:K165" si="86">H135/$J$134</f>
        <v>4.5225000000000009</v>
      </c>
      <c r="L135" s="238">
        <f t="shared" ref="L135:L165" si="87">IF(K135&gt;6,0,
IF(AND(K135&lt;=6,K135&gt;5),1,
IF(AND(K135&lt;=5,K135&gt;4),2,
IF(AND(K135&lt;=4,K135&gt;3),3,
IF(AND(K135&lt;=3,K135&gt;2),4,
IF(AND(K135&lt;=2,K135&gt;1),5,
IF(AND(K135&lt;=1,K135&gt;0),6,
IF(AND(K135&lt;=0,K135&gt;-1),7,
8))))))))</f>
        <v>2</v>
      </c>
      <c r="M135" s="354"/>
      <c r="N135" s="372"/>
      <c r="O135" s="372"/>
      <c r="P135" s="366">
        <v>2014</v>
      </c>
      <c r="Q135" s="367">
        <f>LARGE($CB$2:$CB$151,134)</f>
        <v>8</v>
      </c>
      <c r="R135" s="357">
        <f t="shared" si="77"/>
        <v>-156.6</v>
      </c>
      <c r="S135" s="356">
        <f t="shared" si="76"/>
        <v>24523.559999999998</v>
      </c>
      <c r="T135" s="238"/>
      <c r="U135" s="356">
        <f t="shared" si="79"/>
        <v>-9.7874999999999996</v>
      </c>
      <c r="V135" s="238">
        <f t="shared" si="80"/>
        <v>8</v>
      </c>
      <c r="W135" s="354"/>
      <c r="X135" s="371"/>
      <c r="Y135" s="371"/>
      <c r="Z135" s="321">
        <v>2014</v>
      </c>
      <c r="AA135" s="367">
        <f>LARGE($CU$2:$CU$151,134)</f>
        <v>29.7</v>
      </c>
      <c r="AB135" s="357">
        <f t="shared" si="81"/>
        <v>-188.03333333333336</v>
      </c>
      <c r="AC135" s="356">
        <f t="shared" si="78"/>
        <v>35356.534444444456</v>
      </c>
      <c r="AD135" s="356"/>
      <c r="AE135" s="356">
        <f t="shared" si="82"/>
        <v>-11.752083333333335</v>
      </c>
      <c r="AF135" s="238">
        <f t="shared" si="83"/>
        <v>8</v>
      </c>
      <c r="AG135" s="354"/>
      <c r="AJ135" s="238">
        <v>2018</v>
      </c>
      <c r="AK135" s="367">
        <f>LARGE($DN$134:$DN$165,2)</f>
        <v>280.3</v>
      </c>
      <c r="AL135" s="373">
        <f t="shared" ref="AL135:AL165" si="88">AK135-$AN$144</f>
        <v>149.70000000000002</v>
      </c>
      <c r="AM135" s="374">
        <f t="shared" si="85"/>
        <v>22410.090000000004</v>
      </c>
      <c r="AN135" s="374">
        <f>AVERAGE(AM134:INDEX(Tier!M134:M165,Instructions!$E$11,1))</f>
        <v>4664.9628602430557</v>
      </c>
      <c r="AO135" s="374">
        <f t="shared" ref="AO135:AO165" si="89">AL135/$AN$134</f>
        <v>9.3562500000000011</v>
      </c>
      <c r="AP135" s="238">
        <f t="shared" si="70"/>
        <v>0</v>
      </c>
      <c r="AQ135" s="354"/>
      <c r="AR135" s="238">
        <v>2018</v>
      </c>
      <c r="AS135" t="s">
        <v>38</v>
      </c>
      <c r="AT135" t="s">
        <v>1929</v>
      </c>
      <c r="AU135" s="366" t="s">
        <v>1</v>
      </c>
      <c r="AV135" s="418">
        <v>4924</v>
      </c>
      <c r="AW135" s="440">
        <v>35</v>
      </c>
      <c r="AX135" s="440">
        <v>7</v>
      </c>
      <c r="AY135" s="440">
        <v>125</v>
      </c>
      <c r="AZ135" s="440">
        <v>3</v>
      </c>
      <c r="BA135" s="238">
        <v>1</v>
      </c>
      <c r="BB135" s="238">
        <v>5</v>
      </c>
      <c r="BC135" s="238">
        <v>1</v>
      </c>
      <c r="BD135" s="238">
        <v>0</v>
      </c>
      <c r="BE135" s="238">
        <v>0</v>
      </c>
      <c r="BF135" s="238">
        <v>0</v>
      </c>
      <c r="BG135" s="238">
        <v>0</v>
      </c>
      <c r="BH135" s="238">
        <v>5</v>
      </c>
      <c r="BI135" s="367">
        <f>IFERROR(AV135/Instructions!$J$25,0)+AW135*Instructions!$J$27+AX135*Instructions!$J$29+IFERROR(AY135/Instructions!$E$34,0)+AZ135*Instructions!$E$36+Tier!BA135*Instructions!$E$25+IFERROR(BB135/Instructions!$E$27,0)+BC135*Instructions!$E$29+IFERROR((BD135+BF135)/Instructions!$J$32,0)+(BE135+BG135)*Instructions!$J$34+BH135*-2</f>
        <v>350.96000000000004</v>
      </c>
      <c r="BJ135" s="354"/>
      <c r="BK135" s="366">
        <v>2014</v>
      </c>
      <c r="BL135" s="370" t="s">
        <v>185</v>
      </c>
      <c r="BM135" s="372" t="s">
        <v>1628</v>
      </c>
      <c r="BN135" s="372" t="s">
        <v>3</v>
      </c>
      <c r="BO135" s="372">
        <v>0</v>
      </c>
      <c r="BP135" s="372">
        <v>0</v>
      </c>
      <c r="BQ135" s="372">
        <v>0</v>
      </c>
      <c r="BR135" s="372">
        <v>38</v>
      </c>
      <c r="BS135" s="372">
        <v>0</v>
      </c>
      <c r="BT135" s="372">
        <v>5</v>
      </c>
      <c r="BU135" s="372">
        <v>23</v>
      </c>
      <c r="BV135" s="372">
        <v>0</v>
      </c>
      <c r="BW135" s="372">
        <v>0</v>
      </c>
      <c r="BX135" s="372">
        <v>0</v>
      </c>
      <c r="BY135" s="372">
        <v>0</v>
      </c>
      <c r="BZ135" s="372">
        <v>0</v>
      </c>
      <c r="CA135" s="372">
        <v>0</v>
      </c>
      <c r="CB135" s="367">
        <f>IFERROR(BO135/Instructions!$J$25,0)+BP135*Instructions!$J$27+BQ135*Instructions!$J$29+IFERROR(BR135/Instructions!$E$34,0)+BS135*Instructions!$E$36+Tier!BT136*Instructions!$E$25+IFERROR(BU135/Instructions!$E$27,0)+BV135*Instructions!$E$29+IFERROR((BW135+BY135)/Instructions!$J$32,0)+(BX135+BZ135)*Instructions!$J$34+Tier!CA135*-2</f>
        <v>9.1</v>
      </c>
      <c r="CC135" s="354"/>
      <c r="CD135" s="321">
        <v>2014</v>
      </c>
      <c r="CE135" s="370" t="s">
        <v>1223</v>
      </c>
      <c r="CF135" s="371" t="s">
        <v>164</v>
      </c>
      <c r="CG135" s="371" t="s">
        <v>6</v>
      </c>
      <c r="CH135" s="371">
        <v>0</v>
      </c>
      <c r="CI135" s="371">
        <v>0</v>
      </c>
      <c r="CJ135" s="371">
        <v>0</v>
      </c>
      <c r="CK135" s="371">
        <v>20</v>
      </c>
      <c r="CL135" s="371">
        <v>1</v>
      </c>
      <c r="CM135" s="371">
        <v>8</v>
      </c>
      <c r="CN135" s="371">
        <v>167</v>
      </c>
      <c r="CO135" s="371">
        <v>0</v>
      </c>
      <c r="CP135" s="371">
        <v>0</v>
      </c>
      <c r="CQ135" s="371">
        <v>0</v>
      </c>
      <c r="CR135" s="371">
        <v>8</v>
      </c>
      <c r="CS135" s="371">
        <v>0</v>
      </c>
      <c r="CT135" s="371">
        <v>0</v>
      </c>
      <c r="CU135" s="367">
        <f>IFERROR(CH135/Instructions!$J$25,0)+CI135*Instructions!$J$27+CJ135*Instructions!$J$29+IFERROR(CK135/Instructions!$E$34,0)+CL135*Instructions!$E$36+Tier!CM135*Instructions!$E$25+IFERROR(CN135/Instructions!$E$27,0)+CO135*Instructions!$E$29+IFERROR((CP135+CR135)/Instructions!$J$32,0)+(CQ135+CS135)*Instructions!$J$34+Tier!CT135*-2</f>
        <v>32.700000000000003</v>
      </c>
      <c r="CV135" s="354"/>
      <c r="CW135" s="238">
        <v>2018</v>
      </c>
      <c r="CX135" t="s">
        <v>1451</v>
      </c>
      <c r="CY135" s="3" t="s">
        <v>155</v>
      </c>
      <c r="CZ135" s="366" t="s">
        <v>7</v>
      </c>
      <c r="DA135" s="366">
        <v>0</v>
      </c>
      <c r="DB135" s="366">
        <v>0</v>
      </c>
      <c r="DC135" s="366">
        <v>0</v>
      </c>
      <c r="DD135" s="366">
        <v>10</v>
      </c>
      <c r="DE135" s="366">
        <v>0</v>
      </c>
      <c r="DF135">
        <v>88</v>
      </c>
      <c r="DG135" s="418">
        <v>1377</v>
      </c>
      <c r="DH135">
        <v>5</v>
      </c>
      <c r="DI135" s="366">
        <v>0</v>
      </c>
      <c r="DJ135" s="366">
        <v>0</v>
      </c>
      <c r="DK135" s="366">
        <v>0</v>
      </c>
      <c r="DL135" s="366">
        <v>0</v>
      </c>
      <c r="DM135" s="366">
        <v>0</v>
      </c>
      <c r="DN135" s="367">
        <f>IFERROR(DA135/Instructions!$J$25,0)+DB135*Instructions!$J$27+DC135*Instructions!$J$29+IFERROR(DD135/Instructions!$E$34,0)+DE135*Instructions!$E$36+Tier!DF135*Instructions!$E$25+IFERROR(DG135/Instructions!$E$27,0)+DH135*Instructions!$E$29+IFERROR((DI135+DK135)/Instructions!$J$32,0)+(DJ135+DL135)*Instructions!$J$34+Tier!DM135*-2</f>
        <v>256.7</v>
      </c>
    </row>
    <row r="136" spans="1:118" s="366" customFormat="1" ht="15.75" customHeight="1" x14ac:dyDescent="0.25">
      <c r="A136" s="238"/>
      <c r="B136" s="238"/>
      <c r="C136" s="354"/>
      <c r="D136" s="365"/>
      <c r="F136" s="238">
        <v>2018</v>
      </c>
      <c r="G136" s="367">
        <f>LARGE($BI$134:$BI$165,3)</f>
        <v>333.85999999999996</v>
      </c>
      <c r="H136" s="355">
        <f t="shared" ref="H136:H165" si="90">G136-$J$144</f>
        <v>55.259999999999934</v>
      </c>
      <c r="I136" s="356">
        <f t="shared" si="84"/>
        <v>3053.6675999999925</v>
      </c>
      <c r="J136" s="356"/>
      <c r="K136" s="356">
        <f t="shared" si="86"/>
        <v>3.4537499999999959</v>
      </c>
      <c r="L136" s="238">
        <f t="shared" si="87"/>
        <v>3</v>
      </c>
      <c r="M136" s="354"/>
      <c r="N136" s="372"/>
      <c r="O136" s="372"/>
      <c r="P136" s="366">
        <v>2014</v>
      </c>
      <c r="Q136" s="367">
        <f>LARGE($CB$2:$CB$151,135)</f>
        <v>7.8</v>
      </c>
      <c r="R136" s="357">
        <f t="shared" si="77"/>
        <v>-156.79999999999998</v>
      </c>
      <c r="S136" s="356">
        <f t="shared" si="76"/>
        <v>24586.239999999994</v>
      </c>
      <c r="T136" s="238"/>
      <c r="U136" s="356">
        <f t="shared" si="79"/>
        <v>-9.7999999999999989</v>
      </c>
      <c r="V136" s="238">
        <f t="shared" si="80"/>
        <v>8</v>
      </c>
      <c r="W136" s="354"/>
      <c r="X136" s="371"/>
      <c r="Y136" s="371"/>
      <c r="Z136" s="321">
        <v>2014</v>
      </c>
      <c r="AA136" s="367">
        <f>LARGE($CU$2:$CU$151,135)</f>
        <v>28.2</v>
      </c>
      <c r="AB136" s="357">
        <f t="shared" si="81"/>
        <v>-189.53333333333336</v>
      </c>
      <c r="AC136" s="356">
        <f t="shared" si="78"/>
        <v>35922.884444444455</v>
      </c>
      <c r="AD136" s="356"/>
      <c r="AE136" s="356">
        <f t="shared" si="82"/>
        <v>-11.845833333333335</v>
      </c>
      <c r="AF136" s="238">
        <f t="shared" si="83"/>
        <v>8</v>
      </c>
      <c r="AG136" s="354"/>
      <c r="AJ136" s="238">
        <v>2018</v>
      </c>
      <c r="AK136" s="367">
        <f>LARGE($DN$134:$DN$165,3)</f>
        <v>256.7</v>
      </c>
      <c r="AL136" s="373">
        <f t="shared" si="88"/>
        <v>126.1</v>
      </c>
      <c r="AM136" s="374">
        <f t="shared" si="85"/>
        <v>15901.21</v>
      </c>
      <c r="AN136" s="374"/>
      <c r="AO136" s="374">
        <f t="shared" si="89"/>
        <v>7.8812499999999996</v>
      </c>
      <c r="AP136" s="238">
        <f t="shared" si="70"/>
        <v>0</v>
      </c>
      <c r="AQ136" s="354"/>
      <c r="AR136" s="238">
        <v>2018</v>
      </c>
      <c r="AS136" t="s">
        <v>59</v>
      </c>
      <c r="AT136" t="s">
        <v>1930</v>
      </c>
      <c r="AU136" s="366" t="s">
        <v>1</v>
      </c>
      <c r="AV136" s="418">
        <v>5129</v>
      </c>
      <c r="AW136" s="440">
        <v>34</v>
      </c>
      <c r="AX136" s="440">
        <v>16</v>
      </c>
      <c r="AY136" s="440">
        <v>98</v>
      </c>
      <c r="AZ136" s="440">
        <v>3</v>
      </c>
      <c r="BA136" s="238">
        <v>1</v>
      </c>
      <c r="BB136" s="238">
        <v>-1</v>
      </c>
      <c r="BC136" s="238">
        <v>0</v>
      </c>
      <c r="BD136" s="238">
        <v>0</v>
      </c>
      <c r="BE136" s="238">
        <v>0</v>
      </c>
      <c r="BF136" s="238">
        <v>0</v>
      </c>
      <c r="BG136" s="238">
        <v>0</v>
      </c>
      <c r="BH136" s="238">
        <v>2</v>
      </c>
      <c r="BI136" s="367">
        <f>IFERROR(AV136/Instructions!$J$25,0)+AW136*Instructions!$J$27+AX136*Instructions!$J$29+IFERROR(AY136/Instructions!$E$34,0)+AZ136*Instructions!$E$36+Tier!BA136*Instructions!$E$25+IFERROR(BB136/Instructions!$E$27,0)+BC136*Instructions!$E$29+IFERROR((BD136+BF136)/Instructions!$J$32,0)+(BE136+BG136)*Instructions!$J$34+BH136*-2</f>
        <v>333.85999999999996</v>
      </c>
      <c r="BJ136" s="354"/>
      <c r="BK136" s="366">
        <v>2014</v>
      </c>
      <c r="BL136" s="370" t="s">
        <v>1281</v>
      </c>
      <c r="BM136" s="372" t="s">
        <v>162</v>
      </c>
      <c r="BN136" s="372" t="s">
        <v>3</v>
      </c>
      <c r="BO136" s="372">
        <v>0</v>
      </c>
      <c r="BP136" s="372">
        <v>0</v>
      </c>
      <c r="BQ136" s="372">
        <v>0</v>
      </c>
      <c r="BR136" s="372">
        <v>12</v>
      </c>
      <c r="BS136" s="372">
        <v>0</v>
      </c>
      <c r="BT136" s="372">
        <v>3</v>
      </c>
      <c r="BU136" s="372">
        <v>27</v>
      </c>
      <c r="BV136" s="372">
        <v>0</v>
      </c>
      <c r="BW136" s="372">
        <v>0</v>
      </c>
      <c r="BX136" s="372">
        <v>0</v>
      </c>
      <c r="BY136" s="372">
        <v>41</v>
      </c>
      <c r="BZ136" s="372">
        <v>0</v>
      </c>
      <c r="CA136" s="372">
        <v>0</v>
      </c>
      <c r="CB136" s="367">
        <f>IFERROR(BO136/Instructions!$J$25,0)+BP136*Instructions!$J$27+BQ136*Instructions!$J$29+IFERROR(BR136/Instructions!$E$34,0)+BS136*Instructions!$E$36+Tier!BT137*Instructions!$E$25+IFERROR(BU136/Instructions!$E$27,0)+BV136*Instructions!$E$29+IFERROR((BW136+BY136)/Instructions!$J$32,0)+(BX136+BZ136)*Instructions!$J$34+Tier!CA136*-2</f>
        <v>5.9</v>
      </c>
      <c r="CC136" s="354"/>
      <c r="CD136" s="321">
        <v>2014</v>
      </c>
      <c r="CE136" s="370" t="s">
        <v>1680</v>
      </c>
      <c r="CF136" s="371" t="s">
        <v>158</v>
      </c>
      <c r="CG136" s="371" t="s">
        <v>6</v>
      </c>
      <c r="CH136" s="371">
        <v>0</v>
      </c>
      <c r="CI136" s="371">
        <v>0</v>
      </c>
      <c r="CJ136" s="371">
        <v>0</v>
      </c>
      <c r="CK136" s="371">
        <v>0</v>
      </c>
      <c r="CL136" s="371">
        <v>0</v>
      </c>
      <c r="CM136" s="371">
        <v>2</v>
      </c>
      <c r="CN136" s="371">
        <v>23</v>
      </c>
      <c r="CO136" s="371">
        <v>0</v>
      </c>
      <c r="CP136" s="371">
        <v>187</v>
      </c>
      <c r="CQ136" s="371">
        <v>0</v>
      </c>
      <c r="CR136" s="371">
        <v>379</v>
      </c>
      <c r="CS136" s="371">
        <v>0</v>
      </c>
      <c r="CT136" s="371">
        <v>0</v>
      </c>
      <c r="CU136" s="367">
        <f>IFERROR(CH136/Instructions!$J$25,0)+CI136*Instructions!$J$27+CJ136*Instructions!$J$29+IFERROR(CK136/Instructions!$E$34,0)+CL136*Instructions!$E$36+Tier!CM136*Instructions!$E$25+IFERROR(CN136/Instructions!$E$27,0)+CO136*Instructions!$E$29+IFERROR((CP136+CR136)/Instructions!$J$32,0)+(CQ136+CS136)*Instructions!$J$34+Tier!CT136*-2</f>
        <v>4.3</v>
      </c>
      <c r="CV136" s="354"/>
      <c r="CW136" s="238">
        <v>2018</v>
      </c>
      <c r="CX136" t="s">
        <v>48</v>
      </c>
      <c r="CY136" s="3" t="s">
        <v>1943</v>
      </c>
      <c r="CZ136" s="366" t="s">
        <v>7</v>
      </c>
      <c r="DA136" s="366">
        <v>0</v>
      </c>
      <c r="DB136" s="366">
        <v>0</v>
      </c>
      <c r="DC136" s="366">
        <v>0</v>
      </c>
      <c r="DD136" s="366">
        <v>0</v>
      </c>
      <c r="DE136" s="366">
        <v>0</v>
      </c>
      <c r="DF136">
        <v>116</v>
      </c>
      <c r="DG136">
        <v>1163</v>
      </c>
      <c r="DH136">
        <v>8</v>
      </c>
      <c r="DI136" s="366">
        <v>0</v>
      </c>
      <c r="DJ136" s="366">
        <v>0</v>
      </c>
      <c r="DK136" s="366">
        <v>0</v>
      </c>
      <c r="DL136" s="366">
        <v>0</v>
      </c>
      <c r="DM136" s="366">
        <v>0</v>
      </c>
      <c r="DN136" s="367">
        <f>IFERROR(DA136/Instructions!$J$25,0)+DB136*Instructions!$J$27+DC136*Instructions!$J$29+IFERROR(DD136/Instructions!$E$34,0)+DE136*Instructions!$E$36+Tier!DF136*Instructions!$E$25+IFERROR(DG136/Instructions!$E$27,0)+DH136*Instructions!$E$29+IFERROR((DI136+DK136)/Instructions!$J$32,0)+(DJ136+DL136)*Instructions!$J$34+Tier!DM136*-2</f>
        <v>280.3</v>
      </c>
    </row>
    <row r="137" spans="1:118" s="366" customFormat="1" ht="15.75" customHeight="1" x14ac:dyDescent="0.25">
      <c r="A137" s="238"/>
      <c r="B137" s="238"/>
      <c r="C137" s="354"/>
      <c r="D137" s="365"/>
      <c r="F137" s="238">
        <v>2018</v>
      </c>
      <c r="G137" s="367">
        <f>LARGE($BI$134:$BI$165,4)</f>
        <v>331.70000000000005</v>
      </c>
      <c r="H137" s="355">
        <f t="shared" si="90"/>
        <v>53.100000000000023</v>
      </c>
      <c r="I137" s="356">
        <f t="shared" si="84"/>
        <v>2819.6100000000024</v>
      </c>
      <c r="J137" s="356">
        <f>J138+J134</f>
        <v>390.6</v>
      </c>
      <c r="K137" s="356">
        <f t="shared" si="86"/>
        <v>3.3187500000000014</v>
      </c>
      <c r="L137" s="238">
        <f t="shared" si="87"/>
        <v>3</v>
      </c>
      <c r="M137" s="354"/>
      <c r="N137" s="372"/>
      <c r="O137" s="372"/>
      <c r="P137" s="366">
        <v>2014</v>
      </c>
      <c r="Q137" s="367">
        <f>LARGE($CB$2:$CB$151,136)</f>
        <v>7.1</v>
      </c>
      <c r="R137" s="357">
        <f t="shared" si="77"/>
        <v>-157.5</v>
      </c>
      <c r="S137" s="356">
        <f t="shared" si="76"/>
        <v>24806.25</v>
      </c>
      <c r="T137" s="238"/>
      <c r="U137" s="356">
        <f t="shared" si="79"/>
        <v>-9.84375</v>
      </c>
      <c r="V137" s="238">
        <f t="shared" si="80"/>
        <v>8</v>
      </c>
      <c r="W137" s="354"/>
      <c r="X137" s="371"/>
      <c r="Y137" s="371"/>
      <c r="Z137" s="321">
        <v>2014</v>
      </c>
      <c r="AA137" s="367">
        <f>LARGE($CU$2:$CU$151,136)</f>
        <v>28.1</v>
      </c>
      <c r="AB137" s="357">
        <f t="shared" si="81"/>
        <v>-189.63333333333335</v>
      </c>
      <c r="AC137" s="356">
        <f t="shared" si="78"/>
        <v>35960.801111111119</v>
      </c>
      <c r="AD137" s="356"/>
      <c r="AE137" s="356">
        <f t="shared" si="82"/>
        <v>-11.852083333333335</v>
      </c>
      <c r="AF137" s="238">
        <f t="shared" si="83"/>
        <v>8</v>
      </c>
      <c r="AG137" s="354"/>
      <c r="AJ137" s="238">
        <v>2018</v>
      </c>
      <c r="AK137" s="367">
        <f>LARGE($DN$134:$DN$165,4)</f>
        <v>222.2</v>
      </c>
      <c r="AL137" s="373">
        <f t="shared" si="88"/>
        <v>91.6</v>
      </c>
      <c r="AM137" s="374">
        <f t="shared" si="85"/>
        <v>8390.56</v>
      </c>
      <c r="AN137" s="356">
        <f>AN138+AN134</f>
        <v>242.6</v>
      </c>
      <c r="AO137" s="374">
        <f t="shared" si="89"/>
        <v>5.7249999999999996</v>
      </c>
      <c r="AP137" s="238">
        <f t="shared" si="70"/>
        <v>1</v>
      </c>
      <c r="AQ137" s="354"/>
      <c r="AR137" s="238">
        <v>2018</v>
      </c>
      <c r="AS137" t="s">
        <v>20</v>
      </c>
      <c r="AT137" t="s">
        <v>1931</v>
      </c>
      <c r="AU137" s="366" t="s">
        <v>1</v>
      </c>
      <c r="AV137" s="418">
        <v>4593</v>
      </c>
      <c r="AW137" s="440">
        <v>39</v>
      </c>
      <c r="AX137" s="440">
        <v>15</v>
      </c>
      <c r="AY137" s="440">
        <v>148</v>
      </c>
      <c r="AZ137" s="440">
        <v>0</v>
      </c>
      <c r="BA137" s="238">
        <v>1</v>
      </c>
      <c r="BB137" s="238">
        <v>4</v>
      </c>
      <c r="BC137" s="238">
        <v>0</v>
      </c>
      <c r="BD137" s="238">
        <v>0</v>
      </c>
      <c r="BE137" s="238">
        <v>0</v>
      </c>
      <c r="BF137" s="238">
        <v>0</v>
      </c>
      <c r="BG137" s="238">
        <v>0</v>
      </c>
      <c r="BH137" s="238">
        <v>1</v>
      </c>
      <c r="BI137" s="367">
        <f>IFERROR(AV137/Instructions!$J$25,0)+AW137*Instructions!$J$27+AX137*Instructions!$J$29+IFERROR(AY137/Instructions!$E$34,0)+AZ137*Instructions!$E$36+Tier!BA137*Instructions!$E$25+IFERROR(BB137/Instructions!$E$27,0)+BC137*Instructions!$E$29+IFERROR((BD137+BF137)/Instructions!$J$32,0)+(BE137+BG137)*Instructions!$J$34+BH137*-2</f>
        <v>323.92</v>
      </c>
      <c r="BJ137" s="354"/>
      <c r="BK137" s="366">
        <v>2014</v>
      </c>
      <c r="BL137" s="370" t="s">
        <v>1153</v>
      </c>
      <c r="BM137" s="372" t="s">
        <v>163</v>
      </c>
      <c r="BN137" s="372" t="s">
        <v>3</v>
      </c>
      <c r="BO137" s="372">
        <v>0</v>
      </c>
      <c r="BP137" s="372">
        <v>0</v>
      </c>
      <c r="BQ137" s="372">
        <v>0</v>
      </c>
      <c r="BR137" s="372">
        <v>0</v>
      </c>
      <c r="BS137" s="372">
        <v>0</v>
      </c>
      <c r="BT137" s="372">
        <v>2</v>
      </c>
      <c r="BU137" s="372">
        <v>11</v>
      </c>
      <c r="BV137" s="372">
        <v>0</v>
      </c>
      <c r="BW137" s="372">
        <v>0</v>
      </c>
      <c r="BX137" s="372">
        <v>0</v>
      </c>
      <c r="BY137" s="372">
        <v>110</v>
      </c>
      <c r="BZ137" s="372">
        <v>0</v>
      </c>
      <c r="CA137" s="372">
        <v>0</v>
      </c>
      <c r="CB137" s="367">
        <f>IFERROR(BO137/Instructions!$J$25,0)+BP137*Instructions!$J$27+BQ137*Instructions!$J$29+IFERROR(BR137/Instructions!$E$34,0)+BS137*Instructions!$E$36+Tier!BT138*Instructions!$E$25+IFERROR(BU137/Instructions!$E$27,0)+BV137*Instructions!$E$29+IFERROR((BW137+BY137)/Instructions!$J$32,0)+(BX137+BZ137)*Instructions!$J$34+Tier!CA137*-2</f>
        <v>7.1</v>
      </c>
      <c r="CC137" s="354"/>
      <c r="CD137" s="321">
        <v>2014</v>
      </c>
      <c r="CE137" s="370" t="s">
        <v>1600</v>
      </c>
      <c r="CF137" s="371" t="s">
        <v>148</v>
      </c>
      <c r="CG137" s="371" t="s">
        <v>6</v>
      </c>
      <c r="CH137" s="371">
        <v>0</v>
      </c>
      <c r="CI137" s="371">
        <v>0</v>
      </c>
      <c r="CJ137" s="371">
        <v>0</v>
      </c>
      <c r="CK137" s="371">
        <v>0</v>
      </c>
      <c r="CL137" s="371">
        <v>0</v>
      </c>
      <c r="CM137" s="371">
        <v>10</v>
      </c>
      <c r="CN137" s="371">
        <v>102</v>
      </c>
      <c r="CO137" s="371">
        <v>2</v>
      </c>
      <c r="CP137" s="371">
        <v>0</v>
      </c>
      <c r="CQ137" s="371">
        <v>0</v>
      </c>
      <c r="CR137" s="371">
        <v>34</v>
      </c>
      <c r="CS137" s="371">
        <v>0</v>
      </c>
      <c r="CT137" s="371">
        <v>0</v>
      </c>
      <c r="CU137" s="367">
        <f>IFERROR(CH137/Instructions!$J$25,0)+CI137*Instructions!$J$27+CJ137*Instructions!$J$29+IFERROR(CK137/Instructions!$E$34,0)+CL137*Instructions!$E$36+Tier!CM137*Instructions!$E$25+IFERROR(CN137/Instructions!$E$27,0)+CO137*Instructions!$E$29+IFERROR((CP137+CR137)/Instructions!$J$32,0)+(CQ137+CS137)*Instructions!$J$34+Tier!CT137*-2</f>
        <v>32.200000000000003</v>
      </c>
      <c r="CV137" s="354"/>
      <c r="CW137" s="238">
        <v>2018</v>
      </c>
      <c r="CX137" t="s">
        <v>58</v>
      </c>
      <c r="CY137" s="3" t="s">
        <v>1931</v>
      </c>
      <c r="CZ137" s="366" t="s">
        <v>7</v>
      </c>
      <c r="DA137" s="366">
        <v>0</v>
      </c>
      <c r="DB137" s="366">
        <v>0</v>
      </c>
      <c r="DC137" s="366">
        <v>0</v>
      </c>
      <c r="DD137" s="366">
        <v>-8</v>
      </c>
      <c r="DE137" s="366">
        <v>1</v>
      </c>
      <c r="DF137">
        <v>66</v>
      </c>
      <c r="DG137">
        <v>750</v>
      </c>
      <c r="DH137">
        <v>13</v>
      </c>
      <c r="DI137" s="366">
        <v>0</v>
      </c>
      <c r="DJ137" s="366">
        <v>0</v>
      </c>
      <c r="DK137" s="366">
        <v>0</v>
      </c>
      <c r="DL137" s="366">
        <v>0</v>
      </c>
      <c r="DM137" s="366">
        <v>1</v>
      </c>
      <c r="DN137" s="367">
        <f>IFERROR(DA137/Instructions!$J$25,0)+DB137*Instructions!$J$27+DC137*Instructions!$J$29+IFERROR(DD137/Instructions!$E$34,0)+DE137*Instructions!$E$36+Tier!DF137*Instructions!$E$25+IFERROR(DG137/Instructions!$E$27,0)+DH137*Instructions!$E$29+IFERROR((DI137+DK137)/Instructions!$J$32,0)+(DJ137+DL137)*Instructions!$J$34+Tier!DM137*-2</f>
        <v>222.2</v>
      </c>
    </row>
    <row r="138" spans="1:118" s="366" customFormat="1" ht="15.75" customHeight="1" x14ac:dyDescent="0.25">
      <c r="A138" s="238"/>
      <c r="B138" s="238"/>
      <c r="C138" s="354"/>
      <c r="D138" s="365"/>
      <c r="F138" s="238">
        <v>2018</v>
      </c>
      <c r="G138" s="367">
        <f>LARGE($BI$134:$BI$165,5)</f>
        <v>323.92</v>
      </c>
      <c r="H138" s="355">
        <f t="shared" si="90"/>
        <v>45.319999999999993</v>
      </c>
      <c r="I138" s="356">
        <f t="shared" si="84"/>
        <v>2053.9023999999995</v>
      </c>
      <c r="J138" s="356">
        <f>J139+J134</f>
        <v>374.6</v>
      </c>
      <c r="K138" s="356">
        <f t="shared" si="86"/>
        <v>2.8324999999999996</v>
      </c>
      <c r="L138" s="238">
        <f t="shared" si="87"/>
        <v>4</v>
      </c>
      <c r="M138" s="354"/>
      <c r="N138" s="372"/>
      <c r="O138" s="372"/>
      <c r="P138" s="366">
        <v>2014</v>
      </c>
      <c r="Q138" s="367">
        <f>LARGE($CB$2:$CB$151,137)</f>
        <v>6.2</v>
      </c>
      <c r="R138" s="357">
        <f t="shared" si="77"/>
        <v>-158.4</v>
      </c>
      <c r="S138" s="356">
        <f t="shared" si="76"/>
        <v>25090.560000000001</v>
      </c>
      <c r="T138" s="238"/>
      <c r="U138" s="356">
        <f t="shared" si="79"/>
        <v>-9.9</v>
      </c>
      <c r="V138" s="238">
        <f t="shared" si="80"/>
        <v>8</v>
      </c>
      <c r="W138" s="354"/>
      <c r="X138" s="371"/>
      <c r="Y138" s="371"/>
      <c r="Z138" s="321">
        <v>2014</v>
      </c>
      <c r="AA138" s="367">
        <f>LARGE($CU$2:$CU$151,137)</f>
        <v>27.8</v>
      </c>
      <c r="AB138" s="357">
        <f t="shared" si="81"/>
        <v>-189.93333333333334</v>
      </c>
      <c r="AC138" s="356">
        <f t="shared" si="78"/>
        <v>36074.671111111114</v>
      </c>
      <c r="AD138" s="356"/>
      <c r="AE138" s="356">
        <f t="shared" si="82"/>
        <v>-11.870833333333334</v>
      </c>
      <c r="AF138" s="238">
        <f t="shared" si="83"/>
        <v>8</v>
      </c>
      <c r="AG138" s="354"/>
      <c r="AJ138" s="238">
        <v>2018</v>
      </c>
      <c r="AK138" s="367">
        <f>LARGE($DN$134:$DN$165,5)</f>
        <v>193.6</v>
      </c>
      <c r="AL138" s="373">
        <f t="shared" si="88"/>
        <v>63</v>
      </c>
      <c r="AM138" s="374">
        <f t="shared" si="85"/>
        <v>3969</v>
      </c>
      <c r="AN138" s="356">
        <f>AN139+AN134</f>
        <v>226.6</v>
      </c>
      <c r="AO138" s="374">
        <f t="shared" si="89"/>
        <v>3.9375</v>
      </c>
      <c r="AP138" s="238">
        <f t="shared" si="70"/>
        <v>3</v>
      </c>
      <c r="AQ138" s="354"/>
      <c r="AR138" s="238">
        <v>2018</v>
      </c>
      <c r="AS138" t="s">
        <v>1431</v>
      </c>
      <c r="AT138" t="s">
        <v>1932</v>
      </c>
      <c r="AU138" s="366" t="s">
        <v>1</v>
      </c>
      <c r="AV138" s="418">
        <v>4165</v>
      </c>
      <c r="AW138" s="440">
        <v>26</v>
      </c>
      <c r="AX138" s="440">
        <v>9</v>
      </c>
      <c r="AY138" s="440">
        <v>551</v>
      </c>
      <c r="AZ138" s="440">
        <v>5</v>
      </c>
      <c r="BA138" s="238">
        <v>0</v>
      </c>
      <c r="BB138" s="238">
        <v>0</v>
      </c>
      <c r="BC138" s="238">
        <v>0</v>
      </c>
      <c r="BD138" s="238">
        <v>0</v>
      </c>
      <c r="BE138" s="238">
        <v>0</v>
      </c>
      <c r="BF138" s="238">
        <v>0</v>
      </c>
      <c r="BG138" s="238">
        <v>0</v>
      </c>
      <c r="BH138" s="238">
        <v>3</v>
      </c>
      <c r="BI138" s="367">
        <f>IFERROR(AV138/Instructions!$J$25,0)+AW138*Instructions!$J$27+AX138*Instructions!$J$29+IFERROR(AY138/Instructions!$E$34,0)+AZ138*Instructions!$E$36+Tier!BA138*Instructions!$E$25+IFERROR(BB138/Instructions!$E$27,0)+BC138*Instructions!$E$29+IFERROR((BD138+BF138)/Instructions!$J$32,0)+(BE138+BG138)*Instructions!$J$34+BH138*-2</f>
        <v>331.70000000000005</v>
      </c>
      <c r="BJ138" s="354"/>
      <c r="BK138" s="366">
        <v>2014</v>
      </c>
      <c r="BL138" s="370" t="s">
        <v>1233</v>
      </c>
      <c r="BM138" s="372" t="s">
        <v>1628</v>
      </c>
      <c r="BN138" s="372" t="s">
        <v>3</v>
      </c>
      <c r="BO138" s="372">
        <v>0</v>
      </c>
      <c r="BP138" s="372">
        <v>0</v>
      </c>
      <c r="BQ138" s="372">
        <v>0</v>
      </c>
      <c r="BR138" s="372">
        <v>5</v>
      </c>
      <c r="BS138" s="372">
        <v>0</v>
      </c>
      <c r="BT138" s="372">
        <v>6</v>
      </c>
      <c r="BU138" s="372">
        <v>43</v>
      </c>
      <c r="BV138" s="372">
        <v>0</v>
      </c>
      <c r="BW138" s="372">
        <v>0</v>
      </c>
      <c r="BX138" s="372">
        <v>0</v>
      </c>
      <c r="BY138" s="372">
        <v>0</v>
      </c>
      <c r="BZ138" s="372">
        <v>0</v>
      </c>
      <c r="CA138" s="372">
        <v>0</v>
      </c>
      <c r="CB138" s="367">
        <f>IFERROR(BO138/Instructions!$J$25,0)+BP138*Instructions!$J$27+BQ138*Instructions!$J$29+IFERROR(BR138/Instructions!$E$34,0)+BS138*Instructions!$E$36+Tier!BT139*Instructions!$E$25+IFERROR(BU138/Instructions!$E$27,0)+BV138*Instructions!$E$29+IFERROR((BW138+BY138)/Instructions!$J$32,0)+(BX138+BZ138)*Instructions!$J$34+Tier!CA138*-2</f>
        <v>7.8</v>
      </c>
      <c r="CC138" s="354"/>
      <c r="CD138" s="321">
        <v>2014</v>
      </c>
      <c r="CE138" s="370" t="s">
        <v>1737</v>
      </c>
      <c r="CF138" s="371" t="s">
        <v>1633</v>
      </c>
      <c r="CG138" s="371" t="s">
        <v>6</v>
      </c>
      <c r="CH138" s="371">
        <v>0</v>
      </c>
      <c r="CI138" s="371">
        <v>0</v>
      </c>
      <c r="CJ138" s="371">
        <v>0</v>
      </c>
      <c r="CK138" s="371">
        <v>19</v>
      </c>
      <c r="CL138" s="371">
        <v>0</v>
      </c>
      <c r="CM138" s="371">
        <v>0</v>
      </c>
      <c r="CN138" s="371">
        <v>0</v>
      </c>
      <c r="CO138" s="371">
        <v>0</v>
      </c>
      <c r="CP138" s="371">
        <v>112</v>
      </c>
      <c r="CQ138" s="371">
        <v>0</v>
      </c>
      <c r="CR138" s="371">
        <v>416</v>
      </c>
      <c r="CS138" s="371">
        <v>0</v>
      </c>
      <c r="CT138" s="371">
        <v>0</v>
      </c>
      <c r="CU138" s="367">
        <f>IFERROR(CH138/Instructions!$J$25,0)+CI138*Instructions!$J$27+CJ138*Instructions!$J$29+IFERROR(CK138/Instructions!$E$34,0)+CL138*Instructions!$E$36+Tier!CM138*Instructions!$E$25+IFERROR(CN138/Instructions!$E$27,0)+CO138*Instructions!$E$29+IFERROR((CP138+CR138)/Instructions!$J$32,0)+(CQ138+CS138)*Instructions!$J$34+Tier!CT138*-2</f>
        <v>1.9</v>
      </c>
      <c r="CV138" s="354"/>
      <c r="CW138" s="238">
        <v>2018</v>
      </c>
      <c r="CX138" t="s">
        <v>170</v>
      </c>
      <c r="CY138" s="3" t="s">
        <v>143</v>
      </c>
      <c r="CZ138" s="366" t="s">
        <v>7</v>
      </c>
      <c r="DA138" s="366">
        <v>0</v>
      </c>
      <c r="DB138" s="366">
        <v>0</v>
      </c>
      <c r="DC138" s="366">
        <v>0</v>
      </c>
      <c r="DD138" s="366">
        <v>0</v>
      </c>
      <c r="DE138" s="366">
        <v>0</v>
      </c>
      <c r="DF138">
        <v>68</v>
      </c>
      <c r="DG138">
        <v>896</v>
      </c>
      <c r="DH138">
        <v>6</v>
      </c>
      <c r="DI138" s="366">
        <v>0</v>
      </c>
      <c r="DJ138" s="366">
        <v>0</v>
      </c>
      <c r="DK138" s="366">
        <v>0</v>
      </c>
      <c r="DL138" s="366">
        <v>0</v>
      </c>
      <c r="DM138" s="366">
        <v>0</v>
      </c>
      <c r="DN138" s="367">
        <f>IFERROR(DA138/Instructions!$J$25,0)+DB138*Instructions!$J$27+DC138*Instructions!$J$29+IFERROR(DD138/Instructions!$E$34,0)+DE138*Instructions!$E$36+Tier!DF138*Instructions!$E$25+IFERROR(DG138/Instructions!$E$27,0)+DH138*Instructions!$E$29+IFERROR((DI138+DK138)/Instructions!$J$32,0)+(DJ138+DL138)*Instructions!$J$34+Tier!DM138*-2</f>
        <v>193.6</v>
      </c>
    </row>
    <row r="139" spans="1:118" s="366" customFormat="1" ht="15.75" customHeight="1" x14ac:dyDescent="0.25">
      <c r="A139" s="238"/>
      <c r="B139" s="238"/>
      <c r="C139" s="354"/>
      <c r="D139" s="365"/>
      <c r="F139" s="238">
        <v>2018</v>
      </c>
      <c r="G139" s="367">
        <f>LARGE($BI$134:$BI$165,6)</f>
        <v>306.58</v>
      </c>
      <c r="H139" s="355">
        <f t="shared" si="90"/>
        <v>27.979999999999961</v>
      </c>
      <c r="I139" s="356">
        <f t="shared" si="84"/>
        <v>782.88039999999785</v>
      </c>
      <c r="J139" s="356">
        <f>J140+J134</f>
        <v>358.6</v>
      </c>
      <c r="K139" s="356">
        <f t="shared" si="86"/>
        <v>1.7487499999999976</v>
      </c>
      <c r="L139" s="238">
        <f t="shared" si="87"/>
        <v>5</v>
      </c>
      <c r="M139" s="354"/>
      <c r="N139" s="372"/>
      <c r="O139" s="372"/>
      <c r="P139" s="366">
        <v>2014</v>
      </c>
      <c r="Q139" s="367">
        <f>LARGE($CB$2:$CB$151,138)</f>
        <v>5.9</v>
      </c>
      <c r="R139" s="357">
        <f t="shared" si="77"/>
        <v>-158.69999999999999</v>
      </c>
      <c r="S139" s="356">
        <f t="shared" si="76"/>
        <v>25185.689999999995</v>
      </c>
      <c r="T139" s="238"/>
      <c r="U139" s="356">
        <f t="shared" si="79"/>
        <v>-9.9187499999999993</v>
      </c>
      <c r="V139" s="238">
        <f t="shared" si="80"/>
        <v>8</v>
      </c>
      <c r="W139" s="354"/>
      <c r="X139" s="371"/>
      <c r="Y139" s="371"/>
      <c r="Z139" s="321">
        <v>2014</v>
      </c>
      <c r="AA139" s="367">
        <f>LARGE($CU$2:$CU$151,138)</f>
        <v>27.7</v>
      </c>
      <c r="AB139" s="357">
        <f t="shared" si="81"/>
        <v>-190.03333333333336</v>
      </c>
      <c r="AC139" s="356">
        <f t="shared" si="78"/>
        <v>36112.667777777788</v>
      </c>
      <c r="AD139" s="356"/>
      <c r="AE139" s="356">
        <f t="shared" si="82"/>
        <v>-11.877083333333335</v>
      </c>
      <c r="AF139" s="238">
        <f t="shared" si="83"/>
        <v>8</v>
      </c>
      <c r="AG139" s="354"/>
      <c r="AJ139" s="238">
        <v>2018</v>
      </c>
      <c r="AK139" s="367">
        <f>LARGE($DN$134:$DN$165,6)</f>
        <v>161</v>
      </c>
      <c r="AL139" s="373">
        <f t="shared" si="88"/>
        <v>30.400000000000006</v>
      </c>
      <c r="AM139" s="374">
        <f t="shared" si="85"/>
        <v>924.16000000000031</v>
      </c>
      <c r="AN139" s="356">
        <f>AN140+AN134</f>
        <v>210.6</v>
      </c>
      <c r="AO139" s="374">
        <f t="shared" si="89"/>
        <v>1.9000000000000004</v>
      </c>
      <c r="AP139" s="238">
        <f t="shared" si="70"/>
        <v>5</v>
      </c>
      <c r="AQ139" s="354"/>
      <c r="AR139" s="238">
        <v>2018</v>
      </c>
      <c r="AS139" t="s">
        <v>1196</v>
      </c>
      <c r="AT139" t="s">
        <v>1389</v>
      </c>
      <c r="AU139" s="366" t="s">
        <v>1</v>
      </c>
      <c r="AV139" s="418">
        <v>4688</v>
      </c>
      <c r="AW139" s="440">
        <v>32</v>
      </c>
      <c r="AX139" s="440">
        <v>12</v>
      </c>
      <c r="AY139" s="440">
        <v>108</v>
      </c>
      <c r="AZ139" s="440">
        <v>2</v>
      </c>
      <c r="BA139" s="238">
        <v>0</v>
      </c>
      <c r="BB139" s="238">
        <v>0</v>
      </c>
      <c r="BC139" s="238">
        <v>0</v>
      </c>
      <c r="BD139" s="238">
        <v>0</v>
      </c>
      <c r="BE139" s="238">
        <v>0</v>
      </c>
      <c r="BF139" s="238">
        <v>0</v>
      </c>
      <c r="BG139" s="238">
        <v>0</v>
      </c>
      <c r="BH139" s="238">
        <v>5</v>
      </c>
      <c r="BI139" s="367">
        <f>IFERROR(AV139/Instructions!$J$25,0)+AW139*Instructions!$J$27+AX139*Instructions!$J$29+IFERROR(AY139/Instructions!$E$34,0)+AZ139*Instructions!$E$36+Tier!BA139*Instructions!$E$25+IFERROR(BB139/Instructions!$E$27,0)+BC139*Instructions!$E$29+IFERROR((BD139+BF139)/Instructions!$J$32,0)+(BE139+BG139)*Instructions!$J$34+BH139*-2</f>
        <v>304.32</v>
      </c>
      <c r="BJ139" s="354"/>
      <c r="BK139" s="366">
        <v>2014</v>
      </c>
      <c r="BL139" s="370" t="s">
        <v>1714</v>
      </c>
      <c r="BM139" s="372" t="s">
        <v>150</v>
      </c>
      <c r="BN139" s="372" t="s">
        <v>3</v>
      </c>
      <c r="BO139" s="372">
        <v>0</v>
      </c>
      <c r="BP139" s="372">
        <v>0</v>
      </c>
      <c r="BQ139" s="372">
        <v>0</v>
      </c>
      <c r="BR139" s="372">
        <v>30</v>
      </c>
      <c r="BS139" s="372">
        <v>0</v>
      </c>
      <c r="BT139" s="372">
        <v>3</v>
      </c>
      <c r="BU139" s="372">
        <v>18</v>
      </c>
      <c r="BV139" s="372">
        <v>0</v>
      </c>
      <c r="BW139" s="372">
        <v>0</v>
      </c>
      <c r="BX139" s="372">
        <v>0</v>
      </c>
      <c r="BY139" s="372">
        <v>0</v>
      </c>
      <c r="BZ139" s="372">
        <v>0</v>
      </c>
      <c r="CA139" s="372">
        <v>0</v>
      </c>
      <c r="CB139" s="367">
        <f>IFERROR(BO139/Instructions!$J$25,0)+BP139*Instructions!$J$27+BQ139*Instructions!$J$29+IFERROR(BR139/Instructions!$E$34,0)+BS139*Instructions!$E$36+Tier!BT140*Instructions!$E$25+IFERROR(BU139/Instructions!$E$27,0)+BV139*Instructions!$E$29+IFERROR((BW139+BY139)/Instructions!$J$32,0)+(BX139+BZ139)*Instructions!$J$34+Tier!CA139*-2</f>
        <v>4.8</v>
      </c>
      <c r="CC139" s="354"/>
      <c r="CD139" s="321">
        <v>2014</v>
      </c>
      <c r="CE139" s="370" t="s">
        <v>1249</v>
      </c>
      <c r="CF139" s="371" t="s">
        <v>138</v>
      </c>
      <c r="CG139" s="371" t="s">
        <v>6</v>
      </c>
      <c r="CH139" s="371">
        <v>0</v>
      </c>
      <c r="CI139" s="371">
        <v>0</v>
      </c>
      <c r="CJ139" s="371">
        <v>0</v>
      </c>
      <c r="CK139" s="371">
        <v>0</v>
      </c>
      <c r="CL139" s="371">
        <v>0</v>
      </c>
      <c r="CM139" s="371">
        <v>8</v>
      </c>
      <c r="CN139" s="371">
        <v>137</v>
      </c>
      <c r="CO139" s="371">
        <v>1</v>
      </c>
      <c r="CP139" s="371">
        <v>0</v>
      </c>
      <c r="CQ139" s="371">
        <v>0</v>
      </c>
      <c r="CR139" s="371">
        <v>33</v>
      </c>
      <c r="CS139" s="371">
        <v>0</v>
      </c>
      <c r="CT139" s="371">
        <v>0</v>
      </c>
      <c r="CU139" s="367">
        <f>IFERROR(CH139/Instructions!$J$25,0)+CI139*Instructions!$J$27+CJ139*Instructions!$J$29+IFERROR(CK139/Instructions!$E$34,0)+CL139*Instructions!$E$36+Tier!CM139*Instructions!$E$25+IFERROR(CN139/Instructions!$E$27,0)+CO139*Instructions!$E$29+IFERROR((CP139+CR139)/Instructions!$J$32,0)+(CQ139+CS139)*Instructions!$J$34+Tier!CT139*-2</f>
        <v>27.7</v>
      </c>
      <c r="CV139" s="354"/>
      <c r="CW139" s="238">
        <v>2018</v>
      </c>
      <c r="CX139" t="s">
        <v>1328</v>
      </c>
      <c r="CY139" s="3" t="s">
        <v>1937</v>
      </c>
      <c r="CZ139" s="366" t="s">
        <v>7</v>
      </c>
      <c r="DA139" s="366">
        <v>0</v>
      </c>
      <c r="DB139" s="366">
        <v>0</v>
      </c>
      <c r="DC139" s="366">
        <v>0</v>
      </c>
      <c r="DD139" s="366">
        <v>2</v>
      </c>
      <c r="DE139" s="366">
        <v>0</v>
      </c>
      <c r="DF139">
        <v>54</v>
      </c>
      <c r="DG139">
        <v>569</v>
      </c>
      <c r="DH139">
        <v>6</v>
      </c>
      <c r="DI139" s="366">
        <v>0</v>
      </c>
      <c r="DJ139" s="366">
        <v>0</v>
      </c>
      <c r="DK139" s="366">
        <v>0</v>
      </c>
      <c r="DL139" s="366">
        <v>0</v>
      </c>
      <c r="DM139" s="366">
        <v>1</v>
      </c>
      <c r="DN139" s="367">
        <f>IFERROR(DA139/Instructions!$J$25,0)+DB139*Instructions!$J$27+DC139*Instructions!$J$29+IFERROR(DD139/Instructions!$E$34,0)+DE139*Instructions!$E$36+Tier!DF139*Instructions!$E$25+IFERROR(DG139/Instructions!$E$27,0)+DH139*Instructions!$E$29+IFERROR((DI139+DK139)/Instructions!$J$32,0)+(DJ139+DL139)*Instructions!$J$34+Tier!DM139*-2</f>
        <v>145.1</v>
      </c>
    </row>
    <row r="140" spans="1:118" s="366" customFormat="1" ht="15.75" customHeight="1" x14ac:dyDescent="0.25">
      <c r="A140" s="238"/>
      <c r="B140" s="238"/>
      <c r="C140" s="354"/>
      <c r="D140" s="365"/>
      <c r="F140" s="238">
        <v>2018</v>
      </c>
      <c r="G140" s="367">
        <f>LARGE($BI$134:$BI$165,7)</f>
        <v>304.32</v>
      </c>
      <c r="H140" s="355">
        <f t="shared" si="90"/>
        <v>25.71999999999997</v>
      </c>
      <c r="I140" s="356">
        <f t="shared" si="84"/>
        <v>661.51839999999845</v>
      </c>
      <c r="J140" s="356">
        <f>J141+J134</f>
        <v>342.6</v>
      </c>
      <c r="K140" s="356">
        <f t="shared" si="86"/>
        <v>1.6074999999999982</v>
      </c>
      <c r="L140" s="238">
        <f t="shared" si="87"/>
        <v>5</v>
      </c>
      <c r="M140" s="354"/>
      <c r="N140" s="372"/>
      <c r="O140" s="372"/>
      <c r="P140" s="366">
        <v>2014</v>
      </c>
      <c r="Q140" s="367">
        <f>LARGE($CB$2:$CB$151,139)</f>
        <v>5.2</v>
      </c>
      <c r="R140" s="357">
        <f t="shared" si="77"/>
        <v>-159.4</v>
      </c>
      <c r="S140" s="356">
        <f t="shared" si="76"/>
        <v>25408.36</v>
      </c>
      <c r="T140" s="238"/>
      <c r="U140" s="356">
        <f t="shared" si="79"/>
        <v>-9.9625000000000004</v>
      </c>
      <c r="V140" s="238">
        <f t="shared" si="80"/>
        <v>8</v>
      </c>
      <c r="W140" s="354"/>
      <c r="X140" s="371"/>
      <c r="Y140" s="371"/>
      <c r="Z140" s="321">
        <v>2014</v>
      </c>
      <c r="AA140" s="367">
        <f>LARGE($CU$2:$CU$151,139)</f>
        <v>27.5</v>
      </c>
      <c r="AB140" s="357">
        <f t="shared" si="81"/>
        <v>-190.23333333333335</v>
      </c>
      <c r="AC140" s="356">
        <f t="shared" si="78"/>
        <v>36188.721111111117</v>
      </c>
      <c r="AD140" s="356"/>
      <c r="AE140" s="356">
        <f t="shared" si="82"/>
        <v>-11.889583333333334</v>
      </c>
      <c r="AF140" s="238">
        <f t="shared" si="83"/>
        <v>8</v>
      </c>
      <c r="AG140" s="354"/>
      <c r="AJ140" s="238">
        <v>2018</v>
      </c>
      <c r="AK140" s="367">
        <f>LARGE($DN$134:$DN$165,7)</f>
        <v>151.4</v>
      </c>
      <c r="AL140" s="373">
        <f t="shared" si="88"/>
        <v>20.800000000000011</v>
      </c>
      <c r="AM140" s="374">
        <f t="shared" si="85"/>
        <v>432.6400000000005</v>
      </c>
      <c r="AN140" s="356">
        <f>AN141+AN134</f>
        <v>194.6</v>
      </c>
      <c r="AO140" s="374">
        <f t="shared" si="89"/>
        <v>1.3000000000000007</v>
      </c>
      <c r="AP140" s="238">
        <f t="shared" si="70"/>
        <v>5</v>
      </c>
      <c r="AQ140" s="354"/>
      <c r="AR140" s="238">
        <v>2018</v>
      </c>
      <c r="AS140" t="s">
        <v>13</v>
      </c>
      <c r="AT140" t="s">
        <v>139</v>
      </c>
      <c r="AU140" s="366" t="s">
        <v>1</v>
      </c>
      <c r="AV140" s="418">
        <v>4442</v>
      </c>
      <c r="AW140" s="440">
        <v>25</v>
      </c>
      <c r="AX140" s="440">
        <v>2</v>
      </c>
      <c r="AY140" s="440">
        <v>269</v>
      </c>
      <c r="AZ140" s="440">
        <v>2</v>
      </c>
      <c r="BA140" s="238">
        <v>0</v>
      </c>
      <c r="BB140" s="238">
        <v>0</v>
      </c>
      <c r="BC140" s="238">
        <v>0</v>
      </c>
      <c r="BD140" s="238">
        <v>0</v>
      </c>
      <c r="BE140" s="238">
        <v>0</v>
      </c>
      <c r="BF140" s="238">
        <v>0</v>
      </c>
      <c r="BG140" s="238">
        <v>0</v>
      </c>
      <c r="BH140" s="238">
        <v>3</v>
      </c>
      <c r="BI140" s="367">
        <f>IFERROR(AV140/Instructions!$J$25,0)+AW140*Instructions!$J$27+AX140*Instructions!$J$29+IFERROR(AY140/Instructions!$E$34,0)+AZ140*Instructions!$E$36+Tier!BA140*Instructions!$E$25+IFERROR(BB140/Instructions!$E$27,0)+BC140*Instructions!$E$29+IFERROR((BD140+BF140)/Instructions!$J$32,0)+(BE140+BG140)*Instructions!$J$34+BH140*-2</f>
        <v>306.58</v>
      </c>
      <c r="BJ140" s="354"/>
      <c r="BK140" s="366">
        <v>2014</v>
      </c>
      <c r="BL140" s="370" t="s">
        <v>1227</v>
      </c>
      <c r="BM140" s="372" t="s">
        <v>138</v>
      </c>
      <c r="BN140" s="372" t="s">
        <v>3</v>
      </c>
      <c r="BO140" s="372">
        <v>0</v>
      </c>
      <c r="BP140" s="372">
        <v>0</v>
      </c>
      <c r="BQ140" s="372">
        <v>0</v>
      </c>
      <c r="BR140" s="372">
        <v>27</v>
      </c>
      <c r="BS140" s="372">
        <v>0</v>
      </c>
      <c r="BT140" s="372">
        <v>0</v>
      </c>
      <c r="BU140" s="372">
        <v>0</v>
      </c>
      <c r="BV140" s="372">
        <v>0</v>
      </c>
      <c r="BW140" s="372">
        <v>0</v>
      </c>
      <c r="BX140" s="372">
        <v>0</v>
      </c>
      <c r="BY140" s="372">
        <v>36</v>
      </c>
      <c r="BZ140" s="372">
        <v>0</v>
      </c>
      <c r="CA140" s="372">
        <v>0</v>
      </c>
      <c r="CB140" s="367">
        <f>IFERROR(BO140/Instructions!$J$25,0)+BP140*Instructions!$J$27+BQ140*Instructions!$J$29+IFERROR(BR140/Instructions!$E$34,0)+BS140*Instructions!$E$36+Tier!BT141*Instructions!$E$25+IFERROR(BU140/Instructions!$E$27,0)+BV140*Instructions!$E$29+IFERROR((BW140+BY140)/Instructions!$J$32,0)+(BX140+BZ140)*Instructions!$J$34+Tier!CA140*-2</f>
        <v>8.6999999999999993</v>
      </c>
      <c r="CC140" s="354"/>
      <c r="CD140" s="321">
        <v>2014</v>
      </c>
      <c r="CE140" s="370" t="s">
        <v>1164</v>
      </c>
      <c r="CF140" s="371" t="s">
        <v>156</v>
      </c>
      <c r="CG140" s="371" t="s">
        <v>6</v>
      </c>
      <c r="CH140" s="371">
        <v>0</v>
      </c>
      <c r="CI140" s="371">
        <v>0</v>
      </c>
      <c r="CJ140" s="371">
        <v>0</v>
      </c>
      <c r="CK140" s="371">
        <v>0</v>
      </c>
      <c r="CL140" s="371">
        <v>0</v>
      </c>
      <c r="CM140" s="371">
        <v>8</v>
      </c>
      <c r="CN140" s="371">
        <v>142</v>
      </c>
      <c r="CO140" s="371">
        <v>1</v>
      </c>
      <c r="CP140" s="371">
        <v>0</v>
      </c>
      <c r="CQ140" s="371">
        <v>0</v>
      </c>
      <c r="CR140" s="371">
        <v>0</v>
      </c>
      <c r="CS140" s="371">
        <v>0</v>
      </c>
      <c r="CT140" s="371">
        <v>0</v>
      </c>
      <c r="CU140" s="367">
        <f>IFERROR(CH140/Instructions!$J$25,0)+CI140*Instructions!$J$27+CJ140*Instructions!$J$29+IFERROR(CK140/Instructions!$E$34,0)+CL140*Instructions!$E$36+Tier!CM140*Instructions!$E$25+IFERROR(CN140/Instructions!$E$27,0)+CO140*Instructions!$E$29+IFERROR((CP140+CR140)/Instructions!$J$32,0)+(CQ140+CS140)*Instructions!$J$34+Tier!CT140*-2</f>
        <v>28.2</v>
      </c>
      <c r="CV140" s="354"/>
      <c r="CW140" s="238">
        <v>2018</v>
      </c>
      <c r="CX140" t="s">
        <v>1205</v>
      </c>
      <c r="CY140" s="3" t="s">
        <v>1929</v>
      </c>
      <c r="CZ140" s="366" t="s">
        <v>7</v>
      </c>
      <c r="DA140" s="366">
        <v>0</v>
      </c>
      <c r="DB140" s="366">
        <v>0</v>
      </c>
      <c r="DC140" s="366">
        <v>0</v>
      </c>
      <c r="DD140" s="366">
        <v>0</v>
      </c>
      <c r="DE140" s="366">
        <v>0</v>
      </c>
      <c r="DF140">
        <v>71</v>
      </c>
      <c r="DG140">
        <v>660</v>
      </c>
      <c r="DH140">
        <v>4</v>
      </c>
      <c r="DI140" s="366">
        <v>0</v>
      </c>
      <c r="DJ140" s="366">
        <v>0</v>
      </c>
      <c r="DK140" s="366">
        <v>0</v>
      </c>
      <c r="DL140" s="366">
        <v>0</v>
      </c>
      <c r="DM140" s="366">
        <v>0</v>
      </c>
      <c r="DN140" s="367">
        <f>IFERROR(DA140/Instructions!$J$25,0)+DB140*Instructions!$J$27+DC140*Instructions!$J$29+IFERROR(DD140/Instructions!$E$34,0)+DE140*Instructions!$E$36+Tier!DF140*Instructions!$E$25+IFERROR(DG140/Instructions!$E$27,0)+DH140*Instructions!$E$29+IFERROR((DI140+DK140)/Instructions!$J$32,0)+(DJ140+DL140)*Instructions!$J$34+Tier!DM140*-2</f>
        <v>161</v>
      </c>
    </row>
    <row r="141" spans="1:118" s="366" customFormat="1" ht="15.75" customHeight="1" x14ac:dyDescent="0.25">
      <c r="A141" s="238"/>
      <c r="B141" s="238"/>
      <c r="C141" s="354"/>
      <c r="D141" s="365"/>
      <c r="F141" s="238">
        <v>2018</v>
      </c>
      <c r="G141" s="367">
        <f>LARGE($BI$134:$BI$165,8)</f>
        <v>302.98</v>
      </c>
      <c r="H141" s="355">
        <f t="shared" si="90"/>
        <v>24.379999999999995</v>
      </c>
      <c r="I141" s="356">
        <f t="shared" si="84"/>
        <v>594.3843999999998</v>
      </c>
      <c r="J141" s="356">
        <f>J142+J134</f>
        <v>326.60000000000002</v>
      </c>
      <c r="K141" s="356">
        <f t="shared" si="86"/>
        <v>1.5237499999999997</v>
      </c>
      <c r="L141" s="238">
        <f t="shared" si="87"/>
        <v>5</v>
      </c>
      <c r="M141" s="354"/>
      <c r="N141" s="372"/>
      <c r="O141" s="372"/>
      <c r="P141" s="366">
        <v>2014</v>
      </c>
      <c r="Q141" s="367">
        <f>LARGE($CB$2:$CB$151,140)</f>
        <v>5.0999999999999996</v>
      </c>
      <c r="R141" s="357">
        <f t="shared" si="77"/>
        <v>-159.5</v>
      </c>
      <c r="S141" s="356">
        <f t="shared" si="76"/>
        <v>25440.25</v>
      </c>
      <c r="T141" s="238"/>
      <c r="U141" s="356">
        <f t="shared" si="79"/>
        <v>-9.96875</v>
      </c>
      <c r="V141" s="238">
        <f t="shared" si="80"/>
        <v>8</v>
      </c>
      <c r="W141" s="354"/>
      <c r="X141" s="371"/>
      <c r="Y141" s="371"/>
      <c r="Z141" s="321">
        <v>2014</v>
      </c>
      <c r="AA141" s="367">
        <f>LARGE($CU$2:$CU$151,140)</f>
        <v>26</v>
      </c>
      <c r="AB141" s="357">
        <f t="shared" si="81"/>
        <v>-191.73333333333335</v>
      </c>
      <c r="AC141" s="356">
        <f t="shared" si="78"/>
        <v>36761.671111111114</v>
      </c>
      <c r="AD141" s="356"/>
      <c r="AE141" s="356">
        <f t="shared" si="82"/>
        <v>-11.983333333333334</v>
      </c>
      <c r="AF141" s="238">
        <f t="shared" si="83"/>
        <v>8</v>
      </c>
      <c r="AG141" s="354"/>
      <c r="AJ141" s="238">
        <v>2018</v>
      </c>
      <c r="AK141" s="367">
        <f>LARGE($DN$134:$DN$165,8)</f>
        <v>145.1</v>
      </c>
      <c r="AL141" s="373">
        <f t="shared" si="88"/>
        <v>14.5</v>
      </c>
      <c r="AM141" s="374">
        <f t="shared" si="85"/>
        <v>210.25</v>
      </c>
      <c r="AN141" s="356">
        <f>AN142+AN134</f>
        <v>178.6</v>
      </c>
      <c r="AO141" s="374">
        <f t="shared" si="89"/>
        <v>0.90625</v>
      </c>
      <c r="AP141" s="238">
        <f t="shared" si="70"/>
        <v>6</v>
      </c>
      <c r="AQ141" s="354"/>
      <c r="AR141" s="238">
        <v>2018</v>
      </c>
      <c r="AS141" t="s">
        <v>16</v>
      </c>
      <c r="AT141" t="s">
        <v>143</v>
      </c>
      <c r="AU141" s="366" t="s">
        <v>1</v>
      </c>
      <c r="AV141" s="418">
        <v>3992</v>
      </c>
      <c r="AW141" s="440">
        <v>32</v>
      </c>
      <c r="AX141" s="440">
        <v>5</v>
      </c>
      <c r="AY141" s="440">
        <v>22</v>
      </c>
      <c r="AZ141" s="440">
        <v>4</v>
      </c>
      <c r="BA141" s="238">
        <v>1</v>
      </c>
      <c r="BB141" s="238">
        <v>1</v>
      </c>
      <c r="BC141" s="238">
        <v>0</v>
      </c>
      <c r="BD141" s="238">
        <v>0</v>
      </c>
      <c r="BE141" s="238">
        <v>0</v>
      </c>
      <c r="BF141" s="238">
        <v>0</v>
      </c>
      <c r="BG141" s="238">
        <v>0</v>
      </c>
      <c r="BH141" s="238">
        <v>1</v>
      </c>
      <c r="BI141" s="367">
        <f>IFERROR(AV141/Instructions!$J$25,0)+AW141*Instructions!$J$27+AX141*Instructions!$J$29+IFERROR(AY141/Instructions!$E$34,0)+AZ141*Instructions!$E$36+Tier!BA141*Instructions!$E$25+IFERROR(BB141/Instructions!$E$27,0)+BC141*Instructions!$E$29+IFERROR((BD141+BF141)/Instructions!$J$32,0)+(BE141+BG141)*Instructions!$J$34+BH141*-2</f>
        <v>302.98</v>
      </c>
      <c r="BJ141" s="354"/>
      <c r="BK141" s="366">
        <v>2014</v>
      </c>
      <c r="BL141" s="370" t="s">
        <v>1229</v>
      </c>
      <c r="BM141" s="372" t="s">
        <v>147</v>
      </c>
      <c r="BN141" s="372" t="s">
        <v>3</v>
      </c>
      <c r="BO141" s="372">
        <v>0</v>
      </c>
      <c r="BP141" s="372">
        <v>0</v>
      </c>
      <c r="BQ141" s="372">
        <v>0</v>
      </c>
      <c r="BR141" s="372">
        <v>0</v>
      </c>
      <c r="BS141" s="372">
        <v>0</v>
      </c>
      <c r="BT141" s="372">
        <v>6</v>
      </c>
      <c r="BU141" s="372">
        <v>41</v>
      </c>
      <c r="BV141" s="372">
        <v>0</v>
      </c>
      <c r="BW141" s="372">
        <v>0</v>
      </c>
      <c r="BX141" s="372">
        <v>0</v>
      </c>
      <c r="BY141" s="372">
        <v>0</v>
      </c>
      <c r="BZ141" s="372">
        <v>0</v>
      </c>
      <c r="CA141" s="372">
        <v>0</v>
      </c>
      <c r="CB141" s="367">
        <f>IFERROR(BO141/Instructions!$J$25,0)+BP141*Instructions!$J$27+BQ141*Instructions!$J$29+IFERROR(BR141/Instructions!$E$34,0)+BS141*Instructions!$E$36+Tier!BT142*Instructions!$E$25+IFERROR(BU141/Instructions!$E$27,0)+BV141*Instructions!$E$29+IFERROR((BW141+BY141)/Instructions!$J$32,0)+(BX141+BZ141)*Instructions!$J$34+Tier!CA141*-2</f>
        <v>5.0999999999999996</v>
      </c>
      <c r="CC141" s="354"/>
      <c r="CD141" s="321">
        <v>2014</v>
      </c>
      <c r="CE141" s="370" t="s">
        <v>1738</v>
      </c>
      <c r="CF141" s="371" t="s">
        <v>164</v>
      </c>
      <c r="CG141" s="371" t="s">
        <v>6</v>
      </c>
      <c r="CH141" s="371">
        <v>0</v>
      </c>
      <c r="CI141" s="371">
        <v>0</v>
      </c>
      <c r="CJ141" s="371">
        <v>0</v>
      </c>
      <c r="CK141" s="371">
        <v>0</v>
      </c>
      <c r="CL141" s="371">
        <v>0</v>
      </c>
      <c r="CM141" s="371">
        <v>3</v>
      </c>
      <c r="CN141" s="371">
        <v>87</v>
      </c>
      <c r="CO141" s="371">
        <v>1</v>
      </c>
      <c r="CP141" s="371">
        <v>0</v>
      </c>
      <c r="CQ141" s="371">
        <v>0</v>
      </c>
      <c r="CR141" s="371">
        <v>113</v>
      </c>
      <c r="CS141" s="371">
        <v>0</v>
      </c>
      <c r="CT141" s="371">
        <v>0</v>
      </c>
      <c r="CU141" s="367">
        <f>IFERROR(CH141/Instructions!$J$25,0)+CI141*Instructions!$J$27+CJ141*Instructions!$J$29+IFERROR(CK141/Instructions!$E$34,0)+CL141*Instructions!$E$36+Tier!CM141*Instructions!$E$25+IFERROR(CN141/Instructions!$E$27,0)+CO141*Instructions!$E$29+IFERROR((CP141+CR141)/Instructions!$J$32,0)+(CQ141+CS141)*Instructions!$J$34+Tier!CT141*-2</f>
        <v>17.7</v>
      </c>
      <c r="CV141" s="354"/>
      <c r="CW141" s="238">
        <v>2018</v>
      </c>
      <c r="CX141" t="s">
        <v>1424</v>
      </c>
      <c r="CY141" s="3" t="s">
        <v>1938</v>
      </c>
      <c r="CZ141" s="366" t="s">
        <v>7</v>
      </c>
      <c r="DA141" s="366">
        <v>0</v>
      </c>
      <c r="DB141" s="366">
        <v>0</v>
      </c>
      <c r="DC141" s="366">
        <v>0</v>
      </c>
      <c r="DD141" s="366">
        <v>0</v>
      </c>
      <c r="DE141" s="366">
        <v>0</v>
      </c>
      <c r="DF141">
        <v>56</v>
      </c>
      <c r="DG141">
        <v>639</v>
      </c>
      <c r="DH141">
        <v>4</v>
      </c>
      <c r="DI141" s="366">
        <v>0</v>
      </c>
      <c r="DJ141" s="366">
        <v>0</v>
      </c>
      <c r="DK141" s="366">
        <v>0</v>
      </c>
      <c r="DL141" s="366">
        <v>0</v>
      </c>
      <c r="DM141" s="366">
        <v>0</v>
      </c>
      <c r="DN141" s="367">
        <f>IFERROR(DA141/Instructions!$J$25,0)+DB141*Instructions!$J$27+DC141*Instructions!$J$29+IFERROR(DD141/Instructions!$E$34,0)+DE141*Instructions!$E$36+Tier!DF141*Instructions!$E$25+IFERROR(DG141/Instructions!$E$27,0)+DH141*Instructions!$E$29+IFERROR((DI141+DK141)/Instructions!$J$32,0)+(DJ141+DL141)*Instructions!$J$34+Tier!DM141*-2</f>
        <v>143.9</v>
      </c>
    </row>
    <row r="142" spans="1:118" s="366" customFormat="1" ht="15.75" customHeight="1" x14ac:dyDescent="0.25">
      <c r="A142" s="238"/>
      <c r="B142" s="238"/>
      <c r="C142" s="354"/>
      <c r="D142" s="365"/>
      <c r="F142" s="238">
        <v>2018</v>
      </c>
      <c r="G142" s="367">
        <f>LARGE($BI$134:$BI$165,9)</f>
        <v>297.41999999999996</v>
      </c>
      <c r="H142" s="355">
        <f t="shared" si="90"/>
        <v>18.819999999999936</v>
      </c>
      <c r="I142" s="356">
        <f t="shared" si="84"/>
        <v>354.19239999999758</v>
      </c>
      <c r="J142" s="356">
        <f>J143+J134</f>
        <v>310.60000000000002</v>
      </c>
      <c r="K142" s="356">
        <f t="shared" si="86"/>
        <v>1.176249999999996</v>
      </c>
      <c r="L142" s="238">
        <f t="shared" si="87"/>
        <v>5</v>
      </c>
      <c r="M142" s="354"/>
      <c r="N142" s="372"/>
      <c r="O142" s="372"/>
      <c r="P142" s="366">
        <v>2014</v>
      </c>
      <c r="Q142" s="367">
        <f>LARGE($CB$2:$CB$151,141)</f>
        <v>4.8</v>
      </c>
      <c r="R142" s="357">
        <f t="shared" si="77"/>
        <v>-159.79999999999998</v>
      </c>
      <c r="S142" s="356">
        <f t="shared" si="76"/>
        <v>25536.039999999994</v>
      </c>
      <c r="T142" s="238"/>
      <c r="U142" s="356">
        <f t="shared" si="79"/>
        <v>-9.9874999999999989</v>
      </c>
      <c r="V142" s="238">
        <f t="shared" si="80"/>
        <v>8</v>
      </c>
      <c r="W142" s="354"/>
      <c r="X142" s="371"/>
      <c r="Y142" s="371"/>
      <c r="Z142" s="321">
        <v>2014</v>
      </c>
      <c r="AA142" s="367">
        <f>LARGE($CU$2:$CU$151,141)</f>
        <v>23.2</v>
      </c>
      <c r="AB142" s="357">
        <f t="shared" si="81"/>
        <v>-194.53333333333336</v>
      </c>
      <c r="AC142" s="356">
        <f t="shared" si="78"/>
        <v>37843.217777777791</v>
      </c>
      <c r="AD142" s="356"/>
      <c r="AE142" s="356">
        <f t="shared" si="82"/>
        <v>-12.158333333333335</v>
      </c>
      <c r="AF142" s="238">
        <f t="shared" si="83"/>
        <v>8</v>
      </c>
      <c r="AG142" s="354"/>
      <c r="AJ142" s="238">
        <v>2018</v>
      </c>
      <c r="AK142" s="367">
        <f>LARGE($DN$134:$DN$165,9)</f>
        <v>143.9</v>
      </c>
      <c r="AL142" s="373">
        <f t="shared" si="88"/>
        <v>13.300000000000011</v>
      </c>
      <c r="AM142" s="374">
        <f t="shared" si="85"/>
        <v>176.8900000000003</v>
      </c>
      <c r="AN142" s="356">
        <f>AN143+AN134</f>
        <v>162.6</v>
      </c>
      <c r="AO142" s="374">
        <f t="shared" si="89"/>
        <v>0.83125000000000071</v>
      </c>
      <c r="AP142" s="238">
        <f t="shared" si="70"/>
        <v>6</v>
      </c>
      <c r="AQ142" s="354"/>
      <c r="AR142" s="238">
        <v>2018</v>
      </c>
      <c r="AS142" t="s">
        <v>45</v>
      </c>
      <c r="AT142" t="s">
        <v>1933</v>
      </c>
      <c r="AU142" s="366" t="s">
        <v>1</v>
      </c>
      <c r="AV142" s="418">
        <v>3448</v>
      </c>
      <c r="AW142" s="440">
        <v>35</v>
      </c>
      <c r="AX142" s="440">
        <v>7</v>
      </c>
      <c r="AY142" s="440">
        <v>376</v>
      </c>
      <c r="AZ142" s="440">
        <v>0</v>
      </c>
      <c r="BA142" s="238">
        <v>1</v>
      </c>
      <c r="BB142" s="238">
        <v>-11</v>
      </c>
      <c r="BC142" s="238">
        <v>0</v>
      </c>
      <c r="BD142" s="238">
        <v>0</v>
      </c>
      <c r="BE142" s="238">
        <v>0</v>
      </c>
      <c r="BF142" s="238">
        <v>0</v>
      </c>
      <c r="BG142" s="238">
        <v>0</v>
      </c>
      <c r="BH142" s="238">
        <v>2</v>
      </c>
      <c r="BI142" s="367">
        <f>IFERROR(AV142/Instructions!$J$25,0)+AW142*Instructions!$J$27+AX142*Instructions!$J$29+IFERROR(AY142/Instructions!$E$34,0)+AZ142*Instructions!$E$36+Tier!BA142*Instructions!$E$25+IFERROR(BB142/Instructions!$E$27,0)+BC142*Instructions!$E$29+IFERROR((BD142+BF142)/Instructions!$J$32,0)+(BE142+BG142)*Instructions!$J$34+BH142*-2</f>
        <v>297.41999999999996</v>
      </c>
      <c r="BJ142" s="354"/>
      <c r="BK142" s="366">
        <v>2014</v>
      </c>
      <c r="BL142" s="370" t="s">
        <v>1332</v>
      </c>
      <c r="BM142" s="372" t="s">
        <v>141</v>
      </c>
      <c r="BN142" s="372" t="s">
        <v>3</v>
      </c>
      <c r="BO142" s="372">
        <v>0</v>
      </c>
      <c r="BP142" s="372">
        <v>0</v>
      </c>
      <c r="BQ142" s="372">
        <v>0</v>
      </c>
      <c r="BR142" s="372">
        <v>0</v>
      </c>
      <c r="BS142" s="372">
        <v>0</v>
      </c>
      <c r="BT142" s="372">
        <v>1</v>
      </c>
      <c r="BU142" s="372">
        <v>-1</v>
      </c>
      <c r="BV142" s="372">
        <v>0</v>
      </c>
      <c r="BW142" s="372">
        <v>0</v>
      </c>
      <c r="BX142" s="372">
        <v>0</v>
      </c>
      <c r="BY142" s="372">
        <v>88</v>
      </c>
      <c r="BZ142" s="372">
        <v>0</v>
      </c>
      <c r="CA142" s="372">
        <v>0</v>
      </c>
      <c r="CB142" s="367">
        <f>IFERROR(BO142/Instructions!$J$25,0)+BP142*Instructions!$J$27+BQ142*Instructions!$J$29+IFERROR(BR142/Instructions!$E$34,0)+BS142*Instructions!$E$36+Tier!BT143*Instructions!$E$25+IFERROR(BU142/Instructions!$E$27,0)+BV142*Instructions!$E$29+IFERROR((BW142+BY142)/Instructions!$J$32,0)+(BX142+BZ142)*Instructions!$J$34+Tier!CA142*-2</f>
        <v>1.9</v>
      </c>
      <c r="CC142" s="354"/>
      <c r="CD142" s="321">
        <v>2014</v>
      </c>
      <c r="CE142" s="370" t="s">
        <v>235</v>
      </c>
      <c r="CF142" s="371" t="s">
        <v>1627</v>
      </c>
      <c r="CG142" s="371" t="s">
        <v>6</v>
      </c>
      <c r="CH142" s="371">
        <v>0</v>
      </c>
      <c r="CI142" s="371">
        <v>0</v>
      </c>
      <c r="CJ142" s="371">
        <v>0</v>
      </c>
      <c r="CK142" s="371">
        <v>0</v>
      </c>
      <c r="CL142" s="371">
        <v>0</v>
      </c>
      <c r="CM142" s="371">
        <v>22</v>
      </c>
      <c r="CN142" s="371">
        <v>190</v>
      </c>
      <c r="CO142" s="371">
        <v>0</v>
      </c>
      <c r="CP142" s="371">
        <v>0</v>
      </c>
      <c r="CQ142" s="371">
        <v>0</v>
      </c>
      <c r="CR142" s="371">
        <v>0</v>
      </c>
      <c r="CS142" s="371">
        <v>0</v>
      </c>
      <c r="CT142" s="371">
        <v>0</v>
      </c>
      <c r="CU142" s="367">
        <f>IFERROR(CH142/Instructions!$J$25,0)+CI142*Instructions!$J$27+CJ142*Instructions!$J$29+IFERROR(CK142/Instructions!$E$34,0)+CL142*Instructions!$E$36+Tier!CM142*Instructions!$E$25+IFERROR(CN142/Instructions!$E$27,0)+CO142*Instructions!$E$29+IFERROR((CP142+CR142)/Instructions!$J$32,0)+(CQ142+CS142)*Instructions!$J$34+Tier!CT142*-2</f>
        <v>41</v>
      </c>
      <c r="CV142" s="354"/>
      <c r="CW142" s="238">
        <v>2018</v>
      </c>
      <c r="CX142" t="s">
        <v>41</v>
      </c>
      <c r="CY142" s="3" t="s">
        <v>1934</v>
      </c>
      <c r="CZ142" s="366" t="s">
        <v>7</v>
      </c>
      <c r="DA142" s="366">
        <v>0</v>
      </c>
      <c r="DB142" s="366">
        <v>0</v>
      </c>
      <c r="DC142" s="366">
        <v>0</v>
      </c>
      <c r="DD142" s="366">
        <v>0</v>
      </c>
      <c r="DE142" s="366">
        <v>0</v>
      </c>
      <c r="DF142">
        <v>64</v>
      </c>
      <c r="DG142">
        <v>634</v>
      </c>
      <c r="DH142">
        <v>4</v>
      </c>
      <c r="DI142" s="366">
        <v>0</v>
      </c>
      <c r="DJ142" s="366">
        <v>0</v>
      </c>
      <c r="DK142" s="366">
        <v>0</v>
      </c>
      <c r="DL142" s="366">
        <v>0</v>
      </c>
      <c r="DM142" s="366">
        <v>0</v>
      </c>
      <c r="DN142" s="367">
        <f>IFERROR(DA142/Instructions!$J$25,0)+DB142*Instructions!$J$27+DC142*Instructions!$J$29+IFERROR(DD142/Instructions!$E$34,0)+DE142*Instructions!$E$36+Tier!DF142*Instructions!$E$25+IFERROR(DG142/Instructions!$E$27,0)+DH142*Instructions!$E$29+IFERROR((DI142+DK142)/Instructions!$J$32,0)+(DJ142+DL142)*Instructions!$J$34+Tier!DM142*-2</f>
        <v>151.4</v>
      </c>
    </row>
    <row r="143" spans="1:118" s="366" customFormat="1" ht="15.75" customHeight="1" x14ac:dyDescent="0.25">
      <c r="A143" s="238"/>
      <c r="B143" s="238"/>
      <c r="C143" s="354"/>
      <c r="D143" s="365"/>
      <c r="F143" s="238">
        <v>2018</v>
      </c>
      <c r="G143" s="367">
        <f>LARGE($BI$134:$BI$165,10)</f>
        <v>281.89999999999998</v>
      </c>
      <c r="H143" s="355">
        <f t="shared" si="90"/>
        <v>3.2999999999999545</v>
      </c>
      <c r="I143" s="356">
        <f t="shared" si="84"/>
        <v>10.8899999999997</v>
      </c>
      <c r="J143" s="356">
        <f>J144+J134</f>
        <v>294.60000000000002</v>
      </c>
      <c r="K143" s="356">
        <f t="shared" si="86"/>
        <v>0.20624999999999716</v>
      </c>
      <c r="L143" s="238">
        <f t="shared" si="87"/>
        <v>6</v>
      </c>
      <c r="M143" s="354"/>
      <c r="N143" s="372"/>
      <c r="O143" s="372"/>
      <c r="P143" s="366">
        <v>2014</v>
      </c>
      <c r="Q143" s="367">
        <f>LARGE($CB$2:$CB$151,142)</f>
        <v>4.3</v>
      </c>
      <c r="R143" s="357">
        <f t="shared" si="77"/>
        <v>-160.29999999999998</v>
      </c>
      <c r="S143" s="356">
        <f t="shared" si="76"/>
        <v>25696.089999999993</v>
      </c>
      <c r="T143" s="238"/>
      <c r="U143" s="356">
        <f t="shared" si="79"/>
        <v>-10.018749999999999</v>
      </c>
      <c r="V143" s="238">
        <f t="shared" si="80"/>
        <v>8</v>
      </c>
      <c r="W143" s="354"/>
      <c r="X143" s="371"/>
      <c r="Y143" s="371"/>
      <c r="Z143" s="321">
        <v>2014</v>
      </c>
      <c r="AA143" s="367">
        <f>LARGE($CU$2:$CU$151,142)</f>
        <v>22.5</v>
      </c>
      <c r="AB143" s="357">
        <f t="shared" si="81"/>
        <v>-195.23333333333335</v>
      </c>
      <c r="AC143" s="356">
        <f t="shared" si="78"/>
        <v>38116.054444444453</v>
      </c>
      <c r="AD143" s="356"/>
      <c r="AE143" s="356">
        <f t="shared" si="82"/>
        <v>-12.202083333333334</v>
      </c>
      <c r="AF143" s="238">
        <f t="shared" si="83"/>
        <v>8</v>
      </c>
      <c r="AG143" s="354"/>
      <c r="AJ143" s="238">
        <v>2018</v>
      </c>
      <c r="AK143" s="367">
        <f>LARGE($DN$134:$DN$165,10)</f>
        <v>133</v>
      </c>
      <c r="AL143" s="373">
        <f t="shared" si="88"/>
        <v>2.4000000000000057</v>
      </c>
      <c r="AM143" s="374">
        <f t="shared" si="85"/>
        <v>5.7600000000000273</v>
      </c>
      <c r="AN143" s="356">
        <f>AN144+AN134</f>
        <v>146.6</v>
      </c>
      <c r="AO143" s="374">
        <f t="shared" si="89"/>
        <v>0.15000000000000036</v>
      </c>
      <c r="AP143" s="238">
        <f t="shared" si="70"/>
        <v>6</v>
      </c>
      <c r="AQ143" s="354"/>
      <c r="AR143" s="238">
        <v>2018</v>
      </c>
      <c r="AS143" t="s">
        <v>51</v>
      </c>
      <c r="AT143" t="s">
        <v>1388</v>
      </c>
      <c r="AU143" s="366" t="s">
        <v>1</v>
      </c>
      <c r="AV143" s="418">
        <v>4308</v>
      </c>
      <c r="AW143" s="440">
        <v>32</v>
      </c>
      <c r="AX143" s="440">
        <v>12</v>
      </c>
      <c r="AY143" s="440">
        <v>7</v>
      </c>
      <c r="AZ143" s="440">
        <v>0</v>
      </c>
      <c r="BA143" s="238">
        <v>0</v>
      </c>
      <c r="BB143" s="238">
        <v>0</v>
      </c>
      <c r="BC143" s="238">
        <v>0</v>
      </c>
      <c r="BD143" s="238">
        <v>0</v>
      </c>
      <c r="BE143" s="238">
        <v>0</v>
      </c>
      <c r="BF143" s="238">
        <v>0</v>
      </c>
      <c r="BG143" s="238">
        <v>0</v>
      </c>
      <c r="BH143" s="238">
        <v>1</v>
      </c>
      <c r="BI143" s="367">
        <f>IFERROR(AV143/Instructions!$J$25,0)+AW143*Instructions!$J$27+AX143*Instructions!$J$29+IFERROR(AY143/Instructions!$E$34,0)+AZ143*Instructions!$E$36+Tier!BA143*Instructions!$E$25+IFERROR(BB143/Instructions!$E$27,0)+BC143*Instructions!$E$29+IFERROR((BD143+BF143)/Instructions!$J$32,0)+(BE143+BG143)*Instructions!$J$34+BH143*-2</f>
        <v>275.02</v>
      </c>
      <c r="BJ143" s="354"/>
      <c r="BK143" s="366">
        <v>2014</v>
      </c>
      <c r="BL143" s="370" t="s">
        <v>1606</v>
      </c>
      <c r="BM143" s="372" t="s">
        <v>164</v>
      </c>
      <c r="BN143" s="372" t="s">
        <v>3</v>
      </c>
      <c r="BO143" s="372">
        <v>0</v>
      </c>
      <c r="BP143" s="372">
        <v>0</v>
      </c>
      <c r="BQ143" s="372">
        <v>0</v>
      </c>
      <c r="BR143" s="372">
        <v>3</v>
      </c>
      <c r="BS143" s="372">
        <v>0</v>
      </c>
      <c r="BT143" s="372">
        <v>2</v>
      </c>
      <c r="BU143" s="372">
        <v>30</v>
      </c>
      <c r="BV143" s="372">
        <v>0</v>
      </c>
      <c r="BW143" s="372">
        <v>0</v>
      </c>
      <c r="BX143" s="372">
        <v>0</v>
      </c>
      <c r="BY143" s="372">
        <v>0</v>
      </c>
      <c r="BZ143" s="372">
        <v>0</v>
      </c>
      <c r="CA143" s="372">
        <v>0</v>
      </c>
      <c r="CB143" s="367">
        <f>IFERROR(BO143/Instructions!$J$25,0)+BP143*Instructions!$J$27+BQ143*Instructions!$J$29+IFERROR(BR143/Instructions!$E$34,0)+BS143*Instructions!$E$36+Tier!BT144*Instructions!$E$25+IFERROR(BU143/Instructions!$E$27,0)+BV143*Instructions!$E$29+IFERROR((BW143+BY143)/Instructions!$J$32,0)+(BX143+BZ143)*Instructions!$J$34+Tier!CA143*-2</f>
        <v>4.3</v>
      </c>
      <c r="CC143" s="354"/>
      <c r="CD143" s="321">
        <v>2014</v>
      </c>
      <c r="CE143" s="370" t="s">
        <v>198</v>
      </c>
      <c r="CF143" s="371" t="s">
        <v>141</v>
      </c>
      <c r="CG143" s="371" t="s">
        <v>6</v>
      </c>
      <c r="CH143" s="371">
        <v>0</v>
      </c>
      <c r="CI143" s="371">
        <v>0</v>
      </c>
      <c r="CJ143" s="371">
        <v>0</v>
      </c>
      <c r="CK143" s="371">
        <v>0</v>
      </c>
      <c r="CL143" s="371">
        <v>0</v>
      </c>
      <c r="CM143" s="371">
        <v>17</v>
      </c>
      <c r="CN143" s="371">
        <v>140</v>
      </c>
      <c r="CO143" s="371">
        <v>1</v>
      </c>
      <c r="CP143" s="371">
        <v>0</v>
      </c>
      <c r="CQ143" s="371">
        <v>0</v>
      </c>
      <c r="CR143" s="371">
        <v>0</v>
      </c>
      <c r="CS143" s="371">
        <v>0</v>
      </c>
      <c r="CT143" s="371">
        <v>0</v>
      </c>
      <c r="CU143" s="367">
        <f>IFERROR(CH143/Instructions!$J$25,0)+CI143*Instructions!$J$27+CJ143*Instructions!$J$29+IFERROR(CK143/Instructions!$E$34,0)+CL143*Instructions!$E$36+Tier!CM143*Instructions!$E$25+IFERROR(CN143/Instructions!$E$27,0)+CO143*Instructions!$E$29+IFERROR((CP143+CR143)/Instructions!$J$32,0)+(CQ143+CS143)*Instructions!$J$34+Tier!CT143*-2</f>
        <v>37</v>
      </c>
      <c r="CV143" s="354"/>
      <c r="CW143" s="238">
        <v>2018</v>
      </c>
      <c r="CX143" t="s">
        <v>1411</v>
      </c>
      <c r="CY143" s="3" t="s">
        <v>149</v>
      </c>
      <c r="CZ143" s="366" t="s">
        <v>7</v>
      </c>
      <c r="DA143" s="366">
        <v>0</v>
      </c>
      <c r="DB143" s="366">
        <v>0</v>
      </c>
      <c r="DC143" s="366">
        <v>0</v>
      </c>
      <c r="DD143" s="366">
        <v>0</v>
      </c>
      <c r="DE143" s="366">
        <v>0</v>
      </c>
      <c r="DF143">
        <v>34</v>
      </c>
      <c r="DG143">
        <v>565</v>
      </c>
      <c r="DH143">
        <v>5</v>
      </c>
      <c r="DI143" s="366">
        <v>0</v>
      </c>
      <c r="DJ143" s="366">
        <v>0</v>
      </c>
      <c r="DK143" s="366">
        <v>0</v>
      </c>
      <c r="DL143" s="366">
        <v>0</v>
      </c>
      <c r="DM143" s="366">
        <v>0</v>
      </c>
      <c r="DN143" s="367">
        <f>IFERROR(DA143/Instructions!$J$25,0)+DB143*Instructions!$J$27+DC143*Instructions!$J$29+IFERROR(DD143/Instructions!$E$34,0)+DE143*Instructions!$E$36+Tier!DF143*Instructions!$E$25+IFERROR(DG143/Instructions!$E$27,0)+DH143*Instructions!$E$29+IFERROR((DI143+DK143)/Instructions!$J$32,0)+(DJ143+DL143)*Instructions!$J$34+Tier!DM143*-2</f>
        <v>120.5</v>
      </c>
    </row>
    <row r="144" spans="1:118" s="366" customFormat="1" ht="15.75" customHeight="1" x14ac:dyDescent="0.25">
      <c r="A144" s="238"/>
      <c r="B144" s="238"/>
      <c r="C144" s="354"/>
      <c r="D144" s="365"/>
      <c r="F144" s="238">
        <v>2018</v>
      </c>
      <c r="G144" s="367">
        <f>LARGE($BI$134:$BI$165,11)</f>
        <v>281.3</v>
      </c>
      <c r="H144" s="355">
        <f t="shared" si="90"/>
        <v>2.6999999999999886</v>
      </c>
      <c r="I144" s="356">
        <f t="shared" si="84"/>
        <v>7.2899999999999388</v>
      </c>
      <c r="J144" s="481">
        <f>(INDEX($G$134:$G$165,Instructions!$E$11*Instructions!$E$15,1)
+IF(Instructions!$E$15=2,INDEX($G$134:$G$165,Instructions!$E$11,1),0))
/(Instructions!$E$15)</f>
        <v>278.60000000000002</v>
      </c>
      <c r="K144" s="356">
        <f t="shared" si="86"/>
        <v>0.16874999999999929</v>
      </c>
      <c r="L144" s="238">
        <f t="shared" si="87"/>
        <v>6</v>
      </c>
      <c r="M144" s="354"/>
      <c r="N144" s="372"/>
      <c r="O144" s="372"/>
      <c r="P144" s="366">
        <v>2014</v>
      </c>
      <c r="Q144" s="367">
        <f>LARGE($CB$2:$CB$151,143)</f>
        <v>4</v>
      </c>
      <c r="R144" s="357">
        <f t="shared" si="77"/>
        <v>-160.6</v>
      </c>
      <c r="S144" s="356">
        <f t="shared" si="76"/>
        <v>25792.359999999997</v>
      </c>
      <c r="T144" s="238"/>
      <c r="U144" s="356">
        <f t="shared" si="79"/>
        <v>-10.0375</v>
      </c>
      <c r="V144" s="238">
        <f t="shared" si="80"/>
        <v>8</v>
      </c>
      <c r="W144" s="354"/>
      <c r="X144" s="371"/>
      <c r="Y144" s="371"/>
      <c r="Z144" s="321">
        <v>2014</v>
      </c>
      <c r="AA144" s="367">
        <f>LARGE($CU$2:$CU$151,143)</f>
        <v>19.899999999999999</v>
      </c>
      <c r="AB144" s="357">
        <f t="shared" si="81"/>
        <v>-197.83333333333334</v>
      </c>
      <c r="AC144" s="356">
        <f t="shared" si="78"/>
        <v>39138.027777777781</v>
      </c>
      <c r="AD144" s="356"/>
      <c r="AE144" s="356">
        <f t="shared" si="82"/>
        <v>-12.364583333333334</v>
      </c>
      <c r="AF144" s="238">
        <f t="shared" si="83"/>
        <v>8</v>
      </c>
      <c r="AG144" s="354"/>
      <c r="AJ144" s="238">
        <v>2018</v>
      </c>
      <c r="AK144" s="367">
        <f>LARGE($DN$134:$DN$165,11)</f>
        <v>131.19999999999999</v>
      </c>
      <c r="AL144" s="373">
        <f t="shared" si="88"/>
        <v>0.59999999999999432</v>
      </c>
      <c r="AM144" s="374">
        <f t="shared" si="85"/>
        <v>0.35999999999999316</v>
      </c>
      <c r="AN144" s="481">
        <f>INDEX(Tier!AK134:AK165,Instructions!$E$11,1)</f>
        <v>130.6</v>
      </c>
      <c r="AO144" s="374">
        <f t="shared" si="89"/>
        <v>3.7499999999999645E-2</v>
      </c>
      <c r="AP144" s="238">
        <f t="shared" si="70"/>
        <v>6</v>
      </c>
      <c r="AQ144" s="354"/>
      <c r="AR144" s="238">
        <v>2018</v>
      </c>
      <c r="AS144" t="s">
        <v>177</v>
      </c>
      <c r="AT144" t="s">
        <v>1934</v>
      </c>
      <c r="AU144" s="366" t="s">
        <v>1</v>
      </c>
      <c r="AV144" s="418">
        <v>4298</v>
      </c>
      <c r="AW144" s="440">
        <v>30</v>
      </c>
      <c r="AX144" s="440">
        <v>10</v>
      </c>
      <c r="AY144" s="440">
        <v>123</v>
      </c>
      <c r="AZ144" s="440">
        <v>1</v>
      </c>
      <c r="BA144" s="238">
        <v>1</v>
      </c>
      <c r="BB144" s="238">
        <v>-1</v>
      </c>
      <c r="BC144" s="238">
        <v>0</v>
      </c>
      <c r="BD144" s="238">
        <v>0</v>
      </c>
      <c r="BE144" s="238">
        <v>0</v>
      </c>
      <c r="BF144" s="238">
        <v>0</v>
      </c>
      <c r="BG144" s="238">
        <v>0</v>
      </c>
      <c r="BH144" s="238">
        <v>7</v>
      </c>
      <c r="BI144" s="367">
        <f>IFERROR(AV144/Instructions!$J$25,0)+AW144*Instructions!$J$27+AX144*Instructions!$J$29+IFERROR(AY144/Instructions!$E$34,0)+AZ144*Instructions!$E$36+Tier!BA144*Instructions!$E$25+IFERROR(BB144/Instructions!$E$27,0)+BC144*Instructions!$E$29+IFERROR((BD144+BF144)/Instructions!$J$32,0)+(BE144+BG144)*Instructions!$J$34+BH144*-2</f>
        <v>277.11999999999995</v>
      </c>
      <c r="BJ144" s="354"/>
      <c r="BK144" s="366">
        <v>2014</v>
      </c>
      <c r="BL144" s="370" t="s">
        <v>1240</v>
      </c>
      <c r="BM144" s="372" t="s">
        <v>1627</v>
      </c>
      <c r="BN144" s="372" t="s">
        <v>3</v>
      </c>
      <c r="BO144" s="372">
        <v>0</v>
      </c>
      <c r="BP144" s="372">
        <v>0</v>
      </c>
      <c r="BQ144" s="372">
        <v>0</v>
      </c>
      <c r="BR144" s="372">
        <v>37</v>
      </c>
      <c r="BS144" s="372">
        <v>0</v>
      </c>
      <c r="BT144" s="372">
        <v>1</v>
      </c>
      <c r="BU144" s="372">
        <v>-5</v>
      </c>
      <c r="BV144" s="372">
        <v>0</v>
      </c>
      <c r="BW144" s="372">
        <v>0</v>
      </c>
      <c r="BX144" s="372">
        <v>0</v>
      </c>
      <c r="BY144" s="372">
        <v>0</v>
      </c>
      <c r="BZ144" s="372">
        <v>0</v>
      </c>
      <c r="CA144" s="372">
        <v>0</v>
      </c>
      <c r="CB144" s="367">
        <f>IFERROR(BO144/Instructions!$J$25,0)+BP144*Instructions!$J$27+BQ144*Instructions!$J$29+IFERROR(BR144/Instructions!$E$34,0)+BS144*Instructions!$E$36+Tier!BT145*Instructions!$E$25+IFERROR(BU144/Instructions!$E$27,0)+BV144*Instructions!$E$29+IFERROR((BW144+BY144)/Instructions!$J$32,0)+(BX144+BZ144)*Instructions!$J$34+Tier!CA144*-2</f>
        <v>6.2</v>
      </c>
      <c r="CC144" s="354"/>
      <c r="CD144" s="321">
        <v>2014</v>
      </c>
      <c r="CE144" s="370" t="s">
        <v>1739</v>
      </c>
      <c r="CF144" s="371" t="s">
        <v>1633</v>
      </c>
      <c r="CG144" s="371" t="s">
        <v>6</v>
      </c>
      <c r="CH144" s="371">
        <v>0</v>
      </c>
      <c r="CI144" s="371">
        <v>0</v>
      </c>
      <c r="CJ144" s="371">
        <v>0</v>
      </c>
      <c r="CK144" s="371">
        <v>0</v>
      </c>
      <c r="CL144" s="371">
        <v>0</v>
      </c>
      <c r="CM144" s="371">
        <v>12</v>
      </c>
      <c r="CN144" s="371">
        <v>118</v>
      </c>
      <c r="CO144" s="371">
        <v>1</v>
      </c>
      <c r="CP144" s="371">
        <v>1</v>
      </c>
      <c r="CQ144" s="371">
        <v>0</v>
      </c>
      <c r="CR144" s="371">
        <v>0</v>
      </c>
      <c r="CS144" s="371">
        <v>0</v>
      </c>
      <c r="CT144" s="371">
        <v>0</v>
      </c>
      <c r="CU144" s="367">
        <f>IFERROR(CH144/Instructions!$J$25,0)+CI144*Instructions!$J$27+CJ144*Instructions!$J$29+IFERROR(CK144/Instructions!$E$34,0)+CL144*Instructions!$E$36+Tier!CM144*Instructions!$E$25+IFERROR(CN144/Instructions!$E$27,0)+CO144*Instructions!$E$29+IFERROR((CP144+CR144)/Instructions!$J$32,0)+(CQ144+CS144)*Instructions!$J$34+Tier!CT144*-2</f>
        <v>29.8</v>
      </c>
      <c r="CV144" s="354"/>
      <c r="CW144" s="238">
        <v>2018</v>
      </c>
      <c r="CX144" t="s">
        <v>18</v>
      </c>
      <c r="CY144" s="3" t="s">
        <v>157</v>
      </c>
      <c r="CZ144" s="366" t="s">
        <v>7</v>
      </c>
      <c r="DA144" s="366">
        <v>0</v>
      </c>
      <c r="DB144" s="366">
        <v>0</v>
      </c>
      <c r="DC144" s="366">
        <v>0</v>
      </c>
      <c r="DD144" s="366">
        <v>0</v>
      </c>
      <c r="DE144" s="366">
        <v>0</v>
      </c>
      <c r="DF144">
        <v>47</v>
      </c>
      <c r="DG144">
        <v>682</v>
      </c>
      <c r="DH144">
        <v>3</v>
      </c>
      <c r="DI144" s="366">
        <v>0</v>
      </c>
      <c r="DJ144" s="366">
        <v>0</v>
      </c>
      <c r="DK144" s="366">
        <v>0</v>
      </c>
      <c r="DL144" s="366">
        <v>0</v>
      </c>
      <c r="DM144" s="366">
        <v>1</v>
      </c>
      <c r="DN144" s="367">
        <f>IFERROR(DA144/Instructions!$J$25,0)+DB144*Instructions!$J$27+DC144*Instructions!$J$29+IFERROR(DD144/Instructions!$E$34,0)+DE144*Instructions!$E$36+Tier!DF144*Instructions!$E$25+IFERROR(DG144/Instructions!$E$27,0)+DH144*Instructions!$E$29+IFERROR((DI144+DK144)/Instructions!$J$32,0)+(DJ144+DL144)*Instructions!$J$34+Tier!DM144*-2</f>
        <v>131.19999999999999</v>
      </c>
    </row>
    <row r="145" spans="1:118" s="366" customFormat="1" ht="15.75" customHeight="1" x14ac:dyDescent="0.25">
      <c r="A145" s="238"/>
      <c r="B145" s="238"/>
      <c r="C145" s="354"/>
      <c r="D145" s="365"/>
      <c r="F145" s="238">
        <v>2018</v>
      </c>
      <c r="G145" s="367">
        <f>LARGE($BI$134:$BI$165,12)</f>
        <v>278.60000000000002</v>
      </c>
      <c r="H145" s="355">
        <f t="shared" si="90"/>
        <v>0</v>
      </c>
      <c r="I145" s="356">
        <f t="shared" si="84"/>
        <v>0</v>
      </c>
      <c r="J145" s="356">
        <f>J144-J134</f>
        <v>262.60000000000002</v>
      </c>
      <c r="K145" s="356">
        <f t="shared" si="86"/>
        <v>0</v>
      </c>
      <c r="L145" s="238">
        <f t="shared" si="87"/>
        <v>7</v>
      </c>
      <c r="M145" s="354"/>
      <c r="N145" s="372"/>
      <c r="O145" s="372"/>
      <c r="P145" s="366">
        <v>2014</v>
      </c>
      <c r="Q145" s="367">
        <f>LARGE($CB$2:$CB$151,144)</f>
        <v>2.6</v>
      </c>
      <c r="R145" s="357">
        <f t="shared" si="77"/>
        <v>-162</v>
      </c>
      <c r="S145" s="356">
        <f t="shared" si="76"/>
        <v>26244</v>
      </c>
      <c r="T145" s="238"/>
      <c r="U145" s="356">
        <f t="shared" si="79"/>
        <v>-10.125</v>
      </c>
      <c r="V145" s="238">
        <f t="shared" si="80"/>
        <v>8</v>
      </c>
      <c r="W145" s="354"/>
      <c r="X145" s="371"/>
      <c r="Y145" s="371"/>
      <c r="Z145" s="321">
        <v>2014</v>
      </c>
      <c r="AA145" s="367">
        <f>LARGE($CU$2:$CU$151,144)</f>
        <v>19.3</v>
      </c>
      <c r="AB145" s="357">
        <f t="shared" si="81"/>
        <v>-198.43333333333334</v>
      </c>
      <c r="AC145" s="356">
        <f t="shared" si="78"/>
        <v>39375.787777777776</v>
      </c>
      <c r="AD145" s="356"/>
      <c r="AE145" s="356">
        <f t="shared" si="82"/>
        <v>-12.402083333333334</v>
      </c>
      <c r="AF145" s="238">
        <f t="shared" si="83"/>
        <v>8</v>
      </c>
      <c r="AG145" s="354"/>
      <c r="AJ145" s="238">
        <v>2018</v>
      </c>
      <c r="AK145" s="367">
        <f>LARGE($DN$134:$DN$165,12)</f>
        <v>130.6</v>
      </c>
      <c r="AL145" s="373">
        <f t="shared" si="88"/>
        <v>0</v>
      </c>
      <c r="AM145" s="374">
        <f t="shared" si="85"/>
        <v>0</v>
      </c>
      <c r="AN145" s="356">
        <f>AN144-AN134</f>
        <v>114.6</v>
      </c>
      <c r="AO145" s="374">
        <f t="shared" si="89"/>
        <v>0</v>
      </c>
      <c r="AP145" s="238">
        <f t="shared" si="70"/>
        <v>7</v>
      </c>
      <c r="AQ145" s="354"/>
      <c r="AR145" s="238">
        <v>2018</v>
      </c>
      <c r="AS145" t="s">
        <v>26</v>
      </c>
      <c r="AT145" t="s">
        <v>1935</v>
      </c>
      <c r="AU145" s="366" t="s">
        <v>1</v>
      </c>
      <c r="AV145" s="418">
        <v>3395</v>
      </c>
      <c r="AW145" s="440">
        <v>24</v>
      </c>
      <c r="AX145" s="440">
        <v>13</v>
      </c>
      <c r="AY145" s="440">
        <v>488</v>
      </c>
      <c r="AZ145" s="440">
        <v>4</v>
      </c>
      <c r="BA145" s="238">
        <v>0</v>
      </c>
      <c r="BB145" s="238">
        <v>0</v>
      </c>
      <c r="BC145" s="238">
        <v>0</v>
      </c>
      <c r="BD145" s="238">
        <v>0</v>
      </c>
      <c r="BE145" s="238">
        <v>0</v>
      </c>
      <c r="BF145" s="238">
        <v>0</v>
      </c>
      <c r="BG145" s="238">
        <v>0</v>
      </c>
      <c r="BH145" s="238">
        <v>0</v>
      </c>
      <c r="BI145" s="367">
        <f>IFERROR(AV145/Instructions!$J$25,0)+AW145*Instructions!$J$27+AX145*Instructions!$J$29+IFERROR(AY145/Instructions!$E$34,0)+AZ145*Instructions!$E$36+Tier!BA145*Instructions!$E$25+IFERROR(BB145/Instructions!$E$27,0)+BC145*Instructions!$E$29+IFERROR((BD145+BF145)/Instructions!$J$32,0)+(BE145+BG145)*Instructions!$J$34+BH145*-2</f>
        <v>278.60000000000002</v>
      </c>
      <c r="BJ145" s="354"/>
      <c r="BK145" s="366">
        <v>2014</v>
      </c>
      <c r="BL145" s="370" t="s">
        <v>1715</v>
      </c>
      <c r="BM145" s="372" t="s">
        <v>1630</v>
      </c>
      <c r="BN145" s="372" t="s">
        <v>3</v>
      </c>
      <c r="BO145" s="372">
        <v>0</v>
      </c>
      <c r="BP145" s="372">
        <v>0</v>
      </c>
      <c r="BQ145" s="372">
        <v>0</v>
      </c>
      <c r="BR145" s="372">
        <v>19</v>
      </c>
      <c r="BS145" s="372">
        <v>0</v>
      </c>
      <c r="BT145" s="372">
        <v>3</v>
      </c>
      <c r="BU145" s="372">
        <v>11</v>
      </c>
      <c r="BV145" s="372">
        <v>0</v>
      </c>
      <c r="BW145" s="372">
        <v>0</v>
      </c>
      <c r="BX145" s="372">
        <v>0</v>
      </c>
      <c r="BY145" s="372">
        <v>0</v>
      </c>
      <c r="BZ145" s="372">
        <v>0</v>
      </c>
      <c r="CA145" s="372">
        <v>0</v>
      </c>
      <c r="CB145" s="367">
        <f>IFERROR(BO145/Instructions!$J$25,0)+BP145*Instructions!$J$27+BQ145*Instructions!$J$29+IFERROR(BR145/Instructions!$E$34,0)+BS145*Instructions!$E$36+Tier!BT146*Instructions!$E$25+IFERROR(BU145/Instructions!$E$27,0)+BV145*Instructions!$E$29+IFERROR((BW145+BY145)/Instructions!$J$32,0)+(BX145+BZ145)*Instructions!$J$34+Tier!CA145*-2</f>
        <v>4</v>
      </c>
      <c r="CC145" s="354"/>
      <c r="CD145" s="321">
        <v>2014</v>
      </c>
      <c r="CE145" s="370" t="s">
        <v>1742</v>
      </c>
      <c r="CF145" s="371" t="s">
        <v>1629</v>
      </c>
      <c r="CG145" s="371" t="s">
        <v>6</v>
      </c>
      <c r="CH145" s="371">
        <v>0</v>
      </c>
      <c r="CI145" s="371">
        <v>0</v>
      </c>
      <c r="CJ145" s="371">
        <v>0</v>
      </c>
      <c r="CK145" s="371">
        <v>0</v>
      </c>
      <c r="CL145" s="371">
        <v>0</v>
      </c>
      <c r="CM145" s="371">
        <v>15</v>
      </c>
      <c r="CN145" s="371">
        <v>176</v>
      </c>
      <c r="CO145" s="371">
        <v>0</v>
      </c>
      <c r="CP145" s="371">
        <v>0</v>
      </c>
      <c r="CQ145" s="371">
        <v>0</v>
      </c>
      <c r="CR145" s="371">
        <v>0</v>
      </c>
      <c r="CS145" s="371">
        <v>0</v>
      </c>
      <c r="CT145" s="371">
        <v>1</v>
      </c>
      <c r="CU145" s="367">
        <f>IFERROR(CH145/Instructions!$J$25,0)+CI145*Instructions!$J$27+CJ145*Instructions!$J$29+IFERROR(CK145/Instructions!$E$34,0)+CL145*Instructions!$E$36+Tier!CM145*Instructions!$E$25+IFERROR(CN145/Instructions!$E$27,0)+CO145*Instructions!$E$29+IFERROR((CP145+CR145)/Instructions!$J$32,0)+(CQ145+CS145)*Instructions!$J$34+Tier!CT145*-2</f>
        <v>30.6</v>
      </c>
      <c r="CV145" s="354"/>
      <c r="CW145" s="238">
        <v>2018</v>
      </c>
      <c r="CX145" t="s">
        <v>238</v>
      </c>
      <c r="CY145" s="3" t="s">
        <v>1930</v>
      </c>
      <c r="CZ145" s="366" t="s">
        <v>7</v>
      </c>
      <c r="DA145" s="366">
        <v>0</v>
      </c>
      <c r="DB145" s="366">
        <v>0</v>
      </c>
      <c r="DC145" s="366">
        <v>0</v>
      </c>
      <c r="DD145" s="366">
        <v>0</v>
      </c>
      <c r="DE145" s="366">
        <v>0</v>
      </c>
      <c r="DF145">
        <v>50</v>
      </c>
      <c r="DG145">
        <v>610</v>
      </c>
      <c r="DH145">
        <v>4</v>
      </c>
      <c r="DI145" s="366">
        <v>0</v>
      </c>
      <c r="DJ145" s="366">
        <v>0</v>
      </c>
      <c r="DK145" s="366">
        <v>0</v>
      </c>
      <c r="DL145" s="366">
        <v>0</v>
      </c>
      <c r="DM145" s="366">
        <v>1</v>
      </c>
      <c r="DN145" s="367">
        <f>IFERROR(DA145/Instructions!$J$25,0)+DB145*Instructions!$J$27+DC145*Instructions!$J$29+IFERROR(DD145/Instructions!$E$34,0)+DE145*Instructions!$E$36+Tier!DF145*Instructions!$E$25+IFERROR(DG145/Instructions!$E$27,0)+DH145*Instructions!$E$29+IFERROR((DI145+DK145)/Instructions!$J$32,0)+(DJ145+DL145)*Instructions!$J$34+Tier!DM145*-2</f>
        <v>133</v>
      </c>
    </row>
    <row r="146" spans="1:118" s="366" customFormat="1" ht="15.75" customHeight="1" x14ac:dyDescent="0.25">
      <c r="A146" s="238"/>
      <c r="B146" s="238"/>
      <c r="C146" s="354"/>
      <c r="D146" s="365"/>
      <c r="F146" s="238">
        <v>2018</v>
      </c>
      <c r="G146" s="367">
        <f>LARGE($BI$134:$BI$165,13)</f>
        <v>277.11999999999995</v>
      </c>
      <c r="H146" s="355">
        <f t="shared" si="90"/>
        <v>-1.480000000000075</v>
      </c>
      <c r="I146" s="356">
        <f t="shared" si="84"/>
        <v>2.1904000000002219</v>
      </c>
      <c r="J146" s="356">
        <f>J145-J134</f>
        <v>246.60000000000002</v>
      </c>
      <c r="K146" s="356">
        <f t="shared" si="86"/>
        <v>-9.250000000000469E-2</v>
      </c>
      <c r="L146" s="238">
        <f t="shared" si="87"/>
        <v>7</v>
      </c>
      <c r="M146" s="354"/>
      <c r="N146" s="372"/>
      <c r="O146" s="372"/>
      <c r="P146" s="366">
        <v>2014</v>
      </c>
      <c r="Q146" s="367">
        <f>LARGE($CB$2:$CB$151,145)</f>
        <v>2.4</v>
      </c>
      <c r="R146" s="357">
        <f t="shared" si="77"/>
        <v>-162.19999999999999</v>
      </c>
      <c r="S146" s="356">
        <f t="shared" si="76"/>
        <v>26308.839999999997</v>
      </c>
      <c r="T146" s="238"/>
      <c r="U146" s="356">
        <f t="shared" si="79"/>
        <v>-10.137499999999999</v>
      </c>
      <c r="V146" s="238">
        <f t="shared" si="80"/>
        <v>8</v>
      </c>
      <c r="W146" s="354"/>
      <c r="X146" s="371"/>
      <c r="Y146" s="371"/>
      <c r="Z146" s="321">
        <v>2014</v>
      </c>
      <c r="AA146" s="367">
        <f>LARGE($CU$2:$CU$151,145)</f>
        <v>17.7</v>
      </c>
      <c r="AB146" s="357">
        <f t="shared" si="81"/>
        <v>-200.03333333333336</v>
      </c>
      <c r="AC146" s="356">
        <f t="shared" si="78"/>
        <v>40013.334444444452</v>
      </c>
      <c r="AD146" s="356"/>
      <c r="AE146" s="356">
        <f t="shared" si="82"/>
        <v>-12.502083333333335</v>
      </c>
      <c r="AF146" s="238">
        <f t="shared" si="83"/>
        <v>8</v>
      </c>
      <c r="AG146" s="354"/>
      <c r="AJ146" s="238">
        <v>2018</v>
      </c>
      <c r="AK146" s="367">
        <f>LARGE($DN$134:$DN$165,13)</f>
        <v>124.30000000000001</v>
      </c>
      <c r="AL146" s="373">
        <f t="shared" si="88"/>
        <v>-6.2999999999999829</v>
      </c>
      <c r="AM146" s="374">
        <f t="shared" si="85"/>
        <v>39.689999999999785</v>
      </c>
      <c r="AN146" s="356">
        <f>AN145-AN134</f>
        <v>98.6</v>
      </c>
      <c r="AO146" s="374">
        <f t="shared" si="89"/>
        <v>-0.39374999999999893</v>
      </c>
      <c r="AP146" s="238">
        <f t="shared" si="70"/>
        <v>7</v>
      </c>
      <c r="AQ146" s="354"/>
      <c r="AR146" s="238">
        <v>2018</v>
      </c>
      <c r="AS146" t="s">
        <v>35</v>
      </c>
      <c r="AT146" t="s">
        <v>157</v>
      </c>
      <c r="AU146" s="366" t="s">
        <v>1</v>
      </c>
      <c r="AV146" s="418">
        <v>4355</v>
      </c>
      <c r="AW146" s="440">
        <v>29</v>
      </c>
      <c r="AX146" s="440">
        <v>11</v>
      </c>
      <c r="AY146" s="440">
        <v>35</v>
      </c>
      <c r="AZ146" s="440">
        <v>2</v>
      </c>
      <c r="BA146" s="238">
        <v>1</v>
      </c>
      <c r="BB146" s="238">
        <v>6</v>
      </c>
      <c r="BC146" s="238">
        <v>0</v>
      </c>
      <c r="BD146" s="238">
        <v>0</v>
      </c>
      <c r="BE146" s="238">
        <v>0</v>
      </c>
      <c r="BF146" s="238">
        <v>0</v>
      </c>
      <c r="BG146" s="238">
        <v>0</v>
      </c>
      <c r="BH146" s="238">
        <v>2</v>
      </c>
      <c r="BI146" s="367">
        <f>IFERROR(AV146/Instructions!$J$25,0)+AW146*Instructions!$J$27+AX146*Instructions!$J$29+IFERROR(AY146/Instructions!$E$34,0)+AZ146*Instructions!$E$36+Tier!BA146*Instructions!$E$25+IFERROR(BB146/Instructions!$E$27,0)+BC146*Instructions!$E$29+IFERROR((BD146+BF146)/Instructions!$J$32,0)+(BE146+BG146)*Instructions!$J$34+BH146*-2</f>
        <v>281.3</v>
      </c>
      <c r="BJ146" s="354"/>
      <c r="BK146" s="366">
        <v>2014</v>
      </c>
      <c r="BL146" s="370" t="s">
        <v>1292</v>
      </c>
      <c r="BM146" s="372" t="s">
        <v>151</v>
      </c>
      <c r="BN146" s="372" t="s">
        <v>3</v>
      </c>
      <c r="BO146" s="372">
        <v>0</v>
      </c>
      <c r="BP146" s="372">
        <v>0</v>
      </c>
      <c r="BQ146" s="372">
        <v>0</v>
      </c>
      <c r="BR146" s="372">
        <v>0</v>
      </c>
      <c r="BS146" s="372">
        <v>0</v>
      </c>
      <c r="BT146" s="372">
        <v>1</v>
      </c>
      <c r="BU146" s="372">
        <v>24</v>
      </c>
      <c r="BV146" s="372">
        <v>0</v>
      </c>
      <c r="BW146" s="372">
        <v>0</v>
      </c>
      <c r="BX146" s="372">
        <v>0</v>
      </c>
      <c r="BY146" s="372">
        <v>0</v>
      </c>
      <c r="BZ146" s="372">
        <v>0</v>
      </c>
      <c r="CA146" s="372">
        <v>0</v>
      </c>
      <c r="CB146" s="367">
        <f>IFERROR(BO146/Instructions!$J$25,0)+BP146*Instructions!$J$27+BQ146*Instructions!$J$29+IFERROR(BR146/Instructions!$E$34,0)+BS146*Instructions!$E$36+Tier!BT147*Instructions!$E$25+IFERROR(BU146/Instructions!$E$27,0)+BV146*Instructions!$E$29+IFERROR((BW146+BY146)/Instructions!$J$32,0)+(BX146+BZ146)*Instructions!$J$34+Tier!CA146*-2</f>
        <v>2.4</v>
      </c>
      <c r="CC146" s="354"/>
      <c r="CD146" s="321">
        <v>2014</v>
      </c>
      <c r="CE146" s="370" t="s">
        <v>237</v>
      </c>
      <c r="CF146" s="371" t="s">
        <v>159</v>
      </c>
      <c r="CG146" s="371" t="s">
        <v>6</v>
      </c>
      <c r="CH146" s="371">
        <v>0</v>
      </c>
      <c r="CI146" s="371">
        <v>0</v>
      </c>
      <c r="CJ146" s="371">
        <v>0</v>
      </c>
      <c r="CK146" s="371">
        <v>0</v>
      </c>
      <c r="CL146" s="371">
        <v>0</v>
      </c>
      <c r="CM146" s="371">
        <v>10</v>
      </c>
      <c r="CN146" s="371">
        <v>115</v>
      </c>
      <c r="CO146" s="371">
        <v>1</v>
      </c>
      <c r="CP146" s="371">
        <v>0</v>
      </c>
      <c r="CQ146" s="371">
        <v>0</v>
      </c>
      <c r="CR146" s="371">
        <v>0</v>
      </c>
      <c r="CS146" s="371">
        <v>0</v>
      </c>
      <c r="CT146" s="371">
        <v>0</v>
      </c>
      <c r="CU146" s="367">
        <f>IFERROR(CH146/Instructions!$J$25,0)+CI146*Instructions!$J$27+CJ146*Instructions!$J$29+IFERROR(CK146/Instructions!$E$34,0)+CL146*Instructions!$E$36+Tier!CM146*Instructions!$E$25+IFERROR(CN146/Instructions!$E$27,0)+CO146*Instructions!$E$29+IFERROR((CP146+CR146)/Instructions!$J$32,0)+(CQ146+CS146)*Instructions!$J$34+Tier!CT146*-2</f>
        <v>27.5</v>
      </c>
      <c r="CV146" s="354"/>
      <c r="CW146" s="238">
        <v>2018</v>
      </c>
      <c r="CX146" t="s">
        <v>1412</v>
      </c>
      <c r="CY146" s="3" t="s">
        <v>154</v>
      </c>
      <c r="CZ146" s="366" t="s">
        <v>7</v>
      </c>
      <c r="DA146" s="366">
        <v>0</v>
      </c>
      <c r="DB146" s="366">
        <v>0</v>
      </c>
      <c r="DC146" s="366">
        <v>0</v>
      </c>
      <c r="DD146" s="366">
        <v>36</v>
      </c>
      <c r="DE146" s="366">
        <v>0</v>
      </c>
      <c r="DF146">
        <v>45</v>
      </c>
      <c r="DG146">
        <v>577</v>
      </c>
      <c r="DH146">
        <v>3</v>
      </c>
      <c r="DI146" s="366">
        <v>0</v>
      </c>
      <c r="DJ146" s="366">
        <v>0</v>
      </c>
      <c r="DK146" s="366">
        <v>0</v>
      </c>
      <c r="DL146" s="366">
        <v>0</v>
      </c>
      <c r="DM146" s="366">
        <v>0</v>
      </c>
      <c r="DN146" s="367">
        <f>IFERROR(DA146/Instructions!$J$25,0)+DB146*Instructions!$J$27+DC146*Instructions!$J$29+IFERROR(DD146/Instructions!$E$34,0)+DE146*Instructions!$E$36+Tier!DF146*Instructions!$E$25+IFERROR(DG146/Instructions!$E$27,0)+DH146*Instructions!$E$29+IFERROR((DI146+DK146)/Instructions!$J$32,0)+(DJ146+DL146)*Instructions!$J$34+Tier!DM146*-2</f>
        <v>124.30000000000001</v>
      </c>
    </row>
    <row r="147" spans="1:118" s="366" customFormat="1" ht="15.75" customHeight="1" x14ac:dyDescent="0.25">
      <c r="A147" s="238"/>
      <c r="B147" s="238"/>
      <c r="C147" s="354"/>
      <c r="D147" s="365"/>
      <c r="F147" s="238">
        <v>2018</v>
      </c>
      <c r="G147" s="367">
        <f>LARGE($BI$134:$BI$165,14)</f>
        <v>275.02</v>
      </c>
      <c r="H147" s="355">
        <f t="shared" si="90"/>
        <v>-3.5800000000000409</v>
      </c>
      <c r="I147" s="356">
        <f t="shared" si="84"/>
        <v>12.816400000000293</v>
      </c>
      <c r="J147" s="356"/>
      <c r="K147" s="356">
        <f t="shared" si="86"/>
        <v>-0.22375000000000256</v>
      </c>
      <c r="L147" s="238">
        <f t="shared" si="87"/>
        <v>7</v>
      </c>
      <c r="M147" s="354"/>
      <c r="N147" s="372"/>
      <c r="O147" s="372"/>
      <c r="P147" s="366">
        <v>2014</v>
      </c>
      <c r="Q147" s="367">
        <f>LARGE($CB$2:$CB$151,146)</f>
        <v>1.9</v>
      </c>
      <c r="R147" s="357">
        <f t="shared" si="77"/>
        <v>-162.69999999999999</v>
      </c>
      <c r="S147" s="356">
        <f t="shared" si="76"/>
        <v>26471.289999999997</v>
      </c>
      <c r="T147" s="238"/>
      <c r="U147" s="356">
        <f t="shared" si="79"/>
        <v>-10.168749999999999</v>
      </c>
      <c r="V147" s="238">
        <f t="shared" si="80"/>
        <v>8</v>
      </c>
      <c r="W147" s="354"/>
      <c r="X147" s="371"/>
      <c r="Y147" s="371"/>
      <c r="Z147" s="321">
        <v>2014</v>
      </c>
      <c r="AA147" s="367">
        <f>LARGE($CU$2:$CU$151,146)</f>
        <v>9.6999999999999993</v>
      </c>
      <c r="AB147" s="357">
        <f t="shared" si="81"/>
        <v>-208.03333333333336</v>
      </c>
      <c r="AC147" s="356">
        <f t="shared" si="78"/>
        <v>43277.867777777792</v>
      </c>
      <c r="AD147" s="356"/>
      <c r="AE147" s="356">
        <f t="shared" si="82"/>
        <v>-13.002083333333335</v>
      </c>
      <c r="AF147" s="238">
        <f t="shared" si="83"/>
        <v>8</v>
      </c>
      <c r="AG147" s="354"/>
      <c r="AJ147" s="238">
        <v>2018</v>
      </c>
      <c r="AK147" s="367">
        <f>LARGE($DN$134:$DN$165,14)</f>
        <v>120.5</v>
      </c>
      <c r="AL147" s="373">
        <f t="shared" si="88"/>
        <v>-10.099999999999994</v>
      </c>
      <c r="AM147" s="374">
        <f t="shared" si="85"/>
        <v>102.00999999999989</v>
      </c>
      <c r="AN147" s="356"/>
      <c r="AO147" s="374">
        <f t="shared" si="89"/>
        <v>-0.63124999999999964</v>
      </c>
      <c r="AP147" s="238">
        <f t="shared" si="70"/>
        <v>7</v>
      </c>
      <c r="AQ147" s="354"/>
      <c r="AR147" s="238">
        <v>2018</v>
      </c>
      <c r="AS147" t="s">
        <v>1295</v>
      </c>
      <c r="AT147" t="s">
        <v>1936</v>
      </c>
      <c r="AU147" s="366" t="s">
        <v>1</v>
      </c>
      <c r="AV147" s="418">
        <v>3885</v>
      </c>
      <c r="AW147" s="426">
        <v>22</v>
      </c>
      <c r="AX147" s="426">
        <v>8</v>
      </c>
      <c r="AY147" s="426">
        <v>305</v>
      </c>
      <c r="AZ147" s="426">
        <v>6</v>
      </c>
      <c r="BA147" s="238">
        <v>0</v>
      </c>
      <c r="BB147" s="238">
        <v>0</v>
      </c>
      <c r="BC147" s="238">
        <v>0</v>
      </c>
      <c r="BD147" s="238">
        <v>0</v>
      </c>
      <c r="BE147" s="238">
        <v>0</v>
      </c>
      <c r="BF147" s="238">
        <v>0</v>
      </c>
      <c r="BG147" s="238">
        <v>0</v>
      </c>
      <c r="BH147" s="238">
        <v>6</v>
      </c>
      <c r="BI147" s="367">
        <f>IFERROR(AV147/Instructions!$J$25,0)+AW147*Instructions!$J$27+AX147*Instructions!$J$29+IFERROR(AY147/Instructions!$E$34,0)+AZ147*Instructions!$E$36+Tier!BA147*Instructions!$E$25+IFERROR(BB147/Instructions!$E$27,0)+BC147*Instructions!$E$29+IFERROR((BD147+BF147)/Instructions!$J$32,0)+(BE147+BG147)*Instructions!$J$34+BH147*-2</f>
        <v>281.89999999999998</v>
      </c>
      <c r="BJ147" s="354"/>
      <c r="BK147" s="366">
        <v>2014</v>
      </c>
      <c r="BL147" s="370" t="s">
        <v>1716</v>
      </c>
      <c r="BM147" s="372" t="s">
        <v>144</v>
      </c>
      <c r="BN147" s="372" t="s">
        <v>3</v>
      </c>
      <c r="BO147" s="372">
        <v>0</v>
      </c>
      <c r="BP147" s="372">
        <v>0</v>
      </c>
      <c r="BQ147" s="372">
        <v>0</v>
      </c>
      <c r="BR147" s="372">
        <v>22</v>
      </c>
      <c r="BS147" s="372">
        <v>0</v>
      </c>
      <c r="BT147" s="372">
        <v>0</v>
      </c>
      <c r="BU147" s="372">
        <v>0</v>
      </c>
      <c r="BV147" s="372">
        <v>0</v>
      </c>
      <c r="BW147" s="372">
        <v>0</v>
      </c>
      <c r="BX147" s="372">
        <v>0</v>
      </c>
      <c r="BY147" s="372">
        <v>0</v>
      </c>
      <c r="BZ147" s="372">
        <v>0</v>
      </c>
      <c r="CA147" s="372">
        <v>0</v>
      </c>
      <c r="CB147" s="367">
        <f>IFERROR(BO147/Instructions!$J$25,0)+BP147*Instructions!$J$27+BQ147*Instructions!$J$29+IFERROR(BR147/Instructions!$E$34,0)+BS147*Instructions!$E$36+Tier!BT148*Instructions!$E$25+IFERROR(BU147/Instructions!$E$27,0)+BV147*Instructions!$E$29+IFERROR((BW147+BY147)/Instructions!$J$32,0)+(BX147+BZ147)*Instructions!$J$34+Tier!CA147*-2</f>
        <v>5.2</v>
      </c>
      <c r="CC147" s="354"/>
      <c r="CD147" s="321">
        <v>2014</v>
      </c>
      <c r="CE147" s="370" t="s">
        <v>1277</v>
      </c>
      <c r="CF147" s="371" t="s">
        <v>162</v>
      </c>
      <c r="CG147" s="371" t="s">
        <v>6</v>
      </c>
      <c r="CH147" s="371">
        <v>0</v>
      </c>
      <c r="CI147" s="371">
        <v>0</v>
      </c>
      <c r="CJ147" s="371">
        <v>0</v>
      </c>
      <c r="CK147" s="371">
        <v>0</v>
      </c>
      <c r="CL147" s="371">
        <v>0</v>
      </c>
      <c r="CM147" s="371">
        <v>7</v>
      </c>
      <c r="CN147" s="371">
        <v>102</v>
      </c>
      <c r="CO147" s="371">
        <v>1</v>
      </c>
      <c r="CP147" s="371">
        <v>17</v>
      </c>
      <c r="CQ147" s="371">
        <v>0</v>
      </c>
      <c r="CR147" s="371">
        <v>0</v>
      </c>
      <c r="CS147" s="371">
        <v>0</v>
      </c>
      <c r="CT147" s="371">
        <v>0</v>
      </c>
      <c r="CU147" s="367">
        <f>IFERROR(CH147/Instructions!$J$25,0)+CI147*Instructions!$J$27+CJ147*Instructions!$J$29+IFERROR(CK147/Instructions!$E$34,0)+CL147*Instructions!$E$36+Tier!CM147*Instructions!$E$25+IFERROR(CN147/Instructions!$E$27,0)+CO147*Instructions!$E$29+IFERROR((CP147+CR147)/Instructions!$J$32,0)+(CQ147+CS147)*Instructions!$J$34+Tier!CT147*-2</f>
        <v>23.2</v>
      </c>
      <c r="CV147" s="354"/>
      <c r="CW147" s="238">
        <v>2018</v>
      </c>
      <c r="CX147" t="s">
        <v>8</v>
      </c>
      <c r="CY147" s="3" t="s">
        <v>139</v>
      </c>
      <c r="CZ147" s="366" t="s">
        <v>7</v>
      </c>
      <c r="DA147" s="366">
        <v>0</v>
      </c>
      <c r="DB147" s="366">
        <v>0</v>
      </c>
      <c r="DC147" s="366">
        <v>0</v>
      </c>
      <c r="DD147" s="366">
        <v>0</v>
      </c>
      <c r="DE147" s="366">
        <v>0</v>
      </c>
      <c r="DF147">
        <v>55</v>
      </c>
      <c r="DG147">
        <v>636</v>
      </c>
      <c r="DH147">
        <v>2</v>
      </c>
      <c r="DI147" s="366">
        <v>0</v>
      </c>
      <c r="DJ147" s="366">
        <v>0</v>
      </c>
      <c r="DK147" s="366">
        <v>0</v>
      </c>
      <c r="DL147" s="366">
        <v>0</v>
      </c>
      <c r="DM147" s="366">
        <v>0</v>
      </c>
      <c r="DN147" s="367">
        <f>IFERROR(DA147/Instructions!$J$25,0)+DB147*Instructions!$J$27+DC147*Instructions!$J$29+IFERROR(DD147/Instructions!$E$34,0)+DE147*Instructions!$E$36+Tier!DF147*Instructions!$E$25+IFERROR(DG147/Instructions!$E$27,0)+DH147*Instructions!$E$29+IFERROR((DI147+DK147)/Instructions!$J$32,0)+(DJ147+DL147)*Instructions!$J$34+Tier!DM147*-2</f>
        <v>130.6</v>
      </c>
    </row>
    <row r="148" spans="1:118" s="366" customFormat="1" ht="15.75" customHeight="1" x14ac:dyDescent="0.25">
      <c r="A148" s="238"/>
      <c r="B148" s="238"/>
      <c r="C148" s="354"/>
      <c r="D148" s="365"/>
      <c r="F148" s="238">
        <v>2018</v>
      </c>
      <c r="G148" s="367">
        <f>LARGE($BI$134:$BI$165,15)</f>
        <v>255.01999999999998</v>
      </c>
      <c r="H148" s="355">
        <f t="shared" si="90"/>
        <v>-23.580000000000041</v>
      </c>
      <c r="I148" s="356">
        <f t="shared" si="84"/>
        <v>556.01640000000191</v>
      </c>
      <c r="J148" s="356"/>
      <c r="K148" s="356">
        <f t="shared" si="86"/>
        <v>-1.4737500000000026</v>
      </c>
      <c r="L148" s="238">
        <f t="shared" si="87"/>
        <v>8</v>
      </c>
      <c r="M148" s="354"/>
      <c r="N148" s="372"/>
      <c r="O148" s="372"/>
      <c r="P148" s="366">
        <v>2014</v>
      </c>
      <c r="Q148" s="367">
        <f>LARGE($CB$2:$CB$151,147)</f>
        <v>1.9</v>
      </c>
      <c r="R148" s="357">
        <f t="shared" si="77"/>
        <v>-162.69999999999999</v>
      </c>
      <c r="S148" s="356">
        <f t="shared" si="76"/>
        <v>26471.289999999997</v>
      </c>
      <c r="T148" s="238"/>
      <c r="U148" s="356">
        <f t="shared" si="79"/>
        <v>-10.168749999999999</v>
      </c>
      <c r="V148" s="238">
        <f t="shared" si="80"/>
        <v>8</v>
      </c>
      <c r="W148" s="354"/>
      <c r="X148" s="371"/>
      <c r="Y148" s="371"/>
      <c r="Z148" s="321">
        <v>2014</v>
      </c>
      <c r="AA148" s="367">
        <f>LARGE($CU$2:$CU$151,147)</f>
        <v>5.2</v>
      </c>
      <c r="AB148" s="357">
        <f t="shared" si="81"/>
        <v>-212.53333333333336</v>
      </c>
      <c r="AC148" s="356">
        <f t="shared" si="78"/>
        <v>45170.417777777788</v>
      </c>
      <c r="AD148" s="356"/>
      <c r="AE148" s="356">
        <f t="shared" si="82"/>
        <v>-13.283333333333335</v>
      </c>
      <c r="AF148" s="238">
        <f t="shared" si="83"/>
        <v>8</v>
      </c>
      <c r="AG148" s="354"/>
      <c r="AJ148" s="238">
        <v>2018</v>
      </c>
      <c r="AK148" s="367">
        <f>LARGE($DN$134:$DN$165,15)</f>
        <v>119.8</v>
      </c>
      <c r="AL148" s="373">
        <f t="shared" si="88"/>
        <v>-10.799999999999997</v>
      </c>
      <c r="AM148" s="374">
        <f t="shared" si="85"/>
        <v>116.63999999999994</v>
      </c>
      <c r="AN148" s="356"/>
      <c r="AO148" s="374">
        <f t="shared" si="89"/>
        <v>-0.67499999999999982</v>
      </c>
      <c r="AP148" s="238">
        <f t="shared" si="70"/>
        <v>7</v>
      </c>
      <c r="AQ148" s="354"/>
      <c r="AR148" s="238">
        <v>2018</v>
      </c>
      <c r="AS148" t="s">
        <v>1427</v>
      </c>
      <c r="AT148" t="s">
        <v>1937</v>
      </c>
      <c r="AU148" s="366" t="s">
        <v>1</v>
      </c>
      <c r="AV148" s="418">
        <v>3223</v>
      </c>
      <c r="AW148" s="426">
        <v>24</v>
      </c>
      <c r="AX148" s="426">
        <v>12</v>
      </c>
      <c r="AY148" s="426">
        <v>421</v>
      </c>
      <c r="AZ148" s="426">
        <v>3</v>
      </c>
      <c r="BA148" s="238">
        <v>0</v>
      </c>
      <c r="BB148" s="238">
        <v>0</v>
      </c>
      <c r="BC148" s="238">
        <v>0</v>
      </c>
      <c r="BD148" s="238">
        <v>0</v>
      </c>
      <c r="BE148" s="238">
        <v>0</v>
      </c>
      <c r="BF148" s="238">
        <v>0</v>
      </c>
      <c r="BG148" s="238">
        <v>0</v>
      </c>
      <c r="BH148" s="238">
        <v>3</v>
      </c>
      <c r="BI148" s="367">
        <f>IFERROR(AV148/Instructions!$J$25,0)+AW148*Instructions!$J$27+AX148*Instructions!$J$29+IFERROR(AY148/Instructions!$E$34,0)+AZ148*Instructions!$E$36+Tier!BA148*Instructions!$E$25+IFERROR(BB148/Instructions!$E$27,0)+BC148*Instructions!$E$29+IFERROR((BD148+BF148)/Instructions!$J$32,0)+(BE148+BG148)*Instructions!$J$34+BH148*-2</f>
        <v>255.01999999999998</v>
      </c>
      <c r="BJ148" s="354"/>
      <c r="BK148" s="366">
        <v>2014</v>
      </c>
      <c r="BL148" s="370" t="s">
        <v>1717</v>
      </c>
      <c r="BM148" s="372" t="s">
        <v>161</v>
      </c>
      <c r="BN148" s="372" t="s">
        <v>3</v>
      </c>
      <c r="BO148" s="372">
        <v>0</v>
      </c>
      <c r="BP148" s="372">
        <v>0</v>
      </c>
      <c r="BQ148" s="372">
        <v>0</v>
      </c>
      <c r="BR148" s="372">
        <v>2</v>
      </c>
      <c r="BS148" s="372">
        <v>0</v>
      </c>
      <c r="BT148" s="372">
        <v>3</v>
      </c>
      <c r="BU148" s="372">
        <v>15</v>
      </c>
      <c r="BV148" s="372">
        <v>0</v>
      </c>
      <c r="BW148" s="372">
        <v>0</v>
      </c>
      <c r="BX148" s="372">
        <v>0</v>
      </c>
      <c r="BY148" s="372">
        <v>0</v>
      </c>
      <c r="BZ148" s="372">
        <v>0</v>
      </c>
      <c r="CA148" s="372">
        <v>0</v>
      </c>
      <c r="CB148" s="367">
        <f>IFERROR(BO148/Instructions!$J$25,0)+BP148*Instructions!$J$27+BQ148*Instructions!$J$29+IFERROR(BR148/Instructions!$E$34,0)+BS148*Instructions!$E$36+Tier!BT149*Instructions!$E$25+IFERROR(BU148/Instructions!$E$27,0)+BV148*Instructions!$E$29+IFERROR((BW148+BY148)/Instructions!$J$32,0)+(BX148+BZ148)*Instructions!$J$34+Tier!CA148*-2</f>
        <v>1.7</v>
      </c>
      <c r="CC148" s="354"/>
      <c r="CD148" s="321">
        <v>2014</v>
      </c>
      <c r="CE148" s="370" t="s">
        <v>1740</v>
      </c>
      <c r="CF148" s="371" t="s">
        <v>141</v>
      </c>
      <c r="CG148" s="371" t="s">
        <v>6</v>
      </c>
      <c r="CH148" s="371">
        <v>0</v>
      </c>
      <c r="CI148" s="371">
        <v>0</v>
      </c>
      <c r="CJ148" s="371">
        <v>0</v>
      </c>
      <c r="CK148" s="371">
        <v>30</v>
      </c>
      <c r="CL148" s="371">
        <v>0</v>
      </c>
      <c r="CM148" s="371">
        <v>10</v>
      </c>
      <c r="CN148" s="371">
        <v>70</v>
      </c>
      <c r="CO148" s="371">
        <v>1</v>
      </c>
      <c r="CP148" s="371">
        <v>0</v>
      </c>
      <c r="CQ148" s="371">
        <v>0</v>
      </c>
      <c r="CR148" s="371">
        <v>0</v>
      </c>
      <c r="CS148" s="371">
        <v>0</v>
      </c>
      <c r="CT148" s="371">
        <v>0</v>
      </c>
      <c r="CU148" s="367">
        <f>IFERROR(CH148/Instructions!$J$25,0)+CI148*Instructions!$J$27+CJ148*Instructions!$J$29+IFERROR(CK148/Instructions!$E$34,0)+CL148*Instructions!$E$36+Tier!CM148*Instructions!$E$25+IFERROR(CN148/Instructions!$E$27,0)+CO148*Instructions!$E$29+IFERROR((CP148+CR148)/Instructions!$J$32,0)+(CQ148+CS148)*Instructions!$J$34+Tier!CT148*-2</f>
        <v>26</v>
      </c>
      <c r="CV148" s="354"/>
      <c r="CW148" s="238">
        <v>2018</v>
      </c>
      <c r="CX148" t="s">
        <v>1982</v>
      </c>
      <c r="CY148" s="3" t="s">
        <v>164</v>
      </c>
      <c r="CZ148" s="366" t="s">
        <v>7</v>
      </c>
      <c r="DA148" s="366">
        <v>0</v>
      </c>
      <c r="DB148" s="366">
        <v>0</v>
      </c>
      <c r="DC148" s="366">
        <v>0</v>
      </c>
      <c r="DD148" s="366">
        <v>0</v>
      </c>
      <c r="DE148" s="366">
        <v>0</v>
      </c>
      <c r="DF148">
        <v>39</v>
      </c>
      <c r="DG148">
        <v>502</v>
      </c>
      <c r="DH148">
        <v>4</v>
      </c>
      <c r="DI148" s="366">
        <v>21</v>
      </c>
      <c r="DJ148" s="366">
        <v>0</v>
      </c>
      <c r="DK148" s="366">
        <v>21</v>
      </c>
      <c r="DL148" s="366">
        <v>0</v>
      </c>
      <c r="DM148" s="366">
        <v>0</v>
      </c>
      <c r="DN148" s="367">
        <f>IFERROR(DA148/Instructions!$J$25,0)+DB148*Instructions!$J$27+DC148*Instructions!$J$29+IFERROR(DD148/Instructions!$E$34,0)+DE148*Instructions!$E$36+Tier!DF148*Instructions!$E$25+IFERROR(DG148/Instructions!$E$27,0)+DH148*Instructions!$E$29+IFERROR((DI148+DK148)/Instructions!$J$32,0)+(DJ148+DL148)*Instructions!$J$34+Tier!DM148*-2</f>
        <v>113.2</v>
      </c>
    </row>
    <row r="149" spans="1:118" s="366" customFormat="1" ht="15.75" customHeight="1" x14ac:dyDescent="0.25">
      <c r="A149" s="238"/>
      <c r="B149" s="238"/>
      <c r="C149" s="354"/>
      <c r="D149" s="365"/>
      <c r="F149" s="238">
        <v>2018</v>
      </c>
      <c r="G149" s="367">
        <f>LARGE($BI$134:$BI$165,16)</f>
        <v>236.1</v>
      </c>
      <c r="H149" s="355">
        <f t="shared" si="90"/>
        <v>-42.500000000000028</v>
      </c>
      <c r="I149" s="356">
        <f t="shared" si="84"/>
        <v>1806.2500000000025</v>
      </c>
      <c r="J149" s="356"/>
      <c r="K149" s="356">
        <f t="shared" si="86"/>
        <v>-2.6562500000000018</v>
      </c>
      <c r="L149" s="238">
        <f t="shared" si="87"/>
        <v>8</v>
      </c>
      <c r="M149" s="354"/>
      <c r="N149" s="372"/>
      <c r="O149" s="372"/>
      <c r="P149" s="366">
        <v>2014</v>
      </c>
      <c r="Q149" s="367">
        <f>LARGE($CB$2:$CB$151,148)</f>
        <v>1.7</v>
      </c>
      <c r="R149" s="357">
        <f t="shared" si="77"/>
        <v>-162.9</v>
      </c>
      <c r="S149" s="356">
        <f t="shared" si="76"/>
        <v>26536.410000000003</v>
      </c>
      <c r="T149" s="238"/>
      <c r="U149" s="356">
        <f t="shared" si="79"/>
        <v>-10.18125</v>
      </c>
      <c r="V149" s="238">
        <f t="shared" si="80"/>
        <v>8</v>
      </c>
      <c r="W149" s="354"/>
      <c r="X149" s="371"/>
      <c r="Y149" s="371"/>
      <c r="Z149" s="321">
        <v>2014</v>
      </c>
      <c r="AA149" s="367">
        <f>LARGE($CU$2:$CU$151,148)</f>
        <v>4.3</v>
      </c>
      <c r="AB149" s="357">
        <f t="shared" si="81"/>
        <v>-213.43333333333334</v>
      </c>
      <c r="AC149" s="356">
        <f t="shared" si="78"/>
        <v>45553.787777777776</v>
      </c>
      <c r="AD149" s="356"/>
      <c r="AE149" s="356">
        <f t="shared" si="82"/>
        <v>-13.339583333333334</v>
      </c>
      <c r="AF149" s="238">
        <f t="shared" si="83"/>
        <v>8</v>
      </c>
      <c r="AG149" s="354"/>
      <c r="AJ149" s="238">
        <v>2018</v>
      </c>
      <c r="AK149" s="367">
        <f>LARGE($DN$134:$DN$165,16)</f>
        <v>113.2</v>
      </c>
      <c r="AL149" s="373">
        <f t="shared" si="88"/>
        <v>-17.399999999999991</v>
      </c>
      <c r="AM149" s="374">
        <f t="shared" si="85"/>
        <v>302.75999999999971</v>
      </c>
      <c r="AN149" s="374"/>
      <c r="AO149" s="374">
        <f t="shared" si="89"/>
        <v>-1.0874999999999995</v>
      </c>
      <c r="AP149" s="238">
        <f t="shared" si="70"/>
        <v>8</v>
      </c>
      <c r="AQ149" s="354"/>
      <c r="AR149" s="238">
        <v>2018</v>
      </c>
      <c r="AS149" t="s">
        <v>1763</v>
      </c>
      <c r="AT149" t="s">
        <v>1938</v>
      </c>
      <c r="AU149" s="366" t="s">
        <v>1</v>
      </c>
      <c r="AV149" s="418">
        <v>3725</v>
      </c>
      <c r="AW149" s="426">
        <v>27</v>
      </c>
      <c r="AX149" s="426">
        <v>14</v>
      </c>
      <c r="AY149" s="426">
        <v>131</v>
      </c>
      <c r="AZ149" s="426">
        <v>0</v>
      </c>
      <c r="BA149" s="238">
        <v>0</v>
      </c>
      <c r="BB149" s="238">
        <v>0</v>
      </c>
      <c r="BC149" s="238">
        <v>0</v>
      </c>
      <c r="BD149" s="238">
        <v>0</v>
      </c>
      <c r="BE149" s="238">
        <v>0</v>
      </c>
      <c r="BF149" s="238">
        <v>0</v>
      </c>
      <c r="BG149" s="238">
        <v>0</v>
      </c>
      <c r="BH149" s="238">
        <v>3</v>
      </c>
      <c r="BI149" s="367">
        <f>IFERROR(AV149/Instructions!$J$25,0)+AW149*Instructions!$J$27+AX149*Instructions!$J$29+IFERROR(AY149/Instructions!$E$34,0)+AZ149*Instructions!$E$36+Tier!BA149*Instructions!$E$25+IFERROR(BB149/Instructions!$E$27,0)+BC149*Instructions!$E$29+IFERROR((BD149+BF149)/Instructions!$J$32,0)+(BE149+BG149)*Instructions!$J$34+BH149*-2</f>
        <v>236.1</v>
      </c>
      <c r="BJ149" s="354"/>
      <c r="BK149" s="366">
        <v>2014</v>
      </c>
      <c r="BL149" s="370" t="s">
        <v>1718</v>
      </c>
      <c r="BM149" s="372" t="s">
        <v>147</v>
      </c>
      <c r="BN149" s="372" t="s">
        <v>3</v>
      </c>
      <c r="BO149" s="372">
        <v>0</v>
      </c>
      <c r="BP149" s="372">
        <v>0</v>
      </c>
      <c r="BQ149" s="372">
        <v>0</v>
      </c>
      <c r="BR149" s="372">
        <v>16</v>
      </c>
      <c r="BS149" s="372">
        <v>0</v>
      </c>
      <c r="BT149" s="372">
        <v>0</v>
      </c>
      <c r="BU149" s="372">
        <v>0</v>
      </c>
      <c r="BV149" s="372">
        <v>0</v>
      </c>
      <c r="BW149" s="372">
        <v>0</v>
      </c>
      <c r="BX149" s="372">
        <v>0</v>
      </c>
      <c r="BY149" s="372">
        <v>0</v>
      </c>
      <c r="BZ149" s="372">
        <v>0</v>
      </c>
      <c r="CA149" s="372">
        <v>0</v>
      </c>
      <c r="CB149" s="367">
        <f>IFERROR(BO149/Instructions!$J$25,0)+BP149*Instructions!$J$27+BQ149*Instructions!$J$29+IFERROR(BR149/Instructions!$E$34,0)+BS149*Instructions!$E$36+Tier!BT150*Instructions!$E$25+IFERROR(BU149/Instructions!$E$27,0)+BV149*Instructions!$E$29+IFERROR((BW149+BY149)/Instructions!$J$32,0)+(BX149+BZ149)*Instructions!$J$34+Tier!CA149*-2</f>
        <v>2.6</v>
      </c>
      <c r="CC149" s="354"/>
      <c r="CD149" s="321">
        <v>2014</v>
      </c>
      <c r="CE149" s="370" t="s">
        <v>1741</v>
      </c>
      <c r="CF149" s="371" t="s">
        <v>1625</v>
      </c>
      <c r="CG149" s="371" t="s">
        <v>6</v>
      </c>
      <c r="CH149" s="371">
        <v>0</v>
      </c>
      <c r="CI149" s="371">
        <v>0</v>
      </c>
      <c r="CJ149" s="371">
        <v>0</v>
      </c>
      <c r="CK149" s="371">
        <v>67</v>
      </c>
      <c r="CL149" s="371">
        <v>0</v>
      </c>
      <c r="CM149" s="371">
        <v>4</v>
      </c>
      <c r="CN149" s="371">
        <v>92</v>
      </c>
      <c r="CO149" s="371">
        <v>0</v>
      </c>
      <c r="CP149" s="371">
        <v>0</v>
      </c>
      <c r="CQ149" s="371">
        <v>0</v>
      </c>
      <c r="CR149" s="371">
        <v>0</v>
      </c>
      <c r="CS149" s="371">
        <v>0</v>
      </c>
      <c r="CT149" s="371">
        <v>0</v>
      </c>
      <c r="CU149" s="367">
        <f>IFERROR(CH149/Instructions!$J$25,0)+CI149*Instructions!$J$27+CJ149*Instructions!$J$29+IFERROR(CK149/Instructions!$E$34,0)+CL149*Instructions!$E$36+Tier!CM149*Instructions!$E$25+IFERROR(CN149/Instructions!$E$27,0)+CO149*Instructions!$E$29+IFERROR((CP149+CR149)/Instructions!$J$32,0)+(CQ149+CS149)*Instructions!$J$34+Tier!CT149*-2</f>
        <v>19.899999999999999</v>
      </c>
      <c r="CV149" s="354"/>
      <c r="CW149" s="238">
        <v>2018</v>
      </c>
      <c r="CX149" t="s">
        <v>1811</v>
      </c>
      <c r="CY149" s="3" t="s">
        <v>1947</v>
      </c>
      <c r="CZ149" s="366" t="s">
        <v>7</v>
      </c>
      <c r="DA149" s="366">
        <v>0</v>
      </c>
      <c r="DB149" s="366">
        <v>0</v>
      </c>
      <c r="DC149" s="366">
        <v>0</v>
      </c>
      <c r="DD149" s="366">
        <v>0</v>
      </c>
      <c r="DE149" s="366">
        <v>0</v>
      </c>
      <c r="DF149">
        <v>34</v>
      </c>
      <c r="DG149">
        <v>552</v>
      </c>
      <c r="DH149">
        <v>3</v>
      </c>
      <c r="DI149" s="366">
        <v>0</v>
      </c>
      <c r="DJ149" s="366">
        <v>0</v>
      </c>
      <c r="DK149" s="366">
        <v>0</v>
      </c>
      <c r="DL149" s="366">
        <v>0</v>
      </c>
      <c r="DM149" s="366">
        <v>0</v>
      </c>
      <c r="DN149" s="367">
        <f>IFERROR(DA149/Instructions!$J$25,0)+DB149*Instructions!$J$27+DC149*Instructions!$J$29+IFERROR(DD149/Instructions!$E$34,0)+DE149*Instructions!$E$36+Tier!DF149*Instructions!$E$25+IFERROR(DG149/Instructions!$E$27,0)+DH149*Instructions!$E$29+IFERROR((DI149+DK149)/Instructions!$J$32,0)+(DJ149+DL149)*Instructions!$J$34+Tier!DM149*-2</f>
        <v>107.2</v>
      </c>
    </row>
    <row r="150" spans="1:118" s="366" customFormat="1" ht="15.75" customHeight="1" x14ac:dyDescent="0.25">
      <c r="A150" s="238"/>
      <c r="B150" s="238"/>
      <c r="C150" s="354"/>
      <c r="D150" s="365"/>
      <c r="F150" s="238">
        <v>2018</v>
      </c>
      <c r="G150" s="367">
        <f>LARGE($BI$134:$BI$165,17)</f>
        <v>233.96</v>
      </c>
      <c r="H150" s="355">
        <f t="shared" si="90"/>
        <v>-44.640000000000015</v>
      </c>
      <c r="I150" s="356">
        <f t="shared" si="84"/>
        <v>1992.7296000000013</v>
      </c>
      <c r="J150" s="356"/>
      <c r="K150" s="356">
        <f t="shared" si="86"/>
        <v>-2.7900000000000009</v>
      </c>
      <c r="L150" s="238">
        <f t="shared" si="87"/>
        <v>8</v>
      </c>
      <c r="M150" s="354"/>
      <c r="N150" s="381"/>
      <c r="O150" s="381"/>
      <c r="P150" s="366">
        <v>2014</v>
      </c>
      <c r="Q150" s="367">
        <f>LARGE($CB$2:$CB$151,149)</f>
        <v>1.5</v>
      </c>
      <c r="R150" s="357">
        <f t="shared" si="77"/>
        <v>-163.1</v>
      </c>
      <c r="S150" s="356">
        <f t="shared" si="76"/>
        <v>26601.609999999997</v>
      </c>
      <c r="T150" s="238"/>
      <c r="U150" s="356">
        <f t="shared" si="79"/>
        <v>-10.19375</v>
      </c>
      <c r="V150" s="238">
        <f t="shared" si="80"/>
        <v>8</v>
      </c>
      <c r="W150" s="354"/>
      <c r="X150" s="371"/>
      <c r="Y150" s="371"/>
      <c r="Z150" s="321">
        <v>2014</v>
      </c>
      <c r="AA150" s="367">
        <f>LARGE($CU$2:$CU$151,149)</f>
        <v>1.9</v>
      </c>
      <c r="AB150" s="357">
        <f t="shared" si="81"/>
        <v>-215.83333333333334</v>
      </c>
      <c r="AC150" s="356">
        <f t="shared" si="78"/>
        <v>46584.027777777781</v>
      </c>
      <c r="AD150" s="356"/>
      <c r="AE150" s="356">
        <f t="shared" si="82"/>
        <v>-13.489583333333334</v>
      </c>
      <c r="AF150" s="238">
        <f t="shared" si="83"/>
        <v>8</v>
      </c>
      <c r="AG150" s="354"/>
      <c r="AJ150" s="238">
        <v>2018</v>
      </c>
      <c r="AK150" s="367">
        <f>LARGE($DN$134:$DN$165,17)</f>
        <v>107.2</v>
      </c>
      <c r="AL150" s="373">
        <f t="shared" si="88"/>
        <v>-23.399999999999991</v>
      </c>
      <c r="AM150" s="374">
        <f t="shared" si="85"/>
        <v>547.5599999999996</v>
      </c>
      <c r="AN150" s="374"/>
      <c r="AO150" s="374">
        <f t="shared" si="89"/>
        <v>-1.4624999999999995</v>
      </c>
      <c r="AP150" s="238">
        <f t="shared" si="70"/>
        <v>8</v>
      </c>
      <c r="AQ150" s="354"/>
      <c r="AR150" s="238">
        <v>2018</v>
      </c>
      <c r="AS150" t="s">
        <v>67</v>
      </c>
      <c r="AT150" t="s">
        <v>154</v>
      </c>
      <c r="AU150" s="366" t="s">
        <v>1</v>
      </c>
      <c r="AV150" s="418">
        <v>4299</v>
      </c>
      <c r="AW150" s="426">
        <v>21</v>
      </c>
      <c r="AX150" s="426">
        <v>11</v>
      </c>
      <c r="AY150" s="426">
        <v>20</v>
      </c>
      <c r="AZ150" s="426">
        <v>1</v>
      </c>
      <c r="BA150" s="238">
        <v>0</v>
      </c>
      <c r="BB150" s="238">
        <v>0</v>
      </c>
      <c r="BC150" s="238">
        <v>0</v>
      </c>
      <c r="BD150" s="238">
        <v>0</v>
      </c>
      <c r="BE150" s="238">
        <v>0</v>
      </c>
      <c r="BF150" s="238">
        <v>0</v>
      </c>
      <c r="BG150" s="238">
        <v>0</v>
      </c>
      <c r="BH150" s="238">
        <v>4</v>
      </c>
      <c r="BI150" s="367">
        <f>IFERROR(AV150/Instructions!$J$25,0)+AW150*Instructions!$J$27+AX150*Instructions!$J$29+IFERROR(AY150/Instructions!$E$34,0)+AZ150*Instructions!$E$36+Tier!BA150*Instructions!$E$25+IFERROR(BB150/Instructions!$E$27,0)+BC150*Instructions!$E$29+IFERROR((BD150+BF150)/Instructions!$J$32,0)+(BE150+BG150)*Instructions!$J$34+BH150*-2</f>
        <v>233.96</v>
      </c>
      <c r="BJ150" s="354"/>
      <c r="BK150" s="366">
        <v>2014</v>
      </c>
      <c r="BL150" s="370" t="s">
        <v>1719</v>
      </c>
      <c r="BM150" s="372" t="s">
        <v>1625</v>
      </c>
      <c r="BN150" s="372" t="s">
        <v>3</v>
      </c>
      <c r="BO150" s="372">
        <v>0</v>
      </c>
      <c r="BP150" s="372">
        <v>0</v>
      </c>
      <c r="BQ150" s="372">
        <v>0</v>
      </c>
      <c r="BR150" s="372">
        <v>0</v>
      </c>
      <c r="BS150" s="372">
        <v>0</v>
      </c>
      <c r="BT150" s="372">
        <v>1</v>
      </c>
      <c r="BU150" s="372">
        <v>15</v>
      </c>
      <c r="BV150" s="372">
        <v>0</v>
      </c>
      <c r="BW150" s="372">
        <v>0</v>
      </c>
      <c r="BX150" s="372">
        <v>0</v>
      </c>
      <c r="BY150" s="372">
        <v>0</v>
      </c>
      <c r="BZ150" s="372">
        <v>0</v>
      </c>
      <c r="CA150" s="372">
        <v>0</v>
      </c>
      <c r="CB150" s="367">
        <f>IFERROR(BO150/Instructions!$J$25,0)+BP150*Instructions!$J$27+BQ150*Instructions!$J$29+IFERROR(BR150/Instructions!$E$34,0)+BS150*Instructions!$E$36+Tier!BT151*Instructions!$E$25+IFERROR(BU150/Instructions!$E$27,0)+BV150*Instructions!$E$29+IFERROR((BW150+BY150)/Instructions!$J$32,0)+(BX150+BZ150)*Instructions!$J$34+Tier!CA150*-2</f>
        <v>1.5</v>
      </c>
      <c r="CC150" s="354"/>
      <c r="CD150" s="321">
        <v>2014</v>
      </c>
      <c r="CE150" s="370" t="s">
        <v>1683</v>
      </c>
      <c r="CF150" s="371" t="s">
        <v>144</v>
      </c>
      <c r="CG150" s="371" t="s">
        <v>6</v>
      </c>
      <c r="CH150" s="371">
        <v>0</v>
      </c>
      <c r="CI150" s="371">
        <v>0</v>
      </c>
      <c r="CJ150" s="371">
        <v>0</v>
      </c>
      <c r="CK150" s="371">
        <v>0</v>
      </c>
      <c r="CL150" s="371">
        <v>0</v>
      </c>
      <c r="CM150" s="371">
        <v>5</v>
      </c>
      <c r="CN150" s="371">
        <v>47</v>
      </c>
      <c r="CO150" s="371">
        <v>0</v>
      </c>
      <c r="CP150" s="371">
        <v>0</v>
      </c>
      <c r="CQ150" s="371">
        <v>0</v>
      </c>
      <c r="CR150" s="371">
        <v>278</v>
      </c>
      <c r="CS150" s="371">
        <v>0</v>
      </c>
      <c r="CT150" s="371">
        <v>0</v>
      </c>
      <c r="CU150" s="367">
        <f>IFERROR(CH150/Instructions!$J$25,0)+CI150*Instructions!$J$27+CJ150*Instructions!$J$29+IFERROR(CK150/Instructions!$E$34,0)+CL150*Instructions!$E$36+Tier!CM150*Instructions!$E$25+IFERROR(CN150/Instructions!$E$27,0)+CO150*Instructions!$E$29+IFERROR((CP150+CR150)/Instructions!$J$32,0)+(CQ150+CS150)*Instructions!$J$34+Tier!CT150*-2</f>
        <v>9.6999999999999993</v>
      </c>
      <c r="CV150" s="354"/>
      <c r="CW150" s="238">
        <v>2018</v>
      </c>
      <c r="CX150" t="s">
        <v>37</v>
      </c>
      <c r="CY150" s="3" t="s">
        <v>1940</v>
      </c>
      <c r="CZ150" s="366" t="s">
        <v>7</v>
      </c>
      <c r="DA150" s="366">
        <v>0</v>
      </c>
      <c r="DB150" s="366">
        <v>0</v>
      </c>
      <c r="DC150" s="366">
        <v>0</v>
      </c>
      <c r="DD150" s="366">
        <v>0</v>
      </c>
      <c r="DE150" s="366">
        <v>0</v>
      </c>
      <c r="DF150">
        <v>54</v>
      </c>
      <c r="DG150">
        <v>558</v>
      </c>
      <c r="DH150">
        <v>2</v>
      </c>
      <c r="DI150" s="366">
        <v>0</v>
      </c>
      <c r="DJ150" s="366">
        <v>0</v>
      </c>
      <c r="DK150" s="366">
        <v>0</v>
      </c>
      <c r="DL150" s="366">
        <v>0</v>
      </c>
      <c r="DM150" s="366">
        <v>1</v>
      </c>
      <c r="DN150" s="367">
        <f>IFERROR(DA150/Instructions!$J$25,0)+DB150*Instructions!$J$27+DC150*Instructions!$J$29+IFERROR(DD150/Instructions!$E$34,0)+DE150*Instructions!$E$36+Tier!DF150*Instructions!$E$25+IFERROR(DG150/Instructions!$E$27,0)+DH150*Instructions!$E$29+IFERROR((DI150+DK150)/Instructions!$J$32,0)+(DJ150+DL150)*Instructions!$J$34+Tier!DM150*-2</f>
        <v>119.8</v>
      </c>
    </row>
    <row r="151" spans="1:118" s="366" customFormat="1" ht="15.75" customHeight="1" x14ac:dyDescent="0.25">
      <c r="A151" s="238"/>
      <c r="B151" s="238"/>
      <c r="C151" s="354"/>
      <c r="D151" s="365"/>
      <c r="F151" s="238">
        <v>2018</v>
      </c>
      <c r="G151" s="367">
        <f>LARGE($BI$134:$BI$165,18)</f>
        <v>214.9</v>
      </c>
      <c r="H151" s="355">
        <f t="shared" si="90"/>
        <v>-63.700000000000017</v>
      </c>
      <c r="I151" s="356">
        <f t="shared" si="84"/>
        <v>4057.6900000000023</v>
      </c>
      <c r="J151" s="356"/>
      <c r="K151" s="356">
        <f t="shared" si="86"/>
        <v>-3.9812500000000011</v>
      </c>
      <c r="L151" s="238">
        <f t="shared" si="87"/>
        <v>8</v>
      </c>
      <c r="M151" s="354"/>
      <c r="N151" s="372"/>
      <c r="O151" s="372"/>
      <c r="P151" s="366">
        <v>2014</v>
      </c>
      <c r="Q151" s="367">
        <f>LARGE($CB$2:$CB$151,150)</f>
        <v>1.3</v>
      </c>
      <c r="R151" s="357">
        <f t="shared" si="77"/>
        <v>-163.29999999999998</v>
      </c>
      <c r="S151" s="356">
        <f t="shared" si="76"/>
        <v>26666.889999999996</v>
      </c>
      <c r="T151" s="238"/>
      <c r="U151" s="356">
        <f t="shared" si="79"/>
        <v>-10.206249999999999</v>
      </c>
      <c r="V151" s="238">
        <f t="shared" si="80"/>
        <v>8</v>
      </c>
      <c r="W151" s="354"/>
      <c r="X151" s="371"/>
      <c r="Y151" s="371"/>
      <c r="Z151" s="321">
        <v>2014</v>
      </c>
      <c r="AA151" s="367">
        <f>LARGE($CU$2:$CU$151,150)</f>
        <v>1.8</v>
      </c>
      <c r="AB151" s="357">
        <f t="shared" si="81"/>
        <v>-215.93333333333334</v>
      </c>
      <c r="AC151" s="356">
        <f t="shared" si="78"/>
        <v>46627.204444444447</v>
      </c>
      <c r="AD151" s="356"/>
      <c r="AE151" s="356">
        <f t="shared" si="82"/>
        <v>-13.495833333333334</v>
      </c>
      <c r="AF151" s="238">
        <f t="shared" si="83"/>
        <v>8</v>
      </c>
      <c r="AG151" s="354"/>
      <c r="AJ151" s="238">
        <v>2018</v>
      </c>
      <c r="AK151" s="367">
        <f>LARGE($DN$134:$DN$165,18)</f>
        <v>104.9</v>
      </c>
      <c r="AL151" s="373">
        <f t="shared" si="88"/>
        <v>-25.699999999999989</v>
      </c>
      <c r="AM151" s="374">
        <f t="shared" si="85"/>
        <v>660.48999999999944</v>
      </c>
      <c r="AN151" s="374"/>
      <c r="AO151" s="374">
        <f t="shared" si="89"/>
        <v>-1.6062499999999993</v>
      </c>
      <c r="AP151" s="238">
        <f t="shared" si="70"/>
        <v>8</v>
      </c>
      <c r="AQ151" s="354"/>
      <c r="AR151" s="238">
        <v>2018</v>
      </c>
      <c r="AS151" t="s">
        <v>24</v>
      </c>
      <c r="AT151" t="s">
        <v>1939</v>
      </c>
      <c r="AU151" s="366" t="s">
        <v>1</v>
      </c>
      <c r="AV151" s="418">
        <v>3777</v>
      </c>
      <c r="AW151" s="426">
        <v>21</v>
      </c>
      <c r="AX151" s="426">
        <v>11</v>
      </c>
      <c r="AY151" s="426">
        <v>71</v>
      </c>
      <c r="AZ151" s="426">
        <v>0</v>
      </c>
      <c r="BA151" s="238">
        <v>0</v>
      </c>
      <c r="BB151" s="238">
        <v>0</v>
      </c>
      <c r="BC151" s="238">
        <v>0</v>
      </c>
      <c r="BD151" s="238">
        <v>0</v>
      </c>
      <c r="BE151" s="238">
        <v>0</v>
      </c>
      <c r="BF151" s="238">
        <v>0</v>
      </c>
      <c r="BG151" s="238">
        <v>0</v>
      </c>
      <c r="BH151" s="238">
        <v>4</v>
      </c>
      <c r="BI151" s="367">
        <f>IFERROR(AV151/Instructions!$J$25,0)+AW151*Instructions!$J$27+AX151*Instructions!$J$29+IFERROR(AY151/Instructions!$E$34,0)+AZ151*Instructions!$E$36+Tier!BA151*Instructions!$E$25+IFERROR(BB151/Instructions!$E$27,0)+BC151*Instructions!$E$29+IFERROR((BD151+BF151)/Instructions!$J$32,0)+(BE151+BG151)*Instructions!$J$34+BH151*-2</f>
        <v>212.18</v>
      </c>
      <c r="BJ151" s="354"/>
      <c r="BK151" s="366">
        <v>2014</v>
      </c>
      <c r="BL151" s="370" t="s">
        <v>1720</v>
      </c>
      <c r="BM151" s="372" t="s">
        <v>154</v>
      </c>
      <c r="BN151" s="372" t="s">
        <v>3</v>
      </c>
      <c r="BO151" s="372">
        <v>0</v>
      </c>
      <c r="BP151" s="372">
        <v>0</v>
      </c>
      <c r="BQ151" s="372">
        <v>0</v>
      </c>
      <c r="BR151" s="372">
        <v>13</v>
      </c>
      <c r="BS151" s="372">
        <v>0</v>
      </c>
      <c r="BT151" s="372">
        <v>0</v>
      </c>
      <c r="BU151" s="372">
        <v>0</v>
      </c>
      <c r="BV151" s="372">
        <v>0</v>
      </c>
      <c r="BW151" s="372">
        <v>0</v>
      </c>
      <c r="BX151" s="372">
        <v>0</v>
      </c>
      <c r="BY151" s="372">
        <v>0</v>
      </c>
      <c r="BZ151" s="372">
        <v>0</v>
      </c>
      <c r="CA151" s="372">
        <v>0</v>
      </c>
      <c r="CB151" s="367">
        <f>IFERROR(BO151/Instructions!$J$25,0)+BP151*Instructions!$J$27+BQ151*Instructions!$J$29+IFERROR(BR151/Instructions!$E$34,0)+BS151*Instructions!$E$36+Tier!BT152*Instructions!$E$25+IFERROR(BU151/Instructions!$E$27,0)+BV151*Instructions!$E$29+IFERROR((BW151+BY151)/Instructions!$J$32,0)+(BX151+BZ151)*Instructions!$J$34+Tier!CA151*-2</f>
        <v>1.3</v>
      </c>
      <c r="CC151" s="354"/>
      <c r="CD151" s="321">
        <v>2014</v>
      </c>
      <c r="CE151" s="370" t="s">
        <v>1112</v>
      </c>
      <c r="CF151" s="371" t="s">
        <v>1626</v>
      </c>
      <c r="CG151" s="371" t="s">
        <v>6</v>
      </c>
      <c r="CH151" s="371">
        <v>0</v>
      </c>
      <c r="CI151" s="371">
        <v>0</v>
      </c>
      <c r="CJ151" s="371">
        <v>0</v>
      </c>
      <c r="CK151" s="371">
        <v>0</v>
      </c>
      <c r="CL151" s="371">
        <v>0</v>
      </c>
      <c r="CM151" s="371">
        <v>12</v>
      </c>
      <c r="CN151" s="371">
        <v>158</v>
      </c>
      <c r="CO151" s="371">
        <v>0</v>
      </c>
      <c r="CP151" s="371">
        <v>0</v>
      </c>
      <c r="CQ151" s="371">
        <v>0</v>
      </c>
      <c r="CR151" s="371">
        <v>0</v>
      </c>
      <c r="CS151" s="371">
        <v>0</v>
      </c>
      <c r="CT151" s="371">
        <v>0</v>
      </c>
      <c r="CU151" s="367">
        <f>IFERROR(CH151/Instructions!$J$25,0)+CI151*Instructions!$J$27+CJ151*Instructions!$J$29+IFERROR(CK151/Instructions!$E$34,0)+CL151*Instructions!$E$36+Tier!CM151*Instructions!$E$25+IFERROR(CN151/Instructions!$E$27,0)+CO151*Instructions!$E$29+IFERROR((CP151+CR151)/Instructions!$J$32,0)+(CQ151+CS151)*Instructions!$J$34+Tier!CT151*-2</f>
        <v>27.8</v>
      </c>
      <c r="CV151" s="354"/>
      <c r="CW151" s="238">
        <v>2018</v>
      </c>
      <c r="CX151" t="s">
        <v>1297</v>
      </c>
      <c r="CY151" s="3" t="s">
        <v>149</v>
      </c>
      <c r="CZ151" s="366" t="s">
        <v>7</v>
      </c>
      <c r="DA151" s="366">
        <v>0</v>
      </c>
      <c r="DB151" s="366">
        <v>0</v>
      </c>
      <c r="DC151" s="366">
        <v>0</v>
      </c>
      <c r="DD151" s="366">
        <v>0</v>
      </c>
      <c r="DE151" s="366">
        <v>0</v>
      </c>
      <c r="DF151">
        <v>30</v>
      </c>
      <c r="DG151">
        <v>289</v>
      </c>
      <c r="DH151">
        <v>6</v>
      </c>
      <c r="DI151" s="366">
        <v>0</v>
      </c>
      <c r="DJ151" s="366">
        <v>0</v>
      </c>
      <c r="DK151" s="366">
        <v>0</v>
      </c>
      <c r="DL151" s="366">
        <v>0</v>
      </c>
      <c r="DM151" s="366">
        <v>1</v>
      </c>
      <c r="DN151" s="367">
        <f>IFERROR(DA151/Instructions!$J$25,0)+DB151*Instructions!$J$27+DC151*Instructions!$J$29+IFERROR(DD151/Instructions!$E$34,0)+DE151*Instructions!$E$36+Tier!DF151*Instructions!$E$25+IFERROR(DG151/Instructions!$E$27,0)+DH151*Instructions!$E$29+IFERROR((DI151+DK151)/Instructions!$J$32,0)+(DJ151+DL151)*Instructions!$J$34+Tier!DM151*-2</f>
        <v>92.9</v>
      </c>
    </row>
    <row r="152" spans="1:118" s="366" customFormat="1" ht="15.75" customHeight="1" x14ac:dyDescent="0.25">
      <c r="A152" s="238"/>
      <c r="B152" s="238"/>
      <c r="C152" s="354"/>
      <c r="D152" s="365"/>
      <c r="F152" s="238">
        <v>2018</v>
      </c>
      <c r="G152" s="367">
        <f>LARGE($BI$134:$BI$165,19)</f>
        <v>214.76</v>
      </c>
      <c r="H152" s="355">
        <f t="shared" si="90"/>
        <v>-63.840000000000032</v>
      </c>
      <c r="I152" s="356">
        <f t="shared" si="84"/>
        <v>4075.545600000004</v>
      </c>
      <c r="J152" s="356"/>
      <c r="K152" s="356">
        <f t="shared" si="86"/>
        <v>-3.990000000000002</v>
      </c>
      <c r="L152" s="238">
        <f t="shared" si="87"/>
        <v>8</v>
      </c>
      <c r="M152" s="354"/>
      <c r="N152" s="372"/>
      <c r="O152" s="372"/>
      <c r="P152" s="380"/>
      <c r="Q152" s="376"/>
      <c r="R152" s="376"/>
      <c r="S152" s="376"/>
      <c r="T152" s="376"/>
      <c r="U152" s="376"/>
      <c r="V152" s="376"/>
      <c r="W152" s="354"/>
      <c r="X152" s="381"/>
      <c r="Y152" s="381"/>
      <c r="Z152" s="425"/>
      <c r="AA152" s="376"/>
      <c r="AB152" s="376"/>
      <c r="AC152" s="376"/>
      <c r="AD152" s="376"/>
      <c r="AE152" s="376"/>
      <c r="AF152" s="376"/>
      <c r="AG152" s="354"/>
      <c r="AJ152" s="238">
        <v>2018</v>
      </c>
      <c r="AK152" s="367">
        <f>LARGE($DN$134:$DN$165,19)</f>
        <v>92.9</v>
      </c>
      <c r="AL152" s="373">
        <f t="shared" si="88"/>
        <v>-37.699999999999989</v>
      </c>
      <c r="AM152" s="374">
        <f t="shared" si="85"/>
        <v>1421.2899999999991</v>
      </c>
      <c r="AN152" s="374"/>
      <c r="AO152" s="374">
        <f t="shared" si="89"/>
        <v>-2.3562499999999993</v>
      </c>
      <c r="AP152" s="238">
        <f t="shared" si="70"/>
        <v>8</v>
      </c>
      <c r="AQ152" s="354"/>
      <c r="AR152" s="238">
        <v>2018</v>
      </c>
      <c r="AS152" t="s">
        <v>1221</v>
      </c>
      <c r="AT152" t="s">
        <v>1940</v>
      </c>
      <c r="AU152" s="366" t="s">
        <v>1</v>
      </c>
      <c r="AV152" s="418">
        <v>3890</v>
      </c>
      <c r="AW152" s="426">
        <v>18</v>
      </c>
      <c r="AX152" s="426">
        <v>15</v>
      </c>
      <c r="AY152" s="426">
        <v>93</v>
      </c>
      <c r="AZ152" s="426">
        <v>2</v>
      </c>
      <c r="BA152" s="238">
        <v>0</v>
      </c>
      <c r="BB152" s="238">
        <v>0</v>
      </c>
      <c r="BC152" s="238">
        <v>0</v>
      </c>
      <c r="BD152" s="238">
        <v>0</v>
      </c>
      <c r="BE152" s="238">
        <v>0</v>
      </c>
      <c r="BF152" s="238">
        <v>0</v>
      </c>
      <c r="BG152" s="238">
        <v>0</v>
      </c>
      <c r="BH152" s="238">
        <v>2</v>
      </c>
      <c r="BI152" s="367">
        <f>IFERROR(AV152/Instructions!$J$25,0)+AW152*Instructions!$J$27+AX152*Instructions!$J$29+IFERROR(AY152/Instructions!$E$34,0)+AZ152*Instructions!$E$36+Tier!BA152*Instructions!$E$25+IFERROR(BB152/Instructions!$E$27,0)+BC152*Instructions!$E$29+IFERROR((BD152+BF152)/Instructions!$J$32,0)+(BE152+BG152)*Instructions!$J$34+BH152*-2</f>
        <v>214.9</v>
      </c>
      <c r="BJ152" s="354"/>
      <c r="BK152" s="380"/>
      <c r="BL152" s="420"/>
      <c r="BM152" s="380"/>
      <c r="BN152" s="380"/>
      <c r="BO152" s="380"/>
      <c r="BP152" s="380"/>
      <c r="BQ152" s="380"/>
      <c r="BR152" s="380"/>
      <c r="BS152" s="380"/>
      <c r="BT152" s="380"/>
      <c r="BU152" s="381"/>
      <c r="BV152" s="381"/>
      <c r="BW152" s="380"/>
      <c r="BX152" s="380"/>
      <c r="BY152" s="380"/>
      <c r="BZ152" s="380"/>
      <c r="CA152" s="380"/>
      <c r="CB152" s="382"/>
      <c r="CC152" s="354"/>
      <c r="CD152" s="425"/>
      <c r="CE152" s="424"/>
      <c r="CF152" s="381"/>
      <c r="CG152" s="381"/>
      <c r="CH152" s="381"/>
      <c r="CI152" s="381"/>
      <c r="CJ152" s="381"/>
      <c r="CK152" s="381"/>
      <c r="CL152" s="381"/>
      <c r="CM152" s="381"/>
      <c r="CN152" s="381"/>
      <c r="CO152" s="381"/>
      <c r="CP152" s="381"/>
      <c r="CQ152" s="381"/>
      <c r="CR152" s="381"/>
      <c r="CS152" s="381"/>
      <c r="CT152" s="381"/>
      <c r="CU152" s="382"/>
      <c r="CV152" s="354"/>
      <c r="CW152" s="238">
        <v>2018</v>
      </c>
      <c r="CX152" t="s">
        <v>1983</v>
      </c>
      <c r="CY152" s="3" t="s">
        <v>1944</v>
      </c>
      <c r="CZ152" s="366" t="s">
        <v>7</v>
      </c>
      <c r="DA152" s="366">
        <v>0</v>
      </c>
      <c r="DB152" s="366">
        <v>0</v>
      </c>
      <c r="DC152" s="366">
        <v>0</v>
      </c>
      <c r="DD152" s="366">
        <v>0</v>
      </c>
      <c r="DE152" s="366">
        <v>0</v>
      </c>
      <c r="DF152">
        <v>43</v>
      </c>
      <c r="DG152">
        <v>439</v>
      </c>
      <c r="DH152">
        <v>3</v>
      </c>
      <c r="DI152" s="366">
        <v>0</v>
      </c>
      <c r="DJ152" s="366">
        <v>0</v>
      </c>
      <c r="DK152" s="366">
        <v>0</v>
      </c>
      <c r="DL152" s="366">
        <v>0</v>
      </c>
      <c r="DM152" s="366">
        <v>0</v>
      </c>
      <c r="DN152" s="367">
        <f>IFERROR(DA152/Instructions!$J$25,0)+DB152*Instructions!$J$27+DC152*Instructions!$J$29+IFERROR(DD152/Instructions!$E$34,0)+DE152*Instructions!$E$36+Tier!DF152*Instructions!$E$25+IFERROR(DG152/Instructions!$E$27,0)+DH152*Instructions!$E$29+IFERROR((DI152+DK152)/Instructions!$J$32,0)+(DJ152+DL152)*Instructions!$J$34+Tier!DM152*-2</f>
        <v>104.9</v>
      </c>
    </row>
    <row r="153" spans="1:118" s="366" customFormat="1" ht="15.75" customHeight="1" x14ac:dyDescent="0.25">
      <c r="A153" s="238"/>
      <c r="B153" s="238"/>
      <c r="C153" s="354"/>
      <c r="D153" s="365"/>
      <c r="F153" s="238">
        <v>2018</v>
      </c>
      <c r="G153" s="367">
        <f>LARGE($BI$134:$BI$165,20)</f>
        <v>212.18</v>
      </c>
      <c r="H153" s="355">
        <f t="shared" si="90"/>
        <v>-66.420000000000016</v>
      </c>
      <c r="I153" s="356">
        <f t="shared" si="84"/>
        <v>4411.6164000000017</v>
      </c>
      <c r="J153" s="356"/>
      <c r="K153" s="356">
        <f t="shared" si="86"/>
        <v>-4.151250000000001</v>
      </c>
      <c r="L153" s="238">
        <f t="shared" si="87"/>
        <v>8</v>
      </c>
      <c r="M153" s="354"/>
      <c r="N153" s="372"/>
      <c r="O153" s="372"/>
      <c r="P153" s="366">
        <v>2015</v>
      </c>
      <c r="Q153" s="367">
        <f>LARGE($CB$153:$CB$302,1)</f>
        <v>273.39999999999998</v>
      </c>
      <c r="R153" s="357">
        <f>Q153-$T$163</f>
        <v>108.79999999999998</v>
      </c>
      <c r="S153" s="356">
        <f>R153^2</f>
        <v>11837.439999999997</v>
      </c>
      <c r="T153" s="356">
        <v>16</v>
      </c>
      <c r="U153" s="356">
        <f>R153/$T$153</f>
        <v>6.7999999999999989</v>
      </c>
      <c r="V153" s="238">
        <f t="shared" si="80"/>
        <v>0</v>
      </c>
      <c r="W153" s="354"/>
      <c r="X153" s="371"/>
      <c r="Y153" s="371"/>
      <c r="Z153" s="321">
        <v>2015</v>
      </c>
      <c r="AA153" s="367">
        <f>LARGE($CU$153:$CU$302,1)</f>
        <v>386.20000000000005</v>
      </c>
      <c r="AB153" s="357">
        <f>$AA153-$AD$163</f>
        <v>163.06666666666672</v>
      </c>
      <c r="AC153" s="356">
        <f t="shared" si="78"/>
        <v>26590.737777777795</v>
      </c>
      <c r="AD153" s="356">
        <v>16</v>
      </c>
      <c r="AE153" s="356">
        <f>AB153/$AD$153</f>
        <v>10.19166666666667</v>
      </c>
      <c r="AF153" s="238">
        <f t="shared" si="83"/>
        <v>0</v>
      </c>
      <c r="AG153" s="354"/>
      <c r="AJ153" s="238">
        <v>2018</v>
      </c>
      <c r="AK153" s="367">
        <f>LARGE($DN$134:$DN$165,20)</f>
        <v>90.4</v>
      </c>
      <c r="AL153" s="373">
        <f t="shared" si="88"/>
        <v>-40.199999999999989</v>
      </c>
      <c r="AM153" s="374">
        <f t="shared" si="85"/>
        <v>1616.0399999999991</v>
      </c>
      <c r="AN153" s="374"/>
      <c r="AO153" s="374">
        <f t="shared" si="89"/>
        <v>-2.5124999999999993</v>
      </c>
      <c r="AP153" s="238">
        <f t="shared" si="70"/>
        <v>8</v>
      </c>
      <c r="AQ153" s="354"/>
      <c r="AR153" s="238">
        <v>2018</v>
      </c>
      <c r="AS153" t="s">
        <v>176</v>
      </c>
      <c r="AT153" t="s">
        <v>1941</v>
      </c>
      <c r="AU153" s="366" t="s">
        <v>1</v>
      </c>
      <c r="AV153" s="418">
        <v>4049</v>
      </c>
      <c r="AW153" s="426">
        <v>19</v>
      </c>
      <c r="AX153" s="426">
        <v>10</v>
      </c>
      <c r="AY153" s="426">
        <v>47</v>
      </c>
      <c r="AZ153" s="426">
        <v>1</v>
      </c>
      <c r="BA153" s="238">
        <v>1</v>
      </c>
      <c r="BB153" s="238">
        <v>-9</v>
      </c>
      <c r="BC153" s="238">
        <v>0</v>
      </c>
      <c r="BD153" s="238">
        <v>0</v>
      </c>
      <c r="BE153" s="238">
        <v>0</v>
      </c>
      <c r="BF153" s="238">
        <v>0</v>
      </c>
      <c r="BG153" s="238">
        <v>0</v>
      </c>
      <c r="BH153" s="238">
        <v>7</v>
      </c>
      <c r="BI153" s="367">
        <f>IFERROR(AV153/Instructions!$J$25,0)+AW153*Instructions!$J$27+AX153*Instructions!$J$29+IFERROR(AY153/Instructions!$E$34,0)+AZ153*Instructions!$E$36+Tier!BA153*Instructions!$E$25+IFERROR(BB153/Instructions!$E$27,0)+BC153*Instructions!$E$29+IFERROR((BD153+BF153)/Instructions!$J$32,0)+(BE153+BG153)*Instructions!$J$34+BH153*-2</f>
        <v>214.76</v>
      </c>
      <c r="BJ153" s="354"/>
      <c r="BK153" s="366">
        <v>2015</v>
      </c>
      <c r="BL153" s="365" t="s">
        <v>117</v>
      </c>
      <c r="BM153" s="366" t="s">
        <v>148</v>
      </c>
      <c r="BN153" s="366" t="s">
        <v>3</v>
      </c>
      <c r="BO153" s="366">
        <v>0</v>
      </c>
      <c r="BP153" s="366">
        <v>0</v>
      </c>
      <c r="BQ153" s="366">
        <v>0</v>
      </c>
      <c r="BR153" s="366">
        <v>1056</v>
      </c>
      <c r="BS153" s="366">
        <v>11</v>
      </c>
      <c r="BT153" s="366">
        <v>73</v>
      </c>
      <c r="BU153" s="371">
        <v>578</v>
      </c>
      <c r="BV153" s="371">
        <v>3</v>
      </c>
      <c r="BW153" s="366">
        <v>0</v>
      </c>
      <c r="BX153" s="366">
        <v>0</v>
      </c>
      <c r="BY153" s="366">
        <v>0</v>
      </c>
      <c r="BZ153" s="366">
        <v>0</v>
      </c>
      <c r="CA153" s="366">
        <v>2</v>
      </c>
      <c r="CB153" s="367">
        <f>IFERROR(BO153/Instructions!$J$25,0)+BP153*Instructions!$J$27+BQ153*Instructions!$J$29+IFERROR(BR153/Instructions!$E$34,0)+BS153*Instructions!$E$36+Tier!BT154*Instructions!$E$25+IFERROR(BU153/Instructions!$E$27,0)+BV153*Instructions!$E$29+IFERROR((BW153+BY153)/Instructions!$J$32,0)+(BX153+BZ153)*Instructions!$J$34+Tier!CA153*-2</f>
        <v>273.39999999999998</v>
      </c>
      <c r="CC153" s="354"/>
      <c r="CD153" s="321">
        <v>2015</v>
      </c>
      <c r="CE153" s="370" t="s">
        <v>36</v>
      </c>
      <c r="CF153" s="371" t="s">
        <v>147</v>
      </c>
      <c r="CG153" s="371" t="s">
        <v>6</v>
      </c>
      <c r="CH153" s="371">
        <v>0</v>
      </c>
      <c r="CI153" s="371">
        <v>0</v>
      </c>
      <c r="CJ153" s="371">
        <v>0</v>
      </c>
      <c r="CK153" s="371">
        <v>28</v>
      </c>
      <c r="CL153" s="371">
        <v>0</v>
      </c>
      <c r="CM153" s="371">
        <v>136</v>
      </c>
      <c r="CN153" s="371">
        <v>1834</v>
      </c>
      <c r="CO153" s="371">
        <v>10</v>
      </c>
      <c r="CP153" s="371">
        <v>212</v>
      </c>
      <c r="CQ153" s="371">
        <v>1</v>
      </c>
      <c r="CR153" s="371">
        <v>0</v>
      </c>
      <c r="CS153" s="371">
        <v>0</v>
      </c>
      <c r="CT153" s="371">
        <v>1</v>
      </c>
      <c r="CU153" s="367">
        <f>IFERROR(CH153/Instructions!$J$25,0)+CI153*Instructions!$J$27+CJ153*Instructions!$J$29+IFERROR(CK153/Instructions!$E$34,0)+CL153*Instructions!$E$36+Tier!CM153*Instructions!$E$25+IFERROR(CN153/Instructions!$E$27,0)+CO153*Instructions!$E$29+IFERROR((CP153+CR153)/Instructions!$J$32,0)+(CQ153+CS153)*Instructions!$J$34+Tier!CT153*-2</f>
        <v>386.20000000000005</v>
      </c>
      <c r="CV153" s="354"/>
      <c r="CW153" s="238">
        <v>2018</v>
      </c>
      <c r="CX153" t="s">
        <v>1813</v>
      </c>
      <c r="CY153" s="3" t="s">
        <v>1943</v>
      </c>
      <c r="CZ153" s="366" t="s">
        <v>7</v>
      </c>
      <c r="DA153" s="366">
        <v>0</v>
      </c>
      <c r="DB153" s="366">
        <v>0</v>
      </c>
      <c r="DC153" s="366">
        <v>0</v>
      </c>
      <c r="DD153" s="366">
        <v>0</v>
      </c>
      <c r="DE153" s="366">
        <v>0</v>
      </c>
      <c r="DF153">
        <v>33</v>
      </c>
      <c r="DG153">
        <v>334</v>
      </c>
      <c r="DH153">
        <v>4</v>
      </c>
      <c r="DI153" s="366">
        <v>0</v>
      </c>
      <c r="DJ153" s="366">
        <v>0</v>
      </c>
      <c r="DK153" s="366">
        <v>0</v>
      </c>
      <c r="DL153" s="366">
        <v>0</v>
      </c>
      <c r="DM153" s="366">
        <v>0</v>
      </c>
      <c r="DN153" s="367">
        <f>IFERROR(DA153/Instructions!$J$25,0)+DB153*Instructions!$J$27+DC153*Instructions!$J$29+IFERROR(DD153/Instructions!$E$34,0)+DE153*Instructions!$E$36+Tier!DF153*Instructions!$E$25+IFERROR(DG153/Instructions!$E$27,0)+DH153*Instructions!$E$29+IFERROR((DI153+DK153)/Instructions!$J$32,0)+(DJ153+DL153)*Instructions!$J$34+Tier!DM153*-2</f>
        <v>90.4</v>
      </c>
    </row>
    <row r="154" spans="1:118" s="366" customFormat="1" ht="15.75" customHeight="1" x14ac:dyDescent="0.25">
      <c r="A154" s="238"/>
      <c r="B154" s="238"/>
      <c r="C154" s="354"/>
      <c r="D154" s="365"/>
      <c r="F154" s="238">
        <v>2018</v>
      </c>
      <c r="G154" s="367">
        <f>LARGE($BI$134:$BI$165,21)</f>
        <v>206.06</v>
      </c>
      <c r="H154" s="355">
        <f t="shared" si="90"/>
        <v>-72.54000000000002</v>
      </c>
      <c r="I154" s="356">
        <f t="shared" si="84"/>
        <v>5262.0516000000034</v>
      </c>
      <c r="J154" s="356"/>
      <c r="K154" s="356">
        <f t="shared" si="86"/>
        <v>-4.5337500000000013</v>
      </c>
      <c r="L154" s="238">
        <f t="shared" si="87"/>
        <v>8</v>
      </c>
      <c r="M154" s="354"/>
      <c r="N154" s="372"/>
      <c r="O154" s="372"/>
      <c r="P154" s="366">
        <v>2015</v>
      </c>
      <c r="Q154" s="367">
        <f>LARGE($CB$153:$CB$302,2)</f>
        <v>263.7</v>
      </c>
      <c r="R154" s="357">
        <f t="shared" ref="R154:R217" si="91">Q154-$T$163</f>
        <v>99.1</v>
      </c>
      <c r="S154" s="356">
        <f t="shared" ref="S154:S202" si="92">R154^2</f>
        <v>9820.81</v>
      </c>
      <c r="T154" s="356">
        <f>AVERAGE(S153:INDEX(S153:S302,Instructions!$E$11*(Instructions!$E$19+Instructions!$J$15*0.5),1))</f>
        <v>1895.0819999999992</v>
      </c>
      <c r="U154" s="356">
        <f t="shared" ref="U154:U217" si="93">R154/$T$153</f>
        <v>6.1937499999999996</v>
      </c>
      <c r="V154" s="238">
        <f t="shared" si="80"/>
        <v>0</v>
      </c>
      <c r="W154" s="354"/>
      <c r="X154" s="371"/>
      <c r="Y154" s="371"/>
      <c r="Z154" s="321">
        <v>2015</v>
      </c>
      <c r="AA154" s="367">
        <f>LARGE($CU$153:$CU$302,2)</f>
        <v>369.1</v>
      </c>
      <c r="AB154" s="357">
        <f t="shared" ref="AB154:AB217" si="94">$AA154-$AD$163</f>
        <v>145.9666666666667</v>
      </c>
      <c r="AC154" s="356">
        <f t="shared" si="78"/>
        <v>21306.267777777786</v>
      </c>
      <c r="AD154" s="356">
        <f>AVERAGE(AC2:INDEX(AC2:AC151,Instructions!$E$11*(Instructions!$E$17+Instructions!$J$15*0.5),1))</f>
        <v>3455.2365555555548</v>
      </c>
      <c r="AE154" s="356">
        <f>AB154/$AD$153</f>
        <v>9.1229166666666686</v>
      </c>
      <c r="AF154" s="238">
        <f t="shared" si="83"/>
        <v>0</v>
      </c>
      <c r="AG154" s="354"/>
      <c r="AJ154" s="238">
        <v>2018</v>
      </c>
      <c r="AK154" s="367">
        <f>LARGE($DN$134:$DN$165,21)</f>
        <v>87</v>
      </c>
      <c r="AL154" s="373">
        <f t="shared" si="88"/>
        <v>-43.599999999999994</v>
      </c>
      <c r="AM154" s="374">
        <f t="shared" si="85"/>
        <v>1900.9599999999996</v>
      </c>
      <c r="AN154" s="374"/>
      <c r="AO154" s="374">
        <f t="shared" si="89"/>
        <v>-2.7249999999999996</v>
      </c>
      <c r="AP154" s="238">
        <f t="shared" si="70"/>
        <v>8</v>
      </c>
      <c r="AQ154" s="354"/>
      <c r="AR154" s="238">
        <v>2018</v>
      </c>
      <c r="AS154" t="s">
        <v>1761</v>
      </c>
      <c r="AT154" t="s">
        <v>1942</v>
      </c>
      <c r="AU154" s="366" t="s">
        <v>1</v>
      </c>
      <c r="AV154" s="418">
        <v>2074</v>
      </c>
      <c r="AW154" s="426">
        <v>10</v>
      </c>
      <c r="AX154" s="426">
        <v>12</v>
      </c>
      <c r="AY154" s="426">
        <v>631</v>
      </c>
      <c r="AZ154" s="426">
        <v>8</v>
      </c>
      <c r="BA154" s="238">
        <v>0</v>
      </c>
      <c r="BB154" s="238">
        <v>0</v>
      </c>
      <c r="BC154" s="238">
        <v>0</v>
      </c>
      <c r="BD154" s="238">
        <v>0</v>
      </c>
      <c r="BE154" s="238">
        <v>0</v>
      </c>
      <c r="BF154" s="238">
        <v>0</v>
      </c>
      <c r="BG154" s="238">
        <v>0</v>
      </c>
      <c r="BH154" s="238">
        <v>2</v>
      </c>
      <c r="BI154" s="367">
        <f>IFERROR(AV154/Instructions!$J$25,0)+AW154*Instructions!$J$27+AX154*Instructions!$J$29+IFERROR(AY154/Instructions!$E$34,0)+AZ154*Instructions!$E$36+Tier!BA154*Instructions!$E$25+IFERROR(BB154/Instructions!$E$27,0)+BC154*Instructions!$E$29+IFERROR((BD154+BF154)/Instructions!$J$32,0)+(BE154+BG154)*Instructions!$J$34+BH154*-2</f>
        <v>206.06</v>
      </c>
      <c r="BJ154" s="354"/>
      <c r="BK154" s="366">
        <v>2015</v>
      </c>
      <c r="BL154" s="365" t="s">
        <v>5</v>
      </c>
      <c r="BM154" s="366" t="s">
        <v>138</v>
      </c>
      <c r="BN154" s="366" t="s">
        <v>3</v>
      </c>
      <c r="BO154" s="366">
        <v>0</v>
      </c>
      <c r="BP154" s="366">
        <v>0</v>
      </c>
      <c r="BQ154" s="366">
        <v>0</v>
      </c>
      <c r="BR154" s="366">
        <v>1485</v>
      </c>
      <c r="BS154" s="366">
        <v>11</v>
      </c>
      <c r="BT154" s="366">
        <v>30</v>
      </c>
      <c r="BU154" s="371">
        <v>222</v>
      </c>
      <c r="BV154" s="371">
        <v>0</v>
      </c>
      <c r="BW154" s="366">
        <v>0</v>
      </c>
      <c r="BX154" s="366">
        <v>0</v>
      </c>
      <c r="BY154" s="366">
        <v>0</v>
      </c>
      <c r="BZ154" s="366">
        <v>0</v>
      </c>
      <c r="CA154" s="366">
        <v>3</v>
      </c>
      <c r="CB154" s="367">
        <f>IFERROR(BO154/Instructions!$J$25,0)+BP154*Instructions!$J$27+BQ154*Instructions!$J$29+IFERROR(BR154/Instructions!$E$34,0)+BS154*Instructions!$E$36+Tier!BT155*Instructions!$E$25+IFERROR(BU154/Instructions!$E$27,0)+BV154*Instructions!$E$29+IFERROR((BW154+BY154)/Instructions!$J$32,0)+(BX154+BZ154)*Instructions!$J$34+Tier!CA154*-2</f>
        <v>263.7</v>
      </c>
      <c r="CC154" s="354"/>
      <c r="CD154" s="321">
        <v>2015</v>
      </c>
      <c r="CE154" s="370" t="s">
        <v>27</v>
      </c>
      <c r="CF154" s="371" t="s">
        <v>148</v>
      </c>
      <c r="CG154" s="371" t="s">
        <v>6</v>
      </c>
      <c r="CH154" s="371">
        <v>0</v>
      </c>
      <c r="CI154" s="371">
        <v>0</v>
      </c>
      <c r="CJ154" s="371">
        <v>0</v>
      </c>
      <c r="CK154" s="371">
        <v>0</v>
      </c>
      <c r="CL154" s="371">
        <v>0</v>
      </c>
      <c r="CM154" s="371">
        <v>136</v>
      </c>
      <c r="CN154" s="371">
        <v>1871</v>
      </c>
      <c r="CO154" s="371">
        <v>8</v>
      </c>
      <c r="CP154" s="371">
        <v>0</v>
      </c>
      <c r="CQ154" s="371">
        <v>0</v>
      </c>
      <c r="CR154" s="371">
        <v>0</v>
      </c>
      <c r="CS154" s="371">
        <v>0</v>
      </c>
      <c r="CT154" s="371">
        <v>1</v>
      </c>
      <c r="CU154" s="367">
        <f>IFERROR(CH154/Instructions!$J$25,0)+CI154*Instructions!$J$27+CJ154*Instructions!$J$29+IFERROR(CK154/Instructions!$E$34,0)+CL154*Instructions!$E$36+Tier!CM154*Instructions!$E$25+IFERROR(CN154/Instructions!$E$27,0)+CO154*Instructions!$E$29+IFERROR((CP154+CR154)/Instructions!$J$32,0)+(CQ154+CS154)*Instructions!$J$34+Tier!CT154*-2</f>
        <v>369.1</v>
      </c>
      <c r="CV154" s="354"/>
      <c r="CW154" s="238">
        <v>2018</v>
      </c>
      <c r="CX154" t="s">
        <v>1299</v>
      </c>
      <c r="CY154" s="3" t="s">
        <v>1939</v>
      </c>
      <c r="CZ154" s="366" t="s">
        <v>7</v>
      </c>
      <c r="DA154" s="366">
        <v>0</v>
      </c>
      <c r="DB154" s="366">
        <v>0</v>
      </c>
      <c r="DC154" s="366">
        <v>0</v>
      </c>
      <c r="DD154" s="366">
        <v>0</v>
      </c>
      <c r="DE154" s="366">
        <v>0</v>
      </c>
      <c r="DF154">
        <v>30</v>
      </c>
      <c r="DG154">
        <v>423</v>
      </c>
      <c r="DH154">
        <v>2</v>
      </c>
      <c r="DI154" s="366">
        <v>0</v>
      </c>
      <c r="DJ154" s="366">
        <v>0</v>
      </c>
      <c r="DK154" s="366">
        <v>0</v>
      </c>
      <c r="DL154" s="366">
        <v>0</v>
      </c>
      <c r="DM154" s="366">
        <v>0</v>
      </c>
      <c r="DN154" s="367">
        <f>IFERROR(DA154/Instructions!$J$25,0)+DB154*Instructions!$J$27+DC154*Instructions!$J$29+IFERROR(DD154/Instructions!$E$34,0)+DE154*Instructions!$E$36+Tier!DF154*Instructions!$E$25+IFERROR(DG154/Instructions!$E$27,0)+DH154*Instructions!$E$29+IFERROR((DI154+DK154)/Instructions!$J$32,0)+(DJ154+DL154)*Instructions!$J$34+Tier!DM154*-2</f>
        <v>84.3</v>
      </c>
    </row>
    <row r="155" spans="1:118" s="366" customFormat="1" ht="15.75" customHeight="1" x14ac:dyDescent="0.25">
      <c r="A155" s="238"/>
      <c r="B155" s="238"/>
      <c r="C155" s="354"/>
      <c r="D155" s="365"/>
      <c r="F155" s="238">
        <v>2018</v>
      </c>
      <c r="G155" s="367">
        <f>LARGE($BI$134:$BI$165,22)</f>
        <v>195.78</v>
      </c>
      <c r="H155" s="355">
        <f t="shared" si="90"/>
        <v>-82.820000000000022</v>
      </c>
      <c r="I155" s="356">
        <f t="shared" si="84"/>
        <v>6859.1524000000036</v>
      </c>
      <c r="J155" s="356"/>
      <c r="K155" s="356">
        <f t="shared" si="86"/>
        <v>-5.1762500000000014</v>
      </c>
      <c r="L155" s="238">
        <f t="shared" si="87"/>
        <v>8</v>
      </c>
      <c r="M155" s="354"/>
      <c r="N155" s="372"/>
      <c r="O155" s="372"/>
      <c r="P155" s="366">
        <v>2015</v>
      </c>
      <c r="Q155" s="367">
        <f>LARGE($CB$153:$CB$302,3)</f>
        <v>239.39999999999998</v>
      </c>
      <c r="R155" s="357">
        <f t="shared" si="91"/>
        <v>74.799999999999983</v>
      </c>
      <c r="S155" s="356">
        <f t="shared" si="92"/>
        <v>5595.0399999999972</v>
      </c>
      <c r="T155" s="238"/>
      <c r="U155" s="356">
        <f t="shared" si="93"/>
        <v>4.6749999999999989</v>
      </c>
      <c r="V155" s="238">
        <f t="shared" si="80"/>
        <v>2</v>
      </c>
      <c r="W155" s="354"/>
      <c r="X155" s="371"/>
      <c r="Y155" s="371"/>
      <c r="Z155" s="321">
        <v>2015</v>
      </c>
      <c r="AA155" s="367">
        <f>LARGE($CU$153:$CU$302,3)</f>
        <v>339.2</v>
      </c>
      <c r="AB155" s="357">
        <f t="shared" si="94"/>
        <v>116.06666666666666</v>
      </c>
      <c r="AC155" s="356">
        <f t="shared" si="78"/>
        <v>13471.47111111111</v>
      </c>
      <c r="AD155" s="238"/>
      <c r="AE155" s="356">
        <f t="shared" ref="AE155:AE217" si="95">AB155/$AD$153</f>
        <v>7.2541666666666664</v>
      </c>
      <c r="AF155" s="238">
        <f t="shared" si="83"/>
        <v>0</v>
      </c>
      <c r="AG155" s="354"/>
      <c r="AJ155" s="238">
        <v>2018</v>
      </c>
      <c r="AK155" s="367">
        <f>LARGE($DN$134:$DN$165,22)</f>
        <v>84.6</v>
      </c>
      <c r="AL155" s="373">
        <f t="shared" si="88"/>
        <v>-46</v>
      </c>
      <c r="AM155" s="374">
        <f t="shared" si="85"/>
        <v>2116</v>
      </c>
      <c r="AN155" s="374"/>
      <c r="AO155" s="374">
        <f t="shared" si="89"/>
        <v>-2.875</v>
      </c>
      <c r="AP155" s="238">
        <f t="shared" si="70"/>
        <v>8</v>
      </c>
      <c r="AQ155" s="354"/>
      <c r="AR155" s="238">
        <v>2018</v>
      </c>
      <c r="AS155" t="s">
        <v>1131</v>
      </c>
      <c r="AT155" t="s">
        <v>149</v>
      </c>
      <c r="AU155" s="366" t="s">
        <v>1</v>
      </c>
      <c r="AV155" s="418">
        <v>2992</v>
      </c>
      <c r="AW155" s="426">
        <v>19</v>
      </c>
      <c r="AX155" s="426">
        <v>14</v>
      </c>
      <c r="AY155" s="426">
        <v>281</v>
      </c>
      <c r="AZ155" s="426">
        <v>1</v>
      </c>
      <c r="BA155" s="238">
        <v>0</v>
      </c>
      <c r="BB155" s="238">
        <v>0</v>
      </c>
      <c r="BC155" s="238">
        <v>0</v>
      </c>
      <c r="BD155" s="238">
        <v>0</v>
      </c>
      <c r="BE155" s="238">
        <v>0</v>
      </c>
      <c r="BF155" s="238">
        <v>0</v>
      </c>
      <c r="BG155" s="238">
        <v>0</v>
      </c>
      <c r="BH155" s="238">
        <v>3</v>
      </c>
      <c r="BI155" s="367">
        <f>IFERROR(AV155/Instructions!$J$25,0)+AW155*Instructions!$J$27+AX155*Instructions!$J$29+IFERROR(AY155/Instructions!$E$34,0)+AZ155*Instructions!$E$36+Tier!BA155*Instructions!$E$25+IFERROR(BB155/Instructions!$E$27,0)+BC155*Instructions!$E$29+IFERROR((BD155+BF155)/Instructions!$J$32,0)+(BE155+BG155)*Instructions!$J$34+BH155*-2</f>
        <v>195.78</v>
      </c>
      <c r="BJ155" s="354"/>
      <c r="BK155" s="366">
        <v>2015</v>
      </c>
      <c r="BL155" s="365" t="s">
        <v>42</v>
      </c>
      <c r="BM155" s="366" t="s">
        <v>1627</v>
      </c>
      <c r="BN155" s="366" t="s">
        <v>3</v>
      </c>
      <c r="BO155" s="366">
        <v>0</v>
      </c>
      <c r="BP155" s="366">
        <v>0</v>
      </c>
      <c r="BQ155" s="366">
        <v>0</v>
      </c>
      <c r="BR155" s="366">
        <v>1402</v>
      </c>
      <c r="BS155" s="366">
        <v>6</v>
      </c>
      <c r="BT155" s="366">
        <v>33</v>
      </c>
      <c r="BU155" s="371">
        <v>271</v>
      </c>
      <c r="BV155" s="371">
        <v>1</v>
      </c>
      <c r="BW155" s="366">
        <v>0</v>
      </c>
      <c r="BX155" s="366">
        <v>0</v>
      </c>
      <c r="BY155" s="366">
        <v>0</v>
      </c>
      <c r="BZ155" s="366">
        <v>0</v>
      </c>
      <c r="CA155" s="366">
        <v>5</v>
      </c>
      <c r="CB155" s="367">
        <f>IFERROR(BO155/Instructions!$J$25,0)+BP155*Instructions!$J$27+BQ155*Instructions!$J$29+IFERROR(BR155/Instructions!$E$34,0)+BS155*Instructions!$E$36+Tier!BT156*Instructions!$E$25+IFERROR(BU155/Instructions!$E$27,0)+BV155*Instructions!$E$29+IFERROR((BW155+BY155)/Instructions!$J$32,0)+(BX155+BZ155)*Instructions!$J$34+Tier!CA155*-2</f>
        <v>235.29999999999998</v>
      </c>
      <c r="CC155" s="354"/>
      <c r="CD155" s="321">
        <v>2015</v>
      </c>
      <c r="CE155" s="370" t="s">
        <v>25</v>
      </c>
      <c r="CF155" s="371" t="s">
        <v>164</v>
      </c>
      <c r="CG155" s="371" t="s">
        <v>6</v>
      </c>
      <c r="CH155" s="371">
        <v>0</v>
      </c>
      <c r="CI155" s="371">
        <v>0</v>
      </c>
      <c r="CJ155" s="371">
        <v>0</v>
      </c>
      <c r="CK155" s="371">
        <v>0</v>
      </c>
      <c r="CL155" s="371">
        <v>0</v>
      </c>
      <c r="CM155" s="371">
        <v>109</v>
      </c>
      <c r="CN155" s="371">
        <v>1502</v>
      </c>
      <c r="CO155" s="371">
        <v>14</v>
      </c>
      <c r="CP155" s="371">
        <v>0</v>
      </c>
      <c r="CQ155" s="371">
        <v>0</v>
      </c>
      <c r="CR155" s="371">
        <v>0</v>
      </c>
      <c r="CS155" s="371">
        <v>0</v>
      </c>
      <c r="CT155" s="371">
        <v>2</v>
      </c>
      <c r="CU155" s="367">
        <f>IFERROR(CH155/Instructions!$J$25,0)+CI155*Instructions!$J$27+CJ155*Instructions!$J$29+IFERROR(CK155/Instructions!$E$34,0)+CL155*Instructions!$E$36+Tier!CM155*Instructions!$E$25+IFERROR(CN155/Instructions!$E$27,0)+CO155*Instructions!$E$29+IFERROR((CP155+CR155)/Instructions!$J$32,0)+(CQ155+CS155)*Instructions!$J$34+Tier!CT155*-2</f>
        <v>339.2</v>
      </c>
      <c r="CV155" s="354"/>
      <c r="CW155" s="238">
        <v>2018</v>
      </c>
      <c r="CX155" t="s">
        <v>1415</v>
      </c>
      <c r="CY155" s="3" t="s">
        <v>1389</v>
      </c>
      <c r="CZ155" s="366" t="s">
        <v>7</v>
      </c>
      <c r="DA155" s="366">
        <v>0</v>
      </c>
      <c r="DB155" s="366">
        <v>0</v>
      </c>
      <c r="DC155" s="366">
        <v>0</v>
      </c>
      <c r="DD155" s="366">
        <v>16</v>
      </c>
      <c r="DE155" s="366">
        <v>0</v>
      </c>
      <c r="DF155">
        <v>33</v>
      </c>
      <c r="DG155">
        <v>320</v>
      </c>
      <c r="DH155">
        <v>3</v>
      </c>
      <c r="DI155" s="366">
        <v>0</v>
      </c>
      <c r="DJ155" s="366">
        <v>0</v>
      </c>
      <c r="DK155" s="366">
        <v>0</v>
      </c>
      <c r="DL155" s="366">
        <v>0</v>
      </c>
      <c r="DM155" s="366">
        <v>0</v>
      </c>
      <c r="DN155" s="367">
        <f>IFERROR(DA155/Instructions!$J$25,0)+DB155*Instructions!$J$27+DC155*Instructions!$J$29+IFERROR(DD155/Instructions!$E$34,0)+DE155*Instructions!$E$36+Tier!DF155*Instructions!$E$25+IFERROR(DG155/Instructions!$E$27,0)+DH155*Instructions!$E$29+IFERROR((DI155+DK155)/Instructions!$J$32,0)+(DJ155+DL155)*Instructions!$J$34+Tier!DM155*-2</f>
        <v>84.6</v>
      </c>
    </row>
    <row r="156" spans="1:118" s="366" customFormat="1" ht="15.75" customHeight="1" x14ac:dyDescent="0.25">
      <c r="A156" s="238"/>
      <c r="B156" s="238"/>
      <c r="C156" s="354"/>
      <c r="D156" s="365"/>
      <c r="F156" s="238">
        <v>2018</v>
      </c>
      <c r="G156" s="367">
        <f>LARGE($BI$134:$BI$165,23)</f>
        <v>191.66</v>
      </c>
      <c r="H156" s="355">
        <f t="shared" si="90"/>
        <v>-86.940000000000026</v>
      </c>
      <c r="I156" s="356">
        <f t="shared" si="84"/>
        <v>7558.563600000005</v>
      </c>
      <c r="J156" s="356"/>
      <c r="K156" s="356">
        <f t="shared" si="86"/>
        <v>-5.4337500000000016</v>
      </c>
      <c r="L156" s="238">
        <f t="shared" si="87"/>
        <v>8</v>
      </c>
      <c r="M156" s="354"/>
      <c r="N156" s="372"/>
      <c r="O156" s="372"/>
      <c r="P156" s="366">
        <v>2015</v>
      </c>
      <c r="Q156" s="367">
        <f>LARGE($CB$153:$CB$302,4)</f>
        <v>235.29999999999998</v>
      </c>
      <c r="R156" s="357">
        <f t="shared" si="91"/>
        <v>70.699999999999989</v>
      </c>
      <c r="S156" s="356">
        <f t="shared" si="92"/>
        <v>4998.489999999998</v>
      </c>
      <c r="T156" s="356">
        <f>T157+T153</f>
        <v>276.60000000000002</v>
      </c>
      <c r="U156" s="356">
        <f t="shared" si="93"/>
        <v>4.4187499999999993</v>
      </c>
      <c r="V156" s="238">
        <f t="shared" si="80"/>
        <v>2</v>
      </c>
      <c r="W156" s="354"/>
      <c r="X156" s="371"/>
      <c r="Y156" s="371"/>
      <c r="Z156" s="321">
        <v>2015</v>
      </c>
      <c r="AA156" s="367">
        <f>LARGE($CU$153:$CU$302,4)</f>
        <v>329.1</v>
      </c>
      <c r="AB156" s="357">
        <f t="shared" si="94"/>
        <v>105.9666666666667</v>
      </c>
      <c r="AC156" s="356">
        <f t="shared" si="78"/>
        <v>11228.93444444445</v>
      </c>
      <c r="AD156" s="356">
        <f>AD157+AD153</f>
        <v>335.13333333333333</v>
      </c>
      <c r="AE156" s="356">
        <f t="shared" si="95"/>
        <v>6.6229166666666686</v>
      </c>
      <c r="AF156" s="238">
        <f t="shared" si="83"/>
        <v>0</v>
      </c>
      <c r="AG156" s="354"/>
      <c r="AJ156" s="238">
        <v>2018</v>
      </c>
      <c r="AK156" s="367">
        <f>LARGE($DN$134:$DN$165,23)</f>
        <v>84.3</v>
      </c>
      <c r="AL156" s="373">
        <f t="shared" si="88"/>
        <v>-46.3</v>
      </c>
      <c r="AM156" s="374">
        <f t="shared" si="85"/>
        <v>2143.6899999999996</v>
      </c>
      <c r="AN156" s="374"/>
      <c r="AO156" s="374">
        <f t="shared" si="89"/>
        <v>-2.8937499999999998</v>
      </c>
      <c r="AP156" s="238">
        <f t="shared" si="70"/>
        <v>8</v>
      </c>
      <c r="AQ156" s="354"/>
      <c r="AR156" s="238">
        <v>2018</v>
      </c>
      <c r="AS156" t="s">
        <v>1217</v>
      </c>
      <c r="AT156" t="s">
        <v>1943</v>
      </c>
      <c r="AU156" s="366" t="s">
        <v>1</v>
      </c>
      <c r="AV156" s="418">
        <v>3074</v>
      </c>
      <c r="AW156" s="426">
        <v>21</v>
      </c>
      <c r="AX156" s="426">
        <v>7</v>
      </c>
      <c r="AY156" s="426">
        <v>93</v>
      </c>
      <c r="AZ156" s="426">
        <v>0</v>
      </c>
      <c r="BA156" s="238">
        <v>1</v>
      </c>
      <c r="BB156" s="238">
        <v>4</v>
      </c>
      <c r="BC156" s="238">
        <v>0</v>
      </c>
      <c r="BD156" s="238">
        <v>0</v>
      </c>
      <c r="BE156" s="238">
        <v>0</v>
      </c>
      <c r="BF156" s="238">
        <v>0</v>
      </c>
      <c r="BG156" s="238">
        <v>0</v>
      </c>
      <c r="BH156" s="238">
        <v>6</v>
      </c>
      <c r="BI156" s="367">
        <f>IFERROR(AV156/Instructions!$J$25,0)+AW156*Instructions!$J$27+AX156*Instructions!$J$29+IFERROR(AY156/Instructions!$E$34,0)+AZ156*Instructions!$E$36+Tier!BA156*Instructions!$E$25+IFERROR(BB156/Instructions!$E$27,0)+BC156*Instructions!$E$29+IFERROR((BD156+BF156)/Instructions!$J$32,0)+(BE156+BG156)*Instructions!$J$34+BH156*-2</f>
        <v>191.66</v>
      </c>
      <c r="BJ156" s="354"/>
      <c r="BK156" s="366">
        <v>2015</v>
      </c>
      <c r="BL156" s="365" t="s">
        <v>1138</v>
      </c>
      <c r="BM156" s="366" t="s">
        <v>153</v>
      </c>
      <c r="BN156" s="366" t="s">
        <v>3</v>
      </c>
      <c r="BO156" s="366">
        <v>0</v>
      </c>
      <c r="BP156" s="366">
        <v>0</v>
      </c>
      <c r="BQ156" s="366">
        <v>0</v>
      </c>
      <c r="BR156" s="366">
        <v>581</v>
      </c>
      <c r="BS156" s="366">
        <v>8</v>
      </c>
      <c r="BT156" s="366">
        <v>36</v>
      </c>
      <c r="BU156" s="371">
        <v>457</v>
      </c>
      <c r="BV156" s="371">
        <v>4</v>
      </c>
      <c r="BW156" s="366">
        <v>0</v>
      </c>
      <c r="BX156" s="366">
        <v>0</v>
      </c>
      <c r="BY156" s="366">
        <v>598</v>
      </c>
      <c r="BZ156" s="366">
        <v>1</v>
      </c>
      <c r="CA156" s="366">
        <v>0</v>
      </c>
      <c r="CB156" s="367">
        <f>IFERROR(BO156/Instructions!$J$25,0)+BP156*Instructions!$J$27+BQ156*Instructions!$J$29+IFERROR(BR156/Instructions!$E$34,0)+BS156*Instructions!$E$36+Tier!BT157*Instructions!$E$25+IFERROR(BU156/Instructions!$E$27,0)+BV156*Instructions!$E$29+IFERROR((BW156+BY156)/Instructions!$J$32,0)+(BX156+BZ156)*Instructions!$J$34+Tier!CA156*-2</f>
        <v>221.8</v>
      </c>
      <c r="CC156" s="354"/>
      <c r="CD156" s="321">
        <v>2015</v>
      </c>
      <c r="CE156" s="370" t="s">
        <v>1206</v>
      </c>
      <c r="CF156" s="371" t="s">
        <v>154</v>
      </c>
      <c r="CG156" s="371" t="s">
        <v>6</v>
      </c>
      <c r="CH156" s="371">
        <v>0</v>
      </c>
      <c r="CI156" s="371">
        <v>0</v>
      </c>
      <c r="CJ156" s="371">
        <v>0</v>
      </c>
      <c r="CK156" s="371">
        <v>3</v>
      </c>
      <c r="CL156" s="371">
        <v>0</v>
      </c>
      <c r="CM156" s="371">
        <v>96</v>
      </c>
      <c r="CN156" s="371">
        <v>1450</v>
      </c>
      <c r="CO156" s="371">
        <v>13</v>
      </c>
      <c r="CP156" s="371">
        <v>26</v>
      </c>
      <c r="CQ156" s="371">
        <v>0</v>
      </c>
      <c r="CR156" s="371">
        <v>0</v>
      </c>
      <c r="CS156" s="371">
        <v>0</v>
      </c>
      <c r="CT156" s="371">
        <v>0</v>
      </c>
      <c r="CU156" s="367">
        <f>IFERROR(CH156/Instructions!$J$25,0)+CI156*Instructions!$J$27+CJ156*Instructions!$J$29+IFERROR(CK156/Instructions!$E$34,0)+CL156*Instructions!$E$36+Tier!CM156*Instructions!$E$25+IFERROR(CN156/Instructions!$E$27,0)+CO156*Instructions!$E$29+IFERROR((CP156+CR156)/Instructions!$J$32,0)+(CQ156+CS156)*Instructions!$J$34+Tier!CT156*-2</f>
        <v>319.3</v>
      </c>
      <c r="CV156" s="354"/>
      <c r="CW156" s="238">
        <v>2018</v>
      </c>
      <c r="CX156" t="s">
        <v>30</v>
      </c>
      <c r="CY156" s="3" t="s">
        <v>1935</v>
      </c>
      <c r="CZ156" s="366" t="s">
        <v>7</v>
      </c>
      <c r="DA156" s="366">
        <v>0</v>
      </c>
      <c r="DB156" s="366">
        <v>0</v>
      </c>
      <c r="DC156" s="366">
        <v>0</v>
      </c>
      <c r="DD156" s="366">
        <v>0</v>
      </c>
      <c r="DE156" s="366">
        <v>0</v>
      </c>
      <c r="DF156">
        <v>27</v>
      </c>
      <c r="DG156">
        <v>291</v>
      </c>
      <c r="DH156">
        <v>4</v>
      </c>
      <c r="DI156" s="366">
        <v>0</v>
      </c>
      <c r="DJ156" s="366">
        <v>0</v>
      </c>
      <c r="DK156" s="366">
        <v>0</v>
      </c>
      <c r="DL156" s="366">
        <v>0</v>
      </c>
      <c r="DM156" s="366">
        <v>0</v>
      </c>
      <c r="DN156" s="367">
        <f>IFERROR(DA156/Instructions!$J$25,0)+DB156*Instructions!$J$27+DC156*Instructions!$J$29+IFERROR(DD156/Instructions!$E$34,0)+DE156*Instructions!$E$36+Tier!DF156*Instructions!$E$25+IFERROR(DG156/Instructions!$E$27,0)+DH156*Instructions!$E$29+IFERROR((DI156+DK156)/Instructions!$J$32,0)+(DJ156+DL156)*Instructions!$J$34+Tier!DM156*-2</f>
        <v>80.099999999999994</v>
      </c>
    </row>
    <row r="157" spans="1:118" s="366" customFormat="1" ht="15.75" customHeight="1" x14ac:dyDescent="0.25">
      <c r="A157" s="238"/>
      <c r="B157" s="238"/>
      <c r="C157" s="354"/>
      <c r="D157" s="365"/>
      <c r="F157" s="238">
        <v>2018</v>
      </c>
      <c r="G157" s="367">
        <f>LARGE($BI$134:$BI$165,24)</f>
        <v>175.92</v>
      </c>
      <c r="H157" s="355">
        <f t="shared" si="90"/>
        <v>-102.68000000000004</v>
      </c>
      <c r="I157" s="356">
        <f t="shared" si="84"/>
        <v>10543.182400000007</v>
      </c>
      <c r="J157" s="356"/>
      <c r="K157" s="356">
        <f t="shared" si="86"/>
        <v>-6.4175000000000022</v>
      </c>
      <c r="L157" s="238">
        <f t="shared" si="87"/>
        <v>8</v>
      </c>
      <c r="M157" s="354"/>
      <c r="N157" s="372"/>
      <c r="O157" s="372"/>
      <c r="P157" s="366">
        <v>2015</v>
      </c>
      <c r="Q157" s="367">
        <f>LARGE($CB$153:$CB$302,5)</f>
        <v>234.4</v>
      </c>
      <c r="R157" s="357">
        <f t="shared" si="91"/>
        <v>69.800000000000011</v>
      </c>
      <c r="S157" s="356">
        <f t="shared" si="92"/>
        <v>4872.0400000000018</v>
      </c>
      <c r="T157" s="356">
        <f>T158+T153</f>
        <v>260.60000000000002</v>
      </c>
      <c r="U157" s="356">
        <f t="shared" si="93"/>
        <v>4.3625000000000007</v>
      </c>
      <c r="V157" s="238">
        <f t="shared" si="80"/>
        <v>2</v>
      </c>
      <c r="W157" s="354"/>
      <c r="X157" s="371"/>
      <c r="Y157" s="371"/>
      <c r="Z157" s="321">
        <v>2015</v>
      </c>
      <c r="AA157" s="367">
        <f>LARGE($CU$153:$CU$302,5)</f>
        <v>319.3</v>
      </c>
      <c r="AB157" s="357">
        <f t="shared" si="94"/>
        <v>96.166666666666686</v>
      </c>
      <c r="AC157" s="356">
        <f t="shared" si="78"/>
        <v>9248.027777777781</v>
      </c>
      <c r="AD157" s="356">
        <f>AD158+AD153</f>
        <v>319.13333333333333</v>
      </c>
      <c r="AE157" s="356">
        <f t="shared" si="95"/>
        <v>6.0104166666666679</v>
      </c>
      <c r="AF157" s="238">
        <f t="shared" si="83"/>
        <v>0</v>
      </c>
      <c r="AG157" s="354"/>
      <c r="AJ157" s="238">
        <v>2018</v>
      </c>
      <c r="AK157" s="367">
        <f>LARGE($DN$134:$DN$165,24)</f>
        <v>81.3</v>
      </c>
      <c r="AL157" s="373">
        <f t="shared" si="88"/>
        <v>-49.3</v>
      </c>
      <c r="AM157" s="374">
        <f t="shared" si="85"/>
        <v>2430.4899999999998</v>
      </c>
      <c r="AN157" s="374"/>
      <c r="AO157" s="374">
        <f t="shared" si="89"/>
        <v>-3.0812499999999998</v>
      </c>
      <c r="AP157" s="238">
        <f t="shared" si="70"/>
        <v>8</v>
      </c>
      <c r="AQ157" s="354"/>
      <c r="AR157" s="238">
        <v>2018</v>
      </c>
      <c r="AS157" t="s">
        <v>63</v>
      </c>
      <c r="AT157" t="s">
        <v>1944</v>
      </c>
      <c r="AU157" s="366" t="s">
        <v>1</v>
      </c>
      <c r="AV157" s="418">
        <v>2566</v>
      </c>
      <c r="AW157" s="426">
        <v>21</v>
      </c>
      <c r="AX157" s="426">
        <v>11</v>
      </c>
      <c r="AY157" s="426">
        <v>99</v>
      </c>
      <c r="AZ157" s="426">
        <v>0</v>
      </c>
      <c r="BA157" s="238">
        <v>0</v>
      </c>
      <c r="BB157" s="238">
        <v>0</v>
      </c>
      <c r="BC157" s="238">
        <v>0</v>
      </c>
      <c r="BD157" s="238">
        <v>0</v>
      </c>
      <c r="BE157" s="238">
        <v>0</v>
      </c>
      <c r="BF157" s="238">
        <v>0</v>
      </c>
      <c r="BG157" s="238">
        <v>0</v>
      </c>
      <c r="BH157" s="238">
        <v>0</v>
      </c>
      <c r="BI157" s="367">
        <f>IFERROR(AV157/Instructions!$J$25,0)+AW157*Instructions!$J$27+AX157*Instructions!$J$29+IFERROR(AY157/Instructions!$E$34,0)+AZ157*Instructions!$E$36+Tier!BA157*Instructions!$E$25+IFERROR(BB157/Instructions!$E$27,0)+BC157*Instructions!$E$29+IFERROR((BD157+BF157)/Instructions!$J$32,0)+(BE157+BG157)*Instructions!$J$34+BH157*-2</f>
        <v>174.54</v>
      </c>
      <c r="BJ157" s="354"/>
      <c r="BK157" s="366">
        <v>2015</v>
      </c>
      <c r="BL157" s="365" t="s">
        <v>98</v>
      </c>
      <c r="BM157" s="366" t="s">
        <v>147</v>
      </c>
      <c r="BN157" s="366" t="s">
        <v>3</v>
      </c>
      <c r="BO157" s="366">
        <v>0</v>
      </c>
      <c r="BP157" s="366">
        <v>0</v>
      </c>
      <c r="BQ157" s="366">
        <v>0</v>
      </c>
      <c r="BR157" s="366">
        <v>907</v>
      </c>
      <c r="BS157" s="366">
        <v>11</v>
      </c>
      <c r="BT157" s="366">
        <v>40</v>
      </c>
      <c r="BU157" s="371">
        <v>367</v>
      </c>
      <c r="BV157" s="371">
        <v>0</v>
      </c>
      <c r="BW157" s="366">
        <v>0</v>
      </c>
      <c r="BX157" s="366">
        <v>0</v>
      </c>
      <c r="BY157" s="366">
        <v>0</v>
      </c>
      <c r="BZ157" s="366">
        <v>0</v>
      </c>
      <c r="CA157" s="366">
        <v>2</v>
      </c>
      <c r="CB157" s="367">
        <f>IFERROR(BO157/Instructions!$J$25,0)+BP157*Instructions!$J$27+BQ157*Instructions!$J$29+IFERROR(BR157/Instructions!$E$34,0)+BS157*Instructions!$E$36+Tier!BT158*Instructions!$E$25+IFERROR(BU157/Instructions!$E$27,0)+BV157*Instructions!$E$29+IFERROR((BW157+BY157)/Instructions!$J$32,0)+(BX157+BZ157)*Instructions!$J$34+Tier!CA157*-2</f>
        <v>210.39999999999998</v>
      </c>
      <c r="CC157" s="354"/>
      <c r="CD157" s="321">
        <v>2015</v>
      </c>
      <c r="CE157" s="370" t="s">
        <v>190</v>
      </c>
      <c r="CF157" s="371" t="s">
        <v>1613</v>
      </c>
      <c r="CG157" s="371" t="s">
        <v>6</v>
      </c>
      <c r="CH157" s="371">
        <v>0</v>
      </c>
      <c r="CI157" s="371">
        <v>0</v>
      </c>
      <c r="CJ157" s="371">
        <v>0</v>
      </c>
      <c r="CK157" s="371">
        <v>0</v>
      </c>
      <c r="CL157" s="371">
        <v>0</v>
      </c>
      <c r="CM157" s="371">
        <v>80</v>
      </c>
      <c r="CN157" s="371">
        <v>1400</v>
      </c>
      <c r="CO157" s="371">
        <v>14</v>
      </c>
      <c r="CP157" s="371">
        <v>0</v>
      </c>
      <c r="CQ157" s="371">
        <v>0</v>
      </c>
      <c r="CR157" s="371">
        <v>0</v>
      </c>
      <c r="CS157" s="371">
        <v>0</v>
      </c>
      <c r="CT157" s="371">
        <v>0</v>
      </c>
      <c r="CU157" s="367">
        <f>IFERROR(CH157/Instructions!$J$25,0)+CI157*Instructions!$J$27+CJ157*Instructions!$J$29+IFERROR(CK157/Instructions!$E$34,0)+CL157*Instructions!$E$36+Tier!CM157*Instructions!$E$25+IFERROR(CN157/Instructions!$E$27,0)+CO157*Instructions!$E$29+IFERROR((CP157+CR157)/Instructions!$J$32,0)+(CQ157+CS157)*Instructions!$J$34+Tier!CT157*-2</f>
        <v>304</v>
      </c>
      <c r="CV157" s="354"/>
      <c r="CW157" s="238">
        <v>2018</v>
      </c>
      <c r="CX157" t="s">
        <v>236</v>
      </c>
      <c r="CY157" s="3" t="s">
        <v>157</v>
      </c>
      <c r="CZ157" s="366" t="s">
        <v>7</v>
      </c>
      <c r="DA157" s="366">
        <v>0</v>
      </c>
      <c r="DB157" s="366">
        <v>0</v>
      </c>
      <c r="DC157" s="366">
        <v>0</v>
      </c>
      <c r="DD157" s="366">
        <v>0</v>
      </c>
      <c r="DE157" s="366">
        <v>0</v>
      </c>
      <c r="DF157">
        <v>35</v>
      </c>
      <c r="DG157">
        <v>400</v>
      </c>
      <c r="DH157">
        <v>2</v>
      </c>
      <c r="DI157" s="366">
        <v>0</v>
      </c>
      <c r="DJ157" s="366">
        <v>0</v>
      </c>
      <c r="DK157" s="366">
        <v>0</v>
      </c>
      <c r="DL157" s="366">
        <v>0</v>
      </c>
      <c r="DM157" s="366">
        <v>0</v>
      </c>
      <c r="DN157" s="367">
        <f>IFERROR(DA157/Instructions!$J$25,0)+DB157*Instructions!$J$27+DC157*Instructions!$J$29+IFERROR(DD157/Instructions!$E$34,0)+DE157*Instructions!$E$36+Tier!DF157*Instructions!$E$25+IFERROR(DG157/Instructions!$E$27,0)+DH157*Instructions!$E$29+IFERROR((DI157+DK157)/Instructions!$J$32,0)+(DJ157+DL157)*Instructions!$J$34+Tier!DM157*-2</f>
        <v>87</v>
      </c>
    </row>
    <row r="158" spans="1:118" s="366" customFormat="1" ht="15.75" customHeight="1" x14ac:dyDescent="0.25">
      <c r="A158" s="238"/>
      <c r="B158" s="238"/>
      <c r="C158" s="354"/>
      <c r="D158" s="365"/>
      <c r="F158" s="238">
        <v>2018</v>
      </c>
      <c r="G158" s="367">
        <f>LARGE($BI$134:$BI$165,25)</f>
        <v>174.54</v>
      </c>
      <c r="H158" s="355">
        <f t="shared" si="90"/>
        <v>-104.06000000000003</v>
      </c>
      <c r="I158" s="356">
        <f t="shared" si="84"/>
        <v>10828.483600000007</v>
      </c>
      <c r="J158" s="356"/>
      <c r="K158" s="356">
        <f t="shared" si="86"/>
        <v>-6.5037500000000019</v>
      </c>
      <c r="L158" s="238">
        <f t="shared" si="87"/>
        <v>8</v>
      </c>
      <c r="M158" s="354"/>
      <c r="N158" s="372"/>
      <c r="O158" s="372"/>
      <c r="P158" s="366">
        <v>2015</v>
      </c>
      <c r="Q158" s="367">
        <f>LARGE($CB$153:$CB$302,6)</f>
        <v>221.8</v>
      </c>
      <c r="R158" s="357">
        <f t="shared" si="91"/>
        <v>57.200000000000017</v>
      </c>
      <c r="S158" s="356">
        <f t="shared" si="92"/>
        <v>3271.840000000002</v>
      </c>
      <c r="T158" s="356">
        <f>T159+T153</f>
        <v>244.6</v>
      </c>
      <c r="U158" s="356">
        <f t="shared" si="93"/>
        <v>3.5750000000000011</v>
      </c>
      <c r="V158" s="238">
        <f t="shared" si="80"/>
        <v>3</v>
      </c>
      <c r="W158" s="354"/>
      <c r="X158" s="371"/>
      <c r="Y158" s="371"/>
      <c r="Z158" s="321">
        <v>2015</v>
      </c>
      <c r="AA158" s="367">
        <f>LARGE($CU$153:$CU$302,6)</f>
        <v>304</v>
      </c>
      <c r="AB158" s="357">
        <f t="shared" si="94"/>
        <v>80.866666666666674</v>
      </c>
      <c r="AC158" s="356">
        <f t="shared" si="78"/>
        <v>6539.4177777777786</v>
      </c>
      <c r="AD158" s="356">
        <f>AD159+AD153</f>
        <v>303.13333333333333</v>
      </c>
      <c r="AE158" s="356">
        <f t="shared" si="95"/>
        <v>5.0541666666666671</v>
      </c>
      <c r="AF158" s="238">
        <f t="shared" si="83"/>
        <v>1</v>
      </c>
      <c r="AG158" s="354"/>
      <c r="AJ158" s="238">
        <v>2018</v>
      </c>
      <c r="AK158" s="367">
        <f>LARGE($DN$134:$DN$165,25)</f>
        <v>80.099999999999994</v>
      </c>
      <c r="AL158" s="373">
        <f t="shared" si="88"/>
        <v>-50.5</v>
      </c>
      <c r="AM158" s="374">
        <f t="shared" si="85"/>
        <v>2550.25</v>
      </c>
      <c r="AN158" s="374"/>
      <c r="AO158" s="374">
        <f t="shared" si="89"/>
        <v>-3.15625</v>
      </c>
      <c r="AP158" s="238">
        <f t="shared" si="70"/>
        <v>8</v>
      </c>
      <c r="AQ158" s="354"/>
      <c r="AR158" s="238">
        <v>2018</v>
      </c>
      <c r="AS158" t="s">
        <v>1762</v>
      </c>
      <c r="AT158" t="s">
        <v>164</v>
      </c>
      <c r="AU158" s="366" t="s">
        <v>1</v>
      </c>
      <c r="AV158" s="418">
        <v>2865</v>
      </c>
      <c r="AW158" s="426">
        <v>17</v>
      </c>
      <c r="AX158" s="426">
        <v>15</v>
      </c>
      <c r="AY158" s="426">
        <v>138</v>
      </c>
      <c r="AZ158" s="426">
        <v>1</v>
      </c>
      <c r="BA158" s="238">
        <v>0</v>
      </c>
      <c r="BB158" s="238">
        <v>0</v>
      </c>
      <c r="BC158" s="238">
        <v>0</v>
      </c>
      <c r="BD158" s="238">
        <v>0</v>
      </c>
      <c r="BE158" s="238">
        <v>0</v>
      </c>
      <c r="BF158" s="238">
        <v>0</v>
      </c>
      <c r="BG158" s="238">
        <v>0</v>
      </c>
      <c r="BH158" s="238">
        <v>2</v>
      </c>
      <c r="BI158" s="367">
        <f>IFERROR(AV158/Instructions!$J$25,0)+AW158*Instructions!$J$27+AX158*Instructions!$J$29+IFERROR(AY158/Instructions!$E$34,0)+AZ158*Instructions!$E$36+Tier!BA158*Instructions!$E$25+IFERROR(BB158/Instructions!$E$27,0)+BC158*Instructions!$E$29+IFERROR((BD158+BF158)/Instructions!$J$32,0)+(BE158+BG158)*Instructions!$J$34+BH158*-2</f>
        <v>168.4</v>
      </c>
      <c r="BJ158" s="354"/>
      <c r="BK158" s="366">
        <v>2015</v>
      </c>
      <c r="BL158" s="365" t="s">
        <v>1127</v>
      </c>
      <c r="BM158" s="366" t="s">
        <v>150</v>
      </c>
      <c r="BN158" s="366" t="s">
        <v>3</v>
      </c>
      <c r="BO158" s="366">
        <v>0</v>
      </c>
      <c r="BP158" s="366">
        <v>0</v>
      </c>
      <c r="BQ158" s="366">
        <v>0</v>
      </c>
      <c r="BR158" s="366">
        <v>1106</v>
      </c>
      <c r="BS158" s="366">
        <v>10</v>
      </c>
      <c r="BT158" s="366">
        <v>21</v>
      </c>
      <c r="BU158" s="371">
        <v>188</v>
      </c>
      <c r="BV158" s="371">
        <v>0</v>
      </c>
      <c r="BW158" s="366">
        <v>0</v>
      </c>
      <c r="BX158" s="366">
        <v>0</v>
      </c>
      <c r="BY158" s="366">
        <v>0</v>
      </c>
      <c r="BZ158" s="366">
        <v>0</v>
      </c>
      <c r="CA158" s="366">
        <v>1</v>
      </c>
      <c r="CB158" s="367">
        <f>IFERROR(BO158/Instructions!$J$25,0)+BP158*Instructions!$J$27+BQ158*Instructions!$J$29+IFERROR(BR158/Instructions!$E$34,0)+BS158*Instructions!$E$36+Tier!BT159*Instructions!$E$25+IFERROR(BU158/Instructions!$E$27,0)+BV158*Instructions!$E$29+IFERROR((BW158+BY158)/Instructions!$J$32,0)+(BX158+BZ158)*Instructions!$J$34+Tier!CA158*-2</f>
        <v>234.4</v>
      </c>
      <c r="CC158" s="354"/>
      <c r="CD158" s="321">
        <v>2015</v>
      </c>
      <c r="CE158" s="370" t="s">
        <v>108</v>
      </c>
      <c r="CF158" s="371" t="s">
        <v>151</v>
      </c>
      <c r="CG158" s="371" t="s">
        <v>6</v>
      </c>
      <c r="CH158" s="371">
        <v>0</v>
      </c>
      <c r="CI158" s="371">
        <v>0</v>
      </c>
      <c r="CJ158" s="371">
        <v>0</v>
      </c>
      <c r="CK158" s="371">
        <v>0</v>
      </c>
      <c r="CL158" s="371">
        <v>0</v>
      </c>
      <c r="CM158" s="371">
        <v>111</v>
      </c>
      <c r="CN158" s="371">
        <v>1521</v>
      </c>
      <c r="CO158" s="371">
        <v>11</v>
      </c>
      <c r="CP158" s="371">
        <v>0</v>
      </c>
      <c r="CQ158" s="371">
        <v>0</v>
      </c>
      <c r="CR158" s="371">
        <v>0</v>
      </c>
      <c r="CS158" s="371">
        <v>0</v>
      </c>
      <c r="CT158" s="371">
        <v>0</v>
      </c>
      <c r="CU158" s="367">
        <f>IFERROR(CH158/Instructions!$J$25,0)+CI158*Instructions!$J$27+CJ158*Instructions!$J$29+IFERROR(CK158/Instructions!$E$34,0)+CL158*Instructions!$E$36+Tier!CM158*Instructions!$E$25+IFERROR(CN158/Instructions!$E$27,0)+CO158*Instructions!$E$29+IFERROR((CP158+CR158)/Instructions!$J$32,0)+(CQ158+CS158)*Instructions!$J$34+Tier!CT158*-2</f>
        <v>329.1</v>
      </c>
      <c r="CV158" s="354"/>
      <c r="CW158" s="238">
        <v>2018</v>
      </c>
      <c r="CX158" t="s">
        <v>22</v>
      </c>
      <c r="CY158" s="3" t="s">
        <v>1940</v>
      </c>
      <c r="CZ158" s="366" t="s">
        <v>7</v>
      </c>
      <c r="DA158" s="366">
        <v>0</v>
      </c>
      <c r="DB158" s="366">
        <v>0</v>
      </c>
      <c r="DC158" s="366">
        <v>0</v>
      </c>
      <c r="DD158" s="366">
        <v>0</v>
      </c>
      <c r="DE158" s="366">
        <v>0</v>
      </c>
      <c r="DF158">
        <v>25</v>
      </c>
      <c r="DG158">
        <v>367</v>
      </c>
      <c r="DH158">
        <v>2</v>
      </c>
      <c r="DI158" s="366">
        <v>0</v>
      </c>
      <c r="DJ158" s="366">
        <v>0</v>
      </c>
      <c r="DK158" s="366">
        <v>0</v>
      </c>
      <c r="DL158" s="366">
        <v>0</v>
      </c>
      <c r="DM158" s="366">
        <v>0</v>
      </c>
      <c r="DN158" s="367">
        <f>IFERROR(DA158/Instructions!$J$25,0)+DB158*Instructions!$J$27+DC158*Instructions!$J$29+IFERROR(DD158/Instructions!$E$34,0)+DE158*Instructions!$E$36+Tier!DF158*Instructions!$E$25+IFERROR(DG158/Instructions!$E$27,0)+DH158*Instructions!$E$29+IFERROR((DI158+DK158)/Instructions!$J$32,0)+(DJ158+DL158)*Instructions!$J$34+Tier!DM158*-2</f>
        <v>73.7</v>
      </c>
    </row>
    <row r="159" spans="1:118" s="366" customFormat="1" ht="15.75" customHeight="1" x14ac:dyDescent="0.25">
      <c r="A159" s="238"/>
      <c r="B159" s="238"/>
      <c r="C159" s="354"/>
      <c r="D159" s="365"/>
      <c r="F159" s="238">
        <v>2018</v>
      </c>
      <c r="G159" s="367">
        <f>LARGE($BI$134:$BI$165,26)</f>
        <v>173.22</v>
      </c>
      <c r="H159" s="355">
        <f t="shared" si="90"/>
        <v>-105.38000000000002</v>
      </c>
      <c r="I159" s="356">
        <f t="shared" si="84"/>
        <v>11104.944400000006</v>
      </c>
      <c r="J159" s="356"/>
      <c r="K159" s="356">
        <f t="shared" si="86"/>
        <v>-6.5862500000000015</v>
      </c>
      <c r="L159" s="238">
        <f t="shared" si="87"/>
        <v>8</v>
      </c>
      <c r="M159" s="354"/>
      <c r="N159" s="372"/>
      <c r="O159" s="372"/>
      <c r="P159" s="366">
        <v>2015</v>
      </c>
      <c r="Q159" s="367">
        <f>LARGE($CB$153:$CB$302,7)</f>
        <v>216.7</v>
      </c>
      <c r="R159" s="357">
        <f t="shared" si="91"/>
        <v>52.099999999999994</v>
      </c>
      <c r="S159" s="356">
        <f t="shared" si="92"/>
        <v>2714.4099999999994</v>
      </c>
      <c r="T159" s="356">
        <f>T160+T153</f>
        <v>228.6</v>
      </c>
      <c r="U159" s="356">
        <f t="shared" si="93"/>
        <v>3.2562499999999996</v>
      </c>
      <c r="V159" s="238">
        <f t="shared" si="80"/>
        <v>3</v>
      </c>
      <c r="W159" s="354"/>
      <c r="X159" s="371"/>
      <c r="Y159" s="371"/>
      <c r="Z159" s="321">
        <v>2015</v>
      </c>
      <c r="AA159" s="367">
        <f>LARGE($CU$153:$CU$302,7)</f>
        <v>280.5</v>
      </c>
      <c r="AB159" s="357">
        <f t="shared" si="94"/>
        <v>57.366666666666674</v>
      </c>
      <c r="AC159" s="356">
        <f t="shared" si="78"/>
        <v>3290.9344444444455</v>
      </c>
      <c r="AD159" s="356">
        <f>AD160+AD153</f>
        <v>287.13333333333333</v>
      </c>
      <c r="AE159" s="356">
        <f t="shared" si="95"/>
        <v>3.5854166666666671</v>
      </c>
      <c r="AF159" s="238">
        <f t="shared" si="83"/>
        <v>3</v>
      </c>
      <c r="AG159" s="354"/>
      <c r="AJ159" s="238">
        <v>2018</v>
      </c>
      <c r="AK159" s="367">
        <f>LARGE($DN$134:$DN$165,26)</f>
        <v>75.7</v>
      </c>
      <c r="AL159" s="373">
        <f t="shared" si="88"/>
        <v>-54.899999999999991</v>
      </c>
      <c r="AM159" s="374">
        <f t="shared" si="85"/>
        <v>3014.0099999999989</v>
      </c>
      <c r="AN159" s="374"/>
      <c r="AO159" s="374">
        <f t="shared" si="89"/>
        <v>-3.4312499999999995</v>
      </c>
      <c r="AP159" s="238">
        <f t="shared" si="70"/>
        <v>8</v>
      </c>
      <c r="AQ159" s="354"/>
      <c r="AR159" s="238">
        <v>2018</v>
      </c>
      <c r="AS159" t="s">
        <v>174</v>
      </c>
      <c r="AT159" t="s">
        <v>1389</v>
      </c>
      <c r="AU159" s="366" t="s">
        <v>1</v>
      </c>
      <c r="AV159" s="418">
        <v>2718</v>
      </c>
      <c r="AW159" s="426">
        <v>13</v>
      </c>
      <c r="AX159" s="426">
        <v>11</v>
      </c>
      <c r="AY159" s="426">
        <v>365</v>
      </c>
      <c r="AZ159" s="426">
        <v>1</v>
      </c>
      <c r="BA159" s="238">
        <v>0</v>
      </c>
      <c r="BB159" s="238">
        <v>0</v>
      </c>
      <c r="BC159" s="238">
        <v>0</v>
      </c>
      <c r="BD159" s="238">
        <v>0</v>
      </c>
      <c r="BE159" s="238">
        <v>0</v>
      </c>
      <c r="BF159" s="238">
        <v>0</v>
      </c>
      <c r="BG159" s="238">
        <v>0</v>
      </c>
      <c r="BH159" s="238">
        <v>4</v>
      </c>
      <c r="BI159" s="367">
        <f>IFERROR(AV159/Instructions!$J$25,0)+AW159*Instructions!$J$27+AX159*Instructions!$J$29+IFERROR(AY159/Instructions!$E$34,0)+AZ159*Instructions!$E$36+Tier!BA159*Instructions!$E$25+IFERROR(BB159/Instructions!$E$27,0)+BC159*Instructions!$E$29+IFERROR((BD159+BF159)/Instructions!$J$32,0)+(BE159+BG159)*Instructions!$J$34+BH159*-2</f>
        <v>173.22</v>
      </c>
      <c r="BJ159" s="354"/>
      <c r="BK159" s="366">
        <v>2015</v>
      </c>
      <c r="BL159" s="365" t="s">
        <v>97</v>
      </c>
      <c r="BM159" s="366" t="s">
        <v>166</v>
      </c>
      <c r="BN159" s="366" t="s">
        <v>3</v>
      </c>
      <c r="BO159" s="366">
        <v>0</v>
      </c>
      <c r="BP159" s="366">
        <v>0</v>
      </c>
      <c r="BQ159" s="366">
        <v>0</v>
      </c>
      <c r="BR159" s="366">
        <v>872</v>
      </c>
      <c r="BS159" s="366">
        <v>8</v>
      </c>
      <c r="BT159" s="366">
        <v>47</v>
      </c>
      <c r="BU159" s="371">
        <v>397</v>
      </c>
      <c r="BV159" s="371">
        <v>2</v>
      </c>
      <c r="BW159" s="366">
        <v>0</v>
      </c>
      <c r="BX159" s="366">
        <v>0</v>
      </c>
      <c r="BY159" s="366">
        <v>0</v>
      </c>
      <c r="BZ159" s="366">
        <v>0</v>
      </c>
      <c r="CA159" s="366">
        <v>1</v>
      </c>
      <c r="CB159" s="367">
        <f>IFERROR(BO159/Instructions!$J$25,0)+BP159*Instructions!$J$27+BQ159*Instructions!$J$29+IFERROR(BR159/Instructions!$E$34,0)+BS159*Instructions!$E$36+Tier!BT160*Instructions!$E$25+IFERROR(BU159/Instructions!$E$27,0)+BV159*Instructions!$E$29+IFERROR((BW159+BY159)/Instructions!$J$32,0)+(BX159+BZ159)*Instructions!$J$34+Tier!CA159*-2</f>
        <v>214.89999999999998</v>
      </c>
      <c r="CC159" s="354"/>
      <c r="CD159" s="321">
        <v>2015</v>
      </c>
      <c r="CE159" s="370" t="s">
        <v>125</v>
      </c>
      <c r="CF159" s="371" t="s">
        <v>140</v>
      </c>
      <c r="CG159" s="371" t="s">
        <v>6</v>
      </c>
      <c r="CH159" s="371">
        <v>0</v>
      </c>
      <c r="CI159" s="371">
        <v>0</v>
      </c>
      <c r="CJ159" s="371">
        <v>0</v>
      </c>
      <c r="CK159" s="371">
        <v>0</v>
      </c>
      <c r="CL159" s="371">
        <v>0</v>
      </c>
      <c r="CM159" s="371">
        <v>78</v>
      </c>
      <c r="CN159" s="371">
        <v>1069</v>
      </c>
      <c r="CO159" s="371">
        <v>14</v>
      </c>
      <c r="CP159" s="371">
        <v>0</v>
      </c>
      <c r="CQ159" s="371">
        <v>0</v>
      </c>
      <c r="CR159" s="371">
        <v>0</v>
      </c>
      <c r="CS159" s="371">
        <v>0</v>
      </c>
      <c r="CT159" s="371">
        <v>0</v>
      </c>
      <c r="CU159" s="367">
        <f>IFERROR(CH159/Instructions!$J$25,0)+CI159*Instructions!$J$27+CJ159*Instructions!$J$29+IFERROR(CK159/Instructions!$E$34,0)+CL159*Instructions!$E$36+Tier!CM159*Instructions!$E$25+IFERROR(CN159/Instructions!$E$27,0)+CO159*Instructions!$E$29+IFERROR((CP159+CR159)/Instructions!$J$32,0)+(CQ159+CS159)*Instructions!$J$34+Tier!CT159*-2</f>
        <v>268.89999999999998</v>
      </c>
      <c r="CV159" s="354"/>
      <c r="CW159" s="238">
        <v>2018</v>
      </c>
      <c r="CX159" t="s">
        <v>1812</v>
      </c>
      <c r="CY159" s="3" t="s">
        <v>1936</v>
      </c>
      <c r="CZ159" s="366" t="s">
        <v>7</v>
      </c>
      <c r="DA159" s="366">
        <v>0</v>
      </c>
      <c r="DB159" s="366">
        <v>0</v>
      </c>
      <c r="DC159" s="366">
        <v>0</v>
      </c>
      <c r="DD159" s="366">
        <v>0</v>
      </c>
      <c r="DE159" s="366">
        <v>0</v>
      </c>
      <c r="DF159">
        <v>27</v>
      </c>
      <c r="DG159">
        <v>307</v>
      </c>
      <c r="DH159">
        <v>3</v>
      </c>
      <c r="DI159" s="366">
        <v>0</v>
      </c>
      <c r="DJ159" s="366">
        <v>0</v>
      </c>
      <c r="DK159" s="366">
        <v>0</v>
      </c>
      <c r="DL159" s="366">
        <v>0</v>
      </c>
      <c r="DM159" s="366">
        <v>0</v>
      </c>
      <c r="DN159" s="367">
        <f>IFERROR(DA159/Instructions!$J$25,0)+DB159*Instructions!$J$27+DC159*Instructions!$J$29+IFERROR(DD159/Instructions!$E$34,0)+DE159*Instructions!$E$36+Tier!DF159*Instructions!$E$25+IFERROR(DG159/Instructions!$E$27,0)+DH159*Instructions!$E$29+IFERROR((DI159+DK159)/Instructions!$J$32,0)+(DJ159+DL159)*Instructions!$J$34+Tier!DM159*-2</f>
        <v>75.7</v>
      </c>
    </row>
    <row r="160" spans="1:118" s="366" customFormat="1" ht="15.75" customHeight="1" x14ac:dyDescent="0.25">
      <c r="A160" s="238"/>
      <c r="B160" s="238"/>
      <c r="C160" s="354"/>
      <c r="D160" s="365"/>
      <c r="F160" s="238">
        <v>2018</v>
      </c>
      <c r="G160" s="367">
        <f>LARGE($BI$134:$BI$165,27)</f>
        <v>168.4</v>
      </c>
      <c r="H160" s="355">
        <f t="shared" si="90"/>
        <v>-110.20000000000002</v>
      </c>
      <c r="I160" s="356">
        <f t="shared" si="84"/>
        <v>12144.040000000005</v>
      </c>
      <c r="J160" s="356"/>
      <c r="K160" s="356">
        <f t="shared" si="86"/>
        <v>-6.8875000000000011</v>
      </c>
      <c r="L160" s="238">
        <f t="shared" si="87"/>
        <v>8</v>
      </c>
      <c r="M160" s="354"/>
      <c r="N160" s="372"/>
      <c r="O160" s="372"/>
      <c r="P160" s="366">
        <v>2015</v>
      </c>
      <c r="Q160" s="367">
        <f>LARGE($CB$153:$CB$302,8)</f>
        <v>214.89999999999998</v>
      </c>
      <c r="R160" s="357">
        <f t="shared" si="91"/>
        <v>50.299999999999983</v>
      </c>
      <c r="S160" s="356">
        <f t="shared" si="92"/>
        <v>2530.0899999999983</v>
      </c>
      <c r="T160" s="356">
        <f>T161+T153</f>
        <v>212.6</v>
      </c>
      <c r="U160" s="356">
        <f t="shared" si="93"/>
        <v>3.1437499999999989</v>
      </c>
      <c r="V160" s="238">
        <f t="shared" si="80"/>
        <v>3</v>
      </c>
      <c r="W160" s="354"/>
      <c r="X160" s="371"/>
      <c r="Y160" s="371"/>
      <c r="Z160" s="321">
        <v>2015</v>
      </c>
      <c r="AA160" s="367">
        <f>LARGE($CU$153:$CU$302,8)</f>
        <v>273.7</v>
      </c>
      <c r="AB160" s="357">
        <f t="shared" si="94"/>
        <v>50.566666666666663</v>
      </c>
      <c r="AC160" s="356">
        <f t="shared" si="78"/>
        <v>2556.9877777777774</v>
      </c>
      <c r="AD160" s="356">
        <f>AD161+AD153</f>
        <v>271.13333333333333</v>
      </c>
      <c r="AE160" s="356">
        <f t="shared" si="95"/>
        <v>3.1604166666666664</v>
      </c>
      <c r="AF160" s="238">
        <f t="shared" si="83"/>
        <v>3</v>
      </c>
      <c r="AG160" s="354"/>
      <c r="AJ160" s="238">
        <v>2018</v>
      </c>
      <c r="AK160" s="367">
        <f>LARGE($DN$134:$DN$165,27)</f>
        <v>74.3</v>
      </c>
      <c r="AL160" s="373">
        <f t="shared" si="88"/>
        <v>-56.3</v>
      </c>
      <c r="AM160" s="374">
        <f t="shared" si="85"/>
        <v>3169.6899999999996</v>
      </c>
      <c r="AN160" s="374"/>
      <c r="AO160" s="374">
        <f t="shared" si="89"/>
        <v>-3.5187499999999998</v>
      </c>
      <c r="AP160" s="238">
        <f t="shared" si="70"/>
        <v>8</v>
      </c>
      <c r="AQ160" s="354"/>
      <c r="AR160" s="238">
        <v>2018</v>
      </c>
      <c r="AS160" t="s">
        <v>1133</v>
      </c>
      <c r="AT160" t="s">
        <v>1945</v>
      </c>
      <c r="AU160" s="366" t="s">
        <v>1</v>
      </c>
      <c r="AV160" s="418">
        <v>2528</v>
      </c>
      <c r="AW160" s="426">
        <v>11</v>
      </c>
      <c r="AX160" s="426">
        <v>8</v>
      </c>
      <c r="AY160" s="426">
        <v>357</v>
      </c>
      <c r="AZ160" s="426">
        <v>2</v>
      </c>
      <c r="BA160" s="238">
        <v>1</v>
      </c>
      <c r="BB160" s="238">
        <v>21</v>
      </c>
      <c r="BC160" s="238">
        <v>0</v>
      </c>
      <c r="BD160" s="238">
        <v>0</v>
      </c>
      <c r="BE160" s="238">
        <v>0</v>
      </c>
      <c r="BF160" s="238">
        <v>0</v>
      </c>
      <c r="BG160" s="238">
        <v>0</v>
      </c>
      <c r="BH160" s="238">
        <v>2</v>
      </c>
      <c r="BI160" s="367">
        <f>IFERROR(AV160/Instructions!$J$25,0)+AW160*Instructions!$J$27+AX160*Instructions!$J$29+IFERROR(AY160/Instructions!$E$34,0)+AZ160*Instructions!$E$36+Tier!BA160*Instructions!$E$25+IFERROR(BB160/Instructions!$E$27,0)+BC160*Instructions!$E$29+IFERROR((BD160+BF160)/Instructions!$J$32,0)+(BE160+BG160)*Instructions!$J$34+BH160*-2</f>
        <v>175.92</v>
      </c>
      <c r="BJ160" s="354"/>
      <c r="BK160" s="366">
        <v>2015</v>
      </c>
      <c r="BL160" s="365" t="s">
        <v>1161</v>
      </c>
      <c r="BM160" s="366" t="s">
        <v>164</v>
      </c>
      <c r="BN160" s="366" t="s">
        <v>3</v>
      </c>
      <c r="BO160" s="366">
        <v>0</v>
      </c>
      <c r="BP160" s="366">
        <v>0</v>
      </c>
      <c r="BQ160" s="366">
        <v>0</v>
      </c>
      <c r="BR160" s="366">
        <v>1070</v>
      </c>
      <c r="BS160" s="366">
        <v>7</v>
      </c>
      <c r="BT160" s="366">
        <v>30</v>
      </c>
      <c r="BU160" s="371">
        <v>217</v>
      </c>
      <c r="BV160" s="371">
        <v>1</v>
      </c>
      <c r="BW160" s="366">
        <v>0</v>
      </c>
      <c r="BX160" s="366">
        <v>0</v>
      </c>
      <c r="BY160" s="366">
        <v>0</v>
      </c>
      <c r="BZ160" s="366">
        <v>0</v>
      </c>
      <c r="CA160" s="366">
        <v>2</v>
      </c>
      <c r="CB160" s="367">
        <f>IFERROR(BO160/Instructions!$J$25,0)+BP160*Instructions!$J$27+BQ160*Instructions!$J$29+IFERROR(BR160/Instructions!$E$34,0)+BS160*Instructions!$E$36+Tier!BT161*Instructions!$E$25+IFERROR(BU160/Instructions!$E$27,0)+BV160*Instructions!$E$29+IFERROR((BW160+BY160)/Instructions!$J$32,0)+(BX160+BZ160)*Instructions!$J$34+Tier!CA160*-2</f>
        <v>216.7</v>
      </c>
      <c r="CC160" s="354"/>
      <c r="CD160" s="321">
        <v>2015</v>
      </c>
      <c r="CE160" s="370" t="s">
        <v>21</v>
      </c>
      <c r="CF160" s="371" t="s">
        <v>145</v>
      </c>
      <c r="CG160" s="371" t="s">
        <v>6</v>
      </c>
      <c r="CH160" s="371">
        <v>0</v>
      </c>
      <c r="CI160" s="371">
        <v>0</v>
      </c>
      <c r="CJ160" s="371">
        <v>0</v>
      </c>
      <c r="CK160" s="371">
        <v>0</v>
      </c>
      <c r="CL160" s="371">
        <v>0</v>
      </c>
      <c r="CM160" s="371">
        <v>86</v>
      </c>
      <c r="CN160" s="371">
        <v>1297</v>
      </c>
      <c r="CO160" s="371">
        <v>10</v>
      </c>
      <c r="CP160" s="371">
        <v>0</v>
      </c>
      <c r="CQ160" s="371">
        <v>0</v>
      </c>
      <c r="CR160" s="371">
        <v>0</v>
      </c>
      <c r="CS160" s="371">
        <v>0</v>
      </c>
      <c r="CT160" s="371">
        <v>1</v>
      </c>
      <c r="CU160" s="367">
        <f>IFERROR(CH160/Instructions!$J$25,0)+CI160*Instructions!$J$27+CJ160*Instructions!$J$29+IFERROR(CK160/Instructions!$E$34,0)+CL160*Instructions!$E$36+Tier!CM160*Instructions!$E$25+IFERROR(CN160/Instructions!$E$27,0)+CO160*Instructions!$E$29+IFERROR((CP160+CR160)/Instructions!$J$32,0)+(CQ160+CS160)*Instructions!$J$34+Tier!CT160*-2</f>
        <v>273.7</v>
      </c>
      <c r="CV160" s="354"/>
      <c r="CW160" s="238">
        <v>2018</v>
      </c>
      <c r="CX160" t="s">
        <v>50</v>
      </c>
      <c r="CY160" s="3" t="s">
        <v>1388</v>
      </c>
      <c r="CZ160" s="366" t="s">
        <v>7</v>
      </c>
      <c r="DA160" s="366">
        <v>0</v>
      </c>
      <c r="DB160" s="366">
        <v>0</v>
      </c>
      <c r="DC160" s="366">
        <v>0</v>
      </c>
      <c r="DD160" s="366">
        <v>0</v>
      </c>
      <c r="DE160" s="366">
        <v>0</v>
      </c>
      <c r="DF160">
        <v>28</v>
      </c>
      <c r="DG160">
        <v>333</v>
      </c>
      <c r="DH160">
        <v>2</v>
      </c>
      <c r="DI160" s="366">
        <v>0</v>
      </c>
      <c r="DJ160" s="366">
        <v>0</v>
      </c>
      <c r="DK160" s="366">
        <v>0</v>
      </c>
      <c r="DL160" s="366">
        <v>0</v>
      </c>
      <c r="DM160" s="366">
        <v>1</v>
      </c>
      <c r="DN160" s="367">
        <f>IFERROR(DA160/Instructions!$J$25,0)+DB160*Instructions!$J$27+DC160*Instructions!$J$29+IFERROR(DD160/Instructions!$E$34,0)+DE160*Instructions!$E$36+Tier!DF160*Instructions!$E$25+IFERROR(DG160/Instructions!$E$27,0)+DH160*Instructions!$E$29+IFERROR((DI160+DK160)/Instructions!$J$32,0)+(DJ160+DL160)*Instructions!$J$34+Tier!DM160*-2</f>
        <v>71.3</v>
      </c>
    </row>
    <row r="161" spans="1:118" s="366" customFormat="1" ht="15.75" customHeight="1" x14ac:dyDescent="0.25">
      <c r="A161" s="238"/>
      <c r="B161" s="238"/>
      <c r="C161" s="354"/>
      <c r="D161" s="365"/>
      <c r="F161" s="238">
        <v>2018</v>
      </c>
      <c r="G161" s="367">
        <f>LARGE($BI$134:$BI$165,28)</f>
        <v>163.83999999999997</v>
      </c>
      <c r="H161" s="355">
        <f t="shared" si="90"/>
        <v>-114.76000000000005</v>
      </c>
      <c r="I161" s="356">
        <f t="shared" si="84"/>
        <v>13169.85760000001</v>
      </c>
      <c r="J161" s="356"/>
      <c r="K161" s="356">
        <f t="shared" si="86"/>
        <v>-7.172500000000003</v>
      </c>
      <c r="L161" s="238">
        <f t="shared" si="87"/>
        <v>8</v>
      </c>
      <c r="M161" s="354"/>
      <c r="N161" s="372"/>
      <c r="O161" s="372"/>
      <c r="P161" s="366">
        <v>2015</v>
      </c>
      <c r="Q161" s="367">
        <f>LARGE($CB$153:$CB$302,9)</f>
        <v>210.39999999999998</v>
      </c>
      <c r="R161" s="357">
        <f t="shared" si="91"/>
        <v>45.799999999999983</v>
      </c>
      <c r="S161" s="356">
        <f t="shared" si="92"/>
        <v>2097.6399999999985</v>
      </c>
      <c r="T161" s="356">
        <f>T162+T153</f>
        <v>196.6</v>
      </c>
      <c r="U161" s="356">
        <f t="shared" si="93"/>
        <v>2.8624999999999989</v>
      </c>
      <c r="V161" s="238">
        <f t="shared" si="80"/>
        <v>4</v>
      </c>
      <c r="W161" s="354"/>
      <c r="X161" s="371"/>
      <c r="Y161" s="371"/>
      <c r="Z161" s="321">
        <v>2015</v>
      </c>
      <c r="AA161" s="367">
        <f>LARGE($CU$153:$CU$302,9)</f>
        <v>273.36</v>
      </c>
      <c r="AB161" s="357">
        <f t="shared" si="94"/>
        <v>50.226666666666688</v>
      </c>
      <c r="AC161" s="356">
        <f t="shared" si="78"/>
        <v>2522.7180444444466</v>
      </c>
      <c r="AD161" s="356">
        <f>AD162+AD153</f>
        <v>255.13333333333333</v>
      </c>
      <c r="AE161" s="356">
        <f t="shared" si="95"/>
        <v>3.139166666666668</v>
      </c>
      <c r="AF161" s="238">
        <f t="shared" si="83"/>
        <v>3</v>
      </c>
      <c r="AG161" s="354"/>
      <c r="AJ161" s="238">
        <v>2018</v>
      </c>
      <c r="AK161" s="367">
        <f>LARGE($DN$134:$DN$165,28)</f>
        <v>73.900000000000006</v>
      </c>
      <c r="AL161" s="373">
        <f t="shared" si="88"/>
        <v>-56.699999999999989</v>
      </c>
      <c r="AM161" s="374">
        <f t="shared" si="85"/>
        <v>3214.8899999999985</v>
      </c>
      <c r="AN161" s="374"/>
      <c r="AO161" s="374">
        <f t="shared" si="89"/>
        <v>-3.5437499999999993</v>
      </c>
      <c r="AP161" s="238">
        <f t="shared" si="70"/>
        <v>8</v>
      </c>
      <c r="AQ161" s="354"/>
      <c r="AR161" s="238">
        <v>2018</v>
      </c>
      <c r="AS161" t="s">
        <v>172</v>
      </c>
      <c r="AT161" t="s">
        <v>1946</v>
      </c>
      <c r="AU161" s="366" t="s">
        <v>1</v>
      </c>
      <c r="AV161" s="418">
        <v>2366</v>
      </c>
      <c r="AW161" s="426">
        <v>17</v>
      </c>
      <c r="AX161" s="426">
        <v>12</v>
      </c>
      <c r="AY161" s="426">
        <v>152</v>
      </c>
      <c r="AZ161" s="426">
        <v>2</v>
      </c>
      <c r="BA161" s="238">
        <v>0</v>
      </c>
      <c r="BB161" s="238">
        <v>0</v>
      </c>
      <c r="BC161" s="238">
        <v>0</v>
      </c>
      <c r="BD161" s="238">
        <v>0</v>
      </c>
      <c r="BE161" s="238">
        <v>0</v>
      </c>
      <c r="BF161" s="238">
        <v>0</v>
      </c>
      <c r="BG161" s="238">
        <v>0</v>
      </c>
      <c r="BH161" s="238">
        <v>1</v>
      </c>
      <c r="BI161" s="367">
        <f>IFERROR(AV161/Instructions!$J$25,0)+AW161*Instructions!$J$27+AX161*Instructions!$J$29+IFERROR(AY161/Instructions!$E$34,0)+AZ161*Instructions!$E$36+Tier!BA161*Instructions!$E$25+IFERROR(BB161/Instructions!$E$27,0)+BC161*Instructions!$E$29+IFERROR((BD161+BF161)/Instructions!$J$32,0)+(BE161+BG161)*Instructions!$J$34+BH161*-2</f>
        <v>163.83999999999997</v>
      </c>
      <c r="BJ161" s="354"/>
      <c r="BK161" s="366">
        <v>2015</v>
      </c>
      <c r="BL161" s="365" t="s">
        <v>9</v>
      </c>
      <c r="BM161" s="366" t="s">
        <v>141</v>
      </c>
      <c r="BN161" s="366" t="s">
        <v>3</v>
      </c>
      <c r="BO161" s="366">
        <v>0</v>
      </c>
      <c r="BP161" s="366">
        <v>0</v>
      </c>
      <c r="BQ161" s="366">
        <v>0</v>
      </c>
      <c r="BR161" s="366">
        <v>898</v>
      </c>
      <c r="BS161" s="366">
        <v>4</v>
      </c>
      <c r="BT161" s="366">
        <v>44</v>
      </c>
      <c r="BU161" s="371">
        <v>389</v>
      </c>
      <c r="BV161" s="371">
        <v>3</v>
      </c>
      <c r="BW161" s="366">
        <v>0</v>
      </c>
      <c r="BX161" s="366">
        <v>0</v>
      </c>
      <c r="BY161" s="366">
        <v>0</v>
      </c>
      <c r="BZ161" s="366">
        <v>0</v>
      </c>
      <c r="CA161" s="366">
        <v>1</v>
      </c>
      <c r="CB161" s="367">
        <f>IFERROR(BO161/Instructions!$J$25,0)+BP161*Instructions!$J$27+BQ161*Instructions!$J$29+IFERROR(BR161/Instructions!$E$34,0)+BS161*Instructions!$E$36+Tier!BT162*Instructions!$E$25+IFERROR(BU161/Instructions!$E$27,0)+BV161*Instructions!$E$29+IFERROR((BW161+BY161)/Instructions!$J$32,0)+(BX161+BZ161)*Instructions!$J$34+Tier!CA161*-2</f>
        <v>209.70000000000002</v>
      </c>
      <c r="CC161" s="354"/>
      <c r="CD161" s="321">
        <v>2015</v>
      </c>
      <c r="CE161" s="370" t="s">
        <v>201</v>
      </c>
      <c r="CF161" s="371" t="s">
        <v>166</v>
      </c>
      <c r="CG161" s="371" t="s">
        <v>6</v>
      </c>
      <c r="CH161" s="371">
        <v>9</v>
      </c>
      <c r="CI161" s="371">
        <v>0</v>
      </c>
      <c r="CJ161" s="371">
        <v>0</v>
      </c>
      <c r="CK161" s="371">
        <v>113</v>
      </c>
      <c r="CL161" s="371">
        <v>1</v>
      </c>
      <c r="CM161" s="371">
        <v>110</v>
      </c>
      <c r="CN161" s="371">
        <v>1157</v>
      </c>
      <c r="CO161" s="371">
        <v>4</v>
      </c>
      <c r="CP161" s="371">
        <v>356</v>
      </c>
      <c r="CQ161" s="371">
        <v>1</v>
      </c>
      <c r="CR161" s="371">
        <v>321</v>
      </c>
      <c r="CS161" s="371">
        <v>0</v>
      </c>
      <c r="CT161" s="371">
        <v>0</v>
      </c>
      <c r="CU161" s="367">
        <f>IFERROR(CH161/Instructions!$J$25,0)+CI161*Instructions!$J$27+CJ161*Instructions!$J$29+IFERROR(CK161/Instructions!$E$34,0)+CL161*Instructions!$E$36+Tier!CM161*Instructions!$E$25+IFERROR(CN161/Instructions!$E$27,0)+CO161*Instructions!$E$29+IFERROR((CP161+CR161)/Instructions!$J$32,0)+(CQ161+CS161)*Instructions!$J$34+Tier!CT161*-2</f>
        <v>273.36</v>
      </c>
      <c r="CV161" s="354"/>
      <c r="CW161" s="238">
        <v>2018</v>
      </c>
      <c r="CX161" t="s">
        <v>1818</v>
      </c>
      <c r="CY161" s="3" t="s">
        <v>1932</v>
      </c>
      <c r="CZ161" s="366" t="s">
        <v>7</v>
      </c>
      <c r="DA161" s="366">
        <v>0</v>
      </c>
      <c r="DB161" s="366">
        <v>0</v>
      </c>
      <c r="DC161" s="366">
        <v>0</v>
      </c>
      <c r="DD161" s="366">
        <v>0</v>
      </c>
      <c r="DE161" s="366">
        <v>0</v>
      </c>
      <c r="DF161">
        <v>20</v>
      </c>
      <c r="DG161">
        <v>215</v>
      </c>
      <c r="DH161">
        <v>4</v>
      </c>
      <c r="DI161" s="366">
        <v>0</v>
      </c>
      <c r="DJ161" s="366">
        <v>0</v>
      </c>
      <c r="DK161" s="366">
        <v>0</v>
      </c>
      <c r="DL161" s="366">
        <v>0</v>
      </c>
      <c r="DM161" s="366">
        <v>0</v>
      </c>
      <c r="DN161" s="367">
        <f>IFERROR(DA161/Instructions!$J$25,0)+DB161*Instructions!$J$27+DC161*Instructions!$J$29+IFERROR(DD161/Instructions!$E$34,0)+DE161*Instructions!$E$36+Tier!DF161*Instructions!$E$25+IFERROR(DG161/Instructions!$E$27,0)+DH161*Instructions!$E$29+IFERROR((DI161+DK161)/Instructions!$J$32,0)+(DJ161+DL161)*Instructions!$J$34+Tier!DM161*-2</f>
        <v>65.5</v>
      </c>
    </row>
    <row r="162" spans="1:118" s="366" customFormat="1" ht="15.75" customHeight="1" x14ac:dyDescent="0.25">
      <c r="A162" s="238"/>
      <c r="B162" s="238"/>
      <c r="C162" s="354"/>
      <c r="D162" s="365"/>
      <c r="F162" s="238">
        <v>2018</v>
      </c>
      <c r="G162" s="367">
        <f>LARGE($BI$134:$BI$165,29)</f>
        <v>157.54</v>
      </c>
      <c r="H162" s="355">
        <f t="shared" si="90"/>
        <v>-121.06000000000003</v>
      </c>
      <c r="I162" s="356">
        <f t="shared" si="84"/>
        <v>14655.523600000008</v>
      </c>
      <c r="J162" s="356"/>
      <c r="K162" s="356">
        <f t="shared" si="86"/>
        <v>-7.5662500000000019</v>
      </c>
      <c r="L162" s="238">
        <f t="shared" si="87"/>
        <v>8</v>
      </c>
      <c r="M162" s="354"/>
      <c r="N162" s="372"/>
      <c r="O162" s="372"/>
      <c r="P162" s="366">
        <v>2015</v>
      </c>
      <c r="Q162" s="367">
        <f>LARGE($CB$153:$CB$302,10)</f>
        <v>209.70000000000002</v>
      </c>
      <c r="R162" s="357">
        <f t="shared" si="91"/>
        <v>45.100000000000023</v>
      </c>
      <c r="S162" s="356">
        <f t="shared" si="92"/>
        <v>2034.010000000002</v>
      </c>
      <c r="T162" s="356">
        <f>T163+T153</f>
        <v>180.6</v>
      </c>
      <c r="U162" s="356">
        <f t="shared" si="93"/>
        <v>2.8187500000000014</v>
      </c>
      <c r="V162" s="238">
        <f t="shared" si="80"/>
        <v>4</v>
      </c>
      <c r="W162" s="354"/>
      <c r="X162" s="371"/>
      <c r="Y162" s="371"/>
      <c r="Z162" s="321">
        <v>2015</v>
      </c>
      <c r="AA162" s="367">
        <f>LARGE($CU$153:$CU$302,10)</f>
        <v>268.89999999999998</v>
      </c>
      <c r="AB162" s="357">
        <f t="shared" si="94"/>
        <v>45.766666666666652</v>
      </c>
      <c r="AC162" s="356">
        <f t="shared" si="78"/>
        <v>2094.5877777777764</v>
      </c>
      <c r="AD162" s="356">
        <f>AD163+AD153</f>
        <v>239.13333333333333</v>
      </c>
      <c r="AE162" s="356">
        <f t="shared" si="95"/>
        <v>2.8604166666666657</v>
      </c>
      <c r="AF162" s="238">
        <f t="shared" si="83"/>
        <v>4</v>
      </c>
      <c r="AG162" s="354"/>
      <c r="AJ162" s="238">
        <v>2018</v>
      </c>
      <c r="AK162" s="367">
        <f>LARGE($DN$134:$DN$165,29)</f>
        <v>73.7</v>
      </c>
      <c r="AL162" s="373">
        <f t="shared" si="88"/>
        <v>-56.899999999999991</v>
      </c>
      <c r="AM162" s="374">
        <f t="shared" si="85"/>
        <v>3237.6099999999992</v>
      </c>
      <c r="AN162" s="374"/>
      <c r="AO162" s="374">
        <f t="shared" si="89"/>
        <v>-3.5562499999999995</v>
      </c>
      <c r="AP162" s="238">
        <f t="shared" si="70"/>
        <v>8</v>
      </c>
      <c r="AQ162" s="354"/>
      <c r="AR162" s="238">
        <v>2018</v>
      </c>
      <c r="AS162" t="s">
        <v>1764</v>
      </c>
      <c r="AT162" t="s">
        <v>1947</v>
      </c>
      <c r="AU162" s="366" t="s">
        <v>1</v>
      </c>
      <c r="AV162" s="418">
        <v>1201</v>
      </c>
      <c r="AW162" s="426">
        <v>6</v>
      </c>
      <c r="AX162" s="426">
        <v>3</v>
      </c>
      <c r="AY162" s="426">
        <v>695</v>
      </c>
      <c r="AZ162" s="426">
        <v>5</v>
      </c>
      <c r="BA162" s="238">
        <v>0</v>
      </c>
      <c r="BB162" s="238">
        <v>0</v>
      </c>
      <c r="BC162" s="238">
        <v>0</v>
      </c>
      <c r="BD162" s="238">
        <v>0</v>
      </c>
      <c r="BE162" s="238">
        <v>0</v>
      </c>
      <c r="BF162" s="238">
        <v>0</v>
      </c>
      <c r="BG162" s="238">
        <v>0</v>
      </c>
      <c r="BH162" s="238">
        <v>4</v>
      </c>
      <c r="BI162" s="367">
        <f>IFERROR(AV162/Instructions!$J$25,0)+AW162*Instructions!$J$27+AX162*Instructions!$J$29+IFERROR(AY162/Instructions!$E$34,0)+AZ162*Instructions!$E$36+Tier!BA162*Instructions!$E$25+IFERROR(BB162/Instructions!$E$27,0)+BC162*Instructions!$E$29+IFERROR((BD162+BF162)/Instructions!$J$32,0)+(BE162+BG162)*Instructions!$J$34+BH162*-2</f>
        <v>157.54</v>
      </c>
      <c r="BJ162" s="354"/>
      <c r="BK162" s="366">
        <v>2015</v>
      </c>
      <c r="BL162" s="365" t="s">
        <v>129</v>
      </c>
      <c r="BM162" s="366" t="s">
        <v>167</v>
      </c>
      <c r="BN162" s="366" t="s">
        <v>3</v>
      </c>
      <c r="BO162" s="366">
        <v>0</v>
      </c>
      <c r="BP162" s="366">
        <v>0</v>
      </c>
      <c r="BQ162" s="366">
        <v>0</v>
      </c>
      <c r="BR162" s="366">
        <v>1066</v>
      </c>
      <c r="BS162" s="366">
        <v>6</v>
      </c>
      <c r="BT162" s="366">
        <v>41</v>
      </c>
      <c r="BU162" s="371">
        <v>232</v>
      </c>
      <c r="BV162" s="371">
        <v>0</v>
      </c>
      <c r="BW162" s="366">
        <v>0</v>
      </c>
      <c r="BX162" s="366">
        <v>0</v>
      </c>
      <c r="BY162" s="366">
        <v>0</v>
      </c>
      <c r="BZ162" s="366">
        <v>0</v>
      </c>
      <c r="CA162" s="366">
        <v>1</v>
      </c>
      <c r="CB162" s="367">
        <f>IFERROR(BO162/Instructions!$J$25,0)+BP162*Instructions!$J$27+BQ162*Instructions!$J$29+IFERROR(BR162/Instructions!$E$34,0)+BS162*Instructions!$E$36+Tier!BT163*Instructions!$E$25+IFERROR(BU162/Instructions!$E$27,0)+BV162*Instructions!$E$29+IFERROR((BW162+BY162)/Instructions!$J$32,0)+(BX162+BZ162)*Instructions!$J$34+Tier!CA162*-2</f>
        <v>197.79999999999998</v>
      </c>
      <c r="CC162" s="354"/>
      <c r="CD162" s="321">
        <v>2015</v>
      </c>
      <c r="CE162" s="370" t="s">
        <v>93</v>
      </c>
      <c r="CF162" s="371" t="s">
        <v>164</v>
      </c>
      <c r="CG162" s="371" t="s">
        <v>6</v>
      </c>
      <c r="CH162" s="371">
        <v>0</v>
      </c>
      <c r="CI162" s="371">
        <v>0</v>
      </c>
      <c r="CJ162" s="371">
        <v>0</v>
      </c>
      <c r="CK162" s="371">
        <v>0</v>
      </c>
      <c r="CL162" s="371">
        <v>0</v>
      </c>
      <c r="CM162" s="371">
        <v>80</v>
      </c>
      <c r="CN162" s="371">
        <v>1027</v>
      </c>
      <c r="CO162" s="371">
        <v>12</v>
      </c>
      <c r="CP162" s="371">
        <v>11</v>
      </c>
      <c r="CQ162" s="371">
        <v>0</v>
      </c>
      <c r="CR162" s="371">
        <v>0</v>
      </c>
      <c r="CS162" s="371">
        <v>0</v>
      </c>
      <c r="CT162" s="371">
        <v>1</v>
      </c>
      <c r="CU162" s="367">
        <f>IFERROR(CH162/Instructions!$J$25,0)+CI162*Instructions!$J$27+CJ162*Instructions!$J$29+IFERROR(CK162/Instructions!$E$34,0)+CL162*Instructions!$E$36+Tier!CM162*Instructions!$E$25+IFERROR(CN162/Instructions!$E$27,0)+CO162*Instructions!$E$29+IFERROR((CP162+CR162)/Instructions!$J$32,0)+(CQ162+CS162)*Instructions!$J$34+Tier!CT162*-2</f>
        <v>252.7</v>
      </c>
      <c r="CV162" s="354"/>
      <c r="CW162" s="238">
        <v>2018</v>
      </c>
      <c r="CX162" t="s">
        <v>1817</v>
      </c>
      <c r="CY162" s="3" t="s">
        <v>1935</v>
      </c>
      <c r="CZ162" s="366" t="s">
        <v>7</v>
      </c>
      <c r="DA162" s="366">
        <v>0</v>
      </c>
      <c r="DB162" s="366">
        <v>0</v>
      </c>
      <c r="DC162" s="366">
        <v>0</v>
      </c>
      <c r="DD162" s="366">
        <v>0</v>
      </c>
      <c r="DE162" s="366">
        <v>0</v>
      </c>
      <c r="DF162">
        <v>36</v>
      </c>
      <c r="DG162">
        <v>333</v>
      </c>
      <c r="DH162">
        <v>2</v>
      </c>
      <c r="DI162" s="366">
        <v>0</v>
      </c>
      <c r="DJ162" s="366">
        <v>0</v>
      </c>
      <c r="DK162" s="366">
        <v>0</v>
      </c>
      <c r="DL162" s="366">
        <v>0</v>
      </c>
      <c r="DM162" s="366">
        <v>0</v>
      </c>
      <c r="DN162" s="367">
        <f>IFERROR(DA162/Instructions!$J$25,0)+DB162*Instructions!$J$27+DC162*Instructions!$J$29+IFERROR(DD162/Instructions!$E$34,0)+DE162*Instructions!$E$36+Tier!DF162*Instructions!$E$25+IFERROR(DG162/Instructions!$E$27,0)+DH162*Instructions!$E$29+IFERROR((DI162+DK162)/Instructions!$J$32,0)+(DJ162+DL162)*Instructions!$J$34+Tier!DM162*-2</f>
        <v>81.3</v>
      </c>
    </row>
    <row r="163" spans="1:118" s="366" customFormat="1" ht="15.75" customHeight="1" x14ac:dyDescent="0.25">
      <c r="A163" s="238"/>
      <c r="B163" s="238"/>
      <c r="C163" s="354"/>
      <c r="D163" s="365"/>
      <c r="F163" s="238">
        <v>2018</v>
      </c>
      <c r="G163" s="367">
        <f>LARGE($BI$134:$BI$165,30)</f>
        <v>142.96</v>
      </c>
      <c r="H163" s="355">
        <f t="shared" si="90"/>
        <v>-135.64000000000001</v>
      </c>
      <c r="I163" s="356">
        <f t="shared" si="84"/>
        <v>18398.209600000006</v>
      </c>
      <c r="J163" s="356"/>
      <c r="K163" s="356">
        <f t="shared" si="86"/>
        <v>-8.4775000000000009</v>
      </c>
      <c r="L163" s="238">
        <f t="shared" si="87"/>
        <v>8</v>
      </c>
      <c r="M163" s="354"/>
      <c r="N163" s="372"/>
      <c r="O163" s="372"/>
      <c r="P163" s="366">
        <v>2015</v>
      </c>
      <c r="Q163" s="367">
        <f>LARGE($CB$153:$CB$302,11)</f>
        <v>203.7</v>
      </c>
      <c r="R163" s="357">
        <f t="shared" si="91"/>
        <v>39.099999999999994</v>
      </c>
      <c r="S163" s="356">
        <f t="shared" si="92"/>
        <v>1528.8099999999995</v>
      </c>
      <c r="T163" s="481">
        <f>(INDEX(Tier!$Q$2:$Q$151, Instructions!$E$11*Instructions!$E$19,1)
+IF(Instructions!$E$19=2, INDEX(Tier!$Q$2:$Q$151,Instructions!$E$11,1),0)
+IF(Instructions!$J$15&gt;0, INDEX(Tier!$Q$2:$Q$151,Instructions!$E$11*(Instructions!$E$19+Instructions!$J$15*0.5),1),0)
+IF(Instructions!$J$15=2, INDEX(Tier!$Q$2:$Q$151,Instructions!$E$11*(Instructions!$E$19+0.5),1),0))
/(Instructions!$E$19+Instructions!$J$15)</f>
        <v>164.6</v>
      </c>
      <c r="U163" s="356">
        <f t="shared" si="93"/>
        <v>2.4437499999999996</v>
      </c>
      <c r="V163" s="238">
        <f t="shared" si="80"/>
        <v>4</v>
      </c>
      <c r="W163" s="354"/>
      <c r="X163" s="371"/>
      <c r="Y163" s="371"/>
      <c r="Z163" s="321">
        <v>2015</v>
      </c>
      <c r="AA163" s="367">
        <f>LARGE($CU$153:$CU$302,11)</f>
        <v>267.39999999999998</v>
      </c>
      <c r="AB163" s="357">
        <f t="shared" si="94"/>
        <v>44.266666666666652</v>
      </c>
      <c r="AC163" s="356">
        <f t="shared" si="78"/>
        <v>1959.5377777777765</v>
      </c>
      <c r="AD163" s="481">
        <f>(INDEX(Tier!$AA$153:$AA$302,Instructions!$E$11,1)
+IF(Instructions!$E$17&gt;=2,INDEX(Tier!$AA$153:$AA$302,Instructions!$E$11*2,1),0)
+IF(Instructions!$E$17=3,INDEX(Tier!$AA$153:$AA$302,Instructions!$E$11*3,1),0)
+IF(Instructions!$J$15&gt;0,INDEX(Tier!$AA$153:$AA$302,Instructions!$E$11*(Instructions!$E$17+Instructions!$J$15*0.5),1),0)
+IF(Instructions!$J$15=2,INDEX(Tier!$AA$153:$AA$302,Instructions!$E$11*(Instructions!$E$17+0.5),1),0))
/(Instructions!$E$17+Instructions!$J$15)</f>
        <v>223.13333333333333</v>
      </c>
      <c r="AE163" s="356">
        <f t="shared" si="95"/>
        <v>2.7666666666666657</v>
      </c>
      <c r="AF163" s="238">
        <f t="shared" si="83"/>
        <v>4</v>
      </c>
      <c r="AG163" s="354"/>
      <c r="AJ163" s="238">
        <v>2018</v>
      </c>
      <c r="AK163" s="367">
        <f>LARGE($DN$134:$DN$165,30)</f>
        <v>71.3</v>
      </c>
      <c r="AL163" s="373">
        <f t="shared" si="88"/>
        <v>-59.3</v>
      </c>
      <c r="AM163" s="374">
        <f t="shared" si="85"/>
        <v>3516.49</v>
      </c>
      <c r="AN163" s="374"/>
      <c r="AO163" s="374">
        <f t="shared" si="89"/>
        <v>-3.7062499999999998</v>
      </c>
      <c r="AP163" s="238">
        <f t="shared" si="70"/>
        <v>8</v>
      </c>
      <c r="AQ163" s="354"/>
      <c r="AR163" s="238">
        <v>2018</v>
      </c>
      <c r="AS163" t="s">
        <v>79</v>
      </c>
      <c r="AT163" t="s">
        <v>1945</v>
      </c>
      <c r="AU163" s="366" t="s">
        <v>1</v>
      </c>
      <c r="AV163" s="418">
        <v>1979</v>
      </c>
      <c r="AW163" s="426">
        <v>17</v>
      </c>
      <c r="AX163" s="426">
        <v>9</v>
      </c>
      <c r="AY163" s="426">
        <v>145</v>
      </c>
      <c r="AZ163" s="426">
        <v>0</v>
      </c>
      <c r="BA163" s="238">
        <v>1</v>
      </c>
      <c r="BB163" s="238">
        <v>3</v>
      </c>
      <c r="BC163" s="238">
        <v>1</v>
      </c>
      <c r="BD163" s="238">
        <v>0</v>
      </c>
      <c r="BE163" s="238">
        <v>0</v>
      </c>
      <c r="BF163" s="238">
        <v>0</v>
      </c>
      <c r="BG163" s="238">
        <v>0</v>
      </c>
      <c r="BH163" s="238">
        <v>4</v>
      </c>
      <c r="BI163" s="367">
        <f>IFERROR(AV163/Instructions!$J$25,0)+AW163*Instructions!$J$27+AX163*Instructions!$J$29+IFERROR(AY163/Instructions!$E$34,0)+AZ163*Instructions!$E$36+Tier!BA163*Instructions!$E$25+IFERROR(BB163/Instructions!$E$27,0)+BC163*Instructions!$E$29+IFERROR((BD163+BF163)/Instructions!$J$32,0)+(BE163+BG163)*Instructions!$J$34+BH163*-2</f>
        <v>142.96</v>
      </c>
      <c r="BJ163" s="354"/>
      <c r="BK163" s="366">
        <v>2015</v>
      </c>
      <c r="BL163" s="365" t="s">
        <v>68</v>
      </c>
      <c r="BM163" s="366" t="s">
        <v>158</v>
      </c>
      <c r="BN163" s="366" t="s">
        <v>3</v>
      </c>
      <c r="BO163" s="366">
        <v>0</v>
      </c>
      <c r="BP163" s="366">
        <v>0</v>
      </c>
      <c r="BQ163" s="366">
        <v>0</v>
      </c>
      <c r="BR163" s="366">
        <v>967</v>
      </c>
      <c r="BS163" s="366">
        <v>6</v>
      </c>
      <c r="BT163" s="366">
        <v>34</v>
      </c>
      <c r="BU163" s="371">
        <v>267</v>
      </c>
      <c r="BV163" s="371">
        <v>1</v>
      </c>
      <c r="BW163" s="366">
        <v>0</v>
      </c>
      <c r="BX163" s="366">
        <v>0</v>
      </c>
      <c r="BY163" s="366">
        <v>0</v>
      </c>
      <c r="BZ163" s="366">
        <v>0</v>
      </c>
      <c r="CA163" s="366">
        <v>3</v>
      </c>
      <c r="CB163" s="367">
        <f>IFERROR(BO163/Instructions!$J$25,0)+BP163*Instructions!$J$27+BQ163*Instructions!$J$29+IFERROR(BR163/Instructions!$E$34,0)+BS163*Instructions!$E$36+Tier!BT164*Instructions!$E$25+IFERROR(BU163/Instructions!$E$27,0)+BV163*Instructions!$E$29+IFERROR((BW163+BY163)/Instructions!$J$32,0)+(BX163+BZ163)*Instructions!$J$34+Tier!CA163*-2</f>
        <v>239.39999999999998</v>
      </c>
      <c r="CC163" s="354"/>
      <c r="CD163" s="321">
        <v>2015</v>
      </c>
      <c r="CE163" s="370" t="s">
        <v>47</v>
      </c>
      <c r="CF163" s="371" t="s">
        <v>153</v>
      </c>
      <c r="CG163" s="371" t="s">
        <v>6</v>
      </c>
      <c r="CH163" s="371">
        <v>0</v>
      </c>
      <c r="CI163" s="371">
        <v>0</v>
      </c>
      <c r="CJ163" s="371">
        <v>0</v>
      </c>
      <c r="CK163" s="371">
        <v>0</v>
      </c>
      <c r="CL163" s="371">
        <v>0</v>
      </c>
      <c r="CM163" s="371">
        <v>109</v>
      </c>
      <c r="CN163" s="371">
        <v>1215</v>
      </c>
      <c r="CO163" s="371">
        <v>9</v>
      </c>
      <c r="CP163" s="371">
        <v>0</v>
      </c>
      <c r="CQ163" s="371">
        <v>0</v>
      </c>
      <c r="CR163" s="371">
        <v>0</v>
      </c>
      <c r="CS163" s="371">
        <v>0</v>
      </c>
      <c r="CT163" s="371">
        <v>2</v>
      </c>
      <c r="CU163" s="367">
        <f>IFERROR(CH163/Instructions!$J$25,0)+CI163*Instructions!$J$27+CJ163*Instructions!$J$29+IFERROR(CK163/Instructions!$E$34,0)+CL163*Instructions!$E$36+Tier!CM163*Instructions!$E$25+IFERROR(CN163/Instructions!$E$27,0)+CO163*Instructions!$E$29+IFERROR((CP163+CR163)/Instructions!$J$32,0)+(CQ163+CS163)*Instructions!$J$34+Tier!CT163*-2</f>
        <v>280.5</v>
      </c>
      <c r="CV163" s="354"/>
      <c r="CW163" s="238">
        <v>2018</v>
      </c>
      <c r="CX163" t="s">
        <v>1301</v>
      </c>
      <c r="CY163" s="3" t="s">
        <v>1933</v>
      </c>
      <c r="CZ163" s="366" t="s">
        <v>7</v>
      </c>
      <c r="DA163" s="366">
        <v>0</v>
      </c>
      <c r="DB163" s="366">
        <v>0</v>
      </c>
      <c r="DC163" s="366">
        <v>0</v>
      </c>
      <c r="DD163" s="366">
        <v>0</v>
      </c>
      <c r="DE163" s="366">
        <v>0</v>
      </c>
      <c r="DF163">
        <v>29</v>
      </c>
      <c r="DG163">
        <v>269</v>
      </c>
      <c r="DH163">
        <v>3</v>
      </c>
      <c r="DI163" s="366">
        <v>0</v>
      </c>
      <c r="DJ163" s="366">
        <v>0</v>
      </c>
      <c r="DK163" s="366">
        <v>0</v>
      </c>
      <c r="DL163" s="366">
        <v>0</v>
      </c>
      <c r="DM163" s="366">
        <v>0</v>
      </c>
      <c r="DN163" s="367">
        <f>IFERROR(DA163/Instructions!$J$25,0)+DB163*Instructions!$J$27+DC163*Instructions!$J$29+IFERROR(DD163/Instructions!$E$34,0)+DE163*Instructions!$E$36+Tier!DF163*Instructions!$E$25+IFERROR(DG163/Instructions!$E$27,0)+DH163*Instructions!$E$29+IFERROR((DI163+DK163)/Instructions!$J$32,0)+(DJ163+DL163)*Instructions!$J$34+Tier!DM163*-2</f>
        <v>73.900000000000006</v>
      </c>
    </row>
    <row r="164" spans="1:118" s="366" customFormat="1" ht="15.75" customHeight="1" x14ac:dyDescent="0.25">
      <c r="A164" s="238"/>
      <c r="B164" s="238"/>
      <c r="C164" s="354"/>
      <c r="D164" s="365"/>
      <c r="F164" s="238">
        <v>2018</v>
      </c>
      <c r="G164" s="367">
        <f>LARGE($BI$134:$BI$165,31)</f>
        <v>138</v>
      </c>
      <c r="H164" s="355">
        <f t="shared" si="90"/>
        <v>-140.60000000000002</v>
      </c>
      <c r="I164" s="356">
        <f t="shared" si="84"/>
        <v>19768.360000000008</v>
      </c>
      <c r="J164" s="356"/>
      <c r="K164" s="356">
        <f t="shared" si="86"/>
        <v>-8.7875000000000014</v>
      </c>
      <c r="L164" s="238">
        <f t="shared" si="87"/>
        <v>8</v>
      </c>
      <c r="M164" s="354"/>
      <c r="N164" s="372"/>
      <c r="O164" s="372"/>
      <c r="P164" s="366">
        <v>2015</v>
      </c>
      <c r="Q164" s="367">
        <f>LARGE($CB$153:$CB$302,12)</f>
        <v>197.79999999999998</v>
      </c>
      <c r="R164" s="357">
        <f t="shared" si="91"/>
        <v>33.199999999999989</v>
      </c>
      <c r="S164" s="356">
        <f t="shared" si="92"/>
        <v>1102.2399999999993</v>
      </c>
      <c r="T164" s="356">
        <f>T163-T153</f>
        <v>148.6</v>
      </c>
      <c r="U164" s="356">
        <f t="shared" si="93"/>
        <v>2.0749999999999993</v>
      </c>
      <c r="V164" s="238">
        <f t="shared" si="80"/>
        <v>4</v>
      </c>
      <c r="W164" s="354"/>
      <c r="X164" s="371"/>
      <c r="Y164" s="371"/>
      <c r="Z164" s="321">
        <v>2015</v>
      </c>
      <c r="AA164" s="367">
        <f>LARGE($CU$153:$CU$302,12)</f>
        <v>261.39999999999998</v>
      </c>
      <c r="AB164" s="357">
        <f t="shared" si="94"/>
        <v>38.266666666666652</v>
      </c>
      <c r="AC164" s="356">
        <f t="shared" si="78"/>
        <v>1464.3377777777766</v>
      </c>
      <c r="AD164" s="356">
        <f>AD163-AD153</f>
        <v>207.13333333333333</v>
      </c>
      <c r="AE164" s="356">
        <f t="shared" si="95"/>
        <v>2.3916666666666657</v>
      </c>
      <c r="AF164" s="238">
        <f t="shared" si="83"/>
        <v>4</v>
      </c>
      <c r="AG164" s="354"/>
      <c r="AJ164" s="238">
        <v>2018</v>
      </c>
      <c r="AK164" s="367">
        <f>LARGE($DN$134:$DN$165,31)</f>
        <v>65.5</v>
      </c>
      <c r="AL164" s="373">
        <f t="shared" si="88"/>
        <v>-65.099999999999994</v>
      </c>
      <c r="AM164" s="374">
        <f t="shared" si="85"/>
        <v>4238.0099999999993</v>
      </c>
      <c r="AN164" s="374"/>
      <c r="AO164" s="374">
        <f t="shared" si="89"/>
        <v>-4.0687499999999996</v>
      </c>
      <c r="AP164" s="238">
        <f t="shared" si="70"/>
        <v>8</v>
      </c>
      <c r="AQ164" s="354"/>
      <c r="AR164" s="238">
        <v>2018</v>
      </c>
      <c r="AS164" t="s">
        <v>77</v>
      </c>
      <c r="AT164" t="s">
        <v>1948</v>
      </c>
      <c r="AU164" s="366" t="s">
        <v>1</v>
      </c>
      <c r="AV164" s="418">
        <v>2465</v>
      </c>
      <c r="AW164" s="426">
        <v>12</v>
      </c>
      <c r="AX164" s="426">
        <v>6</v>
      </c>
      <c r="AY164" s="426">
        <v>45</v>
      </c>
      <c r="AZ164" s="426">
        <v>0</v>
      </c>
      <c r="BA164" s="238">
        <v>0</v>
      </c>
      <c r="BB164" s="238">
        <v>0</v>
      </c>
      <c r="BC164" s="238">
        <v>0</v>
      </c>
      <c r="BD164" s="238">
        <v>0</v>
      </c>
      <c r="BE164" s="238">
        <v>0</v>
      </c>
      <c r="BF164" s="238">
        <v>0</v>
      </c>
      <c r="BG164" s="238">
        <v>0</v>
      </c>
      <c r="BH164" s="238">
        <v>1</v>
      </c>
      <c r="BI164" s="367">
        <f>IFERROR(AV164/Instructions!$J$25,0)+AW164*Instructions!$J$27+AX164*Instructions!$J$29+IFERROR(AY164/Instructions!$E$34,0)+AZ164*Instructions!$E$36+Tier!BA164*Instructions!$E$25+IFERROR(BB164/Instructions!$E$27,0)+BC164*Instructions!$E$29+IFERROR((BD164+BF164)/Instructions!$J$32,0)+(BE164+BG164)*Instructions!$J$34+BH164*-2</f>
        <v>137.1</v>
      </c>
      <c r="BJ164" s="354"/>
      <c r="BK164" s="366">
        <v>2015</v>
      </c>
      <c r="BL164" s="365" t="s">
        <v>95</v>
      </c>
      <c r="BM164" s="366" t="s">
        <v>1626</v>
      </c>
      <c r="BN164" s="366" t="s">
        <v>3</v>
      </c>
      <c r="BO164" s="366">
        <v>0</v>
      </c>
      <c r="BP164" s="366">
        <v>0</v>
      </c>
      <c r="BQ164" s="366">
        <v>0</v>
      </c>
      <c r="BR164" s="366">
        <v>336</v>
      </c>
      <c r="BS164" s="366">
        <v>3</v>
      </c>
      <c r="BT164" s="366">
        <v>80</v>
      </c>
      <c r="BU164" s="371">
        <v>755</v>
      </c>
      <c r="BV164" s="371">
        <v>6</v>
      </c>
      <c r="BW164" s="366">
        <v>0</v>
      </c>
      <c r="BX164" s="366">
        <v>0</v>
      </c>
      <c r="BY164" s="366">
        <v>0</v>
      </c>
      <c r="BZ164" s="366">
        <v>0</v>
      </c>
      <c r="CA164" s="366">
        <v>0</v>
      </c>
      <c r="CB164" s="367">
        <f>IFERROR(BO164/Instructions!$J$25,0)+BP164*Instructions!$J$27+BQ164*Instructions!$J$29+IFERROR(BR164/Instructions!$E$34,0)+BS164*Instructions!$E$36+Tier!BT165*Instructions!$E$25+IFERROR(BU164/Instructions!$E$27,0)+BV164*Instructions!$E$29+IFERROR((BW164+BY164)/Instructions!$J$32,0)+(BX164+BZ164)*Instructions!$J$34+Tier!CA164*-2</f>
        <v>178.1</v>
      </c>
      <c r="CC164" s="354"/>
      <c r="CD164" s="321">
        <v>2015</v>
      </c>
      <c r="CE164" s="370" t="s">
        <v>1668</v>
      </c>
      <c r="CF164" s="371" t="s">
        <v>142</v>
      </c>
      <c r="CG164" s="371" t="s">
        <v>6</v>
      </c>
      <c r="CH164" s="371">
        <v>0</v>
      </c>
      <c r="CI164" s="371">
        <v>0</v>
      </c>
      <c r="CJ164" s="371">
        <v>0</v>
      </c>
      <c r="CK164" s="371">
        <v>0</v>
      </c>
      <c r="CL164" s="371">
        <v>0</v>
      </c>
      <c r="CM164" s="371">
        <v>88</v>
      </c>
      <c r="CN164" s="371">
        <v>1214</v>
      </c>
      <c r="CO164" s="371">
        <v>9</v>
      </c>
      <c r="CP164" s="371">
        <v>0</v>
      </c>
      <c r="CQ164" s="371">
        <v>0</v>
      </c>
      <c r="CR164" s="371">
        <v>0</v>
      </c>
      <c r="CS164" s="371">
        <v>0</v>
      </c>
      <c r="CT164" s="371">
        <v>1</v>
      </c>
      <c r="CU164" s="367">
        <f>IFERROR(CH164/Instructions!$J$25,0)+CI164*Instructions!$J$27+CJ164*Instructions!$J$29+IFERROR(CK164/Instructions!$E$34,0)+CL164*Instructions!$E$36+Tier!CM164*Instructions!$E$25+IFERROR(CN164/Instructions!$E$27,0)+CO164*Instructions!$E$29+IFERROR((CP164+CR164)/Instructions!$J$32,0)+(CQ164+CS164)*Instructions!$J$34+Tier!CT164*-2</f>
        <v>261.39999999999998</v>
      </c>
      <c r="CV164" s="354"/>
      <c r="CW164" s="238">
        <v>2018</v>
      </c>
      <c r="CX164" t="s">
        <v>1447</v>
      </c>
      <c r="CY164" s="3" t="s">
        <v>1945</v>
      </c>
      <c r="CZ164" s="366" t="s">
        <v>7</v>
      </c>
      <c r="DA164" s="366">
        <v>0</v>
      </c>
      <c r="DB164" s="366">
        <v>0</v>
      </c>
      <c r="DC164" s="366">
        <v>0</v>
      </c>
      <c r="DD164" s="366">
        <v>0</v>
      </c>
      <c r="DE164" s="366">
        <v>0</v>
      </c>
      <c r="DF164">
        <v>20</v>
      </c>
      <c r="DG164">
        <v>258</v>
      </c>
      <c r="DH164">
        <v>3</v>
      </c>
      <c r="DI164" s="366">
        <v>0</v>
      </c>
      <c r="DJ164" s="366">
        <v>0</v>
      </c>
      <c r="DK164" s="366">
        <v>0</v>
      </c>
      <c r="DL164" s="366">
        <v>0</v>
      </c>
      <c r="DM164" s="366">
        <v>0</v>
      </c>
      <c r="DN164" s="367">
        <f>IFERROR(DA164/Instructions!$J$25,0)+DB164*Instructions!$J$27+DC164*Instructions!$J$29+IFERROR(DD164/Instructions!$E$34,0)+DE164*Instructions!$E$36+Tier!DF164*Instructions!$E$25+IFERROR(DG164/Instructions!$E$27,0)+DH164*Instructions!$E$29+IFERROR((DI164+DK164)/Instructions!$J$32,0)+(DJ164+DL164)*Instructions!$J$34+Tier!DM164*-2</f>
        <v>63.8</v>
      </c>
    </row>
    <row r="165" spans="1:118" s="366" customFormat="1" ht="15.75" customHeight="1" x14ac:dyDescent="0.25">
      <c r="A165" s="238"/>
      <c r="B165" s="238"/>
      <c r="C165" s="354"/>
      <c r="D165" s="365"/>
      <c r="F165" s="238">
        <v>2018</v>
      </c>
      <c r="G165" s="367">
        <f>LARGE($BI$134:$BI$165,32)</f>
        <v>137.1</v>
      </c>
      <c r="H165" s="355">
        <f t="shared" si="90"/>
        <v>-141.50000000000003</v>
      </c>
      <c r="I165" s="356">
        <f t="shared" si="84"/>
        <v>20022.250000000007</v>
      </c>
      <c r="J165" s="356"/>
      <c r="K165" s="356">
        <f t="shared" si="86"/>
        <v>-8.8437500000000018</v>
      </c>
      <c r="L165" s="238">
        <f t="shared" si="87"/>
        <v>8</v>
      </c>
      <c r="M165" s="354"/>
      <c r="N165"/>
      <c r="O165" s="372"/>
      <c r="P165" s="366">
        <v>2015</v>
      </c>
      <c r="Q165" s="367">
        <f>LARGE($CB$153:$CB$302,13)</f>
        <v>193.3</v>
      </c>
      <c r="R165" s="357">
        <f t="shared" si="91"/>
        <v>28.700000000000017</v>
      </c>
      <c r="S165" s="356">
        <f t="shared" si="92"/>
        <v>823.69000000000096</v>
      </c>
      <c r="T165" s="356">
        <f>T164-T153</f>
        <v>132.6</v>
      </c>
      <c r="U165" s="356">
        <f t="shared" si="93"/>
        <v>1.7937500000000011</v>
      </c>
      <c r="V165" s="238">
        <f t="shared" si="80"/>
        <v>5</v>
      </c>
      <c r="W165" s="354"/>
      <c r="X165" s="371"/>
      <c r="Y165" s="371"/>
      <c r="Z165" s="321">
        <v>2015</v>
      </c>
      <c r="AA165" s="367">
        <f>LARGE($CU$153:$CU$302,13)</f>
        <v>253.6</v>
      </c>
      <c r="AB165" s="357">
        <f t="shared" si="94"/>
        <v>30.466666666666669</v>
      </c>
      <c r="AC165" s="356">
        <f t="shared" si="78"/>
        <v>928.21777777777788</v>
      </c>
      <c r="AD165" s="356">
        <f>AD164-AD153</f>
        <v>191.13333333333333</v>
      </c>
      <c r="AE165" s="356">
        <f t="shared" si="95"/>
        <v>1.9041666666666668</v>
      </c>
      <c r="AF165" s="238">
        <f t="shared" si="83"/>
        <v>5</v>
      </c>
      <c r="AG165" s="354"/>
      <c r="AJ165" s="238">
        <v>2018</v>
      </c>
      <c r="AK165" s="367">
        <f>LARGE($DN$134:$DN$165,32)</f>
        <v>63.8</v>
      </c>
      <c r="AL165" s="373">
        <f t="shared" si="88"/>
        <v>-66.8</v>
      </c>
      <c r="AM165" s="374">
        <f t="shared" si="85"/>
        <v>4462.24</v>
      </c>
      <c r="AN165" s="374"/>
      <c r="AO165" s="374">
        <f t="shared" si="89"/>
        <v>-4.1749999999999998</v>
      </c>
      <c r="AP165" s="238">
        <f>IF(AO165&gt;6,0,
IF(AND(AO165&lt;=6,AO165&gt;5),1,
IF(AND(AO165&lt;=5,AO165&gt;4),2,
IF(AND(AO165&lt;=4,AO165&gt;3),3,
IF(AND(AO165&lt;=3,AO165&gt;2),4,
IF(AND(AO165&lt;=2,AO165&gt;1),5,
IF(AND(AO165&lt;=1,AO165&gt;0),6,
IF(AND(AO165&lt;=0,AO165&gt;-1),7,
8))))))))</f>
        <v>8</v>
      </c>
      <c r="AQ165" s="354"/>
      <c r="AR165" s="238">
        <v>2018</v>
      </c>
      <c r="AS165" t="s">
        <v>70</v>
      </c>
      <c r="AT165" t="s">
        <v>1940</v>
      </c>
      <c r="AU165" s="366" t="s">
        <v>1</v>
      </c>
      <c r="AV165" s="418">
        <v>2180</v>
      </c>
      <c r="AW165" s="426">
        <v>10</v>
      </c>
      <c r="AX165" s="426">
        <v>5</v>
      </c>
      <c r="AY165" s="426">
        <v>168</v>
      </c>
      <c r="AZ165" s="426">
        <v>1</v>
      </c>
      <c r="BA165" s="238">
        <v>0</v>
      </c>
      <c r="BB165" s="238">
        <v>0</v>
      </c>
      <c r="BC165" s="238">
        <v>0</v>
      </c>
      <c r="BD165" s="238">
        <v>0</v>
      </c>
      <c r="BE165" s="238">
        <v>0</v>
      </c>
      <c r="BF165" s="238">
        <v>0</v>
      </c>
      <c r="BG165" s="238">
        <v>0</v>
      </c>
      <c r="BH165" s="238">
        <v>1</v>
      </c>
      <c r="BI165" s="367">
        <f>IFERROR(AV165/Instructions!$J$25,0)+AW165*Instructions!$J$27+AX165*Instructions!$J$29+IFERROR(AY165/Instructions!$E$34,0)+AZ165*Instructions!$E$36+Tier!BA165*Instructions!$E$25+IFERROR(BB165/Instructions!$E$27,0)+BC165*Instructions!$E$29+IFERROR((BD165+BF165)/Instructions!$J$32,0)+(BE165+BG165)*Instructions!$J$34+BH165*-2</f>
        <v>138</v>
      </c>
      <c r="BJ165" s="354"/>
      <c r="BK165" s="366">
        <v>2015</v>
      </c>
      <c r="BL165" s="365" t="s">
        <v>106</v>
      </c>
      <c r="BM165" s="366" t="s">
        <v>145</v>
      </c>
      <c r="BN165" s="366" t="s">
        <v>3</v>
      </c>
      <c r="BO165" s="366">
        <v>0</v>
      </c>
      <c r="BP165" s="366">
        <v>0</v>
      </c>
      <c r="BQ165" s="366">
        <v>0</v>
      </c>
      <c r="BR165" s="366">
        <v>794</v>
      </c>
      <c r="BS165" s="366">
        <v>11</v>
      </c>
      <c r="BT165" s="366">
        <v>15</v>
      </c>
      <c r="BU165" s="371">
        <v>79</v>
      </c>
      <c r="BV165" s="371">
        <v>1</v>
      </c>
      <c r="BW165" s="366">
        <v>0</v>
      </c>
      <c r="BX165" s="366">
        <v>0</v>
      </c>
      <c r="BY165" s="366">
        <v>0</v>
      </c>
      <c r="BZ165" s="366">
        <v>0</v>
      </c>
      <c r="CA165" s="366">
        <v>3</v>
      </c>
      <c r="CB165" s="367">
        <f>IFERROR(BO165/Instructions!$J$25,0)+BP165*Instructions!$J$27+BQ165*Instructions!$J$29+IFERROR(BR165/Instructions!$E$34,0)+BS165*Instructions!$E$36+Tier!BT166*Instructions!$E$25+IFERROR(BU165/Instructions!$E$27,0)+BV165*Instructions!$E$29+IFERROR((BW165+BY165)/Instructions!$J$32,0)+(BX165+BZ165)*Instructions!$J$34+Tier!CA165*-2</f>
        <v>193.3</v>
      </c>
      <c r="CC165" s="354"/>
      <c r="CD165" s="321">
        <v>2015</v>
      </c>
      <c r="CE165" s="370" t="s">
        <v>107</v>
      </c>
      <c r="CF165" s="371" t="s">
        <v>1625</v>
      </c>
      <c r="CG165" s="371" t="s">
        <v>6</v>
      </c>
      <c r="CH165" s="371">
        <v>0</v>
      </c>
      <c r="CI165" s="371">
        <v>0</v>
      </c>
      <c r="CJ165" s="371">
        <v>0</v>
      </c>
      <c r="CK165" s="371">
        <v>18</v>
      </c>
      <c r="CL165" s="371">
        <v>0</v>
      </c>
      <c r="CM165" s="371">
        <v>84</v>
      </c>
      <c r="CN165" s="371">
        <v>1138</v>
      </c>
      <c r="CO165" s="371">
        <v>9</v>
      </c>
      <c r="CP165" s="371">
        <v>12</v>
      </c>
      <c r="CQ165" s="371">
        <v>0</v>
      </c>
      <c r="CR165" s="371">
        <v>0</v>
      </c>
      <c r="CS165" s="371">
        <v>0</v>
      </c>
      <c r="CT165" s="371">
        <v>0</v>
      </c>
      <c r="CU165" s="367">
        <f>IFERROR(CH165/Instructions!$J$25,0)+CI165*Instructions!$J$27+CJ165*Instructions!$J$29+IFERROR(CK165/Instructions!$E$34,0)+CL165*Instructions!$E$36+Tier!CM165*Instructions!$E$25+IFERROR(CN165/Instructions!$E$27,0)+CO165*Instructions!$E$29+IFERROR((CP165+CR165)/Instructions!$J$32,0)+(CQ165+CS165)*Instructions!$J$34+Tier!CT165*-2</f>
        <v>253.6</v>
      </c>
      <c r="CV165" s="354"/>
      <c r="CW165" s="238">
        <v>2018</v>
      </c>
      <c r="CX165" t="s">
        <v>1757</v>
      </c>
      <c r="CY165" s="3" t="s">
        <v>1949</v>
      </c>
      <c r="CZ165" s="366" t="s">
        <v>7</v>
      </c>
      <c r="DA165" s="366">
        <v>0</v>
      </c>
      <c r="DB165" s="366">
        <v>0</v>
      </c>
      <c r="DC165" s="366">
        <v>0</v>
      </c>
      <c r="DD165" s="366">
        <v>0</v>
      </c>
      <c r="DE165" s="366">
        <v>0</v>
      </c>
      <c r="DF165">
        <v>34</v>
      </c>
      <c r="DG165">
        <v>343</v>
      </c>
      <c r="DH165">
        <v>1</v>
      </c>
      <c r="DI165" s="366">
        <v>0</v>
      </c>
      <c r="DJ165" s="366">
        <v>0</v>
      </c>
      <c r="DK165" s="366">
        <v>0</v>
      </c>
      <c r="DL165" s="366">
        <v>0</v>
      </c>
      <c r="DM165" s="366">
        <v>0</v>
      </c>
      <c r="DN165" s="367">
        <f>IFERROR(DA165/Instructions!$J$25,0)+DB165*Instructions!$J$27+DC165*Instructions!$J$29+IFERROR(DD165/Instructions!$E$34,0)+DE165*Instructions!$E$36+Tier!DF165*Instructions!$E$25+IFERROR(DG165/Instructions!$E$27,0)+DH165*Instructions!$E$29+IFERROR((DI165+DK165)/Instructions!$J$32,0)+(DJ165+DL165)*Instructions!$J$34+Tier!DM165*-2</f>
        <v>74.3</v>
      </c>
    </row>
    <row r="166" spans="1:118" s="238" customFormat="1" ht="15.75" customHeight="1" x14ac:dyDescent="0.25">
      <c r="C166" s="354"/>
      <c r="D166" s="354"/>
      <c r="E166" s="354"/>
      <c r="F166" s="354"/>
      <c r="G166" s="379"/>
      <c r="H166" s="376"/>
      <c r="I166" s="376"/>
      <c r="J166" s="376"/>
      <c r="K166" s="376"/>
      <c r="L166" s="376"/>
      <c r="M166" s="376"/>
      <c r="N166"/>
      <c r="O166" s="372"/>
      <c r="P166" s="366">
        <v>2015</v>
      </c>
      <c r="Q166" s="367">
        <f>LARGE($CB$153:$CB$302,14)</f>
        <v>188.7</v>
      </c>
      <c r="R166" s="357">
        <f t="shared" si="91"/>
        <v>24.099999999999994</v>
      </c>
      <c r="S166" s="356">
        <f t="shared" si="92"/>
        <v>580.80999999999972</v>
      </c>
      <c r="T166" s="356"/>
      <c r="U166" s="356">
        <f t="shared" si="93"/>
        <v>1.5062499999999996</v>
      </c>
      <c r="V166" s="238">
        <f t="shared" si="80"/>
        <v>5</v>
      </c>
      <c r="W166" s="354"/>
      <c r="X166" s="371"/>
      <c r="Y166" s="371"/>
      <c r="Z166" s="321">
        <v>2015</v>
      </c>
      <c r="AA166" s="367">
        <f>LARGE($CU$153:$CU$302,14)</f>
        <v>252.7</v>
      </c>
      <c r="AB166" s="357">
        <f t="shared" si="94"/>
        <v>29.566666666666663</v>
      </c>
      <c r="AC166" s="356">
        <f t="shared" si="78"/>
        <v>874.18777777777757</v>
      </c>
      <c r="AD166" s="356"/>
      <c r="AE166" s="356">
        <f t="shared" si="95"/>
        <v>1.8479166666666664</v>
      </c>
      <c r="AF166" s="238">
        <f t="shared" si="83"/>
        <v>5</v>
      </c>
      <c r="AG166" s="354"/>
      <c r="AH166" s="354"/>
      <c r="AI166" s="354"/>
      <c r="AJ166" s="354"/>
      <c r="AK166" s="379"/>
      <c r="AL166" s="379"/>
      <c r="AM166" s="379"/>
      <c r="AN166" s="379"/>
      <c r="AO166" s="379"/>
      <c r="AP166" s="379"/>
      <c r="AQ166" s="379"/>
      <c r="AR166" s="379"/>
      <c r="AS166" s="354"/>
      <c r="AT166" s="354"/>
      <c r="AU166" s="354"/>
      <c r="AV166" s="354"/>
      <c r="AW166" s="354"/>
      <c r="AX166" s="354"/>
      <c r="AY166" s="354"/>
      <c r="AZ166" s="354"/>
      <c r="BA166" s="354"/>
      <c r="BB166" s="354"/>
      <c r="BC166" s="354"/>
      <c r="BD166" s="354"/>
      <c r="BE166" s="354"/>
      <c r="BF166" s="354"/>
      <c r="BG166" s="354"/>
      <c r="BH166" s="354"/>
      <c r="BI166" s="379"/>
      <c r="BJ166" s="354"/>
      <c r="BK166" s="366">
        <v>2015</v>
      </c>
      <c r="BL166" s="365" t="s">
        <v>105</v>
      </c>
      <c r="BM166" s="366" t="s">
        <v>146</v>
      </c>
      <c r="BN166" s="366" t="s">
        <v>3</v>
      </c>
      <c r="BO166" s="366">
        <v>0</v>
      </c>
      <c r="BP166" s="366">
        <v>0</v>
      </c>
      <c r="BQ166" s="366">
        <v>0</v>
      </c>
      <c r="BR166" s="366">
        <v>1089</v>
      </c>
      <c r="BS166" s="366">
        <v>3</v>
      </c>
      <c r="BT166" s="366">
        <v>40</v>
      </c>
      <c r="BU166" s="371">
        <v>328</v>
      </c>
      <c r="BV166" s="371">
        <v>0</v>
      </c>
      <c r="BW166" s="366">
        <v>0</v>
      </c>
      <c r="BX166" s="366">
        <v>0</v>
      </c>
      <c r="BY166" s="366">
        <v>23</v>
      </c>
      <c r="BZ166" s="366">
        <v>0</v>
      </c>
      <c r="CA166" s="366">
        <v>3</v>
      </c>
      <c r="CB166" s="367">
        <f>IFERROR(BO166/Instructions!$J$25,0)+BP166*Instructions!$J$27+BQ166*Instructions!$J$29+IFERROR(BR166/Instructions!$E$34,0)+BS166*Instructions!$E$36+Tier!BT167*Instructions!$E$25+IFERROR(BU166/Instructions!$E$27,0)+BV166*Instructions!$E$29+IFERROR((BW166+BY166)/Instructions!$J$32,0)+(BX166+BZ166)*Instructions!$J$34+Tier!CA166*-2</f>
        <v>203.7</v>
      </c>
      <c r="CC166" s="354"/>
      <c r="CD166" s="321">
        <v>2015</v>
      </c>
      <c r="CE166" s="370" t="s">
        <v>1109</v>
      </c>
      <c r="CF166" s="371" t="s">
        <v>140</v>
      </c>
      <c r="CG166" s="371" t="s">
        <v>6</v>
      </c>
      <c r="CH166" s="371">
        <v>0</v>
      </c>
      <c r="CI166" s="371">
        <v>0</v>
      </c>
      <c r="CJ166" s="371">
        <v>0</v>
      </c>
      <c r="CK166" s="371">
        <v>20</v>
      </c>
      <c r="CL166" s="371">
        <v>0</v>
      </c>
      <c r="CM166" s="371">
        <v>51</v>
      </c>
      <c r="CN166" s="371">
        <v>664</v>
      </c>
      <c r="CO166" s="371">
        <v>6</v>
      </c>
      <c r="CP166" s="371">
        <v>379</v>
      </c>
      <c r="CQ166" s="371">
        <v>1</v>
      </c>
      <c r="CR166" s="371">
        <v>852</v>
      </c>
      <c r="CS166" s="371">
        <v>1</v>
      </c>
      <c r="CT166" s="371">
        <v>0</v>
      </c>
      <c r="CU166" s="367">
        <f>IFERROR(CH166/Instructions!$J$25,0)+CI166*Instructions!$J$27+CJ166*Instructions!$J$29+IFERROR(CK166/Instructions!$E$34,0)+CL166*Instructions!$E$36+Tier!CM166*Instructions!$E$25+IFERROR(CN166/Instructions!$E$27,0)+CO166*Instructions!$E$29+IFERROR((CP166+CR166)/Instructions!$J$32,0)+(CQ166+CS166)*Instructions!$J$34+Tier!CT166*-2</f>
        <v>167.4</v>
      </c>
      <c r="CV166" s="354"/>
      <c r="CW166" s="354"/>
      <c r="CX166" s="354"/>
      <c r="CY166" s="354"/>
      <c r="CZ166" s="354"/>
      <c r="DA166" s="354"/>
      <c r="DB166" s="354"/>
      <c r="DC166" s="354"/>
      <c r="DD166" s="354"/>
      <c r="DE166" s="354"/>
      <c r="DF166" s="354"/>
      <c r="DG166" s="354"/>
      <c r="DH166" s="354"/>
      <c r="DI166" s="354"/>
      <c r="DJ166" s="354"/>
      <c r="DK166" s="354"/>
      <c r="DL166" s="354"/>
      <c r="DM166" s="354"/>
      <c r="DN166" s="354"/>
    </row>
    <row r="167" spans="1:118" s="238" customFormat="1" ht="15.75" customHeight="1" x14ac:dyDescent="0.25">
      <c r="C167"/>
      <c r="D167"/>
      <c r="E167"/>
      <c r="F167"/>
      <c r="G167"/>
      <c r="H167"/>
      <c r="I167"/>
      <c r="J167"/>
      <c r="K167"/>
      <c r="L167"/>
      <c r="M167"/>
      <c r="N167"/>
      <c r="O167" s="372"/>
      <c r="P167" s="366">
        <v>2015</v>
      </c>
      <c r="Q167" s="367">
        <f>LARGE($CB$153:$CB$302,15)</f>
        <v>186.9</v>
      </c>
      <c r="R167" s="357">
        <f t="shared" si="91"/>
        <v>22.300000000000011</v>
      </c>
      <c r="S167" s="356">
        <f t="shared" si="92"/>
        <v>497.29000000000053</v>
      </c>
      <c r="T167" s="356"/>
      <c r="U167" s="356">
        <f t="shared" si="93"/>
        <v>1.3937500000000007</v>
      </c>
      <c r="V167" s="238">
        <f t="shared" si="80"/>
        <v>5</v>
      </c>
      <c r="W167" s="354"/>
      <c r="X167" s="371"/>
      <c r="Y167" s="371"/>
      <c r="Z167" s="321">
        <v>2015</v>
      </c>
      <c r="AA167" s="367">
        <f>LARGE($CU$153:$CU$302,15)</f>
        <v>244.2</v>
      </c>
      <c r="AB167" s="357">
        <f t="shared" si="94"/>
        <v>21.066666666666663</v>
      </c>
      <c r="AC167" s="356">
        <f t="shared" si="78"/>
        <v>443.8044444444443</v>
      </c>
      <c r="AD167" s="356"/>
      <c r="AE167" s="356">
        <f t="shared" si="95"/>
        <v>1.3166666666666664</v>
      </c>
      <c r="AF167" s="238">
        <f t="shared" si="83"/>
        <v>5</v>
      </c>
      <c r="AG167" s="354"/>
      <c r="AK167"/>
      <c r="AL167"/>
      <c r="AM167"/>
      <c r="AN167"/>
      <c r="AO167"/>
      <c r="AP167"/>
      <c r="AS167"/>
      <c r="AT167"/>
      <c r="AU167" s="366"/>
      <c r="AV167" s="418"/>
      <c r="AW167" s="440"/>
      <c r="AX167" s="440"/>
      <c r="AY167" s="440"/>
      <c r="AZ167" s="440"/>
      <c r="BI167" s="360"/>
      <c r="BJ167" s="354"/>
      <c r="BK167" s="366">
        <v>2015</v>
      </c>
      <c r="BL167" s="365" t="s">
        <v>119</v>
      </c>
      <c r="BM167" s="366" t="s">
        <v>1625</v>
      </c>
      <c r="BN167" s="366" t="s">
        <v>3</v>
      </c>
      <c r="BO167" s="366">
        <v>0</v>
      </c>
      <c r="BP167" s="366">
        <v>0</v>
      </c>
      <c r="BQ167" s="366">
        <v>0</v>
      </c>
      <c r="BR167" s="366">
        <v>769</v>
      </c>
      <c r="BS167" s="366">
        <v>6</v>
      </c>
      <c r="BT167" s="366">
        <v>50</v>
      </c>
      <c r="BU167" s="371">
        <v>405</v>
      </c>
      <c r="BV167" s="371">
        <v>0</v>
      </c>
      <c r="BW167" s="366">
        <v>0</v>
      </c>
      <c r="BX167" s="366">
        <v>0</v>
      </c>
      <c r="BY167" s="366">
        <v>0</v>
      </c>
      <c r="BZ167" s="366">
        <v>0</v>
      </c>
      <c r="CA167" s="366">
        <v>1</v>
      </c>
      <c r="CB167" s="367">
        <f>IFERROR(BO167/Instructions!$J$25,0)+BP167*Instructions!$J$27+BQ167*Instructions!$J$29+IFERROR(BR167/Instructions!$E$34,0)+BS167*Instructions!$E$36+Tier!BT168*Instructions!$E$25+IFERROR(BU167/Instructions!$E$27,0)+BV167*Instructions!$E$29+IFERROR((BW167+BY167)/Instructions!$J$32,0)+(BX167+BZ167)*Instructions!$J$34+Tier!CA167*-2</f>
        <v>167.4</v>
      </c>
      <c r="CC167" s="354"/>
      <c r="CD167" s="321">
        <v>2015</v>
      </c>
      <c r="CE167" s="370" t="s">
        <v>14</v>
      </c>
      <c r="CF167" s="371" t="s">
        <v>144</v>
      </c>
      <c r="CG167" s="371" t="s">
        <v>6</v>
      </c>
      <c r="CH167" s="371">
        <v>0</v>
      </c>
      <c r="CI167" s="371">
        <v>0</v>
      </c>
      <c r="CJ167" s="371">
        <v>0</v>
      </c>
      <c r="CK167" s="371">
        <v>0</v>
      </c>
      <c r="CL167" s="371">
        <v>0</v>
      </c>
      <c r="CM167" s="371">
        <v>105</v>
      </c>
      <c r="CN167" s="371">
        <v>1304</v>
      </c>
      <c r="CO167" s="371">
        <v>6</v>
      </c>
      <c r="CP167" s="371">
        <v>0</v>
      </c>
      <c r="CQ167" s="371">
        <v>0</v>
      </c>
      <c r="CR167" s="371">
        <v>0</v>
      </c>
      <c r="CS167" s="371">
        <v>0</v>
      </c>
      <c r="CT167" s="371">
        <v>2</v>
      </c>
      <c r="CU167" s="367">
        <f>IFERROR(CH167/Instructions!$J$25,0)+CI167*Instructions!$J$27+CJ167*Instructions!$J$29+IFERROR(CK167/Instructions!$E$34,0)+CL167*Instructions!$E$36+Tier!CM167*Instructions!$E$25+IFERROR(CN167/Instructions!$E$27,0)+CO167*Instructions!$E$29+IFERROR((CP167+CR167)/Instructions!$J$32,0)+(CQ167+CS167)*Instructions!$J$34+Tier!CT167*-2</f>
        <v>267.39999999999998</v>
      </c>
      <c r="CV167" s="354"/>
      <c r="CW167"/>
      <c r="CX167"/>
      <c r="CY167"/>
      <c r="CZ167"/>
      <c r="DA167"/>
      <c r="DB167"/>
      <c r="DC167"/>
      <c r="DD167"/>
      <c r="DE167"/>
      <c r="DF167"/>
      <c r="DG167"/>
      <c r="DH167"/>
      <c r="DI167"/>
      <c r="DJ167"/>
      <c r="DK167"/>
      <c r="DL167"/>
      <c r="DM167"/>
      <c r="DN167"/>
    </row>
    <row r="168" spans="1:118" s="238" customFormat="1" ht="15.75" customHeight="1" x14ac:dyDescent="0.25">
      <c r="C168"/>
      <c r="D168"/>
      <c r="E168"/>
      <c r="F168"/>
      <c r="G168"/>
      <c r="H168"/>
      <c r="I168"/>
      <c r="J168"/>
      <c r="K168"/>
      <c r="L168"/>
      <c r="M168"/>
      <c r="N168"/>
      <c r="O168" s="372"/>
      <c r="P168" s="366">
        <v>2015</v>
      </c>
      <c r="Q168" s="367">
        <f>LARGE($CB$153:$CB$302,16)</f>
        <v>178.8</v>
      </c>
      <c r="R168" s="357">
        <f t="shared" si="91"/>
        <v>14.200000000000017</v>
      </c>
      <c r="S168" s="356">
        <f t="shared" si="92"/>
        <v>201.6400000000005</v>
      </c>
      <c r="U168" s="356">
        <f t="shared" si="93"/>
        <v>0.88750000000000107</v>
      </c>
      <c r="V168" s="238">
        <f t="shared" si="80"/>
        <v>6</v>
      </c>
      <c r="W168" s="354"/>
      <c r="X168" s="371"/>
      <c r="Y168" s="371"/>
      <c r="Z168" s="321">
        <v>2015</v>
      </c>
      <c r="AA168" s="367">
        <f>LARGE($CU$153:$CU$302,16)</f>
        <v>243.2</v>
      </c>
      <c r="AB168" s="357">
        <f t="shared" si="94"/>
        <v>20.066666666666663</v>
      </c>
      <c r="AC168" s="356">
        <f t="shared" si="78"/>
        <v>402.67111111111097</v>
      </c>
      <c r="AD168" s="356"/>
      <c r="AE168" s="356">
        <f t="shared" si="95"/>
        <v>1.2541666666666664</v>
      </c>
      <c r="AF168" s="238">
        <f t="shared" si="83"/>
        <v>5</v>
      </c>
      <c r="AG168" s="354"/>
      <c r="AK168"/>
      <c r="AL168"/>
      <c r="AM168"/>
      <c r="AN168"/>
      <c r="AO168"/>
      <c r="AP168"/>
      <c r="AS168"/>
      <c r="AT168"/>
      <c r="AU168" s="366"/>
      <c r="AV168" s="418"/>
      <c r="AW168" s="440"/>
      <c r="AX168" s="440"/>
      <c r="AY168" s="440"/>
      <c r="AZ168" s="440"/>
      <c r="BI168" s="360"/>
      <c r="BJ168" s="354"/>
      <c r="BK168" s="366">
        <v>2015</v>
      </c>
      <c r="BL168" s="365" t="s">
        <v>120</v>
      </c>
      <c r="BM168" s="366" t="s">
        <v>159</v>
      </c>
      <c r="BN168" s="366" t="s">
        <v>3</v>
      </c>
      <c r="BO168" s="366">
        <v>0</v>
      </c>
      <c r="BP168" s="366">
        <v>0</v>
      </c>
      <c r="BQ168" s="366">
        <v>0</v>
      </c>
      <c r="BR168" s="366">
        <v>989</v>
      </c>
      <c r="BS168" s="366">
        <v>6</v>
      </c>
      <c r="BT168" s="366">
        <v>16</v>
      </c>
      <c r="BU168" s="371">
        <v>99</v>
      </c>
      <c r="BV168" s="371">
        <v>1</v>
      </c>
      <c r="BW168" s="366">
        <v>0</v>
      </c>
      <c r="BX168" s="366">
        <v>0</v>
      </c>
      <c r="BY168" s="366">
        <v>0</v>
      </c>
      <c r="BZ168" s="366">
        <v>0</v>
      </c>
      <c r="CA168" s="366">
        <v>2</v>
      </c>
      <c r="CB168" s="367">
        <f>IFERROR(BO168/Instructions!$J$25,0)+BP168*Instructions!$J$27+BQ168*Instructions!$J$29+IFERROR(BR168/Instructions!$E$34,0)+BS168*Instructions!$E$36+Tier!BT169*Instructions!$E$25+IFERROR(BU168/Instructions!$E$27,0)+BV168*Instructions!$E$29+IFERROR((BW168+BY168)/Instructions!$J$32,0)+(BX168+BZ168)*Instructions!$J$34+Tier!CA168*-2</f>
        <v>178.8</v>
      </c>
      <c r="CC168" s="354"/>
      <c r="CD168" s="321">
        <v>2015</v>
      </c>
      <c r="CE168" s="370" t="s">
        <v>1082</v>
      </c>
      <c r="CF168" s="371" t="s">
        <v>1613</v>
      </c>
      <c r="CG168" s="371" t="s">
        <v>6</v>
      </c>
      <c r="CH168" s="371">
        <v>0</v>
      </c>
      <c r="CI168" s="371">
        <v>0</v>
      </c>
      <c r="CJ168" s="371">
        <v>0</v>
      </c>
      <c r="CK168" s="371">
        <v>0</v>
      </c>
      <c r="CL168" s="371">
        <v>0</v>
      </c>
      <c r="CM168" s="371">
        <v>64</v>
      </c>
      <c r="CN168" s="371">
        <v>1031</v>
      </c>
      <c r="CO168" s="371">
        <v>10</v>
      </c>
      <c r="CP168" s="371">
        <v>0</v>
      </c>
      <c r="CQ168" s="371">
        <v>0</v>
      </c>
      <c r="CR168" s="371">
        <v>0</v>
      </c>
      <c r="CS168" s="371">
        <v>0</v>
      </c>
      <c r="CT168" s="371">
        <v>1</v>
      </c>
      <c r="CU168" s="367">
        <f>IFERROR(CH168/Instructions!$J$25,0)+CI168*Instructions!$J$27+CJ168*Instructions!$J$29+IFERROR(CK168/Instructions!$E$34,0)+CL168*Instructions!$E$36+Tier!CM168*Instructions!$E$25+IFERROR(CN168/Instructions!$E$27,0)+CO168*Instructions!$E$29+IFERROR((CP168+CR168)/Instructions!$J$32,0)+(CQ168+CS168)*Instructions!$J$34+Tier!CT168*-2</f>
        <v>225.1</v>
      </c>
      <c r="CV168" s="354"/>
      <c r="CW168"/>
      <c r="CX168"/>
      <c r="CY168"/>
      <c r="CZ168"/>
      <c r="DA168"/>
      <c r="DB168"/>
      <c r="DC168"/>
      <c r="DD168"/>
      <c r="DE168"/>
      <c r="DF168"/>
      <c r="DG168"/>
      <c r="DH168"/>
      <c r="DI168"/>
      <c r="DJ168"/>
      <c r="DK168"/>
      <c r="DL168"/>
      <c r="DM168"/>
      <c r="DN168"/>
    </row>
    <row r="169" spans="1:118" s="238" customFormat="1" ht="15.75" customHeight="1" x14ac:dyDescent="0.25">
      <c r="C169"/>
      <c r="D169"/>
      <c r="E169"/>
      <c r="F169"/>
      <c r="G169"/>
      <c r="H169"/>
      <c r="I169"/>
      <c r="J169"/>
      <c r="K169"/>
      <c r="L169"/>
      <c r="M169"/>
      <c r="N169"/>
      <c r="O169" s="372"/>
      <c r="P169" s="366">
        <v>2015</v>
      </c>
      <c r="Q169" s="367">
        <f>LARGE($CB$153:$CB$302,17)</f>
        <v>178.1</v>
      </c>
      <c r="R169" s="357">
        <f t="shared" si="91"/>
        <v>13.5</v>
      </c>
      <c r="S169" s="356">
        <f t="shared" si="92"/>
        <v>182.25</v>
      </c>
      <c r="U169" s="356">
        <f t="shared" si="93"/>
        <v>0.84375</v>
      </c>
      <c r="V169" s="238">
        <f t="shared" si="80"/>
        <v>6</v>
      </c>
      <c r="W169" s="354"/>
      <c r="X169" s="371"/>
      <c r="Y169" s="371"/>
      <c r="Z169" s="321">
        <v>2015</v>
      </c>
      <c r="AA169" s="367">
        <f>LARGE($CU$153:$CU$302,17)</f>
        <v>231.2</v>
      </c>
      <c r="AB169" s="357">
        <f t="shared" si="94"/>
        <v>8.0666666666666629</v>
      </c>
      <c r="AC169" s="356">
        <f t="shared" si="78"/>
        <v>65.071111111111051</v>
      </c>
      <c r="AD169" s="356"/>
      <c r="AE169" s="356">
        <f t="shared" si="95"/>
        <v>0.50416666666666643</v>
      </c>
      <c r="AF169" s="238">
        <f t="shared" si="83"/>
        <v>6</v>
      </c>
      <c r="AG169" s="354"/>
      <c r="AK169"/>
      <c r="AL169"/>
      <c r="AM169"/>
      <c r="AN169"/>
      <c r="AO169"/>
      <c r="AP169"/>
      <c r="AS169"/>
      <c r="AT169"/>
      <c r="AU169" s="366"/>
      <c r="AV169" s="418"/>
      <c r="AW169" s="440"/>
      <c r="AX169" s="440"/>
      <c r="AY169" s="440"/>
      <c r="AZ169" s="440"/>
      <c r="BI169" s="360"/>
      <c r="BJ169" s="354"/>
      <c r="BK169" s="366">
        <v>2015</v>
      </c>
      <c r="BL169" s="365" t="s">
        <v>2</v>
      </c>
      <c r="BM169" s="366" t="s">
        <v>156</v>
      </c>
      <c r="BN169" s="366" t="s">
        <v>3</v>
      </c>
      <c r="BO169" s="366">
        <v>0</v>
      </c>
      <c r="BP169" s="366">
        <v>0</v>
      </c>
      <c r="BQ169" s="366">
        <v>0</v>
      </c>
      <c r="BR169" s="366">
        <v>895</v>
      </c>
      <c r="BS169" s="366">
        <v>3</v>
      </c>
      <c r="BT169" s="366">
        <v>32</v>
      </c>
      <c r="BU169" s="371">
        <v>292</v>
      </c>
      <c r="BV169" s="371">
        <v>2</v>
      </c>
      <c r="BW169" s="366">
        <v>0</v>
      </c>
      <c r="BX169" s="366">
        <v>0</v>
      </c>
      <c r="BY169" s="366">
        <v>0</v>
      </c>
      <c r="BZ169" s="366">
        <v>0</v>
      </c>
      <c r="CA169" s="366">
        <v>2</v>
      </c>
      <c r="CB169" s="367">
        <f>IFERROR(BO169/Instructions!$J$25,0)+BP169*Instructions!$J$27+BQ169*Instructions!$J$29+IFERROR(BR169/Instructions!$E$34,0)+BS169*Instructions!$E$36+Tier!BT170*Instructions!$E$25+IFERROR(BU169/Instructions!$E$27,0)+BV169*Instructions!$E$29+IFERROR((BW169+BY169)/Instructions!$J$32,0)+(BX169+BZ169)*Instructions!$J$34+Tier!CA169*-2</f>
        <v>188.7</v>
      </c>
      <c r="CC169" s="354"/>
      <c r="CD169" s="321">
        <v>2015</v>
      </c>
      <c r="CE169" s="370" t="s">
        <v>37</v>
      </c>
      <c r="CF169" s="371" t="s">
        <v>152</v>
      </c>
      <c r="CG169" s="371" t="s">
        <v>6</v>
      </c>
      <c r="CH169" s="371">
        <v>0</v>
      </c>
      <c r="CI169" s="371">
        <v>0</v>
      </c>
      <c r="CJ169" s="371">
        <v>0</v>
      </c>
      <c r="CK169" s="371">
        <v>0</v>
      </c>
      <c r="CL169" s="371">
        <v>0</v>
      </c>
      <c r="CM169" s="371">
        <v>87</v>
      </c>
      <c r="CN169" s="371">
        <v>952</v>
      </c>
      <c r="CO169" s="371">
        <v>11</v>
      </c>
      <c r="CP169" s="371">
        <v>0</v>
      </c>
      <c r="CQ169" s="371">
        <v>0</v>
      </c>
      <c r="CR169" s="371">
        <v>0</v>
      </c>
      <c r="CS169" s="371">
        <v>0</v>
      </c>
      <c r="CT169" s="371">
        <v>2</v>
      </c>
      <c r="CU169" s="367">
        <f>IFERROR(CH169/Instructions!$J$25,0)+CI169*Instructions!$J$27+CJ169*Instructions!$J$29+IFERROR(CK169/Instructions!$E$34,0)+CL169*Instructions!$E$36+Tier!CM169*Instructions!$E$25+IFERROR(CN169/Instructions!$E$27,0)+CO169*Instructions!$E$29+IFERROR((CP169+CR169)/Instructions!$J$32,0)+(CQ169+CS169)*Instructions!$J$34+Tier!CT169*-2</f>
        <v>244.2</v>
      </c>
      <c r="CV169" s="354"/>
      <c r="CW169"/>
      <c r="CX169"/>
      <c r="CY169"/>
      <c r="CZ169"/>
      <c r="DA169"/>
      <c r="DB169"/>
      <c r="DC169"/>
      <c r="DD169"/>
      <c r="DE169"/>
      <c r="DF169"/>
      <c r="DG169"/>
      <c r="DH169"/>
      <c r="DI169"/>
      <c r="DJ169"/>
      <c r="DK169"/>
      <c r="DL169"/>
      <c r="DM169"/>
      <c r="DN169"/>
    </row>
    <row r="170" spans="1:118" s="238" customFormat="1" ht="15.75" customHeight="1" x14ac:dyDescent="0.25">
      <c r="C170"/>
      <c r="D170"/>
      <c r="E170"/>
      <c r="F170"/>
      <c r="G170"/>
      <c r="H170"/>
      <c r="I170"/>
      <c r="J170"/>
      <c r="K170"/>
      <c r="L170"/>
      <c r="M170"/>
      <c r="N170"/>
      <c r="O170" s="372"/>
      <c r="P170" s="366">
        <v>2015</v>
      </c>
      <c r="Q170" s="367">
        <f>LARGE($CB$153:$CB$302,18)</f>
        <v>178</v>
      </c>
      <c r="R170" s="357">
        <f t="shared" si="91"/>
        <v>13.400000000000006</v>
      </c>
      <c r="S170" s="356">
        <f t="shared" si="92"/>
        <v>179.56000000000014</v>
      </c>
      <c r="U170" s="356">
        <f t="shared" si="93"/>
        <v>0.83750000000000036</v>
      </c>
      <c r="V170" s="238">
        <f t="shared" si="80"/>
        <v>6</v>
      </c>
      <c r="W170" s="354"/>
      <c r="X170" s="371"/>
      <c r="Y170" s="371"/>
      <c r="Z170" s="321">
        <v>2015</v>
      </c>
      <c r="AA170" s="367">
        <f>LARGE($CU$153:$CU$302,18)</f>
        <v>230.7</v>
      </c>
      <c r="AB170" s="357">
        <f t="shared" si="94"/>
        <v>7.5666666666666629</v>
      </c>
      <c r="AC170" s="356">
        <f t="shared" si="78"/>
        <v>57.254444444444388</v>
      </c>
      <c r="AD170" s="356"/>
      <c r="AE170" s="356">
        <f t="shared" si="95"/>
        <v>0.47291666666666643</v>
      </c>
      <c r="AF170" s="238">
        <f t="shared" si="83"/>
        <v>6</v>
      </c>
      <c r="AG170" s="354"/>
      <c r="AK170"/>
      <c r="AL170"/>
      <c r="AM170"/>
      <c r="AN170"/>
      <c r="AO170"/>
      <c r="AP170"/>
      <c r="AS170"/>
      <c r="AT170"/>
      <c r="AU170" s="366"/>
      <c r="AV170" s="418"/>
      <c r="AW170" s="440"/>
      <c r="AX170" s="440"/>
      <c r="AY170" s="440"/>
      <c r="AZ170" s="440"/>
      <c r="BI170" s="360"/>
      <c r="BJ170" s="354"/>
      <c r="BK170" s="366">
        <v>2015</v>
      </c>
      <c r="BL170" s="365" t="s">
        <v>32</v>
      </c>
      <c r="BM170" s="366" t="s">
        <v>137</v>
      </c>
      <c r="BN170" s="366" t="s">
        <v>3</v>
      </c>
      <c r="BO170" s="366">
        <v>0</v>
      </c>
      <c r="BP170" s="366">
        <v>0</v>
      </c>
      <c r="BQ170" s="366">
        <v>0</v>
      </c>
      <c r="BR170" s="366">
        <v>702</v>
      </c>
      <c r="BS170" s="366">
        <v>6</v>
      </c>
      <c r="BT170" s="366">
        <v>44</v>
      </c>
      <c r="BU170" s="371">
        <v>322</v>
      </c>
      <c r="BV170" s="371">
        <v>1</v>
      </c>
      <c r="BW170" s="366">
        <v>0</v>
      </c>
      <c r="BX170" s="366">
        <v>0</v>
      </c>
      <c r="BY170" s="366">
        <v>0</v>
      </c>
      <c r="BZ170" s="366">
        <v>0</v>
      </c>
      <c r="CA170" s="366">
        <v>2</v>
      </c>
      <c r="CB170" s="367">
        <f>IFERROR(BO170/Instructions!$J$25,0)+BP170*Instructions!$J$27+BQ170*Instructions!$J$29+IFERROR(BR170/Instructions!$E$34,0)+BS170*Instructions!$E$36+Tier!BT171*Instructions!$E$25+IFERROR(BU170/Instructions!$E$27,0)+BV170*Instructions!$E$29+IFERROR((BW170+BY170)/Instructions!$J$32,0)+(BX170+BZ170)*Instructions!$J$34+Tier!CA170*-2</f>
        <v>165.39999999999998</v>
      </c>
      <c r="CC170" s="354"/>
      <c r="CD170" s="321">
        <v>2015</v>
      </c>
      <c r="CE170" s="370" t="s">
        <v>111</v>
      </c>
      <c r="CF170" s="371" t="s">
        <v>150</v>
      </c>
      <c r="CG170" s="371" t="s">
        <v>6</v>
      </c>
      <c r="CH170" s="371">
        <v>0</v>
      </c>
      <c r="CI170" s="371">
        <v>0</v>
      </c>
      <c r="CJ170" s="371">
        <v>0</v>
      </c>
      <c r="CK170" s="371">
        <v>434</v>
      </c>
      <c r="CL170" s="371">
        <v>4</v>
      </c>
      <c r="CM170" s="371">
        <v>52</v>
      </c>
      <c r="CN170" s="371">
        <v>473</v>
      </c>
      <c r="CO170" s="371">
        <v>5</v>
      </c>
      <c r="CP170" s="371">
        <v>264</v>
      </c>
      <c r="CQ170" s="371">
        <v>1</v>
      </c>
      <c r="CR170" s="371">
        <v>16</v>
      </c>
      <c r="CS170" s="371">
        <v>0</v>
      </c>
      <c r="CT170" s="371">
        <v>1</v>
      </c>
      <c r="CU170" s="367">
        <f>IFERROR(CH170/Instructions!$J$25,0)+CI170*Instructions!$J$27+CJ170*Instructions!$J$29+IFERROR(CK170/Instructions!$E$34,0)+CL170*Instructions!$E$36+Tier!CM170*Instructions!$E$25+IFERROR(CN170/Instructions!$E$27,0)+CO170*Instructions!$E$29+IFERROR((CP170+CR170)/Instructions!$J$32,0)+(CQ170+CS170)*Instructions!$J$34+Tier!CT170*-2</f>
        <v>200.7</v>
      </c>
      <c r="CV170" s="354"/>
      <c r="CW170"/>
      <c r="CX170"/>
      <c r="CY170"/>
      <c r="CZ170"/>
      <c r="DA170"/>
      <c r="DB170"/>
      <c r="DC170"/>
      <c r="DD170"/>
      <c r="DE170"/>
      <c r="DF170"/>
      <c r="DG170"/>
      <c r="DH170"/>
      <c r="DI170"/>
      <c r="DJ170"/>
      <c r="DK170"/>
      <c r="DL170"/>
      <c r="DM170"/>
      <c r="DN170"/>
    </row>
    <row r="171" spans="1:118" s="238" customFormat="1" ht="15.75" customHeight="1" x14ac:dyDescent="0.25">
      <c r="C171"/>
      <c r="D171"/>
      <c r="E171"/>
      <c r="F171"/>
      <c r="G171"/>
      <c r="H171"/>
      <c r="I171"/>
      <c r="J171"/>
      <c r="K171"/>
      <c r="L171"/>
      <c r="M171"/>
      <c r="N171"/>
      <c r="O171" s="372"/>
      <c r="P171" s="366">
        <v>2015</v>
      </c>
      <c r="Q171" s="367">
        <f>LARGE($CB$153:$CB$302,19)</f>
        <v>175.4</v>
      </c>
      <c r="R171" s="357">
        <f t="shared" si="91"/>
        <v>10.800000000000011</v>
      </c>
      <c r="S171" s="356">
        <f t="shared" si="92"/>
        <v>116.64000000000024</v>
      </c>
      <c r="T171" s="356"/>
      <c r="U171" s="356">
        <f t="shared" si="93"/>
        <v>0.67500000000000071</v>
      </c>
      <c r="V171" s="238">
        <f t="shared" si="80"/>
        <v>6</v>
      </c>
      <c r="W171" s="354"/>
      <c r="X171" s="371"/>
      <c r="Y171" s="371"/>
      <c r="Z171" s="321">
        <v>2015</v>
      </c>
      <c r="AA171" s="367">
        <f>LARGE($CU$153:$CU$302,19)</f>
        <v>226.4</v>
      </c>
      <c r="AB171" s="357">
        <f t="shared" si="94"/>
        <v>3.2666666666666799</v>
      </c>
      <c r="AC171" s="356">
        <f t="shared" si="78"/>
        <v>10.671111111111198</v>
      </c>
      <c r="AD171" s="356"/>
      <c r="AE171" s="356">
        <f t="shared" si="95"/>
        <v>0.2041666666666675</v>
      </c>
      <c r="AF171" s="238">
        <f t="shared" si="83"/>
        <v>6</v>
      </c>
      <c r="AG171" s="354"/>
      <c r="AK171"/>
      <c r="AL171"/>
      <c r="AM171"/>
      <c r="AN171"/>
      <c r="AO171"/>
      <c r="AP171"/>
      <c r="AS171"/>
      <c r="AT171"/>
      <c r="AU171" s="366"/>
      <c r="AV171" s="418"/>
      <c r="AW171" s="440"/>
      <c r="AX171" s="440"/>
      <c r="AY171" s="440"/>
      <c r="AZ171" s="440"/>
      <c r="BI171" s="360"/>
      <c r="BJ171" s="354"/>
      <c r="BK171" s="366">
        <v>2015</v>
      </c>
      <c r="BL171" s="365" t="s">
        <v>1130</v>
      </c>
      <c r="BM171" s="366" t="s">
        <v>142</v>
      </c>
      <c r="BN171" s="366" t="s">
        <v>3</v>
      </c>
      <c r="BO171" s="366">
        <v>0</v>
      </c>
      <c r="BP171" s="366">
        <v>0</v>
      </c>
      <c r="BQ171" s="366">
        <v>0</v>
      </c>
      <c r="BR171" s="366">
        <v>597</v>
      </c>
      <c r="BS171" s="366">
        <v>2</v>
      </c>
      <c r="BT171" s="366">
        <v>25</v>
      </c>
      <c r="BU171" s="371">
        <v>183</v>
      </c>
      <c r="BV171" s="371">
        <v>1</v>
      </c>
      <c r="BW171" s="366">
        <v>0</v>
      </c>
      <c r="BX171" s="366">
        <v>0</v>
      </c>
      <c r="BY171" s="366">
        <v>1077</v>
      </c>
      <c r="BZ171" s="366">
        <v>0</v>
      </c>
      <c r="CA171" s="366">
        <v>2</v>
      </c>
      <c r="CB171" s="367">
        <f>IFERROR(BO171/Instructions!$J$25,0)+BP171*Instructions!$J$27+BQ171*Instructions!$J$29+IFERROR(BR171/Instructions!$E$34,0)+BS171*Instructions!$E$36+Tier!BT172*Instructions!$E$25+IFERROR(BU171/Instructions!$E$27,0)+BV171*Instructions!$E$29+IFERROR((BW171+BY171)/Instructions!$J$32,0)+(BX171+BZ171)*Instructions!$J$34+Tier!CA171*-2</f>
        <v>116</v>
      </c>
      <c r="CC171" s="354"/>
      <c r="CD171" s="321">
        <v>2015</v>
      </c>
      <c r="CE171" s="370" t="s">
        <v>94</v>
      </c>
      <c r="CF171" s="371" t="s">
        <v>156</v>
      </c>
      <c r="CG171" s="371" t="s">
        <v>6</v>
      </c>
      <c r="CH171" s="371">
        <v>0</v>
      </c>
      <c r="CI171" s="371">
        <v>0</v>
      </c>
      <c r="CJ171" s="371">
        <v>0</v>
      </c>
      <c r="CK171" s="371">
        <v>1</v>
      </c>
      <c r="CL171" s="371">
        <v>0</v>
      </c>
      <c r="CM171" s="371">
        <v>60</v>
      </c>
      <c r="CN171" s="371">
        <v>1047</v>
      </c>
      <c r="CO171" s="371">
        <v>9</v>
      </c>
      <c r="CP171" s="371">
        <v>0</v>
      </c>
      <c r="CQ171" s="371">
        <v>0</v>
      </c>
      <c r="CR171" s="371">
        <v>0</v>
      </c>
      <c r="CS171" s="371">
        <v>0</v>
      </c>
      <c r="CT171" s="371">
        <v>0</v>
      </c>
      <c r="CU171" s="367">
        <f>IFERROR(CH171/Instructions!$J$25,0)+CI171*Instructions!$J$27+CJ171*Instructions!$J$29+IFERROR(CK171/Instructions!$E$34,0)+CL171*Instructions!$E$36+Tier!CM171*Instructions!$E$25+IFERROR(CN171/Instructions!$E$27,0)+CO171*Instructions!$E$29+IFERROR((CP171+CR171)/Instructions!$J$32,0)+(CQ171+CS171)*Instructions!$J$34+Tier!CT171*-2</f>
        <v>218.8</v>
      </c>
      <c r="CV171" s="354"/>
      <c r="CW171"/>
      <c r="CX171"/>
      <c r="CY171"/>
      <c r="CZ171"/>
      <c r="DA171"/>
      <c r="DB171"/>
      <c r="DC171"/>
      <c r="DD171"/>
      <c r="DE171"/>
      <c r="DF171"/>
      <c r="DG171"/>
      <c r="DH171"/>
      <c r="DI171"/>
      <c r="DJ171"/>
      <c r="DK171"/>
      <c r="DL171"/>
      <c r="DM171"/>
      <c r="DN171"/>
    </row>
    <row r="172" spans="1:118" s="238" customFormat="1" ht="15.75" customHeight="1" x14ac:dyDescent="0.25">
      <c r="C172"/>
      <c r="D172"/>
      <c r="E172"/>
      <c r="F172"/>
      <c r="G172"/>
      <c r="H172"/>
      <c r="I172"/>
      <c r="J172"/>
      <c r="K172"/>
      <c r="L172"/>
      <c r="M172"/>
      <c r="N172"/>
      <c r="O172" s="372"/>
      <c r="P172" s="366">
        <v>2015</v>
      </c>
      <c r="Q172" s="367">
        <f>LARGE($CB$153:$CB$302,20)</f>
        <v>175.2</v>
      </c>
      <c r="R172" s="357">
        <f t="shared" si="91"/>
        <v>10.599999999999994</v>
      </c>
      <c r="S172" s="356">
        <f t="shared" si="92"/>
        <v>112.35999999999989</v>
      </c>
      <c r="U172" s="356">
        <f t="shared" si="93"/>
        <v>0.66249999999999964</v>
      </c>
      <c r="V172" s="238">
        <f t="shared" si="80"/>
        <v>6</v>
      </c>
      <c r="W172" s="354"/>
      <c r="X172" s="371"/>
      <c r="Y172" s="371"/>
      <c r="Z172" s="321">
        <v>2015</v>
      </c>
      <c r="AA172" s="367">
        <f>LARGE($CU$153:$CU$302,20)</f>
        <v>225.1</v>
      </c>
      <c r="AB172" s="357">
        <f t="shared" si="94"/>
        <v>1.9666666666666686</v>
      </c>
      <c r="AC172" s="356">
        <f t="shared" si="78"/>
        <v>3.8677777777777851</v>
      </c>
      <c r="AD172" s="356"/>
      <c r="AE172" s="356">
        <f t="shared" si="95"/>
        <v>0.12291666666666679</v>
      </c>
      <c r="AF172" s="238">
        <f t="shared" si="83"/>
        <v>6</v>
      </c>
      <c r="AG172" s="354"/>
      <c r="AK172"/>
      <c r="AL172"/>
      <c r="AM172"/>
      <c r="AN172"/>
      <c r="AO172"/>
      <c r="AP172"/>
      <c r="AS172"/>
      <c r="AT172"/>
      <c r="AU172" s="366"/>
      <c r="AV172" s="418"/>
      <c r="AW172" s="440"/>
      <c r="AX172" s="440"/>
      <c r="AY172" s="440"/>
      <c r="AZ172" s="440"/>
      <c r="BI172" s="360"/>
      <c r="BJ172" s="354"/>
      <c r="BK172" s="366">
        <v>2015</v>
      </c>
      <c r="BL172" s="365" t="s">
        <v>972</v>
      </c>
      <c r="BM172" s="366" t="s">
        <v>144</v>
      </c>
      <c r="BN172" s="366" t="s">
        <v>3</v>
      </c>
      <c r="BO172" s="366">
        <v>0</v>
      </c>
      <c r="BP172" s="366">
        <v>0</v>
      </c>
      <c r="BQ172" s="366">
        <v>0</v>
      </c>
      <c r="BR172" s="366">
        <v>863</v>
      </c>
      <c r="BS172" s="366">
        <v>7</v>
      </c>
      <c r="BT172" s="366">
        <v>24</v>
      </c>
      <c r="BU172" s="371">
        <v>111</v>
      </c>
      <c r="BV172" s="371">
        <v>0</v>
      </c>
      <c r="BW172" s="366">
        <v>0</v>
      </c>
      <c r="BX172" s="366">
        <v>0</v>
      </c>
      <c r="BY172" s="366">
        <v>0</v>
      </c>
      <c r="BZ172" s="366">
        <v>0</v>
      </c>
      <c r="CA172" s="366">
        <v>1</v>
      </c>
      <c r="CB172" s="367">
        <f>IFERROR(BO172/Instructions!$J$25,0)+BP172*Instructions!$J$27+BQ172*Instructions!$J$29+IFERROR(BR172/Instructions!$E$34,0)+BS172*Instructions!$E$36+Tier!BT173*Instructions!$E$25+IFERROR(BU172/Instructions!$E$27,0)+BV172*Instructions!$E$29+IFERROR((BW172+BY172)/Instructions!$J$32,0)+(BX172+BZ172)*Instructions!$J$34+Tier!CA172*-2</f>
        <v>166.4</v>
      </c>
      <c r="CC172" s="354"/>
      <c r="CD172" s="321">
        <v>2015</v>
      </c>
      <c r="CE172" s="370" t="s">
        <v>86</v>
      </c>
      <c r="CF172" s="371" t="s">
        <v>1629</v>
      </c>
      <c r="CG172" s="371" t="s">
        <v>6</v>
      </c>
      <c r="CH172" s="371">
        <v>0</v>
      </c>
      <c r="CI172" s="371">
        <v>0</v>
      </c>
      <c r="CJ172" s="371">
        <v>0</v>
      </c>
      <c r="CK172" s="371">
        <v>14</v>
      </c>
      <c r="CL172" s="371">
        <v>0</v>
      </c>
      <c r="CM172" s="371">
        <v>87</v>
      </c>
      <c r="CN172" s="371">
        <v>1088</v>
      </c>
      <c r="CO172" s="371">
        <v>8</v>
      </c>
      <c r="CP172" s="371">
        <v>13</v>
      </c>
      <c r="CQ172" s="371">
        <v>0</v>
      </c>
      <c r="CR172" s="371">
        <v>0</v>
      </c>
      <c r="CS172" s="371">
        <v>0</v>
      </c>
      <c r="CT172" s="371">
        <v>1</v>
      </c>
      <c r="CU172" s="367">
        <f>IFERROR(CH172/Instructions!$J$25,0)+CI172*Instructions!$J$27+CJ172*Instructions!$J$29+IFERROR(CK172/Instructions!$E$34,0)+CL172*Instructions!$E$36+Tier!CM172*Instructions!$E$25+IFERROR(CN172/Instructions!$E$27,0)+CO172*Instructions!$E$29+IFERROR((CP172+CR172)/Instructions!$J$32,0)+(CQ172+CS172)*Instructions!$J$34+Tier!CT172*-2</f>
        <v>243.2</v>
      </c>
      <c r="CV172" s="354"/>
      <c r="CW172"/>
      <c r="CX172"/>
      <c r="CY172"/>
      <c r="CZ172"/>
      <c r="DA172"/>
      <c r="DB172"/>
      <c r="DC172"/>
      <c r="DD172"/>
      <c r="DE172"/>
      <c r="DF172"/>
      <c r="DG172"/>
      <c r="DH172"/>
      <c r="DI172"/>
      <c r="DJ172"/>
      <c r="DK172"/>
      <c r="DL172"/>
      <c r="DM172"/>
      <c r="DN172"/>
    </row>
    <row r="173" spans="1:118" s="238" customFormat="1" ht="15.75" customHeight="1" x14ac:dyDescent="0.25">
      <c r="C173"/>
      <c r="D173"/>
      <c r="E173"/>
      <c r="F173"/>
      <c r="G173"/>
      <c r="H173"/>
      <c r="I173"/>
      <c r="J173"/>
      <c r="K173"/>
      <c r="L173"/>
      <c r="M173"/>
      <c r="N173"/>
      <c r="O173" s="372"/>
      <c r="P173" s="366">
        <v>2015</v>
      </c>
      <c r="Q173" s="367">
        <f>LARGE($CB$153:$CB$302,21)</f>
        <v>172.29999999999998</v>
      </c>
      <c r="R173" s="357">
        <f t="shared" si="91"/>
        <v>7.6999999999999886</v>
      </c>
      <c r="S173" s="356">
        <f t="shared" si="92"/>
        <v>59.289999999999822</v>
      </c>
      <c r="U173" s="356">
        <f t="shared" si="93"/>
        <v>0.48124999999999929</v>
      </c>
      <c r="V173" s="238">
        <f t="shared" si="80"/>
        <v>6</v>
      </c>
      <c r="W173" s="354"/>
      <c r="X173" s="371"/>
      <c r="Y173" s="371"/>
      <c r="Z173" s="321">
        <v>2015</v>
      </c>
      <c r="AA173" s="367">
        <f>LARGE($CU$153:$CU$302,21)</f>
        <v>218.8</v>
      </c>
      <c r="AB173" s="357">
        <f t="shared" si="94"/>
        <v>-4.3333333333333144</v>
      </c>
      <c r="AC173" s="356">
        <f t="shared" si="78"/>
        <v>18.777777777777615</v>
      </c>
      <c r="AD173" s="356"/>
      <c r="AE173" s="356">
        <f t="shared" si="95"/>
        <v>-0.27083333333333215</v>
      </c>
      <c r="AF173" s="238">
        <f t="shared" si="83"/>
        <v>7</v>
      </c>
      <c r="AG173" s="354"/>
      <c r="AK173"/>
      <c r="AL173"/>
      <c r="AM173"/>
      <c r="AN173"/>
      <c r="AO173"/>
      <c r="AP173"/>
      <c r="AS173"/>
      <c r="AT173"/>
      <c r="AU173" s="366"/>
      <c r="AV173" s="418"/>
      <c r="AW173" s="440"/>
      <c r="AX173" s="440"/>
      <c r="AY173" s="440"/>
      <c r="AZ173" s="440"/>
      <c r="BI173" s="360"/>
      <c r="BJ173" s="354"/>
      <c r="BK173" s="366">
        <v>2015</v>
      </c>
      <c r="BL173" s="365" t="s">
        <v>71</v>
      </c>
      <c r="BM173" s="366" t="s">
        <v>154</v>
      </c>
      <c r="BN173" s="366" t="s">
        <v>3</v>
      </c>
      <c r="BO173" s="366">
        <v>0</v>
      </c>
      <c r="BP173" s="366">
        <v>0</v>
      </c>
      <c r="BQ173" s="366">
        <v>0</v>
      </c>
      <c r="BR173" s="366">
        <v>863</v>
      </c>
      <c r="BS173" s="366">
        <v>3</v>
      </c>
      <c r="BT173" s="366">
        <v>29</v>
      </c>
      <c r="BU173" s="371">
        <v>296</v>
      </c>
      <c r="BV173" s="371">
        <v>1</v>
      </c>
      <c r="BW173" s="366">
        <v>0</v>
      </c>
      <c r="BX173" s="366">
        <v>0</v>
      </c>
      <c r="BY173" s="366">
        <v>-7</v>
      </c>
      <c r="BZ173" s="366">
        <v>0</v>
      </c>
      <c r="CA173" s="366">
        <v>2</v>
      </c>
      <c r="CB173" s="367">
        <f>IFERROR(BO173/Instructions!$J$25,0)+BP173*Instructions!$J$27+BQ173*Instructions!$J$29+IFERROR(BR173/Instructions!$E$34,0)+BS173*Instructions!$E$36+Tier!BT174*Instructions!$E$25+IFERROR(BU173/Instructions!$E$27,0)+BV173*Instructions!$E$29+IFERROR((BW173+BY173)/Instructions!$J$32,0)+(BX173+BZ173)*Instructions!$J$34+Tier!CA173*-2</f>
        <v>186.9</v>
      </c>
      <c r="CC173" s="354"/>
      <c r="CD173" s="321">
        <v>2015</v>
      </c>
      <c r="CE173" s="370" t="s">
        <v>88</v>
      </c>
      <c r="CF173" s="371" t="s">
        <v>144</v>
      </c>
      <c r="CG173" s="371" t="s">
        <v>6</v>
      </c>
      <c r="CH173" s="371">
        <v>0</v>
      </c>
      <c r="CI173" s="371">
        <v>0</v>
      </c>
      <c r="CJ173" s="371">
        <v>0</v>
      </c>
      <c r="CK173" s="371">
        <v>29</v>
      </c>
      <c r="CL173" s="371">
        <v>0</v>
      </c>
      <c r="CM173" s="371">
        <v>76</v>
      </c>
      <c r="CN173" s="371">
        <v>1135</v>
      </c>
      <c r="CO173" s="371">
        <v>6</v>
      </c>
      <c r="CP173" s="371">
        <v>103</v>
      </c>
      <c r="CQ173" s="371">
        <v>0</v>
      </c>
      <c r="CR173" s="371">
        <v>13</v>
      </c>
      <c r="CS173" s="371">
        <v>0</v>
      </c>
      <c r="CT173" s="371">
        <v>1</v>
      </c>
      <c r="CU173" s="367">
        <f>IFERROR(CH173/Instructions!$J$25,0)+CI173*Instructions!$J$27+CJ173*Instructions!$J$29+IFERROR(CK173/Instructions!$E$34,0)+CL173*Instructions!$E$36+Tier!CM173*Instructions!$E$25+IFERROR(CN173/Instructions!$E$27,0)+CO173*Instructions!$E$29+IFERROR((CP173+CR173)/Instructions!$J$32,0)+(CQ173+CS173)*Instructions!$J$34+Tier!CT173*-2</f>
        <v>226.4</v>
      </c>
      <c r="CV173" s="354"/>
      <c r="CW173"/>
      <c r="CX173"/>
      <c r="CY173"/>
      <c r="CZ173"/>
      <c r="DA173"/>
      <c r="DB173"/>
      <c r="DC173"/>
      <c r="DD173"/>
      <c r="DE173"/>
      <c r="DF173"/>
      <c r="DG173"/>
      <c r="DH173"/>
      <c r="DI173"/>
      <c r="DJ173"/>
      <c r="DK173"/>
      <c r="DL173"/>
      <c r="DM173"/>
      <c r="DN173"/>
    </row>
    <row r="174" spans="1:118" s="238" customFormat="1" ht="15.75" customHeight="1" x14ac:dyDescent="0.25">
      <c r="C174"/>
      <c r="D174"/>
      <c r="E174"/>
      <c r="F174"/>
      <c r="G174"/>
      <c r="H174"/>
      <c r="I174"/>
      <c r="J174"/>
      <c r="K174"/>
      <c r="L174"/>
      <c r="M174"/>
      <c r="N174"/>
      <c r="O174" s="372"/>
      <c r="P174" s="366">
        <v>2015</v>
      </c>
      <c r="Q174" s="367">
        <f>LARGE($CB$153:$CB$302,22)</f>
        <v>167.4</v>
      </c>
      <c r="R174" s="357">
        <f t="shared" si="91"/>
        <v>2.8000000000000114</v>
      </c>
      <c r="S174" s="356">
        <f t="shared" si="92"/>
        <v>7.8400000000000638</v>
      </c>
      <c r="U174" s="356">
        <f t="shared" si="93"/>
        <v>0.17500000000000071</v>
      </c>
      <c r="V174" s="238">
        <f t="shared" si="80"/>
        <v>6</v>
      </c>
      <c r="W174" s="354"/>
      <c r="X174" s="371"/>
      <c r="Y174" s="371"/>
      <c r="Z174" s="321">
        <v>2015</v>
      </c>
      <c r="AA174" s="367">
        <f>LARGE($CU$153:$CU$302,22)</f>
        <v>212.7</v>
      </c>
      <c r="AB174" s="357">
        <f t="shared" si="94"/>
        <v>-10.433333333333337</v>
      </c>
      <c r="AC174" s="356">
        <f t="shared" si="78"/>
        <v>108.85444444444452</v>
      </c>
      <c r="AD174" s="356"/>
      <c r="AE174" s="356">
        <f t="shared" si="95"/>
        <v>-0.65208333333333357</v>
      </c>
      <c r="AF174" s="238">
        <f t="shared" si="83"/>
        <v>7</v>
      </c>
      <c r="AG174" s="354"/>
      <c r="AK174"/>
      <c r="AL174"/>
      <c r="AM174"/>
      <c r="AN174"/>
      <c r="AO174"/>
      <c r="AP174"/>
      <c r="AS174"/>
      <c r="AT174"/>
      <c r="AU174" s="366"/>
      <c r="AV174" s="418"/>
      <c r="AW174" s="440"/>
      <c r="AX174" s="440"/>
      <c r="AY174" s="440"/>
      <c r="AZ174" s="440"/>
      <c r="BI174" s="360"/>
      <c r="BJ174" s="354"/>
      <c r="BK174" s="366">
        <v>2015</v>
      </c>
      <c r="BL174" s="365" t="s">
        <v>184</v>
      </c>
      <c r="BM174" s="366" t="s">
        <v>1627</v>
      </c>
      <c r="BN174" s="366" t="s">
        <v>3</v>
      </c>
      <c r="BO174" s="366">
        <v>0</v>
      </c>
      <c r="BP174" s="366">
        <v>0</v>
      </c>
      <c r="BQ174" s="366">
        <v>0</v>
      </c>
      <c r="BR174" s="366">
        <v>529</v>
      </c>
      <c r="BS174" s="366">
        <v>0</v>
      </c>
      <c r="BT174" s="366">
        <v>51</v>
      </c>
      <c r="BU174" s="371">
        <v>561</v>
      </c>
      <c r="BV174" s="371">
        <v>4</v>
      </c>
      <c r="BW174" s="366">
        <v>0</v>
      </c>
      <c r="BX174" s="366">
        <v>0</v>
      </c>
      <c r="BY174" s="366">
        <v>0</v>
      </c>
      <c r="BZ174" s="366">
        <v>0</v>
      </c>
      <c r="CA174" s="366">
        <v>2</v>
      </c>
      <c r="CB174" s="367">
        <f>IFERROR(BO174/Instructions!$J$25,0)+BP174*Instructions!$J$27+BQ174*Instructions!$J$29+IFERROR(BR174/Instructions!$E$34,0)+BS174*Instructions!$E$36+Tier!BT175*Instructions!$E$25+IFERROR(BU174/Instructions!$E$27,0)+BV174*Instructions!$E$29+IFERROR((BW174+BY174)/Instructions!$J$32,0)+(BX174+BZ174)*Instructions!$J$34+Tier!CA174*-2</f>
        <v>178</v>
      </c>
      <c r="CC174" s="354"/>
      <c r="CD174" s="321">
        <v>2015</v>
      </c>
      <c r="CE174" s="370" t="s">
        <v>1121</v>
      </c>
      <c r="CF174" s="371" t="s">
        <v>159</v>
      </c>
      <c r="CG174" s="371" t="s">
        <v>6</v>
      </c>
      <c r="CH174" s="371">
        <v>0</v>
      </c>
      <c r="CI174" s="371">
        <v>0</v>
      </c>
      <c r="CJ174" s="371">
        <v>0</v>
      </c>
      <c r="CK174" s="371">
        <v>60</v>
      </c>
      <c r="CL174" s="371">
        <v>0</v>
      </c>
      <c r="CM174" s="371">
        <v>44</v>
      </c>
      <c r="CN174" s="371">
        <v>739</v>
      </c>
      <c r="CO174" s="371">
        <v>10</v>
      </c>
      <c r="CP174" s="371">
        <v>277</v>
      </c>
      <c r="CQ174" s="371">
        <v>0</v>
      </c>
      <c r="CR174" s="371">
        <v>8</v>
      </c>
      <c r="CS174" s="371">
        <v>0</v>
      </c>
      <c r="CT174" s="371">
        <v>0</v>
      </c>
      <c r="CU174" s="367">
        <f>IFERROR(CH174/Instructions!$J$25,0)+CI174*Instructions!$J$27+CJ174*Instructions!$J$29+IFERROR(CK174/Instructions!$E$34,0)+CL174*Instructions!$E$36+Tier!CM174*Instructions!$E$25+IFERROR(CN174/Instructions!$E$27,0)+CO174*Instructions!$E$29+IFERROR((CP174+CR174)/Instructions!$J$32,0)+(CQ174+CS174)*Instructions!$J$34+Tier!CT174*-2</f>
        <v>183.9</v>
      </c>
      <c r="CV174" s="354"/>
      <c r="CW174"/>
      <c r="CX174"/>
      <c r="CY174"/>
      <c r="CZ174"/>
      <c r="DA174"/>
      <c r="DB174"/>
      <c r="DC174"/>
      <c r="DD174"/>
      <c r="DE174"/>
      <c r="DF174"/>
      <c r="DG174"/>
      <c r="DH174"/>
      <c r="DI174"/>
      <c r="DJ174"/>
      <c r="DK174"/>
      <c r="DL174"/>
      <c r="DM174"/>
      <c r="DN174"/>
    </row>
    <row r="175" spans="1:118" s="238" customFormat="1" ht="15.75" customHeight="1" x14ac:dyDescent="0.25">
      <c r="C175"/>
      <c r="D175"/>
      <c r="E175"/>
      <c r="F175"/>
      <c r="G175"/>
      <c r="H175"/>
      <c r="I175"/>
      <c r="J175"/>
      <c r="K175"/>
      <c r="L175"/>
      <c r="M175"/>
      <c r="N175"/>
      <c r="O175" s="372"/>
      <c r="P175" s="366">
        <v>2015</v>
      </c>
      <c r="Q175" s="367">
        <f>LARGE($CB$153:$CB$302,23)</f>
        <v>166.4</v>
      </c>
      <c r="R175" s="357">
        <f t="shared" si="91"/>
        <v>1.8000000000000114</v>
      </c>
      <c r="S175" s="356">
        <f t="shared" si="92"/>
        <v>3.2400000000000411</v>
      </c>
      <c r="U175" s="356">
        <f t="shared" si="93"/>
        <v>0.11250000000000071</v>
      </c>
      <c r="V175" s="238">
        <f t="shared" si="80"/>
        <v>6</v>
      </c>
      <c r="W175" s="354"/>
      <c r="X175" s="371"/>
      <c r="Y175" s="371"/>
      <c r="Z175" s="321">
        <v>2015</v>
      </c>
      <c r="AA175" s="367">
        <f>LARGE($CU$153:$CU$302,23)</f>
        <v>211.4</v>
      </c>
      <c r="AB175" s="357">
        <f t="shared" si="94"/>
        <v>-11.73333333333332</v>
      </c>
      <c r="AC175" s="356">
        <f t="shared" si="78"/>
        <v>137.6711111111108</v>
      </c>
      <c r="AD175" s="356"/>
      <c r="AE175" s="356">
        <f t="shared" si="95"/>
        <v>-0.7333333333333325</v>
      </c>
      <c r="AF175" s="238">
        <f t="shared" si="83"/>
        <v>7</v>
      </c>
      <c r="AG175" s="354"/>
      <c r="AK175"/>
      <c r="AL175"/>
      <c r="AM175"/>
      <c r="AN175"/>
      <c r="AO175"/>
      <c r="AP175"/>
      <c r="AS175"/>
      <c r="AT175"/>
      <c r="AU175" s="366"/>
      <c r="AV175" s="418"/>
      <c r="AW175" s="440"/>
      <c r="AX175" s="440"/>
      <c r="AY175" s="440"/>
      <c r="AZ175" s="440"/>
      <c r="BI175" s="360"/>
      <c r="BJ175" s="354"/>
      <c r="BK175" s="366">
        <v>2015</v>
      </c>
      <c r="BL175" s="365" t="s">
        <v>46</v>
      </c>
      <c r="BM175" s="366" t="s">
        <v>145</v>
      </c>
      <c r="BN175" s="366" t="s">
        <v>3</v>
      </c>
      <c r="BO175" s="366">
        <v>0</v>
      </c>
      <c r="BP175" s="366">
        <v>0</v>
      </c>
      <c r="BQ175" s="366">
        <v>0</v>
      </c>
      <c r="BR175" s="366">
        <v>730</v>
      </c>
      <c r="BS175" s="366">
        <v>2</v>
      </c>
      <c r="BT175" s="366">
        <v>49</v>
      </c>
      <c r="BU175" s="371">
        <v>472</v>
      </c>
      <c r="BV175" s="371">
        <v>0</v>
      </c>
      <c r="BW175" s="366">
        <v>0</v>
      </c>
      <c r="BX175" s="366">
        <v>0</v>
      </c>
      <c r="BY175" s="366">
        <v>6</v>
      </c>
      <c r="BZ175" s="366">
        <v>0</v>
      </c>
      <c r="CA175" s="366">
        <v>0</v>
      </c>
      <c r="CB175" s="367">
        <f>IFERROR(BO175/Instructions!$J$25,0)+BP175*Instructions!$J$27+BQ175*Instructions!$J$29+IFERROR(BR175/Instructions!$E$34,0)+BS175*Instructions!$E$36+Tier!BT176*Instructions!$E$25+IFERROR(BU175/Instructions!$E$27,0)+BV175*Instructions!$E$29+IFERROR((BW175+BY175)/Instructions!$J$32,0)+(BX175+BZ175)*Instructions!$J$34+Tier!CA175*-2</f>
        <v>175.2</v>
      </c>
      <c r="CC175" s="354"/>
      <c r="CD175" s="321">
        <v>2015</v>
      </c>
      <c r="CE175" s="370" t="s">
        <v>124</v>
      </c>
      <c r="CF175" s="371" t="s">
        <v>137</v>
      </c>
      <c r="CG175" s="371" t="s">
        <v>6</v>
      </c>
      <c r="CH175" s="371">
        <v>0</v>
      </c>
      <c r="CI175" s="371">
        <v>0</v>
      </c>
      <c r="CJ175" s="371">
        <v>0</v>
      </c>
      <c r="CK175" s="371">
        <v>0</v>
      </c>
      <c r="CL175" s="371">
        <v>0</v>
      </c>
      <c r="CM175" s="371">
        <v>85</v>
      </c>
      <c r="CN175" s="371">
        <v>997</v>
      </c>
      <c r="CO175" s="371">
        <v>8</v>
      </c>
      <c r="CP175" s="371">
        <v>0</v>
      </c>
      <c r="CQ175" s="371">
        <v>0</v>
      </c>
      <c r="CR175" s="371">
        <v>0</v>
      </c>
      <c r="CS175" s="371">
        <v>0</v>
      </c>
      <c r="CT175" s="371">
        <v>1</v>
      </c>
      <c r="CU175" s="367">
        <f>IFERROR(CH175/Instructions!$J$25,0)+CI175*Instructions!$J$27+CJ175*Instructions!$J$29+IFERROR(CK175/Instructions!$E$34,0)+CL175*Instructions!$E$36+Tier!CM175*Instructions!$E$25+IFERROR(CN175/Instructions!$E$27,0)+CO175*Instructions!$E$29+IFERROR((CP175+CR175)/Instructions!$J$32,0)+(CQ175+CS175)*Instructions!$J$34+Tier!CT175*-2</f>
        <v>230.7</v>
      </c>
      <c r="CV175" s="354"/>
      <c r="CW175"/>
      <c r="CX175"/>
      <c r="CY175"/>
      <c r="CZ175"/>
      <c r="DA175"/>
      <c r="DB175"/>
      <c r="DC175"/>
      <c r="DD175"/>
      <c r="DE175"/>
      <c r="DF175"/>
      <c r="DG175"/>
      <c r="DH175"/>
      <c r="DI175"/>
      <c r="DJ175"/>
      <c r="DK175"/>
      <c r="DL175"/>
      <c r="DM175"/>
      <c r="DN175"/>
    </row>
    <row r="176" spans="1:118" s="238" customFormat="1" ht="15.75" customHeight="1" x14ac:dyDescent="0.25">
      <c r="C176"/>
      <c r="D176"/>
      <c r="E176"/>
      <c r="F176"/>
      <c r="G176"/>
      <c r="H176"/>
      <c r="I176"/>
      <c r="J176"/>
      <c r="K176"/>
      <c r="L176"/>
      <c r="M176"/>
      <c r="N176"/>
      <c r="O176" s="372"/>
      <c r="P176" s="366">
        <v>2015</v>
      </c>
      <c r="Q176" s="367">
        <f>LARGE($CB$153:$CB$302,24)</f>
        <v>165.5</v>
      </c>
      <c r="R176" s="357">
        <f t="shared" si="91"/>
        <v>0.90000000000000568</v>
      </c>
      <c r="S176" s="356">
        <f t="shared" si="92"/>
        <v>0.81000000000001027</v>
      </c>
      <c r="U176" s="356">
        <f t="shared" si="93"/>
        <v>5.6250000000000355E-2</v>
      </c>
      <c r="V176" s="238">
        <f t="shared" si="80"/>
        <v>6</v>
      </c>
      <c r="W176" s="354"/>
      <c r="X176" s="371"/>
      <c r="Y176" s="371"/>
      <c r="Z176" s="321">
        <v>2015</v>
      </c>
      <c r="AA176" s="367">
        <f>LARGE($CU$153:$CU$302,24)</f>
        <v>210.6</v>
      </c>
      <c r="AB176" s="357">
        <f t="shared" si="94"/>
        <v>-12.533333333333331</v>
      </c>
      <c r="AC176" s="356">
        <f t="shared" si="78"/>
        <v>157.08444444444439</v>
      </c>
      <c r="AD176" s="356"/>
      <c r="AE176" s="356">
        <f t="shared" si="95"/>
        <v>-0.78333333333333321</v>
      </c>
      <c r="AF176" s="238">
        <f t="shared" si="83"/>
        <v>7</v>
      </c>
      <c r="AG176" s="354"/>
      <c r="AK176"/>
      <c r="AL176"/>
      <c r="AM176"/>
      <c r="AN176"/>
      <c r="AO176"/>
      <c r="AP176"/>
      <c r="AS176"/>
      <c r="AT176"/>
      <c r="AU176" s="366"/>
      <c r="AV176" s="418"/>
      <c r="AW176" s="440"/>
      <c r="AX176" s="440"/>
      <c r="AY176" s="440"/>
      <c r="AZ176" s="440"/>
      <c r="BI176" s="360"/>
      <c r="BJ176" s="354"/>
      <c r="BK176" s="366">
        <v>2015</v>
      </c>
      <c r="BL176" s="365" t="s">
        <v>126</v>
      </c>
      <c r="BM176" s="366" t="s">
        <v>1624</v>
      </c>
      <c r="BN176" s="366" t="s">
        <v>3</v>
      </c>
      <c r="BO176" s="366">
        <v>0</v>
      </c>
      <c r="BP176" s="366">
        <v>0</v>
      </c>
      <c r="BQ176" s="366">
        <v>0</v>
      </c>
      <c r="BR176" s="366">
        <v>601</v>
      </c>
      <c r="BS176" s="366">
        <v>2</v>
      </c>
      <c r="BT176" s="366">
        <v>43</v>
      </c>
      <c r="BU176" s="371">
        <v>392</v>
      </c>
      <c r="BV176" s="371">
        <v>3</v>
      </c>
      <c r="BW176" s="366">
        <v>0</v>
      </c>
      <c r="BX176" s="366">
        <v>0</v>
      </c>
      <c r="BY176" s="366">
        <v>0</v>
      </c>
      <c r="BZ176" s="366">
        <v>0</v>
      </c>
      <c r="CA176" s="366">
        <v>3</v>
      </c>
      <c r="CB176" s="367">
        <f>IFERROR(BO176/Instructions!$J$25,0)+BP176*Instructions!$J$27+BQ176*Instructions!$J$29+IFERROR(BR176/Instructions!$E$34,0)+BS176*Instructions!$E$36+Tier!BT177*Instructions!$E$25+IFERROR(BU176/Instructions!$E$27,0)+BV176*Instructions!$E$29+IFERROR((BW176+BY176)/Instructions!$J$32,0)+(BX176+BZ176)*Instructions!$J$34+Tier!CA176*-2</f>
        <v>143.30000000000001</v>
      </c>
      <c r="CC176" s="354"/>
      <c r="CD176" s="321">
        <v>2015</v>
      </c>
      <c r="CE176" s="370" t="s">
        <v>66</v>
      </c>
      <c r="CF176" s="371" t="s">
        <v>167</v>
      </c>
      <c r="CG176" s="371" t="s">
        <v>6</v>
      </c>
      <c r="CH176" s="371">
        <v>0</v>
      </c>
      <c r="CI176" s="371">
        <v>0</v>
      </c>
      <c r="CJ176" s="371">
        <v>0</v>
      </c>
      <c r="CK176" s="371">
        <v>0</v>
      </c>
      <c r="CL176" s="371">
        <v>0</v>
      </c>
      <c r="CM176" s="371">
        <v>85</v>
      </c>
      <c r="CN176" s="371">
        <v>922</v>
      </c>
      <c r="CO176" s="371">
        <v>9</v>
      </c>
      <c r="CP176" s="371">
        <v>0</v>
      </c>
      <c r="CQ176" s="371">
        <v>0</v>
      </c>
      <c r="CR176" s="371">
        <v>0</v>
      </c>
      <c r="CS176" s="371">
        <v>0</v>
      </c>
      <c r="CT176" s="371">
        <v>0</v>
      </c>
      <c r="CU176" s="367">
        <f>IFERROR(CH176/Instructions!$J$25,0)+CI176*Instructions!$J$27+CJ176*Instructions!$J$29+IFERROR(CK176/Instructions!$E$34,0)+CL176*Instructions!$E$36+Tier!CM176*Instructions!$E$25+IFERROR(CN176/Instructions!$E$27,0)+CO176*Instructions!$E$29+IFERROR((CP176+CR176)/Instructions!$J$32,0)+(CQ176+CS176)*Instructions!$J$34+Tier!CT176*-2</f>
        <v>231.2</v>
      </c>
      <c r="CV176" s="354"/>
      <c r="CW176"/>
      <c r="CX176"/>
      <c r="CY176"/>
      <c r="CZ176"/>
      <c r="DA176"/>
      <c r="DB176"/>
      <c r="DC176"/>
      <c r="DD176"/>
      <c r="DE176"/>
      <c r="DF176"/>
      <c r="DG176"/>
      <c r="DH176"/>
      <c r="DI176"/>
      <c r="DJ176"/>
      <c r="DK176"/>
      <c r="DL176"/>
      <c r="DM176"/>
      <c r="DN176"/>
    </row>
    <row r="177" spans="3:118" s="238" customFormat="1" ht="15.75" customHeight="1" x14ac:dyDescent="0.25">
      <c r="C177"/>
      <c r="D177"/>
      <c r="E177"/>
      <c r="F177"/>
      <c r="G177"/>
      <c r="H177"/>
      <c r="I177"/>
      <c r="J177"/>
      <c r="K177"/>
      <c r="L177"/>
      <c r="M177"/>
      <c r="N177"/>
      <c r="O177" s="372"/>
      <c r="P177" s="366">
        <v>2015</v>
      </c>
      <c r="Q177" s="367">
        <f>LARGE($CB$153:$CB$302,25)</f>
        <v>165.39999999999998</v>
      </c>
      <c r="R177" s="357">
        <f t="shared" si="91"/>
        <v>0.79999999999998295</v>
      </c>
      <c r="S177" s="356">
        <f t="shared" si="92"/>
        <v>0.6399999999999727</v>
      </c>
      <c r="U177" s="356">
        <f t="shared" si="93"/>
        <v>4.9999999999998934E-2</v>
      </c>
      <c r="V177" s="238">
        <f t="shared" si="80"/>
        <v>6</v>
      </c>
      <c r="W177" s="354"/>
      <c r="X177" s="371"/>
      <c r="Y177" s="371"/>
      <c r="Z177" s="321">
        <v>2015</v>
      </c>
      <c r="AA177" s="367">
        <f>LARGE($CU$153:$CU$302,25)</f>
        <v>209.39999999999998</v>
      </c>
      <c r="AB177" s="357">
        <f t="shared" si="94"/>
        <v>-13.733333333333348</v>
      </c>
      <c r="AC177" s="356">
        <f t="shared" si="78"/>
        <v>188.60444444444485</v>
      </c>
      <c r="AD177" s="356"/>
      <c r="AE177" s="356">
        <f t="shared" si="95"/>
        <v>-0.85833333333333428</v>
      </c>
      <c r="AF177" s="238">
        <f t="shared" si="83"/>
        <v>7</v>
      </c>
      <c r="AG177" s="354"/>
      <c r="AK177"/>
      <c r="AL177"/>
      <c r="AM177"/>
      <c r="AN177"/>
      <c r="AO177"/>
      <c r="AP177"/>
      <c r="AS177"/>
      <c r="AT177"/>
      <c r="AU177" s="366"/>
      <c r="AV177" s="418"/>
      <c r="AW177" s="440"/>
      <c r="AX177" s="440"/>
      <c r="AY177" s="440"/>
      <c r="AZ177" s="440"/>
      <c r="BI177" s="360"/>
      <c r="BJ177" s="354"/>
      <c r="BK177" s="366">
        <v>2015</v>
      </c>
      <c r="BL177" s="365" t="s">
        <v>12</v>
      </c>
      <c r="BM177" s="366" t="s">
        <v>1624</v>
      </c>
      <c r="BN177" s="366" t="s">
        <v>3</v>
      </c>
      <c r="BO177" s="366">
        <v>0</v>
      </c>
      <c r="BP177" s="366">
        <v>0</v>
      </c>
      <c r="BQ177" s="366">
        <v>0</v>
      </c>
      <c r="BR177" s="366">
        <v>758</v>
      </c>
      <c r="BS177" s="366">
        <v>3</v>
      </c>
      <c r="BT177" s="366">
        <v>20</v>
      </c>
      <c r="BU177" s="371">
        <v>188</v>
      </c>
      <c r="BV177" s="371">
        <v>2</v>
      </c>
      <c r="BW177" s="366">
        <v>0</v>
      </c>
      <c r="BX177" s="366">
        <v>0</v>
      </c>
      <c r="BY177" s="366">
        <v>0</v>
      </c>
      <c r="BZ177" s="366">
        <v>0</v>
      </c>
      <c r="CA177" s="366">
        <v>2</v>
      </c>
      <c r="CB177" s="367">
        <f>IFERROR(BO177/Instructions!$J$25,0)+BP177*Instructions!$J$27+BQ177*Instructions!$J$29+IFERROR(BR177/Instructions!$E$34,0)+BS177*Instructions!$E$36+Tier!BT178*Instructions!$E$25+IFERROR(BU177/Instructions!$E$27,0)+BV177*Instructions!$E$29+IFERROR((BW177+BY177)/Instructions!$J$32,0)+(BX177+BZ177)*Instructions!$J$34+Tier!CA177*-2</f>
        <v>142.6</v>
      </c>
      <c r="CC177" s="354"/>
      <c r="CD177" s="321">
        <v>2015</v>
      </c>
      <c r="CE177" s="370" t="s">
        <v>209</v>
      </c>
      <c r="CF177" s="371" t="s">
        <v>161</v>
      </c>
      <c r="CG177" s="371" t="s">
        <v>6</v>
      </c>
      <c r="CH177" s="371">
        <v>0</v>
      </c>
      <c r="CI177" s="371">
        <v>0</v>
      </c>
      <c r="CJ177" s="371">
        <v>0</v>
      </c>
      <c r="CK177" s="371">
        <v>12</v>
      </c>
      <c r="CL177" s="371">
        <v>0</v>
      </c>
      <c r="CM177" s="371">
        <v>68</v>
      </c>
      <c r="CN177" s="371">
        <v>966</v>
      </c>
      <c r="CO177" s="371">
        <v>5</v>
      </c>
      <c r="CP177" s="371">
        <v>324</v>
      </c>
      <c r="CQ177" s="371">
        <v>1</v>
      </c>
      <c r="CR177" s="371">
        <v>0</v>
      </c>
      <c r="CS177" s="371">
        <v>0</v>
      </c>
      <c r="CT177" s="371">
        <v>1</v>
      </c>
      <c r="CU177" s="367">
        <f>IFERROR(CH177/Instructions!$J$25,0)+CI177*Instructions!$J$27+CJ177*Instructions!$J$29+IFERROR(CK177/Instructions!$E$34,0)+CL177*Instructions!$E$36+Tier!CM177*Instructions!$E$25+IFERROR(CN177/Instructions!$E$27,0)+CO177*Instructions!$E$29+IFERROR((CP177+CR177)/Instructions!$J$32,0)+(CQ177+CS177)*Instructions!$J$34+Tier!CT177*-2</f>
        <v>199.8</v>
      </c>
      <c r="CV177" s="354"/>
      <c r="CW177"/>
      <c r="CX177"/>
      <c r="CY177"/>
      <c r="CZ177"/>
      <c r="DA177"/>
      <c r="DB177"/>
      <c r="DC177"/>
      <c r="DD177"/>
      <c r="DE177"/>
      <c r="DF177"/>
      <c r="DG177"/>
      <c r="DH177"/>
      <c r="DI177"/>
      <c r="DJ177"/>
      <c r="DK177"/>
      <c r="DL177"/>
      <c r="DM177"/>
      <c r="DN177"/>
    </row>
    <row r="178" spans="3:118" s="238" customFormat="1" ht="15.75" customHeight="1" x14ac:dyDescent="0.25">
      <c r="C178"/>
      <c r="D178"/>
      <c r="E178"/>
      <c r="F178"/>
      <c r="G178"/>
      <c r="H178"/>
      <c r="I178"/>
      <c r="J178"/>
      <c r="K178"/>
      <c r="L178"/>
      <c r="M178"/>
      <c r="N178"/>
      <c r="O178" s="372"/>
      <c r="P178" s="366">
        <v>2015</v>
      </c>
      <c r="Q178" s="367">
        <f>LARGE($CB$153:$CB$302,26)</f>
        <v>152.30000000000001</v>
      </c>
      <c r="R178" s="357">
        <f t="shared" si="91"/>
        <v>-12.299999999999983</v>
      </c>
      <c r="S178" s="356">
        <f t="shared" si="92"/>
        <v>151.28999999999959</v>
      </c>
      <c r="U178" s="356">
        <f t="shared" si="93"/>
        <v>-0.76874999999999893</v>
      </c>
      <c r="V178" s="238">
        <f t="shared" si="80"/>
        <v>7</v>
      </c>
      <c r="W178" s="354"/>
      <c r="X178" s="371"/>
      <c r="Y178" s="371"/>
      <c r="Z178" s="321">
        <v>2015</v>
      </c>
      <c r="AA178" s="367">
        <f>LARGE($CU$153:$CU$302,26)</f>
        <v>207.5</v>
      </c>
      <c r="AB178" s="357">
        <f t="shared" si="94"/>
        <v>-15.633333333333326</v>
      </c>
      <c r="AC178" s="356">
        <f t="shared" si="78"/>
        <v>244.40111111111088</v>
      </c>
      <c r="AD178" s="356"/>
      <c r="AE178" s="356">
        <f t="shared" si="95"/>
        <v>-0.97708333333333286</v>
      </c>
      <c r="AF178" s="238">
        <f t="shared" si="83"/>
        <v>7</v>
      </c>
      <c r="AG178" s="354"/>
      <c r="AK178"/>
      <c r="AL178"/>
      <c r="AM178"/>
      <c r="AN178"/>
      <c r="AO178"/>
      <c r="AP178"/>
      <c r="AS178"/>
      <c r="AT178"/>
      <c r="AU178" s="366"/>
      <c r="AV178" s="418"/>
      <c r="AW178" s="440"/>
      <c r="AX178" s="440"/>
      <c r="AY178" s="440"/>
      <c r="AZ178" s="440"/>
      <c r="BI178" s="360"/>
      <c r="BJ178" s="354"/>
      <c r="BK178" s="366">
        <v>2015</v>
      </c>
      <c r="BL178" s="365" t="s">
        <v>1143</v>
      </c>
      <c r="BM178" s="366" t="s">
        <v>141</v>
      </c>
      <c r="BN178" s="366" t="s">
        <v>3</v>
      </c>
      <c r="BO178" s="366">
        <v>0</v>
      </c>
      <c r="BP178" s="366">
        <v>0</v>
      </c>
      <c r="BQ178" s="366">
        <v>0</v>
      </c>
      <c r="BR178" s="366">
        <v>537</v>
      </c>
      <c r="BS178" s="366">
        <v>6</v>
      </c>
      <c r="BT178" s="366">
        <v>22</v>
      </c>
      <c r="BU178" s="371">
        <v>279</v>
      </c>
      <c r="BV178" s="371">
        <v>1</v>
      </c>
      <c r="BW178" s="366">
        <v>0</v>
      </c>
      <c r="BX178" s="366">
        <v>0</v>
      </c>
      <c r="BY178" s="366">
        <v>0</v>
      </c>
      <c r="BZ178" s="366">
        <v>0</v>
      </c>
      <c r="CA178" s="366">
        <v>0</v>
      </c>
      <c r="CB178" s="367">
        <f>IFERROR(BO178/Instructions!$J$25,0)+BP178*Instructions!$J$27+BQ178*Instructions!$J$29+IFERROR(BR178/Instructions!$E$34,0)+BS178*Instructions!$E$36+Tier!BT179*Instructions!$E$25+IFERROR(BU178/Instructions!$E$27,0)+BV178*Instructions!$E$29+IFERROR((BW178+BY178)/Instructions!$J$32,0)+(BX178+BZ178)*Instructions!$J$34+Tier!CA178*-2</f>
        <v>148.6</v>
      </c>
      <c r="CC178" s="354"/>
      <c r="CD178" s="321">
        <v>2015</v>
      </c>
      <c r="CE178" s="370" t="s">
        <v>202</v>
      </c>
      <c r="CF178" s="371" t="s">
        <v>153</v>
      </c>
      <c r="CG178" s="371" t="s">
        <v>6</v>
      </c>
      <c r="CH178" s="371">
        <v>0</v>
      </c>
      <c r="CI178" s="371">
        <v>0</v>
      </c>
      <c r="CJ178" s="371">
        <v>0</v>
      </c>
      <c r="CK178" s="371">
        <v>22</v>
      </c>
      <c r="CL178" s="371">
        <v>0</v>
      </c>
      <c r="CM178" s="371">
        <v>65</v>
      </c>
      <c r="CN178" s="371">
        <v>1003</v>
      </c>
      <c r="CO178" s="371">
        <v>7</v>
      </c>
      <c r="CP178" s="371">
        <v>0</v>
      </c>
      <c r="CQ178" s="371">
        <v>0</v>
      </c>
      <c r="CR178" s="371">
        <v>0</v>
      </c>
      <c r="CS178" s="371">
        <v>0</v>
      </c>
      <c r="CT178" s="371">
        <v>1</v>
      </c>
      <c r="CU178" s="367">
        <f>IFERROR(CH178/Instructions!$J$25,0)+CI178*Instructions!$J$27+CJ178*Instructions!$J$29+IFERROR(CK178/Instructions!$E$34,0)+CL178*Instructions!$E$36+Tier!CM178*Instructions!$E$25+IFERROR(CN178/Instructions!$E$27,0)+CO178*Instructions!$E$29+IFERROR((CP178+CR178)/Instructions!$J$32,0)+(CQ178+CS178)*Instructions!$J$34+Tier!CT178*-2</f>
        <v>207.5</v>
      </c>
      <c r="CV178" s="354"/>
      <c r="CW178"/>
      <c r="CX178"/>
      <c r="CY178"/>
      <c r="CZ178"/>
      <c r="DA178"/>
      <c r="DB178"/>
      <c r="DC178"/>
      <c r="DD178"/>
      <c r="DE178"/>
      <c r="DF178"/>
      <c r="DG178"/>
      <c r="DH178"/>
      <c r="DI178"/>
      <c r="DJ178"/>
      <c r="DK178"/>
      <c r="DL178"/>
      <c r="DM178"/>
      <c r="DN178"/>
    </row>
    <row r="179" spans="3:118" s="238" customFormat="1" ht="15.75" customHeight="1" x14ac:dyDescent="0.25">
      <c r="C179"/>
      <c r="D179"/>
      <c r="E179"/>
      <c r="F179"/>
      <c r="G179"/>
      <c r="H179"/>
      <c r="I179"/>
      <c r="J179"/>
      <c r="K179"/>
      <c r="L179"/>
      <c r="M179"/>
      <c r="N179"/>
      <c r="O179" s="372"/>
      <c r="P179" s="366">
        <v>2015</v>
      </c>
      <c r="Q179" s="367">
        <f>LARGE($CB$153:$CB$302,27)</f>
        <v>148.6</v>
      </c>
      <c r="R179" s="357">
        <f t="shared" si="91"/>
        <v>-16</v>
      </c>
      <c r="S179" s="356">
        <f t="shared" si="92"/>
        <v>256</v>
      </c>
      <c r="U179" s="356">
        <f t="shared" si="93"/>
        <v>-1</v>
      </c>
      <c r="V179" s="238">
        <f t="shared" si="80"/>
        <v>8</v>
      </c>
      <c r="W179" s="354"/>
      <c r="X179" s="371"/>
      <c r="Y179" s="371"/>
      <c r="Z179" s="321">
        <v>2015</v>
      </c>
      <c r="AA179" s="367">
        <f>LARGE($CU$153:$CU$302,27)</f>
        <v>202.9</v>
      </c>
      <c r="AB179" s="357">
        <f t="shared" si="94"/>
        <v>-20.23333333333332</v>
      </c>
      <c r="AC179" s="356">
        <f t="shared" si="78"/>
        <v>409.38777777777722</v>
      </c>
      <c r="AD179" s="356"/>
      <c r="AE179" s="356">
        <f t="shared" si="95"/>
        <v>-1.2645833333333325</v>
      </c>
      <c r="AF179" s="238">
        <f t="shared" si="83"/>
        <v>8</v>
      </c>
      <c r="AG179" s="354"/>
      <c r="AK179"/>
      <c r="AL179"/>
      <c r="AM179"/>
      <c r="AN179"/>
      <c r="AO179"/>
      <c r="AP179"/>
      <c r="AS179"/>
      <c r="AT179"/>
      <c r="AU179" s="366"/>
      <c r="AV179" s="418"/>
      <c r="AW179" s="440"/>
      <c r="AX179" s="440"/>
      <c r="AY179" s="440"/>
      <c r="AZ179" s="440"/>
      <c r="BI179" s="360"/>
      <c r="BJ179" s="354"/>
      <c r="BK179" s="366">
        <v>2015</v>
      </c>
      <c r="BL179" s="365" t="s">
        <v>123</v>
      </c>
      <c r="BM179" s="366" t="s">
        <v>144</v>
      </c>
      <c r="BN179" s="366" t="s">
        <v>3</v>
      </c>
      <c r="BO179" s="366">
        <v>0</v>
      </c>
      <c r="BP179" s="366">
        <v>0</v>
      </c>
      <c r="BQ179" s="366">
        <v>0</v>
      </c>
      <c r="BR179" s="366">
        <v>720</v>
      </c>
      <c r="BS179" s="366">
        <v>5</v>
      </c>
      <c r="BT179" s="366">
        <v>25</v>
      </c>
      <c r="BU179" s="371">
        <v>183</v>
      </c>
      <c r="BV179" s="371">
        <v>0</v>
      </c>
      <c r="BW179" s="366">
        <v>0</v>
      </c>
      <c r="BX179" s="366">
        <v>0</v>
      </c>
      <c r="BY179" s="366">
        <v>0</v>
      </c>
      <c r="BZ179" s="366">
        <v>0</v>
      </c>
      <c r="CA179" s="366">
        <v>2</v>
      </c>
      <c r="CB179" s="367">
        <f>IFERROR(BO179/Instructions!$J$25,0)+BP179*Instructions!$J$27+BQ179*Instructions!$J$29+IFERROR(BR179/Instructions!$E$34,0)+BS179*Instructions!$E$36+Tier!BT180*Instructions!$E$25+IFERROR(BU179/Instructions!$E$27,0)+BV179*Instructions!$E$29+IFERROR((BW179+BY179)/Instructions!$J$32,0)+(BX179+BZ179)*Instructions!$J$34+Tier!CA179*-2</f>
        <v>152.30000000000001</v>
      </c>
      <c r="CC179" s="354"/>
      <c r="CD179" s="321">
        <v>2015</v>
      </c>
      <c r="CE179" s="370" t="s">
        <v>1101</v>
      </c>
      <c r="CF179" s="371" t="s">
        <v>167</v>
      </c>
      <c r="CG179" s="371" t="s">
        <v>6</v>
      </c>
      <c r="CH179" s="371">
        <v>0</v>
      </c>
      <c r="CI179" s="371">
        <v>0</v>
      </c>
      <c r="CJ179" s="371">
        <v>0</v>
      </c>
      <c r="CK179" s="371">
        <v>-3</v>
      </c>
      <c r="CL179" s="371">
        <v>0</v>
      </c>
      <c r="CM179" s="371">
        <v>72</v>
      </c>
      <c r="CN179" s="371">
        <v>1070</v>
      </c>
      <c r="CO179" s="371">
        <v>6</v>
      </c>
      <c r="CP179" s="371">
        <v>41</v>
      </c>
      <c r="CQ179" s="371">
        <v>0</v>
      </c>
      <c r="CR179" s="371">
        <v>0</v>
      </c>
      <c r="CS179" s="371">
        <v>0</v>
      </c>
      <c r="CT179" s="371">
        <v>1</v>
      </c>
      <c r="CU179" s="367">
        <f>IFERROR(CH179/Instructions!$J$25,0)+CI179*Instructions!$J$27+CJ179*Instructions!$J$29+IFERROR(CK179/Instructions!$E$34,0)+CL179*Instructions!$E$36+Tier!CM179*Instructions!$E$25+IFERROR(CN179/Instructions!$E$27,0)+CO179*Instructions!$E$29+IFERROR((CP179+CR179)/Instructions!$J$32,0)+(CQ179+CS179)*Instructions!$J$34+Tier!CT179*-2</f>
        <v>212.7</v>
      </c>
      <c r="CV179" s="354"/>
      <c r="CW179"/>
      <c r="CX179"/>
      <c r="CY179"/>
      <c r="CZ179"/>
      <c r="DA179"/>
      <c r="DB179"/>
      <c r="DC179"/>
      <c r="DD179"/>
      <c r="DE179"/>
      <c r="DF179"/>
      <c r="DG179"/>
      <c r="DH179"/>
      <c r="DI179"/>
      <c r="DJ179"/>
      <c r="DK179"/>
      <c r="DL179"/>
      <c r="DM179"/>
      <c r="DN179"/>
    </row>
    <row r="180" spans="3:118" s="238" customFormat="1" ht="15.75" customHeight="1" x14ac:dyDescent="0.25">
      <c r="C180"/>
      <c r="D180"/>
      <c r="E180"/>
      <c r="F180"/>
      <c r="G180"/>
      <c r="H180"/>
      <c r="I180"/>
      <c r="J180"/>
      <c r="K180"/>
      <c r="L180"/>
      <c r="M180"/>
      <c r="N180"/>
      <c r="O180" s="372"/>
      <c r="P180" s="366">
        <v>2015</v>
      </c>
      <c r="Q180" s="367">
        <f>LARGE($CB$153:$CB$302,28)</f>
        <v>146.20000000000002</v>
      </c>
      <c r="R180" s="357">
        <f t="shared" si="91"/>
        <v>-18.399999999999977</v>
      </c>
      <c r="S180" s="356">
        <f t="shared" si="92"/>
        <v>338.55999999999915</v>
      </c>
      <c r="U180" s="356">
        <f t="shared" si="93"/>
        <v>-1.1499999999999986</v>
      </c>
      <c r="V180" s="238">
        <f t="shared" si="80"/>
        <v>8</v>
      </c>
      <c r="W180" s="354"/>
      <c r="X180" s="371"/>
      <c r="Y180" s="371"/>
      <c r="Z180" s="321">
        <v>2015</v>
      </c>
      <c r="AA180" s="367">
        <f>LARGE($CU$153:$CU$302,28)</f>
        <v>200.7</v>
      </c>
      <c r="AB180" s="357">
        <f t="shared" si="94"/>
        <v>-22.433333333333337</v>
      </c>
      <c r="AC180" s="356">
        <f t="shared" si="78"/>
        <v>503.25444444444463</v>
      </c>
      <c r="AD180" s="356"/>
      <c r="AE180" s="356">
        <f t="shared" si="95"/>
        <v>-1.4020833333333336</v>
      </c>
      <c r="AF180" s="238">
        <f t="shared" si="83"/>
        <v>8</v>
      </c>
      <c r="AG180" s="354"/>
      <c r="AK180"/>
      <c r="AL180"/>
      <c r="AM180"/>
      <c r="AN180"/>
      <c r="AO180"/>
      <c r="AP180"/>
      <c r="AS180"/>
      <c r="AT180"/>
      <c r="AU180" s="366"/>
      <c r="AV180" s="418"/>
      <c r="AW180" s="426"/>
      <c r="AX180" s="426"/>
      <c r="AY180" s="426"/>
      <c r="AZ180" s="426"/>
      <c r="BI180" s="360"/>
      <c r="BJ180" s="354"/>
      <c r="BK180" s="366">
        <v>2015</v>
      </c>
      <c r="BL180" s="365" t="s">
        <v>1128</v>
      </c>
      <c r="BM180" s="366" t="s">
        <v>1613</v>
      </c>
      <c r="BN180" s="366" t="s">
        <v>3</v>
      </c>
      <c r="BO180" s="366">
        <v>0</v>
      </c>
      <c r="BP180" s="366">
        <v>0</v>
      </c>
      <c r="BQ180" s="366">
        <v>0</v>
      </c>
      <c r="BR180" s="366">
        <v>740</v>
      </c>
      <c r="BS180" s="366">
        <v>2</v>
      </c>
      <c r="BT180" s="366">
        <v>36</v>
      </c>
      <c r="BU180" s="371">
        <v>279</v>
      </c>
      <c r="BV180" s="371">
        <v>1</v>
      </c>
      <c r="BW180" s="366">
        <v>0</v>
      </c>
      <c r="BX180" s="366">
        <v>0</v>
      </c>
      <c r="BY180" s="366">
        <v>0</v>
      </c>
      <c r="BZ180" s="366">
        <v>0</v>
      </c>
      <c r="CA180" s="366">
        <v>0</v>
      </c>
      <c r="CB180" s="367">
        <f>IFERROR(BO180/Instructions!$J$25,0)+BP180*Instructions!$J$27+BQ180*Instructions!$J$29+IFERROR(BR180/Instructions!$E$34,0)+BS180*Instructions!$E$36+Tier!BT181*Instructions!$E$25+IFERROR(BU180/Instructions!$E$27,0)+BV180*Instructions!$E$29+IFERROR((BW180+BY180)/Instructions!$J$32,0)+(BX180+BZ180)*Instructions!$J$34+Tier!CA180*-2</f>
        <v>138.9</v>
      </c>
      <c r="CC180" s="354"/>
      <c r="CD180" s="321">
        <v>2015</v>
      </c>
      <c r="CE180" s="370" t="s">
        <v>1163</v>
      </c>
      <c r="CF180" s="371" t="s">
        <v>158</v>
      </c>
      <c r="CG180" s="371" t="s">
        <v>6</v>
      </c>
      <c r="CH180" s="371">
        <v>0</v>
      </c>
      <c r="CI180" s="371">
        <v>0</v>
      </c>
      <c r="CJ180" s="371">
        <v>0</v>
      </c>
      <c r="CK180" s="371">
        <v>0</v>
      </c>
      <c r="CL180" s="371">
        <v>0</v>
      </c>
      <c r="CM180" s="371">
        <v>69</v>
      </c>
      <c r="CN180" s="371">
        <v>1124</v>
      </c>
      <c r="CO180" s="371">
        <v>5</v>
      </c>
      <c r="CP180" s="371">
        <v>16</v>
      </c>
      <c r="CQ180" s="371">
        <v>0</v>
      </c>
      <c r="CR180" s="371">
        <v>0</v>
      </c>
      <c r="CS180" s="371">
        <v>0</v>
      </c>
      <c r="CT180" s="371">
        <v>0</v>
      </c>
      <c r="CU180" s="367">
        <f>IFERROR(CH180/Instructions!$J$25,0)+CI180*Instructions!$J$27+CJ180*Instructions!$J$29+IFERROR(CK180/Instructions!$E$34,0)+CL180*Instructions!$E$36+Tier!CM180*Instructions!$E$25+IFERROR(CN180/Instructions!$E$27,0)+CO180*Instructions!$E$29+IFERROR((CP180+CR180)/Instructions!$J$32,0)+(CQ180+CS180)*Instructions!$J$34+Tier!CT180*-2</f>
        <v>211.4</v>
      </c>
      <c r="CV180" s="354"/>
      <c r="CW180"/>
      <c r="CX180"/>
      <c r="CY180"/>
      <c r="CZ180"/>
      <c r="DA180"/>
      <c r="DB180"/>
      <c r="DC180"/>
      <c r="DD180"/>
      <c r="DE180"/>
      <c r="DF180"/>
      <c r="DG180"/>
      <c r="DH180"/>
      <c r="DI180"/>
      <c r="DJ180"/>
      <c r="DK180"/>
      <c r="DL180"/>
      <c r="DM180"/>
      <c r="DN180"/>
    </row>
    <row r="181" spans="3:118" s="238" customFormat="1" ht="15.75" customHeight="1" x14ac:dyDescent="0.25">
      <c r="C181"/>
      <c r="D181"/>
      <c r="E181"/>
      <c r="F181"/>
      <c r="G181"/>
      <c r="H181"/>
      <c r="I181"/>
      <c r="J181"/>
      <c r="K181"/>
      <c r="L181"/>
      <c r="M181"/>
      <c r="N181"/>
      <c r="O181" s="372"/>
      <c r="P181" s="366">
        <v>2015</v>
      </c>
      <c r="Q181" s="367">
        <f>LARGE($CB$153:$CB$302,29)</f>
        <v>143.30000000000001</v>
      </c>
      <c r="R181" s="357">
        <f t="shared" si="91"/>
        <v>-21.299999999999983</v>
      </c>
      <c r="S181" s="356">
        <f t="shared" si="92"/>
        <v>453.68999999999926</v>
      </c>
      <c r="U181" s="356">
        <f t="shared" si="93"/>
        <v>-1.3312499999999989</v>
      </c>
      <c r="V181" s="238">
        <f t="shared" si="80"/>
        <v>8</v>
      </c>
      <c r="W181" s="354"/>
      <c r="X181" s="371"/>
      <c r="Y181" s="371"/>
      <c r="Z181" s="321">
        <v>2015</v>
      </c>
      <c r="AA181" s="367">
        <f>LARGE($CU$153:$CU$302,29)</f>
        <v>199.8</v>
      </c>
      <c r="AB181" s="357">
        <f t="shared" si="94"/>
        <v>-23.333333333333314</v>
      </c>
      <c r="AC181" s="356">
        <f t="shared" si="78"/>
        <v>544.44444444444355</v>
      </c>
      <c r="AD181" s="356"/>
      <c r="AE181" s="356">
        <f t="shared" si="95"/>
        <v>-1.4583333333333321</v>
      </c>
      <c r="AF181" s="238">
        <f t="shared" si="83"/>
        <v>8</v>
      </c>
      <c r="AG181" s="354"/>
      <c r="AK181"/>
      <c r="AL181"/>
      <c r="AM181"/>
      <c r="AN181"/>
      <c r="AO181"/>
      <c r="AP181"/>
      <c r="AS181"/>
      <c r="AT181"/>
      <c r="AU181" s="366"/>
      <c r="AV181" s="418"/>
      <c r="AW181" s="426"/>
      <c r="AX181" s="426"/>
      <c r="AY181" s="426"/>
      <c r="AZ181" s="426"/>
      <c r="BI181" s="360"/>
      <c r="BJ181" s="354"/>
      <c r="BK181" s="366">
        <v>2015</v>
      </c>
      <c r="BL181" s="365" t="s">
        <v>983</v>
      </c>
      <c r="BM181" s="366" t="s">
        <v>161</v>
      </c>
      <c r="BN181" s="366" t="s">
        <v>3</v>
      </c>
      <c r="BO181" s="366">
        <v>0</v>
      </c>
      <c r="BP181" s="366">
        <v>0</v>
      </c>
      <c r="BQ181" s="366">
        <v>0</v>
      </c>
      <c r="BR181" s="366">
        <v>706</v>
      </c>
      <c r="BS181" s="366">
        <v>4</v>
      </c>
      <c r="BT181" s="366">
        <v>19</v>
      </c>
      <c r="BU181" s="371">
        <v>182</v>
      </c>
      <c r="BV181" s="371">
        <v>1</v>
      </c>
      <c r="BW181" s="366">
        <v>0</v>
      </c>
      <c r="BX181" s="366">
        <v>0</v>
      </c>
      <c r="BY181" s="366">
        <v>0</v>
      </c>
      <c r="BZ181" s="366">
        <v>0</v>
      </c>
      <c r="CA181" s="366">
        <v>0</v>
      </c>
      <c r="CB181" s="367">
        <f>IFERROR(BO181/Instructions!$J$25,0)+BP181*Instructions!$J$27+BQ181*Instructions!$J$29+IFERROR(BR181/Instructions!$E$34,0)+BS181*Instructions!$E$36+Tier!BT182*Instructions!$E$25+IFERROR(BU181/Instructions!$E$27,0)+BV181*Instructions!$E$29+IFERROR((BW181+BY181)/Instructions!$J$32,0)+(BX181+BZ181)*Instructions!$J$34+Tier!CA181*-2</f>
        <v>127.8</v>
      </c>
      <c r="CC181" s="354"/>
      <c r="CD181" s="321">
        <v>2015</v>
      </c>
      <c r="CE181" s="370" t="s">
        <v>104</v>
      </c>
      <c r="CF181" s="371" t="s">
        <v>1627</v>
      </c>
      <c r="CG181" s="371" t="s">
        <v>6</v>
      </c>
      <c r="CH181" s="371">
        <v>0</v>
      </c>
      <c r="CI181" s="371">
        <v>0</v>
      </c>
      <c r="CJ181" s="371">
        <v>0</v>
      </c>
      <c r="CK181" s="371">
        <v>0</v>
      </c>
      <c r="CL181" s="371">
        <v>0</v>
      </c>
      <c r="CM181" s="371">
        <v>74</v>
      </c>
      <c r="CN181" s="371">
        <v>1206</v>
      </c>
      <c r="CO181" s="371">
        <v>3</v>
      </c>
      <c r="CP181" s="371">
        <v>0</v>
      </c>
      <c r="CQ181" s="371">
        <v>0</v>
      </c>
      <c r="CR181" s="371">
        <v>0</v>
      </c>
      <c r="CS181" s="371">
        <v>0</v>
      </c>
      <c r="CT181" s="371">
        <v>1</v>
      </c>
      <c r="CU181" s="367">
        <f>IFERROR(CH181/Instructions!$J$25,0)+CI181*Instructions!$J$27+CJ181*Instructions!$J$29+IFERROR(CK181/Instructions!$E$34,0)+CL181*Instructions!$E$36+Tier!CM181*Instructions!$E$25+IFERROR(CN181/Instructions!$E$27,0)+CO181*Instructions!$E$29+IFERROR((CP181+CR181)/Instructions!$J$32,0)+(CQ181+CS181)*Instructions!$J$34+Tier!CT181*-2</f>
        <v>210.6</v>
      </c>
      <c r="CV181" s="354"/>
      <c r="CW181"/>
      <c r="CX181"/>
      <c r="CY181"/>
      <c r="CZ181"/>
      <c r="DA181"/>
      <c r="DB181"/>
      <c r="DC181"/>
      <c r="DD181"/>
      <c r="DE181"/>
      <c r="DF181"/>
      <c r="DG181"/>
      <c r="DH181"/>
      <c r="DI181"/>
      <c r="DJ181"/>
      <c r="DK181"/>
      <c r="DL181"/>
      <c r="DM181"/>
      <c r="DN181"/>
    </row>
    <row r="182" spans="3:118" s="238" customFormat="1" ht="15.75" customHeight="1" x14ac:dyDescent="0.25">
      <c r="C182"/>
      <c r="D182"/>
      <c r="E182"/>
      <c r="F182"/>
      <c r="G182"/>
      <c r="H182"/>
      <c r="I182"/>
      <c r="J182"/>
      <c r="K182"/>
      <c r="L182"/>
      <c r="M182"/>
      <c r="N182"/>
      <c r="O182" s="372"/>
      <c r="P182" s="366">
        <v>2015</v>
      </c>
      <c r="Q182" s="367">
        <f>LARGE($CB$153:$CB$302,30)</f>
        <v>142.6</v>
      </c>
      <c r="R182" s="357">
        <f t="shared" si="91"/>
        <v>-22</v>
      </c>
      <c r="S182" s="356">
        <f t="shared" si="92"/>
        <v>484</v>
      </c>
      <c r="U182" s="356">
        <f t="shared" si="93"/>
        <v>-1.375</v>
      </c>
      <c r="V182" s="238">
        <f t="shared" si="80"/>
        <v>8</v>
      </c>
      <c r="W182" s="354"/>
      <c r="X182" s="371"/>
      <c r="Y182" s="371"/>
      <c r="Z182" s="321">
        <v>2015</v>
      </c>
      <c r="AA182" s="367">
        <f>LARGE($CU$153:$CU$302,30)</f>
        <v>197.4</v>
      </c>
      <c r="AB182" s="357">
        <f t="shared" si="94"/>
        <v>-25.73333333333332</v>
      </c>
      <c r="AC182" s="356">
        <f t="shared" si="78"/>
        <v>662.20444444444377</v>
      </c>
      <c r="AD182" s="356"/>
      <c r="AE182" s="356">
        <f t="shared" si="95"/>
        <v>-1.6083333333333325</v>
      </c>
      <c r="AF182" s="238">
        <f t="shared" si="83"/>
        <v>8</v>
      </c>
      <c r="AG182" s="354"/>
      <c r="AK182"/>
      <c r="AL182"/>
      <c r="AM182"/>
      <c r="AN182"/>
      <c r="AO182"/>
      <c r="AP182"/>
      <c r="AS182"/>
      <c r="AT182"/>
      <c r="AU182" s="366"/>
      <c r="AV182" s="418"/>
      <c r="AW182" s="426"/>
      <c r="AX182" s="426"/>
      <c r="AY182" s="426"/>
      <c r="AZ182" s="426"/>
      <c r="BI182" s="360"/>
      <c r="BJ182" s="354"/>
      <c r="BK182" s="366">
        <v>2015</v>
      </c>
      <c r="BL182" s="365" t="s">
        <v>1151</v>
      </c>
      <c r="BM182" s="366" t="s">
        <v>140</v>
      </c>
      <c r="BN182" s="366" t="s">
        <v>3</v>
      </c>
      <c r="BO182" s="366">
        <v>0</v>
      </c>
      <c r="BP182" s="366">
        <v>0</v>
      </c>
      <c r="BQ182" s="366">
        <v>0</v>
      </c>
      <c r="BR182" s="366">
        <v>830</v>
      </c>
      <c r="BS182" s="366">
        <v>4</v>
      </c>
      <c r="BT182" s="366">
        <v>9</v>
      </c>
      <c r="BU182" s="371">
        <v>76</v>
      </c>
      <c r="BV182" s="371">
        <v>1</v>
      </c>
      <c r="BW182" s="366">
        <v>0</v>
      </c>
      <c r="BX182" s="366">
        <v>0</v>
      </c>
      <c r="BY182" s="366">
        <v>0</v>
      </c>
      <c r="BZ182" s="366">
        <v>0</v>
      </c>
      <c r="CA182" s="366">
        <v>1</v>
      </c>
      <c r="CB182" s="367">
        <f>IFERROR(BO182/Instructions!$J$25,0)+BP182*Instructions!$J$27+BQ182*Instructions!$J$29+IFERROR(BR182/Instructions!$E$34,0)+BS182*Instructions!$E$36+Tier!BT183*Instructions!$E$25+IFERROR(BU182/Instructions!$E$27,0)+BV182*Instructions!$E$29+IFERROR((BW182+BY182)/Instructions!$J$32,0)+(BX182+BZ182)*Instructions!$J$34+Tier!CA182*-2</f>
        <v>124.6</v>
      </c>
      <c r="CC182" s="354"/>
      <c r="CD182" s="321">
        <v>2015</v>
      </c>
      <c r="CE182" s="370" t="s">
        <v>1669</v>
      </c>
      <c r="CF182" s="371" t="s">
        <v>1624</v>
      </c>
      <c r="CG182" s="371" t="s">
        <v>6</v>
      </c>
      <c r="CH182" s="371">
        <v>0</v>
      </c>
      <c r="CI182" s="371">
        <v>0</v>
      </c>
      <c r="CJ182" s="371">
        <v>0</v>
      </c>
      <c r="CK182" s="371">
        <v>0</v>
      </c>
      <c r="CL182" s="371">
        <v>0</v>
      </c>
      <c r="CM182" s="371">
        <v>50</v>
      </c>
      <c r="CN182" s="371">
        <v>890</v>
      </c>
      <c r="CO182" s="371">
        <v>8</v>
      </c>
      <c r="CP182" s="371">
        <v>0</v>
      </c>
      <c r="CQ182" s="371">
        <v>0</v>
      </c>
      <c r="CR182" s="371">
        <v>0</v>
      </c>
      <c r="CS182" s="371">
        <v>0</v>
      </c>
      <c r="CT182" s="371">
        <v>0</v>
      </c>
      <c r="CU182" s="367">
        <f>IFERROR(CH182/Instructions!$J$25,0)+CI182*Instructions!$J$27+CJ182*Instructions!$J$29+IFERROR(CK182/Instructions!$E$34,0)+CL182*Instructions!$E$36+Tier!CM182*Instructions!$E$25+IFERROR(CN182/Instructions!$E$27,0)+CO182*Instructions!$E$29+IFERROR((CP182+CR182)/Instructions!$J$32,0)+(CQ182+CS182)*Instructions!$J$34+Tier!CT182*-2</f>
        <v>187</v>
      </c>
      <c r="CV182" s="354"/>
      <c r="CW182"/>
      <c r="CX182"/>
      <c r="CY182"/>
      <c r="CZ182"/>
      <c r="DA182"/>
      <c r="DB182"/>
      <c r="DC182"/>
      <c r="DD182"/>
      <c r="DE182"/>
      <c r="DF182"/>
      <c r="DG182"/>
      <c r="DH182"/>
      <c r="DI182"/>
      <c r="DJ182"/>
      <c r="DK182"/>
      <c r="DL182"/>
      <c r="DM182"/>
      <c r="DN182"/>
    </row>
    <row r="183" spans="3:118" s="238" customFormat="1" ht="15.75" customHeight="1" x14ac:dyDescent="0.25">
      <c r="C183"/>
      <c r="D183"/>
      <c r="E183"/>
      <c r="F183"/>
      <c r="G183"/>
      <c r="H183"/>
      <c r="I183"/>
      <c r="J183"/>
      <c r="K183"/>
      <c r="L183"/>
      <c r="M183"/>
      <c r="N183"/>
      <c r="O183" s="372"/>
      <c r="P183" s="366">
        <v>2015</v>
      </c>
      <c r="Q183" s="367">
        <f>LARGE($CB$153:$CB$302,31)</f>
        <v>138.9</v>
      </c>
      <c r="R183" s="357">
        <f t="shared" si="91"/>
        <v>-25.699999999999989</v>
      </c>
      <c r="S183" s="356">
        <f t="shared" si="92"/>
        <v>660.48999999999944</v>
      </c>
      <c r="U183" s="356">
        <f t="shared" si="93"/>
        <v>-1.6062499999999993</v>
      </c>
      <c r="V183" s="238">
        <f t="shared" si="80"/>
        <v>8</v>
      </c>
      <c r="W183" s="354"/>
      <c r="X183" s="371"/>
      <c r="Y183" s="371"/>
      <c r="Z183" s="321">
        <v>2015</v>
      </c>
      <c r="AA183" s="367">
        <f>LARGE($CU$153:$CU$302,31)</f>
        <v>187</v>
      </c>
      <c r="AB183" s="357">
        <f t="shared" si="94"/>
        <v>-36.133333333333326</v>
      </c>
      <c r="AC183" s="356">
        <f t="shared" si="78"/>
        <v>1305.6177777777773</v>
      </c>
      <c r="AD183" s="356"/>
      <c r="AE183" s="356">
        <f t="shared" si="95"/>
        <v>-2.2583333333333329</v>
      </c>
      <c r="AF183" s="238">
        <f t="shared" si="83"/>
        <v>8</v>
      </c>
      <c r="AG183" s="354"/>
      <c r="AK183"/>
      <c r="AL183"/>
      <c r="AM183"/>
      <c r="AN183"/>
      <c r="AO183"/>
      <c r="AP183"/>
      <c r="AS183"/>
      <c r="AT183"/>
      <c r="AU183" s="366"/>
      <c r="AV183" s="418"/>
      <c r="AW183" s="426"/>
      <c r="AX183" s="426"/>
      <c r="AY183" s="426"/>
      <c r="AZ183" s="426"/>
      <c r="BI183" s="360"/>
      <c r="BJ183" s="354"/>
      <c r="BK183" s="366">
        <v>2015</v>
      </c>
      <c r="BL183" s="365" t="s">
        <v>109</v>
      </c>
      <c r="BM183" s="366" t="s">
        <v>1628</v>
      </c>
      <c r="BN183" s="366" t="s">
        <v>3</v>
      </c>
      <c r="BO183" s="366">
        <v>0</v>
      </c>
      <c r="BP183" s="366">
        <v>0</v>
      </c>
      <c r="BQ183" s="366">
        <v>0</v>
      </c>
      <c r="BR183" s="366">
        <v>703</v>
      </c>
      <c r="BS183" s="366">
        <v>6</v>
      </c>
      <c r="BT183" s="366">
        <v>6</v>
      </c>
      <c r="BU183" s="371">
        <v>43</v>
      </c>
      <c r="BV183" s="371">
        <v>1</v>
      </c>
      <c r="BW183" s="366">
        <v>0</v>
      </c>
      <c r="BX183" s="366">
        <v>0</v>
      </c>
      <c r="BY183" s="366">
        <v>0</v>
      </c>
      <c r="BZ183" s="366">
        <v>0</v>
      </c>
      <c r="CA183" s="366">
        <v>0</v>
      </c>
      <c r="CB183" s="367">
        <f>IFERROR(BO183/Instructions!$J$25,0)+BP183*Instructions!$J$27+BQ183*Instructions!$J$29+IFERROR(BR183/Instructions!$E$34,0)+BS183*Instructions!$E$36+Tier!BT184*Instructions!$E$25+IFERROR(BU183/Instructions!$E$27,0)+BV183*Instructions!$E$29+IFERROR((BW183+BY183)/Instructions!$J$32,0)+(BX183+BZ183)*Instructions!$J$34+Tier!CA183*-2</f>
        <v>136.6</v>
      </c>
      <c r="CC183" s="354"/>
      <c r="CD183" s="321">
        <v>2015</v>
      </c>
      <c r="CE183" s="370" t="s">
        <v>91</v>
      </c>
      <c r="CF183" s="371" t="s">
        <v>142</v>
      </c>
      <c r="CG183" s="371" t="s">
        <v>6</v>
      </c>
      <c r="CH183" s="371">
        <v>0</v>
      </c>
      <c r="CI183" s="371">
        <v>0</v>
      </c>
      <c r="CJ183" s="371">
        <v>0</v>
      </c>
      <c r="CK183" s="371">
        <v>41</v>
      </c>
      <c r="CL183" s="371">
        <v>0</v>
      </c>
      <c r="CM183" s="371">
        <v>90</v>
      </c>
      <c r="CN183" s="371">
        <v>813</v>
      </c>
      <c r="CO183" s="371">
        <v>6</v>
      </c>
      <c r="CP183" s="371">
        <v>149</v>
      </c>
      <c r="CQ183" s="371">
        <v>0</v>
      </c>
      <c r="CR183" s="371">
        <v>26</v>
      </c>
      <c r="CS183" s="371">
        <v>0</v>
      </c>
      <c r="CT183" s="371">
        <v>1</v>
      </c>
      <c r="CU183" s="367">
        <f>IFERROR(CH183/Instructions!$J$25,0)+CI183*Instructions!$J$27+CJ183*Instructions!$J$29+IFERROR(CK183/Instructions!$E$34,0)+CL183*Instructions!$E$36+Tier!CM183*Instructions!$E$25+IFERROR(CN183/Instructions!$E$27,0)+CO183*Instructions!$E$29+IFERROR((CP183+CR183)/Instructions!$J$32,0)+(CQ183+CS183)*Instructions!$J$34+Tier!CT183*-2</f>
        <v>209.39999999999998</v>
      </c>
      <c r="CV183" s="354"/>
      <c r="CW183"/>
      <c r="CX183"/>
      <c r="CY183"/>
      <c r="CZ183"/>
      <c r="DA183"/>
      <c r="DB183"/>
      <c r="DC183"/>
      <c r="DD183"/>
      <c r="DE183"/>
      <c r="DF183"/>
      <c r="DG183"/>
      <c r="DH183"/>
      <c r="DI183"/>
      <c r="DJ183"/>
      <c r="DK183"/>
      <c r="DL183"/>
      <c r="DM183"/>
      <c r="DN183"/>
    </row>
    <row r="184" spans="3:118" s="238" customFormat="1" ht="15.75" customHeight="1" x14ac:dyDescent="0.25">
      <c r="C184"/>
      <c r="D184"/>
      <c r="E184"/>
      <c r="F184"/>
      <c r="G184"/>
      <c r="H184"/>
      <c r="I184"/>
      <c r="J184"/>
      <c r="K184"/>
      <c r="L184"/>
      <c r="M184"/>
      <c r="N184"/>
      <c r="O184" s="372"/>
      <c r="P184" s="366">
        <v>2015</v>
      </c>
      <c r="Q184" s="367">
        <f>LARGE($CB$153:$CB$302,32)</f>
        <v>138.04</v>
      </c>
      <c r="R184" s="357">
        <f t="shared" si="91"/>
        <v>-26.560000000000002</v>
      </c>
      <c r="S184" s="356">
        <f t="shared" si="92"/>
        <v>705.43360000000007</v>
      </c>
      <c r="U184" s="356">
        <f t="shared" si="93"/>
        <v>-1.6600000000000001</v>
      </c>
      <c r="V184" s="238">
        <f t="shared" si="80"/>
        <v>8</v>
      </c>
      <c r="W184" s="354"/>
      <c r="X184" s="371"/>
      <c r="Y184" s="371"/>
      <c r="Z184" s="321">
        <v>2015</v>
      </c>
      <c r="AA184" s="367">
        <f>LARGE($CU$153:$CU$302,32)</f>
        <v>185.7</v>
      </c>
      <c r="AB184" s="357">
        <f t="shared" si="94"/>
        <v>-37.433333333333337</v>
      </c>
      <c r="AC184" s="356">
        <f t="shared" si="78"/>
        <v>1401.2544444444447</v>
      </c>
      <c r="AD184" s="356"/>
      <c r="AE184" s="356">
        <f t="shared" si="95"/>
        <v>-2.3395833333333336</v>
      </c>
      <c r="AF184" s="238">
        <f t="shared" si="83"/>
        <v>8</v>
      </c>
      <c r="AG184" s="354"/>
      <c r="AK184"/>
      <c r="AL184"/>
      <c r="AM184"/>
      <c r="AN184"/>
      <c r="AO184"/>
      <c r="AP184"/>
      <c r="AS184"/>
      <c r="AT184"/>
      <c r="AU184" s="366"/>
      <c r="AV184" s="418"/>
      <c r="AW184" s="426"/>
      <c r="AX184" s="426"/>
      <c r="AY184" s="426"/>
      <c r="AZ184" s="426"/>
      <c r="BI184" s="360"/>
      <c r="BJ184" s="354"/>
      <c r="BK184" s="366">
        <v>2015</v>
      </c>
      <c r="BL184" s="365" t="s">
        <v>1175</v>
      </c>
      <c r="BM184" s="366" t="s">
        <v>1629</v>
      </c>
      <c r="BN184" s="366" t="s">
        <v>3</v>
      </c>
      <c r="BO184" s="366">
        <v>0</v>
      </c>
      <c r="BP184" s="366">
        <v>0</v>
      </c>
      <c r="BQ184" s="366">
        <v>0</v>
      </c>
      <c r="BR184" s="366">
        <v>634</v>
      </c>
      <c r="BS184" s="366">
        <v>4</v>
      </c>
      <c r="BT184" s="366">
        <v>20</v>
      </c>
      <c r="BU184" s="371">
        <v>214</v>
      </c>
      <c r="BV184" s="371">
        <v>1</v>
      </c>
      <c r="BW184" s="366">
        <v>0</v>
      </c>
      <c r="BX184" s="366">
        <v>0</v>
      </c>
      <c r="BY184" s="366">
        <v>0</v>
      </c>
      <c r="BZ184" s="366">
        <v>0</v>
      </c>
      <c r="CA184" s="366">
        <v>1</v>
      </c>
      <c r="CB184" s="367">
        <f>IFERROR(BO184/Instructions!$J$25,0)+BP184*Instructions!$J$27+BQ184*Instructions!$J$29+IFERROR(BR184/Instructions!$E$34,0)+BS184*Instructions!$E$36+Tier!BT185*Instructions!$E$25+IFERROR(BU184/Instructions!$E$27,0)+BV184*Instructions!$E$29+IFERROR((BW184+BY184)/Instructions!$J$32,0)+(BX184+BZ184)*Instructions!$J$34+Tier!CA184*-2</f>
        <v>123.80000000000001</v>
      </c>
      <c r="CC184" s="354"/>
      <c r="CD184" s="321">
        <v>2015</v>
      </c>
      <c r="CE184" s="370" t="s">
        <v>114</v>
      </c>
      <c r="CF184" s="371" t="s">
        <v>154</v>
      </c>
      <c r="CG184" s="371" t="s">
        <v>6</v>
      </c>
      <c r="CH184" s="371">
        <v>0</v>
      </c>
      <c r="CI184" s="371">
        <v>0</v>
      </c>
      <c r="CJ184" s="371">
        <v>0</v>
      </c>
      <c r="CK184" s="371">
        <v>0</v>
      </c>
      <c r="CL184" s="371">
        <v>0</v>
      </c>
      <c r="CM184" s="371">
        <v>57</v>
      </c>
      <c r="CN184" s="371">
        <v>797</v>
      </c>
      <c r="CO184" s="371">
        <v>8</v>
      </c>
      <c r="CP184" s="371">
        <v>0</v>
      </c>
      <c r="CQ184" s="371">
        <v>0</v>
      </c>
      <c r="CR184" s="371">
        <v>0</v>
      </c>
      <c r="CS184" s="371">
        <v>0</v>
      </c>
      <c r="CT184" s="371">
        <v>0</v>
      </c>
      <c r="CU184" s="367">
        <f>IFERROR(CH184/Instructions!$J$25,0)+CI184*Instructions!$J$27+CJ184*Instructions!$J$29+IFERROR(CK184/Instructions!$E$34,0)+CL184*Instructions!$E$36+Tier!CM184*Instructions!$E$25+IFERROR(CN184/Instructions!$E$27,0)+CO184*Instructions!$E$29+IFERROR((CP184+CR184)/Instructions!$J$32,0)+(CQ184+CS184)*Instructions!$J$34+Tier!CT184*-2</f>
        <v>184.7</v>
      </c>
      <c r="CV184" s="354"/>
      <c r="CW184"/>
      <c r="CX184"/>
      <c r="CY184"/>
      <c r="CZ184"/>
      <c r="DA184"/>
      <c r="DB184"/>
      <c r="DC184"/>
      <c r="DD184"/>
      <c r="DE184"/>
      <c r="DF184"/>
      <c r="DG184"/>
      <c r="DH184"/>
      <c r="DI184"/>
      <c r="DJ184"/>
      <c r="DK184"/>
      <c r="DL184"/>
      <c r="DM184"/>
      <c r="DN184"/>
    </row>
    <row r="185" spans="3:118" s="238" customFormat="1" ht="15.75" customHeight="1" x14ac:dyDescent="0.25">
      <c r="C185"/>
      <c r="D185"/>
      <c r="E185"/>
      <c r="F185"/>
      <c r="G185"/>
      <c r="H185"/>
      <c r="I185"/>
      <c r="J185"/>
      <c r="K185"/>
      <c r="L185"/>
      <c r="M185"/>
      <c r="N185"/>
      <c r="O185" s="372"/>
      <c r="P185" s="366">
        <v>2015</v>
      </c>
      <c r="Q185" s="367">
        <f>LARGE($CB$153:$CB$302,33)</f>
        <v>136.6</v>
      </c>
      <c r="R185" s="357">
        <f t="shared" si="91"/>
        <v>-28</v>
      </c>
      <c r="S185" s="356">
        <f t="shared" si="92"/>
        <v>784</v>
      </c>
      <c r="U185" s="356">
        <f t="shared" si="93"/>
        <v>-1.75</v>
      </c>
      <c r="V185" s="238">
        <f t="shared" si="80"/>
        <v>8</v>
      </c>
      <c r="W185" s="354"/>
      <c r="X185" s="371"/>
      <c r="Y185" s="371"/>
      <c r="Z185" s="321">
        <v>2015</v>
      </c>
      <c r="AA185" s="367">
        <f>LARGE($CU$153:$CU$302,33)</f>
        <v>184.7</v>
      </c>
      <c r="AB185" s="357">
        <f t="shared" si="94"/>
        <v>-38.433333333333337</v>
      </c>
      <c r="AC185" s="356">
        <f t="shared" si="78"/>
        <v>1477.1211111111113</v>
      </c>
      <c r="AD185" s="356"/>
      <c r="AE185" s="356">
        <f t="shared" si="95"/>
        <v>-2.4020833333333336</v>
      </c>
      <c r="AF185" s="238">
        <f t="shared" si="83"/>
        <v>8</v>
      </c>
      <c r="AG185" s="354"/>
      <c r="AK185"/>
      <c r="AL185"/>
      <c r="AM185"/>
      <c r="AN185"/>
      <c r="AO185"/>
      <c r="AP185"/>
      <c r="AS185"/>
      <c r="AT185"/>
      <c r="AU185" s="366"/>
      <c r="AV185" s="418"/>
      <c r="AW185" s="426"/>
      <c r="AX185" s="426"/>
      <c r="AY185" s="426"/>
      <c r="AZ185" s="426"/>
      <c r="BI185" s="360"/>
      <c r="BJ185" s="354"/>
      <c r="BK185" s="366">
        <v>2015</v>
      </c>
      <c r="BL185" s="365" t="s">
        <v>1645</v>
      </c>
      <c r="BM185" s="366" t="s">
        <v>156</v>
      </c>
      <c r="BN185" s="366" t="s">
        <v>3</v>
      </c>
      <c r="BO185" s="366">
        <v>0</v>
      </c>
      <c r="BP185" s="366">
        <v>0</v>
      </c>
      <c r="BQ185" s="366">
        <v>0</v>
      </c>
      <c r="BR185" s="366">
        <v>517</v>
      </c>
      <c r="BS185" s="366">
        <v>7</v>
      </c>
      <c r="BT185" s="366">
        <v>11</v>
      </c>
      <c r="BU185" s="371">
        <v>96</v>
      </c>
      <c r="BV185" s="371">
        <v>2</v>
      </c>
      <c r="BW185" s="366">
        <v>0</v>
      </c>
      <c r="BX185" s="366">
        <v>0</v>
      </c>
      <c r="BY185" s="366">
        <v>0</v>
      </c>
      <c r="BZ185" s="366">
        <v>0</v>
      </c>
      <c r="CA185" s="366">
        <v>1</v>
      </c>
      <c r="CB185" s="367">
        <f>IFERROR(BO185/Instructions!$J$25,0)+BP185*Instructions!$J$27+BQ185*Instructions!$J$29+IFERROR(BR185/Instructions!$E$34,0)+BS185*Instructions!$E$36+Tier!BT186*Instructions!$E$25+IFERROR(BU185/Instructions!$E$27,0)+BV185*Instructions!$E$29+IFERROR((BW185+BY185)/Instructions!$J$32,0)+(BX185+BZ185)*Instructions!$J$34+Tier!CA185*-2</f>
        <v>172.29999999999998</v>
      </c>
      <c r="CC185" s="354"/>
      <c r="CD185" s="321">
        <v>2015</v>
      </c>
      <c r="CE185" s="370" t="s">
        <v>40</v>
      </c>
      <c r="CF185" s="371" t="s">
        <v>1624</v>
      </c>
      <c r="CG185" s="371" t="s">
        <v>6</v>
      </c>
      <c r="CH185" s="371">
        <v>0</v>
      </c>
      <c r="CI185" s="371">
        <v>0</v>
      </c>
      <c r="CJ185" s="371">
        <v>0</v>
      </c>
      <c r="CK185" s="371">
        <v>50</v>
      </c>
      <c r="CL185" s="371">
        <v>0</v>
      </c>
      <c r="CM185" s="371">
        <v>79</v>
      </c>
      <c r="CN185" s="371">
        <v>829</v>
      </c>
      <c r="CO185" s="371">
        <v>6</v>
      </c>
      <c r="CP185" s="371">
        <v>10</v>
      </c>
      <c r="CQ185" s="371">
        <v>0</v>
      </c>
      <c r="CR185" s="371">
        <v>0</v>
      </c>
      <c r="CS185" s="371">
        <v>0</v>
      </c>
      <c r="CT185" s="371">
        <v>0</v>
      </c>
      <c r="CU185" s="367">
        <f>IFERROR(CH185/Instructions!$J$25,0)+CI185*Instructions!$J$27+CJ185*Instructions!$J$29+IFERROR(CK185/Instructions!$E$34,0)+CL185*Instructions!$E$36+Tier!CM185*Instructions!$E$25+IFERROR(CN185/Instructions!$E$27,0)+CO185*Instructions!$E$29+IFERROR((CP185+CR185)/Instructions!$J$32,0)+(CQ185+CS185)*Instructions!$J$34+Tier!CT185*-2</f>
        <v>202.9</v>
      </c>
      <c r="CV185" s="354"/>
      <c r="CW185"/>
      <c r="CX185"/>
      <c r="CY185"/>
      <c r="CZ185"/>
      <c r="DA185"/>
      <c r="DB185"/>
      <c r="DC185"/>
      <c r="DD185"/>
      <c r="DE185"/>
      <c r="DF185"/>
      <c r="DG185"/>
      <c r="DH185"/>
      <c r="DI185"/>
      <c r="DJ185"/>
      <c r="DK185"/>
      <c r="DL185"/>
      <c r="DM185"/>
      <c r="DN185"/>
    </row>
    <row r="186" spans="3:118" s="238" customFormat="1" ht="15.75" customHeight="1" x14ac:dyDescent="0.25">
      <c r="C186"/>
      <c r="D186"/>
      <c r="E186"/>
      <c r="F186"/>
      <c r="G186"/>
      <c r="H186"/>
      <c r="I186"/>
      <c r="J186"/>
      <c r="K186"/>
      <c r="L186"/>
      <c r="M186"/>
      <c r="N186"/>
      <c r="O186" s="372"/>
      <c r="P186" s="366">
        <v>2015</v>
      </c>
      <c r="Q186" s="367">
        <f>LARGE($CB$153:$CB$302,34)</f>
        <v>127.8</v>
      </c>
      <c r="R186" s="357">
        <f t="shared" si="91"/>
        <v>-36.799999999999997</v>
      </c>
      <c r="S186" s="356">
        <f t="shared" si="92"/>
        <v>1354.2399999999998</v>
      </c>
      <c r="U186" s="356">
        <f t="shared" si="93"/>
        <v>-2.2999999999999998</v>
      </c>
      <c r="V186" s="238">
        <f t="shared" si="80"/>
        <v>8</v>
      </c>
      <c r="W186" s="354"/>
      <c r="X186" s="371"/>
      <c r="Y186" s="371"/>
      <c r="Z186" s="321">
        <v>2015</v>
      </c>
      <c r="AA186" s="367">
        <f>LARGE($CU$153:$CU$302,34)</f>
        <v>183.9</v>
      </c>
      <c r="AB186" s="357">
        <f t="shared" si="94"/>
        <v>-39.23333333333332</v>
      </c>
      <c r="AC186" s="356">
        <f t="shared" si="78"/>
        <v>1539.2544444444434</v>
      </c>
      <c r="AD186" s="356"/>
      <c r="AE186" s="356">
        <f t="shared" si="95"/>
        <v>-2.4520833333333325</v>
      </c>
      <c r="AF186" s="238">
        <f t="shared" si="83"/>
        <v>8</v>
      </c>
      <c r="AG186" s="354"/>
      <c r="AK186"/>
      <c r="AL186"/>
      <c r="AM186"/>
      <c r="AN186"/>
      <c r="AO186"/>
      <c r="AP186"/>
      <c r="AS186"/>
      <c r="AT186"/>
      <c r="AU186" s="366"/>
      <c r="AV186" s="418"/>
      <c r="AW186" s="426"/>
      <c r="AX186" s="426"/>
      <c r="AY186" s="426"/>
      <c r="AZ186" s="426"/>
      <c r="BI186" s="360"/>
      <c r="BJ186" s="354"/>
      <c r="BK186" s="366">
        <v>2015</v>
      </c>
      <c r="BL186" s="365" t="s">
        <v>82</v>
      </c>
      <c r="BM186" s="366" t="s">
        <v>154</v>
      </c>
      <c r="BN186" s="366" t="s">
        <v>3</v>
      </c>
      <c r="BO186" s="366">
        <v>0</v>
      </c>
      <c r="BP186" s="366">
        <v>0</v>
      </c>
      <c r="BQ186" s="366">
        <v>0</v>
      </c>
      <c r="BR186" s="366">
        <v>260</v>
      </c>
      <c r="BS186" s="366">
        <v>0</v>
      </c>
      <c r="BT186" s="366">
        <v>59</v>
      </c>
      <c r="BU186" s="371">
        <v>495</v>
      </c>
      <c r="BV186" s="371">
        <v>4</v>
      </c>
      <c r="BW186" s="366">
        <v>0</v>
      </c>
      <c r="BX186" s="366">
        <v>0</v>
      </c>
      <c r="BY186" s="366">
        <v>321</v>
      </c>
      <c r="BZ186" s="366">
        <v>0</v>
      </c>
      <c r="CA186" s="366">
        <v>0</v>
      </c>
      <c r="CB186" s="367">
        <f>IFERROR(BO186/Instructions!$J$25,0)+BP186*Instructions!$J$27+BQ186*Instructions!$J$29+IFERROR(BR186/Instructions!$E$34,0)+BS186*Instructions!$E$36+Tier!BT187*Instructions!$E$25+IFERROR(BU186/Instructions!$E$27,0)+BV186*Instructions!$E$29+IFERROR((BW186+BY186)/Instructions!$J$32,0)+(BX186+BZ186)*Instructions!$J$34+Tier!CA186*-2</f>
        <v>119.5</v>
      </c>
      <c r="CC186" s="354"/>
      <c r="CD186" s="321">
        <v>2015</v>
      </c>
      <c r="CE186" s="370" t="s">
        <v>92</v>
      </c>
      <c r="CF186" s="371" t="s">
        <v>137</v>
      </c>
      <c r="CG186" s="371" t="s">
        <v>6</v>
      </c>
      <c r="CH186" s="371">
        <v>0</v>
      </c>
      <c r="CI186" s="371">
        <v>0</v>
      </c>
      <c r="CJ186" s="371">
        <v>0</v>
      </c>
      <c r="CK186" s="371">
        <v>317</v>
      </c>
      <c r="CL186" s="371">
        <v>3</v>
      </c>
      <c r="CM186" s="371">
        <v>55</v>
      </c>
      <c r="CN186" s="371">
        <v>388</v>
      </c>
      <c r="CO186" s="371">
        <v>1</v>
      </c>
      <c r="CP186" s="371">
        <v>446</v>
      </c>
      <c r="CQ186" s="371">
        <v>2</v>
      </c>
      <c r="CR186" s="371">
        <v>20</v>
      </c>
      <c r="CS186" s="371">
        <v>0</v>
      </c>
      <c r="CT186" s="371">
        <v>0</v>
      </c>
      <c r="CU186" s="367">
        <f>IFERROR(CH186/Instructions!$J$25,0)+CI186*Instructions!$J$27+CJ186*Instructions!$J$29+IFERROR(CK186/Instructions!$E$34,0)+CL186*Instructions!$E$36+Tier!CM186*Instructions!$E$25+IFERROR(CN186/Instructions!$E$27,0)+CO186*Instructions!$E$29+IFERROR((CP186+CR186)/Instructions!$J$32,0)+(CQ186+CS186)*Instructions!$J$34+Tier!CT186*-2</f>
        <v>161.5</v>
      </c>
      <c r="CV186" s="354"/>
      <c r="CW186"/>
      <c r="CX186"/>
      <c r="CY186"/>
      <c r="CZ186"/>
      <c r="DA186"/>
      <c r="DB186"/>
      <c r="DC186"/>
      <c r="DD186"/>
      <c r="DE186"/>
      <c r="DF186"/>
      <c r="DG186"/>
      <c r="DH186"/>
      <c r="DI186"/>
      <c r="DJ186"/>
      <c r="DK186"/>
      <c r="DL186"/>
      <c r="DM186"/>
      <c r="DN186"/>
    </row>
    <row r="187" spans="3:118" s="238" customFormat="1" ht="15.75" customHeight="1" x14ac:dyDescent="0.25">
      <c r="C187"/>
      <c r="D187"/>
      <c r="E187"/>
      <c r="F187"/>
      <c r="G187"/>
      <c r="H187"/>
      <c r="I187"/>
      <c r="J187"/>
      <c r="K187"/>
      <c r="L187"/>
      <c r="M187"/>
      <c r="N187"/>
      <c r="O187" s="372"/>
      <c r="P187" s="366">
        <v>2015</v>
      </c>
      <c r="Q187" s="367">
        <f>LARGE($CB$153:$CB$302,35)</f>
        <v>127.39999999999999</v>
      </c>
      <c r="R187" s="357">
        <f t="shared" si="91"/>
        <v>-37.200000000000003</v>
      </c>
      <c r="S187" s="356">
        <f t="shared" si="92"/>
        <v>1383.8400000000001</v>
      </c>
      <c r="U187" s="356">
        <f t="shared" si="93"/>
        <v>-2.3250000000000002</v>
      </c>
      <c r="V187" s="238">
        <f t="shared" si="80"/>
        <v>8</v>
      </c>
      <c r="W187" s="354"/>
      <c r="X187" s="371"/>
      <c r="Y187" s="371"/>
      <c r="Z187" s="321">
        <v>2015</v>
      </c>
      <c r="AA187" s="367">
        <f>LARGE($CU$153:$CU$302,35)</f>
        <v>183.4</v>
      </c>
      <c r="AB187" s="357">
        <f t="shared" si="94"/>
        <v>-39.73333333333332</v>
      </c>
      <c r="AC187" s="356">
        <f t="shared" si="78"/>
        <v>1578.7377777777767</v>
      </c>
      <c r="AD187" s="356"/>
      <c r="AE187" s="356">
        <f t="shared" si="95"/>
        <v>-2.4833333333333325</v>
      </c>
      <c r="AF187" s="238">
        <f t="shared" si="83"/>
        <v>8</v>
      </c>
      <c r="AG187" s="354"/>
      <c r="AK187"/>
      <c r="AL187"/>
      <c r="AM187"/>
      <c r="AN187"/>
      <c r="AO187"/>
      <c r="AP187"/>
      <c r="AS187"/>
      <c r="AT187"/>
      <c r="AU187" s="366"/>
      <c r="AV187" s="418"/>
      <c r="AW187" s="426"/>
      <c r="AX187" s="426"/>
      <c r="AY187" s="426"/>
      <c r="AZ187" s="426"/>
      <c r="BI187" s="360"/>
      <c r="BJ187" s="354"/>
      <c r="BK187" s="366">
        <v>2015</v>
      </c>
      <c r="BL187" s="365" t="s">
        <v>60</v>
      </c>
      <c r="BM187" s="366" t="s">
        <v>137</v>
      </c>
      <c r="BN187" s="366" t="s">
        <v>3</v>
      </c>
      <c r="BO187" s="366">
        <v>0</v>
      </c>
      <c r="BP187" s="366">
        <v>0</v>
      </c>
      <c r="BQ187" s="366">
        <v>0</v>
      </c>
      <c r="BR187" s="366">
        <v>539</v>
      </c>
      <c r="BS187" s="366">
        <v>6</v>
      </c>
      <c r="BT187" s="366">
        <v>20</v>
      </c>
      <c r="BU187" s="371">
        <v>146</v>
      </c>
      <c r="BV187" s="371">
        <v>1</v>
      </c>
      <c r="BW187" s="366">
        <v>0</v>
      </c>
      <c r="BX187" s="366">
        <v>0</v>
      </c>
      <c r="BY187" s="366">
        <v>0</v>
      </c>
      <c r="BZ187" s="366">
        <v>0</v>
      </c>
      <c r="CA187" s="366">
        <v>3</v>
      </c>
      <c r="CB187" s="367">
        <f>IFERROR(BO187/Instructions!$J$25,0)+BP187*Instructions!$J$27+BQ187*Instructions!$J$29+IFERROR(BR187/Instructions!$E$34,0)+BS187*Instructions!$E$36+Tier!BT188*Instructions!$E$25+IFERROR(BU187/Instructions!$E$27,0)+BV187*Instructions!$E$29+IFERROR((BW187+BY187)/Instructions!$J$32,0)+(BX187+BZ187)*Instructions!$J$34+Tier!CA187*-2</f>
        <v>165.5</v>
      </c>
      <c r="CC187" s="354"/>
      <c r="CD187" s="321">
        <v>2015</v>
      </c>
      <c r="CE187" s="370" t="s">
        <v>1113</v>
      </c>
      <c r="CF187" s="371" t="s">
        <v>162</v>
      </c>
      <c r="CG187" s="371" t="s">
        <v>6</v>
      </c>
      <c r="CH187" s="371">
        <v>0</v>
      </c>
      <c r="CI187" s="371">
        <v>0</v>
      </c>
      <c r="CJ187" s="371">
        <v>0</v>
      </c>
      <c r="CK187" s="371">
        <v>0</v>
      </c>
      <c r="CL187" s="371">
        <v>0</v>
      </c>
      <c r="CM187" s="371">
        <v>75</v>
      </c>
      <c r="CN187" s="371">
        <v>944</v>
      </c>
      <c r="CO187" s="371">
        <v>5</v>
      </c>
      <c r="CP187" s="371">
        <v>0</v>
      </c>
      <c r="CQ187" s="371">
        <v>0</v>
      </c>
      <c r="CR187" s="371">
        <v>0</v>
      </c>
      <c r="CS187" s="371">
        <v>0</v>
      </c>
      <c r="CT187" s="371">
        <v>1</v>
      </c>
      <c r="CU187" s="367">
        <f>IFERROR(CH187/Instructions!$J$25,0)+CI187*Instructions!$J$27+CJ187*Instructions!$J$29+IFERROR(CK187/Instructions!$E$34,0)+CL187*Instructions!$E$36+Tier!CM187*Instructions!$E$25+IFERROR(CN187/Instructions!$E$27,0)+CO187*Instructions!$E$29+IFERROR((CP187+CR187)/Instructions!$J$32,0)+(CQ187+CS187)*Instructions!$J$34+Tier!CT187*-2</f>
        <v>197.4</v>
      </c>
      <c r="CV187" s="354"/>
      <c r="CW187"/>
      <c r="CX187"/>
      <c r="CY187"/>
      <c r="CZ187"/>
      <c r="DA187"/>
      <c r="DB187"/>
      <c r="DC187"/>
      <c r="DD187"/>
      <c r="DE187"/>
      <c r="DF187"/>
      <c r="DG187"/>
      <c r="DH187"/>
      <c r="DI187"/>
      <c r="DJ187"/>
      <c r="DK187"/>
      <c r="DL187"/>
      <c r="DM187"/>
      <c r="DN187"/>
    </row>
    <row r="188" spans="3:118" s="238" customFormat="1" ht="15.75" customHeight="1" x14ac:dyDescent="0.25">
      <c r="C188"/>
      <c r="D188"/>
      <c r="E188"/>
      <c r="F188"/>
      <c r="G188"/>
      <c r="H188"/>
      <c r="I188"/>
      <c r="J188"/>
      <c r="K188"/>
      <c r="L188"/>
      <c r="M188"/>
      <c r="N188"/>
      <c r="O188" s="372"/>
      <c r="P188" s="366">
        <v>2015</v>
      </c>
      <c r="Q188" s="367">
        <f>LARGE($CB$153:$CB$302,36)</f>
        <v>124.6</v>
      </c>
      <c r="R188" s="357">
        <f t="shared" si="91"/>
        <v>-40</v>
      </c>
      <c r="S188" s="356">
        <f t="shared" si="92"/>
        <v>1600</v>
      </c>
      <c r="U188" s="356">
        <f t="shared" si="93"/>
        <v>-2.5</v>
      </c>
      <c r="V188" s="238">
        <f t="shared" si="80"/>
        <v>8</v>
      </c>
      <c r="W188" s="354"/>
      <c r="X188" s="371"/>
      <c r="Y188" s="371"/>
      <c r="Z188" s="321">
        <v>2015</v>
      </c>
      <c r="AA188" s="367">
        <f>LARGE($CU$153:$CU$302,36)</f>
        <v>173.89999999999998</v>
      </c>
      <c r="AB188" s="357">
        <f t="shared" si="94"/>
        <v>-49.233333333333348</v>
      </c>
      <c r="AC188" s="356">
        <f t="shared" si="78"/>
        <v>2423.9211111111126</v>
      </c>
      <c r="AD188" s="356"/>
      <c r="AE188" s="356">
        <f t="shared" si="95"/>
        <v>-3.0770833333333343</v>
      </c>
      <c r="AF188" s="238">
        <f t="shared" si="83"/>
        <v>8</v>
      </c>
      <c r="AG188" s="354"/>
      <c r="AK188"/>
      <c r="AL188"/>
      <c r="AM188"/>
      <c r="AN188"/>
      <c r="AO188"/>
      <c r="AP188"/>
      <c r="AS188"/>
      <c r="AT188"/>
      <c r="AU188" s="366"/>
      <c r="AV188" s="418"/>
      <c r="AW188" s="426"/>
      <c r="AX188" s="426"/>
      <c r="AY188" s="426"/>
      <c r="AZ188" s="426"/>
      <c r="BI188" s="360"/>
      <c r="BJ188" s="354"/>
      <c r="BK188" s="366">
        <v>2015</v>
      </c>
      <c r="BL188" s="365" t="s">
        <v>1136</v>
      </c>
      <c r="BM188" s="366" t="s">
        <v>161</v>
      </c>
      <c r="BN188" s="366" t="s">
        <v>3</v>
      </c>
      <c r="BO188" s="366">
        <v>0</v>
      </c>
      <c r="BP188" s="366">
        <v>0</v>
      </c>
      <c r="BQ188" s="366">
        <v>0</v>
      </c>
      <c r="BR188" s="366">
        <v>379</v>
      </c>
      <c r="BS188" s="366">
        <v>0</v>
      </c>
      <c r="BT188" s="366">
        <v>61</v>
      </c>
      <c r="BU188" s="371">
        <v>534</v>
      </c>
      <c r="BV188" s="371">
        <v>2</v>
      </c>
      <c r="BW188" s="366">
        <v>0</v>
      </c>
      <c r="BX188" s="366">
        <v>0</v>
      </c>
      <c r="BY188" s="366">
        <v>52</v>
      </c>
      <c r="BZ188" s="366">
        <v>0</v>
      </c>
      <c r="CA188" s="366">
        <v>0</v>
      </c>
      <c r="CB188" s="367">
        <f>IFERROR(BO188/Instructions!$J$25,0)+BP188*Instructions!$J$27+BQ188*Instructions!$J$29+IFERROR(BR188/Instructions!$E$34,0)+BS188*Instructions!$E$36+Tier!BT189*Instructions!$E$25+IFERROR(BU188/Instructions!$E$27,0)+BV188*Instructions!$E$29+IFERROR((BW188+BY188)/Instructions!$J$32,0)+(BX188+BZ188)*Instructions!$J$34+Tier!CA188*-2</f>
        <v>109.3</v>
      </c>
      <c r="CC188" s="354"/>
      <c r="CD188" s="321">
        <v>2015</v>
      </c>
      <c r="CE188" s="370" t="s">
        <v>194</v>
      </c>
      <c r="CF188" s="371" t="s">
        <v>147</v>
      </c>
      <c r="CG188" s="371" t="s">
        <v>6</v>
      </c>
      <c r="CH188" s="371">
        <v>0</v>
      </c>
      <c r="CI188" s="371">
        <v>0</v>
      </c>
      <c r="CJ188" s="371">
        <v>0</v>
      </c>
      <c r="CK188" s="371">
        <v>37</v>
      </c>
      <c r="CL188" s="371">
        <v>1</v>
      </c>
      <c r="CM188" s="371">
        <v>50</v>
      </c>
      <c r="CN188" s="371">
        <v>765</v>
      </c>
      <c r="CO188" s="371">
        <v>6</v>
      </c>
      <c r="CP188" s="371">
        <v>0</v>
      </c>
      <c r="CQ188" s="371">
        <v>0</v>
      </c>
      <c r="CR188" s="371">
        <v>0</v>
      </c>
      <c r="CS188" s="371">
        <v>0</v>
      </c>
      <c r="CT188" s="371">
        <v>1</v>
      </c>
      <c r="CU188" s="367">
        <f>IFERROR(CH188/Instructions!$J$25,0)+CI188*Instructions!$J$27+CJ188*Instructions!$J$29+IFERROR(CK188/Instructions!$E$34,0)+CL188*Instructions!$E$36+Tier!CM188*Instructions!$E$25+IFERROR(CN188/Instructions!$E$27,0)+CO188*Instructions!$E$29+IFERROR((CP188+CR188)/Instructions!$J$32,0)+(CQ188+CS188)*Instructions!$J$34+Tier!CT188*-2</f>
        <v>170.2</v>
      </c>
      <c r="CV188" s="354"/>
      <c r="CW188"/>
      <c r="CX188"/>
      <c r="CY188"/>
      <c r="CZ188"/>
      <c r="DA188"/>
      <c r="DB188"/>
      <c r="DC188"/>
      <c r="DD188"/>
      <c r="DE188"/>
      <c r="DF188"/>
      <c r="DG188"/>
      <c r="DH188"/>
      <c r="DI188"/>
      <c r="DJ188"/>
      <c r="DK188"/>
      <c r="DL188"/>
      <c r="DM188"/>
      <c r="DN188"/>
    </row>
    <row r="189" spans="3:118" s="238" customFormat="1" ht="15.75" customHeight="1" x14ac:dyDescent="0.25">
      <c r="C189"/>
      <c r="D189"/>
      <c r="E189"/>
      <c r="F189"/>
      <c r="G189"/>
      <c r="H189"/>
      <c r="I189"/>
      <c r="J189"/>
      <c r="K189"/>
      <c r="L189"/>
      <c r="M189"/>
      <c r="N189"/>
      <c r="O189" s="372"/>
      <c r="P189" s="366">
        <v>2015</v>
      </c>
      <c r="Q189" s="367">
        <f>LARGE($CB$153:$CB$302,37)</f>
        <v>123.80000000000001</v>
      </c>
      <c r="R189" s="357">
        <f t="shared" si="91"/>
        <v>-40.799999999999983</v>
      </c>
      <c r="S189" s="356">
        <f t="shared" si="92"/>
        <v>1664.6399999999985</v>
      </c>
      <c r="U189" s="356">
        <f t="shared" si="93"/>
        <v>-2.5499999999999989</v>
      </c>
      <c r="V189" s="238">
        <f t="shared" si="80"/>
        <v>8</v>
      </c>
      <c r="W189" s="354"/>
      <c r="X189" s="371"/>
      <c r="Y189" s="371"/>
      <c r="Z189" s="321">
        <v>2015</v>
      </c>
      <c r="AA189" s="367">
        <f>LARGE($CU$153:$CU$302,37)</f>
        <v>173.3</v>
      </c>
      <c r="AB189" s="357">
        <f t="shared" si="94"/>
        <v>-49.833333333333314</v>
      </c>
      <c r="AC189" s="356">
        <f t="shared" si="78"/>
        <v>2483.361111111109</v>
      </c>
      <c r="AD189" s="356"/>
      <c r="AE189" s="356">
        <f t="shared" si="95"/>
        <v>-3.1145833333333321</v>
      </c>
      <c r="AF189" s="238">
        <f t="shared" si="83"/>
        <v>8</v>
      </c>
      <c r="AG189" s="354"/>
      <c r="AK189"/>
      <c r="AL189"/>
      <c r="AM189"/>
      <c r="AN189"/>
      <c r="AO189"/>
      <c r="AP189"/>
      <c r="AS189"/>
      <c r="AT189"/>
      <c r="AU189" s="366"/>
      <c r="AV189" s="418"/>
      <c r="AW189" s="426"/>
      <c r="AX189" s="426"/>
      <c r="AY189" s="426"/>
      <c r="AZ189" s="426"/>
      <c r="BI189" s="360"/>
      <c r="BJ189" s="354"/>
      <c r="BK189" s="366">
        <v>2015</v>
      </c>
      <c r="BL189" s="365" t="s">
        <v>78</v>
      </c>
      <c r="BM189" s="366" t="s">
        <v>153</v>
      </c>
      <c r="BN189" s="366" t="s">
        <v>3</v>
      </c>
      <c r="BO189" s="366">
        <v>0</v>
      </c>
      <c r="BP189" s="366">
        <v>0</v>
      </c>
      <c r="BQ189" s="366">
        <v>0</v>
      </c>
      <c r="BR189" s="366">
        <v>814</v>
      </c>
      <c r="BS189" s="366">
        <v>3</v>
      </c>
      <c r="BT189" s="366">
        <v>6</v>
      </c>
      <c r="BU189" s="371">
        <v>58</v>
      </c>
      <c r="BV189" s="371">
        <v>0</v>
      </c>
      <c r="BW189" s="366">
        <v>0</v>
      </c>
      <c r="BX189" s="366">
        <v>0</v>
      </c>
      <c r="BY189" s="366">
        <v>0</v>
      </c>
      <c r="BZ189" s="366">
        <v>0</v>
      </c>
      <c r="CA189" s="366">
        <v>2</v>
      </c>
      <c r="CB189" s="367">
        <f>IFERROR(BO189/Instructions!$J$25,0)+BP189*Instructions!$J$27+BQ189*Instructions!$J$29+IFERROR(BR189/Instructions!$E$34,0)+BS189*Instructions!$E$36+Tier!BT190*Instructions!$E$25+IFERROR(BU189/Instructions!$E$27,0)+BV189*Instructions!$E$29+IFERROR((BW189+BY189)/Instructions!$J$32,0)+(BX189+BZ189)*Instructions!$J$34+Tier!CA189*-2</f>
        <v>146.20000000000002</v>
      </c>
      <c r="CC189" s="354"/>
      <c r="CD189" s="321">
        <v>2015</v>
      </c>
      <c r="CE189" s="370" t="s">
        <v>80</v>
      </c>
      <c r="CF189" s="371" t="s">
        <v>153</v>
      </c>
      <c r="CG189" s="371" t="s">
        <v>6</v>
      </c>
      <c r="CH189" s="371">
        <v>0</v>
      </c>
      <c r="CI189" s="371">
        <v>0</v>
      </c>
      <c r="CJ189" s="371">
        <v>0</v>
      </c>
      <c r="CK189" s="371">
        <v>0</v>
      </c>
      <c r="CL189" s="371">
        <v>0</v>
      </c>
      <c r="CM189" s="371">
        <v>52</v>
      </c>
      <c r="CN189" s="371">
        <v>849</v>
      </c>
      <c r="CO189" s="371">
        <v>6</v>
      </c>
      <c r="CP189" s="371">
        <v>0</v>
      </c>
      <c r="CQ189" s="371">
        <v>0</v>
      </c>
      <c r="CR189" s="371">
        <v>0</v>
      </c>
      <c r="CS189" s="371">
        <v>0</v>
      </c>
      <c r="CT189" s="371">
        <v>0</v>
      </c>
      <c r="CU189" s="367">
        <f>IFERROR(CH189/Instructions!$J$25,0)+CI189*Instructions!$J$27+CJ189*Instructions!$J$29+IFERROR(CK189/Instructions!$E$34,0)+CL189*Instructions!$E$36+Tier!CM189*Instructions!$E$25+IFERROR(CN189/Instructions!$E$27,0)+CO189*Instructions!$E$29+IFERROR((CP189+CR189)/Instructions!$J$32,0)+(CQ189+CS189)*Instructions!$J$34+Tier!CT189*-2</f>
        <v>172.9</v>
      </c>
      <c r="CV189" s="354"/>
      <c r="CW189"/>
      <c r="CX189"/>
      <c r="CY189"/>
      <c r="CZ189"/>
      <c r="DA189"/>
      <c r="DB189"/>
      <c r="DC189"/>
      <c r="DD189"/>
      <c r="DE189"/>
      <c r="DF189"/>
      <c r="DG189"/>
      <c r="DH189"/>
      <c r="DI189"/>
      <c r="DJ189"/>
      <c r="DK189"/>
      <c r="DL189"/>
      <c r="DM189"/>
      <c r="DN189"/>
    </row>
    <row r="190" spans="3:118" s="238" customFormat="1" ht="15.75" customHeight="1" x14ac:dyDescent="0.25">
      <c r="C190"/>
      <c r="D190"/>
      <c r="E190"/>
      <c r="F190"/>
      <c r="G190"/>
      <c r="H190"/>
      <c r="I190"/>
      <c r="J190"/>
      <c r="K190"/>
      <c r="L190"/>
      <c r="M190"/>
      <c r="N190"/>
      <c r="O190" s="372"/>
      <c r="P190" s="366">
        <v>2015</v>
      </c>
      <c r="Q190" s="367">
        <f>LARGE($CB$153:$CB$302,38)</f>
        <v>119.7</v>
      </c>
      <c r="R190" s="357">
        <f t="shared" si="91"/>
        <v>-44.899999999999991</v>
      </c>
      <c r="S190" s="356">
        <f t="shared" si="92"/>
        <v>2016.0099999999993</v>
      </c>
      <c r="U190" s="356">
        <f t="shared" si="93"/>
        <v>-2.8062499999999995</v>
      </c>
      <c r="V190" s="238">
        <f t="shared" si="80"/>
        <v>8</v>
      </c>
      <c r="W190" s="354"/>
      <c r="X190" s="371"/>
      <c r="Y190" s="371"/>
      <c r="Z190" s="321">
        <v>2015</v>
      </c>
      <c r="AA190" s="367">
        <f>LARGE($CU$153:$CU$302,38)</f>
        <v>172.9</v>
      </c>
      <c r="AB190" s="357">
        <f t="shared" si="94"/>
        <v>-50.23333333333332</v>
      </c>
      <c r="AC190" s="356">
        <f t="shared" si="78"/>
        <v>2523.3877777777766</v>
      </c>
      <c r="AD190" s="356"/>
      <c r="AE190" s="356">
        <f t="shared" si="95"/>
        <v>-3.1395833333333325</v>
      </c>
      <c r="AF190" s="238">
        <f t="shared" si="83"/>
        <v>8</v>
      </c>
      <c r="AG190" s="354"/>
      <c r="AK190"/>
      <c r="AL190"/>
      <c r="AM190"/>
      <c r="AN190"/>
      <c r="AO190"/>
      <c r="AP190"/>
      <c r="AS190"/>
      <c r="AT190"/>
      <c r="AU190" s="366"/>
      <c r="AV190" s="418"/>
      <c r="AW190" s="426"/>
      <c r="AX190" s="426"/>
      <c r="AY190" s="426"/>
      <c r="AZ190" s="426"/>
      <c r="BI190" s="360"/>
      <c r="BJ190" s="354"/>
      <c r="BK190" s="366">
        <v>2015</v>
      </c>
      <c r="BL190" s="365" t="s">
        <v>1141</v>
      </c>
      <c r="BM190" s="366" t="s">
        <v>162</v>
      </c>
      <c r="BN190" s="366" t="s">
        <v>3</v>
      </c>
      <c r="BO190" s="366">
        <v>0</v>
      </c>
      <c r="BP190" s="366">
        <v>0</v>
      </c>
      <c r="BQ190" s="366">
        <v>0</v>
      </c>
      <c r="BR190" s="366">
        <v>514</v>
      </c>
      <c r="BS190" s="366">
        <v>1</v>
      </c>
      <c r="BT190" s="366">
        <v>45</v>
      </c>
      <c r="BU190" s="371">
        <v>353</v>
      </c>
      <c r="BV190" s="371">
        <v>2</v>
      </c>
      <c r="BW190" s="366">
        <v>0</v>
      </c>
      <c r="BX190" s="366">
        <v>0</v>
      </c>
      <c r="BY190" s="366">
        <v>0</v>
      </c>
      <c r="BZ190" s="366">
        <v>0</v>
      </c>
      <c r="CA190" s="366">
        <v>2</v>
      </c>
      <c r="CB190" s="367">
        <f>IFERROR(BO190/Instructions!$J$25,0)+BP190*Instructions!$J$27+BQ190*Instructions!$J$29+IFERROR(BR190/Instructions!$E$34,0)+BS190*Instructions!$E$36+Tier!BT191*Instructions!$E$25+IFERROR(BU190/Instructions!$E$27,0)+BV190*Instructions!$E$29+IFERROR((BW190+BY190)/Instructions!$J$32,0)+(BX190+BZ190)*Instructions!$J$34+Tier!CA190*-2</f>
        <v>119.7</v>
      </c>
      <c r="CC190" s="354"/>
      <c r="CD190" s="321">
        <v>2015</v>
      </c>
      <c r="CE190" s="370" t="s">
        <v>1185</v>
      </c>
      <c r="CF190" s="371" t="s">
        <v>1625</v>
      </c>
      <c r="CG190" s="371" t="s">
        <v>6</v>
      </c>
      <c r="CH190" s="371">
        <v>0</v>
      </c>
      <c r="CI190" s="371">
        <v>0</v>
      </c>
      <c r="CJ190" s="371">
        <v>0</v>
      </c>
      <c r="CK190" s="371">
        <v>0</v>
      </c>
      <c r="CL190" s="371">
        <v>0</v>
      </c>
      <c r="CM190" s="371">
        <v>69</v>
      </c>
      <c r="CN190" s="371">
        <v>984</v>
      </c>
      <c r="CO190" s="371">
        <v>3</v>
      </c>
      <c r="CP190" s="371">
        <v>0</v>
      </c>
      <c r="CQ190" s="371">
        <v>0</v>
      </c>
      <c r="CR190" s="371">
        <v>0</v>
      </c>
      <c r="CS190" s="371">
        <v>0</v>
      </c>
      <c r="CT190" s="371">
        <v>1</v>
      </c>
      <c r="CU190" s="367">
        <f>IFERROR(CH190/Instructions!$J$25,0)+CI190*Instructions!$J$27+CJ190*Instructions!$J$29+IFERROR(CK190/Instructions!$E$34,0)+CL190*Instructions!$E$36+Tier!CM190*Instructions!$E$25+IFERROR(CN190/Instructions!$E$27,0)+CO190*Instructions!$E$29+IFERROR((CP190+CR190)/Instructions!$J$32,0)+(CQ190+CS190)*Instructions!$J$34+Tier!CT190*-2</f>
        <v>183.4</v>
      </c>
      <c r="CV190" s="354"/>
      <c r="CW190"/>
      <c r="CX190"/>
      <c r="CY190"/>
      <c r="CZ190"/>
      <c r="DA190"/>
      <c r="DB190"/>
      <c r="DC190"/>
      <c r="DD190"/>
      <c r="DE190"/>
      <c r="DF190"/>
      <c r="DG190"/>
      <c r="DH190"/>
      <c r="DI190"/>
      <c r="DJ190"/>
      <c r="DK190"/>
      <c r="DL190"/>
      <c r="DM190"/>
      <c r="DN190"/>
    </row>
    <row r="191" spans="3:118" s="238" customFormat="1" ht="15.75" customHeight="1" x14ac:dyDescent="0.25">
      <c r="C191"/>
      <c r="D191"/>
      <c r="E191"/>
      <c r="F191"/>
      <c r="G191"/>
      <c r="H191"/>
      <c r="I191"/>
      <c r="J191"/>
      <c r="K191"/>
      <c r="L191"/>
      <c r="M191"/>
      <c r="N191"/>
      <c r="O191" s="372"/>
      <c r="P191" s="366">
        <v>2015</v>
      </c>
      <c r="Q191" s="367">
        <f>LARGE($CB$153:$CB$302,39)</f>
        <v>119.5</v>
      </c>
      <c r="R191" s="357">
        <f t="shared" si="91"/>
        <v>-45.099999999999994</v>
      </c>
      <c r="S191" s="356">
        <f t="shared" si="92"/>
        <v>2034.0099999999995</v>
      </c>
      <c r="U191" s="356">
        <f t="shared" si="93"/>
        <v>-2.8187499999999996</v>
      </c>
      <c r="V191" s="238">
        <f t="shared" si="80"/>
        <v>8</v>
      </c>
      <c r="W191" s="354"/>
      <c r="X191" s="371"/>
      <c r="Y191" s="371"/>
      <c r="Z191" s="321">
        <v>2015</v>
      </c>
      <c r="AA191" s="367">
        <f>LARGE($CU$153:$CU$302,39)</f>
        <v>172.5</v>
      </c>
      <c r="AB191" s="357">
        <f t="shared" si="94"/>
        <v>-50.633333333333326</v>
      </c>
      <c r="AC191" s="356">
        <f t="shared" si="78"/>
        <v>2563.7344444444439</v>
      </c>
      <c r="AD191" s="356"/>
      <c r="AE191" s="356">
        <f t="shared" si="95"/>
        <v>-3.1645833333333329</v>
      </c>
      <c r="AF191" s="238">
        <f t="shared" si="83"/>
        <v>8</v>
      </c>
      <c r="AG191" s="354"/>
      <c r="AK191"/>
      <c r="AL191"/>
      <c r="AM191"/>
      <c r="AN191"/>
      <c r="AO191"/>
      <c r="AP191"/>
      <c r="AS191"/>
      <c r="AT191"/>
      <c r="AU191" s="366"/>
      <c r="AV191" s="418"/>
      <c r="AW191" s="426"/>
      <c r="AX191" s="426"/>
      <c r="AY191" s="426"/>
      <c r="AZ191" s="426"/>
      <c r="BI191" s="360"/>
      <c r="BJ191" s="354"/>
      <c r="BK191" s="366">
        <v>2015</v>
      </c>
      <c r="BL191" s="365" t="s">
        <v>1139</v>
      </c>
      <c r="BM191" s="366" t="s">
        <v>152</v>
      </c>
      <c r="BN191" s="366" t="s">
        <v>3</v>
      </c>
      <c r="BO191" s="366">
        <v>0</v>
      </c>
      <c r="BP191" s="366">
        <v>0</v>
      </c>
      <c r="BQ191" s="366">
        <v>0</v>
      </c>
      <c r="BR191" s="366">
        <v>490</v>
      </c>
      <c r="BS191" s="366">
        <v>3</v>
      </c>
      <c r="BT191" s="366">
        <v>19</v>
      </c>
      <c r="BU191" s="371">
        <v>304</v>
      </c>
      <c r="BV191" s="371">
        <v>1</v>
      </c>
      <c r="BW191" s="366">
        <v>0</v>
      </c>
      <c r="BX191" s="366">
        <v>0</v>
      </c>
      <c r="BY191" s="366">
        <v>0</v>
      </c>
      <c r="BZ191" s="366">
        <v>0</v>
      </c>
      <c r="CA191" s="366">
        <v>4</v>
      </c>
      <c r="CB191" s="367">
        <f>IFERROR(BO191/Instructions!$J$25,0)+BP191*Instructions!$J$27+BQ191*Instructions!$J$29+IFERROR(BR191/Instructions!$E$34,0)+BS191*Instructions!$E$36+Tier!BT192*Instructions!$E$25+IFERROR(BU191/Instructions!$E$27,0)+BV191*Instructions!$E$29+IFERROR((BW191+BY191)/Instructions!$J$32,0)+(BX191+BZ191)*Instructions!$J$34+Tier!CA191*-2</f>
        <v>175.4</v>
      </c>
      <c r="CC191" s="354"/>
      <c r="CD191" s="321">
        <v>2015</v>
      </c>
      <c r="CE191" s="370" t="s">
        <v>84</v>
      </c>
      <c r="CF191" s="371" t="s">
        <v>1628</v>
      </c>
      <c r="CG191" s="371" t="s">
        <v>6</v>
      </c>
      <c r="CH191" s="371">
        <v>0</v>
      </c>
      <c r="CI191" s="371">
        <v>0</v>
      </c>
      <c r="CJ191" s="371">
        <v>0</v>
      </c>
      <c r="CK191" s="371">
        <v>23</v>
      </c>
      <c r="CL191" s="371">
        <v>0</v>
      </c>
      <c r="CM191" s="371">
        <v>61</v>
      </c>
      <c r="CN191" s="371">
        <v>692</v>
      </c>
      <c r="CO191" s="371">
        <v>7</v>
      </c>
      <c r="CP191" s="371">
        <v>81</v>
      </c>
      <c r="CQ191" s="371">
        <v>0</v>
      </c>
      <c r="CR191" s="371">
        <v>0</v>
      </c>
      <c r="CS191" s="371">
        <v>0</v>
      </c>
      <c r="CT191" s="371">
        <v>1</v>
      </c>
      <c r="CU191" s="367">
        <f>IFERROR(CH191/Instructions!$J$25,0)+CI191*Instructions!$J$27+CJ191*Instructions!$J$29+IFERROR(CK191/Instructions!$E$34,0)+CL191*Instructions!$E$36+Tier!CM191*Instructions!$E$25+IFERROR(CN191/Instructions!$E$27,0)+CO191*Instructions!$E$29+IFERROR((CP191+CR191)/Instructions!$J$32,0)+(CQ191+CS191)*Instructions!$J$34+Tier!CT191*-2</f>
        <v>172.5</v>
      </c>
      <c r="CV191" s="354"/>
      <c r="CW191"/>
      <c r="CX191"/>
      <c r="CY191"/>
      <c r="CZ191"/>
      <c r="DA191"/>
      <c r="DB191"/>
      <c r="DC191"/>
      <c r="DD191"/>
      <c r="DE191"/>
      <c r="DF191"/>
      <c r="DG191"/>
      <c r="DH191"/>
      <c r="DI191"/>
      <c r="DJ191"/>
      <c r="DK191"/>
      <c r="DL191"/>
      <c r="DM191"/>
      <c r="DN191"/>
    </row>
    <row r="192" spans="3:118" s="238" customFormat="1" ht="15.75" customHeight="1" x14ac:dyDescent="0.25">
      <c r="C192"/>
      <c r="D192"/>
      <c r="E192"/>
      <c r="F192"/>
      <c r="G192"/>
      <c r="H192"/>
      <c r="I192"/>
      <c r="J192"/>
      <c r="K192"/>
      <c r="L192"/>
      <c r="M192"/>
      <c r="N192"/>
      <c r="O192" s="372"/>
      <c r="P192" s="366">
        <v>2015</v>
      </c>
      <c r="Q192" s="367">
        <f>LARGE($CB$153:$CB$302,40)</f>
        <v>119.1</v>
      </c>
      <c r="R192" s="357">
        <f t="shared" si="91"/>
        <v>-45.5</v>
      </c>
      <c r="S192" s="356">
        <f t="shared" si="92"/>
        <v>2070.25</v>
      </c>
      <c r="U192" s="356">
        <f t="shared" si="93"/>
        <v>-2.84375</v>
      </c>
      <c r="V192" s="238">
        <f t="shared" si="80"/>
        <v>8</v>
      </c>
      <c r="W192" s="354"/>
      <c r="X192" s="371"/>
      <c r="Y192" s="371"/>
      <c r="Z192" s="321">
        <v>2015</v>
      </c>
      <c r="AA192" s="367">
        <f>LARGE($CU$153:$CU$302,40)</f>
        <v>170.3</v>
      </c>
      <c r="AB192" s="357">
        <f t="shared" si="94"/>
        <v>-52.833333333333314</v>
      </c>
      <c r="AC192" s="356">
        <f t="shared" si="78"/>
        <v>2791.361111111109</v>
      </c>
      <c r="AD192" s="356"/>
      <c r="AE192" s="356">
        <f t="shared" si="95"/>
        <v>-3.3020833333333321</v>
      </c>
      <c r="AF192" s="238">
        <f t="shared" si="83"/>
        <v>8</v>
      </c>
      <c r="AG192" s="354"/>
      <c r="AK192"/>
      <c r="AL192"/>
      <c r="AM192"/>
      <c r="AN192"/>
      <c r="AO192"/>
      <c r="AP192"/>
      <c r="AS192"/>
      <c r="AT192"/>
      <c r="AU192" s="366"/>
      <c r="AV192" s="418"/>
      <c r="AW192" s="426"/>
      <c r="AX192" s="426"/>
      <c r="AY192" s="426"/>
      <c r="AZ192" s="426"/>
      <c r="BI192" s="360"/>
      <c r="BJ192" s="354"/>
      <c r="BK192" s="366">
        <v>2015</v>
      </c>
      <c r="BL192" s="365" t="s">
        <v>981</v>
      </c>
      <c r="BM192" s="366" t="s">
        <v>142</v>
      </c>
      <c r="BN192" s="366" t="s">
        <v>3</v>
      </c>
      <c r="BO192" s="366">
        <v>0</v>
      </c>
      <c r="BP192" s="366">
        <v>0</v>
      </c>
      <c r="BQ192" s="366">
        <v>0</v>
      </c>
      <c r="BR192" s="366">
        <v>133</v>
      </c>
      <c r="BS192" s="366">
        <v>0</v>
      </c>
      <c r="BT192" s="366">
        <v>80</v>
      </c>
      <c r="BU192" s="371">
        <v>697</v>
      </c>
      <c r="BV192" s="371">
        <v>3</v>
      </c>
      <c r="BW192" s="366">
        <v>0</v>
      </c>
      <c r="BX192" s="366">
        <v>0</v>
      </c>
      <c r="BY192" s="366">
        <v>0</v>
      </c>
      <c r="BZ192" s="366">
        <v>0</v>
      </c>
      <c r="CA192" s="366">
        <v>1</v>
      </c>
      <c r="CB192" s="367">
        <f>IFERROR(BO192/Instructions!$J$25,0)+BP192*Instructions!$J$27+BQ192*Instructions!$J$29+IFERROR(BR192/Instructions!$E$34,0)+BS192*Instructions!$E$36+Tier!BT193*Instructions!$E$25+IFERROR(BU192/Instructions!$E$27,0)+BV192*Instructions!$E$29+IFERROR((BW192+BY192)/Instructions!$J$32,0)+(BX192+BZ192)*Instructions!$J$34+Tier!CA192*-2</f>
        <v>114</v>
      </c>
      <c r="CC192" s="354"/>
      <c r="CD192" s="321">
        <v>2015</v>
      </c>
      <c r="CE192" s="370" t="s">
        <v>218</v>
      </c>
      <c r="CF192" s="371" t="s">
        <v>154</v>
      </c>
      <c r="CG192" s="371" t="s">
        <v>6</v>
      </c>
      <c r="CH192" s="371">
        <v>0</v>
      </c>
      <c r="CI192" s="371">
        <v>0</v>
      </c>
      <c r="CJ192" s="371">
        <v>0</v>
      </c>
      <c r="CK192" s="371">
        <v>12</v>
      </c>
      <c r="CL192" s="371">
        <v>0</v>
      </c>
      <c r="CM192" s="371">
        <v>36</v>
      </c>
      <c r="CN192" s="371">
        <v>396</v>
      </c>
      <c r="CO192" s="371">
        <v>4</v>
      </c>
      <c r="CP192" s="371">
        <v>341</v>
      </c>
      <c r="CQ192" s="371">
        <v>1</v>
      </c>
      <c r="CR192" s="371">
        <v>631</v>
      </c>
      <c r="CS192" s="371">
        <v>1</v>
      </c>
      <c r="CT192" s="371">
        <v>0</v>
      </c>
      <c r="CU192" s="367">
        <f>IFERROR(CH192/Instructions!$J$25,0)+CI192*Instructions!$J$27+CJ192*Instructions!$J$29+IFERROR(CK192/Instructions!$E$34,0)+CL192*Instructions!$E$36+Tier!CM192*Instructions!$E$25+IFERROR(CN192/Instructions!$E$27,0)+CO192*Instructions!$E$29+IFERROR((CP192+CR192)/Instructions!$J$32,0)+(CQ192+CS192)*Instructions!$J$34+Tier!CT192*-2</f>
        <v>112.80000000000001</v>
      </c>
      <c r="CV192" s="354"/>
      <c r="CW192"/>
      <c r="CX192"/>
      <c r="CY192"/>
      <c r="CZ192"/>
      <c r="DA192"/>
      <c r="DB192"/>
      <c r="DC192"/>
      <c r="DD192"/>
      <c r="DE192"/>
      <c r="DF192"/>
      <c r="DG192"/>
      <c r="DH192"/>
      <c r="DI192"/>
      <c r="DJ192"/>
      <c r="DK192"/>
      <c r="DL192"/>
      <c r="DM192"/>
      <c r="DN192"/>
    </row>
    <row r="193" spans="3:118" s="238" customFormat="1" ht="15.75" customHeight="1" x14ac:dyDescent="0.25">
      <c r="C193"/>
      <c r="D193"/>
      <c r="E193"/>
      <c r="F193"/>
      <c r="G193"/>
      <c r="H193"/>
      <c r="I193"/>
      <c r="J193"/>
      <c r="K193"/>
      <c r="L193"/>
      <c r="M193"/>
      <c r="N193"/>
      <c r="O193" s="372"/>
      <c r="P193" s="366">
        <v>2015</v>
      </c>
      <c r="Q193" s="367">
        <f>LARGE($CB$153:$CB$302,41)</f>
        <v>117.7</v>
      </c>
      <c r="R193" s="357">
        <f t="shared" si="91"/>
        <v>-46.899999999999991</v>
      </c>
      <c r="S193" s="356">
        <f t="shared" si="92"/>
        <v>2199.6099999999992</v>
      </c>
      <c r="U193" s="356">
        <f t="shared" si="93"/>
        <v>-2.9312499999999995</v>
      </c>
      <c r="V193" s="238">
        <f t="shared" si="80"/>
        <v>8</v>
      </c>
      <c r="W193" s="354"/>
      <c r="X193" s="371"/>
      <c r="Y193" s="371"/>
      <c r="Z193" s="321">
        <v>2015</v>
      </c>
      <c r="AA193" s="367">
        <f>LARGE($CU$153:$CU$302,41)</f>
        <v>170.2</v>
      </c>
      <c r="AB193" s="357">
        <f t="shared" si="94"/>
        <v>-52.933333333333337</v>
      </c>
      <c r="AC193" s="356">
        <f t="shared" si="78"/>
        <v>2801.9377777777781</v>
      </c>
      <c r="AD193" s="356"/>
      <c r="AE193" s="356">
        <f t="shared" si="95"/>
        <v>-3.3083333333333336</v>
      </c>
      <c r="AF193" s="238">
        <f t="shared" si="83"/>
        <v>8</v>
      </c>
      <c r="AG193" s="354"/>
      <c r="AK193"/>
      <c r="AL193"/>
      <c r="AM193"/>
      <c r="AN193"/>
      <c r="AO193"/>
      <c r="AP193"/>
      <c r="AS193"/>
      <c r="AT193"/>
      <c r="AU193" s="366"/>
      <c r="AV193" s="418"/>
      <c r="AW193" s="426"/>
      <c r="AX193" s="426"/>
      <c r="AY193" s="426"/>
      <c r="AZ193" s="426"/>
      <c r="BI193" s="360"/>
      <c r="BJ193" s="354"/>
      <c r="BK193" s="366">
        <v>2015</v>
      </c>
      <c r="BL193" s="365" t="s">
        <v>984</v>
      </c>
      <c r="BM193" s="366" t="s">
        <v>151</v>
      </c>
      <c r="BN193" s="366" t="s">
        <v>3</v>
      </c>
      <c r="BO193" s="366">
        <v>0</v>
      </c>
      <c r="BP193" s="366">
        <v>0</v>
      </c>
      <c r="BQ193" s="366">
        <v>0</v>
      </c>
      <c r="BR193" s="366">
        <v>698</v>
      </c>
      <c r="BS193" s="366">
        <v>2</v>
      </c>
      <c r="BT193" s="366">
        <v>15</v>
      </c>
      <c r="BU193" s="371">
        <v>109</v>
      </c>
      <c r="BV193" s="371">
        <v>1</v>
      </c>
      <c r="BW193" s="366">
        <v>0</v>
      </c>
      <c r="BX193" s="366">
        <v>0</v>
      </c>
      <c r="BY193" s="366">
        <v>0</v>
      </c>
      <c r="BZ193" s="366">
        <v>0</v>
      </c>
      <c r="CA193" s="366">
        <v>1</v>
      </c>
      <c r="CB193" s="367">
        <f>IFERROR(BO193/Instructions!$J$25,0)+BP193*Instructions!$J$27+BQ193*Instructions!$J$29+IFERROR(BR193/Instructions!$E$34,0)+BS193*Instructions!$E$36+Tier!BT194*Instructions!$E$25+IFERROR(BU193/Instructions!$E$27,0)+BV193*Instructions!$E$29+IFERROR((BW193+BY193)/Instructions!$J$32,0)+(BX193+BZ193)*Instructions!$J$34+Tier!CA193*-2</f>
        <v>117.7</v>
      </c>
      <c r="CC193" s="354"/>
      <c r="CD193" s="321">
        <v>2015</v>
      </c>
      <c r="CE193" s="370" t="s">
        <v>57</v>
      </c>
      <c r="CF193" s="371" t="s">
        <v>152</v>
      </c>
      <c r="CG193" s="371" t="s">
        <v>6</v>
      </c>
      <c r="CH193" s="371">
        <v>0</v>
      </c>
      <c r="CI193" s="371">
        <v>0</v>
      </c>
      <c r="CJ193" s="371">
        <v>0</v>
      </c>
      <c r="CK193" s="371">
        <v>0</v>
      </c>
      <c r="CL193" s="371">
        <v>0</v>
      </c>
      <c r="CM193" s="371">
        <v>72</v>
      </c>
      <c r="CN193" s="371">
        <v>777</v>
      </c>
      <c r="CO193" s="371">
        <v>6</v>
      </c>
      <c r="CP193" s="371">
        <v>0</v>
      </c>
      <c r="CQ193" s="371">
        <v>0</v>
      </c>
      <c r="CR193" s="371">
        <v>0</v>
      </c>
      <c r="CS193" s="371">
        <v>0</v>
      </c>
      <c r="CT193" s="371">
        <v>0</v>
      </c>
      <c r="CU193" s="367">
        <f>IFERROR(CH193/Instructions!$J$25,0)+CI193*Instructions!$J$27+CJ193*Instructions!$J$29+IFERROR(CK193/Instructions!$E$34,0)+CL193*Instructions!$E$36+Tier!CM193*Instructions!$E$25+IFERROR(CN193/Instructions!$E$27,0)+CO193*Instructions!$E$29+IFERROR((CP193+CR193)/Instructions!$J$32,0)+(CQ193+CS193)*Instructions!$J$34+Tier!CT193*-2</f>
        <v>185.7</v>
      </c>
      <c r="CV193" s="354"/>
      <c r="CW193"/>
      <c r="CX193"/>
      <c r="CY193"/>
      <c r="CZ193"/>
      <c r="DA193"/>
      <c r="DB193"/>
      <c r="DC193"/>
      <c r="DD193"/>
      <c r="DE193"/>
      <c r="DF193"/>
      <c r="DG193"/>
      <c r="DH193"/>
      <c r="DI193"/>
      <c r="DJ193"/>
      <c r="DK193"/>
      <c r="DL193"/>
      <c r="DM193"/>
      <c r="DN193"/>
    </row>
    <row r="194" spans="3:118" s="238" customFormat="1" ht="15.75" customHeight="1" x14ac:dyDescent="0.25">
      <c r="C194"/>
      <c r="D194"/>
      <c r="E194"/>
      <c r="F194"/>
      <c r="G194"/>
      <c r="H194"/>
      <c r="I194"/>
      <c r="J194"/>
      <c r="K194"/>
      <c r="L194"/>
      <c r="M194"/>
      <c r="N194"/>
      <c r="O194" s="372"/>
      <c r="P194" s="366">
        <v>2015</v>
      </c>
      <c r="Q194" s="367">
        <f>LARGE($CB$153:$CB$302,42)</f>
        <v>116</v>
      </c>
      <c r="R194" s="357">
        <f t="shared" si="91"/>
        <v>-48.599999999999994</v>
      </c>
      <c r="S194" s="356">
        <f t="shared" si="92"/>
        <v>2361.9599999999996</v>
      </c>
      <c r="U194" s="356">
        <f t="shared" si="93"/>
        <v>-3.0374999999999996</v>
      </c>
      <c r="V194" s="238">
        <f t="shared" si="80"/>
        <v>8</v>
      </c>
      <c r="W194" s="354"/>
      <c r="X194" s="371"/>
      <c r="Y194" s="371"/>
      <c r="Z194" s="321">
        <v>2015</v>
      </c>
      <c r="AA194" s="367">
        <f>LARGE($CU$153:$CU$302,42)</f>
        <v>169.9</v>
      </c>
      <c r="AB194" s="357">
        <f t="shared" si="94"/>
        <v>-53.23333333333332</v>
      </c>
      <c r="AC194" s="356">
        <f t="shared" ref="AC194:AC257" si="96">AB194^2</f>
        <v>2833.7877777777762</v>
      </c>
      <c r="AD194" s="356"/>
      <c r="AE194" s="356">
        <f t="shared" si="95"/>
        <v>-3.3270833333333325</v>
      </c>
      <c r="AF194" s="238">
        <f t="shared" si="83"/>
        <v>8</v>
      </c>
      <c r="AG194" s="354"/>
      <c r="AK194"/>
      <c r="AL194"/>
      <c r="AM194"/>
      <c r="AN194"/>
      <c r="AO194"/>
      <c r="AP194"/>
      <c r="AS194"/>
      <c r="AT194"/>
      <c r="AU194" s="366"/>
      <c r="AV194" s="418"/>
      <c r="AW194" s="426"/>
      <c r="AX194" s="426"/>
      <c r="AY194" s="426"/>
      <c r="AZ194" s="426"/>
      <c r="BI194" s="360"/>
      <c r="BJ194" s="354"/>
      <c r="BK194" s="366">
        <v>2015</v>
      </c>
      <c r="BL194" s="365" t="s">
        <v>1153</v>
      </c>
      <c r="BM194" s="366" t="s">
        <v>163</v>
      </c>
      <c r="BN194" s="366" t="s">
        <v>3</v>
      </c>
      <c r="BO194" s="366">
        <v>41</v>
      </c>
      <c r="BP194" s="366">
        <v>1</v>
      </c>
      <c r="BQ194" s="366">
        <v>0</v>
      </c>
      <c r="BR194" s="366">
        <v>520</v>
      </c>
      <c r="BS194" s="366">
        <v>3</v>
      </c>
      <c r="BT194" s="366">
        <v>21</v>
      </c>
      <c r="BU194" s="371">
        <v>174</v>
      </c>
      <c r="BV194" s="371">
        <v>0</v>
      </c>
      <c r="BW194" s="366">
        <v>0</v>
      </c>
      <c r="BX194" s="366">
        <v>0</v>
      </c>
      <c r="BY194" s="366">
        <v>13</v>
      </c>
      <c r="BZ194" s="366">
        <v>0</v>
      </c>
      <c r="CA194" s="366">
        <v>1</v>
      </c>
      <c r="CB194" s="367">
        <f>IFERROR(BO194/Instructions!$J$25,0)+BP194*Instructions!$J$27+BQ194*Instructions!$J$29+IFERROR(BR194/Instructions!$E$34,0)+BS194*Instructions!$E$36+Tier!BT195*Instructions!$E$25+IFERROR(BU194/Instructions!$E$27,0)+BV194*Instructions!$E$29+IFERROR((BW194+BY194)/Instructions!$J$32,0)+(BX194+BZ194)*Instructions!$J$34+Tier!CA194*-2</f>
        <v>138.04</v>
      </c>
      <c r="CC194" s="354"/>
      <c r="CD194" s="321">
        <v>2015</v>
      </c>
      <c r="CE194" s="370" t="s">
        <v>206</v>
      </c>
      <c r="CF194" s="371" t="s">
        <v>158</v>
      </c>
      <c r="CG194" s="371" t="s">
        <v>6</v>
      </c>
      <c r="CH194" s="371">
        <v>0</v>
      </c>
      <c r="CI194" s="371">
        <v>0</v>
      </c>
      <c r="CJ194" s="371">
        <v>0</v>
      </c>
      <c r="CK194" s="371">
        <v>0</v>
      </c>
      <c r="CL194" s="371">
        <v>0</v>
      </c>
      <c r="CM194" s="371">
        <v>64</v>
      </c>
      <c r="CN194" s="371">
        <v>733</v>
      </c>
      <c r="CO194" s="371">
        <v>6</v>
      </c>
      <c r="CP194" s="371">
        <v>0</v>
      </c>
      <c r="CQ194" s="371">
        <v>0</v>
      </c>
      <c r="CR194" s="371">
        <v>5</v>
      </c>
      <c r="CS194" s="371">
        <v>0</v>
      </c>
      <c r="CT194" s="371">
        <v>0</v>
      </c>
      <c r="CU194" s="367">
        <f>IFERROR(CH194/Instructions!$J$25,0)+CI194*Instructions!$J$27+CJ194*Instructions!$J$29+IFERROR(CK194/Instructions!$E$34,0)+CL194*Instructions!$E$36+Tier!CM194*Instructions!$E$25+IFERROR(CN194/Instructions!$E$27,0)+CO194*Instructions!$E$29+IFERROR((CP194+CR194)/Instructions!$J$32,0)+(CQ194+CS194)*Instructions!$J$34+Tier!CT194*-2</f>
        <v>173.3</v>
      </c>
      <c r="CV194" s="354"/>
      <c r="CW194"/>
      <c r="CX194"/>
      <c r="CY194"/>
      <c r="CZ194"/>
      <c r="DA194"/>
      <c r="DB194"/>
      <c r="DC194"/>
      <c r="DD194"/>
      <c r="DE194"/>
      <c r="DF194"/>
      <c r="DG194"/>
      <c r="DH194"/>
      <c r="DI194"/>
      <c r="DJ194"/>
      <c r="DK194"/>
      <c r="DL194"/>
      <c r="DM194"/>
      <c r="DN194"/>
    </row>
    <row r="195" spans="3:118" s="238" customFormat="1" ht="15.75" customHeight="1" x14ac:dyDescent="0.25">
      <c r="C195"/>
      <c r="D195"/>
      <c r="E195"/>
      <c r="F195"/>
      <c r="G195"/>
      <c r="H195"/>
      <c r="I195"/>
      <c r="J195"/>
      <c r="K195"/>
      <c r="L195"/>
      <c r="M195"/>
      <c r="N195"/>
      <c r="O195" s="372"/>
      <c r="P195" s="366">
        <v>2015</v>
      </c>
      <c r="Q195" s="367">
        <f>LARGE($CB$153:$CB$302,43)</f>
        <v>115.3</v>
      </c>
      <c r="R195" s="357">
        <f t="shared" si="91"/>
        <v>-49.3</v>
      </c>
      <c r="S195" s="356">
        <f t="shared" si="92"/>
        <v>2430.4899999999998</v>
      </c>
      <c r="U195" s="356">
        <f t="shared" si="93"/>
        <v>-3.0812499999999998</v>
      </c>
      <c r="V195" s="238">
        <f t="shared" ref="V195:V258" si="97">IF(U195&gt;6,0,
IF(AND(U195&lt;=6,U195&gt;5),1,
IF(AND(U195&lt;=5,U195&gt;4),2,
IF(AND(U195&lt;=4,U195&gt;3),3,
IF(AND(U195&lt;=3,U195&gt;2),4,
IF(AND(U195&lt;=2,U195&gt;1),5,
IF(AND(U195&lt;=1,U195&gt;0),6,
IF(AND(U195&lt;=0,U195&gt;-1),7,
8))))))))</f>
        <v>8</v>
      </c>
      <c r="W195" s="354"/>
      <c r="X195" s="371"/>
      <c r="Y195" s="371"/>
      <c r="Z195" s="321">
        <v>2015</v>
      </c>
      <c r="AA195" s="367">
        <f>LARGE($CU$153:$CU$302,43)</f>
        <v>167.4</v>
      </c>
      <c r="AB195" s="357">
        <f t="shared" si="94"/>
        <v>-55.73333333333332</v>
      </c>
      <c r="AC195" s="356">
        <f t="shared" si="96"/>
        <v>3106.2044444444427</v>
      </c>
      <c r="AD195" s="356"/>
      <c r="AE195" s="356">
        <f t="shared" si="95"/>
        <v>-3.4833333333333325</v>
      </c>
      <c r="AF195" s="238">
        <f t="shared" ref="AF195:AF258" si="98">IF(AE195&gt;6,0,
IF(AND(AE195&lt;=6,AE195&gt;5),1,
IF(AND(AE195&lt;=5,AE195&gt;4),2,
IF(AND(AE195&lt;=4,AE195&gt;3),3,
IF(AND(AE195&lt;=3,AE195&gt;2),4,
IF(AND(AE195&lt;=2,AE195&gt;1),5,
IF(AND(AE195&lt;=1,AE195&gt;0),6,
IF(AND(AE195&lt;=0,AE195&gt;-1),7,
8))))))))</f>
        <v>8</v>
      </c>
      <c r="AG195" s="354"/>
      <c r="AK195"/>
      <c r="AL195"/>
      <c r="AM195"/>
      <c r="AN195"/>
      <c r="AO195"/>
      <c r="AP195"/>
      <c r="AS195"/>
      <c r="AT195"/>
      <c r="AU195" s="366"/>
      <c r="AV195" s="418"/>
      <c r="AW195" s="426"/>
      <c r="AX195" s="426"/>
      <c r="AY195" s="426"/>
      <c r="AZ195" s="426"/>
      <c r="BI195" s="360"/>
      <c r="BJ195" s="354"/>
      <c r="BK195" s="366">
        <v>2015</v>
      </c>
      <c r="BL195" s="365" t="s">
        <v>978</v>
      </c>
      <c r="BM195" s="366" t="s">
        <v>164</v>
      </c>
      <c r="BN195" s="366" t="s">
        <v>3</v>
      </c>
      <c r="BO195" s="366">
        <v>0</v>
      </c>
      <c r="BP195" s="366">
        <v>0</v>
      </c>
      <c r="BQ195" s="366">
        <v>0</v>
      </c>
      <c r="BR195" s="366">
        <v>313</v>
      </c>
      <c r="BS195" s="366">
        <v>1</v>
      </c>
      <c r="BT195" s="366">
        <v>47</v>
      </c>
      <c r="BU195" s="371">
        <v>388</v>
      </c>
      <c r="BV195" s="371">
        <v>2</v>
      </c>
      <c r="BW195" s="366">
        <v>0</v>
      </c>
      <c r="BX195" s="366">
        <v>0</v>
      </c>
      <c r="BY195" s="366">
        <v>20</v>
      </c>
      <c r="BZ195" s="366">
        <v>0</v>
      </c>
      <c r="CA195" s="366">
        <v>0</v>
      </c>
      <c r="CB195" s="367">
        <f>IFERROR(BO195/Instructions!$J$25,0)+BP195*Instructions!$J$27+BQ195*Instructions!$J$29+IFERROR(BR195/Instructions!$E$34,0)+BS195*Instructions!$E$36+Tier!BT196*Instructions!$E$25+IFERROR(BU195/Instructions!$E$27,0)+BV195*Instructions!$E$29+IFERROR((BW195+BY195)/Instructions!$J$32,0)+(BX195+BZ195)*Instructions!$J$34+Tier!CA195*-2</f>
        <v>119.1</v>
      </c>
      <c r="CC195" s="354"/>
      <c r="CD195" s="321">
        <v>2015</v>
      </c>
      <c r="CE195" s="370" t="s">
        <v>118</v>
      </c>
      <c r="CF195" s="371" t="s">
        <v>145</v>
      </c>
      <c r="CG195" s="371" t="s">
        <v>6</v>
      </c>
      <c r="CH195" s="371">
        <v>0</v>
      </c>
      <c r="CI195" s="371">
        <v>0</v>
      </c>
      <c r="CJ195" s="371">
        <v>0</v>
      </c>
      <c r="CK195" s="371">
        <v>33</v>
      </c>
      <c r="CL195" s="371">
        <v>0</v>
      </c>
      <c r="CM195" s="371">
        <v>65</v>
      </c>
      <c r="CN195" s="371">
        <v>816</v>
      </c>
      <c r="CO195" s="371">
        <v>4</v>
      </c>
      <c r="CP195" s="371">
        <v>0</v>
      </c>
      <c r="CQ195" s="371">
        <v>0</v>
      </c>
      <c r="CR195" s="371">
        <v>0</v>
      </c>
      <c r="CS195" s="371">
        <v>0</v>
      </c>
      <c r="CT195" s="371">
        <v>0</v>
      </c>
      <c r="CU195" s="367">
        <f>IFERROR(CH195/Instructions!$J$25,0)+CI195*Instructions!$J$27+CJ195*Instructions!$J$29+IFERROR(CK195/Instructions!$E$34,0)+CL195*Instructions!$E$36+Tier!CM195*Instructions!$E$25+IFERROR(CN195/Instructions!$E$27,0)+CO195*Instructions!$E$29+IFERROR((CP195+CR195)/Instructions!$J$32,0)+(CQ195+CS195)*Instructions!$J$34+Tier!CT195*-2</f>
        <v>173.89999999999998</v>
      </c>
      <c r="CV195" s="354"/>
      <c r="CW195"/>
      <c r="CX195"/>
      <c r="CY195"/>
      <c r="CZ195"/>
      <c r="DA195"/>
      <c r="DB195"/>
      <c r="DC195"/>
      <c r="DD195"/>
      <c r="DE195"/>
      <c r="DF195"/>
      <c r="DG195"/>
      <c r="DH195"/>
      <c r="DI195"/>
      <c r="DJ195"/>
      <c r="DK195"/>
      <c r="DL195"/>
      <c r="DM195"/>
      <c r="DN195"/>
    </row>
    <row r="196" spans="3:118" s="238" customFormat="1" ht="15.75" customHeight="1" x14ac:dyDescent="0.25">
      <c r="C196"/>
      <c r="D196"/>
      <c r="E196"/>
      <c r="F196"/>
      <c r="G196"/>
      <c r="H196"/>
      <c r="I196"/>
      <c r="J196"/>
      <c r="K196"/>
      <c r="L196"/>
      <c r="M196"/>
      <c r="N196"/>
      <c r="O196" s="372"/>
      <c r="P196" s="366">
        <v>2015</v>
      </c>
      <c r="Q196" s="367">
        <f>LARGE($CB$153:$CB$302,44)</f>
        <v>114</v>
      </c>
      <c r="R196" s="357">
        <f t="shared" si="91"/>
        <v>-50.599999999999994</v>
      </c>
      <c r="S196" s="356">
        <f t="shared" si="92"/>
        <v>2560.3599999999992</v>
      </c>
      <c r="U196" s="356">
        <f t="shared" si="93"/>
        <v>-3.1624999999999996</v>
      </c>
      <c r="V196" s="238">
        <f t="shared" si="97"/>
        <v>8</v>
      </c>
      <c r="W196" s="354"/>
      <c r="X196" s="371"/>
      <c r="Y196" s="371"/>
      <c r="Z196" s="321">
        <v>2015</v>
      </c>
      <c r="AA196" s="367">
        <f>LARGE($CU$153:$CU$302,44)</f>
        <v>163.5</v>
      </c>
      <c r="AB196" s="357">
        <f t="shared" si="94"/>
        <v>-59.633333333333326</v>
      </c>
      <c r="AC196" s="356">
        <f t="shared" si="96"/>
        <v>3556.1344444444435</v>
      </c>
      <c r="AD196" s="356"/>
      <c r="AE196" s="356">
        <f t="shared" si="95"/>
        <v>-3.7270833333333329</v>
      </c>
      <c r="AF196" s="238">
        <f t="shared" si="98"/>
        <v>8</v>
      </c>
      <c r="AG196" s="354"/>
      <c r="AK196"/>
      <c r="AL196"/>
      <c r="AM196"/>
      <c r="AN196"/>
      <c r="AO196"/>
      <c r="AP196"/>
      <c r="AS196"/>
      <c r="AT196"/>
      <c r="AU196" s="366"/>
      <c r="AV196" s="418"/>
      <c r="AW196" s="426"/>
      <c r="AX196" s="426"/>
      <c r="AY196" s="426"/>
      <c r="AZ196" s="426"/>
      <c r="BI196" s="360"/>
      <c r="BJ196" s="354"/>
      <c r="BK196" s="366">
        <v>2015</v>
      </c>
      <c r="BL196" s="365" t="s">
        <v>988</v>
      </c>
      <c r="BM196" s="366" t="s">
        <v>162</v>
      </c>
      <c r="BN196" s="366" t="s">
        <v>3</v>
      </c>
      <c r="BO196" s="366">
        <v>0</v>
      </c>
      <c r="BP196" s="366">
        <v>0</v>
      </c>
      <c r="BQ196" s="366">
        <v>0</v>
      </c>
      <c r="BR196" s="366">
        <v>641</v>
      </c>
      <c r="BS196" s="366">
        <v>2</v>
      </c>
      <c r="BT196" s="366">
        <v>31</v>
      </c>
      <c r="BU196" s="371">
        <v>153</v>
      </c>
      <c r="BV196" s="371">
        <v>0</v>
      </c>
      <c r="BW196" s="366">
        <v>0</v>
      </c>
      <c r="BX196" s="366">
        <v>0</v>
      </c>
      <c r="BY196" s="366">
        <v>0</v>
      </c>
      <c r="BZ196" s="366">
        <v>0</v>
      </c>
      <c r="CA196" s="366">
        <v>0</v>
      </c>
      <c r="CB196" s="367">
        <f>IFERROR(BO196/Instructions!$J$25,0)+BP196*Instructions!$J$27+BQ196*Instructions!$J$29+IFERROR(BR196/Instructions!$E$34,0)+BS196*Instructions!$E$36+Tier!BT197*Instructions!$E$25+IFERROR(BU196/Instructions!$E$27,0)+BV196*Instructions!$E$29+IFERROR((BW196+BY196)/Instructions!$J$32,0)+(BX196+BZ196)*Instructions!$J$34+Tier!CA196*-2</f>
        <v>127.39999999999999</v>
      </c>
      <c r="CC196" s="354"/>
      <c r="CD196" s="321">
        <v>2015</v>
      </c>
      <c r="CE196" s="370" t="s">
        <v>131</v>
      </c>
      <c r="CF196" s="371" t="s">
        <v>147</v>
      </c>
      <c r="CG196" s="371" t="s">
        <v>6</v>
      </c>
      <c r="CH196" s="371">
        <v>0</v>
      </c>
      <c r="CI196" s="371">
        <v>0</v>
      </c>
      <c r="CJ196" s="371">
        <v>0</v>
      </c>
      <c r="CK196" s="371">
        <v>0</v>
      </c>
      <c r="CL196" s="371">
        <v>0</v>
      </c>
      <c r="CM196" s="371">
        <v>44</v>
      </c>
      <c r="CN196" s="371">
        <v>749</v>
      </c>
      <c r="CO196" s="371">
        <v>5</v>
      </c>
      <c r="CP196" s="371">
        <v>0</v>
      </c>
      <c r="CQ196" s="371">
        <v>0</v>
      </c>
      <c r="CR196" s="371">
        <v>105</v>
      </c>
      <c r="CS196" s="371">
        <v>0</v>
      </c>
      <c r="CT196" s="371">
        <v>0</v>
      </c>
      <c r="CU196" s="367">
        <f>IFERROR(CH196/Instructions!$J$25,0)+CI196*Instructions!$J$27+CJ196*Instructions!$J$29+IFERROR(CK196/Instructions!$E$34,0)+CL196*Instructions!$E$36+Tier!CM196*Instructions!$E$25+IFERROR(CN196/Instructions!$E$27,0)+CO196*Instructions!$E$29+IFERROR((CP196+CR196)/Instructions!$J$32,0)+(CQ196+CS196)*Instructions!$J$34+Tier!CT196*-2</f>
        <v>148.9</v>
      </c>
      <c r="CV196" s="354"/>
      <c r="CW196"/>
      <c r="CX196"/>
      <c r="CY196"/>
      <c r="CZ196"/>
      <c r="DA196"/>
      <c r="DB196"/>
      <c r="DC196"/>
      <c r="DD196"/>
      <c r="DE196"/>
      <c r="DF196"/>
      <c r="DG196"/>
      <c r="DH196"/>
      <c r="DI196"/>
      <c r="DJ196"/>
      <c r="DK196"/>
      <c r="DL196"/>
      <c r="DM196"/>
      <c r="DN196"/>
    </row>
    <row r="197" spans="3:118" s="238" customFormat="1" ht="15.75" customHeight="1" x14ac:dyDescent="0.25">
      <c r="C197"/>
      <c r="D197"/>
      <c r="E197"/>
      <c r="F197"/>
      <c r="G197"/>
      <c r="H197"/>
      <c r="I197"/>
      <c r="J197"/>
      <c r="K197"/>
      <c r="L197"/>
      <c r="M197"/>
      <c r="N197"/>
      <c r="O197" s="372"/>
      <c r="P197" s="366">
        <v>2015</v>
      </c>
      <c r="Q197" s="367">
        <f>LARGE($CB$153:$CB$302,45)</f>
        <v>113.10000000000001</v>
      </c>
      <c r="R197" s="357">
        <f t="shared" si="91"/>
        <v>-51.499999999999986</v>
      </c>
      <c r="S197" s="356">
        <f t="shared" si="92"/>
        <v>2652.2499999999986</v>
      </c>
      <c r="U197" s="356">
        <f t="shared" si="93"/>
        <v>-3.2187499999999991</v>
      </c>
      <c r="V197" s="238">
        <f t="shared" si="97"/>
        <v>8</v>
      </c>
      <c r="W197" s="354"/>
      <c r="X197" s="371"/>
      <c r="Y197" s="371"/>
      <c r="Z197" s="321">
        <v>2015</v>
      </c>
      <c r="AA197" s="367">
        <f>LARGE($CU$153:$CU$302,45)</f>
        <v>161.5</v>
      </c>
      <c r="AB197" s="357">
        <f t="shared" si="94"/>
        <v>-61.633333333333326</v>
      </c>
      <c r="AC197" s="356">
        <f t="shared" si="96"/>
        <v>3798.6677777777768</v>
      </c>
      <c r="AD197" s="356"/>
      <c r="AE197" s="356">
        <f t="shared" si="95"/>
        <v>-3.8520833333333329</v>
      </c>
      <c r="AF197" s="238">
        <f t="shared" si="98"/>
        <v>8</v>
      </c>
      <c r="AG197" s="354"/>
      <c r="AK197"/>
      <c r="AL197"/>
      <c r="AM197"/>
      <c r="AN197"/>
      <c r="AO197"/>
      <c r="AP197"/>
      <c r="AS197"/>
      <c r="AT197"/>
      <c r="AU197" s="366"/>
      <c r="AV197" s="418"/>
      <c r="AW197" s="426"/>
      <c r="AX197" s="426"/>
      <c r="AY197" s="426"/>
      <c r="AZ197" s="426"/>
      <c r="BI197" s="360"/>
      <c r="BJ197" s="354"/>
      <c r="BK197" s="366">
        <v>2015</v>
      </c>
      <c r="BL197" s="365" t="s">
        <v>1178</v>
      </c>
      <c r="BM197" s="366" t="s">
        <v>1628</v>
      </c>
      <c r="BN197" s="366" t="s">
        <v>3</v>
      </c>
      <c r="BO197" s="366">
        <v>0</v>
      </c>
      <c r="BP197" s="366">
        <v>0</v>
      </c>
      <c r="BQ197" s="366">
        <v>0</v>
      </c>
      <c r="BR197" s="366">
        <v>234</v>
      </c>
      <c r="BS197" s="366">
        <v>2</v>
      </c>
      <c r="BT197" s="366">
        <v>36</v>
      </c>
      <c r="BU197" s="371">
        <v>388</v>
      </c>
      <c r="BV197" s="371">
        <v>2</v>
      </c>
      <c r="BW197" s="366">
        <v>0</v>
      </c>
      <c r="BX197" s="366">
        <v>0</v>
      </c>
      <c r="BY197" s="366">
        <v>0</v>
      </c>
      <c r="BZ197" s="366">
        <v>0</v>
      </c>
      <c r="CA197" s="366">
        <v>1</v>
      </c>
      <c r="CB197" s="367">
        <f>IFERROR(BO197/Instructions!$J$25,0)+BP197*Instructions!$J$27+BQ197*Instructions!$J$29+IFERROR(BR197/Instructions!$E$34,0)+BS197*Instructions!$E$36+Tier!BT198*Instructions!$E$25+IFERROR(BU197/Instructions!$E$27,0)+BV197*Instructions!$E$29+IFERROR((BW197+BY197)/Instructions!$J$32,0)+(BX197+BZ197)*Instructions!$J$34+Tier!CA197*-2</f>
        <v>94.199999999999989</v>
      </c>
      <c r="CC197" s="354"/>
      <c r="CD197" s="321">
        <v>2015</v>
      </c>
      <c r="CE197" s="370" t="s">
        <v>33</v>
      </c>
      <c r="CF197" s="371" t="s">
        <v>141</v>
      </c>
      <c r="CG197" s="371" t="s">
        <v>6</v>
      </c>
      <c r="CH197" s="371">
        <v>0</v>
      </c>
      <c r="CI197" s="371">
        <v>0</v>
      </c>
      <c r="CJ197" s="371">
        <v>0</v>
      </c>
      <c r="CK197" s="371">
        <v>0</v>
      </c>
      <c r="CL197" s="371">
        <v>0</v>
      </c>
      <c r="CM197" s="371">
        <v>54</v>
      </c>
      <c r="CN197" s="371">
        <v>807</v>
      </c>
      <c r="CO197" s="371">
        <v>4</v>
      </c>
      <c r="CP197" s="371">
        <v>0</v>
      </c>
      <c r="CQ197" s="371">
        <v>0</v>
      </c>
      <c r="CR197" s="371">
        <v>0</v>
      </c>
      <c r="CS197" s="371">
        <v>0</v>
      </c>
      <c r="CT197" s="371">
        <v>0</v>
      </c>
      <c r="CU197" s="367">
        <f>IFERROR(CH197/Instructions!$J$25,0)+CI197*Instructions!$J$27+CJ197*Instructions!$J$29+IFERROR(CK197/Instructions!$E$34,0)+CL197*Instructions!$E$36+Tier!CM197*Instructions!$E$25+IFERROR(CN197/Instructions!$E$27,0)+CO197*Instructions!$E$29+IFERROR((CP197+CR197)/Instructions!$J$32,0)+(CQ197+CS197)*Instructions!$J$34+Tier!CT197*-2</f>
        <v>158.69999999999999</v>
      </c>
      <c r="CV197" s="354"/>
      <c r="CW197"/>
      <c r="CX197"/>
      <c r="CY197"/>
      <c r="CZ197"/>
      <c r="DA197"/>
      <c r="DB197"/>
      <c r="DC197"/>
      <c r="DD197"/>
      <c r="DE197"/>
      <c r="DF197"/>
      <c r="DG197"/>
      <c r="DH197"/>
      <c r="DI197"/>
      <c r="DJ197"/>
      <c r="DK197"/>
      <c r="DL197"/>
      <c r="DM197"/>
      <c r="DN197"/>
    </row>
    <row r="198" spans="3:118" s="238" customFormat="1" ht="15.75" customHeight="1" x14ac:dyDescent="0.25">
      <c r="C198"/>
      <c r="D198"/>
      <c r="E198"/>
      <c r="F198"/>
      <c r="G198"/>
      <c r="H198"/>
      <c r="I198"/>
      <c r="J198"/>
      <c r="K198"/>
      <c r="L198"/>
      <c r="M198"/>
      <c r="N198"/>
      <c r="O198" s="372"/>
      <c r="P198" s="366">
        <v>2015</v>
      </c>
      <c r="Q198" s="367">
        <f>LARGE($CB$153:$CB$302,46)</f>
        <v>110.6</v>
      </c>
      <c r="R198" s="357">
        <f t="shared" si="91"/>
        <v>-54</v>
      </c>
      <c r="S198" s="356">
        <f t="shared" si="92"/>
        <v>2916</v>
      </c>
      <c r="U198" s="356">
        <f t="shared" si="93"/>
        <v>-3.375</v>
      </c>
      <c r="V198" s="238">
        <f t="shared" si="97"/>
        <v>8</v>
      </c>
      <c r="W198" s="354"/>
      <c r="X198" s="371"/>
      <c r="Y198" s="371"/>
      <c r="Z198" s="321">
        <v>2015</v>
      </c>
      <c r="AA198" s="367">
        <f>LARGE($CU$153:$CU$302,46)</f>
        <v>158.69999999999999</v>
      </c>
      <c r="AB198" s="357">
        <f t="shared" si="94"/>
        <v>-64.433333333333337</v>
      </c>
      <c r="AC198" s="356">
        <f t="shared" si="96"/>
        <v>4151.6544444444453</v>
      </c>
      <c r="AD198" s="356"/>
      <c r="AE198" s="356">
        <f t="shared" si="95"/>
        <v>-4.0270833333333336</v>
      </c>
      <c r="AF198" s="238">
        <f t="shared" si="98"/>
        <v>8</v>
      </c>
      <c r="AG198" s="354"/>
      <c r="AK198"/>
      <c r="AL198"/>
      <c r="AM198"/>
      <c r="AN198"/>
      <c r="AO198"/>
      <c r="AP198"/>
      <c r="AS198"/>
      <c r="AT198"/>
      <c r="AU198" s="366"/>
      <c r="AV198" s="418"/>
      <c r="AW198" s="426"/>
      <c r="AX198" s="426"/>
      <c r="AY198" s="426"/>
      <c r="AZ198" s="426"/>
      <c r="BI198" s="360"/>
      <c r="BJ198" s="354"/>
      <c r="BK198" s="366">
        <v>2015</v>
      </c>
      <c r="BL198" s="365" t="s">
        <v>52</v>
      </c>
      <c r="BM198" s="366" t="s">
        <v>152</v>
      </c>
      <c r="BN198" s="366" t="s">
        <v>3</v>
      </c>
      <c r="BO198" s="366">
        <v>0</v>
      </c>
      <c r="BP198" s="366">
        <v>0</v>
      </c>
      <c r="BQ198" s="366">
        <v>0</v>
      </c>
      <c r="BR198" s="366">
        <v>751</v>
      </c>
      <c r="BS198" s="366">
        <v>1</v>
      </c>
      <c r="BT198" s="366">
        <v>10</v>
      </c>
      <c r="BU198" s="371">
        <v>55</v>
      </c>
      <c r="BV198" s="371">
        <v>0</v>
      </c>
      <c r="BW198" s="366">
        <v>0</v>
      </c>
      <c r="BX198" s="366">
        <v>0</v>
      </c>
      <c r="BY198" s="366">
        <v>0</v>
      </c>
      <c r="BZ198" s="366">
        <v>0</v>
      </c>
      <c r="CA198" s="366">
        <v>0</v>
      </c>
      <c r="CB198" s="367">
        <f>IFERROR(BO198/Instructions!$J$25,0)+BP198*Instructions!$J$27+BQ198*Instructions!$J$29+IFERROR(BR198/Instructions!$E$34,0)+BS198*Instructions!$E$36+Tier!BT199*Instructions!$E$25+IFERROR(BU198/Instructions!$E$27,0)+BV198*Instructions!$E$29+IFERROR((BW198+BY198)/Instructions!$J$32,0)+(BX198+BZ198)*Instructions!$J$34+Tier!CA198*-2</f>
        <v>110.6</v>
      </c>
      <c r="CC198" s="354"/>
      <c r="CD198" s="321">
        <v>2015</v>
      </c>
      <c r="CE198" s="370" t="s">
        <v>99</v>
      </c>
      <c r="CF198" s="371" t="s">
        <v>1630</v>
      </c>
      <c r="CG198" s="371" t="s">
        <v>6</v>
      </c>
      <c r="CH198" s="371">
        <v>0</v>
      </c>
      <c r="CI198" s="371">
        <v>0</v>
      </c>
      <c r="CJ198" s="371">
        <v>0</v>
      </c>
      <c r="CK198" s="371">
        <v>0</v>
      </c>
      <c r="CL198" s="371">
        <v>0</v>
      </c>
      <c r="CM198" s="371">
        <v>69</v>
      </c>
      <c r="CN198" s="371">
        <v>789</v>
      </c>
      <c r="CO198" s="371">
        <v>4</v>
      </c>
      <c r="CP198" s="371">
        <v>0</v>
      </c>
      <c r="CQ198" s="371">
        <v>0</v>
      </c>
      <c r="CR198" s="371">
        <v>0</v>
      </c>
      <c r="CS198" s="371">
        <v>0</v>
      </c>
      <c r="CT198" s="371">
        <v>1</v>
      </c>
      <c r="CU198" s="367">
        <f>IFERROR(CH198/Instructions!$J$25,0)+CI198*Instructions!$J$27+CJ198*Instructions!$J$29+IFERROR(CK198/Instructions!$E$34,0)+CL198*Instructions!$E$36+Tier!CM198*Instructions!$E$25+IFERROR(CN198/Instructions!$E$27,0)+CO198*Instructions!$E$29+IFERROR((CP198+CR198)/Instructions!$J$32,0)+(CQ198+CS198)*Instructions!$J$34+Tier!CT198*-2</f>
        <v>169.9</v>
      </c>
      <c r="CV198" s="354"/>
      <c r="CW198"/>
      <c r="CX198"/>
      <c r="CY198"/>
      <c r="CZ198"/>
      <c r="DA198"/>
      <c r="DB198"/>
      <c r="DC198"/>
      <c r="DD198"/>
      <c r="DE198"/>
      <c r="DF198"/>
      <c r="DG198"/>
      <c r="DH198"/>
      <c r="DI198"/>
      <c r="DJ198"/>
      <c r="DK198"/>
      <c r="DL198"/>
      <c r="DM198"/>
      <c r="DN198"/>
    </row>
    <row r="199" spans="3:118" s="238" customFormat="1" ht="15.75" customHeight="1" x14ac:dyDescent="0.25">
      <c r="C199"/>
      <c r="D199"/>
      <c r="E199"/>
      <c r="F199"/>
      <c r="G199"/>
      <c r="H199"/>
      <c r="I199"/>
      <c r="J199"/>
      <c r="K199"/>
      <c r="L199"/>
      <c r="M199"/>
      <c r="N199"/>
      <c r="O199" s="372"/>
      <c r="P199" s="366">
        <v>2015</v>
      </c>
      <c r="Q199" s="367">
        <f>LARGE($CB$153:$CB$302,47)</f>
        <v>109.3</v>
      </c>
      <c r="R199" s="357">
        <f t="shared" si="91"/>
        <v>-55.3</v>
      </c>
      <c r="S199" s="356">
        <f t="shared" si="92"/>
        <v>3058.0899999999997</v>
      </c>
      <c r="U199" s="356">
        <f t="shared" si="93"/>
        <v>-3.4562499999999998</v>
      </c>
      <c r="V199" s="238">
        <f t="shared" si="97"/>
        <v>8</v>
      </c>
      <c r="W199" s="354"/>
      <c r="X199" s="371"/>
      <c r="Y199" s="371"/>
      <c r="Z199" s="321">
        <v>2015</v>
      </c>
      <c r="AA199" s="367">
        <f>LARGE($CU$153:$CU$302,47)</f>
        <v>154</v>
      </c>
      <c r="AB199" s="357">
        <f t="shared" si="94"/>
        <v>-69.133333333333326</v>
      </c>
      <c r="AC199" s="356">
        <f t="shared" si="96"/>
        <v>4779.4177777777768</v>
      </c>
      <c r="AD199" s="356"/>
      <c r="AE199" s="356">
        <f t="shared" si="95"/>
        <v>-4.3208333333333329</v>
      </c>
      <c r="AF199" s="238">
        <f t="shared" si="98"/>
        <v>8</v>
      </c>
      <c r="AG199" s="354"/>
      <c r="AK199"/>
      <c r="AL199"/>
      <c r="AM199"/>
      <c r="AN199"/>
      <c r="AO199"/>
      <c r="AP199"/>
      <c r="BI199" s="360"/>
      <c r="BJ199" s="354"/>
      <c r="BK199" s="366">
        <v>2015</v>
      </c>
      <c r="BL199" s="365" t="s">
        <v>1631</v>
      </c>
      <c r="BM199" s="366" t="s">
        <v>147</v>
      </c>
      <c r="BN199" s="366" t="s">
        <v>3</v>
      </c>
      <c r="BO199" s="366">
        <v>0</v>
      </c>
      <c r="BP199" s="366">
        <v>0</v>
      </c>
      <c r="BQ199" s="366">
        <v>0</v>
      </c>
      <c r="BR199" s="366">
        <v>556</v>
      </c>
      <c r="BS199" s="366">
        <v>3</v>
      </c>
      <c r="BT199" s="366">
        <v>24</v>
      </c>
      <c r="BU199" s="371">
        <v>136</v>
      </c>
      <c r="BV199" s="371">
        <v>0</v>
      </c>
      <c r="BW199" s="366">
        <v>0</v>
      </c>
      <c r="BX199" s="366">
        <v>0</v>
      </c>
      <c r="BY199" s="366">
        <v>0</v>
      </c>
      <c r="BZ199" s="366">
        <v>0</v>
      </c>
      <c r="CA199" s="366">
        <v>0</v>
      </c>
      <c r="CB199" s="367">
        <f>IFERROR(BO199/Instructions!$J$25,0)+BP199*Instructions!$J$27+BQ199*Instructions!$J$29+IFERROR(BR199/Instructions!$E$34,0)+BS199*Instructions!$E$36+Tier!BT200*Instructions!$E$25+IFERROR(BU199/Instructions!$E$27,0)+BV199*Instructions!$E$29+IFERROR((BW199+BY199)/Instructions!$J$32,0)+(BX199+BZ199)*Instructions!$J$34+Tier!CA199*-2</f>
        <v>109.19999999999999</v>
      </c>
      <c r="CC199" s="354"/>
      <c r="CD199" s="321">
        <v>2015</v>
      </c>
      <c r="CE199" s="370" t="s">
        <v>96</v>
      </c>
      <c r="CF199" s="371" t="s">
        <v>146</v>
      </c>
      <c r="CG199" s="371" t="s">
        <v>6</v>
      </c>
      <c r="CH199" s="371">
        <v>0</v>
      </c>
      <c r="CI199" s="371">
        <v>0</v>
      </c>
      <c r="CJ199" s="371">
        <v>0</v>
      </c>
      <c r="CK199" s="371">
        <v>0</v>
      </c>
      <c r="CL199" s="371">
        <v>0</v>
      </c>
      <c r="CM199" s="371">
        <v>52</v>
      </c>
      <c r="CN199" s="371">
        <v>840</v>
      </c>
      <c r="CO199" s="371">
        <v>3</v>
      </c>
      <c r="CP199" s="371">
        <v>0</v>
      </c>
      <c r="CQ199" s="371">
        <v>0</v>
      </c>
      <c r="CR199" s="371">
        <v>9</v>
      </c>
      <c r="CS199" s="371">
        <v>0</v>
      </c>
      <c r="CT199" s="371">
        <v>0</v>
      </c>
      <c r="CU199" s="367">
        <f>IFERROR(CH199/Instructions!$J$25,0)+CI199*Instructions!$J$27+CJ199*Instructions!$J$29+IFERROR(CK199/Instructions!$E$34,0)+CL199*Instructions!$E$36+Tier!CM199*Instructions!$E$25+IFERROR(CN199/Instructions!$E$27,0)+CO199*Instructions!$E$29+IFERROR((CP199+CR199)/Instructions!$J$32,0)+(CQ199+CS199)*Instructions!$J$34+Tier!CT199*-2</f>
        <v>154</v>
      </c>
      <c r="CV199" s="354"/>
      <c r="CW199"/>
      <c r="CX199"/>
      <c r="CY199"/>
      <c r="CZ199"/>
      <c r="DA199"/>
      <c r="DB199"/>
      <c r="DC199"/>
      <c r="DD199"/>
      <c r="DE199"/>
      <c r="DF199"/>
      <c r="DG199"/>
      <c r="DH199"/>
      <c r="DI199"/>
      <c r="DJ199"/>
      <c r="DK199"/>
      <c r="DL199"/>
      <c r="DM199"/>
      <c r="DN199"/>
    </row>
    <row r="200" spans="3:118" s="238" customFormat="1" ht="15.75" customHeight="1" x14ac:dyDescent="0.25">
      <c r="C200"/>
      <c r="D200"/>
      <c r="E200"/>
      <c r="F200"/>
      <c r="G200"/>
      <c r="H200"/>
      <c r="I200"/>
      <c r="J200"/>
      <c r="K200"/>
      <c r="L200"/>
      <c r="M200"/>
      <c r="N200"/>
      <c r="O200" s="372"/>
      <c r="P200" s="366">
        <v>2015</v>
      </c>
      <c r="Q200" s="367">
        <f>LARGE($CB$153:$CB$302,48)</f>
        <v>109.19999999999999</v>
      </c>
      <c r="R200" s="357">
        <f t="shared" si="91"/>
        <v>-55.400000000000006</v>
      </c>
      <c r="S200" s="356">
        <f t="shared" si="92"/>
        <v>3069.1600000000008</v>
      </c>
      <c r="U200" s="356">
        <f t="shared" si="93"/>
        <v>-3.4625000000000004</v>
      </c>
      <c r="V200" s="238">
        <f t="shared" si="97"/>
        <v>8</v>
      </c>
      <c r="W200" s="354"/>
      <c r="X200" s="371"/>
      <c r="Y200" s="371"/>
      <c r="Z200" s="321">
        <v>2015</v>
      </c>
      <c r="AA200" s="367">
        <f>LARGE($CU$153:$CU$302,48)</f>
        <v>150.34</v>
      </c>
      <c r="AB200" s="357">
        <f t="shared" si="94"/>
        <v>-72.793333333333322</v>
      </c>
      <c r="AC200" s="356">
        <f t="shared" si="96"/>
        <v>5298.8693777777762</v>
      </c>
      <c r="AD200" s="356"/>
      <c r="AE200" s="356">
        <f t="shared" si="95"/>
        <v>-4.5495833333333326</v>
      </c>
      <c r="AF200" s="238">
        <f t="shared" si="98"/>
        <v>8</v>
      </c>
      <c r="AG200" s="354"/>
      <c r="AK200"/>
      <c r="AL200"/>
      <c r="AM200"/>
      <c r="AN200"/>
      <c r="AO200"/>
      <c r="AP200"/>
      <c r="BI200" s="360"/>
      <c r="BJ200" s="354"/>
      <c r="BK200" s="366">
        <v>2015</v>
      </c>
      <c r="BL200" s="365" t="s">
        <v>85</v>
      </c>
      <c r="BM200" s="366" t="s">
        <v>142</v>
      </c>
      <c r="BN200" s="366" t="s">
        <v>3</v>
      </c>
      <c r="BO200" s="366">
        <v>0</v>
      </c>
      <c r="BP200" s="366">
        <v>0</v>
      </c>
      <c r="BQ200" s="366">
        <v>0</v>
      </c>
      <c r="BR200" s="366">
        <v>311</v>
      </c>
      <c r="BS200" s="366">
        <v>4</v>
      </c>
      <c r="BT200" s="366">
        <v>22</v>
      </c>
      <c r="BU200" s="371">
        <v>286</v>
      </c>
      <c r="BV200" s="371">
        <v>0</v>
      </c>
      <c r="BW200" s="366">
        <v>0</v>
      </c>
      <c r="BX200" s="366">
        <v>0</v>
      </c>
      <c r="BY200" s="366">
        <v>11</v>
      </c>
      <c r="BZ200" s="366">
        <v>0</v>
      </c>
      <c r="CA200" s="366">
        <v>0</v>
      </c>
      <c r="CB200" s="367">
        <f>IFERROR(BO200/Instructions!$J$25,0)+BP200*Instructions!$J$27+BQ200*Instructions!$J$29+IFERROR(BR200/Instructions!$E$34,0)+BS200*Instructions!$E$36+Tier!BT201*Instructions!$E$25+IFERROR(BU200/Instructions!$E$27,0)+BV200*Instructions!$E$29+IFERROR((BW200+BY200)/Instructions!$J$32,0)+(BX200+BZ200)*Instructions!$J$34+Tier!CA200*-2</f>
        <v>104.69999999999999</v>
      </c>
      <c r="CC200" s="354"/>
      <c r="CD200" s="321">
        <v>2015</v>
      </c>
      <c r="CE200" s="370" t="s">
        <v>112</v>
      </c>
      <c r="CF200" s="371" t="s">
        <v>1628</v>
      </c>
      <c r="CG200" s="371" t="s">
        <v>6</v>
      </c>
      <c r="CH200" s="371">
        <v>36</v>
      </c>
      <c r="CI200" s="371">
        <v>0</v>
      </c>
      <c r="CJ200" s="371">
        <v>0</v>
      </c>
      <c r="CK200" s="371">
        <v>11</v>
      </c>
      <c r="CL200" s="371">
        <v>0</v>
      </c>
      <c r="CM200" s="371">
        <v>65</v>
      </c>
      <c r="CN200" s="371">
        <v>648</v>
      </c>
      <c r="CO200" s="371">
        <v>3</v>
      </c>
      <c r="CP200" s="371">
        <v>276</v>
      </c>
      <c r="CQ200" s="371">
        <v>0</v>
      </c>
      <c r="CR200" s="371">
        <v>172</v>
      </c>
      <c r="CS200" s="371">
        <v>0</v>
      </c>
      <c r="CT200" s="371">
        <v>0</v>
      </c>
      <c r="CU200" s="367">
        <f>IFERROR(CH200/Instructions!$J$25,0)+CI200*Instructions!$J$27+CJ200*Instructions!$J$29+IFERROR(CK200/Instructions!$E$34,0)+CL200*Instructions!$E$36+Tier!CM200*Instructions!$E$25+IFERROR(CN200/Instructions!$E$27,0)+CO200*Instructions!$E$29+IFERROR((CP200+CR200)/Instructions!$J$32,0)+(CQ200+CS200)*Instructions!$J$34+Tier!CT200*-2</f>
        <v>150.34</v>
      </c>
      <c r="CV200" s="354"/>
      <c r="CW200"/>
      <c r="CX200"/>
      <c r="CY200"/>
      <c r="CZ200"/>
      <c r="DA200"/>
      <c r="DB200"/>
      <c r="DC200"/>
      <c r="DD200"/>
      <c r="DE200"/>
      <c r="DF200"/>
      <c r="DG200"/>
      <c r="DH200"/>
      <c r="DI200"/>
      <c r="DJ200"/>
      <c r="DK200"/>
      <c r="DL200"/>
      <c r="DM200"/>
      <c r="DN200"/>
    </row>
    <row r="201" spans="3:118" s="238" customFormat="1" ht="15.75" customHeight="1" x14ac:dyDescent="0.25">
      <c r="C201"/>
      <c r="D201"/>
      <c r="E201"/>
      <c r="F201"/>
      <c r="G201"/>
      <c r="H201"/>
      <c r="I201"/>
      <c r="J201"/>
      <c r="K201"/>
      <c r="L201"/>
      <c r="M201"/>
      <c r="N201"/>
      <c r="O201" s="372"/>
      <c r="P201" s="366">
        <v>2015</v>
      </c>
      <c r="Q201" s="367">
        <f>LARGE($CB$153:$CB$302,49)</f>
        <v>104.69999999999999</v>
      </c>
      <c r="R201" s="357">
        <f t="shared" si="91"/>
        <v>-59.900000000000006</v>
      </c>
      <c r="S201" s="356">
        <f t="shared" si="92"/>
        <v>3588.0100000000007</v>
      </c>
      <c r="U201" s="356">
        <f t="shared" si="93"/>
        <v>-3.7437500000000004</v>
      </c>
      <c r="V201" s="238">
        <f t="shared" si="97"/>
        <v>8</v>
      </c>
      <c r="W201" s="354"/>
      <c r="X201" s="371"/>
      <c r="Y201" s="371"/>
      <c r="Z201" s="321">
        <v>2015</v>
      </c>
      <c r="AA201" s="367">
        <f>LARGE($CU$153:$CU$302,49)</f>
        <v>149.30000000000001</v>
      </c>
      <c r="AB201" s="357">
        <f t="shared" si="94"/>
        <v>-73.833333333333314</v>
      </c>
      <c r="AC201" s="356">
        <f t="shared" si="96"/>
        <v>5451.3611111111086</v>
      </c>
      <c r="AD201" s="356"/>
      <c r="AE201" s="356">
        <f t="shared" si="95"/>
        <v>-4.6145833333333321</v>
      </c>
      <c r="AF201" s="238">
        <f t="shared" si="98"/>
        <v>8</v>
      </c>
      <c r="AG201" s="354"/>
      <c r="AK201"/>
      <c r="AL201"/>
      <c r="AM201"/>
      <c r="AN201"/>
      <c r="AO201"/>
      <c r="AP201"/>
      <c r="BI201" s="360"/>
      <c r="BJ201" s="354"/>
      <c r="BK201" s="366">
        <v>2015</v>
      </c>
      <c r="BL201" s="365" t="s">
        <v>4</v>
      </c>
      <c r="BM201" s="366" t="s">
        <v>1629</v>
      </c>
      <c r="BN201" s="366" t="s">
        <v>3</v>
      </c>
      <c r="BO201" s="366">
        <v>0</v>
      </c>
      <c r="BP201" s="366">
        <v>0</v>
      </c>
      <c r="BQ201" s="366">
        <v>0</v>
      </c>
      <c r="BR201" s="366">
        <v>364</v>
      </c>
      <c r="BS201" s="366">
        <v>4</v>
      </c>
      <c r="BT201" s="366">
        <v>21</v>
      </c>
      <c r="BU201" s="366">
        <v>177</v>
      </c>
      <c r="BV201" s="366">
        <v>1</v>
      </c>
      <c r="BW201" s="366">
        <v>0</v>
      </c>
      <c r="BX201" s="366">
        <v>0</v>
      </c>
      <c r="BY201" s="366">
        <v>0</v>
      </c>
      <c r="BZ201" s="366">
        <v>0</v>
      </c>
      <c r="CA201" s="366">
        <v>2</v>
      </c>
      <c r="CB201" s="367">
        <f>IFERROR(BO201/Instructions!$J$25,0)+BP201*Instructions!$J$27+BQ201*Instructions!$J$29+IFERROR(BR201/Instructions!$E$34,0)+BS201*Instructions!$E$36+Tier!BT202*Instructions!$E$25+IFERROR(BU201/Instructions!$E$27,0)+BV201*Instructions!$E$29+IFERROR((BW201+BY201)/Instructions!$J$32,0)+(BX201+BZ201)*Instructions!$J$34+Tier!CA201*-2</f>
        <v>113.10000000000001</v>
      </c>
      <c r="CC201" s="354"/>
      <c r="CD201" s="321">
        <v>2015</v>
      </c>
      <c r="CE201" s="370" t="s">
        <v>204</v>
      </c>
      <c r="CF201" s="371" t="s">
        <v>140</v>
      </c>
      <c r="CG201" s="371" t="s">
        <v>6</v>
      </c>
      <c r="CH201" s="371">
        <v>0</v>
      </c>
      <c r="CI201" s="371">
        <v>0</v>
      </c>
      <c r="CJ201" s="371">
        <v>0</v>
      </c>
      <c r="CK201" s="371">
        <v>0</v>
      </c>
      <c r="CL201" s="371">
        <v>0</v>
      </c>
      <c r="CM201" s="371">
        <v>49</v>
      </c>
      <c r="CN201" s="371">
        <v>685</v>
      </c>
      <c r="CO201" s="371">
        <v>5</v>
      </c>
      <c r="CP201" s="371">
        <v>0</v>
      </c>
      <c r="CQ201" s="371">
        <v>0</v>
      </c>
      <c r="CR201" s="371">
        <v>0</v>
      </c>
      <c r="CS201" s="371">
        <v>0</v>
      </c>
      <c r="CT201" s="371">
        <v>0</v>
      </c>
      <c r="CU201" s="367">
        <f>IFERROR(CH201/Instructions!$J$25,0)+CI201*Instructions!$J$27+CJ201*Instructions!$J$29+IFERROR(CK201/Instructions!$E$34,0)+CL201*Instructions!$E$36+Tier!CM201*Instructions!$E$25+IFERROR(CN201/Instructions!$E$27,0)+CO201*Instructions!$E$29+IFERROR((CP201+CR201)/Instructions!$J$32,0)+(CQ201+CS201)*Instructions!$J$34+Tier!CT201*-2</f>
        <v>147.5</v>
      </c>
      <c r="CV201" s="354"/>
      <c r="CW201"/>
      <c r="CX201"/>
      <c r="CY201"/>
      <c r="CZ201"/>
      <c r="DA201"/>
      <c r="DB201"/>
      <c r="DC201"/>
      <c r="DD201"/>
      <c r="DE201"/>
      <c r="DF201"/>
      <c r="DG201"/>
      <c r="DH201"/>
      <c r="DI201"/>
      <c r="DJ201"/>
      <c r="DK201"/>
      <c r="DL201"/>
      <c r="DM201"/>
      <c r="DN201"/>
    </row>
    <row r="202" spans="3:118" s="238" customFormat="1" ht="15.75" customHeight="1" x14ac:dyDescent="0.25">
      <c r="C202"/>
      <c r="D202"/>
      <c r="E202"/>
      <c r="F202"/>
      <c r="G202"/>
      <c r="H202"/>
      <c r="I202"/>
      <c r="J202"/>
      <c r="K202"/>
      <c r="L202"/>
      <c r="M202"/>
      <c r="N202"/>
      <c r="O202" s="372"/>
      <c r="P202" s="366">
        <v>2015</v>
      </c>
      <c r="Q202" s="367">
        <f>LARGE($CB$153:$CB$302,50)</f>
        <v>96.3</v>
      </c>
      <c r="R202" s="357">
        <f t="shared" si="91"/>
        <v>-68.3</v>
      </c>
      <c r="S202" s="356">
        <f t="shared" si="92"/>
        <v>4664.8899999999994</v>
      </c>
      <c r="U202" s="356">
        <f t="shared" si="93"/>
        <v>-4.2687499999999998</v>
      </c>
      <c r="V202" s="238">
        <f t="shared" si="97"/>
        <v>8</v>
      </c>
      <c r="W202" s="354"/>
      <c r="X202" s="371"/>
      <c r="Y202" s="371"/>
      <c r="Z202" s="321">
        <v>2015</v>
      </c>
      <c r="AA202" s="367">
        <f>LARGE($CU$153:$CU$302,50)</f>
        <v>148.9</v>
      </c>
      <c r="AB202" s="357">
        <f t="shared" si="94"/>
        <v>-74.23333333333332</v>
      </c>
      <c r="AC202" s="356">
        <f t="shared" si="96"/>
        <v>5510.587777777776</v>
      </c>
      <c r="AD202" s="356"/>
      <c r="AE202" s="356">
        <f t="shared" si="95"/>
        <v>-4.6395833333333325</v>
      </c>
      <c r="AF202" s="238">
        <f t="shared" si="98"/>
        <v>8</v>
      </c>
      <c r="AG202" s="354"/>
      <c r="AK202"/>
      <c r="AL202"/>
      <c r="AM202"/>
      <c r="AN202"/>
      <c r="AO202"/>
      <c r="AP202"/>
      <c r="BI202" s="360"/>
      <c r="BJ202" s="354"/>
      <c r="BK202" s="366">
        <v>2015</v>
      </c>
      <c r="BL202" s="365" t="s">
        <v>1126</v>
      </c>
      <c r="BM202" s="366" t="s">
        <v>1626</v>
      </c>
      <c r="BN202" s="366" t="s">
        <v>3</v>
      </c>
      <c r="BO202" s="366">
        <v>0</v>
      </c>
      <c r="BP202" s="366">
        <v>0</v>
      </c>
      <c r="BQ202" s="366">
        <v>0</v>
      </c>
      <c r="BR202" s="366">
        <v>641</v>
      </c>
      <c r="BS202" s="366">
        <v>0</v>
      </c>
      <c r="BT202" s="366">
        <v>33</v>
      </c>
      <c r="BU202" s="366">
        <v>192</v>
      </c>
      <c r="BV202" s="366">
        <v>0</v>
      </c>
      <c r="BW202" s="366">
        <v>0</v>
      </c>
      <c r="BX202" s="366">
        <v>0</v>
      </c>
      <c r="BY202" s="366">
        <v>0</v>
      </c>
      <c r="BZ202" s="366">
        <v>0</v>
      </c>
      <c r="CA202" s="366">
        <v>4</v>
      </c>
      <c r="CB202" s="367">
        <f>IFERROR(BO202/Instructions!$J$25,0)+BP202*Instructions!$J$27+BQ202*Instructions!$J$29+IFERROR(BR202/Instructions!$E$34,0)+BS202*Instructions!$E$36+Tier!BT203*Instructions!$E$25+IFERROR(BU202/Instructions!$E$27,0)+BV202*Instructions!$E$29+IFERROR((BW202+BY202)/Instructions!$J$32,0)+(BX202+BZ202)*Instructions!$J$34+Tier!CA202*-2</f>
        <v>115.3</v>
      </c>
      <c r="CC202" s="354"/>
      <c r="CD202" s="321">
        <v>2015</v>
      </c>
      <c r="CE202" s="370" t="s">
        <v>48</v>
      </c>
      <c r="CF202" s="371" t="s">
        <v>137</v>
      </c>
      <c r="CG202" s="371" t="s">
        <v>6</v>
      </c>
      <c r="CH202" s="371">
        <v>0</v>
      </c>
      <c r="CI202" s="371">
        <v>0</v>
      </c>
      <c r="CJ202" s="371">
        <v>0</v>
      </c>
      <c r="CK202" s="371">
        <v>0</v>
      </c>
      <c r="CL202" s="371">
        <v>0</v>
      </c>
      <c r="CM202" s="371">
        <v>75</v>
      </c>
      <c r="CN202" s="371">
        <v>853</v>
      </c>
      <c r="CO202" s="371">
        <v>2</v>
      </c>
      <c r="CP202" s="371">
        <v>0</v>
      </c>
      <c r="CQ202" s="371">
        <v>0</v>
      </c>
      <c r="CR202" s="371">
        <v>9</v>
      </c>
      <c r="CS202" s="371">
        <v>0</v>
      </c>
      <c r="CT202" s="371">
        <v>1</v>
      </c>
      <c r="CU202" s="367">
        <f>IFERROR(CH202/Instructions!$J$25,0)+CI202*Instructions!$J$27+CJ202*Instructions!$J$29+IFERROR(CK202/Instructions!$E$34,0)+CL202*Instructions!$E$36+Tier!CM202*Instructions!$E$25+IFERROR(CN202/Instructions!$E$27,0)+CO202*Instructions!$E$29+IFERROR((CP202+CR202)/Instructions!$J$32,0)+(CQ202+CS202)*Instructions!$J$34+Tier!CT202*-2</f>
        <v>170.3</v>
      </c>
      <c r="CV202" s="354"/>
      <c r="CW202"/>
      <c r="CX202"/>
      <c r="CY202"/>
      <c r="CZ202"/>
      <c r="DA202"/>
      <c r="DB202"/>
      <c r="DC202"/>
      <c r="DD202"/>
      <c r="DE202"/>
      <c r="DF202"/>
      <c r="DG202"/>
      <c r="DH202"/>
      <c r="DI202"/>
      <c r="DJ202"/>
      <c r="DK202"/>
      <c r="DL202"/>
      <c r="DM202"/>
      <c r="DN202"/>
    </row>
    <row r="203" spans="3:118" s="238" customFormat="1" ht="15.75" customHeight="1" x14ac:dyDescent="0.25">
      <c r="C203"/>
      <c r="D203"/>
      <c r="E203"/>
      <c r="F203"/>
      <c r="G203"/>
      <c r="H203"/>
      <c r="I203"/>
      <c r="J203"/>
      <c r="K203"/>
      <c r="L203"/>
      <c r="M203"/>
      <c r="N203"/>
      <c r="O203" s="372"/>
      <c r="P203" s="366">
        <v>2015</v>
      </c>
      <c r="Q203" s="367">
        <f>LARGE($CB$153:$CB$302,51)</f>
        <v>96</v>
      </c>
      <c r="R203" s="357">
        <f t="shared" si="91"/>
        <v>-68.599999999999994</v>
      </c>
      <c r="S203" s="356">
        <f>R203^2</f>
        <v>4705.9599999999991</v>
      </c>
      <c r="T203" s="356"/>
      <c r="U203" s="356">
        <f t="shared" si="93"/>
        <v>-4.2874999999999996</v>
      </c>
      <c r="V203" s="238">
        <f t="shared" si="97"/>
        <v>8</v>
      </c>
      <c r="W203" s="354"/>
      <c r="X203" s="371"/>
      <c r="Y203" s="371"/>
      <c r="Z203" s="321">
        <v>2015</v>
      </c>
      <c r="AA203" s="367">
        <f>LARGE($CU$153:$CU$302,51)</f>
        <v>147.5</v>
      </c>
      <c r="AB203" s="357">
        <f t="shared" si="94"/>
        <v>-75.633333333333326</v>
      </c>
      <c r="AC203" s="356">
        <f t="shared" si="96"/>
        <v>5720.4011111111104</v>
      </c>
      <c r="AD203" s="356"/>
      <c r="AE203" s="356">
        <f t="shared" si="95"/>
        <v>-4.7270833333333329</v>
      </c>
      <c r="AF203" s="238">
        <f t="shared" si="98"/>
        <v>8</v>
      </c>
      <c r="AG203" s="354"/>
      <c r="AK203"/>
      <c r="AL203"/>
      <c r="AM203"/>
      <c r="AN203"/>
      <c r="AO203"/>
      <c r="AP203"/>
      <c r="BI203" s="360"/>
      <c r="BJ203" s="354"/>
      <c r="BK203" s="366">
        <v>2015</v>
      </c>
      <c r="BL203" s="365" t="s">
        <v>185</v>
      </c>
      <c r="BM203" s="366" t="s">
        <v>1628</v>
      </c>
      <c r="BN203" s="366" t="s">
        <v>3</v>
      </c>
      <c r="BO203" s="366">
        <v>0</v>
      </c>
      <c r="BP203" s="366">
        <v>0</v>
      </c>
      <c r="BQ203" s="366">
        <v>0</v>
      </c>
      <c r="BR203" s="366">
        <v>56</v>
      </c>
      <c r="BS203" s="366">
        <v>2</v>
      </c>
      <c r="BT203" s="366">
        <v>40</v>
      </c>
      <c r="BU203" s="371">
        <v>410</v>
      </c>
      <c r="BV203" s="371">
        <v>4</v>
      </c>
      <c r="BW203" s="366">
        <v>0</v>
      </c>
      <c r="BX203" s="366">
        <v>0</v>
      </c>
      <c r="BY203" s="366">
        <v>0</v>
      </c>
      <c r="BZ203" s="366">
        <v>0</v>
      </c>
      <c r="CA203" s="366">
        <v>0</v>
      </c>
      <c r="CB203" s="367">
        <f>IFERROR(BO203/Instructions!$J$25,0)+BP203*Instructions!$J$27+BQ203*Instructions!$J$29+IFERROR(BR203/Instructions!$E$34,0)+BS203*Instructions!$E$36+Tier!BT204*Instructions!$E$25+IFERROR(BU203/Instructions!$E$27,0)+BV203*Instructions!$E$29+IFERROR((BW203+BY203)/Instructions!$J$32,0)+(BX203+BZ203)*Instructions!$J$34+Tier!CA203*-2</f>
        <v>88.6</v>
      </c>
      <c r="CC203" s="354"/>
      <c r="CD203" s="321">
        <v>2015</v>
      </c>
      <c r="CE203" s="370" t="s">
        <v>1124</v>
      </c>
      <c r="CF203" s="371" t="s">
        <v>138</v>
      </c>
      <c r="CG203" s="371" t="s">
        <v>6</v>
      </c>
      <c r="CH203" s="371">
        <v>0</v>
      </c>
      <c r="CI203" s="371">
        <v>0</v>
      </c>
      <c r="CJ203" s="371">
        <v>0</v>
      </c>
      <c r="CK203" s="371">
        <v>13</v>
      </c>
      <c r="CL203" s="371">
        <v>0</v>
      </c>
      <c r="CM203" s="371">
        <v>52</v>
      </c>
      <c r="CN203" s="371">
        <v>720</v>
      </c>
      <c r="CO203" s="371">
        <v>4</v>
      </c>
      <c r="CP203" s="371">
        <v>0</v>
      </c>
      <c r="CQ203" s="371">
        <v>0</v>
      </c>
      <c r="CR203" s="371">
        <v>22</v>
      </c>
      <c r="CS203" s="371">
        <v>0</v>
      </c>
      <c r="CT203" s="371">
        <v>0</v>
      </c>
      <c r="CU203" s="367">
        <f>IFERROR(CH203/Instructions!$J$25,0)+CI203*Instructions!$J$27+CJ203*Instructions!$J$29+IFERROR(CK203/Instructions!$E$34,0)+CL203*Instructions!$E$36+Tier!CM203*Instructions!$E$25+IFERROR(CN203/Instructions!$E$27,0)+CO203*Instructions!$E$29+IFERROR((CP203+CR203)/Instructions!$J$32,0)+(CQ203+CS203)*Instructions!$J$34+Tier!CT203*-2</f>
        <v>149.30000000000001</v>
      </c>
      <c r="CV203" s="354"/>
      <c r="CW203"/>
      <c r="CX203"/>
      <c r="CY203"/>
      <c r="CZ203"/>
      <c r="DA203"/>
      <c r="DB203"/>
      <c r="DC203"/>
      <c r="DD203"/>
      <c r="DE203"/>
      <c r="DF203"/>
      <c r="DG203"/>
      <c r="DH203"/>
      <c r="DI203"/>
      <c r="DJ203"/>
      <c r="DK203"/>
      <c r="DL203"/>
      <c r="DM203"/>
      <c r="DN203"/>
    </row>
    <row r="204" spans="3:118" s="238" customFormat="1" ht="15.75" customHeight="1" x14ac:dyDescent="0.25">
      <c r="C204"/>
      <c r="D204"/>
      <c r="E204"/>
      <c r="F204"/>
      <c r="G204"/>
      <c r="H204"/>
      <c r="I204"/>
      <c r="J204"/>
      <c r="K204"/>
      <c r="L204"/>
      <c r="M204"/>
      <c r="N204"/>
      <c r="O204" s="372"/>
      <c r="P204" s="366">
        <v>2015</v>
      </c>
      <c r="Q204" s="367">
        <f>LARGE($CB$153:$CB$302,52)</f>
        <v>94.7</v>
      </c>
      <c r="R204" s="357">
        <f t="shared" si="91"/>
        <v>-69.899999999999991</v>
      </c>
      <c r="S204" s="356">
        <f t="shared" ref="S204:S267" si="99">R204^2</f>
        <v>4886.0099999999984</v>
      </c>
      <c r="T204" s="356"/>
      <c r="U204" s="356">
        <f t="shared" si="93"/>
        <v>-4.3687499999999995</v>
      </c>
      <c r="V204" s="238">
        <f t="shared" si="97"/>
        <v>8</v>
      </c>
      <c r="W204" s="354"/>
      <c r="X204" s="371"/>
      <c r="Y204" s="371"/>
      <c r="Z204" s="321">
        <v>2015</v>
      </c>
      <c r="AA204" s="367">
        <f>LARGE($CU$153:$CU$302,52)</f>
        <v>136.80000000000001</v>
      </c>
      <c r="AB204" s="357">
        <f t="shared" si="94"/>
        <v>-86.333333333333314</v>
      </c>
      <c r="AC204" s="356">
        <f t="shared" si="96"/>
        <v>7453.4444444444416</v>
      </c>
      <c r="AD204" s="356"/>
      <c r="AE204" s="356">
        <f t="shared" si="95"/>
        <v>-5.3958333333333321</v>
      </c>
      <c r="AF204" s="238">
        <f t="shared" si="98"/>
        <v>8</v>
      </c>
      <c r="AG204" s="354"/>
      <c r="AK204"/>
      <c r="AL204"/>
      <c r="AM204"/>
      <c r="AN204"/>
      <c r="AO204"/>
      <c r="AP204"/>
      <c r="BI204" s="360"/>
      <c r="BJ204" s="354"/>
      <c r="BK204" s="366">
        <v>2015</v>
      </c>
      <c r="BL204" s="365" t="s">
        <v>1199</v>
      </c>
      <c r="BM204" s="366" t="s">
        <v>1629</v>
      </c>
      <c r="BN204" s="366" t="s">
        <v>3</v>
      </c>
      <c r="BO204" s="366">
        <v>0</v>
      </c>
      <c r="BP204" s="366">
        <v>0</v>
      </c>
      <c r="BQ204" s="366">
        <v>0</v>
      </c>
      <c r="BR204" s="366">
        <v>403</v>
      </c>
      <c r="BS204" s="366">
        <v>6</v>
      </c>
      <c r="BT204" s="366">
        <v>6</v>
      </c>
      <c r="BU204" s="366">
        <v>5</v>
      </c>
      <c r="BV204" s="366">
        <v>0</v>
      </c>
      <c r="BW204" s="366">
        <v>0</v>
      </c>
      <c r="BX204" s="366">
        <v>0</v>
      </c>
      <c r="BY204" s="366">
        <v>14</v>
      </c>
      <c r="BZ204" s="366">
        <v>0</v>
      </c>
      <c r="CA204" s="366">
        <v>0</v>
      </c>
      <c r="CB204" s="367">
        <f>IFERROR(BO204/Instructions!$J$25,0)+BP204*Instructions!$J$27+BQ204*Instructions!$J$29+IFERROR(BR204/Instructions!$E$34,0)+BS204*Instructions!$E$36+Tier!BT205*Instructions!$E$25+IFERROR(BU204/Instructions!$E$27,0)+BV204*Instructions!$E$29+IFERROR((BW204+BY204)/Instructions!$J$32,0)+(BX204+BZ204)*Instructions!$J$34+Tier!CA204*-2</f>
        <v>88.8</v>
      </c>
      <c r="CC204" s="354"/>
      <c r="CD204" s="321">
        <v>2015</v>
      </c>
      <c r="CE204" s="370" t="s">
        <v>53</v>
      </c>
      <c r="CF204" s="371" t="s">
        <v>1626</v>
      </c>
      <c r="CG204" s="371" t="s">
        <v>6</v>
      </c>
      <c r="CH204" s="371">
        <v>0</v>
      </c>
      <c r="CI204" s="371">
        <v>0</v>
      </c>
      <c r="CJ204" s="371">
        <v>0</v>
      </c>
      <c r="CK204" s="371">
        <v>0</v>
      </c>
      <c r="CL204" s="371">
        <v>0</v>
      </c>
      <c r="CM204" s="371">
        <v>67</v>
      </c>
      <c r="CN204" s="371">
        <v>725</v>
      </c>
      <c r="CO204" s="371">
        <v>4</v>
      </c>
      <c r="CP204" s="371">
        <v>5</v>
      </c>
      <c r="CQ204" s="371">
        <v>0</v>
      </c>
      <c r="CR204" s="371">
        <v>0</v>
      </c>
      <c r="CS204" s="371">
        <v>0</v>
      </c>
      <c r="CT204" s="371">
        <v>0</v>
      </c>
      <c r="CU204" s="367">
        <f>IFERROR(CH204/Instructions!$J$25,0)+CI204*Instructions!$J$27+CJ204*Instructions!$J$29+IFERROR(CK204/Instructions!$E$34,0)+CL204*Instructions!$E$36+Tier!CM204*Instructions!$E$25+IFERROR(CN204/Instructions!$E$27,0)+CO204*Instructions!$E$29+IFERROR((CP204+CR204)/Instructions!$J$32,0)+(CQ204+CS204)*Instructions!$J$34+Tier!CT204*-2</f>
        <v>163.5</v>
      </c>
      <c r="CV204" s="354"/>
      <c r="CW204"/>
      <c r="CX204"/>
      <c r="CY204"/>
      <c r="CZ204"/>
      <c r="DA204"/>
      <c r="DB204"/>
      <c r="DC204"/>
      <c r="DD204"/>
      <c r="DE204"/>
      <c r="DF204"/>
      <c r="DG204"/>
      <c r="DH204"/>
      <c r="DI204"/>
      <c r="DJ204"/>
      <c r="DK204"/>
      <c r="DL204"/>
      <c r="DM204"/>
      <c r="DN204"/>
    </row>
    <row r="205" spans="3:118" s="238" customFormat="1" ht="15.75" customHeight="1" x14ac:dyDescent="0.25">
      <c r="C205"/>
      <c r="D205"/>
      <c r="E205"/>
      <c r="F205"/>
      <c r="G205"/>
      <c r="H205"/>
      <c r="I205"/>
      <c r="J205"/>
      <c r="K205"/>
      <c r="L205"/>
      <c r="M205"/>
      <c r="N205"/>
      <c r="O205" s="372"/>
      <c r="P205" s="366">
        <v>2015</v>
      </c>
      <c r="Q205" s="367">
        <f>LARGE($CB$153:$CB$302,53)</f>
        <v>94.199999999999989</v>
      </c>
      <c r="R205" s="357">
        <f t="shared" si="91"/>
        <v>-70.400000000000006</v>
      </c>
      <c r="S205" s="356">
        <f t="shared" si="99"/>
        <v>4956.1600000000008</v>
      </c>
      <c r="U205" s="356">
        <f t="shared" si="93"/>
        <v>-4.4000000000000004</v>
      </c>
      <c r="V205" s="238">
        <f t="shared" si="97"/>
        <v>8</v>
      </c>
      <c r="W205" s="354"/>
      <c r="X205" s="371"/>
      <c r="Y205" s="371"/>
      <c r="Z205" s="321">
        <v>2015</v>
      </c>
      <c r="AA205" s="367">
        <f>LARGE($CU$153:$CU$302,53)</f>
        <v>133.6</v>
      </c>
      <c r="AB205" s="357">
        <f t="shared" si="94"/>
        <v>-89.533333333333331</v>
      </c>
      <c r="AC205" s="356">
        <f t="shared" si="96"/>
        <v>8016.2177777777779</v>
      </c>
      <c r="AD205" s="356"/>
      <c r="AE205" s="356">
        <f t="shared" si="95"/>
        <v>-5.5958333333333332</v>
      </c>
      <c r="AF205" s="238">
        <f t="shared" si="98"/>
        <v>8</v>
      </c>
      <c r="AG205" s="354"/>
      <c r="AK205"/>
      <c r="AL205"/>
      <c r="AM205"/>
      <c r="AN205"/>
      <c r="AO205"/>
      <c r="AP205"/>
      <c r="BI205" s="360"/>
      <c r="BJ205" s="354"/>
      <c r="BK205" s="366">
        <v>2015</v>
      </c>
      <c r="BL205" s="365" t="s">
        <v>1162</v>
      </c>
      <c r="BM205" s="366" t="s">
        <v>1625</v>
      </c>
      <c r="BN205" s="366" t="s">
        <v>3</v>
      </c>
      <c r="BO205" s="366">
        <v>0</v>
      </c>
      <c r="BP205" s="366">
        <v>0</v>
      </c>
      <c r="BQ205" s="366">
        <v>0</v>
      </c>
      <c r="BR205" s="366">
        <v>375</v>
      </c>
      <c r="BS205" s="366">
        <v>4</v>
      </c>
      <c r="BT205" s="366">
        <v>12</v>
      </c>
      <c r="BU205" s="366">
        <v>129</v>
      </c>
      <c r="BV205" s="366">
        <v>0</v>
      </c>
      <c r="BW205" s="366">
        <v>0</v>
      </c>
      <c r="BX205" s="366">
        <v>0</v>
      </c>
      <c r="BY205" s="366">
        <v>0</v>
      </c>
      <c r="BZ205" s="366">
        <v>0</v>
      </c>
      <c r="CA205" s="366">
        <v>0</v>
      </c>
      <c r="CB205" s="367">
        <f>IFERROR(BO205/Instructions!$J$25,0)+BP205*Instructions!$J$27+BQ205*Instructions!$J$29+IFERROR(BR205/Instructions!$E$34,0)+BS205*Instructions!$E$36+Tier!BT206*Instructions!$E$25+IFERROR(BU205/Instructions!$E$27,0)+BV205*Instructions!$E$29+IFERROR((BW205+BY205)/Instructions!$J$32,0)+(BX205+BZ205)*Instructions!$J$34+Tier!CA205*-2</f>
        <v>85.4</v>
      </c>
      <c r="CC205" s="354"/>
      <c r="CD205" s="321">
        <v>2015</v>
      </c>
      <c r="CE205" s="370" t="s">
        <v>213</v>
      </c>
      <c r="CF205" s="371" t="s">
        <v>166</v>
      </c>
      <c r="CG205" s="371" t="s">
        <v>6</v>
      </c>
      <c r="CH205" s="371">
        <v>0</v>
      </c>
      <c r="CI205" s="371">
        <v>0</v>
      </c>
      <c r="CJ205" s="371">
        <v>0</v>
      </c>
      <c r="CK205" s="371">
        <v>4</v>
      </c>
      <c r="CL205" s="371">
        <v>0</v>
      </c>
      <c r="CM205" s="371">
        <v>43</v>
      </c>
      <c r="CN205" s="371">
        <v>662</v>
      </c>
      <c r="CO205" s="371">
        <v>4</v>
      </c>
      <c r="CP205" s="371">
        <v>9</v>
      </c>
      <c r="CQ205" s="371">
        <v>0</v>
      </c>
      <c r="CR205" s="371">
        <v>0</v>
      </c>
      <c r="CS205" s="371">
        <v>0</v>
      </c>
      <c r="CT205" s="371">
        <v>0</v>
      </c>
      <c r="CU205" s="367">
        <f>IFERROR(CH205/Instructions!$J$25,0)+CI205*Instructions!$J$27+CJ205*Instructions!$J$29+IFERROR(CK205/Instructions!$E$34,0)+CL205*Instructions!$E$36+Tier!CM205*Instructions!$E$25+IFERROR(CN205/Instructions!$E$27,0)+CO205*Instructions!$E$29+IFERROR((CP205+CR205)/Instructions!$J$32,0)+(CQ205+CS205)*Instructions!$J$34+Tier!CT205*-2</f>
        <v>133.6</v>
      </c>
      <c r="CV205" s="354"/>
      <c r="CW205"/>
      <c r="CX205"/>
      <c r="CY205"/>
      <c r="CZ205"/>
      <c r="DA205"/>
      <c r="DB205"/>
      <c r="DC205"/>
      <c r="DD205"/>
      <c r="DE205"/>
      <c r="DF205"/>
      <c r="DG205"/>
      <c r="DH205"/>
      <c r="DI205"/>
      <c r="DJ205"/>
      <c r="DK205"/>
      <c r="DL205"/>
      <c r="DM205"/>
      <c r="DN205"/>
    </row>
    <row r="206" spans="3:118" s="238" customFormat="1" ht="15.75" customHeight="1" x14ac:dyDescent="0.25">
      <c r="C206"/>
      <c r="D206"/>
      <c r="E206"/>
      <c r="F206"/>
      <c r="G206"/>
      <c r="H206"/>
      <c r="I206"/>
      <c r="J206"/>
      <c r="K206"/>
      <c r="L206"/>
      <c r="M206"/>
      <c r="N206"/>
      <c r="O206" s="372"/>
      <c r="P206" s="366">
        <v>2015</v>
      </c>
      <c r="Q206" s="367">
        <f>LARGE($CB$153:$CB$302,54)</f>
        <v>88.8</v>
      </c>
      <c r="R206" s="357">
        <f t="shared" si="91"/>
        <v>-75.8</v>
      </c>
      <c r="S206" s="356">
        <f t="shared" si="99"/>
        <v>5745.6399999999994</v>
      </c>
      <c r="U206" s="356">
        <f t="shared" si="93"/>
        <v>-4.7374999999999998</v>
      </c>
      <c r="V206" s="238">
        <f t="shared" si="97"/>
        <v>8</v>
      </c>
      <c r="W206" s="354"/>
      <c r="X206" s="371"/>
      <c r="Y206" s="371"/>
      <c r="Z206" s="321">
        <v>2015</v>
      </c>
      <c r="AA206" s="367">
        <f>LARGE($CU$153:$CU$302,54)</f>
        <v>133.6</v>
      </c>
      <c r="AB206" s="357">
        <f t="shared" si="94"/>
        <v>-89.533333333333331</v>
      </c>
      <c r="AC206" s="356">
        <f t="shared" si="96"/>
        <v>8016.2177777777779</v>
      </c>
      <c r="AD206" s="356"/>
      <c r="AE206" s="356">
        <f t="shared" si="95"/>
        <v>-5.5958333333333332</v>
      </c>
      <c r="AF206" s="238">
        <f t="shared" si="98"/>
        <v>8</v>
      </c>
      <c r="AG206" s="354"/>
      <c r="AK206"/>
      <c r="AL206"/>
      <c r="AM206"/>
      <c r="AN206"/>
      <c r="AO206"/>
      <c r="AP206"/>
      <c r="BI206" s="360"/>
      <c r="BJ206" s="354"/>
      <c r="BK206" s="366">
        <v>2015</v>
      </c>
      <c r="BL206" s="365" t="s">
        <v>113</v>
      </c>
      <c r="BM206" s="366" t="s">
        <v>1630</v>
      </c>
      <c r="BN206" s="366" t="s">
        <v>3</v>
      </c>
      <c r="BO206" s="366">
        <v>0</v>
      </c>
      <c r="BP206" s="366">
        <v>0</v>
      </c>
      <c r="BQ206" s="366">
        <v>0</v>
      </c>
      <c r="BR206" s="366">
        <v>470</v>
      </c>
      <c r="BS206" s="366">
        <v>3</v>
      </c>
      <c r="BT206" s="366">
        <v>11</v>
      </c>
      <c r="BU206" s="366">
        <v>53</v>
      </c>
      <c r="BV206" s="366">
        <v>0</v>
      </c>
      <c r="BW206" s="366">
        <v>0</v>
      </c>
      <c r="BX206" s="366">
        <v>0</v>
      </c>
      <c r="BY206" s="366">
        <v>0</v>
      </c>
      <c r="BZ206" s="366">
        <v>0</v>
      </c>
      <c r="CA206" s="366">
        <v>0</v>
      </c>
      <c r="CB206" s="367">
        <f>IFERROR(BO206/Instructions!$J$25,0)+BP206*Instructions!$J$27+BQ206*Instructions!$J$29+IFERROR(BR206/Instructions!$E$34,0)+BS206*Instructions!$E$36+Tier!BT207*Instructions!$E$25+IFERROR(BU206/Instructions!$E$27,0)+BV206*Instructions!$E$29+IFERROR((BW206+BY206)/Instructions!$J$32,0)+(BX206+BZ206)*Instructions!$J$34+Tier!CA206*-2</f>
        <v>96.3</v>
      </c>
      <c r="CC206" s="354"/>
      <c r="CD206" s="321">
        <v>2015</v>
      </c>
      <c r="CE206" s="370" t="s">
        <v>83</v>
      </c>
      <c r="CF206" s="371" t="s">
        <v>1630</v>
      </c>
      <c r="CG206" s="371" t="s">
        <v>6</v>
      </c>
      <c r="CH206" s="371">
        <v>0</v>
      </c>
      <c r="CI206" s="371">
        <v>0</v>
      </c>
      <c r="CJ206" s="371">
        <v>0</v>
      </c>
      <c r="CK206" s="371">
        <v>0</v>
      </c>
      <c r="CL206" s="371">
        <v>0</v>
      </c>
      <c r="CM206" s="371">
        <v>33</v>
      </c>
      <c r="CN206" s="371">
        <v>663</v>
      </c>
      <c r="CO206" s="371">
        <v>4</v>
      </c>
      <c r="CP206" s="371">
        <v>0</v>
      </c>
      <c r="CQ206" s="371">
        <v>0</v>
      </c>
      <c r="CR206" s="371">
        <v>0</v>
      </c>
      <c r="CS206" s="371">
        <v>0</v>
      </c>
      <c r="CT206" s="371">
        <v>0</v>
      </c>
      <c r="CU206" s="367">
        <f>IFERROR(CH206/Instructions!$J$25,0)+CI206*Instructions!$J$27+CJ206*Instructions!$J$29+IFERROR(CK206/Instructions!$E$34,0)+CL206*Instructions!$E$36+Tier!CM206*Instructions!$E$25+IFERROR(CN206/Instructions!$E$27,0)+CO206*Instructions!$E$29+IFERROR((CP206+CR206)/Instructions!$J$32,0)+(CQ206+CS206)*Instructions!$J$34+Tier!CT206*-2</f>
        <v>123.3</v>
      </c>
      <c r="CV206" s="354"/>
      <c r="CW206"/>
      <c r="CX206"/>
      <c r="CY206"/>
      <c r="CZ206"/>
      <c r="DA206"/>
      <c r="DB206"/>
      <c r="DC206"/>
      <c r="DD206"/>
      <c r="DE206"/>
      <c r="DF206"/>
      <c r="DG206"/>
      <c r="DH206"/>
      <c r="DI206"/>
      <c r="DJ206"/>
      <c r="DK206"/>
      <c r="DL206"/>
      <c r="DM206"/>
      <c r="DN206"/>
    </row>
    <row r="207" spans="3:118" s="238" customFormat="1" ht="15.75" customHeight="1" x14ac:dyDescent="0.25">
      <c r="C207"/>
      <c r="D207"/>
      <c r="E207"/>
      <c r="F207"/>
      <c r="G207"/>
      <c r="H207"/>
      <c r="I207"/>
      <c r="J207"/>
      <c r="K207"/>
      <c r="L207"/>
      <c r="M207"/>
      <c r="N207"/>
      <c r="O207" s="372"/>
      <c r="P207" s="366">
        <v>2015</v>
      </c>
      <c r="Q207" s="367">
        <f>LARGE($CB$153:$CB$302,55)</f>
        <v>88.7</v>
      </c>
      <c r="R207" s="357">
        <f t="shared" si="91"/>
        <v>-75.899999999999991</v>
      </c>
      <c r="S207" s="356">
        <f t="shared" si="99"/>
        <v>5760.8099999999986</v>
      </c>
      <c r="T207" s="356"/>
      <c r="U207" s="356">
        <f t="shared" si="93"/>
        <v>-4.7437499999999995</v>
      </c>
      <c r="V207" s="238">
        <f t="shared" si="97"/>
        <v>8</v>
      </c>
      <c r="W207" s="354"/>
      <c r="X207" s="371"/>
      <c r="Y207" s="371"/>
      <c r="Z207" s="321">
        <v>2015</v>
      </c>
      <c r="AA207" s="367">
        <f>LARGE($CU$153:$CU$302,55)</f>
        <v>131.6</v>
      </c>
      <c r="AB207" s="357">
        <f t="shared" si="94"/>
        <v>-91.533333333333331</v>
      </c>
      <c r="AC207" s="356">
        <f t="shared" si="96"/>
        <v>8378.3511111111111</v>
      </c>
      <c r="AD207" s="356"/>
      <c r="AE207" s="356">
        <f t="shared" si="95"/>
        <v>-5.7208333333333332</v>
      </c>
      <c r="AF207" s="238">
        <f t="shared" si="98"/>
        <v>8</v>
      </c>
      <c r="AG207" s="354"/>
      <c r="AK207"/>
      <c r="AL207"/>
      <c r="AM207"/>
      <c r="AN207"/>
      <c r="AO207"/>
      <c r="AP207"/>
      <c r="BI207" s="360"/>
      <c r="BJ207" s="354"/>
      <c r="BK207" s="366">
        <v>2015</v>
      </c>
      <c r="BL207" s="365" t="s">
        <v>985</v>
      </c>
      <c r="BM207" s="366" t="s">
        <v>150</v>
      </c>
      <c r="BN207" s="366" t="s">
        <v>3</v>
      </c>
      <c r="BO207" s="366">
        <v>0</v>
      </c>
      <c r="BP207" s="366">
        <v>0</v>
      </c>
      <c r="BQ207" s="366">
        <v>0</v>
      </c>
      <c r="BR207" s="366">
        <v>140</v>
      </c>
      <c r="BS207" s="366">
        <v>0</v>
      </c>
      <c r="BT207" s="366">
        <v>26</v>
      </c>
      <c r="BU207" s="366">
        <v>250</v>
      </c>
      <c r="BV207" s="366">
        <v>0</v>
      </c>
      <c r="BW207" s="366">
        <v>0</v>
      </c>
      <c r="BX207" s="366">
        <v>0</v>
      </c>
      <c r="BY207" s="366">
        <v>714</v>
      </c>
      <c r="BZ207" s="366">
        <v>0</v>
      </c>
      <c r="CA207" s="366">
        <v>0</v>
      </c>
      <c r="CB207" s="367">
        <f>IFERROR(BO207/Instructions!$J$25,0)+BP207*Instructions!$J$27+BQ207*Instructions!$J$29+IFERROR(BR207/Instructions!$E$34,0)+BS207*Instructions!$E$36+Tier!BT208*Instructions!$E$25+IFERROR(BU207/Instructions!$E$27,0)+BV207*Instructions!$E$29+IFERROR((BW207+BY207)/Instructions!$J$32,0)+(BX207+BZ207)*Instructions!$J$34+Tier!CA207*-2</f>
        <v>57</v>
      </c>
      <c r="CC207" s="354"/>
      <c r="CD207" s="321">
        <v>2015</v>
      </c>
      <c r="CE207" s="370" t="s">
        <v>1670</v>
      </c>
      <c r="CF207" s="371" t="s">
        <v>151</v>
      </c>
      <c r="CG207" s="371" t="s">
        <v>6</v>
      </c>
      <c r="CH207" s="371">
        <v>0</v>
      </c>
      <c r="CI207" s="371">
        <v>0</v>
      </c>
      <c r="CJ207" s="371">
        <v>0</v>
      </c>
      <c r="CK207" s="371">
        <v>0</v>
      </c>
      <c r="CL207" s="371">
        <v>0</v>
      </c>
      <c r="CM207" s="371">
        <v>47</v>
      </c>
      <c r="CN207" s="371">
        <v>658</v>
      </c>
      <c r="CO207" s="371">
        <v>4</v>
      </c>
      <c r="CP207" s="371">
        <v>0</v>
      </c>
      <c r="CQ207" s="371">
        <v>0</v>
      </c>
      <c r="CR207" s="371">
        <v>0</v>
      </c>
      <c r="CS207" s="371">
        <v>0</v>
      </c>
      <c r="CT207" s="371">
        <v>0</v>
      </c>
      <c r="CU207" s="367">
        <f>IFERROR(CH207/Instructions!$J$25,0)+CI207*Instructions!$J$27+CJ207*Instructions!$J$29+IFERROR(CK207/Instructions!$E$34,0)+CL207*Instructions!$E$36+Tier!CM207*Instructions!$E$25+IFERROR(CN207/Instructions!$E$27,0)+CO207*Instructions!$E$29+IFERROR((CP207+CR207)/Instructions!$J$32,0)+(CQ207+CS207)*Instructions!$J$34+Tier!CT207*-2</f>
        <v>136.80000000000001</v>
      </c>
      <c r="CV207" s="354"/>
      <c r="CW207"/>
      <c r="CX207"/>
      <c r="CY207"/>
      <c r="CZ207"/>
      <c r="DA207"/>
      <c r="DB207"/>
      <c r="DC207"/>
      <c r="DD207"/>
      <c r="DE207"/>
      <c r="DF207"/>
      <c r="DG207"/>
      <c r="DH207"/>
      <c r="DI207"/>
      <c r="DJ207"/>
      <c r="DK207"/>
      <c r="DL207"/>
      <c r="DM207"/>
      <c r="DN207"/>
    </row>
    <row r="208" spans="3:118" s="238" customFormat="1" ht="15.75" customHeight="1" x14ac:dyDescent="0.25">
      <c r="C208"/>
      <c r="D208"/>
      <c r="E208"/>
      <c r="F208"/>
      <c r="G208"/>
      <c r="H208"/>
      <c r="I208"/>
      <c r="J208"/>
      <c r="K208"/>
      <c r="L208"/>
      <c r="M208"/>
      <c r="N208"/>
      <c r="O208" s="372"/>
      <c r="P208" s="366">
        <v>2015</v>
      </c>
      <c r="Q208" s="367">
        <f>LARGE($CB$153:$CB$302,56)</f>
        <v>88.6</v>
      </c>
      <c r="R208" s="357">
        <f t="shared" si="91"/>
        <v>-76</v>
      </c>
      <c r="S208" s="356">
        <f t="shared" si="99"/>
        <v>5776</v>
      </c>
      <c r="T208" s="356"/>
      <c r="U208" s="356">
        <f t="shared" si="93"/>
        <v>-4.75</v>
      </c>
      <c r="V208" s="238">
        <f t="shared" si="97"/>
        <v>8</v>
      </c>
      <c r="W208" s="354"/>
      <c r="X208" s="371"/>
      <c r="Y208" s="371"/>
      <c r="Z208" s="321">
        <v>2015</v>
      </c>
      <c r="AA208" s="367">
        <f>LARGE($CU$153:$CU$302,56)</f>
        <v>131</v>
      </c>
      <c r="AB208" s="357">
        <f t="shared" si="94"/>
        <v>-92.133333333333326</v>
      </c>
      <c r="AC208" s="356">
        <f t="shared" si="96"/>
        <v>8488.55111111111</v>
      </c>
      <c r="AD208" s="356"/>
      <c r="AE208" s="356">
        <f t="shared" si="95"/>
        <v>-5.7583333333333329</v>
      </c>
      <c r="AF208" s="238">
        <f t="shared" si="98"/>
        <v>8</v>
      </c>
      <c r="AG208" s="354"/>
      <c r="AK208"/>
      <c r="AL208"/>
      <c r="AM208"/>
      <c r="AN208"/>
      <c r="AO208"/>
      <c r="AP208"/>
      <c r="BI208" s="360"/>
      <c r="BJ208" s="354"/>
      <c r="BK208" s="366">
        <v>2015</v>
      </c>
      <c r="BL208" s="365" t="s">
        <v>973</v>
      </c>
      <c r="BM208" s="366" t="s">
        <v>159</v>
      </c>
      <c r="BN208" s="366" t="s">
        <v>3</v>
      </c>
      <c r="BO208" s="366">
        <v>0</v>
      </c>
      <c r="BP208" s="366">
        <v>0</v>
      </c>
      <c r="BQ208" s="366">
        <v>0</v>
      </c>
      <c r="BR208" s="366">
        <v>256</v>
      </c>
      <c r="BS208" s="366">
        <v>1</v>
      </c>
      <c r="BT208" s="366">
        <v>18</v>
      </c>
      <c r="BU208" s="366">
        <v>154</v>
      </c>
      <c r="BV208" s="366">
        <v>3</v>
      </c>
      <c r="BW208" s="366">
        <v>0</v>
      </c>
      <c r="BX208" s="366">
        <v>0</v>
      </c>
      <c r="BY208" s="366">
        <v>8</v>
      </c>
      <c r="BZ208" s="366">
        <v>0</v>
      </c>
      <c r="CA208" s="366">
        <v>0</v>
      </c>
      <c r="CB208" s="367">
        <f>IFERROR(BO208/Instructions!$J$25,0)+BP208*Instructions!$J$27+BQ208*Instructions!$J$29+IFERROR(BR208/Instructions!$E$34,0)+BS208*Instructions!$E$36+Tier!BT209*Instructions!$E$25+IFERROR(BU208/Instructions!$E$27,0)+BV208*Instructions!$E$29+IFERROR((BW208+BY208)/Instructions!$J$32,0)+(BX208+BZ208)*Instructions!$J$34+Tier!CA208*-2</f>
        <v>75</v>
      </c>
      <c r="CC208" s="354"/>
      <c r="CD208" s="321">
        <v>2015</v>
      </c>
      <c r="CE208" s="370" t="s">
        <v>197</v>
      </c>
      <c r="CF208" s="371" t="s">
        <v>146</v>
      </c>
      <c r="CG208" s="371" t="s">
        <v>6</v>
      </c>
      <c r="CH208" s="371">
        <v>0</v>
      </c>
      <c r="CI208" s="371">
        <v>0</v>
      </c>
      <c r="CJ208" s="371">
        <v>0</v>
      </c>
      <c r="CK208" s="371">
        <v>0</v>
      </c>
      <c r="CL208" s="371">
        <v>0</v>
      </c>
      <c r="CM208" s="371">
        <v>52</v>
      </c>
      <c r="CN208" s="371">
        <v>536</v>
      </c>
      <c r="CO208" s="371">
        <v>5</v>
      </c>
      <c r="CP208" s="371">
        <v>69</v>
      </c>
      <c r="CQ208" s="371">
        <v>0</v>
      </c>
      <c r="CR208" s="371">
        <v>0</v>
      </c>
      <c r="CS208" s="371">
        <v>0</v>
      </c>
      <c r="CT208" s="371">
        <v>1</v>
      </c>
      <c r="CU208" s="367">
        <f>IFERROR(CH208/Instructions!$J$25,0)+CI208*Instructions!$J$27+CJ208*Instructions!$J$29+IFERROR(CK208/Instructions!$E$34,0)+CL208*Instructions!$E$36+Tier!CM208*Instructions!$E$25+IFERROR(CN208/Instructions!$E$27,0)+CO208*Instructions!$E$29+IFERROR((CP208+CR208)/Instructions!$J$32,0)+(CQ208+CS208)*Instructions!$J$34+Tier!CT208*-2</f>
        <v>133.6</v>
      </c>
      <c r="CV208" s="354"/>
      <c r="CW208"/>
      <c r="CX208"/>
      <c r="CY208"/>
      <c r="CZ208"/>
      <c r="DA208"/>
      <c r="DB208"/>
      <c r="DC208"/>
      <c r="DD208"/>
      <c r="DE208"/>
      <c r="DF208"/>
      <c r="DG208"/>
      <c r="DH208"/>
      <c r="DI208"/>
      <c r="DJ208"/>
      <c r="DK208"/>
      <c r="DL208"/>
      <c r="DM208"/>
      <c r="DN208"/>
    </row>
    <row r="209" spans="3:118" s="238" customFormat="1" ht="15.75" customHeight="1" x14ac:dyDescent="0.25">
      <c r="C209"/>
      <c r="D209"/>
      <c r="E209"/>
      <c r="F209"/>
      <c r="G209"/>
      <c r="H209"/>
      <c r="I209"/>
      <c r="J209"/>
      <c r="K209"/>
      <c r="L209"/>
      <c r="M209"/>
      <c r="N209"/>
      <c r="O209" s="372"/>
      <c r="P209" s="366">
        <v>2015</v>
      </c>
      <c r="Q209" s="367">
        <f>LARGE($CB$153:$CB$302,57)</f>
        <v>87.5</v>
      </c>
      <c r="R209" s="357">
        <f t="shared" si="91"/>
        <v>-77.099999999999994</v>
      </c>
      <c r="S209" s="356">
        <f t="shared" si="99"/>
        <v>5944.4099999999989</v>
      </c>
      <c r="T209" s="356"/>
      <c r="U209" s="356">
        <f t="shared" si="93"/>
        <v>-4.8187499999999996</v>
      </c>
      <c r="V209" s="238">
        <f t="shared" si="97"/>
        <v>8</v>
      </c>
      <c r="W209" s="354"/>
      <c r="X209" s="371"/>
      <c r="Y209" s="371"/>
      <c r="Z209" s="321">
        <v>2015</v>
      </c>
      <c r="AA209" s="367">
        <f>LARGE($CU$153:$CU$302,57)</f>
        <v>123.3</v>
      </c>
      <c r="AB209" s="357">
        <f t="shared" si="94"/>
        <v>-99.833333333333329</v>
      </c>
      <c r="AC209" s="356">
        <f t="shared" si="96"/>
        <v>9966.6944444444434</v>
      </c>
      <c r="AD209" s="356"/>
      <c r="AE209" s="356">
        <f t="shared" si="95"/>
        <v>-6.239583333333333</v>
      </c>
      <c r="AF209" s="238">
        <f t="shared" si="98"/>
        <v>8</v>
      </c>
      <c r="AG209" s="354"/>
      <c r="AK209"/>
      <c r="AL209"/>
      <c r="AM209"/>
      <c r="AN209"/>
      <c r="AO209"/>
      <c r="AP209"/>
      <c r="BI209" s="360"/>
      <c r="BJ209" s="354"/>
      <c r="BK209" s="366">
        <v>2015</v>
      </c>
      <c r="BL209" s="365" t="s">
        <v>1324</v>
      </c>
      <c r="BM209" s="366" t="s">
        <v>146</v>
      </c>
      <c r="BN209" s="366" t="s">
        <v>3</v>
      </c>
      <c r="BO209" s="366">
        <v>0</v>
      </c>
      <c r="BP209" s="366">
        <v>0</v>
      </c>
      <c r="BQ209" s="366">
        <v>0</v>
      </c>
      <c r="BR209" s="366">
        <v>315</v>
      </c>
      <c r="BS209" s="366">
        <v>4</v>
      </c>
      <c r="BT209" s="366">
        <v>10</v>
      </c>
      <c r="BU209" s="366">
        <v>86</v>
      </c>
      <c r="BV209" s="366">
        <v>0</v>
      </c>
      <c r="BW209" s="366">
        <v>0</v>
      </c>
      <c r="BX209" s="366">
        <v>0</v>
      </c>
      <c r="BY209" s="366">
        <v>0</v>
      </c>
      <c r="BZ209" s="366">
        <v>0</v>
      </c>
      <c r="CA209" s="366">
        <v>0</v>
      </c>
      <c r="CB209" s="367">
        <f>IFERROR(BO209/Instructions!$J$25,0)+BP209*Instructions!$J$27+BQ209*Instructions!$J$29+IFERROR(BR209/Instructions!$E$34,0)+BS209*Instructions!$E$36+Tier!BT210*Instructions!$E$25+IFERROR(BU209/Instructions!$E$27,0)+BV209*Instructions!$E$29+IFERROR((BW209+BY209)/Instructions!$J$32,0)+(BX209+BZ209)*Instructions!$J$34+Tier!CA209*-2</f>
        <v>77.099999999999994</v>
      </c>
      <c r="CC209" s="354"/>
      <c r="CD209" s="321">
        <v>2015</v>
      </c>
      <c r="CE209" s="370" t="s">
        <v>1639</v>
      </c>
      <c r="CF209" s="371" t="s">
        <v>162</v>
      </c>
      <c r="CG209" s="371" t="s">
        <v>6</v>
      </c>
      <c r="CH209" s="371">
        <v>0</v>
      </c>
      <c r="CI209" s="371">
        <v>0</v>
      </c>
      <c r="CJ209" s="371">
        <v>0</v>
      </c>
      <c r="CK209" s="371">
        <v>0</v>
      </c>
      <c r="CL209" s="371">
        <v>0</v>
      </c>
      <c r="CM209" s="371">
        <v>46</v>
      </c>
      <c r="CN209" s="371">
        <v>670</v>
      </c>
      <c r="CO209" s="371">
        <v>3</v>
      </c>
      <c r="CP209" s="371">
        <v>32</v>
      </c>
      <c r="CQ209" s="371">
        <v>0</v>
      </c>
      <c r="CR209" s="371">
        <v>0</v>
      </c>
      <c r="CS209" s="371">
        <v>0</v>
      </c>
      <c r="CT209" s="371">
        <v>0</v>
      </c>
      <c r="CU209" s="367">
        <f>IFERROR(CH209/Instructions!$J$25,0)+CI209*Instructions!$J$27+CJ209*Instructions!$J$29+IFERROR(CK209/Instructions!$E$34,0)+CL209*Instructions!$E$36+Tier!CM209*Instructions!$E$25+IFERROR(CN209/Instructions!$E$27,0)+CO209*Instructions!$E$29+IFERROR((CP209+CR209)/Instructions!$J$32,0)+(CQ209+CS209)*Instructions!$J$34+Tier!CT209*-2</f>
        <v>131</v>
      </c>
      <c r="CV209" s="354"/>
      <c r="CW209"/>
      <c r="CX209"/>
      <c r="CY209"/>
      <c r="CZ209"/>
      <c r="DA209"/>
      <c r="DB209"/>
      <c r="DC209"/>
      <c r="DD209"/>
      <c r="DE209"/>
      <c r="DF209"/>
      <c r="DG209"/>
      <c r="DH209"/>
      <c r="DI209"/>
      <c r="DJ209"/>
      <c r="DK209"/>
      <c r="DL209"/>
      <c r="DM209"/>
      <c r="DN209"/>
    </row>
    <row r="210" spans="3:118" s="238" customFormat="1" ht="15.75" customHeight="1" x14ac:dyDescent="0.25">
      <c r="C210"/>
      <c r="D210"/>
      <c r="E210"/>
      <c r="F210"/>
      <c r="G210"/>
      <c r="H210"/>
      <c r="I210"/>
      <c r="J210"/>
      <c r="K210"/>
      <c r="L210"/>
      <c r="M210"/>
      <c r="N210"/>
      <c r="O210" s="372"/>
      <c r="P210" s="366">
        <v>2015</v>
      </c>
      <c r="Q210" s="367">
        <f>LARGE($CB$153:$CB$302,58)</f>
        <v>85.4</v>
      </c>
      <c r="R210" s="357">
        <f t="shared" si="91"/>
        <v>-79.199999999999989</v>
      </c>
      <c r="S210" s="356">
        <f t="shared" si="99"/>
        <v>6272.6399999999985</v>
      </c>
      <c r="T210" s="356"/>
      <c r="U210" s="356">
        <f t="shared" si="93"/>
        <v>-4.9499999999999993</v>
      </c>
      <c r="V210" s="238">
        <f t="shared" si="97"/>
        <v>8</v>
      </c>
      <c r="W210" s="354"/>
      <c r="X210" s="371"/>
      <c r="Y210" s="371"/>
      <c r="Z210" s="321">
        <v>2015</v>
      </c>
      <c r="AA210" s="367">
        <f>LARGE($CU$153:$CU$302,58)</f>
        <v>122.1</v>
      </c>
      <c r="AB210" s="357">
        <f t="shared" si="94"/>
        <v>-101.03333333333333</v>
      </c>
      <c r="AC210" s="356">
        <f t="shared" si="96"/>
        <v>10207.734444444444</v>
      </c>
      <c r="AD210" s="356"/>
      <c r="AE210" s="356">
        <f t="shared" si="95"/>
        <v>-6.3145833333333332</v>
      </c>
      <c r="AF210" s="238">
        <f t="shared" si="98"/>
        <v>8</v>
      </c>
      <c r="AG210" s="354"/>
      <c r="AK210"/>
      <c r="AL210"/>
      <c r="AM210"/>
      <c r="AN210"/>
      <c r="AO210"/>
      <c r="AP210"/>
      <c r="BI210" s="360"/>
      <c r="BJ210" s="354"/>
      <c r="BK210" s="366">
        <v>2015</v>
      </c>
      <c r="BL210" s="365" t="s">
        <v>10</v>
      </c>
      <c r="BM210" s="366" t="s">
        <v>140</v>
      </c>
      <c r="BN210" s="366" t="s">
        <v>3</v>
      </c>
      <c r="BO210" s="366">
        <v>0</v>
      </c>
      <c r="BP210" s="366">
        <v>0</v>
      </c>
      <c r="BQ210" s="366">
        <v>0</v>
      </c>
      <c r="BR210" s="366">
        <v>417</v>
      </c>
      <c r="BS210" s="366">
        <v>3</v>
      </c>
      <c r="BT210" s="366">
        <v>13</v>
      </c>
      <c r="BU210" s="366">
        <v>80</v>
      </c>
      <c r="BV210" s="366">
        <v>0</v>
      </c>
      <c r="BW210" s="366">
        <v>0</v>
      </c>
      <c r="BX210" s="366">
        <v>0</v>
      </c>
      <c r="BY210" s="366">
        <v>0</v>
      </c>
      <c r="BZ210" s="366">
        <v>0</v>
      </c>
      <c r="CA210" s="366">
        <v>0</v>
      </c>
      <c r="CB210" s="367">
        <f>IFERROR(BO210/Instructions!$J$25,0)+BP210*Instructions!$J$27+BQ210*Instructions!$J$29+IFERROR(BR210/Instructions!$E$34,0)+BS210*Instructions!$E$36+Tier!BT211*Instructions!$E$25+IFERROR(BU210/Instructions!$E$27,0)+BV210*Instructions!$E$29+IFERROR((BW210+BY210)/Instructions!$J$32,0)+(BX210+BZ210)*Instructions!$J$34+Tier!CA210*-2</f>
        <v>88.7</v>
      </c>
      <c r="CC210" s="354"/>
      <c r="CD210" s="321">
        <v>2015</v>
      </c>
      <c r="CE210" s="370" t="s">
        <v>191</v>
      </c>
      <c r="CF210" s="371" t="s">
        <v>150</v>
      </c>
      <c r="CG210" s="371" t="s">
        <v>6</v>
      </c>
      <c r="CH210" s="371">
        <v>0</v>
      </c>
      <c r="CI210" s="371">
        <v>0</v>
      </c>
      <c r="CJ210" s="371">
        <v>0</v>
      </c>
      <c r="CK210" s="371">
        <v>0</v>
      </c>
      <c r="CL210" s="371">
        <v>0</v>
      </c>
      <c r="CM210" s="371">
        <v>36</v>
      </c>
      <c r="CN210" s="371">
        <v>681</v>
      </c>
      <c r="CO210" s="371">
        <v>3</v>
      </c>
      <c r="CP210" s="371">
        <v>0</v>
      </c>
      <c r="CQ210" s="371">
        <v>0</v>
      </c>
      <c r="CR210" s="371">
        <v>0</v>
      </c>
      <c r="CS210" s="371">
        <v>0</v>
      </c>
      <c r="CT210" s="371">
        <v>0</v>
      </c>
      <c r="CU210" s="367">
        <f>IFERROR(CH210/Instructions!$J$25,0)+CI210*Instructions!$J$27+CJ210*Instructions!$J$29+IFERROR(CK210/Instructions!$E$34,0)+CL210*Instructions!$E$36+Tier!CM210*Instructions!$E$25+IFERROR(CN210/Instructions!$E$27,0)+CO210*Instructions!$E$29+IFERROR((CP210+CR210)/Instructions!$J$32,0)+(CQ210+CS210)*Instructions!$J$34+Tier!CT210*-2</f>
        <v>122.1</v>
      </c>
      <c r="CV210" s="354"/>
      <c r="CW210"/>
      <c r="CX210"/>
      <c r="CY210"/>
      <c r="CZ210"/>
      <c r="DA210"/>
      <c r="DB210"/>
      <c r="DC210"/>
      <c r="DD210"/>
      <c r="DE210"/>
      <c r="DF210"/>
      <c r="DG210"/>
      <c r="DH210"/>
      <c r="DI210"/>
      <c r="DJ210"/>
      <c r="DK210"/>
      <c r="DL210"/>
      <c r="DM210"/>
      <c r="DN210"/>
    </row>
    <row r="211" spans="3:118" s="238" customFormat="1" ht="15.75" customHeight="1" x14ac:dyDescent="0.25">
      <c r="C211"/>
      <c r="D211"/>
      <c r="E211"/>
      <c r="F211"/>
      <c r="G211"/>
      <c r="H211"/>
      <c r="I211"/>
      <c r="J211"/>
      <c r="K211"/>
      <c r="L211"/>
      <c r="M211"/>
      <c r="N211"/>
      <c r="O211" s="372"/>
      <c r="P211" s="366">
        <v>2015</v>
      </c>
      <c r="Q211" s="367">
        <f>LARGE($CB$153:$CB$302,59)</f>
        <v>83.6</v>
      </c>
      <c r="R211" s="357">
        <f t="shared" si="91"/>
        <v>-81</v>
      </c>
      <c r="S211" s="356">
        <f t="shared" si="99"/>
        <v>6561</v>
      </c>
      <c r="T211" s="356"/>
      <c r="U211" s="356">
        <f t="shared" si="93"/>
        <v>-5.0625</v>
      </c>
      <c r="V211" s="238">
        <f t="shared" si="97"/>
        <v>8</v>
      </c>
      <c r="W211" s="354"/>
      <c r="X211" s="371"/>
      <c r="Y211" s="371"/>
      <c r="Z211" s="321">
        <v>2015</v>
      </c>
      <c r="AA211" s="367">
        <f>LARGE($CU$153:$CU$302,59)</f>
        <v>121</v>
      </c>
      <c r="AB211" s="357">
        <f t="shared" si="94"/>
        <v>-102.13333333333333</v>
      </c>
      <c r="AC211" s="356">
        <f t="shared" si="96"/>
        <v>10431.217777777776</v>
      </c>
      <c r="AD211" s="356"/>
      <c r="AE211" s="356">
        <f t="shared" si="95"/>
        <v>-6.3833333333333329</v>
      </c>
      <c r="AF211" s="238">
        <f t="shared" si="98"/>
        <v>8</v>
      </c>
      <c r="AG211" s="354"/>
      <c r="AK211"/>
      <c r="AL211"/>
      <c r="AM211"/>
      <c r="AN211"/>
      <c r="AO211"/>
      <c r="AP211"/>
      <c r="BI211" s="360"/>
      <c r="BJ211" s="354"/>
      <c r="BK211" s="366">
        <v>2015</v>
      </c>
      <c r="BL211" s="365" t="s">
        <v>986</v>
      </c>
      <c r="BM211" s="366" t="s">
        <v>138</v>
      </c>
      <c r="BN211" s="366" t="s">
        <v>3</v>
      </c>
      <c r="BO211" s="366">
        <v>0</v>
      </c>
      <c r="BP211" s="366">
        <v>0</v>
      </c>
      <c r="BQ211" s="366">
        <v>0</v>
      </c>
      <c r="BR211" s="366">
        <v>271</v>
      </c>
      <c r="BS211" s="366">
        <v>2</v>
      </c>
      <c r="BT211" s="366">
        <v>21</v>
      </c>
      <c r="BU211" s="366">
        <v>173</v>
      </c>
      <c r="BV211" s="366">
        <v>1</v>
      </c>
      <c r="BW211" s="366">
        <v>0</v>
      </c>
      <c r="BX211" s="366">
        <v>0</v>
      </c>
      <c r="BY211" s="366">
        <v>24</v>
      </c>
      <c r="BZ211" s="366">
        <v>0</v>
      </c>
      <c r="CA211" s="366">
        <v>0</v>
      </c>
      <c r="CB211" s="367">
        <f>IFERROR(BO211/Instructions!$J$25,0)+BP211*Instructions!$J$27+BQ211*Instructions!$J$29+IFERROR(BR211/Instructions!$E$34,0)+BS211*Instructions!$E$36+Tier!BT212*Instructions!$E$25+IFERROR(BU211/Instructions!$E$27,0)+BV211*Instructions!$E$29+IFERROR((BW211+BY211)/Instructions!$J$32,0)+(BX211+BZ211)*Instructions!$J$34+Tier!CA211*-2</f>
        <v>77.400000000000006</v>
      </c>
      <c r="CC211" s="354"/>
      <c r="CD211" s="321">
        <v>2015</v>
      </c>
      <c r="CE211" s="370" t="s">
        <v>182</v>
      </c>
      <c r="CF211" s="371" t="s">
        <v>163</v>
      </c>
      <c r="CG211" s="371" t="s">
        <v>6</v>
      </c>
      <c r="CH211" s="371">
        <v>0</v>
      </c>
      <c r="CI211" s="371">
        <v>0</v>
      </c>
      <c r="CJ211" s="371">
        <v>0</v>
      </c>
      <c r="CK211" s="371">
        <v>247</v>
      </c>
      <c r="CL211" s="371">
        <v>1</v>
      </c>
      <c r="CM211" s="371">
        <v>31</v>
      </c>
      <c r="CN211" s="371">
        <v>260</v>
      </c>
      <c r="CO211" s="371">
        <v>1</v>
      </c>
      <c r="CP211" s="371">
        <v>217</v>
      </c>
      <c r="CQ211" s="371">
        <v>0</v>
      </c>
      <c r="CR211" s="371">
        <v>285</v>
      </c>
      <c r="CS211" s="371">
        <v>0</v>
      </c>
      <c r="CT211" s="371">
        <v>2</v>
      </c>
      <c r="CU211" s="367">
        <f>IFERROR(CH211/Instructions!$J$25,0)+CI211*Instructions!$J$27+CJ211*Instructions!$J$29+IFERROR(CK211/Instructions!$E$34,0)+CL211*Instructions!$E$36+Tier!CM211*Instructions!$E$25+IFERROR(CN211/Instructions!$E$27,0)+CO211*Instructions!$E$29+IFERROR((CP211+CR211)/Instructions!$J$32,0)+(CQ211+CS211)*Instructions!$J$34+Tier!CT211*-2</f>
        <v>89.7</v>
      </c>
      <c r="CV211" s="354"/>
      <c r="CW211"/>
      <c r="CX211"/>
      <c r="CY211"/>
      <c r="CZ211"/>
      <c r="DA211"/>
      <c r="DB211"/>
      <c r="DC211"/>
      <c r="DD211"/>
      <c r="DE211"/>
      <c r="DF211"/>
      <c r="DG211"/>
      <c r="DH211"/>
      <c r="DI211"/>
      <c r="DJ211"/>
      <c r="DK211"/>
      <c r="DL211"/>
      <c r="DM211"/>
      <c r="DN211"/>
    </row>
    <row r="212" spans="3:118" s="238" customFormat="1" ht="15.75" customHeight="1" x14ac:dyDescent="0.25">
      <c r="C212"/>
      <c r="D212"/>
      <c r="E212"/>
      <c r="F212"/>
      <c r="G212"/>
      <c r="H212"/>
      <c r="I212"/>
      <c r="J212"/>
      <c r="K212"/>
      <c r="L212"/>
      <c r="M212"/>
      <c r="N212"/>
      <c r="O212" s="372"/>
      <c r="P212" s="366">
        <v>2015</v>
      </c>
      <c r="Q212" s="367">
        <f>LARGE($CB$153:$CB$302,60)</f>
        <v>83.300000000000011</v>
      </c>
      <c r="R212" s="357">
        <f t="shared" si="91"/>
        <v>-81.299999999999983</v>
      </c>
      <c r="S212" s="356">
        <f t="shared" si="99"/>
        <v>6609.6899999999969</v>
      </c>
      <c r="T212" s="356"/>
      <c r="U212" s="356">
        <f t="shared" si="93"/>
        <v>-5.0812499999999989</v>
      </c>
      <c r="V212" s="238">
        <f t="shared" si="97"/>
        <v>8</v>
      </c>
      <c r="W212" s="354"/>
      <c r="X212" s="371"/>
      <c r="Y212" s="371"/>
      <c r="Z212" s="321">
        <v>2015</v>
      </c>
      <c r="AA212" s="367">
        <f>LARGE($CU$153:$CU$302,60)</f>
        <v>118.2</v>
      </c>
      <c r="AB212" s="357">
        <f t="shared" si="94"/>
        <v>-104.93333333333332</v>
      </c>
      <c r="AC212" s="356">
        <f t="shared" si="96"/>
        <v>11011.004444444443</v>
      </c>
      <c r="AD212" s="356"/>
      <c r="AE212" s="356">
        <f t="shared" si="95"/>
        <v>-6.5583333333333327</v>
      </c>
      <c r="AF212" s="238">
        <f t="shared" si="98"/>
        <v>8</v>
      </c>
      <c r="AG212" s="354"/>
      <c r="AK212"/>
      <c r="AL212"/>
      <c r="AM212"/>
      <c r="AN212"/>
      <c r="AO212"/>
      <c r="AP212"/>
      <c r="BI212" s="360"/>
      <c r="BJ212" s="354"/>
      <c r="BK212" s="366">
        <v>2015</v>
      </c>
      <c r="BL212" s="365" t="s">
        <v>64</v>
      </c>
      <c r="BM212" s="366" t="s">
        <v>153</v>
      </c>
      <c r="BN212" s="366" t="s">
        <v>3</v>
      </c>
      <c r="BO212" s="366">
        <v>0</v>
      </c>
      <c r="BP212" s="366">
        <v>0</v>
      </c>
      <c r="BQ212" s="366">
        <v>0</v>
      </c>
      <c r="BR212" s="366">
        <v>289</v>
      </c>
      <c r="BS212" s="366">
        <v>3</v>
      </c>
      <c r="BT212" s="366">
        <v>15</v>
      </c>
      <c r="BU212" s="366">
        <v>148</v>
      </c>
      <c r="BV212" s="366">
        <v>0</v>
      </c>
      <c r="BW212" s="366">
        <v>0</v>
      </c>
      <c r="BX212" s="366">
        <v>0</v>
      </c>
      <c r="BY212" s="366">
        <v>0</v>
      </c>
      <c r="BZ212" s="366">
        <v>0</v>
      </c>
      <c r="CA212" s="366">
        <v>1</v>
      </c>
      <c r="CB212" s="367">
        <f>IFERROR(BO212/Instructions!$J$25,0)+BP212*Instructions!$J$27+BQ212*Instructions!$J$29+IFERROR(BR212/Instructions!$E$34,0)+BS212*Instructions!$E$36+Tier!BT213*Instructions!$E$25+IFERROR(BU212/Instructions!$E$27,0)+BV212*Instructions!$E$29+IFERROR((BW212+BY212)/Instructions!$J$32,0)+(BX212+BZ212)*Instructions!$J$34+Tier!CA212*-2</f>
        <v>94.7</v>
      </c>
      <c r="CC212" s="354"/>
      <c r="CD212" s="321">
        <v>2015</v>
      </c>
      <c r="CE212" s="370" t="s">
        <v>1122</v>
      </c>
      <c r="CF212" s="371" t="s">
        <v>152</v>
      </c>
      <c r="CG212" s="371" t="s">
        <v>6</v>
      </c>
      <c r="CH212" s="371">
        <v>0</v>
      </c>
      <c r="CI212" s="371">
        <v>0</v>
      </c>
      <c r="CJ212" s="371">
        <v>0</v>
      </c>
      <c r="CK212" s="371">
        <v>2</v>
      </c>
      <c r="CL212" s="371">
        <v>0</v>
      </c>
      <c r="CM212" s="371">
        <v>59</v>
      </c>
      <c r="CN212" s="371">
        <v>604</v>
      </c>
      <c r="CO212" s="371">
        <v>2</v>
      </c>
      <c r="CP212" s="371">
        <v>158</v>
      </c>
      <c r="CQ212" s="371">
        <v>0</v>
      </c>
      <c r="CR212" s="371">
        <v>13</v>
      </c>
      <c r="CS212" s="371">
        <v>0</v>
      </c>
      <c r="CT212" s="371">
        <v>0</v>
      </c>
      <c r="CU212" s="367">
        <f>IFERROR(CH212/Instructions!$J$25,0)+CI212*Instructions!$J$27+CJ212*Instructions!$J$29+IFERROR(CK212/Instructions!$E$34,0)+CL212*Instructions!$E$36+Tier!CM212*Instructions!$E$25+IFERROR(CN212/Instructions!$E$27,0)+CO212*Instructions!$E$29+IFERROR((CP212+CR212)/Instructions!$J$32,0)+(CQ212+CS212)*Instructions!$J$34+Tier!CT212*-2</f>
        <v>131.6</v>
      </c>
      <c r="CV212" s="354"/>
      <c r="CW212"/>
      <c r="CX212"/>
      <c r="CY212"/>
      <c r="CZ212"/>
      <c r="DA212"/>
      <c r="DB212"/>
      <c r="DC212"/>
      <c r="DD212"/>
      <c r="DE212"/>
      <c r="DF212"/>
      <c r="DG212"/>
      <c r="DH212"/>
      <c r="DI212"/>
      <c r="DJ212"/>
      <c r="DK212"/>
      <c r="DL212"/>
      <c r="DM212"/>
      <c r="DN212"/>
    </row>
    <row r="213" spans="3:118" s="238" customFormat="1" ht="15.75" customHeight="1" x14ac:dyDescent="0.25">
      <c r="C213"/>
      <c r="D213"/>
      <c r="E213"/>
      <c r="F213"/>
      <c r="G213"/>
      <c r="H213"/>
      <c r="I213"/>
      <c r="J213"/>
      <c r="K213"/>
      <c r="L213"/>
      <c r="M213"/>
      <c r="N213"/>
      <c r="O213" s="372"/>
      <c r="P213" s="366">
        <v>2015</v>
      </c>
      <c r="Q213" s="367">
        <f>LARGE($CB$153:$CB$302,61)</f>
        <v>77.400000000000006</v>
      </c>
      <c r="R213" s="357">
        <f t="shared" si="91"/>
        <v>-87.199999999999989</v>
      </c>
      <c r="S213" s="356">
        <f t="shared" si="99"/>
        <v>7603.8399999999983</v>
      </c>
      <c r="T213" s="356"/>
      <c r="U213" s="356">
        <f t="shared" si="93"/>
        <v>-5.4499999999999993</v>
      </c>
      <c r="V213" s="238">
        <f t="shared" si="97"/>
        <v>8</v>
      </c>
      <c r="W213" s="354"/>
      <c r="X213" s="371"/>
      <c r="Y213" s="371"/>
      <c r="Z213" s="321">
        <v>2015</v>
      </c>
      <c r="AA213" s="367">
        <f>LARGE($CU$153:$CU$302,61)</f>
        <v>115.3</v>
      </c>
      <c r="AB213" s="357">
        <f t="shared" si="94"/>
        <v>-107.83333333333333</v>
      </c>
      <c r="AC213" s="356">
        <f t="shared" si="96"/>
        <v>11628.027777777777</v>
      </c>
      <c r="AD213" s="356"/>
      <c r="AE213" s="356">
        <f t="shared" si="95"/>
        <v>-6.739583333333333</v>
      </c>
      <c r="AF213" s="238">
        <f t="shared" si="98"/>
        <v>8</v>
      </c>
      <c r="AG213" s="354"/>
      <c r="AK213"/>
      <c r="AL213"/>
      <c r="AM213"/>
      <c r="AN213"/>
      <c r="AO213"/>
      <c r="AP213"/>
      <c r="BI213" s="360"/>
      <c r="BJ213" s="354"/>
      <c r="BK213" s="366">
        <v>2015</v>
      </c>
      <c r="BL213" s="365" t="s">
        <v>990</v>
      </c>
      <c r="BM213" s="366" t="s">
        <v>152</v>
      </c>
      <c r="BN213" s="366" t="s">
        <v>3</v>
      </c>
      <c r="BO213" s="366">
        <v>0</v>
      </c>
      <c r="BP213" s="366">
        <v>0</v>
      </c>
      <c r="BQ213" s="366">
        <v>0</v>
      </c>
      <c r="BR213" s="366">
        <v>216</v>
      </c>
      <c r="BS213" s="366">
        <v>0</v>
      </c>
      <c r="BT213" s="366">
        <v>35</v>
      </c>
      <c r="BU213" s="366">
        <v>240</v>
      </c>
      <c r="BV213" s="366">
        <v>2</v>
      </c>
      <c r="BW213" s="366">
        <v>0</v>
      </c>
      <c r="BX213" s="366">
        <v>0</v>
      </c>
      <c r="BY213" s="366">
        <v>63</v>
      </c>
      <c r="BZ213" s="366">
        <v>0</v>
      </c>
      <c r="CA213" s="366">
        <v>0</v>
      </c>
      <c r="CB213" s="367">
        <f>IFERROR(BO213/Instructions!$J$25,0)+BP213*Instructions!$J$27+BQ213*Instructions!$J$29+IFERROR(BR213/Instructions!$E$34,0)+BS213*Instructions!$E$36+Tier!BT214*Instructions!$E$25+IFERROR(BU213/Instructions!$E$27,0)+BV213*Instructions!$E$29+IFERROR((BW213+BY213)/Instructions!$J$32,0)+(BX213+BZ213)*Instructions!$J$34+Tier!CA213*-2</f>
        <v>83.6</v>
      </c>
      <c r="CC213" s="354"/>
      <c r="CD213" s="321">
        <v>2015</v>
      </c>
      <c r="CE213" s="370" t="s">
        <v>1106</v>
      </c>
      <c r="CF213" s="371" t="s">
        <v>163</v>
      </c>
      <c r="CG213" s="371" t="s">
        <v>6</v>
      </c>
      <c r="CH213" s="371">
        <v>0</v>
      </c>
      <c r="CI213" s="371">
        <v>0</v>
      </c>
      <c r="CJ213" s="371">
        <v>0</v>
      </c>
      <c r="CK213" s="371">
        <v>0</v>
      </c>
      <c r="CL213" s="371">
        <v>0</v>
      </c>
      <c r="CM213" s="371">
        <v>32</v>
      </c>
      <c r="CN213" s="371">
        <v>549</v>
      </c>
      <c r="CO213" s="371">
        <v>4</v>
      </c>
      <c r="CP213" s="371">
        <v>0</v>
      </c>
      <c r="CQ213" s="371">
        <v>0</v>
      </c>
      <c r="CR213" s="371">
        <v>0</v>
      </c>
      <c r="CS213" s="371">
        <v>0</v>
      </c>
      <c r="CT213" s="371">
        <v>0</v>
      </c>
      <c r="CU213" s="367">
        <f>IFERROR(CH213/Instructions!$J$25,0)+CI213*Instructions!$J$27+CJ213*Instructions!$J$29+IFERROR(CK213/Instructions!$E$34,0)+CL213*Instructions!$E$36+Tier!CM213*Instructions!$E$25+IFERROR(CN213/Instructions!$E$27,0)+CO213*Instructions!$E$29+IFERROR((CP213+CR213)/Instructions!$J$32,0)+(CQ213+CS213)*Instructions!$J$34+Tier!CT213*-2</f>
        <v>110.9</v>
      </c>
      <c r="CV213" s="354"/>
      <c r="CW213"/>
      <c r="CX213"/>
      <c r="CY213"/>
      <c r="CZ213"/>
      <c r="DA213"/>
      <c r="DB213"/>
      <c r="DC213"/>
      <c r="DD213"/>
      <c r="DE213"/>
      <c r="DF213"/>
      <c r="DG213"/>
      <c r="DH213"/>
      <c r="DI213"/>
      <c r="DJ213"/>
      <c r="DK213"/>
      <c r="DL213"/>
      <c r="DM213"/>
      <c r="DN213"/>
    </row>
    <row r="214" spans="3:118" s="238" customFormat="1" ht="15.75" customHeight="1" x14ac:dyDescent="0.25">
      <c r="C214"/>
      <c r="D214"/>
      <c r="E214"/>
      <c r="F214"/>
      <c r="G214"/>
      <c r="H214"/>
      <c r="I214"/>
      <c r="J214"/>
      <c r="K214"/>
      <c r="L214"/>
      <c r="M214"/>
      <c r="N214"/>
      <c r="O214" s="372"/>
      <c r="P214" s="366">
        <v>2015</v>
      </c>
      <c r="Q214" s="367">
        <f>LARGE($CB$153:$CB$302,62)</f>
        <v>77.099999999999994</v>
      </c>
      <c r="R214" s="357">
        <f t="shared" si="91"/>
        <v>-87.5</v>
      </c>
      <c r="S214" s="356">
        <f t="shared" si="99"/>
        <v>7656.25</v>
      </c>
      <c r="U214" s="356">
        <f t="shared" si="93"/>
        <v>-5.46875</v>
      </c>
      <c r="V214" s="238">
        <f t="shared" si="97"/>
        <v>8</v>
      </c>
      <c r="W214" s="354"/>
      <c r="X214" s="371"/>
      <c r="Y214" s="371"/>
      <c r="Z214" s="321">
        <v>2015</v>
      </c>
      <c r="AA214" s="367">
        <f>LARGE($CU$153:$CU$302,62)</f>
        <v>112.80000000000001</v>
      </c>
      <c r="AB214" s="357">
        <f t="shared" si="94"/>
        <v>-110.33333333333331</v>
      </c>
      <c r="AC214" s="356">
        <f t="shared" si="96"/>
        <v>12173.44444444444</v>
      </c>
      <c r="AD214" s="356"/>
      <c r="AE214" s="356">
        <f t="shared" si="95"/>
        <v>-6.8958333333333321</v>
      </c>
      <c r="AF214" s="238">
        <f t="shared" si="98"/>
        <v>8</v>
      </c>
      <c r="AG214" s="354"/>
      <c r="AK214"/>
      <c r="AL214"/>
      <c r="AM214"/>
      <c r="AN214"/>
      <c r="AO214"/>
      <c r="AP214"/>
      <c r="BI214" s="360"/>
      <c r="BJ214" s="354"/>
      <c r="BK214" s="366">
        <v>2015</v>
      </c>
      <c r="BL214" s="365" t="s">
        <v>974</v>
      </c>
      <c r="BM214" s="366" t="s">
        <v>151</v>
      </c>
      <c r="BN214" s="366" t="s">
        <v>3</v>
      </c>
      <c r="BO214" s="366">
        <v>0</v>
      </c>
      <c r="BP214" s="366">
        <v>0</v>
      </c>
      <c r="BQ214" s="366">
        <v>0</v>
      </c>
      <c r="BR214" s="366">
        <v>282</v>
      </c>
      <c r="BS214" s="366">
        <v>1</v>
      </c>
      <c r="BT214" s="366">
        <v>26</v>
      </c>
      <c r="BU214" s="366">
        <v>173</v>
      </c>
      <c r="BV214" s="366">
        <v>1</v>
      </c>
      <c r="BW214" s="366">
        <v>0</v>
      </c>
      <c r="BX214" s="366">
        <v>0</v>
      </c>
      <c r="BY214" s="366">
        <v>0</v>
      </c>
      <c r="BZ214" s="366">
        <v>0</v>
      </c>
      <c r="CA214" s="366">
        <v>0</v>
      </c>
      <c r="CB214" s="367">
        <f>IFERROR(BO214/Instructions!$J$25,0)+BP214*Instructions!$J$27+BQ214*Instructions!$J$29+IFERROR(BR214/Instructions!$E$34,0)+BS214*Instructions!$E$36+Tier!BT215*Instructions!$E$25+IFERROR(BU214/Instructions!$E$27,0)+BV214*Instructions!$E$29+IFERROR((BW214+BY214)/Instructions!$J$32,0)+(BX214+BZ214)*Instructions!$J$34+Tier!CA214*-2</f>
        <v>64.5</v>
      </c>
      <c r="CC214" s="354"/>
      <c r="CD214" s="321">
        <v>2015</v>
      </c>
      <c r="CE214" s="370" t="s">
        <v>1207</v>
      </c>
      <c r="CF214" s="371" t="s">
        <v>167</v>
      </c>
      <c r="CG214" s="371" t="s">
        <v>6</v>
      </c>
      <c r="CH214" s="371">
        <v>0</v>
      </c>
      <c r="CI214" s="371">
        <v>0</v>
      </c>
      <c r="CJ214" s="371">
        <v>0</v>
      </c>
      <c r="CK214" s="371">
        <v>0</v>
      </c>
      <c r="CL214" s="371">
        <v>0</v>
      </c>
      <c r="CM214" s="371">
        <v>32</v>
      </c>
      <c r="CN214" s="371">
        <v>480</v>
      </c>
      <c r="CO214" s="371">
        <v>5</v>
      </c>
      <c r="CP214" s="371">
        <v>0</v>
      </c>
      <c r="CQ214" s="371">
        <v>0</v>
      </c>
      <c r="CR214" s="371">
        <v>47</v>
      </c>
      <c r="CS214" s="371">
        <v>0</v>
      </c>
      <c r="CT214" s="371">
        <v>0</v>
      </c>
      <c r="CU214" s="367">
        <f>IFERROR(CH214/Instructions!$J$25,0)+CI214*Instructions!$J$27+CJ214*Instructions!$J$29+IFERROR(CK214/Instructions!$E$34,0)+CL214*Instructions!$E$36+Tier!CM214*Instructions!$E$25+IFERROR(CN214/Instructions!$E$27,0)+CO214*Instructions!$E$29+IFERROR((CP214+CR214)/Instructions!$J$32,0)+(CQ214+CS214)*Instructions!$J$34+Tier!CT214*-2</f>
        <v>110</v>
      </c>
      <c r="CV214" s="354"/>
      <c r="CW214"/>
      <c r="CX214"/>
      <c r="CY214"/>
      <c r="CZ214"/>
      <c r="DA214"/>
      <c r="DB214"/>
      <c r="DC214"/>
      <c r="DD214"/>
      <c r="DE214"/>
      <c r="DF214"/>
      <c r="DG214"/>
      <c r="DH214"/>
      <c r="DI214"/>
      <c r="DJ214"/>
      <c r="DK214"/>
      <c r="DL214"/>
      <c r="DM214"/>
      <c r="DN214"/>
    </row>
    <row r="215" spans="3:118" s="238" customFormat="1" ht="15.75" customHeight="1" x14ac:dyDescent="0.25">
      <c r="C215"/>
      <c r="D215"/>
      <c r="E215"/>
      <c r="F215"/>
      <c r="G215"/>
      <c r="H215"/>
      <c r="I215"/>
      <c r="J215"/>
      <c r="K215"/>
      <c r="L215"/>
      <c r="M215"/>
      <c r="N215"/>
      <c r="O215" s="372"/>
      <c r="P215" s="366">
        <v>2015</v>
      </c>
      <c r="Q215" s="367">
        <f>LARGE($CB$153:$CB$302,63)</f>
        <v>75</v>
      </c>
      <c r="R215" s="357">
        <f t="shared" si="91"/>
        <v>-89.6</v>
      </c>
      <c r="S215" s="356">
        <f t="shared" si="99"/>
        <v>8028.1599999999989</v>
      </c>
      <c r="U215" s="356">
        <f t="shared" si="93"/>
        <v>-5.6</v>
      </c>
      <c r="V215" s="238">
        <f t="shared" si="97"/>
        <v>8</v>
      </c>
      <c r="W215" s="354"/>
      <c r="X215" s="371"/>
      <c r="Y215" s="371"/>
      <c r="Z215" s="321">
        <v>2015</v>
      </c>
      <c r="AA215" s="367">
        <f>LARGE($CU$153:$CU$302,63)</f>
        <v>112.7</v>
      </c>
      <c r="AB215" s="357">
        <f t="shared" si="94"/>
        <v>-110.43333333333332</v>
      </c>
      <c r="AC215" s="356">
        <f t="shared" si="96"/>
        <v>12195.521111111109</v>
      </c>
      <c r="AD215" s="356"/>
      <c r="AE215" s="356">
        <f t="shared" si="95"/>
        <v>-6.9020833333333327</v>
      </c>
      <c r="AF215" s="238">
        <f t="shared" si="98"/>
        <v>8</v>
      </c>
      <c r="AG215" s="354"/>
      <c r="AK215"/>
      <c r="AL215"/>
      <c r="AM215"/>
      <c r="AN215"/>
      <c r="AO215"/>
      <c r="AP215"/>
      <c r="BI215" s="360"/>
      <c r="BJ215" s="354"/>
      <c r="BK215" s="366">
        <v>2015</v>
      </c>
      <c r="BL215" s="365" t="s">
        <v>1231</v>
      </c>
      <c r="BM215" s="366" t="s">
        <v>167</v>
      </c>
      <c r="BN215" s="366" t="s">
        <v>3</v>
      </c>
      <c r="BO215" s="366">
        <v>0</v>
      </c>
      <c r="BP215" s="366">
        <v>0</v>
      </c>
      <c r="BQ215" s="366">
        <v>0</v>
      </c>
      <c r="BR215" s="366">
        <v>74</v>
      </c>
      <c r="BS215" s="366">
        <v>0</v>
      </c>
      <c r="BT215" s="366">
        <v>7</v>
      </c>
      <c r="BU215" s="366">
        <v>106</v>
      </c>
      <c r="BV215" s="366">
        <v>1</v>
      </c>
      <c r="BW215" s="366">
        <v>0</v>
      </c>
      <c r="BX215" s="366">
        <v>0</v>
      </c>
      <c r="BY215" s="366">
        <v>829</v>
      </c>
      <c r="BZ215" s="366">
        <v>0</v>
      </c>
      <c r="CA215" s="366">
        <v>0</v>
      </c>
      <c r="CB215" s="367">
        <f>IFERROR(BO215/Instructions!$J$25,0)+BP215*Instructions!$J$27+BQ215*Instructions!$J$29+IFERROR(BR215/Instructions!$E$34,0)+BS215*Instructions!$E$36+Tier!BT216*Instructions!$E$25+IFERROR(BU215/Instructions!$E$27,0)+BV215*Instructions!$E$29+IFERROR((BW215+BY215)/Instructions!$J$32,0)+(BX215+BZ215)*Instructions!$J$34+Tier!CA215*-2</f>
        <v>46</v>
      </c>
      <c r="CC215" s="354"/>
      <c r="CD215" s="321">
        <v>2015</v>
      </c>
      <c r="CE215" s="370" t="s">
        <v>1105</v>
      </c>
      <c r="CF215" s="371" t="s">
        <v>159</v>
      </c>
      <c r="CG215" s="371" t="s">
        <v>6</v>
      </c>
      <c r="CH215" s="371">
        <v>0</v>
      </c>
      <c r="CI215" s="371">
        <v>0</v>
      </c>
      <c r="CJ215" s="371">
        <v>0</v>
      </c>
      <c r="CK215" s="371">
        <v>0</v>
      </c>
      <c r="CL215" s="371">
        <v>0</v>
      </c>
      <c r="CM215" s="371">
        <v>31</v>
      </c>
      <c r="CN215" s="371">
        <v>473</v>
      </c>
      <c r="CO215" s="371">
        <v>5</v>
      </c>
      <c r="CP215" s="371">
        <v>0</v>
      </c>
      <c r="CQ215" s="371">
        <v>0</v>
      </c>
      <c r="CR215" s="371">
        <v>0</v>
      </c>
      <c r="CS215" s="371">
        <v>0</v>
      </c>
      <c r="CT215" s="371">
        <v>1</v>
      </c>
      <c r="CU215" s="367">
        <f>IFERROR(CH215/Instructions!$J$25,0)+CI215*Instructions!$J$27+CJ215*Instructions!$J$29+IFERROR(CK215/Instructions!$E$34,0)+CL215*Instructions!$E$36+Tier!CM215*Instructions!$E$25+IFERROR(CN215/Instructions!$E$27,0)+CO215*Instructions!$E$29+IFERROR((CP215+CR215)/Instructions!$J$32,0)+(CQ215+CS215)*Instructions!$J$34+Tier!CT215*-2</f>
        <v>106.3</v>
      </c>
      <c r="CV215" s="354"/>
      <c r="CW215"/>
      <c r="CX215"/>
      <c r="CY215"/>
      <c r="CZ215"/>
      <c r="DA215"/>
      <c r="DB215"/>
      <c r="DC215"/>
      <c r="DD215"/>
      <c r="DE215"/>
      <c r="DF215"/>
      <c r="DG215"/>
      <c r="DH215"/>
      <c r="DI215"/>
      <c r="DJ215"/>
      <c r="DK215"/>
      <c r="DL215"/>
      <c r="DM215"/>
      <c r="DN215"/>
    </row>
    <row r="216" spans="3:118" s="238" customFormat="1" ht="15.75" customHeight="1" x14ac:dyDescent="0.25">
      <c r="C216"/>
      <c r="D216"/>
      <c r="E216"/>
      <c r="F216"/>
      <c r="G216"/>
      <c r="H216"/>
      <c r="I216"/>
      <c r="J216"/>
      <c r="K216"/>
      <c r="L216"/>
      <c r="M216"/>
      <c r="N216"/>
      <c r="O216" s="372"/>
      <c r="P216" s="366">
        <v>2015</v>
      </c>
      <c r="Q216" s="367">
        <f>LARGE($CB$153:$CB$302,64)</f>
        <v>72.600000000000009</v>
      </c>
      <c r="R216" s="357">
        <f t="shared" si="91"/>
        <v>-91.999999999999986</v>
      </c>
      <c r="S216" s="356">
        <f t="shared" si="99"/>
        <v>8463.9999999999982</v>
      </c>
      <c r="U216" s="356">
        <f t="shared" si="93"/>
        <v>-5.7499999999999991</v>
      </c>
      <c r="V216" s="238">
        <f t="shared" si="97"/>
        <v>8</v>
      </c>
      <c r="W216" s="354"/>
      <c r="X216" s="371"/>
      <c r="Y216" s="371"/>
      <c r="Z216" s="321">
        <v>2015</v>
      </c>
      <c r="AA216" s="367">
        <f>LARGE($CU$153:$CU$302,64)</f>
        <v>111.94</v>
      </c>
      <c r="AB216" s="357">
        <f t="shared" si="94"/>
        <v>-111.19333333333333</v>
      </c>
      <c r="AC216" s="356">
        <f t="shared" si="96"/>
        <v>12363.957377777777</v>
      </c>
      <c r="AD216" s="356"/>
      <c r="AE216" s="356">
        <f t="shared" si="95"/>
        <v>-6.949583333333333</v>
      </c>
      <c r="AF216" s="238">
        <f t="shared" si="98"/>
        <v>8</v>
      </c>
      <c r="AG216" s="354"/>
      <c r="AK216"/>
      <c r="AL216"/>
      <c r="AM216"/>
      <c r="AN216"/>
      <c r="AO216"/>
      <c r="AP216"/>
      <c r="AY216" s="356"/>
      <c r="AZ216" s="356"/>
      <c r="BA216" s="356"/>
      <c r="BB216" s="356"/>
      <c r="BC216" s="356"/>
      <c r="BI216" s="360"/>
      <c r="BJ216" s="354"/>
      <c r="BK216" s="366">
        <v>2015</v>
      </c>
      <c r="BL216" s="365" t="s">
        <v>1647</v>
      </c>
      <c r="BM216" s="366" t="s">
        <v>151</v>
      </c>
      <c r="BN216" s="366" t="s">
        <v>3</v>
      </c>
      <c r="BO216" s="366">
        <v>0</v>
      </c>
      <c r="BP216" s="366">
        <v>0</v>
      </c>
      <c r="BQ216" s="366">
        <v>0</v>
      </c>
      <c r="BR216" s="366">
        <v>163</v>
      </c>
      <c r="BS216" s="366">
        <v>1</v>
      </c>
      <c r="BT216" s="366">
        <v>22</v>
      </c>
      <c r="BU216" s="366">
        <v>227</v>
      </c>
      <c r="BV216" s="366">
        <v>2</v>
      </c>
      <c r="BW216" s="366">
        <v>0</v>
      </c>
      <c r="BX216" s="366">
        <v>0</v>
      </c>
      <c r="BY216" s="366">
        <v>0</v>
      </c>
      <c r="BZ216" s="366">
        <v>0</v>
      </c>
      <c r="CA216" s="366">
        <v>1</v>
      </c>
      <c r="CB216" s="367">
        <f>IFERROR(BO216/Instructions!$J$25,0)+BP216*Instructions!$J$27+BQ216*Instructions!$J$29+IFERROR(BR216/Instructions!$E$34,0)+BS216*Instructions!$E$36+Tier!BT217*Instructions!$E$25+IFERROR(BU216/Instructions!$E$27,0)+BV216*Instructions!$E$29+IFERROR((BW216+BY216)/Instructions!$J$32,0)+(BX216+BZ216)*Instructions!$J$34+Tier!CA216*-2</f>
        <v>96</v>
      </c>
      <c r="CC216" s="354"/>
      <c r="CD216" s="321">
        <v>2015</v>
      </c>
      <c r="CE216" s="370" t="s">
        <v>69</v>
      </c>
      <c r="CF216" s="371" t="s">
        <v>152</v>
      </c>
      <c r="CG216" s="371" t="s">
        <v>6</v>
      </c>
      <c r="CH216" s="371">
        <v>0</v>
      </c>
      <c r="CI216" s="371">
        <v>0</v>
      </c>
      <c r="CJ216" s="371">
        <v>0</v>
      </c>
      <c r="CK216" s="371">
        <v>0</v>
      </c>
      <c r="CL216" s="371">
        <v>0</v>
      </c>
      <c r="CM216" s="371">
        <v>30</v>
      </c>
      <c r="CN216" s="371">
        <v>528</v>
      </c>
      <c r="CO216" s="371">
        <v>4</v>
      </c>
      <c r="CP216" s="371">
        <v>-5</v>
      </c>
      <c r="CQ216" s="371">
        <v>0</v>
      </c>
      <c r="CR216" s="371">
        <v>8</v>
      </c>
      <c r="CS216" s="371">
        <v>0</v>
      </c>
      <c r="CT216" s="371">
        <v>0</v>
      </c>
      <c r="CU216" s="367">
        <f>IFERROR(CH216/Instructions!$J$25,0)+CI216*Instructions!$J$27+CJ216*Instructions!$J$29+IFERROR(CK216/Instructions!$E$34,0)+CL216*Instructions!$E$36+Tier!CM216*Instructions!$E$25+IFERROR(CN216/Instructions!$E$27,0)+CO216*Instructions!$E$29+IFERROR((CP216+CR216)/Instructions!$J$32,0)+(CQ216+CS216)*Instructions!$J$34+Tier!CT216*-2</f>
        <v>106.8</v>
      </c>
      <c r="CV216" s="354"/>
      <c r="CW216"/>
      <c r="CX216"/>
      <c r="CY216"/>
      <c r="CZ216"/>
      <c r="DA216"/>
      <c r="DB216"/>
      <c r="DC216"/>
      <c r="DD216"/>
      <c r="DE216"/>
      <c r="DF216"/>
      <c r="DG216"/>
      <c r="DH216"/>
      <c r="DI216"/>
      <c r="DJ216"/>
      <c r="DK216"/>
      <c r="DL216"/>
      <c r="DM216"/>
      <c r="DN216"/>
    </row>
    <row r="217" spans="3:118" s="238" customFormat="1" ht="15.75" customHeight="1" x14ac:dyDescent="0.25">
      <c r="C217"/>
      <c r="D217"/>
      <c r="E217"/>
      <c r="F217"/>
      <c r="G217"/>
      <c r="H217"/>
      <c r="I217"/>
      <c r="J217"/>
      <c r="K217"/>
      <c r="L217"/>
      <c r="M217"/>
      <c r="N217"/>
      <c r="O217" s="372"/>
      <c r="P217" s="366">
        <v>2015</v>
      </c>
      <c r="Q217" s="367">
        <f>LARGE($CB$153:$CB$302,65)</f>
        <v>72.400000000000006</v>
      </c>
      <c r="R217" s="357">
        <f t="shared" si="91"/>
        <v>-92.199999999999989</v>
      </c>
      <c r="S217" s="356">
        <f t="shared" si="99"/>
        <v>8500.8399999999983</v>
      </c>
      <c r="U217" s="356">
        <f t="shared" si="93"/>
        <v>-5.7624999999999993</v>
      </c>
      <c r="V217" s="238">
        <f t="shared" si="97"/>
        <v>8</v>
      </c>
      <c r="W217" s="354"/>
      <c r="X217" s="371"/>
      <c r="Y217" s="371"/>
      <c r="Z217" s="321">
        <v>2015</v>
      </c>
      <c r="AA217" s="367">
        <f>LARGE($CU$153:$CU$302,65)</f>
        <v>110.9</v>
      </c>
      <c r="AB217" s="357">
        <f t="shared" si="94"/>
        <v>-112.23333333333332</v>
      </c>
      <c r="AC217" s="356">
        <f t="shared" si="96"/>
        <v>12596.321111111109</v>
      </c>
      <c r="AD217" s="356"/>
      <c r="AE217" s="356">
        <f t="shared" si="95"/>
        <v>-7.0145833333333325</v>
      </c>
      <c r="AF217" s="238">
        <f t="shared" si="98"/>
        <v>8</v>
      </c>
      <c r="AG217" s="354"/>
      <c r="AK217"/>
      <c r="AL217"/>
      <c r="AM217"/>
      <c r="AN217"/>
      <c r="AO217"/>
      <c r="AP217"/>
      <c r="AY217" s="356"/>
      <c r="AZ217" s="356"/>
      <c r="BA217" s="356"/>
      <c r="BB217" s="356"/>
      <c r="BC217" s="356"/>
      <c r="BI217" s="360"/>
      <c r="BJ217" s="354"/>
      <c r="BK217" s="366">
        <v>2015</v>
      </c>
      <c r="BL217" s="365" t="s">
        <v>991</v>
      </c>
      <c r="BM217" s="366" t="s">
        <v>162</v>
      </c>
      <c r="BN217" s="366" t="s">
        <v>3</v>
      </c>
      <c r="BO217" s="366">
        <v>0</v>
      </c>
      <c r="BP217" s="366">
        <v>0</v>
      </c>
      <c r="BQ217" s="366">
        <v>0</v>
      </c>
      <c r="BR217" s="366">
        <v>3</v>
      </c>
      <c r="BS217" s="366">
        <v>0</v>
      </c>
      <c r="BT217" s="366">
        <v>41</v>
      </c>
      <c r="BU217" s="366">
        <v>321</v>
      </c>
      <c r="BV217" s="366">
        <v>4</v>
      </c>
      <c r="BW217" s="366">
        <v>0</v>
      </c>
      <c r="BX217" s="366">
        <v>0</v>
      </c>
      <c r="BY217" s="366">
        <v>7</v>
      </c>
      <c r="BZ217" s="366">
        <v>0</v>
      </c>
      <c r="CA217" s="366">
        <v>0</v>
      </c>
      <c r="CB217" s="367">
        <f>IFERROR(BO217/Instructions!$J$25,0)+BP217*Instructions!$J$27+BQ217*Instructions!$J$29+IFERROR(BR217/Instructions!$E$34,0)+BS217*Instructions!$E$36+Tier!BT218*Instructions!$E$25+IFERROR(BU217/Instructions!$E$27,0)+BV217*Instructions!$E$29+IFERROR((BW217+BY217)/Instructions!$J$32,0)+(BX217+BZ217)*Instructions!$J$34+Tier!CA217*-2</f>
        <v>72.400000000000006</v>
      </c>
      <c r="CC217" s="354"/>
      <c r="CD217" s="321">
        <v>2015</v>
      </c>
      <c r="CE217" s="370" t="s">
        <v>1642</v>
      </c>
      <c r="CF217" s="371" t="s">
        <v>158</v>
      </c>
      <c r="CG217" s="371" t="s">
        <v>6</v>
      </c>
      <c r="CH217" s="371">
        <v>0</v>
      </c>
      <c r="CI217" s="371">
        <v>0</v>
      </c>
      <c r="CJ217" s="371">
        <v>0</v>
      </c>
      <c r="CK217" s="371">
        <v>0</v>
      </c>
      <c r="CL217" s="371">
        <v>0</v>
      </c>
      <c r="CM217" s="371">
        <v>41</v>
      </c>
      <c r="CN217" s="371">
        <v>503</v>
      </c>
      <c r="CO217" s="371">
        <v>4</v>
      </c>
      <c r="CP217" s="371">
        <v>0</v>
      </c>
      <c r="CQ217" s="371">
        <v>0</v>
      </c>
      <c r="CR217" s="371">
        <v>0</v>
      </c>
      <c r="CS217" s="371">
        <v>0</v>
      </c>
      <c r="CT217" s="371">
        <v>0</v>
      </c>
      <c r="CU217" s="367">
        <f>IFERROR(CH217/Instructions!$J$25,0)+CI217*Instructions!$J$27+CJ217*Instructions!$J$29+IFERROR(CK217/Instructions!$E$34,0)+CL217*Instructions!$E$36+Tier!CM217*Instructions!$E$25+IFERROR(CN217/Instructions!$E$27,0)+CO217*Instructions!$E$29+IFERROR((CP217+CR217)/Instructions!$J$32,0)+(CQ217+CS217)*Instructions!$J$34+Tier!CT217*-2</f>
        <v>115.3</v>
      </c>
      <c r="CV217" s="354"/>
      <c r="CW217"/>
      <c r="CX217"/>
      <c r="CY217"/>
      <c r="CZ217"/>
      <c r="DA217"/>
      <c r="DB217"/>
      <c r="DC217"/>
      <c r="DD217"/>
      <c r="DE217"/>
      <c r="DF217"/>
      <c r="DG217"/>
      <c r="DH217"/>
      <c r="DI217"/>
      <c r="DJ217"/>
      <c r="DK217"/>
      <c r="DL217"/>
      <c r="DM217"/>
      <c r="DN217"/>
    </row>
    <row r="218" spans="3:118" s="238" customFormat="1" ht="15.75" customHeight="1" x14ac:dyDescent="0.25">
      <c r="C218"/>
      <c r="D218"/>
      <c r="E218"/>
      <c r="F218"/>
      <c r="G218"/>
      <c r="H218"/>
      <c r="I218"/>
      <c r="J218"/>
      <c r="K218"/>
      <c r="L218"/>
      <c r="M218"/>
      <c r="N218"/>
      <c r="O218" s="372"/>
      <c r="P218" s="366">
        <v>2015</v>
      </c>
      <c r="Q218" s="367">
        <f>LARGE($CB$153:$CB$302,66)</f>
        <v>67.900000000000006</v>
      </c>
      <c r="R218" s="357">
        <f t="shared" ref="R218:R281" si="100">Q218-$T$163</f>
        <v>-96.699999999999989</v>
      </c>
      <c r="S218" s="356">
        <f t="shared" si="99"/>
        <v>9350.8899999999976</v>
      </c>
      <c r="U218" s="356">
        <f t="shared" ref="U218:U281" si="101">R218/$T$153</f>
        <v>-6.0437499999999993</v>
      </c>
      <c r="V218" s="238">
        <f t="shared" si="97"/>
        <v>8</v>
      </c>
      <c r="W218" s="354"/>
      <c r="X218" s="371"/>
      <c r="Y218" s="371"/>
      <c r="Z218" s="321">
        <v>2015</v>
      </c>
      <c r="AA218" s="367">
        <f>LARGE($CU$153:$CU$302,66)</f>
        <v>110.3</v>
      </c>
      <c r="AB218" s="357">
        <f t="shared" ref="AB218:AB281" si="102">$AA218-$AD$163</f>
        <v>-112.83333333333333</v>
      </c>
      <c r="AC218" s="356">
        <f t="shared" si="96"/>
        <v>12731.361111111109</v>
      </c>
      <c r="AD218" s="356"/>
      <c r="AE218" s="356">
        <f t="shared" ref="AE218:AE281" si="103">AB218/$AD$153</f>
        <v>-7.052083333333333</v>
      </c>
      <c r="AF218" s="238">
        <f t="shared" si="98"/>
        <v>8</v>
      </c>
      <c r="AG218" s="354"/>
      <c r="AK218"/>
      <c r="AL218"/>
      <c r="AM218"/>
      <c r="AN218"/>
      <c r="AO218"/>
      <c r="AP218"/>
      <c r="AY218" s="356"/>
      <c r="AZ218" s="356"/>
      <c r="BA218" s="356"/>
      <c r="BB218" s="356"/>
      <c r="BC218" s="356"/>
      <c r="BI218" s="360"/>
      <c r="BJ218" s="354"/>
      <c r="BK218" s="366">
        <v>2015</v>
      </c>
      <c r="BL218" s="365" t="s">
        <v>1646</v>
      </c>
      <c r="BM218" s="366" t="s">
        <v>151</v>
      </c>
      <c r="BN218" s="366" t="s">
        <v>3</v>
      </c>
      <c r="BO218" s="366">
        <v>0</v>
      </c>
      <c r="BP218" s="366">
        <v>0</v>
      </c>
      <c r="BQ218" s="366">
        <v>0</v>
      </c>
      <c r="BR218" s="366">
        <v>334</v>
      </c>
      <c r="BS218" s="366">
        <v>1</v>
      </c>
      <c r="BT218" s="366">
        <v>16</v>
      </c>
      <c r="BU218" s="366">
        <v>109</v>
      </c>
      <c r="BV218" s="366">
        <v>1</v>
      </c>
      <c r="BW218" s="366">
        <v>0</v>
      </c>
      <c r="BX218" s="366">
        <v>0</v>
      </c>
      <c r="BY218" s="366">
        <v>0</v>
      </c>
      <c r="BZ218" s="366">
        <v>0</v>
      </c>
      <c r="CA218" s="366">
        <v>0</v>
      </c>
      <c r="CB218" s="367">
        <f>IFERROR(BO218/Instructions!$J$25,0)+BP218*Instructions!$J$27+BQ218*Instructions!$J$29+IFERROR(BR218/Instructions!$E$34,0)+BS218*Instructions!$E$36+Tier!BT219*Instructions!$E$25+IFERROR(BU218/Instructions!$E$27,0)+BV218*Instructions!$E$29+IFERROR((BW218+BY218)/Instructions!$J$32,0)+(BX218+BZ218)*Instructions!$J$34+Tier!CA218*-2</f>
        <v>83.300000000000011</v>
      </c>
      <c r="CC218" s="354"/>
      <c r="CD218" s="321">
        <v>2015</v>
      </c>
      <c r="CE218" s="370" t="s">
        <v>1672</v>
      </c>
      <c r="CF218" s="371" t="s">
        <v>1626</v>
      </c>
      <c r="CG218" s="371" t="s">
        <v>6</v>
      </c>
      <c r="CH218" s="371">
        <v>0</v>
      </c>
      <c r="CI218" s="371">
        <v>0</v>
      </c>
      <c r="CJ218" s="371">
        <v>0</v>
      </c>
      <c r="CK218" s="371">
        <v>0</v>
      </c>
      <c r="CL218" s="371">
        <v>0</v>
      </c>
      <c r="CM218" s="371">
        <v>30</v>
      </c>
      <c r="CN218" s="371">
        <v>561</v>
      </c>
      <c r="CO218" s="371">
        <v>3</v>
      </c>
      <c r="CP218" s="371">
        <v>0</v>
      </c>
      <c r="CQ218" s="371">
        <v>0</v>
      </c>
      <c r="CR218" s="371">
        <v>0</v>
      </c>
      <c r="CS218" s="371">
        <v>0</v>
      </c>
      <c r="CT218" s="371">
        <v>1</v>
      </c>
      <c r="CU218" s="367">
        <f>IFERROR(CH218/Instructions!$J$25,0)+CI218*Instructions!$J$27+CJ218*Instructions!$J$29+IFERROR(CK218/Instructions!$E$34,0)+CL218*Instructions!$E$36+Tier!CM218*Instructions!$E$25+IFERROR(CN218/Instructions!$E$27,0)+CO218*Instructions!$E$29+IFERROR((CP218+CR218)/Instructions!$J$32,0)+(CQ218+CS218)*Instructions!$J$34+Tier!CT218*-2</f>
        <v>102.1</v>
      </c>
      <c r="CV218" s="354"/>
      <c r="CW218"/>
      <c r="CX218"/>
      <c r="CY218"/>
      <c r="CZ218"/>
      <c r="DA218"/>
      <c r="DB218"/>
      <c r="DC218"/>
      <c r="DD218"/>
      <c r="DE218"/>
      <c r="DF218"/>
      <c r="DG218"/>
      <c r="DH218"/>
      <c r="DI218"/>
      <c r="DJ218"/>
      <c r="DK218"/>
      <c r="DL218"/>
      <c r="DM218"/>
      <c r="DN218"/>
    </row>
    <row r="219" spans="3:118" s="238" customFormat="1" ht="15.75" customHeight="1" x14ac:dyDescent="0.25">
      <c r="C219"/>
      <c r="D219"/>
      <c r="E219"/>
      <c r="F219"/>
      <c r="G219"/>
      <c r="H219"/>
      <c r="I219"/>
      <c r="J219"/>
      <c r="K219"/>
      <c r="L219"/>
      <c r="M219"/>
      <c r="N219"/>
      <c r="O219" s="372"/>
      <c r="P219" s="366">
        <v>2015</v>
      </c>
      <c r="Q219" s="367">
        <f>LARGE($CB$153:$CB$302,67)</f>
        <v>66.7</v>
      </c>
      <c r="R219" s="357">
        <f t="shared" si="100"/>
        <v>-97.899999999999991</v>
      </c>
      <c r="S219" s="356">
        <f t="shared" si="99"/>
        <v>9584.409999999998</v>
      </c>
      <c r="U219" s="356">
        <f t="shared" si="101"/>
        <v>-6.1187499999999995</v>
      </c>
      <c r="V219" s="238">
        <f t="shared" si="97"/>
        <v>8</v>
      </c>
      <c r="W219" s="354"/>
      <c r="X219" s="371"/>
      <c r="Y219" s="371"/>
      <c r="Z219" s="321">
        <v>2015</v>
      </c>
      <c r="AA219" s="367">
        <f>LARGE($CU$153:$CU$302,67)</f>
        <v>110</v>
      </c>
      <c r="AB219" s="357">
        <f t="shared" si="102"/>
        <v>-113.13333333333333</v>
      </c>
      <c r="AC219" s="356">
        <f t="shared" si="96"/>
        <v>12799.151111111109</v>
      </c>
      <c r="AD219" s="356"/>
      <c r="AE219" s="356">
        <f t="shared" si="103"/>
        <v>-7.0708333333333329</v>
      </c>
      <c r="AF219" s="238">
        <f t="shared" si="98"/>
        <v>8</v>
      </c>
      <c r="AG219" s="354"/>
      <c r="AK219"/>
      <c r="AL219"/>
      <c r="AM219"/>
      <c r="AN219"/>
      <c r="AO219"/>
      <c r="AP219"/>
      <c r="AY219" s="356"/>
      <c r="AZ219" s="356"/>
      <c r="BA219" s="356"/>
      <c r="BB219" s="356"/>
      <c r="BC219" s="356"/>
      <c r="BI219" s="360"/>
      <c r="BJ219" s="354"/>
      <c r="BK219" s="366">
        <v>2015</v>
      </c>
      <c r="BL219" s="365" t="s">
        <v>992</v>
      </c>
      <c r="BM219" s="366" t="s">
        <v>1633</v>
      </c>
      <c r="BN219" s="366" t="s">
        <v>3</v>
      </c>
      <c r="BO219" s="366">
        <v>0</v>
      </c>
      <c r="BP219" s="366">
        <v>0</v>
      </c>
      <c r="BQ219" s="366">
        <v>0</v>
      </c>
      <c r="BR219" s="366">
        <v>273</v>
      </c>
      <c r="BS219" s="366">
        <v>1</v>
      </c>
      <c r="BT219" s="366">
        <v>27</v>
      </c>
      <c r="BU219" s="366">
        <v>176</v>
      </c>
      <c r="BV219" s="366">
        <v>0</v>
      </c>
      <c r="BW219" s="366">
        <v>0</v>
      </c>
      <c r="BX219" s="366">
        <v>0</v>
      </c>
      <c r="BY219" s="366">
        <v>106</v>
      </c>
      <c r="BZ219" s="366">
        <v>0</v>
      </c>
      <c r="CA219" s="366">
        <v>0</v>
      </c>
      <c r="CB219" s="367">
        <f>IFERROR(BO219/Instructions!$J$25,0)+BP219*Instructions!$J$27+BQ219*Instructions!$J$29+IFERROR(BR219/Instructions!$E$34,0)+BS219*Instructions!$E$36+Tier!BT220*Instructions!$E$25+IFERROR(BU219/Instructions!$E$27,0)+BV219*Instructions!$E$29+IFERROR((BW219+BY219)/Instructions!$J$32,0)+(BX219+BZ219)*Instructions!$J$34+Tier!CA219*-2</f>
        <v>67.900000000000006</v>
      </c>
      <c r="CC219" s="354"/>
      <c r="CD219" s="321">
        <v>2015</v>
      </c>
      <c r="CE219" s="370" t="s">
        <v>1671</v>
      </c>
      <c r="CF219" s="371" t="s">
        <v>1625</v>
      </c>
      <c r="CG219" s="371" t="s">
        <v>6</v>
      </c>
      <c r="CH219" s="371">
        <v>0</v>
      </c>
      <c r="CI219" s="371">
        <v>0</v>
      </c>
      <c r="CJ219" s="371">
        <v>0</v>
      </c>
      <c r="CK219" s="371">
        <v>0</v>
      </c>
      <c r="CL219" s="371">
        <v>0</v>
      </c>
      <c r="CM219" s="371">
        <v>45</v>
      </c>
      <c r="CN219" s="371">
        <v>520</v>
      </c>
      <c r="CO219" s="371">
        <v>4</v>
      </c>
      <c r="CP219" s="371">
        <v>0</v>
      </c>
      <c r="CQ219" s="371">
        <v>0</v>
      </c>
      <c r="CR219" s="371">
        <v>0</v>
      </c>
      <c r="CS219" s="371">
        <v>0</v>
      </c>
      <c r="CT219" s="371">
        <v>0</v>
      </c>
      <c r="CU219" s="367">
        <f>IFERROR(CH219/Instructions!$J$25,0)+CI219*Instructions!$J$27+CJ219*Instructions!$J$29+IFERROR(CK219/Instructions!$E$34,0)+CL219*Instructions!$E$36+Tier!CM219*Instructions!$E$25+IFERROR(CN219/Instructions!$E$27,0)+CO219*Instructions!$E$29+IFERROR((CP219+CR219)/Instructions!$J$32,0)+(CQ219+CS219)*Instructions!$J$34+Tier!CT219*-2</f>
        <v>121</v>
      </c>
      <c r="CV219" s="354"/>
      <c r="CW219"/>
      <c r="CX219"/>
      <c r="CY219"/>
      <c r="CZ219"/>
      <c r="DA219"/>
      <c r="DB219"/>
      <c r="DC219"/>
      <c r="DD219"/>
      <c r="DE219"/>
      <c r="DF219"/>
      <c r="DG219"/>
      <c r="DH219"/>
      <c r="DI219"/>
      <c r="DJ219"/>
      <c r="DK219"/>
      <c r="DL219"/>
      <c r="DM219"/>
      <c r="DN219"/>
    </row>
    <row r="220" spans="3:118" s="238" customFormat="1" ht="15.75" customHeight="1" x14ac:dyDescent="0.25">
      <c r="C220"/>
      <c r="D220"/>
      <c r="E220"/>
      <c r="F220"/>
      <c r="G220"/>
      <c r="H220"/>
      <c r="I220"/>
      <c r="J220"/>
      <c r="K220"/>
      <c r="L220"/>
      <c r="M220"/>
      <c r="N220"/>
      <c r="O220" s="372"/>
      <c r="P220" s="366">
        <v>2015</v>
      </c>
      <c r="Q220" s="367">
        <f>LARGE($CB$153:$CB$302,68)</f>
        <v>64.5</v>
      </c>
      <c r="R220" s="357">
        <f t="shared" si="100"/>
        <v>-100.1</v>
      </c>
      <c r="S220" s="356">
        <f t="shared" si="99"/>
        <v>10020.009999999998</v>
      </c>
      <c r="U220" s="356">
        <f t="shared" si="101"/>
        <v>-6.2562499999999996</v>
      </c>
      <c r="V220" s="238">
        <f t="shared" si="97"/>
        <v>8</v>
      </c>
      <c r="W220" s="354"/>
      <c r="X220" s="371"/>
      <c r="Y220" s="371"/>
      <c r="Z220" s="321">
        <v>2015</v>
      </c>
      <c r="AA220" s="367">
        <f>LARGE($CU$153:$CU$302,68)</f>
        <v>107.1</v>
      </c>
      <c r="AB220" s="357">
        <f t="shared" si="102"/>
        <v>-116.03333333333333</v>
      </c>
      <c r="AC220" s="356">
        <f t="shared" si="96"/>
        <v>13463.734444444444</v>
      </c>
      <c r="AD220" s="356"/>
      <c r="AE220" s="356">
        <f t="shared" si="103"/>
        <v>-7.2520833333333332</v>
      </c>
      <c r="AF220" s="238">
        <f t="shared" si="98"/>
        <v>8</v>
      </c>
      <c r="AG220" s="354"/>
      <c r="AK220"/>
      <c r="AL220"/>
      <c r="AM220"/>
      <c r="AN220"/>
      <c r="AO220"/>
      <c r="AP220"/>
      <c r="AY220" s="356"/>
      <c r="AZ220" s="356"/>
      <c r="BA220" s="356"/>
      <c r="BB220" s="356"/>
      <c r="BC220" s="356"/>
      <c r="BI220" s="360"/>
      <c r="BJ220" s="354"/>
      <c r="BK220" s="366">
        <v>2015</v>
      </c>
      <c r="BL220" s="365" t="s">
        <v>101</v>
      </c>
      <c r="BM220" s="366" t="s">
        <v>1625</v>
      </c>
      <c r="BN220" s="366" t="s">
        <v>3</v>
      </c>
      <c r="BO220" s="366">
        <v>0</v>
      </c>
      <c r="BP220" s="366">
        <v>0</v>
      </c>
      <c r="BQ220" s="366">
        <v>0</v>
      </c>
      <c r="BR220" s="366">
        <v>180</v>
      </c>
      <c r="BS220" s="366">
        <v>4</v>
      </c>
      <c r="BT220" s="366">
        <v>17</v>
      </c>
      <c r="BU220" s="366">
        <v>115</v>
      </c>
      <c r="BV220" s="366">
        <v>0</v>
      </c>
      <c r="BW220" s="366">
        <v>0</v>
      </c>
      <c r="BX220" s="366">
        <v>0</v>
      </c>
      <c r="BY220" s="366">
        <v>33</v>
      </c>
      <c r="BZ220" s="366">
        <v>0</v>
      </c>
      <c r="CA220" s="366">
        <v>0</v>
      </c>
      <c r="CB220" s="367">
        <f>IFERROR(BO220/Instructions!$J$25,0)+BP220*Instructions!$J$27+BQ220*Instructions!$J$29+IFERROR(BR220/Instructions!$E$34,0)+BS220*Instructions!$E$36+Tier!BT221*Instructions!$E$25+IFERROR(BU220/Instructions!$E$27,0)+BV220*Instructions!$E$29+IFERROR((BW220+BY220)/Instructions!$J$32,0)+(BX220+BZ220)*Instructions!$J$34+Tier!CA220*-2</f>
        <v>87.5</v>
      </c>
      <c r="CC220" s="354"/>
      <c r="CD220" s="321">
        <v>2015</v>
      </c>
      <c r="CE220" s="370" t="s">
        <v>130</v>
      </c>
      <c r="CF220" s="371" t="s">
        <v>156</v>
      </c>
      <c r="CG220" s="371" t="s">
        <v>6</v>
      </c>
      <c r="CH220" s="371">
        <v>0</v>
      </c>
      <c r="CI220" s="371">
        <v>0</v>
      </c>
      <c r="CJ220" s="371">
        <v>0</v>
      </c>
      <c r="CK220" s="371">
        <v>0</v>
      </c>
      <c r="CL220" s="371">
        <v>0</v>
      </c>
      <c r="CM220" s="371">
        <v>47</v>
      </c>
      <c r="CN220" s="371">
        <v>552</v>
      </c>
      <c r="CO220" s="371">
        <v>3</v>
      </c>
      <c r="CP220" s="371">
        <v>0</v>
      </c>
      <c r="CQ220" s="371">
        <v>0</v>
      </c>
      <c r="CR220" s="371">
        <v>0</v>
      </c>
      <c r="CS220" s="371">
        <v>0</v>
      </c>
      <c r="CT220" s="371">
        <v>1</v>
      </c>
      <c r="CU220" s="367">
        <f>IFERROR(CH220/Instructions!$J$25,0)+CI220*Instructions!$J$27+CJ220*Instructions!$J$29+IFERROR(CK220/Instructions!$E$34,0)+CL220*Instructions!$E$36+Tier!CM220*Instructions!$E$25+IFERROR(CN220/Instructions!$E$27,0)+CO220*Instructions!$E$29+IFERROR((CP220+CR220)/Instructions!$J$32,0)+(CQ220+CS220)*Instructions!$J$34+Tier!CT220*-2</f>
        <v>118.2</v>
      </c>
      <c r="CV220" s="354"/>
      <c r="CW220"/>
      <c r="CX220"/>
      <c r="CY220"/>
      <c r="CZ220"/>
      <c r="DA220"/>
      <c r="DB220"/>
      <c r="DC220"/>
      <c r="DD220"/>
      <c r="DE220"/>
      <c r="DF220"/>
      <c r="DG220"/>
      <c r="DH220"/>
      <c r="DI220"/>
      <c r="DJ220"/>
      <c r="DK220"/>
      <c r="DL220"/>
      <c r="DM220"/>
      <c r="DN220"/>
    </row>
    <row r="221" spans="3:118" s="238" customFormat="1" ht="15.75" customHeight="1" x14ac:dyDescent="0.25">
      <c r="C221"/>
      <c r="D221"/>
      <c r="E221"/>
      <c r="F221"/>
      <c r="G221"/>
      <c r="H221"/>
      <c r="I221"/>
      <c r="J221"/>
      <c r="K221"/>
      <c r="L221"/>
      <c r="M221"/>
      <c r="N221"/>
      <c r="O221" s="372"/>
      <c r="P221" s="366">
        <v>2015</v>
      </c>
      <c r="Q221" s="367">
        <f>LARGE($CB$153:$CB$302,69)</f>
        <v>64.199999999999989</v>
      </c>
      <c r="R221" s="357">
        <f t="shared" si="100"/>
        <v>-100.4</v>
      </c>
      <c r="S221" s="356">
        <f t="shared" si="99"/>
        <v>10080.160000000002</v>
      </c>
      <c r="U221" s="356">
        <f t="shared" si="101"/>
        <v>-6.2750000000000004</v>
      </c>
      <c r="V221" s="238">
        <f t="shared" si="97"/>
        <v>8</v>
      </c>
      <c r="W221" s="354"/>
      <c r="X221" s="371"/>
      <c r="Y221" s="371"/>
      <c r="Z221" s="321">
        <v>2015</v>
      </c>
      <c r="AA221" s="367">
        <f>LARGE($CU$153:$CU$302,69)</f>
        <v>106.8</v>
      </c>
      <c r="AB221" s="357">
        <f t="shared" si="102"/>
        <v>-116.33333333333333</v>
      </c>
      <c r="AC221" s="356">
        <f t="shared" si="96"/>
        <v>13533.444444444443</v>
      </c>
      <c r="AD221" s="356"/>
      <c r="AE221" s="356">
        <f t="shared" si="103"/>
        <v>-7.270833333333333</v>
      </c>
      <c r="AF221" s="238">
        <f t="shared" si="98"/>
        <v>8</v>
      </c>
      <c r="AG221" s="354"/>
      <c r="AK221"/>
      <c r="AL221"/>
      <c r="AM221"/>
      <c r="AN221"/>
      <c r="AO221"/>
      <c r="AP221"/>
      <c r="AY221" s="356"/>
      <c r="AZ221" s="356"/>
      <c r="BA221" s="356"/>
      <c r="BB221" s="356"/>
      <c r="BC221" s="356"/>
      <c r="BI221" s="360"/>
      <c r="BJ221" s="354"/>
      <c r="BK221" s="366">
        <v>2015</v>
      </c>
      <c r="BL221" s="365" t="s">
        <v>65</v>
      </c>
      <c r="BM221" s="366" t="s">
        <v>1625</v>
      </c>
      <c r="BN221" s="366" t="s">
        <v>3</v>
      </c>
      <c r="BO221" s="366">
        <v>0</v>
      </c>
      <c r="BP221" s="366">
        <v>0</v>
      </c>
      <c r="BQ221" s="366">
        <v>0</v>
      </c>
      <c r="BR221" s="366">
        <v>112</v>
      </c>
      <c r="BS221" s="366">
        <v>0</v>
      </c>
      <c r="BT221" s="366">
        <v>34</v>
      </c>
      <c r="BU221" s="366">
        <v>239</v>
      </c>
      <c r="BV221" s="366">
        <v>2</v>
      </c>
      <c r="BW221" s="366">
        <v>0</v>
      </c>
      <c r="BX221" s="366">
        <v>0</v>
      </c>
      <c r="BY221" s="366">
        <v>149</v>
      </c>
      <c r="BZ221" s="366">
        <v>0</v>
      </c>
      <c r="CA221" s="366">
        <v>0</v>
      </c>
      <c r="CB221" s="367">
        <f>IFERROR(BO221/Instructions!$J$25,0)+BP221*Instructions!$J$27+BQ221*Instructions!$J$29+IFERROR(BR221/Instructions!$E$34,0)+BS221*Instructions!$E$36+Tier!BT222*Instructions!$E$25+IFERROR(BU221/Instructions!$E$27,0)+BV221*Instructions!$E$29+IFERROR((BW221+BY221)/Instructions!$J$32,0)+(BX221+BZ221)*Instructions!$J$34+Tier!CA221*-2</f>
        <v>61.099999999999994</v>
      </c>
      <c r="CC221" s="354"/>
      <c r="CD221" s="321">
        <v>2015</v>
      </c>
      <c r="CE221" s="370" t="s">
        <v>1641</v>
      </c>
      <c r="CF221" s="371" t="s">
        <v>159</v>
      </c>
      <c r="CG221" s="371" t="s">
        <v>6</v>
      </c>
      <c r="CH221" s="371">
        <v>0</v>
      </c>
      <c r="CI221" s="371">
        <v>0</v>
      </c>
      <c r="CJ221" s="371">
        <v>0</v>
      </c>
      <c r="CK221" s="371">
        <v>38</v>
      </c>
      <c r="CL221" s="371">
        <v>0</v>
      </c>
      <c r="CM221" s="371">
        <v>31</v>
      </c>
      <c r="CN221" s="371">
        <v>447</v>
      </c>
      <c r="CO221" s="371">
        <v>4</v>
      </c>
      <c r="CP221" s="371">
        <v>0</v>
      </c>
      <c r="CQ221" s="371">
        <v>0</v>
      </c>
      <c r="CR221" s="371">
        <v>0</v>
      </c>
      <c r="CS221" s="371">
        <v>0</v>
      </c>
      <c r="CT221" s="371">
        <v>0</v>
      </c>
      <c r="CU221" s="367">
        <f>IFERROR(CH221/Instructions!$J$25,0)+CI221*Instructions!$J$27+CJ221*Instructions!$J$29+IFERROR(CK221/Instructions!$E$34,0)+CL221*Instructions!$E$36+Tier!CM221*Instructions!$E$25+IFERROR(CN221/Instructions!$E$27,0)+CO221*Instructions!$E$29+IFERROR((CP221+CR221)/Instructions!$J$32,0)+(CQ221+CS221)*Instructions!$J$34+Tier!CT221*-2</f>
        <v>103.5</v>
      </c>
      <c r="CV221" s="354"/>
      <c r="CW221"/>
      <c r="CX221"/>
      <c r="CY221"/>
      <c r="CZ221"/>
      <c r="DA221"/>
      <c r="DB221"/>
      <c r="DC221"/>
      <c r="DD221"/>
      <c r="DE221"/>
      <c r="DF221"/>
      <c r="DG221"/>
      <c r="DH221"/>
      <c r="DI221"/>
      <c r="DJ221"/>
      <c r="DK221"/>
      <c r="DL221"/>
      <c r="DM221"/>
      <c r="DN221"/>
    </row>
    <row r="222" spans="3:118" s="238" customFormat="1" ht="15.75" customHeight="1" x14ac:dyDescent="0.25">
      <c r="C222"/>
      <c r="D222"/>
      <c r="E222"/>
      <c r="F222"/>
      <c r="G222"/>
      <c r="H222"/>
      <c r="I222"/>
      <c r="J222"/>
      <c r="K222"/>
      <c r="L222"/>
      <c r="M222"/>
      <c r="N222"/>
      <c r="O222" s="372"/>
      <c r="P222" s="366">
        <v>2015</v>
      </c>
      <c r="Q222" s="367">
        <f>LARGE($CB$153:$CB$302,70)</f>
        <v>61.099999999999994</v>
      </c>
      <c r="R222" s="357">
        <f t="shared" si="100"/>
        <v>-103.5</v>
      </c>
      <c r="S222" s="356">
        <f t="shared" si="99"/>
        <v>10712.25</v>
      </c>
      <c r="U222" s="356">
        <f t="shared" si="101"/>
        <v>-6.46875</v>
      </c>
      <c r="V222" s="238">
        <f t="shared" si="97"/>
        <v>8</v>
      </c>
      <c r="W222" s="354"/>
      <c r="X222" s="371"/>
      <c r="Y222" s="371"/>
      <c r="Z222" s="321">
        <v>2015</v>
      </c>
      <c r="AA222" s="367">
        <f>LARGE($CU$153:$CU$302,70)</f>
        <v>106.3</v>
      </c>
      <c r="AB222" s="357">
        <f t="shared" si="102"/>
        <v>-116.83333333333333</v>
      </c>
      <c r="AC222" s="356">
        <f t="shared" si="96"/>
        <v>13650.027777777777</v>
      </c>
      <c r="AD222" s="356"/>
      <c r="AE222" s="356">
        <f t="shared" si="103"/>
        <v>-7.302083333333333</v>
      </c>
      <c r="AF222" s="238">
        <f t="shared" si="98"/>
        <v>8</v>
      </c>
      <c r="AG222" s="354"/>
      <c r="AK222"/>
      <c r="AL222"/>
      <c r="AM222"/>
      <c r="AN222"/>
      <c r="AO222"/>
      <c r="AP222"/>
      <c r="BI222" s="360"/>
      <c r="BJ222" s="354"/>
      <c r="BK222" s="366">
        <v>2015</v>
      </c>
      <c r="BL222" s="365" t="s">
        <v>74</v>
      </c>
      <c r="BM222" s="366" t="s">
        <v>163</v>
      </c>
      <c r="BN222" s="366" t="s">
        <v>3</v>
      </c>
      <c r="BO222" s="366">
        <v>0</v>
      </c>
      <c r="BP222" s="366">
        <v>0</v>
      </c>
      <c r="BQ222" s="366">
        <v>0</v>
      </c>
      <c r="BR222" s="366">
        <v>193</v>
      </c>
      <c r="BS222" s="366">
        <v>1</v>
      </c>
      <c r="BT222" s="366">
        <v>14</v>
      </c>
      <c r="BU222" s="366">
        <v>139</v>
      </c>
      <c r="BV222" s="366">
        <v>1</v>
      </c>
      <c r="BW222" s="366">
        <v>0</v>
      </c>
      <c r="BX222" s="366">
        <v>0</v>
      </c>
      <c r="BY222" s="366">
        <v>192</v>
      </c>
      <c r="BZ222" s="366">
        <v>0</v>
      </c>
      <c r="CA222" s="366">
        <v>0</v>
      </c>
      <c r="CB222" s="367">
        <f>IFERROR(BO222/Instructions!$J$25,0)+BP222*Instructions!$J$27+BQ222*Instructions!$J$29+IFERROR(BR222/Instructions!$E$34,0)+BS222*Instructions!$E$36+Tier!BT223*Instructions!$E$25+IFERROR(BU222/Instructions!$E$27,0)+BV222*Instructions!$E$29+IFERROR((BW222+BY222)/Instructions!$J$32,0)+(BX222+BZ222)*Instructions!$J$34+Tier!CA222*-2</f>
        <v>64.199999999999989</v>
      </c>
      <c r="CC222" s="354"/>
      <c r="CD222" s="321">
        <v>2015</v>
      </c>
      <c r="CE222" s="370" t="s">
        <v>102</v>
      </c>
      <c r="CF222" s="371" t="s">
        <v>151</v>
      </c>
      <c r="CG222" s="371" t="s">
        <v>6</v>
      </c>
      <c r="CH222" s="371">
        <v>21</v>
      </c>
      <c r="CI222" s="371">
        <v>1</v>
      </c>
      <c r="CJ222" s="371">
        <v>0</v>
      </c>
      <c r="CK222" s="371">
        <v>47</v>
      </c>
      <c r="CL222" s="371">
        <v>0</v>
      </c>
      <c r="CM222" s="371">
        <v>42</v>
      </c>
      <c r="CN222" s="371">
        <v>484</v>
      </c>
      <c r="CO222" s="371">
        <v>2</v>
      </c>
      <c r="CP222" s="371">
        <v>70</v>
      </c>
      <c r="CQ222" s="371">
        <v>0</v>
      </c>
      <c r="CR222" s="371">
        <v>0</v>
      </c>
      <c r="CS222" s="371">
        <v>0</v>
      </c>
      <c r="CT222" s="371">
        <v>0</v>
      </c>
      <c r="CU222" s="367">
        <f>IFERROR(CH222/Instructions!$J$25,0)+CI222*Instructions!$J$27+CJ222*Instructions!$J$29+IFERROR(CK222/Instructions!$E$34,0)+CL222*Instructions!$E$36+Tier!CM222*Instructions!$E$25+IFERROR(CN222/Instructions!$E$27,0)+CO222*Instructions!$E$29+IFERROR((CP222+CR222)/Instructions!$J$32,0)+(CQ222+CS222)*Instructions!$J$34+Tier!CT222*-2</f>
        <v>111.94</v>
      </c>
      <c r="CV222" s="354"/>
      <c r="CW222"/>
      <c r="CX222"/>
      <c r="CY222"/>
      <c r="CZ222"/>
      <c r="DA222"/>
      <c r="DB222"/>
      <c r="DC222"/>
      <c r="DD222"/>
      <c r="DE222"/>
      <c r="DF222"/>
      <c r="DG222"/>
      <c r="DH222"/>
      <c r="DI222"/>
      <c r="DJ222"/>
      <c r="DK222"/>
      <c r="DL222"/>
      <c r="DM222"/>
      <c r="DN222"/>
    </row>
    <row r="223" spans="3:118" s="238" customFormat="1" ht="15.75" customHeight="1" x14ac:dyDescent="0.25">
      <c r="C223"/>
      <c r="D223"/>
      <c r="E223"/>
      <c r="F223"/>
      <c r="G223"/>
      <c r="H223"/>
      <c r="I223"/>
      <c r="J223"/>
      <c r="K223"/>
      <c r="L223"/>
      <c r="M223"/>
      <c r="N223"/>
      <c r="O223" s="372"/>
      <c r="P223" s="366">
        <v>2015</v>
      </c>
      <c r="Q223" s="367">
        <f>LARGE($CB$153:$CB$302,71)</f>
        <v>57</v>
      </c>
      <c r="R223" s="357">
        <f t="shared" si="100"/>
        <v>-107.6</v>
      </c>
      <c r="S223" s="356">
        <f t="shared" si="99"/>
        <v>11577.759999999998</v>
      </c>
      <c r="U223" s="356">
        <f t="shared" si="101"/>
        <v>-6.7249999999999996</v>
      </c>
      <c r="V223" s="238">
        <f t="shared" si="97"/>
        <v>8</v>
      </c>
      <c r="W223" s="354"/>
      <c r="X223" s="371"/>
      <c r="Y223" s="371"/>
      <c r="Z223" s="321">
        <v>2015</v>
      </c>
      <c r="AA223" s="367">
        <f>LARGE($CU$153:$CU$302,71)</f>
        <v>105.3</v>
      </c>
      <c r="AB223" s="357">
        <f t="shared" si="102"/>
        <v>-117.83333333333333</v>
      </c>
      <c r="AC223" s="356">
        <f t="shared" si="96"/>
        <v>13884.694444444443</v>
      </c>
      <c r="AD223" s="356"/>
      <c r="AE223" s="356">
        <f t="shared" si="103"/>
        <v>-7.364583333333333</v>
      </c>
      <c r="AF223" s="238">
        <f t="shared" si="98"/>
        <v>8</v>
      </c>
      <c r="AG223" s="354"/>
      <c r="AK223"/>
      <c r="AL223"/>
      <c r="AM223"/>
      <c r="AN223"/>
      <c r="AO223"/>
      <c r="AP223"/>
      <c r="BI223" s="360"/>
      <c r="BJ223" s="354"/>
      <c r="BK223" s="366">
        <v>2015</v>
      </c>
      <c r="BL223" s="365" t="s">
        <v>980</v>
      </c>
      <c r="BM223" s="366" t="s">
        <v>1628</v>
      </c>
      <c r="BN223" s="366" t="s">
        <v>3</v>
      </c>
      <c r="BO223" s="366">
        <v>0</v>
      </c>
      <c r="BP223" s="366">
        <v>0</v>
      </c>
      <c r="BQ223" s="366">
        <v>0</v>
      </c>
      <c r="BR223" s="366">
        <v>207</v>
      </c>
      <c r="BS223" s="366">
        <v>0</v>
      </c>
      <c r="BT223" s="366">
        <v>19</v>
      </c>
      <c r="BU223" s="366">
        <v>180</v>
      </c>
      <c r="BV223" s="366">
        <v>2</v>
      </c>
      <c r="BW223" s="366">
        <v>0</v>
      </c>
      <c r="BX223" s="366">
        <v>0</v>
      </c>
      <c r="BY223" s="366">
        <v>0</v>
      </c>
      <c r="BZ223" s="366">
        <v>0</v>
      </c>
      <c r="CA223" s="366">
        <v>0</v>
      </c>
      <c r="CB223" s="367">
        <f>IFERROR(BO223/Instructions!$J$25,0)+BP223*Instructions!$J$27+BQ223*Instructions!$J$29+IFERROR(BR223/Instructions!$E$34,0)+BS223*Instructions!$E$36+Tier!BT224*Instructions!$E$25+IFERROR(BU223/Instructions!$E$27,0)+BV223*Instructions!$E$29+IFERROR((BW223+BY223)/Instructions!$J$32,0)+(BX223+BZ223)*Instructions!$J$34+Tier!CA223*-2</f>
        <v>56.7</v>
      </c>
      <c r="CC223" s="354"/>
      <c r="CD223" s="321">
        <v>2015</v>
      </c>
      <c r="CE223" s="370" t="s">
        <v>43</v>
      </c>
      <c r="CF223" s="371" t="s">
        <v>1627</v>
      </c>
      <c r="CG223" s="371" t="s">
        <v>6</v>
      </c>
      <c r="CH223" s="371">
        <v>0</v>
      </c>
      <c r="CI223" s="371">
        <v>0</v>
      </c>
      <c r="CJ223" s="371">
        <v>0</v>
      </c>
      <c r="CK223" s="371">
        <v>0</v>
      </c>
      <c r="CL223" s="371">
        <v>0</v>
      </c>
      <c r="CM223" s="371">
        <v>33</v>
      </c>
      <c r="CN223" s="371">
        <v>543</v>
      </c>
      <c r="CO223" s="371">
        <v>3</v>
      </c>
      <c r="CP223" s="371">
        <v>0</v>
      </c>
      <c r="CQ223" s="371">
        <v>0</v>
      </c>
      <c r="CR223" s="371">
        <v>0</v>
      </c>
      <c r="CS223" s="371">
        <v>0</v>
      </c>
      <c r="CT223" s="371">
        <v>0</v>
      </c>
      <c r="CU223" s="367">
        <f>IFERROR(CH223/Instructions!$J$25,0)+CI223*Instructions!$J$27+CJ223*Instructions!$J$29+IFERROR(CK223/Instructions!$E$34,0)+CL223*Instructions!$E$36+Tier!CM223*Instructions!$E$25+IFERROR(CN223/Instructions!$E$27,0)+CO223*Instructions!$E$29+IFERROR((CP223+CR223)/Instructions!$J$32,0)+(CQ223+CS223)*Instructions!$J$34+Tier!CT223*-2</f>
        <v>105.3</v>
      </c>
      <c r="CV223" s="354"/>
      <c r="CW223"/>
      <c r="CX223"/>
      <c r="CY223"/>
      <c r="CZ223"/>
      <c r="DA223"/>
      <c r="DB223"/>
      <c r="DC223"/>
      <c r="DD223"/>
      <c r="DE223"/>
      <c r="DF223"/>
      <c r="DG223"/>
      <c r="DH223"/>
      <c r="DI223"/>
      <c r="DJ223"/>
      <c r="DK223"/>
      <c r="DL223"/>
      <c r="DM223"/>
      <c r="DN223"/>
    </row>
    <row r="224" spans="3:118" s="238" customFormat="1" ht="15.75" customHeight="1" x14ac:dyDescent="0.25">
      <c r="C224"/>
      <c r="D224"/>
      <c r="E224"/>
      <c r="F224"/>
      <c r="G224"/>
      <c r="H224"/>
      <c r="I224"/>
      <c r="J224"/>
      <c r="K224"/>
      <c r="L224"/>
      <c r="M224"/>
      <c r="N224"/>
      <c r="O224" s="372"/>
      <c r="P224" s="366">
        <v>2015</v>
      </c>
      <c r="Q224" s="367">
        <f>LARGE($CB$153:$CB$302,72)</f>
        <v>56.7</v>
      </c>
      <c r="R224" s="357">
        <f t="shared" si="100"/>
        <v>-107.89999999999999</v>
      </c>
      <c r="S224" s="356">
        <f t="shared" si="99"/>
        <v>11642.409999999998</v>
      </c>
      <c r="U224" s="356">
        <f t="shared" si="101"/>
        <v>-6.7437499999999995</v>
      </c>
      <c r="V224" s="238">
        <f t="shared" si="97"/>
        <v>8</v>
      </c>
      <c r="W224" s="354"/>
      <c r="X224" s="371"/>
      <c r="Y224" s="371"/>
      <c r="Z224" s="321">
        <v>2015</v>
      </c>
      <c r="AA224" s="367">
        <f>LARGE($CU$153:$CU$302,72)</f>
        <v>104.4</v>
      </c>
      <c r="AB224" s="357">
        <f t="shared" si="102"/>
        <v>-118.73333333333332</v>
      </c>
      <c r="AC224" s="356">
        <f t="shared" si="96"/>
        <v>14097.604444444441</v>
      </c>
      <c r="AD224" s="356"/>
      <c r="AE224" s="356">
        <f t="shared" si="103"/>
        <v>-7.4208333333333325</v>
      </c>
      <c r="AF224" s="238">
        <f t="shared" si="98"/>
        <v>8</v>
      </c>
      <c r="AG224" s="354"/>
      <c r="AK224"/>
      <c r="AL224"/>
      <c r="AM224"/>
      <c r="AN224"/>
      <c r="AO224"/>
      <c r="AP224"/>
      <c r="BI224" s="360"/>
      <c r="BJ224" s="354"/>
      <c r="BK224" s="366">
        <v>2015</v>
      </c>
      <c r="BL224" s="365" t="s">
        <v>989</v>
      </c>
      <c r="BM224" s="366" t="s">
        <v>156</v>
      </c>
      <c r="BN224" s="366" t="s">
        <v>3</v>
      </c>
      <c r="BO224" s="366">
        <v>0</v>
      </c>
      <c r="BP224" s="366">
        <v>0</v>
      </c>
      <c r="BQ224" s="366">
        <v>0</v>
      </c>
      <c r="BR224" s="366">
        <v>267</v>
      </c>
      <c r="BS224" s="366">
        <v>3</v>
      </c>
      <c r="BT224" s="366">
        <v>6</v>
      </c>
      <c r="BU224" s="366">
        <v>29</v>
      </c>
      <c r="BV224" s="366">
        <v>0</v>
      </c>
      <c r="BW224" s="366">
        <v>0</v>
      </c>
      <c r="BX224" s="366">
        <v>0</v>
      </c>
      <c r="BY224" s="366">
        <v>0</v>
      </c>
      <c r="BZ224" s="366">
        <v>0</v>
      </c>
      <c r="CA224" s="366">
        <v>1</v>
      </c>
      <c r="CB224" s="367">
        <f>IFERROR(BO224/Instructions!$J$25,0)+BP224*Instructions!$J$27+BQ224*Instructions!$J$29+IFERROR(BR224/Instructions!$E$34,0)+BS224*Instructions!$E$36+Tier!BT225*Instructions!$E$25+IFERROR(BU224/Instructions!$E$27,0)+BV224*Instructions!$E$29+IFERROR((BW224+BY224)/Instructions!$J$32,0)+(BX224+BZ224)*Instructions!$J$34+Tier!CA224*-2</f>
        <v>47.6</v>
      </c>
      <c r="CC224" s="354"/>
      <c r="CD224" s="321">
        <v>2015</v>
      </c>
      <c r="CE224" s="370" t="s">
        <v>207</v>
      </c>
      <c r="CF224" s="371" t="s">
        <v>137</v>
      </c>
      <c r="CG224" s="371" t="s">
        <v>6</v>
      </c>
      <c r="CH224" s="371">
        <v>0</v>
      </c>
      <c r="CI224" s="371">
        <v>0</v>
      </c>
      <c r="CJ224" s="371">
        <v>0</v>
      </c>
      <c r="CK224" s="371">
        <v>0</v>
      </c>
      <c r="CL224" s="371">
        <v>0</v>
      </c>
      <c r="CM224" s="371">
        <v>27</v>
      </c>
      <c r="CN224" s="371">
        <v>312</v>
      </c>
      <c r="CO224" s="371">
        <v>3</v>
      </c>
      <c r="CP224" s="371">
        <v>0</v>
      </c>
      <c r="CQ224" s="371">
        <v>0</v>
      </c>
      <c r="CR224" s="371">
        <v>498</v>
      </c>
      <c r="CS224" s="371">
        <v>0</v>
      </c>
      <c r="CT224" s="371">
        <v>0</v>
      </c>
      <c r="CU224" s="367">
        <f>IFERROR(CH224/Instructions!$J$25,0)+CI224*Instructions!$J$27+CJ224*Instructions!$J$29+IFERROR(CK224/Instructions!$E$34,0)+CL224*Instructions!$E$36+Tier!CM224*Instructions!$E$25+IFERROR(CN224/Instructions!$E$27,0)+CO224*Instructions!$E$29+IFERROR((CP224+CR224)/Instructions!$J$32,0)+(CQ224+CS224)*Instructions!$J$34+Tier!CT224*-2</f>
        <v>76.2</v>
      </c>
      <c r="CV224" s="354"/>
      <c r="CW224"/>
      <c r="CX224"/>
      <c r="CY224"/>
      <c r="CZ224"/>
      <c r="DA224"/>
      <c r="DB224"/>
      <c r="DC224"/>
      <c r="DD224"/>
      <c r="DE224"/>
      <c r="DF224"/>
      <c r="DG224"/>
      <c r="DH224"/>
      <c r="DI224"/>
      <c r="DJ224"/>
      <c r="DK224"/>
      <c r="DL224"/>
      <c r="DM224"/>
      <c r="DN224"/>
    </row>
    <row r="225" spans="3:118" s="238" customFormat="1" ht="15.75" customHeight="1" x14ac:dyDescent="0.25">
      <c r="C225"/>
      <c r="D225"/>
      <c r="E225"/>
      <c r="F225"/>
      <c r="G225"/>
      <c r="H225"/>
      <c r="I225"/>
      <c r="J225"/>
      <c r="K225"/>
      <c r="L225"/>
      <c r="M225"/>
      <c r="N225"/>
      <c r="O225" s="372"/>
      <c r="P225" s="366">
        <v>2015</v>
      </c>
      <c r="Q225" s="367">
        <f>LARGE($CB$153:$CB$302,73)</f>
        <v>54.7</v>
      </c>
      <c r="R225" s="357">
        <f t="shared" si="100"/>
        <v>-109.89999999999999</v>
      </c>
      <c r="S225" s="356">
        <f t="shared" si="99"/>
        <v>12078.009999999998</v>
      </c>
      <c r="U225" s="356">
        <f t="shared" si="101"/>
        <v>-6.8687499999999995</v>
      </c>
      <c r="V225" s="238">
        <f t="shared" si="97"/>
        <v>8</v>
      </c>
      <c r="W225" s="354"/>
      <c r="X225" s="371"/>
      <c r="Y225" s="371"/>
      <c r="Z225" s="321">
        <v>2015</v>
      </c>
      <c r="AA225" s="367">
        <f>LARGE($CU$153:$CU$302,73)</f>
        <v>104.3</v>
      </c>
      <c r="AB225" s="357">
        <f t="shared" si="102"/>
        <v>-118.83333333333333</v>
      </c>
      <c r="AC225" s="356">
        <f t="shared" si="96"/>
        <v>14121.361111111109</v>
      </c>
      <c r="AD225" s="356"/>
      <c r="AE225" s="356">
        <f t="shared" si="103"/>
        <v>-7.427083333333333</v>
      </c>
      <c r="AF225" s="238">
        <f t="shared" si="98"/>
        <v>8</v>
      </c>
      <c r="AG225" s="354"/>
      <c r="AK225"/>
      <c r="AL225"/>
      <c r="AM225"/>
      <c r="AN225"/>
      <c r="AO225"/>
      <c r="AP225"/>
      <c r="BI225" s="360"/>
      <c r="BJ225" s="354"/>
      <c r="BK225" s="366">
        <v>2015</v>
      </c>
      <c r="BL225" s="365" t="s">
        <v>1129</v>
      </c>
      <c r="BM225" s="366" t="s">
        <v>148</v>
      </c>
      <c r="BN225" s="366" t="s">
        <v>3</v>
      </c>
      <c r="BO225" s="366">
        <v>0</v>
      </c>
      <c r="BP225" s="366">
        <v>0</v>
      </c>
      <c r="BQ225" s="366">
        <v>0</v>
      </c>
      <c r="BR225" s="366">
        <v>392</v>
      </c>
      <c r="BS225" s="366">
        <v>1</v>
      </c>
      <c r="BT225" s="366">
        <v>2</v>
      </c>
      <c r="BU225" s="366">
        <v>14</v>
      </c>
      <c r="BV225" s="366">
        <v>0</v>
      </c>
      <c r="BW225" s="366">
        <v>0</v>
      </c>
      <c r="BX225" s="366">
        <v>0</v>
      </c>
      <c r="BY225" s="366">
        <v>0</v>
      </c>
      <c r="BZ225" s="366">
        <v>0</v>
      </c>
      <c r="CA225" s="366">
        <v>3</v>
      </c>
      <c r="CB225" s="367">
        <f>IFERROR(BO225/Instructions!$J$25,0)+BP225*Instructions!$J$27+BQ225*Instructions!$J$29+IFERROR(BR225/Instructions!$E$34,0)+BS225*Instructions!$E$36+Tier!BT226*Instructions!$E$25+IFERROR(BU225/Instructions!$E$27,0)+BV225*Instructions!$E$29+IFERROR((BW225+BY225)/Instructions!$J$32,0)+(BX225+BZ225)*Instructions!$J$34+Tier!CA225*-2</f>
        <v>72.600000000000009</v>
      </c>
      <c r="CC225" s="354"/>
      <c r="CD225" s="321">
        <v>2015</v>
      </c>
      <c r="CE225" s="370" t="s">
        <v>1673</v>
      </c>
      <c r="CF225" s="371" t="s">
        <v>159</v>
      </c>
      <c r="CG225" s="371" t="s">
        <v>6</v>
      </c>
      <c r="CH225" s="371">
        <v>0</v>
      </c>
      <c r="CI225" s="371">
        <v>0</v>
      </c>
      <c r="CJ225" s="371">
        <v>0</v>
      </c>
      <c r="CK225" s="371">
        <v>16</v>
      </c>
      <c r="CL225" s="371">
        <v>0</v>
      </c>
      <c r="CM225" s="371">
        <v>39</v>
      </c>
      <c r="CN225" s="371">
        <v>485</v>
      </c>
      <c r="CO225" s="371">
        <v>3</v>
      </c>
      <c r="CP225" s="371">
        <v>0</v>
      </c>
      <c r="CQ225" s="371">
        <v>0</v>
      </c>
      <c r="CR225" s="371">
        <v>0</v>
      </c>
      <c r="CS225" s="371">
        <v>0</v>
      </c>
      <c r="CT225" s="371">
        <v>0</v>
      </c>
      <c r="CU225" s="367">
        <f>IFERROR(CH225/Instructions!$J$25,0)+CI225*Instructions!$J$27+CJ225*Instructions!$J$29+IFERROR(CK225/Instructions!$E$34,0)+CL225*Instructions!$E$36+Tier!CM225*Instructions!$E$25+IFERROR(CN225/Instructions!$E$27,0)+CO225*Instructions!$E$29+IFERROR((CP225+CR225)/Instructions!$J$32,0)+(CQ225+CS225)*Instructions!$J$34+Tier!CT225*-2</f>
        <v>107.1</v>
      </c>
      <c r="CV225" s="354"/>
      <c r="CW225"/>
      <c r="CX225"/>
      <c r="CY225"/>
      <c r="CZ225"/>
      <c r="DA225"/>
      <c r="DB225"/>
      <c r="DC225"/>
      <c r="DD225"/>
      <c r="DE225"/>
      <c r="DF225"/>
      <c r="DG225"/>
      <c r="DH225"/>
      <c r="DI225"/>
      <c r="DJ225"/>
      <c r="DK225"/>
      <c r="DL225"/>
      <c r="DM225"/>
      <c r="DN225"/>
    </row>
    <row r="226" spans="3:118" s="238" customFormat="1" ht="15.75" customHeight="1" x14ac:dyDescent="0.25">
      <c r="C226"/>
      <c r="D226"/>
      <c r="E226"/>
      <c r="F226"/>
      <c r="G226"/>
      <c r="H226"/>
      <c r="I226"/>
      <c r="J226"/>
      <c r="K226"/>
      <c r="L226"/>
      <c r="M226"/>
      <c r="N226"/>
      <c r="O226" s="372"/>
      <c r="P226" s="366">
        <v>2015</v>
      </c>
      <c r="Q226" s="367">
        <f>LARGE($CB$153:$CB$302,74)</f>
        <v>51.8</v>
      </c>
      <c r="R226" s="357">
        <f t="shared" si="100"/>
        <v>-112.8</v>
      </c>
      <c r="S226" s="356">
        <f t="shared" si="99"/>
        <v>12723.84</v>
      </c>
      <c r="U226" s="356">
        <f t="shared" si="101"/>
        <v>-7.05</v>
      </c>
      <c r="V226" s="238">
        <f t="shared" si="97"/>
        <v>8</v>
      </c>
      <c r="W226" s="354"/>
      <c r="X226" s="371"/>
      <c r="Y226" s="371"/>
      <c r="Z226" s="321">
        <v>2015</v>
      </c>
      <c r="AA226" s="367">
        <f>LARGE($CU$153:$CU$302,74)</f>
        <v>103.5</v>
      </c>
      <c r="AB226" s="357">
        <f t="shared" si="102"/>
        <v>-119.63333333333333</v>
      </c>
      <c r="AC226" s="356">
        <f t="shared" si="96"/>
        <v>14312.134444444442</v>
      </c>
      <c r="AD226" s="356"/>
      <c r="AE226" s="356">
        <f t="shared" si="103"/>
        <v>-7.4770833333333329</v>
      </c>
      <c r="AF226" s="238">
        <f t="shared" si="98"/>
        <v>8</v>
      </c>
      <c r="AG226" s="354"/>
      <c r="AK226"/>
      <c r="AL226"/>
      <c r="AM226"/>
      <c r="AN226"/>
      <c r="AO226"/>
      <c r="AP226"/>
      <c r="BI226" s="360"/>
      <c r="BJ226" s="354"/>
      <c r="BK226" s="366">
        <v>2015</v>
      </c>
      <c r="BL226" s="365" t="s">
        <v>1648</v>
      </c>
      <c r="BM226" s="366" t="s">
        <v>140</v>
      </c>
      <c r="BN226" s="366" t="s">
        <v>3</v>
      </c>
      <c r="BO226" s="366">
        <v>0</v>
      </c>
      <c r="BP226" s="366">
        <v>0</v>
      </c>
      <c r="BQ226" s="366">
        <v>0</v>
      </c>
      <c r="BR226" s="366">
        <v>100</v>
      </c>
      <c r="BS226" s="366">
        <v>0</v>
      </c>
      <c r="BT226" s="366">
        <v>32</v>
      </c>
      <c r="BU226" s="366">
        <v>257</v>
      </c>
      <c r="BV226" s="366">
        <v>2</v>
      </c>
      <c r="BW226" s="366">
        <v>0</v>
      </c>
      <c r="BX226" s="366">
        <v>0</v>
      </c>
      <c r="BY226" s="366">
        <v>0</v>
      </c>
      <c r="BZ226" s="366">
        <v>0</v>
      </c>
      <c r="CA226" s="366">
        <v>1</v>
      </c>
      <c r="CB226" s="367">
        <f>IFERROR(BO226/Instructions!$J$25,0)+BP226*Instructions!$J$27+BQ226*Instructions!$J$29+IFERROR(BR226/Instructions!$E$34,0)+BS226*Instructions!$E$36+Tier!BT227*Instructions!$E$25+IFERROR(BU226/Instructions!$E$27,0)+BV226*Instructions!$E$29+IFERROR((BW226+BY226)/Instructions!$J$32,0)+(BX226+BZ226)*Instructions!$J$34+Tier!CA226*-2</f>
        <v>66.7</v>
      </c>
      <c r="CC226" s="354"/>
      <c r="CD226" s="321">
        <v>2015</v>
      </c>
      <c r="CE226" s="365" t="s">
        <v>1598</v>
      </c>
      <c r="CF226" s="366" t="s">
        <v>1626</v>
      </c>
      <c r="CG226" s="366" t="s">
        <v>6</v>
      </c>
      <c r="CH226" s="366">
        <v>0</v>
      </c>
      <c r="CI226" s="366">
        <v>0</v>
      </c>
      <c r="CJ226" s="366">
        <v>0</v>
      </c>
      <c r="CK226" s="366">
        <v>0</v>
      </c>
      <c r="CL226" s="366">
        <v>0</v>
      </c>
      <c r="CM226" s="366">
        <v>45</v>
      </c>
      <c r="CN226" s="366">
        <v>497</v>
      </c>
      <c r="CO226" s="366">
        <v>3</v>
      </c>
      <c r="CP226" s="366">
        <v>0</v>
      </c>
      <c r="CQ226" s="366">
        <v>0</v>
      </c>
      <c r="CR226" s="366">
        <v>0</v>
      </c>
      <c r="CS226" s="366">
        <v>0</v>
      </c>
      <c r="CT226" s="366">
        <v>0</v>
      </c>
      <c r="CU226" s="367">
        <f>IFERROR(CH226/Instructions!$J$25,0)+CI226*Instructions!$J$27+CJ226*Instructions!$J$29+IFERROR(CK226/Instructions!$E$34,0)+CL226*Instructions!$E$36+Tier!CM226*Instructions!$E$25+IFERROR(CN226/Instructions!$E$27,0)+CO226*Instructions!$E$29+IFERROR((CP226+CR226)/Instructions!$J$32,0)+(CQ226+CS226)*Instructions!$J$34+Tier!CT226*-2</f>
        <v>112.7</v>
      </c>
      <c r="CV226" s="354"/>
      <c r="CW226"/>
      <c r="CX226"/>
      <c r="CY226"/>
      <c r="CZ226"/>
      <c r="DA226"/>
      <c r="DB226"/>
      <c r="DC226"/>
      <c r="DD226"/>
      <c r="DE226"/>
      <c r="DF226"/>
      <c r="DG226"/>
      <c r="DH226"/>
      <c r="DI226"/>
      <c r="DJ226"/>
      <c r="DK226"/>
      <c r="DL226"/>
      <c r="DM226"/>
      <c r="DN226"/>
    </row>
    <row r="227" spans="3:118" s="238" customFormat="1" ht="15.75" customHeight="1" x14ac:dyDescent="0.25">
      <c r="C227"/>
      <c r="D227"/>
      <c r="E227"/>
      <c r="F227"/>
      <c r="G227"/>
      <c r="H227"/>
      <c r="I227"/>
      <c r="J227"/>
      <c r="K227"/>
      <c r="L227"/>
      <c r="M227"/>
      <c r="N227"/>
      <c r="O227" s="372"/>
      <c r="P227" s="366">
        <v>2015</v>
      </c>
      <c r="Q227" s="367">
        <f>LARGE($CB$153:$CB$302,75)</f>
        <v>47.6</v>
      </c>
      <c r="R227" s="357">
        <f t="shared" si="100"/>
        <v>-117</v>
      </c>
      <c r="S227" s="356">
        <f t="shared" si="99"/>
        <v>13689</v>
      </c>
      <c r="U227" s="356">
        <f t="shared" si="101"/>
        <v>-7.3125</v>
      </c>
      <c r="V227" s="238">
        <f t="shared" si="97"/>
        <v>8</v>
      </c>
      <c r="W227" s="354"/>
      <c r="X227" s="371"/>
      <c r="Y227" s="371"/>
      <c r="Z227" s="321">
        <v>2015</v>
      </c>
      <c r="AA227" s="367">
        <f>LARGE($CU$153:$CU$302,75)</f>
        <v>102.1</v>
      </c>
      <c r="AB227" s="357">
        <f t="shared" si="102"/>
        <v>-121.03333333333333</v>
      </c>
      <c r="AC227" s="356">
        <f t="shared" si="96"/>
        <v>14649.067777777776</v>
      </c>
      <c r="AD227" s="356"/>
      <c r="AE227" s="356">
        <f t="shared" si="103"/>
        <v>-7.5645833333333332</v>
      </c>
      <c r="AF227" s="238">
        <f t="shared" si="98"/>
        <v>8</v>
      </c>
      <c r="AG227" s="354"/>
      <c r="AK227"/>
      <c r="AL227"/>
      <c r="AM227"/>
      <c r="AN227"/>
      <c r="AO227"/>
      <c r="AP227"/>
      <c r="BI227" s="360"/>
      <c r="BJ227" s="354"/>
      <c r="BK227" s="366">
        <v>2015</v>
      </c>
      <c r="BL227" s="365" t="s">
        <v>1149</v>
      </c>
      <c r="BM227" s="366" t="s">
        <v>166</v>
      </c>
      <c r="BN227" s="366" t="s">
        <v>3</v>
      </c>
      <c r="BO227" s="366">
        <v>0</v>
      </c>
      <c r="BP227" s="366">
        <v>0</v>
      </c>
      <c r="BQ227" s="366">
        <v>0</v>
      </c>
      <c r="BR227" s="366">
        <v>59</v>
      </c>
      <c r="BS227" s="366">
        <v>0</v>
      </c>
      <c r="BT227" s="366">
        <v>21</v>
      </c>
      <c r="BU227" s="366">
        <v>142</v>
      </c>
      <c r="BV227" s="366">
        <v>1</v>
      </c>
      <c r="BW227" s="366">
        <v>0</v>
      </c>
      <c r="BX227" s="366">
        <v>0</v>
      </c>
      <c r="BY227" s="366">
        <v>457</v>
      </c>
      <c r="BZ227" s="366">
        <v>0</v>
      </c>
      <c r="CA227" s="366">
        <v>1</v>
      </c>
      <c r="CB227" s="367">
        <f>IFERROR(BO227/Instructions!$J$25,0)+BP227*Instructions!$J$27+BQ227*Instructions!$J$29+IFERROR(BR227/Instructions!$E$34,0)+BS227*Instructions!$E$36+Tier!BT228*Instructions!$E$25+IFERROR(BU227/Instructions!$E$27,0)+BV227*Instructions!$E$29+IFERROR((BW227+BY227)/Instructions!$J$32,0)+(BX227+BZ227)*Instructions!$J$34+Tier!CA227*-2</f>
        <v>26.1</v>
      </c>
      <c r="CC227" s="354"/>
      <c r="CD227" s="321">
        <v>2015</v>
      </c>
      <c r="CE227" s="365" t="s">
        <v>1208</v>
      </c>
      <c r="CF227" s="366" t="s">
        <v>166</v>
      </c>
      <c r="CG227" s="366" t="s">
        <v>6</v>
      </c>
      <c r="CH227" s="366">
        <v>0</v>
      </c>
      <c r="CI227" s="366">
        <v>0</v>
      </c>
      <c r="CJ227" s="366">
        <v>0</v>
      </c>
      <c r="CK227" s="366">
        <v>0</v>
      </c>
      <c r="CL227" s="366">
        <v>0</v>
      </c>
      <c r="CM227" s="366">
        <v>26</v>
      </c>
      <c r="CN227" s="366">
        <v>494</v>
      </c>
      <c r="CO227" s="366">
        <v>3</v>
      </c>
      <c r="CP227" s="366">
        <v>0</v>
      </c>
      <c r="CQ227" s="366">
        <v>0</v>
      </c>
      <c r="CR227" s="366">
        <v>0</v>
      </c>
      <c r="CS227" s="366">
        <v>0</v>
      </c>
      <c r="CT227" s="366">
        <v>0</v>
      </c>
      <c r="CU227" s="367">
        <f>IFERROR(CH227/Instructions!$J$25,0)+CI227*Instructions!$J$27+CJ227*Instructions!$J$29+IFERROR(CK227/Instructions!$E$34,0)+CL227*Instructions!$E$36+Tier!CM227*Instructions!$E$25+IFERROR(CN227/Instructions!$E$27,0)+CO227*Instructions!$E$29+IFERROR((CP227+CR227)/Instructions!$J$32,0)+(CQ227+CS227)*Instructions!$J$34+Tier!CT227*-2</f>
        <v>93.4</v>
      </c>
      <c r="CV227" s="354"/>
      <c r="CW227"/>
      <c r="CX227"/>
      <c r="CY227"/>
      <c r="CZ227"/>
      <c r="DA227"/>
      <c r="DB227"/>
      <c r="DC227"/>
      <c r="DD227"/>
      <c r="DE227"/>
      <c r="DF227"/>
      <c r="DG227"/>
      <c r="DH227"/>
      <c r="DI227"/>
      <c r="DJ227"/>
      <c r="DK227"/>
      <c r="DL227"/>
      <c r="DM227"/>
      <c r="DN227"/>
    </row>
    <row r="228" spans="3:118" s="238" customFormat="1" ht="15.75" customHeight="1" x14ac:dyDescent="0.25">
      <c r="C228"/>
      <c r="D228"/>
      <c r="E228"/>
      <c r="F228"/>
      <c r="G228"/>
      <c r="H228"/>
      <c r="I228"/>
      <c r="J228"/>
      <c r="K228"/>
      <c r="L228"/>
      <c r="M228"/>
      <c r="N228"/>
      <c r="O228" s="372"/>
      <c r="P228" s="366">
        <v>2015</v>
      </c>
      <c r="Q228" s="367">
        <f>LARGE($CB$153:$CB$302,76)</f>
        <v>46</v>
      </c>
      <c r="R228" s="357">
        <f t="shared" si="100"/>
        <v>-118.6</v>
      </c>
      <c r="S228" s="356">
        <f t="shared" si="99"/>
        <v>14065.96</v>
      </c>
      <c r="U228" s="356">
        <f t="shared" si="101"/>
        <v>-7.4124999999999996</v>
      </c>
      <c r="V228" s="238">
        <f t="shared" si="97"/>
        <v>8</v>
      </c>
      <c r="W228" s="354"/>
      <c r="X228" s="371"/>
      <c r="Y228" s="371"/>
      <c r="Z228" s="321">
        <v>2015</v>
      </c>
      <c r="AA228" s="367">
        <f>LARGE($CU$153:$CU$302,76)</f>
        <v>99.6</v>
      </c>
      <c r="AB228" s="357">
        <f t="shared" si="102"/>
        <v>-123.53333333333333</v>
      </c>
      <c r="AC228" s="356">
        <f t="shared" si="96"/>
        <v>15260.484444444444</v>
      </c>
      <c r="AD228" s="356"/>
      <c r="AE228" s="356">
        <f t="shared" si="103"/>
        <v>-7.7208333333333332</v>
      </c>
      <c r="AF228" s="238">
        <f t="shared" si="98"/>
        <v>8</v>
      </c>
      <c r="AG228" s="354"/>
      <c r="AK228"/>
      <c r="AL228"/>
      <c r="AM228"/>
      <c r="AN228"/>
      <c r="AO228"/>
      <c r="AP228"/>
      <c r="BI228" s="360"/>
      <c r="BJ228" s="354"/>
      <c r="BK228" s="366">
        <v>2015</v>
      </c>
      <c r="BL228" s="365" t="s">
        <v>122</v>
      </c>
      <c r="BM228" s="366" t="s">
        <v>1629</v>
      </c>
      <c r="BN228" s="366" t="s">
        <v>3</v>
      </c>
      <c r="BO228" s="366">
        <v>0</v>
      </c>
      <c r="BP228" s="366">
        <v>0</v>
      </c>
      <c r="BQ228" s="366">
        <v>0</v>
      </c>
      <c r="BR228" s="366">
        <v>72</v>
      </c>
      <c r="BS228" s="366">
        <v>1</v>
      </c>
      <c r="BT228" s="366">
        <v>2</v>
      </c>
      <c r="BU228" s="366">
        <v>24</v>
      </c>
      <c r="BV228" s="366">
        <v>0</v>
      </c>
      <c r="BW228" s="366">
        <v>0</v>
      </c>
      <c r="BX228" s="366">
        <v>0</v>
      </c>
      <c r="BY228" s="366">
        <v>603</v>
      </c>
      <c r="BZ228" s="366">
        <v>0</v>
      </c>
      <c r="CA228" s="366">
        <v>0</v>
      </c>
      <c r="CB228" s="367">
        <f>IFERROR(BO228/Instructions!$J$25,0)+BP228*Instructions!$J$27+BQ228*Instructions!$J$29+IFERROR(BR228/Instructions!$E$34,0)+BS228*Instructions!$E$36+Tier!BT229*Instructions!$E$25+IFERROR(BU228/Instructions!$E$27,0)+BV228*Instructions!$E$29+IFERROR((BW228+BY228)/Instructions!$J$32,0)+(BX228+BZ228)*Instructions!$J$34+Tier!CA228*-2</f>
        <v>23.599999999999998</v>
      </c>
      <c r="CC228" s="354"/>
      <c r="CD228" s="321">
        <v>2015</v>
      </c>
      <c r="CE228" s="365" t="s">
        <v>1112</v>
      </c>
      <c r="CF228" s="366" t="s">
        <v>1626</v>
      </c>
      <c r="CG228" s="366" t="s">
        <v>6</v>
      </c>
      <c r="CH228" s="366">
        <v>0</v>
      </c>
      <c r="CI228" s="366">
        <v>0</v>
      </c>
      <c r="CJ228" s="366">
        <v>0</v>
      </c>
      <c r="CK228" s="366">
        <v>0</v>
      </c>
      <c r="CL228" s="366">
        <v>0</v>
      </c>
      <c r="CM228" s="366">
        <v>35</v>
      </c>
      <c r="CN228" s="366">
        <v>486</v>
      </c>
      <c r="CO228" s="366">
        <v>3</v>
      </c>
      <c r="CP228" s="366">
        <v>0</v>
      </c>
      <c r="CQ228" s="366">
        <v>0</v>
      </c>
      <c r="CR228" s="366">
        <v>0</v>
      </c>
      <c r="CS228" s="366">
        <v>0</v>
      </c>
      <c r="CT228" s="366">
        <v>1</v>
      </c>
      <c r="CU228" s="367">
        <f>IFERROR(CH228/Instructions!$J$25,0)+CI228*Instructions!$J$27+CJ228*Instructions!$J$29+IFERROR(CK228/Instructions!$E$34,0)+CL228*Instructions!$E$36+Tier!CM228*Instructions!$E$25+IFERROR(CN228/Instructions!$E$27,0)+CO228*Instructions!$E$29+IFERROR((CP228+CR228)/Instructions!$J$32,0)+(CQ228+CS228)*Instructions!$J$34+Tier!CT228*-2</f>
        <v>99.6</v>
      </c>
      <c r="CV228" s="354"/>
      <c r="CW228"/>
      <c r="CX228"/>
      <c r="CY228"/>
      <c r="CZ228"/>
      <c r="DA228"/>
      <c r="DB228"/>
      <c r="DC228"/>
      <c r="DD228"/>
      <c r="DE228"/>
      <c r="DF228"/>
      <c r="DG228"/>
      <c r="DH228"/>
      <c r="DI228"/>
      <c r="DJ228"/>
      <c r="DK228"/>
      <c r="DL228"/>
      <c r="DM228"/>
      <c r="DN228"/>
    </row>
    <row r="229" spans="3:118" s="238" customFormat="1" ht="15.75" customHeight="1" x14ac:dyDescent="0.25">
      <c r="C229"/>
      <c r="D229"/>
      <c r="E229"/>
      <c r="F229"/>
      <c r="G229"/>
      <c r="H229"/>
      <c r="I229"/>
      <c r="J229"/>
      <c r="K229"/>
      <c r="L229"/>
      <c r="M229"/>
      <c r="N229"/>
      <c r="O229" s="372"/>
      <c r="P229" s="366">
        <v>2015</v>
      </c>
      <c r="Q229" s="367">
        <f>LARGE($CB$153:$CB$302,77)</f>
        <v>45.2</v>
      </c>
      <c r="R229" s="357">
        <f t="shared" si="100"/>
        <v>-119.39999999999999</v>
      </c>
      <c r="S229" s="356">
        <f t="shared" si="99"/>
        <v>14256.359999999999</v>
      </c>
      <c r="U229" s="356">
        <f t="shared" si="101"/>
        <v>-7.4624999999999995</v>
      </c>
      <c r="V229" s="238">
        <f t="shared" si="97"/>
        <v>8</v>
      </c>
      <c r="W229" s="354"/>
      <c r="X229" s="371"/>
      <c r="Y229" s="371"/>
      <c r="Z229" s="321">
        <v>2015</v>
      </c>
      <c r="AA229" s="367">
        <f>LARGE($CU$153:$CU$302,77)</f>
        <v>99.6</v>
      </c>
      <c r="AB229" s="357">
        <f t="shared" si="102"/>
        <v>-123.53333333333333</v>
      </c>
      <c r="AC229" s="356">
        <f t="shared" si="96"/>
        <v>15260.484444444444</v>
      </c>
      <c r="AE229" s="356">
        <f t="shared" si="103"/>
        <v>-7.7208333333333332</v>
      </c>
      <c r="AF229" s="238">
        <f t="shared" si="98"/>
        <v>8</v>
      </c>
      <c r="AG229" s="354"/>
      <c r="AK229"/>
      <c r="AL229"/>
      <c r="AM229"/>
      <c r="AN229"/>
      <c r="AO229"/>
      <c r="AP229"/>
      <c r="BI229" s="360"/>
      <c r="BJ229" s="354"/>
      <c r="BK229" s="366">
        <v>2015</v>
      </c>
      <c r="BL229" s="365" t="s">
        <v>1649</v>
      </c>
      <c r="BM229" s="366" t="s">
        <v>1626</v>
      </c>
      <c r="BN229" s="366" t="s">
        <v>3</v>
      </c>
      <c r="BO229" s="366">
        <v>0</v>
      </c>
      <c r="BP229" s="366">
        <v>0</v>
      </c>
      <c r="BQ229" s="366">
        <v>0</v>
      </c>
      <c r="BR229" s="366">
        <v>229</v>
      </c>
      <c r="BS229" s="366">
        <v>1</v>
      </c>
      <c r="BT229" s="366">
        <v>8</v>
      </c>
      <c r="BU229" s="366">
        <v>88</v>
      </c>
      <c r="BV229" s="366">
        <v>0</v>
      </c>
      <c r="BW229" s="366">
        <v>0</v>
      </c>
      <c r="BX229" s="366">
        <v>0</v>
      </c>
      <c r="BY229" s="366">
        <v>0</v>
      </c>
      <c r="BZ229" s="366">
        <v>0</v>
      </c>
      <c r="CA229" s="366">
        <v>0</v>
      </c>
      <c r="CB229" s="367">
        <f>IFERROR(BO229/Instructions!$J$25,0)+BP229*Instructions!$J$27+BQ229*Instructions!$J$29+IFERROR(BR229/Instructions!$E$34,0)+BS229*Instructions!$E$36+Tier!BT230*Instructions!$E$25+IFERROR(BU229/Instructions!$E$27,0)+BV229*Instructions!$E$29+IFERROR((BW229+BY229)/Instructions!$J$32,0)+(BX229+BZ229)*Instructions!$J$34+Tier!CA229*-2</f>
        <v>40.700000000000003</v>
      </c>
      <c r="CC229" s="354"/>
      <c r="CD229" s="321">
        <v>2015</v>
      </c>
      <c r="CE229" s="365" t="s">
        <v>1203</v>
      </c>
      <c r="CF229" s="366" t="s">
        <v>154</v>
      </c>
      <c r="CG229" s="366" t="s">
        <v>6</v>
      </c>
      <c r="CH229" s="366">
        <v>0</v>
      </c>
      <c r="CI229" s="366">
        <v>0</v>
      </c>
      <c r="CJ229" s="366">
        <v>0</v>
      </c>
      <c r="CK229" s="366">
        <v>0</v>
      </c>
      <c r="CL229" s="366">
        <v>0</v>
      </c>
      <c r="CM229" s="366">
        <v>42</v>
      </c>
      <c r="CN229" s="366">
        <v>464</v>
      </c>
      <c r="CO229" s="366">
        <v>3</v>
      </c>
      <c r="CP229" s="366">
        <v>0</v>
      </c>
      <c r="CQ229" s="366">
        <v>0</v>
      </c>
      <c r="CR229" s="366">
        <v>0</v>
      </c>
      <c r="CS229" s="366">
        <v>0</v>
      </c>
      <c r="CT229" s="366">
        <v>1</v>
      </c>
      <c r="CU229" s="367">
        <f>IFERROR(CH229/Instructions!$J$25,0)+CI229*Instructions!$J$27+CJ229*Instructions!$J$29+IFERROR(CK229/Instructions!$E$34,0)+CL229*Instructions!$E$36+Tier!CM229*Instructions!$E$25+IFERROR(CN229/Instructions!$E$27,0)+CO229*Instructions!$E$29+IFERROR((CP229+CR229)/Instructions!$J$32,0)+(CQ229+CS229)*Instructions!$J$34+Tier!CT229*-2</f>
        <v>104.4</v>
      </c>
      <c r="CV229" s="354"/>
      <c r="CW229"/>
      <c r="CX229"/>
      <c r="CY229"/>
      <c r="CZ229"/>
      <c r="DA229"/>
      <c r="DB229"/>
      <c r="DC229"/>
      <c r="DD229"/>
      <c r="DE229"/>
      <c r="DF229"/>
      <c r="DG229"/>
      <c r="DH229"/>
      <c r="DI229"/>
      <c r="DJ229"/>
      <c r="DK229"/>
      <c r="DL229"/>
      <c r="DM229"/>
      <c r="DN229"/>
    </row>
    <row r="230" spans="3:118" s="238" customFormat="1" ht="15.75" customHeight="1" x14ac:dyDescent="0.25">
      <c r="C230"/>
      <c r="D230"/>
      <c r="E230"/>
      <c r="F230"/>
      <c r="G230"/>
      <c r="H230"/>
      <c r="I230"/>
      <c r="J230"/>
      <c r="K230"/>
      <c r="L230"/>
      <c r="M230"/>
      <c r="N230"/>
      <c r="O230" s="372"/>
      <c r="P230" s="366">
        <v>2015</v>
      </c>
      <c r="Q230" s="367">
        <f>LARGE($CB$153:$CB$302,78)</f>
        <v>44.400000000000006</v>
      </c>
      <c r="R230" s="357">
        <f t="shared" si="100"/>
        <v>-120.19999999999999</v>
      </c>
      <c r="S230" s="356">
        <f t="shared" si="99"/>
        <v>14448.039999999997</v>
      </c>
      <c r="U230" s="356">
        <f t="shared" si="101"/>
        <v>-7.5124999999999993</v>
      </c>
      <c r="V230" s="238">
        <f t="shared" si="97"/>
        <v>8</v>
      </c>
      <c r="W230" s="354"/>
      <c r="X230" s="371"/>
      <c r="Y230" s="371"/>
      <c r="Z230" s="321">
        <v>2015</v>
      </c>
      <c r="AA230" s="367">
        <f>LARGE($CU$153:$CU$302,78)</f>
        <v>98.9</v>
      </c>
      <c r="AB230" s="357">
        <f t="shared" si="102"/>
        <v>-124.23333333333332</v>
      </c>
      <c r="AC230" s="356">
        <f t="shared" si="96"/>
        <v>15433.921111111107</v>
      </c>
      <c r="AE230" s="356">
        <f t="shared" si="103"/>
        <v>-7.7645833333333325</v>
      </c>
      <c r="AF230" s="238">
        <f t="shared" si="98"/>
        <v>8</v>
      </c>
      <c r="AG230" s="354"/>
      <c r="AK230"/>
      <c r="AL230"/>
      <c r="AM230"/>
      <c r="AN230"/>
      <c r="AO230"/>
      <c r="AP230"/>
      <c r="BI230" s="360"/>
      <c r="BJ230" s="354"/>
      <c r="BK230" s="366">
        <v>2015</v>
      </c>
      <c r="BL230" s="365" t="s">
        <v>1634</v>
      </c>
      <c r="BM230" s="366" t="s">
        <v>141</v>
      </c>
      <c r="BN230" s="366" t="s">
        <v>3</v>
      </c>
      <c r="BO230" s="366">
        <v>0</v>
      </c>
      <c r="BP230" s="366">
        <v>0</v>
      </c>
      <c r="BQ230" s="366">
        <v>0</v>
      </c>
      <c r="BR230" s="366">
        <v>159</v>
      </c>
      <c r="BS230" s="366">
        <v>2</v>
      </c>
      <c r="BT230" s="366">
        <v>3</v>
      </c>
      <c r="BU230" s="366">
        <v>19</v>
      </c>
      <c r="BV230" s="366">
        <v>1</v>
      </c>
      <c r="BW230" s="366">
        <v>0</v>
      </c>
      <c r="BX230" s="366">
        <v>0</v>
      </c>
      <c r="BY230" s="366">
        <v>38</v>
      </c>
      <c r="BZ230" s="366">
        <v>0</v>
      </c>
      <c r="CA230" s="366">
        <v>1</v>
      </c>
      <c r="CB230" s="367">
        <f>IFERROR(BO230/Instructions!$J$25,0)+BP230*Instructions!$J$27+BQ230*Instructions!$J$29+IFERROR(BR230/Instructions!$E$34,0)+BS230*Instructions!$E$36+Tier!BT231*Instructions!$E$25+IFERROR(BU230/Instructions!$E$27,0)+BV230*Instructions!$E$29+IFERROR((BW230+BY230)/Instructions!$J$32,0)+(BX230+BZ230)*Instructions!$J$34+Tier!CA230*-2</f>
        <v>51.8</v>
      </c>
      <c r="CC230" s="354"/>
      <c r="CD230" s="321">
        <v>2015</v>
      </c>
      <c r="CE230" s="365" t="s">
        <v>1674</v>
      </c>
      <c r="CF230" s="366" t="s">
        <v>161</v>
      </c>
      <c r="CG230" s="366" t="s">
        <v>6</v>
      </c>
      <c r="CH230" s="366">
        <v>0</v>
      </c>
      <c r="CI230" s="366">
        <v>0</v>
      </c>
      <c r="CJ230" s="366">
        <v>0</v>
      </c>
      <c r="CK230" s="366">
        <v>0</v>
      </c>
      <c r="CL230" s="366">
        <v>0</v>
      </c>
      <c r="CM230" s="366">
        <v>46</v>
      </c>
      <c r="CN230" s="366">
        <v>523</v>
      </c>
      <c r="CO230" s="366">
        <v>2</v>
      </c>
      <c r="CP230" s="366">
        <v>0</v>
      </c>
      <c r="CQ230" s="366">
        <v>0</v>
      </c>
      <c r="CR230" s="366">
        <v>0</v>
      </c>
      <c r="CS230" s="366">
        <v>0</v>
      </c>
      <c r="CT230" s="366">
        <v>0</v>
      </c>
      <c r="CU230" s="367">
        <f>IFERROR(CH230/Instructions!$J$25,0)+CI230*Instructions!$J$27+CJ230*Instructions!$J$29+IFERROR(CK230/Instructions!$E$34,0)+CL230*Instructions!$E$36+Tier!CM230*Instructions!$E$25+IFERROR(CN230/Instructions!$E$27,0)+CO230*Instructions!$E$29+IFERROR((CP230+CR230)/Instructions!$J$32,0)+(CQ230+CS230)*Instructions!$J$34+Tier!CT230*-2</f>
        <v>110.3</v>
      </c>
      <c r="CV230" s="354"/>
      <c r="CW230"/>
      <c r="CX230"/>
      <c r="CY230"/>
      <c r="CZ230"/>
      <c r="DA230"/>
      <c r="DB230"/>
      <c r="DC230"/>
      <c r="DD230"/>
      <c r="DE230"/>
      <c r="DF230"/>
      <c r="DG230"/>
      <c r="DH230"/>
      <c r="DI230"/>
      <c r="DJ230"/>
      <c r="DK230"/>
      <c r="DL230"/>
      <c r="DM230"/>
      <c r="DN230"/>
    </row>
    <row r="231" spans="3:118" s="238" customFormat="1" ht="15.75" customHeight="1" x14ac:dyDescent="0.25">
      <c r="C231"/>
      <c r="D231"/>
      <c r="E231"/>
      <c r="F231"/>
      <c r="G231"/>
      <c r="H231"/>
      <c r="I231"/>
      <c r="J231"/>
      <c r="K231"/>
      <c r="L231"/>
      <c r="M231"/>
      <c r="N231"/>
      <c r="O231" s="372"/>
      <c r="P231" s="366">
        <v>2015</v>
      </c>
      <c r="Q231" s="367">
        <f>LARGE($CB$153:$CB$302,79)</f>
        <v>43.4</v>
      </c>
      <c r="R231" s="357">
        <f t="shared" si="100"/>
        <v>-121.19999999999999</v>
      </c>
      <c r="S231" s="356">
        <f t="shared" si="99"/>
        <v>14689.439999999997</v>
      </c>
      <c r="U231" s="356">
        <f t="shared" si="101"/>
        <v>-7.5749999999999993</v>
      </c>
      <c r="V231" s="238">
        <f t="shared" si="97"/>
        <v>8</v>
      </c>
      <c r="W231" s="354"/>
      <c r="X231" s="371"/>
      <c r="Y231" s="371"/>
      <c r="Z231" s="321">
        <v>2015</v>
      </c>
      <c r="AA231" s="367">
        <f>LARGE($CU$153:$CU$302,79)</f>
        <v>96.5</v>
      </c>
      <c r="AB231" s="357">
        <f t="shared" si="102"/>
        <v>-126.63333333333333</v>
      </c>
      <c r="AC231" s="356">
        <f t="shared" si="96"/>
        <v>16036.001111111109</v>
      </c>
      <c r="AD231" s="356"/>
      <c r="AE231" s="356">
        <f t="shared" si="103"/>
        <v>-7.9145833333333329</v>
      </c>
      <c r="AF231" s="238">
        <f t="shared" si="98"/>
        <v>8</v>
      </c>
      <c r="AG231" s="354"/>
      <c r="AK231"/>
      <c r="AL231"/>
      <c r="AM231"/>
      <c r="AN231"/>
      <c r="AO231"/>
      <c r="AP231"/>
      <c r="BI231" s="360"/>
      <c r="BJ231" s="354"/>
      <c r="BK231" s="366">
        <v>2015</v>
      </c>
      <c r="BL231" s="365" t="s">
        <v>1650</v>
      </c>
      <c r="BM231" s="366" t="s">
        <v>150</v>
      </c>
      <c r="BN231" s="366" t="s">
        <v>3</v>
      </c>
      <c r="BO231" s="366">
        <v>0</v>
      </c>
      <c r="BP231" s="366">
        <v>0</v>
      </c>
      <c r="BQ231" s="366">
        <v>0</v>
      </c>
      <c r="BR231" s="366">
        <v>207</v>
      </c>
      <c r="BS231" s="366">
        <v>1</v>
      </c>
      <c r="BT231" s="366">
        <v>18</v>
      </c>
      <c r="BU231" s="366">
        <v>88</v>
      </c>
      <c r="BV231" s="366">
        <v>0</v>
      </c>
      <c r="BW231" s="366">
        <v>0</v>
      </c>
      <c r="BX231" s="366">
        <v>0</v>
      </c>
      <c r="BY231" s="366">
        <v>0</v>
      </c>
      <c r="BZ231" s="366">
        <v>0</v>
      </c>
      <c r="CA231" s="366">
        <v>1</v>
      </c>
      <c r="CB231" s="367">
        <f>IFERROR(BO231/Instructions!$J$25,0)+BP231*Instructions!$J$27+BQ231*Instructions!$J$29+IFERROR(BR231/Instructions!$E$34,0)+BS231*Instructions!$E$36+Tier!BT232*Instructions!$E$25+IFERROR(BU231/Instructions!$E$27,0)+BV231*Instructions!$E$29+IFERROR((BW231+BY231)/Instructions!$J$32,0)+(BX231+BZ231)*Instructions!$J$34+Tier!CA231*-2</f>
        <v>40.5</v>
      </c>
      <c r="CC231" s="354"/>
      <c r="CD231" s="321">
        <v>2015</v>
      </c>
      <c r="CE231" s="365" t="s">
        <v>121</v>
      </c>
      <c r="CF231" s="366" t="s">
        <v>166</v>
      </c>
      <c r="CG231" s="366" t="s">
        <v>6</v>
      </c>
      <c r="CH231" s="366">
        <v>0</v>
      </c>
      <c r="CI231" s="366">
        <v>0</v>
      </c>
      <c r="CJ231" s="366">
        <v>0</v>
      </c>
      <c r="CK231" s="366">
        <v>0</v>
      </c>
      <c r="CL231" s="366">
        <v>0</v>
      </c>
      <c r="CM231" s="366">
        <v>27</v>
      </c>
      <c r="CN231" s="366">
        <v>440</v>
      </c>
      <c r="CO231" s="366">
        <v>3</v>
      </c>
      <c r="CP231" s="366">
        <v>0</v>
      </c>
      <c r="CQ231" s="366">
        <v>0</v>
      </c>
      <c r="CR231" s="366">
        <v>0</v>
      </c>
      <c r="CS231" s="366">
        <v>0</v>
      </c>
      <c r="CT231" s="366">
        <v>0</v>
      </c>
      <c r="CU231" s="367">
        <f>IFERROR(CH231/Instructions!$J$25,0)+CI231*Instructions!$J$27+CJ231*Instructions!$J$29+IFERROR(CK231/Instructions!$E$34,0)+CL231*Instructions!$E$36+Tier!CM231*Instructions!$E$25+IFERROR(CN231/Instructions!$E$27,0)+CO231*Instructions!$E$29+IFERROR((CP231+CR231)/Instructions!$J$32,0)+(CQ231+CS231)*Instructions!$J$34+Tier!CT231*-2</f>
        <v>89</v>
      </c>
      <c r="CV231" s="354"/>
      <c r="CW231"/>
      <c r="CX231"/>
      <c r="CY231"/>
      <c r="CZ231"/>
      <c r="DA231"/>
      <c r="DB231"/>
      <c r="DC231"/>
      <c r="DD231"/>
      <c r="DE231"/>
      <c r="DF231"/>
      <c r="DG231"/>
      <c r="DH231"/>
      <c r="DI231"/>
      <c r="DJ231"/>
      <c r="DK231"/>
      <c r="DL231"/>
      <c r="DM231"/>
      <c r="DN231"/>
    </row>
    <row r="232" spans="3:118" s="238" customFormat="1" ht="15.75" customHeight="1" x14ac:dyDescent="0.25">
      <c r="C232"/>
      <c r="D232"/>
      <c r="E232"/>
      <c r="F232"/>
      <c r="G232"/>
      <c r="H232"/>
      <c r="I232"/>
      <c r="J232"/>
      <c r="K232"/>
      <c r="L232"/>
      <c r="M232"/>
      <c r="N232"/>
      <c r="O232" s="372"/>
      <c r="P232" s="366">
        <v>2015</v>
      </c>
      <c r="Q232" s="367">
        <f>LARGE($CB$153:$CB$302,80)</f>
        <v>40.700000000000003</v>
      </c>
      <c r="R232" s="357">
        <f t="shared" si="100"/>
        <v>-123.89999999999999</v>
      </c>
      <c r="S232" s="356">
        <f t="shared" si="99"/>
        <v>15351.209999999997</v>
      </c>
      <c r="U232" s="356">
        <f t="shared" si="101"/>
        <v>-7.7437499999999995</v>
      </c>
      <c r="V232" s="238">
        <f t="shared" si="97"/>
        <v>8</v>
      </c>
      <c r="W232" s="354"/>
      <c r="X232" s="371"/>
      <c r="Y232" s="371"/>
      <c r="Z232" s="321">
        <v>2015</v>
      </c>
      <c r="AA232" s="367">
        <f>LARGE($CU$153:$CU$302,80)</f>
        <v>94.7</v>
      </c>
      <c r="AB232" s="357">
        <f t="shared" si="102"/>
        <v>-128.43333333333334</v>
      </c>
      <c r="AC232" s="356">
        <f t="shared" si="96"/>
        <v>16495.121111111112</v>
      </c>
      <c r="AD232" s="356"/>
      <c r="AE232" s="356">
        <f t="shared" si="103"/>
        <v>-8.0270833333333336</v>
      </c>
      <c r="AF232" s="238">
        <f t="shared" si="98"/>
        <v>8</v>
      </c>
      <c r="AG232" s="354"/>
      <c r="AK232"/>
      <c r="AL232"/>
      <c r="AM232"/>
      <c r="AN232"/>
      <c r="AO232"/>
      <c r="AP232"/>
      <c r="BI232" s="360"/>
      <c r="BJ232" s="354"/>
      <c r="BK232" s="366">
        <v>2015</v>
      </c>
      <c r="BL232" s="365" t="s">
        <v>1137</v>
      </c>
      <c r="BM232" s="366" t="s">
        <v>166</v>
      </c>
      <c r="BN232" s="366" t="s">
        <v>3</v>
      </c>
      <c r="BO232" s="366">
        <v>0</v>
      </c>
      <c r="BP232" s="366">
        <v>0</v>
      </c>
      <c r="BQ232" s="366">
        <v>0</v>
      </c>
      <c r="BR232" s="366">
        <v>187</v>
      </c>
      <c r="BS232" s="366">
        <v>1</v>
      </c>
      <c r="BT232" s="366">
        <v>7</v>
      </c>
      <c r="BU232" s="366">
        <v>90</v>
      </c>
      <c r="BV232" s="366">
        <v>0</v>
      </c>
      <c r="BW232" s="366">
        <v>0</v>
      </c>
      <c r="BX232" s="366">
        <v>0</v>
      </c>
      <c r="BY232" s="366">
        <v>20</v>
      </c>
      <c r="BZ232" s="366">
        <v>0</v>
      </c>
      <c r="CA232" s="366">
        <v>0</v>
      </c>
      <c r="CB232" s="367">
        <f>IFERROR(BO232/Instructions!$J$25,0)+BP232*Instructions!$J$27+BQ232*Instructions!$J$29+IFERROR(BR232/Instructions!$E$34,0)+BS232*Instructions!$E$36+Tier!BT233*Instructions!$E$25+IFERROR(BU232/Instructions!$E$27,0)+BV232*Instructions!$E$29+IFERROR((BW232+BY232)/Instructions!$J$32,0)+(BX232+BZ232)*Instructions!$J$34+Tier!CA232*-2</f>
        <v>54.7</v>
      </c>
      <c r="CC232" s="354"/>
      <c r="CD232" s="321">
        <v>2015</v>
      </c>
      <c r="CE232" s="365" t="s">
        <v>89</v>
      </c>
      <c r="CF232" s="366" t="s">
        <v>163</v>
      </c>
      <c r="CG232" s="366" t="s">
        <v>6</v>
      </c>
      <c r="CH232" s="366">
        <v>0</v>
      </c>
      <c r="CI232" s="366">
        <v>0</v>
      </c>
      <c r="CJ232" s="366">
        <v>0</v>
      </c>
      <c r="CK232" s="366">
        <v>17</v>
      </c>
      <c r="CL232" s="366">
        <v>0</v>
      </c>
      <c r="CM232" s="366">
        <v>36</v>
      </c>
      <c r="CN232" s="366">
        <v>408</v>
      </c>
      <c r="CO232" s="366">
        <v>3</v>
      </c>
      <c r="CP232" s="366">
        <v>0</v>
      </c>
      <c r="CQ232" s="366">
        <v>0</v>
      </c>
      <c r="CR232" s="366">
        <v>0</v>
      </c>
      <c r="CS232" s="366">
        <v>0</v>
      </c>
      <c r="CT232" s="366">
        <v>0</v>
      </c>
      <c r="CU232" s="367">
        <f>IFERROR(CH232/Instructions!$J$25,0)+CI232*Instructions!$J$27+CJ232*Instructions!$J$29+IFERROR(CK232/Instructions!$E$34,0)+CL232*Instructions!$E$36+Tier!CM232*Instructions!$E$25+IFERROR(CN232/Instructions!$E$27,0)+CO232*Instructions!$E$29+IFERROR((CP232+CR232)/Instructions!$J$32,0)+(CQ232+CS232)*Instructions!$J$34+Tier!CT232*-2</f>
        <v>96.5</v>
      </c>
      <c r="CV232" s="354"/>
      <c r="CW232"/>
      <c r="CX232"/>
      <c r="CY232"/>
      <c r="CZ232"/>
      <c r="DA232"/>
      <c r="DB232"/>
      <c r="DC232"/>
      <c r="DD232"/>
      <c r="DE232"/>
      <c r="DF232"/>
      <c r="DG232"/>
      <c r="DH232"/>
      <c r="DI232"/>
      <c r="DJ232"/>
      <c r="DK232"/>
      <c r="DL232"/>
      <c r="DM232"/>
      <c r="DN232"/>
    </row>
    <row r="233" spans="3:118" s="238" customFormat="1" ht="15.75" customHeight="1" x14ac:dyDescent="0.25">
      <c r="C233"/>
      <c r="D233"/>
      <c r="E233"/>
      <c r="F233"/>
      <c r="G233"/>
      <c r="H233"/>
      <c r="I233"/>
      <c r="J233"/>
      <c r="K233"/>
      <c r="L233"/>
      <c r="M233"/>
      <c r="N233"/>
      <c r="O233" s="372"/>
      <c r="P233" s="366">
        <v>2015</v>
      </c>
      <c r="Q233" s="367">
        <f>LARGE($CB$153:$CB$302,81)</f>
        <v>40.5</v>
      </c>
      <c r="R233" s="357">
        <f t="shared" si="100"/>
        <v>-124.1</v>
      </c>
      <c r="S233" s="356">
        <f t="shared" si="99"/>
        <v>15400.81</v>
      </c>
      <c r="U233" s="356">
        <f t="shared" si="101"/>
        <v>-7.7562499999999996</v>
      </c>
      <c r="V233" s="238">
        <f t="shared" si="97"/>
        <v>8</v>
      </c>
      <c r="W233" s="354"/>
      <c r="X233" s="371"/>
      <c r="Y233" s="371"/>
      <c r="Z233" s="321">
        <v>2015</v>
      </c>
      <c r="AA233" s="367">
        <f>LARGE($CU$153:$CU$302,81)</f>
        <v>93.56</v>
      </c>
      <c r="AB233" s="357">
        <f t="shared" si="102"/>
        <v>-129.57333333333332</v>
      </c>
      <c r="AC233" s="356">
        <f t="shared" si="96"/>
        <v>16789.248711111108</v>
      </c>
      <c r="AD233" s="356"/>
      <c r="AE233" s="356">
        <f t="shared" si="103"/>
        <v>-8.0983333333333327</v>
      </c>
      <c r="AF233" s="238">
        <f t="shared" si="98"/>
        <v>8</v>
      </c>
      <c r="AG233" s="354"/>
      <c r="AK233"/>
      <c r="AL233"/>
      <c r="AM233"/>
      <c r="AN233"/>
      <c r="AO233"/>
      <c r="AP233"/>
      <c r="BI233" s="360"/>
      <c r="BJ233" s="354"/>
      <c r="BK233" s="366">
        <v>2015</v>
      </c>
      <c r="BL233" s="365" t="s">
        <v>128</v>
      </c>
      <c r="BM233" s="366" t="s">
        <v>146</v>
      </c>
      <c r="BN233" s="366" t="s">
        <v>3</v>
      </c>
      <c r="BO233" s="366">
        <v>0</v>
      </c>
      <c r="BP233" s="366">
        <v>0</v>
      </c>
      <c r="BQ233" s="366">
        <v>0</v>
      </c>
      <c r="BR233" s="366">
        <v>67</v>
      </c>
      <c r="BS233" s="366">
        <v>0</v>
      </c>
      <c r="BT233" s="366">
        <v>21</v>
      </c>
      <c r="BU233" s="366">
        <v>215</v>
      </c>
      <c r="BV233" s="366">
        <v>0</v>
      </c>
      <c r="BW233" s="366">
        <v>4</v>
      </c>
      <c r="BX233" s="366">
        <v>0</v>
      </c>
      <c r="BY233" s="366">
        <v>146</v>
      </c>
      <c r="BZ233" s="366">
        <v>0</v>
      </c>
      <c r="CA233" s="366">
        <v>0</v>
      </c>
      <c r="CB233" s="367">
        <f>IFERROR(BO233/Instructions!$J$25,0)+BP233*Instructions!$J$27+BQ233*Instructions!$J$29+IFERROR(BR233/Instructions!$E$34,0)+BS233*Instructions!$E$36+Tier!BT234*Instructions!$E$25+IFERROR(BU233/Instructions!$E$27,0)+BV233*Instructions!$E$29+IFERROR((BW233+BY233)/Instructions!$J$32,0)+(BX233+BZ233)*Instructions!$J$34+Tier!CA233*-2</f>
        <v>45.2</v>
      </c>
      <c r="CC233" s="354"/>
      <c r="CD233" s="321">
        <v>2015</v>
      </c>
      <c r="CE233" s="365" t="s">
        <v>90</v>
      </c>
      <c r="CF233" s="366" t="s">
        <v>138</v>
      </c>
      <c r="CG233" s="366" t="s">
        <v>6</v>
      </c>
      <c r="CH233" s="366">
        <v>0</v>
      </c>
      <c r="CI233" s="366">
        <v>0</v>
      </c>
      <c r="CJ233" s="366">
        <v>0</v>
      </c>
      <c r="CK233" s="366">
        <v>6</v>
      </c>
      <c r="CL233" s="366">
        <v>0</v>
      </c>
      <c r="CM233" s="366">
        <v>39</v>
      </c>
      <c r="CN233" s="366">
        <v>473</v>
      </c>
      <c r="CO233" s="366">
        <v>2</v>
      </c>
      <c r="CP233" s="366">
        <v>0</v>
      </c>
      <c r="CQ233" s="366">
        <v>0</v>
      </c>
      <c r="CR233" s="366">
        <v>0</v>
      </c>
      <c r="CS233" s="366">
        <v>0</v>
      </c>
      <c r="CT233" s="366">
        <v>0</v>
      </c>
      <c r="CU233" s="367">
        <f>IFERROR(CH233/Instructions!$J$25,0)+CI233*Instructions!$J$27+CJ233*Instructions!$J$29+IFERROR(CK233/Instructions!$E$34,0)+CL233*Instructions!$E$36+Tier!CM233*Instructions!$E$25+IFERROR(CN233/Instructions!$E$27,0)+CO233*Instructions!$E$29+IFERROR((CP233+CR233)/Instructions!$J$32,0)+(CQ233+CS233)*Instructions!$J$34+Tier!CT233*-2</f>
        <v>98.9</v>
      </c>
      <c r="CV233" s="354"/>
      <c r="CW233"/>
      <c r="CX233"/>
      <c r="CY233"/>
      <c r="CZ233"/>
      <c r="DA233"/>
      <c r="DB233"/>
      <c r="DC233"/>
      <c r="DD233"/>
      <c r="DE233"/>
      <c r="DF233"/>
      <c r="DG233"/>
      <c r="DH233"/>
      <c r="DI233"/>
      <c r="DJ233"/>
      <c r="DK233"/>
      <c r="DL233"/>
      <c r="DM233"/>
      <c r="DN233"/>
    </row>
    <row r="234" spans="3:118" s="238" customFormat="1" ht="15.75" customHeight="1" x14ac:dyDescent="0.25">
      <c r="C234"/>
      <c r="D234"/>
      <c r="E234"/>
      <c r="F234"/>
      <c r="G234"/>
      <c r="H234"/>
      <c r="I234"/>
      <c r="J234"/>
      <c r="K234"/>
      <c r="L234"/>
      <c r="M234"/>
      <c r="N234"/>
      <c r="O234" s="372"/>
      <c r="P234" s="366">
        <v>2015</v>
      </c>
      <c r="Q234" s="367">
        <f>LARGE($CB$153:$CB$302,82)</f>
        <v>39.099999999999994</v>
      </c>
      <c r="R234" s="357">
        <f t="shared" si="100"/>
        <v>-125.5</v>
      </c>
      <c r="S234" s="356">
        <f t="shared" si="99"/>
        <v>15750.25</v>
      </c>
      <c r="U234" s="356">
        <f t="shared" si="101"/>
        <v>-7.84375</v>
      </c>
      <c r="V234" s="238">
        <f t="shared" si="97"/>
        <v>8</v>
      </c>
      <c r="W234" s="354"/>
      <c r="X234" s="371"/>
      <c r="Y234" s="371"/>
      <c r="Z234" s="321">
        <v>2015</v>
      </c>
      <c r="AA234" s="367">
        <f>LARGE($CU$153:$CU$302,82)</f>
        <v>93.4</v>
      </c>
      <c r="AB234" s="357">
        <f t="shared" si="102"/>
        <v>-129.73333333333332</v>
      </c>
      <c r="AC234" s="356">
        <f t="shared" si="96"/>
        <v>16830.737777777773</v>
      </c>
      <c r="AD234" s="356"/>
      <c r="AE234" s="356">
        <f t="shared" si="103"/>
        <v>-8.1083333333333325</v>
      </c>
      <c r="AF234" s="238">
        <f t="shared" si="98"/>
        <v>8</v>
      </c>
      <c r="AG234" s="354"/>
      <c r="AK234"/>
      <c r="AL234"/>
      <c r="AM234"/>
      <c r="AN234"/>
      <c r="AO234"/>
      <c r="AP234"/>
      <c r="BI234" s="360"/>
      <c r="BJ234" s="354"/>
      <c r="BK234" s="366">
        <v>2015</v>
      </c>
      <c r="BL234" s="365" t="s">
        <v>982</v>
      </c>
      <c r="BM234" s="366" t="s">
        <v>1652</v>
      </c>
      <c r="BN234" s="366" t="s">
        <v>3</v>
      </c>
      <c r="BO234" s="366">
        <v>0</v>
      </c>
      <c r="BP234" s="366">
        <v>0</v>
      </c>
      <c r="BQ234" s="366">
        <v>0</v>
      </c>
      <c r="BR234" s="366">
        <v>28</v>
      </c>
      <c r="BS234" s="366">
        <v>0</v>
      </c>
      <c r="BT234" s="366">
        <v>17</v>
      </c>
      <c r="BU234" s="366">
        <v>214</v>
      </c>
      <c r="BV234" s="366">
        <v>1</v>
      </c>
      <c r="BW234" s="366">
        <v>1</v>
      </c>
      <c r="BX234" s="366">
        <v>0</v>
      </c>
      <c r="BY234" s="366">
        <v>94</v>
      </c>
      <c r="BZ234" s="366">
        <v>0</v>
      </c>
      <c r="CA234" s="366">
        <v>1</v>
      </c>
      <c r="CB234" s="367">
        <f>IFERROR(BO234/Instructions!$J$25,0)+BP234*Instructions!$J$27+BQ234*Instructions!$J$29+IFERROR(BR234/Instructions!$E$34,0)+BS234*Instructions!$E$36+Tier!BT235*Instructions!$E$25+IFERROR(BU234/Instructions!$E$27,0)+BV234*Instructions!$E$29+IFERROR((BW234+BY234)/Instructions!$J$32,0)+(BX234+BZ234)*Instructions!$J$34+Tier!CA234*-2</f>
        <v>31.200000000000003</v>
      </c>
      <c r="CC234" s="354"/>
      <c r="CD234" s="321">
        <v>2015</v>
      </c>
      <c r="CE234" s="365" t="s">
        <v>1110</v>
      </c>
      <c r="CF234" s="366" t="s">
        <v>1629</v>
      </c>
      <c r="CG234" s="366" t="s">
        <v>6</v>
      </c>
      <c r="CH234" s="366">
        <v>0</v>
      </c>
      <c r="CI234" s="366">
        <v>0</v>
      </c>
      <c r="CJ234" s="366">
        <v>0</v>
      </c>
      <c r="CK234" s="366">
        <v>26</v>
      </c>
      <c r="CL234" s="366">
        <v>0</v>
      </c>
      <c r="CM234" s="366">
        <v>35</v>
      </c>
      <c r="CN234" s="366">
        <v>451</v>
      </c>
      <c r="CO234" s="366">
        <v>2</v>
      </c>
      <c r="CP234" s="366">
        <v>0</v>
      </c>
      <c r="CQ234" s="366">
        <v>0</v>
      </c>
      <c r="CR234" s="366">
        <v>0</v>
      </c>
      <c r="CS234" s="366">
        <v>0</v>
      </c>
      <c r="CT234" s="366">
        <v>0</v>
      </c>
      <c r="CU234" s="367">
        <f>IFERROR(CH234/Instructions!$J$25,0)+CI234*Instructions!$J$27+CJ234*Instructions!$J$29+IFERROR(CK234/Instructions!$E$34,0)+CL234*Instructions!$E$36+Tier!CM234*Instructions!$E$25+IFERROR(CN234/Instructions!$E$27,0)+CO234*Instructions!$E$29+IFERROR((CP234+CR234)/Instructions!$J$32,0)+(CQ234+CS234)*Instructions!$J$34+Tier!CT234*-2</f>
        <v>94.7</v>
      </c>
      <c r="CV234" s="354"/>
      <c r="CW234"/>
      <c r="CX234"/>
      <c r="CY234"/>
      <c r="CZ234"/>
      <c r="DA234"/>
      <c r="DB234"/>
      <c r="DC234"/>
      <c r="DD234"/>
      <c r="DE234"/>
      <c r="DF234"/>
      <c r="DG234"/>
      <c r="DH234"/>
      <c r="DI234"/>
      <c r="DJ234"/>
      <c r="DK234"/>
      <c r="DL234"/>
      <c r="DM234"/>
      <c r="DN234"/>
    </row>
    <row r="235" spans="3:118" s="238" customFormat="1" ht="15.75" customHeight="1" x14ac:dyDescent="0.25">
      <c r="C235"/>
      <c r="D235"/>
      <c r="E235"/>
      <c r="F235"/>
      <c r="G235"/>
      <c r="H235"/>
      <c r="I235"/>
      <c r="J235"/>
      <c r="K235"/>
      <c r="L235"/>
      <c r="M235"/>
      <c r="N235"/>
      <c r="O235" s="372"/>
      <c r="P235" s="366">
        <v>2015</v>
      </c>
      <c r="Q235" s="367">
        <f>LARGE($CB$153:$CB$302,83)</f>
        <v>38.4</v>
      </c>
      <c r="R235" s="357">
        <f t="shared" si="100"/>
        <v>-126.19999999999999</v>
      </c>
      <c r="S235" s="356">
        <f t="shared" si="99"/>
        <v>15926.439999999997</v>
      </c>
      <c r="U235" s="356">
        <f t="shared" si="101"/>
        <v>-7.8874999999999993</v>
      </c>
      <c r="V235" s="238">
        <f t="shared" si="97"/>
        <v>8</v>
      </c>
      <c r="W235" s="354"/>
      <c r="X235" s="371"/>
      <c r="Y235" s="371"/>
      <c r="Z235" s="321">
        <v>2015</v>
      </c>
      <c r="AA235" s="367">
        <f>LARGE($CU$153:$CU$302,83)</f>
        <v>91.5</v>
      </c>
      <c r="AB235" s="357">
        <f t="shared" si="102"/>
        <v>-131.63333333333333</v>
      </c>
      <c r="AC235" s="356">
        <f t="shared" si="96"/>
        <v>17327.334444444441</v>
      </c>
      <c r="AD235" s="356"/>
      <c r="AE235" s="356">
        <f t="shared" si="103"/>
        <v>-8.2270833333333329</v>
      </c>
      <c r="AF235" s="238">
        <f t="shared" si="98"/>
        <v>8</v>
      </c>
      <c r="AG235" s="354"/>
      <c r="AK235"/>
      <c r="AL235"/>
      <c r="AM235"/>
      <c r="AN235"/>
      <c r="AO235"/>
      <c r="AP235"/>
      <c r="BI235" s="360"/>
      <c r="BJ235" s="354"/>
      <c r="BK235" s="366">
        <v>2015</v>
      </c>
      <c r="BL235" s="365" t="s">
        <v>1603</v>
      </c>
      <c r="BM235" s="366" t="s">
        <v>1627</v>
      </c>
      <c r="BN235" s="366" t="s">
        <v>3</v>
      </c>
      <c r="BO235" s="366">
        <v>0</v>
      </c>
      <c r="BP235" s="366">
        <v>0</v>
      </c>
      <c r="BQ235" s="366">
        <v>0</v>
      </c>
      <c r="BR235" s="366">
        <v>18</v>
      </c>
      <c r="BS235" s="366">
        <v>0</v>
      </c>
      <c r="BT235" s="366">
        <v>3</v>
      </c>
      <c r="BU235" s="366">
        <v>16</v>
      </c>
      <c r="BV235" s="366">
        <v>0</v>
      </c>
      <c r="BW235" s="366">
        <v>291</v>
      </c>
      <c r="BX235" s="366">
        <v>0</v>
      </c>
      <c r="BY235" s="366">
        <v>469</v>
      </c>
      <c r="BZ235" s="366">
        <v>0</v>
      </c>
      <c r="CA235" s="366">
        <v>0</v>
      </c>
      <c r="CB235" s="367">
        <f>IFERROR(BO235/Instructions!$J$25,0)+BP235*Instructions!$J$27+BQ235*Instructions!$J$29+IFERROR(BR235/Instructions!$E$34,0)+BS235*Instructions!$E$36+Tier!BT236*Instructions!$E$25+IFERROR(BU235/Instructions!$E$27,0)+BV235*Instructions!$E$29+IFERROR((BW235+BY235)/Instructions!$J$32,0)+(BX235+BZ235)*Instructions!$J$34+Tier!CA235*-2</f>
        <v>13.4</v>
      </c>
      <c r="CC235" s="354"/>
      <c r="CD235" s="321">
        <v>2015</v>
      </c>
      <c r="CE235" s="365" t="s">
        <v>196</v>
      </c>
      <c r="CF235" s="366" t="s">
        <v>145</v>
      </c>
      <c r="CG235" s="366" t="s">
        <v>6</v>
      </c>
      <c r="CH235" s="366">
        <v>0</v>
      </c>
      <c r="CI235" s="366">
        <v>0</v>
      </c>
      <c r="CJ235" s="366">
        <v>0</v>
      </c>
      <c r="CK235" s="366">
        <v>71</v>
      </c>
      <c r="CL235" s="366">
        <v>2</v>
      </c>
      <c r="CM235" s="366">
        <v>33</v>
      </c>
      <c r="CN235" s="366">
        <v>394</v>
      </c>
      <c r="CO235" s="366">
        <v>0</v>
      </c>
      <c r="CP235" s="366">
        <v>0</v>
      </c>
      <c r="CQ235" s="366">
        <v>0</v>
      </c>
      <c r="CR235" s="366">
        <v>2</v>
      </c>
      <c r="CS235" s="366">
        <v>0</v>
      </c>
      <c r="CT235" s="366">
        <v>0</v>
      </c>
      <c r="CU235" s="367">
        <f>IFERROR(CH235/Instructions!$J$25,0)+CI235*Instructions!$J$27+CJ235*Instructions!$J$29+IFERROR(CK235/Instructions!$E$34,0)+CL235*Instructions!$E$36+Tier!CM235*Instructions!$E$25+IFERROR(CN235/Instructions!$E$27,0)+CO235*Instructions!$E$29+IFERROR((CP235+CR235)/Instructions!$J$32,0)+(CQ235+CS235)*Instructions!$J$34+Tier!CT235*-2</f>
        <v>91.5</v>
      </c>
      <c r="CV235" s="354"/>
      <c r="CW235"/>
      <c r="CX235"/>
      <c r="CY235"/>
      <c r="CZ235"/>
      <c r="DA235"/>
      <c r="DB235"/>
      <c r="DC235"/>
      <c r="DD235"/>
      <c r="DE235"/>
      <c r="DF235"/>
      <c r="DG235"/>
      <c r="DH235"/>
      <c r="DI235"/>
      <c r="DJ235"/>
      <c r="DK235"/>
      <c r="DL235"/>
      <c r="DM235"/>
      <c r="DN235"/>
    </row>
    <row r="236" spans="3:118" s="238" customFormat="1" ht="15.75" customHeight="1" x14ac:dyDescent="0.25">
      <c r="C236"/>
      <c r="D236"/>
      <c r="E236"/>
      <c r="F236"/>
      <c r="G236"/>
      <c r="H236"/>
      <c r="I236"/>
      <c r="J236"/>
      <c r="K236"/>
      <c r="L236"/>
      <c r="M236"/>
      <c r="N236"/>
      <c r="O236" s="372"/>
      <c r="P236" s="366">
        <v>2015</v>
      </c>
      <c r="Q236" s="367">
        <f>LARGE($CB$153:$CB$302,84)</f>
        <v>34.4</v>
      </c>
      <c r="R236" s="357">
        <f t="shared" si="100"/>
        <v>-130.19999999999999</v>
      </c>
      <c r="S236" s="356">
        <f t="shared" si="99"/>
        <v>16952.039999999997</v>
      </c>
      <c r="U236" s="356">
        <f t="shared" si="101"/>
        <v>-8.1374999999999993</v>
      </c>
      <c r="V236" s="238">
        <f t="shared" si="97"/>
        <v>8</v>
      </c>
      <c r="W236" s="354"/>
      <c r="X236" s="371"/>
      <c r="Y236" s="371"/>
      <c r="Z236" s="321">
        <v>2015</v>
      </c>
      <c r="AA236" s="367">
        <f>LARGE($CU$153:$CU$302,84)</f>
        <v>89.7</v>
      </c>
      <c r="AB236" s="357">
        <f t="shared" si="102"/>
        <v>-133.43333333333334</v>
      </c>
      <c r="AC236" s="356">
        <f t="shared" si="96"/>
        <v>17804.454444444444</v>
      </c>
      <c r="AD236" s="356"/>
      <c r="AE236" s="356">
        <f t="shared" si="103"/>
        <v>-8.3395833333333336</v>
      </c>
      <c r="AF236" s="238">
        <f t="shared" si="98"/>
        <v>8</v>
      </c>
      <c r="AG236" s="354"/>
      <c r="AK236"/>
      <c r="AL236"/>
      <c r="AM236"/>
      <c r="AN236"/>
      <c r="AO236"/>
      <c r="AP236"/>
      <c r="BI236" s="360"/>
      <c r="BJ236" s="354"/>
      <c r="BK236" s="366">
        <v>2015</v>
      </c>
      <c r="BL236" s="365" t="s">
        <v>1651</v>
      </c>
      <c r="BM236" s="366" t="s">
        <v>158</v>
      </c>
      <c r="BN236" s="366" t="s">
        <v>3</v>
      </c>
      <c r="BO236" s="366">
        <v>0</v>
      </c>
      <c r="BP236" s="366">
        <v>0</v>
      </c>
      <c r="BQ236" s="366">
        <v>0</v>
      </c>
      <c r="BR236" s="366">
        <v>85</v>
      </c>
      <c r="BS236" s="366">
        <v>0</v>
      </c>
      <c r="BT236" s="366">
        <v>10</v>
      </c>
      <c r="BU236" s="366">
        <v>64</v>
      </c>
      <c r="BV236" s="366">
        <v>3</v>
      </c>
      <c r="BW236" s="366">
        <v>0</v>
      </c>
      <c r="BX236" s="366">
        <v>0</v>
      </c>
      <c r="BY236" s="366">
        <v>0</v>
      </c>
      <c r="BZ236" s="366">
        <v>0</v>
      </c>
      <c r="CA236" s="366">
        <v>0</v>
      </c>
      <c r="CB236" s="367">
        <f>IFERROR(BO236/Instructions!$J$25,0)+BP236*Instructions!$J$27+BQ236*Instructions!$J$29+IFERROR(BR236/Instructions!$E$34,0)+BS236*Instructions!$E$36+Tier!BT237*Instructions!$E$25+IFERROR(BU236/Instructions!$E$27,0)+BV236*Instructions!$E$29+IFERROR((BW236+BY236)/Instructions!$J$32,0)+(BX236+BZ236)*Instructions!$J$34+Tier!CA236*-2</f>
        <v>33.9</v>
      </c>
      <c r="CC236" s="354"/>
      <c r="CD236" s="321">
        <v>2015</v>
      </c>
      <c r="CE236" s="365" t="s">
        <v>17</v>
      </c>
      <c r="CF236" s="366" t="s">
        <v>146</v>
      </c>
      <c r="CG236" s="366" t="s">
        <v>6</v>
      </c>
      <c r="CH236" s="366">
        <v>0</v>
      </c>
      <c r="CI236" s="366">
        <v>0</v>
      </c>
      <c r="CJ236" s="366">
        <v>0</v>
      </c>
      <c r="CK236" s="366">
        <v>0</v>
      </c>
      <c r="CL236" s="366">
        <v>0</v>
      </c>
      <c r="CM236" s="366">
        <v>31</v>
      </c>
      <c r="CN236" s="366">
        <v>401</v>
      </c>
      <c r="CO236" s="366">
        <v>3</v>
      </c>
      <c r="CP236" s="366">
        <v>0</v>
      </c>
      <c r="CQ236" s="366">
        <v>0</v>
      </c>
      <c r="CR236" s="366">
        <v>0</v>
      </c>
      <c r="CS236" s="366">
        <v>0</v>
      </c>
      <c r="CT236" s="366">
        <v>0</v>
      </c>
      <c r="CU236" s="367">
        <f>IFERROR(CH236/Instructions!$J$25,0)+CI236*Instructions!$J$27+CJ236*Instructions!$J$29+IFERROR(CK236/Instructions!$E$34,0)+CL236*Instructions!$E$36+Tier!CM236*Instructions!$E$25+IFERROR(CN236/Instructions!$E$27,0)+CO236*Instructions!$E$29+IFERROR((CP236+CR236)/Instructions!$J$32,0)+(CQ236+CS236)*Instructions!$J$34+Tier!CT236*-2</f>
        <v>89.1</v>
      </c>
      <c r="CV236" s="354"/>
      <c r="CW236"/>
      <c r="CX236"/>
      <c r="CY236"/>
      <c r="CZ236"/>
      <c r="DA236"/>
      <c r="DB236"/>
      <c r="DC236"/>
      <c r="DD236"/>
      <c r="DE236"/>
      <c r="DF236"/>
      <c r="DG236"/>
      <c r="DH236"/>
      <c r="DI236"/>
      <c r="DJ236"/>
      <c r="DK236"/>
      <c r="DL236"/>
      <c r="DM236"/>
      <c r="DN236"/>
    </row>
    <row r="237" spans="3:118" s="238" customFormat="1" ht="15.75" customHeight="1" x14ac:dyDescent="0.25">
      <c r="C237"/>
      <c r="D237"/>
      <c r="E237"/>
      <c r="F237"/>
      <c r="G237"/>
      <c r="H237"/>
      <c r="I237"/>
      <c r="J237"/>
      <c r="K237"/>
      <c r="L237"/>
      <c r="M237"/>
      <c r="N237"/>
      <c r="O237" s="372"/>
      <c r="P237" s="366">
        <v>2015</v>
      </c>
      <c r="Q237" s="367">
        <f>LARGE($CB$153:$CB$302,85)</f>
        <v>34.200000000000003</v>
      </c>
      <c r="R237" s="357">
        <f t="shared" si="100"/>
        <v>-130.39999999999998</v>
      </c>
      <c r="S237" s="356">
        <f t="shared" si="99"/>
        <v>17004.159999999993</v>
      </c>
      <c r="U237" s="356">
        <f t="shared" si="101"/>
        <v>-8.1499999999999986</v>
      </c>
      <c r="V237" s="238">
        <f t="shared" si="97"/>
        <v>8</v>
      </c>
      <c r="W237" s="354"/>
      <c r="X237" s="371"/>
      <c r="Y237" s="371"/>
      <c r="Z237" s="321">
        <v>2015</v>
      </c>
      <c r="AA237" s="367">
        <f>LARGE($CU$153:$CU$302,85)</f>
        <v>89.4</v>
      </c>
      <c r="AB237" s="357">
        <f t="shared" si="102"/>
        <v>-133.73333333333332</v>
      </c>
      <c r="AC237" s="356">
        <f t="shared" si="96"/>
        <v>17884.604444444441</v>
      </c>
      <c r="AD237" s="356"/>
      <c r="AE237" s="356">
        <f t="shared" si="103"/>
        <v>-8.3583333333333325</v>
      </c>
      <c r="AF237" s="238">
        <f t="shared" si="98"/>
        <v>8</v>
      </c>
      <c r="AG237" s="354"/>
      <c r="AK237"/>
      <c r="AL237"/>
      <c r="AM237"/>
      <c r="AN237"/>
      <c r="AO237"/>
      <c r="AP237"/>
      <c r="BI237" s="360"/>
      <c r="BJ237" s="354"/>
      <c r="BK237" s="366">
        <v>2015</v>
      </c>
      <c r="BL237" s="365" t="s">
        <v>183</v>
      </c>
      <c r="BM237" s="366" t="s">
        <v>154</v>
      </c>
      <c r="BN237" s="366" t="s">
        <v>3</v>
      </c>
      <c r="BO237" s="366">
        <v>0</v>
      </c>
      <c r="BP237" s="366">
        <v>0</v>
      </c>
      <c r="BQ237" s="366">
        <v>0</v>
      </c>
      <c r="BR237" s="366">
        <v>257</v>
      </c>
      <c r="BS237" s="366">
        <v>1</v>
      </c>
      <c r="BT237" s="366">
        <v>1</v>
      </c>
      <c r="BU237" s="366">
        <v>7</v>
      </c>
      <c r="BV237" s="366">
        <v>0</v>
      </c>
      <c r="BW237" s="366">
        <v>0</v>
      </c>
      <c r="BX237" s="366">
        <v>0</v>
      </c>
      <c r="BY237" s="366">
        <v>0</v>
      </c>
      <c r="BZ237" s="366">
        <v>0</v>
      </c>
      <c r="CA237" s="366">
        <v>0</v>
      </c>
      <c r="CB237" s="367">
        <f>IFERROR(BO237/Instructions!$J$25,0)+BP237*Instructions!$J$27+BQ237*Instructions!$J$29+IFERROR(BR237/Instructions!$E$34,0)+BS237*Instructions!$E$36+Tier!BT238*Instructions!$E$25+IFERROR(BU237/Instructions!$E$27,0)+BV237*Instructions!$E$29+IFERROR((BW237+BY237)/Instructions!$J$32,0)+(BX237+BZ237)*Instructions!$J$34+Tier!CA237*-2</f>
        <v>44.400000000000006</v>
      </c>
      <c r="CC237" s="354"/>
      <c r="CD237" s="321">
        <v>2015</v>
      </c>
      <c r="CE237" s="365" t="s">
        <v>1607</v>
      </c>
      <c r="CF237" s="366" t="s">
        <v>152</v>
      </c>
      <c r="CG237" s="366" t="s">
        <v>6</v>
      </c>
      <c r="CH237" s="366">
        <v>0</v>
      </c>
      <c r="CI237" s="366">
        <v>0</v>
      </c>
      <c r="CJ237" s="366">
        <v>0</v>
      </c>
      <c r="CK237" s="366">
        <v>0</v>
      </c>
      <c r="CL237" s="366">
        <v>0</v>
      </c>
      <c r="CM237" s="366">
        <v>8</v>
      </c>
      <c r="CN237" s="366">
        <v>184</v>
      </c>
      <c r="CO237" s="366">
        <v>1</v>
      </c>
      <c r="CP237" s="366">
        <v>0</v>
      </c>
      <c r="CQ237" s="366">
        <v>0</v>
      </c>
      <c r="CR237" s="366">
        <v>684</v>
      </c>
      <c r="CS237" s="366">
        <v>1</v>
      </c>
      <c r="CT237" s="366">
        <v>0</v>
      </c>
      <c r="CU237" s="367">
        <f>IFERROR(CH237/Instructions!$J$25,0)+CI237*Instructions!$J$27+CJ237*Instructions!$J$29+IFERROR(CK237/Instructions!$E$34,0)+CL237*Instructions!$E$36+Tier!CM237*Instructions!$E$25+IFERROR(CN237/Instructions!$E$27,0)+CO237*Instructions!$E$29+IFERROR((CP237+CR237)/Instructions!$J$32,0)+(CQ237+CS237)*Instructions!$J$34+Tier!CT237*-2</f>
        <v>38.4</v>
      </c>
      <c r="CV237" s="354"/>
      <c r="CW237"/>
      <c r="CX237"/>
      <c r="CY237"/>
      <c r="CZ237"/>
      <c r="DA237"/>
      <c r="DB237"/>
      <c r="DC237"/>
      <c r="DD237"/>
      <c r="DE237"/>
      <c r="DF237"/>
      <c r="DG237"/>
      <c r="DH237"/>
      <c r="DI237"/>
      <c r="DJ237"/>
      <c r="DK237"/>
      <c r="DL237"/>
      <c r="DM237"/>
      <c r="DN237"/>
    </row>
    <row r="238" spans="3:118" s="238" customFormat="1" ht="15.75" customHeight="1" x14ac:dyDescent="0.25">
      <c r="C238"/>
      <c r="D238"/>
      <c r="E238"/>
      <c r="F238"/>
      <c r="G238"/>
      <c r="H238"/>
      <c r="I238"/>
      <c r="J238"/>
      <c r="K238"/>
      <c r="L238"/>
      <c r="M238"/>
      <c r="N238"/>
      <c r="O238" s="372"/>
      <c r="P238" s="366">
        <v>2015</v>
      </c>
      <c r="Q238" s="367">
        <f>LARGE($CB$153:$CB$302,86)</f>
        <v>33.9</v>
      </c>
      <c r="R238" s="357">
        <f t="shared" si="100"/>
        <v>-130.69999999999999</v>
      </c>
      <c r="S238" s="356">
        <f t="shared" si="99"/>
        <v>17082.489999999998</v>
      </c>
      <c r="U238" s="356">
        <f t="shared" si="101"/>
        <v>-8.1687499999999993</v>
      </c>
      <c r="V238" s="238">
        <f t="shared" si="97"/>
        <v>8</v>
      </c>
      <c r="W238" s="354"/>
      <c r="X238" s="371"/>
      <c r="Y238" s="371"/>
      <c r="Z238" s="321">
        <v>2015</v>
      </c>
      <c r="AA238" s="367">
        <f>LARGE($CU$153:$CU$302,86)</f>
        <v>89.1</v>
      </c>
      <c r="AB238" s="357">
        <f t="shared" si="102"/>
        <v>-134.03333333333333</v>
      </c>
      <c r="AC238" s="356">
        <f t="shared" si="96"/>
        <v>17964.934444444443</v>
      </c>
      <c r="AD238" s="356"/>
      <c r="AE238" s="356">
        <f t="shared" si="103"/>
        <v>-8.3770833333333332</v>
      </c>
      <c r="AF238" s="238">
        <f t="shared" si="98"/>
        <v>8</v>
      </c>
      <c r="AG238" s="354"/>
      <c r="AK238"/>
      <c r="AL238"/>
      <c r="AM238"/>
      <c r="AN238"/>
      <c r="AO238"/>
      <c r="AP238"/>
      <c r="BI238" s="360"/>
      <c r="BJ238" s="354"/>
      <c r="BK238" s="366">
        <v>2015</v>
      </c>
      <c r="BL238" s="365" t="s">
        <v>1150</v>
      </c>
      <c r="BM238" s="366" t="s">
        <v>159</v>
      </c>
      <c r="BN238" s="366" t="s">
        <v>3</v>
      </c>
      <c r="BO238" s="366">
        <v>0</v>
      </c>
      <c r="BP238" s="366">
        <v>0</v>
      </c>
      <c r="BQ238" s="366">
        <v>0</v>
      </c>
      <c r="BR238" s="366">
        <v>108</v>
      </c>
      <c r="BS238" s="366">
        <v>1</v>
      </c>
      <c r="BT238" s="366">
        <v>12</v>
      </c>
      <c r="BU238" s="366">
        <v>64</v>
      </c>
      <c r="BV238" s="366">
        <v>0</v>
      </c>
      <c r="BW238" s="366">
        <v>0</v>
      </c>
      <c r="BX238" s="366">
        <v>0</v>
      </c>
      <c r="BY238" s="366">
        <v>209</v>
      </c>
      <c r="BZ238" s="366">
        <v>0</v>
      </c>
      <c r="CA238" s="366">
        <v>0</v>
      </c>
      <c r="CB238" s="367">
        <f>IFERROR(BO238/Instructions!$J$25,0)+BP238*Instructions!$J$27+BQ238*Instructions!$J$29+IFERROR(BR238/Instructions!$E$34,0)+BS238*Instructions!$E$36+Tier!BT239*Instructions!$E$25+IFERROR(BU238/Instructions!$E$27,0)+BV238*Instructions!$E$29+IFERROR((BW238+BY238)/Instructions!$J$32,0)+(BX238+BZ238)*Instructions!$J$34+Tier!CA238*-2</f>
        <v>28.200000000000003</v>
      </c>
      <c r="CC238" s="354"/>
      <c r="CD238" s="321">
        <v>2015</v>
      </c>
      <c r="CE238" s="365" t="s">
        <v>1676</v>
      </c>
      <c r="CF238" s="366" t="s">
        <v>142</v>
      </c>
      <c r="CG238" s="366" t="s">
        <v>6</v>
      </c>
      <c r="CH238" s="366">
        <v>0</v>
      </c>
      <c r="CI238" s="366">
        <v>0</v>
      </c>
      <c r="CJ238" s="366">
        <v>0</v>
      </c>
      <c r="CK238" s="366">
        <v>0</v>
      </c>
      <c r="CL238" s="366">
        <v>0</v>
      </c>
      <c r="CM238" s="366">
        <v>29</v>
      </c>
      <c r="CN238" s="366">
        <v>337</v>
      </c>
      <c r="CO238" s="366">
        <v>4</v>
      </c>
      <c r="CP238" s="366">
        <v>1</v>
      </c>
      <c r="CQ238" s="366">
        <v>0</v>
      </c>
      <c r="CR238" s="366">
        <v>0</v>
      </c>
      <c r="CS238" s="366">
        <v>0</v>
      </c>
      <c r="CT238" s="366">
        <v>1</v>
      </c>
      <c r="CU238" s="367">
        <f>IFERROR(CH238/Instructions!$J$25,0)+CI238*Instructions!$J$27+CJ238*Instructions!$J$29+IFERROR(CK238/Instructions!$E$34,0)+CL238*Instructions!$E$36+Tier!CM238*Instructions!$E$25+IFERROR(CN238/Instructions!$E$27,0)+CO238*Instructions!$E$29+IFERROR((CP238+CR238)/Instructions!$J$32,0)+(CQ238+CS238)*Instructions!$J$34+Tier!CT238*-2</f>
        <v>84.7</v>
      </c>
      <c r="CV238" s="354"/>
      <c r="CW238"/>
      <c r="CX238"/>
      <c r="CY238"/>
      <c r="CZ238"/>
      <c r="DA238"/>
      <c r="DB238"/>
      <c r="DC238"/>
      <c r="DD238"/>
      <c r="DE238"/>
      <c r="DF238"/>
      <c r="DG238"/>
      <c r="DH238"/>
      <c r="DI238"/>
      <c r="DJ238"/>
      <c r="DK238"/>
      <c r="DL238"/>
      <c r="DM238"/>
      <c r="DN238"/>
    </row>
    <row r="239" spans="3:118" s="238" customFormat="1" ht="15.75" customHeight="1" x14ac:dyDescent="0.25">
      <c r="C239"/>
      <c r="D239"/>
      <c r="E239"/>
      <c r="F239"/>
      <c r="G239"/>
      <c r="H239"/>
      <c r="I239"/>
      <c r="J239"/>
      <c r="K239"/>
      <c r="L239"/>
      <c r="M239"/>
      <c r="N239"/>
      <c r="O239" s="372"/>
      <c r="P239" s="366">
        <v>2015</v>
      </c>
      <c r="Q239" s="367">
        <f>LARGE($CB$153:$CB$302,87)</f>
        <v>33.599999999999994</v>
      </c>
      <c r="R239" s="357">
        <f t="shared" si="100"/>
        <v>-131</v>
      </c>
      <c r="S239" s="356">
        <f t="shared" si="99"/>
        <v>17161</v>
      </c>
      <c r="U239" s="356">
        <f t="shared" si="101"/>
        <v>-8.1875</v>
      </c>
      <c r="V239" s="238">
        <f t="shared" si="97"/>
        <v>8</v>
      </c>
      <c r="W239" s="354"/>
      <c r="X239" s="371"/>
      <c r="Y239" s="371"/>
      <c r="Z239" s="321">
        <v>2015</v>
      </c>
      <c r="AA239" s="367">
        <f>LARGE($CU$153:$CU$302,87)</f>
        <v>89</v>
      </c>
      <c r="AB239" s="357">
        <f t="shared" si="102"/>
        <v>-134.13333333333333</v>
      </c>
      <c r="AC239" s="356">
        <f t="shared" si="96"/>
        <v>17991.751111111109</v>
      </c>
      <c r="AD239" s="356"/>
      <c r="AE239" s="356">
        <f t="shared" si="103"/>
        <v>-8.3833333333333329</v>
      </c>
      <c r="AF239" s="238">
        <f t="shared" si="98"/>
        <v>8</v>
      </c>
      <c r="AG239" s="354"/>
      <c r="AK239"/>
      <c r="AL239"/>
      <c r="AM239"/>
      <c r="AN239"/>
      <c r="AO239"/>
      <c r="AP239"/>
      <c r="BI239" s="360"/>
      <c r="BJ239" s="354"/>
      <c r="BK239" s="366">
        <v>2015</v>
      </c>
      <c r="BL239" s="365" t="s">
        <v>1140</v>
      </c>
      <c r="BM239" s="366" t="s">
        <v>159</v>
      </c>
      <c r="BN239" s="366" t="s">
        <v>3</v>
      </c>
      <c r="BO239" s="366">
        <v>0</v>
      </c>
      <c r="BP239" s="366">
        <v>0</v>
      </c>
      <c r="BQ239" s="366">
        <v>0</v>
      </c>
      <c r="BR239" s="366">
        <v>183</v>
      </c>
      <c r="BS239" s="366">
        <v>1</v>
      </c>
      <c r="BT239" s="366">
        <v>5</v>
      </c>
      <c r="BU239" s="366">
        <v>58</v>
      </c>
      <c r="BV239" s="366">
        <v>0</v>
      </c>
      <c r="BW239" s="366">
        <v>0</v>
      </c>
      <c r="BX239" s="366">
        <v>0</v>
      </c>
      <c r="BY239" s="366">
        <v>0</v>
      </c>
      <c r="BZ239" s="366">
        <v>0</v>
      </c>
      <c r="CA239" s="366">
        <v>0</v>
      </c>
      <c r="CB239" s="367">
        <f>IFERROR(BO239/Instructions!$J$25,0)+BP239*Instructions!$J$27+BQ239*Instructions!$J$29+IFERROR(BR239/Instructions!$E$34,0)+BS239*Instructions!$E$36+Tier!BT240*Instructions!$E$25+IFERROR(BU239/Instructions!$E$27,0)+BV239*Instructions!$E$29+IFERROR((BW239+BY239)/Instructions!$J$32,0)+(BX239+BZ239)*Instructions!$J$34+Tier!CA239*-2</f>
        <v>39.099999999999994</v>
      </c>
      <c r="CC239" s="354"/>
      <c r="CD239" s="321">
        <v>2015</v>
      </c>
      <c r="CE239" s="365" t="s">
        <v>219</v>
      </c>
      <c r="CF239" s="366" t="s">
        <v>156</v>
      </c>
      <c r="CG239" s="366" t="s">
        <v>6</v>
      </c>
      <c r="CH239" s="366">
        <v>4</v>
      </c>
      <c r="CI239" s="366">
        <v>0</v>
      </c>
      <c r="CJ239" s="366">
        <v>0</v>
      </c>
      <c r="CK239" s="366">
        <v>4</v>
      </c>
      <c r="CL239" s="366">
        <v>0</v>
      </c>
      <c r="CM239" s="366">
        <v>36</v>
      </c>
      <c r="CN239" s="366">
        <v>450</v>
      </c>
      <c r="CO239" s="366">
        <v>2</v>
      </c>
      <c r="CP239" s="366">
        <v>0</v>
      </c>
      <c r="CQ239" s="366">
        <v>0</v>
      </c>
      <c r="CR239" s="366">
        <v>0</v>
      </c>
      <c r="CS239" s="366">
        <v>0</v>
      </c>
      <c r="CT239" s="366">
        <v>0</v>
      </c>
      <c r="CU239" s="367">
        <f>IFERROR(CH239/Instructions!$J$25,0)+CI239*Instructions!$J$27+CJ239*Instructions!$J$29+IFERROR(CK239/Instructions!$E$34,0)+CL239*Instructions!$E$36+Tier!CM239*Instructions!$E$25+IFERROR(CN239/Instructions!$E$27,0)+CO239*Instructions!$E$29+IFERROR((CP239+CR239)/Instructions!$J$32,0)+(CQ239+CS239)*Instructions!$J$34+Tier!CT239*-2</f>
        <v>93.56</v>
      </c>
      <c r="CV239" s="354"/>
      <c r="CW239"/>
      <c r="CX239"/>
      <c r="CY239"/>
      <c r="CZ239"/>
      <c r="DA239"/>
      <c r="DB239"/>
      <c r="DC239"/>
      <c r="DD239"/>
      <c r="DE239"/>
      <c r="DF239"/>
      <c r="DG239"/>
      <c r="DH239"/>
      <c r="DI239"/>
      <c r="DJ239"/>
      <c r="DK239"/>
      <c r="DL239"/>
      <c r="DM239"/>
      <c r="DN239"/>
    </row>
    <row r="240" spans="3:118" s="238" customFormat="1" ht="15.75" customHeight="1" x14ac:dyDescent="0.25">
      <c r="C240"/>
      <c r="D240"/>
      <c r="E240"/>
      <c r="F240"/>
      <c r="G240"/>
      <c r="H240"/>
      <c r="I240"/>
      <c r="J240"/>
      <c r="K240"/>
      <c r="L240"/>
      <c r="M240"/>
      <c r="N240"/>
      <c r="O240" s="372"/>
      <c r="P240" s="366">
        <v>2015</v>
      </c>
      <c r="Q240" s="367">
        <f>LARGE($CB$153:$CB$302,88)</f>
        <v>33.4</v>
      </c>
      <c r="R240" s="357">
        <f t="shared" si="100"/>
        <v>-131.19999999999999</v>
      </c>
      <c r="S240" s="356">
        <f t="shared" si="99"/>
        <v>17213.439999999999</v>
      </c>
      <c r="U240" s="356">
        <f t="shared" si="101"/>
        <v>-8.1999999999999993</v>
      </c>
      <c r="V240" s="238">
        <f t="shared" si="97"/>
        <v>8</v>
      </c>
      <c r="W240" s="354"/>
      <c r="X240" s="371"/>
      <c r="Y240" s="371"/>
      <c r="Z240" s="321">
        <v>2015</v>
      </c>
      <c r="AA240" s="367">
        <f>LARGE($CU$153:$CU$302,88)</f>
        <v>88.5</v>
      </c>
      <c r="AB240" s="357">
        <f t="shared" si="102"/>
        <v>-134.63333333333333</v>
      </c>
      <c r="AC240" s="356">
        <f t="shared" si="96"/>
        <v>18126.134444444444</v>
      </c>
      <c r="AD240" s="356"/>
      <c r="AE240" s="356">
        <f t="shared" si="103"/>
        <v>-8.4145833333333329</v>
      </c>
      <c r="AF240" s="238">
        <f t="shared" si="98"/>
        <v>8</v>
      </c>
      <c r="AG240" s="354"/>
      <c r="AK240"/>
      <c r="AL240"/>
      <c r="AM240"/>
      <c r="AN240"/>
      <c r="AO240"/>
      <c r="AP240"/>
      <c r="BI240" s="360"/>
      <c r="BJ240" s="354"/>
      <c r="BK240" s="366">
        <v>2015</v>
      </c>
      <c r="BL240" s="365" t="s">
        <v>1653</v>
      </c>
      <c r="BM240" s="366" t="s">
        <v>164</v>
      </c>
      <c r="BN240" s="366" t="s">
        <v>3</v>
      </c>
      <c r="BO240" s="366">
        <v>0</v>
      </c>
      <c r="BP240" s="366">
        <v>0</v>
      </c>
      <c r="BQ240" s="366">
        <v>0</v>
      </c>
      <c r="BR240" s="366">
        <v>89</v>
      </c>
      <c r="BS240" s="366">
        <v>1</v>
      </c>
      <c r="BT240" s="366">
        <v>9</v>
      </c>
      <c r="BU240" s="366">
        <v>65</v>
      </c>
      <c r="BV240" s="366">
        <v>0</v>
      </c>
      <c r="BW240" s="366">
        <v>0</v>
      </c>
      <c r="BX240" s="366">
        <v>0</v>
      </c>
      <c r="BY240" s="366">
        <v>204</v>
      </c>
      <c r="BZ240" s="366">
        <v>0</v>
      </c>
      <c r="CA240" s="366">
        <v>0</v>
      </c>
      <c r="CB240" s="367">
        <f>IFERROR(BO240/Instructions!$J$25,0)+BP240*Instructions!$J$27+BQ240*Instructions!$J$29+IFERROR(BR240/Instructions!$E$34,0)+BS240*Instructions!$E$36+Tier!BT241*Instructions!$E$25+IFERROR(BU240/Instructions!$E$27,0)+BV240*Instructions!$E$29+IFERROR((BW240+BY240)/Instructions!$J$32,0)+(BX240+BZ240)*Instructions!$J$34+Tier!CA240*-2</f>
        <v>34.4</v>
      </c>
      <c r="CC240" s="354"/>
      <c r="CD240" s="321">
        <v>2015</v>
      </c>
      <c r="CE240" s="365" t="s">
        <v>1119</v>
      </c>
      <c r="CF240" s="366" t="s">
        <v>1625</v>
      </c>
      <c r="CG240" s="366" t="s">
        <v>6</v>
      </c>
      <c r="CH240" s="366">
        <v>0</v>
      </c>
      <c r="CI240" s="366">
        <v>0</v>
      </c>
      <c r="CJ240" s="366">
        <v>0</v>
      </c>
      <c r="CK240" s="366">
        <v>0</v>
      </c>
      <c r="CL240" s="366">
        <v>0</v>
      </c>
      <c r="CM240" s="366">
        <v>30</v>
      </c>
      <c r="CN240" s="366">
        <v>454</v>
      </c>
      <c r="CO240" s="366">
        <v>2</v>
      </c>
      <c r="CP240" s="366">
        <v>0</v>
      </c>
      <c r="CQ240" s="366">
        <v>0</v>
      </c>
      <c r="CR240" s="366">
        <v>0</v>
      </c>
      <c r="CS240" s="366">
        <v>0</v>
      </c>
      <c r="CT240" s="366">
        <v>0</v>
      </c>
      <c r="CU240" s="367">
        <f>IFERROR(CH240/Instructions!$J$25,0)+CI240*Instructions!$J$27+CJ240*Instructions!$J$29+IFERROR(CK240/Instructions!$E$34,0)+CL240*Instructions!$E$36+Tier!CM240*Instructions!$E$25+IFERROR(CN240/Instructions!$E$27,0)+CO240*Instructions!$E$29+IFERROR((CP240+CR240)/Instructions!$J$32,0)+(CQ240+CS240)*Instructions!$J$34+Tier!CT240*-2</f>
        <v>87.4</v>
      </c>
      <c r="CV240" s="354"/>
      <c r="CW240"/>
      <c r="CX240"/>
      <c r="CY240"/>
      <c r="CZ240"/>
      <c r="DA240"/>
      <c r="DB240"/>
      <c r="DC240"/>
      <c r="DD240"/>
      <c r="DE240"/>
      <c r="DF240"/>
      <c r="DG240"/>
      <c r="DH240"/>
      <c r="DI240"/>
      <c r="DJ240"/>
      <c r="DK240"/>
      <c r="DL240"/>
      <c r="DM240"/>
      <c r="DN240"/>
    </row>
    <row r="241" spans="3:118" s="238" customFormat="1" ht="15.75" customHeight="1" x14ac:dyDescent="0.25">
      <c r="C241"/>
      <c r="D241"/>
      <c r="E241"/>
      <c r="F241"/>
      <c r="G241"/>
      <c r="H241"/>
      <c r="I241"/>
      <c r="J241"/>
      <c r="K241"/>
      <c r="L241"/>
      <c r="M241"/>
      <c r="N241"/>
      <c r="O241" s="372"/>
      <c r="P241" s="366">
        <v>2015</v>
      </c>
      <c r="Q241" s="367">
        <f>LARGE($CB$153:$CB$302,89)</f>
        <v>32.799999999999997</v>
      </c>
      <c r="R241" s="357">
        <f t="shared" si="100"/>
        <v>-131.80000000000001</v>
      </c>
      <c r="S241" s="356">
        <f t="shared" si="99"/>
        <v>17371.240000000002</v>
      </c>
      <c r="U241" s="356">
        <f t="shared" si="101"/>
        <v>-8.2375000000000007</v>
      </c>
      <c r="V241" s="238">
        <f t="shared" si="97"/>
        <v>8</v>
      </c>
      <c r="W241" s="354"/>
      <c r="X241" s="371"/>
      <c r="Y241" s="371"/>
      <c r="Z241" s="321">
        <v>2015</v>
      </c>
      <c r="AA241" s="367">
        <f>LARGE($CU$153:$CU$302,89)</f>
        <v>87.4</v>
      </c>
      <c r="AB241" s="357">
        <f t="shared" si="102"/>
        <v>-135.73333333333332</v>
      </c>
      <c r="AC241" s="356">
        <f t="shared" si="96"/>
        <v>18423.537777777776</v>
      </c>
      <c r="AD241" s="356"/>
      <c r="AE241" s="356">
        <f t="shared" si="103"/>
        <v>-8.4833333333333325</v>
      </c>
      <c r="AF241" s="238">
        <f t="shared" si="98"/>
        <v>8</v>
      </c>
      <c r="AG241" s="354"/>
      <c r="AK241"/>
      <c r="AL241"/>
      <c r="AM241"/>
      <c r="AN241"/>
      <c r="AO241"/>
      <c r="AP241"/>
      <c r="BI241" s="360"/>
      <c r="BJ241" s="354"/>
      <c r="BK241" s="366">
        <v>2015</v>
      </c>
      <c r="BL241" s="365" t="s">
        <v>1142</v>
      </c>
      <c r="BM241" s="366" t="s">
        <v>1626</v>
      </c>
      <c r="BN241" s="366" t="s">
        <v>3</v>
      </c>
      <c r="BO241" s="366">
        <v>0</v>
      </c>
      <c r="BP241" s="366">
        <v>0</v>
      </c>
      <c r="BQ241" s="366">
        <v>0</v>
      </c>
      <c r="BR241" s="366">
        <v>108</v>
      </c>
      <c r="BS241" s="366">
        <v>0</v>
      </c>
      <c r="BT241" s="366">
        <v>13</v>
      </c>
      <c r="BU241" s="366">
        <v>112</v>
      </c>
      <c r="BV241" s="366">
        <v>0</v>
      </c>
      <c r="BW241" s="366">
        <v>0</v>
      </c>
      <c r="BX241" s="366">
        <v>0</v>
      </c>
      <c r="BY241" s="366">
        <v>197</v>
      </c>
      <c r="BZ241" s="366">
        <v>0</v>
      </c>
      <c r="CA241" s="366">
        <v>0</v>
      </c>
      <c r="CB241" s="367">
        <f>IFERROR(BO241/Instructions!$J$25,0)+BP241*Instructions!$J$27+BQ241*Instructions!$J$29+IFERROR(BR241/Instructions!$E$34,0)+BS241*Instructions!$E$36+Tier!BT242*Instructions!$E$25+IFERROR(BU241/Instructions!$E$27,0)+BV241*Instructions!$E$29+IFERROR((BW241+BY241)/Instructions!$J$32,0)+(BX241+BZ241)*Instructions!$J$34+Tier!CA241*-2</f>
        <v>31</v>
      </c>
      <c r="CC241" s="354"/>
      <c r="CD241" s="321">
        <v>2015</v>
      </c>
      <c r="CE241" s="365" t="s">
        <v>1675</v>
      </c>
      <c r="CF241" s="366" t="s">
        <v>148</v>
      </c>
      <c r="CG241" s="366" t="s">
        <v>6</v>
      </c>
      <c r="CH241" s="366">
        <v>0</v>
      </c>
      <c r="CI241" s="366">
        <v>0</v>
      </c>
      <c r="CJ241" s="366">
        <v>0</v>
      </c>
      <c r="CK241" s="366">
        <v>0</v>
      </c>
      <c r="CL241" s="366">
        <v>0</v>
      </c>
      <c r="CM241" s="366">
        <v>43</v>
      </c>
      <c r="CN241" s="366">
        <v>506</v>
      </c>
      <c r="CO241" s="366">
        <v>1</v>
      </c>
      <c r="CP241" s="366">
        <v>0</v>
      </c>
      <c r="CQ241" s="366">
        <v>0</v>
      </c>
      <c r="CR241" s="366">
        <v>0</v>
      </c>
      <c r="CS241" s="366">
        <v>0</v>
      </c>
      <c r="CT241" s="366">
        <v>0</v>
      </c>
      <c r="CU241" s="367">
        <f>IFERROR(CH241/Instructions!$J$25,0)+CI241*Instructions!$J$27+CJ241*Instructions!$J$29+IFERROR(CK241/Instructions!$E$34,0)+CL241*Instructions!$E$36+Tier!CM241*Instructions!$E$25+IFERROR(CN241/Instructions!$E$27,0)+CO241*Instructions!$E$29+IFERROR((CP241+CR241)/Instructions!$J$32,0)+(CQ241+CS241)*Instructions!$J$34+Tier!CT241*-2</f>
        <v>99.6</v>
      </c>
      <c r="CV241" s="354"/>
      <c r="CW241"/>
      <c r="CX241"/>
      <c r="CY241"/>
      <c r="CZ241"/>
      <c r="DA241"/>
      <c r="DB241"/>
      <c r="DC241"/>
      <c r="DD241"/>
      <c r="DE241"/>
      <c r="DF241"/>
      <c r="DG241"/>
      <c r="DH241"/>
      <c r="DI241"/>
      <c r="DJ241"/>
      <c r="DK241"/>
      <c r="DL241"/>
      <c r="DM241"/>
      <c r="DN241"/>
    </row>
    <row r="242" spans="3:118" s="238" customFormat="1" ht="15.75" customHeight="1" x14ac:dyDescent="0.25">
      <c r="C242"/>
      <c r="D242"/>
      <c r="E242"/>
      <c r="F242"/>
      <c r="G242"/>
      <c r="H242"/>
      <c r="I242"/>
      <c r="J242"/>
      <c r="K242"/>
      <c r="L242"/>
      <c r="M242"/>
      <c r="N242"/>
      <c r="O242" s="372"/>
      <c r="P242" s="366">
        <v>2015</v>
      </c>
      <c r="Q242" s="367">
        <f>LARGE($CB$153:$CB$302,90)</f>
        <v>31.200000000000003</v>
      </c>
      <c r="R242" s="357">
        <f t="shared" si="100"/>
        <v>-133.39999999999998</v>
      </c>
      <c r="S242" s="356">
        <f t="shared" si="99"/>
        <v>17795.559999999994</v>
      </c>
      <c r="U242" s="356">
        <f t="shared" si="101"/>
        <v>-8.3374999999999986</v>
      </c>
      <c r="V242" s="238">
        <f t="shared" si="97"/>
        <v>8</v>
      </c>
      <c r="W242" s="354"/>
      <c r="X242" s="371"/>
      <c r="Y242" s="371"/>
      <c r="Z242" s="321">
        <v>2015</v>
      </c>
      <c r="AA242" s="367">
        <f>LARGE($CU$153:$CU$302,90)</f>
        <v>84.7</v>
      </c>
      <c r="AB242" s="357">
        <f t="shared" si="102"/>
        <v>-138.43333333333334</v>
      </c>
      <c r="AC242" s="356">
        <f t="shared" si="96"/>
        <v>19163.787777777779</v>
      </c>
      <c r="AD242" s="356"/>
      <c r="AE242" s="356">
        <f t="shared" si="103"/>
        <v>-8.6520833333333336</v>
      </c>
      <c r="AF242" s="238">
        <f t="shared" si="98"/>
        <v>8</v>
      </c>
      <c r="AG242" s="354"/>
      <c r="AK242"/>
      <c r="AL242"/>
      <c r="AM242"/>
      <c r="AN242"/>
      <c r="AO242"/>
      <c r="AP242"/>
      <c r="BI242" s="360"/>
      <c r="BJ242" s="354"/>
      <c r="BK242" s="366">
        <v>2015</v>
      </c>
      <c r="BL242" s="365" t="s">
        <v>1303</v>
      </c>
      <c r="BM242" s="366" t="s">
        <v>1633</v>
      </c>
      <c r="BN242" s="366" t="s">
        <v>3</v>
      </c>
      <c r="BO242" s="366">
        <v>0</v>
      </c>
      <c r="BP242" s="366">
        <v>0</v>
      </c>
      <c r="BQ242" s="366">
        <v>0</v>
      </c>
      <c r="BR242" s="366">
        <v>189</v>
      </c>
      <c r="BS242" s="366">
        <v>0</v>
      </c>
      <c r="BT242" s="366">
        <v>9</v>
      </c>
      <c r="BU242" s="366">
        <v>97</v>
      </c>
      <c r="BV242" s="366">
        <v>0</v>
      </c>
      <c r="BW242" s="366">
        <v>0</v>
      </c>
      <c r="BX242" s="366">
        <v>0</v>
      </c>
      <c r="BY242" s="366">
        <v>0</v>
      </c>
      <c r="BZ242" s="366">
        <v>0</v>
      </c>
      <c r="CA242" s="366">
        <v>1</v>
      </c>
      <c r="CB242" s="367">
        <f>IFERROR(BO242/Instructions!$J$25,0)+BP242*Instructions!$J$27+BQ242*Instructions!$J$29+IFERROR(BR242/Instructions!$E$34,0)+BS242*Instructions!$E$36+Tier!BT243*Instructions!$E$25+IFERROR(BU242/Instructions!$E$27,0)+BV242*Instructions!$E$29+IFERROR((BW242+BY242)/Instructions!$J$32,0)+(BX242+BZ242)*Instructions!$J$34+Tier!CA242*-2</f>
        <v>33.599999999999994</v>
      </c>
      <c r="CC242" s="354"/>
      <c r="CD242" s="321">
        <v>2015</v>
      </c>
      <c r="CE242" s="365" t="s">
        <v>133</v>
      </c>
      <c r="CF242" s="366" t="s">
        <v>163</v>
      </c>
      <c r="CG242" s="366" t="s">
        <v>6</v>
      </c>
      <c r="CH242" s="366">
        <v>0</v>
      </c>
      <c r="CI242" s="366">
        <v>0</v>
      </c>
      <c r="CJ242" s="366">
        <v>0</v>
      </c>
      <c r="CK242" s="366">
        <v>-6</v>
      </c>
      <c r="CL242" s="366">
        <v>0</v>
      </c>
      <c r="CM242" s="366">
        <v>36</v>
      </c>
      <c r="CN242" s="366">
        <v>411</v>
      </c>
      <c r="CO242" s="366">
        <v>2</v>
      </c>
      <c r="CP242" s="366">
        <v>73</v>
      </c>
      <c r="CQ242" s="366">
        <v>0</v>
      </c>
      <c r="CR242" s="366">
        <v>0</v>
      </c>
      <c r="CS242" s="366">
        <v>0</v>
      </c>
      <c r="CT242" s="366">
        <v>0</v>
      </c>
      <c r="CU242" s="367">
        <f>IFERROR(CH242/Instructions!$J$25,0)+CI242*Instructions!$J$27+CJ242*Instructions!$J$29+IFERROR(CK242/Instructions!$E$34,0)+CL242*Instructions!$E$36+Tier!CM242*Instructions!$E$25+IFERROR(CN242/Instructions!$E$27,0)+CO242*Instructions!$E$29+IFERROR((CP242+CR242)/Instructions!$J$32,0)+(CQ242+CS242)*Instructions!$J$34+Tier!CT242*-2</f>
        <v>88.5</v>
      </c>
      <c r="CV242" s="354"/>
      <c r="CW242"/>
      <c r="CX242"/>
      <c r="CY242"/>
      <c r="CZ242"/>
      <c r="DA242"/>
      <c r="DB242"/>
      <c r="DC242"/>
      <c r="DD242"/>
      <c r="DE242"/>
      <c r="DF242"/>
      <c r="DG242"/>
      <c r="DH242"/>
      <c r="DI242"/>
      <c r="DJ242"/>
      <c r="DK242"/>
      <c r="DL242"/>
      <c r="DM242"/>
      <c r="DN242"/>
    </row>
    <row r="243" spans="3:118" s="238" customFormat="1" ht="15.75" customHeight="1" x14ac:dyDescent="0.25">
      <c r="C243"/>
      <c r="D243"/>
      <c r="E243"/>
      <c r="F243"/>
      <c r="G243"/>
      <c r="H243"/>
      <c r="I243"/>
      <c r="J243"/>
      <c r="K243"/>
      <c r="L243"/>
      <c r="M243"/>
      <c r="N243"/>
      <c r="O243" s="372"/>
      <c r="P243" s="366">
        <v>2015</v>
      </c>
      <c r="Q243" s="367">
        <f>LARGE($CB$153:$CB$302,91)</f>
        <v>31.2</v>
      </c>
      <c r="R243" s="357">
        <f t="shared" si="100"/>
        <v>-133.4</v>
      </c>
      <c r="S243" s="356">
        <f t="shared" si="99"/>
        <v>17795.560000000001</v>
      </c>
      <c r="U243" s="356">
        <f t="shared" si="101"/>
        <v>-8.3375000000000004</v>
      </c>
      <c r="V243" s="238">
        <f t="shared" si="97"/>
        <v>8</v>
      </c>
      <c r="W243" s="354"/>
      <c r="X243" s="371"/>
      <c r="Y243" s="371"/>
      <c r="Z243" s="321">
        <v>2015</v>
      </c>
      <c r="AA243" s="367">
        <f>LARGE($CU$153:$CU$302,91)</f>
        <v>80.400000000000006</v>
      </c>
      <c r="AB243" s="357">
        <f t="shared" si="102"/>
        <v>-142.73333333333332</v>
      </c>
      <c r="AC243" s="356">
        <f t="shared" si="96"/>
        <v>20372.804444444442</v>
      </c>
      <c r="AD243" s="356"/>
      <c r="AE243" s="356">
        <f t="shared" si="103"/>
        <v>-8.9208333333333325</v>
      </c>
      <c r="AF243" s="238">
        <f t="shared" si="98"/>
        <v>8</v>
      </c>
      <c r="AG243" s="354"/>
      <c r="AK243"/>
      <c r="AL243"/>
      <c r="AM243"/>
      <c r="AN243"/>
      <c r="AO243"/>
      <c r="AP243"/>
      <c r="BI243" s="360"/>
      <c r="BJ243" s="354"/>
      <c r="BK243" s="366">
        <v>2015</v>
      </c>
      <c r="BL243" s="365" t="s">
        <v>975</v>
      </c>
      <c r="BM243" s="366" t="s">
        <v>1633</v>
      </c>
      <c r="BN243" s="366" t="s">
        <v>3</v>
      </c>
      <c r="BO243" s="366">
        <v>0</v>
      </c>
      <c r="BP243" s="366">
        <v>0</v>
      </c>
      <c r="BQ243" s="366">
        <v>0</v>
      </c>
      <c r="BR243" s="366">
        <v>199</v>
      </c>
      <c r="BS243" s="366">
        <v>1</v>
      </c>
      <c r="BT243" s="366">
        <v>7</v>
      </c>
      <c r="BU243" s="366">
        <v>23</v>
      </c>
      <c r="BV243" s="366">
        <v>0</v>
      </c>
      <c r="BW243" s="366">
        <v>0</v>
      </c>
      <c r="BX243" s="366">
        <v>0</v>
      </c>
      <c r="BY243" s="366">
        <v>0</v>
      </c>
      <c r="BZ243" s="366">
        <v>0</v>
      </c>
      <c r="CA243" s="366">
        <v>0</v>
      </c>
      <c r="CB243" s="367">
        <f>IFERROR(BO243/Instructions!$J$25,0)+BP243*Instructions!$J$27+BQ243*Instructions!$J$29+IFERROR(BR243/Instructions!$E$34,0)+BS243*Instructions!$E$36+Tier!BT244*Instructions!$E$25+IFERROR(BU243/Instructions!$E$27,0)+BV243*Instructions!$E$29+IFERROR((BW243+BY243)/Instructions!$J$32,0)+(BX243+BZ243)*Instructions!$J$34+Tier!CA243*-2</f>
        <v>31.2</v>
      </c>
      <c r="CC243" s="354"/>
      <c r="CD243" s="321">
        <v>2015</v>
      </c>
      <c r="CE243" s="365" t="s">
        <v>76</v>
      </c>
      <c r="CF243" s="366" t="s">
        <v>138</v>
      </c>
      <c r="CG243" s="366" t="s">
        <v>6</v>
      </c>
      <c r="CH243" s="366">
        <v>0</v>
      </c>
      <c r="CI243" s="366">
        <v>0</v>
      </c>
      <c r="CJ243" s="366">
        <v>0</v>
      </c>
      <c r="CK243" s="366">
        <v>15</v>
      </c>
      <c r="CL243" s="366">
        <v>0</v>
      </c>
      <c r="CM243" s="366">
        <v>2</v>
      </c>
      <c r="CN243" s="366">
        <v>10</v>
      </c>
      <c r="CO243" s="366">
        <v>0</v>
      </c>
      <c r="CP243" s="366">
        <v>0</v>
      </c>
      <c r="CQ243" s="366">
        <v>0</v>
      </c>
      <c r="CR243" s="366">
        <v>1019</v>
      </c>
      <c r="CS243" s="366">
        <v>2</v>
      </c>
      <c r="CT243" s="366">
        <v>0</v>
      </c>
      <c r="CU243" s="367">
        <f>IFERROR(CH243/Instructions!$J$25,0)+CI243*Instructions!$J$27+CJ243*Instructions!$J$29+IFERROR(CK243/Instructions!$E$34,0)+CL243*Instructions!$E$36+Tier!CM243*Instructions!$E$25+IFERROR(CN243/Instructions!$E$27,0)+CO243*Instructions!$E$29+IFERROR((CP243+CR243)/Instructions!$J$32,0)+(CQ243+CS243)*Instructions!$J$34+Tier!CT243*-2</f>
        <v>16.5</v>
      </c>
      <c r="CV243" s="354"/>
      <c r="CW243"/>
      <c r="CX243"/>
      <c r="CY243"/>
      <c r="CZ243"/>
      <c r="DA243"/>
      <c r="DB243"/>
      <c r="DC243"/>
      <c r="DD243"/>
      <c r="DE243"/>
      <c r="DF243"/>
      <c r="DG243"/>
      <c r="DH243"/>
      <c r="DI243"/>
      <c r="DJ243"/>
      <c r="DK243"/>
      <c r="DL243"/>
      <c r="DM243"/>
      <c r="DN243"/>
    </row>
    <row r="244" spans="3:118" s="238" customFormat="1" ht="15.75" customHeight="1" x14ac:dyDescent="0.25">
      <c r="C244"/>
      <c r="D244"/>
      <c r="E244"/>
      <c r="F244"/>
      <c r="G244"/>
      <c r="H244"/>
      <c r="I244"/>
      <c r="J244"/>
      <c r="K244"/>
      <c r="L244"/>
      <c r="M244"/>
      <c r="N244"/>
      <c r="O244" s="372"/>
      <c r="P244" s="366">
        <v>2015</v>
      </c>
      <c r="Q244" s="367">
        <f>LARGE($CB$153:$CB$302,92)</f>
        <v>31</v>
      </c>
      <c r="R244" s="357">
        <f t="shared" si="100"/>
        <v>-133.6</v>
      </c>
      <c r="S244" s="356">
        <f t="shared" si="99"/>
        <v>17848.96</v>
      </c>
      <c r="U244" s="356">
        <f t="shared" si="101"/>
        <v>-8.35</v>
      </c>
      <c r="V244" s="238">
        <f t="shared" si="97"/>
        <v>8</v>
      </c>
      <c r="W244" s="354"/>
      <c r="X244" s="371"/>
      <c r="Y244" s="371"/>
      <c r="Z244" s="321">
        <v>2015</v>
      </c>
      <c r="AA244" s="367">
        <f>LARGE($CU$153:$CU$302,92)</f>
        <v>79.099999999999994</v>
      </c>
      <c r="AB244" s="357">
        <f t="shared" si="102"/>
        <v>-144.03333333333333</v>
      </c>
      <c r="AC244" s="356">
        <f t="shared" si="96"/>
        <v>20745.601111111111</v>
      </c>
      <c r="AD244" s="356"/>
      <c r="AE244" s="356">
        <f t="shared" si="103"/>
        <v>-9.0020833333333332</v>
      </c>
      <c r="AF244" s="238">
        <f t="shared" si="98"/>
        <v>8</v>
      </c>
      <c r="AG244" s="354"/>
      <c r="AK244"/>
      <c r="AL244"/>
      <c r="AM244"/>
      <c r="AN244"/>
      <c r="AO244"/>
      <c r="AP244"/>
      <c r="BI244" s="360"/>
      <c r="BJ244" s="354"/>
      <c r="BK244" s="366">
        <v>2015</v>
      </c>
      <c r="BL244" s="365" t="s">
        <v>115</v>
      </c>
      <c r="BM244" s="366" t="s">
        <v>1633</v>
      </c>
      <c r="BN244" s="366" t="s">
        <v>3</v>
      </c>
      <c r="BO244" s="366">
        <v>0</v>
      </c>
      <c r="BP244" s="366">
        <v>0</v>
      </c>
      <c r="BQ244" s="366">
        <v>0</v>
      </c>
      <c r="BR244" s="366">
        <v>243</v>
      </c>
      <c r="BS244" s="366">
        <v>0</v>
      </c>
      <c r="BT244" s="366">
        <v>3</v>
      </c>
      <c r="BU244" s="366">
        <v>16</v>
      </c>
      <c r="BV244" s="366">
        <v>0</v>
      </c>
      <c r="BW244" s="366">
        <v>0</v>
      </c>
      <c r="BX244" s="366">
        <v>0</v>
      </c>
      <c r="BY244" s="366">
        <v>0</v>
      </c>
      <c r="BZ244" s="366">
        <v>0</v>
      </c>
      <c r="CA244" s="366">
        <v>0</v>
      </c>
      <c r="CB244" s="367">
        <f>IFERROR(BO244/Instructions!$J$25,0)+BP244*Instructions!$J$27+BQ244*Instructions!$J$29+IFERROR(BR244/Instructions!$E$34,0)+BS244*Instructions!$E$36+Tier!BT245*Instructions!$E$25+IFERROR(BU244/Instructions!$E$27,0)+BV244*Instructions!$E$29+IFERROR((BW244+BY244)/Instructions!$J$32,0)+(BX244+BZ244)*Instructions!$J$34+Tier!CA244*-2</f>
        <v>27.900000000000002</v>
      </c>
      <c r="CC244" s="354"/>
      <c r="CD244" s="321">
        <v>2015</v>
      </c>
      <c r="CE244" s="365" t="s">
        <v>1245</v>
      </c>
      <c r="CF244" s="366" t="s">
        <v>141</v>
      </c>
      <c r="CG244" s="366" t="s">
        <v>6</v>
      </c>
      <c r="CH244" s="366">
        <v>0</v>
      </c>
      <c r="CI244" s="366">
        <v>0</v>
      </c>
      <c r="CJ244" s="366">
        <v>0</v>
      </c>
      <c r="CK244" s="366">
        <v>0</v>
      </c>
      <c r="CL244" s="366">
        <v>0</v>
      </c>
      <c r="CM244" s="366">
        <v>22</v>
      </c>
      <c r="CN244" s="366">
        <v>300</v>
      </c>
      <c r="CO244" s="366">
        <v>0</v>
      </c>
      <c r="CP244" s="366">
        <v>192</v>
      </c>
      <c r="CQ244" s="366">
        <v>0</v>
      </c>
      <c r="CR244" s="366">
        <v>418</v>
      </c>
      <c r="CS244" s="366">
        <v>0</v>
      </c>
      <c r="CT244" s="366">
        <v>0</v>
      </c>
      <c r="CU244" s="367">
        <f>IFERROR(CH244/Instructions!$J$25,0)+CI244*Instructions!$J$27+CJ244*Instructions!$J$29+IFERROR(CK244/Instructions!$E$34,0)+CL244*Instructions!$E$36+Tier!CM244*Instructions!$E$25+IFERROR(CN244/Instructions!$E$27,0)+CO244*Instructions!$E$29+IFERROR((CP244+CR244)/Instructions!$J$32,0)+(CQ244+CS244)*Instructions!$J$34+Tier!CT244*-2</f>
        <v>52</v>
      </c>
      <c r="CV244" s="354"/>
      <c r="CW244"/>
      <c r="CX244"/>
      <c r="CY244"/>
      <c r="CZ244"/>
      <c r="DA244"/>
      <c r="DB244"/>
      <c r="DC244"/>
      <c r="DD244"/>
      <c r="DE244"/>
      <c r="DF244"/>
      <c r="DG244"/>
      <c r="DH244"/>
      <c r="DI244"/>
      <c r="DJ244"/>
      <c r="DK244"/>
      <c r="DL244"/>
      <c r="DM244"/>
      <c r="DN244"/>
    </row>
    <row r="245" spans="3:118" s="238" customFormat="1" ht="15.75" customHeight="1" x14ac:dyDescent="0.25">
      <c r="C245"/>
      <c r="D245"/>
      <c r="E245"/>
      <c r="F245"/>
      <c r="G245"/>
      <c r="H245"/>
      <c r="I245"/>
      <c r="J245"/>
      <c r="K245"/>
      <c r="L245"/>
      <c r="M245"/>
      <c r="N245"/>
      <c r="O245" s="372"/>
      <c r="P245" s="366">
        <v>2015</v>
      </c>
      <c r="Q245" s="367">
        <f>LARGE($CB$153:$CB$302,93)</f>
        <v>30</v>
      </c>
      <c r="R245" s="357">
        <f t="shared" si="100"/>
        <v>-134.6</v>
      </c>
      <c r="S245" s="356">
        <f t="shared" si="99"/>
        <v>18117.16</v>
      </c>
      <c r="U245" s="356">
        <f t="shared" si="101"/>
        <v>-8.4124999999999996</v>
      </c>
      <c r="V245" s="238">
        <f t="shared" si="97"/>
        <v>8</v>
      </c>
      <c r="W245" s="354"/>
      <c r="X245" s="371"/>
      <c r="Y245" s="371"/>
      <c r="Z245" s="321">
        <v>2015</v>
      </c>
      <c r="AA245" s="367">
        <f>LARGE($CU$153:$CU$302,93)</f>
        <v>76.7</v>
      </c>
      <c r="AB245" s="357">
        <f t="shared" si="102"/>
        <v>-146.43333333333334</v>
      </c>
      <c r="AC245" s="356">
        <f t="shared" si="96"/>
        <v>21442.721111111114</v>
      </c>
      <c r="AD245" s="356"/>
      <c r="AE245" s="356">
        <f t="shared" si="103"/>
        <v>-9.1520833333333336</v>
      </c>
      <c r="AF245" s="238">
        <f t="shared" si="98"/>
        <v>8</v>
      </c>
      <c r="AG245" s="354"/>
      <c r="AK245"/>
      <c r="AL245"/>
      <c r="AM245"/>
      <c r="AN245"/>
      <c r="AO245"/>
      <c r="AP245"/>
      <c r="BI245" s="360"/>
      <c r="BJ245" s="354"/>
      <c r="BK245" s="366">
        <v>2015</v>
      </c>
      <c r="BL245" s="365" t="s">
        <v>1239</v>
      </c>
      <c r="BM245" s="366" t="s">
        <v>153</v>
      </c>
      <c r="BN245" s="366" t="s">
        <v>3</v>
      </c>
      <c r="BO245" s="366">
        <v>0</v>
      </c>
      <c r="BP245" s="366">
        <v>0</v>
      </c>
      <c r="BQ245" s="366">
        <v>0</v>
      </c>
      <c r="BR245" s="366">
        <v>142</v>
      </c>
      <c r="BS245" s="366">
        <v>1</v>
      </c>
      <c r="BT245" s="366">
        <v>2</v>
      </c>
      <c r="BU245" s="366">
        <v>16</v>
      </c>
      <c r="BV245" s="366">
        <v>0</v>
      </c>
      <c r="BW245" s="366">
        <v>0</v>
      </c>
      <c r="BX245" s="366">
        <v>0</v>
      </c>
      <c r="BY245" s="366">
        <v>126</v>
      </c>
      <c r="BZ245" s="366">
        <v>0</v>
      </c>
      <c r="CA245" s="366">
        <v>1</v>
      </c>
      <c r="CB245" s="367">
        <f>IFERROR(BO245/Instructions!$J$25,0)+BP245*Instructions!$J$27+BQ245*Instructions!$J$29+IFERROR(BR245/Instructions!$E$34,0)+BS245*Instructions!$E$36+Tier!BT246*Instructions!$E$25+IFERROR(BU245/Instructions!$E$27,0)+BV245*Instructions!$E$29+IFERROR((BW245+BY245)/Instructions!$J$32,0)+(BX245+BZ245)*Instructions!$J$34+Tier!CA245*-2</f>
        <v>23.8</v>
      </c>
      <c r="CC245" s="354"/>
      <c r="CD245" s="321">
        <v>2015</v>
      </c>
      <c r="CE245" s="365" t="s">
        <v>193</v>
      </c>
      <c r="CF245" s="366" t="s">
        <v>1624</v>
      </c>
      <c r="CG245" s="366" t="s">
        <v>6</v>
      </c>
      <c r="CH245" s="366">
        <v>0</v>
      </c>
      <c r="CI245" s="366">
        <v>0</v>
      </c>
      <c r="CJ245" s="366">
        <v>0</v>
      </c>
      <c r="CK245" s="366">
        <v>0</v>
      </c>
      <c r="CL245" s="366">
        <v>0</v>
      </c>
      <c r="CM245" s="366">
        <v>50</v>
      </c>
      <c r="CN245" s="366">
        <v>483</v>
      </c>
      <c r="CO245" s="366">
        <v>1</v>
      </c>
      <c r="CP245" s="366">
        <v>0</v>
      </c>
      <c r="CQ245" s="366">
        <v>0</v>
      </c>
      <c r="CR245" s="366">
        <v>0</v>
      </c>
      <c r="CS245" s="366">
        <v>0</v>
      </c>
      <c r="CT245" s="366">
        <v>0</v>
      </c>
      <c r="CU245" s="367">
        <f>IFERROR(CH245/Instructions!$J$25,0)+CI245*Instructions!$J$27+CJ245*Instructions!$J$29+IFERROR(CK245/Instructions!$E$34,0)+CL245*Instructions!$E$36+Tier!CM245*Instructions!$E$25+IFERROR(CN245/Instructions!$E$27,0)+CO245*Instructions!$E$29+IFERROR((CP245+CR245)/Instructions!$J$32,0)+(CQ245+CS245)*Instructions!$J$34+Tier!CT245*-2</f>
        <v>104.3</v>
      </c>
      <c r="CV245" s="354"/>
      <c r="CW245"/>
      <c r="CX245"/>
      <c r="CY245"/>
      <c r="CZ245"/>
      <c r="DA245"/>
      <c r="DB245"/>
      <c r="DC245"/>
      <c r="DD245"/>
      <c r="DE245"/>
      <c r="DF245"/>
      <c r="DG245"/>
      <c r="DH245"/>
      <c r="DI245"/>
      <c r="DJ245"/>
      <c r="DK245"/>
      <c r="DL245"/>
      <c r="DM245"/>
      <c r="DN245"/>
    </row>
    <row r="246" spans="3:118" s="238" customFormat="1" ht="15.75" customHeight="1" x14ac:dyDescent="0.25">
      <c r="C246"/>
      <c r="D246"/>
      <c r="E246"/>
      <c r="F246"/>
      <c r="G246"/>
      <c r="H246"/>
      <c r="I246"/>
      <c r="J246"/>
      <c r="K246"/>
      <c r="L246"/>
      <c r="M246"/>
      <c r="N246"/>
      <c r="O246" s="372"/>
      <c r="P246" s="366">
        <v>2015</v>
      </c>
      <c r="Q246" s="367">
        <f>LARGE($CB$153:$CB$302,94)</f>
        <v>29.9</v>
      </c>
      <c r="R246" s="357">
        <f t="shared" si="100"/>
        <v>-134.69999999999999</v>
      </c>
      <c r="S246" s="356">
        <f t="shared" si="99"/>
        <v>18144.089999999997</v>
      </c>
      <c r="U246" s="356">
        <f t="shared" si="101"/>
        <v>-8.4187499999999993</v>
      </c>
      <c r="V246" s="238">
        <f t="shared" si="97"/>
        <v>8</v>
      </c>
      <c r="W246" s="354"/>
      <c r="X246" s="371"/>
      <c r="Y246" s="371"/>
      <c r="Z246" s="321">
        <v>2015</v>
      </c>
      <c r="AA246" s="367">
        <f>LARGE($CU$153:$CU$302,94)</f>
        <v>76.2</v>
      </c>
      <c r="AB246" s="357">
        <f t="shared" si="102"/>
        <v>-146.93333333333334</v>
      </c>
      <c r="AC246" s="356">
        <f t="shared" si="96"/>
        <v>21589.404444444444</v>
      </c>
      <c r="AD246" s="356"/>
      <c r="AE246" s="356">
        <f t="shared" si="103"/>
        <v>-9.1833333333333336</v>
      </c>
      <c r="AF246" s="238">
        <f t="shared" si="98"/>
        <v>8</v>
      </c>
      <c r="AG246" s="354"/>
      <c r="AK246"/>
      <c r="AL246"/>
      <c r="AM246"/>
      <c r="AN246"/>
      <c r="AO246"/>
      <c r="AP246"/>
      <c r="BI246" s="360"/>
      <c r="BJ246" s="354"/>
      <c r="BK246" s="366">
        <v>2015</v>
      </c>
      <c r="BL246" s="365" t="s">
        <v>100</v>
      </c>
      <c r="BM246" s="366" t="s">
        <v>1633</v>
      </c>
      <c r="BN246" s="366" t="s">
        <v>3</v>
      </c>
      <c r="BO246" s="366">
        <v>0</v>
      </c>
      <c r="BP246" s="366">
        <v>0</v>
      </c>
      <c r="BQ246" s="366">
        <v>0</v>
      </c>
      <c r="BR246" s="366">
        <v>231</v>
      </c>
      <c r="BS246" s="366">
        <v>0</v>
      </c>
      <c r="BT246" s="366">
        <v>4</v>
      </c>
      <c r="BU246" s="366">
        <v>21</v>
      </c>
      <c r="BV246" s="366">
        <v>0</v>
      </c>
      <c r="BW246" s="366">
        <v>0</v>
      </c>
      <c r="BX246" s="366">
        <v>0</v>
      </c>
      <c r="BY246" s="366">
        <v>0</v>
      </c>
      <c r="BZ246" s="366">
        <v>0</v>
      </c>
      <c r="CA246" s="366">
        <v>2</v>
      </c>
      <c r="CB246" s="367">
        <f>IFERROR(BO246/Instructions!$J$25,0)+BP246*Instructions!$J$27+BQ246*Instructions!$J$29+IFERROR(BR246/Instructions!$E$34,0)+BS246*Instructions!$E$36+Tier!BT247*Instructions!$E$25+IFERROR(BU246/Instructions!$E$27,0)+BV246*Instructions!$E$29+IFERROR((BW246+BY246)/Instructions!$J$32,0)+(BX246+BZ246)*Instructions!$J$34+Tier!CA246*-2</f>
        <v>24.200000000000003</v>
      </c>
      <c r="CC246" s="354"/>
      <c r="CD246" s="321">
        <v>2015</v>
      </c>
      <c r="CE246" s="365" t="s">
        <v>205</v>
      </c>
      <c r="CF246" s="366" t="s">
        <v>1628</v>
      </c>
      <c r="CG246" s="366" t="s">
        <v>6</v>
      </c>
      <c r="CH246" s="366">
        <v>0</v>
      </c>
      <c r="CI246" s="366">
        <v>0</v>
      </c>
      <c r="CJ246" s="366">
        <v>0</v>
      </c>
      <c r="CK246" s="366">
        <v>6</v>
      </c>
      <c r="CL246" s="366">
        <v>0</v>
      </c>
      <c r="CM246" s="366">
        <v>24</v>
      </c>
      <c r="CN246" s="366">
        <v>269</v>
      </c>
      <c r="CO246" s="366">
        <v>2</v>
      </c>
      <c r="CP246" s="366">
        <v>92</v>
      </c>
      <c r="CQ246" s="366">
        <v>0</v>
      </c>
      <c r="CR246" s="366">
        <v>257</v>
      </c>
      <c r="CS246" s="366">
        <v>0</v>
      </c>
      <c r="CT246" s="366">
        <v>0</v>
      </c>
      <c r="CU246" s="367">
        <f>IFERROR(CH246/Instructions!$J$25,0)+CI246*Instructions!$J$27+CJ246*Instructions!$J$29+IFERROR(CK246/Instructions!$E$34,0)+CL246*Instructions!$E$36+Tier!CM246*Instructions!$E$25+IFERROR(CN246/Instructions!$E$27,0)+CO246*Instructions!$E$29+IFERROR((CP246+CR246)/Instructions!$J$32,0)+(CQ246+CS246)*Instructions!$J$34+Tier!CT246*-2</f>
        <v>63.5</v>
      </c>
      <c r="CV246" s="354"/>
      <c r="CW246"/>
      <c r="CX246"/>
      <c r="CY246"/>
      <c r="CZ246"/>
      <c r="DA246"/>
      <c r="DB246"/>
      <c r="DC246"/>
      <c r="DD246"/>
      <c r="DE246"/>
      <c r="DF246"/>
      <c r="DG246"/>
      <c r="DH246"/>
      <c r="DI246"/>
      <c r="DJ246"/>
      <c r="DK246"/>
      <c r="DL246"/>
      <c r="DM246"/>
      <c r="DN246"/>
    </row>
    <row r="247" spans="3:118" s="238" customFormat="1" ht="15.75" customHeight="1" x14ac:dyDescent="0.25">
      <c r="C247"/>
      <c r="D247"/>
      <c r="E247"/>
      <c r="F247"/>
      <c r="G247"/>
      <c r="H247"/>
      <c r="I247"/>
      <c r="J247"/>
      <c r="K247"/>
      <c r="L247"/>
      <c r="M247"/>
      <c r="N247"/>
      <c r="O247" s="372"/>
      <c r="P247" s="366">
        <v>2015</v>
      </c>
      <c r="Q247" s="367">
        <f>LARGE($CB$153:$CB$302,95)</f>
        <v>28.200000000000003</v>
      </c>
      <c r="R247" s="357">
        <f t="shared" si="100"/>
        <v>-136.39999999999998</v>
      </c>
      <c r="S247" s="356">
        <f t="shared" si="99"/>
        <v>18604.959999999995</v>
      </c>
      <c r="U247" s="356">
        <f t="shared" si="101"/>
        <v>-8.5249999999999986</v>
      </c>
      <c r="V247" s="238">
        <f t="shared" si="97"/>
        <v>8</v>
      </c>
      <c r="W247" s="354"/>
      <c r="X247" s="371"/>
      <c r="Y247" s="371"/>
      <c r="Z247" s="321">
        <v>2015</v>
      </c>
      <c r="AA247" s="367">
        <f>LARGE($CU$153:$CU$302,95)</f>
        <v>75.900000000000006</v>
      </c>
      <c r="AB247" s="357">
        <f t="shared" si="102"/>
        <v>-147.23333333333332</v>
      </c>
      <c r="AC247" s="356">
        <f t="shared" si="96"/>
        <v>21677.654444444441</v>
      </c>
      <c r="AD247" s="356"/>
      <c r="AE247" s="356">
        <f t="shared" si="103"/>
        <v>-9.2020833333333325</v>
      </c>
      <c r="AF247" s="238">
        <f t="shared" si="98"/>
        <v>8</v>
      </c>
      <c r="AG247" s="354"/>
      <c r="AK247"/>
      <c r="AL247"/>
      <c r="AM247"/>
      <c r="AN247"/>
      <c r="AO247"/>
      <c r="AP247"/>
      <c r="BI247" s="360"/>
      <c r="BJ247" s="354"/>
      <c r="BK247" s="366">
        <v>2015</v>
      </c>
      <c r="BL247" s="365" t="s">
        <v>1283</v>
      </c>
      <c r="BM247" s="366" t="s">
        <v>154</v>
      </c>
      <c r="BN247" s="366" t="s">
        <v>3</v>
      </c>
      <c r="BO247" s="366">
        <v>0</v>
      </c>
      <c r="BP247" s="366">
        <v>0</v>
      </c>
      <c r="BQ247" s="366">
        <v>0</v>
      </c>
      <c r="BR247" s="366">
        <v>153</v>
      </c>
      <c r="BS247" s="366">
        <v>1</v>
      </c>
      <c r="BT247" s="366">
        <v>3</v>
      </c>
      <c r="BU247" s="366">
        <v>31</v>
      </c>
      <c r="BV247" s="366">
        <v>0</v>
      </c>
      <c r="BW247" s="366">
        <v>0</v>
      </c>
      <c r="BX247" s="366">
        <v>0</v>
      </c>
      <c r="BY247" s="366">
        <v>0</v>
      </c>
      <c r="BZ247" s="366">
        <v>0</v>
      </c>
      <c r="CA247" s="366">
        <v>0</v>
      </c>
      <c r="CB247" s="367">
        <f>IFERROR(BO247/Instructions!$J$25,0)+BP247*Instructions!$J$27+BQ247*Instructions!$J$29+IFERROR(BR247/Instructions!$E$34,0)+BS247*Instructions!$E$36+Tier!BT248*Instructions!$E$25+IFERROR(BU247/Instructions!$E$27,0)+BV247*Instructions!$E$29+IFERROR((BW247+BY247)/Instructions!$J$32,0)+(BX247+BZ247)*Instructions!$J$34+Tier!CA247*-2</f>
        <v>43.4</v>
      </c>
      <c r="CC247" s="354"/>
      <c r="CD247" s="321">
        <v>2015</v>
      </c>
      <c r="CE247" s="365" t="s">
        <v>132</v>
      </c>
      <c r="CF247" s="366" t="s">
        <v>1628</v>
      </c>
      <c r="CG247" s="366" t="s">
        <v>6</v>
      </c>
      <c r="CH247" s="366">
        <v>0</v>
      </c>
      <c r="CI247" s="366">
        <v>0</v>
      </c>
      <c r="CJ247" s="366">
        <v>0</v>
      </c>
      <c r="CK247" s="366">
        <v>9</v>
      </c>
      <c r="CL247" s="366">
        <v>0</v>
      </c>
      <c r="CM247" s="366">
        <v>37</v>
      </c>
      <c r="CN247" s="366">
        <v>515</v>
      </c>
      <c r="CO247" s="366">
        <v>0</v>
      </c>
      <c r="CP247" s="366">
        <v>0</v>
      </c>
      <c r="CQ247" s="366">
        <v>0</v>
      </c>
      <c r="CR247" s="366">
        <v>0</v>
      </c>
      <c r="CS247" s="366">
        <v>0</v>
      </c>
      <c r="CT247" s="366">
        <v>0</v>
      </c>
      <c r="CU247" s="367">
        <f>IFERROR(CH247/Instructions!$J$25,0)+CI247*Instructions!$J$27+CJ247*Instructions!$J$29+IFERROR(CK247/Instructions!$E$34,0)+CL247*Instructions!$E$36+Tier!CM247*Instructions!$E$25+IFERROR(CN247/Instructions!$E$27,0)+CO247*Instructions!$E$29+IFERROR((CP247+CR247)/Instructions!$J$32,0)+(CQ247+CS247)*Instructions!$J$34+Tier!CT247*-2</f>
        <v>89.4</v>
      </c>
      <c r="CV247" s="354"/>
      <c r="CW247"/>
      <c r="CX247"/>
      <c r="CY247"/>
      <c r="CZ247"/>
      <c r="DA247"/>
      <c r="DB247"/>
      <c r="DC247"/>
      <c r="DD247"/>
      <c r="DE247"/>
      <c r="DF247"/>
      <c r="DG247"/>
      <c r="DH247"/>
      <c r="DI247"/>
      <c r="DJ247"/>
      <c r="DK247"/>
      <c r="DL247"/>
      <c r="DM247"/>
      <c r="DN247"/>
    </row>
    <row r="248" spans="3:118" s="238" customFormat="1" ht="15.75" customHeight="1" x14ac:dyDescent="0.25">
      <c r="C248"/>
      <c r="D248"/>
      <c r="E248"/>
      <c r="F248"/>
      <c r="G248"/>
      <c r="H248"/>
      <c r="I248"/>
      <c r="J248"/>
      <c r="K248"/>
      <c r="L248"/>
      <c r="M248"/>
      <c r="N248"/>
      <c r="O248" s="372"/>
      <c r="P248" s="366">
        <v>2015</v>
      </c>
      <c r="Q248" s="367">
        <f>LARGE($CB$153:$CB$302,96)</f>
        <v>27.900000000000002</v>
      </c>
      <c r="R248" s="357">
        <f t="shared" si="100"/>
        <v>-136.69999999999999</v>
      </c>
      <c r="S248" s="356">
        <f t="shared" si="99"/>
        <v>18686.889999999996</v>
      </c>
      <c r="U248" s="356">
        <f t="shared" si="101"/>
        <v>-8.5437499999999993</v>
      </c>
      <c r="V248" s="238">
        <f t="shared" si="97"/>
        <v>8</v>
      </c>
      <c r="W248" s="354"/>
      <c r="X248" s="371"/>
      <c r="Y248" s="371"/>
      <c r="Z248" s="321">
        <v>2015</v>
      </c>
      <c r="AA248" s="367">
        <f>LARGE($CU$153:$CU$302,96)</f>
        <v>74.8</v>
      </c>
      <c r="AB248" s="357">
        <f t="shared" si="102"/>
        <v>-148.33333333333331</v>
      </c>
      <c r="AC248" s="356">
        <f t="shared" si="96"/>
        <v>22002.777777777774</v>
      </c>
      <c r="AD248" s="356"/>
      <c r="AE248" s="356">
        <f t="shared" si="103"/>
        <v>-9.2708333333333321</v>
      </c>
      <c r="AF248" s="238">
        <f t="shared" si="98"/>
        <v>8</v>
      </c>
      <c r="AG248" s="354"/>
      <c r="AK248"/>
      <c r="AL248"/>
      <c r="AM248"/>
      <c r="AN248"/>
      <c r="AO248"/>
      <c r="AP248"/>
      <c r="BI248" s="360"/>
      <c r="BJ248" s="354"/>
      <c r="BK248" s="366">
        <v>2015</v>
      </c>
      <c r="BL248" s="365" t="s">
        <v>987</v>
      </c>
      <c r="BM248" s="366" t="s">
        <v>138</v>
      </c>
      <c r="BN248" s="366" t="s">
        <v>3</v>
      </c>
      <c r="BO248" s="366">
        <v>0</v>
      </c>
      <c r="BP248" s="366">
        <v>0</v>
      </c>
      <c r="BQ248" s="366">
        <v>0</v>
      </c>
      <c r="BR248" s="366">
        <v>112</v>
      </c>
      <c r="BS248" s="366">
        <v>0</v>
      </c>
      <c r="BT248" s="366">
        <v>19</v>
      </c>
      <c r="BU248" s="366">
        <v>132</v>
      </c>
      <c r="BV248" s="366">
        <v>0</v>
      </c>
      <c r="BW248" s="366">
        <v>0</v>
      </c>
      <c r="BX248" s="366">
        <v>0</v>
      </c>
      <c r="BY248" s="366">
        <v>0</v>
      </c>
      <c r="BZ248" s="366">
        <v>0</v>
      </c>
      <c r="CA248" s="366">
        <v>0</v>
      </c>
      <c r="CB248" s="367">
        <f>IFERROR(BO248/Instructions!$J$25,0)+BP248*Instructions!$J$27+BQ248*Instructions!$J$29+IFERROR(BR248/Instructions!$E$34,0)+BS248*Instructions!$E$36+Tier!BT249*Instructions!$E$25+IFERROR(BU248/Instructions!$E$27,0)+BV248*Instructions!$E$29+IFERROR((BW248+BY248)/Instructions!$J$32,0)+(BX248+BZ248)*Instructions!$J$34+Tier!CA248*-2</f>
        <v>33.4</v>
      </c>
      <c r="CC248" s="354"/>
      <c r="CD248" s="321">
        <v>2015</v>
      </c>
      <c r="CE248" s="365" t="s">
        <v>198</v>
      </c>
      <c r="CF248" s="366" t="s">
        <v>141</v>
      </c>
      <c r="CG248" s="366" t="s">
        <v>6</v>
      </c>
      <c r="CH248" s="366">
        <v>0</v>
      </c>
      <c r="CI248" s="366">
        <v>0</v>
      </c>
      <c r="CJ248" s="366">
        <v>0</v>
      </c>
      <c r="CK248" s="366">
        <v>0</v>
      </c>
      <c r="CL248" s="366">
        <v>0</v>
      </c>
      <c r="CM248" s="366">
        <v>28</v>
      </c>
      <c r="CN248" s="366">
        <v>464</v>
      </c>
      <c r="CO248" s="366">
        <v>1</v>
      </c>
      <c r="CP248" s="366">
        <v>0</v>
      </c>
      <c r="CQ248" s="366">
        <v>0</v>
      </c>
      <c r="CR248" s="366">
        <v>0</v>
      </c>
      <c r="CS248" s="366">
        <v>0</v>
      </c>
      <c r="CT248" s="366">
        <v>0</v>
      </c>
      <c r="CU248" s="367">
        <f>IFERROR(CH248/Instructions!$J$25,0)+CI248*Instructions!$J$27+CJ248*Instructions!$J$29+IFERROR(CK248/Instructions!$E$34,0)+CL248*Instructions!$E$36+Tier!CM248*Instructions!$E$25+IFERROR(CN248/Instructions!$E$27,0)+CO248*Instructions!$E$29+IFERROR((CP248+CR248)/Instructions!$J$32,0)+(CQ248+CS248)*Instructions!$J$34+Tier!CT248*-2</f>
        <v>80.400000000000006</v>
      </c>
      <c r="CV248" s="354"/>
      <c r="CW248"/>
      <c r="CX248"/>
      <c r="CY248"/>
      <c r="CZ248"/>
      <c r="DA248"/>
      <c r="DB248"/>
      <c r="DC248"/>
      <c r="DD248"/>
      <c r="DE248"/>
      <c r="DF248"/>
      <c r="DG248"/>
      <c r="DH248"/>
      <c r="DI248"/>
      <c r="DJ248"/>
      <c r="DK248"/>
      <c r="DL248"/>
      <c r="DM248"/>
      <c r="DN248"/>
    </row>
    <row r="249" spans="3:118" s="238" customFormat="1" ht="15.75" customHeight="1" x14ac:dyDescent="0.25">
      <c r="C249"/>
      <c r="D249"/>
      <c r="E249"/>
      <c r="F249"/>
      <c r="G249"/>
      <c r="H249"/>
      <c r="I249"/>
      <c r="J249"/>
      <c r="K249"/>
      <c r="L249"/>
      <c r="M249"/>
      <c r="N249"/>
      <c r="O249" s="372"/>
      <c r="P249" s="366">
        <v>2015</v>
      </c>
      <c r="Q249" s="367">
        <f>LARGE($CB$153:$CB$302,97)</f>
        <v>26.700000000000003</v>
      </c>
      <c r="R249" s="357">
        <f t="shared" si="100"/>
        <v>-137.89999999999998</v>
      </c>
      <c r="S249" s="356">
        <f t="shared" si="99"/>
        <v>19016.409999999993</v>
      </c>
      <c r="U249" s="356">
        <f t="shared" si="101"/>
        <v>-8.6187499999999986</v>
      </c>
      <c r="V249" s="238">
        <f t="shared" si="97"/>
        <v>8</v>
      </c>
      <c r="W249" s="354"/>
      <c r="X249" s="371"/>
      <c r="Y249" s="371"/>
      <c r="Z249" s="321">
        <v>2015</v>
      </c>
      <c r="AA249" s="367">
        <f>LARGE($CU$153:$CU$302,97)</f>
        <v>68</v>
      </c>
      <c r="AB249" s="357">
        <f t="shared" si="102"/>
        <v>-155.13333333333333</v>
      </c>
      <c r="AC249" s="356">
        <f t="shared" si="96"/>
        <v>24066.351111111107</v>
      </c>
      <c r="AD249" s="356"/>
      <c r="AE249" s="356">
        <f t="shared" si="103"/>
        <v>-9.6958333333333329</v>
      </c>
      <c r="AF249" s="238">
        <f t="shared" si="98"/>
        <v>8</v>
      </c>
      <c r="AG249" s="354"/>
      <c r="AK249"/>
      <c r="AL249"/>
      <c r="AM249"/>
      <c r="AN249"/>
      <c r="AO249"/>
      <c r="AP249"/>
      <c r="BI249" s="360"/>
      <c r="BJ249" s="354"/>
      <c r="BK249" s="366">
        <v>2015</v>
      </c>
      <c r="BL249" s="365" t="s">
        <v>1236</v>
      </c>
      <c r="BM249" s="366" t="s">
        <v>167</v>
      </c>
      <c r="BN249" s="366" t="s">
        <v>3</v>
      </c>
      <c r="BO249" s="366">
        <v>0</v>
      </c>
      <c r="BP249" s="366">
        <v>0</v>
      </c>
      <c r="BQ249" s="366">
        <v>0</v>
      </c>
      <c r="BR249" s="366">
        <v>110</v>
      </c>
      <c r="BS249" s="366">
        <v>1</v>
      </c>
      <c r="BT249" s="366">
        <v>9</v>
      </c>
      <c r="BU249" s="366">
        <v>84</v>
      </c>
      <c r="BV249" s="366">
        <v>0</v>
      </c>
      <c r="BW249" s="366">
        <v>0</v>
      </c>
      <c r="BX249" s="366">
        <v>0</v>
      </c>
      <c r="BY249" s="366">
        <v>0</v>
      </c>
      <c r="BZ249" s="366">
        <v>0</v>
      </c>
      <c r="CA249" s="366">
        <v>0</v>
      </c>
      <c r="CB249" s="367">
        <f>IFERROR(BO249/Instructions!$J$25,0)+BP249*Instructions!$J$27+BQ249*Instructions!$J$29+IFERROR(BR249/Instructions!$E$34,0)+BS249*Instructions!$E$36+Tier!BT250*Instructions!$E$25+IFERROR(BU249/Instructions!$E$27,0)+BV249*Instructions!$E$29+IFERROR((BW249+BY249)/Instructions!$J$32,0)+(BX249+BZ249)*Instructions!$J$34+Tier!CA249*-2</f>
        <v>38.4</v>
      </c>
      <c r="CC249" s="354"/>
      <c r="CD249" s="321">
        <v>2015</v>
      </c>
      <c r="CE249" s="365" t="s">
        <v>216</v>
      </c>
      <c r="CF249" s="366" t="s">
        <v>1630</v>
      </c>
      <c r="CG249" s="366" t="s">
        <v>6</v>
      </c>
      <c r="CH249" s="366">
        <v>0</v>
      </c>
      <c r="CI249" s="366">
        <v>0</v>
      </c>
      <c r="CJ249" s="366">
        <v>0</v>
      </c>
      <c r="CK249" s="366">
        <v>5</v>
      </c>
      <c r="CL249" s="366">
        <v>0</v>
      </c>
      <c r="CM249" s="366">
        <v>30</v>
      </c>
      <c r="CN249" s="366">
        <v>394</v>
      </c>
      <c r="CO249" s="366">
        <v>1</v>
      </c>
      <c r="CP249" s="366">
        <v>0</v>
      </c>
      <c r="CQ249" s="366">
        <v>0</v>
      </c>
      <c r="CR249" s="366">
        <v>157</v>
      </c>
      <c r="CS249" s="366">
        <v>0</v>
      </c>
      <c r="CT249" s="366">
        <v>0</v>
      </c>
      <c r="CU249" s="367">
        <f>IFERROR(CH249/Instructions!$J$25,0)+CI249*Instructions!$J$27+CJ249*Instructions!$J$29+IFERROR(CK249/Instructions!$E$34,0)+CL249*Instructions!$E$36+Tier!CM249*Instructions!$E$25+IFERROR(CN249/Instructions!$E$27,0)+CO249*Instructions!$E$29+IFERROR((CP249+CR249)/Instructions!$J$32,0)+(CQ249+CS249)*Instructions!$J$34+Tier!CT249*-2</f>
        <v>75.900000000000006</v>
      </c>
      <c r="CV249" s="354"/>
      <c r="CW249"/>
      <c r="CX249"/>
      <c r="CY249"/>
      <c r="CZ249"/>
      <c r="DA249"/>
      <c r="DB249"/>
      <c r="DC249"/>
      <c r="DD249"/>
      <c r="DE249"/>
      <c r="DF249"/>
      <c r="DG249"/>
      <c r="DH249"/>
      <c r="DI249"/>
      <c r="DJ249"/>
      <c r="DK249"/>
      <c r="DL249"/>
      <c r="DM249"/>
      <c r="DN249"/>
    </row>
    <row r="250" spans="3:118" s="238" customFormat="1" ht="15.75" customHeight="1" x14ac:dyDescent="0.25">
      <c r="C250"/>
      <c r="D250"/>
      <c r="E250"/>
      <c r="F250"/>
      <c r="G250"/>
      <c r="H250"/>
      <c r="I250"/>
      <c r="J250"/>
      <c r="K250"/>
      <c r="L250"/>
      <c r="M250"/>
      <c r="N250"/>
      <c r="O250" s="372"/>
      <c r="P250" s="366">
        <v>2015</v>
      </c>
      <c r="Q250" s="367">
        <f>LARGE($CB$153:$CB$302,98)</f>
        <v>26.1</v>
      </c>
      <c r="R250" s="357">
        <f t="shared" si="100"/>
        <v>-138.5</v>
      </c>
      <c r="S250" s="356">
        <f t="shared" si="99"/>
        <v>19182.25</v>
      </c>
      <c r="U250" s="356">
        <f t="shared" si="101"/>
        <v>-8.65625</v>
      </c>
      <c r="V250" s="238">
        <f t="shared" si="97"/>
        <v>8</v>
      </c>
      <c r="W250" s="354"/>
      <c r="X250" s="371"/>
      <c r="Y250" s="371"/>
      <c r="Z250" s="321">
        <v>2015</v>
      </c>
      <c r="AA250" s="367">
        <f>LARGE($CU$153:$CU$302,98)</f>
        <v>67.3</v>
      </c>
      <c r="AB250" s="357">
        <f t="shared" si="102"/>
        <v>-155.83333333333331</v>
      </c>
      <c r="AC250" s="356">
        <f t="shared" si="96"/>
        <v>24284.02777777777</v>
      </c>
      <c r="AD250" s="356"/>
      <c r="AE250" s="356">
        <f t="shared" si="103"/>
        <v>-9.7395833333333321</v>
      </c>
      <c r="AF250" s="238">
        <f t="shared" si="98"/>
        <v>8</v>
      </c>
      <c r="AG250" s="354"/>
      <c r="AK250"/>
      <c r="AL250"/>
      <c r="AM250"/>
      <c r="AN250"/>
      <c r="AO250"/>
      <c r="AP250"/>
      <c r="BI250" s="360"/>
      <c r="BJ250" s="354"/>
      <c r="BK250" s="366">
        <v>2015</v>
      </c>
      <c r="BL250" s="365" t="s">
        <v>1234</v>
      </c>
      <c r="BM250" s="366" t="s">
        <v>148</v>
      </c>
      <c r="BN250" s="366" t="s">
        <v>3</v>
      </c>
      <c r="BO250" s="366">
        <v>0</v>
      </c>
      <c r="BP250" s="366">
        <v>0</v>
      </c>
      <c r="BQ250" s="366">
        <v>0</v>
      </c>
      <c r="BR250" s="366">
        <v>0</v>
      </c>
      <c r="BS250" s="366">
        <v>0</v>
      </c>
      <c r="BT250" s="366">
        <v>13</v>
      </c>
      <c r="BU250" s="366">
        <v>110</v>
      </c>
      <c r="BV250" s="366">
        <v>2</v>
      </c>
      <c r="BW250" s="366">
        <v>0</v>
      </c>
      <c r="BX250" s="366">
        <v>0</v>
      </c>
      <c r="BY250" s="366">
        <v>19</v>
      </c>
      <c r="BZ250" s="366">
        <v>0</v>
      </c>
      <c r="CA250" s="366">
        <v>0</v>
      </c>
      <c r="CB250" s="367">
        <f>IFERROR(BO250/Instructions!$J$25,0)+BP250*Instructions!$J$27+BQ250*Instructions!$J$29+IFERROR(BR250/Instructions!$E$34,0)+BS250*Instructions!$E$36+Tier!BT251*Instructions!$E$25+IFERROR(BU250/Instructions!$E$27,0)+BV250*Instructions!$E$29+IFERROR((BW250+BY250)/Instructions!$J$32,0)+(BX250+BZ250)*Instructions!$J$34+Tier!CA250*-2</f>
        <v>30</v>
      </c>
      <c r="CC250" s="354"/>
      <c r="CD250" s="321">
        <v>2015</v>
      </c>
      <c r="CE250" s="365" t="s">
        <v>1605</v>
      </c>
      <c r="CF250" s="366" t="s">
        <v>1613</v>
      </c>
      <c r="CG250" s="366" t="s">
        <v>6</v>
      </c>
      <c r="CH250" s="366">
        <v>0</v>
      </c>
      <c r="CI250" s="366">
        <v>0</v>
      </c>
      <c r="CJ250" s="366">
        <v>0</v>
      </c>
      <c r="CK250" s="366">
        <v>266</v>
      </c>
      <c r="CL250" s="366">
        <v>1</v>
      </c>
      <c r="CM250" s="366">
        <v>21</v>
      </c>
      <c r="CN250" s="366">
        <v>164</v>
      </c>
      <c r="CO250" s="366">
        <v>0</v>
      </c>
      <c r="CP250" s="366">
        <v>0</v>
      </c>
      <c r="CQ250" s="366">
        <v>0</v>
      </c>
      <c r="CR250" s="366">
        <v>54</v>
      </c>
      <c r="CS250" s="366">
        <v>0</v>
      </c>
      <c r="CT250" s="366">
        <v>1</v>
      </c>
      <c r="CU250" s="367">
        <f>IFERROR(CH250/Instructions!$J$25,0)+CI250*Instructions!$J$27+CJ250*Instructions!$J$29+IFERROR(CK250/Instructions!$E$34,0)+CL250*Instructions!$E$36+Tier!CM250*Instructions!$E$25+IFERROR(CN250/Instructions!$E$27,0)+CO250*Instructions!$E$29+IFERROR((CP250+CR250)/Instructions!$J$32,0)+(CQ250+CS250)*Instructions!$J$34+Tier!CT250*-2</f>
        <v>68</v>
      </c>
      <c r="CV250" s="354"/>
      <c r="CW250"/>
      <c r="CX250"/>
      <c r="CY250"/>
      <c r="CZ250"/>
      <c r="DA250"/>
      <c r="DB250"/>
      <c r="DC250"/>
      <c r="DD250"/>
      <c r="DE250"/>
      <c r="DF250"/>
      <c r="DG250"/>
      <c r="DH250"/>
      <c r="DI250"/>
      <c r="DJ250"/>
      <c r="DK250"/>
      <c r="DL250"/>
      <c r="DM250"/>
      <c r="DN250"/>
    </row>
    <row r="251" spans="3:118" s="238" customFormat="1" ht="15.75" customHeight="1" x14ac:dyDescent="0.25">
      <c r="C251"/>
      <c r="D251"/>
      <c r="E251"/>
      <c r="F251"/>
      <c r="G251"/>
      <c r="H251"/>
      <c r="I251"/>
      <c r="J251"/>
      <c r="K251"/>
      <c r="L251"/>
      <c r="M251"/>
      <c r="N251"/>
      <c r="O251" s="372"/>
      <c r="P251" s="366">
        <v>2015</v>
      </c>
      <c r="Q251" s="367">
        <f>LARGE($CB$153:$CB$302,99)</f>
        <v>25.400000000000002</v>
      </c>
      <c r="R251" s="357">
        <f t="shared" si="100"/>
        <v>-139.19999999999999</v>
      </c>
      <c r="S251" s="356">
        <f t="shared" si="99"/>
        <v>19376.639999999996</v>
      </c>
      <c r="U251" s="356">
        <f t="shared" si="101"/>
        <v>-8.6999999999999993</v>
      </c>
      <c r="V251" s="238">
        <f t="shared" si="97"/>
        <v>8</v>
      </c>
      <c r="W251" s="354"/>
      <c r="X251" s="371"/>
      <c r="Y251" s="371"/>
      <c r="Z251" s="321">
        <v>2015</v>
      </c>
      <c r="AA251" s="367">
        <f>LARGE($CU$153:$CU$302,99)</f>
        <v>66.7</v>
      </c>
      <c r="AB251" s="357">
        <f t="shared" si="102"/>
        <v>-156.43333333333334</v>
      </c>
      <c r="AC251" s="356">
        <f t="shared" si="96"/>
        <v>24471.387777777778</v>
      </c>
      <c r="AD251" s="356"/>
      <c r="AE251" s="356">
        <f t="shared" si="103"/>
        <v>-9.7770833333333336</v>
      </c>
      <c r="AF251" s="238">
        <f t="shared" si="98"/>
        <v>8</v>
      </c>
      <c r="AG251" s="354"/>
      <c r="AK251"/>
      <c r="AL251"/>
      <c r="AM251"/>
      <c r="AN251"/>
      <c r="AO251"/>
      <c r="AP251"/>
      <c r="BI251" s="360"/>
      <c r="BJ251" s="354"/>
      <c r="BK251" s="366">
        <v>2015</v>
      </c>
      <c r="BL251" s="365" t="s">
        <v>1654</v>
      </c>
      <c r="BM251" s="366" t="s">
        <v>1633</v>
      </c>
      <c r="BN251" s="366" t="s">
        <v>3</v>
      </c>
      <c r="BO251" s="366">
        <v>0</v>
      </c>
      <c r="BP251" s="366">
        <v>0</v>
      </c>
      <c r="BQ251" s="366">
        <v>0</v>
      </c>
      <c r="BR251" s="366">
        <v>176</v>
      </c>
      <c r="BS251" s="366">
        <v>0</v>
      </c>
      <c r="BT251" s="366">
        <v>7</v>
      </c>
      <c r="BU251" s="366">
        <v>76</v>
      </c>
      <c r="BV251" s="366">
        <v>0</v>
      </c>
      <c r="BW251" s="366">
        <v>0</v>
      </c>
      <c r="BX251" s="366">
        <v>0</v>
      </c>
      <c r="BY251" s="366">
        <v>0</v>
      </c>
      <c r="BZ251" s="366">
        <v>0</v>
      </c>
      <c r="CA251" s="366">
        <v>0</v>
      </c>
      <c r="CB251" s="367">
        <f>IFERROR(BO251/Instructions!$J$25,0)+BP251*Instructions!$J$27+BQ251*Instructions!$J$29+IFERROR(BR251/Instructions!$E$34,0)+BS251*Instructions!$E$36+Tier!BT252*Instructions!$E$25+IFERROR(BU251/Instructions!$E$27,0)+BV251*Instructions!$E$29+IFERROR((BW251+BY251)/Instructions!$J$32,0)+(BX251+BZ251)*Instructions!$J$34+Tier!CA251*-2</f>
        <v>34.200000000000003</v>
      </c>
      <c r="CC251" s="354"/>
      <c r="CD251" s="321">
        <v>2015</v>
      </c>
      <c r="CE251" s="365" t="s">
        <v>1677</v>
      </c>
      <c r="CF251" s="366" t="s">
        <v>1652</v>
      </c>
      <c r="CG251" s="366" t="s">
        <v>6</v>
      </c>
      <c r="CH251" s="366">
        <v>0</v>
      </c>
      <c r="CI251" s="366">
        <v>0</v>
      </c>
      <c r="CJ251" s="366">
        <v>0</v>
      </c>
      <c r="CK251" s="366">
        <v>0</v>
      </c>
      <c r="CL251" s="366">
        <v>0</v>
      </c>
      <c r="CM251" s="366">
        <v>26</v>
      </c>
      <c r="CN251" s="366">
        <v>327</v>
      </c>
      <c r="CO251" s="366">
        <v>3</v>
      </c>
      <c r="CP251" s="366">
        <v>0</v>
      </c>
      <c r="CQ251" s="366">
        <v>0</v>
      </c>
      <c r="CR251" s="366">
        <v>0</v>
      </c>
      <c r="CS251" s="366">
        <v>0</v>
      </c>
      <c r="CT251" s="366">
        <v>0</v>
      </c>
      <c r="CU251" s="367">
        <f>IFERROR(CH251/Instructions!$J$25,0)+CI251*Instructions!$J$27+CJ251*Instructions!$J$29+IFERROR(CK251/Instructions!$E$34,0)+CL251*Instructions!$E$36+Tier!CM251*Instructions!$E$25+IFERROR(CN251/Instructions!$E$27,0)+CO251*Instructions!$E$29+IFERROR((CP251+CR251)/Instructions!$J$32,0)+(CQ251+CS251)*Instructions!$J$34+Tier!CT251*-2</f>
        <v>76.7</v>
      </c>
      <c r="CV251" s="354"/>
      <c r="CW251"/>
      <c r="CX251"/>
      <c r="CY251"/>
      <c r="CZ251"/>
      <c r="DA251"/>
      <c r="DB251"/>
      <c r="DC251"/>
      <c r="DD251"/>
      <c r="DE251"/>
      <c r="DF251"/>
      <c r="DG251"/>
      <c r="DH251"/>
      <c r="DI251"/>
      <c r="DJ251"/>
      <c r="DK251"/>
      <c r="DL251"/>
      <c r="DM251"/>
      <c r="DN251"/>
    </row>
    <row r="252" spans="3:118" s="238" customFormat="1" ht="15.75" customHeight="1" x14ac:dyDescent="0.25">
      <c r="C252"/>
      <c r="D252"/>
      <c r="E252"/>
      <c r="F252"/>
      <c r="G252"/>
      <c r="H252"/>
      <c r="I252"/>
      <c r="J252"/>
      <c r="K252"/>
      <c r="L252"/>
      <c r="M252"/>
      <c r="N252"/>
      <c r="O252" s="372"/>
      <c r="P252" s="366">
        <v>2015</v>
      </c>
      <c r="Q252" s="367">
        <f>LARGE($CB$153:$CB$302,100)</f>
        <v>24.799999999999997</v>
      </c>
      <c r="R252" s="357">
        <f t="shared" si="100"/>
        <v>-139.80000000000001</v>
      </c>
      <c r="S252" s="356">
        <f t="shared" si="99"/>
        <v>19544.040000000005</v>
      </c>
      <c r="U252" s="356">
        <f t="shared" si="101"/>
        <v>-8.7375000000000007</v>
      </c>
      <c r="V252" s="238">
        <f t="shared" si="97"/>
        <v>8</v>
      </c>
      <c r="W252" s="354"/>
      <c r="X252" s="371"/>
      <c r="Y252" s="371"/>
      <c r="Z252" s="321">
        <v>2015</v>
      </c>
      <c r="AA252" s="367">
        <f>LARGE($CU$153:$CU$302,100)</f>
        <v>65.7</v>
      </c>
      <c r="AB252" s="357">
        <f t="shared" si="102"/>
        <v>-157.43333333333334</v>
      </c>
      <c r="AC252" s="356">
        <f t="shared" si="96"/>
        <v>24785.254444444447</v>
      </c>
      <c r="AD252" s="356"/>
      <c r="AE252" s="356">
        <f t="shared" si="103"/>
        <v>-9.8395833333333336</v>
      </c>
      <c r="AF252" s="238">
        <f t="shared" si="98"/>
        <v>8</v>
      </c>
      <c r="AG252" s="354"/>
      <c r="AK252"/>
      <c r="AL252"/>
      <c r="AM252"/>
      <c r="AN252"/>
      <c r="AO252"/>
      <c r="AP252"/>
      <c r="BI252" s="360"/>
      <c r="BJ252" s="354"/>
      <c r="BK252" s="366">
        <v>2015</v>
      </c>
      <c r="BL252" s="365" t="s">
        <v>1282</v>
      </c>
      <c r="BM252" s="366" t="s">
        <v>148</v>
      </c>
      <c r="BN252" s="366" t="s">
        <v>3</v>
      </c>
      <c r="BO252" s="366">
        <v>0</v>
      </c>
      <c r="BP252" s="366">
        <v>0</v>
      </c>
      <c r="BQ252" s="366">
        <v>0</v>
      </c>
      <c r="BR252" s="366">
        <v>95</v>
      </c>
      <c r="BS252" s="366">
        <v>1</v>
      </c>
      <c r="BT252" s="366">
        <v>9</v>
      </c>
      <c r="BU252" s="366">
        <v>73</v>
      </c>
      <c r="BV252" s="366">
        <v>0</v>
      </c>
      <c r="BW252" s="366">
        <v>0</v>
      </c>
      <c r="BX252" s="366">
        <v>0</v>
      </c>
      <c r="BY252" s="366">
        <v>10</v>
      </c>
      <c r="BZ252" s="366">
        <v>0</v>
      </c>
      <c r="CA252" s="366">
        <v>0</v>
      </c>
      <c r="CB252" s="367">
        <f>IFERROR(BO252/Instructions!$J$25,0)+BP252*Instructions!$J$27+BQ252*Instructions!$J$29+IFERROR(BR252/Instructions!$E$34,0)+BS252*Instructions!$E$36+Tier!BT253*Instructions!$E$25+IFERROR(BU252/Instructions!$E$27,0)+BV252*Instructions!$E$29+IFERROR((BW252+BY252)/Instructions!$J$32,0)+(BX252+BZ252)*Instructions!$J$34+Tier!CA252*-2</f>
        <v>32.799999999999997</v>
      </c>
      <c r="CC252" s="354"/>
      <c r="CD252" s="321">
        <v>2015</v>
      </c>
      <c r="CE252" s="365" t="s">
        <v>1257</v>
      </c>
      <c r="CF252" s="366" t="s">
        <v>1613</v>
      </c>
      <c r="CG252" s="366" t="s">
        <v>6</v>
      </c>
      <c r="CH252" s="366">
        <v>0</v>
      </c>
      <c r="CI252" s="366">
        <v>0</v>
      </c>
      <c r="CJ252" s="366">
        <v>0</v>
      </c>
      <c r="CK252" s="366">
        <v>0</v>
      </c>
      <c r="CL252" s="366">
        <v>0</v>
      </c>
      <c r="CM252" s="366">
        <v>32</v>
      </c>
      <c r="CN252" s="366">
        <v>368</v>
      </c>
      <c r="CO252" s="366">
        <v>1</v>
      </c>
      <c r="CP252" s="366">
        <v>30</v>
      </c>
      <c r="CQ252" s="366">
        <v>0</v>
      </c>
      <c r="CR252" s="366">
        <v>80</v>
      </c>
      <c r="CS252" s="366">
        <v>0</v>
      </c>
      <c r="CT252" s="366">
        <v>0</v>
      </c>
      <c r="CU252" s="367">
        <f>IFERROR(CH252/Instructions!$J$25,0)+CI252*Instructions!$J$27+CJ252*Instructions!$J$29+IFERROR(CK252/Instructions!$E$34,0)+CL252*Instructions!$E$36+Tier!CM252*Instructions!$E$25+IFERROR(CN252/Instructions!$E$27,0)+CO252*Instructions!$E$29+IFERROR((CP252+CR252)/Instructions!$J$32,0)+(CQ252+CS252)*Instructions!$J$34+Tier!CT252*-2</f>
        <v>74.8</v>
      </c>
      <c r="CV252" s="354"/>
      <c r="CW252"/>
      <c r="CX252"/>
      <c r="CY252"/>
      <c r="CZ252"/>
      <c r="DA252"/>
      <c r="DB252"/>
      <c r="DC252"/>
      <c r="DD252"/>
      <c r="DE252"/>
      <c r="DF252"/>
      <c r="DG252"/>
      <c r="DH252"/>
      <c r="DI252"/>
      <c r="DJ252"/>
      <c r="DK252"/>
      <c r="DL252"/>
      <c r="DM252"/>
      <c r="DN252"/>
    </row>
    <row r="253" spans="3:118" s="238" customFormat="1" ht="15.75" customHeight="1" x14ac:dyDescent="0.25">
      <c r="C253"/>
      <c r="D253"/>
      <c r="E253"/>
      <c r="F253"/>
      <c r="G253"/>
      <c r="H253"/>
      <c r="I253"/>
      <c r="J253"/>
      <c r="K253"/>
      <c r="L253"/>
      <c r="M253"/>
      <c r="N253"/>
      <c r="O253" s="372"/>
      <c r="P253" s="366">
        <v>2015</v>
      </c>
      <c r="Q253" s="367">
        <f>LARGE($CB$153:$CB$302,101)</f>
        <v>24.200000000000003</v>
      </c>
      <c r="R253" s="357">
        <f t="shared" si="100"/>
        <v>-140.39999999999998</v>
      </c>
      <c r="S253" s="356">
        <f t="shared" si="99"/>
        <v>19712.159999999993</v>
      </c>
      <c r="T253" s="356"/>
      <c r="U253" s="356">
        <f t="shared" si="101"/>
        <v>-8.7749999999999986</v>
      </c>
      <c r="V253" s="238">
        <f t="shared" si="97"/>
        <v>8</v>
      </c>
      <c r="W253" s="354"/>
      <c r="X253" s="371"/>
      <c r="Y253" s="371"/>
      <c r="Z253" s="321">
        <v>2015</v>
      </c>
      <c r="AA253" s="367">
        <f>LARGE($CU$153:$CU$302,101)</f>
        <v>64.400000000000006</v>
      </c>
      <c r="AB253" s="357">
        <f t="shared" si="102"/>
        <v>-158.73333333333332</v>
      </c>
      <c r="AC253" s="356">
        <f t="shared" si="96"/>
        <v>25196.271111111106</v>
      </c>
      <c r="AD253" s="356"/>
      <c r="AE253" s="356">
        <f t="shared" si="103"/>
        <v>-9.9208333333333325</v>
      </c>
      <c r="AF253" s="238">
        <f t="shared" si="98"/>
        <v>8</v>
      </c>
      <c r="AG253" s="354"/>
      <c r="AK253"/>
      <c r="AL253"/>
      <c r="AM253"/>
      <c r="AN253"/>
      <c r="AO253"/>
      <c r="AP253"/>
      <c r="BI253" s="360"/>
      <c r="BJ253" s="354"/>
      <c r="BK253" s="366">
        <v>2015</v>
      </c>
      <c r="BL253" s="365" t="s">
        <v>1655</v>
      </c>
      <c r="BM253" s="366" t="s">
        <v>1630</v>
      </c>
      <c r="BN253" s="366" t="s">
        <v>3</v>
      </c>
      <c r="BO253" s="366">
        <v>0</v>
      </c>
      <c r="BP253" s="366">
        <v>0</v>
      </c>
      <c r="BQ253" s="366">
        <v>0</v>
      </c>
      <c r="BR253" s="366">
        <v>14</v>
      </c>
      <c r="BS253" s="366">
        <v>1</v>
      </c>
      <c r="BT253" s="366">
        <v>10</v>
      </c>
      <c r="BU253" s="366">
        <v>135</v>
      </c>
      <c r="BV253" s="366">
        <v>0</v>
      </c>
      <c r="BW253" s="366">
        <v>0</v>
      </c>
      <c r="BX253" s="366">
        <v>0</v>
      </c>
      <c r="BY253" s="366">
        <v>3</v>
      </c>
      <c r="BZ253" s="366">
        <v>0</v>
      </c>
      <c r="CA253" s="366">
        <v>0</v>
      </c>
      <c r="CB253" s="367">
        <f>IFERROR(BO253/Instructions!$J$25,0)+BP253*Instructions!$J$27+BQ253*Instructions!$J$29+IFERROR(BR253/Instructions!$E$34,0)+BS253*Instructions!$E$36+Tier!BT254*Instructions!$E$25+IFERROR(BU253/Instructions!$E$27,0)+BV253*Instructions!$E$29+IFERROR((BW253+BY253)/Instructions!$J$32,0)+(BX253+BZ253)*Instructions!$J$34+Tier!CA253*-2</f>
        <v>29.9</v>
      </c>
      <c r="CC253" s="354"/>
      <c r="CD253" s="321">
        <v>2015</v>
      </c>
      <c r="CE253" s="365" t="s">
        <v>208</v>
      </c>
      <c r="CF253" s="366" t="s">
        <v>138</v>
      </c>
      <c r="CG253" s="366" t="s">
        <v>6</v>
      </c>
      <c r="CH253" s="366">
        <v>0</v>
      </c>
      <c r="CI253" s="366">
        <v>0</v>
      </c>
      <c r="CJ253" s="366">
        <v>0</v>
      </c>
      <c r="CK253" s="366">
        <v>29</v>
      </c>
      <c r="CL253" s="366">
        <v>0</v>
      </c>
      <c r="CM253" s="366">
        <v>34</v>
      </c>
      <c r="CN253" s="366">
        <v>442</v>
      </c>
      <c r="CO253" s="366">
        <v>0</v>
      </c>
      <c r="CP253" s="366">
        <v>0</v>
      </c>
      <c r="CQ253" s="366">
        <v>0</v>
      </c>
      <c r="CR253" s="366">
        <v>0</v>
      </c>
      <c r="CS253" s="366">
        <v>0</v>
      </c>
      <c r="CT253" s="366">
        <v>1</v>
      </c>
      <c r="CU253" s="367">
        <f>IFERROR(CH253/Instructions!$J$25,0)+CI253*Instructions!$J$27+CJ253*Instructions!$J$29+IFERROR(CK253/Instructions!$E$34,0)+CL253*Instructions!$E$36+Tier!CM253*Instructions!$E$25+IFERROR(CN253/Instructions!$E$27,0)+CO253*Instructions!$E$29+IFERROR((CP253+CR253)/Instructions!$J$32,0)+(CQ253+CS253)*Instructions!$J$34+Tier!CT253*-2</f>
        <v>79.099999999999994</v>
      </c>
      <c r="CV253" s="354"/>
      <c r="CW253"/>
      <c r="CX253"/>
      <c r="CY253"/>
      <c r="CZ253"/>
      <c r="DA253"/>
      <c r="DB253"/>
      <c r="DC253"/>
      <c r="DD253"/>
      <c r="DE253"/>
      <c r="DF253"/>
      <c r="DG253"/>
      <c r="DH253"/>
      <c r="DI253"/>
      <c r="DJ253"/>
      <c r="DK253"/>
      <c r="DL253"/>
      <c r="DM253"/>
      <c r="DN253"/>
    </row>
    <row r="254" spans="3:118" s="238" customFormat="1" ht="15.75" customHeight="1" x14ac:dyDescent="0.25">
      <c r="C254"/>
      <c r="D254"/>
      <c r="E254"/>
      <c r="F254"/>
      <c r="G254"/>
      <c r="H254"/>
      <c r="I254"/>
      <c r="J254"/>
      <c r="K254"/>
      <c r="L254"/>
      <c r="M254"/>
      <c r="N254"/>
      <c r="O254" s="372"/>
      <c r="P254" s="366">
        <v>2015</v>
      </c>
      <c r="Q254" s="367">
        <f>LARGE($CB$153:$CB$302,102)</f>
        <v>23.8</v>
      </c>
      <c r="R254" s="357">
        <f t="shared" si="100"/>
        <v>-140.79999999999998</v>
      </c>
      <c r="S254" s="356">
        <f t="shared" si="99"/>
        <v>19824.639999999996</v>
      </c>
      <c r="T254" s="356"/>
      <c r="U254" s="356">
        <f t="shared" si="101"/>
        <v>-8.7999999999999989</v>
      </c>
      <c r="V254" s="238">
        <f t="shared" si="97"/>
        <v>8</v>
      </c>
      <c r="W254" s="354"/>
      <c r="X254" s="371"/>
      <c r="Y254" s="371"/>
      <c r="Z254" s="321">
        <v>2015</v>
      </c>
      <c r="AA254" s="367">
        <f>LARGE($CU$153:$CU$302,102)</f>
        <v>63.5</v>
      </c>
      <c r="AB254" s="357">
        <f t="shared" si="102"/>
        <v>-159.63333333333333</v>
      </c>
      <c r="AC254" s="356">
        <f t="shared" si="96"/>
        <v>25482.801111111108</v>
      </c>
      <c r="AD254" s="356"/>
      <c r="AE254" s="356">
        <f t="shared" si="103"/>
        <v>-9.9770833333333329</v>
      </c>
      <c r="AF254" s="238">
        <f t="shared" si="98"/>
        <v>8</v>
      </c>
      <c r="AG254" s="354"/>
      <c r="AK254"/>
      <c r="AL254"/>
      <c r="AM254"/>
      <c r="AN254"/>
      <c r="AO254"/>
      <c r="AP254"/>
      <c r="BI254" s="360"/>
      <c r="BJ254" s="354"/>
      <c r="BK254" s="366">
        <v>2015</v>
      </c>
      <c r="BL254" s="365" t="s">
        <v>1656</v>
      </c>
      <c r="BM254" s="366" t="s">
        <v>167</v>
      </c>
      <c r="BN254" s="366" t="s">
        <v>3</v>
      </c>
      <c r="BO254" s="366">
        <v>0</v>
      </c>
      <c r="BP254" s="366">
        <v>0</v>
      </c>
      <c r="BQ254" s="366">
        <v>0</v>
      </c>
      <c r="BR254" s="366">
        <v>39</v>
      </c>
      <c r="BS254" s="366">
        <v>0</v>
      </c>
      <c r="BT254" s="366">
        <v>9</v>
      </c>
      <c r="BU254" s="366">
        <v>75</v>
      </c>
      <c r="BV254" s="366">
        <v>1</v>
      </c>
      <c r="BW254" s="366">
        <v>0</v>
      </c>
      <c r="BX254" s="366">
        <v>0</v>
      </c>
      <c r="BY254" s="366">
        <v>85</v>
      </c>
      <c r="BZ254" s="366">
        <v>0</v>
      </c>
      <c r="CA254" s="366">
        <v>0</v>
      </c>
      <c r="CB254" s="367">
        <f>IFERROR(BO254/Instructions!$J$25,0)+BP254*Instructions!$J$27+BQ254*Instructions!$J$29+IFERROR(BR254/Instructions!$E$34,0)+BS254*Instructions!$E$36+Tier!BT255*Instructions!$E$25+IFERROR(BU254/Instructions!$E$27,0)+BV254*Instructions!$E$29+IFERROR((BW254+BY254)/Instructions!$J$32,0)+(BX254+BZ254)*Instructions!$J$34+Tier!CA254*-2</f>
        <v>23.4</v>
      </c>
      <c r="CC254" s="354"/>
      <c r="CD254" s="321">
        <v>2015</v>
      </c>
      <c r="CE254" s="365" t="s">
        <v>215</v>
      </c>
      <c r="CF254" s="366" t="s">
        <v>1630</v>
      </c>
      <c r="CG254" s="366" t="s">
        <v>6</v>
      </c>
      <c r="CH254" s="366">
        <v>0</v>
      </c>
      <c r="CI254" s="366">
        <v>0</v>
      </c>
      <c r="CJ254" s="366">
        <v>0</v>
      </c>
      <c r="CK254" s="366">
        <v>7</v>
      </c>
      <c r="CL254" s="366">
        <v>0</v>
      </c>
      <c r="CM254" s="366">
        <v>13</v>
      </c>
      <c r="CN254" s="366">
        <v>153</v>
      </c>
      <c r="CO254" s="366">
        <v>0</v>
      </c>
      <c r="CP254" s="366">
        <v>137</v>
      </c>
      <c r="CQ254" s="366">
        <v>0</v>
      </c>
      <c r="CR254" s="366">
        <v>665</v>
      </c>
      <c r="CS254" s="366">
        <v>0</v>
      </c>
      <c r="CT254" s="366">
        <v>0</v>
      </c>
      <c r="CU254" s="367">
        <f>IFERROR(CH254/Instructions!$J$25,0)+CI254*Instructions!$J$27+CJ254*Instructions!$J$29+IFERROR(CK254/Instructions!$E$34,0)+CL254*Instructions!$E$36+Tier!CM254*Instructions!$E$25+IFERROR(CN254/Instructions!$E$27,0)+CO254*Instructions!$E$29+IFERROR((CP254+CR254)/Instructions!$J$32,0)+(CQ254+CS254)*Instructions!$J$34+Tier!CT254*-2</f>
        <v>29</v>
      </c>
      <c r="CV254" s="354"/>
      <c r="CW254"/>
      <c r="CX254"/>
      <c r="CY254"/>
      <c r="CZ254"/>
      <c r="DA254"/>
      <c r="DB254"/>
      <c r="DC254"/>
      <c r="DD254"/>
      <c r="DE254"/>
      <c r="DF254"/>
      <c r="DG254"/>
      <c r="DH254"/>
      <c r="DI254"/>
      <c r="DJ254"/>
      <c r="DK254"/>
      <c r="DL254"/>
      <c r="DM254"/>
      <c r="DN254"/>
    </row>
    <row r="255" spans="3:118" s="238" customFormat="1" ht="15.75" customHeight="1" x14ac:dyDescent="0.25">
      <c r="C255"/>
      <c r="D255"/>
      <c r="E255"/>
      <c r="F255"/>
      <c r="G255"/>
      <c r="H255"/>
      <c r="I255"/>
      <c r="J255"/>
      <c r="K255"/>
      <c r="L255"/>
      <c r="M255"/>
      <c r="N255"/>
      <c r="O255" s="372"/>
      <c r="P255" s="366">
        <v>2015</v>
      </c>
      <c r="Q255" s="367">
        <f>LARGE($CB$153:$CB$302,103)</f>
        <v>23.8</v>
      </c>
      <c r="R255" s="357">
        <f t="shared" si="100"/>
        <v>-140.79999999999998</v>
      </c>
      <c r="S255" s="356">
        <f t="shared" si="99"/>
        <v>19824.639999999996</v>
      </c>
      <c r="U255" s="356">
        <f t="shared" si="101"/>
        <v>-8.7999999999999989</v>
      </c>
      <c r="V255" s="238">
        <f t="shared" si="97"/>
        <v>8</v>
      </c>
      <c r="W255" s="354"/>
      <c r="X255" s="371"/>
      <c r="Y255" s="371"/>
      <c r="Z255" s="321">
        <v>2015</v>
      </c>
      <c r="AA255" s="367">
        <f>LARGE($CU$153:$CU$302,103)</f>
        <v>63.099999999999994</v>
      </c>
      <c r="AB255" s="357">
        <f t="shared" si="102"/>
        <v>-160.03333333333333</v>
      </c>
      <c r="AC255" s="356">
        <f t="shared" si="96"/>
        <v>25610.667777777777</v>
      </c>
      <c r="AD255" s="356"/>
      <c r="AE255" s="356">
        <f t="shared" si="103"/>
        <v>-10.002083333333333</v>
      </c>
      <c r="AF255" s="238">
        <f t="shared" si="98"/>
        <v>8</v>
      </c>
      <c r="AG255" s="354"/>
      <c r="AK255"/>
      <c r="AL255"/>
      <c r="AM255"/>
      <c r="AN255"/>
      <c r="AO255"/>
      <c r="AP255"/>
      <c r="BI255" s="360"/>
      <c r="BJ255" s="354"/>
      <c r="BK255" s="366">
        <v>2015</v>
      </c>
      <c r="BL255" s="365" t="s">
        <v>1304</v>
      </c>
      <c r="BM255" s="366" t="s">
        <v>1624</v>
      </c>
      <c r="BN255" s="366" t="s">
        <v>3</v>
      </c>
      <c r="BO255" s="366">
        <v>0</v>
      </c>
      <c r="BP255" s="366">
        <v>0</v>
      </c>
      <c r="BQ255" s="366">
        <v>0</v>
      </c>
      <c r="BR255" s="366">
        <v>28</v>
      </c>
      <c r="BS255" s="366">
        <v>2</v>
      </c>
      <c r="BT255" s="366">
        <v>6</v>
      </c>
      <c r="BU255" s="366">
        <v>56</v>
      </c>
      <c r="BV255" s="366">
        <v>0</v>
      </c>
      <c r="BW255" s="366">
        <v>0</v>
      </c>
      <c r="BX255" s="366">
        <v>0</v>
      </c>
      <c r="BY255" s="366">
        <v>9</v>
      </c>
      <c r="BZ255" s="366">
        <v>0</v>
      </c>
      <c r="CA255" s="366">
        <v>0</v>
      </c>
      <c r="CB255" s="367">
        <f>IFERROR(BO255/Instructions!$J$25,0)+BP255*Instructions!$J$27+BQ255*Instructions!$J$29+IFERROR(BR255/Instructions!$E$34,0)+BS255*Instructions!$E$36+Tier!BT256*Instructions!$E$25+IFERROR(BU255/Instructions!$E$27,0)+BV255*Instructions!$E$29+IFERROR((BW255+BY255)/Instructions!$J$32,0)+(BX255+BZ255)*Instructions!$J$34+Tier!CA255*-2</f>
        <v>21.4</v>
      </c>
      <c r="CC255" s="354"/>
      <c r="CD255" s="321">
        <v>2015</v>
      </c>
      <c r="CE255" s="365" t="s">
        <v>1678</v>
      </c>
      <c r="CF255" s="366" t="s">
        <v>137</v>
      </c>
      <c r="CG255" s="366" t="s">
        <v>6</v>
      </c>
      <c r="CH255" s="366">
        <v>0</v>
      </c>
      <c r="CI255" s="366">
        <v>0</v>
      </c>
      <c r="CJ255" s="366">
        <v>0</v>
      </c>
      <c r="CK255" s="366">
        <v>0</v>
      </c>
      <c r="CL255" s="366">
        <v>0</v>
      </c>
      <c r="CM255" s="366">
        <v>21</v>
      </c>
      <c r="CN255" s="366">
        <v>327</v>
      </c>
      <c r="CO255" s="366">
        <v>2</v>
      </c>
      <c r="CP255" s="366">
        <v>0</v>
      </c>
      <c r="CQ255" s="366">
        <v>0</v>
      </c>
      <c r="CR255" s="366">
        <v>28</v>
      </c>
      <c r="CS255" s="366">
        <v>0</v>
      </c>
      <c r="CT255" s="366">
        <v>0</v>
      </c>
      <c r="CU255" s="367">
        <f>IFERROR(CH255/Instructions!$J$25,0)+CI255*Instructions!$J$27+CJ255*Instructions!$J$29+IFERROR(CK255/Instructions!$E$34,0)+CL255*Instructions!$E$36+Tier!CM255*Instructions!$E$25+IFERROR(CN255/Instructions!$E$27,0)+CO255*Instructions!$E$29+IFERROR((CP255+CR255)/Instructions!$J$32,0)+(CQ255+CS255)*Instructions!$J$34+Tier!CT255*-2</f>
        <v>65.7</v>
      </c>
      <c r="CV255" s="354"/>
      <c r="CW255"/>
      <c r="CX255"/>
      <c r="CY255"/>
      <c r="CZ255"/>
      <c r="DA255"/>
      <c r="DB255"/>
      <c r="DC255"/>
      <c r="DD255"/>
      <c r="DE255"/>
      <c r="DF255"/>
      <c r="DG255"/>
      <c r="DH255"/>
      <c r="DI255"/>
      <c r="DJ255"/>
      <c r="DK255"/>
      <c r="DL255"/>
      <c r="DM255"/>
      <c r="DN255"/>
    </row>
    <row r="256" spans="3:118" s="238" customFormat="1" ht="15.75" customHeight="1" x14ac:dyDescent="0.25">
      <c r="C256"/>
      <c r="D256"/>
      <c r="E256"/>
      <c r="F256"/>
      <c r="G256"/>
      <c r="H256"/>
      <c r="I256"/>
      <c r="J256"/>
      <c r="K256"/>
      <c r="L256"/>
      <c r="M256"/>
      <c r="N256"/>
      <c r="O256" s="372"/>
      <c r="P256" s="366">
        <v>2015</v>
      </c>
      <c r="Q256" s="367">
        <f>LARGE($CB$153:$CB$302,104)</f>
        <v>23.599999999999998</v>
      </c>
      <c r="R256" s="357">
        <f t="shared" si="100"/>
        <v>-141</v>
      </c>
      <c r="S256" s="356">
        <f t="shared" si="99"/>
        <v>19881</v>
      </c>
      <c r="U256" s="356">
        <f t="shared" si="101"/>
        <v>-8.8125</v>
      </c>
      <c r="V256" s="238">
        <f t="shared" si="97"/>
        <v>8</v>
      </c>
      <c r="W256" s="354"/>
      <c r="X256" s="371"/>
      <c r="Y256" s="371"/>
      <c r="Z256" s="321">
        <v>2015</v>
      </c>
      <c r="AA256" s="367">
        <f>LARGE($CU$153:$CU$302,104)</f>
        <v>61.8</v>
      </c>
      <c r="AB256" s="357">
        <f t="shared" si="102"/>
        <v>-161.33333333333331</v>
      </c>
      <c r="AC256" s="356">
        <f t="shared" si="96"/>
        <v>26028.444444444438</v>
      </c>
      <c r="AD256" s="356"/>
      <c r="AE256" s="356">
        <f t="shared" si="103"/>
        <v>-10.083333333333332</v>
      </c>
      <c r="AF256" s="238">
        <f t="shared" si="98"/>
        <v>8</v>
      </c>
      <c r="AG256" s="354"/>
      <c r="AK256"/>
      <c r="AL256"/>
      <c r="AM256"/>
      <c r="AN256"/>
      <c r="AO256"/>
      <c r="AP256"/>
      <c r="BI256" s="360"/>
      <c r="BJ256" s="354"/>
      <c r="BK256" s="366">
        <v>2015</v>
      </c>
      <c r="BL256" s="365" t="s">
        <v>1135</v>
      </c>
      <c r="BM256" s="366" t="s">
        <v>163</v>
      </c>
      <c r="BN256" s="366" t="s">
        <v>3</v>
      </c>
      <c r="BO256" s="366">
        <v>0</v>
      </c>
      <c r="BP256" s="366">
        <v>0</v>
      </c>
      <c r="BQ256" s="366">
        <v>0</v>
      </c>
      <c r="BR256" s="366">
        <v>146</v>
      </c>
      <c r="BS256" s="366">
        <v>1</v>
      </c>
      <c r="BT256" s="366">
        <v>1</v>
      </c>
      <c r="BU256" s="366">
        <v>-2</v>
      </c>
      <c r="BV256" s="366">
        <v>0</v>
      </c>
      <c r="BW256" s="366">
        <v>0</v>
      </c>
      <c r="BX256" s="366">
        <v>0</v>
      </c>
      <c r="BY256" s="366">
        <v>0</v>
      </c>
      <c r="BZ256" s="366">
        <v>0</v>
      </c>
      <c r="CA256" s="366">
        <v>0</v>
      </c>
      <c r="CB256" s="367">
        <f>IFERROR(BO256/Instructions!$J$25,0)+BP256*Instructions!$J$27+BQ256*Instructions!$J$29+IFERROR(BR256/Instructions!$E$34,0)+BS256*Instructions!$E$36+Tier!BT257*Instructions!$E$25+IFERROR(BU256/Instructions!$E$27,0)+BV256*Instructions!$E$29+IFERROR((BW256+BY256)/Instructions!$J$32,0)+(BX256+BZ256)*Instructions!$J$34+Tier!CA256*-2</f>
        <v>25.400000000000002</v>
      </c>
      <c r="CC256" s="354"/>
      <c r="CD256" s="321">
        <v>2015</v>
      </c>
      <c r="CE256" s="365" t="s">
        <v>203</v>
      </c>
      <c r="CF256" s="366" t="s">
        <v>167</v>
      </c>
      <c r="CG256" s="366" t="s">
        <v>6</v>
      </c>
      <c r="CH256" s="366">
        <v>0</v>
      </c>
      <c r="CI256" s="366">
        <v>0</v>
      </c>
      <c r="CJ256" s="366">
        <v>0</v>
      </c>
      <c r="CK256" s="366">
        <v>0</v>
      </c>
      <c r="CL256" s="366">
        <v>0</v>
      </c>
      <c r="CM256" s="366">
        <v>14</v>
      </c>
      <c r="CN256" s="366">
        <v>201</v>
      </c>
      <c r="CO256" s="366">
        <v>4</v>
      </c>
      <c r="CP256" s="366">
        <v>0</v>
      </c>
      <c r="CQ256" s="366">
        <v>0</v>
      </c>
      <c r="CR256" s="366">
        <v>0</v>
      </c>
      <c r="CS256" s="366">
        <v>0</v>
      </c>
      <c r="CT256" s="366">
        <v>0</v>
      </c>
      <c r="CU256" s="367">
        <f>IFERROR(CH256/Instructions!$J$25,0)+CI256*Instructions!$J$27+CJ256*Instructions!$J$29+IFERROR(CK256/Instructions!$E$34,0)+CL256*Instructions!$E$36+Tier!CM256*Instructions!$E$25+IFERROR(CN256/Instructions!$E$27,0)+CO256*Instructions!$E$29+IFERROR((CP256+CR256)/Instructions!$J$32,0)+(CQ256+CS256)*Instructions!$J$34+Tier!CT256*-2</f>
        <v>58.1</v>
      </c>
      <c r="CV256" s="354"/>
      <c r="CW256"/>
      <c r="CX256"/>
      <c r="CY256"/>
      <c r="CZ256"/>
      <c r="DA256"/>
      <c r="DB256"/>
      <c r="DC256"/>
      <c r="DD256"/>
      <c r="DE256"/>
      <c r="DF256"/>
      <c r="DG256"/>
      <c r="DH256"/>
      <c r="DI256"/>
      <c r="DJ256"/>
      <c r="DK256"/>
      <c r="DL256"/>
      <c r="DM256"/>
      <c r="DN256"/>
    </row>
    <row r="257" spans="3:118" s="238" customFormat="1" ht="15.75" customHeight="1" x14ac:dyDescent="0.25">
      <c r="C257"/>
      <c r="D257"/>
      <c r="E257"/>
      <c r="F257"/>
      <c r="G257"/>
      <c r="H257"/>
      <c r="I257"/>
      <c r="J257"/>
      <c r="K257"/>
      <c r="L257"/>
      <c r="M257"/>
      <c r="N257"/>
      <c r="O257" s="372"/>
      <c r="P257" s="366">
        <v>2015</v>
      </c>
      <c r="Q257" s="367">
        <f>LARGE($CB$153:$CB$302,105)</f>
        <v>23.4</v>
      </c>
      <c r="R257" s="357">
        <f t="shared" si="100"/>
        <v>-141.19999999999999</v>
      </c>
      <c r="S257" s="356">
        <f t="shared" si="99"/>
        <v>19937.439999999995</v>
      </c>
      <c r="T257" s="356"/>
      <c r="U257" s="356">
        <f t="shared" si="101"/>
        <v>-8.8249999999999993</v>
      </c>
      <c r="V257" s="238">
        <f t="shared" si="97"/>
        <v>8</v>
      </c>
      <c r="W257" s="354"/>
      <c r="X257" s="371"/>
      <c r="Y257" s="371"/>
      <c r="Z257" s="321">
        <v>2015</v>
      </c>
      <c r="AA257" s="367">
        <f>LARGE($CU$153:$CU$302,105)</f>
        <v>59</v>
      </c>
      <c r="AB257" s="357">
        <f t="shared" si="102"/>
        <v>-164.13333333333333</v>
      </c>
      <c r="AC257" s="356">
        <f t="shared" si="96"/>
        <v>26939.751111111109</v>
      </c>
      <c r="AD257" s="356"/>
      <c r="AE257" s="356">
        <f t="shared" si="103"/>
        <v>-10.258333333333333</v>
      </c>
      <c r="AF257" s="238">
        <f t="shared" si="98"/>
        <v>8</v>
      </c>
      <c r="AG257" s="354"/>
      <c r="AK257"/>
      <c r="AL257"/>
      <c r="AM257"/>
      <c r="AN257"/>
      <c r="AO257"/>
      <c r="AP257"/>
      <c r="BI257" s="360"/>
      <c r="BJ257" s="354"/>
      <c r="BK257" s="366">
        <v>2015</v>
      </c>
      <c r="BL257" s="365" t="s">
        <v>1285</v>
      </c>
      <c r="BM257" s="366" t="s">
        <v>163</v>
      </c>
      <c r="BN257" s="366" t="s">
        <v>3</v>
      </c>
      <c r="BO257" s="366">
        <v>0</v>
      </c>
      <c r="BP257" s="366">
        <v>0</v>
      </c>
      <c r="BQ257" s="366">
        <v>0</v>
      </c>
      <c r="BR257" s="366">
        <v>13</v>
      </c>
      <c r="BS257" s="366">
        <v>1</v>
      </c>
      <c r="BT257" s="366">
        <v>5</v>
      </c>
      <c r="BU257" s="366">
        <v>44</v>
      </c>
      <c r="BV257" s="366">
        <v>1</v>
      </c>
      <c r="BW257" s="366">
        <v>0</v>
      </c>
      <c r="BX257" s="366">
        <v>0</v>
      </c>
      <c r="BY257" s="366">
        <v>0</v>
      </c>
      <c r="BZ257" s="366">
        <v>0</v>
      </c>
      <c r="CA257" s="366">
        <v>0</v>
      </c>
      <c r="CB257" s="367">
        <f>IFERROR(BO257/Instructions!$J$25,0)+BP257*Instructions!$J$27+BQ257*Instructions!$J$29+IFERROR(BR257/Instructions!$E$34,0)+BS257*Instructions!$E$36+Tier!BT258*Instructions!$E$25+IFERROR(BU257/Instructions!$E$27,0)+BV257*Instructions!$E$29+IFERROR((BW257+BY257)/Instructions!$J$32,0)+(BX257+BZ257)*Instructions!$J$34+Tier!CA257*-2</f>
        <v>26.700000000000003</v>
      </c>
      <c r="CC257" s="354"/>
      <c r="CD257" s="321">
        <v>2015</v>
      </c>
      <c r="CE257" s="365" t="s">
        <v>1643</v>
      </c>
      <c r="CF257" s="366" t="s">
        <v>1629</v>
      </c>
      <c r="CG257" s="366" t="s">
        <v>6</v>
      </c>
      <c r="CH257" s="366">
        <v>0</v>
      </c>
      <c r="CI257" s="366">
        <v>0</v>
      </c>
      <c r="CJ257" s="366">
        <v>0</v>
      </c>
      <c r="CK257" s="366">
        <v>34</v>
      </c>
      <c r="CL257" s="366">
        <v>1</v>
      </c>
      <c r="CM257" s="366">
        <v>17</v>
      </c>
      <c r="CN257" s="366">
        <v>140</v>
      </c>
      <c r="CO257" s="366">
        <v>1</v>
      </c>
      <c r="CP257" s="366">
        <v>227</v>
      </c>
      <c r="CQ257" s="366">
        <v>0</v>
      </c>
      <c r="CR257" s="366">
        <v>138</v>
      </c>
      <c r="CS257" s="366">
        <v>0</v>
      </c>
      <c r="CT257" s="366">
        <v>0</v>
      </c>
      <c r="CU257" s="367">
        <f>IFERROR(CH257/Instructions!$J$25,0)+CI257*Instructions!$J$27+CJ257*Instructions!$J$29+IFERROR(CK257/Instructions!$E$34,0)+CL257*Instructions!$E$36+Tier!CM257*Instructions!$E$25+IFERROR(CN257/Instructions!$E$27,0)+CO257*Instructions!$E$29+IFERROR((CP257+CR257)/Instructions!$J$32,0)+(CQ257+CS257)*Instructions!$J$34+Tier!CT257*-2</f>
        <v>46.4</v>
      </c>
      <c r="CV257" s="354"/>
      <c r="CW257"/>
      <c r="CX257"/>
      <c r="CY257"/>
      <c r="CZ257"/>
      <c r="DA257"/>
      <c r="DB257"/>
      <c r="DC257"/>
      <c r="DD257"/>
      <c r="DE257"/>
      <c r="DF257"/>
      <c r="DG257"/>
      <c r="DH257"/>
      <c r="DI257"/>
      <c r="DJ257"/>
      <c r="DK257"/>
      <c r="DL257"/>
      <c r="DM257"/>
      <c r="DN257"/>
    </row>
    <row r="258" spans="3:118" s="238" customFormat="1" ht="15.75" customHeight="1" x14ac:dyDescent="0.25">
      <c r="C258"/>
      <c r="D258"/>
      <c r="E258"/>
      <c r="F258"/>
      <c r="G258"/>
      <c r="H258"/>
      <c r="I258"/>
      <c r="J258"/>
      <c r="K258"/>
      <c r="L258"/>
      <c r="M258"/>
      <c r="N258"/>
      <c r="O258" s="372"/>
      <c r="P258" s="366">
        <v>2015</v>
      </c>
      <c r="Q258" s="367">
        <f>LARGE($CB$153:$CB$302,106)</f>
        <v>22.8</v>
      </c>
      <c r="R258" s="357">
        <f t="shared" si="100"/>
        <v>-141.79999999999998</v>
      </c>
      <c r="S258" s="356">
        <f t="shared" si="99"/>
        <v>20107.239999999994</v>
      </c>
      <c r="T258" s="356"/>
      <c r="U258" s="356">
        <f t="shared" si="101"/>
        <v>-8.8624999999999989</v>
      </c>
      <c r="V258" s="238">
        <f t="shared" si="97"/>
        <v>8</v>
      </c>
      <c r="W258" s="354"/>
      <c r="X258" s="371"/>
      <c r="Y258" s="371"/>
      <c r="Z258" s="321">
        <v>2015</v>
      </c>
      <c r="AA258" s="367">
        <f>LARGE($CU$153:$CU$302,106)</f>
        <v>58.1</v>
      </c>
      <c r="AB258" s="357">
        <f t="shared" si="102"/>
        <v>-165.03333333333333</v>
      </c>
      <c r="AC258" s="356">
        <f t="shared" ref="AC258:AC321" si="104">AB258^2</f>
        <v>27236.001111111109</v>
      </c>
      <c r="AD258" s="356"/>
      <c r="AE258" s="356">
        <f t="shared" si="103"/>
        <v>-10.314583333333333</v>
      </c>
      <c r="AF258" s="238">
        <f t="shared" si="98"/>
        <v>8</v>
      </c>
      <c r="AG258" s="354"/>
      <c r="AK258"/>
      <c r="AL258"/>
      <c r="AM258"/>
      <c r="AN258"/>
      <c r="AO258"/>
      <c r="AP258"/>
      <c r="BI258" s="360"/>
      <c r="BJ258" s="354"/>
      <c r="BK258" s="366">
        <v>2015</v>
      </c>
      <c r="BL258" s="365" t="s">
        <v>1658</v>
      </c>
      <c r="BM258" s="366" t="s">
        <v>1633</v>
      </c>
      <c r="BN258" s="366" t="s">
        <v>3</v>
      </c>
      <c r="BO258" s="366">
        <v>0</v>
      </c>
      <c r="BP258" s="366">
        <v>0</v>
      </c>
      <c r="BQ258" s="366">
        <v>0</v>
      </c>
      <c r="BR258" s="366">
        <v>79</v>
      </c>
      <c r="BS258" s="366">
        <v>0</v>
      </c>
      <c r="BT258" s="366">
        <v>9</v>
      </c>
      <c r="BU258" s="366">
        <v>47</v>
      </c>
      <c r="BV258" s="366">
        <v>0</v>
      </c>
      <c r="BW258" s="366">
        <v>0</v>
      </c>
      <c r="BX258" s="366">
        <v>0</v>
      </c>
      <c r="BY258" s="366">
        <v>92</v>
      </c>
      <c r="BZ258" s="366">
        <v>0</v>
      </c>
      <c r="CA258" s="366">
        <v>0</v>
      </c>
      <c r="CB258" s="367">
        <f>IFERROR(BO258/Instructions!$J$25,0)+BP258*Instructions!$J$27+BQ258*Instructions!$J$29+IFERROR(BR258/Instructions!$E$34,0)+BS258*Instructions!$E$36+Tier!BT259*Instructions!$E$25+IFERROR(BU258/Instructions!$E$27,0)+BV258*Instructions!$E$29+IFERROR((BW258+BY258)/Instructions!$J$32,0)+(BX258+BZ258)*Instructions!$J$34+Tier!CA258*-2</f>
        <v>18.600000000000001</v>
      </c>
      <c r="CC258" s="354"/>
      <c r="CD258" s="321">
        <v>2015</v>
      </c>
      <c r="CE258" s="365" t="s">
        <v>200</v>
      </c>
      <c r="CF258" s="366" t="s">
        <v>147</v>
      </c>
      <c r="CG258" s="366" t="s">
        <v>6</v>
      </c>
      <c r="CH258" s="366">
        <v>0</v>
      </c>
      <c r="CI258" s="366">
        <v>0</v>
      </c>
      <c r="CJ258" s="366">
        <v>0</v>
      </c>
      <c r="CK258" s="366">
        <v>0</v>
      </c>
      <c r="CL258" s="366">
        <v>0</v>
      </c>
      <c r="CM258" s="366">
        <v>21</v>
      </c>
      <c r="CN258" s="366">
        <v>314</v>
      </c>
      <c r="CO258" s="366">
        <v>2</v>
      </c>
      <c r="CP258" s="366">
        <v>0</v>
      </c>
      <c r="CQ258" s="366">
        <v>0</v>
      </c>
      <c r="CR258" s="366">
        <v>0</v>
      </c>
      <c r="CS258" s="366">
        <v>0</v>
      </c>
      <c r="CT258" s="366">
        <v>0</v>
      </c>
      <c r="CU258" s="367">
        <f>IFERROR(CH258/Instructions!$J$25,0)+CI258*Instructions!$J$27+CJ258*Instructions!$J$29+IFERROR(CK258/Instructions!$E$34,0)+CL258*Instructions!$E$36+Tier!CM258*Instructions!$E$25+IFERROR(CN258/Instructions!$E$27,0)+CO258*Instructions!$E$29+IFERROR((CP258+CR258)/Instructions!$J$32,0)+(CQ258+CS258)*Instructions!$J$34+Tier!CT258*-2</f>
        <v>64.400000000000006</v>
      </c>
      <c r="CV258" s="354"/>
      <c r="CW258"/>
      <c r="CX258"/>
      <c r="CY258"/>
      <c r="CZ258"/>
      <c r="DA258"/>
      <c r="DB258"/>
      <c r="DC258"/>
      <c r="DD258"/>
      <c r="DE258"/>
      <c r="DF258"/>
      <c r="DG258"/>
      <c r="DH258"/>
      <c r="DI258"/>
      <c r="DJ258"/>
      <c r="DK258"/>
      <c r="DL258"/>
      <c r="DM258"/>
      <c r="DN258"/>
    </row>
    <row r="259" spans="3:118" s="238" customFormat="1" ht="15.75" customHeight="1" x14ac:dyDescent="0.25">
      <c r="C259"/>
      <c r="D259"/>
      <c r="E259"/>
      <c r="F259"/>
      <c r="G259"/>
      <c r="H259"/>
      <c r="I259"/>
      <c r="J259"/>
      <c r="K259"/>
      <c r="L259"/>
      <c r="M259"/>
      <c r="N259"/>
      <c r="O259" s="372"/>
      <c r="P259" s="366">
        <v>2015</v>
      </c>
      <c r="Q259" s="367">
        <f>LARGE($CB$153:$CB$302,107)</f>
        <v>21.4</v>
      </c>
      <c r="R259" s="357">
        <f t="shared" si="100"/>
        <v>-143.19999999999999</v>
      </c>
      <c r="S259" s="356">
        <f t="shared" si="99"/>
        <v>20506.239999999998</v>
      </c>
      <c r="T259" s="356"/>
      <c r="U259" s="356">
        <f t="shared" si="101"/>
        <v>-8.9499999999999993</v>
      </c>
      <c r="V259" s="238">
        <f t="shared" ref="V259:V322" si="105">IF(U259&gt;6,0,
IF(AND(U259&lt;=6,U259&gt;5),1,
IF(AND(U259&lt;=5,U259&gt;4),2,
IF(AND(U259&lt;=4,U259&gt;3),3,
IF(AND(U259&lt;=3,U259&gt;2),4,
IF(AND(U259&lt;=2,U259&gt;1),5,
IF(AND(U259&lt;=1,U259&gt;0),6,
IF(AND(U259&lt;=0,U259&gt;-1),7,
8))))))))</f>
        <v>8</v>
      </c>
      <c r="W259" s="354"/>
      <c r="X259" s="371"/>
      <c r="Y259" s="371"/>
      <c r="Z259" s="321">
        <v>2015</v>
      </c>
      <c r="AA259" s="367">
        <f>LARGE($CU$153:$CU$302,107)</f>
        <v>55.3</v>
      </c>
      <c r="AB259" s="357">
        <f t="shared" si="102"/>
        <v>-167.83333333333331</v>
      </c>
      <c r="AC259" s="356">
        <f t="shared" si="104"/>
        <v>28168.02777777777</v>
      </c>
      <c r="AD259" s="356"/>
      <c r="AE259" s="356">
        <f t="shared" si="103"/>
        <v>-10.489583333333332</v>
      </c>
      <c r="AF259" s="238">
        <f t="shared" ref="AF259:AF322" si="106">IF(AE259&gt;6,0,
IF(AND(AE259&lt;=6,AE259&gt;5),1,
IF(AND(AE259&lt;=5,AE259&gt;4),2,
IF(AND(AE259&lt;=4,AE259&gt;3),3,
IF(AND(AE259&lt;=3,AE259&gt;2),4,
IF(AND(AE259&lt;=2,AE259&gt;1),5,
IF(AND(AE259&lt;=1,AE259&gt;0),6,
IF(AND(AE259&lt;=0,AE259&gt;-1),7,
8))))))))</f>
        <v>8</v>
      </c>
      <c r="AG259" s="354"/>
      <c r="AK259"/>
      <c r="AL259"/>
      <c r="AM259"/>
      <c r="AN259"/>
      <c r="AO259"/>
      <c r="AP259"/>
      <c r="BI259" s="360"/>
      <c r="BJ259" s="354"/>
      <c r="BK259" s="366">
        <v>2015</v>
      </c>
      <c r="BL259" s="365" t="s">
        <v>1657</v>
      </c>
      <c r="BM259" s="366" t="s">
        <v>156</v>
      </c>
      <c r="BN259" s="366" t="s">
        <v>3</v>
      </c>
      <c r="BO259" s="366">
        <v>0</v>
      </c>
      <c r="BP259" s="366">
        <v>0</v>
      </c>
      <c r="BQ259" s="366">
        <v>0</v>
      </c>
      <c r="BR259" s="366">
        <v>44</v>
      </c>
      <c r="BS259" s="366">
        <v>1</v>
      </c>
      <c r="BT259" s="366">
        <v>6</v>
      </c>
      <c r="BU259" s="366">
        <v>44</v>
      </c>
      <c r="BV259" s="366">
        <v>0</v>
      </c>
      <c r="BW259" s="366">
        <v>0</v>
      </c>
      <c r="BX259" s="366">
        <v>0</v>
      </c>
      <c r="BY259" s="366">
        <v>59</v>
      </c>
      <c r="BZ259" s="366">
        <v>0</v>
      </c>
      <c r="CA259" s="366">
        <v>0</v>
      </c>
      <c r="CB259" s="367">
        <f>IFERROR(BO259/Instructions!$J$25,0)+BP259*Instructions!$J$27+BQ259*Instructions!$J$29+IFERROR(BR259/Instructions!$E$34,0)+BS259*Instructions!$E$36+Tier!BT260*Instructions!$E$25+IFERROR(BU259/Instructions!$E$27,0)+BV259*Instructions!$E$29+IFERROR((BW259+BY259)/Instructions!$J$32,0)+(BX259+BZ259)*Instructions!$J$34+Tier!CA259*-2</f>
        <v>24.799999999999997</v>
      </c>
      <c r="CC259" s="354"/>
      <c r="CD259" s="321">
        <v>2015</v>
      </c>
      <c r="CE259" s="365" t="s">
        <v>1679</v>
      </c>
      <c r="CF259" s="366" t="s">
        <v>1633</v>
      </c>
      <c r="CG259" s="366" t="s">
        <v>6</v>
      </c>
      <c r="CH259" s="366">
        <v>0</v>
      </c>
      <c r="CI259" s="366">
        <v>0</v>
      </c>
      <c r="CJ259" s="366">
        <v>0</v>
      </c>
      <c r="CK259" s="366">
        <v>18</v>
      </c>
      <c r="CL259" s="366">
        <v>0</v>
      </c>
      <c r="CM259" s="366">
        <v>20</v>
      </c>
      <c r="CN259" s="366">
        <v>353</v>
      </c>
      <c r="CO259" s="366">
        <v>1</v>
      </c>
      <c r="CP259" s="366">
        <v>0</v>
      </c>
      <c r="CQ259" s="366">
        <v>0</v>
      </c>
      <c r="CR259" s="366">
        <v>0</v>
      </c>
      <c r="CS259" s="366">
        <v>0</v>
      </c>
      <c r="CT259" s="366">
        <v>0</v>
      </c>
      <c r="CU259" s="367">
        <f>IFERROR(CH259/Instructions!$J$25,0)+CI259*Instructions!$J$27+CJ259*Instructions!$J$29+IFERROR(CK259/Instructions!$E$34,0)+CL259*Instructions!$E$36+Tier!CM259*Instructions!$E$25+IFERROR(CN259/Instructions!$E$27,0)+CO259*Instructions!$E$29+IFERROR((CP259+CR259)/Instructions!$J$32,0)+(CQ259+CS259)*Instructions!$J$34+Tier!CT259*-2</f>
        <v>63.099999999999994</v>
      </c>
      <c r="CV259" s="354"/>
      <c r="CW259"/>
      <c r="CX259"/>
      <c r="CY259"/>
      <c r="CZ259"/>
      <c r="DA259"/>
      <c r="DB259"/>
      <c r="DC259"/>
      <c r="DD259"/>
      <c r="DE259"/>
      <c r="DF259"/>
      <c r="DG259"/>
      <c r="DH259"/>
      <c r="DI259"/>
      <c r="DJ259"/>
      <c r="DK259"/>
      <c r="DL259"/>
      <c r="DM259"/>
      <c r="DN259"/>
    </row>
    <row r="260" spans="3:118" s="238" customFormat="1" ht="15.75" customHeight="1" x14ac:dyDescent="0.25">
      <c r="C260"/>
      <c r="D260"/>
      <c r="E260"/>
      <c r="F260"/>
      <c r="G260"/>
      <c r="H260"/>
      <c r="I260"/>
      <c r="J260"/>
      <c r="K260"/>
      <c r="L260"/>
      <c r="M260"/>
      <c r="N260"/>
      <c r="O260" s="372"/>
      <c r="P260" s="366">
        <v>2015</v>
      </c>
      <c r="Q260" s="367">
        <f>LARGE($CB$153:$CB$302,108)</f>
        <v>19</v>
      </c>
      <c r="R260" s="357">
        <f t="shared" si="100"/>
        <v>-145.6</v>
      </c>
      <c r="S260" s="356">
        <f t="shared" si="99"/>
        <v>21199.359999999997</v>
      </c>
      <c r="T260" s="356"/>
      <c r="U260" s="356">
        <f t="shared" si="101"/>
        <v>-9.1</v>
      </c>
      <c r="V260" s="238">
        <f t="shared" si="105"/>
        <v>8</v>
      </c>
      <c r="W260" s="354"/>
      <c r="X260" s="371"/>
      <c r="Y260" s="371"/>
      <c r="Z260" s="321">
        <v>2015</v>
      </c>
      <c r="AA260" s="367">
        <f>LARGE($CU$153:$CU$302,108)</f>
        <v>54.4</v>
      </c>
      <c r="AB260" s="357">
        <f t="shared" si="102"/>
        <v>-168.73333333333332</v>
      </c>
      <c r="AC260" s="356">
        <f t="shared" si="104"/>
        <v>28470.937777777774</v>
      </c>
      <c r="AD260" s="356"/>
      <c r="AE260" s="356">
        <f t="shared" si="103"/>
        <v>-10.545833333333333</v>
      </c>
      <c r="AF260" s="238">
        <f t="shared" si="106"/>
        <v>8</v>
      </c>
      <c r="AG260" s="354"/>
      <c r="AK260"/>
      <c r="AL260"/>
      <c r="AM260"/>
      <c r="AN260"/>
      <c r="AO260"/>
      <c r="AP260"/>
      <c r="BI260" s="360"/>
      <c r="BJ260" s="354"/>
      <c r="BK260" s="366">
        <v>2015</v>
      </c>
      <c r="BL260" s="365" t="s">
        <v>1152</v>
      </c>
      <c r="BM260" s="366" t="s">
        <v>145</v>
      </c>
      <c r="BN260" s="366" t="s">
        <v>3</v>
      </c>
      <c r="BO260" s="366">
        <v>0</v>
      </c>
      <c r="BP260" s="366">
        <v>0</v>
      </c>
      <c r="BQ260" s="366">
        <v>0</v>
      </c>
      <c r="BR260" s="366">
        <v>4</v>
      </c>
      <c r="BS260" s="366">
        <v>0</v>
      </c>
      <c r="BT260" s="366">
        <v>10</v>
      </c>
      <c r="BU260" s="366">
        <v>94</v>
      </c>
      <c r="BV260" s="366">
        <v>1</v>
      </c>
      <c r="BW260" s="366">
        <v>0</v>
      </c>
      <c r="BX260" s="366">
        <v>0</v>
      </c>
      <c r="BY260" s="366">
        <v>0</v>
      </c>
      <c r="BZ260" s="366">
        <v>0</v>
      </c>
      <c r="CA260" s="366">
        <v>1</v>
      </c>
      <c r="CB260" s="367">
        <f>IFERROR(BO260/Instructions!$J$25,0)+BP260*Instructions!$J$27+BQ260*Instructions!$J$29+IFERROR(BR260/Instructions!$E$34,0)+BS260*Instructions!$E$36+Tier!BT261*Instructions!$E$25+IFERROR(BU260/Instructions!$E$27,0)+BV260*Instructions!$E$29+IFERROR((BW260+BY260)/Instructions!$J$32,0)+(BX260+BZ260)*Instructions!$J$34+Tier!CA260*-2</f>
        <v>22.8</v>
      </c>
      <c r="CC260" s="354"/>
      <c r="CD260" s="321">
        <v>2015</v>
      </c>
      <c r="CE260" s="365" t="s">
        <v>188</v>
      </c>
      <c r="CF260" s="366" t="s">
        <v>164</v>
      </c>
      <c r="CG260" s="366" t="s">
        <v>6</v>
      </c>
      <c r="CH260" s="366">
        <v>0</v>
      </c>
      <c r="CI260" s="366">
        <v>0</v>
      </c>
      <c r="CJ260" s="366">
        <v>0</v>
      </c>
      <c r="CK260" s="366">
        <v>0</v>
      </c>
      <c r="CL260" s="366">
        <v>0</v>
      </c>
      <c r="CM260" s="366">
        <v>16</v>
      </c>
      <c r="CN260" s="366">
        <v>152</v>
      </c>
      <c r="CO260" s="366">
        <v>2</v>
      </c>
      <c r="CP260" s="366">
        <v>411</v>
      </c>
      <c r="CQ260" s="366">
        <v>0</v>
      </c>
      <c r="CR260" s="366">
        <v>0</v>
      </c>
      <c r="CS260" s="366">
        <v>0</v>
      </c>
      <c r="CT260" s="366">
        <v>0</v>
      </c>
      <c r="CU260" s="367">
        <f>IFERROR(CH260/Instructions!$J$25,0)+CI260*Instructions!$J$27+CJ260*Instructions!$J$29+IFERROR(CK260/Instructions!$E$34,0)+CL260*Instructions!$E$36+Tier!CM260*Instructions!$E$25+IFERROR(CN260/Instructions!$E$27,0)+CO260*Instructions!$E$29+IFERROR((CP260+CR260)/Instructions!$J$32,0)+(CQ260+CS260)*Instructions!$J$34+Tier!CT260*-2</f>
        <v>43.2</v>
      </c>
      <c r="CV260" s="354"/>
      <c r="CW260"/>
      <c r="CX260"/>
      <c r="CY260"/>
      <c r="CZ260"/>
      <c r="DA260"/>
      <c r="DB260"/>
      <c r="DC260"/>
      <c r="DD260"/>
      <c r="DE260"/>
      <c r="DF260"/>
      <c r="DG260"/>
      <c r="DH260"/>
      <c r="DI260"/>
      <c r="DJ260"/>
      <c r="DK260"/>
      <c r="DL260"/>
      <c r="DM260"/>
      <c r="DN260"/>
    </row>
    <row r="261" spans="3:118" s="238" customFormat="1" ht="15.75" customHeight="1" x14ac:dyDescent="0.25">
      <c r="C261"/>
      <c r="D261"/>
      <c r="E261"/>
      <c r="F261"/>
      <c r="G261"/>
      <c r="H261"/>
      <c r="I261"/>
      <c r="J261"/>
      <c r="K261"/>
      <c r="L261"/>
      <c r="M261"/>
      <c r="N261"/>
      <c r="O261" s="372"/>
      <c r="P261" s="366">
        <v>2015</v>
      </c>
      <c r="Q261" s="367">
        <f>LARGE($CB$153:$CB$302,109)</f>
        <v>18.600000000000001</v>
      </c>
      <c r="R261" s="357">
        <f t="shared" si="100"/>
        <v>-146</v>
      </c>
      <c r="S261" s="356">
        <f t="shared" si="99"/>
        <v>21316</v>
      </c>
      <c r="T261" s="356"/>
      <c r="U261" s="356">
        <f t="shared" si="101"/>
        <v>-9.125</v>
      </c>
      <c r="V261" s="238">
        <f t="shared" si="105"/>
        <v>8</v>
      </c>
      <c r="W261" s="354"/>
      <c r="X261" s="371"/>
      <c r="Y261" s="371"/>
      <c r="Z261" s="321">
        <v>2015</v>
      </c>
      <c r="AA261" s="367">
        <f>LARGE($CU$153:$CU$302,109)</f>
        <v>53.5</v>
      </c>
      <c r="AB261" s="357">
        <f t="shared" si="102"/>
        <v>-169.63333333333333</v>
      </c>
      <c r="AC261" s="356">
        <f t="shared" si="104"/>
        <v>28775.467777777776</v>
      </c>
      <c r="AD261" s="356"/>
      <c r="AE261" s="356">
        <f t="shared" si="103"/>
        <v>-10.602083333333333</v>
      </c>
      <c r="AF261" s="238">
        <f t="shared" si="106"/>
        <v>8</v>
      </c>
      <c r="AG261" s="354"/>
      <c r="AK261"/>
      <c r="AL261"/>
      <c r="AM261"/>
      <c r="AN261"/>
      <c r="AO261"/>
      <c r="AP261"/>
      <c r="BI261" s="360"/>
      <c r="BJ261" s="354"/>
      <c r="BK261" s="366">
        <v>2015</v>
      </c>
      <c r="BL261" s="365" t="s">
        <v>1659</v>
      </c>
      <c r="BM261" s="366" t="s">
        <v>1633</v>
      </c>
      <c r="BN261" s="366" t="s">
        <v>3</v>
      </c>
      <c r="BO261" s="366">
        <v>0</v>
      </c>
      <c r="BP261" s="366">
        <v>0</v>
      </c>
      <c r="BQ261" s="366">
        <v>0</v>
      </c>
      <c r="BR261" s="366">
        <v>64</v>
      </c>
      <c r="BS261" s="366">
        <v>0</v>
      </c>
      <c r="BT261" s="366">
        <v>9</v>
      </c>
      <c r="BU261" s="366">
        <v>84</v>
      </c>
      <c r="BV261" s="366">
        <v>0</v>
      </c>
      <c r="BW261" s="366">
        <v>0</v>
      </c>
      <c r="BX261" s="366">
        <v>0</v>
      </c>
      <c r="BY261" s="366">
        <v>15</v>
      </c>
      <c r="BZ261" s="366">
        <v>0</v>
      </c>
      <c r="CA261" s="366">
        <v>0</v>
      </c>
      <c r="CB261" s="367">
        <f>IFERROR(BO261/Instructions!$J$25,0)+BP261*Instructions!$J$27+BQ261*Instructions!$J$29+IFERROR(BR261/Instructions!$E$34,0)+BS261*Instructions!$E$36+Tier!BT262*Instructions!$E$25+IFERROR(BU261/Instructions!$E$27,0)+BV261*Instructions!$E$29+IFERROR((BW261+BY261)/Instructions!$J$32,0)+(BX261+BZ261)*Instructions!$J$34+Tier!CA261*-2</f>
        <v>23.8</v>
      </c>
      <c r="CC261" s="354"/>
      <c r="CD261" s="321">
        <v>2015</v>
      </c>
      <c r="CE261" s="365" t="s">
        <v>1640</v>
      </c>
      <c r="CF261" s="366" t="s">
        <v>153</v>
      </c>
      <c r="CG261" s="366" t="s">
        <v>6</v>
      </c>
      <c r="CH261" s="366">
        <v>0</v>
      </c>
      <c r="CI261" s="366">
        <v>0</v>
      </c>
      <c r="CJ261" s="366">
        <v>0</v>
      </c>
      <c r="CK261" s="366">
        <v>0</v>
      </c>
      <c r="CL261" s="366">
        <v>0</v>
      </c>
      <c r="CM261" s="366">
        <v>11</v>
      </c>
      <c r="CN261" s="366">
        <v>299</v>
      </c>
      <c r="CO261" s="366">
        <v>2</v>
      </c>
      <c r="CP261" s="366">
        <v>13</v>
      </c>
      <c r="CQ261" s="366">
        <v>0</v>
      </c>
      <c r="CR261" s="366">
        <v>0</v>
      </c>
      <c r="CS261" s="366">
        <v>0</v>
      </c>
      <c r="CT261" s="366">
        <v>0</v>
      </c>
      <c r="CU261" s="367">
        <f>IFERROR(CH261/Instructions!$J$25,0)+CI261*Instructions!$J$27+CJ261*Instructions!$J$29+IFERROR(CK261/Instructions!$E$34,0)+CL261*Instructions!$E$36+Tier!CM261*Instructions!$E$25+IFERROR(CN261/Instructions!$E$27,0)+CO261*Instructions!$E$29+IFERROR((CP261+CR261)/Instructions!$J$32,0)+(CQ261+CS261)*Instructions!$J$34+Tier!CT261*-2</f>
        <v>52.9</v>
      </c>
      <c r="CV261" s="354"/>
      <c r="CW261"/>
      <c r="CX261"/>
      <c r="CY261"/>
      <c r="CZ261"/>
      <c r="DA261"/>
      <c r="DB261"/>
      <c r="DC261"/>
      <c r="DD261"/>
      <c r="DE261"/>
      <c r="DF261"/>
      <c r="DG261"/>
      <c r="DH261"/>
      <c r="DI261"/>
      <c r="DJ261"/>
      <c r="DK261"/>
      <c r="DL261"/>
      <c r="DM261"/>
      <c r="DN261"/>
    </row>
    <row r="262" spans="3:118" s="238" customFormat="1" ht="15.75" customHeight="1" x14ac:dyDescent="0.25">
      <c r="C262"/>
      <c r="D262"/>
      <c r="E262"/>
      <c r="F262"/>
      <c r="G262"/>
      <c r="H262"/>
      <c r="I262"/>
      <c r="J262"/>
      <c r="K262"/>
      <c r="L262"/>
      <c r="M262"/>
      <c r="N262"/>
      <c r="O262" s="372"/>
      <c r="P262" s="366">
        <v>2015</v>
      </c>
      <c r="Q262" s="367">
        <f>LARGE($CB$153:$CB$302,110)</f>
        <v>18.599999999999998</v>
      </c>
      <c r="R262" s="357">
        <f t="shared" si="100"/>
        <v>-146</v>
      </c>
      <c r="S262" s="356">
        <f t="shared" si="99"/>
        <v>21316</v>
      </c>
      <c r="T262" s="356"/>
      <c r="U262" s="356">
        <f t="shared" si="101"/>
        <v>-9.125</v>
      </c>
      <c r="V262" s="238">
        <f t="shared" si="105"/>
        <v>8</v>
      </c>
      <c r="W262" s="354"/>
      <c r="X262" s="371"/>
      <c r="Y262" s="371"/>
      <c r="Z262" s="321">
        <v>2015</v>
      </c>
      <c r="AA262" s="367">
        <f>LARGE($CU$153:$CU$302,110)</f>
        <v>53.4</v>
      </c>
      <c r="AB262" s="357">
        <f t="shared" si="102"/>
        <v>-169.73333333333332</v>
      </c>
      <c r="AC262" s="356">
        <f t="shared" si="104"/>
        <v>28809.404444444441</v>
      </c>
      <c r="AD262" s="356"/>
      <c r="AE262" s="356">
        <f t="shared" si="103"/>
        <v>-10.608333333333333</v>
      </c>
      <c r="AF262" s="238">
        <f t="shared" si="106"/>
        <v>8</v>
      </c>
      <c r="AG262" s="354"/>
      <c r="AK262"/>
      <c r="AL262"/>
      <c r="AM262"/>
      <c r="AN262"/>
      <c r="AO262"/>
      <c r="AP262"/>
      <c r="BI262" s="360"/>
      <c r="BJ262" s="354"/>
      <c r="BK262" s="366">
        <v>2015</v>
      </c>
      <c r="BL262" s="365" t="s">
        <v>1174</v>
      </c>
      <c r="BM262" s="366" t="s">
        <v>137</v>
      </c>
      <c r="BN262" s="366" t="s">
        <v>3</v>
      </c>
      <c r="BO262" s="366">
        <v>0</v>
      </c>
      <c r="BP262" s="366">
        <v>0</v>
      </c>
      <c r="BQ262" s="366">
        <v>0</v>
      </c>
      <c r="BR262" s="366">
        <v>124</v>
      </c>
      <c r="BS262" s="366">
        <v>0</v>
      </c>
      <c r="BT262" s="366">
        <v>9</v>
      </c>
      <c r="BU262" s="366">
        <v>22</v>
      </c>
      <c r="BV262" s="366">
        <v>0</v>
      </c>
      <c r="BW262" s="366">
        <v>-3</v>
      </c>
      <c r="BX262" s="366">
        <v>0</v>
      </c>
      <c r="BY262" s="366">
        <v>10</v>
      </c>
      <c r="BZ262" s="366">
        <v>0</v>
      </c>
      <c r="CA262" s="366">
        <v>1</v>
      </c>
      <c r="CB262" s="367">
        <f>IFERROR(BO262/Instructions!$J$25,0)+BP262*Instructions!$J$27+BQ262*Instructions!$J$29+IFERROR(BR262/Instructions!$E$34,0)+BS262*Instructions!$E$36+Tier!BT263*Instructions!$E$25+IFERROR(BU262/Instructions!$E$27,0)+BV262*Instructions!$E$29+IFERROR((BW262+BY262)/Instructions!$J$32,0)+(BX262+BZ262)*Instructions!$J$34+Tier!CA262*-2</f>
        <v>18.599999999999998</v>
      </c>
      <c r="CC262" s="354"/>
      <c r="CD262" s="321">
        <v>2015</v>
      </c>
      <c r="CE262" s="365" t="s">
        <v>1680</v>
      </c>
      <c r="CF262" s="366" t="s">
        <v>158</v>
      </c>
      <c r="CG262" s="366" t="s">
        <v>6</v>
      </c>
      <c r="CH262" s="366">
        <v>0</v>
      </c>
      <c r="CI262" s="366">
        <v>0</v>
      </c>
      <c r="CJ262" s="366">
        <v>0</v>
      </c>
      <c r="CK262" s="366">
        <v>0</v>
      </c>
      <c r="CL262" s="366">
        <v>0</v>
      </c>
      <c r="CM262" s="366">
        <v>19</v>
      </c>
      <c r="CN262" s="366">
        <v>205</v>
      </c>
      <c r="CO262" s="366">
        <v>1</v>
      </c>
      <c r="CP262" s="366">
        <v>85</v>
      </c>
      <c r="CQ262" s="366">
        <v>0</v>
      </c>
      <c r="CR262" s="366">
        <v>244</v>
      </c>
      <c r="CS262" s="366">
        <v>0</v>
      </c>
      <c r="CT262" s="366">
        <v>1</v>
      </c>
      <c r="CU262" s="367">
        <f>IFERROR(CH262/Instructions!$J$25,0)+CI262*Instructions!$J$27+CJ262*Instructions!$J$29+IFERROR(CK262/Instructions!$E$34,0)+CL262*Instructions!$E$36+Tier!CM262*Instructions!$E$25+IFERROR(CN262/Instructions!$E$27,0)+CO262*Instructions!$E$29+IFERROR((CP262+CR262)/Instructions!$J$32,0)+(CQ262+CS262)*Instructions!$J$34+Tier!CT262*-2</f>
        <v>43.5</v>
      </c>
      <c r="CV262" s="354"/>
      <c r="CW262"/>
      <c r="CX262"/>
      <c r="CY262"/>
      <c r="CZ262"/>
      <c r="DA262"/>
      <c r="DB262"/>
      <c r="DC262"/>
      <c r="DD262"/>
      <c r="DE262"/>
      <c r="DF262"/>
      <c r="DG262"/>
      <c r="DH262"/>
      <c r="DI262"/>
      <c r="DJ262"/>
      <c r="DK262"/>
      <c r="DL262"/>
      <c r="DM262"/>
      <c r="DN262"/>
    </row>
    <row r="263" spans="3:118" s="238" customFormat="1" ht="15.75" customHeight="1" x14ac:dyDescent="0.25">
      <c r="C263"/>
      <c r="D263"/>
      <c r="E263"/>
      <c r="F263"/>
      <c r="G263"/>
      <c r="H263"/>
      <c r="I263"/>
      <c r="J263"/>
      <c r="K263"/>
      <c r="L263"/>
      <c r="M263"/>
      <c r="N263"/>
      <c r="O263" s="372"/>
      <c r="P263" s="366">
        <v>2015</v>
      </c>
      <c r="Q263" s="367">
        <f>LARGE($CB$153:$CB$302,111)</f>
        <v>18.5</v>
      </c>
      <c r="R263" s="357">
        <f t="shared" si="100"/>
        <v>-146.1</v>
      </c>
      <c r="S263" s="356">
        <f t="shared" si="99"/>
        <v>21345.21</v>
      </c>
      <c r="T263" s="356"/>
      <c r="U263" s="356">
        <f t="shared" si="101"/>
        <v>-9.1312499999999996</v>
      </c>
      <c r="V263" s="238">
        <f t="shared" si="105"/>
        <v>8</v>
      </c>
      <c r="W263" s="354"/>
      <c r="X263" s="371"/>
      <c r="Y263" s="371"/>
      <c r="Z263" s="321">
        <v>2015</v>
      </c>
      <c r="AA263" s="367">
        <f>LARGE($CU$153:$CU$302,111)</f>
        <v>52.9</v>
      </c>
      <c r="AB263" s="357">
        <f t="shared" si="102"/>
        <v>-170.23333333333332</v>
      </c>
      <c r="AC263" s="356">
        <f t="shared" si="104"/>
        <v>28979.387777777774</v>
      </c>
      <c r="AD263" s="356"/>
      <c r="AE263" s="356">
        <f t="shared" si="103"/>
        <v>-10.639583333333333</v>
      </c>
      <c r="AF263" s="238">
        <f t="shared" si="106"/>
        <v>8</v>
      </c>
      <c r="AG263" s="354"/>
      <c r="AK263"/>
      <c r="AL263"/>
      <c r="AM263"/>
      <c r="AN263"/>
      <c r="AO263"/>
      <c r="AP263"/>
      <c r="BI263" s="360"/>
      <c r="BJ263" s="354"/>
      <c r="BK263" s="366">
        <v>2015</v>
      </c>
      <c r="BL263" s="365" t="s">
        <v>1291</v>
      </c>
      <c r="BM263" s="366" t="s">
        <v>151</v>
      </c>
      <c r="BN263" s="366" t="s">
        <v>3</v>
      </c>
      <c r="BO263" s="366">
        <v>0</v>
      </c>
      <c r="BP263" s="366">
        <v>0</v>
      </c>
      <c r="BQ263" s="366">
        <v>0</v>
      </c>
      <c r="BR263" s="366">
        <v>96</v>
      </c>
      <c r="BS263" s="366">
        <v>0</v>
      </c>
      <c r="BT263" s="366">
        <v>6</v>
      </c>
      <c r="BU263" s="366">
        <v>39</v>
      </c>
      <c r="BV263" s="366">
        <v>0</v>
      </c>
      <c r="BW263" s="366">
        <v>0</v>
      </c>
      <c r="BX263" s="366">
        <v>0</v>
      </c>
      <c r="BY263" s="366">
        <v>19</v>
      </c>
      <c r="BZ263" s="366">
        <v>0</v>
      </c>
      <c r="CA263" s="366">
        <v>0</v>
      </c>
      <c r="CB263" s="367">
        <f>IFERROR(BO263/Instructions!$J$25,0)+BP263*Instructions!$J$27+BQ263*Instructions!$J$29+IFERROR(BR263/Instructions!$E$34,0)+BS263*Instructions!$E$36+Tier!BT264*Instructions!$E$25+IFERROR(BU263/Instructions!$E$27,0)+BV263*Instructions!$E$29+IFERROR((BW263+BY263)/Instructions!$J$32,0)+(BX263+BZ263)*Instructions!$J$34+Tier!CA263*-2</f>
        <v>18.5</v>
      </c>
      <c r="CC263" s="354"/>
      <c r="CD263" s="321">
        <v>2015</v>
      </c>
      <c r="CE263" s="365" t="s">
        <v>1268</v>
      </c>
      <c r="CF263" s="366" t="s">
        <v>1613</v>
      </c>
      <c r="CG263" s="366" t="s">
        <v>6</v>
      </c>
      <c r="CH263" s="366">
        <v>0</v>
      </c>
      <c r="CI263" s="366">
        <v>0</v>
      </c>
      <c r="CJ263" s="366">
        <v>0</v>
      </c>
      <c r="CK263" s="366">
        <v>0</v>
      </c>
      <c r="CL263" s="366">
        <v>0</v>
      </c>
      <c r="CM263" s="366">
        <v>19</v>
      </c>
      <c r="CN263" s="366">
        <v>93</v>
      </c>
      <c r="CO263" s="366">
        <v>2</v>
      </c>
      <c r="CP263" s="366">
        <v>301</v>
      </c>
      <c r="CQ263" s="366">
        <v>1</v>
      </c>
      <c r="CR263" s="366">
        <v>0</v>
      </c>
      <c r="CS263" s="366">
        <v>0</v>
      </c>
      <c r="CT263" s="366">
        <v>0</v>
      </c>
      <c r="CU263" s="367">
        <f>IFERROR(CH263/Instructions!$J$25,0)+CI263*Instructions!$J$27+CJ263*Instructions!$J$29+IFERROR(CK263/Instructions!$E$34,0)+CL263*Instructions!$E$36+Tier!CM263*Instructions!$E$25+IFERROR(CN263/Instructions!$E$27,0)+CO263*Instructions!$E$29+IFERROR((CP263+CR263)/Instructions!$J$32,0)+(CQ263+CS263)*Instructions!$J$34+Tier!CT263*-2</f>
        <v>46.3</v>
      </c>
      <c r="CV263" s="354"/>
      <c r="CW263"/>
      <c r="CX263"/>
      <c r="CY263"/>
      <c r="CZ263"/>
      <c r="DA263"/>
      <c r="DB263"/>
      <c r="DC263"/>
      <c r="DD263"/>
      <c r="DE263"/>
      <c r="DF263"/>
      <c r="DG263"/>
      <c r="DH263"/>
      <c r="DI263"/>
      <c r="DJ263"/>
      <c r="DK263"/>
      <c r="DL263"/>
      <c r="DM263"/>
      <c r="DN263"/>
    </row>
    <row r="264" spans="3:118" s="238" customFormat="1" ht="15.75" customHeight="1" x14ac:dyDescent="0.25">
      <c r="C264"/>
      <c r="D264"/>
      <c r="E264"/>
      <c r="F264"/>
      <c r="G264"/>
      <c r="H264"/>
      <c r="I264"/>
      <c r="J264"/>
      <c r="K264"/>
      <c r="L264"/>
      <c r="M264"/>
      <c r="N264"/>
      <c r="O264" s="372"/>
      <c r="P264" s="366">
        <v>2015</v>
      </c>
      <c r="Q264" s="367">
        <f>LARGE($CB$153:$CB$302,112)</f>
        <v>17.899999999999999</v>
      </c>
      <c r="R264" s="357">
        <f t="shared" si="100"/>
        <v>-146.69999999999999</v>
      </c>
      <c r="S264" s="356">
        <f t="shared" si="99"/>
        <v>21520.889999999996</v>
      </c>
      <c r="U264" s="356">
        <f t="shared" si="101"/>
        <v>-9.1687499999999993</v>
      </c>
      <c r="V264" s="238">
        <f t="shared" si="105"/>
        <v>8</v>
      </c>
      <c r="W264" s="354"/>
      <c r="X264" s="371"/>
      <c r="Y264" s="371"/>
      <c r="Z264" s="321">
        <v>2015</v>
      </c>
      <c r="AA264" s="367">
        <f>LARGE($CU$153:$CU$302,112)</f>
        <v>52.6</v>
      </c>
      <c r="AB264" s="357">
        <f t="shared" si="102"/>
        <v>-170.53333333333333</v>
      </c>
      <c r="AC264" s="356">
        <f t="shared" si="104"/>
        <v>29081.617777777778</v>
      </c>
      <c r="AD264" s="356"/>
      <c r="AE264" s="356">
        <f t="shared" si="103"/>
        <v>-10.658333333333333</v>
      </c>
      <c r="AF264" s="238">
        <f t="shared" si="106"/>
        <v>8</v>
      </c>
      <c r="AG264" s="354"/>
      <c r="AK264"/>
      <c r="AL264"/>
      <c r="AM264"/>
      <c r="AN264"/>
      <c r="AO264"/>
      <c r="AP264"/>
      <c r="BI264" s="360"/>
      <c r="BJ264" s="354"/>
      <c r="BK264" s="366">
        <v>2015</v>
      </c>
      <c r="BL264" s="365" t="s">
        <v>1279</v>
      </c>
      <c r="BM264" s="366" t="s">
        <v>162</v>
      </c>
      <c r="BN264" s="366" t="s">
        <v>3</v>
      </c>
      <c r="BO264" s="366">
        <v>0</v>
      </c>
      <c r="BP264" s="366">
        <v>0</v>
      </c>
      <c r="BQ264" s="366">
        <v>0</v>
      </c>
      <c r="BR264" s="366">
        <v>47</v>
      </c>
      <c r="BS264" s="366">
        <v>1</v>
      </c>
      <c r="BT264" s="366">
        <v>5</v>
      </c>
      <c r="BU264" s="366">
        <v>29</v>
      </c>
      <c r="BV264" s="366">
        <v>0</v>
      </c>
      <c r="BW264" s="366">
        <v>0</v>
      </c>
      <c r="BX264" s="366">
        <v>0</v>
      </c>
      <c r="BY264" s="366">
        <v>0</v>
      </c>
      <c r="BZ264" s="366">
        <v>0</v>
      </c>
      <c r="CA264" s="366">
        <v>0</v>
      </c>
      <c r="CB264" s="367">
        <f>IFERROR(BO264/Instructions!$J$25,0)+BP264*Instructions!$J$27+BQ264*Instructions!$J$29+IFERROR(BR264/Instructions!$E$34,0)+BS264*Instructions!$E$36+Tier!BT265*Instructions!$E$25+IFERROR(BU264/Instructions!$E$27,0)+BV264*Instructions!$E$29+IFERROR((BW264+BY264)/Instructions!$J$32,0)+(BX264+BZ264)*Instructions!$J$34+Tier!CA264*-2</f>
        <v>14.6</v>
      </c>
      <c r="CC264" s="354"/>
      <c r="CD264" s="321">
        <v>2015</v>
      </c>
      <c r="CE264" s="365" t="s">
        <v>1123</v>
      </c>
      <c r="CF264" s="366" t="s">
        <v>152</v>
      </c>
      <c r="CG264" s="366" t="s">
        <v>6</v>
      </c>
      <c r="CH264" s="366">
        <v>0</v>
      </c>
      <c r="CI264" s="366">
        <v>0</v>
      </c>
      <c r="CJ264" s="366">
        <v>0</v>
      </c>
      <c r="CK264" s="366">
        <v>0</v>
      </c>
      <c r="CL264" s="366">
        <v>0</v>
      </c>
      <c r="CM264" s="366">
        <v>23</v>
      </c>
      <c r="CN264" s="366">
        <v>268</v>
      </c>
      <c r="CO264" s="366">
        <v>2</v>
      </c>
      <c r="CP264" s="366">
        <v>0</v>
      </c>
      <c r="CQ264" s="366">
        <v>0</v>
      </c>
      <c r="CR264" s="366">
        <v>0</v>
      </c>
      <c r="CS264" s="366">
        <v>0</v>
      </c>
      <c r="CT264" s="366">
        <v>0</v>
      </c>
      <c r="CU264" s="367">
        <f>IFERROR(CH264/Instructions!$J$25,0)+CI264*Instructions!$J$27+CJ264*Instructions!$J$29+IFERROR(CK264/Instructions!$E$34,0)+CL264*Instructions!$E$36+Tier!CM264*Instructions!$E$25+IFERROR(CN264/Instructions!$E$27,0)+CO264*Instructions!$E$29+IFERROR((CP264+CR264)/Instructions!$J$32,0)+(CQ264+CS264)*Instructions!$J$34+Tier!CT264*-2</f>
        <v>61.8</v>
      </c>
      <c r="CV264" s="354"/>
      <c r="CW264"/>
      <c r="CX264"/>
      <c r="CY264"/>
      <c r="CZ264"/>
      <c r="DA264"/>
      <c r="DB264"/>
      <c r="DC264"/>
      <c r="DD264"/>
      <c r="DE264"/>
      <c r="DF264"/>
      <c r="DG264"/>
      <c r="DH264"/>
      <c r="DI264"/>
      <c r="DJ264"/>
      <c r="DK264"/>
      <c r="DL264"/>
      <c r="DM264"/>
      <c r="DN264"/>
    </row>
    <row r="265" spans="3:118" s="238" customFormat="1" ht="15.75" customHeight="1" x14ac:dyDescent="0.25">
      <c r="C265"/>
      <c r="D265"/>
      <c r="E265"/>
      <c r="F265"/>
      <c r="G265"/>
      <c r="H265"/>
      <c r="I265"/>
      <c r="J265"/>
      <c r="K265"/>
      <c r="L265"/>
      <c r="M265"/>
      <c r="N265"/>
      <c r="O265" s="372"/>
      <c r="P265" s="366">
        <v>2015</v>
      </c>
      <c r="Q265" s="367">
        <f>LARGE($CB$153:$CB$302,113)</f>
        <v>16.899999999999999</v>
      </c>
      <c r="R265" s="357">
        <f t="shared" si="100"/>
        <v>-147.69999999999999</v>
      </c>
      <c r="S265" s="356">
        <f t="shared" si="99"/>
        <v>21815.289999999997</v>
      </c>
      <c r="U265" s="356">
        <f t="shared" si="101"/>
        <v>-9.2312499999999993</v>
      </c>
      <c r="V265" s="238">
        <f t="shared" si="105"/>
        <v>8</v>
      </c>
      <c r="W265" s="354"/>
      <c r="X265" s="371"/>
      <c r="Y265" s="371"/>
      <c r="Z265" s="321">
        <v>2015</v>
      </c>
      <c r="AA265" s="367">
        <f>LARGE($CU$153:$CU$302,113)</f>
        <v>52</v>
      </c>
      <c r="AB265" s="357">
        <f t="shared" si="102"/>
        <v>-171.13333333333333</v>
      </c>
      <c r="AC265" s="356">
        <f t="shared" si="104"/>
        <v>29286.617777777774</v>
      </c>
      <c r="AD265" s="356"/>
      <c r="AE265" s="356">
        <f t="shared" si="103"/>
        <v>-10.695833333333333</v>
      </c>
      <c r="AF265" s="238">
        <f t="shared" si="106"/>
        <v>8</v>
      </c>
      <c r="AG265" s="354"/>
      <c r="AK265"/>
      <c r="AL265"/>
      <c r="AM265"/>
      <c r="AN265"/>
      <c r="AO265"/>
      <c r="AP265"/>
      <c r="BI265" s="360"/>
      <c r="BJ265" s="354"/>
      <c r="BK265" s="366">
        <v>2015</v>
      </c>
      <c r="BL265" s="365" t="s">
        <v>1316</v>
      </c>
      <c r="BM265" s="366" t="s">
        <v>140</v>
      </c>
      <c r="BN265" s="366" t="s">
        <v>3</v>
      </c>
      <c r="BO265" s="366">
        <v>0</v>
      </c>
      <c r="BP265" s="366">
        <v>0</v>
      </c>
      <c r="BQ265" s="366">
        <v>0</v>
      </c>
      <c r="BR265" s="366">
        <v>1</v>
      </c>
      <c r="BS265" s="366">
        <v>1</v>
      </c>
      <c r="BT265" s="366">
        <v>1</v>
      </c>
      <c r="BU265" s="366">
        <v>7</v>
      </c>
      <c r="BV265" s="366">
        <v>1</v>
      </c>
      <c r="BW265" s="366">
        <v>0</v>
      </c>
      <c r="BX265" s="366">
        <v>0</v>
      </c>
      <c r="BY265" s="366">
        <v>16</v>
      </c>
      <c r="BZ265" s="366">
        <v>0</v>
      </c>
      <c r="CA265" s="366">
        <v>1</v>
      </c>
      <c r="CB265" s="367">
        <f>IFERROR(BO265/Instructions!$J$25,0)+BP265*Instructions!$J$27+BQ265*Instructions!$J$29+IFERROR(BR265/Instructions!$E$34,0)+BS265*Instructions!$E$36+Tier!BT266*Instructions!$E$25+IFERROR(BU265/Instructions!$E$27,0)+BV265*Instructions!$E$29+IFERROR((BW265+BY265)/Instructions!$J$32,0)+(BX265+BZ265)*Instructions!$J$34+Tier!CA265*-2</f>
        <v>10.8</v>
      </c>
      <c r="CC265" s="354"/>
      <c r="CD265" s="321">
        <v>2015</v>
      </c>
      <c r="CE265" s="365" t="s">
        <v>1269</v>
      </c>
      <c r="CF265" s="366" t="s">
        <v>151</v>
      </c>
      <c r="CG265" s="366" t="s">
        <v>6</v>
      </c>
      <c r="CH265" s="366">
        <v>0</v>
      </c>
      <c r="CI265" s="366">
        <v>0</v>
      </c>
      <c r="CJ265" s="366">
        <v>0</v>
      </c>
      <c r="CK265" s="366">
        <v>0</v>
      </c>
      <c r="CL265" s="366">
        <v>0</v>
      </c>
      <c r="CM265" s="366">
        <v>14</v>
      </c>
      <c r="CN265" s="366">
        <v>129</v>
      </c>
      <c r="CO265" s="366">
        <v>0</v>
      </c>
      <c r="CP265" s="366">
        <v>280</v>
      </c>
      <c r="CQ265" s="366">
        <v>0</v>
      </c>
      <c r="CR265" s="366">
        <v>338</v>
      </c>
      <c r="CS265" s="366">
        <v>0</v>
      </c>
      <c r="CT265" s="366">
        <v>0</v>
      </c>
      <c r="CU265" s="367">
        <f>IFERROR(CH265/Instructions!$J$25,0)+CI265*Instructions!$J$27+CJ265*Instructions!$J$29+IFERROR(CK265/Instructions!$E$34,0)+CL265*Instructions!$E$36+Tier!CM265*Instructions!$E$25+IFERROR(CN265/Instructions!$E$27,0)+CO265*Instructions!$E$29+IFERROR((CP265+CR265)/Instructions!$J$32,0)+(CQ265+CS265)*Instructions!$J$34+Tier!CT265*-2</f>
        <v>26.9</v>
      </c>
      <c r="CV265" s="354"/>
      <c r="CW265"/>
      <c r="CX265"/>
      <c r="CY265"/>
      <c r="CZ265"/>
      <c r="DA265"/>
      <c r="DB265"/>
      <c r="DC265"/>
      <c r="DD265"/>
      <c r="DE265"/>
      <c r="DF265"/>
      <c r="DG265"/>
      <c r="DH265"/>
      <c r="DI265"/>
      <c r="DJ265"/>
      <c r="DK265"/>
      <c r="DL265"/>
      <c r="DM265"/>
      <c r="DN265"/>
    </row>
    <row r="266" spans="3:118" s="238" customFormat="1" ht="15.75" customHeight="1" x14ac:dyDescent="0.25">
      <c r="C266"/>
      <c r="D266"/>
      <c r="E266"/>
      <c r="F266"/>
      <c r="G266"/>
      <c r="H266"/>
      <c r="I266"/>
      <c r="J266"/>
      <c r="K266"/>
      <c r="L266"/>
      <c r="M266"/>
      <c r="N266"/>
      <c r="O266" s="372"/>
      <c r="P266" s="366">
        <v>2015</v>
      </c>
      <c r="Q266" s="367">
        <f>LARGE($CB$153:$CB$302,114)</f>
        <v>15.899999999999999</v>
      </c>
      <c r="R266" s="357">
        <f t="shared" si="100"/>
        <v>-148.69999999999999</v>
      </c>
      <c r="S266" s="356">
        <f t="shared" si="99"/>
        <v>22111.689999999995</v>
      </c>
      <c r="U266" s="356">
        <f t="shared" si="101"/>
        <v>-9.2937499999999993</v>
      </c>
      <c r="V266" s="238">
        <f t="shared" si="105"/>
        <v>8</v>
      </c>
      <c r="W266" s="354"/>
      <c r="X266" s="371"/>
      <c r="Y266" s="371"/>
      <c r="Z266" s="321">
        <v>2015</v>
      </c>
      <c r="AA266" s="367">
        <f>LARGE($CU$153:$CU$302,114)</f>
        <v>50.1</v>
      </c>
      <c r="AB266" s="357">
        <f t="shared" si="102"/>
        <v>-173.03333333333333</v>
      </c>
      <c r="AC266" s="356">
        <f t="shared" si="104"/>
        <v>29940.534444444445</v>
      </c>
      <c r="AD266" s="356"/>
      <c r="AE266" s="356">
        <f t="shared" si="103"/>
        <v>-10.814583333333333</v>
      </c>
      <c r="AF266" s="238">
        <f t="shared" si="106"/>
        <v>8</v>
      </c>
      <c r="AG266" s="354"/>
      <c r="AK266"/>
      <c r="AL266"/>
      <c r="AM266"/>
      <c r="AN266"/>
      <c r="AO266"/>
      <c r="AP266"/>
      <c r="BI266" s="360"/>
      <c r="BJ266" s="354"/>
      <c r="BK266" s="366">
        <v>2015</v>
      </c>
      <c r="BL266" s="365" t="s">
        <v>1660</v>
      </c>
      <c r="BM266" s="366" t="s">
        <v>140</v>
      </c>
      <c r="BN266" s="366" t="s">
        <v>3</v>
      </c>
      <c r="BO266" s="366">
        <v>0</v>
      </c>
      <c r="BP266" s="366">
        <v>0</v>
      </c>
      <c r="BQ266" s="366">
        <v>0</v>
      </c>
      <c r="BR266" s="366">
        <v>72</v>
      </c>
      <c r="BS266" s="366">
        <v>1</v>
      </c>
      <c r="BT266" s="366">
        <v>0</v>
      </c>
      <c r="BU266" s="366">
        <v>0</v>
      </c>
      <c r="BV266" s="366">
        <v>0</v>
      </c>
      <c r="BW266" s="366">
        <v>0</v>
      </c>
      <c r="BX266" s="366">
        <v>0</v>
      </c>
      <c r="BY266" s="366">
        <v>0</v>
      </c>
      <c r="BZ266" s="366">
        <v>0</v>
      </c>
      <c r="CA266" s="366">
        <v>0</v>
      </c>
      <c r="CB266" s="367">
        <f>IFERROR(BO266/Instructions!$J$25,0)+BP266*Instructions!$J$27+BQ266*Instructions!$J$29+IFERROR(BR266/Instructions!$E$34,0)+BS266*Instructions!$E$36+Tier!BT267*Instructions!$E$25+IFERROR(BU266/Instructions!$E$27,0)+BV266*Instructions!$E$29+IFERROR((BW266+BY266)/Instructions!$J$32,0)+(BX266+BZ266)*Instructions!$J$34+Tier!CA266*-2</f>
        <v>14.2</v>
      </c>
      <c r="CC266" s="354"/>
      <c r="CD266" s="321">
        <v>2015</v>
      </c>
      <c r="CE266" s="365" t="s">
        <v>211</v>
      </c>
      <c r="CF266" s="366" t="s">
        <v>1633</v>
      </c>
      <c r="CG266" s="366" t="s">
        <v>6</v>
      </c>
      <c r="CH266" s="366">
        <v>0</v>
      </c>
      <c r="CI266" s="366">
        <v>0</v>
      </c>
      <c r="CJ266" s="366">
        <v>0</v>
      </c>
      <c r="CK266" s="366">
        <v>2</v>
      </c>
      <c r="CL266" s="366">
        <v>0</v>
      </c>
      <c r="CM266" s="366">
        <v>9</v>
      </c>
      <c r="CN266" s="366">
        <v>88</v>
      </c>
      <c r="CO266" s="366">
        <v>0</v>
      </c>
      <c r="CP266" s="366">
        <v>214</v>
      </c>
      <c r="CQ266" s="366">
        <v>0</v>
      </c>
      <c r="CR266" s="366">
        <v>470</v>
      </c>
      <c r="CS266" s="366">
        <v>0</v>
      </c>
      <c r="CT266" s="366">
        <v>0</v>
      </c>
      <c r="CU266" s="367">
        <f>IFERROR(CH266/Instructions!$J$25,0)+CI266*Instructions!$J$27+CJ266*Instructions!$J$29+IFERROR(CK266/Instructions!$E$34,0)+CL266*Instructions!$E$36+Tier!CM266*Instructions!$E$25+IFERROR(CN266/Instructions!$E$27,0)+CO266*Instructions!$E$29+IFERROR((CP266+CR266)/Instructions!$J$32,0)+(CQ266+CS266)*Instructions!$J$34+Tier!CT266*-2</f>
        <v>18</v>
      </c>
      <c r="CV266" s="354"/>
      <c r="CW266"/>
      <c r="CX266"/>
      <c r="CY266"/>
      <c r="CZ266"/>
      <c r="DA266"/>
      <c r="DB266"/>
      <c r="DC266"/>
      <c r="DD266"/>
      <c r="DE266"/>
      <c r="DF266"/>
      <c r="DG266"/>
      <c r="DH266"/>
      <c r="DI266"/>
      <c r="DJ266"/>
      <c r="DK266"/>
      <c r="DL266"/>
      <c r="DM266"/>
      <c r="DN266"/>
    </row>
    <row r="267" spans="3:118" s="238" customFormat="1" ht="15.75" customHeight="1" x14ac:dyDescent="0.25">
      <c r="C267"/>
      <c r="D267"/>
      <c r="E267"/>
      <c r="F267"/>
      <c r="G267"/>
      <c r="H267"/>
      <c r="I267"/>
      <c r="J267"/>
      <c r="K267"/>
      <c r="L267"/>
      <c r="M267"/>
      <c r="N267"/>
      <c r="O267" s="372"/>
      <c r="P267" s="366">
        <v>2015</v>
      </c>
      <c r="Q267" s="367">
        <f>LARGE($CB$153:$CB$302,115)</f>
        <v>15.700000000000001</v>
      </c>
      <c r="R267" s="357">
        <f t="shared" si="100"/>
        <v>-148.9</v>
      </c>
      <c r="S267" s="356">
        <f t="shared" si="99"/>
        <v>22171.210000000003</v>
      </c>
      <c r="U267" s="356">
        <f t="shared" si="101"/>
        <v>-9.3062500000000004</v>
      </c>
      <c r="V267" s="238">
        <f t="shared" si="105"/>
        <v>8</v>
      </c>
      <c r="W267" s="354"/>
      <c r="X267" s="371"/>
      <c r="Y267" s="371"/>
      <c r="Z267" s="321">
        <v>2015</v>
      </c>
      <c r="AA267" s="367">
        <f>LARGE($CU$153:$CU$302,115)</f>
        <v>49.900000000000006</v>
      </c>
      <c r="AB267" s="357">
        <f t="shared" si="102"/>
        <v>-173.23333333333332</v>
      </c>
      <c r="AC267" s="356">
        <f t="shared" si="104"/>
        <v>30009.787777777772</v>
      </c>
      <c r="AD267" s="356"/>
      <c r="AE267" s="356">
        <f t="shared" si="103"/>
        <v>-10.827083333333333</v>
      </c>
      <c r="AF267" s="238">
        <f t="shared" si="106"/>
        <v>8</v>
      </c>
      <c r="AG267" s="354"/>
      <c r="AK267"/>
      <c r="AL267"/>
      <c r="AM267"/>
      <c r="AN267"/>
      <c r="AO267"/>
      <c r="AP267"/>
      <c r="BI267" s="360"/>
      <c r="BJ267" s="354"/>
      <c r="BK267" s="366">
        <v>2015</v>
      </c>
      <c r="BL267" s="365" t="s">
        <v>87</v>
      </c>
      <c r="BM267" s="366" t="s">
        <v>1628</v>
      </c>
      <c r="BN267" s="366" t="s">
        <v>3</v>
      </c>
      <c r="BO267" s="366">
        <v>0</v>
      </c>
      <c r="BP267" s="366">
        <v>0</v>
      </c>
      <c r="BQ267" s="366">
        <v>0</v>
      </c>
      <c r="BR267" s="366">
        <v>50</v>
      </c>
      <c r="BS267" s="366">
        <v>1</v>
      </c>
      <c r="BT267" s="366">
        <v>1</v>
      </c>
      <c r="BU267" s="366">
        <v>20</v>
      </c>
      <c r="BV267" s="366">
        <v>0</v>
      </c>
      <c r="BW267" s="366">
        <v>0</v>
      </c>
      <c r="BX267" s="366">
        <v>0</v>
      </c>
      <c r="BY267" s="366">
        <v>0</v>
      </c>
      <c r="BZ267" s="366">
        <v>0</v>
      </c>
      <c r="CA267" s="366">
        <v>0</v>
      </c>
      <c r="CB267" s="367">
        <f>IFERROR(BO267/Instructions!$J$25,0)+BP267*Instructions!$J$27+BQ267*Instructions!$J$29+IFERROR(BR267/Instructions!$E$34,0)+BS267*Instructions!$E$36+Tier!BT268*Instructions!$E$25+IFERROR(BU267/Instructions!$E$27,0)+BV267*Instructions!$E$29+IFERROR((BW267+BY267)/Instructions!$J$32,0)+(BX267+BZ267)*Instructions!$J$34+Tier!CA267*-2</f>
        <v>19</v>
      </c>
      <c r="CC267" s="354"/>
      <c r="CD267" s="321">
        <v>2015</v>
      </c>
      <c r="CE267" s="365" t="s">
        <v>1114</v>
      </c>
      <c r="CF267" s="366" t="s">
        <v>1624</v>
      </c>
      <c r="CG267" s="366" t="s">
        <v>6</v>
      </c>
      <c r="CH267" s="366">
        <v>0</v>
      </c>
      <c r="CI267" s="366">
        <v>0</v>
      </c>
      <c r="CJ267" s="366">
        <v>0</v>
      </c>
      <c r="CK267" s="366">
        <v>14</v>
      </c>
      <c r="CL267" s="366">
        <v>0</v>
      </c>
      <c r="CM267" s="366">
        <v>15</v>
      </c>
      <c r="CN267" s="366">
        <v>136</v>
      </c>
      <c r="CO267" s="366">
        <v>2</v>
      </c>
      <c r="CP267" s="366">
        <v>0</v>
      </c>
      <c r="CQ267" s="366">
        <v>0</v>
      </c>
      <c r="CR267" s="366">
        <v>218</v>
      </c>
      <c r="CS267" s="366">
        <v>0</v>
      </c>
      <c r="CT267" s="366">
        <v>0</v>
      </c>
      <c r="CU267" s="367">
        <f>IFERROR(CH267/Instructions!$J$25,0)+CI267*Instructions!$J$27+CJ267*Instructions!$J$29+IFERROR(CK267/Instructions!$E$34,0)+CL267*Instructions!$E$36+Tier!CM267*Instructions!$E$25+IFERROR(CN267/Instructions!$E$27,0)+CO267*Instructions!$E$29+IFERROR((CP267+CR267)/Instructions!$J$32,0)+(CQ267+CS267)*Instructions!$J$34+Tier!CT267*-2</f>
        <v>42</v>
      </c>
      <c r="CV267" s="354"/>
      <c r="CW267"/>
      <c r="CX267"/>
      <c r="CY267"/>
      <c r="CZ267"/>
      <c r="DA267"/>
      <c r="DB267"/>
      <c r="DC267"/>
      <c r="DD267"/>
      <c r="DE267"/>
      <c r="DF267"/>
      <c r="DG267"/>
      <c r="DH267"/>
      <c r="DI267"/>
      <c r="DJ267"/>
      <c r="DK267"/>
      <c r="DL267"/>
      <c r="DM267"/>
      <c r="DN267"/>
    </row>
    <row r="268" spans="3:118" s="238" customFormat="1" ht="15.75" customHeight="1" x14ac:dyDescent="0.25">
      <c r="C268"/>
      <c r="D268"/>
      <c r="E268"/>
      <c r="F268"/>
      <c r="G268"/>
      <c r="H268"/>
      <c r="I268"/>
      <c r="J268"/>
      <c r="K268"/>
      <c r="L268"/>
      <c r="M268"/>
      <c r="N268"/>
      <c r="O268" s="372"/>
      <c r="P268" s="366">
        <v>2015</v>
      </c>
      <c r="Q268" s="367">
        <f>LARGE($CB$153:$CB$302,116)</f>
        <v>15.600000000000001</v>
      </c>
      <c r="R268" s="357">
        <f t="shared" si="100"/>
        <v>-149</v>
      </c>
      <c r="S268" s="356">
        <f t="shared" ref="S268:S302" si="107">R268^2</f>
        <v>22201</v>
      </c>
      <c r="U268" s="356">
        <f t="shared" si="101"/>
        <v>-9.3125</v>
      </c>
      <c r="V268" s="238">
        <f t="shared" si="105"/>
        <v>8</v>
      </c>
      <c r="W268" s="354"/>
      <c r="X268" s="371"/>
      <c r="Y268" s="371"/>
      <c r="Z268" s="321">
        <v>2015</v>
      </c>
      <c r="AA268" s="367">
        <f>LARGE($CU$153:$CU$302,116)</f>
        <v>48.2</v>
      </c>
      <c r="AB268" s="357">
        <f t="shared" si="102"/>
        <v>-174.93333333333334</v>
      </c>
      <c r="AC268" s="356">
        <f t="shared" si="104"/>
        <v>30601.671111111111</v>
      </c>
      <c r="AD268" s="356"/>
      <c r="AE268" s="356">
        <f t="shared" si="103"/>
        <v>-10.933333333333334</v>
      </c>
      <c r="AF268" s="238">
        <f t="shared" si="106"/>
        <v>8</v>
      </c>
      <c r="AG268" s="354"/>
      <c r="AK268"/>
      <c r="AL268"/>
      <c r="AM268"/>
      <c r="AN268"/>
      <c r="AO268"/>
      <c r="AP268"/>
      <c r="BI268" s="360"/>
      <c r="BJ268" s="354"/>
      <c r="BK268" s="366">
        <v>2015</v>
      </c>
      <c r="BL268" s="365" t="s">
        <v>1661</v>
      </c>
      <c r="BM268" s="366" t="s">
        <v>1630</v>
      </c>
      <c r="BN268" s="366" t="s">
        <v>3</v>
      </c>
      <c r="BO268" s="366">
        <v>0</v>
      </c>
      <c r="BP268" s="366">
        <v>0</v>
      </c>
      <c r="BQ268" s="366">
        <v>0</v>
      </c>
      <c r="BR268" s="366">
        <v>52</v>
      </c>
      <c r="BS268" s="366">
        <v>0</v>
      </c>
      <c r="BT268" s="366">
        <v>6</v>
      </c>
      <c r="BU268" s="366">
        <v>27</v>
      </c>
      <c r="BV268" s="366">
        <v>0</v>
      </c>
      <c r="BW268" s="366">
        <v>76</v>
      </c>
      <c r="BX268" s="366">
        <v>0</v>
      </c>
      <c r="BY268" s="366">
        <v>0</v>
      </c>
      <c r="BZ268" s="366">
        <v>0</v>
      </c>
      <c r="CA268" s="366">
        <v>0</v>
      </c>
      <c r="CB268" s="367">
        <f>IFERROR(BO268/Instructions!$J$25,0)+BP268*Instructions!$J$27+BQ268*Instructions!$J$29+IFERROR(BR268/Instructions!$E$34,0)+BS268*Instructions!$E$36+Tier!BT269*Instructions!$E$25+IFERROR(BU268/Instructions!$E$27,0)+BV268*Instructions!$E$29+IFERROR((BW268+BY268)/Instructions!$J$32,0)+(BX268+BZ268)*Instructions!$J$34+Tier!CA268*-2</f>
        <v>15.899999999999999</v>
      </c>
      <c r="CC268" s="354"/>
      <c r="CD268" s="321">
        <v>2015</v>
      </c>
      <c r="CE268" s="365" t="s">
        <v>1276</v>
      </c>
      <c r="CF268" s="366" t="s">
        <v>162</v>
      </c>
      <c r="CG268" s="366" t="s">
        <v>6</v>
      </c>
      <c r="CH268" s="366">
        <v>0</v>
      </c>
      <c r="CI268" s="366">
        <v>0</v>
      </c>
      <c r="CJ268" s="366">
        <v>0</v>
      </c>
      <c r="CK268" s="366">
        <v>0</v>
      </c>
      <c r="CL268" s="366">
        <v>0</v>
      </c>
      <c r="CM268" s="366">
        <v>31</v>
      </c>
      <c r="CN268" s="366">
        <v>363</v>
      </c>
      <c r="CO268" s="366">
        <v>0</v>
      </c>
      <c r="CP268" s="366">
        <v>0</v>
      </c>
      <c r="CQ268" s="366">
        <v>0</v>
      </c>
      <c r="CR268" s="366">
        <v>0</v>
      </c>
      <c r="CS268" s="366">
        <v>0</v>
      </c>
      <c r="CT268" s="366">
        <v>0</v>
      </c>
      <c r="CU268" s="367">
        <f>IFERROR(CH268/Instructions!$J$25,0)+CI268*Instructions!$J$27+CJ268*Instructions!$J$29+IFERROR(CK268/Instructions!$E$34,0)+CL268*Instructions!$E$36+Tier!CM268*Instructions!$E$25+IFERROR(CN268/Instructions!$E$27,0)+CO268*Instructions!$E$29+IFERROR((CP268+CR268)/Instructions!$J$32,0)+(CQ268+CS268)*Instructions!$J$34+Tier!CT268*-2</f>
        <v>67.3</v>
      </c>
      <c r="CV268" s="354"/>
      <c r="CW268"/>
      <c r="CX268"/>
      <c r="CY268"/>
      <c r="CZ268"/>
      <c r="DA268"/>
      <c r="DB268"/>
      <c r="DC268"/>
      <c r="DD268"/>
      <c r="DE268"/>
      <c r="DF268"/>
      <c r="DG268"/>
      <c r="DH268"/>
      <c r="DI268"/>
      <c r="DJ268"/>
      <c r="DK268"/>
      <c r="DL268"/>
      <c r="DM268"/>
      <c r="DN268"/>
    </row>
    <row r="269" spans="3:118" s="238" customFormat="1" ht="15.75" customHeight="1" x14ac:dyDescent="0.25">
      <c r="C269"/>
      <c r="D269"/>
      <c r="E269"/>
      <c r="F269"/>
      <c r="G269"/>
      <c r="H269"/>
      <c r="I269"/>
      <c r="J269"/>
      <c r="K269"/>
      <c r="L269"/>
      <c r="M269"/>
      <c r="N269"/>
      <c r="O269" s="372"/>
      <c r="P269" s="366">
        <v>2015</v>
      </c>
      <c r="Q269" s="367">
        <f>LARGE($CB$153:$CB$302,117)</f>
        <v>14.6</v>
      </c>
      <c r="R269" s="357">
        <f t="shared" si="100"/>
        <v>-150</v>
      </c>
      <c r="S269" s="356">
        <f t="shared" si="107"/>
        <v>22500</v>
      </c>
      <c r="U269" s="356">
        <f t="shared" si="101"/>
        <v>-9.375</v>
      </c>
      <c r="V269" s="238">
        <f t="shared" si="105"/>
        <v>8</v>
      </c>
      <c r="W269" s="354"/>
      <c r="X269" s="371"/>
      <c r="Y269" s="371"/>
      <c r="Z269" s="321">
        <v>2015</v>
      </c>
      <c r="AA269" s="367">
        <f>LARGE($CU$153:$CU$302,117)</f>
        <v>48.1</v>
      </c>
      <c r="AB269" s="357">
        <f t="shared" si="102"/>
        <v>-175.03333333333333</v>
      </c>
      <c r="AC269" s="356">
        <f t="shared" si="104"/>
        <v>30636.667777777777</v>
      </c>
      <c r="AD269" s="356"/>
      <c r="AE269" s="356">
        <f t="shared" si="103"/>
        <v>-10.939583333333333</v>
      </c>
      <c r="AF269" s="238">
        <f t="shared" si="106"/>
        <v>8</v>
      </c>
      <c r="AG269" s="354"/>
      <c r="AK269"/>
      <c r="AL269"/>
      <c r="AM269"/>
      <c r="AN269"/>
      <c r="AO269"/>
      <c r="AP269"/>
      <c r="BI269" s="360"/>
      <c r="BJ269" s="354"/>
      <c r="BK269" s="366">
        <v>2015</v>
      </c>
      <c r="BL269" s="365" t="s">
        <v>1662</v>
      </c>
      <c r="BM269" s="366" t="s">
        <v>1630</v>
      </c>
      <c r="BN269" s="366" t="s">
        <v>3</v>
      </c>
      <c r="BO269" s="366">
        <v>0</v>
      </c>
      <c r="BP269" s="366">
        <v>0</v>
      </c>
      <c r="BQ269" s="366">
        <v>0</v>
      </c>
      <c r="BR269" s="366">
        <v>38</v>
      </c>
      <c r="BS269" s="366">
        <v>0</v>
      </c>
      <c r="BT269" s="366">
        <v>8</v>
      </c>
      <c r="BU269" s="366">
        <v>69</v>
      </c>
      <c r="BV269" s="366">
        <v>0</v>
      </c>
      <c r="BW269" s="366">
        <v>0</v>
      </c>
      <c r="BX269" s="366">
        <v>0</v>
      </c>
      <c r="BY269" s="366">
        <v>0</v>
      </c>
      <c r="BZ269" s="366">
        <v>0</v>
      </c>
      <c r="CA269" s="366">
        <v>0</v>
      </c>
      <c r="CB269" s="367">
        <f>IFERROR(BO269/Instructions!$J$25,0)+BP269*Instructions!$J$27+BQ269*Instructions!$J$29+IFERROR(BR269/Instructions!$E$34,0)+BS269*Instructions!$E$36+Tier!BT270*Instructions!$E$25+IFERROR(BU269/Instructions!$E$27,0)+BV269*Instructions!$E$29+IFERROR((BW269+BY269)/Instructions!$J$32,0)+(BX269+BZ269)*Instructions!$J$34+Tier!CA269*-2</f>
        <v>15.700000000000001</v>
      </c>
      <c r="CC269" s="354"/>
      <c r="CD269" s="321">
        <v>2015</v>
      </c>
      <c r="CE269" s="365" t="s">
        <v>1244</v>
      </c>
      <c r="CF269" s="366" t="s">
        <v>145</v>
      </c>
      <c r="CG269" s="366" t="s">
        <v>6</v>
      </c>
      <c r="CH269" s="366">
        <v>0</v>
      </c>
      <c r="CI269" s="366">
        <v>0</v>
      </c>
      <c r="CJ269" s="366">
        <v>0</v>
      </c>
      <c r="CK269" s="366">
        <v>0</v>
      </c>
      <c r="CL269" s="366">
        <v>0</v>
      </c>
      <c r="CM269" s="366">
        <v>2</v>
      </c>
      <c r="CN269" s="366">
        <v>59</v>
      </c>
      <c r="CO269" s="366">
        <v>1</v>
      </c>
      <c r="CP269" s="366">
        <v>171</v>
      </c>
      <c r="CQ269" s="366">
        <v>0</v>
      </c>
      <c r="CR269" s="366">
        <v>413</v>
      </c>
      <c r="CS269" s="366">
        <v>0</v>
      </c>
      <c r="CT269" s="366">
        <v>0</v>
      </c>
      <c r="CU269" s="367">
        <f>IFERROR(CH269/Instructions!$J$25,0)+CI269*Instructions!$J$27+CJ269*Instructions!$J$29+IFERROR(CK269/Instructions!$E$34,0)+CL269*Instructions!$E$36+Tier!CM269*Instructions!$E$25+IFERROR(CN269/Instructions!$E$27,0)+CO269*Instructions!$E$29+IFERROR((CP269+CR269)/Instructions!$J$32,0)+(CQ269+CS269)*Instructions!$J$34+Tier!CT269*-2</f>
        <v>13.9</v>
      </c>
      <c r="CV269" s="354"/>
      <c r="CW269"/>
      <c r="CX269"/>
      <c r="CY269"/>
      <c r="CZ269"/>
      <c r="DA269"/>
      <c r="DB269"/>
      <c r="DC269"/>
      <c r="DD269"/>
      <c r="DE269"/>
      <c r="DF269"/>
      <c r="DG269"/>
      <c r="DH269"/>
      <c r="DI269"/>
      <c r="DJ269"/>
      <c r="DK269"/>
      <c r="DL269"/>
      <c r="DM269"/>
      <c r="DN269"/>
    </row>
    <row r="270" spans="3:118" s="238" customFormat="1" ht="15.75" customHeight="1" x14ac:dyDescent="0.25">
      <c r="C270"/>
      <c r="D270"/>
      <c r="E270"/>
      <c r="F270"/>
      <c r="G270"/>
      <c r="H270"/>
      <c r="I270"/>
      <c r="J270"/>
      <c r="K270"/>
      <c r="L270"/>
      <c r="M270"/>
      <c r="N270"/>
      <c r="O270" s="372"/>
      <c r="P270" s="366">
        <v>2015</v>
      </c>
      <c r="Q270" s="367">
        <f>LARGE($CB$153:$CB$302,118)</f>
        <v>14.2</v>
      </c>
      <c r="R270" s="357">
        <f t="shared" si="100"/>
        <v>-150.4</v>
      </c>
      <c r="S270" s="356">
        <f t="shared" si="107"/>
        <v>22620.160000000003</v>
      </c>
      <c r="U270" s="356">
        <f t="shared" si="101"/>
        <v>-9.4</v>
      </c>
      <c r="V270" s="238">
        <f t="shared" si="105"/>
        <v>8</v>
      </c>
      <c r="W270" s="354"/>
      <c r="X270" s="371"/>
      <c r="Y270" s="371"/>
      <c r="Z270" s="321">
        <v>2015</v>
      </c>
      <c r="AA270" s="367">
        <f>LARGE($CU$153:$CU$302,118)</f>
        <v>46.4</v>
      </c>
      <c r="AB270" s="357">
        <f t="shared" si="102"/>
        <v>-176.73333333333332</v>
      </c>
      <c r="AC270" s="356">
        <f t="shared" si="104"/>
        <v>31234.671111111107</v>
      </c>
      <c r="AD270" s="356"/>
      <c r="AE270" s="356">
        <f t="shared" si="103"/>
        <v>-11.045833333333333</v>
      </c>
      <c r="AF270" s="238">
        <f t="shared" si="106"/>
        <v>8</v>
      </c>
      <c r="AG270" s="354"/>
      <c r="AK270"/>
      <c r="AL270"/>
      <c r="AM270"/>
      <c r="AN270"/>
      <c r="AO270"/>
      <c r="AP270"/>
      <c r="BI270" s="360"/>
      <c r="BJ270" s="354"/>
      <c r="BK270" s="366">
        <v>2015</v>
      </c>
      <c r="BL270" s="365" t="s">
        <v>1235</v>
      </c>
      <c r="BM270" s="366" t="s">
        <v>1625</v>
      </c>
      <c r="BN270" s="366" t="s">
        <v>3</v>
      </c>
      <c r="BO270" s="366">
        <v>0</v>
      </c>
      <c r="BP270" s="366">
        <v>0</v>
      </c>
      <c r="BQ270" s="366">
        <v>0</v>
      </c>
      <c r="BR270" s="366">
        <v>9</v>
      </c>
      <c r="BS270" s="366">
        <v>1</v>
      </c>
      <c r="BT270" s="366">
        <v>5</v>
      </c>
      <c r="BU270" s="366">
        <v>30</v>
      </c>
      <c r="BV270" s="366">
        <v>0</v>
      </c>
      <c r="BW270" s="366">
        <v>0</v>
      </c>
      <c r="BX270" s="366">
        <v>0</v>
      </c>
      <c r="BY270" s="366">
        <v>0</v>
      </c>
      <c r="BZ270" s="366">
        <v>0</v>
      </c>
      <c r="CA270" s="366">
        <v>0</v>
      </c>
      <c r="CB270" s="367">
        <f>IFERROR(BO270/Instructions!$J$25,0)+BP270*Instructions!$J$27+BQ270*Instructions!$J$29+IFERROR(BR270/Instructions!$E$34,0)+BS270*Instructions!$E$36+Tier!BT271*Instructions!$E$25+IFERROR(BU270/Instructions!$E$27,0)+BV270*Instructions!$E$29+IFERROR((BW270+BY270)/Instructions!$J$32,0)+(BX270+BZ270)*Instructions!$J$34+Tier!CA270*-2</f>
        <v>17.899999999999999</v>
      </c>
      <c r="CC270" s="354"/>
      <c r="CD270" s="321">
        <v>2015</v>
      </c>
      <c r="CE270" s="365" t="s">
        <v>72</v>
      </c>
      <c r="CF270" s="366" t="s">
        <v>156</v>
      </c>
      <c r="CG270" s="366" t="s">
        <v>6</v>
      </c>
      <c r="CH270" s="366">
        <v>0</v>
      </c>
      <c r="CI270" s="366">
        <v>0</v>
      </c>
      <c r="CJ270" s="366">
        <v>0</v>
      </c>
      <c r="CK270" s="366">
        <v>31</v>
      </c>
      <c r="CL270" s="366">
        <v>0</v>
      </c>
      <c r="CM270" s="366">
        <v>19</v>
      </c>
      <c r="CN270" s="366">
        <v>218</v>
      </c>
      <c r="CO270" s="366">
        <v>1</v>
      </c>
      <c r="CP270" s="366">
        <v>0</v>
      </c>
      <c r="CQ270" s="366">
        <v>0</v>
      </c>
      <c r="CR270" s="366">
        <v>108</v>
      </c>
      <c r="CS270" s="366">
        <v>0</v>
      </c>
      <c r="CT270" s="366">
        <v>0</v>
      </c>
      <c r="CU270" s="367">
        <f>IFERROR(CH270/Instructions!$J$25,0)+CI270*Instructions!$J$27+CJ270*Instructions!$J$29+IFERROR(CK270/Instructions!$E$34,0)+CL270*Instructions!$E$36+Tier!CM270*Instructions!$E$25+IFERROR(CN270/Instructions!$E$27,0)+CO270*Instructions!$E$29+IFERROR((CP270+CR270)/Instructions!$J$32,0)+(CQ270+CS270)*Instructions!$J$34+Tier!CT270*-2</f>
        <v>49.900000000000006</v>
      </c>
      <c r="CV270" s="354"/>
      <c r="CW270"/>
      <c r="CX270"/>
      <c r="CY270"/>
      <c r="CZ270"/>
      <c r="DA270"/>
      <c r="DB270"/>
      <c r="DC270"/>
      <c r="DD270"/>
      <c r="DE270"/>
      <c r="DF270"/>
      <c r="DG270"/>
      <c r="DH270"/>
      <c r="DI270"/>
      <c r="DJ270"/>
      <c r="DK270"/>
      <c r="DL270"/>
      <c r="DM270"/>
      <c r="DN270"/>
    </row>
    <row r="271" spans="3:118" s="238" customFormat="1" ht="15.75" customHeight="1" x14ac:dyDescent="0.25">
      <c r="C271"/>
      <c r="D271"/>
      <c r="E271"/>
      <c r="F271"/>
      <c r="G271"/>
      <c r="H271"/>
      <c r="I271"/>
      <c r="J271"/>
      <c r="K271"/>
      <c r="L271"/>
      <c r="M271"/>
      <c r="N271"/>
      <c r="O271" s="372"/>
      <c r="P271" s="366">
        <v>2015</v>
      </c>
      <c r="Q271" s="367">
        <f>LARGE($CB$153:$CB$302,119)</f>
        <v>13.9</v>
      </c>
      <c r="R271" s="357">
        <f t="shared" si="100"/>
        <v>-150.69999999999999</v>
      </c>
      <c r="S271" s="356">
        <f t="shared" si="107"/>
        <v>22710.489999999998</v>
      </c>
      <c r="U271" s="356">
        <f t="shared" si="101"/>
        <v>-9.4187499999999993</v>
      </c>
      <c r="V271" s="238">
        <f t="shared" si="105"/>
        <v>8</v>
      </c>
      <c r="W271" s="354"/>
      <c r="X271" s="371"/>
      <c r="Y271" s="371"/>
      <c r="Z271" s="321">
        <v>2015</v>
      </c>
      <c r="AA271" s="367">
        <f>LARGE($CU$153:$CU$302,119)</f>
        <v>46.3</v>
      </c>
      <c r="AB271" s="357">
        <f t="shared" si="102"/>
        <v>-176.83333333333331</v>
      </c>
      <c r="AC271" s="356">
        <f t="shared" si="104"/>
        <v>31270.02777777777</v>
      </c>
      <c r="AD271" s="356"/>
      <c r="AE271" s="356">
        <f t="shared" si="103"/>
        <v>-11.052083333333332</v>
      </c>
      <c r="AF271" s="238">
        <f t="shared" si="106"/>
        <v>8</v>
      </c>
      <c r="AG271" s="354"/>
      <c r="AK271"/>
      <c r="AL271"/>
      <c r="AM271"/>
      <c r="AN271"/>
      <c r="AO271"/>
      <c r="AP271"/>
      <c r="BI271" s="360"/>
      <c r="BJ271" s="354"/>
      <c r="BK271" s="366">
        <v>2015</v>
      </c>
      <c r="BL271" s="365" t="s">
        <v>1300</v>
      </c>
      <c r="BM271" s="366" t="s">
        <v>145</v>
      </c>
      <c r="BN271" s="366" t="s">
        <v>3</v>
      </c>
      <c r="BO271" s="366">
        <v>0</v>
      </c>
      <c r="BP271" s="366">
        <v>0</v>
      </c>
      <c r="BQ271" s="366">
        <v>0</v>
      </c>
      <c r="BR271" s="366">
        <v>0</v>
      </c>
      <c r="BS271" s="366">
        <v>0</v>
      </c>
      <c r="BT271" s="366">
        <v>8</v>
      </c>
      <c r="BU271" s="366">
        <v>99</v>
      </c>
      <c r="BV271" s="366">
        <v>0</v>
      </c>
      <c r="BW271" s="366">
        <v>0</v>
      </c>
      <c r="BX271" s="366">
        <v>0</v>
      </c>
      <c r="BY271" s="366">
        <v>0</v>
      </c>
      <c r="BZ271" s="366">
        <v>0</v>
      </c>
      <c r="CA271" s="366">
        <v>0</v>
      </c>
      <c r="CB271" s="367">
        <f>IFERROR(BO271/Instructions!$J$25,0)+BP271*Instructions!$J$27+BQ271*Instructions!$J$29+IFERROR(BR271/Instructions!$E$34,0)+BS271*Instructions!$E$36+Tier!BT272*Instructions!$E$25+IFERROR(BU271/Instructions!$E$27,0)+BV271*Instructions!$E$29+IFERROR((BW271+BY271)/Instructions!$J$32,0)+(BX271+BZ271)*Instructions!$J$34+Tier!CA271*-2</f>
        <v>16.899999999999999</v>
      </c>
      <c r="CC271" s="354"/>
      <c r="CD271" s="321">
        <v>2015</v>
      </c>
      <c r="CE271" s="365" t="s">
        <v>1273</v>
      </c>
      <c r="CF271" s="366" t="s">
        <v>146</v>
      </c>
      <c r="CG271" s="366" t="s">
        <v>6</v>
      </c>
      <c r="CH271" s="366">
        <v>0</v>
      </c>
      <c r="CI271" s="366">
        <v>0</v>
      </c>
      <c r="CJ271" s="366">
        <v>0</v>
      </c>
      <c r="CK271" s="366">
        <v>107</v>
      </c>
      <c r="CL271" s="366">
        <v>0</v>
      </c>
      <c r="CM271" s="366">
        <v>6</v>
      </c>
      <c r="CN271" s="366">
        <v>16</v>
      </c>
      <c r="CO271" s="366">
        <v>0</v>
      </c>
      <c r="CP271" s="366">
        <v>110</v>
      </c>
      <c r="CQ271" s="366">
        <v>0</v>
      </c>
      <c r="CR271" s="366">
        <v>452</v>
      </c>
      <c r="CS271" s="366">
        <v>0</v>
      </c>
      <c r="CT271" s="366">
        <v>0</v>
      </c>
      <c r="CU271" s="367">
        <f>IFERROR(CH271/Instructions!$J$25,0)+CI271*Instructions!$J$27+CJ271*Instructions!$J$29+IFERROR(CK271/Instructions!$E$34,0)+CL271*Instructions!$E$36+Tier!CM271*Instructions!$E$25+IFERROR(CN271/Instructions!$E$27,0)+CO271*Instructions!$E$29+IFERROR((CP271+CR271)/Instructions!$J$32,0)+(CQ271+CS271)*Instructions!$J$34+Tier!CT271*-2</f>
        <v>18.3</v>
      </c>
      <c r="CV271" s="354"/>
      <c r="CW271"/>
      <c r="CX271"/>
      <c r="CY271"/>
      <c r="CZ271"/>
      <c r="DA271"/>
      <c r="DB271"/>
      <c r="DC271"/>
      <c r="DD271"/>
      <c r="DE271"/>
      <c r="DF271"/>
      <c r="DG271"/>
      <c r="DH271"/>
      <c r="DI271"/>
      <c r="DJ271"/>
      <c r="DK271"/>
      <c r="DL271"/>
      <c r="DM271"/>
      <c r="DN271"/>
    </row>
    <row r="272" spans="3:118" s="238" customFormat="1" ht="15.75" customHeight="1" x14ac:dyDescent="0.25">
      <c r="C272"/>
      <c r="D272"/>
      <c r="E272"/>
      <c r="F272"/>
      <c r="G272"/>
      <c r="H272"/>
      <c r="I272"/>
      <c r="J272"/>
      <c r="K272"/>
      <c r="L272"/>
      <c r="M272"/>
      <c r="N272"/>
      <c r="O272" s="372"/>
      <c r="P272" s="366">
        <v>2015</v>
      </c>
      <c r="Q272" s="367">
        <f>LARGE($CB$153:$CB$302,120)</f>
        <v>13.8</v>
      </c>
      <c r="R272" s="357">
        <f t="shared" si="100"/>
        <v>-150.79999999999998</v>
      </c>
      <c r="S272" s="356">
        <f t="shared" si="107"/>
        <v>22740.639999999996</v>
      </c>
      <c r="U272" s="356">
        <f t="shared" si="101"/>
        <v>-9.4249999999999989</v>
      </c>
      <c r="V272" s="238">
        <f t="shared" si="105"/>
        <v>8</v>
      </c>
      <c r="W272" s="354"/>
      <c r="X272" s="371"/>
      <c r="Y272" s="371"/>
      <c r="Z272" s="321">
        <v>2015</v>
      </c>
      <c r="AA272" s="367">
        <f>LARGE($CU$153:$CU$302,120)</f>
        <v>45.8</v>
      </c>
      <c r="AB272" s="357">
        <f t="shared" si="102"/>
        <v>-177.33333333333331</v>
      </c>
      <c r="AC272" s="356">
        <f t="shared" si="104"/>
        <v>31447.111111111106</v>
      </c>
      <c r="AD272" s="356"/>
      <c r="AE272" s="356">
        <f t="shared" si="103"/>
        <v>-11.083333333333332</v>
      </c>
      <c r="AF272" s="238">
        <f t="shared" si="106"/>
        <v>8</v>
      </c>
      <c r="AG272" s="354"/>
      <c r="AK272"/>
      <c r="AL272"/>
      <c r="AM272"/>
      <c r="AN272"/>
      <c r="AO272"/>
      <c r="AP272"/>
      <c r="BI272" s="360"/>
      <c r="BJ272" s="354"/>
      <c r="BK272" s="366">
        <v>2015</v>
      </c>
      <c r="BL272" s="365" t="s">
        <v>1286</v>
      </c>
      <c r="BM272" s="366" t="s">
        <v>1630</v>
      </c>
      <c r="BN272" s="366" t="s">
        <v>3</v>
      </c>
      <c r="BO272" s="366">
        <v>0</v>
      </c>
      <c r="BP272" s="366">
        <v>0</v>
      </c>
      <c r="BQ272" s="366">
        <v>0</v>
      </c>
      <c r="BR272" s="366">
        <v>58</v>
      </c>
      <c r="BS272" s="366">
        <v>0</v>
      </c>
      <c r="BT272" s="366">
        <v>7</v>
      </c>
      <c r="BU272" s="366">
        <v>38</v>
      </c>
      <c r="BV272" s="366">
        <v>0</v>
      </c>
      <c r="BW272" s="366">
        <v>0</v>
      </c>
      <c r="BX272" s="366">
        <v>0</v>
      </c>
      <c r="BY272" s="366">
        <v>0</v>
      </c>
      <c r="BZ272" s="366">
        <v>0</v>
      </c>
      <c r="CA272" s="366">
        <v>0</v>
      </c>
      <c r="CB272" s="367">
        <f>IFERROR(BO272/Instructions!$J$25,0)+BP272*Instructions!$J$27+BQ272*Instructions!$J$29+IFERROR(BR272/Instructions!$E$34,0)+BS272*Instructions!$E$36+Tier!BT273*Instructions!$E$25+IFERROR(BU272/Instructions!$E$27,0)+BV272*Instructions!$E$29+IFERROR((BW272+BY272)/Instructions!$J$32,0)+(BX272+BZ272)*Instructions!$J$34+Tier!CA272*-2</f>
        <v>15.600000000000001</v>
      </c>
      <c r="CC272" s="354"/>
      <c r="CD272" s="321">
        <v>2015</v>
      </c>
      <c r="CE272" s="365" t="s">
        <v>1258</v>
      </c>
      <c r="CF272" s="366" t="s">
        <v>141</v>
      </c>
      <c r="CG272" s="366" t="s">
        <v>6</v>
      </c>
      <c r="CH272" s="366">
        <v>0</v>
      </c>
      <c r="CI272" s="366">
        <v>0</v>
      </c>
      <c r="CJ272" s="366">
        <v>0</v>
      </c>
      <c r="CK272" s="366">
        <v>0</v>
      </c>
      <c r="CL272" s="366">
        <v>0</v>
      </c>
      <c r="CM272" s="366">
        <v>19</v>
      </c>
      <c r="CN272" s="366">
        <v>224</v>
      </c>
      <c r="CO272" s="366">
        <v>2</v>
      </c>
      <c r="CP272" s="366">
        <v>0</v>
      </c>
      <c r="CQ272" s="366">
        <v>0</v>
      </c>
      <c r="CR272" s="366">
        <v>0</v>
      </c>
      <c r="CS272" s="366">
        <v>0</v>
      </c>
      <c r="CT272" s="366">
        <v>0</v>
      </c>
      <c r="CU272" s="367">
        <f>IFERROR(CH272/Instructions!$J$25,0)+CI272*Instructions!$J$27+CJ272*Instructions!$J$29+IFERROR(CK272/Instructions!$E$34,0)+CL272*Instructions!$E$36+Tier!CM272*Instructions!$E$25+IFERROR(CN272/Instructions!$E$27,0)+CO272*Instructions!$E$29+IFERROR((CP272+CR272)/Instructions!$J$32,0)+(CQ272+CS272)*Instructions!$J$34+Tier!CT272*-2</f>
        <v>53.4</v>
      </c>
      <c r="CV272" s="354"/>
      <c r="CW272"/>
      <c r="CX272"/>
      <c r="CY272"/>
      <c r="CZ272"/>
      <c r="DA272"/>
      <c r="DB272"/>
      <c r="DC272"/>
      <c r="DD272"/>
      <c r="DE272"/>
      <c r="DF272"/>
      <c r="DG272"/>
      <c r="DH272"/>
      <c r="DI272"/>
      <c r="DJ272"/>
      <c r="DK272"/>
      <c r="DL272"/>
      <c r="DM272"/>
      <c r="DN272"/>
    </row>
    <row r="273" spans="3:118" s="238" customFormat="1" ht="15.75" customHeight="1" x14ac:dyDescent="0.25">
      <c r="C273"/>
      <c r="D273"/>
      <c r="E273"/>
      <c r="F273"/>
      <c r="G273"/>
      <c r="H273"/>
      <c r="I273"/>
      <c r="J273"/>
      <c r="K273"/>
      <c r="L273"/>
      <c r="M273"/>
      <c r="N273"/>
      <c r="O273" s="372"/>
      <c r="P273" s="366">
        <v>2015</v>
      </c>
      <c r="Q273" s="367">
        <f>LARGE($CB$153:$CB$302,121)</f>
        <v>13.4</v>
      </c>
      <c r="R273" s="357">
        <f t="shared" si="100"/>
        <v>-151.19999999999999</v>
      </c>
      <c r="S273" s="356">
        <f t="shared" si="107"/>
        <v>22861.439999999995</v>
      </c>
      <c r="U273" s="356">
        <f t="shared" si="101"/>
        <v>-9.4499999999999993</v>
      </c>
      <c r="V273" s="238">
        <f t="shared" si="105"/>
        <v>8</v>
      </c>
      <c r="W273" s="354"/>
      <c r="X273" s="371"/>
      <c r="Y273" s="371"/>
      <c r="Z273" s="321">
        <v>2015</v>
      </c>
      <c r="AA273" s="367">
        <f>LARGE($CU$153:$CU$302,121)</f>
        <v>44.9</v>
      </c>
      <c r="AB273" s="357">
        <f t="shared" si="102"/>
        <v>-178.23333333333332</v>
      </c>
      <c r="AC273" s="356">
        <f t="shared" si="104"/>
        <v>31767.121111111108</v>
      </c>
      <c r="AD273" s="356"/>
      <c r="AE273" s="356">
        <f t="shared" si="103"/>
        <v>-11.139583333333333</v>
      </c>
      <c r="AF273" s="238">
        <f t="shared" si="106"/>
        <v>8</v>
      </c>
      <c r="AG273" s="354"/>
      <c r="AK273"/>
      <c r="AL273"/>
      <c r="AM273"/>
      <c r="AN273"/>
      <c r="AO273"/>
      <c r="AP273"/>
      <c r="BI273" s="360"/>
      <c r="BJ273" s="354"/>
      <c r="BK273" s="366">
        <v>2015</v>
      </c>
      <c r="BL273" s="365" t="s">
        <v>1288</v>
      </c>
      <c r="BM273" s="366" t="s">
        <v>144</v>
      </c>
      <c r="BN273" s="366" t="s">
        <v>3</v>
      </c>
      <c r="BO273" s="366">
        <v>0</v>
      </c>
      <c r="BP273" s="366">
        <v>0</v>
      </c>
      <c r="BQ273" s="366">
        <v>0</v>
      </c>
      <c r="BR273" s="366">
        <v>48</v>
      </c>
      <c r="BS273" s="366">
        <v>0</v>
      </c>
      <c r="BT273" s="366">
        <v>6</v>
      </c>
      <c r="BU273" s="366">
        <v>51</v>
      </c>
      <c r="BV273" s="366">
        <v>0</v>
      </c>
      <c r="BW273" s="366">
        <v>0</v>
      </c>
      <c r="BX273" s="366">
        <v>0</v>
      </c>
      <c r="BY273" s="366">
        <v>0</v>
      </c>
      <c r="BZ273" s="366">
        <v>0</v>
      </c>
      <c r="CA273" s="366">
        <v>0</v>
      </c>
      <c r="CB273" s="367">
        <f>IFERROR(BO273/Instructions!$J$25,0)+BP273*Instructions!$J$27+BQ273*Instructions!$J$29+IFERROR(BR273/Instructions!$E$34,0)+BS273*Instructions!$E$36+Tier!BT274*Instructions!$E$25+IFERROR(BU273/Instructions!$E$27,0)+BV273*Instructions!$E$29+IFERROR((BW273+BY273)/Instructions!$J$32,0)+(BX273+BZ273)*Instructions!$J$34+Tier!CA273*-2</f>
        <v>13.9</v>
      </c>
      <c r="CC273" s="354"/>
      <c r="CD273" s="321">
        <v>2015</v>
      </c>
      <c r="CE273" s="365" t="s">
        <v>1103</v>
      </c>
      <c r="CF273" s="366" t="s">
        <v>137</v>
      </c>
      <c r="CG273" s="366" t="s">
        <v>6</v>
      </c>
      <c r="CH273" s="366">
        <v>0</v>
      </c>
      <c r="CI273" s="366">
        <v>0</v>
      </c>
      <c r="CJ273" s="366">
        <v>0</v>
      </c>
      <c r="CK273" s="366">
        <v>0</v>
      </c>
      <c r="CL273" s="366">
        <v>0</v>
      </c>
      <c r="CM273" s="366">
        <v>23</v>
      </c>
      <c r="CN273" s="366">
        <v>283</v>
      </c>
      <c r="CO273" s="366">
        <v>1</v>
      </c>
      <c r="CP273" s="366">
        <v>0</v>
      </c>
      <c r="CQ273" s="366">
        <v>0</v>
      </c>
      <c r="CR273" s="366">
        <v>0</v>
      </c>
      <c r="CS273" s="366">
        <v>0</v>
      </c>
      <c r="CT273" s="366">
        <v>1</v>
      </c>
      <c r="CU273" s="367">
        <f>IFERROR(CH273/Instructions!$J$25,0)+CI273*Instructions!$J$27+CJ273*Instructions!$J$29+IFERROR(CK273/Instructions!$E$34,0)+CL273*Instructions!$E$36+Tier!CM273*Instructions!$E$25+IFERROR(CN273/Instructions!$E$27,0)+CO273*Instructions!$E$29+IFERROR((CP273+CR273)/Instructions!$J$32,0)+(CQ273+CS273)*Instructions!$J$34+Tier!CT273*-2</f>
        <v>55.3</v>
      </c>
      <c r="CV273" s="354"/>
      <c r="CW273"/>
      <c r="CX273"/>
      <c r="CY273"/>
      <c r="CZ273"/>
      <c r="DA273"/>
      <c r="DB273"/>
      <c r="DC273"/>
      <c r="DD273"/>
      <c r="DE273"/>
      <c r="DF273"/>
      <c r="DG273"/>
      <c r="DH273"/>
      <c r="DI273"/>
      <c r="DJ273"/>
      <c r="DK273"/>
      <c r="DL273"/>
      <c r="DM273"/>
      <c r="DN273"/>
    </row>
    <row r="274" spans="3:118" s="238" customFormat="1" ht="15.75" customHeight="1" x14ac:dyDescent="0.25">
      <c r="C274"/>
      <c r="D274"/>
      <c r="E274"/>
      <c r="F274"/>
      <c r="G274"/>
      <c r="H274"/>
      <c r="I274"/>
      <c r="J274"/>
      <c r="K274"/>
      <c r="L274"/>
      <c r="M274"/>
      <c r="N274"/>
      <c r="O274" s="372"/>
      <c r="P274" s="366">
        <v>2015</v>
      </c>
      <c r="Q274" s="367">
        <f>LARGE($CB$153:$CB$302,122)</f>
        <v>10.8</v>
      </c>
      <c r="R274" s="357">
        <f t="shared" si="100"/>
        <v>-153.79999999999998</v>
      </c>
      <c r="S274" s="356">
        <f t="shared" si="107"/>
        <v>23654.439999999995</v>
      </c>
      <c r="U274" s="356">
        <f t="shared" si="101"/>
        <v>-9.6124999999999989</v>
      </c>
      <c r="V274" s="238">
        <f t="shared" si="105"/>
        <v>8</v>
      </c>
      <c r="W274" s="354"/>
      <c r="X274" s="371"/>
      <c r="Y274" s="371"/>
      <c r="Z274" s="321">
        <v>2015</v>
      </c>
      <c r="AA274" s="367">
        <f>LARGE($CU$153:$CU$302,122)</f>
        <v>44.8</v>
      </c>
      <c r="AB274" s="357">
        <f t="shared" si="102"/>
        <v>-178.33333333333331</v>
      </c>
      <c r="AC274" s="356">
        <f t="shared" si="104"/>
        <v>31802.77777777777</v>
      </c>
      <c r="AD274" s="356"/>
      <c r="AE274" s="356">
        <f t="shared" si="103"/>
        <v>-11.145833333333332</v>
      </c>
      <c r="AF274" s="238">
        <f t="shared" si="106"/>
        <v>8</v>
      </c>
      <c r="AG274" s="354"/>
      <c r="AK274"/>
      <c r="AL274"/>
      <c r="AM274"/>
      <c r="AN274"/>
      <c r="AO274"/>
      <c r="AP274"/>
      <c r="BI274" s="360"/>
      <c r="BJ274" s="354"/>
      <c r="BK274" s="366">
        <v>2015</v>
      </c>
      <c r="BL274" s="365" t="s">
        <v>1663</v>
      </c>
      <c r="BM274" s="366" t="s">
        <v>164</v>
      </c>
      <c r="BN274" s="366" t="s">
        <v>3</v>
      </c>
      <c r="BO274" s="366">
        <v>0</v>
      </c>
      <c r="BP274" s="366">
        <v>0</v>
      </c>
      <c r="BQ274" s="366">
        <v>0</v>
      </c>
      <c r="BR274" s="366">
        <v>90</v>
      </c>
      <c r="BS274" s="366">
        <v>0</v>
      </c>
      <c r="BT274" s="366">
        <v>4</v>
      </c>
      <c r="BU274" s="366">
        <v>-2</v>
      </c>
      <c r="BV274" s="366">
        <v>0</v>
      </c>
      <c r="BW274" s="366">
        <v>0</v>
      </c>
      <c r="BX274" s="366">
        <v>0</v>
      </c>
      <c r="BY274" s="366">
        <v>0</v>
      </c>
      <c r="BZ274" s="366">
        <v>0</v>
      </c>
      <c r="CA274" s="366">
        <v>0</v>
      </c>
      <c r="CB274" s="367">
        <f>IFERROR(BO274/Instructions!$J$25,0)+BP274*Instructions!$J$27+BQ274*Instructions!$J$29+IFERROR(BR274/Instructions!$E$34,0)+BS274*Instructions!$E$36+Tier!BT275*Instructions!$E$25+IFERROR(BU274/Instructions!$E$27,0)+BV274*Instructions!$E$29+IFERROR((BW274+BY274)/Instructions!$J$32,0)+(BX274+BZ274)*Instructions!$J$34+Tier!CA274*-2</f>
        <v>13.8</v>
      </c>
      <c r="CC274" s="354"/>
      <c r="CD274" s="321">
        <v>2015</v>
      </c>
      <c r="CE274" s="365" t="s">
        <v>1107</v>
      </c>
      <c r="CF274" s="366" t="s">
        <v>151</v>
      </c>
      <c r="CG274" s="366" t="s">
        <v>6</v>
      </c>
      <c r="CH274" s="366">
        <v>0</v>
      </c>
      <c r="CI274" s="366">
        <v>0</v>
      </c>
      <c r="CJ274" s="366">
        <v>0</v>
      </c>
      <c r="CK274" s="366">
        <v>0</v>
      </c>
      <c r="CL274" s="366">
        <v>0</v>
      </c>
      <c r="CM274" s="366">
        <v>14</v>
      </c>
      <c r="CN274" s="366">
        <v>161</v>
      </c>
      <c r="CO274" s="366">
        <v>3</v>
      </c>
      <c r="CP274" s="366">
        <v>0</v>
      </c>
      <c r="CQ274" s="366">
        <v>0</v>
      </c>
      <c r="CR274" s="366">
        <v>0</v>
      </c>
      <c r="CS274" s="366">
        <v>0</v>
      </c>
      <c r="CT274" s="366">
        <v>0</v>
      </c>
      <c r="CU274" s="367">
        <f>IFERROR(CH274/Instructions!$J$25,0)+CI274*Instructions!$J$27+CJ274*Instructions!$J$29+IFERROR(CK274/Instructions!$E$34,0)+CL274*Instructions!$E$36+Tier!CM274*Instructions!$E$25+IFERROR(CN274/Instructions!$E$27,0)+CO274*Instructions!$E$29+IFERROR((CP274+CR274)/Instructions!$J$32,0)+(CQ274+CS274)*Instructions!$J$34+Tier!CT274*-2</f>
        <v>48.1</v>
      </c>
      <c r="CV274" s="354"/>
      <c r="CW274"/>
      <c r="CX274"/>
      <c r="CY274"/>
      <c r="CZ274"/>
      <c r="DA274"/>
      <c r="DB274"/>
      <c r="DC274"/>
      <c r="DD274"/>
      <c r="DE274"/>
      <c r="DF274"/>
      <c r="DG274"/>
      <c r="DH274"/>
      <c r="DI274"/>
      <c r="DJ274"/>
      <c r="DK274"/>
      <c r="DL274"/>
      <c r="DM274"/>
      <c r="DN274"/>
    </row>
    <row r="275" spans="3:118" s="238" customFormat="1" ht="15.75" customHeight="1" x14ac:dyDescent="0.25">
      <c r="C275"/>
      <c r="D275"/>
      <c r="E275"/>
      <c r="F275"/>
      <c r="G275"/>
      <c r="H275"/>
      <c r="I275"/>
      <c r="J275"/>
      <c r="K275"/>
      <c r="L275"/>
      <c r="M275"/>
      <c r="N275"/>
      <c r="O275" s="372"/>
      <c r="P275" s="366">
        <v>2015</v>
      </c>
      <c r="Q275" s="367">
        <f>LARGE($CB$153:$CB$302,123)</f>
        <v>10.200000000000001</v>
      </c>
      <c r="R275" s="357">
        <f t="shared" si="100"/>
        <v>-154.4</v>
      </c>
      <c r="S275" s="356">
        <f t="shared" si="107"/>
        <v>23839.360000000001</v>
      </c>
      <c r="U275" s="356">
        <f t="shared" si="101"/>
        <v>-9.65</v>
      </c>
      <c r="V275" s="238">
        <f t="shared" si="105"/>
        <v>8</v>
      </c>
      <c r="W275" s="354"/>
      <c r="X275" s="371"/>
      <c r="Y275" s="371"/>
      <c r="Z275" s="321">
        <v>2015</v>
      </c>
      <c r="AA275" s="367">
        <f>LARGE($CU$153:$CU$302,123)</f>
        <v>43.900000000000006</v>
      </c>
      <c r="AB275" s="357">
        <f t="shared" si="102"/>
        <v>-179.23333333333332</v>
      </c>
      <c r="AC275" s="356">
        <f t="shared" si="104"/>
        <v>32124.587777777771</v>
      </c>
      <c r="AD275" s="356"/>
      <c r="AE275" s="356">
        <f t="shared" si="103"/>
        <v>-11.202083333333333</v>
      </c>
      <c r="AF275" s="238">
        <f t="shared" si="106"/>
        <v>8</v>
      </c>
      <c r="AG275" s="354"/>
      <c r="AK275"/>
      <c r="AL275"/>
      <c r="AM275"/>
      <c r="AN275"/>
      <c r="AO275"/>
      <c r="AP275"/>
      <c r="BI275" s="360"/>
      <c r="BJ275" s="354"/>
      <c r="BK275" s="366">
        <v>2015</v>
      </c>
      <c r="BL275" s="365" t="s">
        <v>1664</v>
      </c>
      <c r="BM275" s="366" t="s">
        <v>158</v>
      </c>
      <c r="BN275" s="366" t="s">
        <v>3</v>
      </c>
      <c r="BO275" s="366">
        <v>0</v>
      </c>
      <c r="BP275" s="366">
        <v>0</v>
      </c>
      <c r="BQ275" s="366">
        <v>0</v>
      </c>
      <c r="BR275" s="366">
        <v>20</v>
      </c>
      <c r="BS275" s="366">
        <v>0</v>
      </c>
      <c r="BT275" s="366">
        <v>5</v>
      </c>
      <c r="BU275" s="366">
        <v>57</v>
      </c>
      <c r="BV275" s="366">
        <v>0</v>
      </c>
      <c r="BW275" s="366">
        <v>0</v>
      </c>
      <c r="BX275" s="366">
        <v>0</v>
      </c>
      <c r="BY275" s="366">
        <v>23</v>
      </c>
      <c r="BZ275" s="366">
        <v>0</v>
      </c>
      <c r="CA275" s="366">
        <v>0</v>
      </c>
      <c r="CB275" s="367">
        <f>IFERROR(BO275/Instructions!$J$25,0)+BP275*Instructions!$J$27+BQ275*Instructions!$J$29+IFERROR(BR275/Instructions!$E$34,0)+BS275*Instructions!$E$36+Tier!BT276*Instructions!$E$25+IFERROR(BU275/Instructions!$E$27,0)+BV275*Instructions!$E$29+IFERROR((BW275+BY275)/Instructions!$J$32,0)+(BX275+BZ275)*Instructions!$J$34+Tier!CA275*-2</f>
        <v>9.6999999999999993</v>
      </c>
      <c r="CC275" s="354"/>
      <c r="CD275" s="321">
        <v>2015</v>
      </c>
      <c r="CE275" s="365" t="s">
        <v>127</v>
      </c>
      <c r="CF275" s="366" t="s">
        <v>163</v>
      </c>
      <c r="CG275" s="366" t="s">
        <v>6</v>
      </c>
      <c r="CH275" s="366">
        <v>0</v>
      </c>
      <c r="CI275" s="366">
        <v>0</v>
      </c>
      <c r="CJ275" s="366">
        <v>0</v>
      </c>
      <c r="CK275" s="366">
        <v>0</v>
      </c>
      <c r="CL275" s="366">
        <v>0</v>
      </c>
      <c r="CM275" s="366">
        <v>22</v>
      </c>
      <c r="CN275" s="366">
        <v>264</v>
      </c>
      <c r="CO275" s="366">
        <v>1</v>
      </c>
      <c r="CP275" s="366">
        <v>0</v>
      </c>
      <c r="CQ275" s="366">
        <v>0</v>
      </c>
      <c r="CR275" s="366">
        <v>0</v>
      </c>
      <c r="CS275" s="366">
        <v>0</v>
      </c>
      <c r="CT275" s="366">
        <v>0</v>
      </c>
      <c r="CU275" s="367">
        <f>IFERROR(CH275/Instructions!$J$25,0)+CI275*Instructions!$J$27+CJ275*Instructions!$J$29+IFERROR(CK275/Instructions!$E$34,0)+CL275*Instructions!$E$36+Tier!CM275*Instructions!$E$25+IFERROR(CN275/Instructions!$E$27,0)+CO275*Instructions!$E$29+IFERROR((CP275+CR275)/Instructions!$J$32,0)+(CQ275+CS275)*Instructions!$J$34+Tier!CT275*-2</f>
        <v>54.4</v>
      </c>
      <c r="CV275" s="354"/>
      <c r="CW275"/>
      <c r="CX275"/>
      <c r="CY275"/>
      <c r="CZ275"/>
      <c r="DA275"/>
      <c r="DB275"/>
      <c r="DC275"/>
      <c r="DD275"/>
      <c r="DE275"/>
      <c r="DF275"/>
      <c r="DG275"/>
      <c r="DH275"/>
      <c r="DI275"/>
      <c r="DJ275"/>
      <c r="DK275"/>
      <c r="DL275"/>
      <c r="DM275"/>
      <c r="DN275"/>
    </row>
    <row r="276" spans="3:118" s="238" customFormat="1" ht="15.75" customHeight="1" x14ac:dyDescent="0.25">
      <c r="C276"/>
      <c r="D276"/>
      <c r="E276"/>
      <c r="F276"/>
      <c r="G276"/>
      <c r="H276"/>
      <c r="I276"/>
      <c r="J276"/>
      <c r="K276"/>
      <c r="L276"/>
      <c r="M276"/>
      <c r="N276"/>
      <c r="O276" s="372"/>
      <c r="P276" s="366">
        <v>2015</v>
      </c>
      <c r="Q276" s="367">
        <f>LARGE($CB$153:$CB$302,124)</f>
        <v>10.1</v>
      </c>
      <c r="R276" s="357">
        <f t="shared" si="100"/>
        <v>-154.5</v>
      </c>
      <c r="S276" s="356">
        <f t="shared" si="107"/>
        <v>23870.25</v>
      </c>
      <c r="U276" s="356">
        <f t="shared" si="101"/>
        <v>-9.65625</v>
      </c>
      <c r="V276" s="238">
        <f t="shared" si="105"/>
        <v>8</v>
      </c>
      <c r="W276" s="354"/>
      <c r="X276" s="371"/>
      <c r="Y276" s="371"/>
      <c r="Z276" s="321">
        <v>2015</v>
      </c>
      <c r="AA276" s="367">
        <f>LARGE($CU$153:$CU$302,124)</f>
        <v>43.5</v>
      </c>
      <c r="AB276" s="357">
        <f t="shared" si="102"/>
        <v>-179.63333333333333</v>
      </c>
      <c r="AC276" s="356">
        <f t="shared" si="104"/>
        <v>32268.13444444444</v>
      </c>
      <c r="AD276" s="356"/>
      <c r="AE276" s="356">
        <f t="shared" si="103"/>
        <v>-11.227083333333333</v>
      </c>
      <c r="AF276" s="238">
        <f t="shared" si="106"/>
        <v>8</v>
      </c>
      <c r="AG276" s="354"/>
      <c r="AK276"/>
      <c r="AL276"/>
      <c r="AM276"/>
      <c r="AN276"/>
      <c r="AO276"/>
      <c r="AP276"/>
      <c r="BI276" s="360"/>
      <c r="BJ276" s="354"/>
      <c r="BK276" s="366">
        <v>2015</v>
      </c>
      <c r="BL276" s="365" t="s">
        <v>1229</v>
      </c>
      <c r="BM276" s="366" t="s">
        <v>147</v>
      </c>
      <c r="BN276" s="366" t="s">
        <v>3</v>
      </c>
      <c r="BO276" s="366">
        <v>0</v>
      </c>
      <c r="BP276" s="366">
        <v>0</v>
      </c>
      <c r="BQ276" s="366">
        <v>0</v>
      </c>
      <c r="BR276" s="366">
        <v>7</v>
      </c>
      <c r="BS276" s="366">
        <v>1</v>
      </c>
      <c r="BT276" s="366">
        <v>2</v>
      </c>
      <c r="BU276" s="366">
        <v>16</v>
      </c>
      <c r="BV276" s="366">
        <v>0</v>
      </c>
      <c r="BW276" s="366">
        <v>0</v>
      </c>
      <c r="BX276" s="366">
        <v>0</v>
      </c>
      <c r="BY276" s="366">
        <v>0</v>
      </c>
      <c r="BZ276" s="366">
        <v>0</v>
      </c>
      <c r="CA276" s="366">
        <v>0</v>
      </c>
      <c r="CB276" s="367">
        <f>IFERROR(BO276/Instructions!$J$25,0)+BP276*Instructions!$J$27+BQ276*Instructions!$J$29+IFERROR(BR276/Instructions!$E$34,0)+BS276*Instructions!$E$36+Tier!BT277*Instructions!$E$25+IFERROR(BU276/Instructions!$E$27,0)+BV276*Instructions!$E$29+IFERROR((BW276+BY276)/Instructions!$J$32,0)+(BX276+BZ276)*Instructions!$J$34+Tier!CA276*-2</f>
        <v>9.3000000000000007</v>
      </c>
      <c r="CC276" s="354"/>
      <c r="CD276" s="321">
        <v>2015</v>
      </c>
      <c r="CE276" s="365" t="s">
        <v>1262</v>
      </c>
      <c r="CF276" s="366" t="s">
        <v>1627</v>
      </c>
      <c r="CG276" s="366" t="s">
        <v>6</v>
      </c>
      <c r="CH276" s="366">
        <v>0</v>
      </c>
      <c r="CI276" s="366">
        <v>0</v>
      </c>
      <c r="CJ276" s="366">
        <v>0</v>
      </c>
      <c r="CK276" s="366">
        <v>0</v>
      </c>
      <c r="CL276" s="366">
        <v>0</v>
      </c>
      <c r="CM276" s="366">
        <v>27</v>
      </c>
      <c r="CN276" s="366">
        <v>260</v>
      </c>
      <c r="CO276" s="366">
        <v>1</v>
      </c>
      <c r="CP276" s="366">
        <v>0</v>
      </c>
      <c r="CQ276" s="366">
        <v>0</v>
      </c>
      <c r="CR276" s="366">
        <v>0</v>
      </c>
      <c r="CS276" s="366">
        <v>0</v>
      </c>
      <c r="CT276" s="366">
        <v>0</v>
      </c>
      <c r="CU276" s="367">
        <f>IFERROR(CH276/Instructions!$J$25,0)+CI276*Instructions!$J$27+CJ276*Instructions!$J$29+IFERROR(CK276/Instructions!$E$34,0)+CL276*Instructions!$E$36+Tier!CM276*Instructions!$E$25+IFERROR(CN276/Instructions!$E$27,0)+CO276*Instructions!$E$29+IFERROR((CP276+CR276)/Instructions!$J$32,0)+(CQ276+CS276)*Instructions!$J$34+Tier!CT276*-2</f>
        <v>59</v>
      </c>
      <c r="CV276" s="354"/>
      <c r="CW276"/>
      <c r="CX276"/>
      <c r="CY276"/>
      <c r="CZ276"/>
      <c r="DA276"/>
      <c r="DB276"/>
      <c r="DC276"/>
      <c r="DD276"/>
      <c r="DE276"/>
      <c r="DF276"/>
      <c r="DG276"/>
      <c r="DH276"/>
      <c r="DI276"/>
      <c r="DJ276"/>
      <c r="DK276"/>
      <c r="DL276"/>
      <c r="DM276"/>
      <c r="DN276"/>
    </row>
    <row r="277" spans="3:118" s="238" customFormat="1" ht="15.75" customHeight="1" x14ac:dyDescent="0.25">
      <c r="C277"/>
      <c r="D277"/>
      <c r="E277"/>
      <c r="F277"/>
      <c r="G277"/>
      <c r="H277"/>
      <c r="I277"/>
      <c r="J277"/>
      <c r="K277"/>
      <c r="L277"/>
      <c r="M277"/>
      <c r="N277"/>
      <c r="O277" s="372"/>
      <c r="P277" s="366">
        <v>2015</v>
      </c>
      <c r="Q277" s="367">
        <f>LARGE($CB$153:$CB$302,125)</f>
        <v>9.6999999999999993</v>
      </c>
      <c r="R277" s="357">
        <f t="shared" si="100"/>
        <v>-154.9</v>
      </c>
      <c r="S277" s="356">
        <f t="shared" si="107"/>
        <v>23994.010000000002</v>
      </c>
      <c r="U277" s="356">
        <f t="shared" si="101"/>
        <v>-9.6812500000000004</v>
      </c>
      <c r="V277" s="238">
        <f t="shared" si="105"/>
        <v>8</v>
      </c>
      <c r="W277" s="354"/>
      <c r="X277" s="371"/>
      <c r="Y277" s="371"/>
      <c r="Z277" s="321">
        <v>2015</v>
      </c>
      <c r="AA277" s="367">
        <f>LARGE($CU$153:$CU$302,125)</f>
        <v>43.2</v>
      </c>
      <c r="AB277" s="357">
        <f t="shared" si="102"/>
        <v>-179.93333333333334</v>
      </c>
      <c r="AC277" s="356">
        <f t="shared" si="104"/>
        <v>32376.004444444447</v>
      </c>
      <c r="AD277" s="356"/>
      <c r="AE277" s="356">
        <f t="shared" si="103"/>
        <v>-11.245833333333334</v>
      </c>
      <c r="AF277" s="238">
        <f t="shared" si="106"/>
        <v>8</v>
      </c>
      <c r="AG277" s="354"/>
      <c r="AK277"/>
      <c r="AL277"/>
      <c r="AM277"/>
      <c r="AN277"/>
      <c r="AO277"/>
      <c r="AP277"/>
      <c r="BI277" s="360"/>
      <c r="BJ277" s="354"/>
      <c r="BK277" s="366">
        <v>2015</v>
      </c>
      <c r="BL277" s="365" t="s">
        <v>1284</v>
      </c>
      <c r="BM277" s="366" t="s">
        <v>158</v>
      </c>
      <c r="BN277" s="366" t="s">
        <v>3</v>
      </c>
      <c r="BO277" s="366">
        <v>0</v>
      </c>
      <c r="BP277" s="366">
        <v>0</v>
      </c>
      <c r="BQ277" s="366">
        <v>0</v>
      </c>
      <c r="BR277" s="366">
        <v>2</v>
      </c>
      <c r="BS277" s="366">
        <v>0</v>
      </c>
      <c r="BT277" s="366">
        <v>1</v>
      </c>
      <c r="BU277" s="366">
        <v>18</v>
      </c>
      <c r="BV277" s="366">
        <v>0</v>
      </c>
      <c r="BW277" s="366">
        <v>0</v>
      </c>
      <c r="BX277" s="366">
        <v>0</v>
      </c>
      <c r="BY277" s="366">
        <v>151</v>
      </c>
      <c r="BZ277" s="366">
        <v>0</v>
      </c>
      <c r="CA277" s="366">
        <v>0</v>
      </c>
      <c r="CB277" s="367">
        <f>IFERROR(BO277/Instructions!$J$25,0)+BP277*Instructions!$J$27+BQ277*Instructions!$J$29+IFERROR(BR277/Instructions!$E$34,0)+BS277*Instructions!$E$36+Tier!BT278*Instructions!$E$25+IFERROR(BU277/Instructions!$E$27,0)+BV277*Instructions!$E$29+IFERROR((BW277+BY277)/Instructions!$J$32,0)+(BX277+BZ277)*Instructions!$J$34+Tier!CA277*-2</f>
        <v>8</v>
      </c>
      <c r="CC277" s="354"/>
      <c r="CD277" s="321">
        <v>2015</v>
      </c>
      <c r="CE277" s="365" t="s">
        <v>1265</v>
      </c>
      <c r="CF277" s="366" t="s">
        <v>164</v>
      </c>
      <c r="CG277" s="366" t="s">
        <v>6</v>
      </c>
      <c r="CH277" s="366">
        <v>0</v>
      </c>
      <c r="CI277" s="366">
        <v>0</v>
      </c>
      <c r="CJ277" s="366">
        <v>0</v>
      </c>
      <c r="CK277" s="366">
        <v>0</v>
      </c>
      <c r="CL277" s="366">
        <v>0</v>
      </c>
      <c r="CM277" s="366">
        <v>22</v>
      </c>
      <c r="CN277" s="366">
        <v>315</v>
      </c>
      <c r="CO277" s="366">
        <v>0</v>
      </c>
      <c r="CP277" s="366">
        <v>0</v>
      </c>
      <c r="CQ277" s="366">
        <v>0</v>
      </c>
      <c r="CR277" s="366">
        <v>0</v>
      </c>
      <c r="CS277" s="366">
        <v>0</v>
      </c>
      <c r="CT277" s="366">
        <v>0</v>
      </c>
      <c r="CU277" s="367">
        <f>IFERROR(CH277/Instructions!$J$25,0)+CI277*Instructions!$J$27+CJ277*Instructions!$J$29+IFERROR(CK277/Instructions!$E$34,0)+CL277*Instructions!$E$36+Tier!CM277*Instructions!$E$25+IFERROR(CN277/Instructions!$E$27,0)+CO277*Instructions!$E$29+IFERROR((CP277+CR277)/Instructions!$J$32,0)+(CQ277+CS277)*Instructions!$J$34+Tier!CT277*-2</f>
        <v>53.5</v>
      </c>
      <c r="CV277" s="354"/>
      <c r="CW277"/>
      <c r="CX277"/>
      <c r="CY277"/>
      <c r="CZ277"/>
      <c r="DA277"/>
      <c r="DB277"/>
      <c r="DC277"/>
      <c r="DD277"/>
      <c r="DE277"/>
      <c r="DF277"/>
      <c r="DG277"/>
      <c r="DH277"/>
      <c r="DI277"/>
      <c r="DJ277"/>
      <c r="DK277"/>
      <c r="DL277"/>
      <c r="DM277"/>
      <c r="DN277"/>
    </row>
    <row r="278" spans="3:118" s="238" customFormat="1" ht="15.75" customHeight="1" x14ac:dyDescent="0.25">
      <c r="C278"/>
      <c r="D278"/>
      <c r="E278"/>
      <c r="F278"/>
      <c r="G278"/>
      <c r="H278"/>
      <c r="I278"/>
      <c r="J278"/>
      <c r="K278"/>
      <c r="L278"/>
      <c r="M278"/>
      <c r="N278"/>
      <c r="O278" s="372"/>
      <c r="P278" s="366">
        <v>2015</v>
      </c>
      <c r="Q278" s="367">
        <f>LARGE($CB$153:$CB$302,126)</f>
        <v>9.3000000000000007</v>
      </c>
      <c r="R278" s="357">
        <f t="shared" si="100"/>
        <v>-155.29999999999998</v>
      </c>
      <c r="S278" s="356">
        <f t="shared" si="107"/>
        <v>24118.089999999997</v>
      </c>
      <c r="U278" s="356">
        <f t="shared" si="101"/>
        <v>-9.7062499999999989</v>
      </c>
      <c r="V278" s="238">
        <f t="shared" si="105"/>
        <v>8</v>
      </c>
      <c r="W278" s="354"/>
      <c r="X278" s="371"/>
      <c r="Y278" s="371"/>
      <c r="Z278" s="321">
        <v>2015</v>
      </c>
      <c r="AA278" s="367">
        <f>LARGE($CU$153:$CU$302,126)</f>
        <v>42.9</v>
      </c>
      <c r="AB278" s="357">
        <f t="shared" si="102"/>
        <v>-180.23333333333332</v>
      </c>
      <c r="AC278" s="356">
        <f t="shared" si="104"/>
        <v>32484.054444444439</v>
      </c>
      <c r="AD278" s="356"/>
      <c r="AE278" s="356">
        <f t="shared" si="103"/>
        <v>-11.264583333333333</v>
      </c>
      <c r="AF278" s="238">
        <f t="shared" si="106"/>
        <v>8</v>
      </c>
      <c r="AG278" s="354"/>
      <c r="AK278"/>
      <c r="AL278"/>
      <c r="AM278"/>
      <c r="AN278"/>
      <c r="AO278"/>
      <c r="AP278"/>
      <c r="BI278" s="360"/>
      <c r="BJ278" s="354"/>
      <c r="BK278" s="366">
        <v>2015</v>
      </c>
      <c r="BL278" s="365" t="s">
        <v>1319</v>
      </c>
      <c r="BM278" s="366" t="s">
        <v>158</v>
      </c>
      <c r="BN278" s="366" t="s">
        <v>3</v>
      </c>
      <c r="BO278" s="366">
        <v>0</v>
      </c>
      <c r="BP278" s="366">
        <v>0</v>
      </c>
      <c r="BQ278" s="366">
        <v>0</v>
      </c>
      <c r="BR278" s="366">
        <v>39</v>
      </c>
      <c r="BS278" s="366">
        <v>0</v>
      </c>
      <c r="BT278" s="366">
        <v>6</v>
      </c>
      <c r="BU278" s="366">
        <v>33</v>
      </c>
      <c r="BV278" s="366">
        <v>0</v>
      </c>
      <c r="BW278" s="366">
        <v>0</v>
      </c>
      <c r="BX278" s="366">
        <v>0</v>
      </c>
      <c r="BY278" s="366">
        <v>0</v>
      </c>
      <c r="BZ278" s="366">
        <v>0</v>
      </c>
      <c r="CA278" s="366">
        <v>1</v>
      </c>
      <c r="CB278" s="367">
        <f>IFERROR(BO278/Instructions!$J$25,0)+BP278*Instructions!$J$27+BQ278*Instructions!$J$29+IFERROR(BR278/Instructions!$E$34,0)+BS278*Instructions!$E$36+Tier!BT279*Instructions!$E$25+IFERROR(BU278/Instructions!$E$27,0)+BV278*Instructions!$E$29+IFERROR((BW278+BY278)/Instructions!$J$32,0)+(BX278+BZ278)*Instructions!$J$34+Tier!CA278*-2</f>
        <v>7.1999999999999993</v>
      </c>
      <c r="CC278" s="354"/>
      <c r="CD278" s="321">
        <v>2015</v>
      </c>
      <c r="CE278" s="365" t="s">
        <v>1108</v>
      </c>
      <c r="CF278" s="366" t="s">
        <v>158</v>
      </c>
      <c r="CG278" s="366" t="s">
        <v>6</v>
      </c>
      <c r="CH278" s="366">
        <v>0</v>
      </c>
      <c r="CI278" s="366">
        <v>0</v>
      </c>
      <c r="CJ278" s="366">
        <v>0</v>
      </c>
      <c r="CK278" s="366">
        <v>17</v>
      </c>
      <c r="CL278" s="366">
        <v>0</v>
      </c>
      <c r="CM278" s="366">
        <v>18</v>
      </c>
      <c r="CN278" s="366">
        <v>225</v>
      </c>
      <c r="CO278" s="366">
        <v>1</v>
      </c>
      <c r="CP278" s="366">
        <v>1</v>
      </c>
      <c r="CQ278" s="366">
        <v>0</v>
      </c>
      <c r="CR278" s="366">
        <v>12</v>
      </c>
      <c r="CS278" s="366">
        <v>0</v>
      </c>
      <c r="CT278" s="366">
        <v>0</v>
      </c>
      <c r="CU278" s="367">
        <f>IFERROR(CH278/Instructions!$J$25,0)+CI278*Instructions!$J$27+CJ278*Instructions!$J$29+IFERROR(CK278/Instructions!$E$34,0)+CL278*Instructions!$E$36+Tier!CM278*Instructions!$E$25+IFERROR(CN278/Instructions!$E$27,0)+CO278*Instructions!$E$29+IFERROR((CP278+CR278)/Instructions!$J$32,0)+(CQ278+CS278)*Instructions!$J$34+Tier!CT278*-2</f>
        <v>48.2</v>
      </c>
      <c r="CV278" s="354"/>
      <c r="CW278"/>
      <c r="CX278"/>
      <c r="CY278"/>
      <c r="CZ278"/>
      <c r="DA278"/>
      <c r="DB278"/>
      <c r="DC278"/>
      <c r="DD278"/>
      <c r="DE278"/>
      <c r="DF278"/>
      <c r="DG278"/>
      <c r="DH278"/>
      <c r="DI278"/>
      <c r="DJ278"/>
      <c r="DK278"/>
      <c r="DL278"/>
      <c r="DM278"/>
      <c r="DN278"/>
    </row>
    <row r="279" spans="3:118" s="238" customFormat="1" ht="15.75" customHeight="1" x14ac:dyDescent="0.25">
      <c r="C279"/>
      <c r="D279"/>
      <c r="E279"/>
      <c r="F279"/>
      <c r="G279"/>
      <c r="H279"/>
      <c r="I279"/>
      <c r="J279"/>
      <c r="K279"/>
      <c r="L279"/>
      <c r="M279"/>
      <c r="N279"/>
      <c r="O279" s="372"/>
      <c r="P279" s="366">
        <v>2015</v>
      </c>
      <c r="Q279" s="367">
        <f>LARGE($CB$153:$CB$302,127)</f>
        <v>9.1999999999999993</v>
      </c>
      <c r="R279" s="357">
        <f t="shared" si="100"/>
        <v>-155.4</v>
      </c>
      <c r="S279" s="356">
        <f t="shared" si="107"/>
        <v>24149.160000000003</v>
      </c>
      <c r="U279" s="356">
        <f t="shared" si="101"/>
        <v>-9.7125000000000004</v>
      </c>
      <c r="V279" s="238">
        <f t="shared" si="105"/>
        <v>8</v>
      </c>
      <c r="W279" s="354"/>
      <c r="X279" s="371"/>
      <c r="Y279" s="371"/>
      <c r="Z279" s="321">
        <v>2015</v>
      </c>
      <c r="AA279" s="367">
        <f>LARGE($CU$153:$CU$302,127)</f>
        <v>42.7</v>
      </c>
      <c r="AB279" s="357">
        <f t="shared" si="102"/>
        <v>-180.43333333333334</v>
      </c>
      <c r="AC279" s="356">
        <f t="shared" si="104"/>
        <v>32556.187777777781</v>
      </c>
      <c r="AD279" s="356"/>
      <c r="AE279" s="356">
        <f t="shared" si="103"/>
        <v>-11.277083333333334</v>
      </c>
      <c r="AF279" s="238">
        <f t="shared" si="106"/>
        <v>8</v>
      </c>
      <c r="AG279" s="354"/>
      <c r="AK279"/>
      <c r="AL279"/>
      <c r="AM279"/>
      <c r="AN279"/>
      <c r="AO279"/>
      <c r="AP279"/>
      <c r="BI279" s="360"/>
      <c r="BJ279" s="354"/>
      <c r="BK279" s="366">
        <v>2015</v>
      </c>
      <c r="BL279" s="365" t="s">
        <v>1177</v>
      </c>
      <c r="BM279" s="366" t="s">
        <v>142</v>
      </c>
      <c r="BN279" s="366" t="s">
        <v>3</v>
      </c>
      <c r="BO279" s="366">
        <v>0</v>
      </c>
      <c r="BP279" s="366">
        <v>0</v>
      </c>
      <c r="BQ279" s="366">
        <v>0</v>
      </c>
      <c r="BR279" s="366">
        <v>60</v>
      </c>
      <c r="BS279" s="366">
        <v>0</v>
      </c>
      <c r="BT279" s="366">
        <v>2</v>
      </c>
      <c r="BU279" s="366">
        <v>11</v>
      </c>
      <c r="BV279" s="366">
        <v>0</v>
      </c>
      <c r="BW279" s="366">
        <v>0</v>
      </c>
      <c r="BX279" s="366">
        <v>0</v>
      </c>
      <c r="BY279" s="366">
        <v>0</v>
      </c>
      <c r="BZ279" s="366">
        <v>0</v>
      </c>
      <c r="CA279" s="366">
        <v>0</v>
      </c>
      <c r="CB279" s="367">
        <f>IFERROR(BO279/Instructions!$J$25,0)+BP279*Instructions!$J$27+BQ279*Instructions!$J$29+IFERROR(BR279/Instructions!$E$34,0)+BS279*Instructions!$E$36+Tier!BT280*Instructions!$E$25+IFERROR(BU279/Instructions!$E$27,0)+BV279*Instructions!$E$29+IFERROR((BW279+BY279)/Instructions!$J$32,0)+(BX279+BZ279)*Instructions!$J$34+Tier!CA279*-2</f>
        <v>10.1</v>
      </c>
      <c r="CC279" s="354"/>
      <c r="CD279" s="321">
        <v>2015</v>
      </c>
      <c r="CE279" s="365" t="s">
        <v>134</v>
      </c>
      <c r="CF279" s="366" t="s">
        <v>141</v>
      </c>
      <c r="CG279" s="366" t="s">
        <v>6</v>
      </c>
      <c r="CH279" s="366">
        <v>0</v>
      </c>
      <c r="CI279" s="366">
        <v>0</v>
      </c>
      <c r="CJ279" s="366">
        <v>0</v>
      </c>
      <c r="CK279" s="366">
        <v>-1</v>
      </c>
      <c r="CL279" s="366">
        <v>0</v>
      </c>
      <c r="CM279" s="366">
        <v>37</v>
      </c>
      <c r="CN279" s="366">
        <v>238</v>
      </c>
      <c r="CO279" s="366">
        <v>1</v>
      </c>
      <c r="CP279" s="366">
        <v>16</v>
      </c>
      <c r="CQ279" s="366">
        <v>0</v>
      </c>
      <c r="CR279" s="366">
        <v>0</v>
      </c>
      <c r="CS279" s="366">
        <v>0</v>
      </c>
      <c r="CT279" s="366">
        <v>0</v>
      </c>
      <c r="CU279" s="367">
        <f>IFERROR(CH279/Instructions!$J$25,0)+CI279*Instructions!$J$27+CJ279*Instructions!$J$29+IFERROR(CK279/Instructions!$E$34,0)+CL279*Instructions!$E$36+Tier!CM279*Instructions!$E$25+IFERROR(CN279/Instructions!$E$27,0)+CO279*Instructions!$E$29+IFERROR((CP279+CR279)/Instructions!$J$32,0)+(CQ279+CS279)*Instructions!$J$34+Tier!CT279*-2</f>
        <v>66.7</v>
      </c>
      <c r="CV279" s="354"/>
      <c r="CW279"/>
      <c r="CX279"/>
      <c r="CY279"/>
      <c r="CZ279"/>
      <c r="DA279"/>
      <c r="DB279"/>
      <c r="DC279"/>
      <c r="DD279"/>
      <c r="DE279"/>
      <c r="DF279"/>
      <c r="DG279"/>
      <c r="DH279"/>
      <c r="DI279"/>
      <c r="DJ279"/>
      <c r="DK279"/>
      <c r="DL279"/>
      <c r="DM279"/>
      <c r="DN279"/>
    </row>
    <row r="280" spans="3:118" s="238" customFormat="1" ht="15.75" customHeight="1" x14ac:dyDescent="0.25">
      <c r="C280"/>
      <c r="D280"/>
      <c r="E280"/>
      <c r="F280"/>
      <c r="G280"/>
      <c r="H280"/>
      <c r="I280"/>
      <c r="J280"/>
      <c r="K280"/>
      <c r="L280"/>
      <c r="M280"/>
      <c r="N280"/>
      <c r="O280" s="372"/>
      <c r="P280" s="366">
        <v>2015</v>
      </c>
      <c r="Q280" s="367">
        <f>LARGE($CB$153:$CB$302,128)</f>
        <v>9.1</v>
      </c>
      <c r="R280" s="357">
        <f t="shared" si="100"/>
        <v>-155.5</v>
      </c>
      <c r="S280" s="356">
        <f t="shared" si="107"/>
        <v>24180.25</v>
      </c>
      <c r="U280" s="356">
        <f t="shared" si="101"/>
        <v>-9.71875</v>
      </c>
      <c r="V280" s="238">
        <f t="shared" si="105"/>
        <v>8</v>
      </c>
      <c r="W280" s="354"/>
      <c r="X280" s="371"/>
      <c r="Y280" s="371"/>
      <c r="Z280" s="321">
        <v>2015</v>
      </c>
      <c r="AA280" s="367">
        <f>LARGE($CU$153:$CU$302,128)</f>
        <v>42</v>
      </c>
      <c r="AB280" s="357">
        <f t="shared" si="102"/>
        <v>-181.13333333333333</v>
      </c>
      <c r="AC280" s="356">
        <f t="shared" si="104"/>
        <v>32809.284444444442</v>
      </c>
      <c r="AD280" s="356"/>
      <c r="AE280" s="356">
        <f t="shared" si="103"/>
        <v>-11.320833333333333</v>
      </c>
      <c r="AF280" s="238">
        <f t="shared" si="106"/>
        <v>8</v>
      </c>
      <c r="AG280" s="354"/>
      <c r="AK280"/>
      <c r="AL280"/>
      <c r="AM280"/>
      <c r="AN280"/>
      <c r="AO280"/>
      <c r="AP280"/>
      <c r="BI280" s="360"/>
      <c r="BJ280" s="354"/>
      <c r="BK280" s="366">
        <v>2015</v>
      </c>
      <c r="BL280" s="365" t="s">
        <v>1665</v>
      </c>
      <c r="BM280" s="366" t="s">
        <v>1613</v>
      </c>
      <c r="BN280" s="366" t="s">
        <v>3</v>
      </c>
      <c r="BO280" s="366">
        <v>0</v>
      </c>
      <c r="BP280" s="366">
        <v>0</v>
      </c>
      <c r="BQ280" s="366">
        <v>0</v>
      </c>
      <c r="BR280" s="366">
        <v>44</v>
      </c>
      <c r="BS280" s="366">
        <v>0</v>
      </c>
      <c r="BT280" s="366">
        <v>3</v>
      </c>
      <c r="BU280" s="366">
        <v>23</v>
      </c>
      <c r="BV280" s="366">
        <v>0</v>
      </c>
      <c r="BW280" s="366">
        <v>0</v>
      </c>
      <c r="BX280" s="366">
        <v>0</v>
      </c>
      <c r="BY280" s="366">
        <v>0</v>
      </c>
      <c r="BZ280" s="366">
        <v>0</v>
      </c>
      <c r="CA280" s="366">
        <v>0</v>
      </c>
      <c r="CB280" s="367">
        <f>IFERROR(BO280/Instructions!$J$25,0)+BP280*Instructions!$J$27+BQ280*Instructions!$J$29+IFERROR(BR280/Instructions!$E$34,0)+BS280*Instructions!$E$36+Tier!BT281*Instructions!$E$25+IFERROR(BU280/Instructions!$E$27,0)+BV280*Instructions!$E$29+IFERROR((BW280+BY280)/Instructions!$J$32,0)+(BX280+BZ280)*Instructions!$J$34+Tier!CA280*-2</f>
        <v>7.7</v>
      </c>
      <c r="CC280" s="354"/>
      <c r="CD280" s="321">
        <v>2015</v>
      </c>
      <c r="CE280" s="365" t="s">
        <v>1263</v>
      </c>
      <c r="CF280" s="366" t="s">
        <v>1626</v>
      </c>
      <c r="CG280" s="366" t="s">
        <v>6</v>
      </c>
      <c r="CH280" s="366">
        <v>0</v>
      </c>
      <c r="CI280" s="366">
        <v>0</v>
      </c>
      <c r="CJ280" s="366">
        <v>0</v>
      </c>
      <c r="CK280" s="366">
        <v>13</v>
      </c>
      <c r="CL280" s="366">
        <v>0</v>
      </c>
      <c r="CM280" s="366">
        <v>24</v>
      </c>
      <c r="CN280" s="366">
        <v>195</v>
      </c>
      <c r="CO280" s="366">
        <v>0</v>
      </c>
      <c r="CP280" s="366">
        <v>81</v>
      </c>
      <c r="CQ280" s="366">
        <v>0</v>
      </c>
      <c r="CR280" s="366">
        <v>157</v>
      </c>
      <c r="CS280" s="366">
        <v>0</v>
      </c>
      <c r="CT280" s="366">
        <v>0</v>
      </c>
      <c r="CU280" s="367">
        <f>IFERROR(CH280/Instructions!$J$25,0)+CI280*Instructions!$J$27+CJ280*Instructions!$J$29+IFERROR(CK280/Instructions!$E$34,0)+CL280*Instructions!$E$36+Tier!CM280*Instructions!$E$25+IFERROR(CN280/Instructions!$E$27,0)+CO280*Instructions!$E$29+IFERROR((CP280+CR280)/Instructions!$J$32,0)+(CQ280+CS280)*Instructions!$J$34+Tier!CT280*-2</f>
        <v>44.8</v>
      </c>
      <c r="CV280" s="354"/>
      <c r="CW280"/>
      <c r="CX280"/>
      <c r="CY280"/>
      <c r="CZ280"/>
      <c r="DA280"/>
      <c r="DB280"/>
      <c r="DC280"/>
      <c r="DD280"/>
      <c r="DE280"/>
      <c r="DF280"/>
      <c r="DG280"/>
      <c r="DH280"/>
      <c r="DI280"/>
      <c r="DJ280"/>
      <c r="DK280"/>
      <c r="DL280"/>
      <c r="DM280"/>
      <c r="DN280"/>
    </row>
    <row r="281" spans="3:118" s="238" customFormat="1" ht="15.75" customHeight="1" x14ac:dyDescent="0.25">
      <c r="C281"/>
      <c r="D281"/>
      <c r="E281"/>
      <c r="F281"/>
      <c r="G281"/>
      <c r="H281"/>
      <c r="I281"/>
      <c r="J281"/>
      <c r="K281"/>
      <c r="L281"/>
      <c r="M281"/>
      <c r="N281"/>
      <c r="O281" s="372"/>
      <c r="P281" s="366">
        <v>2015</v>
      </c>
      <c r="Q281" s="367">
        <f>LARGE($CB$153:$CB$302,129)</f>
        <v>8.1999999999999993</v>
      </c>
      <c r="R281" s="357">
        <f t="shared" si="100"/>
        <v>-156.4</v>
      </c>
      <c r="S281" s="356">
        <f t="shared" si="107"/>
        <v>24460.960000000003</v>
      </c>
      <c r="U281" s="356">
        <f t="shared" si="101"/>
        <v>-9.7750000000000004</v>
      </c>
      <c r="V281" s="238">
        <f t="shared" si="105"/>
        <v>8</v>
      </c>
      <c r="W281" s="354"/>
      <c r="X281" s="371"/>
      <c r="Y281" s="371"/>
      <c r="Z281" s="321">
        <v>2015</v>
      </c>
      <c r="AA281" s="367">
        <f>LARGE($CU$153:$CU$302,129)</f>
        <v>41.4</v>
      </c>
      <c r="AB281" s="357">
        <f t="shared" si="102"/>
        <v>-181.73333333333332</v>
      </c>
      <c r="AC281" s="356">
        <f t="shared" si="104"/>
        <v>33027.004444444443</v>
      </c>
      <c r="AD281" s="356"/>
      <c r="AE281" s="356">
        <f t="shared" si="103"/>
        <v>-11.358333333333333</v>
      </c>
      <c r="AF281" s="238">
        <f t="shared" si="106"/>
        <v>8</v>
      </c>
      <c r="AG281" s="354"/>
      <c r="AK281"/>
      <c r="AL281"/>
      <c r="AM281"/>
      <c r="AN281"/>
      <c r="AO281"/>
      <c r="AP281"/>
      <c r="BI281" s="360"/>
      <c r="BJ281" s="354"/>
      <c r="BK281" s="366">
        <v>2015</v>
      </c>
      <c r="BL281" s="365" t="s">
        <v>1238</v>
      </c>
      <c r="BM281" s="366" t="s">
        <v>153</v>
      </c>
      <c r="BN281" s="366" t="s">
        <v>3</v>
      </c>
      <c r="BO281" s="366">
        <v>0</v>
      </c>
      <c r="BP281" s="366">
        <v>0</v>
      </c>
      <c r="BQ281" s="366">
        <v>0</v>
      </c>
      <c r="BR281" s="366">
        <v>58</v>
      </c>
      <c r="BS281" s="366">
        <v>0</v>
      </c>
      <c r="BT281" s="366">
        <v>1</v>
      </c>
      <c r="BU281" s="366">
        <v>4</v>
      </c>
      <c r="BV281" s="366">
        <v>0</v>
      </c>
      <c r="BW281" s="366">
        <v>0</v>
      </c>
      <c r="BX281" s="366">
        <v>0</v>
      </c>
      <c r="BY281" s="366">
        <v>0</v>
      </c>
      <c r="BZ281" s="366">
        <v>0</v>
      </c>
      <c r="CA281" s="366">
        <v>0</v>
      </c>
      <c r="CB281" s="367">
        <f>IFERROR(BO281/Instructions!$J$25,0)+BP281*Instructions!$J$27+BQ281*Instructions!$J$29+IFERROR(BR281/Instructions!$E$34,0)+BS281*Instructions!$E$36+Tier!BT282*Instructions!$E$25+IFERROR(BU281/Instructions!$E$27,0)+BV281*Instructions!$E$29+IFERROR((BW281+BY281)/Instructions!$J$32,0)+(BX281+BZ281)*Instructions!$J$34+Tier!CA281*-2</f>
        <v>10.200000000000001</v>
      </c>
      <c r="CC281" s="354"/>
      <c r="CD281" s="321">
        <v>2015</v>
      </c>
      <c r="CE281" s="365" t="s">
        <v>135</v>
      </c>
      <c r="CF281" s="366" t="s">
        <v>1613</v>
      </c>
      <c r="CG281" s="366" t="s">
        <v>6</v>
      </c>
      <c r="CH281" s="366">
        <v>0</v>
      </c>
      <c r="CI281" s="366">
        <v>0</v>
      </c>
      <c r="CJ281" s="366">
        <v>0</v>
      </c>
      <c r="CK281" s="366">
        <v>38</v>
      </c>
      <c r="CL281" s="366">
        <v>0</v>
      </c>
      <c r="CM281" s="366">
        <v>15</v>
      </c>
      <c r="CN281" s="366">
        <v>191</v>
      </c>
      <c r="CO281" s="366">
        <v>1</v>
      </c>
      <c r="CP281" s="366">
        <v>0</v>
      </c>
      <c r="CQ281" s="366">
        <v>0</v>
      </c>
      <c r="CR281" s="366">
        <v>0</v>
      </c>
      <c r="CS281" s="366">
        <v>0</v>
      </c>
      <c r="CT281" s="366">
        <v>0</v>
      </c>
      <c r="CU281" s="367">
        <f>IFERROR(CH281/Instructions!$J$25,0)+CI281*Instructions!$J$27+CJ281*Instructions!$J$29+IFERROR(CK281/Instructions!$E$34,0)+CL281*Instructions!$E$36+Tier!CM281*Instructions!$E$25+IFERROR(CN281/Instructions!$E$27,0)+CO281*Instructions!$E$29+IFERROR((CP281+CR281)/Instructions!$J$32,0)+(CQ281+CS281)*Instructions!$J$34+Tier!CT281*-2</f>
        <v>43.900000000000006</v>
      </c>
      <c r="CV281" s="354"/>
      <c r="CW281"/>
      <c r="CX281"/>
      <c r="CY281"/>
      <c r="CZ281"/>
      <c r="DA281"/>
      <c r="DB281"/>
      <c r="DC281"/>
      <c r="DD281"/>
      <c r="DE281"/>
      <c r="DF281"/>
      <c r="DG281"/>
      <c r="DH281"/>
      <c r="DI281"/>
      <c r="DJ281"/>
      <c r="DK281"/>
      <c r="DL281"/>
      <c r="DM281"/>
      <c r="DN281"/>
    </row>
    <row r="282" spans="3:118" s="238" customFormat="1" ht="15.75" customHeight="1" x14ac:dyDescent="0.25">
      <c r="C282"/>
      <c r="D282"/>
      <c r="E282"/>
      <c r="F282"/>
      <c r="G282"/>
      <c r="H282"/>
      <c r="I282"/>
      <c r="J282"/>
      <c r="K282"/>
      <c r="L282"/>
      <c r="M282"/>
      <c r="N282"/>
      <c r="O282" s="372"/>
      <c r="P282" s="366">
        <v>2015</v>
      </c>
      <c r="Q282" s="367">
        <f>LARGE($CB$153:$CB$302,130)</f>
        <v>8</v>
      </c>
      <c r="R282" s="357">
        <f t="shared" ref="R282:R302" si="108">Q282-$T$163</f>
        <v>-156.6</v>
      </c>
      <c r="S282" s="356">
        <f t="shared" si="107"/>
        <v>24523.559999999998</v>
      </c>
      <c r="U282" s="356">
        <f t="shared" ref="U282:U302" si="109">R282/$T$153</f>
        <v>-9.7874999999999996</v>
      </c>
      <c r="V282" s="238">
        <f t="shared" si="105"/>
        <v>8</v>
      </c>
      <c r="W282" s="354"/>
      <c r="X282" s="371"/>
      <c r="Y282" s="371"/>
      <c r="Z282" s="321">
        <v>2015</v>
      </c>
      <c r="AA282" s="367">
        <f>LARGE($CU$153:$CU$302,130)</f>
        <v>38.4</v>
      </c>
      <c r="AB282" s="357">
        <f t="shared" ref="AB282:AB302" si="110">$AA282-$AD$163</f>
        <v>-184.73333333333332</v>
      </c>
      <c r="AC282" s="356">
        <f t="shared" si="104"/>
        <v>34126.404444444437</v>
      </c>
      <c r="AD282" s="356"/>
      <c r="AE282" s="356">
        <f t="shared" ref="AE282:AE302" si="111">AB282/$AD$153</f>
        <v>-11.545833333333333</v>
      </c>
      <c r="AF282" s="238">
        <f t="shared" si="106"/>
        <v>8</v>
      </c>
      <c r="AG282" s="354"/>
      <c r="AK282"/>
      <c r="AL282"/>
      <c r="AM282"/>
      <c r="AN282"/>
      <c r="AO282"/>
      <c r="AP282"/>
      <c r="BI282" s="360"/>
      <c r="BJ282" s="354"/>
      <c r="BK282" s="366">
        <v>2015</v>
      </c>
      <c r="BL282" s="365" t="s">
        <v>1606</v>
      </c>
      <c r="BM282" s="366" t="s">
        <v>164</v>
      </c>
      <c r="BN282" s="366" t="s">
        <v>3</v>
      </c>
      <c r="BO282" s="366">
        <v>0</v>
      </c>
      <c r="BP282" s="366">
        <v>0</v>
      </c>
      <c r="BQ282" s="366">
        <v>0</v>
      </c>
      <c r="BR282" s="366">
        <v>2</v>
      </c>
      <c r="BS282" s="366">
        <v>0</v>
      </c>
      <c r="BT282" s="366">
        <v>4</v>
      </c>
      <c r="BU282" s="366">
        <v>56</v>
      </c>
      <c r="BV282" s="366">
        <v>0</v>
      </c>
      <c r="BW282" s="366">
        <v>0</v>
      </c>
      <c r="BX282" s="366">
        <v>0</v>
      </c>
      <c r="BY282" s="366">
        <v>0</v>
      </c>
      <c r="BZ282" s="366">
        <v>0</v>
      </c>
      <c r="CA282" s="366">
        <v>0</v>
      </c>
      <c r="CB282" s="367">
        <f>IFERROR(BO282/Instructions!$J$25,0)+BP282*Instructions!$J$27+BQ282*Instructions!$J$29+IFERROR(BR282/Instructions!$E$34,0)+BS282*Instructions!$E$36+Tier!BT283*Instructions!$E$25+IFERROR(BU282/Instructions!$E$27,0)+BV282*Instructions!$E$29+IFERROR((BW282+BY282)/Instructions!$J$32,0)+(BX282+BZ282)*Instructions!$J$34+Tier!CA282*-2</f>
        <v>6.8</v>
      </c>
      <c r="CC282" s="354"/>
      <c r="CD282" s="321">
        <v>2015</v>
      </c>
      <c r="CE282" s="365" t="s">
        <v>189</v>
      </c>
      <c r="CF282" s="366" t="s">
        <v>152</v>
      </c>
      <c r="CG282" s="366" t="s">
        <v>6</v>
      </c>
      <c r="CH282" s="366">
        <v>0</v>
      </c>
      <c r="CI282" s="366">
        <v>0</v>
      </c>
      <c r="CJ282" s="366">
        <v>0</v>
      </c>
      <c r="CK282" s="366">
        <v>0</v>
      </c>
      <c r="CL282" s="366">
        <v>0</v>
      </c>
      <c r="CM282" s="366">
        <v>11</v>
      </c>
      <c r="CN282" s="366">
        <v>135</v>
      </c>
      <c r="CO282" s="366">
        <v>0</v>
      </c>
      <c r="CP282" s="366">
        <v>0</v>
      </c>
      <c r="CQ282" s="366">
        <v>0</v>
      </c>
      <c r="CR282" s="366">
        <v>231</v>
      </c>
      <c r="CS282" s="366">
        <v>1</v>
      </c>
      <c r="CT282" s="366">
        <v>0</v>
      </c>
      <c r="CU282" s="367">
        <f>IFERROR(CH282/Instructions!$J$25,0)+CI282*Instructions!$J$27+CJ282*Instructions!$J$29+IFERROR(CK282/Instructions!$E$34,0)+CL282*Instructions!$E$36+Tier!CM282*Instructions!$E$25+IFERROR(CN282/Instructions!$E$27,0)+CO282*Instructions!$E$29+IFERROR((CP282+CR282)/Instructions!$J$32,0)+(CQ282+CS282)*Instructions!$J$34+Tier!CT282*-2</f>
        <v>30.5</v>
      </c>
      <c r="CV282" s="354"/>
      <c r="CW282"/>
      <c r="CX282"/>
      <c r="CY282"/>
      <c r="CZ282"/>
      <c r="DA282"/>
      <c r="DB282"/>
      <c r="DC282"/>
      <c r="DD282"/>
      <c r="DE282"/>
      <c r="DF282"/>
      <c r="DG282"/>
      <c r="DH282"/>
      <c r="DI282"/>
      <c r="DJ282"/>
      <c r="DK282"/>
      <c r="DL282"/>
      <c r="DM282"/>
      <c r="DN282"/>
    </row>
    <row r="283" spans="3:118" s="238" customFormat="1" ht="15.75" customHeight="1" x14ac:dyDescent="0.25">
      <c r="C283"/>
      <c r="D283"/>
      <c r="E283"/>
      <c r="F283"/>
      <c r="G283"/>
      <c r="H283"/>
      <c r="I283"/>
      <c r="J283"/>
      <c r="K283"/>
      <c r="L283"/>
      <c r="M283"/>
      <c r="N283"/>
      <c r="O283" s="372"/>
      <c r="P283" s="366">
        <v>2015</v>
      </c>
      <c r="Q283" s="367">
        <f>LARGE($CB$153:$CB$302,131)</f>
        <v>7.7</v>
      </c>
      <c r="R283" s="357">
        <f t="shared" si="108"/>
        <v>-156.9</v>
      </c>
      <c r="S283" s="356">
        <f t="shared" si="107"/>
        <v>24617.61</v>
      </c>
      <c r="U283" s="356">
        <f t="shared" si="109"/>
        <v>-9.8062500000000004</v>
      </c>
      <c r="V283" s="238">
        <f t="shared" si="105"/>
        <v>8</v>
      </c>
      <c r="W283" s="354"/>
      <c r="X283" s="371"/>
      <c r="Y283" s="371"/>
      <c r="Z283" s="321">
        <v>2015</v>
      </c>
      <c r="AA283" s="367">
        <f>LARGE($CU$153:$CU$302,131)</f>
        <v>37.799999999999997</v>
      </c>
      <c r="AB283" s="357">
        <f t="shared" si="110"/>
        <v>-185.33333333333331</v>
      </c>
      <c r="AC283" s="356">
        <f t="shared" si="104"/>
        <v>34348.444444444438</v>
      </c>
      <c r="AD283" s="356"/>
      <c r="AE283" s="356">
        <f t="shared" si="111"/>
        <v>-11.583333333333332</v>
      </c>
      <c r="AF283" s="238">
        <f t="shared" si="106"/>
        <v>8</v>
      </c>
      <c r="AG283" s="354"/>
      <c r="AK283"/>
      <c r="AL283"/>
      <c r="AM283"/>
      <c r="AN283"/>
      <c r="AO283"/>
      <c r="AP283"/>
      <c r="BI283" s="360"/>
      <c r="BJ283" s="354"/>
      <c r="BK283" s="366">
        <v>2015</v>
      </c>
      <c r="BL283" s="365" t="s">
        <v>976</v>
      </c>
      <c r="BM283" s="366" t="s">
        <v>141</v>
      </c>
      <c r="BN283" s="366" t="s">
        <v>3</v>
      </c>
      <c r="BO283" s="366">
        <v>0</v>
      </c>
      <c r="BP283" s="366">
        <v>0</v>
      </c>
      <c r="BQ283" s="366">
        <v>0</v>
      </c>
      <c r="BR283" s="366">
        <v>41</v>
      </c>
      <c r="BS283" s="366">
        <v>0</v>
      </c>
      <c r="BT283" s="366">
        <v>1</v>
      </c>
      <c r="BU283" s="366">
        <v>10</v>
      </c>
      <c r="BV283" s="366">
        <v>0</v>
      </c>
      <c r="BW283" s="366">
        <v>0</v>
      </c>
      <c r="BX283" s="366">
        <v>0</v>
      </c>
      <c r="BY283" s="366">
        <v>15</v>
      </c>
      <c r="BZ283" s="366">
        <v>0</v>
      </c>
      <c r="CA283" s="366">
        <v>0</v>
      </c>
      <c r="CB283" s="367">
        <f>IFERROR(BO283/Instructions!$J$25,0)+BP283*Instructions!$J$27+BQ283*Instructions!$J$29+IFERROR(BR283/Instructions!$E$34,0)+BS283*Instructions!$E$36+Tier!BT284*Instructions!$E$25+IFERROR(BU283/Instructions!$E$27,0)+BV283*Instructions!$E$29+IFERROR((BW283+BY283)/Instructions!$J$32,0)+(BX283+BZ283)*Instructions!$J$34+Tier!CA283*-2</f>
        <v>5.0999999999999996</v>
      </c>
      <c r="CC283" s="354"/>
      <c r="CD283" s="321">
        <v>2015</v>
      </c>
      <c r="CE283" s="365" t="s">
        <v>1681</v>
      </c>
      <c r="CF283" s="366" t="s">
        <v>137</v>
      </c>
      <c r="CG283" s="366" t="s">
        <v>6</v>
      </c>
      <c r="CH283" s="366">
        <v>0</v>
      </c>
      <c r="CI283" s="366">
        <v>0</v>
      </c>
      <c r="CJ283" s="366">
        <v>0</v>
      </c>
      <c r="CK283" s="366">
        <v>0</v>
      </c>
      <c r="CL283" s="366">
        <v>0</v>
      </c>
      <c r="CM283" s="366">
        <v>13</v>
      </c>
      <c r="CN283" s="366">
        <v>224</v>
      </c>
      <c r="CO283" s="366">
        <v>1</v>
      </c>
      <c r="CP283" s="366">
        <v>0</v>
      </c>
      <c r="CQ283" s="366">
        <v>0</v>
      </c>
      <c r="CR283" s="366">
        <v>0</v>
      </c>
      <c r="CS283" s="366">
        <v>0</v>
      </c>
      <c r="CT283" s="366">
        <v>0</v>
      </c>
      <c r="CU283" s="367">
        <f>IFERROR(CH283/Instructions!$J$25,0)+CI283*Instructions!$J$27+CJ283*Instructions!$J$29+IFERROR(CK283/Instructions!$E$34,0)+CL283*Instructions!$E$36+Tier!CM283*Instructions!$E$25+IFERROR(CN283/Instructions!$E$27,0)+CO283*Instructions!$E$29+IFERROR((CP283+CR283)/Instructions!$J$32,0)+(CQ283+CS283)*Instructions!$J$34+Tier!CT283*-2</f>
        <v>41.4</v>
      </c>
      <c r="CV283" s="354"/>
      <c r="CW283"/>
      <c r="CX283"/>
      <c r="CY283"/>
      <c r="CZ283"/>
      <c r="DA283"/>
      <c r="DB283"/>
      <c r="DC283"/>
      <c r="DD283"/>
      <c r="DE283"/>
      <c r="DF283"/>
      <c r="DG283"/>
      <c r="DH283"/>
      <c r="DI283"/>
      <c r="DJ283"/>
      <c r="DK283"/>
      <c r="DL283"/>
      <c r="DM283"/>
      <c r="DN283"/>
    </row>
    <row r="284" spans="3:118" s="238" customFormat="1" ht="15.75" customHeight="1" x14ac:dyDescent="0.25">
      <c r="C284"/>
      <c r="D284"/>
      <c r="E284"/>
      <c r="F284"/>
      <c r="G284"/>
      <c r="H284"/>
      <c r="I284"/>
      <c r="J284"/>
      <c r="K284"/>
      <c r="L284"/>
      <c r="M284"/>
      <c r="N284"/>
      <c r="O284" s="372"/>
      <c r="P284" s="366">
        <v>2015</v>
      </c>
      <c r="Q284" s="367">
        <f>LARGE($CB$153:$CB$302,132)</f>
        <v>7.1999999999999993</v>
      </c>
      <c r="R284" s="357">
        <f t="shared" si="108"/>
        <v>-157.4</v>
      </c>
      <c r="S284" s="356">
        <f t="shared" si="107"/>
        <v>24774.760000000002</v>
      </c>
      <c r="U284" s="356">
        <f t="shared" si="109"/>
        <v>-9.8375000000000004</v>
      </c>
      <c r="V284" s="238">
        <f t="shared" si="105"/>
        <v>8</v>
      </c>
      <c r="W284" s="354"/>
      <c r="X284" s="371"/>
      <c r="Y284" s="371"/>
      <c r="Z284" s="321">
        <v>2015</v>
      </c>
      <c r="AA284" s="367">
        <f>LARGE($CU$153:$CU$302,132)</f>
        <v>36.299999999999997</v>
      </c>
      <c r="AB284" s="357">
        <f t="shared" si="110"/>
        <v>-186.83333333333331</v>
      </c>
      <c r="AC284" s="356">
        <f t="shared" si="104"/>
        <v>34906.694444444438</v>
      </c>
      <c r="AD284" s="356"/>
      <c r="AE284" s="356">
        <f t="shared" si="111"/>
        <v>-11.677083333333332</v>
      </c>
      <c r="AF284" s="238">
        <f t="shared" si="106"/>
        <v>8</v>
      </c>
      <c r="AG284" s="354"/>
      <c r="AK284"/>
      <c r="AL284"/>
      <c r="AM284"/>
      <c r="AN284"/>
      <c r="AO284"/>
      <c r="AP284"/>
      <c r="BI284" s="360"/>
      <c r="BJ284" s="354"/>
      <c r="BK284" s="366">
        <v>2015</v>
      </c>
      <c r="BL284" s="365" t="s">
        <v>1666</v>
      </c>
      <c r="BM284" s="366" t="s">
        <v>1628</v>
      </c>
      <c r="BN284" s="366" t="s">
        <v>3</v>
      </c>
      <c r="BO284" s="366">
        <v>0</v>
      </c>
      <c r="BP284" s="366">
        <v>0</v>
      </c>
      <c r="BQ284" s="366">
        <v>0</v>
      </c>
      <c r="BR284" s="366">
        <v>51</v>
      </c>
      <c r="BS284" s="366">
        <v>0</v>
      </c>
      <c r="BT284" s="366">
        <v>0</v>
      </c>
      <c r="BU284" s="366">
        <v>0</v>
      </c>
      <c r="BV284" s="366">
        <v>0</v>
      </c>
      <c r="BW284" s="366">
        <v>0</v>
      </c>
      <c r="BX284" s="366">
        <v>0</v>
      </c>
      <c r="BY284" s="366">
        <v>0</v>
      </c>
      <c r="BZ284" s="366">
        <v>0</v>
      </c>
      <c r="CA284" s="366">
        <v>0</v>
      </c>
      <c r="CB284" s="367">
        <f>IFERROR(BO284/Instructions!$J$25,0)+BP284*Instructions!$J$27+BQ284*Instructions!$J$29+IFERROR(BR284/Instructions!$E$34,0)+BS284*Instructions!$E$36+Tier!BT285*Instructions!$E$25+IFERROR(BU284/Instructions!$E$27,0)+BV284*Instructions!$E$29+IFERROR((BW284+BY284)/Instructions!$J$32,0)+(BX284+BZ284)*Instructions!$J$34+Tier!CA284*-2</f>
        <v>9.1</v>
      </c>
      <c r="CC284" s="354"/>
      <c r="CD284" s="321">
        <v>2015</v>
      </c>
      <c r="CE284" s="365" t="s">
        <v>1248</v>
      </c>
      <c r="CF284" s="366" t="s">
        <v>148</v>
      </c>
      <c r="CG284" s="366" t="s">
        <v>6</v>
      </c>
      <c r="CH284" s="366">
        <v>0</v>
      </c>
      <c r="CI284" s="366">
        <v>0</v>
      </c>
      <c r="CJ284" s="366">
        <v>0</v>
      </c>
      <c r="CK284" s="366">
        <v>0</v>
      </c>
      <c r="CL284" s="366">
        <v>0</v>
      </c>
      <c r="CM284" s="366">
        <v>17</v>
      </c>
      <c r="CN284" s="366">
        <v>159</v>
      </c>
      <c r="CO284" s="366">
        <v>2</v>
      </c>
      <c r="CP284" s="366">
        <v>0</v>
      </c>
      <c r="CQ284" s="366">
        <v>0</v>
      </c>
      <c r="CR284" s="366">
        <v>0</v>
      </c>
      <c r="CS284" s="366">
        <v>0</v>
      </c>
      <c r="CT284" s="366">
        <v>0</v>
      </c>
      <c r="CU284" s="367">
        <f>IFERROR(CH284/Instructions!$J$25,0)+CI284*Instructions!$J$27+CJ284*Instructions!$J$29+IFERROR(CK284/Instructions!$E$34,0)+CL284*Instructions!$E$36+Tier!CM284*Instructions!$E$25+IFERROR(CN284/Instructions!$E$27,0)+CO284*Instructions!$E$29+IFERROR((CP284+CR284)/Instructions!$J$32,0)+(CQ284+CS284)*Instructions!$J$34+Tier!CT284*-2</f>
        <v>44.9</v>
      </c>
      <c r="CV284" s="354"/>
      <c r="CW284"/>
      <c r="CX284"/>
      <c r="CY284"/>
      <c r="CZ284"/>
      <c r="DA284"/>
      <c r="DB284"/>
      <c r="DC284"/>
      <c r="DD284"/>
      <c r="DE284"/>
      <c r="DF284"/>
      <c r="DG284"/>
      <c r="DH284"/>
      <c r="DI284"/>
      <c r="DJ284"/>
      <c r="DK284"/>
      <c r="DL284"/>
      <c r="DM284"/>
      <c r="DN284"/>
    </row>
    <row r="285" spans="3:118" s="238" customFormat="1" ht="15.75" customHeight="1" x14ac:dyDescent="0.25">
      <c r="C285"/>
      <c r="D285"/>
      <c r="E285"/>
      <c r="F285"/>
      <c r="G285"/>
      <c r="H285"/>
      <c r="I285"/>
      <c r="J285"/>
      <c r="K285"/>
      <c r="L285"/>
      <c r="M285"/>
      <c r="N285"/>
      <c r="O285" s="372"/>
      <c r="P285" s="366">
        <v>2015</v>
      </c>
      <c r="Q285" s="367">
        <f>LARGE($CB$153:$CB$302,133)</f>
        <v>6.8</v>
      </c>
      <c r="R285" s="357">
        <f t="shared" si="108"/>
        <v>-157.79999999999998</v>
      </c>
      <c r="S285" s="356">
        <f t="shared" si="107"/>
        <v>24900.839999999993</v>
      </c>
      <c r="U285" s="356">
        <f t="shared" si="109"/>
        <v>-9.8624999999999989</v>
      </c>
      <c r="V285" s="238">
        <f t="shared" si="105"/>
        <v>8</v>
      </c>
      <c r="W285" s="354"/>
      <c r="X285" s="371"/>
      <c r="Y285" s="371"/>
      <c r="Z285" s="321">
        <v>2015</v>
      </c>
      <c r="AA285" s="367">
        <f>LARGE($CU$153:$CU$302,133)</f>
        <v>36.200000000000003</v>
      </c>
      <c r="AB285" s="357">
        <f t="shared" si="110"/>
        <v>-186.93333333333334</v>
      </c>
      <c r="AC285" s="356">
        <f t="shared" si="104"/>
        <v>34944.071111111116</v>
      </c>
      <c r="AD285" s="356"/>
      <c r="AE285" s="356">
        <f t="shared" si="111"/>
        <v>-11.683333333333334</v>
      </c>
      <c r="AF285" s="238">
        <f t="shared" si="106"/>
        <v>8</v>
      </c>
      <c r="AG285" s="354"/>
      <c r="AK285"/>
      <c r="AL285"/>
      <c r="AM285"/>
      <c r="AN285"/>
      <c r="AO285"/>
      <c r="AP285"/>
      <c r="BI285" s="360"/>
      <c r="BJ285" s="354"/>
      <c r="BK285" s="366">
        <v>2015</v>
      </c>
      <c r="BL285" s="365" t="s">
        <v>1230</v>
      </c>
      <c r="BM285" s="366" t="s">
        <v>1629</v>
      </c>
      <c r="BN285" s="366" t="s">
        <v>3</v>
      </c>
      <c r="BO285" s="366">
        <v>0</v>
      </c>
      <c r="BP285" s="366">
        <v>0</v>
      </c>
      <c r="BQ285" s="366">
        <v>0</v>
      </c>
      <c r="BR285" s="366">
        <v>0</v>
      </c>
      <c r="BS285" s="366">
        <v>0</v>
      </c>
      <c r="BT285" s="366">
        <v>4</v>
      </c>
      <c r="BU285" s="366">
        <v>34</v>
      </c>
      <c r="BV285" s="366">
        <v>0</v>
      </c>
      <c r="BW285" s="366">
        <v>0</v>
      </c>
      <c r="BX285" s="366">
        <v>0</v>
      </c>
      <c r="BY285" s="366">
        <v>20</v>
      </c>
      <c r="BZ285" s="366">
        <v>0</v>
      </c>
      <c r="CA285" s="366">
        <v>0</v>
      </c>
      <c r="CB285" s="367">
        <f>IFERROR(BO285/Instructions!$J$25,0)+BP285*Instructions!$J$27+BQ285*Instructions!$J$29+IFERROR(BR285/Instructions!$E$34,0)+BS285*Instructions!$E$36+Tier!BT286*Instructions!$E$25+IFERROR(BU285/Instructions!$E$27,0)+BV285*Instructions!$E$29+IFERROR((BW285+BY285)/Instructions!$J$32,0)+(BX285+BZ285)*Instructions!$J$34+Tier!CA285*-2</f>
        <v>3.4</v>
      </c>
      <c r="CC285" s="354"/>
      <c r="CD285" s="321">
        <v>2015</v>
      </c>
      <c r="CE285" s="365" t="s">
        <v>187</v>
      </c>
      <c r="CF285" s="366" t="s">
        <v>161</v>
      </c>
      <c r="CG285" s="366" t="s">
        <v>6</v>
      </c>
      <c r="CH285" s="366">
        <v>0</v>
      </c>
      <c r="CI285" s="366">
        <v>0</v>
      </c>
      <c r="CJ285" s="366">
        <v>0</v>
      </c>
      <c r="CK285" s="366">
        <v>0</v>
      </c>
      <c r="CL285" s="366">
        <v>0</v>
      </c>
      <c r="CM285" s="366">
        <v>27</v>
      </c>
      <c r="CN285" s="366">
        <v>276</v>
      </c>
      <c r="CO285" s="366">
        <v>0</v>
      </c>
      <c r="CP285" s="366">
        <v>0</v>
      </c>
      <c r="CQ285" s="366">
        <v>0</v>
      </c>
      <c r="CR285" s="366">
        <v>0</v>
      </c>
      <c r="CS285" s="366">
        <v>0</v>
      </c>
      <c r="CT285" s="366">
        <v>1</v>
      </c>
      <c r="CU285" s="367">
        <f>IFERROR(CH285/Instructions!$J$25,0)+CI285*Instructions!$J$27+CJ285*Instructions!$J$29+IFERROR(CK285/Instructions!$E$34,0)+CL285*Instructions!$E$36+Tier!CM285*Instructions!$E$25+IFERROR(CN285/Instructions!$E$27,0)+CO285*Instructions!$E$29+IFERROR((CP285+CR285)/Instructions!$J$32,0)+(CQ285+CS285)*Instructions!$J$34+Tier!CT285*-2</f>
        <v>52.6</v>
      </c>
      <c r="CV285" s="354"/>
      <c r="CW285"/>
      <c r="CX285"/>
      <c r="CY285"/>
      <c r="CZ285"/>
      <c r="DA285"/>
      <c r="DB285"/>
      <c r="DC285"/>
      <c r="DD285"/>
      <c r="DE285"/>
      <c r="DF285"/>
      <c r="DG285"/>
      <c r="DH285"/>
      <c r="DI285"/>
      <c r="DJ285"/>
      <c r="DK285"/>
      <c r="DL285"/>
      <c r="DM285"/>
      <c r="DN285"/>
    </row>
    <row r="286" spans="3:118" s="238" customFormat="1" ht="15.75" customHeight="1" x14ac:dyDescent="0.25">
      <c r="C286"/>
      <c r="D286"/>
      <c r="E286"/>
      <c r="F286"/>
      <c r="G286"/>
      <c r="H286"/>
      <c r="I286"/>
      <c r="J286"/>
      <c r="K286"/>
      <c r="L286"/>
      <c r="M286"/>
      <c r="N286"/>
      <c r="O286" s="372"/>
      <c r="P286" s="366">
        <v>2015</v>
      </c>
      <c r="Q286" s="367">
        <f>LARGE($CB$153:$CB$302,134)</f>
        <v>5.5</v>
      </c>
      <c r="R286" s="357">
        <f t="shared" si="108"/>
        <v>-159.1</v>
      </c>
      <c r="S286" s="356">
        <f t="shared" si="107"/>
        <v>25312.809999999998</v>
      </c>
      <c r="U286" s="356">
        <f t="shared" si="109"/>
        <v>-9.9437499999999996</v>
      </c>
      <c r="V286" s="238">
        <f t="shared" si="105"/>
        <v>8</v>
      </c>
      <c r="W286" s="354"/>
      <c r="X286" s="371"/>
      <c r="Y286" s="371"/>
      <c r="Z286" s="321">
        <v>2015</v>
      </c>
      <c r="AA286" s="367">
        <f>LARGE($CU$153:$CU$302,134)</f>
        <v>35.299999999999997</v>
      </c>
      <c r="AB286" s="357">
        <f t="shared" si="110"/>
        <v>-187.83333333333331</v>
      </c>
      <c r="AC286" s="356">
        <f t="shared" si="104"/>
        <v>35281.361111111102</v>
      </c>
      <c r="AD286" s="356"/>
      <c r="AE286" s="356">
        <f t="shared" si="111"/>
        <v>-11.739583333333332</v>
      </c>
      <c r="AF286" s="238">
        <f t="shared" si="106"/>
        <v>8</v>
      </c>
      <c r="AG286" s="354"/>
      <c r="AK286"/>
      <c r="AL286"/>
      <c r="AM286"/>
      <c r="AN286"/>
      <c r="AO286"/>
      <c r="AP286"/>
      <c r="BI286" s="360"/>
      <c r="BJ286" s="354"/>
      <c r="BK286" s="366">
        <v>2015</v>
      </c>
      <c r="BL286" s="365" t="s">
        <v>1281</v>
      </c>
      <c r="BM286" s="366" t="s">
        <v>147</v>
      </c>
      <c r="BN286" s="366" t="s">
        <v>3</v>
      </c>
      <c r="BO286" s="366">
        <v>0</v>
      </c>
      <c r="BP286" s="366">
        <v>0</v>
      </c>
      <c r="BQ286" s="366">
        <v>0</v>
      </c>
      <c r="BR286" s="366">
        <v>42</v>
      </c>
      <c r="BS286" s="366">
        <v>0</v>
      </c>
      <c r="BT286" s="366">
        <v>0</v>
      </c>
      <c r="BU286" s="366">
        <v>0</v>
      </c>
      <c r="BV286" s="366">
        <v>0</v>
      </c>
      <c r="BW286" s="366">
        <v>0</v>
      </c>
      <c r="BX286" s="366">
        <v>0</v>
      </c>
      <c r="BY286" s="366">
        <v>0</v>
      </c>
      <c r="BZ286" s="366">
        <v>0</v>
      </c>
      <c r="CA286" s="366">
        <v>0</v>
      </c>
      <c r="CB286" s="367">
        <f>IFERROR(BO286/Instructions!$J$25,0)+BP286*Instructions!$J$27+BQ286*Instructions!$J$29+IFERROR(BR286/Instructions!$E$34,0)+BS286*Instructions!$E$36+Tier!BT287*Instructions!$E$25+IFERROR(BU286/Instructions!$E$27,0)+BV286*Instructions!$E$29+IFERROR((BW286+BY286)/Instructions!$J$32,0)+(BX286+BZ286)*Instructions!$J$34+Tier!CA286*-2</f>
        <v>8.1999999999999993</v>
      </c>
      <c r="CC286" s="354"/>
      <c r="CD286" s="321">
        <v>2015</v>
      </c>
      <c r="CE286" s="365" t="s">
        <v>1682</v>
      </c>
      <c r="CF286" s="366" t="s">
        <v>166</v>
      </c>
      <c r="CG286" s="366" t="s">
        <v>6</v>
      </c>
      <c r="CH286" s="366">
        <v>0</v>
      </c>
      <c r="CI286" s="366">
        <v>0</v>
      </c>
      <c r="CJ286" s="366">
        <v>0</v>
      </c>
      <c r="CK286" s="366">
        <v>0</v>
      </c>
      <c r="CL286" s="366">
        <v>0</v>
      </c>
      <c r="CM286" s="366">
        <v>19</v>
      </c>
      <c r="CN286" s="366">
        <v>208</v>
      </c>
      <c r="CO286" s="366">
        <v>1</v>
      </c>
      <c r="CP286" s="366">
        <v>0</v>
      </c>
      <c r="CQ286" s="366">
        <v>0</v>
      </c>
      <c r="CR286" s="366">
        <v>0</v>
      </c>
      <c r="CS286" s="366">
        <v>0</v>
      </c>
      <c r="CT286" s="366">
        <v>0</v>
      </c>
      <c r="CU286" s="367">
        <f>IFERROR(CH286/Instructions!$J$25,0)+CI286*Instructions!$J$27+CJ286*Instructions!$J$29+IFERROR(CK286/Instructions!$E$34,0)+CL286*Instructions!$E$36+Tier!CM286*Instructions!$E$25+IFERROR(CN286/Instructions!$E$27,0)+CO286*Instructions!$E$29+IFERROR((CP286+CR286)/Instructions!$J$32,0)+(CQ286+CS286)*Instructions!$J$34+Tier!CT286*-2</f>
        <v>45.8</v>
      </c>
      <c r="CV286" s="354"/>
      <c r="CW286"/>
      <c r="CX286"/>
      <c r="CY286"/>
      <c r="CZ286"/>
      <c r="DA286"/>
      <c r="DB286"/>
      <c r="DC286"/>
      <c r="DD286"/>
      <c r="DE286"/>
      <c r="DF286"/>
      <c r="DG286"/>
      <c r="DH286"/>
      <c r="DI286"/>
      <c r="DJ286"/>
      <c r="DK286"/>
      <c r="DL286"/>
      <c r="DM286"/>
      <c r="DN286"/>
    </row>
    <row r="287" spans="3:118" s="238" customFormat="1" ht="15.75" customHeight="1" x14ac:dyDescent="0.25">
      <c r="C287"/>
      <c r="D287"/>
      <c r="E287"/>
      <c r="F287"/>
      <c r="G287"/>
      <c r="H287"/>
      <c r="I287"/>
      <c r="J287"/>
      <c r="K287"/>
      <c r="L287"/>
      <c r="M287"/>
      <c r="N287"/>
      <c r="O287" s="372"/>
      <c r="P287" s="366">
        <v>2015</v>
      </c>
      <c r="Q287" s="367">
        <f>LARGE($CB$153:$CB$302,135)</f>
        <v>5.0999999999999996</v>
      </c>
      <c r="R287" s="357">
        <f t="shared" si="108"/>
        <v>-159.5</v>
      </c>
      <c r="S287" s="356">
        <f t="shared" si="107"/>
        <v>25440.25</v>
      </c>
      <c r="U287" s="356">
        <f t="shared" si="109"/>
        <v>-9.96875</v>
      </c>
      <c r="V287" s="238">
        <f t="shared" si="105"/>
        <v>8</v>
      </c>
      <c r="W287" s="354"/>
      <c r="X287" s="371"/>
      <c r="Y287" s="371"/>
      <c r="Z287" s="321">
        <v>2015</v>
      </c>
      <c r="AA287" s="367">
        <f>LARGE($CU$153:$CU$302,135)</f>
        <v>34.1</v>
      </c>
      <c r="AB287" s="357">
        <f t="shared" si="110"/>
        <v>-189.03333333333333</v>
      </c>
      <c r="AC287" s="356">
        <f t="shared" si="104"/>
        <v>35733.601111111107</v>
      </c>
      <c r="AD287" s="356"/>
      <c r="AE287" s="356">
        <f t="shared" si="111"/>
        <v>-11.814583333333333</v>
      </c>
      <c r="AF287" s="238">
        <f t="shared" si="106"/>
        <v>8</v>
      </c>
      <c r="AG287" s="354"/>
      <c r="AK287"/>
      <c r="AL287"/>
      <c r="AM287"/>
      <c r="AN287"/>
      <c r="AO287"/>
      <c r="AP287"/>
      <c r="BI287" s="360"/>
      <c r="BJ287" s="354"/>
      <c r="BK287" s="366">
        <v>2015</v>
      </c>
      <c r="BL287" s="365" t="s">
        <v>56</v>
      </c>
      <c r="BM287" s="366" t="s">
        <v>1630</v>
      </c>
      <c r="BN287" s="366" t="s">
        <v>3</v>
      </c>
      <c r="BO287" s="366">
        <v>0</v>
      </c>
      <c r="BP287" s="366">
        <v>0</v>
      </c>
      <c r="BQ287" s="366">
        <v>0</v>
      </c>
      <c r="BR287" s="366">
        <v>28</v>
      </c>
      <c r="BS287" s="366">
        <v>0</v>
      </c>
      <c r="BT287" s="366">
        <v>4</v>
      </c>
      <c r="BU287" s="366">
        <v>19</v>
      </c>
      <c r="BV287" s="366">
        <v>0</v>
      </c>
      <c r="BW287" s="366">
        <v>9</v>
      </c>
      <c r="BX287" s="366">
        <v>0</v>
      </c>
      <c r="BY287" s="366">
        <v>0</v>
      </c>
      <c r="BZ287" s="366">
        <v>0</v>
      </c>
      <c r="CA287" s="366">
        <v>0</v>
      </c>
      <c r="CB287" s="367">
        <f>IFERROR(BO287/Instructions!$J$25,0)+BP287*Instructions!$J$27+BQ287*Instructions!$J$29+IFERROR(BR287/Instructions!$E$34,0)+BS287*Instructions!$E$36+Tier!BT288*Instructions!$E$25+IFERROR(BU287/Instructions!$E$27,0)+BV287*Instructions!$E$29+IFERROR((BW287+BY287)/Instructions!$J$32,0)+(BX287+BZ287)*Instructions!$J$34+Tier!CA287*-2</f>
        <v>4.6999999999999993</v>
      </c>
      <c r="CC287" s="354"/>
      <c r="CD287" s="321">
        <v>2015</v>
      </c>
      <c r="CE287" s="365" t="s">
        <v>1600</v>
      </c>
      <c r="CF287" s="366" t="s">
        <v>148</v>
      </c>
      <c r="CG287" s="366" t="s">
        <v>6</v>
      </c>
      <c r="CH287" s="366">
        <v>0</v>
      </c>
      <c r="CI287" s="366">
        <v>0</v>
      </c>
      <c r="CJ287" s="366">
        <v>0</v>
      </c>
      <c r="CK287" s="366">
        <v>4</v>
      </c>
      <c r="CL287" s="366">
        <v>0</v>
      </c>
      <c r="CM287" s="366">
        <v>1</v>
      </c>
      <c r="CN287" s="366">
        <v>11</v>
      </c>
      <c r="CO287" s="366">
        <v>0</v>
      </c>
      <c r="CP287" s="366">
        <v>221</v>
      </c>
      <c r="CQ287" s="366">
        <v>0</v>
      </c>
      <c r="CR287" s="366">
        <v>403</v>
      </c>
      <c r="CS287" s="366">
        <v>0</v>
      </c>
      <c r="CT287" s="366">
        <v>0</v>
      </c>
      <c r="CU287" s="367">
        <f>IFERROR(CH287/Instructions!$J$25,0)+CI287*Instructions!$J$27+CJ287*Instructions!$J$29+IFERROR(CK287/Instructions!$E$34,0)+CL287*Instructions!$E$36+Tier!CM287*Instructions!$E$25+IFERROR(CN287/Instructions!$E$27,0)+CO287*Instructions!$E$29+IFERROR((CP287+CR287)/Instructions!$J$32,0)+(CQ287+CS287)*Instructions!$J$34+Tier!CT287*-2</f>
        <v>2.5</v>
      </c>
      <c r="CV287" s="354"/>
      <c r="CW287"/>
      <c r="CX287"/>
      <c r="CY287"/>
      <c r="CZ287"/>
      <c r="DA287"/>
      <c r="DB287"/>
      <c r="DC287"/>
      <c r="DD287"/>
      <c r="DE287"/>
      <c r="DF287"/>
      <c r="DG287"/>
      <c r="DH287"/>
      <c r="DI287"/>
      <c r="DJ287"/>
      <c r="DK287"/>
      <c r="DL287"/>
      <c r="DM287"/>
      <c r="DN287"/>
    </row>
    <row r="288" spans="3:118" s="238" customFormat="1" ht="15.75" customHeight="1" x14ac:dyDescent="0.25">
      <c r="C288"/>
      <c r="D288"/>
      <c r="E288"/>
      <c r="F288"/>
      <c r="G288"/>
      <c r="H288"/>
      <c r="I288"/>
      <c r="J288"/>
      <c r="K288"/>
      <c r="L288"/>
      <c r="M288"/>
      <c r="N288"/>
      <c r="O288" s="372"/>
      <c r="P288" s="366">
        <v>2015</v>
      </c>
      <c r="Q288" s="367">
        <f>LARGE($CB$153:$CB$302,136)</f>
        <v>4.8</v>
      </c>
      <c r="R288" s="357">
        <f t="shared" si="108"/>
        <v>-159.79999999999998</v>
      </c>
      <c r="S288" s="356">
        <f t="shared" si="107"/>
        <v>25536.039999999994</v>
      </c>
      <c r="U288" s="356">
        <f t="shared" si="109"/>
        <v>-9.9874999999999989</v>
      </c>
      <c r="V288" s="238">
        <f t="shared" si="105"/>
        <v>8</v>
      </c>
      <c r="W288" s="354"/>
      <c r="X288" s="371"/>
      <c r="Y288" s="371"/>
      <c r="Z288" s="321">
        <v>2015</v>
      </c>
      <c r="AA288" s="367">
        <f>LARGE($CU$153:$CU$302,136)</f>
        <v>31.4</v>
      </c>
      <c r="AB288" s="357">
        <f t="shared" si="110"/>
        <v>-191.73333333333332</v>
      </c>
      <c r="AC288" s="356">
        <f t="shared" si="104"/>
        <v>36761.671111111107</v>
      </c>
      <c r="AD288" s="356"/>
      <c r="AE288" s="356">
        <f t="shared" si="111"/>
        <v>-11.983333333333333</v>
      </c>
      <c r="AF288" s="238">
        <f t="shared" si="106"/>
        <v>8</v>
      </c>
      <c r="AG288" s="354"/>
      <c r="AK288"/>
      <c r="AL288"/>
      <c r="AM288"/>
      <c r="AN288"/>
      <c r="AO288"/>
      <c r="AP288"/>
      <c r="BI288" s="360"/>
      <c r="BJ288" s="354"/>
      <c r="BK288" s="366">
        <v>2015</v>
      </c>
      <c r="BL288" s="365" t="s">
        <v>1292</v>
      </c>
      <c r="BM288" s="366" t="s">
        <v>151</v>
      </c>
      <c r="BN288" s="366" t="s">
        <v>3</v>
      </c>
      <c r="BO288" s="366">
        <v>0</v>
      </c>
      <c r="BP288" s="366">
        <v>0</v>
      </c>
      <c r="BQ288" s="366">
        <v>0</v>
      </c>
      <c r="BR288" s="366">
        <v>33</v>
      </c>
      <c r="BS288" s="366">
        <v>0</v>
      </c>
      <c r="BT288" s="366">
        <v>0</v>
      </c>
      <c r="BU288" s="366">
        <v>0</v>
      </c>
      <c r="BV288" s="366">
        <v>0</v>
      </c>
      <c r="BW288" s="366">
        <v>0</v>
      </c>
      <c r="BX288" s="366">
        <v>0</v>
      </c>
      <c r="BY288" s="366">
        <v>0</v>
      </c>
      <c r="BZ288" s="366">
        <v>0</v>
      </c>
      <c r="CA288" s="366">
        <v>0</v>
      </c>
      <c r="CB288" s="367">
        <f>IFERROR(BO288/Instructions!$J$25,0)+BP288*Instructions!$J$27+BQ288*Instructions!$J$29+IFERROR(BR288/Instructions!$E$34,0)+BS288*Instructions!$E$36+Tier!BT289*Instructions!$E$25+IFERROR(BU288/Instructions!$E$27,0)+BV288*Instructions!$E$29+IFERROR((BW288+BY288)/Instructions!$J$32,0)+(BX288+BZ288)*Instructions!$J$34+Tier!CA288*-2</f>
        <v>4.3</v>
      </c>
      <c r="CC288" s="354"/>
      <c r="CD288" s="321">
        <v>2015</v>
      </c>
      <c r="CE288" s="365" t="s">
        <v>1111</v>
      </c>
      <c r="CF288" s="366" t="s">
        <v>1629</v>
      </c>
      <c r="CG288" s="366" t="s">
        <v>6</v>
      </c>
      <c r="CH288" s="366">
        <v>0</v>
      </c>
      <c r="CI288" s="366">
        <v>0</v>
      </c>
      <c r="CJ288" s="366">
        <v>0</v>
      </c>
      <c r="CK288" s="366">
        <v>0</v>
      </c>
      <c r="CL288" s="366">
        <v>0</v>
      </c>
      <c r="CM288" s="366">
        <v>17</v>
      </c>
      <c r="CN288" s="366">
        <v>199</v>
      </c>
      <c r="CO288" s="366">
        <v>1</v>
      </c>
      <c r="CP288" s="366">
        <v>0</v>
      </c>
      <c r="CQ288" s="366">
        <v>0</v>
      </c>
      <c r="CR288" s="366">
        <v>14</v>
      </c>
      <c r="CS288" s="366">
        <v>0</v>
      </c>
      <c r="CT288" s="366">
        <v>0</v>
      </c>
      <c r="CU288" s="367">
        <f>IFERROR(CH288/Instructions!$J$25,0)+CI288*Instructions!$J$27+CJ288*Instructions!$J$29+IFERROR(CK288/Instructions!$E$34,0)+CL288*Instructions!$E$36+Tier!CM288*Instructions!$E$25+IFERROR(CN288/Instructions!$E$27,0)+CO288*Instructions!$E$29+IFERROR((CP288+CR288)/Instructions!$J$32,0)+(CQ288+CS288)*Instructions!$J$34+Tier!CT288*-2</f>
        <v>42.9</v>
      </c>
      <c r="CV288" s="354"/>
      <c r="CW288"/>
      <c r="CX288"/>
      <c r="CY288"/>
      <c r="CZ288"/>
      <c r="DA288"/>
      <c r="DB288"/>
      <c r="DC288"/>
      <c r="DD288"/>
      <c r="DE288"/>
      <c r="DF288"/>
      <c r="DG288"/>
      <c r="DH288"/>
      <c r="DI288"/>
      <c r="DJ288"/>
      <c r="DK288"/>
      <c r="DL288"/>
      <c r="DM288"/>
      <c r="DN288"/>
    </row>
    <row r="289" spans="3:118" s="238" customFormat="1" ht="15.75" customHeight="1" x14ac:dyDescent="0.25">
      <c r="C289"/>
      <c r="D289"/>
      <c r="E289"/>
      <c r="F289"/>
      <c r="G289"/>
      <c r="H289"/>
      <c r="I289"/>
      <c r="J289"/>
      <c r="K289"/>
      <c r="L289"/>
      <c r="M289"/>
      <c r="N289"/>
      <c r="O289" s="372"/>
      <c r="P289" s="366">
        <v>2015</v>
      </c>
      <c r="Q289" s="367">
        <f>LARGE($CB$153:$CB$302,137)</f>
        <v>4.6999999999999993</v>
      </c>
      <c r="R289" s="357">
        <f t="shared" si="108"/>
        <v>-159.9</v>
      </c>
      <c r="S289" s="356">
        <f t="shared" si="107"/>
        <v>25568.010000000002</v>
      </c>
      <c r="U289" s="356">
        <f t="shared" si="109"/>
        <v>-9.9937500000000004</v>
      </c>
      <c r="V289" s="238">
        <f t="shared" si="105"/>
        <v>8</v>
      </c>
      <c r="W289" s="354"/>
      <c r="X289" s="371"/>
      <c r="Y289" s="371"/>
      <c r="Z289" s="321">
        <v>2015</v>
      </c>
      <c r="AA289" s="367">
        <f>LARGE($CU$153:$CU$302,137)</f>
        <v>30.5</v>
      </c>
      <c r="AB289" s="357">
        <f t="shared" si="110"/>
        <v>-192.63333333333333</v>
      </c>
      <c r="AC289" s="356">
        <f t="shared" si="104"/>
        <v>37107.601111111107</v>
      </c>
      <c r="AD289" s="356"/>
      <c r="AE289" s="356">
        <f t="shared" si="111"/>
        <v>-12.039583333333333</v>
      </c>
      <c r="AF289" s="238">
        <f t="shared" si="106"/>
        <v>8</v>
      </c>
      <c r="AG289" s="354"/>
      <c r="AK289"/>
      <c r="AL289"/>
      <c r="AM289"/>
      <c r="AN289"/>
      <c r="AO289"/>
      <c r="AP289"/>
      <c r="BI289" s="360"/>
      <c r="BJ289" s="354"/>
      <c r="BK289" s="366">
        <v>2015</v>
      </c>
      <c r="BL289" s="365" t="s">
        <v>1604</v>
      </c>
      <c r="BM289" s="366" t="s">
        <v>140</v>
      </c>
      <c r="BN289" s="366" t="s">
        <v>3</v>
      </c>
      <c r="BO289" s="366">
        <v>0</v>
      </c>
      <c r="BP289" s="366">
        <v>0</v>
      </c>
      <c r="BQ289" s="366">
        <v>0</v>
      </c>
      <c r="BR289" s="366">
        <v>32</v>
      </c>
      <c r="BS289" s="366">
        <v>0</v>
      </c>
      <c r="BT289" s="366">
        <v>1</v>
      </c>
      <c r="BU289" s="366">
        <v>0</v>
      </c>
      <c r="BV289" s="366">
        <v>0</v>
      </c>
      <c r="BW289" s="366">
        <v>0</v>
      </c>
      <c r="BX289" s="366">
        <v>0</v>
      </c>
      <c r="BY289" s="366">
        <v>0</v>
      </c>
      <c r="BZ289" s="366">
        <v>0</v>
      </c>
      <c r="CA289" s="366">
        <v>0</v>
      </c>
      <c r="CB289" s="367">
        <f>IFERROR(BO289/Instructions!$J$25,0)+BP289*Instructions!$J$27+BQ289*Instructions!$J$29+IFERROR(BR289/Instructions!$E$34,0)+BS289*Instructions!$E$36+Tier!BT290*Instructions!$E$25+IFERROR(BU289/Instructions!$E$27,0)+BV289*Instructions!$E$29+IFERROR((BW289+BY289)/Instructions!$J$32,0)+(BX289+BZ289)*Instructions!$J$34+Tier!CA289*-2</f>
        <v>9.1999999999999993</v>
      </c>
      <c r="CC289" s="354"/>
      <c r="CD289" s="321">
        <v>2015</v>
      </c>
      <c r="CE289" s="365" t="s">
        <v>1683</v>
      </c>
      <c r="CF289" s="366" t="s">
        <v>144</v>
      </c>
      <c r="CG289" s="366" t="s">
        <v>6</v>
      </c>
      <c r="CH289" s="366">
        <v>0</v>
      </c>
      <c r="CI289" s="366">
        <v>0</v>
      </c>
      <c r="CJ289" s="366">
        <v>0</v>
      </c>
      <c r="CK289" s="366">
        <v>3</v>
      </c>
      <c r="CL289" s="366">
        <v>0</v>
      </c>
      <c r="CM289" s="366">
        <v>10</v>
      </c>
      <c r="CN289" s="366">
        <v>72</v>
      </c>
      <c r="CO289" s="366">
        <v>2</v>
      </c>
      <c r="CP289" s="366">
        <v>0</v>
      </c>
      <c r="CQ289" s="366">
        <v>0</v>
      </c>
      <c r="CR289" s="366">
        <v>162</v>
      </c>
      <c r="CS289" s="366">
        <v>0</v>
      </c>
      <c r="CT289" s="366">
        <v>0</v>
      </c>
      <c r="CU289" s="367">
        <f>IFERROR(CH289/Instructions!$J$25,0)+CI289*Instructions!$J$27+CJ289*Instructions!$J$29+IFERROR(CK289/Instructions!$E$34,0)+CL289*Instructions!$E$36+Tier!CM289*Instructions!$E$25+IFERROR(CN289/Instructions!$E$27,0)+CO289*Instructions!$E$29+IFERROR((CP289+CR289)/Instructions!$J$32,0)+(CQ289+CS289)*Instructions!$J$34+Tier!CT289*-2</f>
        <v>29.5</v>
      </c>
      <c r="CV289" s="354"/>
      <c r="CW289"/>
      <c r="CX289"/>
      <c r="CY289"/>
      <c r="CZ289"/>
      <c r="DA289"/>
      <c r="DB289"/>
      <c r="DC289"/>
      <c r="DD289"/>
      <c r="DE289"/>
      <c r="DF289"/>
      <c r="DG289"/>
      <c r="DH289"/>
      <c r="DI289"/>
      <c r="DJ289"/>
      <c r="DK289"/>
      <c r="DL289"/>
      <c r="DM289"/>
      <c r="DN289"/>
    </row>
    <row r="290" spans="3:118" s="238" customFormat="1" ht="15.75" customHeight="1" x14ac:dyDescent="0.25">
      <c r="C290"/>
      <c r="D290"/>
      <c r="E290"/>
      <c r="F290"/>
      <c r="G290"/>
      <c r="H290"/>
      <c r="I290"/>
      <c r="J290"/>
      <c r="K290"/>
      <c r="L290"/>
      <c r="M290"/>
      <c r="N290"/>
      <c r="O290" s="372"/>
      <c r="P290" s="366">
        <v>2015</v>
      </c>
      <c r="Q290" s="367">
        <f>LARGE($CB$153:$CB$302,138)</f>
        <v>4.3</v>
      </c>
      <c r="R290" s="357">
        <f t="shared" si="108"/>
        <v>-160.29999999999998</v>
      </c>
      <c r="S290" s="356">
        <f t="shared" si="107"/>
        <v>25696.089999999993</v>
      </c>
      <c r="U290" s="356">
        <f t="shared" si="109"/>
        <v>-10.018749999999999</v>
      </c>
      <c r="V290" s="238">
        <f t="shared" si="105"/>
        <v>8</v>
      </c>
      <c r="W290" s="354"/>
      <c r="X290" s="371"/>
      <c r="Y290" s="371"/>
      <c r="Z290" s="321">
        <v>2015</v>
      </c>
      <c r="AA290" s="367">
        <f>LARGE($CU$153:$CU$302,138)</f>
        <v>30.2</v>
      </c>
      <c r="AB290" s="357">
        <f t="shared" si="110"/>
        <v>-192.93333333333334</v>
      </c>
      <c r="AC290" s="356">
        <f t="shared" si="104"/>
        <v>37223.271111111113</v>
      </c>
      <c r="AD290" s="356"/>
      <c r="AE290" s="356">
        <f t="shared" si="111"/>
        <v>-12.058333333333334</v>
      </c>
      <c r="AF290" s="238">
        <f t="shared" si="106"/>
        <v>8</v>
      </c>
      <c r="AG290" s="354"/>
      <c r="AK290"/>
      <c r="AL290"/>
      <c r="AM290"/>
      <c r="AN290"/>
      <c r="AO290"/>
      <c r="AP290"/>
      <c r="BI290" s="360"/>
      <c r="BJ290" s="354"/>
      <c r="BK290" s="366">
        <v>2015</v>
      </c>
      <c r="BL290" s="365" t="s">
        <v>1232</v>
      </c>
      <c r="BM290" s="366" t="s">
        <v>152</v>
      </c>
      <c r="BN290" s="366" t="s">
        <v>3</v>
      </c>
      <c r="BO290" s="366">
        <v>0</v>
      </c>
      <c r="BP290" s="366">
        <v>0</v>
      </c>
      <c r="BQ290" s="366">
        <v>0</v>
      </c>
      <c r="BR290" s="366">
        <v>10</v>
      </c>
      <c r="BS290" s="366">
        <v>0</v>
      </c>
      <c r="BT290" s="366">
        <v>6</v>
      </c>
      <c r="BU290" s="366">
        <v>22</v>
      </c>
      <c r="BV290" s="366">
        <v>0</v>
      </c>
      <c r="BW290" s="366">
        <v>0</v>
      </c>
      <c r="BX290" s="366">
        <v>0</v>
      </c>
      <c r="BY290" s="366">
        <v>0</v>
      </c>
      <c r="BZ290" s="366">
        <v>0</v>
      </c>
      <c r="CA290" s="366">
        <v>0</v>
      </c>
      <c r="CB290" s="367">
        <f>IFERROR(BO290/Instructions!$J$25,0)+BP290*Instructions!$J$27+BQ290*Instructions!$J$29+IFERROR(BR290/Instructions!$E$34,0)+BS290*Instructions!$E$36+Tier!BT291*Instructions!$E$25+IFERROR(BU290/Instructions!$E$27,0)+BV290*Instructions!$E$29+IFERROR((BW290+BY290)/Instructions!$J$32,0)+(BX290+BZ290)*Instructions!$J$34+Tier!CA290*-2</f>
        <v>3.2</v>
      </c>
      <c r="CC290" s="354"/>
      <c r="CD290" s="321">
        <v>2015</v>
      </c>
      <c r="CE290" s="365" t="s">
        <v>1270</v>
      </c>
      <c r="CF290" s="366" t="s">
        <v>142</v>
      </c>
      <c r="CG290" s="366" t="s">
        <v>6</v>
      </c>
      <c r="CH290" s="366">
        <v>0</v>
      </c>
      <c r="CI290" s="366">
        <v>0</v>
      </c>
      <c r="CJ290" s="366">
        <v>0</v>
      </c>
      <c r="CK290" s="366">
        <v>-3</v>
      </c>
      <c r="CL290" s="366">
        <v>0</v>
      </c>
      <c r="CM290" s="366">
        <v>10</v>
      </c>
      <c r="CN290" s="366">
        <v>132</v>
      </c>
      <c r="CO290" s="366">
        <v>1</v>
      </c>
      <c r="CP290" s="366">
        <v>59</v>
      </c>
      <c r="CQ290" s="366">
        <v>0</v>
      </c>
      <c r="CR290" s="366">
        <v>106</v>
      </c>
      <c r="CS290" s="366">
        <v>0</v>
      </c>
      <c r="CT290" s="366">
        <v>0</v>
      </c>
      <c r="CU290" s="367">
        <f>IFERROR(CH290/Instructions!$J$25,0)+CI290*Instructions!$J$27+CJ290*Instructions!$J$29+IFERROR(CK290/Instructions!$E$34,0)+CL290*Instructions!$E$36+Tier!CM290*Instructions!$E$25+IFERROR(CN290/Instructions!$E$27,0)+CO290*Instructions!$E$29+IFERROR((CP290+CR290)/Instructions!$J$32,0)+(CQ290+CS290)*Instructions!$J$34+Tier!CT290*-2</f>
        <v>28.9</v>
      </c>
      <c r="CV290" s="354"/>
      <c r="CW290"/>
      <c r="CX290"/>
      <c r="CY290"/>
      <c r="CZ290"/>
      <c r="DA290"/>
      <c r="DB290"/>
      <c r="DC290"/>
      <c r="DD290"/>
      <c r="DE290"/>
      <c r="DF290"/>
      <c r="DG290"/>
      <c r="DH290"/>
      <c r="DI290"/>
      <c r="DJ290"/>
      <c r="DK290"/>
      <c r="DL290"/>
      <c r="DM290"/>
      <c r="DN290"/>
    </row>
    <row r="291" spans="3:118" s="238" customFormat="1" ht="15.75" customHeight="1" x14ac:dyDescent="0.25">
      <c r="C291"/>
      <c r="D291"/>
      <c r="E291"/>
      <c r="F291"/>
      <c r="G291"/>
      <c r="H291"/>
      <c r="I291"/>
      <c r="J291"/>
      <c r="K291"/>
      <c r="L291"/>
      <c r="M291"/>
      <c r="N291"/>
      <c r="O291" s="372"/>
      <c r="P291" s="366">
        <v>2015</v>
      </c>
      <c r="Q291" s="367">
        <f>LARGE($CB$153:$CB$302,139)</f>
        <v>3.8</v>
      </c>
      <c r="R291" s="357">
        <f t="shared" si="108"/>
        <v>-160.79999999999998</v>
      </c>
      <c r="S291" s="356">
        <f t="shared" si="107"/>
        <v>25856.639999999996</v>
      </c>
      <c r="U291" s="356">
        <f t="shared" si="109"/>
        <v>-10.049999999999999</v>
      </c>
      <c r="V291" s="238">
        <f t="shared" si="105"/>
        <v>8</v>
      </c>
      <c r="W291" s="354"/>
      <c r="X291" s="371"/>
      <c r="Y291" s="371"/>
      <c r="Z291" s="321">
        <v>2015</v>
      </c>
      <c r="AA291" s="367">
        <f>LARGE($CU$153:$CU$302,139)</f>
        <v>29.8</v>
      </c>
      <c r="AB291" s="357">
        <f t="shared" si="110"/>
        <v>-193.33333333333331</v>
      </c>
      <c r="AC291" s="356">
        <f t="shared" si="104"/>
        <v>37377.777777777774</v>
      </c>
      <c r="AD291" s="356"/>
      <c r="AE291" s="356">
        <f t="shared" si="111"/>
        <v>-12.083333333333332</v>
      </c>
      <c r="AF291" s="238">
        <f t="shared" si="106"/>
        <v>8</v>
      </c>
      <c r="AG291" s="354"/>
      <c r="AK291"/>
      <c r="AL291"/>
      <c r="AM291"/>
      <c r="AN291"/>
      <c r="AO291"/>
      <c r="AP291"/>
      <c r="BI291" s="360"/>
      <c r="BJ291" s="354"/>
      <c r="BK291" s="366">
        <v>2015</v>
      </c>
      <c r="BL291" s="365" t="s">
        <v>977</v>
      </c>
      <c r="BM291" s="366" t="s">
        <v>147</v>
      </c>
      <c r="BN291" s="366" t="s">
        <v>3</v>
      </c>
      <c r="BO291" s="366">
        <v>0</v>
      </c>
      <c r="BP291" s="366">
        <v>0</v>
      </c>
      <c r="BQ291" s="366">
        <v>0</v>
      </c>
      <c r="BR291" s="366">
        <v>22</v>
      </c>
      <c r="BS291" s="366">
        <v>0</v>
      </c>
      <c r="BT291" s="366">
        <v>0</v>
      </c>
      <c r="BU291" s="366">
        <v>0</v>
      </c>
      <c r="BV291" s="366">
        <v>0</v>
      </c>
      <c r="BW291" s="366">
        <v>0</v>
      </c>
      <c r="BX291" s="366">
        <v>0</v>
      </c>
      <c r="BY291" s="366">
        <v>22</v>
      </c>
      <c r="BZ291" s="366">
        <v>0</v>
      </c>
      <c r="CA291" s="366">
        <v>0</v>
      </c>
      <c r="CB291" s="367">
        <f>IFERROR(BO291/Instructions!$J$25,0)+BP291*Instructions!$J$27+BQ291*Instructions!$J$29+IFERROR(BR291/Instructions!$E$34,0)+BS291*Instructions!$E$36+Tier!BT292*Instructions!$E$25+IFERROR(BU291/Instructions!$E$27,0)+BV291*Instructions!$E$29+IFERROR((BW291+BY291)/Instructions!$J$32,0)+(BX291+BZ291)*Instructions!$J$34+Tier!CA291*-2</f>
        <v>3.2</v>
      </c>
      <c r="CC291" s="354"/>
      <c r="CD291" s="321">
        <v>2015</v>
      </c>
      <c r="CE291" s="365" t="s">
        <v>1684</v>
      </c>
      <c r="CF291" s="366" t="s">
        <v>150</v>
      </c>
      <c r="CG291" s="366" t="s">
        <v>6</v>
      </c>
      <c r="CH291" s="366">
        <v>0</v>
      </c>
      <c r="CI291" s="366">
        <v>0</v>
      </c>
      <c r="CJ291" s="366">
        <v>0</v>
      </c>
      <c r="CK291" s="366">
        <v>0</v>
      </c>
      <c r="CL291" s="366">
        <v>0</v>
      </c>
      <c r="CM291" s="366">
        <v>12</v>
      </c>
      <c r="CN291" s="366">
        <v>182</v>
      </c>
      <c r="CO291" s="366">
        <v>1</v>
      </c>
      <c r="CP291" s="366">
        <v>0</v>
      </c>
      <c r="CQ291" s="366">
        <v>0</v>
      </c>
      <c r="CR291" s="366">
        <v>28</v>
      </c>
      <c r="CS291" s="366">
        <v>0</v>
      </c>
      <c r="CT291" s="366">
        <v>0</v>
      </c>
      <c r="CU291" s="367">
        <f>IFERROR(CH291/Instructions!$J$25,0)+CI291*Instructions!$J$27+CJ291*Instructions!$J$29+IFERROR(CK291/Instructions!$E$34,0)+CL291*Instructions!$E$36+Tier!CM291*Instructions!$E$25+IFERROR(CN291/Instructions!$E$27,0)+CO291*Instructions!$E$29+IFERROR((CP291+CR291)/Instructions!$J$32,0)+(CQ291+CS291)*Instructions!$J$34+Tier!CT291*-2</f>
        <v>36.200000000000003</v>
      </c>
      <c r="CV291" s="354"/>
      <c r="CW291"/>
      <c r="CX291"/>
      <c r="CY291"/>
      <c r="CZ291"/>
      <c r="DA291"/>
      <c r="DB291"/>
      <c r="DC291"/>
      <c r="DD291"/>
      <c r="DE291"/>
      <c r="DF291"/>
      <c r="DG291"/>
      <c r="DH291"/>
      <c r="DI291"/>
      <c r="DJ291"/>
      <c r="DK291"/>
      <c r="DL291"/>
      <c r="DM291"/>
      <c r="DN291"/>
    </row>
    <row r="292" spans="3:118" s="238" customFormat="1" ht="15.75" customHeight="1" x14ac:dyDescent="0.25">
      <c r="C292"/>
      <c r="D292"/>
      <c r="E292"/>
      <c r="F292"/>
      <c r="G292"/>
      <c r="H292"/>
      <c r="I292"/>
      <c r="J292"/>
      <c r="K292"/>
      <c r="L292"/>
      <c r="M292"/>
      <c r="N292"/>
      <c r="O292" s="372"/>
      <c r="P292" s="366">
        <v>2015</v>
      </c>
      <c r="Q292" s="367">
        <f>LARGE($CB$153:$CB$302,140)</f>
        <v>3.5</v>
      </c>
      <c r="R292" s="357">
        <f t="shared" si="108"/>
        <v>-161.1</v>
      </c>
      <c r="S292" s="356">
        <f t="shared" si="107"/>
        <v>25953.21</v>
      </c>
      <c r="U292" s="356">
        <f t="shared" si="109"/>
        <v>-10.06875</v>
      </c>
      <c r="V292" s="238">
        <f t="shared" si="105"/>
        <v>8</v>
      </c>
      <c r="W292" s="354"/>
      <c r="X292" s="371"/>
      <c r="Y292" s="371"/>
      <c r="Z292" s="321">
        <v>2015</v>
      </c>
      <c r="AA292" s="367">
        <f>LARGE($CU$153:$CU$302,140)</f>
        <v>29.5</v>
      </c>
      <c r="AB292" s="357">
        <f t="shared" si="110"/>
        <v>-193.63333333333333</v>
      </c>
      <c r="AC292" s="356">
        <f t="shared" si="104"/>
        <v>37493.867777777778</v>
      </c>
      <c r="AD292" s="356"/>
      <c r="AE292" s="356">
        <f t="shared" si="111"/>
        <v>-12.102083333333333</v>
      </c>
      <c r="AF292" s="238">
        <f t="shared" si="106"/>
        <v>8</v>
      </c>
      <c r="AG292" s="354"/>
      <c r="AK292"/>
      <c r="AL292"/>
      <c r="AM292"/>
      <c r="AN292"/>
      <c r="AO292"/>
      <c r="AP292"/>
      <c r="BI292" s="360"/>
      <c r="BJ292" s="354"/>
      <c r="BK292" s="366">
        <v>2015</v>
      </c>
      <c r="BL292" s="365" t="s">
        <v>1340</v>
      </c>
      <c r="BM292" s="366" t="s">
        <v>1633</v>
      </c>
      <c r="BN292" s="366" t="s">
        <v>3</v>
      </c>
      <c r="BO292" s="366">
        <v>0</v>
      </c>
      <c r="BP292" s="366">
        <v>0</v>
      </c>
      <c r="BQ292" s="366">
        <v>0</v>
      </c>
      <c r="BR292" s="366">
        <v>5</v>
      </c>
      <c r="BS292" s="366">
        <v>0</v>
      </c>
      <c r="BT292" s="366">
        <v>1</v>
      </c>
      <c r="BU292" s="366">
        <v>6</v>
      </c>
      <c r="BV292" s="366">
        <v>0</v>
      </c>
      <c r="BW292" s="366">
        <v>0</v>
      </c>
      <c r="BX292" s="366">
        <v>0</v>
      </c>
      <c r="BY292" s="366">
        <v>26</v>
      </c>
      <c r="BZ292" s="366">
        <v>0</v>
      </c>
      <c r="CA292" s="366">
        <v>0</v>
      </c>
      <c r="CB292" s="367">
        <f>IFERROR(BO292/Instructions!$J$25,0)+BP292*Instructions!$J$27+BQ292*Instructions!$J$29+IFERROR(BR292/Instructions!$E$34,0)+BS292*Instructions!$E$36+Tier!BT293*Instructions!$E$25+IFERROR(BU292/Instructions!$E$27,0)+BV292*Instructions!$E$29+IFERROR((BW292+BY292)/Instructions!$J$32,0)+(BX292+BZ292)*Instructions!$J$34+Tier!CA292*-2</f>
        <v>1.1000000000000001</v>
      </c>
      <c r="CC292" s="354"/>
      <c r="CD292" s="321">
        <v>2015</v>
      </c>
      <c r="CE292" s="365" t="s">
        <v>214</v>
      </c>
      <c r="CF292" s="366" t="s">
        <v>146</v>
      </c>
      <c r="CG292" s="366" t="s">
        <v>6</v>
      </c>
      <c r="CH292" s="366">
        <v>0</v>
      </c>
      <c r="CI292" s="366">
        <v>0</v>
      </c>
      <c r="CJ292" s="366">
        <v>0</v>
      </c>
      <c r="CK292" s="366">
        <v>0</v>
      </c>
      <c r="CL292" s="366">
        <v>0</v>
      </c>
      <c r="CM292" s="366">
        <v>12</v>
      </c>
      <c r="CN292" s="366">
        <v>258</v>
      </c>
      <c r="CO292" s="366">
        <v>0</v>
      </c>
      <c r="CP292" s="366">
        <v>0</v>
      </c>
      <c r="CQ292" s="366">
        <v>0</v>
      </c>
      <c r="CR292" s="366">
        <v>0</v>
      </c>
      <c r="CS292" s="366">
        <v>0</v>
      </c>
      <c r="CT292" s="366">
        <v>0</v>
      </c>
      <c r="CU292" s="367">
        <f>IFERROR(CH292/Instructions!$J$25,0)+CI292*Instructions!$J$27+CJ292*Instructions!$J$29+IFERROR(CK292/Instructions!$E$34,0)+CL292*Instructions!$E$36+Tier!CM292*Instructions!$E$25+IFERROR(CN292/Instructions!$E$27,0)+CO292*Instructions!$E$29+IFERROR((CP292+CR292)/Instructions!$J$32,0)+(CQ292+CS292)*Instructions!$J$34+Tier!CT292*-2</f>
        <v>37.799999999999997</v>
      </c>
      <c r="CV292" s="354"/>
      <c r="CW292"/>
      <c r="CX292"/>
      <c r="CY292"/>
      <c r="CZ292"/>
      <c r="DA292"/>
      <c r="DB292"/>
      <c r="DC292"/>
      <c r="DD292"/>
      <c r="DE292"/>
      <c r="DF292"/>
      <c r="DG292"/>
      <c r="DH292"/>
      <c r="DI292"/>
      <c r="DJ292"/>
      <c r="DK292"/>
      <c r="DL292"/>
      <c r="DM292"/>
      <c r="DN292"/>
    </row>
    <row r="293" spans="3:118" s="238" customFormat="1" ht="15.75" customHeight="1" x14ac:dyDescent="0.25">
      <c r="C293"/>
      <c r="D293"/>
      <c r="E293"/>
      <c r="F293"/>
      <c r="G293"/>
      <c r="H293"/>
      <c r="I293"/>
      <c r="J293"/>
      <c r="K293"/>
      <c r="L293"/>
      <c r="M293"/>
      <c r="N293"/>
      <c r="O293" s="372"/>
      <c r="P293" s="366">
        <v>2015</v>
      </c>
      <c r="Q293" s="367">
        <f>LARGE($CB$153:$CB$302,141)</f>
        <v>3.4</v>
      </c>
      <c r="R293" s="357">
        <f t="shared" si="108"/>
        <v>-161.19999999999999</v>
      </c>
      <c r="S293" s="356">
        <f t="shared" si="107"/>
        <v>25985.439999999995</v>
      </c>
      <c r="U293" s="356">
        <f t="shared" si="109"/>
        <v>-10.074999999999999</v>
      </c>
      <c r="V293" s="238">
        <f t="shared" si="105"/>
        <v>8</v>
      </c>
      <c r="W293" s="354"/>
      <c r="X293" s="371"/>
      <c r="Y293" s="371"/>
      <c r="Z293" s="321">
        <v>2015</v>
      </c>
      <c r="AA293" s="367">
        <f>LARGE($CU$153:$CU$302,141)</f>
        <v>29</v>
      </c>
      <c r="AB293" s="357">
        <f t="shared" si="110"/>
        <v>-194.13333333333333</v>
      </c>
      <c r="AC293" s="356">
        <f t="shared" si="104"/>
        <v>37687.751111111109</v>
      </c>
      <c r="AD293" s="356"/>
      <c r="AE293" s="356">
        <f t="shared" si="111"/>
        <v>-12.133333333333333</v>
      </c>
      <c r="AF293" s="238">
        <f t="shared" si="106"/>
        <v>8</v>
      </c>
      <c r="AG293" s="354"/>
      <c r="AK293"/>
      <c r="AL293"/>
      <c r="AM293"/>
      <c r="AN293"/>
      <c r="AO293"/>
      <c r="AP293"/>
      <c r="BI293" s="360"/>
      <c r="BJ293" s="354"/>
      <c r="BK293" s="366">
        <v>2015</v>
      </c>
      <c r="BL293" s="365" t="s">
        <v>1306</v>
      </c>
      <c r="BM293" s="366" t="s">
        <v>1624</v>
      </c>
      <c r="BN293" s="366" t="s">
        <v>3</v>
      </c>
      <c r="BO293" s="366">
        <v>0</v>
      </c>
      <c r="BP293" s="366">
        <v>0</v>
      </c>
      <c r="BQ293" s="366">
        <v>0</v>
      </c>
      <c r="BR293" s="366">
        <v>21</v>
      </c>
      <c r="BS293" s="366">
        <v>0</v>
      </c>
      <c r="BT293" s="366">
        <v>0</v>
      </c>
      <c r="BU293" s="366">
        <v>0</v>
      </c>
      <c r="BV293" s="366">
        <v>0</v>
      </c>
      <c r="BW293" s="366">
        <v>0</v>
      </c>
      <c r="BX293" s="366">
        <v>0</v>
      </c>
      <c r="BY293" s="366">
        <v>0</v>
      </c>
      <c r="BZ293" s="366">
        <v>0</v>
      </c>
      <c r="CA293" s="366">
        <v>0</v>
      </c>
      <c r="CB293" s="367">
        <f>IFERROR(BO293/Instructions!$J$25,0)+BP293*Instructions!$J$27+BQ293*Instructions!$J$29+IFERROR(BR293/Instructions!$E$34,0)+BS293*Instructions!$E$36+Tier!BT294*Instructions!$E$25+IFERROR(BU293/Instructions!$E$27,0)+BV293*Instructions!$E$29+IFERROR((BW293+BY293)/Instructions!$J$32,0)+(BX293+BZ293)*Instructions!$J$34+Tier!CA293*-2</f>
        <v>2.1</v>
      </c>
      <c r="CC293" s="354"/>
      <c r="CD293" s="321">
        <v>2015</v>
      </c>
      <c r="CE293" s="365" t="s">
        <v>212</v>
      </c>
      <c r="CF293" s="366" t="s">
        <v>1624</v>
      </c>
      <c r="CG293" s="366" t="s">
        <v>6</v>
      </c>
      <c r="CH293" s="366">
        <v>0</v>
      </c>
      <c r="CI293" s="366">
        <v>0</v>
      </c>
      <c r="CJ293" s="366">
        <v>0</v>
      </c>
      <c r="CK293" s="366">
        <v>0</v>
      </c>
      <c r="CL293" s="366">
        <v>0</v>
      </c>
      <c r="CM293" s="366">
        <v>2</v>
      </c>
      <c r="CN293" s="366">
        <v>79</v>
      </c>
      <c r="CO293" s="366">
        <v>0</v>
      </c>
      <c r="CP293" s="366">
        <v>0</v>
      </c>
      <c r="CQ293" s="366">
        <v>0</v>
      </c>
      <c r="CR293" s="366">
        <v>406</v>
      </c>
      <c r="CS293" s="366">
        <v>0</v>
      </c>
      <c r="CT293" s="366">
        <v>0</v>
      </c>
      <c r="CU293" s="367">
        <f>IFERROR(CH293/Instructions!$J$25,0)+CI293*Instructions!$J$27+CJ293*Instructions!$J$29+IFERROR(CK293/Instructions!$E$34,0)+CL293*Instructions!$E$36+Tier!CM293*Instructions!$E$25+IFERROR(CN293/Instructions!$E$27,0)+CO293*Instructions!$E$29+IFERROR((CP293+CR293)/Instructions!$J$32,0)+(CQ293+CS293)*Instructions!$J$34+Tier!CT293*-2</f>
        <v>9.9</v>
      </c>
      <c r="CV293" s="354"/>
      <c r="CW293"/>
      <c r="CX293"/>
      <c r="CY293"/>
      <c r="CZ293"/>
      <c r="DA293"/>
      <c r="DB293"/>
      <c r="DC293"/>
      <c r="DD293"/>
      <c r="DE293"/>
      <c r="DF293"/>
      <c r="DG293"/>
      <c r="DH293"/>
      <c r="DI293"/>
      <c r="DJ293"/>
      <c r="DK293"/>
      <c r="DL293"/>
      <c r="DM293"/>
      <c r="DN293"/>
    </row>
    <row r="294" spans="3:118" s="238" customFormat="1" ht="15.75" customHeight="1" x14ac:dyDescent="0.25">
      <c r="C294"/>
      <c r="D294"/>
      <c r="E294"/>
      <c r="F294"/>
      <c r="G294"/>
      <c r="H294"/>
      <c r="I294"/>
      <c r="J294"/>
      <c r="K294"/>
      <c r="L294"/>
      <c r="M294"/>
      <c r="N294"/>
      <c r="O294" s="372"/>
      <c r="P294" s="366">
        <v>2015</v>
      </c>
      <c r="Q294" s="367">
        <f>LARGE($CB$153:$CB$302,142)</f>
        <v>3.2</v>
      </c>
      <c r="R294" s="357">
        <f t="shared" si="108"/>
        <v>-161.4</v>
      </c>
      <c r="S294" s="356">
        <f t="shared" si="107"/>
        <v>26049.960000000003</v>
      </c>
      <c r="U294" s="356">
        <f t="shared" si="109"/>
        <v>-10.0875</v>
      </c>
      <c r="V294" s="238">
        <f t="shared" si="105"/>
        <v>8</v>
      </c>
      <c r="W294" s="354"/>
      <c r="X294" s="371"/>
      <c r="Y294" s="371"/>
      <c r="Z294" s="321">
        <v>2015</v>
      </c>
      <c r="AA294" s="367">
        <f>LARGE($CU$153:$CU$302,142)</f>
        <v>28.9</v>
      </c>
      <c r="AB294" s="357">
        <f t="shared" si="110"/>
        <v>-194.23333333333332</v>
      </c>
      <c r="AC294" s="356">
        <f t="shared" si="104"/>
        <v>37726.587777777771</v>
      </c>
      <c r="AD294" s="356"/>
      <c r="AE294" s="356">
        <f t="shared" si="111"/>
        <v>-12.139583333333333</v>
      </c>
      <c r="AF294" s="238">
        <f t="shared" si="106"/>
        <v>8</v>
      </c>
      <c r="AG294" s="354"/>
      <c r="AK294"/>
      <c r="AL294"/>
      <c r="AM294"/>
      <c r="AN294"/>
      <c r="AO294"/>
      <c r="AP294"/>
      <c r="BI294" s="360"/>
      <c r="BJ294" s="354"/>
      <c r="BK294" s="366">
        <v>2015</v>
      </c>
      <c r="BL294" s="365" t="s">
        <v>1667</v>
      </c>
      <c r="BM294" s="366" t="s">
        <v>1624</v>
      </c>
      <c r="BN294" s="366" t="s">
        <v>3</v>
      </c>
      <c r="BO294" s="366">
        <v>0</v>
      </c>
      <c r="BP294" s="366">
        <v>0</v>
      </c>
      <c r="BQ294" s="366">
        <v>0</v>
      </c>
      <c r="BR294" s="366">
        <v>19</v>
      </c>
      <c r="BS294" s="366">
        <v>0</v>
      </c>
      <c r="BT294" s="366">
        <v>0</v>
      </c>
      <c r="BU294" s="366">
        <v>0</v>
      </c>
      <c r="BV294" s="366">
        <v>0</v>
      </c>
      <c r="BW294" s="366">
        <v>0</v>
      </c>
      <c r="BX294" s="366">
        <v>0</v>
      </c>
      <c r="BY294" s="366">
        <v>0</v>
      </c>
      <c r="BZ294" s="366">
        <v>0</v>
      </c>
      <c r="CA294" s="366">
        <v>0</v>
      </c>
      <c r="CB294" s="367">
        <f>IFERROR(BO294/Instructions!$J$25,0)+BP294*Instructions!$J$27+BQ294*Instructions!$J$29+IFERROR(BR294/Instructions!$E$34,0)+BS294*Instructions!$E$36+Tier!BT295*Instructions!$E$25+IFERROR(BU294/Instructions!$E$27,0)+BV294*Instructions!$E$29+IFERROR((BW294+BY294)/Instructions!$J$32,0)+(BX294+BZ294)*Instructions!$J$34+Tier!CA294*-2</f>
        <v>2.9</v>
      </c>
      <c r="CC294" s="354"/>
      <c r="CD294" s="321">
        <v>2015</v>
      </c>
      <c r="CE294" s="365" t="s">
        <v>1118</v>
      </c>
      <c r="CF294" s="366" t="s">
        <v>161</v>
      </c>
      <c r="CG294" s="366" t="s">
        <v>6</v>
      </c>
      <c r="CH294" s="366">
        <v>0</v>
      </c>
      <c r="CI294" s="366">
        <v>0</v>
      </c>
      <c r="CJ294" s="366">
        <v>0</v>
      </c>
      <c r="CK294" s="366">
        <v>0</v>
      </c>
      <c r="CL294" s="366">
        <v>0</v>
      </c>
      <c r="CM294" s="366">
        <v>28</v>
      </c>
      <c r="CN294" s="366">
        <v>241</v>
      </c>
      <c r="CO294" s="366">
        <v>0</v>
      </c>
      <c r="CP294" s="366">
        <v>0</v>
      </c>
      <c r="CQ294" s="366">
        <v>0</v>
      </c>
      <c r="CR294" s="366">
        <v>0</v>
      </c>
      <c r="CS294" s="366">
        <v>0</v>
      </c>
      <c r="CT294" s="366">
        <v>1</v>
      </c>
      <c r="CU294" s="367">
        <f>IFERROR(CH294/Instructions!$J$25,0)+CI294*Instructions!$J$27+CJ294*Instructions!$J$29+IFERROR(CK294/Instructions!$E$34,0)+CL294*Instructions!$E$36+Tier!CM294*Instructions!$E$25+IFERROR(CN294/Instructions!$E$27,0)+CO294*Instructions!$E$29+IFERROR((CP294+CR294)/Instructions!$J$32,0)+(CQ294+CS294)*Instructions!$J$34+Tier!CT294*-2</f>
        <v>50.1</v>
      </c>
      <c r="CV294" s="354"/>
      <c r="CW294"/>
      <c r="CX294"/>
      <c r="CY294"/>
      <c r="CZ294"/>
      <c r="DA294"/>
      <c r="DB294"/>
      <c r="DC294"/>
      <c r="DD294"/>
      <c r="DE294"/>
      <c r="DF294"/>
      <c r="DG294"/>
      <c r="DH294"/>
      <c r="DI294"/>
      <c r="DJ294"/>
      <c r="DK294"/>
      <c r="DL294"/>
      <c r="DM294"/>
      <c r="DN294"/>
    </row>
    <row r="295" spans="3:118" s="238" customFormat="1" ht="15.75" customHeight="1" x14ac:dyDescent="0.25">
      <c r="C295"/>
      <c r="D295"/>
      <c r="E295"/>
      <c r="F295"/>
      <c r="G295"/>
      <c r="H295"/>
      <c r="I295"/>
      <c r="J295"/>
      <c r="K295"/>
      <c r="L295"/>
      <c r="M295"/>
      <c r="N295"/>
      <c r="O295" s="372"/>
      <c r="P295" s="366">
        <v>2015</v>
      </c>
      <c r="Q295" s="367">
        <f>LARGE($CB$153:$CB$302,143)</f>
        <v>3.2</v>
      </c>
      <c r="R295" s="357">
        <f t="shared" si="108"/>
        <v>-161.4</v>
      </c>
      <c r="S295" s="356">
        <f t="shared" si="107"/>
        <v>26049.960000000003</v>
      </c>
      <c r="U295" s="356">
        <f t="shared" si="109"/>
        <v>-10.0875</v>
      </c>
      <c r="V295" s="238">
        <f t="shared" si="105"/>
        <v>8</v>
      </c>
      <c r="W295" s="354"/>
      <c r="X295" s="371"/>
      <c r="Y295" s="371"/>
      <c r="Z295" s="321">
        <v>2015</v>
      </c>
      <c r="AA295" s="367">
        <f>LARGE($CU$153:$CU$302,143)</f>
        <v>26.9</v>
      </c>
      <c r="AB295" s="357">
        <f t="shared" si="110"/>
        <v>-196.23333333333332</v>
      </c>
      <c r="AC295" s="356">
        <f t="shared" si="104"/>
        <v>38507.521111111106</v>
      </c>
      <c r="AD295" s="356"/>
      <c r="AE295" s="356">
        <f t="shared" si="111"/>
        <v>-12.264583333333333</v>
      </c>
      <c r="AF295" s="238">
        <f t="shared" si="106"/>
        <v>8</v>
      </c>
      <c r="AG295" s="354"/>
      <c r="AK295"/>
      <c r="AL295"/>
      <c r="AM295"/>
      <c r="AN295"/>
      <c r="AO295"/>
      <c r="AP295"/>
      <c r="BI295" s="360"/>
      <c r="BJ295" s="354"/>
      <c r="BK295" s="366">
        <v>2015</v>
      </c>
      <c r="BL295" s="365" t="s">
        <v>1333</v>
      </c>
      <c r="BM295" s="366" t="s">
        <v>162</v>
      </c>
      <c r="BN295" s="366" t="s">
        <v>3</v>
      </c>
      <c r="BO295" s="366">
        <v>0</v>
      </c>
      <c r="BP295" s="366">
        <v>0</v>
      </c>
      <c r="BQ295" s="366">
        <v>0</v>
      </c>
      <c r="BR295" s="366">
        <v>5</v>
      </c>
      <c r="BS295" s="366">
        <v>0</v>
      </c>
      <c r="BT295" s="366">
        <v>1</v>
      </c>
      <c r="BU295" s="366">
        <v>2</v>
      </c>
      <c r="BV295" s="366">
        <v>0</v>
      </c>
      <c r="BW295" s="366">
        <v>0</v>
      </c>
      <c r="BX295" s="366">
        <v>0</v>
      </c>
      <c r="BY295" s="366">
        <v>28</v>
      </c>
      <c r="BZ295" s="366">
        <v>0</v>
      </c>
      <c r="CA295" s="366">
        <v>0</v>
      </c>
      <c r="CB295" s="367">
        <f>IFERROR(BO295/Instructions!$J$25,0)+BP295*Instructions!$J$27+BQ295*Instructions!$J$29+IFERROR(BR295/Instructions!$E$34,0)+BS295*Instructions!$E$36+Tier!BT296*Instructions!$E$25+IFERROR(BU295/Instructions!$E$27,0)+BV295*Instructions!$E$29+IFERROR((BW295+BY295)/Instructions!$J$32,0)+(BX295+BZ295)*Instructions!$J$34+Tier!CA295*-2</f>
        <v>1.7</v>
      </c>
      <c r="CC295" s="354"/>
      <c r="CD295" s="321">
        <v>2015</v>
      </c>
      <c r="CE295" s="365" t="s">
        <v>1243</v>
      </c>
      <c r="CF295" s="366" t="s">
        <v>144</v>
      </c>
      <c r="CG295" s="366" t="s">
        <v>6</v>
      </c>
      <c r="CH295" s="366">
        <v>0</v>
      </c>
      <c r="CI295" s="366">
        <v>0</v>
      </c>
      <c r="CJ295" s="366">
        <v>0</v>
      </c>
      <c r="CK295" s="366">
        <v>0</v>
      </c>
      <c r="CL295" s="366">
        <v>0</v>
      </c>
      <c r="CM295" s="366">
        <v>22</v>
      </c>
      <c r="CN295" s="366">
        <v>207</v>
      </c>
      <c r="CO295" s="366">
        <v>0</v>
      </c>
      <c r="CP295" s="366">
        <v>51</v>
      </c>
      <c r="CQ295" s="366">
        <v>0</v>
      </c>
      <c r="CR295" s="366">
        <v>29</v>
      </c>
      <c r="CS295" s="366">
        <v>0</v>
      </c>
      <c r="CT295" s="366">
        <v>0</v>
      </c>
      <c r="CU295" s="367">
        <f>IFERROR(CH295/Instructions!$J$25,0)+CI295*Instructions!$J$27+CJ295*Instructions!$J$29+IFERROR(CK295/Instructions!$E$34,0)+CL295*Instructions!$E$36+Tier!CM295*Instructions!$E$25+IFERROR(CN295/Instructions!$E$27,0)+CO295*Instructions!$E$29+IFERROR((CP295+CR295)/Instructions!$J$32,0)+(CQ295+CS295)*Instructions!$J$34+Tier!CT295*-2</f>
        <v>42.7</v>
      </c>
      <c r="CV295" s="354"/>
      <c r="CW295"/>
      <c r="CX295"/>
      <c r="CY295"/>
      <c r="CZ295"/>
      <c r="DA295"/>
      <c r="DB295"/>
      <c r="DC295"/>
      <c r="DD295"/>
      <c r="DE295"/>
      <c r="DF295"/>
      <c r="DG295"/>
      <c r="DH295"/>
      <c r="DI295"/>
      <c r="DJ295"/>
      <c r="DK295"/>
      <c r="DL295"/>
      <c r="DM295"/>
      <c r="DN295"/>
    </row>
    <row r="296" spans="3:118" s="238" customFormat="1" ht="15.75" customHeight="1" x14ac:dyDescent="0.25">
      <c r="C296"/>
      <c r="D296"/>
      <c r="E296"/>
      <c r="F296"/>
      <c r="G296"/>
      <c r="H296"/>
      <c r="I296"/>
      <c r="J296"/>
      <c r="K296"/>
      <c r="L296"/>
      <c r="M296"/>
      <c r="N296"/>
      <c r="O296" s="372"/>
      <c r="P296" s="366">
        <v>2015</v>
      </c>
      <c r="Q296" s="367">
        <f>LARGE($CB$153:$CB$302,144)</f>
        <v>2.9</v>
      </c>
      <c r="R296" s="357">
        <f t="shared" si="108"/>
        <v>-161.69999999999999</v>
      </c>
      <c r="S296" s="356">
        <f t="shared" si="107"/>
        <v>26146.889999999996</v>
      </c>
      <c r="U296" s="356">
        <f t="shared" si="109"/>
        <v>-10.106249999999999</v>
      </c>
      <c r="V296" s="238">
        <f t="shared" si="105"/>
        <v>8</v>
      </c>
      <c r="W296" s="354"/>
      <c r="X296" s="371"/>
      <c r="Y296" s="371"/>
      <c r="Z296" s="321">
        <v>2015</v>
      </c>
      <c r="AA296" s="367">
        <f>LARGE($CU$153:$CU$302,144)</f>
        <v>18.3</v>
      </c>
      <c r="AB296" s="357">
        <f t="shared" si="110"/>
        <v>-204.83333333333331</v>
      </c>
      <c r="AC296" s="356">
        <f t="shared" si="104"/>
        <v>41956.694444444438</v>
      </c>
      <c r="AD296" s="356"/>
      <c r="AE296" s="356">
        <f t="shared" si="111"/>
        <v>-12.802083333333332</v>
      </c>
      <c r="AF296" s="238">
        <f t="shared" si="106"/>
        <v>8</v>
      </c>
      <c r="AG296" s="354"/>
      <c r="AK296"/>
      <c r="AL296"/>
      <c r="AM296"/>
      <c r="AN296"/>
      <c r="AO296"/>
      <c r="AP296"/>
      <c r="BI296" s="360"/>
      <c r="BJ296" s="354"/>
      <c r="BK296" s="366">
        <v>2015</v>
      </c>
      <c r="BL296" s="365" t="s">
        <v>1289</v>
      </c>
      <c r="BM296" s="366" t="s">
        <v>1624</v>
      </c>
      <c r="BN296" s="366" t="s">
        <v>3</v>
      </c>
      <c r="BO296" s="366">
        <v>0</v>
      </c>
      <c r="BP296" s="366">
        <v>0</v>
      </c>
      <c r="BQ296" s="366">
        <v>0</v>
      </c>
      <c r="BR296" s="366">
        <v>0</v>
      </c>
      <c r="BS296" s="366">
        <v>0</v>
      </c>
      <c r="BT296" s="366">
        <v>1</v>
      </c>
      <c r="BU296" s="366">
        <v>18</v>
      </c>
      <c r="BV296" s="366">
        <v>0</v>
      </c>
      <c r="BW296" s="366">
        <v>0</v>
      </c>
      <c r="BX296" s="366">
        <v>0</v>
      </c>
      <c r="BY296" s="366">
        <v>0</v>
      </c>
      <c r="BZ296" s="366">
        <v>0</v>
      </c>
      <c r="CA296" s="366">
        <v>0</v>
      </c>
      <c r="CB296" s="367">
        <f>IFERROR(BO296/Instructions!$J$25,0)+BP296*Instructions!$J$27+BQ296*Instructions!$J$29+IFERROR(BR296/Instructions!$E$34,0)+BS296*Instructions!$E$36+Tier!BT297*Instructions!$E$25+IFERROR(BU296/Instructions!$E$27,0)+BV296*Instructions!$E$29+IFERROR((BW296+BY296)/Instructions!$J$32,0)+(BX296+BZ296)*Instructions!$J$34+Tier!CA296*-2</f>
        <v>4.8</v>
      </c>
      <c r="CC296" s="354"/>
      <c r="CD296" s="321">
        <v>2015</v>
      </c>
      <c r="CE296" s="365" t="s">
        <v>1259</v>
      </c>
      <c r="CF296" s="366" t="s">
        <v>141</v>
      </c>
      <c r="CG296" s="366" t="s">
        <v>6</v>
      </c>
      <c r="CH296" s="366">
        <v>0</v>
      </c>
      <c r="CI296" s="366">
        <v>0</v>
      </c>
      <c r="CJ296" s="366">
        <v>0</v>
      </c>
      <c r="CK296" s="366">
        <v>0</v>
      </c>
      <c r="CL296" s="366">
        <v>0</v>
      </c>
      <c r="CM296" s="366">
        <v>2</v>
      </c>
      <c r="CN296" s="366">
        <v>81</v>
      </c>
      <c r="CO296" s="366">
        <v>0</v>
      </c>
      <c r="CP296" s="366">
        <v>0</v>
      </c>
      <c r="CQ296" s="366">
        <v>0</v>
      </c>
      <c r="CR296" s="366">
        <v>409</v>
      </c>
      <c r="CS296" s="366">
        <v>0</v>
      </c>
      <c r="CT296" s="366">
        <v>0</v>
      </c>
      <c r="CU296" s="367">
        <f>IFERROR(CH296/Instructions!$J$25,0)+CI296*Instructions!$J$27+CJ296*Instructions!$J$29+IFERROR(CK296/Instructions!$E$34,0)+CL296*Instructions!$E$36+Tier!CM296*Instructions!$E$25+IFERROR(CN296/Instructions!$E$27,0)+CO296*Instructions!$E$29+IFERROR((CP296+CR296)/Instructions!$J$32,0)+(CQ296+CS296)*Instructions!$J$34+Tier!CT296*-2</f>
        <v>10.1</v>
      </c>
      <c r="CV296" s="354"/>
      <c r="CW296"/>
      <c r="CX296"/>
      <c r="CY296"/>
      <c r="CZ296"/>
      <c r="DA296"/>
      <c r="DB296"/>
      <c r="DC296"/>
      <c r="DD296"/>
      <c r="DE296"/>
      <c r="DF296"/>
      <c r="DG296"/>
      <c r="DH296"/>
      <c r="DI296"/>
      <c r="DJ296"/>
      <c r="DK296"/>
      <c r="DL296"/>
      <c r="DM296"/>
      <c r="DN296"/>
    </row>
    <row r="297" spans="3:118" s="238" customFormat="1" ht="15.75" customHeight="1" x14ac:dyDescent="0.25">
      <c r="C297"/>
      <c r="D297"/>
      <c r="E297"/>
      <c r="F297"/>
      <c r="G297"/>
      <c r="H297"/>
      <c r="I297"/>
      <c r="J297"/>
      <c r="K297"/>
      <c r="L297"/>
      <c r="M297"/>
      <c r="N297"/>
      <c r="O297" s="372"/>
      <c r="P297" s="366">
        <v>2015</v>
      </c>
      <c r="Q297" s="367">
        <f>LARGE($CB$153:$CB$302,145)</f>
        <v>2.6</v>
      </c>
      <c r="R297" s="357">
        <f t="shared" si="108"/>
        <v>-162</v>
      </c>
      <c r="S297" s="356">
        <f t="shared" si="107"/>
        <v>26244</v>
      </c>
      <c r="U297" s="356">
        <f t="shared" si="109"/>
        <v>-10.125</v>
      </c>
      <c r="V297" s="238">
        <f t="shared" si="105"/>
        <v>8</v>
      </c>
      <c r="W297" s="354"/>
      <c r="X297" s="371"/>
      <c r="Y297" s="371"/>
      <c r="Z297" s="321">
        <v>2015</v>
      </c>
      <c r="AA297" s="367">
        <f>LARGE($CU$153:$CU$302,145)</f>
        <v>18</v>
      </c>
      <c r="AB297" s="357">
        <f t="shared" si="110"/>
        <v>-205.13333333333333</v>
      </c>
      <c r="AC297" s="356">
        <f t="shared" si="104"/>
        <v>42079.684444444443</v>
      </c>
      <c r="AD297" s="356"/>
      <c r="AE297" s="356">
        <f t="shared" si="111"/>
        <v>-12.820833333333333</v>
      </c>
      <c r="AF297" s="238">
        <f t="shared" si="106"/>
        <v>8</v>
      </c>
      <c r="AG297" s="354"/>
      <c r="AK297"/>
      <c r="AL297"/>
      <c r="AM297"/>
      <c r="AN297"/>
      <c r="AO297"/>
      <c r="AP297"/>
      <c r="BI297" s="360"/>
      <c r="BJ297" s="354"/>
      <c r="BK297" s="366">
        <v>2015</v>
      </c>
      <c r="BL297" s="365" t="s">
        <v>103</v>
      </c>
      <c r="BM297" s="366" t="s">
        <v>1613</v>
      </c>
      <c r="BN297" s="366" t="s">
        <v>3</v>
      </c>
      <c r="BO297" s="366">
        <v>0</v>
      </c>
      <c r="BP297" s="366">
        <v>0</v>
      </c>
      <c r="BQ297" s="366">
        <v>0</v>
      </c>
      <c r="BR297" s="366">
        <v>11</v>
      </c>
      <c r="BS297" s="366">
        <v>0</v>
      </c>
      <c r="BT297" s="366">
        <v>3</v>
      </c>
      <c r="BU297" s="366">
        <v>7</v>
      </c>
      <c r="BV297" s="366">
        <v>0</v>
      </c>
      <c r="BW297" s="366">
        <v>0</v>
      </c>
      <c r="BX297" s="366">
        <v>0</v>
      </c>
      <c r="BY297" s="366">
        <v>0</v>
      </c>
      <c r="BZ297" s="366">
        <v>0</v>
      </c>
      <c r="CA297" s="366">
        <v>0</v>
      </c>
      <c r="CB297" s="367">
        <f>IFERROR(BO297/Instructions!$J$25,0)+BP297*Instructions!$J$27+BQ297*Instructions!$J$29+IFERROR(BR297/Instructions!$E$34,0)+BS297*Instructions!$E$36+Tier!BT298*Instructions!$E$25+IFERROR(BU297/Instructions!$E$27,0)+BV297*Instructions!$E$29+IFERROR((BW297+BY297)/Instructions!$J$32,0)+(BX297+BZ297)*Instructions!$J$34+Tier!CA297*-2</f>
        <v>3.8</v>
      </c>
      <c r="CC297" s="354"/>
      <c r="CD297" s="321">
        <v>2015</v>
      </c>
      <c r="CE297" s="365" t="s">
        <v>1249</v>
      </c>
      <c r="CF297" s="366" t="s">
        <v>138</v>
      </c>
      <c r="CG297" s="366" t="s">
        <v>6</v>
      </c>
      <c r="CH297" s="366">
        <v>0</v>
      </c>
      <c r="CI297" s="366">
        <v>0</v>
      </c>
      <c r="CJ297" s="366">
        <v>0</v>
      </c>
      <c r="CK297" s="366">
        <v>89</v>
      </c>
      <c r="CL297" s="366">
        <v>0</v>
      </c>
      <c r="CM297" s="366">
        <v>12</v>
      </c>
      <c r="CN297" s="366">
        <v>144</v>
      </c>
      <c r="CO297" s="366">
        <v>0</v>
      </c>
      <c r="CP297" s="366">
        <v>0</v>
      </c>
      <c r="CQ297" s="366">
        <v>0</v>
      </c>
      <c r="CR297" s="366">
        <v>0</v>
      </c>
      <c r="CS297" s="366">
        <v>0</v>
      </c>
      <c r="CT297" s="366">
        <v>0</v>
      </c>
      <c r="CU297" s="367">
        <f>IFERROR(CH297/Instructions!$J$25,0)+CI297*Instructions!$J$27+CJ297*Instructions!$J$29+IFERROR(CK297/Instructions!$E$34,0)+CL297*Instructions!$E$36+Tier!CM297*Instructions!$E$25+IFERROR(CN297/Instructions!$E$27,0)+CO297*Instructions!$E$29+IFERROR((CP297+CR297)/Instructions!$J$32,0)+(CQ297+CS297)*Instructions!$J$34+Tier!CT297*-2</f>
        <v>35.299999999999997</v>
      </c>
      <c r="CV297" s="354"/>
      <c r="CW297"/>
      <c r="CX297"/>
      <c r="CY297"/>
      <c r="CZ297"/>
      <c r="DA297"/>
      <c r="DB297"/>
      <c r="DC297"/>
      <c r="DD297"/>
      <c r="DE297"/>
      <c r="DF297"/>
      <c r="DG297"/>
      <c r="DH297"/>
      <c r="DI297"/>
      <c r="DJ297"/>
      <c r="DK297"/>
      <c r="DL297"/>
      <c r="DM297"/>
      <c r="DN297"/>
    </row>
    <row r="298" spans="3:118" s="238" customFormat="1" ht="15.75" customHeight="1" x14ac:dyDescent="0.25">
      <c r="C298"/>
      <c r="D298"/>
      <c r="E298"/>
      <c r="F298"/>
      <c r="G298"/>
      <c r="H298"/>
      <c r="I298"/>
      <c r="J298"/>
      <c r="K298"/>
      <c r="L298"/>
      <c r="M298"/>
      <c r="N298"/>
      <c r="O298" s="372"/>
      <c r="P298" s="366">
        <v>2015</v>
      </c>
      <c r="Q298" s="367">
        <f>LARGE($CB$153:$CB$302,146)</f>
        <v>2.4</v>
      </c>
      <c r="R298" s="357">
        <f t="shared" si="108"/>
        <v>-162.19999999999999</v>
      </c>
      <c r="S298" s="356">
        <f t="shared" si="107"/>
        <v>26308.839999999997</v>
      </c>
      <c r="U298" s="356">
        <f t="shared" si="109"/>
        <v>-10.137499999999999</v>
      </c>
      <c r="V298" s="238">
        <f t="shared" si="105"/>
        <v>8</v>
      </c>
      <c r="W298" s="354"/>
      <c r="X298" s="371"/>
      <c r="Y298" s="371"/>
      <c r="Z298" s="321">
        <v>2015</v>
      </c>
      <c r="AA298" s="367">
        <f>LARGE($CU$153:$CU$302,146)</f>
        <v>16.5</v>
      </c>
      <c r="AB298" s="357">
        <f t="shared" si="110"/>
        <v>-206.63333333333333</v>
      </c>
      <c r="AC298" s="356">
        <f t="shared" si="104"/>
        <v>42697.334444444445</v>
      </c>
      <c r="AD298" s="356"/>
      <c r="AE298" s="356">
        <f t="shared" si="111"/>
        <v>-12.914583333333333</v>
      </c>
      <c r="AF298" s="238">
        <f t="shared" si="106"/>
        <v>8</v>
      </c>
      <c r="AG298" s="354"/>
      <c r="AK298"/>
      <c r="AL298"/>
      <c r="AM298"/>
      <c r="AN298"/>
      <c r="AO298"/>
      <c r="AP298"/>
      <c r="BI298" s="360"/>
      <c r="BJ298" s="354"/>
      <c r="BK298" s="366">
        <v>2015</v>
      </c>
      <c r="BL298" s="365" t="s">
        <v>1327</v>
      </c>
      <c r="BM298" s="366" t="s">
        <v>147</v>
      </c>
      <c r="BN298" s="366" t="s">
        <v>3</v>
      </c>
      <c r="BO298" s="366">
        <v>0</v>
      </c>
      <c r="BP298" s="366">
        <v>0</v>
      </c>
      <c r="BQ298" s="366">
        <v>0</v>
      </c>
      <c r="BR298" s="366">
        <v>0</v>
      </c>
      <c r="BS298" s="366">
        <v>0</v>
      </c>
      <c r="BT298" s="366">
        <v>2</v>
      </c>
      <c r="BU298" s="366">
        <v>16</v>
      </c>
      <c r="BV298" s="366">
        <v>0</v>
      </c>
      <c r="BW298" s="366">
        <v>0</v>
      </c>
      <c r="BX298" s="366">
        <v>0</v>
      </c>
      <c r="BY298" s="366">
        <v>0</v>
      </c>
      <c r="BZ298" s="366">
        <v>0</v>
      </c>
      <c r="CA298" s="366">
        <v>0</v>
      </c>
      <c r="CB298" s="367">
        <f>IFERROR(BO298/Instructions!$J$25,0)+BP298*Instructions!$J$27+BQ298*Instructions!$J$29+IFERROR(BR298/Instructions!$E$34,0)+BS298*Instructions!$E$36+Tier!BT299*Instructions!$E$25+IFERROR(BU298/Instructions!$E$27,0)+BV298*Instructions!$E$29+IFERROR((BW298+BY298)/Instructions!$J$32,0)+(BX298+BZ298)*Instructions!$J$34+Tier!CA298*-2</f>
        <v>2.6</v>
      </c>
      <c r="CC298" s="354"/>
      <c r="CD298" s="321">
        <v>2015</v>
      </c>
      <c r="CE298" s="365" t="s">
        <v>1260</v>
      </c>
      <c r="CF298" s="366" t="s">
        <v>1633</v>
      </c>
      <c r="CG298" s="366" t="s">
        <v>6</v>
      </c>
      <c r="CH298" s="366">
        <v>0</v>
      </c>
      <c r="CI298" s="366">
        <v>0</v>
      </c>
      <c r="CJ298" s="366">
        <v>0</v>
      </c>
      <c r="CK298" s="366">
        <v>0</v>
      </c>
      <c r="CL298" s="366">
        <v>0</v>
      </c>
      <c r="CM298" s="366">
        <v>13</v>
      </c>
      <c r="CN298" s="366">
        <v>151</v>
      </c>
      <c r="CO298" s="366">
        <v>1</v>
      </c>
      <c r="CP298" s="366">
        <v>0</v>
      </c>
      <c r="CQ298" s="366">
        <v>0</v>
      </c>
      <c r="CR298" s="366">
        <v>0</v>
      </c>
      <c r="CS298" s="366">
        <v>0</v>
      </c>
      <c r="CT298" s="366">
        <v>0</v>
      </c>
      <c r="CU298" s="367">
        <f>IFERROR(CH298/Instructions!$J$25,0)+CI298*Instructions!$J$27+CJ298*Instructions!$J$29+IFERROR(CK298/Instructions!$E$34,0)+CL298*Instructions!$E$36+Tier!CM298*Instructions!$E$25+IFERROR(CN298/Instructions!$E$27,0)+CO298*Instructions!$E$29+IFERROR((CP298+CR298)/Instructions!$J$32,0)+(CQ298+CS298)*Instructions!$J$34+Tier!CT298*-2</f>
        <v>34.1</v>
      </c>
      <c r="CV298" s="354"/>
      <c r="CW298"/>
      <c r="CX298"/>
      <c r="CY298"/>
      <c r="CZ298"/>
      <c r="DA298"/>
      <c r="DB298"/>
      <c r="DC298"/>
      <c r="DD298"/>
      <c r="DE298"/>
      <c r="DF298"/>
      <c r="DG298"/>
      <c r="DH298"/>
      <c r="DI298"/>
      <c r="DJ298"/>
      <c r="DK298"/>
      <c r="DL298"/>
      <c r="DM298"/>
      <c r="DN298"/>
    </row>
    <row r="299" spans="3:118" s="238" customFormat="1" ht="15.75" customHeight="1" x14ac:dyDescent="0.25">
      <c r="C299"/>
      <c r="D299"/>
      <c r="E299"/>
      <c r="F299"/>
      <c r="G299"/>
      <c r="H299"/>
      <c r="I299"/>
      <c r="J299"/>
      <c r="K299"/>
      <c r="L299"/>
      <c r="M299"/>
      <c r="N299"/>
      <c r="O299" s="372"/>
      <c r="P299" s="366">
        <v>2015</v>
      </c>
      <c r="Q299" s="367">
        <f>LARGE($CB$153:$CB$302,147)</f>
        <v>2.1</v>
      </c>
      <c r="R299" s="357">
        <f t="shared" si="108"/>
        <v>-162.5</v>
      </c>
      <c r="S299" s="356">
        <f t="shared" si="107"/>
        <v>26406.25</v>
      </c>
      <c r="U299" s="356">
        <f t="shared" si="109"/>
        <v>-10.15625</v>
      </c>
      <c r="V299" s="238">
        <f t="shared" si="105"/>
        <v>8</v>
      </c>
      <c r="W299" s="354"/>
      <c r="X299" s="371"/>
      <c r="Y299" s="371"/>
      <c r="Z299" s="321">
        <v>2015</v>
      </c>
      <c r="AA299" s="367">
        <f>LARGE($CU$153:$CU$302,147)</f>
        <v>13.9</v>
      </c>
      <c r="AB299" s="357">
        <f t="shared" si="110"/>
        <v>-209.23333333333332</v>
      </c>
      <c r="AC299" s="356">
        <f t="shared" si="104"/>
        <v>43778.587777777771</v>
      </c>
      <c r="AD299" s="356"/>
      <c r="AE299" s="356">
        <f t="shared" si="111"/>
        <v>-13.077083333333333</v>
      </c>
      <c r="AF299" s="238">
        <f t="shared" si="106"/>
        <v>8</v>
      </c>
      <c r="AG299" s="354"/>
      <c r="AK299"/>
      <c r="AL299"/>
      <c r="AM299"/>
      <c r="AN299"/>
      <c r="AO299"/>
      <c r="AP299"/>
      <c r="BI299" s="360"/>
      <c r="BJ299" s="354"/>
      <c r="BK299" s="366">
        <v>2015</v>
      </c>
      <c r="BL299" s="365" t="s">
        <v>1227</v>
      </c>
      <c r="BM299" s="366" t="s">
        <v>156</v>
      </c>
      <c r="BN299" s="366" t="s">
        <v>3</v>
      </c>
      <c r="BO299" s="366">
        <v>0</v>
      </c>
      <c r="BP299" s="366">
        <v>0</v>
      </c>
      <c r="BQ299" s="366">
        <v>0</v>
      </c>
      <c r="BR299" s="366">
        <v>2</v>
      </c>
      <c r="BS299" s="366">
        <v>0</v>
      </c>
      <c r="BT299" s="366">
        <v>1</v>
      </c>
      <c r="BU299" s="366">
        <v>12</v>
      </c>
      <c r="BV299" s="366">
        <v>0</v>
      </c>
      <c r="BW299" s="366">
        <v>0</v>
      </c>
      <c r="BX299" s="366">
        <v>0</v>
      </c>
      <c r="BY299" s="366">
        <v>5</v>
      </c>
      <c r="BZ299" s="366">
        <v>0</v>
      </c>
      <c r="CA299" s="366">
        <v>0</v>
      </c>
      <c r="CB299" s="367">
        <f>IFERROR(BO299/Instructions!$J$25,0)+BP299*Instructions!$J$27+BQ299*Instructions!$J$29+IFERROR(BR299/Instructions!$E$34,0)+BS299*Instructions!$E$36+Tier!BT300*Instructions!$E$25+IFERROR(BU299/Instructions!$E$27,0)+BV299*Instructions!$E$29+IFERROR((BW299+BY299)/Instructions!$J$32,0)+(BX299+BZ299)*Instructions!$J$34+Tier!CA299*-2</f>
        <v>2.4</v>
      </c>
      <c r="CC299" s="354"/>
      <c r="CD299" s="321">
        <v>2015</v>
      </c>
      <c r="CE299" s="365" t="s">
        <v>1261</v>
      </c>
      <c r="CF299" s="366" t="s">
        <v>1627</v>
      </c>
      <c r="CG299" s="366" t="s">
        <v>6</v>
      </c>
      <c r="CH299" s="366">
        <v>0</v>
      </c>
      <c r="CI299" s="366">
        <v>0</v>
      </c>
      <c r="CJ299" s="366">
        <v>0</v>
      </c>
      <c r="CK299" s="366">
        <v>0</v>
      </c>
      <c r="CL299" s="366">
        <v>0</v>
      </c>
      <c r="CM299" s="366">
        <v>11</v>
      </c>
      <c r="CN299" s="366">
        <v>132</v>
      </c>
      <c r="CO299" s="366">
        <v>1</v>
      </c>
      <c r="CP299" s="366">
        <v>0</v>
      </c>
      <c r="CQ299" s="366">
        <v>0</v>
      </c>
      <c r="CR299" s="366">
        <v>37</v>
      </c>
      <c r="CS299" s="366">
        <v>0</v>
      </c>
      <c r="CT299" s="366">
        <v>0</v>
      </c>
      <c r="CU299" s="367">
        <f>IFERROR(CH299/Instructions!$J$25,0)+CI299*Instructions!$J$27+CJ299*Instructions!$J$29+IFERROR(CK299/Instructions!$E$34,0)+CL299*Instructions!$E$36+Tier!CM299*Instructions!$E$25+IFERROR(CN299/Instructions!$E$27,0)+CO299*Instructions!$E$29+IFERROR((CP299+CR299)/Instructions!$J$32,0)+(CQ299+CS299)*Instructions!$J$34+Tier!CT299*-2</f>
        <v>30.2</v>
      </c>
      <c r="CV299" s="354"/>
      <c r="CW299"/>
      <c r="CX299"/>
      <c r="CY299"/>
      <c r="CZ299"/>
      <c r="DA299"/>
      <c r="DB299"/>
      <c r="DC299"/>
      <c r="DD299"/>
      <c r="DE299"/>
      <c r="DF299"/>
      <c r="DG299"/>
      <c r="DH299"/>
      <c r="DI299"/>
      <c r="DJ299"/>
      <c r="DK299"/>
      <c r="DL299"/>
      <c r="DM299"/>
      <c r="DN299"/>
    </row>
    <row r="300" spans="3:118" s="238" customFormat="1" ht="15.75" customHeight="1" x14ac:dyDescent="0.25">
      <c r="C300"/>
      <c r="D300"/>
      <c r="E300"/>
      <c r="F300"/>
      <c r="G300"/>
      <c r="H300"/>
      <c r="I300"/>
      <c r="J300"/>
      <c r="K300"/>
      <c r="L300"/>
      <c r="M300"/>
      <c r="N300"/>
      <c r="O300" s="372"/>
      <c r="P300" s="366">
        <v>2015</v>
      </c>
      <c r="Q300" s="367">
        <f>LARGE($CB$153:$CB$302,148)</f>
        <v>1.7</v>
      </c>
      <c r="R300" s="357">
        <f t="shared" si="108"/>
        <v>-162.9</v>
      </c>
      <c r="S300" s="356">
        <f t="shared" si="107"/>
        <v>26536.410000000003</v>
      </c>
      <c r="U300" s="356">
        <f t="shared" si="109"/>
        <v>-10.18125</v>
      </c>
      <c r="V300" s="238">
        <f t="shared" si="105"/>
        <v>8</v>
      </c>
      <c r="W300" s="354"/>
      <c r="X300" s="371"/>
      <c r="Y300" s="371"/>
      <c r="Z300" s="321">
        <v>2015</v>
      </c>
      <c r="AA300" s="367">
        <f>LARGE($CU$153:$CU$302,148)</f>
        <v>10.1</v>
      </c>
      <c r="AB300" s="357">
        <f t="shared" si="110"/>
        <v>-213.03333333333333</v>
      </c>
      <c r="AC300" s="356">
        <f t="shared" si="104"/>
        <v>45383.201111111113</v>
      </c>
      <c r="AD300" s="356"/>
      <c r="AE300" s="356">
        <f t="shared" si="111"/>
        <v>-13.314583333333333</v>
      </c>
      <c r="AF300" s="238">
        <f t="shared" si="106"/>
        <v>8</v>
      </c>
      <c r="AG300" s="354"/>
      <c r="AK300"/>
      <c r="AL300"/>
      <c r="AM300"/>
      <c r="AN300"/>
      <c r="AO300"/>
      <c r="AP300"/>
      <c r="BI300" s="360"/>
      <c r="BJ300" s="354"/>
      <c r="BK300" s="366">
        <v>2015</v>
      </c>
      <c r="BL300" s="365" t="s">
        <v>1307</v>
      </c>
      <c r="BM300" s="366" t="s">
        <v>150</v>
      </c>
      <c r="BN300" s="366" t="s">
        <v>3</v>
      </c>
      <c r="BO300" s="366">
        <v>0</v>
      </c>
      <c r="BP300" s="366">
        <v>0</v>
      </c>
      <c r="BQ300" s="366">
        <v>0</v>
      </c>
      <c r="BR300" s="366">
        <v>17</v>
      </c>
      <c r="BS300" s="366">
        <v>0</v>
      </c>
      <c r="BT300" s="366">
        <v>1</v>
      </c>
      <c r="BU300" s="366">
        <v>-2</v>
      </c>
      <c r="BV300" s="366">
        <v>0</v>
      </c>
      <c r="BW300" s="366">
        <v>0</v>
      </c>
      <c r="BX300" s="366">
        <v>0</v>
      </c>
      <c r="BY300" s="366">
        <v>0</v>
      </c>
      <c r="BZ300" s="366">
        <v>0</v>
      </c>
      <c r="CA300" s="366">
        <v>0</v>
      </c>
      <c r="CB300" s="367">
        <f>IFERROR(BO300/Instructions!$J$25,0)+BP300*Instructions!$J$27+BQ300*Instructions!$J$29+IFERROR(BR300/Instructions!$E$34,0)+BS300*Instructions!$E$36+Tier!BT301*Instructions!$E$25+IFERROR(BU300/Instructions!$E$27,0)+BV300*Instructions!$E$29+IFERROR((BW300+BY300)/Instructions!$J$32,0)+(BX300+BZ300)*Instructions!$J$34+Tier!CA300*-2</f>
        <v>5.5</v>
      </c>
      <c r="CC300" s="354"/>
      <c r="CD300" s="321">
        <v>2015</v>
      </c>
      <c r="CE300" s="365" t="s">
        <v>1083</v>
      </c>
      <c r="CF300" s="366" t="s">
        <v>153</v>
      </c>
      <c r="CG300" s="366" t="s">
        <v>6</v>
      </c>
      <c r="CH300" s="366">
        <v>0</v>
      </c>
      <c r="CI300" s="366">
        <v>0</v>
      </c>
      <c r="CJ300" s="366">
        <v>0</v>
      </c>
      <c r="CK300" s="366">
        <v>0</v>
      </c>
      <c r="CL300" s="366">
        <v>0</v>
      </c>
      <c r="CM300" s="366">
        <v>11</v>
      </c>
      <c r="CN300" s="366">
        <v>144</v>
      </c>
      <c r="CO300" s="366">
        <v>1</v>
      </c>
      <c r="CP300" s="366">
        <v>0</v>
      </c>
      <c r="CQ300" s="366">
        <v>0</v>
      </c>
      <c r="CR300" s="366">
        <v>0</v>
      </c>
      <c r="CS300" s="366">
        <v>0</v>
      </c>
      <c r="CT300" s="366">
        <v>0</v>
      </c>
      <c r="CU300" s="367">
        <f>IFERROR(CH300/Instructions!$J$25,0)+CI300*Instructions!$J$27+CJ300*Instructions!$J$29+IFERROR(CK300/Instructions!$E$34,0)+CL300*Instructions!$E$36+Tier!CM300*Instructions!$E$25+IFERROR(CN300/Instructions!$E$27,0)+CO300*Instructions!$E$29+IFERROR((CP300+CR300)/Instructions!$J$32,0)+(CQ300+CS300)*Instructions!$J$34+Tier!CT300*-2</f>
        <v>31.4</v>
      </c>
      <c r="CV300" s="354"/>
      <c r="CW300"/>
      <c r="CX300"/>
      <c r="CY300"/>
      <c r="CZ300"/>
      <c r="DA300"/>
      <c r="DB300"/>
      <c r="DC300"/>
      <c r="DD300"/>
      <c r="DE300"/>
      <c r="DF300"/>
      <c r="DG300"/>
      <c r="DH300"/>
      <c r="DI300"/>
      <c r="DJ300"/>
      <c r="DK300"/>
      <c r="DL300"/>
      <c r="DM300"/>
      <c r="DN300"/>
    </row>
    <row r="301" spans="3:118" s="238" customFormat="1" ht="15.75" customHeight="1" x14ac:dyDescent="0.25">
      <c r="C301"/>
      <c r="D301"/>
      <c r="E301"/>
      <c r="F301"/>
      <c r="G301"/>
      <c r="H301"/>
      <c r="I301"/>
      <c r="J301"/>
      <c r="K301"/>
      <c r="L301"/>
      <c r="M301"/>
      <c r="N301"/>
      <c r="O301" s="381"/>
      <c r="P301" s="366">
        <v>2015</v>
      </c>
      <c r="Q301" s="367">
        <f>LARGE($CB$153:$CB$302,149)</f>
        <v>1.5</v>
      </c>
      <c r="R301" s="357">
        <f t="shared" si="108"/>
        <v>-163.1</v>
      </c>
      <c r="S301" s="356">
        <f t="shared" si="107"/>
        <v>26601.609999999997</v>
      </c>
      <c r="U301" s="356">
        <f t="shared" si="109"/>
        <v>-10.19375</v>
      </c>
      <c r="V301" s="238">
        <f t="shared" si="105"/>
        <v>8</v>
      </c>
      <c r="W301" s="354"/>
      <c r="X301" s="371"/>
      <c r="Y301" s="371"/>
      <c r="Z301" s="321">
        <v>2015</v>
      </c>
      <c r="AA301" s="367">
        <f>LARGE($CU$153:$CU$302,149)</f>
        <v>9.9</v>
      </c>
      <c r="AB301" s="357">
        <f t="shared" si="110"/>
        <v>-213.23333333333332</v>
      </c>
      <c r="AC301" s="356">
        <f t="shared" si="104"/>
        <v>45468.45444444444</v>
      </c>
      <c r="AD301" s="356"/>
      <c r="AE301" s="356">
        <f t="shared" si="111"/>
        <v>-13.327083333333333</v>
      </c>
      <c r="AF301" s="238">
        <f t="shared" si="106"/>
        <v>8</v>
      </c>
      <c r="AG301" s="354"/>
      <c r="AK301"/>
      <c r="AL301"/>
      <c r="AM301"/>
      <c r="AN301"/>
      <c r="AO301"/>
      <c r="AP301"/>
      <c r="BI301" s="360"/>
      <c r="BJ301" s="354"/>
      <c r="BK301" s="366">
        <v>2015</v>
      </c>
      <c r="BL301" s="365" t="s">
        <v>1391</v>
      </c>
      <c r="BM301" s="366" t="s">
        <v>161</v>
      </c>
      <c r="BN301" s="366" t="s">
        <v>3</v>
      </c>
      <c r="BO301" s="366">
        <v>0</v>
      </c>
      <c r="BP301" s="366">
        <v>0</v>
      </c>
      <c r="BQ301" s="366">
        <v>0</v>
      </c>
      <c r="BR301" s="366">
        <v>0</v>
      </c>
      <c r="BS301" s="366">
        <v>0</v>
      </c>
      <c r="BT301" s="366">
        <v>4</v>
      </c>
      <c r="BU301" s="366">
        <v>15</v>
      </c>
      <c r="BV301" s="366">
        <v>0</v>
      </c>
      <c r="BW301" s="366">
        <v>0</v>
      </c>
      <c r="BX301" s="366">
        <v>0</v>
      </c>
      <c r="BY301" s="366">
        <v>0</v>
      </c>
      <c r="BZ301" s="366">
        <v>0</v>
      </c>
      <c r="CA301" s="366">
        <v>0</v>
      </c>
      <c r="CB301" s="367">
        <f>IFERROR(BO301/Instructions!$J$25,0)+BP301*Instructions!$J$27+BQ301*Instructions!$J$29+IFERROR(BR301/Instructions!$E$34,0)+BS301*Instructions!$E$36+Tier!BT302*Instructions!$E$25+IFERROR(BU301/Instructions!$E$27,0)+BV301*Instructions!$E$29+IFERROR((BW301+BY301)/Instructions!$J$32,0)+(BX301+BZ301)*Instructions!$J$34+Tier!CA301*-2</f>
        <v>3.5</v>
      </c>
      <c r="CC301" s="354"/>
      <c r="CD301" s="321">
        <v>2015</v>
      </c>
      <c r="CE301" s="365" t="s">
        <v>1272</v>
      </c>
      <c r="CF301" s="366" t="s">
        <v>144</v>
      </c>
      <c r="CG301" s="366" t="s">
        <v>6</v>
      </c>
      <c r="CH301" s="366">
        <v>0</v>
      </c>
      <c r="CI301" s="366">
        <v>0</v>
      </c>
      <c r="CJ301" s="366">
        <v>0</v>
      </c>
      <c r="CK301" s="366">
        <v>0</v>
      </c>
      <c r="CL301" s="366">
        <v>0</v>
      </c>
      <c r="CM301" s="366">
        <v>16</v>
      </c>
      <c r="CN301" s="366">
        <v>203</v>
      </c>
      <c r="CO301" s="366">
        <v>0</v>
      </c>
      <c r="CP301" s="366">
        <v>0</v>
      </c>
      <c r="CQ301" s="366">
        <v>0</v>
      </c>
      <c r="CR301" s="366">
        <v>0</v>
      </c>
      <c r="CS301" s="366">
        <v>0</v>
      </c>
      <c r="CT301" s="366">
        <v>0</v>
      </c>
      <c r="CU301" s="367">
        <f>IFERROR(CH301/Instructions!$J$25,0)+CI301*Instructions!$J$27+CJ301*Instructions!$J$29+IFERROR(CK301/Instructions!$E$34,0)+CL301*Instructions!$E$36+Tier!CM301*Instructions!$E$25+IFERROR(CN301/Instructions!$E$27,0)+CO301*Instructions!$E$29+IFERROR((CP301+CR301)/Instructions!$J$32,0)+(CQ301+CS301)*Instructions!$J$34+Tier!CT301*-2</f>
        <v>36.299999999999997</v>
      </c>
      <c r="CV301" s="354"/>
      <c r="CW301"/>
      <c r="CX301"/>
      <c r="CY301"/>
      <c r="CZ301"/>
      <c r="DA301"/>
      <c r="DB301"/>
      <c r="DC301"/>
      <c r="DD301"/>
      <c r="DE301"/>
      <c r="DF301"/>
      <c r="DG301"/>
      <c r="DH301"/>
      <c r="DI301"/>
      <c r="DJ301"/>
      <c r="DK301"/>
      <c r="DL301"/>
      <c r="DM301"/>
      <c r="DN301"/>
    </row>
    <row r="302" spans="3:118" s="238" customFormat="1" ht="15.75" customHeight="1" x14ac:dyDescent="0.25">
      <c r="C302"/>
      <c r="D302"/>
      <c r="E302"/>
      <c r="F302"/>
      <c r="G302"/>
      <c r="H302"/>
      <c r="I302"/>
      <c r="J302"/>
      <c r="K302"/>
      <c r="L302"/>
      <c r="M302"/>
      <c r="N302"/>
      <c r="O302" s="371"/>
      <c r="P302" s="366">
        <v>2015</v>
      </c>
      <c r="Q302" s="367">
        <f>LARGE($CB$153:$CB$302,150)</f>
        <v>1.1000000000000001</v>
      </c>
      <c r="R302" s="357">
        <f t="shared" si="108"/>
        <v>-163.5</v>
      </c>
      <c r="S302" s="356">
        <f t="shared" si="107"/>
        <v>26732.25</v>
      </c>
      <c r="U302" s="356">
        <f t="shared" si="109"/>
        <v>-10.21875</v>
      </c>
      <c r="V302" s="238">
        <f t="shared" si="105"/>
        <v>8</v>
      </c>
      <c r="W302" s="354"/>
      <c r="X302" s="371"/>
      <c r="Y302" s="371"/>
      <c r="Z302" s="321">
        <v>2015</v>
      </c>
      <c r="AA302" s="367">
        <f>LARGE($CU$153:$CU$302,150)</f>
        <v>2.5</v>
      </c>
      <c r="AB302" s="357">
        <f t="shared" si="110"/>
        <v>-220.63333333333333</v>
      </c>
      <c r="AC302" s="356">
        <f t="shared" si="104"/>
        <v>48679.067777777775</v>
      </c>
      <c r="AD302" s="356"/>
      <c r="AE302" s="356">
        <f t="shared" si="111"/>
        <v>-13.789583333333333</v>
      </c>
      <c r="AF302" s="238">
        <f t="shared" si="106"/>
        <v>8</v>
      </c>
      <c r="AG302" s="354"/>
      <c r="AK302"/>
      <c r="AL302"/>
      <c r="AM302"/>
      <c r="AN302"/>
      <c r="AO302"/>
      <c r="AP302"/>
      <c r="BI302" s="360"/>
      <c r="BJ302" s="354"/>
      <c r="BK302" s="366">
        <v>2015</v>
      </c>
      <c r="BL302" s="365" t="s">
        <v>1313</v>
      </c>
      <c r="BM302" s="366" t="s">
        <v>1613</v>
      </c>
      <c r="BN302" s="366" t="s">
        <v>3</v>
      </c>
      <c r="BO302" s="366">
        <v>0</v>
      </c>
      <c r="BP302" s="366">
        <v>0</v>
      </c>
      <c r="BQ302" s="366">
        <v>0</v>
      </c>
      <c r="BR302" s="366">
        <v>2</v>
      </c>
      <c r="BS302" s="366">
        <v>0</v>
      </c>
      <c r="BT302" s="366">
        <v>2</v>
      </c>
      <c r="BU302" s="366">
        <v>13</v>
      </c>
      <c r="BV302" s="366">
        <v>0</v>
      </c>
      <c r="BW302" s="366">
        <v>0</v>
      </c>
      <c r="BX302" s="366">
        <v>0</v>
      </c>
      <c r="BY302" s="366">
        <v>0</v>
      </c>
      <c r="BZ302" s="366">
        <v>0</v>
      </c>
      <c r="CA302" s="366">
        <v>0</v>
      </c>
      <c r="CB302" s="367">
        <f>IFERROR(BO302/Instructions!$J$25,0)+BP302*Instructions!$J$27+BQ302*Instructions!$J$29+IFERROR(BR302/Instructions!$E$34,0)+BS302*Instructions!$E$36+Tier!BT303*Instructions!$E$25+IFERROR(BU302/Instructions!$E$27,0)+BV302*Instructions!$E$29+IFERROR((BW302+BY302)/Instructions!$J$32,0)+(BX302+BZ302)*Instructions!$J$34+Tier!CA302*-2</f>
        <v>1.5</v>
      </c>
      <c r="CC302" s="354"/>
      <c r="CD302" s="321">
        <v>2015</v>
      </c>
      <c r="CE302" s="365" t="s">
        <v>1685</v>
      </c>
      <c r="CF302" s="366" t="s">
        <v>1627</v>
      </c>
      <c r="CG302" s="366" t="s">
        <v>6</v>
      </c>
      <c r="CH302" s="366">
        <v>0</v>
      </c>
      <c r="CI302" s="366">
        <v>0</v>
      </c>
      <c r="CJ302" s="366">
        <v>0</v>
      </c>
      <c r="CK302" s="366">
        <v>0</v>
      </c>
      <c r="CL302" s="366">
        <v>0</v>
      </c>
      <c r="CM302" s="366">
        <v>10</v>
      </c>
      <c r="CN302" s="366">
        <v>198</v>
      </c>
      <c r="CO302" s="366">
        <v>0</v>
      </c>
      <c r="CP302" s="366">
        <v>0</v>
      </c>
      <c r="CQ302" s="366">
        <v>0</v>
      </c>
      <c r="CR302" s="366">
        <v>0</v>
      </c>
      <c r="CS302" s="366">
        <v>0</v>
      </c>
      <c r="CT302" s="366">
        <v>0</v>
      </c>
      <c r="CU302" s="367">
        <f>IFERROR(CH302/Instructions!$J$25,0)+CI302*Instructions!$J$27+CJ302*Instructions!$J$29+IFERROR(CK302/Instructions!$E$34,0)+CL302*Instructions!$E$36+Tier!CM302*Instructions!$E$25+IFERROR(CN302/Instructions!$E$27,0)+CO302*Instructions!$E$29+IFERROR((CP302+CR302)/Instructions!$J$32,0)+(CQ302+CS302)*Instructions!$J$34+Tier!CT302*-2</f>
        <v>29.8</v>
      </c>
      <c r="CV302" s="354"/>
      <c r="CW302"/>
      <c r="CX302"/>
      <c r="CY302"/>
      <c r="CZ302"/>
      <c r="DA302"/>
      <c r="DB302"/>
      <c r="DC302"/>
      <c r="DD302"/>
      <c r="DE302"/>
      <c r="DF302"/>
      <c r="DG302"/>
      <c r="DH302"/>
      <c r="DI302"/>
      <c r="DJ302"/>
      <c r="DK302"/>
      <c r="DL302"/>
      <c r="DM302"/>
      <c r="DN302"/>
    </row>
    <row r="303" spans="3:118" s="238" customFormat="1" ht="15.75" customHeight="1" x14ac:dyDescent="0.25">
      <c r="C303"/>
      <c r="D303"/>
      <c r="E303"/>
      <c r="F303"/>
      <c r="G303"/>
      <c r="H303"/>
      <c r="I303"/>
      <c r="J303"/>
      <c r="K303"/>
      <c r="L303"/>
      <c r="M303"/>
      <c r="N303"/>
      <c r="O303" s="371"/>
      <c r="P303" s="380"/>
      <c r="Q303" s="376"/>
      <c r="R303" s="376"/>
      <c r="S303" s="376"/>
      <c r="T303" s="376"/>
      <c r="U303" s="376"/>
      <c r="V303" s="376"/>
      <c r="W303" s="354"/>
      <c r="X303" s="381"/>
      <c r="Y303" s="381"/>
      <c r="Z303" s="354"/>
      <c r="AA303" s="376"/>
      <c r="AB303" s="376"/>
      <c r="AC303" s="376"/>
      <c r="AD303" s="376"/>
      <c r="AE303" s="376"/>
      <c r="AF303" s="376"/>
      <c r="AG303" s="354"/>
      <c r="AK303"/>
      <c r="AL303"/>
      <c r="AM303"/>
      <c r="AN303"/>
      <c r="AO303"/>
      <c r="AP303"/>
      <c r="BI303" s="360"/>
      <c r="BJ303" s="354"/>
      <c r="BK303" s="380"/>
      <c r="BL303" s="420"/>
      <c r="BM303" s="380"/>
      <c r="BN303" s="380"/>
      <c r="BO303" s="380"/>
      <c r="BP303" s="380"/>
      <c r="BQ303" s="380"/>
      <c r="BR303" s="380"/>
      <c r="BS303" s="380"/>
      <c r="BT303" s="380"/>
      <c r="BU303" s="380"/>
      <c r="BV303" s="380"/>
      <c r="BW303" s="380"/>
      <c r="BX303" s="380"/>
      <c r="BY303" s="380"/>
      <c r="BZ303" s="380"/>
      <c r="CA303" s="380"/>
      <c r="CB303" s="382"/>
      <c r="CC303" s="354"/>
      <c r="CD303" s="354"/>
      <c r="CE303" s="420"/>
      <c r="CF303" s="380"/>
      <c r="CG303" s="380"/>
      <c r="CH303" s="380"/>
      <c r="CI303" s="380"/>
      <c r="CJ303" s="380"/>
      <c r="CK303" s="380"/>
      <c r="CL303" s="380"/>
      <c r="CM303" s="380"/>
      <c r="CN303" s="380"/>
      <c r="CO303" s="380"/>
      <c r="CP303" s="380"/>
      <c r="CQ303" s="380"/>
      <c r="CR303" s="380"/>
      <c r="CS303" s="380"/>
      <c r="CT303" s="380"/>
      <c r="CU303" s="382"/>
      <c r="CV303" s="354"/>
      <c r="CW303"/>
      <c r="CX303"/>
      <c r="CY303"/>
      <c r="CZ303"/>
      <c r="DA303"/>
      <c r="DB303"/>
      <c r="DC303"/>
      <c r="DD303"/>
      <c r="DE303"/>
      <c r="DF303"/>
      <c r="DG303"/>
      <c r="DH303"/>
      <c r="DI303"/>
      <c r="DJ303"/>
      <c r="DK303"/>
      <c r="DL303"/>
      <c r="DM303"/>
      <c r="DN303"/>
    </row>
    <row r="304" spans="3:118" s="238" customFormat="1" ht="15.75" customHeight="1" x14ac:dyDescent="0.25">
      <c r="C304"/>
      <c r="D304"/>
      <c r="E304"/>
      <c r="F304"/>
      <c r="G304"/>
      <c r="H304"/>
      <c r="I304"/>
      <c r="J304"/>
      <c r="K304"/>
      <c r="L304"/>
      <c r="M304"/>
      <c r="N304"/>
      <c r="O304" s="371"/>
      <c r="P304" s="366">
        <v>2016</v>
      </c>
      <c r="Q304" s="367">
        <f>LARGE($CB$304:$CB$453,1)</f>
        <v>357.8</v>
      </c>
      <c r="R304" s="357">
        <f>Q304-$T$314</f>
        <v>193.20000000000002</v>
      </c>
      <c r="S304" s="356">
        <f>R304^2</f>
        <v>37326.240000000005</v>
      </c>
      <c r="T304" s="356">
        <v>16</v>
      </c>
      <c r="U304" s="356">
        <f>R304/$T$304</f>
        <v>12.075000000000001</v>
      </c>
      <c r="V304" s="238">
        <f t="shared" si="105"/>
        <v>0</v>
      </c>
      <c r="W304" s="354"/>
      <c r="X304" s="371"/>
      <c r="Y304" s="371"/>
      <c r="Z304" s="238">
        <v>2016</v>
      </c>
      <c r="AA304" s="367">
        <f>LARGE($CU$304:$CU$453,1)</f>
        <v>307.3</v>
      </c>
      <c r="AB304" s="357">
        <f>$AA304-$AD$314</f>
        <v>95.6</v>
      </c>
      <c r="AC304" s="356">
        <f t="shared" si="104"/>
        <v>9139.3599999999988</v>
      </c>
      <c r="AD304" s="356">
        <v>16</v>
      </c>
      <c r="AE304" s="356">
        <f>AB304/$AD$304</f>
        <v>5.9749999999999996</v>
      </c>
      <c r="AF304" s="238">
        <f t="shared" si="106"/>
        <v>1</v>
      </c>
      <c r="AG304" s="354"/>
      <c r="AK304"/>
      <c r="AL304"/>
      <c r="AM304"/>
      <c r="AN304"/>
      <c r="AO304"/>
      <c r="AP304"/>
      <c r="BI304" s="360"/>
      <c r="BJ304" s="354"/>
      <c r="BK304" s="366">
        <v>2016</v>
      </c>
      <c r="BL304" s="365" t="s">
        <v>1138</v>
      </c>
      <c r="BM304" s="366" t="s">
        <v>153</v>
      </c>
      <c r="BN304" s="366" t="s">
        <v>3</v>
      </c>
      <c r="BO304" s="366">
        <v>0</v>
      </c>
      <c r="BP304" s="366">
        <v>0</v>
      </c>
      <c r="BQ304" s="366">
        <v>0</v>
      </c>
      <c r="BR304" s="366">
        <v>1239</v>
      </c>
      <c r="BS304" s="366">
        <v>16</v>
      </c>
      <c r="BT304" s="366">
        <v>80</v>
      </c>
      <c r="BU304" s="366">
        <v>879</v>
      </c>
      <c r="BV304" s="366">
        <v>4</v>
      </c>
      <c r="BW304" s="366">
        <v>0</v>
      </c>
      <c r="BX304" s="366">
        <v>0</v>
      </c>
      <c r="BY304" s="366">
        <v>0</v>
      </c>
      <c r="BZ304" s="366">
        <v>0</v>
      </c>
      <c r="CA304" s="366">
        <v>3</v>
      </c>
      <c r="CB304" s="367">
        <f>IFERROR(BO304/Instructions!$J$25,0)+BP304*Instructions!$J$27+BQ304*Instructions!$J$29+IFERROR(BR304/Instructions!$E$34,0)+BS304*Instructions!$E$36+Tier!BT305*Instructions!$E$25+IFERROR(BU304/Instructions!$E$27,0)+BV304*Instructions!$E$29+IFERROR((BW304+BY304)/Instructions!$J$32,0)+(BX304+BZ304)*Instructions!$J$34+Tier!CA304*-2</f>
        <v>357.8</v>
      </c>
      <c r="CC304" s="354"/>
      <c r="CD304" s="238">
        <v>2016</v>
      </c>
      <c r="CE304" s="365" t="s">
        <v>29</v>
      </c>
      <c r="CF304" s="366" t="s">
        <v>1624</v>
      </c>
      <c r="CG304" s="366" t="s">
        <v>6</v>
      </c>
      <c r="CH304" s="366">
        <v>0</v>
      </c>
      <c r="CI304" s="366">
        <v>0</v>
      </c>
      <c r="CJ304" s="366">
        <v>0</v>
      </c>
      <c r="CK304" s="366">
        <v>0</v>
      </c>
      <c r="CL304" s="366">
        <v>0</v>
      </c>
      <c r="CM304" s="366">
        <v>97</v>
      </c>
      <c r="CN304" s="366">
        <v>1257</v>
      </c>
      <c r="CO304" s="366">
        <v>14</v>
      </c>
      <c r="CP304" s="366">
        <v>0</v>
      </c>
      <c r="CQ304" s="366">
        <v>0</v>
      </c>
      <c r="CR304" s="366">
        <v>0</v>
      </c>
      <c r="CS304" s="366">
        <v>0</v>
      </c>
      <c r="CT304" s="366">
        <v>1</v>
      </c>
      <c r="CU304" s="367">
        <f>IFERROR(CH304/Instructions!$J$25,0)+CI304*Instructions!$J$27+CJ304*Instructions!$J$29+IFERROR(CK304/Instructions!$E$34,0)+CL304*Instructions!$E$36+Tier!CM304*Instructions!$E$25+IFERROR(CN304/Instructions!$E$27,0)+CO304*Instructions!$E$29+IFERROR((CP304+CR304)/Instructions!$J$32,0)+(CQ304+CS304)*Instructions!$J$34+Tier!CT304*-2</f>
        <v>304.7</v>
      </c>
      <c r="CV304" s="354"/>
      <c r="CW304"/>
      <c r="CX304"/>
      <c r="CY304"/>
      <c r="CZ304"/>
      <c r="DA304"/>
      <c r="DB304"/>
      <c r="DC304"/>
      <c r="DD304"/>
      <c r="DE304"/>
      <c r="DF304"/>
      <c r="DG304"/>
      <c r="DH304"/>
      <c r="DI304"/>
      <c r="DJ304"/>
      <c r="DK304"/>
      <c r="DL304"/>
      <c r="DM304"/>
      <c r="DN304"/>
    </row>
    <row r="305" spans="3:118" s="238" customFormat="1" ht="15.75" customHeight="1" x14ac:dyDescent="0.25">
      <c r="C305"/>
      <c r="D305"/>
      <c r="E305"/>
      <c r="F305"/>
      <c r="G305"/>
      <c r="H305"/>
      <c r="I305"/>
      <c r="J305"/>
      <c r="K305"/>
      <c r="L305"/>
      <c r="M305"/>
      <c r="N305"/>
      <c r="O305" s="371"/>
      <c r="P305" s="366">
        <v>2016</v>
      </c>
      <c r="Q305" s="367">
        <f>LARGE($CB$304:$CB$453,2)</f>
        <v>343.40000000000003</v>
      </c>
      <c r="R305" s="357">
        <f t="shared" ref="R305:R368" si="112">Q305-$T$314</f>
        <v>178.80000000000004</v>
      </c>
      <c r="S305" s="356">
        <f t="shared" ref="S305:S353" si="113">R305^2</f>
        <v>31969.440000000013</v>
      </c>
      <c r="T305" s="356">
        <f>AVERAGE(S304:INDEX(S304:S453,Instructions!$E$11*(Instructions!$E$19+Instructions!$J$15*0.5),1))</f>
        <v>5763.9496666666664</v>
      </c>
      <c r="U305" s="356">
        <f t="shared" ref="U305:U368" si="114">R305/$T$304</f>
        <v>11.175000000000002</v>
      </c>
      <c r="V305" s="238">
        <f t="shared" si="105"/>
        <v>0</v>
      </c>
      <c r="W305" s="354"/>
      <c r="X305" s="371"/>
      <c r="Y305" s="371"/>
      <c r="Z305" s="238">
        <v>2016</v>
      </c>
      <c r="AA305" s="367">
        <f>LARGE($CU$304:$CU$453,2)</f>
        <v>304.7</v>
      </c>
      <c r="AB305" s="357">
        <f t="shared" ref="AB305:AB368" si="115">$AA305-$AD$314</f>
        <v>92.999999999999972</v>
      </c>
      <c r="AC305" s="356">
        <f t="shared" si="104"/>
        <v>8648.9999999999945</v>
      </c>
      <c r="AD305" s="356">
        <f>AVERAGE(AC2:INDEX(AC2:AC151,Instructions!$E$11*(Instructions!$E$17+Instructions!$J$15*0.5),1))</f>
        <v>3455.2365555555548</v>
      </c>
      <c r="AE305" s="356">
        <f t="shared" ref="AE305:AE368" si="116">AB305/$AD$304</f>
        <v>5.8124999999999982</v>
      </c>
      <c r="AF305" s="238">
        <f t="shared" si="106"/>
        <v>1</v>
      </c>
      <c r="AG305" s="354"/>
      <c r="AK305"/>
      <c r="AL305"/>
      <c r="AM305"/>
      <c r="AN305"/>
      <c r="AO305"/>
      <c r="AP305"/>
      <c r="BI305" s="360"/>
      <c r="BJ305" s="354"/>
      <c r="BK305" s="366">
        <v>2016</v>
      </c>
      <c r="BL305" s="365" t="s">
        <v>1179</v>
      </c>
      <c r="BM305" s="366" t="s">
        <v>146</v>
      </c>
      <c r="BN305" s="366" t="s">
        <v>3</v>
      </c>
      <c r="BO305" s="366">
        <v>0</v>
      </c>
      <c r="BP305" s="366">
        <v>0</v>
      </c>
      <c r="BQ305" s="366">
        <v>0</v>
      </c>
      <c r="BR305" s="366">
        <v>1631</v>
      </c>
      <c r="BS305" s="366">
        <v>15</v>
      </c>
      <c r="BT305" s="366">
        <v>32</v>
      </c>
      <c r="BU305" s="366">
        <v>363</v>
      </c>
      <c r="BV305" s="366">
        <v>1</v>
      </c>
      <c r="BW305" s="366">
        <v>0</v>
      </c>
      <c r="BX305" s="366">
        <v>0</v>
      </c>
      <c r="BY305" s="366">
        <v>0</v>
      </c>
      <c r="BZ305" s="366">
        <v>0</v>
      </c>
      <c r="CA305" s="366">
        <v>1</v>
      </c>
      <c r="CB305" s="367">
        <f>IFERROR(BO305/Instructions!$J$25,0)+BP305*Instructions!$J$27+BQ305*Instructions!$J$29+IFERROR(BR305/Instructions!$E$34,0)+BS305*Instructions!$E$36+Tier!BT306*Instructions!$E$25+IFERROR(BU305/Instructions!$E$27,0)+BV305*Instructions!$E$29+IFERROR((BW305+BY305)/Instructions!$J$32,0)+(BX305+BZ305)*Instructions!$J$34+Tier!CA305*-2</f>
        <v>343.40000000000003</v>
      </c>
      <c r="CC305" s="354"/>
      <c r="CD305" s="238">
        <v>2016</v>
      </c>
      <c r="CE305" s="365" t="s">
        <v>36</v>
      </c>
      <c r="CF305" s="366" t="s">
        <v>147</v>
      </c>
      <c r="CG305" s="366" t="s">
        <v>6</v>
      </c>
      <c r="CH305" s="366">
        <v>0</v>
      </c>
      <c r="CI305" s="366">
        <v>0</v>
      </c>
      <c r="CJ305" s="366">
        <v>0</v>
      </c>
      <c r="CK305" s="366">
        <v>9</v>
      </c>
      <c r="CL305" s="366">
        <v>0</v>
      </c>
      <c r="CM305" s="366">
        <v>106</v>
      </c>
      <c r="CN305" s="366">
        <v>1284</v>
      </c>
      <c r="CO305" s="366">
        <v>12</v>
      </c>
      <c r="CP305" s="366">
        <v>140</v>
      </c>
      <c r="CQ305" s="366">
        <v>0</v>
      </c>
      <c r="CR305" s="366">
        <v>23</v>
      </c>
      <c r="CS305" s="366">
        <v>0</v>
      </c>
      <c r="CT305" s="366">
        <v>0</v>
      </c>
      <c r="CU305" s="367">
        <f>IFERROR(CH305/Instructions!$J$25,0)+CI305*Instructions!$J$27+CJ305*Instructions!$J$29+IFERROR(CK305/Instructions!$E$34,0)+CL305*Instructions!$E$36+Tier!CM305*Instructions!$E$25+IFERROR(CN305/Instructions!$E$27,0)+CO305*Instructions!$E$29+IFERROR((CP305+CR305)/Instructions!$J$32,0)+(CQ305+CS305)*Instructions!$J$34+Tier!CT305*-2</f>
        <v>307.3</v>
      </c>
      <c r="CV305" s="354"/>
      <c r="CW305"/>
      <c r="CX305"/>
      <c r="CY305"/>
      <c r="CZ305"/>
      <c r="DA305"/>
      <c r="DB305"/>
      <c r="DC305"/>
      <c r="DD305"/>
      <c r="DE305"/>
      <c r="DF305"/>
      <c r="DG305"/>
      <c r="DH305"/>
      <c r="DI305"/>
      <c r="DJ305"/>
      <c r="DK305"/>
      <c r="DL305"/>
      <c r="DM305"/>
      <c r="DN305"/>
    </row>
    <row r="306" spans="3:118" s="238" customFormat="1" ht="15.75" customHeight="1" x14ac:dyDescent="0.25">
      <c r="C306"/>
      <c r="D306"/>
      <c r="E306"/>
      <c r="F306"/>
      <c r="G306"/>
      <c r="H306"/>
      <c r="I306"/>
      <c r="J306"/>
      <c r="K306"/>
      <c r="L306"/>
      <c r="M306"/>
      <c r="N306"/>
      <c r="O306" s="371"/>
      <c r="P306" s="366">
        <v>2016</v>
      </c>
      <c r="Q306" s="367">
        <f>LARGE($CB$304:$CB$453,3)</f>
        <v>315.8</v>
      </c>
      <c r="R306" s="357">
        <f t="shared" si="112"/>
        <v>151.20000000000002</v>
      </c>
      <c r="S306" s="356">
        <f t="shared" si="113"/>
        <v>22861.440000000006</v>
      </c>
      <c r="U306" s="356">
        <f t="shared" si="114"/>
        <v>9.4500000000000011</v>
      </c>
      <c r="V306" s="238">
        <f t="shared" si="105"/>
        <v>0</v>
      </c>
      <c r="W306" s="354"/>
      <c r="X306" s="371"/>
      <c r="Y306" s="371"/>
      <c r="Z306" s="238">
        <v>2016</v>
      </c>
      <c r="AA306" s="367">
        <f>LARGE($CU$304:$CU$453,3)</f>
        <v>300.10000000000002</v>
      </c>
      <c r="AB306" s="357">
        <f t="shared" si="115"/>
        <v>88.4</v>
      </c>
      <c r="AC306" s="356">
        <f t="shared" si="104"/>
        <v>7814.5600000000013</v>
      </c>
      <c r="AE306" s="356">
        <f t="shared" si="116"/>
        <v>5.5250000000000004</v>
      </c>
      <c r="AF306" s="238">
        <f t="shared" si="106"/>
        <v>1</v>
      </c>
      <c r="AG306" s="354"/>
      <c r="AK306"/>
      <c r="AL306"/>
      <c r="AM306"/>
      <c r="AN306"/>
      <c r="AO306"/>
      <c r="AP306"/>
      <c r="BI306" s="360"/>
      <c r="BJ306" s="354"/>
      <c r="BK306" s="366">
        <v>2016</v>
      </c>
      <c r="BL306" s="365" t="s">
        <v>2</v>
      </c>
      <c r="BM306" s="366" t="s">
        <v>156</v>
      </c>
      <c r="BN306" s="366" t="s">
        <v>3</v>
      </c>
      <c r="BO306" s="366">
        <v>0</v>
      </c>
      <c r="BP306" s="366">
        <v>0</v>
      </c>
      <c r="BQ306" s="366">
        <v>0</v>
      </c>
      <c r="BR306" s="366">
        <v>1267</v>
      </c>
      <c r="BS306" s="366">
        <v>13</v>
      </c>
      <c r="BT306" s="366">
        <v>50</v>
      </c>
      <c r="BU306" s="366">
        <v>356</v>
      </c>
      <c r="BV306" s="366">
        <v>1</v>
      </c>
      <c r="BW306" s="366">
        <v>0</v>
      </c>
      <c r="BX306" s="366">
        <v>0</v>
      </c>
      <c r="BY306" s="366">
        <v>0</v>
      </c>
      <c r="BZ306" s="366">
        <v>0</v>
      </c>
      <c r="CA306" s="366">
        <v>0</v>
      </c>
      <c r="CB306" s="367">
        <f>IFERROR(BO306/Instructions!$J$25,0)+BP306*Instructions!$J$27+BQ306*Instructions!$J$29+IFERROR(BR306/Instructions!$E$34,0)+BS306*Instructions!$E$36+Tier!BT307*Instructions!$E$25+IFERROR(BU306/Instructions!$E$27,0)+BV306*Instructions!$E$29+IFERROR((BW306+BY306)/Instructions!$J$32,0)+(BX306+BZ306)*Instructions!$J$34+Tier!CA306*-2</f>
        <v>299.3</v>
      </c>
      <c r="CC306" s="354"/>
      <c r="CD306" s="238">
        <v>2016</v>
      </c>
      <c r="CE306" s="365" t="s">
        <v>104</v>
      </c>
      <c r="CF306" s="366" t="s">
        <v>1627</v>
      </c>
      <c r="CG306" s="366" t="s">
        <v>6</v>
      </c>
      <c r="CH306" s="366">
        <v>0</v>
      </c>
      <c r="CI306" s="366">
        <v>0</v>
      </c>
      <c r="CJ306" s="366">
        <v>0</v>
      </c>
      <c r="CK306" s="366">
        <v>0</v>
      </c>
      <c r="CL306" s="366">
        <v>0</v>
      </c>
      <c r="CM306" s="366">
        <v>96</v>
      </c>
      <c r="CN306" s="366">
        <v>1321</v>
      </c>
      <c r="CO306" s="366">
        <v>12</v>
      </c>
      <c r="CP306" s="366">
        <v>0</v>
      </c>
      <c r="CQ306" s="366">
        <v>0</v>
      </c>
      <c r="CR306" s="366">
        <v>0</v>
      </c>
      <c r="CS306" s="366">
        <v>0</v>
      </c>
      <c r="CT306" s="366">
        <v>0</v>
      </c>
      <c r="CU306" s="367">
        <f>IFERROR(CH306/Instructions!$J$25,0)+CI306*Instructions!$J$27+CJ306*Instructions!$J$29+IFERROR(CK306/Instructions!$E$34,0)+CL306*Instructions!$E$36+Tier!CM306*Instructions!$E$25+IFERROR(CN306/Instructions!$E$27,0)+CO306*Instructions!$E$29+IFERROR((CP306+CR306)/Instructions!$J$32,0)+(CQ306+CS306)*Instructions!$J$34+Tier!CT306*-2</f>
        <v>300.10000000000002</v>
      </c>
      <c r="CV306" s="354"/>
      <c r="CW306"/>
      <c r="CX306"/>
      <c r="CY306"/>
      <c r="CZ306"/>
      <c r="DA306"/>
      <c r="DB306"/>
      <c r="DC306"/>
      <c r="DD306"/>
      <c r="DE306"/>
      <c r="DF306"/>
      <c r="DG306"/>
      <c r="DH306"/>
      <c r="DI306"/>
      <c r="DJ306"/>
      <c r="DK306"/>
      <c r="DL306"/>
      <c r="DM306"/>
      <c r="DN306"/>
    </row>
    <row r="307" spans="3:118" s="238" customFormat="1" ht="15.75" customHeight="1" x14ac:dyDescent="0.25">
      <c r="C307"/>
      <c r="D307"/>
      <c r="E307"/>
      <c r="F307"/>
      <c r="G307"/>
      <c r="H307"/>
      <c r="I307"/>
      <c r="J307"/>
      <c r="K307"/>
      <c r="L307"/>
      <c r="M307"/>
      <c r="N307"/>
      <c r="O307" s="371"/>
      <c r="P307" s="366">
        <v>2016</v>
      </c>
      <c r="Q307" s="367">
        <f>LARGE($CB$304:$CB$453,4)</f>
        <v>299.3</v>
      </c>
      <c r="R307" s="357">
        <f t="shared" si="112"/>
        <v>134.70000000000002</v>
      </c>
      <c r="S307" s="356">
        <f t="shared" si="113"/>
        <v>18144.090000000004</v>
      </c>
      <c r="T307" s="356">
        <f>T308+T304</f>
        <v>276.60000000000002</v>
      </c>
      <c r="U307" s="356">
        <f t="shared" si="114"/>
        <v>8.4187500000000011</v>
      </c>
      <c r="V307" s="238">
        <f t="shared" si="105"/>
        <v>0</v>
      </c>
      <c r="W307" s="354"/>
      <c r="X307" s="371"/>
      <c r="Y307" s="371"/>
      <c r="Z307" s="238">
        <v>2016</v>
      </c>
      <c r="AA307" s="367">
        <f>LARGE($CU$304:$CU$453,4)</f>
        <v>298.60000000000002</v>
      </c>
      <c r="AB307" s="357">
        <f t="shared" si="115"/>
        <v>86.9</v>
      </c>
      <c r="AC307" s="356">
        <f t="shared" si="104"/>
        <v>7551.6100000000006</v>
      </c>
      <c r="AD307" s="356">
        <f>AD308+AD304</f>
        <v>323.70000000000005</v>
      </c>
      <c r="AE307" s="356">
        <f t="shared" si="116"/>
        <v>5.4312500000000004</v>
      </c>
      <c r="AF307" s="238">
        <f t="shared" si="106"/>
        <v>1</v>
      </c>
      <c r="AG307" s="354"/>
      <c r="AK307"/>
      <c r="AL307"/>
      <c r="AM307"/>
      <c r="AN307"/>
      <c r="AO307"/>
      <c r="AP307"/>
      <c r="BI307" s="360"/>
      <c r="BJ307" s="354"/>
      <c r="BK307" s="366">
        <v>2016</v>
      </c>
      <c r="BL307" s="365" t="s">
        <v>32</v>
      </c>
      <c r="BM307" s="366" t="s">
        <v>163</v>
      </c>
      <c r="BN307" s="366" t="s">
        <v>3</v>
      </c>
      <c r="BO307" s="366">
        <v>10</v>
      </c>
      <c r="BP307" s="366">
        <v>1</v>
      </c>
      <c r="BQ307" s="366">
        <v>0</v>
      </c>
      <c r="BR307" s="366">
        <v>1287</v>
      </c>
      <c r="BS307" s="366">
        <v>9</v>
      </c>
      <c r="BT307" s="366">
        <v>53</v>
      </c>
      <c r="BU307" s="366">
        <v>377</v>
      </c>
      <c r="BV307" s="366">
        <v>3</v>
      </c>
      <c r="BW307" s="366">
        <v>0</v>
      </c>
      <c r="BX307" s="366">
        <v>0</v>
      </c>
      <c r="BY307" s="366">
        <v>0</v>
      </c>
      <c r="BZ307" s="366">
        <v>0</v>
      </c>
      <c r="CA307" s="366">
        <v>1</v>
      </c>
      <c r="CB307" s="367">
        <f>IFERROR(BO307/Instructions!$J$25,0)+BP307*Instructions!$J$27+BQ307*Instructions!$J$29+IFERROR(BR307/Instructions!$E$34,0)+BS307*Instructions!$E$36+Tier!BT308*Instructions!$E$25+IFERROR(BU307/Instructions!$E$27,0)+BV307*Instructions!$E$29+IFERROR((BW307+BY307)/Instructions!$J$32,0)+(BX307+BZ307)*Instructions!$J$34+Tier!CA307*-2</f>
        <v>315.8</v>
      </c>
      <c r="CC307" s="354"/>
      <c r="CD307" s="238">
        <v>2016</v>
      </c>
      <c r="CE307" s="365" t="s">
        <v>1206</v>
      </c>
      <c r="CF307" s="366" t="s">
        <v>154</v>
      </c>
      <c r="CG307" s="366" t="s">
        <v>6</v>
      </c>
      <c r="CH307" s="366">
        <v>0</v>
      </c>
      <c r="CI307" s="366">
        <v>0</v>
      </c>
      <c r="CJ307" s="366">
        <v>0</v>
      </c>
      <c r="CK307" s="366">
        <v>9</v>
      </c>
      <c r="CL307" s="366">
        <v>0</v>
      </c>
      <c r="CM307" s="366">
        <v>101</v>
      </c>
      <c r="CN307" s="366">
        <v>1367</v>
      </c>
      <c r="CO307" s="366">
        <v>10</v>
      </c>
      <c r="CP307" s="366">
        <v>66</v>
      </c>
      <c r="CQ307" s="366">
        <v>0</v>
      </c>
      <c r="CR307" s="366">
        <v>0</v>
      </c>
      <c r="CS307" s="366">
        <v>0</v>
      </c>
      <c r="CT307" s="366">
        <v>0</v>
      </c>
      <c r="CU307" s="367">
        <f>IFERROR(CH307/Instructions!$J$25,0)+CI307*Instructions!$J$27+CJ307*Instructions!$J$29+IFERROR(CK307/Instructions!$E$34,0)+CL307*Instructions!$E$36+Tier!CM307*Instructions!$E$25+IFERROR(CN307/Instructions!$E$27,0)+CO307*Instructions!$E$29+IFERROR((CP307+CR307)/Instructions!$J$32,0)+(CQ307+CS307)*Instructions!$J$34+Tier!CT307*-2</f>
        <v>298.60000000000002</v>
      </c>
      <c r="CV307" s="354"/>
      <c r="CW307"/>
      <c r="CX307"/>
      <c r="CY307"/>
      <c r="CZ307"/>
      <c r="DA307"/>
      <c r="DB307"/>
      <c r="DC307"/>
      <c r="DD307"/>
      <c r="DE307"/>
      <c r="DF307"/>
      <c r="DG307"/>
      <c r="DH307"/>
      <c r="DI307"/>
      <c r="DJ307"/>
      <c r="DK307"/>
      <c r="DL307"/>
      <c r="DM307"/>
      <c r="DN307"/>
    </row>
    <row r="308" spans="3:118" s="238" customFormat="1" ht="15.75" customHeight="1" x14ac:dyDescent="0.25">
      <c r="C308"/>
      <c r="D308"/>
      <c r="E308"/>
      <c r="F308"/>
      <c r="G308"/>
      <c r="H308"/>
      <c r="I308"/>
      <c r="J308"/>
      <c r="K308"/>
      <c r="L308"/>
      <c r="M308"/>
      <c r="N308"/>
      <c r="O308" s="371"/>
      <c r="P308" s="366">
        <v>2016</v>
      </c>
      <c r="Q308" s="367">
        <f>LARGE($CB$304:$CB$453,5)</f>
        <v>294.40000000000003</v>
      </c>
      <c r="R308" s="357">
        <f t="shared" si="112"/>
        <v>129.80000000000004</v>
      </c>
      <c r="S308" s="356">
        <f t="shared" si="113"/>
        <v>16848.040000000012</v>
      </c>
      <c r="T308" s="356">
        <f>T309+T304</f>
        <v>260.60000000000002</v>
      </c>
      <c r="U308" s="356">
        <f t="shared" si="114"/>
        <v>8.1125000000000025</v>
      </c>
      <c r="V308" s="238">
        <f t="shared" si="105"/>
        <v>0</v>
      </c>
      <c r="W308" s="354"/>
      <c r="X308" s="371"/>
      <c r="Y308" s="371"/>
      <c r="Z308" s="238">
        <v>2016</v>
      </c>
      <c r="AA308" s="367">
        <f>LARGE($CU$304:$CU$453,5)</f>
        <v>271.8</v>
      </c>
      <c r="AB308" s="357">
        <f t="shared" si="115"/>
        <v>60.099999999999994</v>
      </c>
      <c r="AC308" s="356">
        <f t="shared" si="104"/>
        <v>3612.0099999999993</v>
      </c>
      <c r="AD308" s="356">
        <f>AD309+AD304</f>
        <v>307.70000000000005</v>
      </c>
      <c r="AE308" s="356">
        <f t="shared" si="116"/>
        <v>3.7562499999999996</v>
      </c>
      <c r="AF308" s="238">
        <f t="shared" si="106"/>
        <v>3</v>
      </c>
      <c r="AG308" s="354"/>
      <c r="AK308"/>
      <c r="AL308"/>
      <c r="AM308"/>
      <c r="AN308"/>
      <c r="AO308"/>
      <c r="AP308"/>
      <c r="BI308" s="360"/>
      <c r="BJ308" s="354"/>
      <c r="BK308" s="366">
        <v>2016</v>
      </c>
      <c r="BL308" s="365" t="s">
        <v>1631</v>
      </c>
      <c r="BM308" s="366" t="s">
        <v>147</v>
      </c>
      <c r="BN308" s="366" t="s">
        <v>3</v>
      </c>
      <c r="BO308" s="366">
        <v>0</v>
      </c>
      <c r="BP308" s="366">
        <v>0</v>
      </c>
      <c r="BQ308" s="366">
        <v>0</v>
      </c>
      <c r="BR308" s="366">
        <v>1268</v>
      </c>
      <c r="BS308" s="366">
        <v>7</v>
      </c>
      <c r="BT308" s="366">
        <v>75</v>
      </c>
      <c r="BU308" s="366">
        <v>616</v>
      </c>
      <c r="BV308" s="366">
        <v>2</v>
      </c>
      <c r="BW308" s="366">
        <v>0</v>
      </c>
      <c r="BX308" s="366">
        <v>0</v>
      </c>
      <c r="BY308" s="366">
        <v>0</v>
      </c>
      <c r="BZ308" s="366">
        <v>0</v>
      </c>
      <c r="CA308" s="366">
        <v>1</v>
      </c>
      <c r="CB308" s="367">
        <f>IFERROR(BO308/Instructions!$J$25,0)+BP308*Instructions!$J$27+BQ308*Instructions!$J$29+IFERROR(BR308/Instructions!$E$34,0)+BS308*Instructions!$E$36+Tier!BT309*Instructions!$E$25+IFERROR(BU308/Instructions!$E$27,0)+BV308*Instructions!$E$29+IFERROR((BW308+BY308)/Instructions!$J$32,0)+(BX308+BZ308)*Instructions!$J$34+Tier!CA308*-2</f>
        <v>294.40000000000003</v>
      </c>
      <c r="CC308" s="354"/>
      <c r="CD308" s="238">
        <v>2016</v>
      </c>
      <c r="CE308" s="365" t="s">
        <v>1267</v>
      </c>
      <c r="CF308" s="366" t="s">
        <v>1629</v>
      </c>
      <c r="CG308" s="366" t="s">
        <v>6</v>
      </c>
      <c r="CH308" s="366">
        <v>0</v>
      </c>
      <c r="CI308" s="366">
        <v>0</v>
      </c>
      <c r="CJ308" s="366">
        <v>0</v>
      </c>
      <c r="CK308" s="366">
        <v>267</v>
      </c>
      <c r="CL308" s="366">
        <v>3</v>
      </c>
      <c r="CM308" s="366">
        <v>61</v>
      </c>
      <c r="CN308" s="366">
        <v>593</v>
      </c>
      <c r="CO308" s="366">
        <v>6</v>
      </c>
      <c r="CP308" s="366">
        <v>592</v>
      </c>
      <c r="CQ308" s="366">
        <v>2</v>
      </c>
      <c r="CR308" s="366">
        <v>384</v>
      </c>
      <c r="CS308" s="366">
        <v>1</v>
      </c>
      <c r="CT308" s="366">
        <v>0</v>
      </c>
      <c r="CU308" s="367">
        <f>IFERROR(CH308/Instructions!$J$25,0)+CI308*Instructions!$J$27+CJ308*Instructions!$J$29+IFERROR(CK308/Instructions!$E$34,0)+CL308*Instructions!$E$36+Tier!CM308*Instructions!$E$25+IFERROR(CN308/Instructions!$E$27,0)+CO308*Instructions!$E$29+IFERROR((CP308+CR308)/Instructions!$J$32,0)+(CQ308+CS308)*Instructions!$J$34+Tier!CT308*-2</f>
        <v>219</v>
      </c>
      <c r="CV308" s="354"/>
      <c r="CW308"/>
      <c r="CX308"/>
      <c r="CY308"/>
      <c r="CZ308"/>
      <c r="DA308"/>
      <c r="DB308"/>
      <c r="DC308"/>
      <c r="DD308"/>
      <c r="DE308"/>
      <c r="DF308"/>
      <c r="DG308"/>
      <c r="DH308"/>
      <c r="DI308"/>
      <c r="DJ308"/>
      <c r="DK308"/>
      <c r="DL308"/>
      <c r="DM308"/>
      <c r="DN308"/>
    </row>
    <row r="309" spans="3:118" s="238" customFormat="1" ht="15.75" customHeight="1" x14ac:dyDescent="0.25">
      <c r="C309"/>
      <c r="D309"/>
      <c r="E309"/>
      <c r="F309"/>
      <c r="G309"/>
      <c r="H309"/>
      <c r="I309"/>
      <c r="J309"/>
      <c r="K309"/>
      <c r="L309"/>
      <c r="M309"/>
      <c r="N309"/>
      <c r="O309" s="371"/>
      <c r="P309" s="366">
        <v>2016</v>
      </c>
      <c r="Q309" s="367">
        <f>LARGE($CB$304:$CB$453,6)</f>
        <v>266.90000000000003</v>
      </c>
      <c r="R309" s="357">
        <f t="shared" si="112"/>
        <v>102.30000000000004</v>
      </c>
      <c r="S309" s="356">
        <f t="shared" si="113"/>
        <v>10465.290000000008</v>
      </c>
      <c r="T309" s="356">
        <f>T310+T304</f>
        <v>244.6</v>
      </c>
      <c r="U309" s="356">
        <f t="shared" si="114"/>
        <v>6.3937500000000025</v>
      </c>
      <c r="V309" s="238">
        <f t="shared" si="105"/>
        <v>0</v>
      </c>
      <c r="W309" s="354"/>
      <c r="X309" s="371"/>
      <c r="Y309" s="371"/>
      <c r="Z309" s="238">
        <v>2016</v>
      </c>
      <c r="AA309" s="367">
        <f>LARGE($CU$304:$CU$453,6)</f>
        <v>259.89999999999998</v>
      </c>
      <c r="AB309" s="357">
        <f t="shared" si="115"/>
        <v>48.19999999999996</v>
      </c>
      <c r="AC309" s="356">
        <f t="shared" si="104"/>
        <v>2323.2399999999961</v>
      </c>
      <c r="AD309" s="356">
        <f>AD310+AD304</f>
        <v>291.70000000000005</v>
      </c>
      <c r="AE309" s="356">
        <f t="shared" si="116"/>
        <v>3.0124999999999975</v>
      </c>
      <c r="AF309" s="238">
        <f t="shared" si="106"/>
        <v>3</v>
      </c>
      <c r="AG309" s="354"/>
      <c r="AK309"/>
      <c r="AL309"/>
      <c r="AM309"/>
      <c r="AN309"/>
      <c r="AO309"/>
      <c r="AP309"/>
      <c r="BI309" s="360"/>
      <c r="BJ309" s="354"/>
      <c r="BK309" s="366">
        <v>2016</v>
      </c>
      <c r="BL309" s="365" t="s">
        <v>117</v>
      </c>
      <c r="BM309" s="366" t="s">
        <v>148</v>
      </c>
      <c r="BN309" s="366" t="s">
        <v>3</v>
      </c>
      <c r="BO309" s="366">
        <v>0</v>
      </c>
      <c r="BP309" s="366">
        <v>0</v>
      </c>
      <c r="BQ309" s="366">
        <v>0</v>
      </c>
      <c r="BR309" s="366">
        <v>1079</v>
      </c>
      <c r="BS309" s="366">
        <v>11</v>
      </c>
      <c r="BT309" s="366">
        <v>54</v>
      </c>
      <c r="BU309" s="366">
        <v>462</v>
      </c>
      <c r="BV309" s="366">
        <v>2</v>
      </c>
      <c r="BW309" s="366">
        <v>0</v>
      </c>
      <c r="BX309" s="366">
        <v>0</v>
      </c>
      <c r="BY309" s="366">
        <v>0</v>
      </c>
      <c r="BZ309" s="366">
        <v>0</v>
      </c>
      <c r="CA309" s="366">
        <v>1</v>
      </c>
      <c r="CB309" s="367">
        <f>IFERROR(BO309/Instructions!$J$25,0)+BP309*Instructions!$J$27+BQ309*Instructions!$J$29+IFERROR(BR309/Instructions!$E$34,0)+BS309*Instructions!$E$36+Tier!BT310*Instructions!$E$25+IFERROR(BU309/Instructions!$E$27,0)+BV309*Instructions!$E$29+IFERROR((BW309+BY309)/Instructions!$J$32,0)+(BX309+BZ309)*Instructions!$J$34+Tier!CA309*-2</f>
        <v>237.10000000000002</v>
      </c>
      <c r="CC309" s="354"/>
      <c r="CD309" s="238">
        <v>2016</v>
      </c>
      <c r="CE309" s="365" t="s">
        <v>1163</v>
      </c>
      <c r="CF309" s="366" t="s">
        <v>158</v>
      </c>
      <c r="CG309" s="366" t="s">
        <v>6</v>
      </c>
      <c r="CH309" s="366">
        <v>0</v>
      </c>
      <c r="CI309" s="366">
        <v>0</v>
      </c>
      <c r="CJ309" s="366">
        <v>0</v>
      </c>
      <c r="CK309" s="366">
        <v>0</v>
      </c>
      <c r="CL309" s="366">
        <v>0</v>
      </c>
      <c r="CM309" s="366">
        <v>91</v>
      </c>
      <c r="CN309" s="366">
        <v>1448</v>
      </c>
      <c r="CO309" s="366">
        <v>6</v>
      </c>
      <c r="CP309" s="366">
        <v>5</v>
      </c>
      <c r="CQ309" s="366">
        <v>0</v>
      </c>
      <c r="CR309" s="366">
        <v>5</v>
      </c>
      <c r="CS309" s="366">
        <v>0</v>
      </c>
      <c r="CT309" s="366">
        <v>0</v>
      </c>
      <c r="CU309" s="367">
        <f>IFERROR(CH309/Instructions!$J$25,0)+CI309*Instructions!$J$27+CJ309*Instructions!$J$29+IFERROR(CK309/Instructions!$E$34,0)+CL309*Instructions!$E$36+Tier!CM309*Instructions!$E$25+IFERROR(CN309/Instructions!$E$27,0)+CO309*Instructions!$E$29+IFERROR((CP309+CR309)/Instructions!$J$32,0)+(CQ309+CS309)*Instructions!$J$34+Tier!CT309*-2</f>
        <v>271.8</v>
      </c>
      <c r="CV309" s="354"/>
      <c r="CW309"/>
      <c r="CX309"/>
      <c r="CY309"/>
      <c r="CZ309"/>
      <c r="DA309"/>
      <c r="DB309"/>
      <c r="DC309"/>
      <c r="DD309"/>
      <c r="DE309"/>
      <c r="DF309"/>
      <c r="DG309"/>
      <c r="DH309"/>
      <c r="DI309"/>
      <c r="DJ309"/>
      <c r="DK309"/>
      <c r="DL309"/>
      <c r="DM309"/>
      <c r="DN309"/>
    </row>
    <row r="310" spans="3:118" s="238" customFormat="1" ht="15.75" customHeight="1" x14ac:dyDescent="0.25">
      <c r="C310"/>
      <c r="D310"/>
      <c r="E310"/>
      <c r="F310"/>
      <c r="G310"/>
      <c r="H310"/>
      <c r="I310"/>
      <c r="J310"/>
      <c r="K310"/>
      <c r="L310"/>
      <c r="M310"/>
      <c r="N310"/>
      <c r="O310" s="371"/>
      <c r="P310" s="366">
        <v>2016</v>
      </c>
      <c r="Q310" s="367">
        <f>LARGE($CB$304:$CB$453,7)</f>
        <v>247.10000000000002</v>
      </c>
      <c r="R310" s="357">
        <f t="shared" si="112"/>
        <v>82.500000000000028</v>
      </c>
      <c r="S310" s="356">
        <f t="shared" si="113"/>
        <v>6806.2500000000045</v>
      </c>
      <c r="T310" s="356">
        <f>T311+T304</f>
        <v>228.6</v>
      </c>
      <c r="U310" s="356">
        <f t="shared" si="114"/>
        <v>5.1562500000000018</v>
      </c>
      <c r="V310" s="238">
        <f t="shared" si="105"/>
        <v>1</v>
      </c>
      <c r="W310" s="354"/>
      <c r="X310" s="371"/>
      <c r="Y310" s="371"/>
      <c r="Z310" s="238">
        <v>2016</v>
      </c>
      <c r="AA310" s="367">
        <f>LARGE($CU$304:$CU$453,7)</f>
        <v>255.7</v>
      </c>
      <c r="AB310" s="357">
        <f t="shared" si="115"/>
        <v>43.999999999999972</v>
      </c>
      <c r="AC310" s="356">
        <f t="shared" si="104"/>
        <v>1935.9999999999975</v>
      </c>
      <c r="AD310" s="356">
        <f>AD311+AD304</f>
        <v>275.70000000000005</v>
      </c>
      <c r="AE310" s="356">
        <f t="shared" si="116"/>
        <v>2.7499999999999982</v>
      </c>
      <c r="AF310" s="238">
        <f t="shared" si="106"/>
        <v>4</v>
      </c>
      <c r="AG310" s="354"/>
      <c r="AK310"/>
      <c r="AL310"/>
      <c r="AM310"/>
      <c r="AN310"/>
      <c r="AO310"/>
      <c r="AP310"/>
      <c r="BI310" s="360"/>
      <c r="BJ310" s="354"/>
      <c r="BK310" s="366">
        <v>2016</v>
      </c>
      <c r="BL310" s="365" t="s">
        <v>109</v>
      </c>
      <c r="BM310" s="366" t="s">
        <v>1628</v>
      </c>
      <c r="BN310" s="366" t="s">
        <v>3</v>
      </c>
      <c r="BO310" s="366">
        <v>0</v>
      </c>
      <c r="BP310" s="366">
        <v>0</v>
      </c>
      <c r="BQ310" s="366">
        <v>0</v>
      </c>
      <c r="BR310" s="366">
        <v>1161</v>
      </c>
      <c r="BS310" s="366">
        <v>18</v>
      </c>
      <c r="BT310" s="366">
        <v>7</v>
      </c>
      <c r="BU310" s="366">
        <v>38</v>
      </c>
      <c r="BV310" s="366">
        <v>0</v>
      </c>
      <c r="BW310" s="366">
        <v>0</v>
      </c>
      <c r="BX310" s="366">
        <v>0</v>
      </c>
      <c r="BY310" s="366">
        <v>0</v>
      </c>
      <c r="BZ310" s="366">
        <v>0</v>
      </c>
      <c r="CA310" s="366">
        <v>1</v>
      </c>
      <c r="CB310" s="367">
        <f>IFERROR(BO310/Instructions!$J$25,0)+BP310*Instructions!$J$27+BQ310*Instructions!$J$29+IFERROR(BR310/Instructions!$E$34,0)+BS310*Instructions!$E$36+Tier!BT311*Instructions!$E$25+IFERROR(BU310/Instructions!$E$27,0)+BV310*Instructions!$E$29+IFERROR((BW310+BY310)/Instructions!$J$32,0)+(BX310+BZ310)*Instructions!$J$34+Tier!CA310*-2</f>
        <v>266.90000000000003</v>
      </c>
      <c r="CC310" s="354"/>
      <c r="CD310" s="238">
        <v>2016</v>
      </c>
      <c r="CE310" s="365" t="s">
        <v>27</v>
      </c>
      <c r="CF310" s="366" t="s">
        <v>148</v>
      </c>
      <c r="CG310" s="366" t="s">
        <v>6</v>
      </c>
      <c r="CH310" s="366">
        <v>0</v>
      </c>
      <c r="CI310" s="366">
        <v>0</v>
      </c>
      <c r="CJ310" s="366">
        <v>0</v>
      </c>
      <c r="CK310" s="366">
        <v>0</v>
      </c>
      <c r="CL310" s="366">
        <v>0</v>
      </c>
      <c r="CM310" s="366">
        <v>83</v>
      </c>
      <c r="CN310" s="366">
        <v>1409</v>
      </c>
      <c r="CO310" s="366">
        <v>6</v>
      </c>
      <c r="CP310" s="366">
        <v>0</v>
      </c>
      <c r="CQ310" s="366">
        <v>0</v>
      </c>
      <c r="CR310" s="366">
        <v>0</v>
      </c>
      <c r="CS310" s="366">
        <v>0</v>
      </c>
      <c r="CT310" s="366">
        <v>0</v>
      </c>
      <c r="CU310" s="367">
        <f>IFERROR(CH310/Instructions!$J$25,0)+CI310*Instructions!$J$27+CJ310*Instructions!$J$29+IFERROR(CK310/Instructions!$E$34,0)+CL310*Instructions!$E$36+Tier!CM310*Instructions!$E$25+IFERROR(CN310/Instructions!$E$27,0)+CO310*Instructions!$E$29+IFERROR((CP310+CR310)/Instructions!$J$32,0)+(CQ310+CS310)*Instructions!$J$34+Tier!CT310*-2</f>
        <v>259.89999999999998</v>
      </c>
      <c r="CV310" s="354"/>
      <c r="CW310"/>
      <c r="CX310"/>
      <c r="CY310"/>
      <c r="CZ310"/>
      <c r="DA310"/>
      <c r="DB310"/>
      <c r="DC310"/>
      <c r="DD310"/>
      <c r="DE310"/>
      <c r="DF310"/>
      <c r="DG310"/>
      <c r="DH310"/>
      <c r="DI310"/>
      <c r="DJ310"/>
      <c r="DK310"/>
      <c r="DL310"/>
      <c r="DM310"/>
      <c r="DN310"/>
    </row>
    <row r="311" spans="3:118" s="238" customFormat="1" ht="15.75" customHeight="1" x14ac:dyDescent="0.25">
      <c r="C311"/>
      <c r="D311"/>
      <c r="E311"/>
      <c r="F311"/>
      <c r="G311"/>
      <c r="H311"/>
      <c r="I311"/>
      <c r="J311"/>
      <c r="K311"/>
      <c r="L311"/>
      <c r="M311"/>
      <c r="N311"/>
      <c r="O311" s="371"/>
      <c r="P311" s="366">
        <v>2016</v>
      </c>
      <c r="Q311" s="367">
        <f>LARGE($CB$304:$CB$453,8)</f>
        <v>238.6</v>
      </c>
      <c r="R311" s="357">
        <f t="shared" si="112"/>
        <v>74</v>
      </c>
      <c r="S311" s="356">
        <f t="shared" si="113"/>
        <v>5476</v>
      </c>
      <c r="T311" s="356">
        <f>T312+T304</f>
        <v>212.6</v>
      </c>
      <c r="U311" s="356">
        <f t="shared" si="114"/>
        <v>4.625</v>
      </c>
      <c r="V311" s="238">
        <f t="shared" si="105"/>
        <v>2</v>
      </c>
      <c r="W311" s="354"/>
      <c r="X311" s="371"/>
      <c r="Y311" s="371"/>
      <c r="Z311" s="238">
        <v>2016</v>
      </c>
      <c r="AA311" s="367">
        <f>LARGE($CU$304:$CU$453,8)</f>
        <v>253.6</v>
      </c>
      <c r="AB311" s="357">
        <f t="shared" si="115"/>
        <v>41.899999999999977</v>
      </c>
      <c r="AC311" s="356">
        <f t="shared" si="104"/>
        <v>1755.6099999999981</v>
      </c>
      <c r="AD311" s="356">
        <f>AD312+AD304</f>
        <v>259.70000000000005</v>
      </c>
      <c r="AE311" s="356">
        <f t="shared" si="116"/>
        <v>2.6187499999999986</v>
      </c>
      <c r="AF311" s="238">
        <f t="shared" si="106"/>
        <v>4</v>
      </c>
      <c r="AG311" s="354"/>
      <c r="AK311"/>
      <c r="AL311"/>
      <c r="AM311"/>
      <c r="AN311"/>
      <c r="AO311"/>
      <c r="AP311"/>
      <c r="BI311" s="360"/>
      <c r="BJ311" s="354"/>
      <c r="BK311" s="366">
        <v>2016</v>
      </c>
      <c r="BL311" s="365" t="s">
        <v>1126</v>
      </c>
      <c r="BM311" s="366" t="s">
        <v>1626</v>
      </c>
      <c r="BN311" s="366" t="s">
        <v>3</v>
      </c>
      <c r="BO311" s="366">
        <v>0</v>
      </c>
      <c r="BP311" s="366">
        <v>0</v>
      </c>
      <c r="BQ311" s="366">
        <v>0</v>
      </c>
      <c r="BR311" s="366">
        <v>997</v>
      </c>
      <c r="BS311" s="366">
        <v>10</v>
      </c>
      <c r="BT311" s="366">
        <v>41</v>
      </c>
      <c r="BU311" s="366">
        <v>419</v>
      </c>
      <c r="BV311" s="366">
        <v>2</v>
      </c>
      <c r="BW311" s="366">
        <v>0</v>
      </c>
      <c r="BX311" s="366">
        <v>0</v>
      </c>
      <c r="BY311" s="366">
        <v>0</v>
      </c>
      <c r="BZ311" s="366">
        <v>0</v>
      </c>
      <c r="CA311" s="366">
        <v>2</v>
      </c>
      <c r="CB311" s="367">
        <f>IFERROR(BO311/Instructions!$J$25,0)+BP311*Instructions!$J$27+BQ311*Instructions!$J$29+IFERROR(BR311/Instructions!$E$34,0)+BS311*Instructions!$E$36+Tier!BT312*Instructions!$E$25+IFERROR(BU311/Instructions!$E$27,0)+BV311*Instructions!$E$29+IFERROR((BW311+BY311)/Instructions!$J$32,0)+(BX311+BZ311)*Instructions!$J$34+Tier!CA311*-2</f>
        <v>238.6</v>
      </c>
      <c r="CC311" s="354"/>
      <c r="CD311" s="238">
        <v>2016</v>
      </c>
      <c r="CE311" s="365" t="s">
        <v>193</v>
      </c>
      <c r="CF311" s="366" t="s">
        <v>1624</v>
      </c>
      <c r="CG311" s="366" t="s">
        <v>6</v>
      </c>
      <c r="CH311" s="366">
        <v>0</v>
      </c>
      <c r="CI311" s="366">
        <v>0</v>
      </c>
      <c r="CJ311" s="366">
        <v>0</v>
      </c>
      <c r="CK311" s="366">
        <v>0</v>
      </c>
      <c r="CL311" s="366">
        <v>0</v>
      </c>
      <c r="CM311" s="366">
        <v>75</v>
      </c>
      <c r="CN311" s="366">
        <v>997</v>
      </c>
      <c r="CO311" s="366">
        <v>12</v>
      </c>
      <c r="CP311" s="366">
        <v>0</v>
      </c>
      <c r="CQ311" s="366">
        <v>0</v>
      </c>
      <c r="CR311" s="366">
        <v>0</v>
      </c>
      <c r="CS311" s="366">
        <v>0</v>
      </c>
      <c r="CT311" s="366">
        <v>1</v>
      </c>
      <c r="CU311" s="367">
        <f>IFERROR(CH311/Instructions!$J$25,0)+CI311*Instructions!$J$27+CJ311*Instructions!$J$29+IFERROR(CK311/Instructions!$E$34,0)+CL311*Instructions!$E$36+Tier!CM311*Instructions!$E$25+IFERROR(CN311/Instructions!$E$27,0)+CO311*Instructions!$E$29+IFERROR((CP311+CR311)/Instructions!$J$32,0)+(CQ311+CS311)*Instructions!$J$34+Tier!CT311*-2</f>
        <v>244.7</v>
      </c>
      <c r="CV311" s="354"/>
      <c r="CW311"/>
      <c r="CX311"/>
      <c r="CY311"/>
      <c r="CZ311"/>
      <c r="DA311"/>
      <c r="DB311"/>
      <c r="DC311"/>
      <c r="DD311"/>
      <c r="DE311"/>
      <c r="DF311"/>
      <c r="DG311"/>
      <c r="DH311"/>
      <c r="DI311"/>
      <c r="DJ311"/>
      <c r="DK311"/>
      <c r="DL311"/>
      <c r="DM311"/>
      <c r="DN311"/>
    </row>
    <row r="312" spans="3:118" s="238" customFormat="1" ht="15.75" customHeight="1" x14ac:dyDescent="0.25">
      <c r="C312"/>
      <c r="D312"/>
      <c r="E312"/>
      <c r="F312"/>
      <c r="G312"/>
      <c r="H312"/>
      <c r="I312"/>
      <c r="J312"/>
      <c r="K312"/>
      <c r="L312"/>
      <c r="M312"/>
      <c r="N312"/>
      <c r="O312" s="371"/>
      <c r="P312" s="366">
        <v>2016</v>
      </c>
      <c r="Q312" s="367">
        <f>LARGE($CB$304:$CB$453,9)</f>
        <v>237.10000000000002</v>
      </c>
      <c r="R312" s="357">
        <f t="shared" si="112"/>
        <v>72.500000000000028</v>
      </c>
      <c r="S312" s="356">
        <f t="shared" si="113"/>
        <v>5256.2500000000045</v>
      </c>
      <c r="T312" s="356">
        <f>T313+T304</f>
        <v>196.6</v>
      </c>
      <c r="U312" s="356">
        <f t="shared" si="114"/>
        <v>4.5312500000000018</v>
      </c>
      <c r="V312" s="238">
        <f t="shared" si="105"/>
        <v>2</v>
      </c>
      <c r="W312" s="354"/>
      <c r="X312" s="371"/>
      <c r="Y312" s="371"/>
      <c r="Z312" s="238">
        <v>2016</v>
      </c>
      <c r="AA312" s="367">
        <f>LARGE($CU$304:$CU$453,9)</f>
        <v>246.3</v>
      </c>
      <c r="AB312" s="357">
        <f t="shared" si="115"/>
        <v>34.599999999999994</v>
      </c>
      <c r="AC312" s="356">
        <f t="shared" si="104"/>
        <v>1197.1599999999996</v>
      </c>
      <c r="AD312" s="356">
        <f>AD313+AD304</f>
        <v>243.70000000000002</v>
      </c>
      <c r="AE312" s="356">
        <f t="shared" si="116"/>
        <v>2.1624999999999996</v>
      </c>
      <c r="AF312" s="238">
        <f t="shared" si="106"/>
        <v>4</v>
      </c>
      <c r="AG312" s="354"/>
      <c r="AK312"/>
      <c r="AL312"/>
      <c r="AM312"/>
      <c r="AN312"/>
      <c r="AO312"/>
      <c r="AP312"/>
      <c r="BI312" s="360"/>
      <c r="BJ312" s="354"/>
      <c r="BK312" s="366">
        <v>2016</v>
      </c>
      <c r="BL312" s="365" t="s">
        <v>1182</v>
      </c>
      <c r="BM312" s="366" t="s">
        <v>141</v>
      </c>
      <c r="BN312" s="366" t="s">
        <v>3</v>
      </c>
      <c r="BO312" s="366">
        <v>0</v>
      </c>
      <c r="BP312" s="366">
        <v>0</v>
      </c>
      <c r="BQ312" s="366">
        <v>0</v>
      </c>
      <c r="BR312" s="366">
        <v>1313</v>
      </c>
      <c r="BS312" s="366">
        <v>6</v>
      </c>
      <c r="BT312" s="366">
        <v>29</v>
      </c>
      <c r="BU312" s="366">
        <v>298</v>
      </c>
      <c r="BV312" s="366">
        <v>1</v>
      </c>
      <c r="BW312" s="366">
        <v>0</v>
      </c>
      <c r="BX312" s="366">
        <v>0</v>
      </c>
      <c r="BY312" s="366">
        <v>0</v>
      </c>
      <c r="BZ312" s="366">
        <v>0</v>
      </c>
      <c r="CA312" s="366">
        <v>1</v>
      </c>
      <c r="CB312" s="367">
        <f>IFERROR(BO312/Instructions!$J$25,0)+BP312*Instructions!$J$27+BQ312*Instructions!$J$29+IFERROR(BR312/Instructions!$E$34,0)+BS312*Instructions!$E$36+Tier!BT313*Instructions!$E$25+IFERROR(BU312/Instructions!$E$27,0)+BV312*Instructions!$E$29+IFERROR((BW312+BY312)/Instructions!$J$32,0)+(BX312+BZ312)*Instructions!$J$34+Tier!CA312*-2</f>
        <v>247.10000000000002</v>
      </c>
      <c r="CC312" s="354"/>
      <c r="CD312" s="238">
        <v>2016</v>
      </c>
      <c r="CE312" s="365" t="s">
        <v>107</v>
      </c>
      <c r="CF312" s="366" t="s">
        <v>1625</v>
      </c>
      <c r="CG312" s="366" t="s">
        <v>6</v>
      </c>
      <c r="CH312" s="366">
        <v>0</v>
      </c>
      <c r="CI312" s="366">
        <v>0</v>
      </c>
      <c r="CJ312" s="366">
        <v>0</v>
      </c>
      <c r="CK312" s="366">
        <v>30</v>
      </c>
      <c r="CL312" s="366">
        <v>0</v>
      </c>
      <c r="CM312" s="366">
        <v>78</v>
      </c>
      <c r="CN312" s="366">
        <v>1173</v>
      </c>
      <c r="CO312" s="366">
        <v>8</v>
      </c>
      <c r="CP312" s="366">
        <v>2</v>
      </c>
      <c r="CQ312" s="366">
        <v>0</v>
      </c>
      <c r="CR312" s="366">
        <v>0</v>
      </c>
      <c r="CS312" s="366">
        <v>0</v>
      </c>
      <c r="CT312" s="366">
        <v>0</v>
      </c>
      <c r="CU312" s="367">
        <f>IFERROR(CH312/Instructions!$J$25,0)+CI312*Instructions!$J$27+CJ312*Instructions!$J$29+IFERROR(CK312/Instructions!$E$34,0)+CL312*Instructions!$E$36+Tier!CM312*Instructions!$E$25+IFERROR(CN312/Instructions!$E$27,0)+CO312*Instructions!$E$29+IFERROR((CP312+CR312)/Instructions!$J$32,0)+(CQ312+CS312)*Instructions!$J$34+Tier!CT312*-2</f>
        <v>246.3</v>
      </c>
      <c r="CV312" s="354"/>
      <c r="CW312"/>
      <c r="CX312"/>
      <c r="CY312"/>
      <c r="CZ312"/>
      <c r="DA312"/>
      <c r="DB312"/>
      <c r="DC312"/>
      <c r="DD312"/>
      <c r="DE312"/>
      <c r="DF312"/>
      <c r="DG312"/>
      <c r="DH312"/>
      <c r="DI312"/>
      <c r="DJ312"/>
      <c r="DK312"/>
      <c r="DL312"/>
      <c r="DM312"/>
      <c r="DN312"/>
    </row>
    <row r="313" spans="3:118" s="238" customFormat="1" ht="15.75" customHeight="1" x14ac:dyDescent="0.25">
      <c r="C313"/>
      <c r="D313"/>
      <c r="E313"/>
      <c r="F313"/>
      <c r="G313"/>
      <c r="H313"/>
      <c r="I313"/>
      <c r="J313"/>
      <c r="K313"/>
      <c r="L313"/>
      <c r="M313"/>
      <c r="N313"/>
      <c r="O313" s="371"/>
      <c r="P313" s="366">
        <v>2016</v>
      </c>
      <c r="Q313" s="367">
        <f>LARGE($CB$304:$CB$453,10)</f>
        <v>226.29999999999998</v>
      </c>
      <c r="R313" s="357">
        <f t="shared" si="112"/>
        <v>61.699999999999989</v>
      </c>
      <c r="S313" s="356">
        <f t="shared" si="113"/>
        <v>3806.8899999999985</v>
      </c>
      <c r="T313" s="356">
        <f>T314+T304</f>
        <v>180.6</v>
      </c>
      <c r="U313" s="356">
        <f t="shared" si="114"/>
        <v>3.8562499999999993</v>
      </c>
      <c r="V313" s="238">
        <f t="shared" si="105"/>
        <v>3</v>
      </c>
      <c r="W313" s="354"/>
      <c r="X313" s="371"/>
      <c r="Y313" s="371"/>
      <c r="Z313" s="238">
        <v>2016</v>
      </c>
      <c r="AA313" s="367">
        <f>LARGE($CU$304:$CU$453,10)</f>
        <v>244.7</v>
      </c>
      <c r="AB313" s="357">
        <f t="shared" si="115"/>
        <v>32.999999999999972</v>
      </c>
      <c r="AC313" s="356">
        <f t="shared" si="104"/>
        <v>1088.9999999999982</v>
      </c>
      <c r="AD313" s="356">
        <f>AD314+AD304</f>
        <v>227.70000000000002</v>
      </c>
      <c r="AE313" s="356">
        <f t="shared" si="116"/>
        <v>2.0624999999999982</v>
      </c>
      <c r="AF313" s="238">
        <f t="shared" si="106"/>
        <v>4</v>
      </c>
      <c r="AG313" s="354"/>
      <c r="AK313"/>
      <c r="AL313"/>
      <c r="AM313"/>
      <c r="AN313"/>
      <c r="AO313"/>
      <c r="AP313"/>
      <c r="BI313" s="360"/>
      <c r="BJ313" s="354"/>
      <c r="BK313" s="366">
        <v>2016</v>
      </c>
      <c r="BL313" s="365" t="s">
        <v>119</v>
      </c>
      <c r="BM313" s="366" t="s">
        <v>1625</v>
      </c>
      <c r="BN313" s="366" t="s">
        <v>3</v>
      </c>
      <c r="BO313" s="366">
        <v>0</v>
      </c>
      <c r="BP313" s="366">
        <v>0</v>
      </c>
      <c r="BQ313" s="366">
        <v>0</v>
      </c>
      <c r="BR313" s="366">
        <v>1043</v>
      </c>
      <c r="BS313" s="366">
        <v>6</v>
      </c>
      <c r="BT313" s="366">
        <v>46</v>
      </c>
      <c r="BU313" s="366">
        <v>319</v>
      </c>
      <c r="BV313" s="366">
        <v>4</v>
      </c>
      <c r="BW313" s="366">
        <v>0</v>
      </c>
      <c r="BX313" s="366">
        <v>0</v>
      </c>
      <c r="BY313" s="366">
        <v>0</v>
      </c>
      <c r="BZ313" s="366">
        <v>0</v>
      </c>
      <c r="CA313" s="366">
        <v>2</v>
      </c>
      <c r="CB313" s="367">
        <f>IFERROR(BO313/Instructions!$J$25,0)+BP313*Instructions!$J$27+BQ313*Instructions!$J$29+IFERROR(BR313/Instructions!$E$34,0)+BS313*Instructions!$E$36+Tier!BT314*Instructions!$E$25+IFERROR(BU313/Instructions!$E$27,0)+BV313*Instructions!$E$29+IFERROR((BW313+BY313)/Instructions!$J$32,0)+(BX313+BZ313)*Instructions!$J$34+Tier!CA313*-2</f>
        <v>219.20000000000002</v>
      </c>
      <c r="CC313" s="354"/>
      <c r="CD313" s="238">
        <v>2016</v>
      </c>
      <c r="CE313" s="365" t="s">
        <v>1192</v>
      </c>
      <c r="CF313" s="366" t="s">
        <v>1625</v>
      </c>
      <c r="CG313" s="366" t="s">
        <v>6</v>
      </c>
      <c r="CH313" s="366">
        <v>0</v>
      </c>
      <c r="CI313" s="366">
        <v>0</v>
      </c>
      <c r="CJ313" s="366">
        <v>0</v>
      </c>
      <c r="CK313" s="366">
        <v>0</v>
      </c>
      <c r="CL313" s="366">
        <v>0</v>
      </c>
      <c r="CM313" s="366">
        <v>92</v>
      </c>
      <c r="CN313" s="366">
        <v>1137</v>
      </c>
      <c r="CO313" s="366">
        <v>9</v>
      </c>
      <c r="CP313" s="366">
        <v>0</v>
      </c>
      <c r="CQ313" s="366">
        <v>0</v>
      </c>
      <c r="CR313" s="366">
        <v>0</v>
      </c>
      <c r="CS313" s="366">
        <v>0</v>
      </c>
      <c r="CT313" s="366">
        <v>2</v>
      </c>
      <c r="CU313" s="367">
        <f>IFERROR(CH313/Instructions!$J$25,0)+CI313*Instructions!$J$27+CJ313*Instructions!$J$29+IFERROR(CK313/Instructions!$E$34,0)+CL313*Instructions!$E$36+Tier!CM313*Instructions!$E$25+IFERROR(CN313/Instructions!$E$27,0)+CO313*Instructions!$E$29+IFERROR((CP313+CR313)/Instructions!$J$32,0)+(CQ313+CS313)*Instructions!$J$34+Tier!CT313*-2</f>
        <v>255.7</v>
      </c>
      <c r="CV313" s="354"/>
      <c r="CW313"/>
      <c r="CX313"/>
      <c r="CY313"/>
      <c r="CZ313"/>
      <c r="DA313"/>
      <c r="DB313"/>
      <c r="DC313"/>
      <c r="DD313"/>
      <c r="DE313"/>
      <c r="DF313"/>
      <c r="DG313"/>
      <c r="DH313"/>
      <c r="DI313"/>
      <c r="DJ313"/>
      <c r="DK313"/>
      <c r="DL313"/>
      <c r="DM313"/>
      <c r="DN313"/>
    </row>
    <row r="314" spans="3:118" s="238" customFormat="1" ht="15.75" customHeight="1" x14ac:dyDescent="0.25">
      <c r="C314"/>
      <c r="D314"/>
      <c r="E314"/>
      <c r="F314"/>
      <c r="G314"/>
      <c r="H314"/>
      <c r="I314"/>
      <c r="J314"/>
      <c r="K314"/>
      <c r="L314"/>
      <c r="M314"/>
      <c r="N314"/>
      <c r="O314" s="371"/>
      <c r="P314" s="366">
        <v>2016</v>
      </c>
      <c r="Q314" s="367">
        <f>LARGE($CB$304:$CB$453,11)</f>
        <v>219.20000000000002</v>
      </c>
      <c r="R314" s="357">
        <f t="shared" si="112"/>
        <v>54.600000000000023</v>
      </c>
      <c r="S314" s="356">
        <f t="shared" si="113"/>
        <v>2981.1600000000026</v>
      </c>
      <c r="T314" s="481">
        <f>(INDEX(Tier!$Q$2:$Q$151, Instructions!$E$11*Instructions!$E$19,1)
+IF(Instructions!$E$19=2, INDEX(Tier!$Q$2:$Q$151,Instructions!$E$11,1),0)
+IF(Instructions!$J$15&gt;0, INDEX(Tier!$Q$2:$Q$151,Instructions!$E$11*(Instructions!$E$19+Instructions!$J$15*0.5),1),0)
+IF(Instructions!$J$15=2, INDEX(Tier!$Q$2:$Q$151,Instructions!$E$11*(Instructions!$E$19+0.5),1),0))
/(Instructions!$E$19+Instructions!$J$15)</f>
        <v>164.6</v>
      </c>
      <c r="U314" s="356">
        <f t="shared" si="114"/>
        <v>3.4125000000000014</v>
      </c>
      <c r="V314" s="238">
        <f t="shared" si="105"/>
        <v>3</v>
      </c>
      <c r="W314" s="354"/>
      <c r="X314" s="371"/>
      <c r="Y314" s="371"/>
      <c r="Z314" s="238">
        <v>2016</v>
      </c>
      <c r="AA314" s="367">
        <f>LARGE($CU$304:$CU$453,11)</f>
        <v>243.8</v>
      </c>
      <c r="AB314" s="357">
        <f t="shared" si="115"/>
        <v>32.099999999999994</v>
      </c>
      <c r="AC314" s="356">
        <f t="shared" si="104"/>
        <v>1030.4099999999996</v>
      </c>
      <c r="AD314" s="481">
        <f>(INDEX(Tier!$AA$304:$AA$453,Instructions!$E$11,1)
+IF(Instructions!$E$17&gt;=2,INDEX(Tier!$AA$304:$AA$453,Instructions!$E$11*2,1),0)
+IF(Instructions!$E$17=3,INDEX(Tier!$AA$304:$AA$453,Instructions!$E$11*3,1),0)
+IF(Instructions!$J$15&gt;0,INDEX(Tier!$AA$304:$AA$453,Instructions!$E$11*(Instructions!$E$17+Instructions!$J$15*0.5),1),0)
+IF(Instructions!$J$15=2,INDEX(Tier!$AA$304:$AA$453,Instructions!$E$11*(Instructions!$E$17+0.5),1),0))
/(Instructions!$E$17+Instructions!$J$15)</f>
        <v>211.70000000000002</v>
      </c>
      <c r="AE314" s="356">
        <f t="shared" si="116"/>
        <v>2.0062499999999996</v>
      </c>
      <c r="AF314" s="238">
        <f t="shared" si="106"/>
        <v>4</v>
      </c>
      <c r="AG314" s="354"/>
      <c r="AK314"/>
      <c r="AL314"/>
      <c r="AM314"/>
      <c r="AN314"/>
      <c r="AO314"/>
      <c r="AP314"/>
      <c r="BI314" s="360"/>
      <c r="BJ314" s="354"/>
      <c r="BK314" s="366">
        <v>2016</v>
      </c>
      <c r="BL314" s="365" t="s">
        <v>1137</v>
      </c>
      <c r="BM314" s="366" t="s">
        <v>166</v>
      </c>
      <c r="BN314" s="366" t="s">
        <v>3</v>
      </c>
      <c r="BO314" s="366">
        <v>0</v>
      </c>
      <c r="BP314" s="366">
        <v>0</v>
      </c>
      <c r="BQ314" s="366">
        <v>0</v>
      </c>
      <c r="BR314" s="366">
        <v>1272</v>
      </c>
      <c r="BS314" s="366">
        <v>8</v>
      </c>
      <c r="BT314" s="366">
        <v>27</v>
      </c>
      <c r="BU314" s="366">
        <v>151</v>
      </c>
      <c r="BV314" s="366">
        <v>0</v>
      </c>
      <c r="BW314" s="366">
        <v>0</v>
      </c>
      <c r="BX314" s="366">
        <v>0</v>
      </c>
      <c r="BY314" s="366">
        <v>0</v>
      </c>
      <c r="BZ314" s="366">
        <v>0</v>
      </c>
      <c r="CA314" s="366">
        <v>1</v>
      </c>
      <c r="CB314" s="367">
        <f>IFERROR(BO314/Instructions!$J$25,0)+BP314*Instructions!$J$27+BQ314*Instructions!$J$29+IFERROR(BR314/Instructions!$E$34,0)+BS314*Instructions!$E$36+Tier!BT315*Instructions!$E$25+IFERROR(BU314/Instructions!$E$27,0)+BV314*Instructions!$E$29+IFERROR((BW314+BY314)/Instructions!$J$32,0)+(BX314+BZ314)*Instructions!$J$34+Tier!CA314*-2</f>
        <v>226.29999999999998</v>
      </c>
      <c r="CC314" s="354"/>
      <c r="CD314" s="238">
        <v>2016</v>
      </c>
      <c r="CE314" s="365" t="s">
        <v>1129</v>
      </c>
      <c r="CF314" s="366" t="s">
        <v>148</v>
      </c>
      <c r="CG314" s="366" t="s">
        <v>6</v>
      </c>
      <c r="CH314" s="366">
        <v>0</v>
      </c>
      <c r="CI314" s="366">
        <v>0</v>
      </c>
      <c r="CJ314" s="366">
        <v>0</v>
      </c>
      <c r="CK314" s="366">
        <v>520</v>
      </c>
      <c r="CL314" s="366">
        <v>8</v>
      </c>
      <c r="CM314" s="366">
        <v>31</v>
      </c>
      <c r="CN314" s="366">
        <v>421</v>
      </c>
      <c r="CO314" s="366">
        <v>3</v>
      </c>
      <c r="CP314" s="366">
        <v>0</v>
      </c>
      <c r="CQ314" s="366">
        <v>0</v>
      </c>
      <c r="CR314" s="366">
        <v>0</v>
      </c>
      <c r="CS314" s="366">
        <v>0</v>
      </c>
      <c r="CT314" s="366">
        <v>0</v>
      </c>
      <c r="CU314" s="367">
        <f>IFERROR(CH314/Instructions!$J$25,0)+CI314*Instructions!$J$27+CJ314*Instructions!$J$29+IFERROR(CK314/Instructions!$E$34,0)+CL314*Instructions!$E$36+Tier!CM314*Instructions!$E$25+IFERROR(CN314/Instructions!$E$27,0)+CO314*Instructions!$E$29+IFERROR((CP314+CR314)/Instructions!$J$32,0)+(CQ314+CS314)*Instructions!$J$34+Tier!CT314*-2</f>
        <v>191.1</v>
      </c>
      <c r="CV314" s="354"/>
      <c r="CW314"/>
      <c r="CX314"/>
      <c r="CY314"/>
      <c r="CZ314"/>
      <c r="DA314"/>
      <c r="DB314"/>
      <c r="DC314"/>
      <c r="DD314"/>
      <c r="DE314"/>
      <c r="DF314"/>
      <c r="DG314"/>
      <c r="DH314"/>
      <c r="DI314"/>
      <c r="DJ314"/>
      <c r="DK314"/>
      <c r="DL314"/>
      <c r="DM314"/>
      <c r="DN314"/>
    </row>
    <row r="315" spans="3:118" s="238" customFormat="1" ht="15.75" customHeight="1" x14ac:dyDescent="0.25">
      <c r="C315"/>
      <c r="D315"/>
      <c r="E315"/>
      <c r="F315"/>
      <c r="G315"/>
      <c r="H315"/>
      <c r="I315"/>
      <c r="J315"/>
      <c r="K315"/>
      <c r="L315"/>
      <c r="M315"/>
      <c r="N315"/>
      <c r="O315" s="371"/>
      <c r="P315" s="366">
        <v>2016</v>
      </c>
      <c r="Q315" s="367">
        <f>LARGE($CB$304:$CB$453,12)</f>
        <v>209.2</v>
      </c>
      <c r="R315" s="357">
        <f t="shared" si="112"/>
        <v>44.599999999999994</v>
      </c>
      <c r="S315" s="356">
        <f t="shared" si="113"/>
        <v>1989.1599999999994</v>
      </c>
      <c r="T315" s="356">
        <f>T314-T304</f>
        <v>148.6</v>
      </c>
      <c r="U315" s="356">
        <f t="shared" si="114"/>
        <v>2.7874999999999996</v>
      </c>
      <c r="V315" s="238">
        <f t="shared" si="105"/>
        <v>4</v>
      </c>
      <c r="W315" s="354"/>
      <c r="X315" s="371"/>
      <c r="Y315" s="371"/>
      <c r="Z315" s="238">
        <v>2016</v>
      </c>
      <c r="AA315" s="367">
        <f>LARGE($CU$304:$CU$453,12)</f>
        <v>237.3</v>
      </c>
      <c r="AB315" s="357">
        <f t="shared" si="115"/>
        <v>25.599999999999994</v>
      </c>
      <c r="AC315" s="356">
        <f t="shared" si="104"/>
        <v>655.35999999999967</v>
      </c>
      <c r="AD315" s="356">
        <f>AD314-AD304</f>
        <v>195.70000000000002</v>
      </c>
      <c r="AE315" s="356">
        <f t="shared" si="116"/>
        <v>1.5999999999999996</v>
      </c>
      <c r="AF315" s="238">
        <f t="shared" si="106"/>
        <v>5</v>
      </c>
      <c r="AG315" s="354"/>
      <c r="AK315"/>
      <c r="AL315"/>
      <c r="AM315"/>
      <c r="AN315"/>
      <c r="AO315"/>
      <c r="AP315"/>
      <c r="BI315" s="360"/>
      <c r="BJ315" s="354"/>
      <c r="BK315" s="366">
        <v>2016</v>
      </c>
      <c r="BL315" s="365" t="s">
        <v>68</v>
      </c>
      <c r="BM315" s="366" t="s">
        <v>158</v>
      </c>
      <c r="BN315" s="366" t="s">
        <v>3</v>
      </c>
      <c r="BO315" s="366">
        <v>0</v>
      </c>
      <c r="BP315" s="366">
        <v>0</v>
      </c>
      <c r="BQ315" s="366">
        <v>0</v>
      </c>
      <c r="BR315" s="366">
        <v>1025</v>
      </c>
      <c r="BS315" s="366">
        <v>4</v>
      </c>
      <c r="BT315" s="366">
        <v>38</v>
      </c>
      <c r="BU315" s="366">
        <v>277</v>
      </c>
      <c r="BV315" s="366">
        <v>4</v>
      </c>
      <c r="BW315" s="366">
        <v>0</v>
      </c>
      <c r="BX315" s="366">
        <v>0</v>
      </c>
      <c r="BY315" s="366">
        <v>0</v>
      </c>
      <c r="BZ315" s="366">
        <v>0</v>
      </c>
      <c r="CA315" s="366">
        <v>1</v>
      </c>
      <c r="CB315" s="367">
        <f>IFERROR(BO315/Instructions!$J$25,0)+BP315*Instructions!$J$27+BQ315*Instructions!$J$29+IFERROR(BR315/Instructions!$E$34,0)+BS315*Instructions!$E$36+Tier!BT316*Instructions!$E$25+IFERROR(BU315/Instructions!$E$27,0)+BV315*Instructions!$E$29+IFERROR((BW315+BY315)/Instructions!$J$32,0)+(BX315+BZ315)*Instructions!$J$34+Tier!CA315*-2</f>
        <v>209.2</v>
      </c>
      <c r="CC315" s="354"/>
      <c r="CD315" s="238">
        <v>2016</v>
      </c>
      <c r="CE315" s="365" t="s">
        <v>125</v>
      </c>
      <c r="CF315" s="366" t="s">
        <v>140</v>
      </c>
      <c r="CG315" s="366" t="s">
        <v>6</v>
      </c>
      <c r="CH315" s="366">
        <v>15</v>
      </c>
      <c r="CI315" s="366">
        <v>1</v>
      </c>
      <c r="CJ315" s="366">
        <v>0</v>
      </c>
      <c r="CK315" s="366">
        <v>2</v>
      </c>
      <c r="CL315" s="366">
        <v>0</v>
      </c>
      <c r="CM315" s="366">
        <v>94</v>
      </c>
      <c r="CN315" s="366">
        <v>1128</v>
      </c>
      <c r="CO315" s="366">
        <v>7</v>
      </c>
      <c r="CP315" s="366">
        <v>0</v>
      </c>
      <c r="CQ315" s="366">
        <v>0</v>
      </c>
      <c r="CR315" s="366">
        <v>0</v>
      </c>
      <c r="CS315" s="366">
        <v>0</v>
      </c>
      <c r="CT315" s="366">
        <v>0</v>
      </c>
      <c r="CU315" s="367">
        <f>IFERROR(CH315/Instructions!$J$25,0)+CI315*Instructions!$J$27+CJ315*Instructions!$J$29+IFERROR(CK315/Instructions!$E$34,0)+CL315*Instructions!$E$36+Tier!CM315*Instructions!$E$25+IFERROR(CN315/Instructions!$E$27,0)+CO315*Instructions!$E$29+IFERROR((CP315+CR315)/Instructions!$J$32,0)+(CQ315+CS315)*Instructions!$J$34+Tier!CT315*-2</f>
        <v>253.6</v>
      </c>
      <c r="CV315" s="354"/>
      <c r="CW315"/>
      <c r="CX315"/>
      <c r="CY315"/>
      <c r="CZ315"/>
      <c r="DA315"/>
      <c r="DB315"/>
      <c r="DC315"/>
      <c r="DD315"/>
      <c r="DE315"/>
      <c r="DF315"/>
      <c r="DG315"/>
      <c r="DH315"/>
      <c r="DI315"/>
      <c r="DJ315"/>
      <c r="DK315"/>
      <c r="DL315"/>
      <c r="DM315"/>
      <c r="DN315"/>
    </row>
    <row r="316" spans="3:118" s="238" customFormat="1" ht="15.75" customHeight="1" x14ac:dyDescent="0.25">
      <c r="C316"/>
      <c r="D316"/>
      <c r="E316"/>
      <c r="F316"/>
      <c r="G316"/>
      <c r="H316"/>
      <c r="I316"/>
      <c r="J316"/>
      <c r="K316"/>
      <c r="L316"/>
      <c r="M316"/>
      <c r="N316"/>
      <c r="O316" s="371"/>
      <c r="P316" s="366">
        <v>2016</v>
      </c>
      <c r="Q316" s="367">
        <f>LARGE($CB$304:$CB$453,13)</f>
        <v>203.10000000000002</v>
      </c>
      <c r="R316" s="357">
        <f t="shared" si="112"/>
        <v>38.500000000000028</v>
      </c>
      <c r="S316" s="356">
        <f t="shared" si="113"/>
        <v>1482.2500000000023</v>
      </c>
      <c r="T316" s="356">
        <f>T315-T304</f>
        <v>132.6</v>
      </c>
      <c r="U316" s="356">
        <f t="shared" si="114"/>
        <v>2.4062500000000018</v>
      </c>
      <c r="V316" s="238">
        <f t="shared" si="105"/>
        <v>4</v>
      </c>
      <c r="W316" s="354"/>
      <c r="X316" s="371"/>
      <c r="Y316" s="371"/>
      <c r="Z316" s="238">
        <v>2016</v>
      </c>
      <c r="AA316" s="367">
        <f>LARGE($CU$304:$CU$453,13)</f>
        <v>231.3</v>
      </c>
      <c r="AB316" s="357">
        <f t="shared" si="115"/>
        <v>19.599999999999994</v>
      </c>
      <c r="AC316" s="356">
        <f t="shared" si="104"/>
        <v>384.1599999999998</v>
      </c>
      <c r="AD316" s="356">
        <f>AD315-AD304</f>
        <v>179.70000000000002</v>
      </c>
      <c r="AE316" s="356">
        <f t="shared" si="116"/>
        <v>1.2249999999999996</v>
      </c>
      <c r="AF316" s="238">
        <f t="shared" si="106"/>
        <v>5</v>
      </c>
      <c r="AG316" s="354"/>
      <c r="AK316"/>
      <c r="AL316"/>
      <c r="AM316"/>
      <c r="AN316"/>
      <c r="AO316"/>
      <c r="AP316"/>
      <c r="BI316" s="360"/>
      <c r="BJ316" s="354"/>
      <c r="BK316" s="366">
        <v>2016</v>
      </c>
      <c r="BL316" s="365" t="s">
        <v>129</v>
      </c>
      <c r="BM316" s="366" t="s">
        <v>167</v>
      </c>
      <c r="BN316" s="366" t="s">
        <v>3</v>
      </c>
      <c r="BO316" s="366">
        <v>0</v>
      </c>
      <c r="BP316" s="366">
        <v>0</v>
      </c>
      <c r="BQ316" s="366">
        <v>0</v>
      </c>
      <c r="BR316" s="366">
        <v>788</v>
      </c>
      <c r="BS316" s="366">
        <v>12</v>
      </c>
      <c r="BT316" s="366">
        <v>33</v>
      </c>
      <c r="BU316" s="366">
        <v>264</v>
      </c>
      <c r="BV316" s="366">
        <v>0</v>
      </c>
      <c r="BW316" s="366">
        <v>0</v>
      </c>
      <c r="BX316" s="366">
        <v>0</v>
      </c>
      <c r="BY316" s="366">
        <v>0</v>
      </c>
      <c r="BZ316" s="366">
        <v>0</v>
      </c>
      <c r="CA316" s="366">
        <v>1</v>
      </c>
      <c r="CB316" s="367">
        <f>IFERROR(BO316/Instructions!$J$25,0)+BP316*Instructions!$J$27+BQ316*Instructions!$J$29+IFERROR(BR316/Instructions!$E$34,0)+BS316*Instructions!$E$36+Tier!BT317*Instructions!$E$25+IFERROR(BU316/Instructions!$E$27,0)+BV316*Instructions!$E$29+IFERROR((BW316+BY316)/Instructions!$J$32,0)+(BX316+BZ316)*Instructions!$J$34+Tier!CA316*-2</f>
        <v>202.20000000000002</v>
      </c>
      <c r="CC316" s="354"/>
      <c r="CD316" s="238">
        <v>2016</v>
      </c>
      <c r="CE316" s="365" t="s">
        <v>1264</v>
      </c>
      <c r="CF316" s="366" t="s">
        <v>1626</v>
      </c>
      <c r="CG316" s="366" t="s">
        <v>6</v>
      </c>
      <c r="CH316" s="366">
        <v>0</v>
      </c>
      <c r="CI316" s="366">
        <v>0</v>
      </c>
      <c r="CJ316" s="366">
        <v>0</v>
      </c>
      <c r="CK316" s="366">
        <v>0</v>
      </c>
      <c r="CL316" s="366">
        <v>0</v>
      </c>
      <c r="CM316" s="366">
        <v>69</v>
      </c>
      <c r="CN316" s="366">
        <v>1059</v>
      </c>
      <c r="CO316" s="366">
        <v>7</v>
      </c>
      <c r="CP316" s="366">
        <v>0</v>
      </c>
      <c r="CQ316" s="366">
        <v>0</v>
      </c>
      <c r="CR316" s="366">
        <v>0</v>
      </c>
      <c r="CS316" s="366">
        <v>0</v>
      </c>
      <c r="CT316" s="366">
        <v>0</v>
      </c>
      <c r="CU316" s="367">
        <f>IFERROR(CH316/Instructions!$J$25,0)+CI316*Instructions!$J$27+CJ316*Instructions!$J$29+IFERROR(CK316/Instructions!$E$34,0)+CL316*Instructions!$E$36+Tier!CM316*Instructions!$E$25+IFERROR(CN316/Instructions!$E$27,0)+CO316*Instructions!$E$29+IFERROR((CP316+CR316)/Instructions!$J$32,0)+(CQ316+CS316)*Instructions!$J$34+Tier!CT316*-2</f>
        <v>216.9</v>
      </c>
      <c r="CV316" s="354"/>
      <c r="CW316"/>
      <c r="CX316"/>
      <c r="CY316"/>
      <c r="CZ316"/>
      <c r="DA316"/>
      <c r="DB316"/>
      <c r="DC316"/>
      <c r="DD316"/>
      <c r="DE316"/>
      <c r="DF316"/>
      <c r="DG316"/>
      <c r="DH316"/>
      <c r="DI316"/>
      <c r="DJ316"/>
      <c r="DK316"/>
      <c r="DL316"/>
      <c r="DM316"/>
      <c r="DN316"/>
    </row>
    <row r="317" spans="3:118" s="238" customFormat="1" ht="15.75" customHeight="1" x14ac:dyDescent="0.25">
      <c r="C317"/>
      <c r="D317"/>
      <c r="E317"/>
      <c r="F317"/>
      <c r="G317"/>
      <c r="H317"/>
      <c r="I317"/>
      <c r="J317"/>
      <c r="K317"/>
      <c r="L317"/>
      <c r="M317"/>
      <c r="N317"/>
      <c r="O317" s="371"/>
      <c r="P317" s="366">
        <v>2016</v>
      </c>
      <c r="Q317" s="367">
        <f>LARGE($CB$304:$CB$453,14)</f>
        <v>203.10000000000002</v>
      </c>
      <c r="R317" s="357">
        <f t="shared" si="112"/>
        <v>38.500000000000028</v>
      </c>
      <c r="S317" s="356">
        <f t="shared" si="113"/>
        <v>1482.2500000000023</v>
      </c>
      <c r="T317" s="356"/>
      <c r="U317" s="356">
        <f t="shared" si="114"/>
        <v>2.4062500000000018</v>
      </c>
      <c r="V317" s="238">
        <f t="shared" si="105"/>
        <v>4</v>
      </c>
      <c r="W317" s="354"/>
      <c r="X317" s="371"/>
      <c r="Y317" s="371"/>
      <c r="Z317" s="238">
        <v>2016</v>
      </c>
      <c r="AA317" s="367">
        <f>LARGE($CU$304:$CU$453,14)</f>
        <v>230.3</v>
      </c>
      <c r="AB317" s="357">
        <f t="shared" si="115"/>
        <v>18.599999999999994</v>
      </c>
      <c r="AC317" s="356">
        <f t="shared" si="104"/>
        <v>345.95999999999981</v>
      </c>
      <c r="AD317" s="356"/>
      <c r="AE317" s="356">
        <f t="shared" si="116"/>
        <v>1.1624999999999996</v>
      </c>
      <c r="AF317" s="238">
        <f t="shared" si="106"/>
        <v>5</v>
      </c>
      <c r="AG317" s="354"/>
      <c r="AK317"/>
      <c r="AL317"/>
      <c r="AM317"/>
      <c r="AN317"/>
      <c r="AO317"/>
      <c r="AP317"/>
      <c r="BI317" s="360"/>
      <c r="BJ317" s="354"/>
      <c r="BK317" s="366">
        <v>2016</v>
      </c>
      <c r="BL317" s="365" t="s">
        <v>113</v>
      </c>
      <c r="BM317" s="366" t="s">
        <v>1630</v>
      </c>
      <c r="BN317" s="366" t="s">
        <v>3</v>
      </c>
      <c r="BO317" s="366">
        <v>0</v>
      </c>
      <c r="BP317" s="366">
        <v>0</v>
      </c>
      <c r="BQ317" s="366">
        <v>0</v>
      </c>
      <c r="BR317" s="366">
        <v>988</v>
      </c>
      <c r="BS317" s="366">
        <v>6</v>
      </c>
      <c r="BT317" s="366">
        <v>27</v>
      </c>
      <c r="BU317" s="366">
        <v>163</v>
      </c>
      <c r="BV317" s="366">
        <v>3</v>
      </c>
      <c r="BW317" s="366">
        <v>0</v>
      </c>
      <c r="BX317" s="366">
        <v>0</v>
      </c>
      <c r="BY317" s="366">
        <v>0</v>
      </c>
      <c r="BZ317" s="366">
        <v>0</v>
      </c>
      <c r="CA317" s="366">
        <v>3</v>
      </c>
      <c r="CB317" s="367">
        <f>IFERROR(BO317/Instructions!$J$25,0)+BP317*Instructions!$J$27+BQ317*Instructions!$J$29+IFERROR(BR317/Instructions!$E$34,0)+BS317*Instructions!$E$36+Tier!BT318*Instructions!$E$25+IFERROR(BU317/Instructions!$E$27,0)+BV317*Instructions!$E$29+IFERROR((BW317+BY317)/Instructions!$J$32,0)+(BX317+BZ317)*Instructions!$J$34+Tier!CA317*-2</f>
        <v>203.10000000000002</v>
      </c>
      <c r="CC317" s="354"/>
      <c r="CD317" s="238">
        <v>2016</v>
      </c>
      <c r="CE317" s="365" t="s">
        <v>213</v>
      </c>
      <c r="CF317" s="366" t="s">
        <v>163</v>
      </c>
      <c r="CG317" s="366" t="s">
        <v>6</v>
      </c>
      <c r="CH317" s="366">
        <v>0</v>
      </c>
      <c r="CI317" s="366">
        <v>0</v>
      </c>
      <c r="CJ317" s="366">
        <v>0</v>
      </c>
      <c r="CK317" s="366">
        <v>0</v>
      </c>
      <c r="CL317" s="366">
        <v>0</v>
      </c>
      <c r="CM317" s="366">
        <v>65</v>
      </c>
      <c r="CN317" s="366">
        <v>945</v>
      </c>
      <c r="CO317" s="366">
        <v>9</v>
      </c>
      <c r="CP317" s="366">
        <v>0</v>
      </c>
      <c r="CQ317" s="366">
        <v>0</v>
      </c>
      <c r="CR317" s="366">
        <v>0</v>
      </c>
      <c r="CS317" s="366">
        <v>0</v>
      </c>
      <c r="CT317" s="366">
        <v>1</v>
      </c>
      <c r="CU317" s="367">
        <f>IFERROR(CH317/Instructions!$J$25,0)+CI317*Instructions!$J$27+CJ317*Instructions!$J$29+IFERROR(CK317/Instructions!$E$34,0)+CL317*Instructions!$E$36+Tier!CM317*Instructions!$E$25+IFERROR(CN317/Instructions!$E$27,0)+CO317*Instructions!$E$29+IFERROR((CP317+CR317)/Instructions!$J$32,0)+(CQ317+CS317)*Instructions!$J$34+Tier!CT317*-2</f>
        <v>211.5</v>
      </c>
      <c r="CV317" s="354"/>
      <c r="CW317"/>
      <c r="CX317"/>
      <c r="CY317"/>
      <c r="CZ317"/>
      <c r="DA317"/>
      <c r="DB317"/>
      <c r="DC317"/>
      <c r="DD317"/>
      <c r="DE317"/>
      <c r="DF317"/>
      <c r="DG317"/>
      <c r="DH317"/>
      <c r="DI317"/>
      <c r="DJ317"/>
      <c r="DK317"/>
      <c r="DL317"/>
      <c r="DM317"/>
      <c r="DN317"/>
    </row>
    <row r="318" spans="3:118" s="238" customFormat="1" ht="15.75" customHeight="1" x14ac:dyDescent="0.25">
      <c r="C318"/>
      <c r="D318"/>
      <c r="E318"/>
      <c r="F318"/>
      <c r="G318"/>
      <c r="H318"/>
      <c r="I318"/>
      <c r="J318"/>
      <c r="K318"/>
      <c r="L318"/>
      <c r="M318"/>
      <c r="N318"/>
      <c r="O318" s="371"/>
      <c r="P318" s="366">
        <v>2016</v>
      </c>
      <c r="Q318" s="367">
        <f>LARGE($CB$304:$CB$453,15)</f>
        <v>202.20000000000002</v>
      </c>
      <c r="R318" s="357">
        <f t="shared" si="112"/>
        <v>37.600000000000023</v>
      </c>
      <c r="S318" s="356">
        <f t="shared" si="113"/>
        <v>1413.7600000000018</v>
      </c>
      <c r="T318" s="356"/>
      <c r="U318" s="356">
        <f t="shared" si="114"/>
        <v>2.3500000000000014</v>
      </c>
      <c r="V318" s="238">
        <f t="shared" si="105"/>
        <v>4</v>
      </c>
      <c r="W318" s="354"/>
      <c r="X318" s="371"/>
      <c r="Y318" s="371"/>
      <c r="Z318" s="238">
        <v>2016</v>
      </c>
      <c r="AA318" s="367">
        <f>LARGE($CU$304:$CU$453,15)</f>
        <v>228.3</v>
      </c>
      <c r="AB318" s="357">
        <f t="shared" si="115"/>
        <v>16.599999999999994</v>
      </c>
      <c r="AC318" s="356">
        <f t="shared" si="104"/>
        <v>275.55999999999983</v>
      </c>
      <c r="AD318" s="356"/>
      <c r="AE318" s="356">
        <f t="shared" si="116"/>
        <v>1.0374999999999996</v>
      </c>
      <c r="AF318" s="238">
        <f t="shared" si="106"/>
        <v>5</v>
      </c>
      <c r="AG318" s="354"/>
      <c r="AK318"/>
      <c r="AL318"/>
      <c r="AM318"/>
      <c r="AN318"/>
      <c r="AO318"/>
      <c r="AP318"/>
      <c r="BI318" s="360"/>
      <c r="BJ318" s="354"/>
      <c r="BK318" s="366">
        <v>2016</v>
      </c>
      <c r="BL318" s="365" t="s">
        <v>983</v>
      </c>
      <c r="BM318" s="366" t="s">
        <v>161</v>
      </c>
      <c r="BN318" s="366" t="s">
        <v>3</v>
      </c>
      <c r="BO318" s="366">
        <v>0</v>
      </c>
      <c r="BP318" s="366">
        <v>0</v>
      </c>
      <c r="BQ318" s="366">
        <v>0</v>
      </c>
      <c r="BR318" s="366">
        <v>952</v>
      </c>
      <c r="BS318" s="366">
        <v>7</v>
      </c>
      <c r="BT318" s="366">
        <v>40</v>
      </c>
      <c r="BU318" s="366">
        <v>319</v>
      </c>
      <c r="BV318" s="366">
        <v>0</v>
      </c>
      <c r="BW318" s="366">
        <v>0</v>
      </c>
      <c r="BX318" s="366">
        <v>0</v>
      </c>
      <c r="BY318" s="366">
        <v>0</v>
      </c>
      <c r="BZ318" s="366">
        <v>0</v>
      </c>
      <c r="CA318" s="366">
        <v>2</v>
      </c>
      <c r="CB318" s="367">
        <f>IFERROR(BO318/Instructions!$J$25,0)+BP318*Instructions!$J$27+BQ318*Instructions!$J$29+IFERROR(BR318/Instructions!$E$34,0)+BS318*Instructions!$E$36+Tier!BT319*Instructions!$E$25+IFERROR(BU318/Instructions!$E$27,0)+BV318*Instructions!$E$29+IFERROR((BW318+BY318)/Instructions!$J$32,0)+(BX318+BZ318)*Instructions!$J$34+Tier!CA318*-2</f>
        <v>198.1</v>
      </c>
      <c r="CC318" s="354"/>
      <c r="CD318" s="238">
        <v>2016</v>
      </c>
      <c r="CE318" s="365" t="s">
        <v>66</v>
      </c>
      <c r="CF318" s="366" t="s">
        <v>167</v>
      </c>
      <c r="CG318" s="366" t="s">
        <v>6</v>
      </c>
      <c r="CH318" s="366">
        <v>0</v>
      </c>
      <c r="CI318" s="366">
        <v>0</v>
      </c>
      <c r="CJ318" s="366">
        <v>0</v>
      </c>
      <c r="CK318" s="366">
        <v>0</v>
      </c>
      <c r="CL318" s="366">
        <v>0</v>
      </c>
      <c r="CM318" s="366">
        <v>89</v>
      </c>
      <c r="CN318" s="366">
        <v>1003</v>
      </c>
      <c r="CO318" s="366">
        <v>8</v>
      </c>
      <c r="CP318" s="366">
        <v>0</v>
      </c>
      <c r="CQ318" s="366">
        <v>0</v>
      </c>
      <c r="CR318" s="366">
        <v>0</v>
      </c>
      <c r="CS318" s="366">
        <v>0</v>
      </c>
      <c r="CT318" s="366">
        <v>0</v>
      </c>
      <c r="CU318" s="367">
        <f>IFERROR(CH318/Instructions!$J$25,0)+CI318*Instructions!$J$27+CJ318*Instructions!$J$29+IFERROR(CK318/Instructions!$E$34,0)+CL318*Instructions!$E$36+Tier!CM318*Instructions!$E$25+IFERROR(CN318/Instructions!$E$27,0)+CO318*Instructions!$E$29+IFERROR((CP318+CR318)/Instructions!$J$32,0)+(CQ318+CS318)*Instructions!$J$34+Tier!CT318*-2</f>
        <v>237.3</v>
      </c>
      <c r="CV318" s="354"/>
      <c r="CW318"/>
      <c r="CX318"/>
      <c r="CY318"/>
      <c r="CZ318"/>
      <c r="DA318"/>
      <c r="DB318"/>
      <c r="DC318"/>
      <c r="DD318"/>
      <c r="DE318"/>
      <c r="DF318"/>
      <c r="DG318"/>
      <c r="DH318"/>
      <c r="DI318"/>
      <c r="DJ318"/>
      <c r="DK318"/>
      <c r="DL318"/>
      <c r="DM318"/>
      <c r="DN318"/>
    </row>
    <row r="319" spans="3:118" s="238" customFormat="1" ht="15.75" customHeight="1" x14ac:dyDescent="0.25">
      <c r="C319"/>
      <c r="D319"/>
      <c r="E319"/>
      <c r="F319"/>
      <c r="G319"/>
      <c r="H319"/>
      <c r="I319"/>
      <c r="J319"/>
      <c r="K319"/>
      <c r="L319"/>
      <c r="M319"/>
      <c r="N319"/>
      <c r="O319" s="371"/>
      <c r="P319" s="366">
        <v>2016</v>
      </c>
      <c r="Q319" s="367">
        <f>LARGE($CB$304:$CB$453,16)</f>
        <v>198.1</v>
      </c>
      <c r="R319" s="357">
        <f t="shared" si="112"/>
        <v>33.5</v>
      </c>
      <c r="S319" s="356">
        <f t="shared" si="113"/>
        <v>1122.25</v>
      </c>
      <c r="U319" s="356">
        <f t="shared" si="114"/>
        <v>2.09375</v>
      </c>
      <c r="V319" s="238">
        <f t="shared" si="105"/>
        <v>4</v>
      </c>
      <c r="W319" s="354"/>
      <c r="X319" s="371"/>
      <c r="Y319" s="371"/>
      <c r="Z319" s="238">
        <v>2016</v>
      </c>
      <c r="AA319" s="367">
        <f>LARGE($CU$304:$CU$453,16)</f>
        <v>224.3</v>
      </c>
      <c r="AB319" s="357">
        <f t="shared" si="115"/>
        <v>12.599999999999994</v>
      </c>
      <c r="AC319" s="356">
        <f t="shared" si="104"/>
        <v>158.75999999999985</v>
      </c>
      <c r="AD319" s="356"/>
      <c r="AE319" s="356">
        <f t="shared" si="116"/>
        <v>0.78749999999999964</v>
      </c>
      <c r="AF319" s="238">
        <f t="shared" si="106"/>
        <v>6</v>
      </c>
      <c r="AG319" s="354"/>
      <c r="AK319"/>
      <c r="AL319"/>
      <c r="AM319"/>
      <c r="AN319"/>
      <c r="AO319"/>
      <c r="AP319"/>
      <c r="BI319" s="360"/>
      <c r="BJ319" s="354"/>
      <c r="BK319" s="366">
        <v>2016</v>
      </c>
      <c r="BL319" s="365" t="s">
        <v>1199</v>
      </c>
      <c r="BM319" s="366" t="s">
        <v>1629</v>
      </c>
      <c r="BN319" s="366" t="s">
        <v>3</v>
      </c>
      <c r="BO319" s="366">
        <v>0</v>
      </c>
      <c r="BP319" s="366">
        <v>0</v>
      </c>
      <c r="BQ319" s="366">
        <v>0</v>
      </c>
      <c r="BR319" s="366">
        <v>921</v>
      </c>
      <c r="BS319" s="366">
        <v>3</v>
      </c>
      <c r="BT319" s="366">
        <v>33</v>
      </c>
      <c r="BU319" s="366">
        <v>447</v>
      </c>
      <c r="BV319" s="366">
        <v>2</v>
      </c>
      <c r="BW319" s="366">
        <v>0</v>
      </c>
      <c r="BX319" s="366">
        <v>0</v>
      </c>
      <c r="BY319" s="366">
        <v>0</v>
      </c>
      <c r="BZ319" s="366">
        <v>0</v>
      </c>
      <c r="CA319" s="366">
        <v>3</v>
      </c>
      <c r="CB319" s="367">
        <f>IFERROR(BO319/Instructions!$J$25,0)+BP319*Instructions!$J$27+BQ319*Instructions!$J$29+IFERROR(BR319/Instructions!$E$34,0)+BS319*Instructions!$E$36+Tier!BT320*Instructions!$E$25+IFERROR(BU319/Instructions!$E$27,0)+BV319*Instructions!$E$29+IFERROR((BW319+BY319)/Instructions!$J$32,0)+(BX319+BZ319)*Instructions!$J$34+Tier!CA319*-2</f>
        <v>191.8</v>
      </c>
      <c r="CC319" s="354"/>
      <c r="CD319" s="238">
        <v>2016</v>
      </c>
      <c r="CE319" s="365" t="s">
        <v>201</v>
      </c>
      <c r="CF319" s="366" t="s">
        <v>166</v>
      </c>
      <c r="CG319" s="366" t="s">
        <v>6</v>
      </c>
      <c r="CH319" s="366">
        <v>0</v>
      </c>
      <c r="CI319" s="366">
        <v>0</v>
      </c>
      <c r="CJ319" s="366">
        <v>0</v>
      </c>
      <c r="CK319" s="366">
        <v>17</v>
      </c>
      <c r="CL319" s="366">
        <v>0</v>
      </c>
      <c r="CM319" s="366">
        <v>94</v>
      </c>
      <c r="CN319" s="366">
        <v>1136</v>
      </c>
      <c r="CO319" s="366">
        <v>4</v>
      </c>
      <c r="CP319" s="366">
        <v>163</v>
      </c>
      <c r="CQ319" s="366">
        <v>0</v>
      </c>
      <c r="CR319" s="366">
        <v>0</v>
      </c>
      <c r="CS319" s="366">
        <v>0</v>
      </c>
      <c r="CT319" s="366">
        <v>1</v>
      </c>
      <c r="CU319" s="367">
        <f>IFERROR(CH319/Instructions!$J$25,0)+CI319*Instructions!$J$27+CJ319*Instructions!$J$29+IFERROR(CK319/Instructions!$E$34,0)+CL319*Instructions!$E$36+Tier!CM319*Instructions!$E$25+IFERROR(CN319/Instructions!$E$27,0)+CO319*Instructions!$E$29+IFERROR((CP319+CR319)/Instructions!$J$32,0)+(CQ319+CS319)*Instructions!$J$34+Tier!CT319*-2</f>
        <v>231.3</v>
      </c>
      <c r="CV319" s="354"/>
      <c r="CW319"/>
      <c r="CX319"/>
      <c r="CY319"/>
      <c r="CZ319"/>
      <c r="DA319"/>
      <c r="DB319"/>
      <c r="DC319"/>
      <c r="DD319"/>
      <c r="DE319"/>
      <c r="DF319"/>
      <c r="DG319"/>
      <c r="DH319"/>
      <c r="DI319"/>
      <c r="DJ319"/>
      <c r="DK319"/>
      <c r="DL319"/>
      <c r="DM319"/>
      <c r="DN319"/>
    </row>
    <row r="320" spans="3:118" s="238" customFormat="1" ht="15.75" customHeight="1" x14ac:dyDescent="0.25">
      <c r="C320"/>
      <c r="D320"/>
      <c r="E320"/>
      <c r="F320"/>
      <c r="G320"/>
      <c r="H320"/>
      <c r="I320"/>
      <c r="J320"/>
      <c r="K320"/>
      <c r="L320"/>
      <c r="M320"/>
      <c r="N320"/>
      <c r="O320" s="371"/>
      <c r="P320" s="366">
        <v>2016</v>
      </c>
      <c r="Q320" s="367">
        <f>LARGE($CB$304:$CB$453,17)</f>
        <v>191.8</v>
      </c>
      <c r="R320" s="357">
        <f t="shared" si="112"/>
        <v>27.200000000000017</v>
      </c>
      <c r="S320" s="356">
        <f t="shared" si="113"/>
        <v>739.84000000000094</v>
      </c>
      <c r="U320" s="356">
        <f t="shared" si="114"/>
        <v>1.7000000000000011</v>
      </c>
      <c r="V320" s="238">
        <f t="shared" si="105"/>
        <v>5</v>
      </c>
      <c r="W320" s="354"/>
      <c r="X320" s="371"/>
      <c r="Y320" s="371"/>
      <c r="Z320" s="238">
        <v>2016</v>
      </c>
      <c r="AA320" s="367">
        <f>LARGE($CU$304:$CU$453,17)</f>
        <v>221.10000000000002</v>
      </c>
      <c r="AB320" s="357">
        <f t="shared" si="115"/>
        <v>9.4000000000000057</v>
      </c>
      <c r="AC320" s="356">
        <f t="shared" si="104"/>
        <v>88.360000000000113</v>
      </c>
      <c r="AD320" s="356"/>
      <c r="AE320" s="356">
        <f t="shared" si="116"/>
        <v>0.58750000000000036</v>
      </c>
      <c r="AF320" s="238">
        <f t="shared" si="106"/>
        <v>6</v>
      </c>
      <c r="AG320" s="354"/>
      <c r="AK320"/>
      <c r="AL320"/>
      <c r="AM320"/>
      <c r="AN320"/>
      <c r="AO320"/>
      <c r="AP320"/>
      <c r="BI320" s="360"/>
      <c r="BJ320" s="354"/>
      <c r="BK320" s="366">
        <v>2016</v>
      </c>
      <c r="BL320" s="365" t="s">
        <v>97</v>
      </c>
      <c r="BM320" s="366" t="s">
        <v>151</v>
      </c>
      <c r="BN320" s="366" t="s">
        <v>3</v>
      </c>
      <c r="BO320" s="366">
        <v>0</v>
      </c>
      <c r="BP320" s="366">
        <v>0</v>
      </c>
      <c r="BQ320" s="366">
        <v>0</v>
      </c>
      <c r="BR320" s="366">
        <v>1073</v>
      </c>
      <c r="BS320" s="366">
        <v>5</v>
      </c>
      <c r="BT320" s="366">
        <v>31</v>
      </c>
      <c r="BU320" s="366">
        <v>188</v>
      </c>
      <c r="BV320" s="366">
        <v>1</v>
      </c>
      <c r="BW320" s="366">
        <v>0</v>
      </c>
      <c r="BX320" s="366">
        <v>0</v>
      </c>
      <c r="BY320" s="366">
        <v>0</v>
      </c>
      <c r="BZ320" s="366">
        <v>0</v>
      </c>
      <c r="CA320" s="366">
        <v>1</v>
      </c>
      <c r="CB320" s="367">
        <f>IFERROR(BO320/Instructions!$J$25,0)+BP320*Instructions!$J$27+BQ320*Instructions!$J$29+IFERROR(BR320/Instructions!$E$34,0)+BS320*Instructions!$E$36+Tier!BT321*Instructions!$E$25+IFERROR(BU320/Instructions!$E$27,0)+BV320*Instructions!$E$29+IFERROR((BW320+BY320)/Instructions!$J$32,0)+(BX320+BZ320)*Instructions!$J$34+Tier!CA320*-2</f>
        <v>203.10000000000002</v>
      </c>
      <c r="CC320" s="354"/>
      <c r="CD320" s="238">
        <v>2016</v>
      </c>
      <c r="CE320" s="365" t="s">
        <v>1122</v>
      </c>
      <c r="CF320" s="366" t="s">
        <v>152</v>
      </c>
      <c r="CG320" s="366" t="s">
        <v>6</v>
      </c>
      <c r="CH320" s="366">
        <v>0</v>
      </c>
      <c r="CI320" s="366">
        <v>0</v>
      </c>
      <c r="CJ320" s="366">
        <v>0</v>
      </c>
      <c r="CK320" s="366">
        <v>-2</v>
      </c>
      <c r="CL320" s="366">
        <v>0</v>
      </c>
      <c r="CM320" s="366">
        <v>67</v>
      </c>
      <c r="CN320" s="366">
        <v>847</v>
      </c>
      <c r="CO320" s="366">
        <v>7</v>
      </c>
      <c r="CP320" s="366">
        <v>328</v>
      </c>
      <c r="CQ320" s="366">
        <v>1</v>
      </c>
      <c r="CR320" s="366">
        <v>0</v>
      </c>
      <c r="CS320" s="366">
        <v>0</v>
      </c>
      <c r="CT320" s="366">
        <v>1</v>
      </c>
      <c r="CU320" s="367">
        <f>IFERROR(CH320/Instructions!$J$25,0)+CI320*Instructions!$J$27+CJ320*Instructions!$J$29+IFERROR(CK320/Instructions!$E$34,0)+CL320*Instructions!$E$36+Tier!CM320*Instructions!$E$25+IFERROR(CN320/Instructions!$E$27,0)+CO320*Instructions!$E$29+IFERROR((CP320+CR320)/Instructions!$J$32,0)+(CQ320+CS320)*Instructions!$J$34+Tier!CT320*-2</f>
        <v>197.5</v>
      </c>
      <c r="CV320" s="354"/>
      <c r="CW320"/>
      <c r="CX320"/>
      <c r="CY320"/>
      <c r="CZ320"/>
      <c r="DA320"/>
      <c r="DB320"/>
      <c r="DC320"/>
      <c r="DD320"/>
      <c r="DE320"/>
      <c r="DF320"/>
      <c r="DG320"/>
      <c r="DH320"/>
      <c r="DI320"/>
      <c r="DJ320"/>
      <c r="DK320"/>
      <c r="DL320"/>
      <c r="DM320"/>
      <c r="DN320"/>
    </row>
    <row r="321" spans="3:118" s="238" customFormat="1" ht="15.75" customHeight="1" x14ac:dyDescent="0.25">
      <c r="C321"/>
      <c r="D321"/>
      <c r="E321"/>
      <c r="F321"/>
      <c r="G321"/>
      <c r="H321"/>
      <c r="I321"/>
      <c r="J321"/>
      <c r="K321"/>
      <c r="L321"/>
      <c r="M321"/>
      <c r="N321"/>
      <c r="O321" s="371"/>
      <c r="P321" s="366">
        <v>2016</v>
      </c>
      <c r="Q321" s="367">
        <f>LARGE($CB$304:$CB$453,18)</f>
        <v>185.2</v>
      </c>
      <c r="R321" s="357">
        <f t="shared" si="112"/>
        <v>20.599999999999994</v>
      </c>
      <c r="S321" s="356">
        <f t="shared" si="113"/>
        <v>424.35999999999979</v>
      </c>
      <c r="U321" s="356">
        <f t="shared" si="114"/>
        <v>1.2874999999999996</v>
      </c>
      <c r="V321" s="238">
        <f t="shared" si="105"/>
        <v>5</v>
      </c>
      <c r="W321" s="354"/>
      <c r="X321" s="371"/>
      <c r="Y321" s="371"/>
      <c r="Z321" s="238">
        <v>2016</v>
      </c>
      <c r="AA321" s="367">
        <f>LARGE($CU$304:$CU$453,18)</f>
        <v>219</v>
      </c>
      <c r="AB321" s="357">
        <f t="shared" si="115"/>
        <v>7.2999999999999829</v>
      </c>
      <c r="AC321" s="356">
        <f t="shared" si="104"/>
        <v>53.28999999999975</v>
      </c>
      <c r="AD321" s="356"/>
      <c r="AE321" s="356">
        <f t="shared" si="116"/>
        <v>0.45624999999999893</v>
      </c>
      <c r="AF321" s="238">
        <f t="shared" si="106"/>
        <v>6</v>
      </c>
      <c r="AG321" s="354"/>
      <c r="AK321"/>
      <c r="AL321"/>
      <c r="AM321"/>
      <c r="AN321"/>
      <c r="AO321"/>
      <c r="AP321"/>
      <c r="BI321" s="360"/>
      <c r="BJ321" s="354"/>
      <c r="BK321" s="366">
        <v>2016</v>
      </c>
      <c r="BL321" s="365" t="s">
        <v>1127</v>
      </c>
      <c r="BM321" s="366" t="s">
        <v>1389</v>
      </c>
      <c r="BN321" s="366" t="s">
        <v>3</v>
      </c>
      <c r="BO321" s="366">
        <v>0</v>
      </c>
      <c r="BP321" s="366">
        <v>0</v>
      </c>
      <c r="BQ321" s="366">
        <v>0</v>
      </c>
      <c r="BR321" s="366">
        <v>885</v>
      </c>
      <c r="BS321" s="366">
        <v>6</v>
      </c>
      <c r="BT321" s="366">
        <v>43</v>
      </c>
      <c r="BU321" s="366">
        <v>327</v>
      </c>
      <c r="BV321" s="366">
        <v>0</v>
      </c>
      <c r="BW321" s="366">
        <v>0</v>
      </c>
      <c r="BX321" s="366">
        <v>0</v>
      </c>
      <c r="BY321" s="366">
        <v>0</v>
      </c>
      <c r="BZ321" s="366">
        <v>0</v>
      </c>
      <c r="CA321" s="366">
        <v>1</v>
      </c>
      <c r="CB321" s="367">
        <f>IFERROR(BO321/Instructions!$J$25,0)+BP321*Instructions!$J$27+BQ321*Instructions!$J$29+IFERROR(BR321/Instructions!$E$34,0)+BS321*Instructions!$E$36+Tier!BT322*Instructions!$E$25+IFERROR(BU321/Instructions!$E$27,0)+BV321*Instructions!$E$29+IFERROR((BW321+BY321)/Instructions!$J$32,0)+(BX321+BZ321)*Instructions!$J$34+Tier!CA321*-2</f>
        <v>185.2</v>
      </c>
      <c r="CC321" s="354"/>
      <c r="CD321" s="238">
        <v>2016</v>
      </c>
      <c r="CE321" s="365" t="s">
        <v>1101</v>
      </c>
      <c r="CF321" s="366" t="s">
        <v>167</v>
      </c>
      <c r="CG321" s="366" t="s">
        <v>6</v>
      </c>
      <c r="CH321" s="366">
        <v>0</v>
      </c>
      <c r="CI321" s="366">
        <v>0</v>
      </c>
      <c r="CJ321" s="366">
        <v>0</v>
      </c>
      <c r="CK321" s="366">
        <v>0</v>
      </c>
      <c r="CL321" s="366">
        <v>0</v>
      </c>
      <c r="CM321" s="366">
        <v>83</v>
      </c>
      <c r="CN321" s="366">
        <v>1153</v>
      </c>
      <c r="CO321" s="366">
        <v>5</v>
      </c>
      <c r="CP321" s="366">
        <v>0</v>
      </c>
      <c r="CQ321" s="366">
        <v>0</v>
      </c>
      <c r="CR321" s="366">
        <v>0</v>
      </c>
      <c r="CS321" s="366">
        <v>0</v>
      </c>
      <c r="CT321" s="366">
        <v>0</v>
      </c>
      <c r="CU321" s="367">
        <f>IFERROR(CH321/Instructions!$J$25,0)+CI321*Instructions!$J$27+CJ321*Instructions!$J$29+IFERROR(CK321/Instructions!$E$34,0)+CL321*Instructions!$E$36+Tier!CM321*Instructions!$E$25+IFERROR(CN321/Instructions!$E$27,0)+CO321*Instructions!$E$29+IFERROR((CP321+CR321)/Instructions!$J$32,0)+(CQ321+CS321)*Instructions!$J$34+Tier!CT321*-2</f>
        <v>228.3</v>
      </c>
      <c r="CV321" s="354"/>
      <c r="CW321"/>
      <c r="CX321"/>
      <c r="CY321"/>
      <c r="CZ321"/>
      <c r="DA321"/>
      <c r="DB321"/>
      <c r="DC321"/>
      <c r="DD321"/>
      <c r="DE321"/>
      <c r="DF321"/>
      <c r="DG321"/>
      <c r="DH321"/>
      <c r="DI321"/>
      <c r="DJ321"/>
      <c r="DK321"/>
      <c r="DL321"/>
      <c r="DM321"/>
      <c r="DN321"/>
    </row>
    <row r="322" spans="3:118" s="238" customFormat="1" ht="15.75" customHeight="1" x14ac:dyDescent="0.25">
      <c r="C322"/>
      <c r="D322"/>
      <c r="E322"/>
      <c r="F322"/>
      <c r="G322"/>
      <c r="H322"/>
      <c r="I322"/>
      <c r="J322"/>
      <c r="K322"/>
      <c r="L322"/>
      <c r="M322"/>
      <c r="N322"/>
      <c r="O322" s="371"/>
      <c r="P322" s="366">
        <v>2016</v>
      </c>
      <c r="Q322" s="367">
        <f>LARGE($CB$304:$CB$453,19)</f>
        <v>179.6</v>
      </c>
      <c r="R322" s="357">
        <f t="shared" si="112"/>
        <v>15</v>
      </c>
      <c r="S322" s="356">
        <f t="shared" si="113"/>
        <v>225</v>
      </c>
      <c r="T322" s="356"/>
      <c r="U322" s="356">
        <f t="shared" si="114"/>
        <v>0.9375</v>
      </c>
      <c r="V322" s="238">
        <f t="shared" si="105"/>
        <v>6</v>
      </c>
      <c r="W322" s="354"/>
      <c r="X322" s="371"/>
      <c r="Y322" s="371"/>
      <c r="Z322" s="238">
        <v>2016</v>
      </c>
      <c r="AA322" s="367">
        <f>LARGE($CU$304:$CU$453,19)</f>
        <v>216.9</v>
      </c>
      <c r="AB322" s="357">
        <f t="shared" si="115"/>
        <v>5.1999999999999886</v>
      </c>
      <c r="AC322" s="356">
        <f t="shared" ref="AC322:AC385" si="117">AB322^2</f>
        <v>27.039999999999882</v>
      </c>
      <c r="AD322" s="356"/>
      <c r="AE322" s="356">
        <f t="shared" si="116"/>
        <v>0.32499999999999929</v>
      </c>
      <c r="AF322" s="238">
        <f t="shared" si="106"/>
        <v>6</v>
      </c>
      <c r="AG322" s="354"/>
      <c r="AK322"/>
      <c r="AL322"/>
      <c r="AM322"/>
      <c r="AN322"/>
      <c r="AO322"/>
      <c r="AP322"/>
      <c r="BI322" s="360"/>
      <c r="BJ322" s="354"/>
      <c r="BK322" s="366">
        <v>2016</v>
      </c>
      <c r="BL322" s="365" t="s">
        <v>9</v>
      </c>
      <c r="BM322" s="366" t="s">
        <v>164</v>
      </c>
      <c r="BN322" s="366" t="s">
        <v>3</v>
      </c>
      <c r="BO322" s="366">
        <v>0</v>
      </c>
      <c r="BP322" s="366">
        <v>0</v>
      </c>
      <c r="BQ322" s="366">
        <v>0</v>
      </c>
      <c r="BR322" s="366">
        <v>813</v>
      </c>
      <c r="BS322" s="366">
        <v>7</v>
      </c>
      <c r="BT322" s="366">
        <v>30</v>
      </c>
      <c r="BU322" s="366">
        <v>263</v>
      </c>
      <c r="BV322" s="366">
        <v>1</v>
      </c>
      <c r="BW322" s="366">
        <v>0</v>
      </c>
      <c r="BX322" s="366">
        <v>0</v>
      </c>
      <c r="BY322" s="366">
        <v>0</v>
      </c>
      <c r="BZ322" s="366">
        <v>0</v>
      </c>
      <c r="CA322" s="366">
        <v>1</v>
      </c>
      <c r="CB322" s="367">
        <f>IFERROR(BO322/Instructions!$J$25,0)+BP322*Instructions!$J$27+BQ322*Instructions!$J$29+IFERROR(BR322/Instructions!$E$34,0)+BS322*Instructions!$E$36+Tier!BT323*Instructions!$E$25+IFERROR(BU322/Instructions!$E$27,0)+BV322*Instructions!$E$29+IFERROR((BW322+BY322)/Instructions!$J$32,0)+(BX322+BZ322)*Instructions!$J$34+Tier!CA322*-2</f>
        <v>174.60000000000002</v>
      </c>
      <c r="CC322" s="354"/>
      <c r="CD322" s="238">
        <v>2016</v>
      </c>
      <c r="CE322" s="365" t="s">
        <v>978</v>
      </c>
      <c r="CF322" s="366" t="s">
        <v>164</v>
      </c>
      <c r="CG322" s="366" t="s">
        <v>6</v>
      </c>
      <c r="CH322" s="366">
        <v>0</v>
      </c>
      <c r="CI322" s="366">
        <v>0</v>
      </c>
      <c r="CJ322" s="366">
        <v>0</v>
      </c>
      <c r="CK322" s="366">
        <v>722</v>
      </c>
      <c r="CL322" s="366">
        <v>3</v>
      </c>
      <c r="CM322" s="366">
        <v>58</v>
      </c>
      <c r="CN322" s="366">
        <v>388</v>
      </c>
      <c r="CO322" s="366">
        <v>2</v>
      </c>
      <c r="CP322" s="366">
        <v>0</v>
      </c>
      <c r="CQ322" s="366">
        <v>0</v>
      </c>
      <c r="CR322" s="366">
        <v>0</v>
      </c>
      <c r="CS322" s="366">
        <v>0</v>
      </c>
      <c r="CT322" s="366">
        <v>1</v>
      </c>
      <c r="CU322" s="367">
        <f>IFERROR(CH322/Instructions!$J$25,0)+CI322*Instructions!$J$27+CJ322*Instructions!$J$29+IFERROR(CK322/Instructions!$E$34,0)+CL322*Instructions!$E$36+Tier!CM322*Instructions!$E$25+IFERROR(CN322/Instructions!$E$27,0)+CO322*Instructions!$E$29+IFERROR((CP322+CR322)/Instructions!$J$32,0)+(CQ322+CS322)*Instructions!$J$34+Tier!CT322*-2</f>
        <v>197</v>
      </c>
      <c r="CV322" s="354"/>
      <c r="CW322"/>
      <c r="CX322"/>
      <c r="CY322"/>
      <c r="CZ322"/>
      <c r="DA322"/>
      <c r="DB322"/>
      <c r="DC322"/>
      <c r="DD322"/>
      <c r="DE322"/>
      <c r="DF322"/>
      <c r="DG322"/>
      <c r="DH322"/>
      <c r="DI322"/>
      <c r="DJ322"/>
      <c r="DK322"/>
      <c r="DL322"/>
      <c r="DM322"/>
      <c r="DN322"/>
    </row>
    <row r="323" spans="3:118" s="238" customFormat="1" ht="15.75" customHeight="1" x14ac:dyDescent="0.25">
      <c r="C323"/>
      <c r="D323"/>
      <c r="E323"/>
      <c r="F323"/>
      <c r="G323"/>
      <c r="H323"/>
      <c r="I323"/>
      <c r="J323"/>
      <c r="K323"/>
      <c r="L323"/>
      <c r="M323"/>
      <c r="N323"/>
      <c r="O323" s="371"/>
      <c r="P323" s="366">
        <v>2016</v>
      </c>
      <c r="Q323" s="367">
        <f>LARGE($CB$304:$CB$453,20)</f>
        <v>174.60000000000002</v>
      </c>
      <c r="R323" s="357">
        <f t="shared" si="112"/>
        <v>10.000000000000028</v>
      </c>
      <c r="S323" s="356">
        <f t="shared" si="113"/>
        <v>100.00000000000057</v>
      </c>
      <c r="U323" s="356">
        <f t="shared" si="114"/>
        <v>0.62500000000000178</v>
      </c>
      <c r="V323" s="238">
        <f t="shared" ref="V323:V386" si="118">IF(U323&gt;6,0,
IF(AND(U323&lt;=6,U323&gt;5),1,
IF(AND(U323&lt;=5,U323&gt;4),2,
IF(AND(U323&lt;=4,U323&gt;3),3,
IF(AND(U323&lt;=3,U323&gt;2),4,
IF(AND(U323&lt;=2,U323&gt;1),5,
IF(AND(U323&lt;=1,U323&gt;0),6,
IF(AND(U323&lt;=0,U323&gt;-1),7,
8))))))))</f>
        <v>6</v>
      </c>
      <c r="W323" s="354"/>
      <c r="X323" s="371"/>
      <c r="Y323" s="371"/>
      <c r="Z323" s="238">
        <v>2016</v>
      </c>
      <c r="AA323" s="367">
        <f>LARGE($CU$304:$CU$453,20)</f>
        <v>212.60000000000002</v>
      </c>
      <c r="AB323" s="357">
        <f t="shared" si="115"/>
        <v>0.90000000000000568</v>
      </c>
      <c r="AC323" s="356">
        <f t="shared" si="117"/>
        <v>0.81000000000001027</v>
      </c>
      <c r="AD323" s="356"/>
      <c r="AE323" s="356">
        <f t="shared" si="116"/>
        <v>5.6250000000000355E-2</v>
      </c>
      <c r="AF323" s="238">
        <f t="shared" ref="AF323:AF386" si="119">IF(AE323&gt;6,0,
IF(AND(AE323&lt;=6,AE323&gt;5),1,
IF(AND(AE323&lt;=5,AE323&gt;4),2,
IF(AND(AE323&lt;=4,AE323&gt;3),3,
IF(AND(AE323&lt;=3,AE323&gt;2),4,
IF(AND(AE323&lt;=2,AE323&gt;1),5,
IF(AND(AE323&lt;=1,AE323&gt;0),6,
IF(AND(AE323&lt;=0,AE323&gt;-1),7,
8))))))))</f>
        <v>6</v>
      </c>
      <c r="AG323" s="354"/>
      <c r="AK323"/>
      <c r="AL323"/>
      <c r="AM323"/>
      <c r="AN323"/>
      <c r="AO323"/>
      <c r="AP323"/>
      <c r="BI323" s="360"/>
      <c r="BJ323" s="354"/>
      <c r="BK323" s="366">
        <v>2016</v>
      </c>
      <c r="BL323" s="365" t="s">
        <v>106</v>
      </c>
      <c r="BM323" s="366" t="s">
        <v>145</v>
      </c>
      <c r="BN323" s="366" t="s">
        <v>3</v>
      </c>
      <c r="BO323" s="366">
        <v>0</v>
      </c>
      <c r="BP323" s="366">
        <v>0</v>
      </c>
      <c r="BQ323" s="366">
        <v>0</v>
      </c>
      <c r="BR323" s="366">
        <v>839</v>
      </c>
      <c r="BS323" s="366">
        <v>9</v>
      </c>
      <c r="BT323" s="366">
        <v>21</v>
      </c>
      <c r="BU323" s="366">
        <v>174</v>
      </c>
      <c r="BV323" s="366">
        <v>0</v>
      </c>
      <c r="BW323" s="366">
        <v>0</v>
      </c>
      <c r="BX323" s="366">
        <v>0</v>
      </c>
      <c r="BY323" s="366">
        <v>0</v>
      </c>
      <c r="BZ323" s="366">
        <v>0</v>
      </c>
      <c r="CA323" s="366">
        <v>0</v>
      </c>
      <c r="CB323" s="367">
        <f>IFERROR(BO323/Instructions!$J$25,0)+BP323*Instructions!$J$27+BQ323*Instructions!$J$29+IFERROR(BR323/Instructions!$E$34,0)+BS323*Instructions!$E$36+Tier!BT324*Instructions!$E$25+IFERROR(BU323/Instructions!$E$27,0)+BV323*Instructions!$E$29+IFERROR((BW323+BY323)/Instructions!$J$32,0)+(BX323+BZ323)*Instructions!$J$34+Tier!CA323*-2</f>
        <v>163.30000000000001</v>
      </c>
      <c r="CC323" s="354"/>
      <c r="CD323" s="238">
        <v>2016</v>
      </c>
      <c r="CE323" s="365" t="s">
        <v>84</v>
      </c>
      <c r="CF323" s="366" t="s">
        <v>1628</v>
      </c>
      <c r="CG323" s="366" t="s">
        <v>6</v>
      </c>
      <c r="CH323" s="366">
        <v>0</v>
      </c>
      <c r="CI323" s="366">
        <v>0</v>
      </c>
      <c r="CJ323" s="366">
        <v>0</v>
      </c>
      <c r="CK323" s="366">
        <v>57</v>
      </c>
      <c r="CL323" s="366">
        <v>0</v>
      </c>
      <c r="CM323" s="366">
        <v>98</v>
      </c>
      <c r="CN323" s="366">
        <v>1106</v>
      </c>
      <c r="CO323" s="366">
        <v>3</v>
      </c>
      <c r="CP323" s="366">
        <v>135</v>
      </c>
      <c r="CQ323" s="366">
        <v>0</v>
      </c>
      <c r="CR323" s="366">
        <v>44</v>
      </c>
      <c r="CS323" s="366">
        <v>0</v>
      </c>
      <c r="CT323" s="366">
        <v>1</v>
      </c>
      <c r="CU323" s="367">
        <f>IFERROR(CH323/Instructions!$J$25,0)+CI323*Instructions!$J$27+CJ323*Instructions!$J$29+IFERROR(CK323/Instructions!$E$34,0)+CL323*Instructions!$E$36+Tier!CM323*Instructions!$E$25+IFERROR(CN323/Instructions!$E$27,0)+CO323*Instructions!$E$29+IFERROR((CP323+CR323)/Instructions!$J$32,0)+(CQ323+CS323)*Instructions!$J$34+Tier!CT323*-2</f>
        <v>230.3</v>
      </c>
      <c r="CV323" s="354"/>
      <c r="CW323"/>
      <c r="CX323"/>
      <c r="CY323"/>
      <c r="CZ323"/>
      <c r="DA323"/>
      <c r="DB323"/>
      <c r="DC323"/>
      <c r="DD323"/>
      <c r="DE323"/>
      <c r="DF323"/>
      <c r="DG323"/>
      <c r="DH323"/>
      <c r="DI323"/>
      <c r="DJ323"/>
      <c r="DK323"/>
      <c r="DL323"/>
      <c r="DM323"/>
      <c r="DN323"/>
    </row>
    <row r="324" spans="3:118" s="238" customFormat="1" ht="15.75" customHeight="1" x14ac:dyDescent="0.25">
      <c r="C324"/>
      <c r="D324"/>
      <c r="E324"/>
      <c r="F324"/>
      <c r="G324"/>
      <c r="H324"/>
      <c r="I324"/>
      <c r="J324"/>
      <c r="K324"/>
      <c r="L324"/>
      <c r="M324"/>
      <c r="N324"/>
      <c r="O324" s="371"/>
      <c r="P324" s="366">
        <v>2016</v>
      </c>
      <c r="Q324" s="367">
        <f>LARGE($CB$304:$CB$453,21)</f>
        <v>172.4</v>
      </c>
      <c r="R324" s="357">
        <f t="shared" si="112"/>
        <v>7.8000000000000114</v>
      </c>
      <c r="S324" s="356">
        <f t="shared" si="113"/>
        <v>60.840000000000174</v>
      </c>
      <c r="U324" s="356">
        <f t="shared" si="114"/>
        <v>0.48750000000000071</v>
      </c>
      <c r="V324" s="238">
        <f t="shared" si="118"/>
        <v>6</v>
      </c>
      <c r="W324" s="354"/>
      <c r="X324" s="371"/>
      <c r="Y324" s="371"/>
      <c r="Z324" s="238">
        <v>2016</v>
      </c>
      <c r="AA324" s="367">
        <f>LARGE($CU$304:$CU$453,21)</f>
        <v>211.5</v>
      </c>
      <c r="AB324" s="357">
        <f t="shared" si="115"/>
        <v>-0.20000000000001705</v>
      </c>
      <c r="AC324" s="356">
        <f t="shared" si="117"/>
        <v>4.0000000000006822E-2</v>
      </c>
      <c r="AD324" s="356"/>
      <c r="AE324" s="356">
        <f t="shared" si="116"/>
        <v>-1.2500000000001066E-2</v>
      </c>
      <c r="AF324" s="238">
        <f t="shared" si="119"/>
        <v>7</v>
      </c>
      <c r="AG324" s="354"/>
      <c r="AK324"/>
      <c r="AL324"/>
      <c r="AM324"/>
      <c r="AN324"/>
      <c r="AO324"/>
      <c r="AP324"/>
      <c r="BI324" s="360"/>
      <c r="BJ324" s="354"/>
      <c r="BK324" s="366">
        <v>2016</v>
      </c>
      <c r="BL324" s="365" t="s">
        <v>120</v>
      </c>
      <c r="BM324" s="366" t="s">
        <v>159</v>
      </c>
      <c r="BN324" s="366" t="s">
        <v>3</v>
      </c>
      <c r="BO324" s="366">
        <v>0</v>
      </c>
      <c r="BP324" s="366">
        <v>0</v>
      </c>
      <c r="BQ324" s="366">
        <v>0</v>
      </c>
      <c r="BR324" s="366">
        <v>824</v>
      </c>
      <c r="BS324" s="366">
        <v>9</v>
      </c>
      <c r="BT324" s="366">
        <v>8</v>
      </c>
      <c r="BU324" s="366">
        <v>60</v>
      </c>
      <c r="BV324" s="366">
        <v>0</v>
      </c>
      <c r="BW324" s="366">
        <v>0</v>
      </c>
      <c r="BX324" s="366">
        <v>0</v>
      </c>
      <c r="BY324" s="366">
        <v>0</v>
      </c>
      <c r="BZ324" s="366">
        <v>0</v>
      </c>
      <c r="CA324" s="366">
        <v>2</v>
      </c>
      <c r="CB324" s="367">
        <f>IFERROR(BO324/Instructions!$J$25,0)+BP324*Instructions!$J$27+BQ324*Instructions!$J$29+IFERROR(BR324/Instructions!$E$34,0)+BS324*Instructions!$E$36+Tier!BT325*Instructions!$E$25+IFERROR(BU324/Instructions!$E$27,0)+BV324*Instructions!$E$29+IFERROR((BW324+BY324)/Instructions!$J$32,0)+(BX324+BZ324)*Instructions!$J$34+Tier!CA324*-2</f>
        <v>172.4</v>
      </c>
      <c r="CC324" s="354"/>
      <c r="CD324" s="238">
        <v>2016</v>
      </c>
      <c r="CE324" s="365" t="s">
        <v>135</v>
      </c>
      <c r="CF324" s="366" t="s">
        <v>1613</v>
      </c>
      <c r="CG324" s="366" t="s">
        <v>6</v>
      </c>
      <c r="CH324" s="366">
        <v>20</v>
      </c>
      <c r="CI324" s="366">
        <v>1</v>
      </c>
      <c r="CJ324" s="366">
        <v>0</v>
      </c>
      <c r="CK324" s="366">
        <v>35</v>
      </c>
      <c r="CL324" s="366">
        <v>0</v>
      </c>
      <c r="CM324" s="366">
        <v>63</v>
      </c>
      <c r="CN324" s="366">
        <v>851</v>
      </c>
      <c r="CO324" s="366">
        <v>3</v>
      </c>
      <c r="CP324" s="366">
        <v>3</v>
      </c>
      <c r="CQ324" s="366">
        <v>0</v>
      </c>
      <c r="CR324" s="366">
        <v>545</v>
      </c>
      <c r="CS324" s="366">
        <v>1</v>
      </c>
      <c r="CT324" s="366">
        <v>0</v>
      </c>
      <c r="CU324" s="367">
        <f>IFERROR(CH324/Instructions!$J$25,0)+CI324*Instructions!$J$27+CJ324*Instructions!$J$29+IFERROR(CK324/Instructions!$E$34,0)+CL324*Instructions!$E$36+Tier!CM324*Instructions!$E$25+IFERROR(CN324/Instructions!$E$27,0)+CO324*Instructions!$E$29+IFERROR((CP324+CR324)/Instructions!$J$32,0)+(CQ324+CS324)*Instructions!$J$34+Tier!CT324*-2</f>
        <v>180.39999999999998</v>
      </c>
      <c r="CV324" s="354"/>
      <c r="CW324"/>
      <c r="CX324"/>
      <c r="CY324"/>
      <c r="CZ324"/>
      <c r="DA324"/>
      <c r="DB324"/>
      <c r="DC324"/>
      <c r="DD324"/>
      <c r="DE324"/>
      <c r="DF324"/>
      <c r="DG324"/>
      <c r="DH324"/>
      <c r="DI324"/>
      <c r="DJ324"/>
      <c r="DK324"/>
      <c r="DL324"/>
      <c r="DM324"/>
      <c r="DN324"/>
    </row>
    <row r="325" spans="3:118" s="238" customFormat="1" ht="15.75" customHeight="1" x14ac:dyDescent="0.25">
      <c r="C325"/>
      <c r="D325"/>
      <c r="E325"/>
      <c r="F325"/>
      <c r="G325"/>
      <c r="H325"/>
      <c r="I325"/>
      <c r="J325"/>
      <c r="K325"/>
      <c r="L325"/>
      <c r="M325"/>
      <c r="N325"/>
      <c r="O325" s="371"/>
      <c r="P325" s="366">
        <v>2016</v>
      </c>
      <c r="Q325" s="367">
        <f>LARGE($CB$304:$CB$453,22)</f>
        <v>163.30000000000001</v>
      </c>
      <c r="R325" s="357">
        <f t="shared" si="112"/>
        <v>-1.2999999999999829</v>
      </c>
      <c r="S325" s="356">
        <f t="shared" si="113"/>
        <v>1.6899999999999558</v>
      </c>
      <c r="U325" s="356">
        <f t="shared" si="114"/>
        <v>-8.1249999999998934E-2</v>
      </c>
      <c r="V325" s="238">
        <f t="shared" si="118"/>
        <v>7</v>
      </c>
      <c r="W325" s="354"/>
      <c r="X325" s="371"/>
      <c r="Y325" s="371"/>
      <c r="Z325" s="238">
        <v>2016</v>
      </c>
      <c r="AA325" s="367">
        <f>LARGE($CU$304:$CU$453,22)</f>
        <v>211.44</v>
      </c>
      <c r="AB325" s="357">
        <f t="shared" si="115"/>
        <v>-0.26000000000001933</v>
      </c>
      <c r="AC325" s="356">
        <f t="shared" si="117"/>
        <v>6.7600000000010055E-2</v>
      </c>
      <c r="AD325" s="356"/>
      <c r="AE325" s="356">
        <f t="shared" si="116"/>
        <v>-1.6250000000001208E-2</v>
      </c>
      <c r="AF325" s="238">
        <f t="shared" si="119"/>
        <v>7</v>
      </c>
      <c r="AG325" s="354"/>
      <c r="AK325"/>
      <c r="AL325"/>
      <c r="AM325"/>
      <c r="AN325"/>
      <c r="AO325"/>
      <c r="AP325"/>
      <c r="BI325" s="360"/>
      <c r="BJ325" s="354"/>
      <c r="BK325" s="366">
        <v>2016</v>
      </c>
      <c r="BL325" s="365" t="s">
        <v>100</v>
      </c>
      <c r="BM325" s="366" t="s">
        <v>162</v>
      </c>
      <c r="BN325" s="366" t="s">
        <v>3</v>
      </c>
      <c r="BO325" s="366">
        <v>0</v>
      </c>
      <c r="BP325" s="366">
        <v>0</v>
      </c>
      <c r="BQ325" s="366">
        <v>0</v>
      </c>
      <c r="BR325" s="366">
        <v>774</v>
      </c>
      <c r="BS325" s="366">
        <v>5</v>
      </c>
      <c r="BT325" s="366">
        <v>34</v>
      </c>
      <c r="BU325" s="366">
        <v>236</v>
      </c>
      <c r="BV325" s="366">
        <v>1</v>
      </c>
      <c r="BW325" s="366">
        <v>0</v>
      </c>
      <c r="BX325" s="366">
        <v>0</v>
      </c>
      <c r="BY325" s="366">
        <v>0</v>
      </c>
      <c r="BZ325" s="366">
        <v>0</v>
      </c>
      <c r="CA325" s="366">
        <v>0</v>
      </c>
      <c r="CB325" s="367">
        <f>IFERROR(BO325/Instructions!$J$25,0)+BP325*Instructions!$J$27+BQ325*Instructions!$J$29+IFERROR(BR325/Instructions!$E$34,0)+BS325*Instructions!$E$36+Tier!BT326*Instructions!$E$25+IFERROR(BU325/Instructions!$E$27,0)+BV325*Instructions!$E$29+IFERROR((BW325+BY325)/Instructions!$J$32,0)+(BX325+BZ325)*Instructions!$J$34+Tier!CA325*-2</f>
        <v>150</v>
      </c>
      <c r="CC325" s="354"/>
      <c r="CD325" s="238">
        <v>2016</v>
      </c>
      <c r="CE325" s="365" t="s">
        <v>14</v>
      </c>
      <c r="CF325" s="366" t="s">
        <v>144</v>
      </c>
      <c r="CG325" s="366" t="s">
        <v>6</v>
      </c>
      <c r="CH325" s="366">
        <v>0</v>
      </c>
      <c r="CI325" s="366">
        <v>0</v>
      </c>
      <c r="CJ325" s="366">
        <v>0</v>
      </c>
      <c r="CK325" s="366">
        <v>0</v>
      </c>
      <c r="CL325" s="366">
        <v>0</v>
      </c>
      <c r="CM325" s="366">
        <v>90</v>
      </c>
      <c r="CN325" s="366">
        <v>1083</v>
      </c>
      <c r="CO325" s="366">
        <v>5</v>
      </c>
      <c r="CP325" s="366">
        <v>0</v>
      </c>
      <c r="CQ325" s="366">
        <v>0</v>
      </c>
      <c r="CR325" s="366">
        <v>0</v>
      </c>
      <c r="CS325" s="366">
        <v>0</v>
      </c>
      <c r="CT325" s="366">
        <v>2</v>
      </c>
      <c r="CU325" s="367">
        <f>IFERROR(CH325/Instructions!$J$25,0)+CI325*Instructions!$J$27+CJ325*Instructions!$J$29+IFERROR(CK325/Instructions!$E$34,0)+CL325*Instructions!$E$36+Tier!CM325*Instructions!$E$25+IFERROR(CN325/Instructions!$E$27,0)+CO325*Instructions!$E$29+IFERROR((CP325+CR325)/Instructions!$J$32,0)+(CQ325+CS325)*Instructions!$J$34+Tier!CT325*-2</f>
        <v>224.3</v>
      </c>
      <c r="CV325" s="354"/>
      <c r="CW325"/>
      <c r="CX325"/>
      <c r="CY325"/>
      <c r="CZ325"/>
      <c r="DA325"/>
      <c r="DB325"/>
      <c r="DC325"/>
      <c r="DD325"/>
      <c r="DE325"/>
      <c r="DF325"/>
      <c r="DG325"/>
      <c r="DH325"/>
      <c r="DI325"/>
      <c r="DJ325"/>
      <c r="DK325"/>
      <c r="DL325"/>
      <c r="DM325"/>
      <c r="DN325"/>
    </row>
    <row r="326" spans="3:118" s="238" customFormat="1" ht="15.75" customHeight="1" x14ac:dyDescent="0.25">
      <c r="C326"/>
      <c r="D326"/>
      <c r="E326"/>
      <c r="F326"/>
      <c r="G326"/>
      <c r="H326"/>
      <c r="I326"/>
      <c r="J326"/>
      <c r="K326"/>
      <c r="L326"/>
      <c r="M326"/>
      <c r="N326"/>
      <c r="O326" s="371"/>
      <c r="P326" s="366">
        <v>2016</v>
      </c>
      <c r="Q326" s="367">
        <f>LARGE($CB$304:$CB$453,23)</f>
        <v>160.69999999999999</v>
      </c>
      <c r="R326" s="357">
        <f t="shared" si="112"/>
        <v>-3.9000000000000057</v>
      </c>
      <c r="S326" s="356">
        <f t="shared" si="113"/>
        <v>15.210000000000043</v>
      </c>
      <c r="U326" s="356">
        <f t="shared" si="114"/>
        <v>-0.24375000000000036</v>
      </c>
      <c r="V326" s="238">
        <f t="shared" si="118"/>
        <v>7</v>
      </c>
      <c r="W326" s="354"/>
      <c r="X326" s="371"/>
      <c r="Y326" s="371"/>
      <c r="Z326" s="238">
        <v>2016</v>
      </c>
      <c r="AA326" s="367">
        <f>LARGE($CU$304:$CU$453,23)</f>
        <v>201.1</v>
      </c>
      <c r="AB326" s="357">
        <f t="shared" si="115"/>
        <v>-10.600000000000023</v>
      </c>
      <c r="AC326" s="356">
        <f t="shared" si="117"/>
        <v>112.36000000000048</v>
      </c>
      <c r="AD326" s="356"/>
      <c r="AE326" s="356">
        <f t="shared" si="116"/>
        <v>-0.66250000000000142</v>
      </c>
      <c r="AF326" s="238">
        <f t="shared" si="119"/>
        <v>7</v>
      </c>
      <c r="AG326" s="354"/>
      <c r="AK326"/>
      <c r="AL326"/>
      <c r="AM326"/>
      <c r="AN326"/>
      <c r="AO326"/>
      <c r="AP326"/>
      <c r="BI326" s="360"/>
      <c r="BJ326" s="354"/>
      <c r="BK326" s="366">
        <v>2016</v>
      </c>
      <c r="BL326" s="365" t="s">
        <v>60</v>
      </c>
      <c r="BM326" s="366" t="s">
        <v>137</v>
      </c>
      <c r="BN326" s="366" t="s">
        <v>3</v>
      </c>
      <c r="BO326" s="366">
        <v>0</v>
      </c>
      <c r="BP326" s="366">
        <v>0</v>
      </c>
      <c r="BQ326" s="366">
        <v>0</v>
      </c>
      <c r="BR326" s="366">
        <v>661</v>
      </c>
      <c r="BS326" s="366">
        <v>8</v>
      </c>
      <c r="BT326" s="366">
        <v>13</v>
      </c>
      <c r="BU326" s="366">
        <v>115</v>
      </c>
      <c r="BV326" s="366">
        <v>1</v>
      </c>
      <c r="BW326" s="366">
        <v>0</v>
      </c>
      <c r="BX326" s="366">
        <v>0</v>
      </c>
      <c r="BY326" s="366">
        <v>0</v>
      </c>
      <c r="BZ326" s="366">
        <v>0</v>
      </c>
      <c r="CA326" s="366">
        <v>2</v>
      </c>
      <c r="CB326" s="367">
        <f>IFERROR(BO326/Instructions!$J$25,0)+BP326*Instructions!$J$27+BQ326*Instructions!$J$29+IFERROR(BR326/Instructions!$E$34,0)+BS326*Instructions!$E$36+Tier!BT327*Instructions!$E$25+IFERROR(BU326/Instructions!$E$27,0)+BV326*Instructions!$E$29+IFERROR((BW326+BY326)/Instructions!$J$32,0)+(BX326+BZ326)*Instructions!$J$34+Tier!CA326*-2</f>
        <v>179.6</v>
      </c>
      <c r="CC326" s="354"/>
      <c r="CD326" s="238">
        <v>2016</v>
      </c>
      <c r="CE326" s="365" t="s">
        <v>47</v>
      </c>
      <c r="CF326" s="366" t="s">
        <v>153</v>
      </c>
      <c r="CG326" s="366" t="s">
        <v>6</v>
      </c>
      <c r="CH326" s="366">
        <v>0</v>
      </c>
      <c r="CI326" s="366">
        <v>0</v>
      </c>
      <c r="CJ326" s="366">
        <v>0</v>
      </c>
      <c r="CK326" s="366">
        <v>5</v>
      </c>
      <c r="CL326" s="366">
        <v>0</v>
      </c>
      <c r="CM326" s="366">
        <v>107</v>
      </c>
      <c r="CN326" s="366">
        <v>1023</v>
      </c>
      <c r="CO326" s="366">
        <v>6</v>
      </c>
      <c r="CP326" s="366">
        <v>0</v>
      </c>
      <c r="CQ326" s="366">
        <v>0</v>
      </c>
      <c r="CR326" s="366">
        <v>0</v>
      </c>
      <c r="CS326" s="366">
        <v>0</v>
      </c>
      <c r="CT326" s="366">
        <v>1</v>
      </c>
      <c r="CU326" s="367">
        <f>IFERROR(CH326/Instructions!$J$25,0)+CI326*Instructions!$J$27+CJ326*Instructions!$J$29+IFERROR(CK326/Instructions!$E$34,0)+CL326*Instructions!$E$36+Tier!CM326*Instructions!$E$25+IFERROR(CN326/Instructions!$E$27,0)+CO326*Instructions!$E$29+IFERROR((CP326+CR326)/Instructions!$J$32,0)+(CQ326+CS326)*Instructions!$J$34+Tier!CT326*-2</f>
        <v>243.8</v>
      </c>
      <c r="CV326" s="354"/>
      <c r="CW326"/>
      <c r="CX326"/>
      <c r="CY326"/>
      <c r="CZ326"/>
      <c r="DA326"/>
      <c r="DB326"/>
      <c r="DC326"/>
      <c r="DD326"/>
      <c r="DE326"/>
      <c r="DF326"/>
      <c r="DG326"/>
      <c r="DH326"/>
      <c r="DI326"/>
      <c r="DJ326"/>
      <c r="DK326"/>
      <c r="DL326"/>
      <c r="DM326"/>
      <c r="DN326"/>
    </row>
    <row r="327" spans="3:118" s="238" customFormat="1" ht="15.75" customHeight="1" x14ac:dyDescent="0.25">
      <c r="C327"/>
      <c r="D327"/>
      <c r="E327"/>
      <c r="F327"/>
      <c r="G327"/>
      <c r="H327"/>
      <c r="I327"/>
      <c r="J327"/>
      <c r="K327"/>
      <c r="L327"/>
      <c r="M327"/>
      <c r="N327"/>
      <c r="O327" s="371"/>
      <c r="P327" s="366">
        <v>2016</v>
      </c>
      <c r="Q327" s="367">
        <f>LARGE($CB$304:$CB$453,24)</f>
        <v>160.5</v>
      </c>
      <c r="R327" s="357">
        <f t="shared" si="112"/>
        <v>-4.0999999999999943</v>
      </c>
      <c r="S327" s="356">
        <f t="shared" si="113"/>
        <v>16.809999999999953</v>
      </c>
      <c r="U327" s="356">
        <f t="shared" si="114"/>
        <v>-0.25624999999999964</v>
      </c>
      <c r="V327" s="238">
        <f t="shared" si="118"/>
        <v>7</v>
      </c>
      <c r="W327" s="354"/>
      <c r="X327" s="371"/>
      <c r="Y327" s="371"/>
      <c r="Z327" s="238">
        <v>2016</v>
      </c>
      <c r="AA327" s="367">
        <f>LARGE($CU$304:$CU$453,24)</f>
        <v>200.8</v>
      </c>
      <c r="AB327" s="357">
        <f t="shared" si="115"/>
        <v>-10.900000000000006</v>
      </c>
      <c r="AC327" s="356">
        <f t="shared" si="117"/>
        <v>118.81000000000013</v>
      </c>
      <c r="AD327" s="356"/>
      <c r="AE327" s="356">
        <f t="shared" si="116"/>
        <v>-0.68125000000000036</v>
      </c>
      <c r="AF327" s="238">
        <f t="shared" si="119"/>
        <v>7</v>
      </c>
      <c r="AG327" s="354"/>
      <c r="AK327"/>
      <c r="AL327"/>
      <c r="AM327"/>
      <c r="AN327"/>
      <c r="AO327"/>
      <c r="AP327"/>
      <c r="BI327" s="360"/>
      <c r="BJ327" s="354"/>
      <c r="BK327" s="366">
        <v>2016</v>
      </c>
      <c r="BL327" s="365" t="s">
        <v>92</v>
      </c>
      <c r="BM327" s="366" t="s">
        <v>137</v>
      </c>
      <c r="BN327" s="366" t="s">
        <v>3</v>
      </c>
      <c r="BO327" s="366">
        <v>0</v>
      </c>
      <c r="BP327" s="366">
        <v>0</v>
      </c>
      <c r="BQ327" s="366">
        <v>0</v>
      </c>
      <c r="BR327" s="366">
        <v>438</v>
      </c>
      <c r="BS327" s="366">
        <v>2</v>
      </c>
      <c r="BT327" s="366">
        <v>52</v>
      </c>
      <c r="BU327" s="366">
        <v>427</v>
      </c>
      <c r="BV327" s="366">
        <v>2</v>
      </c>
      <c r="BW327" s="366">
        <v>224</v>
      </c>
      <c r="BX327" s="366">
        <v>0</v>
      </c>
      <c r="BY327" s="366">
        <v>19</v>
      </c>
      <c r="BZ327" s="366">
        <v>0</v>
      </c>
      <c r="CA327" s="366">
        <v>0</v>
      </c>
      <c r="CB327" s="367">
        <f>IFERROR(BO327/Instructions!$J$25,0)+BP327*Instructions!$J$27+BQ327*Instructions!$J$29+IFERROR(BR327/Instructions!$E$34,0)+BS327*Instructions!$E$36+Tier!BT328*Instructions!$E$25+IFERROR(BU327/Instructions!$E$27,0)+BV327*Instructions!$E$29+IFERROR((BW327+BY327)/Instructions!$J$32,0)+(BX327+BZ327)*Instructions!$J$34+Tier!CA327*-2</f>
        <v>122.5</v>
      </c>
      <c r="CC327" s="354"/>
      <c r="CD327" s="238">
        <v>2016</v>
      </c>
      <c r="CE327" s="365" t="s">
        <v>116</v>
      </c>
      <c r="CF327" s="366" t="s">
        <v>159</v>
      </c>
      <c r="CG327" s="366" t="s">
        <v>6</v>
      </c>
      <c r="CH327" s="366">
        <v>0</v>
      </c>
      <c r="CI327" s="366">
        <v>0</v>
      </c>
      <c r="CJ327" s="366">
        <v>0</v>
      </c>
      <c r="CK327" s="366">
        <v>0</v>
      </c>
      <c r="CL327" s="366">
        <v>0</v>
      </c>
      <c r="CM327" s="366">
        <v>63</v>
      </c>
      <c r="CN327" s="366">
        <v>941</v>
      </c>
      <c r="CO327" s="366">
        <v>7</v>
      </c>
      <c r="CP327" s="366">
        <v>0</v>
      </c>
      <c r="CQ327" s="366">
        <v>0</v>
      </c>
      <c r="CR327" s="366">
        <v>0</v>
      </c>
      <c r="CS327" s="366">
        <v>0</v>
      </c>
      <c r="CT327" s="366">
        <v>1</v>
      </c>
      <c r="CU327" s="367">
        <f>IFERROR(CH327/Instructions!$J$25,0)+CI327*Instructions!$J$27+CJ327*Instructions!$J$29+IFERROR(CK327/Instructions!$E$34,0)+CL327*Instructions!$E$36+Tier!CM327*Instructions!$E$25+IFERROR(CN327/Instructions!$E$27,0)+CO327*Instructions!$E$29+IFERROR((CP327+CR327)/Instructions!$J$32,0)+(CQ327+CS327)*Instructions!$J$34+Tier!CT327*-2</f>
        <v>197.1</v>
      </c>
      <c r="CV327" s="354"/>
      <c r="CW327"/>
      <c r="CX327"/>
      <c r="CY327"/>
      <c r="CZ327"/>
      <c r="DA327"/>
      <c r="DB327"/>
      <c r="DC327"/>
      <c r="DD327"/>
      <c r="DE327"/>
      <c r="DF327"/>
      <c r="DG327"/>
      <c r="DH327"/>
      <c r="DI327"/>
      <c r="DJ327"/>
      <c r="DK327"/>
      <c r="DL327"/>
      <c r="DM327"/>
      <c r="DN327"/>
    </row>
    <row r="328" spans="3:118" s="238" customFormat="1" ht="15.75" customHeight="1" x14ac:dyDescent="0.25">
      <c r="C328"/>
      <c r="D328"/>
      <c r="E328"/>
      <c r="F328"/>
      <c r="G328"/>
      <c r="H328"/>
      <c r="I328"/>
      <c r="J328"/>
      <c r="K328"/>
      <c r="L328"/>
      <c r="M328"/>
      <c r="N328"/>
      <c r="O328" s="371"/>
      <c r="P328" s="366">
        <v>2016</v>
      </c>
      <c r="Q328" s="367">
        <f>LARGE($CB$304:$CB$453,25)</f>
        <v>156.4</v>
      </c>
      <c r="R328" s="357">
        <f t="shared" si="112"/>
        <v>-8.1999999999999886</v>
      </c>
      <c r="S328" s="356">
        <f t="shared" si="113"/>
        <v>67.23999999999981</v>
      </c>
      <c r="U328" s="356">
        <f t="shared" si="114"/>
        <v>-0.51249999999999929</v>
      </c>
      <c r="V328" s="238">
        <f t="shared" si="118"/>
        <v>7</v>
      </c>
      <c r="W328" s="354"/>
      <c r="X328" s="371"/>
      <c r="Y328" s="371"/>
      <c r="Z328" s="238">
        <v>2016</v>
      </c>
      <c r="AA328" s="367">
        <f>LARGE($CU$304:$CU$453,25)</f>
        <v>197.5</v>
      </c>
      <c r="AB328" s="357">
        <f t="shared" si="115"/>
        <v>-14.200000000000017</v>
      </c>
      <c r="AC328" s="356">
        <f t="shared" si="117"/>
        <v>201.6400000000005</v>
      </c>
      <c r="AD328" s="356"/>
      <c r="AE328" s="356">
        <f t="shared" si="116"/>
        <v>-0.88750000000000107</v>
      </c>
      <c r="AF328" s="238">
        <f t="shared" si="119"/>
        <v>7</v>
      </c>
      <c r="AG328" s="354"/>
      <c r="AK328"/>
      <c r="AL328"/>
      <c r="AM328"/>
      <c r="AN328"/>
      <c r="AO328"/>
      <c r="AP328"/>
      <c r="BI328" s="360"/>
      <c r="BJ328" s="354"/>
      <c r="BK328" s="366">
        <v>2016</v>
      </c>
      <c r="BL328" s="365" t="s">
        <v>1632</v>
      </c>
      <c r="BM328" s="366" t="s">
        <v>152</v>
      </c>
      <c r="BN328" s="366" t="s">
        <v>3</v>
      </c>
      <c r="BO328" s="366">
        <v>0</v>
      </c>
      <c r="BP328" s="366">
        <v>0</v>
      </c>
      <c r="BQ328" s="366">
        <v>0</v>
      </c>
      <c r="BR328" s="366">
        <v>704</v>
      </c>
      <c r="BS328" s="366">
        <v>6</v>
      </c>
      <c r="BT328" s="366">
        <v>12</v>
      </c>
      <c r="BU328" s="366">
        <v>82</v>
      </c>
      <c r="BV328" s="366">
        <v>1</v>
      </c>
      <c r="BW328" s="366">
        <v>0</v>
      </c>
      <c r="BX328" s="366">
        <v>0</v>
      </c>
      <c r="BY328" s="366">
        <v>0</v>
      </c>
      <c r="BZ328" s="366">
        <v>0</v>
      </c>
      <c r="CA328" s="366">
        <v>0</v>
      </c>
      <c r="CB328" s="367">
        <f>IFERROR(BO328/Instructions!$J$25,0)+BP328*Instructions!$J$27+BQ328*Instructions!$J$29+IFERROR(BR328/Instructions!$E$34,0)+BS328*Instructions!$E$36+Tier!BT329*Instructions!$E$25+IFERROR(BU328/Instructions!$E$27,0)+BV328*Instructions!$E$29+IFERROR((BW328+BY328)/Instructions!$J$32,0)+(BX328+BZ328)*Instructions!$J$34+Tier!CA328*-2</f>
        <v>142.6</v>
      </c>
      <c r="CC328" s="354"/>
      <c r="CD328" s="238">
        <v>2016</v>
      </c>
      <c r="CE328" s="365" t="s">
        <v>1350</v>
      </c>
      <c r="CF328" s="366" t="s">
        <v>161</v>
      </c>
      <c r="CG328" s="366" t="s">
        <v>6</v>
      </c>
      <c r="CH328" s="366">
        <v>41</v>
      </c>
      <c r="CI328" s="366">
        <v>0</v>
      </c>
      <c r="CJ328" s="366">
        <v>0</v>
      </c>
      <c r="CK328" s="366">
        <v>21</v>
      </c>
      <c r="CL328" s="366">
        <v>1</v>
      </c>
      <c r="CM328" s="366">
        <v>77</v>
      </c>
      <c r="CN328" s="366">
        <v>1007</v>
      </c>
      <c r="CO328" s="366">
        <v>4</v>
      </c>
      <c r="CP328" s="366">
        <v>0</v>
      </c>
      <c r="CQ328" s="366">
        <v>0</v>
      </c>
      <c r="CR328" s="366">
        <v>0</v>
      </c>
      <c r="CS328" s="366">
        <v>0</v>
      </c>
      <c r="CT328" s="366">
        <v>0</v>
      </c>
      <c r="CU328" s="367">
        <f>IFERROR(CH328/Instructions!$J$25,0)+CI328*Instructions!$J$27+CJ328*Instructions!$J$29+IFERROR(CK328/Instructions!$E$34,0)+CL328*Instructions!$E$36+Tier!CM328*Instructions!$E$25+IFERROR(CN328/Instructions!$E$27,0)+CO328*Instructions!$E$29+IFERROR((CP328+CR328)/Instructions!$J$32,0)+(CQ328+CS328)*Instructions!$J$34+Tier!CT328*-2</f>
        <v>211.44</v>
      </c>
      <c r="CV328" s="354"/>
      <c r="CW328"/>
      <c r="CX328"/>
      <c r="CY328"/>
      <c r="CZ328"/>
      <c r="DA328"/>
      <c r="DB328"/>
      <c r="DC328"/>
      <c r="DD328"/>
      <c r="DE328"/>
      <c r="DF328"/>
      <c r="DG328"/>
      <c r="DH328"/>
      <c r="DI328"/>
      <c r="DJ328"/>
      <c r="DK328"/>
      <c r="DL328"/>
      <c r="DM328"/>
      <c r="DN328"/>
    </row>
    <row r="329" spans="3:118" s="238" customFormat="1" ht="15.75" customHeight="1" x14ac:dyDescent="0.25">
      <c r="C329"/>
      <c r="D329"/>
      <c r="E329"/>
      <c r="F329"/>
      <c r="G329"/>
      <c r="H329"/>
      <c r="I329"/>
      <c r="J329"/>
      <c r="K329"/>
      <c r="L329"/>
      <c r="M329"/>
      <c r="N329"/>
      <c r="O329" s="371"/>
      <c r="P329" s="366">
        <v>2016</v>
      </c>
      <c r="Q329" s="367">
        <f>LARGE($CB$304:$CB$453,26)</f>
        <v>150</v>
      </c>
      <c r="R329" s="357">
        <f t="shared" si="112"/>
        <v>-14.599999999999994</v>
      </c>
      <c r="S329" s="356">
        <f t="shared" si="113"/>
        <v>213.15999999999983</v>
      </c>
      <c r="U329" s="356">
        <f t="shared" si="114"/>
        <v>-0.91249999999999964</v>
      </c>
      <c r="V329" s="238">
        <f t="shared" si="118"/>
        <v>7</v>
      </c>
      <c r="W329" s="354"/>
      <c r="X329" s="371"/>
      <c r="Y329" s="371"/>
      <c r="Z329" s="238">
        <v>2016</v>
      </c>
      <c r="AA329" s="367">
        <f>LARGE($CU$304:$CU$453,26)</f>
        <v>197.4</v>
      </c>
      <c r="AB329" s="357">
        <f t="shared" si="115"/>
        <v>-14.300000000000011</v>
      </c>
      <c r="AC329" s="356">
        <f t="shared" si="117"/>
        <v>204.49000000000032</v>
      </c>
      <c r="AD329" s="356"/>
      <c r="AE329" s="356">
        <f t="shared" si="116"/>
        <v>-0.89375000000000071</v>
      </c>
      <c r="AF329" s="238">
        <f t="shared" si="119"/>
        <v>7</v>
      </c>
      <c r="AG329" s="354"/>
      <c r="AK329"/>
      <c r="AL329"/>
      <c r="AM329"/>
      <c r="AN329"/>
      <c r="AO329"/>
      <c r="AP329"/>
      <c r="BI329" s="360"/>
      <c r="BJ329" s="354"/>
      <c r="BK329" s="366">
        <v>2016</v>
      </c>
      <c r="BL329" s="365" t="s">
        <v>115</v>
      </c>
      <c r="BM329" s="366" t="s">
        <v>1633</v>
      </c>
      <c r="BN329" s="366" t="s">
        <v>3</v>
      </c>
      <c r="BO329" s="366">
        <v>0</v>
      </c>
      <c r="BP329" s="366">
        <v>0</v>
      </c>
      <c r="BQ329" s="366">
        <v>0</v>
      </c>
      <c r="BR329" s="366">
        <v>583</v>
      </c>
      <c r="BS329" s="366">
        <v>7</v>
      </c>
      <c r="BT329" s="366">
        <v>22</v>
      </c>
      <c r="BU329" s="366">
        <v>107</v>
      </c>
      <c r="BV329" s="366">
        <v>1</v>
      </c>
      <c r="BW329" s="366">
        <v>0</v>
      </c>
      <c r="BX329" s="366">
        <v>0</v>
      </c>
      <c r="BY329" s="366">
        <v>64</v>
      </c>
      <c r="BZ329" s="366">
        <v>0</v>
      </c>
      <c r="CA329" s="366">
        <v>1</v>
      </c>
      <c r="CB329" s="367">
        <f>IFERROR(BO329/Instructions!$J$25,0)+BP329*Instructions!$J$27+BQ329*Instructions!$J$29+IFERROR(BR329/Instructions!$E$34,0)+BS329*Instructions!$E$36+Tier!BT330*Instructions!$E$25+IFERROR(BU329/Instructions!$E$27,0)+BV329*Instructions!$E$29+IFERROR((BW329+BY329)/Instructions!$J$32,0)+(BX329+BZ329)*Instructions!$J$34+Tier!CA329*-2</f>
        <v>124</v>
      </c>
      <c r="CC329" s="354"/>
      <c r="CD329" s="238">
        <v>2016</v>
      </c>
      <c r="CE329" s="365" t="s">
        <v>88</v>
      </c>
      <c r="CF329" s="366" t="s">
        <v>144</v>
      </c>
      <c r="CG329" s="366" t="s">
        <v>6</v>
      </c>
      <c r="CH329" s="366">
        <v>0</v>
      </c>
      <c r="CI329" s="366">
        <v>0</v>
      </c>
      <c r="CJ329" s="366">
        <v>0</v>
      </c>
      <c r="CK329" s="366">
        <v>4</v>
      </c>
      <c r="CL329" s="366">
        <v>0</v>
      </c>
      <c r="CM329" s="366">
        <v>79</v>
      </c>
      <c r="CN329" s="366">
        <v>1032</v>
      </c>
      <c r="CO329" s="366">
        <v>5</v>
      </c>
      <c r="CP329" s="366">
        <v>0</v>
      </c>
      <c r="CQ329" s="366">
        <v>0</v>
      </c>
      <c r="CR329" s="366">
        <v>0</v>
      </c>
      <c r="CS329" s="366">
        <v>0</v>
      </c>
      <c r="CT329" s="366">
        <v>0</v>
      </c>
      <c r="CU329" s="367">
        <f>IFERROR(CH329/Instructions!$J$25,0)+CI329*Instructions!$J$27+CJ329*Instructions!$J$29+IFERROR(CK329/Instructions!$E$34,0)+CL329*Instructions!$E$36+Tier!CM329*Instructions!$E$25+IFERROR(CN329/Instructions!$E$27,0)+CO329*Instructions!$E$29+IFERROR((CP329+CR329)/Instructions!$J$32,0)+(CQ329+CS329)*Instructions!$J$34+Tier!CT329*-2</f>
        <v>212.60000000000002</v>
      </c>
      <c r="CV329" s="354"/>
      <c r="CW329"/>
      <c r="CX329"/>
      <c r="CY329"/>
      <c r="CZ329"/>
      <c r="DA329"/>
      <c r="DB329"/>
      <c r="DC329"/>
      <c r="DD329"/>
      <c r="DE329"/>
      <c r="DF329"/>
      <c r="DG329"/>
      <c r="DH329"/>
      <c r="DI329"/>
      <c r="DJ329"/>
      <c r="DK329"/>
      <c r="DL329"/>
      <c r="DM329"/>
      <c r="DN329"/>
    </row>
    <row r="330" spans="3:118" s="238" customFormat="1" ht="15.75" customHeight="1" x14ac:dyDescent="0.25">
      <c r="C330"/>
      <c r="D330"/>
      <c r="E330"/>
      <c r="F330"/>
      <c r="G330"/>
      <c r="H330"/>
      <c r="I330"/>
      <c r="J330"/>
      <c r="K330"/>
      <c r="L330"/>
      <c r="M330"/>
      <c r="N330"/>
      <c r="O330" s="371"/>
      <c r="P330" s="366">
        <v>2016</v>
      </c>
      <c r="Q330" s="367">
        <f>LARGE($CB$304:$CB$453,27)</f>
        <v>147.69999999999999</v>
      </c>
      <c r="R330" s="357">
        <f t="shared" si="112"/>
        <v>-16.900000000000006</v>
      </c>
      <c r="S330" s="356">
        <f t="shared" si="113"/>
        <v>285.61000000000018</v>
      </c>
      <c r="U330" s="356">
        <f t="shared" si="114"/>
        <v>-1.0562500000000004</v>
      </c>
      <c r="V330" s="238">
        <f t="shared" si="118"/>
        <v>8</v>
      </c>
      <c r="W330" s="354"/>
      <c r="X330" s="371"/>
      <c r="Y330" s="371"/>
      <c r="Z330" s="238">
        <v>2016</v>
      </c>
      <c r="AA330" s="367">
        <f>LARGE($CU$304:$CU$453,27)</f>
        <v>197.3</v>
      </c>
      <c r="AB330" s="357">
        <f t="shared" si="115"/>
        <v>-14.400000000000006</v>
      </c>
      <c r="AC330" s="356">
        <f t="shared" si="117"/>
        <v>207.36000000000016</v>
      </c>
      <c r="AD330" s="356"/>
      <c r="AE330" s="356">
        <f t="shared" si="116"/>
        <v>-0.90000000000000036</v>
      </c>
      <c r="AF330" s="238">
        <f t="shared" si="119"/>
        <v>7</v>
      </c>
      <c r="AG330" s="354"/>
      <c r="AK330"/>
      <c r="AL330"/>
      <c r="AM330"/>
      <c r="AN330"/>
      <c r="AO330"/>
      <c r="AP330"/>
      <c r="BI330" s="360"/>
      <c r="BJ330" s="354"/>
      <c r="BK330" s="366">
        <v>2016</v>
      </c>
      <c r="BL330" s="365" t="s">
        <v>989</v>
      </c>
      <c r="BM330" s="366" t="s">
        <v>156</v>
      </c>
      <c r="BN330" s="366" t="s">
        <v>3</v>
      </c>
      <c r="BO330" s="366">
        <v>0</v>
      </c>
      <c r="BP330" s="366">
        <v>0</v>
      </c>
      <c r="BQ330" s="366">
        <v>0</v>
      </c>
      <c r="BR330" s="366">
        <v>577</v>
      </c>
      <c r="BS330" s="366">
        <v>8</v>
      </c>
      <c r="BT330" s="366">
        <v>9</v>
      </c>
      <c r="BU330" s="366">
        <v>50</v>
      </c>
      <c r="BV330" s="366">
        <v>1</v>
      </c>
      <c r="BW330" s="366">
        <v>0</v>
      </c>
      <c r="BX330" s="366">
        <v>0</v>
      </c>
      <c r="BY330" s="366">
        <v>19</v>
      </c>
      <c r="BZ330" s="366">
        <v>0</v>
      </c>
      <c r="CA330" s="366">
        <v>0</v>
      </c>
      <c r="CB330" s="367">
        <f>IFERROR(BO330/Instructions!$J$25,0)+BP330*Instructions!$J$27+BQ330*Instructions!$J$29+IFERROR(BR330/Instructions!$E$34,0)+BS330*Instructions!$E$36+Tier!BT331*Instructions!$E$25+IFERROR(BU330/Instructions!$E$27,0)+BV330*Instructions!$E$29+IFERROR((BW330+BY330)/Instructions!$J$32,0)+(BX330+BZ330)*Instructions!$J$34+Tier!CA330*-2</f>
        <v>147.69999999999999</v>
      </c>
      <c r="CC330" s="354"/>
      <c r="CD330" s="238">
        <v>2016</v>
      </c>
      <c r="CE330" s="365" t="s">
        <v>1121</v>
      </c>
      <c r="CF330" s="366" t="s">
        <v>159</v>
      </c>
      <c r="CG330" s="366" t="s">
        <v>6</v>
      </c>
      <c r="CH330" s="366">
        <v>0</v>
      </c>
      <c r="CI330" s="366">
        <v>0</v>
      </c>
      <c r="CJ330" s="366">
        <v>0</v>
      </c>
      <c r="CK330" s="366">
        <v>98</v>
      </c>
      <c r="CL330" s="366">
        <v>0</v>
      </c>
      <c r="CM330" s="366">
        <v>54</v>
      </c>
      <c r="CN330" s="366">
        <v>752</v>
      </c>
      <c r="CO330" s="366">
        <v>4</v>
      </c>
      <c r="CP330" s="366">
        <v>202</v>
      </c>
      <c r="CQ330" s="366">
        <v>0</v>
      </c>
      <c r="CR330" s="366">
        <v>391</v>
      </c>
      <c r="CS330" s="366">
        <v>0</v>
      </c>
      <c r="CT330" s="366">
        <v>0</v>
      </c>
      <c r="CU330" s="367">
        <f>IFERROR(CH330/Instructions!$J$25,0)+CI330*Instructions!$J$27+CJ330*Instructions!$J$29+IFERROR(CK330/Instructions!$E$34,0)+CL330*Instructions!$E$36+Tier!CM330*Instructions!$E$25+IFERROR(CN330/Instructions!$E$27,0)+CO330*Instructions!$E$29+IFERROR((CP330+CR330)/Instructions!$J$32,0)+(CQ330+CS330)*Instructions!$J$34+Tier!CT330*-2</f>
        <v>163</v>
      </c>
      <c r="CV330" s="354"/>
      <c r="CW330"/>
      <c r="CX330"/>
      <c r="CY330"/>
      <c r="CZ330"/>
      <c r="DA330"/>
      <c r="DB330"/>
      <c r="DC330"/>
      <c r="DD330"/>
      <c r="DE330"/>
      <c r="DF330"/>
      <c r="DG330"/>
      <c r="DH330"/>
      <c r="DI330"/>
      <c r="DJ330"/>
      <c r="DK330"/>
      <c r="DL330"/>
      <c r="DM330"/>
      <c r="DN330"/>
    </row>
    <row r="331" spans="3:118" s="238" customFormat="1" ht="15.75" customHeight="1" x14ac:dyDescent="0.25">
      <c r="C331"/>
      <c r="D331"/>
      <c r="E331"/>
      <c r="F331"/>
      <c r="G331"/>
      <c r="H331"/>
      <c r="I331"/>
      <c r="J331"/>
      <c r="K331"/>
      <c r="L331"/>
      <c r="M331"/>
      <c r="N331"/>
      <c r="O331" s="371"/>
      <c r="P331" s="366">
        <v>2016</v>
      </c>
      <c r="Q331" s="367">
        <f>LARGE($CB$304:$CB$453,28)</f>
        <v>144.69999999999999</v>
      </c>
      <c r="R331" s="357">
        <f t="shared" si="112"/>
        <v>-19.900000000000006</v>
      </c>
      <c r="S331" s="356">
        <f t="shared" si="113"/>
        <v>396.01000000000022</v>
      </c>
      <c r="U331" s="356">
        <f t="shared" si="114"/>
        <v>-1.2437500000000004</v>
      </c>
      <c r="V331" s="238">
        <f t="shared" si="118"/>
        <v>8</v>
      </c>
      <c r="W331" s="354"/>
      <c r="X331" s="371"/>
      <c r="Y331" s="371"/>
      <c r="Z331" s="238">
        <v>2016</v>
      </c>
      <c r="AA331" s="367">
        <f>LARGE($CU$304:$CU$453,28)</f>
        <v>197.2</v>
      </c>
      <c r="AB331" s="357">
        <f t="shared" si="115"/>
        <v>-14.500000000000028</v>
      </c>
      <c r="AC331" s="356">
        <f t="shared" si="117"/>
        <v>210.25000000000082</v>
      </c>
      <c r="AD331" s="356"/>
      <c r="AE331" s="356">
        <f t="shared" si="116"/>
        <v>-0.90625000000000178</v>
      </c>
      <c r="AF331" s="238">
        <f t="shared" si="119"/>
        <v>7</v>
      </c>
      <c r="AG331" s="354"/>
      <c r="AK331"/>
      <c r="AL331"/>
      <c r="AM331"/>
      <c r="AN331"/>
      <c r="AO331"/>
      <c r="AP331"/>
      <c r="BI331" s="360"/>
      <c r="BJ331" s="354"/>
      <c r="BK331" s="366">
        <v>2016</v>
      </c>
      <c r="BL331" s="365" t="s">
        <v>1189</v>
      </c>
      <c r="BM331" s="366" t="s">
        <v>144</v>
      </c>
      <c r="BN331" s="366" t="s">
        <v>3</v>
      </c>
      <c r="BO331" s="366">
        <v>0</v>
      </c>
      <c r="BP331" s="366">
        <v>0</v>
      </c>
      <c r="BQ331" s="366">
        <v>0</v>
      </c>
      <c r="BR331" s="366">
        <v>612</v>
      </c>
      <c r="BS331" s="366">
        <v>4</v>
      </c>
      <c r="BT331" s="366">
        <v>31</v>
      </c>
      <c r="BU331" s="366">
        <v>265</v>
      </c>
      <c r="BV331" s="366">
        <v>1</v>
      </c>
      <c r="BW331" s="366">
        <v>0</v>
      </c>
      <c r="BX331" s="366">
        <v>0</v>
      </c>
      <c r="BY331" s="366">
        <v>0</v>
      </c>
      <c r="BZ331" s="366">
        <v>0</v>
      </c>
      <c r="CA331" s="366">
        <v>3</v>
      </c>
      <c r="CB331" s="367">
        <f>IFERROR(BO331/Instructions!$J$25,0)+BP331*Instructions!$J$27+BQ331*Instructions!$J$29+IFERROR(BR331/Instructions!$E$34,0)+BS331*Instructions!$E$36+Tier!BT332*Instructions!$E$25+IFERROR(BU331/Instructions!$E$27,0)+BV331*Instructions!$E$29+IFERROR((BW331+BY331)/Instructions!$J$32,0)+(BX331+BZ331)*Instructions!$J$34+Tier!CA331*-2</f>
        <v>160.69999999999999</v>
      </c>
      <c r="CC331" s="354"/>
      <c r="CD331" s="238">
        <v>2016</v>
      </c>
      <c r="CE331" s="365" t="s">
        <v>91</v>
      </c>
      <c r="CF331" s="366" t="s">
        <v>142</v>
      </c>
      <c r="CG331" s="366" t="s">
        <v>6</v>
      </c>
      <c r="CH331" s="366">
        <v>0</v>
      </c>
      <c r="CI331" s="366">
        <v>0</v>
      </c>
      <c r="CJ331" s="366">
        <v>0</v>
      </c>
      <c r="CK331" s="366">
        <v>4</v>
      </c>
      <c r="CL331" s="366">
        <v>0</v>
      </c>
      <c r="CM331" s="366">
        <v>91</v>
      </c>
      <c r="CN331" s="366">
        <v>1077</v>
      </c>
      <c r="CO331" s="366">
        <v>4</v>
      </c>
      <c r="CP331" s="366">
        <v>0</v>
      </c>
      <c r="CQ331" s="366">
        <v>0</v>
      </c>
      <c r="CR331" s="366">
        <v>0</v>
      </c>
      <c r="CS331" s="366">
        <v>0</v>
      </c>
      <c r="CT331" s="366">
        <v>1</v>
      </c>
      <c r="CU331" s="367">
        <f>IFERROR(CH331/Instructions!$J$25,0)+CI331*Instructions!$J$27+CJ331*Instructions!$J$29+IFERROR(CK331/Instructions!$E$34,0)+CL331*Instructions!$E$36+Tier!CM331*Instructions!$E$25+IFERROR(CN331/Instructions!$E$27,0)+CO331*Instructions!$E$29+IFERROR((CP331+CR331)/Instructions!$J$32,0)+(CQ331+CS331)*Instructions!$J$34+Tier!CT331*-2</f>
        <v>221.10000000000002</v>
      </c>
      <c r="CV331" s="354"/>
      <c r="CW331"/>
      <c r="CX331"/>
      <c r="CY331"/>
      <c r="CZ331"/>
      <c r="DA331"/>
      <c r="DB331"/>
      <c r="DC331"/>
      <c r="DD331"/>
      <c r="DE331"/>
      <c r="DF331"/>
      <c r="DG331"/>
      <c r="DH331"/>
      <c r="DI331"/>
      <c r="DJ331"/>
      <c r="DK331"/>
      <c r="DL331"/>
      <c r="DM331"/>
      <c r="DN331"/>
    </row>
    <row r="332" spans="3:118" s="238" customFormat="1" ht="15.75" customHeight="1" x14ac:dyDescent="0.25">
      <c r="C332"/>
      <c r="D332"/>
      <c r="E332"/>
      <c r="F332"/>
      <c r="G332"/>
      <c r="H332"/>
      <c r="I332"/>
      <c r="J332"/>
      <c r="K332"/>
      <c r="L332"/>
      <c r="M332"/>
      <c r="N332"/>
      <c r="O332" s="371"/>
      <c r="P332" s="366">
        <v>2016</v>
      </c>
      <c r="Q332" s="367">
        <f>LARGE($CB$304:$CB$453,29)</f>
        <v>143.19999999999999</v>
      </c>
      <c r="R332" s="357">
        <f t="shared" si="112"/>
        <v>-21.400000000000006</v>
      </c>
      <c r="S332" s="356">
        <f t="shared" si="113"/>
        <v>457.96000000000026</v>
      </c>
      <c r="U332" s="356">
        <f t="shared" si="114"/>
        <v>-1.3375000000000004</v>
      </c>
      <c r="V332" s="238">
        <f t="shared" si="118"/>
        <v>8</v>
      </c>
      <c r="W332" s="354"/>
      <c r="X332" s="371"/>
      <c r="Y332" s="371"/>
      <c r="Z332" s="238">
        <v>2016</v>
      </c>
      <c r="AA332" s="367">
        <f>LARGE($CU$304:$CU$453,29)</f>
        <v>197.1</v>
      </c>
      <c r="AB332" s="357">
        <f t="shared" si="115"/>
        <v>-14.600000000000023</v>
      </c>
      <c r="AC332" s="356">
        <f t="shared" si="117"/>
        <v>213.16000000000065</v>
      </c>
      <c r="AD332" s="356"/>
      <c r="AE332" s="356">
        <f t="shared" si="116"/>
        <v>-0.91250000000000142</v>
      </c>
      <c r="AF332" s="238">
        <f t="shared" si="119"/>
        <v>7</v>
      </c>
      <c r="AG332" s="354"/>
      <c r="AK332"/>
      <c r="AL332"/>
      <c r="AM332"/>
      <c r="AN332"/>
      <c r="AO332"/>
      <c r="AP332"/>
      <c r="BI332" s="360"/>
      <c r="BJ332" s="354"/>
      <c r="BK332" s="366">
        <v>2016</v>
      </c>
      <c r="BL332" s="365" t="s">
        <v>990</v>
      </c>
      <c r="BM332" s="366" t="s">
        <v>152</v>
      </c>
      <c r="BN332" s="366" t="s">
        <v>3</v>
      </c>
      <c r="BO332" s="366">
        <v>0</v>
      </c>
      <c r="BP332" s="366">
        <v>0</v>
      </c>
      <c r="BQ332" s="366">
        <v>0</v>
      </c>
      <c r="BR332" s="366">
        <v>356</v>
      </c>
      <c r="BS332" s="366">
        <v>3</v>
      </c>
      <c r="BT332" s="366">
        <v>49</v>
      </c>
      <c r="BU332" s="366">
        <v>349</v>
      </c>
      <c r="BV332" s="366">
        <v>2</v>
      </c>
      <c r="BW332" s="366">
        <v>0</v>
      </c>
      <c r="BX332" s="366">
        <v>0</v>
      </c>
      <c r="BY332" s="366">
        <v>360</v>
      </c>
      <c r="BZ332" s="366">
        <v>0</v>
      </c>
      <c r="CA332" s="366">
        <v>1</v>
      </c>
      <c r="CB332" s="367">
        <f>IFERROR(BO332/Instructions!$J$25,0)+BP332*Instructions!$J$27+BQ332*Instructions!$J$29+IFERROR(BR332/Instructions!$E$34,0)+BS332*Instructions!$E$36+Tier!BT333*Instructions!$E$25+IFERROR(BU332/Instructions!$E$27,0)+BV332*Instructions!$E$29+IFERROR((BW332+BY332)/Instructions!$J$32,0)+(BX332+BZ332)*Instructions!$J$34+Tier!CA332*-2</f>
        <v>127.5</v>
      </c>
      <c r="CC332" s="354"/>
      <c r="CD332" s="238">
        <v>2016</v>
      </c>
      <c r="CE332" s="365" t="s">
        <v>17</v>
      </c>
      <c r="CF332" s="366" t="s">
        <v>146</v>
      </c>
      <c r="CG332" s="366" t="s">
        <v>6</v>
      </c>
      <c r="CH332" s="366">
        <v>10</v>
      </c>
      <c r="CI332" s="366">
        <v>1</v>
      </c>
      <c r="CJ332" s="366">
        <v>0</v>
      </c>
      <c r="CK332" s="366">
        <v>0</v>
      </c>
      <c r="CL332" s="366">
        <v>0</v>
      </c>
      <c r="CM332" s="366">
        <v>50</v>
      </c>
      <c r="CN332" s="366">
        <v>796</v>
      </c>
      <c r="CO332" s="366">
        <v>8</v>
      </c>
      <c r="CP332" s="366">
        <v>0</v>
      </c>
      <c r="CQ332" s="366">
        <v>0</v>
      </c>
      <c r="CR332" s="366">
        <v>0</v>
      </c>
      <c r="CS332" s="366">
        <v>0</v>
      </c>
      <c r="CT332" s="366">
        <v>1</v>
      </c>
      <c r="CU332" s="367">
        <f>IFERROR(CH332/Instructions!$J$25,0)+CI332*Instructions!$J$27+CJ332*Instructions!$J$29+IFERROR(CK332/Instructions!$E$34,0)+CL332*Instructions!$E$36+Tier!CM332*Instructions!$E$25+IFERROR(CN332/Instructions!$E$27,0)+CO332*Instructions!$E$29+IFERROR((CP332+CR332)/Instructions!$J$32,0)+(CQ332+CS332)*Instructions!$J$34+Tier!CT332*-2</f>
        <v>180</v>
      </c>
      <c r="CV332" s="354"/>
      <c r="CW332"/>
      <c r="CX332"/>
      <c r="CY332"/>
      <c r="CZ332"/>
      <c r="DA332"/>
      <c r="DB332"/>
      <c r="DC332"/>
      <c r="DD332"/>
      <c r="DE332"/>
      <c r="DF332"/>
      <c r="DG332"/>
      <c r="DH332"/>
      <c r="DI332"/>
      <c r="DJ332"/>
      <c r="DK332"/>
      <c r="DL332"/>
      <c r="DM332"/>
      <c r="DN332"/>
    </row>
    <row r="333" spans="3:118" s="238" customFormat="1" ht="15.75" customHeight="1" x14ac:dyDescent="0.25">
      <c r="C333"/>
      <c r="D333"/>
      <c r="E333"/>
      <c r="F333"/>
      <c r="G333"/>
      <c r="H333"/>
      <c r="I333"/>
      <c r="J333"/>
      <c r="K333"/>
      <c r="L333"/>
      <c r="M333"/>
      <c r="N333"/>
      <c r="O333" s="371"/>
      <c r="P333" s="366">
        <v>2016</v>
      </c>
      <c r="Q333" s="367">
        <f>LARGE($CB$304:$CB$453,30)</f>
        <v>142.6</v>
      </c>
      <c r="R333" s="357">
        <f t="shared" si="112"/>
        <v>-22</v>
      </c>
      <c r="S333" s="356">
        <f t="shared" si="113"/>
        <v>484</v>
      </c>
      <c r="U333" s="356">
        <f t="shared" si="114"/>
        <v>-1.375</v>
      </c>
      <c r="V333" s="238">
        <f t="shared" si="118"/>
        <v>8</v>
      </c>
      <c r="W333" s="354"/>
      <c r="X333" s="371"/>
      <c r="Y333" s="371"/>
      <c r="Z333" s="238">
        <v>2016</v>
      </c>
      <c r="AA333" s="367">
        <f>LARGE($CU$304:$CU$453,30)</f>
        <v>197</v>
      </c>
      <c r="AB333" s="357">
        <f t="shared" si="115"/>
        <v>-14.700000000000017</v>
      </c>
      <c r="AC333" s="356">
        <f t="shared" si="117"/>
        <v>216.09000000000052</v>
      </c>
      <c r="AD333" s="356"/>
      <c r="AE333" s="356">
        <f t="shared" si="116"/>
        <v>-0.91875000000000107</v>
      </c>
      <c r="AF333" s="238">
        <f t="shared" si="119"/>
        <v>7</v>
      </c>
      <c r="AG333" s="354"/>
      <c r="AK333"/>
      <c r="AL333"/>
      <c r="AM333"/>
      <c r="AN333"/>
      <c r="AO333"/>
      <c r="AP333"/>
      <c r="BI333" s="360"/>
      <c r="BJ333" s="354"/>
      <c r="BK333" s="366">
        <v>2016</v>
      </c>
      <c r="BL333" s="365" t="s">
        <v>1408</v>
      </c>
      <c r="BM333" s="366" t="s">
        <v>167</v>
      </c>
      <c r="BN333" s="366" t="s">
        <v>3</v>
      </c>
      <c r="BO333" s="366">
        <v>0</v>
      </c>
      <c r="BP333" s="366">
        <v>0</v>
      </c>
      <c r="BQ333" s="366">
        <v>0</v>
      </c>
      <c r="BR333" s="366">
        <v>491</v>
      </c>
      <c r="BS333" s="366">
        <v>1</v>
      </c>
      <c r="BT333" s="366">
        <v>29</v>
      </c>
      <c r="BU333" s="366">
        <v>194</v>
      </c>
      <c r="BV333" s="366">
        <v>2</v>
      </c>
      <c r="BW333" s="366">
        <v>306</v>
      </c>
      <c r="BX333" s="366">
        <v>0</v>
      </c>
      <c r="BY333" s="366">
        <v>402</v>
      </c>
      <c r="BZ333" s="366">
        <v>0</v>
      </c>
      <c r="CA333" s="366">
        <v>0</v>
      </c>
      <c r="CB333" s="367">
        <f>IFERROR(BO333/Instructions!$J$25,0)+BP333*Instructions!$J$27+BQ333*Instructions!$J$29+IFERROR(BR333/Instructions!$E$34,0)+BS333*Instructions!$E$36+Tier!BT334*Instructions!$E$25+IFERROR(BU333/Instructions!$E$27,0)+BV333*Instructions!$E$29+IFERROR((BW333+BY333)/Instructions!$J$32,0)+(BX333+BZ333)*Instructions!$J$34+Tier!CA333*-2</f>
        <v>139.5</v>
      </c>
      <c r="CC333" s="354"/>
      <c r="CD333" s="238">
        <v>2016</v>
      </c>
      <c r="CE333" s="365" t="s">
        <v>191</v>
      </c>
      <c r="CF333" s="366" t="s">
        <v>1389</v>
      </c>
      <c r="CG333" s="366" t="s">
        <v>6</v>
      </c>
      <c r="CH333" s="366">
        <v>0</v>
      </c>
      <c r="CI333" s="366">
        <v>0</v>
      </c>
      <c r="CJ333" s="366">
        <v>0</v>
      </c>
      <c r="CK333" s="366">
        <v>0</v>
      </c>
      <c r="CL333" s="366">
        <v>0</v>
      </c>
      <c r="CM333" s="366">
        <v>68</v>
      </c>
      <c r="CN333" s="366">
        <v>1002</v>
      </c>
      <c r="CO333" s="366">
        <v>5</v>
      </c>
      <c r="CP333" s="366">
        <v>0</v>
      </c>
      <c r="CQ333" s="366">
        <v>0</v>
      </c>
      <c r="CR333" s="366">
        <v>0</v>
      </c>
      <c r="CS333" s="366">
        <v>0</v>
      </c>
      <c r="CT333" s="366">
        <v>1</v>
      </c>
      <c r="CU333" s="367">
        <f>IFERROR(CH333/Instructions!$J$25,0)+CI333*Instructions!$J$27+CJ333*Instructions!$J$29+IFERROR(CK333/Instructions!$E$34,0)+CL333*Instructions!$E$36+Tier!CM333*Instructions!$E$25+IFERROR(CN333/Instructions!$E$27,0)+CO333*Instructions!$E$29+IFERROR((CP333+CR333)/Instructions!$J$32,0)+(CQ333+CS333)*Instructions!$J$34+Tier!CT333*-2</f>
        <v>196.2</v>
      </c>
      <c r="CV333" s="354"/>
      <c r="CW333"/>
      <c r="CX333"/>
      <c r="CY333"/>
      <c r="CZ333"/>
      <c r="DA333"/>
      <c r="DB333"/>
      <c r="DC333"/>
      <c r="DD333"/>
      <c r="DE333"/>
      <c r="DF333"/>
      <c r="DG333"/>
      <c r="DH333"/>
      <c r="DI333"/>
      <c r="DJ333"/>
      <c r="DK333"/>
      <c r="DL333"/>
      <c r="DM333"/>
      <c r="DN333"/>
    </row>
    <row r="334" spans="3:118" s="238" customFormat="1" ht="15.75" customHeight="1" x14ac:dyDescent="0.25">
      <c r="C334"/>
      <c r="D334"/>
      <c r="E334"/>
      <c r="F334"/>
      <c r="G334"/>
      <c r="H334"/>
      <c r="I334"/>
      <c r="J334"/>
      <c r="K334"/>
      <c r="L334"/>
      <c r="M334"/>
      <c r="N334"/>
      <c r="O334" s="371"/>
      <c r="P334" s="366">
        <v>2016</v>
      </c>
      <c r="Q334" s="367">
        <f>LARGE($CB$304:$CB$453,31)</f>
        <v>139.80000000000001</v>
      </c>
      <c r="R334" s="357">
        <f t="shared" si="112"/>
        <v>-24.799999999999983</v>
      </c>
      <c r="S334" s="356">
        <f t="shared" si="113"/>
        <v>615.03999999999917</v>
      </c>
      <c r="U334" s="356">
        <f t="shared" si="114"/>
        <v>-1.5499999999999989</v>
      </c>
      <c r="V334" s="238">
        <f t="shared" si="118"/>
        <v>8</v>
      </c>
      <c r="W334" s="354"/>
      <c r="X334" s="371"/>
      <c r="Y334" s="371"/>
      <c r="Z334" s="238">
        <v>2016</v>
      </c>
      <c r="AA334" s="367">
        <f>LARGE($CU$304:$CU$453,31)</f>
        <v>196.2</v>
      </c>
      <c r="AB334" s="357">
        <f t="shared" si="115"/>
        <v>-15.500000000000028</v>
      </c>
      <c r="AC334" s="356">
        <f t="shared" si="117"/>
        <v>240.25000000000088</v>
      </c>
      <c r="AD334" s="356"/>
      <c r="AE334" s="356">
        <f t="shared" si="116"/>
        <v>-0.96875000000000178</v>
      </c>
      <c r="AF334" s="238">
        <f t="shared" si="119"/>
        <v>7</v>
      </c>
      <c r="AG334" s="354"/>
      <c r="AK334"/>
      <c r="AL334"/>
      <c r="AM334"/>
      <c r="AN334"/>
      <c r="AO334"/>
      <c r="AP334"/>
      <c r="BI334" s="360"/>
      <c r="BJ334" s="354"/>
      <c r="BK334" s="366">
        <v>2016</v>
      </c>
      <c r="BL334" s="365" t="s">
        <v>981</v>
      </c>
      <c r="BM334" s="366" t="s">
        <v>142</v>
      </c>
      <c r="BN334" s="366" t="s">
        <v>3</v>
      </c>
      <c r="BO334" s="366">
        <v>0</v>
      </c>
      <c r="BP334" s="366">
        <v>0</v>
      </c>
      <c r="BQ334" s="366">
        <v>0</v>
      </c>
      <c r="BR334" s="366">
        <v>357</v>
      </c>
      <c r="BS334" s="366">
        <v>1</v>
      </c>
      <c r="BT334" s="366">
        <v>53</v>
      </c>
      <c r="BU334" s="366">
        <v>371</v>
      </c>
      <c r="BV334" s="366">
        <v>5</v>
      </c>
      <c r="BW334" s="366">
        <v>0</v>
      </c>
      <c r="BX334" s="366">
        <v>0</v>
      </c>
      <c r="BY334" s="366">
        <v>0</v>
      </c>
      <c r="BZ334" s="366">
        <v>0</v>
      </c>
      <c r="CA334" s="366">
        <v>0</v>
      </c>
      <c r="CB334" s="367">
        <f>IFERROR(BO334/Instructions!$J$25,0)+BP334*Instructions!$J$27+BQ334*Instructions!$J$29+IFERROR(BR334/Instructions!$E$34,0)+BS334*Instructions!$E$36+Tier!BT335*Instructions!$E$25+IFERROR(BU334/Instructions!$E$27,0)+BV334*Instructions!$E$29+IFERROR((BW334+BY334)/Instructions!$J$32,0)+(BX334+BZ334)*Instructions!$J$34+Tier!CA334*-2</f>
        <v>130.80000000000001</v>
      </c>
      <c r="CC334" s="354"/>
      <c r="CD334" s="238">
        <v>2016</v>
      </c>
      <c r="CE334" s="365" t="s">
        <v>1249</v>
      </c>
      <c r="CF334" s="366" t="s">
        <v>138</v>
      </c>
      <c r="CG334" s="366" t="s">
        <v>6</v>
      </c>
      <c r="CH334" s="366">
        <v>0</v>
      </c>
      <c r="CI334" s="366">
        <v>0</v>
      </c>
      <c r="CJ334" s="366">
        <v>0</v>
      </c>
      <c r="CK334" s="366">
        <v>15</v>
      </c>
      <c r="CL334" s="366">
        <v>0</v>
      </c>
      <c r="CM334" s="366">
        <v>69</v>
      </c>
      <c r="CN334" s="366">
        <v>967</v>
      </c>
      <c r="CO334" s="366">
        <v>5</v>
      </c>
      <c r="CP334" s="366">
        <v>8</v>
      </c>
      <c r="CQ334" s="366">
        <v>0</v>
      </c>
      <c r="CR334" s="366">
        <v>19</v>
      </c>
      <c r="CS334" s="366">
        <v>0</v>
      </c>
      <c r="CT334" s="366">
        <v>0</v>
      </c>
      <c r="CU334" s="367">
        <f>IFERROR(CH334/Instructions!$J$25,0)+CI334*Instructions!$J$27+CJ334*Instructions!$J$29+IFERROR(CK334/Instructions!$E$34,0)+CL334*Instructions!$E$36+Tier!CM334*Instructions!$E$25+IFERROR(CN334/Instructions!$E$27,0)+CO334*Instructions!$E$29+IFERROR((CP334+CR334)/Instructions!$J$32,0)+(CQ334+CS334)*Instructions!$J$34+Tier!CT334*-2</f>
        <v>197.2</v>
      </c>
      <c r="CV334" s="354"/>
      <c r="CW334"/>
      <c r="CX334"/>
      <c r="CY334"/>
      <c r="CZ334"/>
      <c r="DA334"/>
      <c r="DB334"/>
      <c r="DC334"/>
      <c r="DD334"/>
      <c r="DE334"/>
      <c r="DF334"/>
      <c r="DG334"/>
      <c r="DH334"/>
      <c r="DI334"/>
      <c r="DJ334"/>
      <c r="DK334"/>
      <c r="DL334"/>
      <c r="DM334"/>
      <c r="DN334"/>
    </row>
    <row r="335" spans="3:118" s="238" customFormat="1" ht="15.75" customHeight="1" x14ac:dyDescent="0.25">
      <c r="C335"/>
      <c r="D335"/>
      <c r="E335"/>
      <c r="F335"/>
      <c r="G335"/>
      <c r="H335"/>
      <c r="I335"/>
      <c r="J335"/>
      <c r="K335"/>
      <c r="L335"/>
      <c r="M335"/>
      <c r="N335"/>
      <c r="O335" s="371"/>
      <c r="P335" s="366">
        <v>2016</v>
      </c>
      <c r="Q335" s="367">
        <f>LARGE($CB$304:$CB$453,32)</f>
        <v>139.5</v>
      </c>
      <c r="R335" s="357">
        <f t="shared" si="112"/>
        <v>-25.099999999999994</v>
      </c>
      <c r="S335" s="356">
        <f t="shared" si="113"/>
        <v>630.00999999999976</v>
      </c>
      <c r="U335" s="356">
        <f t="shared" si="114"/>
        <v>-1.5687499999999996</v>
      </c>
      <c r="V335" s="238">
        <f t="shared" si="118"/>
        <v>8</v>
      </c>
      <c r="W335" s="354"/>
      <c r="X335" s="371"/>
      <c r="Y335" s="371"/>
      <c r="Z335" s="238">
        <v>2016</v>
      </c>
      <c r="AA335" s="367">
        <f>LARGE($CU$304:$CU$453,32)</f>
        <v>193.3</v>
      </c>
      <c r="AB335" s="357">
        <f t="shared" si="115"/>
        <v>-18.400000000000006</v>
      </c>
      <c r="AC335" s="356">
        <f t="shared" si="117"/>
        <v>338.56000000000023</v>
      </c>
      <c r="AD335" s="356"/>
      <c r="AE335" s="356">
        <f t="shared" si="116"/>
        <v>-1.1500000000000004</v>
      </c>
      <c r="AF335" s="238">
        <f t="shared" si="119"/>
        <v>8</v>
      </c>
      <c r="AG335" s="354"/>
      <c r="AK335"/>
      <c r="AL335"/>
      <c r="AM335"/>
      <c r="AN335"/>
      <c r="AO335"/>
      <c r="AP335"/>
      <c r="BI335" s="360"/>
      <c r="BJ335" s="354"/>
      <c r="BK335" s="366">
        <v>2016</v>
      </c>
      <c r="BL335" s="365" t="s">
        <v>1162</v>
      </c>
      <c r="BM335" s="366" t="s">
        <v>1625</v>
      </c>
      <c r="BN335" s="366" t="s">
        <v>3</v>
      </c>
      <c r="BO335" s="366">
        <v>0</v>
      </c>
      <c r="BP335" s="366">
        <v>0</v>
      </c>
      <c r="BQ335" s="366">
        <v>0</v>
      </c>
      <c r="BR335" s="366">
        <v>548</v>
      </c>
      <c r="BS335" s="366">
        <v>4</v>
      </c>
      <c r="BT335" s="366">
        <v>22</v>
      </c>
      <c r="BU335" s="366">
        <v>200</v>
      </c>
      <c r="BV335" s="366">
        <v>1</v>
      </c>
      <c r="BW335" s="366">
        <v>0</v>
      </c>
      <c r="BX335" s="366">
        <v>0</v>
      </c>
      <c r="BY335" s="366">
        <v>61</v>
      </c>
      <c r="BZ335" s="366">
        <v>0</v>
      </c>
      <c r="CA335" s="366">
        <v>0</v>
      </c>
      <c r="CB335" s="367">
        <f>IFERROR(BO335/Instructions!$J$25,0)+BP335*Instructions!$J$27+BQ335*Instructions!$J$29+IFERROR(BR335/Instructions!$E$34,0)+BS335*Instructions!$E$36+Tier!BT336*Instructions!$E$25+IFERROR(BU335/Instructions!$E$27,0)+BV335*Instructions!$E$29+IFERROR((BW335+BY335)/Instructions!$J$32,0)+(BX335+BZ335)*Instructions!$J$34+Tier!CA335*-2</f>
        <v>139.80000000000001</v>
      </c>
      <c r="CC335" s="354"/>
      <c r="CD335" s="238">
        <v>2016</v>
      </c>
      <c r="CE335" s="365" t="s">
        <v>90</v>
      </c>
      <c r="CF335" s="366" t="s">
        <v>162</v>
      </c>
      <c r="CG335" s="366" t="s">
        <v>6</v>
      </c>
      <c r="CH335" s="366">
        <v>0</v>
      </c>
      <c r="CI335" s="366">
        <v>0</v>
      </c>
      <c r="CJ335" s="366">
        <v>0</v>
      </c>
      <c r="CK335" s="366">
        <v>31</v>
      </c>
      <c r="CL335" s="366">
        <v>0</v>
      </c>
      <c r="CM335" s="366">
        <v>72</v>
      </c>
      <c r="CN335" s="366">
        <v>1017</v>
      </c>
      <c r="CO335" s="366">
        <v>4</v>
      </c>
      <c r="CP335" s="366">
        <v>0</v>
      </c>
      <c r="CQ335" s="366">
        <v>0</v>
      </c>
      <c r="CR335" s="366">
        <v>0</v>
      </c>
      <c r="CS335" s="366">
        <v>0</v>
      </c>
      <c r="CT335" s="366">
        <v>0</v>
      </c>
      <c r="CU335" s="367">
        <f>IFERROR(CH335/Instructions!$J$25,0)+CI335*Instructions!$J$27+CJ335*Instructions!$J$29+IFERROR(CK335/Instructions!$E$34,0)+CL335*Instructions!$E$36+Tier!CM335*Instructions!$E$25+IFERROR(CN335/Instructions!$E$27,0)+CO335*Instructions!$E$29+IFERROR((CP335+CR335)/Instructions!$J$32,0)+(CQ335+CS335)*Instructions!$J$34+Tier!CT335*-2</f>
        <v>200.8</v>
      </c>
      <c r="CV335" s="354"/>
      <c r="CW335"/>
      <c r="CX335"/>
      <c r="CY335"/>
      <c r="CZ335"/>
      <c r="DA335"/>
      <c r="DB335"/>
      <c r="DC335"/>
      <c r="DD335"/>
      <c r="DE335"/>
      <c r="DF335"/>
      <c r="DG335"/>
      <c r="DH335"/>
      <c r="DI335"/>
      <c r="DJ335"/>
      <c r="DK335"/>
      <c r="DL335"/>
      <c r="DM335"/>
      <c r="DN335"/>
    </row>
    <row r="336" spans="3:118" s="238" customFormat="1" ht="15.75" customHeight="1" x14ac:dyDescent="0.25">
      <c r="C336"/>
      <c r="D336"/>
      <c r="E336"/>
      <c r="F336"/>
      <c r="G336"/>
      <c r="H336"/>
      <c r="I336"/>
      <c r="J336"/>
      <c r="K336"/>
      <c r="L336"/>
      <c r="M336"/>
      <c r="N336"/>
      <c r="O336" s="371"/>
      <c r="P336" s="366">
        <v>2016</v>
      </c>
      <c r="Q336" s="367">
        <f>LARGE($CB$304:$CB$453,33)</f>
        <v>135.4</v>
      </c>
      <c r="R336" s="357">
        <f t="shared" si="112"/>
        <v>-29.199999999999989</v>
      </c>
      <c r="S336" s="356">
        <f t="shared" si="113"/>
        <v>852.6399999999993</v>
      </c>
      <c r="U336" s="356">
        <f t="shared" si="114"/>
        <v>-1.8249999999999993</v>
      </c>
      <c r="V336" s="238">
        <f t="shared" si="118"/>
        <v>8</v>
      </c>
      <c r="W336" s="354"/>
      <c r="X336" s="371"/>
      <c r="Y336" s="371"/>
      <c r="Z336" s="238">
        <v>2016</v>
      </c>
      <c r="AA336" s="367">
        <f>LARGE($CU$304:$CU$453,33)</f>
        <v>191.5</v>
      </c>
      <c r="AB336" s="357">
        <f t="shared" si="115"/>
        <v>-20.200000000000017</v>
      </c>
      <c r="AC336" s="356">
        <f t="shared" si="117"/>
        <v>408.0400000000007</v>
      </c>
      <c r="AD336" s="356"/>
      <c r="AE336" s="356">
        <f t="shared" si="116"/>
        <v>-1.2625000000000011</v>
      </c>
      <c r="AF336" s="238">
        <f t="shared" si="119"/>
        <v>8</v>
      </c>
      <c r="AG336" s="354"/>
      <c r="AK336"/>
      <c r="AL336"/>
      <c r="AM336"/>
      <c r="AN336"/>
      <c r="AO336"/>
      <c r="AP336"/>
      <c r="BI336" s="360"/>
      <c r="BJ336" s="354"/>
      <c r="BK336" s="366">
        <v>2016</v>
      </c>
      <c r="BL336" s="365" t="s">
        <v>71</v>
      </c>
      <c r="BM336" s="366" t="s">
        <v>154</v>
      </c>
      <c r="BN336" s="366" t="s">
        <v>3</v>
      </c>
      <c r="BO336" s="366">
        <v>0</v>
      </c>
      <c r="BP336" s="366">
        <v>0</v>
      </c>
      <c r="BQ336" s="366">
        <v>0</v>
      </c>
      <c r="BR336" s="366">
        <v>593</v>
      </c>
      <c r="BS336" s="366">
        <v>3</v>
      </c>
      <c r="BT336" s="366">
        <v>35</v>
      </c>
      <c r="BU336" s="366">
        <v>201</v>
      </c>
      <c r="BV336" s="366">
        <v>1</v>
      </c>
      <c r="BW336" s="366">
        <v>0</v>
      </c>
      <c r="BX336" s="366">
        <v>0</v>
      </c>
      <c r="BY336" s="366">
        <v>0</v>
      </c>
      <c r="BZ336" s="366">
        <v>0</v>
      </c>
      <c r="CA336" s="366">
        <v>0</v>
      </c>
      <c r="CB336" s="367">
        <f>IFERROR(BO336/Instructions!$J$25,0)+BP336*Instructions!$J$27+BQ336*Instructions!$J$29+IFERROR(BR336/Instructions!$E$34,0)+BS336*Instructions!$E$36+Tier!BT337*Instructions!$E$25+IFERROR(BU336/Instructions!$E$27,0)+BV336*Instructions!$E$29+IFERROR((BW336+BY336)/Instructions!$J$32,0)+(BX336+BZ336)*Instructions!$J$34+Tier!CA336*-2</f>
        <v>135.4</v>
      </c>
      <c r="CC336" s="354"/>
      <c r="CD336" s="238">
        <v>2016</v>
      </c>
      <c r="CE336" s="365" t="s">
        <v>121</v>
      </c>
      <c r="CF336" s="366" t="s">
        <v>166</v>
      </c>
      <c r="CG336" s="366" t="s">
        <v>6</v>
      </c>
      <c r="CH336" s="366">
        <v>0</v>
      </c>
      <c r="CI336" s="366">
        <v>0</v>
      </c>
      <c r="CJ336" s="366">
        <v>0</v>
      </c>
      <c r="CK336" s="366">
        <v>0</v>
      </c>
      <c r="CL336" s="366">
        <v>0</v>
      </c>
      <c r="CM336" s="366">
        <v>42</v>
      </c>
      <c r="CN336" s="366">
        <v>726</v>
      </c>
      <c r="CO336" s="366">
        <v>9</v>
      </c>
      <c r="CP336" s="366">
        <v>0</v>
      </c>
      <c r="CQ336" s="366">
        <v>0</v>
      </c>
      <c r="CR336" s="366">
        <v>0</v>
      </c>
      <c r="CS336" s="366">
        <v>0</v>
      </c>
      <c r="CT336" s="366">
        <v>0</v>
      </c>
      <c r="CU336" s="367">
        <f>IFERROR(CH336/Instructions!$J$25,0)+CI336*Instructions!$J$27+CJ336*Instructions!$J$29+IFERROR(CK336/Instructions!$E$34,0)+CL336*Instructions!$E$36+Tier!CM336*Instructions!$E$25+IFERROR(CN336/Instructions!$E$27,0)+CO336*Instructions!$E$29+IFERROR((CP336+CR336)/Instructions!$J$32,0)+(CQ336+CS336)*Instructions!$J$34+Tier!CT336*-2</f>
        <v>168.6</v>
      </c>
      <c r="CV336" s="354"/>
      <c r="CW336"/>
      <c r="CX336"/>
      <c r="CY336"/>
      <c r="CZ336"/>
      <c r="DA336"/>
      <c r="DB336"/>
      <c r="DC336"/>
      <c r="DD336"/>
      <c r="DE336"/>
      <c r="DF336"/>
      <c r="DG336"/>
      <c r="DH336"/>
      <c r="DI336"/>
      <c r="DJ336"/>
      <c r="DK336"/>
      <c r="DL336"/>
      <c r="DM336"/>
      <c r="DN336"/>
    </row>
    <row r="337" spans="3:118" s="238" customFormat="1" ht="15.75" customHeight="1" x14ac:dyDescent="0.25">
      <c r="C337"/>
      <c r="D337"/>
      <c r="E337"/>
      <c r="F337"/>
      <c r="G337"/>
      <c r="H337"/>
      <c r="I337"/>
      <c r="J337"/>
      <c r="K337"/>
      <c r="L337"/>
      <c r="M337"/>
      <c r="N337"/>
      <c r="O337" s="371"/>
      <c r="P337" s="366">
        <v>2016</v>
      </c>
      <c r="Q337" s="367">
        <f>LARGE($CB$304:$CB$453,34)</f>
        <v>130.80000000000001</v>
      </c>
      <c r="R337" s="357">
        <f t="shared" si="112"/>
        <v>-33.799999999999983</v>
      </c>
      <c r="S337" s="356">
        <f t="shared" si="113"/>
        <v>1142.4399999999989</v>
      </c>
      <c r="U337" s="356">
        <f t="shared" si="114"/>
        <v>-2.1124999999999989</v>
      </c>
      <c r="V337" s="238">
        <f t="shared" si="118"/>
        <v>8</v>
      </c>
      <c r="W337" s="354"/>
      <c r="X337" s="371"/>
      <c r="Y337" s="371"/>
      <c r="Z337" s="238">
        <v>2016</v>
      </c>
      <c r="AA337" s="367">
        <f>LARGE($CU$304:$CU$453,34)</f>
        <v>191.1</v>
      </c>
      <c r="AB337" s="357">
        <f t="shared" si="115"/>
        <v>-20.600000000000023</v>
      </c>
      <c r="AC337" s="356">
        <f t="shared" si="117"/>
        <v>424.36000000000092</v>
      </c>
      <c r="AD337" s="356"/>
      <c r="AE337" s="356">
        <f t="shared" si="116"/>
        <v>-1.2875000000000014</v>
      </c>
      <c r="AF337" s="238">
        <f t="shared" si="119"/>
        <v>8</v>
      </c>
      <c r="AG337" s="354"/>
      <c r="AK337"/>
      <c r="AL337"/>
      <c r="AM337"/>
      <c r="AN337"/>
      <c r="AO337"/>
      <c r="AP337"/>
      <c r="BI337" s="360"/>
      <c r="BJ337" s="354"/>
      <c r="BK337" s="366">
        <v>2016</v>
      </c>
      <c r="BL337" s="365" t="s">
        <v>987</v>
      </c>
      <c r="BM337" s="366" t="s">
        <v>138</v>
      </c>
      <c r="BN337" s="366" t="s">
        <v>3</v>
      </c>
      <c r="BO337" s="366">
        <v>0</v>
      </c>
      <c r="BP337" s="366">
        <v>0</v>
      </c>
      <c r="BQ337" s="366">
        <v>0</v>
      </c>
      <c r="BR337" s="366">
        <v>402</v>
      </c>
      <c r="BS337" s="366">
        <v>6</v>
      </c>
      <c r="BT337" s="366">
        <v>32</v>
      </c>
      <c r="BU337" s="366">
        <v>263</v>
      </c>
      <c r="BV337" s="366">
        <v>0</v>
      </c>
      <c r="BW337" s="366">
        <v>0</v>
      </c>
      <c r="BX337" s="366">
        <v>0</v>
      </c>
      <c r="BY337" s="366">
        <v>11</v>
      </c>
      <c r="BZ337" s="366">
        <v>0</v>
      </c>
      <c r="CA337" s="366">
        <v>1</v>
      </c>
      <c r="CB337" s="367">
        <f>IFERROR(BO337/Instructions!$J$25,0)+BP337*Instructions!$J$27+BQ337*Instructions!$J$29+IFERROR(BR337/Instructions!$E$34,0)+BS337*Instructions!$E$36+Tier!BT338*Instructions!$E$25+IFERROR(BU337/Instructions!$E$27,0)+BV337*Instructions!$E$29+IFERROR((BW337+BY337)/Instructions!$J$32,0)+(BX337+BZ337)*Instructions!$J$34+Tier!CA337*-2</f>
        <v>160.5</v>
      </c>
      <c r="CC337" s="354"/>
      <c r="CD337" s="238">
        <v>2016</v>
      </c>
      <c r="CE337" s="365" t="s">
        <v>69</v>
      </c>
      <c r="CF337" s="366" t="s">
        <v>152</v>
      </c>
      <c r="CG337" s="366" t="s">
        <v>6</v>
      </c>
      <c r="CH337" s="366">
        <v>0</v>
      </c>
      <c r="CI337" s="366">
        <v>0</v>
      </c>
      <c r="CJ337" s="366">
        <v>0</v>
      </c>
      <c r="CK337" s="366">
        <v>0</v>
      </c>
      <c r="CL337" s="366">
        <v>0</v>
      </c>
      <c r="CM337" s="366">
        <v>56</v>
      </c>
      <c r="CN337" s="366">
        <v>1005</v>
      </c>
      <c r="CO337" s="366">
        <v>4</v>
      </c>
      <c r="CP337" s="366">
        <v>0</v>
      </c>
      <c r="CQ337" s="366">
        <v>0</v>
      </c>
      <c r="CR337" s="366">
        <v>0</v>
      </c>
      <c r="CS337" s="366">
        <v>0</v>
      </c>
      <c r="CT337" s="366">
        <v>0</v>
      </c>
      <c r="CU337" s="367">
        <f>IFERROR(CH337/Instructions!$J$25,0)+CI337*Instructions!$J$27+CJ337*Instructions!$J$29+IFERROR(CK337/Instructions!$E$34,0)+CL337*Instructions!$E$36+Tier!CM337*Instructions!$E$25+IFERROR(CN337/Instructions!$E$27,0)+CO337*Instructions!$E$29+IFERROR((CP337+CR337)/Instructions!$J$32,0)+(CQ337+CS337)*Instructions!$J$34+Tier!CT337*-2</f>
        <v>180.5</v>
      </c>
      <c r="CV337" s="354"/>
      <c r="CW337"/>
      <c r="CX337"/>
      <c r="CY337"/>
      <c r="CZ337"/>
      <c r="DA337"/>
      <c r="DB337"/>
      <c r="DC337"/>
      <c r="DD337"/>
      <c r="DE337"/>
      <c r="DF337"/>
      <c r="DG337"/>
      <c r="DH337"/>
      <c r="DI337"/>
      <c r="DJ337"/>
      <c r="DK337"/>
      <c r="DL337"/>
      <c r="DM337"/>
      <c r="DN337"/>
    </row>
    <row r="338" spans="3:118" s="238" customFormat="1" ht="15.75" customHeight="1" x14ac:dyDescent="0.25">
      <c r="C338"/>
      <c r="D338"/>
      <c r="E338"/>
      <c r="F338"/>
      <c r="G338"/>
      <c r="H338"/>
      <c r="I338"/>
      <c r="J338"/>
      <c r="K338"/>
      <c r="L338"/>
      <c r="M338"/>
      <c r="N338"/>
      <c r="O338" s="371"/>
      <c r="P338" s="366">
        <v>2016</v>
      </c>
      <c r="Q338" s="367">
        <f>LARGE($CB$304:$CB$453,35)</f>
        <v>127.5</v>
      </c>
      <c r="R338" s="357">
        <f t="shared" si="112"/>
        <v>-37.099999999999994</v>
      </c>
      <c r="S338" s="356">
        <f t="shared" si="113"/>
        <v>1376.4099999999996</v>
      </c>
      <c r="U338" s="356">
        <f t="shared" si="114"/>
        <v>-2.3187499999999996</v>
      </c>
      <c r="V338" s="238">
        <f t="shared" si="118"/>
        <v>8</v>
      </c>
      <c r="W338" s="354"/>
      <c r="X338" s="371"/>
      <c r="Y338" s="371"/>
      <c r="Z338" s="238">
        <v>2016</v>
      </c>
      <c r="AA338" s="367">
        <f>LARGE($CU$304:$CU$453,35)</f>
        <v>189</v>
      </c>
      <c r="AB338" s="357">
        <f t="shared" si="115"/>
        <v>-22.700000000000017</v>
      </c>
      <c r="AC338" s="356">
        <f t="shared" si="117"/>
        <v>515.29000000000076</v>
      </c>
      <c r="AD338" s="356"/>
      <c r="AE338" s="356">
        <f t="shared" si="116"/>
        <v>-1.4187500000000011</v>
      </c>
      <c r="AF338" s="238">
        <f t="shared" si="119"/>
        <v>8</v>
      </c>
      <c r="AG338" s="354"/>
      <c r="AK338"/>
      <c r="AL338"/>
      <c r="AM338"/>
      <c r="AN338"/>
      <c r="AO338"/>
      <c r="AP338"/>
      <c r="BI338" s="360"/>
      <c r="BJ338" s="354"/>
      <c r="BK338" s="366">
        <v>2016</v>
      </c>
      <c r="BL338" s="365" t="s">
        <v>185</v>
      </c>
      <c r="BM338" s="366" t="s">
        <v>1628</v>
      </c>
      <c r="BN338" s="366" t="s">
        <v>3</v>
      </c>
      <c r="BO338" s="366">
        <v>0</v>
      </c>
      <c r="BP338" s="366">
        <v>0</v>
      </c>
      <c r="BQ338" s="366">
        <v>0</v>
      </c>
      <c r="BR338" s="366">
        <v>166</v>
      </c>
      <c r="BS338" s="366">
        <v>0</v>
      </c>
      <c r="BT338" s="366">
        <v>60</v>
      </c>
      <c r="BU338" s="366">
        <v>551</v>
      </c>
      <c r="BV338" s="366">
        <v>5</v>
      </c>
      <c r="BW338" s="366">
        <v>0</v>
      </c>
      <c r="BX338" s="366">
        <v>0</v>
      </c>
      <c r="BY338" s="366">
        <v>28</v>
      </c>
      <c r="BZ338" s="366">
        <v>0</v>
      </c>
      <c r="CA338" s="366">
        <v>0</v>
      </c>
      <c r="CB338" s="367">
        <f>IFERROR(BO338/Instructions!$J$25,0)+BP338*Instructions!$J$27+BQ338*Instructions!$J$29+IFERROR(BR338/Instructions!$E$34,0)+BS338*Instructions!$E$36+Tier!BT339*Instructions!$E$25+IFERROR(BU338/Instructions!$E$27,0)+BV338*Instructions!$E$29+IFERROR((BW338+BY338)/Instructions!$J$32,0)+(BX338+BZ338)*Instructions!$J$34+Tier!CA338*-2</f>
        <v>144.69999999999999</v>
      </c>
      <c r="CC338" s="354"/>
      <c r="CD338" s="238">
        <v>2016</v>
      </c>
      <c r="CE338" s="365" t="s">
        <v>190</v>
      </c>
      <c r="CF338" s="366" t="s">
        <v>1613</v>
      </c>
      <c r="CG338" s="366" t="s">
        <v>6</v>
      </c>
      <c r="CH338" s="366">
        <v>0</v>
      </c>
      <c r="CI338" s="366">
        <v>0</v>
      </c>
      <c r="CJ338" s="366">
        <v>0</v>
      </c>
      <c r="CK338" s="366">
        <v>0</v>
      </c>
      <c r="CL338" s="366">
        <v>0</v>
      </c>
      <c r="CM338" s="366">
        <v>73</v>
      </c>
      <c r="CN338" s="366">
        <v>883</v>
      </c>
      <c r="CO338" s="366">
        <v>6</v>
      </c>
      <c r="CP338" s="366">
        <v>0</v>
      </c>
      <c r="CQ338" s="366">
        <v>0</v>
      </c>
      <c r="CR338" s="366">
        <v>0</v>
      </c>
      <c r="CS338" s="366">
        <v>0</v>
      </c>
      <c r="CT338" s="366">
        <v>0</v>
      </c>
      <c r="CU338" s="367">
        <f>IFERROR(CH338/Instructions!$J$25,0)+CI338*Instructions!$J$27+CJ338*Instructions!$J$29+IFERROR(CK338/Instructions!$E$34,0)+CL338*Instructions!$E$36+Tier!CM338*Instructions!$E$25+IFERROR(CN338/Instructions!$E$27,0)+CO338*Instructions!$E$29+IFERROR((CP338+CR338)/Instructions!$J$32,0)+(CQ338+CS338)*Instructions!$J$34+Tier!CT338*-2</f>
        <v>197.3</v>
      </c>
      <c r="CV338" s="354"/>
      <c r="CW338"/>
      <c r="CX338"/>
      <c r="CY338"/>
      <c r="CZ338"/>
      <c r="DA338"/>
      <c r="DB338"/>
      <c r="DC338"/>
      <c r="DD338"/>
      <c r="DE338"/>
      <c r="DF338"/>
      <c r="DG338"/>
      <c r="DH338"/>
      <c r="DI338"/>
      <c r="DJ338"/>
      <c r="DK338"/>
      <c r="DL338"/>
      <c r="DM338"/>
      <c r="DN338"/>
    </row>
    <row r="339" spans="3:118" s="238" customFormat="1" ht="15.75" customHeight="1" x14ac:dyDescent="0.25">
      <c r="C339"/>
      <c r="D339"/>
      <c r="E339"/>
      <c r="F339"/>
      <c r="G339"/>
      <c r="H339"/>
      <c r="I339"/>
      <c r="J339"/>
      <c r="K339"/>
      <c r="L339"/>
      <c r="M339"/>
      <c r="N339"/>
      <c r="O339" s="371"/>
      <c r="P339" s="366">
        <v>2016</v>
      </c>
      <c r="Q339" s="367">
        <f>LARGE($CB$304:$CB$453,36)</f>
        <v>125.5</v>
      </c>
      <c r="R339" s="357">
        <f t="shared" si="112"/>
        <v>-39.099999999999994</v>
      </c>
      <c r="S339" s="356">
        <f t="shared" si="113"/>
        <v>1528.8099999999995</v>
      </c>
      <c r="U339" s="356">
        <f t="shared" si="114"/>
        <v>-2.4437499999999996</v>
      </c>
      <c r="V339" s="238">
        <f t="shared" si="118"/>
        <v>8</v>
      </c>
      <c r="W339" s="354"/>
      <c r="X339" s="371"/>
      <c r="Y339" s="371"/>
      <c r="Z339" s="238">
        <v>2016</v>
      </c>
      <c r="AA339" s="367">
        <f>LARGE($CU$304:$CU$453,36)</f>
        <v>186.4</v>
      </c>
      <c r="AB339" s="357">
        <f t="shared" si="115"/>
        <v>-25.300000000000011</v>
      </c>
      <c r="AC339" s="356">
        <f t="shared" si="117"/>
        <v>640.0900000000006</v>
      </c>
      <c r="AD339" s="356"/>
      <c r="AE339" s="356">
        <f t="shared" si="116"/>
        <v>-1.5812500000000007</v>
      </c>
      <c r="AF339" s="238">
        <f t="shared" si="119"/>
        <v>8</v>
      </c>
      <c r="AG339" s="354"/>
      <c r="AK339"/>
      <c r="AL339"/>
      <c r="AM339"/>
      <c r="AN339"/>
      <c r="AO339"/>
      <c r="AP339"/>
      <c r="BI339" s="360"/>
      <c r="BJ339" s="354"/>
      <c r="BK339" s="366">
        <v>2016</v>
      </c>
      <c r="BL339" s="365" t="s">
        <v>986</v>
      </c>
      <c r="BM339" s="366" t="s">
        <v>138</v>
      </c>
      <c r="BN339" s="366" t="s">
        <v>3</v>
      </c>
      <c r="BO339" s="366">
        <v>0</v>
      </c>
      <c r="BP339" s="366">
        <v>0</v>
      </c>
      <c r="BQ339" s="366">
        <v>0</v>
      </c>
      <c r="BR339" s="366">
        <v>539</v>
      </c>
      <c r="BS339" s="366">
        <v>2</v>
      </c>
      <c r="BT339" s="366">
        <v>43</v>
      </c>
      <c r="BU339" s="366">
        <v>255</v>
      </c>
      <c r="BV339" s="366">
        <v>2</v>
      </c>
      <c r="BW339" s="366">
        <v>0</v>
      </c>
      <c r="BX339" s="366">
        <v>0</v>
      </c>
      <c r="BY339" s="366">
        <v>0</v>
      </c>
      <c r="BZ339" s="366">
        <v>0</v>
      </c>
      <c r="CA339" s="366">
        <v>0</v>
      </c>
      <c r="CB339" s="367">
        <f>IFERROR(BO339/Instructions!$J$25,0)+BP339*Instructions!$J$27+BQ339*Instructions!$J$29+IFERROR(BR339/Instructions!$E$34,0)+BS339*Instructions!$E$36+Tier!BT340*Instructions!$E$25+IFERROR(BU339/Instructions!$E$27,0)+BV339*Instructions!$E$29+IFERROR((BW339+BY339)/Instructions!$J$32,0)+(BX339+BZ339)*Instructions!$J$34+Tier!CA339*-2</f>
        <v>156.4</v>
      </c>
      <c r="CC339" s="354"/>
      <c r="CD339" s="238">
        <v>2016</v>
      </c>
      <c r="CE339" s="365" t="s">
        <v>57</v>
      </c>
      <c r="CF339" s="366" t="s">
        <v>152</v>
      </c>
      <c r="CG339" s="366" t="s">
        <v>6</v>
      </c>
      <c r="CH339" s="366">
        <v>0</v>
      </c>
      <c r="CI339" s="366">
        <v>0</v>
      </c>
      <c r="CJ339" s="366">
        <v>0</v>
      </c>
      <c r="CK339" s="366">
        <v>0</v>
      </c>
      <c r="CL339" s="366">
        <v>0</v>
      </c>
      <c r="CM339" s="366">
        <v>79</v>
      </c>
      <c r="CN339" s="366">
        <v>1041</v>
      </c>
      <c r="CO339" s="366">
        <v>3</v>
      </c>
      <c r="CP339" s="366">
        <v>0</v>
      </c>
      <c r="CQ339" s="366">
        <v>0</v>
      </c>
      <c r="CR339" s="366">
        <v>0</v>
      </c>
      <c r="CS339" s="366">
        <v>0</v>
      </c>
      <c r="CT339" s="366">
        <v>0</v>
      </c>
      <c r="CU339" s="367">
        <f>IFERROR(CH339/Instructions!$J$25,0)+CI339*Instructions!$J$27+CJ339*Instructions!$J$29+IFERROR(CK339/Instructions!$E$34,0)+CL339*Instructions!$E$36+Tier!CM339*Instructions!$E$25+IFERROR(CN339/Instructions!$E$27,0)+CO339*Instructions!$E$29+IFERROR((CP339+CR339)/Instructions!$J$32,0)+(CQ339+CS339)*Instructions!$J$34+Tier!CT339*-2</f>
        <v>201.1</v>
      </c>
      <c r="CV339" s="354"/>
      <c r="CW339"/>
      <c r="CX339"/>
      <c r="CY339"/>
      <c r="CZ339"/>
      <c r="DA339"/>
      <c r="DB339"/>
      <c r="DC339"/>
      <c r="DD339"/>
      <c r="DE339"/>
      <c r="DF339"/>
      <c r="DG339"/>
      <c r="DH339"/>
      <c r="DI339"/>
      <c r="DJ339"/>
      <c r="DK339"/>
      <c r="DL339"/>
      <c r="DM339"/>
      <c r="DN339"/>
    </row>
    <row r="340" spans="3:118" s="238" customFormat="1" ht="15.75" customHeight="1" x14ac:dyDescent="0.25">
      <c r="C340"/>
      <c r="D340"/>
      <c r="E340"/>
      <c r="F340"/>
      <c r="G340"/>
      <c r="H340"/>
      <c r="I340"/>
      <c r="J340"/>
      <c r="K340"/>
      <c r="L340"/>
      <c r="M340"/>
      <c r="N340"/>
      <c r="O340" s="371"/>
      <c r="P340" s="366">
        <v>2016</v>
      </c>
      <c r="Q340" s="367">
        <f>LARGE($CB$304:$CB$453,37)</f>
        <v>124</v>
      </c>
      <c r="R340" s="357">
        <f t="shared" si="112"/>
        <v>-40.599999999999994</v>
      </c>
      <c r="S340" s="356">
        <f t="shared" si="113"/>
        <v>1648.3599999999994</v>
      </c>
      <c r="U340" s="356">
        <f t="shared" si="114"/>
        <v>-2.5374999999999996</v>
      </c>
      <c r="V340" s="238">
        <f t="shared" si="118"/>
        <v>8</v>
      </c>
      <c r="W340" s="354"/>
      <c r="X340" s="371"/>
      <c r="Y340" s="371"/>
      <c r="Z340" s="238">
        <v>2016</v>
      </c>
      <c r="AA340" s="367">
        <f>LARGE($CU$304:$CU$453,37)</f>
        <v>186</v>
      </c>
      <c r="AB340" s="357">
        <f t="shared" si="115"/>
        <v>-25.700000000000017</v>
      </c>
      <c r="AC340" s="356">
        <f t="shared" si="117"/>
        <v>660.49000000000092</v>
      </c>
      <c r="AD340" s="356"/>
      <c r="AE340" s="356">
        <f t="shared" si="116"/>
        <v>-1.6062500000000011</v>
      </c>
      <c r="AF340" s="238">
        <f t="shared" si="119"/>
        <v>8</v>
      </c>
      <c r="AG340" s="354"/>
      <c r="AK340"/>
      <c r="AL340"/>
      <c r="AM340"/>
      <c r="AN340"/>
      <c r="AO340"/>
      <c r="AP340"/>
      <c r="BI340" s="360"/>
      <c r="BJ340" s="354"/>
      <c r="BK340" s="366">
        <v>2016</v>
      </c>
      <c r="BL340" s="365" t="s">
        <v>1136</v>
      </c>
      <c r="BM340" s="366" t="s">
        <v>161</v>
      </c>
      <c r="BN340" s="366" t="s">
        <v>3</v>
      </c>
      <c r="BO340" s="366">
        <v>0</v>
      </c>
      <c r="BP340" s="366">
        <v>0</v>
      </c>
      <c r="BQ340" s="366">
        <v>0</v>
      </c>
      <c r="BR340" s="366">
        <v>358</v>
      </c>
      <c r="BS340" s="366">
        <v>1</v>
      </c>
      <c r="BT340" s="366">
        <v>53</v>
      </c>
      <c r="BU340" s="366">
        <v>514</v>
      </c>
      <c r="BV340" s="366">
        <v>0</v>
      </c>
      <c r="BW340" s="366">
        <v>112</v>
      </c>
      <c r="BX340" s="366">
        <v>0</v>
      </c>
      <c r="BY340" s="366">
        <v>19</v>
      </c>
      <c r="BZ340" s="366">
        <v>0</v>
      </c>
      <c r="CA340" s="366">
        <v>0</v>
      </c>
      <c r="CB340" s="367">
        <f>IFERROR(BO340/Instructions!$J$25,0)+BP340*Instructions!$J$27+BQ340*Instructions!$J$29+IFERROR(BR340/Instructions!$E$34,0)+BS340*Instructions!$E$36+Tier!BT341*Instructions!$E$25+IFERROR(BU340/Instructions!$E$27,0)+BV340*Instructions!$E$29+IFERROR((BW340+BY340)/Instructions!$J$32,0)+(BX340+BZ340)*Instructions!$J$34+Tier!CA340*-2</f>
        <v>143.19999999999999</v>
      </c>
      <c r="CC340" s="354"/>
      <c r="CD340" s="238">
        <v>2016</v>
      </c>
      <c r="CE340" s="365" t="s">
        <v>132</v>
      </c>
      <c r="CF340" s="366" t="s">
        <v>145</v>
      </c>
      <c r="CG340" s="366" t="s">
        <v>6</v>
      </c>
      <c r="CH340" s="366">
        <v>0</v>
      </c>
      <c r="CI340" s="366">
        <v>0</v>
      </c>
      <c r="CJ340" s="366">
        <v>0</v>
      </c>
      <c r="CK340" s="366">
        <v>-2</v>
      </c>
      <c r="CL340" s="366">
        <v>0</v>
      </c>
      <c r="CM340" s="366">
        <v>64</v>
      </c>
      <c r="CN340" s="366">
        <v>862</v>
      </c>
      <c r="CO340" s="366">
        <v>6</v>
      </c>
      <c r="CP340" s="366">
        <v>0</v>
      </c>
      <c r="CQ340" s="366">
        <v>0</v>
      </c>
      <c r="CR340" s="366">
        <v>0</v>
      </c>
      <c r="CS340" s="366">
        <v>0</v>
      </c>
      <c r="CT340" s="366">
        <v>0</v>
      </c>
      <c r="CU340" s="367">
        <f>IFERROR(CH340/Instructions!$J$25,0)+CI340*Instructions!$J$27+CJ340*Instructions!$J$29+IFERROR(CK340/Instructions!$E$34,0)+CL340*Instructions!$E$36+Tier!CM340*Instructions!$E$25+IFERROR(CN340/Instructions!$E$27,0)+CO340*Instructions!$E$29+IFERROR((CP340+CR340)/Instructions!$J$32,0)+(CQ340+CS340)*Instructions!$J$34+Tier!CT340*-2</f>
        <v>186</v>
      </c>
      <c r="CV340" s="354"/>
      <c r="CW340"/>
      <c r="CX340"/>
      <c r="CY340"/>
      <c r="CZ340"/>
      <c r="DA340"/>
      <c r="DB340"/>
      <c r="DC340"/>
      <c r="DD340"/>
      <c r="DE340"/>
      <c r="DF340"/>
      <c r="DG340"/>
      <c r="DH340"/>
      <c r="DI340"/>
      <c r="DJ340"/>
      <c r="DK340"/>
      <c r="DL340"/>
      <c r="DM340"/>
      <c r="DN340"/>
    </row>
    <row r="341" spans="3:118" s="238" customFormat="1" ht="15.75" customHeight="1" x14ac:dyDescent="0.25">
      <c r="C341"/>
      <c r="D341"/>
      <c r="E341"/>
      <c r="F341"/>
      <c r="G341"/>
      <c r="H341"/>
      <c r="I341"/>
      <c r="J341"/>
      <c r="K341"/>
      <c r="L341"/>
      <c r="M341"/>
      <c r="N341"/>
      <c r="O341" s="371"/>
      <c r="P341" s="366">
        <v>2016</v>
      </c>
      <c r="Q341" s="367">
        <f>LARGE($CB$304:$CB$453,38)</f>
        <v>122.5</v>
      </c>
      <c r="R341" s="357">
        <f t="shared" si="112"/>
        <v>-42.099999999999994</v>
      </c>
      <c r="S341" s="356">
        <f t="shared" si="113"/>
        <v>1772.4099999999996</v>
      </c>
      <c r="U341" s="356">
        <f t="shared" si="114"/>
        <v>-2.6312499999999996</v>
      </c>
      <c r="V341" s="238">
        <f t="shared" si="118"/>
        <v>8</v>
      </c>
      <c r="W341" s="354"/>
      <c r="X341" s="371"/>
      <c r="Y341" s="371"/>
      <c r="Z341" s="238">
        <v>2016</v>
      </c>
      <c r="AA341" s="367">
        <f>LARGE($CU$304:$CU$453,38)</f>
        <v>184.39999999999998</v>
      </c>
      <c r="AB341" s="357">
        <f t="shared" si="115"/>
        <v>-27.30000000000004</v>
      </c>
      <c r="AC341" s="356">
        <f t="shared" si="117"/>
        <v>745.29000000000212</v>
      </c>
      <c r="AD341" s="356"/>
      <c r="AE341" s="356">
        <f t="shared" si="116"/>
        <v>-1.7062500000000025</v>
      </c>
      <c r="AF341" s="238">
        <f t="shared" si="119"/>
        <v>8</v>
      </c>
      <c r="AG341" s="354"/>
      <c r="AK341"/>
      <c r="AL341"/>
      <c r="AM341"/>
      <c r="AN341"/>
      <c r="AO341"/>
      <c r="AP341"/>
      <c r="BI341" s="360"/>
      <c r="BJ341" s="354"/>
      <c r="BK341" s="366">
        <v>2016</v>
      </c>
      <c r="BL341" s="365" t="s">
        <v>1128</v>
      </c>
      <c r="BM341" s="366" t="s">
        <v>1613</v>
      </c>
      <c r="BN341" s="366" t="s">
        <v>3</v>
      </c>
      <c r="BO341" s="366">
        <v>0</v>
      </c>
      <c r="BP341" s="366">
        <v>0</v>
      </c>
      <c r="BQ341" s="366">
        <v>0</v>
      </c>
      <c r="BR341" s="366">
        <v>465</v>
      </c>
      <c r="BS341" s="366">
        <v>1</v>
      </c>
      <c r="BT341" s="366">
        <v>50</v>
      </c>
      <c r="BU341" s="366">
        <v>312</v>
      </c>
      <c r="BV341" s="366">
        <v>1</v>
      </c>
      <c r="BW341" s="366">
        <v>0</v>
      </c>
      <c r="BX341" s="366">
        <v>0</v>
      </c>
      <c r="BY341" s="366">
        <v>0</v>
      </c>
      <c r="BZ341" s="366">
        <v>0</v>
      </c>
      <c r="CA341" s="366">
        <v>1</v>
      </c>
      <c r="CB341" s="367">
        <f>IFERROR(BO341/Instructions!$J$25,0)+BP341*Instructions!$J$27+BQ341*Instructions!$J$29+IFERROR(BR341/Instructions!$E$34,0)+BS341*Instructions!$E$36+Tier!BT342*Instructions!$E$25+IFERROR(BU341/Instructions!$E$27,0)+BV341*Instructions!$E$29+IFERROR((BW341+BY341)/Instructions!$J$32,0)+(BX341+BZ341)*Instructions!$J$34+Tier!CA341*-2</f>
        <v>100.7</v>
      </c>
      <c r="CC341" s="354"/>
      <c r="CD341" s="238">
        <v>2016</v>
      </c>
      <c r="CE341" s="365" t="s">
        <v>21</v>
      </c>
      <c r="CF341" s="366" t="s">
        <v>145</v>
      </c>
      <c r="CG341" s="366" t="s">
        <v>6</v>
      </c>
      <c r="CH341" s="366">
        <v>0</v>
      </c>
      <c r="CI341" s="366">
        <v>0</v>
      </c>
      <c r="CJ341" s="366">
        <v>0</v>
      </c>
      <c r="CK341" s="366">
        <v>0</v>
      </c>
      <c r="CL341" s="366">
        <v>0</v>
      </c>
      <c r="CM341" s="366">
        <v>66</v>
      </c>
      <c r="CN341" s="366">
        <v>964</v>
      </c>
      <c r="CO341" s="366">
        <v>4</v>
      </c>
      <c r="CP341" s="366">
        <v>0</v>
      </c>
      <c r="CQ341" s="366">
        <v>0</v>
      </c>
      <c r="CR341" s="366">
        <v>0</v>
      </c>
      <c r="CS341" s="366">
        <v>0</v>
      </c>
      <c r="CT341" s="366">
        <v>0</v>
      </c>
      <c r="CU341" s="367">
        <f>IFERROR(CH341/Instructions!$J$25,0)+CI341*Instructions!$J$27+CJ341*Instructions!$J$29+IFERROR(CK341/Instructions!$E$34,0)+CL341*Instructions!$E$36+Tier!CM341*Instructions!$E$25+IFERROR(CN341/Instructions!$E$27,0)+CO341*Instructions!$E$29+IFERROR((CP341+CR341)/Instructions!$J$32,0)+(CQ341+CS341)*Instructions!$J$34+Tier!CT341*-2</f>
        <v>186.4</v>
      </c>
      <c r="CV341" s="354"/>
      <c r="CW341"/>
      <c r="CX341"/>
      <c r="CY341"/>
      <c r="CZ341"/>
      <c r="DA341"/>
      <c r="DB341"/>
      <c r="DC341"/>
      <c r="DD341"/>
      <c r="DE341"/>
      <c r="DF341"/>
      <c r="DG341"/>
      <c r="DH341"/>
      <c r="DI341"/>
      <c r="DJ341"/>
      <c r="DK341"/>
      <c r="DL341"/>
      <c r="DM341"/>
      <c r="DN341"/>
    </row>
    <row r="342" spans="3:118" s="238" customFormat="1" ht="15.75" customHeight="1" x14ac:dyDescent="0.25">
      <c r="C342"/>
      <c r="D342"/>
      <c r="E342"/>
      <c r="F342"/>
      <c r="G342"/>
      <c r="H342"/>
      <c r="I342"/>
      <c r="J342"/>
      <c r="K342"/>
      <c r="L342"/>
      <c r="M342"/>
      <c r="N342"/>
      <c r="O342" s="371"/>
      <c r="P342" s="366">
        <v>2016</v>
      </c>
      <c r="Q342" s="367">
        <f>LARGE($CB$304:$CB$453,39)</f>
        <v>111.1</v>
      </c>
      <c r="R342" s="357">
        <f t="shared" si="112"/>
        <v>-53.5</v>
      </c>
      <c r="S342" s="356">
        <f t="shared" si="113"/>
        <v>2862.25</v>
      </c>
      <c r="U342" s="356">
        <f t="shared" si="114"/>
        <v>-3.34375</v>
      </c>
      <c r="V342" s="238">
        <f t="shared" si="118"/>
        <v>8</v>
      </c>
      <c r="W342" s="354"/>
      <c r="X342" s="371"/>
      <c r="Y342" s="371"/>
      <c r="Z342" s="238">
        <v>2016</v>
      </c>
      <c r="AA342" s="367">
        <f>LARGE($CU$304:$CU$453,39)</f>
        <v>180.5</v>
      </c>
      <c r="AB342" s="357">
        <f t="shared" si="115"/>
        <v>-31.200000000000017</v>
      </c>
      <c r="AC342" s="356">
        <f t="shared" si="117"/>
        <v>973.44000000000108</v>
      </c>
      <c r="AD342" s="356"/>
      <c r="AE342" s="356">
        <f t="shared" si="116"/>
        <v>-1.9500000000000011</v>
      </c>
      <c r="AF342" s="238">
        <f t="shared" si="119"/>
        <v>8</v>
      </c>
      <c r="AG342" s="354"/>
      <c r="AK342"/>
      <c r="AL342"/>
      <c r="AM342"/>
      <c r="AN342"/>
      <c r="AO342"/>
      <c r="AP342"/>
      <c r="BI342" s="360"/>
      <c r="BJ342" s="354"/>
      <c r="BK342" s="366">
        <v>2016</v>
      </c>
      <c r="BL342" s="365" t="s">
        <v>1180</v>
      </c>
      <c r="BM342" s="366" t="s">
        <v>163</v>
      </c>
      <c r="BN342" s="366" t="s">
        <v>3</v>
      </c>
      <c r="BO342" s="366">
        <v>0</v>
      </c>
      <c r="BP342" s="366">
        <v>0</v>
      </c>
      <c r="BQ342" s="366">
        <v>0</v>
      </c>
      <c r="BR342" s="366">
        <v>490</v>
      </c>
      <c r="BS342" s="366">
        <v>5</v>
      </c>
      <c r="BT342" s="366">
        <v>13</v>
      </c>
      <c r="BU342" s="366">
        <v>137</v>
      </c>
      <c r="BV342" s="366">
        <v>0</v>
      </c>
      <c r="BW342" s="366">
        <v>0</v>
      </c>
      <c r="BX342" s="366">
        <v>0</v>
      </c>
      <c r="BY342" s="366">
        <v>0</v>
      </c>
      <c r="BZ342" s="366">
        <v>0</v>
      </c>
      <c r="CA342" s="366">
        <v>0</v>
      </c>
      <c r="CB342" s="367">
        <f>IFERROR(BO342/Instructions!$J$25,0)+BP342*Instructions!$J$27+BQ342*Instructions!$J$29+IFERROR(BR342/Instructions!$E$34,0)+BS342*Instructions!$E$36+Tier!BT343*Instructions!$E$25+IFERROR(BU342/Instructions!$E$27,0)+BV342*Instructions!$E$29+IFERROR((BW342+BY342)/Instructions!$J$32,0)+(BX342+BZ342)*Instructions!$J$34+Tier!CA342*-2</f>
        <v>108.7</v>
      </c>
      <c r="CC342" s="354"/>
      <c r="CD342" s="238">
        <v>2016</v>
      </c>
      <c r="CE342" s="365" t="s">
        <v>1185</v>
      </c>
      <c r="CF342" s="366" t="s">
        <v>1625</v>
      </c>
      <c r="CG342" s="366" t="s">
        <v>6</v>
      </c>
      <c r="CH342" s="366">
        <v>50</v>
      </c>
      <c r="CI342" s="366">
        <v>1</v>
      </c>
      <c r="CJ342" s="366">
        <v>0</v>
      </c>
      <c r="CK342" s="366">
        <v>0</v>
      </c>
      <c r="CL342" s="366">
        <v>0</v>
      </c>
      <c r="CM342" s="366">
        <v>72</v>
      </c>
      <c r="CN342" s="366">
        <v>895</v>
      </c>
      <c r="CO342" s="366">
        <v>4</v>
      </c>
      <c r="CP342" s="366">
        <v>0</v>
      </c>
      <c r="CQ342" s="366">
        <v>0</v>
      </c>
      <c r="CR342" s="366">
        <v>0</v>
      </c>
      <c r="CS342" s="366">
        <v>0</v>
      </c>
      <c r="CT342" s="366">
        <v>0</v>
      </c>
      <c r="CU342" s="367">
        <f>IFERROR(CH342/Instructions!$J$25,0)+CI342*Instructions!$J$27+CJ342*Instructions!$J$29+IFERROR(CK342/Instructions!$E$34,0)+CL342*Instructions!$E$36+Tier!CM342*Instructions!$E$25+IFERROR(CN342/Instructions!$E$27,0)+CO342*Instructions!$E$29+IFERROR((CP342+CR342)/Instructions!$J$32,0)+(CQ342+CS342)*Instructions!$J$34+Tier!CT342*-2</f>
        <v>191.5</v>
      </c>
      <c r="CV342" s="354"/>
      <c r="CW342"/>
      <c r="CX342"/>
      <c r="CY342"/>
      <c r="CZ342"/>
      <c r="DA342"/>
      <c r="DB342"/>
      <c r="DC342"/>
      <c r="DD342"/>
      <c r="DE342"/>
      <c r="DF342"/>
      <c r="DG342"/>
      <c r="DH342"/>
      <c r="DI342"/>
      <c r="DJ342"/>
      <c r="DK342"/>
      <c r="DL342"/>
      <c r="DM342"/>
      <c r="DN342"/>
    </row>
    <row r="343" spans="3:118" s="238" customFormat="1" ht="15.75" customHeight="1" x14ac:dyDescent="0.25">
      <c r="C343"/>
      <c r="D343"/>
      <c r="E343"/>
      <c r="F343"/>
      <c r="G343"/>
      <c r="H343"/>
      <c r="I343"/>
      <c r="J343"/>
      <c r="K343"/>
      <c r="L343"/>
      <c r="M343"/>
      <c r="N343"/>
      <c r="O343" s="371"/>
      <c r="P343" s="366">
        <v>2016</v>
      </c>
      <c r="Q343" s="367">
        <f>LARGE($CB$304:$CB$453,40)</f>
        <v>109.30000000000001</v>
      </c>
      <c r="R343" s="357">
        <f t="shared" si="112"/>
        <v>-55.299999999999983</v>
      </c>
      <c r="S343" s="356">
        <f t="shared" si="113"/>
        <v>3058.0899999999983</v>
      </c>
      <c r="U343" s="356">
        <f t="shared" si="114"/>
        <v>-3.4562499999999989</v>
      </c>
      <c r="V343" s="238">
        <f t="shared" si="118"/>
        <v>8</v>
      </c>
      <c r="W343" s="354"/>
      <c r="X343" s="371"/>
      <c r="Y343" s="371"/>
      <c r="Z343" s="238">
        <v>2016</v>
      </c>
      <c r="AA343" s="367">
        <f>LARGE($CU$304:$CU$453,40)</f>
        <v>180.39999999999998</v>
      </c>
      <c r="AB343" s="357">
        <f t="shared" si="115"/>
        <v>-31.30000000000004</v>
      </c>
      <c r="AC343" s="356">
        <f t="shared" si="117"/>
        <v>979.69000000000244</v>
      </c>
      <c r="AD343" s="356"/>
      <c r="AE343" s="356">
        <f t="shared" si="116"/>
        <v>-1.9562500000000025</v>
      </c>
      <c r="AF343" s="238">
        <f t="shared" si="119"/>
        <v>8</v>
      </c>
      <c r="AG343" s="354"/>
      <c r="AK343"/>
      <c r="AL343"/>
      <c r="AM343"/>
      <c r="AN343"/>
      <c r="AO343"/>
      <c r="AP343"/>
      <c r="BI343" s="360"/>
      <c r="BJ343" s="354"/>
      <c r="BK343" s="366">
        <v>2016</v>
      </c>
      <c r="BL343" s="365" t="s">
        <v>123</v>
      </c>
      <c r="BM343" s="366" t="s">
        <v>144</v>
      </c>
      <c r="BN343" s="366" t="s">
        <v>3</v>
      </c>
      <c r="BO343" s="366">
        <v>0</v>
      </c>
      <c r="BP343" s="366">
        <v>0</v>
      </c>
      <c r="BQ343" s="366">
        <v>0</v>
      </c>
      <c r="BR343" s="366">
        <v>437</v>
      </c>
      <c r="BS343" s="366">
        <v>4</v>
      </c>
      <c r="BT343" s="366">
        <v>16</v>
      </c>
      <c r="BU343" s="366">
        <v>128</v>
      </c>
      <c r="BV343" s="366">
        <v>1</v>
      </c>
      <c r="BW343" s="366">
        <v>0</v>
      </c>
      <c r="BX343" s="366">
        <v>0</v>
      </c>
      <c r="BY343" s="366">
        <v>0</v>
      </c>
      <c r="BZ343" s="366">
        <v>0</v>
      </c>
      <c r="CA343" s="366">
        <v>0</v>
      </c>
      <c r="CB343" s="367">
        <f>IFERROR(BO343/Instructions!$J$25,0)+BP343*Instructions!$J$27+BQ343*Instructions!$J$29+IFERROR(BR343/Instructions!$E$34,0)+BS343*Instructions!$E$36+Tier!BT344*Instructions!$E$25+IFERROR(BU343/Instructions!$E$27,0)+BV343*Instructions!$E$29+IFERROR((BW343+BY343)/Instructions!$J$32,0)+(BX343+BZ343)*Instructions!$J$34+Tier!CA343*-2</f>
        <v>125.5</v>
      </c>
      <c r="CC343" s="354"/>
      <c r="CD343" s="238">
        <v>2016</v>
      </c>
      <c r="CE343" s="365" t="s">
        <v>108</v>
      </c>
      <c r="CF343" s="366" t="s">
        <v>151</v>
      </c>
      <c r="CG343" s="366" t="s">
        <v>6</v>
      </c>
      <c r="CH343" s="366">
        <v>0</v>
      </c>
      <c r="CI343" s="366">
        <v>0</v>
      </c>
      <c r="CJ343" s="366">
        <v>0</v>
      </c>
      <c r="CK343" s="366">
        <v>0</v>
      </c>
      <c r="CL343" s="366">
        <v>0</v>
      </c>
      <c r="CM343" s="366">
        <v>78</v>
      </c>
      <c r="CN343" s="366">
        <v>954</v>
      </c>
      <c r="CO343" s="366">
        <v>4</v>
      </c>
      <c r="CP343" s="366">
        <v>0</v>
      </c>
      <c r="CQ343" s="366">
        <v>0</v>
      </c>
      <c r="CR343" s="366">
        <v>0</v>
      </c>
      <c r="CS343" s="366">
        <v>0</v>
      </c>
      <c r="CT343" s="366">
        <v>0</v>
      </c>
      <c r="CU343" s="367">
        <f>IFERROR(CH343/Instructions!$J$25,0)+CI343*Instructions!$J$27+CJ343*Instructions!$J$29+IFERROR(CK343/Instructions!$E$34,0)+CL343*Instructions!$E$36+Tier!CM343*Instructions!$E$25+IFERROR(CN343/Instructions!$E$27,0)+CO343*Instructions!$E$29+IFERROR((CP343+CR343)/Instructions!$J$32,0)+(CQ343+CS343)*Instructions!$J$34+Tier!CT343*-2</f>
        <v>197.4</v>
      </c>
      <c r="CV343" s="354"/>
      <c r="CW343"/>
      <c r="CX343"/>
      <c r="CY343"/>
      <c r="CZ343"/>
      <c r="DA343"/>
      <c r="DB343"/>
      <c r="DC343"/>
      <c r="DD343"/>
      <c r="DE343"/>
      <c r="DF343"/>
      <c r="DG343"/>
      <c r="DH343"/>
      <c r="DI343"/>
      <c r="DJ343"/>
      <c r="DK343"/>
      <c r="DL343"/>
      <c r="DM343"/>
      <c r="DN343"/>
    </row>
    <row r="344" spans="3:118" s="238" customFormat="1" ht="15.75" customHeight="1" x14ac:dyDescent="0.25">
      <c r="C344"/>
      <c r="D344"/>
      <c r="E344"/>
      <c r="F344"/>
      <c r="G344"/>
      <c r="H344"/>
      <c r="I344"/>
      <c r="J344"/>
      <c r="K344"/>
      <c r="L344"/>
      <c r="M344"/>
      <c r="N344"/>
      <c r="O344" s="371"/>
      <c r="P344" s="366">
        <v>2016</v>
      </c>
      <c r="Q344" s="367">
        <f>LARGE($CB$304:$CB$453,41)</f>
        <v>108.7</v>
      </c>
      <c r="R344" s="357">
        <f t="shared" si="112"/>
        <v>-55.899999999999991</v>
      </c>
      <c r="S344" s="356">
        <f t="shared" si="113"/>
        <v>3124.809999999999</v>
      </c>
      <c r="U344" s="356">
        <f t="shared" si="114"/>
        <v>-3.4937499999999995</v>
      </c>
      <c r="V344" s="238">
        <f t="shared" si="118"/>
        <v>8</v>
      </c>
      <c r="W344" s="354"/>
      <c r="X344" s="371"/>
      <c r="Y344" s="371"/>
      <c r="Z344" s="238">
        <v>2016</v>
      </c>
      <c r="AA344" s="367">
        <f>LARGE($CU$304:$CU$453,41)</f>
        <v>180</v>
      </c>
      <c r="AB344" s="357">
        <f t="shared" si="115"/>
        <v>-31.700000000000017</v>
      </c>
      <c r="AC344" s="356">
        <f t="shared" si="117"/>
        <v>1004.8900000000011</v>
      </c>
      <c r="AD344" s="356"/>
      <c r="AE344" s="356">
        <f t="shared" si="116"/>
        <v>-1.9812500000000011</v>
      </c>
      <c r="AF344" s="238">
        <f t="shared" si="119"/>
        <v>8</v>
      </c>
      <c r="AG344" s="354"/>
      <c r="AK344"/>
      <c r="AL344"/>
      <c r="AM344"/>
      <c r="AN344"/>
      <c r="AO344"/>
      <c r="AP344"/>
      <c r="BI344" s="360"/>
      <c r="BJ344" s="354"/>
      <c r="BK344" s="366">
        <v>2016</v>
      </c>
      <c r="BL344" s="365" t="s">
        <v>46</v>
      </c>
      <c r="BM344" s="366" t="s">
        <v>145</v>
      </c>
      <c r="BN344" s="366" t="s">
        <v>3</v>
      </c>
      <c r="BO344" s="366">
        <v>0</v>
      </c>
      <c r="BP344" s="366">
        <v>0</v>
      </c>
      <c r="BQ344" s="366">
        <v>0</v>
      </c>
      <c r="BR344" s="366">
        <v>337</v>
      </c>
      <c r="BS344" s="366">
        <v>2</v>
      </c>
      <c r="BT344" s="366">
        <v>39</v>
      </c>
      <c r="BU344" s="366">
        <v>336</v>
      </c>
      <c r="BV344" s="366">
        <v>1</v>
      </c>
      <c r="BW344" s="366">
        <v>0</v>
      </c>
      <c r="BX344" s="366">
        <v>0</v>
      </c>
      <c r="BY344" s="366">
        <v>0</v>
      </c>
      <c r="BZ344" s="366">
        <v>0</v>
      </c>
      <c r="CA344" s="366">
        <v>1</v>
      </c>
      <c r="CB344" s="367">
        <f>IFERROR(BO344/Instructions!$J$25,0)+BP344*Instructions!$J$27+BQ344*Instructions!$J$29+IFERROR(BR344/Instructions!$E$34,0)+BS344*Instructions!$E$36+Tier!BT345*Instructions!$E$25+IFERROR(BU344/Instructions!$E$27,0)+BV344*Instructions!$E$29+IFERROR((BW344+BY344)/Instructions!$J$32,0)+(BX344+BZ344)*Instructions!$J$34+Tier!CA344*-2</f>
        <v>109.30000000000001</v>
      </c>
      <c r="CC344" s="354"/>
      <c r="CD344" s="238">
        <v>2016</v>
      </c>
      <c r="CE344" s="365" t="s">
        <v>1183</v>
      </c>
      <c r="CF344" s="366" t="s">
        <v>154</v>
      </c>
      <c r="CG344" s="366" t="s">
        <v>6</v>
      </c>
      <c r="CH344" s="366">
        <v>0</v>
      </c>
      <c r="CI344" s="366">
        <v>0</v>
      </c>
      <c r="CJ344" s="366">
        <v>0</v>
      </c>
      <c r="CK344" s="366">
        <v>31</v>
      </c>
      <c r="CL344" s="366">
        <v>0</v>
      </c>
      <c r="CM344" s="366">
        <v>65</v>
      </c>
      <c r="CN344" s="366">
        <v>683</v>
      </c>
      <c r="CO344" s="366">
        <v>8</v>
      </c>
      <c r="CP344" s="366">
        <v>0</v>
      </c>
      <c r="CQ344" s="366">
        <v>0</v>
      </c>
      <c r="CR344" s="366">
        <v>0</v>
      </c>
      <c r="CS344" s="366">
        <v>0</v>
      </c>
      <c r="CT344" s="366">
        <v>0</v>
      </c>
      <c r="CU344" s="367">
        <f>IFERROR(CH344/Instructions!$J$25,0)+CI344*Instructions!$J$27+CJ344*Instructions!$J$29+IFERROR(CK344/Instructions!$E$34,0)+CL344*Instructions!$E$36+Tier!CM344*Instructions!$E$25+IFERROR(CN344/Instructions!$E$27,0)+CO344*Instructions!$E$29+IFERROR((CP344+CR344)/Instructions!$J$32,0)+(CQ344+CS344)*Instructions!$J$34+Tier!CT344*-2</f>
        <v>184.39999999999998</v>
      </c>
      <c r="CV344" s="354"/>
      <c r="CW344"/>
      <c r="CX344"/>
      <c r="CY344"/>
      <c r="CZ344"/>
      <c r="DA344"/>
      <c r="DB344"/>
      <c r="DC344"/>
      <c r="DD344"/>
      <c r="DE344"/>
      <c r="DF344"/>
      <c r="DG344"/>
      <c r="DH344"/>
      <c r="DI344"/>
      <c r="DJ344"/>
      <c r="DK344"/>
      <c r="DL344"/>
      <c r="DM344"/>
      <c r="DN344"/>
    </row>
    <row r="345" spans="3:118" s="238" customFormat="1" ht="15.75" customHeight="1" x14ac:dyDescent="0.25">
      <c r="C345"/>
      <c r="D345"/>
      <c r="E345"/>
      <c r="F345"/>
      <c r="G345"/>
      <c r="H345"/>
      <c r="I345"/>
      <c r="J345"/>
      <c r="K345"/>
      <c r="L345"/>
      <c r="M345"/>
      <c r="N345"/>
      <c r="O345" s="371"/>
      <c r="P345" s="366">
        <v>2016</v>
      </c>
      <c r="Q345" s="367">
        <f>LARGE($CB$304:$CB$453,42)</f>
        <v>101.8</v>
      </c>
      <c r="R345" s="357">
        <f t="shared" si="112"/>
        <v>-62.8</v>
      </c>
      <c r="S345" s="356">
        <f t="shared" si="113"/>
        <v>3943.8399999999997</v>
      </c>
      <c r="U345" s="356">
        <f t="shared" si="114"/>
        <v>-3.9249999999999998</v>
      </c>
      <c r="V345" s="238">
        <f t="shared" si="118"/>
        <v>8</v>
      </c>
      <c r="W345" s="354"/>
      <c r="X345" s="371"/>
      <c r="Y345" s="371"/>
      <c r="Z345" s="238">
        <v>2016</v>
      </c>
      <c r="AA345" s="367">
        <f>LARGE($CU$304:$CU$453,42)</f>
        <v>179.9</v>
      </c>
      <c r="AB345" s="357">
        <f t="shared" si="115"/>
        <v>-31.800000000000011</v>
      </c>
      <c r="AC345" s="356">
        <f t="shared" si="117"/>
        <v>1011.2400000000007</v>
      </c>
      <c r="AD345" s="356"/>
      <c r="AE345" s="356">
        <f t="shared" si="116"/>
        <v>-1.9875000000000007</v>
      </c>
      <c r="AF345" s="238">
        <f t="shared" si="119"/>
        <v>8</v>
      </c>
      <c r="AG345" s="354"/>
      <c r="AK345"/>
      <c r="AL345"/>
      <c r="AM345"/>
      <c r="AN345"/>
      <c r="AO345"/>
      <c r="AP345"/>
      <c r="BI345" s="360"/>
      <c r="BJ345" s="354"/>
      <c r="BK345" s="366">
        <v>2016</v>
      </c>
      <c r="BL345" s="365" t="s">
        <v>975</v>
      </c>
      <c r="BM345" s="366" t="s">
        <v>158</v>
      </c>
      <c r="BN345" s="366" t="s">
        <v>3</v>
      </c>
      <c r="BO345" s="366">
        <v>0</v>
      </c>
      <c r="BP345" s="366">
        <v>0</v>
      </c>
      <c r="BQ345" s="366">
        <v>0</v>
      </c>
      <c r="BR345" s="366">
        <v>164</v>
      </c>
      <c r="BS345" s="366">
        <v>7</v>
      </c>
      <c r="BT345" s="366">
        <v>26</v>
      </c>
      <c r="BU345" s="366">
        <v>179</v>
      </c>
      <c r="BV345" s="366">
        <v>1</v>
      </c>
      <c r="BW345" s="366">
        <v>0</v>
      </c>
      <c r="BX345" s="366">
        <v>0</v>
      </c>
      <c r="BY345" s="366">
        <v>0</v>
      </c>
      <c r="BZ345" s="366">
        <v>0</v>
      </c>
      <c r="CA345" s="366">
        <v>0</v>
      </c>
      <c r="CB345" s="367">
        <f>IFERROR(BO345/Instructions!$J$25,0)+BP345*Instructions!$J$27+BQ345*Instructions!$J$29+IFERROR(BR345/Instructions!$E$34,0)+BS345*Instructions!$E$36+Tier!BT346*Instructions!$E$25+IFERROR(BU345/Instructions!$E$27,0)+BV345*Instructions!$E$29+IFERROR((BW345+BY345)/Instructions!$J$32,0)+(BX345+BZ345)*Instructions!$J$34+Tier!CA345*-2</f>
        <v>100.30000000000001</v>
      </c>
      <c r="CC345" s="354"/>
      <c r="CD345" s="238">
        <v>2016</v>
      </c>
      <c r="CE345" s="365" t="s">
        <v>118</v>
      </c>
      <c r="CF345" s="366" t="s">
        <v>142</v>
      </c>
      <c r="CG345" s="366" t="s">
        <v>6</v>
      </c>
      <c r="CH345" s="366">
        <v>0</v>
      </c>
      <c r="CI345" s="366">
        <v>0</v>
      </c>
      <c r="CJ345" s="366">
        <v>0</v>
      </c>
      <c r="CK345" s="366">
        <v>3</v>
      </c>
      <c r="CL345" s="366">
        <v>0</v>
      </c>
      <c r="CM345" s="366">
        <v>55</v>
      </c>
      <c r="CN345" s="366">
        <v>930</v>
      </c>
      <c r="CO345" s="366">
        <v>4</v>
      </c>
      <c r="CP345" s="366">
        <v>0</v>
      </c>
      <c r="CQ345" s="366">
        <v>0</v>
      </c>
      <c r="CR345" s="366">
        <v>0</v>
      </c>
      <c r="CS345" s="366">
        <v>0</v>
      </c>
      <c r="CT345" s="366">
        <v>0</v>
      </c>
      <c r="CU345" s="367">
        <f>IFERROR(CH345/Instructions!$J$25,0)+CI345*Instructions!$J$27+CJ345*Instructions!$J$29+IFERROR(CK345/Instructions!$E$34,0)+CL345*Instructions!$E$36+Tier!CM345*Instructions!$E$25+IFERROR(CN345/Instructions!$E$27,0)+CO345*Instructions!$E$29+IFERROR((CP345+CR345)/Instructions!$J$32,0)+(CQ345+CS345)*Instructions!$J$34+Tier!CT345*-2</f>
        <v>172.3</v>
      </c>
      <c r="CV345" s="354"/>
      <c r="CW345"/>
      <c r="CX345"/>
      <c r="CY345"/>
      <c r="CZ345"/>
      <c r="DA345"/>
      <c r="DB345"/>
      <c r="DC345"/>
      <c r="DD345"/>
      <c r="DE345"/>
      <c r="DF345"/>
      <c r="DG345"/>
      <c r="DH345"/>
      <c r="DI345"/>
      <c r="DJ345"/>
      <c r="DK345"/>
      <c r="DL345"/>
      <c r="DM345"/>
      <c r="DN345"/>
    </row>
    <row r="346" spans="3:118" s="238" customFormat="1" ht="15.75" customHeight="1" x14ac:dyDescent="0.25">
      <c r="C346"/>
      <c r="D346"/>
      <c r="E346"/>
      <c r="F346"/>
      <c r="G346"/>
      <c r="H346"/>
      <c r="I346"/>
      <c r="J346"/>
      <c r="K346"/>
      <c r="L346"/>
      <c r="M346"/>
      <c r="N346"/>
      <c r="O346" s="371"/>
      <c r="P346" s="366">
        <v>2016</v>
      </c>
      <c r="Q346" s="367">
        <f>LARGE($CB$304:$CB$453,43)</f>
        <v>100.7</v>
      </c>
      <c r="R346" s="357">
        <f t="shared" si="112"/>
        <v>-63.899999999999991</v>
      </c>
      <c r="S346" s="356">
        <f t="shared" si="113"/>
        <v>4083.2099999999991</v>
      </c>
      <c r="U346" s="356">
        <f t="shared" si="114"/>
        <v>-3.9937499999999995</v>
      </c>
      <c r="V346" s="238">
        <f t="shared" si="118"/>
        <v>8</v>
      </c>
      <c r="W346" s="354"/>
      <c r="X346" s="371"/>
      <c r="Y346" s="371"/>
      <c r="Z346" s="238">
        <v>2016</v>
      </c>
      <c r="AA346" s="367">
        <f>LARGE($CU$304:$CU$453,43)</f>
        <v>179.48000000000002</v>
      </c>
      <c r="AB346" s="357">
        <f t="shared" si="115"/>
        <v>-32.22</v>
      </c>
      <c r="AC346" s="356">
        <f t="shared" si="117"/>
        <v>1038.1283999999998</v>
      </c>
      <c r="AD346" s="356"/>
      <c r="AE346" s="356">
        <f t="shared" si="116"/>
        <v>-2.0137499999999999</v>
      </c>
      <c r="AF346" s="238">
        <f t="shared" si="119"/>
        <v>8</v>
      </c>
      <c r="AG346" s="354"/>
      <c r="AK346"/>
      <c r="AL346"/>
      <c r="AM346"/>
      <c r="AN346"/>
      <c r="AO346"/>
      <c r="AP346"/>
      <c r="BI346" s="360"/>
      <c r="BJ346" s="354"/>
      <c r="BK346" s="366">
        <v>2016</v>
      </c>
      <c r="BL346" s="365" t="s">
        <v>98</v>
      </c>
      <c r="BM346" s="366" t="s">
        <v>147</v>
      </c>
      <c r="BN346" s="366" t="s">
        <v>3</v>
      </c>
      <c r="BO346" s="366">
        <v>0</v>
      </c>
      <c r="BP346" s="366">
        <v>0</v>
      </c>
      <c r="BQ346" s="366">
        <v>0</v>
      </c>
      <c r="BR346" s="366">
        <v>343</v>
      </c>
      <c r="BS346" s="366">
        <v>4</v>
      </c>
      <c r="BT346" s="366">
        <v>18</v>
      </c>
      <c r="BU346" s="366">
        <v>118</v>
      </c>
      <c r="BV346" s="366">
        <v>2</v>
      </c>
      <c r="BW346" s="366">
        <v>0</v>
      </c>
      <c r="BX346" s="366">
        <v>0</v>
      </c>
      <c r="BY346" s="366">
        <v>0</v>
      </c>
      <c r="BZ346" s="366">
        <v>0</v>
      </c>
      <c r="CA346" s="366">
        <v>0</v>
      </c>
      <c r="CB346" s="367">
        <f>IFERROR(BO346/Instructions!$J$25,0)+BP346*Instructions!$J$27+BQ346*Instructions!$J$29+IFERROR(BR346/Instructions!$E$34,0)+BS346*Instructions!$E$36+Tier!BT347*Instructions!$E$25+IFERROR(BU346/Instructions!$E$27,0)+BV346*Instructions!$E$29+IFERROR((BW346+BY346)/Instructions!$J$32,0)+(BX346+BZ346)*Instructions!$J$34+Tier!CA346*-2</f>
        <v>111.1</v>
      </c>
      <c r="CC346" s="354"/>
      <c r="CD346" s="238">
        <v>2016</v>
      </c>
      <c r="CE346" s="365" t="s">
        <v>1109</v>
      </c>
      <c r="CF346" s="366" t="s">
        <v>140</v>
      </c>
      <c r="CG346" s="366" t="s">
        <v>6</v>
      </c>
      <c r="CH346" s="366">
        <v>0</v>
      </c>
      <c r="CI346" s="366">
        <v>0</v>
      </c>
      <c r="CJ346" s="366">
        <v>0</v>
      </c>
      <c r="CK346" s="366">
        <v>114</v>
      </c>
      <c r="CL346" s="366">
        <v>1</v>
      </c>
      <c r="CM346" s="366">
        <v>41</v>
      </c>
      <c r="CN346" s="366">
        <v>597</v>
      </c>
      <c r="CO346" s="366">
        <v>1</v>
      </c>
      <c r="CP346" s="366">
        <v>243</v>
      </c>
      <c r="CQ346" s="366">
        <v>0</v>
      </c>
      <c r="CR346" s="366">
        <v>606</v>
      </c>
      <c r="CS346" s="366">
        <v>0</v>
      </c>
      <c r="CT346" s="366">
        <v>0</v>
      </c>
      <c r="CU346" s="367">
        <f>IFERROR(CH346/Instructions!$J$25,0)+CI346*Instructions!$J$27+CJ346*Instructions!$J$29+IFERROR(CK346/Instructions!$E$34,0)+CL346*Instructions!$E$36+Tier!CM346*Instructions!$E$25+IFERROR(CN346/Instructions!$E$27,0)+CO346*Instructions!$E$29+IFERROR((CP346+CR346)/Instructions!$J$32,0)+(CQ346+CS346)*Instructions!$J$34+Tier!CT346*-2</f>
        <v>124.1</v>
      </c>
      <c r="CV346" s="354"/>
      <c r="CW346"/>
      <c r="CX346"/>
      <c r="CY346"/>
      <c r="CZ346"/>
      <c r="DA346"/>
      <c r="DB346"/>
      <c r="DC346"/>
      <c r="DD346"/>
      <c r="DE346"/>
      <c r="DF346"/>
      <c r="DG346"/>
      <c r="DH346"/>
      <c r="DI346"/>
      <c r="DJ346"/>
      <c r="DK346"/>
      <c r="DL346"/>
      <c r="DM346"/>
      <c r="DN346"/>
    </row>
    <row r="347" spans="3:118" s="238" customFormat="1" ht="15.75" customHeight="1" x14ac:dyDescent="0.25">
      <c r="C347"/>
      <c r="D347"/>
      <c r="E347"/>
      <c r="F347"/>
      <c r="G347"/>
      <c r="H347"/>
      <c r="I347"/>
      <c r="J347"/>
      <c r="K347"/>
      <c r="L347"/>
      <c r="M347"/>
      <c r="N347"/>
      <c r="O347" s="371"/>
      <c r="P347" s="366">
        <v>2016</v>
      </c>
      <c r="Q347" s="367">
        <f>LARGE($CB$304:$CB$453,44)</f>
        <v>100.4</v>
      </c>
      <c r="R347" s="357">
        <f t="shared" si="112"/>
        <v>-64.199999999999989</v>
      </c>
      <c r="S347" s="356">
        <f t="shared" si="113"/>
        <v>4121.6399999999985</v>
      </c>
      <c r="U347" s="356">
        <f t="shared" si="114"/>
        <v>-4.0124999999999993</v>
      </c>
      <c r="V347" s="238">
        <f t="shared" si="118"/>
        <v>8</v>
      </c>
      <c r="W347" s="354"/>
      <c r="X347" s="371"/>
      <c r="Y347" s="371"/>
      <c r="Z347" s="238">
        <v>2016</v>
      </c>
      <c r="AA347" s="367">
        <f>LARGE($CU$304:$CU$453,44)</f>
        <v>173.4</v>
      </c>
      <c r="AB347" s="357">
        <f t="shared" si="115"/>
        <v>-38.300000000000011</v>
      </c>
      <c r="AC347" s="356">
        <f t="shared" si="117"/>
        <v>1466.8900000000008</v>
      </c>
      <c r="AD347" s="356"/>
      <c r="AE347" s="356">
        <f t="shared" si="116"/>
        <v>-2.3937500000000007</v>
      </c>
      <c r="AF347" s="238">
        <f t="shared" si="119"/>
        <v>8</v>
      </c>
      <c r="AG347" s="354"/>
      <c r="AK347"/>
      <c r="AL347"/>
      <c r="AM347"/>
      <c r="AN347"/>
      <c r="AO347"/>
      <c r="AP347"/>
      <c r="BI347" s="360"/>
      <c r="BJ347" s="354"/>
      <c r="BK347" s="366">
        <v>2016</v>
      </c>
      <c r="BL347" s="365" t="s">
        <v>992</v>
      </c>
      <c r="BM347" s="366" t="s">
        <v>1630</v>
      </c>
      <c r="BN347" s="366" t="s">
        <v>3</v>
      </c>
      <c r="BO347" s="366">
        <v>0</v>
      </c>
      <c r="BP347" s="366">
        <v>0</v>
      </c>
      <c r="BQ347" s="366">
        <v>0</v>
      </c>
      <c r="BR347" s="366">
        <v>196</v>
      </c>
      <c r="BS347" s="366">
        <v>4</v>
      </c>
      <c r="BT347" s="366">
        <v>29</v>
      </c>
      <c r="BU347" s="366">
        <v>263</v>
      </c>
      <c r="BV347" s="366">
        <v>2</v>
      </c>
      <c r="BW347" s="366">
        <v>0</v>
      </c>
      <c r="BX347" s="366">
        <v>0</v>
      </c>
      <c r="BY347" s="366">
        <v>0</v>
      </c>
      <c r="BZ347" s="366">
        <v>0</v>
      </c>
      <c r="CA347" s="366">
        <v>1</v>
      </c>
      <c r="CB347" s="367">
        <f>IFERROR(BO347/Instructions!$J$25,0)+BP347*Instructions!$J$27+BQ347*Instructions!$J$29+IFERROR(BR347/Instructions!$E$34,0)+BS347*Instructions!$E$36+Tier!BT348*Instructions!$E$25+IFERROR(BU347/Instructions!$E$27,0)+BV347*Instructions!$E$29+IFERROR((BW347+BY347)/Instructions!$J$32,0)+(BX347+BZ347)*Instructions!$J$34+Tier!CA347*-2</f>
        <v>99.9</v>
      </c>
      <c r="CC347" s="354"/>
      <c r="CD347" s="238">
        <v>2016</v>
      </c>
      <c r="CE347" s="365" t="s">
        <v>1278</v>
      </c>
      <c r="CF347" s="366" t="s">
        <v>141</v>
      </c>
      <c r="CG347" s="366" t="s">
        <v>6</v>
      </c>
      <c r="CH347" s="366">
        <v>2</v>
      </c>
      <c r="CI347" s="366">
        <v>1</v>
      </c>
      <c r="CJ347" s="366">
        <v>0</v>
      </c>
      <c r="CK347" s="366">
        <v>6</v>
      </c>
      <c r="CL347" s="366">
        <v>0</v>
      </c>
      <c r="CM347" s="366">
        <v>66</v>
      </c>
      <c r="CN347" s="366">
        <v>888</v>
      </c>
      <c r="CO347" s="366">
        <v>4</v>
      </c>
      <c r="CP347" s="366">
        <v>0</v>
      </c>
      <c r="CQ347" s="366">
        <v>0</v>
      </c>
      <c r="CR347" s="366">
        <v>0</v>
      </c>
      <c r="CS347" s="366">
        <v>0</v>
      </c>
      <c r="CT347" s="366">
        <v>2</v>
      </c>
      <c r="CU347" s="367">
        <f>IFERROR(CH347/Instructions!$J$25,0)+CI347*Instructions!$J$27+CJ347*Instructions!$J$29+IFERROR(CK347/Instructions!$E$34,0)+CL347*Instructions!$E$36+Tier!CM347*Instructions!$E$25+IFERROR(CN347/Instructions!$E$27,0)+CO347*Instructions!$E$29+IFERROR((CP347+CR347)/Instructions!$J$32,0)+(CQ347+CS347)*Instructions!$J$34+Tier!CT347*-2</f>
        <v>179.48000000000002</v>
      </c>
      <c r="CV347" s="354"/>
      <c r="CW347"/>
      <c r="CX347"/>
      <c r="CY347"/>
      <c r="CZ347"/>
      <c r="DA347"/>
      <c r="DB347"/>
      <c r="DC347"/>
      <c r="DD347"/>
      <c r="DE347"/>
      <c r="DF347"/>
      <c r="DG347"/>
      <c r="DH347"/>
      <c r="DI347"/>
      <c r="DJ347"/>
      <c r="DK347"/>
      <c r="DL347"/>
      <c r="DM347"/>
      <c r="DN347"/>
    </row>
    <row r="348" spans="3:118" s="238" customFormat="1" ht="15.75" customHeight="1" x14ac:dyDescent="0.25">
      <c r="C348"/>
      <c r="D348"/>
      <c r="E348"/>
      <c r="F348"/>
      <c r="G348"/>
      <c r="H348"/>
      <c r="I348"/>
      <c r="J348"/>
      <c r="K348"/>
      <c r="L348"/>
      <c r="M348"/>
      <c r="N348"/>
      <c r="O348" s="371"/>
      <c r="P348" s="366">
        <v>2016</v>
      </c>
      <c r="Q348" s="367">
        <f>LARGE($CB$304:$CB$453,45)</f>
        <v>100.30000000000001</v>
      </c>
      <c r="R348" s="357">
        <f t="shared" si="112"/>
        <v>-64.299999999999983</v>
      </c>
      <c r="S348" s="356">
        <f t="shared" si="113"/>
        <v>4134.489999999998</v>
      </c>
      <c r="U348" s="356">
        <f t="shared" si="114"/>
        <v>-4.0187499999999989</v>
      </c>
      <c r="V348" s="238">
        <f t="shared" si="118"/>
        <v>8</v>
      </c>
      <c r="W348" s="354"/>
      <c r="X348" s="371"/>
      <c r="Y348" s="371"/>
      <c r="Z348" s="238">
        <v>2016</v>
      </c>
      <c r="AA348" s="367">
        <f>LARGE($CU$304:$CU$453,45)</f>
        <v>172.3</v>
      </c>
      <c r="AB348" s="357">
        <f t="shared" si="115"/>
        <v>-39.400000000000006</v>
      </c>
      <c r="AC348" s="356">
        <f t="shared" si="117"/>
        <v>1552.3600000000004</v>
      </c>
      <c r="AD348" s="356"/>
      <c r="AE348" s="356">
        <f t="shared" si="116"/>
        <v>-2.4625000000000004</v>
      </c>
      <c r="AF348" s="238">
        <f t="shared" si="119"/>
        <v>8</v>
      </c>
      <c r="AG348" s="354"/>
      <c r="AK348"/>
      <c r="AL348"/>
      <c r="AM348"/>
      <c r="AN348"/>
      <c r="AO348"/>
      <c r="AP348"/>
      <c r="BI348" s="360"/>
      <c r="BJ348" s="354"/>
      <c r="BK348" s="366">
        <v>2016</v>
      </c>
      <c r="BL348" s="365" t="s">
        <v>1161</v>
      </c>
      <c r="BM348" s="366" t="s">
        <v>1613</v>
      </c>
      <c r="BN348" s="366" t="s">
        <v>3</v>
      </c>
      <c r="BO348" s="366">
        <v>0</v>
      </c>
      <c r="BP348" s="366">
        <v>0</v>
      </c>
      <c r="BQ348" s="366">
        <v>0</v>
      </c>
      <c r="BR348" s="366">
        <v>439</v>
      </c>
      <c r="BS348" s="366">
        <v>3</v>
      </c>
      <c r="BT348" s="366">
        <v>20</v>
      </c>
      <c r="BU348" s="366">
        <v>186</v>
      </c>
      <c r="BV348" s="366">
        <v>0</v>
      </c>
      <c r="BW348" s="366">
        <v>0</v>
      </c>
      <c r="BX348" s="366">
        <v>0</v>
      </c>
      <c r="BY348" s="366">
        <v>0</v>
      </c>
      <c r="BZ348" s="366">
        <v>0</v>
      </c>
      <c r="CA348" s="366">
        <v>3</v>
      </c>
      <c r="CB348" s="367">
        <f>IFERROR(BO348/Instructions!$J$25,0)+BP348*Instructions!$J$27+BQ348*Instructions!$J$29+IFERROR(BR348/Instructions!$E$34,0)+BS348*Instructions!$E$36+Tier!BT349*Instructions!$E$25+IFERROR(BU348/Instructions!$E$27,0)+BV348*Instructions!$E$29+IFERROR((BW348+BY348)/Instructions!$J$32,0)+(BX348+BZ348)*Instructions!$J$34+Tier!CA348*-2</f>
        <v>87.5</v>
      </c>
      <c r="CC348" s="354"/>
      <c r="CD348" s="238">
        <v>2016</v>
      </c>
      <c r="CE348" s="365" t="s">
        <v>197</v>
      </c>
      <c r="CF348" s="366" t="s">
        <v>146</v>
      </c>
      <c r="CG348" s="366" t="s">
        <v>6</v>
      </c>
      <c r="CH348" s="366">
        <v>0</v>
      </c>
      <c r="CI348" s="366">
        <v>0</v>
      </c>
      <c r="CJ348" s="366">
        <v>0</v>
      </c>
      <c r="CK348" s="366">
        <v>7</v>
      </c>
      <c r="CL348" s="366">
        <v>0</v>
      </c>
      <c r="CM348" s="366">
        <v>75</v>
      </c>
      <c r="CN348" s="366">
        <v>833</v>
      </c>
      <c r="CO348" s="366">
        <v>5</v>
      </c>
      <c r="CP348" s="366">
        <v>3</v>
      </c>
      <c r="CQ348" s="366">
        <v>0</v>
      </c>
      <c r="CR348" s="366">
        <v>0</v>
      </c>
      <c r="CS348" s="366">
        <v>0</v>
      </c>
      <c r="CT348" s="366">
        <v>0</v>
      </c>
      <c r="CU348" s="367">
        <f>IFERROR(CH348/Instructions!$J$25,0)+CI348*Instructions!$J$27+CJ348*Instructions!$J$29+IFERROR(CK348/Instructions!$E$34,0)+CL348*Instructions!$E$36+Tier!CM348*Instructions!$E$25+IFERROR(CN348/Instructions!$E$27,0)+CO348*Instructions!$E$29+IFERROR((CP348+CR348)/Instructions!$J$32,0)+(CQ348+CS348)*Instructions!$J$34+Tier!CT348*-2</f>
        <v>189</v>
      </c>
      <c r="CV348" s="354"/>
      <c r="CW348"/>
      <c r="CX348"/>
      <c r="CY348"/>
      <c r="CZ348"/>
      <c r="DA348"/>
      <c r="DB348"/>
      <c r="DC348"/>
      <c r="DD348"/>
      <c r="DE348"/>
      <c r="DF348"/>
      <c r="DG348"/>
      <c r="DH348"/>
      <c r="DI348"/>
      <c r="DJ348"/>
      <c r="DK348"/>
      <c r="DL348"/>
      <c r="DM348"/>
      <c r="DN348"/>
    </row>
    <row r="349" spans="3:118" s="238" customFormat="1" ht="15.75" customHeight="1" x14ac:dyDescent="0.25">
      <c r="C349"/>
      <c r="D349"/>
      <c r="E349"/>
      <c r="F349"/>
      <c r="G349"/>
      <c r="H349"/>
      <c r="I349"/>
      <c r="J349"/>
      <c r="K349"/>
      <c r="L349"/>
      <c r="M349"/>
      <c r="N349"/>
      <c r="O349" s="371"/>
      <c r="P349" s="366">
        <v>2016</v>
      </c>
      <c r="Q349" s="367">
        <f>LARGE($CB$304:$CB$453,46)</f>
        <v>99.9</v>
      </c>
      <c r="R349" s="357">
        <f t="shared" si="112"/>
        <v>-64.699999999999989</v>
      </c>
      <c r="S349" s="356">
        <f t="shared" si="113"/>
        <v>4186.0899999999983</v>
      </c>
      <c r="U349" s="356">
        <f t="shared" si="114"/>
        <v>-4.0437499999999993</v>
      </c>
      <c r="V349" s="238">
        <f t="shared" si="118"/>
        <v>8</v>
      </c>
      <c r="W349" s="354"/>
      <c r="X349" s="371"/>
      <c r="Y349" s="371"/>
      <c r="Z349" s="238">
        <v>2016</v>
      </c>
      <c r="AA349" s="367">
        <f>LARGE($CU$304:$CU$453,46)</f>
        <v>171.4</v>
      </c>
      <c r="AB349" s="357">
        <f t="shared" si="115"/>
        <v>-40.300000000000011</v>
      </c>
      <c r="AC349" s="356">
        <f t="shared" si="117"/>
        <v>1624.0900000000008</v>
      </c>
      <c r="AD349" s="356"/>
      <c r="AE349" s="356">
        <f t="shared" si="116"/>
        <v>-2.5187500000000007</v>
      </c>
      <c r="AF349" s="238">
        <f t="shared" si="119"/>
        <v>8</v>
      </c>
      <c r="AG349" s="354"/>
      <c r="AK349"/>
      <c r="AL349"/>
      <c r="AM349"/>
      <c r="AN349"/>
      <c r="AO349"/>
      <c r="AP349"/>
      <c r="BI349" s="360"/>
      <c r="BJ349" s="354"/>
      <c r="BK349" s="366">
        <v>2016</v>
      </c>
      <c r="BL349" s="365" t="s">
        <v>976</v>
      </c>
      <c r="BM349" s="366" t="s">
        <v>1627</v>
      </c>
      <c r="BN349" s="366" t="s">
        <v>3</v>
      </c>
      <c r="BO349" s="366">
        <v>0</v>
      </c>
      <c r="BP349" s="366">
        <v>0</v>
      </c>
      <c r="BQ349" s="366">
        <v>0</v>
      </c>
      <c r="BR349" s="366">
        <v>560</v>
      </c>
      <c r="BS349" s="366">
        <v>2</v>
      </c>
      <c r="BT349" s="366">
        <v>13</v>
      </c>
      <c r="BU349" s="366">
        <v>98</v>
      </c>
      <c r="BV349" s="366">
        <v>0</v>
      </c>
      <c r="BW349" s="366">
        <v>0</v>
      </c>
      <c r="BX349" s="366">
        <v>0</v>
      </c>
      <c r="BY349" s="366">
        <v>0</v>
      </c>
      <c r="BZ349" s="366">
        <v>0</v>
      </c>
      <c r="CA349" s="366">
        <v>0</v>
      </c>
      <c r="CB349" s="367">
        <f>IFERROR(BO349/Instructions!$J$25,0)+BP349*Instructions!$J$27+BQ349*Instructions!$J$29+IFERROR(BR349/Instructions!$E$34,0)+BS349*Instructions!$E$36+Tier!BT350*Instructions!$E$25+IFERROR(BU349/Instructions!$E$27,0)+BV349*Instructions!$E$29+IFERROR((BW349+BY349)/Instructions!$J$32,0)+(BX349+BZ349)*Instructions!$J$34+Tier!CA349*-2</f>
        <v>95.8</v>
      </c>
      <c r="CC349" s="354"/>
      <c r="CD349" s="238">
        <v>2016</v>
      </c>
      <c r="CE349" s="365" t="s">
        <v>1265</v>
      </c>
      <c r="CF349" s="366" t="s">
        <v>164</v>
      </c>
      <c r="CG349" s="366" t="s">
        <v>6</v>
      </c>
      <c r="CH349" s="366">
        <v>0</v>
      </c>
      <c r="CI349" s="366">
        <v>0</v>
      </c>
      <c r="CJ349" s="366">
        <v>0</v>
      </c>
      <c r="CK349" s="366">
        <v>12</v>
      </c>
      <c r="CL349" s="366">
        <v>0</v>
      </c>
      <c r="CM349" s="366">
        <v>58</v>
      </c>
      <c r="CN349" s="366">
        <v>857</v>
      </c>
      <c r="CO349" s="366">
        <v>4</v>
      </c>
      <c r="CP349" s="366">
        <v>0</v>
      </c>
      <c r="CQ349" s="366">
        <v>0</v>
      </c>
      <c r="CR349" s="366">
        <v>54</v>
      </c>
      <c r="CS349" s="366">
        <v>0</v>
      </c>
      <c r="CT349" s="366">
        <v>0</v>
      </c>
      <c r="CU349" s="367">
        <f>IFERROR(CH349/Instructions!$J$25,0)+CI349*Instructions!$J$27+CJ349*Instructions!$J$29+IFERROR(CK349/Instructions!$E$34,0)+CL349*Instructions!$E$36+Tier!CM349*Instructions!$E$25+IFERROR(CN349/Instructions!$E$27,0)+CO349*Instructions!$E$29+IFERROR((CP349+CR349)/Instructions!$J$32,0)+(CQ349+CS349)*Instructions!$J$34+Tier!CT349*-2</f>
        <v>168.9</v>
      </c>
      <c r="CV349" s="354"/>
      <c r="CW349"/>
      <c r="CX349"/>
      <c r="CY349"/>
      <c r="CZ349"/>
      <c r="DA349"/>
      <c r="DB349"/>
      <c r="DC349"/>
      <c r="DD349"/>
      <c r="DE349"/>
      <c r="DF349"/>
      <c r="DG349"/>
      <c r="DH349"/>
      <c r="DI349"/>
      <c r="DJ349"/>
      <c r="DK349"/>
      <c r="DL349"/>
      <c r="DM349"/>
      <c r="DN349"/>
    </row>
    <row r="350" spans="3:118" s="238" customFormat="1" ht="15.75" customHeight="1" x14ac:dyDescent="0.25">
      <c r="C350"/>
      <c r="D350"/>
      <c r="E350"/>
      <c r="F350"/>
      <c r="G350"/>
      <c r="H350"/>
      <c r="I350"/>
      <c r="J350"/>
      <c r="K350"/>
      <c r="L350"/>
      <c r="M350"/>
      <c r="N350"/>
      <c r="O350" s="366"/>
      <c r="P350" s="366">
        <v>2016</v>
      </c>
      <c r="Q350" s="367">
        <f>LARGE($CB$304:$CB$453,47)</f>
        <v>95.8</v>
      </c>
      <c r="R350" s="357">
        <f t="shared" si="112"/>
        <v>-68.8</v>
      </c>
      <c r="S350" s="356">
        <f t="shared" si="113"/>
        <v>4733.4399999999996</v>
      </c>
      <c r="U350" s="356">
        <f t="shared" si="114"/>
        <v>-4.3</v>
      </c>
      <c r="V350" s="238">
        <f t="shared" si="118"/>
        <v>8</v>
      </c>
      <c r="W350" s="354"/>
      <c r="X350" s="371"/>
      <c r="Y350" s="371"/>
      <c r="Z350" s="238">
        <v>2016</v>
      </c>
      <c r="AA350" s="367">
        <f>LARGE($CU$304:$CU$453,47)</f>
        <v>168.9</v>
      </c>
      <c r="AB350" s="357">
        <f t="shared" si="115"/>
        <v>-42.800000000000011</v>
      </c>
      <c r="AC350" s="356">
        <f t="shared" si="117"/>
        <v>1831.8400000000011</v>
      </c>
      <c r="AD350" s="356"/>
      <c r="AE350" s="356">
        <f t="shared" si="116"/>
        <v>-2.6750000000000007</v>
      </c>
      <c r="AF350" s="238">
        <f t="shared" si="119"/>
        <v>8</v>
      </c>
      <c r="AG350" s="354"/>
      <c r="AK350"/>
      <c r="AL350"/>
      <c r="AM350"/>
      <c r="AN350"/>
      <c r="AO350"/>
      <c r="AP350"/>
      <c r="BI350" s="360"/>
      <c r="BJ350" s="354"/>
      <c r="BK350" s="366">
        <v>2016</v>
      </c>
      <c r="BL350" s="365" t="s">
        <v>1177</v>
      </c>
      <c r="BM350" s="366" t="s">
        <v>142</v>
      </c>
      <c r="BN350" s="366" t="s">
        <v>3</v>
      </c>
      <c r="BO350" s="366">
        <v>0</v>
      </c>
      <c r="BP350" s="366">
        <v>0</v>
      </c>
      <c r="BQ350" s="366">
        <v>0</v>
      </c>
      <c r="BR350" s="366">
        <v>334</v>
      </c>
      <c r="BS350" s="366">
        <v>4</v>
      </c>
      <c r="BT350" s="366">
        <v>18</v>
      </c>
      <c r="BU350" s="366">
        <v>196</v>
      </c>
      <c r="BV350" s="366">
        <v>0</v>
      </c>
      <c r="BW350" s="366">
        <v>0</v>
      </c>
      <c r="BX350" s="366">
        <v>0</v>
      </c>
      <c r="BY350" s="366">
        <v>0</v>
      </c>
      <c r="BZ350" s="366">
        <v>0</v>
      </c>
      <c r="CA350" s="366">
        <v>1</v>
      </c>
      <c r="CB350" s="367">
        <f>IFERROR(BO350/Instructions!$J$25,0)+BP350*Instructions!$J$27+BQ350*Instructions!$J$29+IFERROR(BR350/Instructions!$E$34,0)+BS350*Instructions!$E$36+Tier!BT351*Instructions!$E$25+IFERROR(BU350/Instructions!$E$27,0)+BV350*Instructions!$E$29+IFERROR((BW350+BY350)/Instructions!$J$32,0)+(BX350+BZ350)*Instructions!$J$34+Tier!CA350*-2</f>
        <v>89</v>
      </c>
      <c r="CC350" s="354"/>
      <c r="CD350" s="238">
        <v>2016</v>
      </c>
      <c r="CE350" s="365" t="s">
        <v>1114</v>
      </c>
      <c r="CF350" s="366" t="s">
        <v>1624</v>
      </c>
      <c r="CG350" s="366" t="s">
        <v>6</v>
      </c>
      <c r="CH350" s="366">
        <v>0</v>
      </c>
      <c r="CI350" s="366">
        <v>0</v>
      </c>
      <c r="CJ350" s="366">
        <v>0</v>
      </c>
      <c r="CK350" s="366">
        <v>457</v>
      </c>
      <c r="CL350" s="366">
        <v>3</v>
      </c>
      <c r="CM350" s="366">
        <v>44</v>
      </c>
      <c r="CN350" s="366">
        <v>348</v>
      </c>
      <c r="CO350" s="366">
        <v>0</v>
      </c>
      <c r="CP350" s="366">
        <v>0</v>
      </c>
      <c r="CQ350" s="366">
        <v>0</v>
      </c>
      <c r="CR350" s="366">
        <v>366</v>
      </c>
      <c r="CS350" s="366">
        <v>0</v>
      </c>
      <c r="CT350" s="366">
        <v>1</v>
      </c>
      <c r="CU350" s="367">
        <f>IFERROR(CH350/Instructions!$J$25,0)+CI350*Instructions!$J$27+CJ350*Instructions!$J$29+IFERROR(CK350/Instructions!$E$34,0)+CL350*Instructions!$E$36+Tier!CM350*Instructions!$E$25+IFERROR(CN350/Instructions!$E$27,0)+CO350*Instructions!$E$29+IFERROR((CP350+CR350)/Instructions!$J$32,0)+(CQ350+CS350)*Instructions!$J$34+Tier!CT350*-2</f>
        <v>140.5</v>
      </c>
      <c r="CV350" s="354"/>
      <c r="CW350"/>
      <c r="CX350"/>
      <c r="CY350"/>
      <c r="CZ350"/>
      <c r="DA350"/>
      <c r="DB350"/>
      <c r="DC350"/>
      <c r="DD350"/>
      <c r="DE350"/>
      <c r="DF350"/>
      <c r="DG350"/>
      <c r="DH350"/>
      <c r="DI350"/>
      <c r="DJ350"/>
      <c r="DK350"/>
      <c r="DL350"/>
      <c r="DM350"/>
      <c r="DN350"/>
    </row>
    <row r="351" spans="3:118" s="238" customFormat="1" ht="15.75" customHeight="1" x14ac:dyDescent="0.25">
      <c r="C351"/>
      <c r="D351"/>
      <c r="E351"/>
      <c r="F351"/>
      <c r="G351"/>
      <c r="H351"/>
      <c r="I351"/>
      <c r="J351"/>
      <c r="K351"/>
      <c r="L351"/>
      <c r="M351"/>
      <c r="N351"/>
      <c r="O351" s="366"/>
      <c r="P351" s="366">
        <v>2016</v>
      </c>
      <c r="Q351" s="367">
        <f>LARGE($CB$304:$CB$453,48)</f>
        <v>94.5</v>
      </c>
      <c r="R351" s="357">
        <f t="shared" si="112"/>
        <v>-70.099999999999994</v>
      </c>
      <c r="S351" s="356">
        <f t="shared" si="113"/>
        <v>4914.0099999999993</v>
      </c>
      <c r="U351" s="356">
        <f t="shared" si="114"/>
        <v>-4.3812499999999996</v>
      </c>
      <c r="V351" s="238">
        <f t="shared" si="118"/>
        <v>8</v>
      </c>
      <c r="W351" s="354"/>
      <c r="X351" s="371"/>
      <c r="Y351" s="371"/>
      <c r="Z351" s="238">
        <v>2016</v>
      </c>
      <c r="AA351" s="367">
        <f>LARGE($CU$304:$CU$453,48)</f>
        <v>168.6</v>
      </c>
      <c r="AB351" s="357">
        <f t="shared" si="115"/>
        <v>-43.100000000000023</v>
      </c>
      <c r="AC351" s="356">
        <f t="shared" si="117"/>
        <v>1857.6100000000019</v>
      </c>
      <c r="AD351" s="356"/>
      <c r="AE351" s="356">
        <f t="shared" si="116"/>
        <v>-2.6937500000000014</v>
      </c>
      <c r="AF351" s="238">
        <f t="shared" si="119"/>
        <v>8</v>
      </c>
      <c r="AG351" s="354"/>
      <c r="AK351"/>
      <c r="AL351"/>
      <c r="AM351"/>
      <c r="AN351"/>
      <c r="AO351"/>
      <c r="AP351"/>
      <c r="BI351" s="360"/>
      <c r="BJ351" s="354"/>
      <c r="BK351" s="366">
        <v>2016</v>
      </c>
      <c r="BL351" s="365" t="s">
        <v>42</v>
      </c>
      <c r="BM351" s="366" t="s">
        <v>1627</v>
      </c>
      <c r="BN351" s="366" t="s">
        <v>3</v>
      </c>
      <c r="BO351" s="366">
        <v>0</v>
      </c>
      <c r="BP351" s="366">
        <v>0</v>
      </c>
      <c r="BQ351" s="366">
        <v>0</v>
      </c>
      <c r="BR351" s="366">
        <v>421</v>
      </c>
      <c r="BS351" s="366">
        <v>3</v>
      </c>
      <c r="BT351" s="366">
        <v>14</v>
      </c>
      <c r="BU351" s="366">
        <v>134</v>
      </c>
      <c r="BV351" s="366">
        <v>0</v>
      </c>
      <c r="BW351" s="366">
        <v>0</v>
      </c>
      <c r="BX351" s="366">
        <v>0</v>
      </c>
      <c r="BY351" s="366">
        <v>0</v>
      </c>
      <c r="BZ351" s="366">
        <v>0</v>
      </c>
      <c r="CA351" s="366">
        <v>1</v>
      </c>
      <c r="CB351" s="367">
        <f>IFERROR(BO351/Instructions!$J$25,0)+BP351*Instructions!$J$27+BQ351*Instructions!$J$29+IFERROR(BR351/Instructions!$E$34,0)+BS351*Instructions!$E$36+Tier!BT352*Instructions!$E$25+IFERROR(BU351/Instructions!$E$27,0)+BV351*Instructions!$E$29+IFERROR((BW351+BY351)/Instructions!$J$32,0)+(BX351+BZ351)*Instructions!$J$34+Tier!CA351*-2</f>
        <v>94.5</v>
      </c>
      <c r="CC351" s="354"/>
      <c r="CD351" s="238">
        <v>2016</v>
      </c>
      <c r="CE351" s="365" t="s">
        <v>1124</v>
      </c>
      <c r="CF351" s="366" t="s">
        <v>138</v>
      </c>
      <c r="CG351" s="366" t="s">
        <v>6</v>
      </c>
      <c r="CH351" s="366">
        <v>0</v>
      </c>
      <c r="CI351" s="366">
        <v>0</v>
      </c>
      <c r="CJ351" s="366">
        <v>0</v>
      </c>
      <c r="CK351" s="366">
        <v>10</v>
      </c>
      <c r="CL351" s="366">
        <v>0</v>
      </c>
      <c r="CM351" s="366">
        <v>84</v>
      </c>
      <c r="CN351" s="366">
        <v>903</v>
      </c>
      <c r="CO351" s="366">
        <v>3</v>
      </c>
      <c r="CP351" s="366">
        <v>45</v>
      </c>
      <c r="CQ351" s="366">
        <v>0</v>
      </c>
      <c r="CR351" s="366">
        <v>0</v>
      </c>
      <c r="CS351" s="366">
        <v>0</v>
      </c>
      <c r="CT351" s="366">
        <v>0</v>
      </c>
      <c r="CU351" s="367">
        <f>IFERROR(CH351/Instructions!$J$25,0)+CI351*Instructions!$J$27+CJ351*Instructions!$J$29+IFERROR(CK351/Instructions!$E$34,0)+CL351*Instructions!$E$36+Tier!CM351*Instructions!$E$25+IFERROR(CN351/Instructions!$E$27,0)+CO351*Instructions!$E$29+IFERROR((CP351+CR351)/Instructions!$J$32,0)+(CQ351+CS351)*Instructions!$J$34+Tier!CT351*-2</f>
        <v>193.3</v>
      </c>
      <c r="CV351" s="354"/>
      <c r="CW351"/>
      <c r="CX351"/>
      <c r="CY351"/>
      <c r="CZ351"/>
      <c r="DA351"/>
      <c r="DB351"/>
      <c r="DC351"/>
      <c r="DD351"/>
      <c r="DE351"/>
      <c r="DF351"/>
      <c r="DG351"/>
      <c r="DH351"/>
      <c r="DI351"/>
      <c r="DJ351"/>
      <c r="DK351"/>
      <c r="DL351"/>
      <c r="DM351"/>
      <c r="DN351"/>
    </row>
    <row r="352" spans="3:118" s="238" customFormat="1" ht="15.75" customHeight="1" x14ac:dyDescent="0.25">
      <c r="C352"/>
      <c r="D352"/>
      <c r="E352"/>
      <c r="F352"/>
      <c r="G352"/>
      <c r="H352"/>
      <c r="I352"/>
      <c r="J352"/>
      <c r="K352"/>
      <c r="L352"/>
      <c r="M352"/>
      <c r="N352"/>
      <c r="O352" s="371"/>
      <c r="P352" s="366">
        <v>2016</v>
      </c>
      <c r="Q352" s="367">
        <f>LARGE($CB$304:$CB$453,49)</f>
        <v>89</v>
      </c>
      <c r="R352" s="357">
        <f t="shared" si="112"/>
        <v>-75.599999999999994</v>
      </c>
      <c r="S352" s="356">
        <f t="shared" si="113"/>
        <v>5715.3599999999988</v>
      </c>
      <c r="U352" s="356">
        <f t="shared" si="114"/>
        <v>-4.7249999999999996</v>
      </c>
      <c r="V352" s="238">
        <f t="shared" si="118"/>
        <v>8</v>
      </c>
      <c r="W352" s="354"/>
      <c r="X352" s="371"/>
      <c r="Y352" s="371"/>
      <c r="Z352" s="238">
        <v>2016</v>
      </c>
      <c r="AA352" s="367">
        <f>LARGE($CU$304:$CU$453,49)</f>
        <v>163</v>
      </c>
      <c r="AB352" s="357">
        <f t="shared" si="115"/>
        <v>-48.700000000000017</v>
      </c>
      <c r="AC352" s="356">
        <f t="shared" si="117"/>
        <v>2371.6900000000019</v>
      </c>
      <c r="AD352" s="356"/>
      <c r="AE352" s="356">
        <f t="shared" si="116"/>
        <v>-3.0437500000000011</v>
      </c>
      <c r="AF352" s="238">
        <f t="shared" si="119"/>
        <v>8</v>
      </c>
      <c r="AG352" s="354"/>
      <c r="AK352"/>
      <c r="AL352"/>
      <c r="AM352"/>
      <c r="AN352"/>
      <c r="AO352"/>
      <c r="AP352"/>
      <c r="BI352" s="360"/>
      <c r="BJ352" s="354"/>
      <c r="BK352" s="366">
        <v>2016</v>
      </c>
      <c r="BL352" s="365" t="s">
        <v>1149</v>
      </c>
      <c r="BM352" s="366" t="s">
        <v>166</v>
      </c>
      <c r="BN352" s="366" t="s">
        <v>3</v>
      </c>
      <c r="BO352" s="366">
        <v>0</v>
      </c>
      <c r="BP352" s="366">
        <v>0</v>
      </c>
      <c r="BQ352" s="366">
        <v>0</v>
      </c>
      <c r="BR352" s="366">
        <v>115</v>
      </c>
      <c r="BS352" s="366">
        <v>3</v>
      </c>
      <c r="BT352" s="366">
        <v>23</v>
      </c>
      <c r="BU352" s="366">
        <v>249</v>
      </c>
      <c r="BV352" s="366">
        <v>3</v>
      </c>
      <c r="BW352" s="366">
        <v>0</v>
      </c>
      <c r="BX352" s="366">
        <v>0</v>
      </c>
      <c r="BY352" s="366">
        <v>32</v>
      </c>
      <c r="BZ352" s="366">
        <v>0</v>
      </c>
      <c r="CA352" s="366">
        <v>1</v>
      </c>
      <c r="CB352" s="367">
        <f>IFERROR(BO352/Instructions!$J$25,0)+BP352*Instructions!$J$27+BQ352*Instructions!$J$29+IFERROR(BR352/Instructions!$E$34,0)+BS352*Instructions!$E$36+Tier!BT353*Instructions!$E$25+IFERROR(BU352/Instructions!$E$27,0)+BV352*Instructions!$E$29+IFERROR((BW352+BY352)/Instructions!$J$32,0)+(BX352+BZ352)*Instructions!$J$34+Tier!CA352*-2</f>
        <v>100.4</v>
      </c>
      <c r="CC352" s="354"/>
      <c r="CD352" s="238">
        <v>2016</v>
      </c>
      <c r="CE352" s="365" t="s">
        <v>1639</v>
      </c>
      <c r="CF352" s="366" t="s">
        <v>162</v>
      </c>
      <c r="CG352" s="366" t="s">
        <v>6</v>
      </c>
      <c r="CH352" s="366">
        <v>0</v>
      </c>
      <c r="CI352" s="366">
        <v>0</v>
      </c>
      <c r="CJ352" s="366">
        <v>0</v>
      </c>
      <c r="CK352" s="366">
        <v>0</v>
      </c>
      <c r="CL352" s="366">
        <v>0</v>
      </c>
      <c r="CM352" s="366">
        <v>70</v>
      </c>
      <c r="CN352" s="366">
        <v>799</v>
      </c>
      <c r="CO352" s="366">
        <v>5</v>
      </c>
      <c r="CP352" s="366">
        <v>0</v>
      </c>
      <c r="CQ352" s="366">
        <v>0</v>
      </c>
      <c r="CR352" s="366">
        <v>0</v>
      </c>
      <c r="CS352" s="366">
        <v>0</v>
      </c>
      <c r="CT352" s="366">
        <v>0</v>
      </c>
      <c r="CU352" s="367">
        <f>IFERROR(CH352/Instructions!$J$25,0)+CI352*Instructions!$J$27+CJ352*Instructions!$J$29+IFERROR(CK352/Instructions!$E$34,0)+CL352*Instructions!$E$36+Tier!CM352*Instructions!$E$25+IFERROR(CN352/Instructions!$E$27,0)+CO352*Instructions!$E$29+IFERROR((CP352+CR352)/Instructions!$J$32,0)+(CQ352+CS352)*Instructions!$J$34+Tier!CT352*-2</f>
        <v>179.9</v>
      </c>
      <c r="CV352" s="354"/>
      <c r="CW352"/>
      <c r="CX352"/>
      <c r="CY352"/>
      <c r="CZ352"/>
      <c r="DA352"/>
      <c r="DB352"/>
      <c r="DC352"/>
      <c r="DD352"/>
      <c r="DE352"/>
      <c r="DF352"/>
      <c r="DG352"/>
      <c r="DH352"/>
      <c r="DI352"/>
      <c r="DJ352"/>
      <c r="DK352"/>
      <c r="DL352"/>
      <c r="DM352"/>
      <c r="DN352"/>
    </row>
    <row r="353" spans="3:118" s="238" customFormat="1" ht="15.75" customHeight="1" x14ac:dyDescent="0.25">
      <c r="C353"/>
      <c r="D353"/>
      <c r="E353"/>
      <c r="F353"/>
      <c r="G353"/>
      <c r="H353"/>
      <c r="I353"/>
      <c r="J353"/>
      <c r="K353"/>
      <c r="L353"/>
      <c r="M353"/>
      <c r="N353"/>
      <c r="O353" s="366"/>
      <c r="P353" s="366">
        <v>2016</v>
      </c>
      <c r="Q353" s="367">
        <f>LARGE($CB$304:$CB$453,50)</f>
        <v>87.5</v>
      </c>
      <c r="R353" s="357">
        <f t="shared" si="112"/>
        <v>-77.099999999999994</v>
      </c>
      <c r="S353" s="356">
        <f t="shared" si="113"/>
        <v>5944.4099999999989</v>
      </c>
      <c r="U353" s="356">
        <f t="shared" si="114"/>
        <v>-4.8187499999999996</v>
      </c>
      <c r="V353" s="238">
        <f t="shared" si="118"/>
        <v>8</v>
      </c>
      <c r="W353" s="354"/>
      <c r="X353" s="371"/>
      <c r="Y353" s="371"/>
      <c r="Z353" s="238">
        <v>2016</v>
      </c>
      <c r="AA353" s="367">
        <f>LARGE($CU$304:$CU$453,50)</f>
        <v>163</v>
      </c>
      <c r="AB353" s="357">
        <f t="shared" si="115"/>
        <v>-48.700000000000017</v>
      </c>
      <c r="AC353" s="356">
        <f t="shared" si="117"/>
        <v>2371.6900000000019</v>
      </c>
      <c r="AD353" s="356"/>
      <c r="AE353" s="356">
        <f t="shared" si="116"/>
        <v>-3.0437500000000011</v>
      </c>
      <c r="AF353" s="238">
        <f t="shared" si="119"/>
        <v>8</v>
      </c>
      <c r="AG353" s="354"/>
      <c r="AK353"/>
      <c r="AL353"/>
      <c r="AM353"/>
      <c r="AN353"/>
      <c r="AO353"/>
      <c r="AP353"/>
      <c r="BI353" s="360"/>
      <c r="BJ353" s="354"/>
      <c r="BK353" s="366">
        <v>2016</v>
      </c>
      <c r="BL353" s="365" t="s">
        <v>1187</v>
      </c>
      <c r="BM353" s="366" t="s">
        <v>162</v>
      </c>
      <c r="BN353" s="366" t="s">
        <v>3</v>
      </c>
      <c r="BO353" s="366">
        <v>0</v>
      </c>
      <c r="BP353" s="366">
        <v>0</v>
      </c>
      <c r="BQ353" s="366">
        <v>0</v>
      </c>
      <c r="BR353" s="366">
        <v>382</v>
      </c>
      <c r="BS353" s="366">
        <v>2</v>
      </c>
      <c r="BT353" s="366">
        <v>30</v>
      </c>
      <c r="BU353" s="366">
        <v>162</v>
      </c>
      <c r="BV353" s="366">
        <v>1</v>
      </c>
      <c r="BW353" s="366">
        <v>0</v>
      </c>
      <c r="BX353" s="366">
        <v>0</v>
      </c>
      <c r="BY353" s="366">
        <v>0</v>
      </c>
      <c r="BZ353" s="366">
        <v>0</v>
      </c>
      <c r="CA353" s="366">
        <v>0</v>
      </c>
      <c r="CB353" s="367">
        <f>IFERROR(BO353/Instructions!$J$25,0)+BP353*Instructions!$J$27+BQ353*Instructions!$J$29+IFERROR(BR353/Instructions!$E$34,0)+BS353*Instructions!$E$36+Tier!BT354*Instructions!$E$25+IFERROR(BU353/Instructions!$E$27,0)+BV353*Instructions!$E$29+IFERROR((BW353+BY353)/Instructions!$J$32,0)+(BX353+BZ353)*Instructions!$J$34+Tier!CA353*-2</f>
        <v>80.400000000000006</v>
      </c>
      <c r="CC353" s="354"/>
      <c r="CD353" s="238">
        <v>2016</v>
      </c>
      <c r="CE353" s="365" t="s">
        <v>1640</v>
      </c>
      <c r="CF353" s="366" t="s">
        <v>153</v>
      </c>
      <c r="CG353" s="366" t="s">
        <v>6</v>
      </c>
      <c r="CH353" s="366">
        <v>0</v>
      </c>
      <c r="CI353" s="366">
        <v>0</v>
      </c>
      <c r="CJ353" s="366">
        <v>0</v>
      </c>
      <c r="CK353" s="366">
        <v>83</v>
      </c>
      <c r="CL353" s="366">
        <v>1</v>
      </c>
      <c r="CM353" s="366">
        <v>34</v>
      </c>
      <c r="CN353" s="366">
        <v>568</v>
      </c>
      <c r="CO353" s="366">
        <v>6</v>
      </c>
      <c r="CP353" s="366">
        <v>0</v>
      </c>
      <c r="CQ353" s="366">
        <v>0</v>
      </c>
      <c r="CR353" s="366">
        <v>53</v>
      </c>
      <c r="CS353" s="366">
        <v>0</v>
      </c>
      <c r="CT353" s="366">
        <v>0</v>
      </c>
      <c r="CU353" s="367">
        <f>IFERROR(CH353/Instructions!$J$25,0)+CI353*Instructions!$J$27+CJ353*Instructions!$J$29+IFERROR(CK353/Instructions!$E$34,0)+CL353*Instructions!$E$36+Tier!CM353*Instructions!$E$25+IFERROR(CN353/Instructions!$E$27,0)+CO353*Instructions!$E$29+IFERROR((CP353+CR353)/Instructions!$J$32,0)+(CQ353+CS353)*Instructions!$J$34+Tier!CT353*-2</f>
        <v>141.1</v>
      </c>
      <c r="CV353" s="354"/>
      <c r="CW353"/>
      <c r="CX353"/>
      <c r="CY353"/>
      <c r="CZ353"/>
      <c r="DA353"/>
      <c r="DB353"/>
      <c r="DC353"/>
      <c r="DD353"/>
      <c r="DE353"/>
      <c r="DF353"/>
      <c r="DG353"/>
      <c r="DH353"/>
      <c r="DI353"/>
      <c r="DJ353"/>
      <c r="DK353"/>
      <c r="DL353"/>
      <c r="DM353"/>
      <c r="DN353"/>
    </row>
    <row r="354" spans="3:118" s="238" customFormat="1" ht="15.75" customHeight="1" x14ac:dyDescent="0.25">
      <c r="C354"/>
      <c r="D354"/>
      <c r="E354"/>
      <c r="F354"/>
      <c r="G354"/>
      <c r="H354"/>
      <c r="I354"/>
      <c r="J354"/>
      <c r="K354"/>
      <c r="L354"/>
      <c r="M354"/>
      <c r="N354"/>
      <c r="O354" s="366"/>
      <c r="P354" s="366">
        <v>2016</v>
      </c>
      <c r="Q354" s="367">
        <f>LARGE($CB$304:$CB$453,51)</f>
        <v>86.9</v>
      </c>
      <c r="R354" s="357">
        <f t="shared" si="112"/>
        <v>-77.699999999999989</v>
      </c>
      <c r="S354" s="356">
        <f>R354^2</f>
        <v>6037.2899999999981</v>
      </c>
      <c r="T354" s="356"/>
      <c r="U354" s="356">
        <f t="shared" si="114"/>
        <v>-4.8562499999999993</v>
      </c>
      <c r="V354" s="238">
        <f t="shared" si="118"/>
        <v>8</v>
      </c>
      <c r="W354" s="354"/>
      <c r="X354" s="371"/>
      <c r="Y354" s="371"/>
      <c r="Z354" s="238">
        <v>2016</v>
      </c>
      <c r="AA354" s="367">
        <f>LARGE($CU$304:$CU$453,51)</f>
        <v>155.80000000000001</v>
      </c>
      <c r="AB354" s="357">
        <f t="shared" si="115"/>
        <v>-55.900000000000006</v>
      </c>
      <c r="AC354" s="356">
        <f t="shared" si="117"/>
        <v>3124.8100000000009</v>
      </c>
      <c r="AD354" s="356"/>
      <c r="AE354" s="356">
        <f t="shared" si="116"/>
        <v>-3.4937500000000004</v>
      </c>
      <c r="AF354" s="238">
        <f t="shared" si="119"/>
        <v>8</v>
      </c>
      <c r="AG354" s="354"/>
      <c r="AK354"/>
      <c r="AL354"/>
      <c r="AM354"/>
      <c r="AN354"/>
      <c r="AO354"/>
      <c r="AP354"/>
      <c r="BI354" s="360"/>
      <c r="BJ354" s="354"/>
      <c r="BK354" s="366">
        <v>2016</v>
      </c>
      <c r="BL354" s="365" t="s">
        <v>1139</v>
      </c>
      <c r="BM354" s="366" t="s">
        <v>152</v>
      </c>
      <c r="BN354" s="366" t="s">
        <v>3</v>
      </c>
      <c r="BO354" s="366">
        <v>0</v>
      </c>
      <c r="BP354" s="366">
        <v>0</v>
      </c>
      <c r="BQ354" s="366">
        <v>0</v>
      </c>
      <c r="BR354" s="366">
        <v>460</v>
      </c>
      <c r="BS354" s="366">
        <v>3</v>
      </c>
      <c r="BT354" s="366">
        <v>8</v>
      </c>
      <c r="BU354" s="366">
        <v>73</v>
      </c>
      <c r="BV354" s="366">
        <v>0</v>
      </c>
      <c r="BW354" s="366">
        <v>0</v>
      </c>
      <c r="BX354" s="366">
        <v>0</v>
      </c>
      <c r="BY354" s="366">
        <v>0</v>
      </c>
      <c r="BZ354" s="366">
        <v>0</v>
      </c>
      <c r="CA354" s="366">
        <v>2</v>
      </c>
      <c r="CB354" s="367">
        <f>IFERROR(BO354/Instructions!$J$25,0)+BP354*Instructions!$J$27+BQ354*Instructions!$J$29+IFERROR(BR354/Instructions!$E$34,0)+BS354*Instructions!$E$36+Tier!BT355*Instructions!$E$25+IFERROR(BU354/Instructions!$E$27,0)+BV354*Instructions!$E$29+IFERROR((BW354+BY354)/Instructions!$J$32,0)+(BX354+BZ354)*Instructions!$J$34+Tier!CA354*-2</f>
        <v>84.3</v>
      </c>
      <c r="CC354" s="354"/>
      <c r="CD354" s="238">
        <v>2016</v>
      </c>
      <c r="CE354" s="365" t="s">
        <v>99</v>
      </c>
      <c r="CF354" s="366" t="s">
        <v>142</v>
      </c>
      <c r="CG354" s="366" t="s">
        <v>6</v>
      </c>
      <c r="CH354" s="366">
        <v>0</v>
      </c>
      <c r="CI354" s="366">
        <v>0</v>
      </c>
      <c r="CJ354" s="366">
        <v>0</v>
      </c>
      <c r="CK354" s="366">
        <v>0</v>
      </c>
      <c r="CL354" s="366">
        <v>0</v>
      </c>
      <c r="CM354" s="366">
        <v>67</v>
      </c>
      <c r="CN354" s="366">
        <v>584</v>
      </c>
      <c r="CO354" s="366">
        <v>8</v>
      </c>
      <c r="CP354" s="366">
        <v>0</v>
      </c>
      <c r="CQ354" s="366">
        <v>0</v>
      </c>
      <c r="CR354" s="366">
        <v>0</v>
      </c>
      <c r="CS354" s="366">
        <v>0</v>
      </c>
      <c r="CT354" s="366">
        <v>0</v>
      </c>
      <c r="CU354" s="367">
        <f>IFERROR(CH354/Instructions!$J$25,0)+CI354*Instructions!$J$27+CJ354*Instructions!$J$29+IFERROR(CK354/Instructions!$E$34,0)+CL354*Instructions!$E$36+Tier!CM354*Instructions!$E$25+IFERROR(CN354/Instructions!$E$27,0)+CO354*Instructions!$E$29+IFERROR((CP354+CR354)/Instructions!$J$32,0)+(CQ354+CS354)*Instructions!$J$34+Tier!CT354*-2</f>
        <v>173.4</v>
      </c>
      <c r="CV354" s="354"/>
      <c r="CW354"/>
      <c r="CX354"/>
      <c r="CY354"/>
      <c r="CZ354"/>
      <c r="DA354"/>
      <c r="DB354"/>
      <c r="DC354"/>
      <c r="DD354"/>
      <c r="DE354"/>
      <c r="DF354"/>
      <c r="DG354"/>
      <c r="DH354"/>
      <c r="DI354"/>
      <c r="DJ354"/>
      <c r="DK354"/>
      <c r="DL354"/>
      <c r="DM354"/>
      <c r="DN354"/>
    </row>
    <row r="355" spans="3:118" s="238" customFormat="1" ht="15.75" customHeight="1" x14ac:dyDescent="0.25">
      <c r="C355"/>
      <c r="D355"/>
      <c r="E355"/>
      <c r="F355"/>
      <c r="G355"/>
      <c r="H355"/>
      <c r="I355"/>
      <c r="J355"/>
      <c r="K355"/>
      <c r="L355"/>
      <c r="M355"/>
      <c r="N355"/>
      <c r="O355" s="366"/>
      <c r="P355" s="366">
        <v>2016</v>
      </c>
      <c r="Q355" s="367">
        <f>LARGE($CB$304:$CB$453,52)</f>
        <v>85.2</v>
      </c>
      <c r="R355" s="357">
        <f t="shared" si="112"/>
        <v>-79.399999999999991</v>
      </c>
      <c r="S355" s="356">
        <f t="shared" ref="S355:S418" si="120">R355^2</f>
        <v>6304.3599999999988</v>
      </c>
      <c r="T355" s="356"/>
      <c r="U355" s="356">
        <f t="shared" si="114"/>
        <v>-4.9624999999999995</v>
      </c>
      <c r="V355" s="238">
        <f t="shared" si="118"/>
        <v>8</v>
      </c>
      <c r="W355" s="354"/>
      <c r="X355" s="371"/>
      <c r="Y355" s="371"/>
      <c r="Z355" s="238">
        <v>2016</v>
      </c>
      <c r="AA355" s="367">
        <f>LARGE($CU$304:$CU$453,52)</f>
        <v>154.4</v>
      </c>
      <c r="AB355" s="357">
        <f t="shared" si="115"/>
        <v>-57.300000000000011</v>
      </c>
      <c r="AC355" s="356">
        <f t="shared" si="117"/>
        <v>3283.2900000000013</v>
      </c>
      <c r="AD355" s="356"/>
      <c r="AE355" s="356">
        <f t="shared" si="116"/>
        <v>-3.5812500000000007</v>
      </c>
      <c r="AF355" s="238">
        <f t="shared" si="119"/>
        <v>8</v>
      </c>
      <c r="AG355" s="354"/>
      <c r="AK355"/>
      <c r="AL355"/>
      <c r="AM355"/>
      <c r="AN355"/>
      <c r="AO355"/>
      <c r="AP355"/>
      <c r="BI355" s="360"/>
      <c r="BJ355" s="354"/>
      <c r="BK355" s="366">
        <v>2016</v>
      </c>
      <c r="BL355" s="365" t="s">
        <v>1195</v>
      </c>
      <c r="BM355" s="366" t="s">
        <v>167</v>
      </c>
      <c r="BN355" s="366" t="s">
        <v>3</v>
      </c>
      <c r="BO355" s="366">
        <v>0</v>
      </c>
      <c r="BP355" s="366">
        <v>0</v>
      </c>
      <c r="BQ355" s="366">
        <v>0</v>
      </c>
      <c r="BR355" s="366">
        <v>467</v>
      </c>
      <c r="BS355" s="366">
        <v>2</v>
      </c>
      <c r="BT355" s="366">
        <v>17</v>
      </c>
      <c r="BU355" s="366">
        <v>115</v>
      </c>
      <c r="BV355" s="366">
        <v>0</v>
      </c>
      <c r="BW355" s="366">
        <v>0</v>
      </c>
      <c r="BX355" s="366">
        <v>0</v>
      </c>
      <c r="BY355" s="366">
        <v>20</v>
      </c>
      <c r="BZ355" s="366">
        <v>0</v>
      </c>
      <c r="CA355" s="366">
        <v>1</v>
      </c>
      <c r="CB355" s="367">
        <f>IFERROR(BO355/Instructions!$J$25,0)+BP355*Instructions!$J$27+BQ355*Instructions!$J$29+IFERROR(BR355/Instructions!$E$34,0)+BS355*Instructions!$E$36+Tier!BT356*Instructions!$E$25+IFERROR(BU355/Instructions!$E$27,0)+BV355*Instructions!$E$29+IFERROR((BW355+BY355)/Instructions!$J$32,0)+(BX355+BZ355)*Instructions!$J$34+Tier!CA355*-2</f>
        <v>85.2</v>
      </c>
      <c r="CC355" s="354"/>
      <c r="CD355" s="238">
        <v>2016</v>
      </c>
      <c r="CE355" s="365" t="s">
        <v>1112</v>
      </c>
      <c r="CF355" s="366" t="s">
        <v>1626</v>
      </c>
      <c r="CG355" s="366" t="s">
        <v>6</v>
      </c>
      <c r="CH355" s="366">
        <v>0</v>
      </c>
      <c r="CI355" s="366">
        <v>0</v>
      </c>
      <c r="CJ355" s="366">
        <v>0</v>
      </c>
      <c r="CK355" s="366">
        <v>0</v>
      </c>
      <c r="CL355" s="366">
        <v>0</v>
      </c>
      <c r="CM355" s="366">
        <v>58</v>
      </c>
      <c r="CN355" s="366">
        <v>810</v>
      </c>
      <c r="CO355" s="366">
        <v>4</v>
      </c>
      <c r="CP355" s="366">
        <v>0</v>
      </c>
      <c r="CQ355" s="366">
        <v>0</v>
      </c>
      <c r="CR355" s="366">
        <v>0</v>
      </c>
      <c r="CS355" s="366">
        <v>0</v>
      </c>
      <c r="CT355" s="366">
        <v>0</v>
      </c>
      <c r="CU355" s="367">
        <f>IFERROR(CH355/Instructions!$J$25,0)+CI355*Instructions!$J$27+CJ355*Instructions!$J$29+IFERROR(CK355/Instructions!$E$34,0)+CL355*Instructions!$E$36+Tier!CM355*Instructions!$E$25+IFERROR(CN355/Instructions!$E$27,0)+CO355*Instructions!$E$29+IFERROR((CP355+CR355)/Instructions!$J$32,0)+(CQ355+CS355)*Instructions!$J$34+Tier!CT355*-2</f>
        <v>163</v>
      </c>
      <c r="CV355" s="354"/>
      <c r="CW355"/>
      <c r="CX355"/>
      <c r="CY355"/>
      <c r="CZ355"/>
      <c r="DA355"/>
      <c r="DB355"/>
      <c r="DC355"/>
      <c r="DD355"/>
      <c r="DE355"/>
      <c r="DF355"/>
      <c r="DG355"/>
      <c r="DH355"/>
      <c r="DI355"/>
      <c r="DJ355"/>
      <c r="DK355"/>
      <c r="DL355"/>
      <c r="DM355"/>
      <c r="DN355"/>
    </row>
    <row r="356" spans="3:118" s="238" customFormat="1" ht="15.75" customHeight="1" x14ac:dyDescent="0.25">
      <c r="C356"/>
      <c r="D356"/>
      <c r="E356"/>
      <c r="F356"/>
      <c r="G356"/>
      <c r="H356"/>
      <c r="I356"/>
      <c r="J356"/>
      <c r="K356"/>
      <c r="L356"/>
      <c r="M356"/>
      <c r="N356"/>
      <c r="O356" s="366"/>
      <c r="P356" s="366">
        <v>2016</v>
      </c>
      <c r="Q356" s="367">
        <f>LARGE($CB$304:$CB$453,53)</f>
        <v>84.3</v>
      </c>
      <c r="R356" s="357">
        <f t="shared" si="112"/>
        <v>-80.3</v>
      </c>
      <c r="S356" s="356">
        <f t="shared" si="120"/>
        <v>6448.0899999999992</v>
      </c>
      <c r="U356" s="356">
        <f t="shared" si="114"/>
        <v>-5.0187499999999998</v>
      </c>
      <c r="V356" s="238">
        <f t="shared" si="118"/>
        <v>8</v>
      </c>
      <c r="W356" s="354"/>
      <c r="X356" s="371"/>
      <c r="Y356" s="371"/>
      <c r="Z356" s="238">
        <v>2016</v>
      </c>
      <c r="AA356" s="367">
        <f>LARGE($CU$304:$CU$453,53)</f>
        <v>148.69999999999999</v>
      </c>
      <c r="AB356" s="357">
        <f t="shared" si="115"/>
        <v>-63.000000000000028</v>
      </c>
      <c r="AC356" s="356">
        <f t="shared" si="117"/>
        <v>3969.0000000000036</v>
      </c>
      <c r="AD356" s="356"/>
      <c r="AE356" s="356">
        <f t="shared" si="116"/>
        <v>-3.9375000000000018</v>
      </c>
      <c r="AF356" s="238">
        <f t="shared" si="119"/>
        <v>8</v>
      </c>
      <c r="AG356" s="354"/>
      <c r="AK356"/>
      <c r="AL356"/>
      <c r="AM356"/>
      <c r="AN356"/>
      <c r="AO356"/>
      <c r="AP356"/>
      <c r="BI356" s="360"/>
      <c r="BJ356" s="354"/>
      <c r="BK356" s="366">
        <v>2016</v>
      </c>
      <c r="BL356" s="365" t="s">
        <v>1152</v>
      </c>
      <c r="BM356" s="366" t="s">
        <v>145</v>
      </c>
      <c r="BN356" s="366" t="s">
        <v>3</v>
      </c>
      <c r="BO356" s="366">
        <v>0</v>
      </c>
      <c r="BP356" s="366">
        <v>0</v>
      </c>
      <c r="BQ356" s="366">
        <v>0</v>
      </c>
      <c r="BR356" s="366">
        <v>344</v>
      </c>
      <c r="BS356" s="366">
        <v>2</v>
      </c>
      <c r="BT356" s="366">
        <v>17</v>
      </c>
      <c r="BU356" s="366">
        <v>145</v>
      </c>
      <c r="BV356" s="366">
        <v>0</v>
      </c>
      <c r="BW356" s="366">
        <v>0</v>
      </c>
      <c r="BX356" s="366">
        <v>0</v>
      </c>
      <c r="BY356" s="366">
        <v>114</v>
      </c>
      <c r="BZ356" s="366">
        <v>0</v>
      </c>
      <c r="CA356" s="366">
        <v>1</v>
      </c>
      <c r="CB356" s="367">
        <f>IFERROR(BO356/Instructions!$J$25,0)+BP356*Instructions!$J$27+BQ356*Instructions!$J$29+IFERROR(BR356/Instructions!$E$34,0)+BS356*Instructions!$E$36+Tier!BT357*Instructions!$E$25+IFERROR(BU356/Instructions!$E$27,0)+BV356*Instructions!$E$29+IFERROR((BW356+BY356)/Instructions!$J$32,0)+(BX356+BZ356)*Instructions!$J$34+Tier!CA356*-2</f>
        <v>86.9</v>
      </c>
      <c r="CC356" s="354"/>
      <c r="CD356" s="238">
        <v>2016</v>
      </c>
      <c r="CE356" s="365" t="s">
        <v>1118</v>
      </c>
      <c r="CF356" s="366" t="s">
        <v>148</v>
      </c>
      <c r="CG356" s="366" t="s">
        <v>6</v>
      </c>
      <c r="CH356" s="366">
        <v>0</v>
      </c>
      <c r="CI356" s="366">
        <v>0</v>
      </c>
      <c r="CJ356" s="366">
        <v>0</v>
      </c>
      <c r="CK356" s="366">
        <v>51</v>
      </c>
      <c r="CL356" s="366">
        <v>1</v>
      </c>
      <c r="CM356" s="366">
        <v>35</v>
      </c>
      <c r="CN356" s="366">
        <v>579</v>
      </c>
      <c r="CO356" s="366">
        <v>6</v>
      </c>
      <c r="CP356" s="366">
        <v>0</v>
      </c>
      <c r="CQ356" s="366">
        <v>0</v>
      </c>
      <c r="CR356" s="366">
        <v>0</v>
      </c>
      <c r="CS356" s="366">
        <v>0</v>
      </c>
      <c r="CT356" s="366">
        <v>0</v>
      </c>
      <c r="CU356" s="367">
        <f>IFERROR(CH356/Instructions!$J$25,0)+CI356*Instructions!$J$27+CJ356*Instructions!$J$29+IFERROR(CK356/Instructions!$E$34,0)+CL356*Instructions!$E$36+Tier!CM356*Instructions!$E$25+IFERROR(CN356/Instructions!$E$27,0)+CO356*Instructions!$E$29+IFERROR((CP356+CR356)/Instructions!$J$32,0)+(CQ356+CS356)*Instructions!$J$34+Tier!CT356*-2</f>
        <v>140</v>
      </c>
      <c r="CV356" s="354"/>
      <c r="CW356"/>
      <c r="CX356"/>
      <c r="CY356"/>
      <c r="CZ356"/>
      <c r="DA356"/>
      <c r="DB356"/>
      <c r="DC356"/>
      <c r="DD356"/>
      <c r="DE356"/>
      <c r="DF356"/>
      <c r="DG356"/>
      <c r="DH356"/>
      <c r="DI356"/>
      <c r="DJ356"/>
      <c r="DK356"/>
      <c r="DL356"/>
      <c r="DM356"/>
      <c r="DN356"/>
    </row>
    <row r="357" spans="3:118" s="238" customFormat="1" ht="15.75" customHeight="1" x14ac:dyDescent="0.25">
      <c r="C357"/>
      <c r="D357"/>
      <c r="E357"/>
      <c r="F357"/>
      <c r="G357"/>
      <c r="H357"/>
      <c r="I357"/>
      <c r="J357"/>
      <c r="K357"/>
      <c r="L357"/>
      <c r="M357"/>
      <c r="N357"/>
      <c r="O357" s="366"/>
      <c r="P357" s="366">
        <v>2016</v>
      </c>
      <c r="Q357" s="367">
        <f>LARGE($CB$304:$CB$453,54)</f>
        <v>80.400000000000006</v>
      </c>
      <c r="R357" s="357">
        <f t="shared" si="112"/>
        <v>-84.199999999999989</v>
      </c>
      <c r="S357" s="356">
        <f t="shared" si="120"/>
        <v>7089.6399999999985</v>
      </c>
      <c r="U357" s="356">
        <f t="shared" si="114"/>
        <v>-5.2624999999999993</v>
      </c>
      <c r="V357" s="238">
        <f t="shared" si="118"/>
        <v>8</v>
      </c>
      <c r="W357" s="354"/>
      <c r="X357" s="371"/>
      <c r="Y357" s="371"/>
      <c r="Z357" s="238">
        <v>2016</v>
      </c>
      <c r="AA357" s="367">
        <f>LARGE($CU$304:$CU$453,54)</f>
        <v>148.30000000000001</v>
      </c>
      <c r="AB357" s="357">
        <f t="shared" si="115"/>
        <v>-63.400000000000006</v>
      </c>
      <c r="AC357" s="356">
        <f t="shared" si="117"/>
        <v>4019.5600000000009</v>
      </c>
      <c r="AD357" s="356"/>
      <c r="AE357" s="356">
        <f t="shared" si="116"/>
        <v>-3.9625000000000004</v>
      </c>
      <c r="AF357" s="238">
        <f t="shared" si="119"/>
        <v>8</v>
      </c>
      <c r="AG357" s="354"/>
      <c r="AK357"/>
      <c r="AL357"/>
      <c r="AM357"/>
      <c r="AN357"/>
      <c r="AO357"/>
      <c r="AP357"/>
      <c r="BI357" s="360"/>
      <c r="BJ357" s="354"/>
      <c r="BK357" s="366">
        <v>2016</v>
      </c>
      <c r="BL357" s="365" t="s">
        <v>1175</v>
      </c>
      <c r="BM357" s="366" t="s">
        <v>1629</v>
      </c>
      <c r="BN357" s="366" t="s">
        <v>3</v>
      </c>
      <c r="BO357" s="366">
        <v>0</v>
      </c>
      <c r="BP357" s="366">
        <v>0</v>
      </c>
      <c r="BQ357" s="366">
        <v>0</v>
      </c>
      <c r="BR357" s="366">
        <v>293</v>
      </c>
      <c r="BS357" s="366">
        <v>1</v>
      </c>
      <c r="BT357" s="366">
        <v>28</v>
      </c>
      <c r="BU357" s="366">
        <v>188</v>
      </c>
      <c r="BV357" s="366">
        <v>2</v>
      </c>
      <c r="BW357" s="366">
        <v>0</v>
      </c>
      <c r="BX357" s="366">
        <v>0</v>
      </c>
      <c r="BY357" s="366">
        <v>0</v>
      </c>
      <c r="BZ357" s="366">
        <v>0</v>
      </c>
      <c r="CA357" s="366">
        <v>0</v>
      </c>
      <c r="CB357" s="367">
        <f>IFERROR(BO357/Instructions!$J$25,0)+BP357*Instructions!$J$27+BQ357*Instructions!$J$29+IFERROR(BR357/Instructions!$E$34,0)+BS357*Instructions!$E$36+Tier!BT358*Instructions!$E$25+IFERROR(BU357/Instructions!$E$27,0)+BV357*Instructions!$E$29+IFERROR((BW357+BY357)/Instructions!$J$32,0)+(BX357+BZ357)*Instructions!$J$34+Tier!CA357*-2</f>
        <v>79.099999999999994</v>
      </c>
      <c r="CC357" s="354"/>
      <c r="CD357" s="238">
        <v>2016</v>
      </c>
      <c r="CE357" s="365" t="s">
        <v>111</v>
      </c>
      <c r="CF357" s="366" t="s">
        <v>1389</v>
      </c>
      <c r="CG357" s="366" t="s">
        <v>6</v>
      </c>
      <c r="CH357" s="366">
        <v>0</v>
      </c>
      <c r="CI357" s="366">
        <v>0</v>
      </c>
      <c r="CJ357" s="366">
        <v>0</v>
      </c>
      <c r="CK357" s="366">
        <v>159</v>
      </c>
      <c r="CL357" s="366">
        <v>1</v>
      </c>
      <c r="CM357" s="366">
        <v>58</v>
      </c>
      <c r="CN357" s="366">
        <v>509</v>
      </c>
      <c r="CO357" s="366">
        <v>3</v>
      </c>
      <c r="CP357" s="366">
        <v>336</v>
      </c>
      <c r="CQ357" s="366">
        <v>0</v>
      </c>
      <c r="CR357" s="366">
        <v>5</v>
      </c>
      <c r="CS357" s="366">
        <v>0</v>
      </c>
      <c r="CT357" s="366">
        <v>1</v>
      </c>
      <c r="CU357" s="367">
        <f>IFERROR(CH357/Instructions!$J$25,0)+CI357*Instructions!$J$27+CJ357*Instructions!$J$29+IFERROR(CK357/Instructions!$E$34,0)+CL357*Instructions!$E$36+Tier!CM357*Instructions!$E$25+IFERROR(CN357/Instructions!$E$27,0)+CO357*Instructions!$E$29+IFERROR((CP357+CR357)/Instructions!$J$32,0)+(CQ357+CS357)*Instructions!$J$34+Tier!CT357*-2</f>
        <v>146.80000000000001</v>
      </c>
      <c r="CV357" s="354"/>
      <c r="CW357"/>
      <c r="CX357"/>
      <c r="CY357"/>
      <c r="CZ357"/>
      <c r="DA357"/>
      <c r="DB357"/>
      <c r="DC357"/>
      <c r="DD357"/>
      <c r="DE357"/>
      <c r="DF357"/>
      <c r="DG357"/>
      <c r="DH357"/>
      <c r="DI357"/>
      <c r="DJ357"/>
      <c r="DK357"/>
      <c r="DL357"/>
      <c r="DM357"/>
      <c r="DN357"/>
    </row>
    <row r="358" spans="3:118" s="238" customFormat="1" ht="15.75" customHeight="1" x14ac:dyDescent="0.25">
      <c r="C358"/>
      <c r="D358"/>
      <c r="E358"/>
      <c r="F358"/>
      <c r="G358"/>
      <c r="H358"/>
      <c r="I358"/>
      <c r="J358"/>
      <c r="K358"/>
      <c r="L358"/>
      <c r="M358"/>
      <c r="N358"/>
      <c r="O358" s="366"/>
      <c r="P358" s="366">
        <v>2016</v>
      </c>
      <c r="Q358" s="367">
        <f>LARGE($CB$304:$CB$453,55)</f>
        <v>79.099999999999994</v>
      </c>
      <c r="R358" s="357">
        <f t="shared" si="112"/>
        <v>-85.5</v>
      </c>
      <c r="S358" s="356">
        <f t="shared" si="120"/>
        <v>7310.25</v>
      </c>
      <c r="T358" s="356"/>
      <c r="U358" s="356">
        <f t="shared" si="114"/>
        <v>-5.34375</v>
      </c>
      <c r="V358" s="238">
        <f t="shared" si="118"/>
        <v>8</v>
      </c>
      <c r="W358" s="354"/>
      <c r="X358" s="371"/>
      <c r="Y358" s="371"/>
      <c r="Z358" s="238">
        <v>2016</v>
      </c>
      <c r="AA358" s="367">
        <f>LARGE($CU$304:$CU$453,55)</f>
        <v>146.80000000000001</v>
      </c>
      <c r="AB358" s="357">
        <f t="shared" si="115"/>
        <v>-64.900000000000006</v>
      </c>
      <c r="AC358" s="356">
        <f t="shared" si="117"/>
        <v>4212.0100000000011</v>
      </c>
      <c r="AD358" s="356"/>
      <c r="AE358" s="356">
        <f t="shared" si="116"/>
        <v>-4.0562500000000004</v>
      </c>
      <c r="AF358" s="238">
        <f t="shared" si="119"/>
        <v>8</v>
      </c>
      <c r="AG358" s="354"/>
      <c r="AK358"/>
      <c r="AL358"/>
      <c r="AM358"/>
      <c r="AN358"/>
      <c r="AO358"/>
      <c r="AP358"/>
      <c r="BI358" s="360"/>
      <c r="BJ358" s="354"/>
      <c r="BK358" s="366">
        <v>2016</v>
      </c>
      <c r="BL358" s="365" t="s">
        <v>1151</v>
      </c>
      <c r="BM358" s="366" t="s">
        <v>140</v>
      </c>
      <c r="BN358" s="366" t="s">
        <v>3</v>
      </c>
      <c r="BO358" s="366">
        <v>0</v>
      </c>
      <c r="BP358" s="366">
        <v>0</v>
      </c>
      <c r="BQ358" s="366">
        <v>0</v>
      </c>
      <c r="BR358" s="366">
        <v>349</v>
      </c>
      <c r="BS358" s="366">
        <v>3</v>
      </c>
      <c r="BT358" s="366">
        <v>13</v>
      </c>
      <c r="BU358" s="366">
        <v>96</v>
      </c>
      <c r="BV358" s="366">
        <v>0</v>
      </c>
      <c r="BW358" s="366">
        <v>0</v>
      </c>
      <c r="BX358" s="366">
        <v>0</v>
      </c>
      <c r="BY358" s="366">
        <v>0</v>
      </c>
      <c r="BZ358" s="366">
        <v>0</v>
      </c>
      <c r="CA358" s="366">
        <v>0</v>
      </c>
      <c r="CB358" s="367">
        <f>IFERROR(BO358/Instructions!$J$25,0)+BP358*Instructions!$J$27+BQ358*Instructions!$J$29+IFERROR(BR358/Instructions!$E$34,0)+BS358*Instructions!$E$36+Tier!BT359*Instructions!$E$25+IFERROR(BU358/Instructions!$E$27,0)+BV358*Instructions!$E$29+IFERROR((BW358+BY358)/Instructions!$J$32,0)+(BX358+BZ358)*Instructions!$J$34+Tier!CA358*-2</f>
        <v>77.5</v>
      </c>
      <c r="CC358" s="354"/>
      <c r="CD358" s="238">
        <v>2016</v>
      </c>
      <c r="CE358" s="365" t="s">
        <v>76</v>
      </c>
      <c r="CF358" s="366" t="s">
        <v>138</v>
      </c>
      <c r="CG358" s="366" t="s">
        <v>6</v>
      </c>
      <c r="CH358" s="366">
        <v>0</v>
      </c>
      <c r="CI358" s="366">
        <v>0</v>
      </c>
      <c r="CJ358" s="366">
        <v>0</v>
      </c>
      <c r="CK358" s="366">
        <v>43</v>
      </c>
      <c r="CL358" s="366">
        <v>0</v>
      </c>
      <c r="CM358" s="366">
        <v>52</v>
      </c>
      <c r="CN358" s="366">
        <v>453</v>
      </c>
      <c r="CO358" s="366">
        <v>2</v>
      </c>
      <c r="CP358" s="366">
        <v>9</v>
      </c>
      <c r="CQ358" s="366">
        <v>0</v>
      </c>
      <c r="CR358" s="366">
        <v>792</v>
      </c>
      <c r="CS358" s="366">
        <v>1</v>
      </c>
      <c r="CT358" s="366">
        <v>0</v>
      </c>
      <c r="CU358" s="367">
        <f>IFERROR(CH358/Instructions!$J$25,0)+CI358*Instructions!$J$27+CJ358*Instructions!$J$29+IFERROR(CK358/Instructions!$E$34,0)+CL358*Instructions!$E$36+Tier!CM358*Instructions!$E$25+IFERROR(CN358/Instructions!$E$27,0)+CO358*Instructions!$E$29+IFERROR((CP358+CR358)/Instructions!$J$32,0)+(CQ358+CS358)*Instructions!$J$34+Tier!CT358*-2</f>
        <v>119.6</v>
      </c>
      <c r="CV358" s="354"/>
      <c r="CW358"/>
      <c r="CX358"/>
      <c r="CY358"/>
      <c r="CZ358"/>
      <c r="DA358"/>
      <c r="DB358"/>
      <c r="DC358"/>
      <c r="DD358"/>
      <c r="DE358"/>
      <c r="DF358"/>
      <c r="DG358"/>
      <c r="DH358"/>
      <c r="DI358"/>
      <c r="DJ358"/>
      <c r="DK358"/>
      <c r="DL358"/>
      <c r="DM358"/>
      <c r="DN358"/>
    </row>
    <row r="359" spans="3:118" s="238" customFormat="1" ht="15.75" customHeight="1" x14ac:dyDescent="0.25">
      <c r="C359"/>
      <c r="D359"/>
      <c r="E359"/>
      <c r="F359"/>
      <c r="G359"/>
      <c r="H359"/>
      <c r="I359"/>
      <c r="J359"/>
      <c r="K359"/>
      <c r="L359"/>
      <c r="M359"/>
      <c r="N359"/>
      <c r="O359" s="366"/>
      <c r="P359" s="366">
        <v>2016</v>
      </c>
      <c r="Q359" s="367">
        <f>LARGE($CB$304:$CB$453,56)</f>
        <v>79</v>
      </c>
      <c r="R359" s="357">
        <f t="shared" si="112"/>
        <v>-85.6</v>
      </c>
      <c r="S359" s="356">
        <f t="shared" si="120"/>
        <v>7327.3599999999988</v>
      </c>
      <c r="T359" s="356"/>
      <c r="U359" s="356">
        <f t="shared" si="114"/>
        <v>-5.35</v>
      </c>
      <c r="V359" s="238">
        <f t="shared" si="118"/>
        <v>8</v>
      </c>
      <c r="W359" s="354"/>
      <c r="X359" s="371"/>
      <c r="Y359" s="371"/>
      <c r="Z359" s="238">
        <v>2016</v>
      </c>
      <c r="AA359" s="367">
        <f>LARGE($CU$304:$CU$453,56)</f>
        <v>146.80000000000001</v>
      </c>
      <c r="AB359" s="357">
        <f t="shared" si="115"/>
        <v>-64.900000000000006</v>
      </c>
      <c r="AC359" s="356">
        <f t="shared" si="117"/>
        <v>4212.0100000000011</v>
      </c>
      <c r="AD359" s="356"/>
      <c r="AE359" s="356">
        <f t="shared" si="116"/>
        <v>-4.0562500000000004</v>
      </c>
      <c r="AF359" s="238">
        <f t="shared" si="119"/>
        <v>8</v>
      </c>
      <c r="AG359" s="354"/>
      <c r="AK359"/>
      <c r="AL359"/>
      <c r="AM359"/>
      <c r="AN359"/>
      <c r="AO359"/>
      <c r="AP359"/>
      <c r="BI359" s="360"/>
      <c r="BJ359" s="354"/>
      <c r="BK359" s="366">
        <v>2016</v>
      </c>
      <c r="BL359" s="365" t="s">
        <v>1191</v>
      </c>
      <c r="BM359" s="366" t="s">
        <v>154</v>
      </c>
      <c r="BN359" s="366" t="s">
        <v>3</v>
      </c>
      <c r="BO359" s="366">
        <v>0</v>
      </c>
      <c r="BP359" s="366">
        <v>0</v>
      </c>
      <c r="BQ359" s="366">
        <v>0</v>
      </c>
      <c r="BR359" s="366">
        <v>456</v>
      </c>
      <c r="BS359" s="366">
        <v>0</v>
      </c>
      <c r="BT359" s="366">
        <v>15</v>
      </c>
      <c r="BU359" s="366">
        <v>162</v>
      </c>
      <c r="BV359" s="366">
        <v>0</v>
      </c>
      <c r="BW359" s="366">
        <v>0</v>
      </c>
      <c r="BX359" s="366">
        <v>0</v>
      </c>
      <c r="BY359" s="366">
        <v>0</v>
      </c>
      <c r="BZ359" s="366">
        <v>0</v>
      </c>
      <c r="CA359" s="366">
        <v>0</v>
      </c>
      <c r="CB359" s="367">
        <f>IFERROR(BO359/Instructions!$J$25,0)+BP359*Instructions!$J$27+BQ359*Instructions!$J$29+IFERROR(BR359/Instructions!$E$34,0)+BS359*Instructions!$E$36+Tier!BT360*Instructions!$E$25+IFERROR(BU359/Instructions!$E$27,0)+BV359*Instructions!$E$29+IFERROR((BW359+BY359)/Instructions!$J$32,0)+(BX359+BZ359)*Instructions!$J$34+Tier!CA359*-2</f>
        <v>101.8</v>
      </c>
      <c r="CC359" s="354"/>
      <c r="CD359" s="238">
        <v>2016</v>
      </c>
      <c r="CE359" s="365" t="s">
        <v>124</v>
      </c>
      <c r="CF359" s="366" t="s">
        <v>137</v>
      </c>
      <c r="CG359" s="366" t="s">
        <v>6</v>
      </c>
      <c r="CH359" s="366">
        <v>0</v>
      </c>
      <c r="CI359" s="366">
        <v>0</v>
      </c>
      <c r="CJ359" s="366">
        <v>0</v>
      </c>
      <c r="CK359" s="366">
        <v>0</v>
      </c>
      <c r="CL359" s="366">
        <v>0</v>
      </c>
      <c r="CM359" s="366">
        <v>73</v>
      </c>
      <c r="CN359" s="366">
        <v>804</v>
      </c>
      <c r="CO359" s="366">
        <v>3</v>
      </c>
      <c r="CP359" s="366">
        <v>0</v>
      </c>
      <c r="CQ359" s="366">
        <v>0</v>
      </c>
      <c r="CR359" s="366">
        <v>0</v>
      </c>
      <c r="CS359" s="366">
        <v>0</v>
      </c>
      <c r="CT359" s="366">
        <v>0</v>
      </c>
      <c r="CU359" s="367">
        <f>IFERROR(CH359/Instructions!$J$25,0)+CI359*Instructions!$J$27+CJ359*Instructions!$J$29+IFERROR(CK359/Instructions!$E$34,0)+CL359*Instructions!$E$36+Tier!CM359*Instructions!$E$25+IFERROR(CN359/Instructions!$E$27,0)+CO359*Instructions!$E$29+IFERROR((CP359+CR359)/Instructions!$J$32,0)+(CQ359+CS359)*Instructions!$J$34+Tier!CT359*-2</f>
        <v>171.4</v>
      </c>
      <c r="CV359" s="354"/>
      <c r="CW359"/>
      <c r="CX359"/>
      <c r="CY359"/>
      <c r="CZ359"/>
      <c r="DA359"/>
      <c r="DB359"/>
      <c r="DC359"/>
      <c r="DD359"/>
      <c r="DE359"/>
      <c r="DF359"/>
      <c r="DG359"/>
      <c r="DH359"/>
      <c r="DI359"/>
      <c r="DJ359"/>
      <c r="DK359"/>
      <c r="DL359"/>
      <c r="DM359"/>
      <c r="DN359"/>
    </row>
    <row r="360" spans="3:118" s="238" customFormat="1" ht="15.75" customHeight="1" x14ac:dyDescent="0.25">
      <c r="C360"/>
      <c r="D360"/>
      <c r="E360"/>
      <c r="F360"/>
      <c r="G360"/>
      <c r="H360"/>
      <c r="I360"/>
      <c r="J360"/>
      <c r="K360"/>
      <c r="L360"/>
      <c r="M360"/>
      <c r="N360"/>
      <c r="O360" s="366"/>
      <c r="P360" s="366">
        <v>2016</v>
      </c>
      <c r="Q360" s="367">
        <f>LARGE($CB$304:$CB$453,57)</f>
        <v>77.5</v>
      </c>
      <c r="R360" s="357">
        <f t="shared" si="112"/>
        <v>-87.1</v>
      </c>
      <c r="S360" s="356">
        <f t="shared" si="120"/>
        <v>7586.4099999999989</v>
      </c>
      <c r="T360" s="356"/>
      <c r="U360" s="356">
        <f t="shared" si="114"/>
        <v>-5.4437499999999996</v>
      </c>
      <c r="V360" s="238">
        <f t="shared" si="118"/>
        <v>8</v>
      </c>
      <c r="W360" s="354"/>
      <c r="X360" s="371"/>
      <c r="Y360" s="371"/>
      <c r="Z360" s="238">
        <v>2016</v>
      </c>
      <c r="AA360" s="367">
        <f>LARGE($CU$304:$CU$453,57)</f>
        <v>146.1</v>
      </c>
      <c r="AB360" s="357">
        <f t="shared" si="115"/>
        <v>-65.600000000000023</v>
      </c>
      <c r="AC360" s="356">
        <f t="shared" si="117"/>
        <v>4303.3600000000033</v>
      </c>
      <c r="AD360" s="356"/>
      <c r="AE360" s="356">
        <f t="shared" si="116"/>
        <v>-4.1000000000000014</v>
      </c>
      <c r="AF360" s="238">
        <f t="shared" si="119"/>
        <v>8</v>
      </c>
      <c r="AG360" s="354"/>
      <c r="AK360"/>
      <c r="AL360"/>
      <c r="AM360"/>
      <c r="AN360"/>
      <c r="AO360"/>
      <c r="AP360"/>
      <c r="BI360" s="360"/>
      <c r="BJ360" s="354"/>
      <c r="BK360" s="366">
        <v>2016</v>
      </c>
      <c r="BL360" s="365" t="s">
        <v>982</v>
      </c>
      <c r="BM360" s="366" t="s">
        <v>1625</v>
      </c>
      <c r="BN360" s="366" t="s">
        <v>3</v>
      </c>
      <c r="BO360" s="366">
        <v>0</v>
      </c>
      <c r="BP360" s="366">
        <v>0</v>
      </c>
      <c r="BQ360" s="366">
        <v>0</v>
      </c>
      <c r="BR360" s="366">
        <v>19</v>
      </c>
      <c r="BS360" s="366">
        <v>0</v>
      </c>
      <c r="BT360" s="366">
        <v>40</v>
      </c>
      <c r="BU360" s="366">
        <v>281</v>
      </c>
      <c r="BV360" s="366">
        <v>4</v>
      </c>
      <c r="BW360" s="366">
        <v>0</v>
      </c>
      <c r="BX360" s="366">
        <v>0</v>
      </c>
      <c r="BY360" s="366">
        <v>144</v>
      </c>
      <c r="BZ360" s="366">
        <v>0</v>
      </c>
      <c r="CA360" s="366">
        <v>0</v>
      </c>
      <c r="CB360" s="367">
        <f>IFERROR(BO360/Instructions!$J$25,0)+BP360*Instructions!$J$27+BQ360*Instructions!$J$29+IFERROR(BR360/Instructions!$E$34,0)+BS360*Instructions!$E$36+Tier!BT361*Instructions!$E$25+IFERROR(BU360/Instructions!$E$27,0)+BV360*Instructions!$E$29+IFERROR((BW360+BY360)/Instructions!$J$32,0)+(BX360+BZ360)*Instructions!$J$34+Tier!CA360*-2</f>
        <v>79</v>
      </c>
      <c r="CC360" s="354"/>
      <c r="CD360" s="238">
        <v>2016</v>
      </c>
      <c r="CE360" s="365" t="s">
        <v>1208</v>
      </c>
      <c r="CF360" s="366" t="s">
        <v>166</v>
      </c>
      <c r="CG360" s="366" t="s">
        <v>6</v>
      </c>
      <c r="CH360" s="366">
        <v>0</v>
      </c>
      <c r="CI360" s="366">
        <v>0</v>
      </c>
      <c r="CJ360" s="366">
        <v>0</v>
      </c>
      <c r="CK360" s="366">
        <v>0</v>
      </c>
      <c r="CL360" s="366">
        <v>0</v>
      </c>
      <c r="CM360" s="366">
        <v>56</v>
      </c>
      <c r="CN360" s="366">
        <v>744</v>
      </c>
      <c r="CO360" s="366">
        <v>4</v>
      </c>
      <c r="CP360" s="366">
        <v>0</v>
      </c>
      <c r="CQ360" s="366">
        <v>0</v>
      </c>
      <c r="CR360" s="366">
        <v>0</v>
      </c>
      <c r="CS360" s="366">
        <v>0</v>
      </c>
      <c r="CT360" s="366">
        <v>0</v>
      </c>
      <c r="CU360" s="367">
        <f>IFERROR(CH360/Instructions!$J$25,0)+CI360*Instructions!$J$27+CJ360*Instructions!$J$29+IFERROR(CK360/Instructions!$E$34,0)+CL360*Instructions!$E$36+Tier!CM360*Instructions!$E$25+IFERROR(CN360/Instructions!$E$27,0)+CO360*Instructions!$E$29+IFERROR((CP360+CR360)/Instructions!$J$32,0)+(CQ360+CS360)*Instructions!$J$34+Tier!CT360*-2</f>
        <v>154.4</v>
      </c>
      <c r="CV360" s="354"/>
      <c r="CW360"/>
      <c r="CX360"/>
      <c r="CY360"/>
      <c r="CZ360"/>
      <c r="DA360"/>
      <c r="DB360"/>
      <c r="DC360"/>
      <c r="DD360"/>
      <c r="DE360"/>
      <c r="DF360"/>
      <c r="DG360"/>
      <c r="DH360"/>
      <c r="DI360"/>
      <c r="DJ360"/>
      <c r="DK360"/>
      <c r="DL360"/>
      <c r="DM360"/>
      <c r="DN360"/>
    </row>
    <row r="361" spans="3:118" s="238" customFormat="1" ht="15.75" customHeight="1" x14ac:dyDescent="0.25">
      <c r="C361"/>
      <c r="D361"/>
      <c r="E361"/>
      <c r="F361"/>
      <c r="G361"/>
      <c r="H361"/>
      <c r="I361"/>
      <c r="J361"/>
      <c r="K361"/>
      <c r="L361"/>
      <c r="M361"/>
      <c r="N361"/>
      <c r="O361" s="366"/>
      <c r="P361" s="366">
        <v>2016</v>
      </c>
      <c r="Q361" s="367">
        <f>LARGE($CB$304:$CB$453,58)</f>
        <v>74.599999999999994</v>
      </c>
      <c r="R361" s="357">
        <f t="shared" si="112"/>
        <v>-90</v>
      </c>
      <c r="S361" s="356">
        <f t="shared" si="120"/>
        <v>8100</v>
      </c>
      <c r="T361" s="356"/>
      <c r="U361" s="356">
        <f t="shared" si="114"/>
        <v>-5.625</v>
      </c>
      <c r="V361" s="238">
        <f t="shared" si="118"/>
        <v>8</v>
      </c>
      <c r="W361" s="354"/>
      <c r="X361" s="371"/>
      <c r="Y361" s="371"/>
      <c r="Z361" s="238">
        <v>2016</v>
      </c>
      <c r="AA361" s="367">
        <f>LARGE($CU$304:$CU$453,58)</f>
        <v>141.1</v>
      </c>
      <c r="AB361" s="357">
        <f t="shared" si="115"/>
        <v>-70.600000000000023</v>
      </c>
      <c r="AC361" s="356">
        <f t="shared" si="117"/>
        <v>4984.3600000000033</v>
      </c>
      <c r="AD361" s="356"/>
      <c r="AE361" s="356">
        <f t="shared" si="116"/>
        <v>-4.4125000000000014</v>
      </c>
      <c r="AF361" s="238">
        <f t="shared" si="119"/>
        <v>8</v>
      </c>
      <c r="AG361" s="354"/>
      <c r="AK361"/>
      <c r="AL361"/>
      <c r="AM361"/>
      <c r="AN361"/>
      <c r="AO361"/>
      <c r="AP361"/>
      <c r="BI361" s="360"/>
      <c r="BJ361" s="354"/>
      <c r="BK361" s="366">
        <v>2016</v>
      </c>
      <c r="BL361" s="365" t="s">
        <v>1150</v>
      </c>
      <c r="BM361" s="366" t="s">
        <v>159</v>
      </c>
      <c r="BN361" s="366" t="s">
        <v>3</v>
      </c>
      <c r="BO361" s="366">
        <v>0</v>
      </c>
      <c r="BP361" s="366">
        <v>0</v>
      </c>
      <c r="BQ361" s="366">
        <v>0</v>
      </c>
      <c r="BR361" s="366">
        <v>265</v>
      </c>
      <c r="BS361" s="366">
        <v>0</v>
      </c>
      <c r="BT361" s="366">
        <v>25</v>
      </c>
      <c r="BU361" s="366">
        <v>226</v>
      </c>
      <c r="BV361" s="366">
        <v>0</v>
      </c>
      <c r="BW361" s="366">
        <v>0</v>
      </c>
      <c r="BX361" s="366">
        <v>0</v>
      </c>
      <c r="BY361" s="366">
        <v>275</v>
      </c>
      <c r="BZ361" s="366">
        <v>0</v>
      </c>
      <c r="CA361" s="366">
        <v>1</v>
      </c>
      <c r="CB361" s="367">
        <f>IFERROR(BO361/Instructions!$J$25,0)+BP361*Instructions!$J$27+BQ361*Instructions!$J$29+IFERROR(BR361/Instructions!$E$34,0)+BS361*Instructions!$E$36+Tier!BT362*Instructions!$E$25+IFERROR(BU361/Instructions!$E$27,0)+BV361*Instructions!$E$29+IFERROR((BW361+BY361)/Instructions!$J$32,0)+(BX361+BZ361)*Instructions!$J$34+Tier!CA361*-2</f>
        <v>66.099999999999994</v>
      </c>
      <c r="CC361" s="354"/>
      <c r="CD361" s="238">
        <v>2016</v>
      </c>
      <c r="CE361" s="365" t="s">
        <v>25</v>
      </c>
      <c r="CF361" s="366" t="s">
        <v>164</v>
      </c>
      <c r="CG361" s="366" t="s">
        <v>6</v>
      </c>
      <c r="CH361" s="366">
        <v>0</v>
      </c>
      <c r="CI361" s="366">
        <v>0</v>
      </c>
      <c r="CJ361" s="366">
        <v>0</v>
      </c>
      <c r="CK361" s="366">
        <v>0</v>
      </c>
      <c r="CL361" s="366">
        <v>0</v>
      </c>
      <c r="CM361" s="366">
        <v>59</v>
      </c>
      <c r="CN361" s="366">
        <v>788</v>
      </c>
      <c r="CO361" s="366">
        <v>3</v>
      </c>
      <c r="CP361" s="366">
        <v>0</v>
      </c>
      <c r="CQ361" s="366">
        <v>0</v>
      </c>
      <c r="CR361" s="366">
        <v>0</v>
      </c>
      <c r="CS361" s="366">
        <v>0</v>
      </c>
      <c r="CT361" s="366">
        <v>0</v>
      </c>
      <c r="CU361" s="367">
        <f>IFERROR(CH361/Instructions!$J$25,0)+CI361*Instructions!$J$27+CJ361*Instructions!$J$29+IFERROR(CK361/Instructions!$E$34,0)+CL361*Instructions!$E$36+Tier!CM361*Instructions!$E$25+IFERROR(CN361/Instructions!$E$27,0)+CO361*Instructions!$E$29+IFERROR((CP361+CR361)/Instructions!$J$32,0)+(CQ361+CS361)*Instructions!$J$34+Tier!CT361*-2</f>
        <v>155.80000000000001</v>
      </c>
      <c r="CV361" s="354"/>
      <c r="CW361"/>
      <c r="CX361"/>
      <c r="CY361"/>
      <c r="CZ361"/>
      <c r="DA361"/>
      <c r="DB361"/>
      <c r="DC361"/>
      <c r="DD361"/>
      <c r="DE361"/>
      <c r="DF361"/>
      <c r="DG361"/>
      <c r="DH361"/>
      <c r="DI361"/>
      <c r="DJ361"/>
      <c r="DK361"/>
      <c r="DL361"/>
      <c r="DM361"/>
      <c r="DN361"/>
    </row>
    <row r="362" spans="3:118" s="238" customFormat="1" ht="15.75" customHeight="1" x14ac:dyDescent="0.25">
      <c r="C362"/>
      <c r="D362"/>
      <c r="E362"/>
      <c r="F362"/>
      <c r="G362"/>
      <c r="H362"/>
      <c r="I362"/>
      <c r="J362"/>
      <c r="K362"/>
      <c r="L362"/>
      <c r="M362"/>
      <c r="N362"/>
      <c r="O362" s="366"/>
      <c r="P362" s="366">
        <v>2016</v>
      </c>
      <c r="Q362" s="367">
        <f>LARGE($CB$304:$CB$453,59)</f>
        <v>68</v>
      </c>
      <c r="R362" s="357">
        <f t="shared" si="112"/>
        <v>-96.6</v>
      </c>
      <c r="S362" s="356">
        <f t="shared" si="120"/>
        <v>9331.56</v>
      </c>
      <c r="T362" s="356"/>
      <c r="U362" s="356">
        <f t="shared" si="114"/>
        <v>-6.0374999999999996</v>
      </c>
      <c r="V362" s="238">
        <f t="shared" si="118"/>
        <v>8</v>
      </c>
      <c r="W362" s="354"/>
      <c r="X362" s="371"/>
      <c r="Y362" s="371"/>
      <c r="Z362" s="238">
        <v>2016</v>
      </c>
      <c r="AA362" s="367">
        <f>LARGE($CU$304:$CU$453,59)</f>
        <v>140.5</v>
      </c>
      <c r="AB362" s="357">
        <f t="shared" si="115"/>
        <v>-71.200000000000017</v>
      </c>
      <c r="AC362" s="356">
        <f t="shared" si="117"/>
        <v>5069.4400000000023</v>
      </c>
      <c r="AD362" s="356"/>
      <c r="AE362" s="356">
        <f t="shared" si="116"/>
        <v>-4.4500000000000011</v>
      </c>
      <c r="AF362" s="238">
        <f t="shared" si="119"/>
        <v>8</v>
      </c>
      <c r="AG362" s="354"/>
      <c r="AK362"/>
      <c r="AL362"/>
      <c r="AM362"/>
      <c r="AN362"/>
      <c r="AO362"/>
      <c r="AP362"/>
      <c r="BI362" s="360"/>
      <c r="BJ362" s="354"/>
      <c r="BK362" s="366">
        <v>2016</v>
      </c>
      <c r="BL362" s="365" t="s">
        <v>1143</v>
      </c>
      <c r="BM362" s="366" t="s">
        <v>141</v>
      </c>
      <c r="BN362" s="366" t="s">
        <v>3</v>
      </c>
      <c r="BO362" s="366">
        <v>0</v>
      </c>
      <c r="BP362" s="366">
        <v>0</v>
      </c>
      <c r="BQ362" s="366">
        <v>0</v>
      </c>
      <c r="BR362" s="366">
        <v>200</v>
      </c>
      <c r="BS362" s="366">
        <v>4</v>
      </c>
      <c r="BT362" s="366">
        <v>19</v>
      </c>
      <c r="BU362" s="366">
        <v>142</v>
      </c>
      <c r="BV362" s="366">
        <v>0</v>
      </c>
      <c r="BW362" s="366">
        <v>0</v>
      </c>
      <c r="BX362" s="366">
        <v>0</v>
      </c>
      <c r="BY362" s="366">
        <v>0</v>
      </c>
      <c r="BZ362" s="366">
        <v>0</v>
      </c>
      <c r="CA362" s="366">
        <v>2</v>
      </c>
      <c r="CB362" s="367">
        <f>IFERROR(BO362/Instructions!$J$25,0)+BP362*Instructions!$J$27+BQ362*Instructions!$J$29+IFERROR(BR362/Instructions!$E$34,0)+BS362*Instructions!$E$36+Tier!BT363*Instructions!$E$25+IFERROR(BU362/Instructions!$E$27,0)+BV362*Instructions!$E$29+IFERROR((BW362+BY362)/Instructions!$J$32,0)+(BX362+BZ362)*Instructions!$J$34+Tier!CA362*-2</f>
        <v>60.2</v>
      </c>
      <c r="CC362" s="354"/>
      <c r="CD362" s="238">
        <v>2016</v>
      </c>
      <c r="CE362" s="365" t="s">
        <v>33</v>
      </c>
      <c r="CF362" s="366" t="s">
        <v>141</v>
      </c>
      <c r="CG362" s="366" t="s">
        <v>6</v>
      </c>
      <c r="CH362" s="366">
        <v>0</v>
      </c>
      <c r="CI362" s="366">
        <v>0</v>
      </c>
      <c r="CJ362" s="366">
        <v>0</v>
      </c>
      <c r="CK362" s="366">
        <v>0</v>
      </c>
      <c r="CL362" s="366">
        <v>0</v>
      </c>
      <c r="CM362" s="366">
        <v>52</v>
      </c>
      <c r="CN362" s="366">
        <v>821</v>
      </c>
      <c r="CO362" s="366">
        <v>2</v>
      </c>
      <c r="CP362" s="366">
        <v>0</v>
      </c>
      <c r="CQ362" s="366">
        <v>0</v>
      </c>
      <c r="CR362" s="366">
        <v>0</v>
      </c>
      <c r="CS362" s="366">
        <v>0</v>
      </c>
      <c r="CT362" s="366">
        <v>0</v>
      </c>
      <c r="CU362" s="367">
        <f>IFERROR(CH362/Instructions!$J$25,0)+CI362*Instructions!$J$27+CJ362*Instructions!$J$29+IFERROR(CK362/Instructions!$E$34,0)+CL362*Instructions!$E$36+Tier!CM362*Instructions!$E$25+IFERROR(CN362/Instructions!$E$27,0)+CO362*Instructions!$E$29+IFERROR((CP362+CR362)/Instructions!$J$32,0)+(CQ362+CS362)*Instructions!$J$34+Tier!CT362*-2</f>
        <v>146.1</v>
      </c>
      <c r="CV362" s="354"/>
      <c r="CW362"/>
      <c r="CX362"/>
      <c r="CY362"/>
      <c r="CZ362"/>
      <c r="DA362"/>
      <c r="DB362"/>
      <c r="DC362"/>
      <c r="DD362"/>
      <c r="DE362"/>
      <c r="DF362"/>
      <c r="DG362"/>
      <c r="DH362"/>
      <c r="DI362"/>
      <c r="DJ362"/>
      <c r="DK362"/>
      <c r="DL362"/>
      <c r="DM362"/>
      <c r="DN362"/>
    </row>
    <row r="363" spans="3:118" s="238" customFormat="1" ht="15.75" customHeight="1" x14ac:dyDescent="0.25">
      <c r="C363"/>
      <c r="D363"/>
      <c r="E363"/>
      <c r="F363"/>
      <c r="G363"/>
      <c r="H363"/>
      <c r="I363"/>
      <c r="J363"/>
      <c r="K363"/>
      <c r="L363"/>
      <c r="M363"/>
      <c r="N363"/>
      <c r="O363" s="366"/>
      <c r="P363" s="366">
        <v>2016</v>
      </c>
      <c r="Q363" s="367">
        <f>LARGE($CB$304:$CB$453,60)</f>
        <v>66.099999999999994</v>
      </c>
      <c r="R363" s="357">
        <f t="shared" si="112"/>
        <v>-98.5</v>
      </c>
      <c r="S363" s="356">
        <f t="shared" si="120"/>
        <v>9702.25</v>
      </c>
      <c r="T363" s="356"/>
      <c r="U363" s="356">
        <f t="shared" si="114"/>
        <v>-6.15625</v>
      </c>
      <c r="V363" s="238">
        <f t="shared" si="118"/>
        <v>8</v>
      </c>
      <c r="W363" s="354"/>
      <c r="X363" s="371"/>
      <c r="Y363" s="371"/>
      <c r="Z363" s="238">
        <v>2016</v>
      </c>
      <c r="AA363" s="367">
        <f>LARGE($CU$304:$CU$453,60)</f>
        <v>140</v>
      </c>
      <c r="AB363" s="357">
        <f t="shared" si="115"/>
        <v>-71.700000000000017</v>
      </c>
      <c r="AC363" s="356">
        <f t="shared" si="117"/>
        <v>5140.8900000000021</v>
      </c>
      <c r="AD363" s="356"/>
      <c r="AE363" s="356">
        <f t="shared" si="116"/>
        <v>-4.4812500000000011</v>
      </c>
      <c r="AF363" s="238">
        <f t="shared" si="119"/>
        <v>8</v>
      </c>
      <c r="AG363" s="354"/>
      <c r="AK363"/>
      <c r="AL363"/>
      <c r="AM363"/>
      <c r="AN363"/>
      <c r="AO363"/>
      <c r="AP363"/>
      <c r="BI363" s="360"/>
      <c r="BJ363" s="354"/>
      <c r="BK363" s="366">
        <v>2016</v>
      </c>
      <c r="BL363" s="365" t="s">
        <v>1204</v>
      </c>
      <c r="BM363" s="366" t="s">
        <v>137</v>
      </c>
      <c r="BN363" s="366" t="s">
        <v>3</v>
      </c>
      <c r="BO363" s="366">
        <v>0</v>
      </c>
      <c r="BP363" s="366">
        <v>0</v>
      </c>
      <c r="BQ363" s="366">
        <v>0</v>
      </c>
      <c r="BR363" s="366">
        <v>312</v>
      </c>
      <c r="BS363" s="366">
        <v>1</v>
      </c>
      <c r="BT363" s="366">
        <v>6</v>
      </c>
      <c r="BU363" s="366">
        <v>55</v>
      </c>
      <c r="BV363" s="366">
        <v>0</v>
      </c>
      <c r="BW363" s="366">
        <v>0</v>
      </c>
      <c r="BX363" s="366">
        <v>0</v>
      </c>
      <c r="BY363" s="366">
        <v>261</v>
      </c>
      <c r="BZ363" s="366">
        <v>1</v>
      </c>
      <c r="CA363" s="366">
        <v>1</v>
      </c>
      <c r="CB363" s="367">
        <f>IFERROR(BO363/Instructions!$J$25,0)+BP363*Instructions!$J$27+BQ363*Instructions!$J$29+IFERROR(BR363/Instructions!$E$34,0)+BS363*Instructions!$E$36+Tier!BT364*Instructions!$E$25+IFERROR(BU363/Instructions!$E$27,0)+BV363*Instructions!$E$29+IFERROR((BW363+BY363)/Instructions!$J$32,0)+(BX363+BZ363)*Instructions!$J$34+Tier!CA363*-2</f>
        <v>55.7</v>
      </c>
      <c r="CC363" s="354"/>
      <c r="CD363" s="238">
        <v>2016</v>
      </c>
      <c r="CE363" s="365" t="s">
        <v>209</v>
      </c>
      <c r="CF363" s="366" t="s">
        <v>1626</v>
      </c>
      <c r="CG363" s="366" t="s">
        <v>6</v>
      </c>
      <c r="CH363" s="366">
        <v>0</v>
      </c>
      <c r="CI363" s="366">
        <v>0</v>
      </c>
      <c r="CJ363" s="366">
        <v>0</v>
      </c>
      <c r="CK363" s="366">
        <v>-3</v>
      </c>
      <c r="CL363" s="366">
        <v>0</v>
      </c>
      <c r="CM363" s="366">
        <v>47</v>
      </c>
      <c r="CN363" s="366">
        <v>677</v>
      </c>
      <c r="CO363" s="366">
        <v>4</v>
      </c>
      <c r="CP363" s="366">
        <v>59</v>
      </c>
      <c r="CQ363" s="366">
        <v>0</v>
      </c>
      <c r="CR363" s="366">
        <v>0</v>
      </c>
      <c r="CS363" s="366">
        <v>0</v>
      </c>
      <c r="CT363" s="366">
        <v>2</v>
      </c>
      <c r="CU363" s="367">
        <f>IFERROR(CH363/Instructions!$J$25,0)+CI363*Instructions!$J$27+CJ363*Instructions!$J$29+IFERROR(CK363/Instructions!$E$34,0)+CL363*Instructions!$E$36+Tier!CM363*Instructions!$E$25+IFERROR(CN363/Instructions!$E$27,0)+CO363*Instructions!$E$29+IFERROR((CP363+CR363)/Instructions!$J$32,0)+(CQ363+CS363)*Instructions!$J$34+Tier!CT363*-2</f>
        <v>134.4</v>
      </c>
      <c r="CV363" s="354"/>
      <c r="CW363"/>
      <c r="CX363"/>
      <c r="CY363"/>
      <c r="CZ363"/>
      <c r="DA363"/>
      <c r="DB363"/>
      <c r="DC363"/>
      <c r="DD363"/>
      <c r="DE363"/>
      <c r="DF363"/>
      <c r="DG363"/>
      <c r="DH363"/>
      <c r="DI363"/>
      <c r="DJ363"/>
      <c r="DK363"/>
      <c r="DL363"/>
      <c r="DM363"/>
      <c r="DN363"/>
    </row>
    <row r="364" spans="3:118" s="238" customFormat="1" ht="15.75" customHeight="1" x14ac:dyDescent="0.25">
      <c r="C364"/>
      <c r="D364"/>
      <c r="E364"/>
      <c r="F364"/>
      <c r="G364"/>
      <c r="H364"/>
      <c r="I364"/>
      <c r="J364"/>
      <c r="K364"/>
      <c r="L364"/>
      <c r="M364"/>
      <c r="N364"/>
      <c r="O364" s="366"/>
      <c r="P364" s="366">
        <v>2016</v>
      </c>
      <c r="Q364" s="367">
        <f>LARGE($CB$304:$CB$453,61)</f>
        <v>62.400000000000006</v>
      </c>
      <c r="R364" s="357">
        <f t="shared" si="112"/>
        <v>-102.19999999999999</v>
      </c>
      <c r="S364" s="356">
        <f t="shared" si="120"/>
        <v>10444.839999999998</v>
      </c>
      <c r="T364" s="356"/>
      <c r="U364" s="356">
        <f t="shared" si="114"/>
        <v>-6.3874999999999993</v>
      </c>
      <c r="V364" s="238">
        <f t="shared" si="118"/>
        <v>8</v>
      </c>
      <c r="W364" s="354"/>
      <c r="X364" s="371"/>
      <c r="Y364" s="371"/>
      <c r="Z364" s="238">
        <v>2016</v>
      </c>
      <c r="AA364" s="367">
        <f>LARGE($CU$304:$CU$453,61)</f>
        <v>134.4</v>
      </c>
      <c r="AB364" s="357">
        <f t="shared" si="115"/>
        <v>-77.300000000000011</v>
      </c>
      <c r="AC364" s="356">
        <f t="shared" si="117"/>
        <v>5975.2900000000018</v>
      </c>
      <c r="AD364" s="356"/>
      <c r="AE364" s="356">
        <f t="shared" si="116"/>
        <v>-4.8312500000000007</v>
      </c>
      <c r="AF364" s="238">
        <f t="shared" si="119"/>
        <v>8</v>
      </c>
      <c r="AG364" s="354"/>
      <c r="AK364"/>
      <c r="AL364"/>
      <c r="AM364"/>
      <c r="AN364"/>
      <c r="AO364"/>
      <c r="AP364"/>
      <c r="BI364" s="360"/>
      <c r="BJ364" s="354"/>
      <c r="BK364" s="366">
        <v>2016</v>
      </c>
      <c r="BL364" s="365" t="s">
        <v>1193</v>
      </c>
      <c r="BM364" s="366" t="s">
        <v>166</v>
      </c>
      <c r="BN364" s="366" t="s">
        <v>3</v>
      </c>
      <c r="BO364" s="366">
        <v>0</v>
      </c>
      <c r="BP364" s="366">
        <v>0</v>
      </c>
      <c r="BQ364" s="366">
        <v>0</v>
      </c>
      <c r="BR364" s="366">
        <v>179</v>
      </c>
      <c r="BS364" s="366">
        <v>2</v>
      </c>
      <c r="BT364" s="366">
        <v>9</v>
      </c>
      <c r="BU364" s="366">
        <v>46</v>
      </c>
      <c r="BV364" s="366">
        <v>0</v>
      </c>
      <c r="BW364" s="366">
        <v>0</v>
      </c>
      <c r="BX364" s="366">
        <v>0</v>
      </c>
      <c r="BY364" s="366">
        <v>397</v>
      </c>
      <c r="BZ364" s="366">
        <v>1</v>
      </c>
      <c r="CA364" s="366">
        <v>0</v>
      </c>
      <c r="CB364" s="367">
        <f>IFERROR(BO364/Instructions!$J$25,0)+BP364*Instructions!$J$27+BQ364*Instructions!$J$29+IFERROR(BR364/Instructions!$E$34,0)+BS364*Instructions!$E$36+Tier!BT365*Instructions!$E$25+IFERROR(BU364/Instructions!$E$27,0)+BV364*Instructions!$E$29+IFERROR((BW364+BY364)/Instructions!$J$32,0)+(BX364+BZ364)*Instructions!$J$34+Tier!CA364*-2</f>
        <v>52.5</v>
      </c>
      <c r="CC364" s="354"/>
      <c r="CD364" s="238">
        <v>2016</v>
      </c>
      <c r="CE364" s="365" t="s">
        <v>219</v>
      </c>
      <c r="CF364" s="366" t="s">
        <v>1628</v>
      </c>
      <c r="CG364" s="366" t="s">
        <v>6</v>
      </c>
      <c r="CH364" s="366">
        <v>0</v>
      </c>
      <c r="CI364" s="366">
        <v>0</v>
      </c>
      <c r="CJ364" s="366">
        <v>0</v>
      </c>
      <c r="CK364" s="366">
        <v>9</v>
      </c>
      <c r="CL364" s="366">
        <v>0</v>
      </c>
      <c r="CM364" s="366">
        <v>38</v>
      </c>
      <c r="CN364" s="366">
        <v>680</v>
      </c>
      <c r="CO364" s="366">
        <v>4</v>
      </c>
      <c r="CP364" s="366">
        <v>0</v>
      </c>
      <c r="CQ364" s="366">
        <v>0</v>
      </c>
      <c r="CR364" s="366">
        <v>0</v>
      </c>
      <c r="CS364" s="366">
        <v>0</v>
      </c>
      <c r="CT364" s="366">
        <v>1</v>
      </c>
      <c r="CU364" s="367">
        <f>IFERROR(CH364/Instructions!$J$25,0)+CI364*Instructions!$J$27+CJ364*Instructions!$J$29+IFERROR(CK364/Instructions!$E$34,0)+CL364*Instructions!$E$36+Tier!CM364*Instructions!$E$25+IFERROR(CN364/Instructions!$E$27,0)+CO364*Instructions!$E$29+IFERROR((CP364+CR364)/Instructions!$J$32,0)+(CQ364+CS364)*Instructions!$J$34+Tier!CT364*-2</f>
        <v>128.9</v>
      </c>
      <c r="CV364" s="354"/>
      <c r="CW364"/>
      <c r="CX364"/>
      <c r="CY364"/>
      <c r="CZ364"/>
      <c r="DA364"/>
      <c r="DB364"/>
      <c r="DC364"/>
      <c r="DD364"/>
      <c r="DE364"/>
      <c r="DF364"/>
      <c r="DG364"/>
      <c r="DH364"/>
      <c r="DI364"/>
      <c r="DJ364"/>
      <c r="DK364"/>
      <c r="DL364"/>
      <c r="DM364"/>
      <c r="DN364"/>
    </row>
    <row r="365" spans="3:118" s="238" customFormat="1" ht="15.75" customHeight="1" x14ac:dyDescent="0.25">
      <c r="C365"/>
      <c r="D365"/>
      <c r="E365"/>
      <c r="F365"/>
      <c r="G365"/>
      <c r="H365"/>
      <c r="I365"/>
      <c r="J365"/>
      <c r="K365"/>
      <c r="L365"/>
      <c r="M365"/>
      <c r="N365"/>
      <c r="O365" s="366"/>
      <c r="P365" s="366">
        <v>2016</v>
      </c>
      <c r="Q365" s="367">
        <f>LARGE($CB$304:$CB$453,62)</f>
        <v>62</v>
      </c>
      <c r="R365" s="357">
        <f t="shared" si="112"/>
        <v>-102.6</v>
      </c>
      <c r="S365" s="356">
        <f t="shared" si="120"/>
        <v>10526.759999999998</v>
      </c>
      <c r="U365" s="356">
        <f t="shared" si="114"/>
        <v>-6.4124999999999996</v>
      </c>
      <c r="V365" s="238">
        <f t="shared" si="118"/>
        <v>8</v>
      </c>
      <c r="W365" s="354"/>
      <c r="X365" s="371"/>
      <c r="Y365" s="371"/>
      <c r="Z365" s="238">
        <v>2016</v>
      </c>
      <c r="AA365" s="367">
        <f>LARGE($CU$304:$CU$453,62)</f>
        <v>131</v>
      </c>
      <c r="AB365" s="357">
        <f t="shared" si="115"/>
        <v>-80.700000000000017</v>
      </c>
      <c r="AC365" s="356">
        <f t="shared" si="117"/>
        <v>6512.4900000000025</v>
      </c>
      <c r="AD365" s="356"/>
      <c r="AE365" s="356">
        <f t="shared" si="116"/>
        <v>-5.0437500000000011</v>
      </c>
      <c r="AF365" s="238">
        <f t="shared" si="119"/>
        <v>8</v>
      </c>
      <c r="AG365" s="354"/>
      <c r="AK365"/>
      <c r="AL365"/>
      <c r="AM365"/>
      <c r="AN365"/>
      <c r="AO365"/>
      <c r="AP365"/>
      <c r="BI365" s="360"/>
      <c r="BJ365" s="354"/>
      <c r="BK365" s="366">
        <v>2016</v>
      </c>
      <c r="BL365" s="365" t="s">
        <v>984</v>
      </c>
      <c r="BM365" s="366" t="s">
        <v>151</v>
      </c>
      <c r="BN365" s="366" t="s">
        <v>3</v>
      </c>
      <c r="BO365" s="366">
        <v>0</v>
      </c>
      <c r="BP365" s="366">
        <v>0</v>
      </c>
      <c r="BQ365" s="366">
        <v>0</v>
      </c>
      <c r="BR365" s="366">
        <v>420</v>
      </c>
      <c r="BS365" s="366">
        <v>1</v>
      </c>
      <c r="BT365" s="366">
        <v>12</v>
      </c>
      <c r="BU365" s="366">
        <v>40</v>
      </c>
      <c r="BV365" s="366">
        <v>0</v>
      </c>
      <c r="BW365" s="366">
        <v>0</v>
      </c>
      <c r="BX365" s="366">
        <v>0</v>
      </c>
      <c r="BY365" s="366">
        <v>0</v>
      </c>
      <c r="BZ365" s="366">
        <v>0</v>
      </c>
      <c r="CA365" s="366">
        <v>1</v>
      </c>
      <c r="CB365" s="367">
        <f>IFERROR(BO365/Instructions!$J$25,0)+BP365*Instructions!$J$27+BQ365*Instructions!$J$29+IFERROR(BR365/Instructions!$E$34,0)+BS365*Instructions!$E$36+Tier!BT366*Instructions!$E$25+IFERROR(BU365/Instructions!$E$27,0)+BV365*Instructions!$E$29+IFERROR((BW365+BY365)/Instructions!$J$32,0)+(BX365+BZ365)*Instructions!$J$34+Tier!CA365*-2</f>
        <v>62</v>
      </c>
      <c r="CC365" s="354"/>
      <c r="CD365" s="238">
        <v>2016</v>
      </c>
      <c r="CE365" s="365" t="s">
        <v>188</v>
      </c>
      <c r="CF365" s="366" t="s">
        <v>1630</v>
      </c>
      <c r="CG365" s="366" t="s">
        <v>6</v>
      </c>
      <c r="CH365" s="366">
        <v>0</v>
      </c>
      <c r="CI365" s="366">
        <v>0</v>
      </c>
      <c r="CJ365" s="366">
        <v>0</v>
      </c>
      <c r="CK365" s="366">
        <v>0</v>
      </c>
      <c r="CL365" s="366">
        <v>0</v>
      </c>
      <c r="CM365" s="366">
        <v>64</v>
      </c>
      <c r="CN365" s="366">
        <v>667</v>
      </c>
      <c r="CO365" s="366">
        <v>3</v>
      </c>
      <c r="CP365" s="366">
        <v>158</v>
      </c>
      <c r="CQ365" s="366">
        <v>0</v>
      </c>
      <c r="CR365" s="366">
        <v>32</v>
      </c>
      <c r="CS365" s="366">
        <v>0</v>
      </c>
      <c r="CT365" s="366">
        <v>0</v>
      </c>
      <c r="CU365" s="367">
        <f>IFERROR(CH365/Instructions!$J$25,0)+CI365*Instructions!$J$27+CJ365*Instructions!$J$29+IFERROR(CK365/Instructions!$E$34,0)+CL365*Instructions!$E$36+Tier!CM365*Instructions!$E$25+IFERROR(CN365/Instructions!$E$27,0)+CO365*Instructions!$E$29+IFERROR((CP365+CR365)/Instructions!$J$32,0)+(CQ365+CS365)*Instructions!$J$34+Tier!CT365*-2</f>
        <v>148.69999999999999</v>
      </c>
      <c r="CV365" s="354"/>
      <c r="CW365"/>
      <c r="CX365"/>
      <c r="CY365"/>
      <c r="CZ365"/>
      <c r="DA365"/>
      <c r="DB365"/>
      <c r="DC365"/>
      <c r="DD365"/>
      <c r="DE365"/>
      <c r="DF365"/>
      <c r="DG365"/>
      <c r="DH365"/>
      <c r="DI365"/>
      <c r="DJ365"/>
      <c r="DK365"/>
      <c r="DL365"/>
      <c r="DM365"/>
      <c r="DN365"/>
    </row>
    <row r="366" spans="3:118" s="238" customFormat="1" ht="15.75" customHeight="1" x14ac:dyDescent="0.25">
      <c r="C366"/>
      <c r="D366"/>
      <c r="E366"/>
      <c r="F366"/>
      <c r="G366"/>
      <c r="H366"/>
      <c r="I366"/>
      <c r="J366"/>
      <c r="K366"/>
      <c r="L366"/>
      <c r="M366"/>
      <c r="N366"/>
      <c r="O366" s="366"/>
      <c r="P366" s="366">
        <v>2016</v>
      </c>
      <c r="Q366" s="367">
        <f>LARGE($CB$304:$CB$453,63)</f>
        <v>60.2</v>
      </c>
      <c r="R366" s="357">
        <f t="shared" si="112"/>
        <v>-104.39999999999999</v>
      </c>
      <c r="S366" s="356">
        <f t="shared" si="120"/>
        <v>10899.359999999999</v>
      </c>
      <c r="U366" s="356">
        <f t="shared" si="114"/>
        <v>-6.5249999999999995</v>
      </c>
      <c r="V366" s="238">
        <f t="shared" si="118"/>
        <v>8</v>
      </c>
      <c r="W366" s="354"/>
      <c r="X366" s="371"/>
      <c r="Y366" s="371"/>
      <c r="Z366" s="238">
        <v>2016</v>
      </c>
      <c r="AA366" s="367">
        <f>LARGE($CU$304:$CU$453,63)</f>
        <v>128.9</v>
      </c>
      <c r="AB366" s="357">
        <f t="shared" si="115"/>
        <v>-82.800000000000011</v>
      </c>
      <c r="AC366" s="356">
        <f t="shared" si="117"/>
        <v>6855.840000000002</v>
      </c>
      <c r="AD366" s="356"/>
      <c r="AE366" s="356">
        <f t="shared" si="116"/>
        <v>-5.1750000000000007</v>
      </c>
      <c r="AF366" s="238">
        <f t="shared" si="119"/>
        <v>8</v>
      </c>
      <c r="AG366" s="354"/>
      <c r="AK366"/>
      <c r="AL366"/>
      <c r="AM366"/>
      <c r="AN366"/>
      <c r="AO366"/>
      <c r="AP366"/>
      <c r="BI366" s="360"/>
      <c r="BJ366" s="354"/>
      <c r="BK366" s="366">
        <v>2016</v>
      </c>
      <c r="BL366" s="365" t="s">
        <v>1236</v>
      </c>
      <c r="BM366" s="366" t="s">
        <v>167</v>
      </c>
      <c r="BN366" s="366" t="s">
        <v>3</v>
      </c>
      <c r="BO366" s="366">
        <v>0</v>
      </c>
      <c r="BP366" s="366">
        <v>0</v>
      </c>
      <c r="BQ366" s="366">
        <v>0</v>
      </c>
      <c r="BR366" s="366">
        <v>47</v>
      </c>
      <c r="BS366" s="366">
        <v>2</v>
      </c>
      <c r="BT366" s="366">
        <v>12</v>
      </c>
      <c r="BU366" s="366">
        <v>227</v>
      </c>
      <c r="BV366" s="366">
        <v>1</v>
      </c>
      <c r="BW366" s="366">
        <v>0</v>
      </c>
      <c r="BX366" s="366">
        <v>0</v>
      </c>
      <c r="BY366" s="366">
        <v>0</v>
      </c>
      <c r="BZ366" s="366">
        <v>0</v>
      </c>
      <c r="CA366" s="366">
        <v>0</v>
      </c>
      <c r="CB366" s="367">
        <f>IFERROR(BO366/Instructions!$J$25,0)+BP366*Instructions!$J$27+BQ366*Instructions!$J$29+IFERROR(BR366/Instructions!$E$34,0)+BS366*Instructions!$E$36+Tier!BT367*Instructions!$E$25+IFERROR(BU366/Instructions!$E$27,0)+BV366*Instructions!$E$29+IFERROR((BW366+BY366)/Instructions!$J$32,0)+(BX366+BZ366)*Instructions!$J$34+Tier!CA366*-2</f>
        <v>62.400000000000006</v>
      </c>
      <c r="CC366" s="354"/>
      <c r="CD366" s="238">
        <v>2016</v>
      </c>
      <c r="CE366" s="365" t="s">
        <v>40</v>
      </c>
      <c r="CF366" s="366" t="s">
        <v>1624</v>
      </c>
      <c r="CG366" s="366" t="s">
        <v>6</v>
      </c>
      <c r="CH366" s="366">
        <v>0</v>
      </c>
      <c r="CI366" s="366">
        <v>0</v>
      </c>
      <c r="CJ366" s="366">
        <v>0</v>
      </c>
      <c r="CK366" s="366">
        <v>33</v>
      </c>
      <c r="CL366" s="366">
        <v>0</v>
      </c>
      <c r="CM366" s="366">
        <v>60</v>
      </c>
      <c r="CN366" s="366">
        <v>610</v>
      </c>
      <c r="CO366" s="366">
        <v>4</v>
      </c>
      <c r="CP366" s="366">
        <v>54</v>
      </c>
      <c r="CQ366" s="366">
        <v>0</v>
      </c>
      <c r="CR366" s="366">
        <v>0</v>
      </c>
      <c r="CS366" s="366">
        <v>0</v>
      </c>
      <c r="CT366" s="366">
        <v>0</v>
      </c>
      <c r="CU366" s="367">
        <f>IFERROR(CH366/Instructions!$J$25,0)+CI366*Instructions!$J$27+CJ366*Instructions!$J$29+IFERROR(CK366/Instructions!$E$34,0)+CL366*Instructions!$E$36+Tier!CM366*Instructions!$E$25+IFERROR(CN366/Instructions!$E$27,0)+CO366*Instructions!$E$29+IFERROR((CP366+CR366)/Instructions!$J$32,0)+(CQ366+CS366)*Instructions!$J$34+Tier!CT366*-2</f>
        <v>148.30000000000001</v>
      </c>
      <c r="CV366" s="354"/>
      <c r="CW366"/>
      <c r="CX366"/>
      <c r="CY366"/>
      <c r="CZ366"/>
      <c r="DA366"/>
      <c r="DB366"/>
      <c r="DC366"/>
      <c r="DD366"/>
      <c r="DE366"/>
      <c r="DF366"/>
      <c r="DG366"/>
      <c r="DH366"/>
      <c r="DI366"/>
      <c r="DJ366"/>
      <c r="DK366"/>
      <c r="DL366"/>
      <c r="DM366"/>
      <c r="DN366"/>
    </row>
    <row r="367" spans="3:118" s="238" customFormat="1" ht="15.75" customHeight="1" x14ac:dyDescent="0.25">
      <c r="C367"/>
      <c r="D367"/>
      <c r="E367"/>
      <c r="F367"/>
      <c r="G367"/>
      <c r="H367"/>
      <c r="I367"/>
      <c r="J367"/>
      <c r="K367"/>
      <c r="L367"/>
      <c r="M367"/>
      <c r="N367"/>
      <c r="O367" s="366"/>
      <c r="P367" s="366">
        <v>2016</v>
      </c>
      <c r="Q367" s="367">
        <f>LARGE($CB$304:$CB$453,64)</f>
        <v>59.9</v>
      </c>
      <c r="R367" s="357">
        <f t="shared" si="112"/>
        <v>-104.69999999999999</v>
      </c>
      <c r="S367" s="356">
        <f t="shared" si="120"/>
        <v>10962.089999999998</v>
      </c>
      <c r="U367" s="356">
        <f t="shared" si="114"/>
        <v>-6.5437499999999993</v>
      </c>
      <c r="V367" s="238">
        <f t="shared" si="118"/>
        <v>8</v>
      </c>
      <c r="W367" s="354"/>
      <c r="X367" s="371"/>
      <c r="Y367" s="371"/>
      <c r="Z367" s="238">
        <v>2016</v>
      </c>
      <c r="AA367" s="367">
        <f>LARGE($CU$304:$CU$453,64)</f>
        <v>128.19999999999999</v>
      </c>
      <c r="AB367" s="357">
        <f t="shared" si="115"/>
        <v>-83.500000000000028</v>
      </c>
      <c r="AC367" s="356">
        <f t="shared" si="117"/>
        <v>6972.2500000000045</v>
      </c>
      <c r="AD367" s="356"/>
      <c r="AE367" s="356">
        <f t="shared" si="116"/>
        <v>-5.2187500000000018</v>
      </c>
      <c r="AF367" s="238">
        <f t="shared" si="119"/>
        <v>8</v>
      </c>
      <c r="AG367" s="354"/>
      <c r="AK367"/>
      <c r="AL367"/>
      <c r="AM367"/>
      <c r="AN367"/>
      <c r="AO367"/>
      <c r="AP367"/>
      <c r="BI367" s="360"/>
      <c r="BJ367" s="354"/>
      <c r="BK367" s="366">
        <v>2016</v>
      </c>
      <c r="BL367" s="365" t="s">
        <v>1190</v>
      </c>
      <c r="BM367" s="366" t="s">
        <v>140</v>
      </c>
      <c r="BN367" s="366" t="s">
        <v>3</v>
      </c>
      <c r="BO367" s="366">
        <v>0</v>
      </c>
      <c r="BP367" s="366">
        <v>0</v>
      </c>
      <c r="BQ367" s="366">
        <v>0</v>
      </c>
      <c r="BR367" s="366">
        <v>172</v>
      </c>
      <c r="BS367" s="366">
        <v>1</v>
      </c>
      <c r="BT367" s="366">
        <v>17</v>
      </c>
      <c r="BU367" s="366">
        <v>208</v>
      </c>
      <c r="BV367" s="366">
        <v>0</v>
      </c>
      <c r="BW367" s="366">
        <v>0</v>
      </c>
      <c r="BX367" s="366">
        <v>0</v>
      </c>
      <c r="BY367" s="366">
        <v>0</v>
      </c>
      <c r="BZ367" s="366">
        <v>0</v>
      </c>
      <c r="CA367" s="366">
        <v>0</v>
      </c>
      <c r="CB367" s="367">
        <f>IFERROR(BO367/Instructions!$J$25,0)+BP367*Instructions!$J$27+BQ367*Instructions!$J$29+IFERROR(BR367/Instructions!$E$34,0)+BS367*Instructions!$E$36+Tier!BT368*Instructions!$E$25+IFERROR(BU367/Instructions!$E$27,0)+BV367*Instructions!$E$29+IFERROR((BW367+BY367)/Instructions!$J$32,0)+(BX367+BZ367)*Instructions!$J$34+Tier!CA367*-2</f>
        <v>68</v>
      </c>
      <c r="CC367" s="354"/>
      <c r="CD367" s="238">
        <v>2016</v>
      </c>
      <c r="CE367" s="365" t="s">
        <v>1197</v>
      </c>
      <c r="CF367" s="366" t="s">
        <v>151</v>
      </c>
      <c r="CG367" s="366" t="s">
        <v>6</v>
      </c>
      <c r="CH367" s="366">
        <v>0</v>
      </c>
      <c r="CI367" s="366">
        <v>0</v>
      </c>
      <c r="CJ367" s="366">
        <v>0</v>
      </c>
      <c r="CK367" s="366">
        <v>-3</v>
      </c>
      <c r="CL367" s="366">
        <v>0</v>
      </c>
      <c r="CM367" s="366">
        <v>47</v>
      </c>
      <c r="CN367" s="366">
        <v>635</v>
      </c>
      <c r="CO367" s="366">
        <v>2</v>
      </c>
      <c r="CP367" s="366">
        <v>165</v>
      </c>
      <c r="CQ367" s="366">
        <v>1</v>
      </c>
      <c r="CR367" s="366">
        <v>31</v>
      </c>
      <c r="CS367" s="366">
        <v>0</v>
      </c>
      <c r="CT367" s="366">
        <v>0</v>
      </c>
      <c r="CU367" s="367">
        <f>IFERROR(CH367/Instructions!$J$25,0)+CI367*Instructions!$J$27+CJ367*Instructions!$J$29+IFERROR(CK367/Instructions!$E$34,0)+CL367*Instructions!$E$36+Tier!CM367*Instructions!$E$25+IFERROR(CN367/Instructions!$E$27,0)+CO367*Instructions!$E$29+IFERROR((CP367+CR367)/Instructions!$J$32,0)+(CQ367+CS367)*Instructions!$J$34+Tier!CT367*-2</f>
        <v>128.19999999999999</v>
      </c>
      <c r="CV367" s="354"/>
      <c r="CW367"/>
      <c r="CX367"/>
      <c r="CY367"/>
      <c r="CZ367"/>
      <c r="DA367"/>
      <c r="DB367"/>
      <c r="DC367"/>
      <c r="DD367"/>
      <c r="DE367"/>
      <c r="DF367"/>
      <c r="DG367"/>
      <c r="DH367"/>
      <c r="DI367"/>
      <c r="DJ367"/>
      <c r="DK367"/>
      <c r="DL367"/>
      <c r="DM367"/>
      <c r="DN367"/>
    </row>
    <row r="368" spans="3:118" s="238" customFormat="1" ht="15.75" customHeight="1" x14ac:dyDescent="0.25">
      <c r="C368"/>
      <c r="D368"/>
      <c r="E368"/>
      <c r="F368"/>
      <c r="G368"/>
      <c r="H368"/>
      <c r="I368"/>
      <c r="J368"/>
      <c r="K368"/>
      <c r="L368"/>
      <c r="M368"/>
      <c r="N368"/>
      <c r="O368" s="366"/>
      <c r="P368" s="366">
        <v>2016</v>
      </c>
      <c r="Q368" s="367">
        <f>LARGE($CB$304:$CB$453,65)</f>
        <v>57.7</v>
      </c>
      <c r="R368" s="357">
        <f t="shared" si="112"/>
        <v>-106.89999999999999</v>
      </c>
      <c r="S368" s="356">
        <f t="shared" si="120"/>
        <v>11427.609999999999</v>
      </c>
      <c r="U368" s="356">
        <f t="shared" si="114"/>
        <v>-6.6812499999999995</v>
      </c>
      <c r="V368" s="238">
        <f t="shared" si="118"/>
        <v>8</v>
      </c>
      <c r="W368" s="354"/>
      <c r="X368" s="371"/>
      <c r="Y368" s="371"/>
      <c r="Z368" s="238">
        <v>2016</v>
      </c>
      <c r="AA368" s="367">
        <f>LARGE($CU$304:$CU$453,65)</f>
        <v>126</v>
      </c>
      <c r="AB368" s="357">
        <f t="shared" si="115"/>
        <v>-85.700000000000017</v>
      </c>
      <c r="AC368" s="356">
        <f t="shared" si="117"/>
        <v>7344.4900000000025</v>
      </c>
      <c r="AD368" s="356"/>
      <c r="AE368" s="356">
        <f t="shared" si="116"/>
        <v>-5.3562500000000011</v>
      </c>
      <c r="AF368" s="238">
        <f t="shared" si="119"/>
        <v>8</v>
      </c>
      <c r="AG368" s="354"/>
      <c r="AK368"/>
      <c r="AL368"/>
      <c r="AM368"/>
      <c r="AN368"/>
      <c r="AO368"/>
      <c r="AP368"/>
      <c r="BI368" s="360"/>
      <c r="BJ368" s="354"/>
      <c r="BK368" s="366">
        <v>2016</v>
      </c>
      <c r="BL368" s="365" t="s">
        <v>184</v>
      </c>
      <c r="BM368" s="366" t="s">
        <v>1627</v>
      </c>
      <c r="BN368" s="366" t="s">
        <v>3</v>
      </c>
      <c r="BO368" s="366">
        <v>0</v>
      </c>
      <c r="BP368" s="366">
        <v>0</v>
      </c>
      <c r="BQ368" s="366">
        <v>0</v>
      </c>
      <c r="BR368" s="366">
        <v>149</v>
      </c>
      <c r="BS368" s="366">
        <v>1</v>
      </c>
      <c r="BT368" s="366">
        <v>24</v>
      </c>
      <c r="BU368" s="366">
        <v>190</v>
      </c>
      <c r="BV368" s="366">
        <v>1</v>
      </c>
      <c r="BW368" s="366">
        <v>0</v>
      </c>
      <c r="BX368" s="366">
        <v>0</v>
      </c>
      <c r="BY368" s="366">
        <v>0</v>
      </c>
      <c r="BZ368" s="366">
        <v>0</v>
      </c>
      <c r="CA368" s="366">
        <v>1</v>
      </c>
      <c r="CB368" s="367">
        <f>IFERROR(BO368/Instructions!$J$25,0)+BP368*Instructions!$J$27+BQ368*Instructions!$J$29+IFERROR(BR368/Instructions!$E$34,0)+BS368*Instructions!$E$36+Tier!BT369*Instructions!$E$25+IFERROR(BU368/Instructions!$E$27,0)+BV368*Instructions!$E$29+IFERROR((BW368+BY368)/Instructions!$J$32,0)+(BX368+BZ368)*Instructions!$J$34+Tier!CA368*-2</f>
        <v>59.9</v>
      </c>
      <c r="CC368" s="354"/>
      <c r="CD368" s="238">
        <v>2016</v>
      </c>
      <c r="CE368" s="365" t="s">
        <v>196</v>
      </c>
      <c r="CF368" s="366" t="s">
        <v>148</v>
      </c>
      <c r="CG368" s="366" t="s">
        <v>6</v>
      </c>
      <c r="CH368" s="366">
        <v>0</v>
      </c>
      <c r="CI368" s="366">
        <v>0</v>
      </c>
      <c r="CJ368" s="366">
        <v>0</v>
      </c>
      <c r="CK368" s="366">
        <v>5</v>
      </c>
      <c r="CL368" s="366">
        <v>0</v>
      </c>
      <c r="CM368" s="366">
        <v>59</v>
      </c>
      <c r="CN368" s="366">
        <v>653</v>
      </c>
      <c r="CO368" s="366">
        <v>4</v>
      </c>
      <c r="CP368" s="366">
        <v>0</v>
      </c>
      <c r="CQ368" s="366">
        <v>0</v>
      </c>
      <c r="CR368" s="366">
        <v>0</v>
      </c>
      <c r="CS368" s="366">
        <v>0</v>
      </c>
      <c r="CT368" s="366">
        <v>1</v>
      </c>
      <c r="CU368" s="367">
        <f>IFERROR(CH368/Instructions!$J$25,0)+CI368*Instructions!$J$27+CJ368*Instructions!$J$29+IFERROR(CK368/Instructions!$E$34,0)+CL368*Instructions!$E$36+Tier!CM368*Instructions!$E$25+IFERROR(CN368/Instructions!$E$27,0)+CO368*Instructions!$E$29+IFERROR((CP368+CR368)/Instructions!$J$32,0)+(CQ368+CS368)*Instructions!$J$34+Tier!CT368*-2</f>
        <v>146.80000000000001</v>
      </c>
      <c r="CV368" s="354"/>
      <c r="CW368"/>
      <c r="CX368"/>
      <c r="CY368"/>
      <c r="CZ368"/>
      <c r="DA368"/>
      <c r="DB368"/>
      <c r="DC368"/>
      <c r="DD368"/>
      <c r="DE368"/>
      <c r="DF368"/>
      <c r="DG368"/>
      <c r="DH368"/>
      <c r="DI368"/>
      <c r="DJ368"/>
      <c r="DK368"/>
      <c r="DL368"/>
      <c r="DM368"/>
      <c r="DN368"/>
    </row>
    <row r="369" spans="3:118" s="238" customFormat="1" ht="15.75" customHeight="1" x14ac:dyDescent="0.25">
      <c r="C369"/>
      <c r="D369"/>
      <c r="E369"/>
      <c r="F369"/>
      <c r="G369"/>
      <c r="H369"/>
      <c r="I369"/>
      <c r="J369"/>
      <c r="K369"/>
      <c r="L369"/>
      <c r="M369"/>
      <c r="N369"/>
      <c r="O369" s="366"/>
      <c r="P369" s="366">
        <v>2016</v>
      </c>
      <c r="Q369" s="367">
        <f>LARGE($CB$304:$CB$453,66)</f>
        <v>56.9</v>
      </c>
      <c r="R369" s="357">
        <f t="shared" ref="R369:R432" si="121">Q369-$T$314</f>
        <v>-107.69999999999999</v>
      </c>
      <c r="S369" s="356">
        <f t="shared" si="120"/>
        <v>11599.289999999997</v>
      </c>
      <c r="U369" s="356">
        <f t="shared" ref="U369:U432" si="122">R369/$T$304</f>
        <v>-6.7312499999999993</v>
      </c>
      <c r="V369" s="238">
        <f t="shared" si="118"/>
        <v>8</v>
      </c>
      <c r="W369" s="354"/>
      <c r="X369" s="371"/>
      <c r="Y369" s="371"/>
      <c r="Z369" s="238">
        <v>2016</v>
      </c>
      <c r="AA369" s="367">
        <f>LARGE($CU$304:$CU$453,66)</f>
        <v>125.4</v>
      </c>
      <c r="AB369" s="357">
        <f t="shared" ref="AB369:AB432" si="123">$AA369-$AD$314</f>
        <v>-86.300000000000011</v>
      </c>
      <c r="AC369" s="356">
        <f t="shared" si="117"/>
        <v>7447.6900000000023</v>
      </c>
      <c r="AD369" s="356"/>
      <c r="AE369" s="356">
        <f t="shared" ref="AE369:AE432" si="124">AB369/$AD$304</f>
        <v>-5.3937500000000007</v>
      </c>
      <c r="AF369" s="238">
        <f t="shared" si="119"/>
        <v>8</v>
      </c>
      <c r="AG369" s="354"/>
      <c r="AK369"/>
      <c r="AL369"/>
      <c r="AM369"/>
      <c r="AN369"/>
      <c r="AO369"/>
      <c r="AP369"/>
      <c r="BI369" s="360"/>
      <c r="BJ369" s="354"/>
      <c r="BK369" s="366">
        <v>2016</v>
      </c>
      <c r="BL369" s="365" t="s">
        <v>985</v>
      </c>
      <c r="BM369" s="366" t="s">
        <v>1389</v>
      </c>
      <c r="BN369" s="366" t="s">
        <v>3</v>
      </c>
      <c r="BO369" s="366">
        <v>0</v>
      </c>
      <c r="BP369" s="366">
        <v>0</v>
      </c>
      <c r="BQ369" s="366">
        <v>0</v>
      </c>
      <c r="BR369" s="366">
        <v>101</v>
      </c>
      <c r="BS369" s="366">
        <v>0</v>
      </c>
      <c r="BT369" s="366">
        <v>16</v>
      </c>
      <c r="BU369" s="366">
        <v>91</v>
      </c>
      <c r="BV369" s="366">
        <v>0</v>
      </c>
      <c r="BW369" s="366">
        <v>0</v>
      </c>
      <c r="BX369" s="366">
        <v>0</v>
      </c>
      <c r="BY369" s="366">
        <v>599</v>
      </c>
      <c r="BZ369" s="366">
        <v>0</v>
      </c>
      <c r="CA369" s="366">
        <v>0</v>
      </c>
      <c r="CB369" s="367">
        <f>IFERROR(BO369/Instructions!$J$25,0)+BP369*Instructions!$J$27+BQ369*Instructions!$J$29+IFERROR(BR369/Instructions!$E$34,0)+BS369*Instructions!$E$36+Tier!BT370*Instructions!$E$25+IFERROR(BU369/Instructions!$E$27,0)+BV369*Instructions!$E$29+IFERROR((BW369+BY369)/Instructions!$J$32,0)+(BX369+BZ369)*Instructions!$J$34+Tier!CA369*-2</f>
        <v>23.2</v>
      </c>
      <c r="CC369" s="354"/>
      <c r="CD369" s="238">
        <v>2016</v>
      </c>
      <c r="CE369" s="365" t="s">
        <v>1262</v>
      </c>
      <c r="CF369" s="366" t="s">
        <v>1627</v>
      </c>
      <c r="CG369" s="366" t="s">
        <v>6</v>
      </c>
      <c r="CH369" s="366">
        <v>0</v>
      </c>
      <c r="CI369" s="366">
        <v>0</v>
      </c>
      <c r="CJ369" s="366">
        <v>0</v>
      </c>
      <c r="CK369" s="366">
        <v>18</v>
      </c>
      <c r="CL369" s="366">
        <v>0</v>
      </c>
      <c r="CM369" s="366">
        <v>55</v>
      </c>
      <c r="CN369" s="366">
        <v>622</v>
      </c>
      <c r="CO369" s="366">
        <v>2</v>
      </c>
      <c r="CP369" s="366">
        <v>237</v>
      </c>
      <c r="CQ369" s="366">
        <v>0</v>
      </c>
      <c r="CR369" s="366">
        <v>47</v>
      </c>
      <c r="CS369" s="366">
        <v>0</v>
      </c>
      <c r="CT369" s="366">
        <v>0</v>
      </c>
      <c r="CU369" s="367">
        <f>IFERROR(CH369/Instructions!$J$25,0)+CI369*Instructions!$J$27+CJ369*Instructions!$J$29+IFERROR(CK369/Instructions!$E$34,0)+CL369*Instructions!$E$36+Tier!CM369*Instructions!$E$25+IFERROR(CN369/Instructions!$E$27,0)+CO369*Instructions!$E$29+IFERROR((CP369+CR369)/Instructions!$J$32,0)+(CQ369+CS369)*Instructions!$J$34+Tier!CT369*-2</f>
        <v>131</v>
      </c>
      <c r="CV369" s="354"/>
      <c r="CW369"/>
      <c r="CX369"/>
      <c r="CY369"/>
      <c r="CZ369"/>
      <c r="DA369"/>
      <c r="DB369"/>
      <c r="DC369"/>
      <c r="DD369"/>
      <c r="DE369"/>
      <c r="DF369"/>
      <c r="DG369"/>
      <c r="DH369"/>
      <c r="DI369"/>
      <c r="DJ369"/>
      <c r="DK369"/>
      <c r="DL369"/>
      <c r="DM369"/>
      <c r="DN369"/>
    </row>
    <row r="370" spans="3:118" s="238" customFormat="1" ht="15.75" customHeight="1" x14ac:dyDescent="0.25">
      <c r="C370"/>
      <c r="D370"/>
      <c r="E370"/>
      <c r="F370"/>
      <c r="G370"/>
      <c r="H370"/>
      <c r="I370"/>
      <c r="J370"/>
      <c r="K370"/>
      <c r="L370"/>
      <c r="M370"/>
      <c r="N370"/>
      <c r="O370" s="366"/>
      <c r="P370" s="366">
        <v>2016</v>
      </c>
      <c r="Q370" s="367">
        <f>LARGE($CB$304:$CB$453,67)</f>
        <v>55.7</v>
      </c>
      <c r="R370" s="357">
        <f t="shared" si="121"/>
        <v>-108.89999999999999</v>
      </c>
      <c r="S370" s="356">
        <f t="shared" si="120"/>
        <v>11859.209999999997</v>
      </c>
      <c r="U370" s="356">
        <f t="shared" si="122"/>
        <v>-6.8062499999999995</v>
      </c>
      <c r="V370" s="238">
        <f t="shared" si="118"/>
        <v>8</v>
      </c>
      <c r="W370" s="354"/>
      <c r="X370" s="371"/>
      <c r="Y370" s="371"/>
      <c r="Z370" s="238">
        <v>2016</v>
      </c>
      <c r="AA370" s="367">
        <f>LARGE($CU$304:$CU$453,67)</f>
        <v>124.1</v>
      </c>
      <c r="AB370" s="357">
        <f t="shared" si="123"/>
        <v>-87.600000000000023</v>
      </c>
      <c r="AC370" s="356">
        <f t="shared" si="117"/>
        <v>7673.7600000000039</v>
      </c>
      <c r="AD370" s="356"/>
      <c r="AE370" s="356">
        <f t="shared" si="124"/>
        <v>-5.4750000000000014</v>
      </c>
      <c r="AF370" s="238">
        <f t="shared" si="119"/>
        <v>8</v>
      </c>
      <c r="AG370" s="354"/>
      <c r="AK370"/>
      <c r="AL370"/>
      <c r="AM370"/>
      <c r="AN370"/>
      <c r="AO370"/>
      <c r="AP370"/>
      <c r="BI370" s="360"/>
      <c r="BJ370" s="354"/>
      <c r="BK370" s="366">
        <v>2016</v>
      </c>
      <c r="BL370" s="365" t="s">
        <v>1313</v>
      </c>
      <c r="BM370" s="366" t="s">
        <v>1613</v>
      </c>
      <c r="BN370" s="366" t="s">
        <v>3</v>
      </c>
      <c r="BO370" s="366">
        <v>0</v>
      </c>
      <c r="BP370" s="366">
        <v>0</v>
      </c>
      <c r="BQ370" s="366">
        <v>0</v>
      </c>
      <c r="BR370" s="366">
        <v>164</v>
      </c>
      <c r="BS370" s="366">
        <v>1</v>
      </c>
      <c r="BT370" s="366">
        <v>4</v>
      </c>
      <c r="BU370" s="366">
        <v>35</v>
      </c>
      <c r="BV370" s="366">
        <v>1</v>
      </c>
      <c r="BW370" s="366">
        <v>0</v>
      </c>
      <c r="BX370" s="366">
        <v>0</v>
      </c>
      <c r="BY370" s="366">
        <v>268</v>
      </c>
      <c r="BZ370" s="366">
        <v>0</v>
      </c>
      <c r="CA370" s="366">
        <v>0</v>
      </c>
      <c r="CB370" s="367">
        <f>IFERROR(BO370/Instructions!$J$25,0)+BP370*Instructions!$J$27+BQ370*Instructions!$J$29+IFERROR(BR370/Instructions!$E$34,0)+BS370*Instructions!$E$36+Tier!BT371*Instructions!$E$25+IFERROR(BU370/Instructions!$E$27,0)+BV370*Instructions!$E$29+IFERROR((BW370+BY370)/Instructions!$J$32,0)+(BX370+BZ370)*Instructions!$J$34+Tier!CA370*-2</f>
        <v>36.9</v>
      </c>
      <c r="CC370" s="354"/>
      <c r="CD370" s="238">
        <v>2016</v>
      </c>
      <c r="CE370" s="365" t="s">
        <v>96</v>
      </c>
      <c r="CF370" s="366" t="s">
        <v>146</v>
      </c>
      <c r="CG370" s="366" t="s">
        <v>6</v>
      </c>
      <c r="CH370" s="366">
        <v>0</v>
      </c>
      <c r="CI370" s="366">
        <v>0</v>
      </c>
      <c r="CJ370" s="366">
        <v>0</v>
      </c>
      <c r="CK370" s="366">
        <v>0</v>
      </c>
      <c r="CL370" s="366">
        <v>0</v>
      </c>
      <c r="CM370" s="366">
        <v>44</v>
      </c>
      <c r="CN370" s="366">
        <v>594</v>
      </c>
      <c r="CO370" s="366">
        <v>4</v>
      </c>
      <c r="CP370" s="366">
        <v>0</v>
      </c>
      <c r="CQ370" s="366">
        <v>0</v>
      </c>
      <c r="CR370" s="366">
        <v>0</v>
      </c>
      <c r="CS370" s="366">
        <v>0</v>
      </c>
      <c r="CT370" s="366">
        <v>1</v>
      </c>
      <c r="CU370" s="367">
        <f>IFERROR(CH370/Instructions!$J$25,0)+CI370*Instructions!$J$27+CJ370*Instructions!$J$29+IFERROR(CK370/Instructions!$E$34,0)+CL370*Instructions!$E$36+Tier!CM370*Instructions!$E$25+IFERROR(CN370/Instructions!$E$27,0)+CO370*Instructions!$E$29+IFERROR((CP370+CR370)/Instructions!$J$32,0)+(CQ370+CS370)*Instructions!$J$34+Tier!CT370*-2</f>
        <v>125.4</v>
      </c>
      <c r="CV370" s="354"/>
      <c r="CW370"/>
      <c r="CX370"/>
      <c r="CY370"/>
      <c r="CZ370"/>
      <c r="DA370"/>
      <c r="DB370"/>
      <c r="DC370"/>
      <c r="DD370"/>
      <c r="DE370"/>
      <c r="DF370"/>
      <c r="DG370"/>
      <c r="DH370"/>
      <c r="DI370"/>
      <c r="DJ370"/>
      <c r="DK370"/>
      <c r="DL370"/>
      <c r="DM370"/>
      <c r="DN370"/>
    </row>
    <row r="371" spans="3:118" s="238" customFormat="1" ht="15.75" customHeight="1" x14ac:dyDescent="0.25">
      <c r="C371"/>
      <c r="D371"/>
      <c r="E371"/>
      <c r="F371"/>
      <c r="G371"/>
      <c r="H371"/>
      <c r="I371"/>
      <c r="J371"/>
      <c r="K371"/>
      <c r="L371"/>
      <c r="M371"/>
      <c r="N371"/>
      <c r="O371" s="366"/>
      <c r="P371" s="366">
        <v>2016</v>
      </c>
      <c r="Q371" s="367">
        <f>LARGE($CB$304:$CB$453,68)</f>
        <v>52.5</v>
      </c>
      <c r="R371" s="357">
        <f t="shared" si="121"/>
        <v>-112.1</v>
      </c>
      <c r="S371" s="356">
        <f t="shared" si="120"/>
        <v>12566.409999999998</v>
      </c>
      <c r="U371" s="356">
        <f t="shared" si="122"/>
        <v>-7.0062499999999996</v>
      </c>
      <c r="V371" s="238">
        <f t="shared" si="118"/>
        <v>8</v>
      </c>
      <c r="W371" s="354"/>
      <c r="X371" s="371"/>
      <c r="Y371" s="371"/>
      <c r="Z371" s="238">
        <v>2016</v>
      </c>
      <c r="AA371" s="367">
        <f>LARGE($CU$304:$CU$453,68)</f>
        <v>124.1</v>
      </c>
      <c r="AB371" s="357">
        <f t="shared" si="123"/>
        <v>-87.600000000000023</v>
      </c>
      <c r="AC371" s="356">
        <f t="shared" si="117"/>
        <v>7673.7600000000039</v>
      </c>
      <c r="AD371" s="356"/>
      <c r="AE371" s="356">
        <f t="shared" si="124"/>
        <v>-5.4750000000000014</v>
      </c>
      <c r="AF371" s="238">
        <f t="shared" si="119"/>
        <v>8</v>
      </c>
      <c r="AG371" s="354"/>
      <c r="AK371"/>
      <c r="AL371"/>
      <c r="AM371"/>
      <c r="AN371"/>
      <c r="AO371"/>
      <c r="AP371"/>
      <c r="BI371" s="360"/>
      <c r="BJ371" s="354"/>
      <c r="BK371" s="366">
        <v>2016</v>
      </c>
      <c r="BL371" s="365" t="s">
        <v>1174</v>
      </c>
      <c r="BM371" s="366" t="s">
        <v>137</v>
      </c>
      <c r="BN371" s="366" t="s">
        <v>3</v>
      </c>
      <c r="BO371" s="366">
        <v>0</v>
      </c>
      <c r="BP371" s="366">
        <v>0</v>
      </c>
      <c r="BQ371" s="366">
        <v>0</v>
      </c>
      <c r="BR371" s="366">
        <v>129</v>
      </c>
      <c r="BS371" s="366">
        <v>2</v>
      </c>
      <c r="BT371" s="366">
        <v>5</v>
      </c>
      <c r="BU371" s="366">
        <v>42</v>
      </c>
      <c r="BV371" s="366">
        <v>0</v>
      </c>
      <c r="BW371" s="366">
        <v>22</v>
      </c>
      <c r="BX371" s="366">
        <v>0</v>
      </c>
      <c r="BY371" s="366">
        <v>277</v>
      </c>
      <c r="BZ371" s="366">
        <v>0</v>
      </c>
      <c r="CA371" s="366">
        <v>0</v>
      </c>
      <c r="CB371" s="367">
        <f>IFERROR(BO371/Instructions!$J$25,0)+BP371*Instructions!$J$27+BQ371*Instructions!$J$29+IFERROR(BR371/Instructions!$E$34,0)+BS371*Instructions!$E$36+Tier!BT372*Instructions!$E$25+IFERROR(BU371/Instructions!$E$27,0)+BV371*Instructions!$E$29+IFERROR((BW371+BY371)/Instructions!$J$32,0)+(BX371+BZ371)*Instructions!$J$34+Tier!CA371*-2</f>
        <v>45.1</v>
      </c>
      <c r="CC371" s="354"/>
      <c r="CD371" s="238">
        <v>2016</v>
      </c>
      <c r="CE371" s="365" t="s">
        <v>1339</v>
      </c>
      <c r="CF371" s="366" t="s">
        <v>147</v>
      </c>
      <c r="CG371" s="366" t="s">
        <v>6</v>
      </c>
      <c r="CH371" s="366">
        <v>0</v>
      </c>
      <c r="CI371" s="366">
        <v>0</v>
      </c>
      <c r="CJ371" s="366">
        <v>0</v>
      </c>
      <c r="CK371" s="366">
        <v>6</v>
      </c>
      <c r="CL371" s="366">
        <v>0</v>
      </c>
      <c r="CM371" s="366">
        <v>48</v>
      </c>
      <c r="CN371" s="366">
        <v>594</v>
      </c>
      <c r="CO371" s="366">
        <v>3</v>
      </c>
      <c r="CP371" s="366">
        <v>45</v>
      </c>
      <c r="CQ371" s="366">
        <v>0</v>
      </c>
      <c r="CR371" s="366">
        <v>0</v>
      </c>
      <c r="CS371" s="366">
        <v>0</v>
      </c>
      <c r="CT371" s="366">
        <v>0</v>
      </c>
      <c r="CU371" s="367">
        <f>IFERROR(CH371/Instructions!$J$25,0)+CI371*Instructions!$J$27+CJ371*Instructions!$J$29+IFERROR(CK371/Instructions!$E$34,0)+CL371*Instructions!$E$36+Tier!CM371*Instructions!$E$25+IFERROR(CN371/Instructions!$E$27,0)+CO371*Instructions!$E$29+IFERROR((CP371+CR371)/Instructions!$J$32,0)+(CQ371+CS371)*Instructions!$J$34+Tier!CT371*-2</f>
        <v>126</v>
      </c>
      <c r="CV371" s="354"/>
      <c r="CW371"/>
      <c r="CX371"/>
      <c r="CY371"/>
      <c r="CZ371"/>
      <c r="DA371"/>
      <c r="DB371"/>
      <c r="DC371"/>
      <c r="DD371"/>
      <c r="DE371"/>
      <c r="DF371"/>
      <c r="DG371"/>
      <c r="DH371"/>
      <c r="DI371"/>
      <c r="DJ371"/>
      <c r="DK371"/>
      <c r="DL371"/>
      <c r="DM371"/>
      <c r="DN371"/>
    </row>
    <row r="372" spans="3:118" s="238" customFormat="1" ht="15.75" customHeight="1" x14ac:dyDescent="0.25">
      <c r="C372"/>
      <c r="D372"/>
      <c r="E372"/>
      <c r="F372"/>
      <c r="G372"/>
      <c r="H372"/>
      <c r="I372"/>
      <c r="J372"/>
      <c r="K372"/>
      <c r="L372"/>
      <c r="M372"/>
      <c r="N372"/>
      <c r="O372" s="366"/>
      <c r="P372" s="366">
        <v>2016</v>
      </c>
      <c r="Q372" s="367">
        <f>LARGE($CB$304:$CB$453,69)</f>
        <v>50.7</v>
      </c>
      <c r="R372" s="357">
        <f t="shared" si="121"/>
        <v>-113.89999999999999</v>
      </c>
      <c r="S372" s="356">
        <f t="shared" si="120"/>
        <v>12973.209999999997</v>
      </c>
      <c r="U372" s="356">
        <f t="shared" si="122"/>
        <v>-7.1187499999999995</v>
      </c>
      <c r="V372" s="238">
        <f t="shared" si="118"/>
        <v>8</v>
      </c>
      <c r="W372" s="354"/>
      <c r="X372" s="371"/>
      <c r="Y372" s="371"/>
      <c r="Z372" s="238">
        <v>2016</v>
      </c>
      <c r="AA372" s="367">
        <f>LARGE($CU$304:$CU$453,69)</f>
        <v>119.6</v>
      </c>
      <c r="AB372" s="357">
        <f t="shared" si="123"/>
        <v>-92.100000000000023</v>
      </c>
      <c r="AC372" s="356">
        <f t="shared" si="117"/>
        <v>8482.4100000000035</v>
      </c>
      <c r="AD372" s="356"/>
      <c r="AE372" s="356">
        <f t="shared" si="124"/>
        <v>-5.7562500000000014</v>
      </c>
      <c r="AF372" s="238">
        <f t="shared" si="119"/>
        <v>8</v>
      </c>
      <c r="AG372" s="354"/>
      <c r="AK372"/>
      <c r="AL372"/>
      <c r="AM372"/>
      <c r="AN372"/>
      <c r="AO372"/>
      <c r="AP372"/>
      <c r="BI372" s="360"/>
      <c r="BJ372" s="354"/>
      <c r="BK372" s="366">
        <v>2016</v>
      </c>
      <c r="BL372" s="365" t="s">
        <v>1304</v>
      </c>
      <c r="BM372" s="366" t="s">
        <v>1625</v>
      </c>
      <c r="BN372" s="366" t="s">
        <v>3</v>
      </c>
      <c r="BO372" s="366">
        <v>0</v>
      </c>
      <c r="BP372" s="366">
        <v>0</v>
      </c>
      <c r="BQ372" s="366">
        <v>0</v>
      </c>
      <c r="BR372" s="366">
        <v>37</v>
      </c>
      <c r="BS372" s="366">
        <v>4</v>
      </c>
      <c r="BT372" s="366">
        <v>16</v>
      </c>
      <c r="BU372" s="366">
        <v>70</v>
      </c>
      <c r="BV372" s="366">
        <v>1</v>
      </c>
      <c r="BW372" s="366">
        <v>0</v>
      </c>
      <c r="BX372" s="366">
        <v>0</v>
      </c>
      <c r="BY372" s="366">
        <v>0</v>
      </c>
      <c r="BZ372" s="366">
        <v>0</v>
      </c>
      <c r="CA372" s="366">
        <v>0</v>
      </c>
      <c r="CB372" s="367">
        <f>IFERROR(BO372/Instructions!$J$25,0)+BP372*Instructions!$J$27+BQ372*Instructions!$J$29+IFERROR(BR372/Instructions!$E$34,0)+BS372*Instructions!$E$36+Tier!BT373*Instructions!$E$25+IFERROR(BU372/Instructions!$E$27,0)+BV372*Instructions!$E$29+IFERROR((BW372+BY372)/Instructions!$J$32,0)+(BX372+BZ372)*Instructions!$J$34+Tier!CA372*-2</f>
        <v>50.7</v>
      </c>
      <c r="CC372" s="354"/>
      <c r="CD372" s="238">
        <v>2016</v>
      </c>
      <c r="CE372" s="365" t="s">
        <v>80</v>
      </c>
      <c r="CF372" s="366" t="s">
        <v>1633</v>
      </c>
      <c r="CG372" s="366" t="s">
        <v>6</v>
      </c>
      <c r="CH372" s="366">
        <v>0</v>
      </c>
      <c r="CI372" s="366">
        <v>0</v>
      </c>
      <c r="CJ372" s="366">
        <v>0</v>
      </c>
      <c r="CK372" s="366">
        <v>0</v>
      </c>
      <c r="CL372" s="366">
        <v>0</v>
      </c>
      <c r="CM372" s="366">
        <v>37</v>
      </c>
      <c r="CN372" s="366">
        <v>488</v>
      </c>
      <c r="CO372" s="366">
        <v>5</v>
      </c>
      <c r="CP372" s="366">
        <v>0</v>
      </c>
      <c r="CQ372" s="366">
        <v>0</v>
      </c>
      <c r="CR372" s="366">
        <v>0</v>
      </c>
      <c r="CS372" s="366">
        <v>0</v>
      </c>
      <c r="CT372" s="366">
        <v>0</v>
      </c>
      <c r="CU372" s="367">
        <f>IFERROR(CH372/Instructions!$J$25,0)+CI372*Instructions!$J$27+CJ372*Instructions!$J$29+IFERROR(CK372/Instructions!$E$34,0)+CL372*Instructions!$E$36+Tier!CM372*Instructions!$E$25+IFERROR(CN372/Instructions!$E$27,0)+CO372*Instructions!$E$29+IFERROR((CP372+CR372)/Instructions!$J$32,0)+(CQ372+CS372)*Instructions!$J$34+Tier!CT372*-2</f>
        <v>115.8</v>
      </c>
      <c r="CV372" s="354"/>
      <c r="CW372"/>
      <c r="CX372"/>
      <c r="CY372"/>
      <c r="CZ372"/>
      <c r="DA372"/>
      <c r="DB372"/>
      <c r="DC372"/>
      <c r="DD372"/>
      <c r="DE372"/>
      <c r="DF372"/>
      <c r="DG372"/>
      <c r="DH372"/>
      <c r="DI372"/>
      <c r="DJ372"/>
      <c r="DK372"/>
      <c r="DL372"/>
      <c r="DM372"/>
      <c r="DN372"/>
    </row>
    <row r="373" spans="3:118" s="238" customFormat="1" ht="15.75" customHeight="1" x14ac:dyDescent="0.25">
      <c r="C373"/>
      <c r="D373"/>
      <c r="E373"/>
      <c r="F373"/>
      <c r="G373"/>
      <c r="H373"/>
      <c r="I373"/>
      <c r="J373"/>
      <c r="K373"/>
      <c r="L373"/>
      <c r="M373"/>
      <c r="N373"/>
      <c r="O373" s="366"/>
      <c r="P373" s="366">
        <v>2016</v>
      </c>
      <c r="Q373" s="367">
        <f>LARGE($CB$304:$CB$453,70)</f>
        <v>47.199999999999996</v>
      </c>
      <c r="R373" s="357">
        <f t="shared" si="121"/>
        <v>-117.4</v>
      </c>
      <c r="S373" s="356">
        <f t="shared" si="120"/>
        <v>13782.760000000002</v>
      </c>
      <c r="U373" s="356">
        <f t="shared" si="122"/>
        <v>-7.3375000000000004</v>
      </c>
      <c r="V373" s="238">
        <f t="shared" si="118"/>
        <v>8</v>
      </c>
      <c r="W373" s="354"/>
      <c r="X373" s="371"/>
      <c r="Y373" s="371"/>
      <c r="Z373" s="238">
        <v>2016</v>
      </c>
      <c r="AA373" s="367">
        <f>LARGE($CU$304:$CU$453,70)</f>
        <v>118.9</v>
      </c>
      <c r="AB373" s="357">
        <f t="shared" si="123"/>
        <v>-92.800000000000011</v>
      </c>
      <c r="AC373" s="356">
        <f t="shared" si="117"/>
        <v>8611.840000000002</v>
      </c>
      <c r="AD373" s="356"/>
      <c r="AE373" s="356">
        <f t="shared" si="124"/>
        <v>-5.8000000000000007</v>
      </c>
      <c r="AF373" s="238">
        <f t="shared" si="119"/>
        <v>8</v>
      </c>
      <c r="AG373" s="354"/>
      <c r="AK373"/>
      <c r="AL373"/>
      <c r="AM373"/>
      <c r="AN373"/>
      <c r="AO373"/>
      <c r="AP373"/>
      <c r="BI373" s="360"/>
      <c r="BJ373" s="354"/>
      <c r="BK373" s="366">
        <v>2016</v>
      </c>
      <c r="BL373" s="365" t="s">
        <v>1345</v>
      </c>
      <c r="BM373" s="366" t="s">
        <v>142</v>
      </c>
      <c r="BN373" s="366" t="s">
        <v>3</v>
      </c>
      <c r="BO373" s="366">
        <v>0</v>
      </c>
      <c r="BP373" s="366">
        <v>0</v>
      </c>
      <c r="BQ373" s="366">
        <v>0</v>
      </c>
      <c r="BR373" s="366">
        <v>265</v>
      </c>
      <c r="BS373" s="366">
        <v>1</v>
      </c>
      <c r="BT373" s="366">
        <v>10</v>
      </c>
      <c r="BU373" s="366">
        <v>62</v>
      </c>
      <c r="BV373" s="366">
        <v>0</v>
      </c>
      <c r="BW373" s="366">
        <v>0</v>
      </c>
      <c r="BX373" s="366">
        <v>0</v>
      </c>
      <c r="BY373" s="366">
        <v>46</v>
      </c>
      <c r="BZ373" s="366">
        <v>0</v>
      </c>
      <c r="CA373" s="366">
        <v>0</v>
      </c>
      <c r="CB373" s="367">
        <f>IFERROR(BO373/Instructions!$J$25,0)+BP373*Instructions!$J$27+BQ373*Instructions!$J$29+IFERROR(BR373/Instructions!$E$34,0)+BS373*Instructions!$E$36+Tier!BT374*Instructions!$E$25+IFERROR(BU373/Instructions!$E$27,0)+BV373*Instructions!$E$29+IFERROR((BW373+BY373)/Instructions!$J$32,0)+(BX373+BZ373)*Instructions!$J$34+Tier!CA373*-2</f>
        <v>57.7</v>
      </c>
      <c r="CC373" s="354"/>
      <c r="CD373" s="238">
        <v>2016</v>
      </c>
      <c r="CE373" s="365" t="s">
        <v>189</v>
      </c>
      <c r="CF373" s="366" t="s">
        <v>142</v>
      </c>
      <c r="CG373" s="366" t="s">
        <v>6</v>
      </c>
      <c r="CH373" s="366">
        <v>0</v>
      </c>
      <c r="CI373" s="366">
        <v>0</v>
      </c>
      <c r="CJ373" s="366">
        <v>0</v>
      </c>
      <c r="CK373" s="366">
        <v>0</v>
      </c>
      <c r="CL373" s="366">
        <v>0</v>
      </c>
      <c r="CM373" s="366">
        <v>14</v>
      </c>
      <c r="CN373" s="366">
        <v>188</v>
      </c>
      <c r="CO373" s="366">
        <v>1</v>
      </c>
      <c r="CP373" s="366">
        <v>246</v>
      </c>
      <c r="CQ373" s="366">
        <v>2</v>
      </c>
      <c r="CR373" s="366">
        <v>747</v>
      </c>
      <c r="CS373" s="366">
        <v>0</v>
      </c>
      <c r="CT373" s="366">
        <v>0</v>
      </c>
      <c r="CU373" s="367">
        <f>IFERROR(CH373/Instructions!$J$25,0)+CI373*Instructions!$J$27+CJ373*Instructions!$J$29+IFERROR(CK373/Instructions!$E$34,0)+CL373*Instructions!$E$36+Tier!CM373*Instructions!$E$25+IFERROR(CN373/Instructions!$E$27,0)+CO373*Instructions!$E$29+IFERROR((CP373+CR373)/Instructions!$J$32,0)+(CQ373+CS373)*Instructions!$J$34+Tier!CT373*-2</f>
        <v>50.8</v>
      </c>
      <c r="CV373" s="354"/>
      <c r="CW373"/>
      <c r="CX373"/>
      <c r="CY373"/>
      <c r="CZ373"/>
      <c r="DA373"/>
      <c r="DB373"/>
      <c r="DC373"/>
      <c r="DD373"/>
      <c r="DE373"/>
      <c r="DF373"/>
      <c r="DG373"/>
      <c r="DH373"/>
      <c r="DI373"/>
      <c r="DJ373"/>
      <c r="DK373"/>
      <c r="DL373"/>
      <c r="DM373"/>
      <c r="DN373"/>
    </row>
    <row r="374" spans="3:118" s="238" customFormat="1" ht="15.75" customHeight="1" x14ac:dyDescent="0.25">
      <c r="C374"/>
      <c r="D374"/>
      <c r="E374"/>
      <c r="F374"/>
      <c r="G374"/>
      <c r="H374"/>
      <c r="I374"/>
      <c r="J374"/>
      <c r="K374"/>
      <c r="L374"/>
      <c r="M374"/>
      <c r="N374"/>
      <c r="O374" s="366"/>
      <c r="P374" s="366">
        <v>2016</v>
      </c>
      <c r="Q374" s="367">
        <f>LARGE($CB$304:$CB$453,71)</f>
        <v>46.4</v>
      </c>
      <c r="R374" s="357">
        <f t="shared" si="121"/>
        <v>-118.19999999999999</v>
      </c>
      <c r="S374" s="356">
        <f t="shared" si="120"/>
        <v>13971.239999999998</v>
      </c>
      <c r="U374" s="356">
        <f t="shared" si="122"/>
        <v>-7.3874999999999993</v>
      </c>
      <c r="V374" s="238">
        <f t="shared" si="118"/>
        <v>8</v>
      </c>
      <c r="W374" s="354"/>
      <c r="X374" s="371"/>
      <c r="Y374" s="371"/>
      <c r="Z374" s="238">
        <v>2016</v>
      </c>
      <c r="AA374" s="367">
        <f>LARGE($CU$304:$CU$453,71)</f>
        <v>115.8</v>
      </c>
      <c r="AB374" s="357">
        <f t="shared" si="123"/>
        <v>-95.90000000000002</v>
      </c>
      <c r="AC374" s="356">
        <f t="shared" si="117"/>
        <v>9196.8100000000031</v>
      </c>
      <c r="AD374" s="356"/>
      <c r="AE374" s="356">
        <f t="shared" si="124"/>
        <v>-5.9937500000000012</v>
      </c>
      <c r="AF374" s="238">
        <f t="shared" si="119"/>
        <v>8</v>
      </c>
      <c r="AG374" s="354"/>
      <c r="AK374"/>
      <c r="AL374"/>
      <c r="AM374"/>
      <c r="AN374"/>
      <c r="AO374"/>
      <c r="AP374"/>
      <c r="BI374" s="360"/>
      <c r="BJ374" s="354"/>
      <c r="BK374" s="366">
        <v>2016</v>
      </c>
      <c r="BL374" s="365" t="s">
        <v>126</v>
      </c>
      <c r="BM374" s="366" t="s">
        <v>1624</v>
      </c>
      <c r="BN374" s="366" t="s">
        <v>3</v>
      </c>
      <c r="BO374" s="366">
        <v>0</v>
      </c>
      <c r="BP374" s="366">
        <v>0</v>
      </c>
      <c r="BQ374" s="366">
        <v>0</v>
      </c>
      <c r="BR374" s="366">
        <v>145</v>
      </c>
      <c r="BS374" s="366">
        <v>0</v>
      </c>
      <c r="BT374" s="366">
        <v>19</v>
      </c>
      <c r="BU374" s="366">
        <v>134</v>
      </c>
      <c r="BV374" s="366">
        <v>2</v>
      </c>
      <c r="BW374" s="366">
        <v>0</v>
      </c>
      <c r="BX374" s="366">
        <v>0</v>
      </c>
      <c r="BY374" s="366">
        <v>0</v>
      </c>
      <c r="BZ374" s="366">
        <v>0</v>
      </c>
      <c r="CA374" s="366">
        <v>0</v>
      </c>
      <c r="CB374" s="367">
        <f>IFERROR(BO374/Instructions!$J$25,0)+BP374*Instructions!$J$27+BQ374*Instructions!$J$29+IFERROR(BR374/Instructions!$E$34,0)+BS374*Instructions!$E$36+Tier!BT375*Instructions!$E$25+IFERROR(BU374/Instructions!$E$27,0)+BV374*Instructions!$E$29+IFERROR((BW374+BY374)/Instructions!$J$32,0)+(BX374+BZ374)*Instructions!$J$34+Tier!CA374*-2</f>
        <v>56.9</v>
      </c>
      <c r="CC374" s="354"/>
      <c r="CD374" s="238">
        <v>2016</v>
      </c>
      <c r="CE374" s="365" t="s">
        <v>195</v>
      </c>
      <c r="CF374" s="366" t="s">
        <v>1389</v>
      </c>
      <c r="CG374" s="366" t="s">
        <v>6</v>
      </c>
      <c r="CH374" s="366">
        <v>0</v>
      </c>
      <c r="CI374" s="366">
        <v>0</v>
      </c>
      <c r="CJ374" s="366">
        <v>0</v>
      </c>
      <c r="CK374" s="366">
        <v>0</v>
      </c>
      <c r="CL374" s="366">
        <v>0</v>
      </c>
      <c r="CM374" s="366">
        <v>41</v>
      </c>
      <c r="CN374" s="366">
        <v>564</v>
      </c>
      <c r="CO374" s="366">
        <v>3</v>
      </c>
      <c r="CP374" s="366">
        <v>0</v>
      </c>
      <c r="CQ374" s="366">
        <v>0</v>
      </c>
      <c r="CR374" s="366">
        <v>0</v>
      </c>
      <c r="CS374" s="366">
        <v>0</v>
      </c>
      <c r="CT374" s="366">
        <v>0</v>
      </c>
      <c r="CU374" s="367">
        <f>IFERROR(CH374/Instructions!$J$25,0)+CI374*Instructions!$J$27+CJ374*Instructions!$J$29+IFERROR(CK374/Instructions!$E$34,0)+CL374*Instructions!$E$36+Tier!CM374*Instructions!$E$25+IFERROR(CN374/Instructions!$E$27,0)+CO374*Instructions!$E$29+IFERROR((CP374+CR374)/Instructions!$J$32,0)+(CQ374+CS374)*Instructions!$J$34+Tier!CT374*-2</f>
        <v>115.4</v>
      </c>
      <c r="CV374" s="354"/>
      <c r="CW374"/>
      <c r="CX374"/>
      <c r="CY374"/>
      <c r="CZ374"/>
      <c r="DA374"/>
      <c r="DB374"/>
      <c r="DC374"/>
      <c r="DD374"/>
      <c r="DE374"/>
      <c r="DF374"/>
      <c r="DG374"/>
      <c r="DH374"/>
      <c r="DI374"/>
      <c r="DJ374"/>
      <c r="DK374"/>
      <c r="DL374"/>
      <c r="DM374"/>
      <c r="DN374"/>
    </row>
    <row r="375" spans="3:118" s="238" customFormat="1" ht="15.75" customHeight="1" x14ac:dyDescent="0.25">
      <c r="C375"/>
      <c r="D375"/>
      <c r="E375"/>
      <c r="F375"/>
      <c r="G375"/>
      <c r="H375"/>
      <c r="I375"/>
      <c r="J375"/>
      <c r="K375"/>
      <c r="L375"/>
      <c r="M375"/>
      <c r="N375"/>
      <c r="O375" s="366"/>
      <c r="P375" s="366">
        <v>2016</v>
      </c>
      <c r="Q375" s="367">
        <f>LARGE($CB$304:$CB$453,72)</f>
        <v>45.1</v>
      </c>
      <c r="R375" s="357">
        <f t="shared" si="121"/>
        <v>-119.5</v>
      </c>
      <c r="S375" s="356">
        <f t="shared" si="120"/>
        <v>14280.25</v>
      </c>
      <c r="U375" s="356">
        <f t="shared" si="122"/>
        <v>-7.46875</v>
      </c>
      <c r="V375" s="238">
        <f t="shared" si="118"/>
        <v>8</v>
      </c>
      <c r="W375" s="354"/>
      <c r="X375" s="371"/>
      <c r="Y375" s="371"/>
      <c r="Z375" s="238">
        <v>2016</v>
      </c>
      <c r="AA375" s="367">
        <f>LARGE($CU$304:$CU$453,72)</f>
        <v>115.4</v>
      </c>
      <c r="AB375" s="357">
        <f t="shared" si="123"/>
        <v>-96.300000000000011</v>
      </c>
      <c r="AC375" s="356">
        <f t="shared" si="117"/>
        <v>9273.6900000000023</v>
      </c>
      <c r="AD375" s="356"/>
      <c r="AE375" s="356">
        <f t="shared" si="124"/>
        <v>-6.0187500000000007</v>
      </c>
      <c r="AF375" s="238">
        <f t="shared" si="119"/>
        <v>8</v>
      </c>
      <c r="AG375" s="354"/>
      <c r="AK375"/>
      <c r="AL375"/>
      <c r="AM375"/>
      <c r="AN375"/>
      <c r="AO375"/>
      <c r="AP375"/>
      <c r="BI375" s="360"/>
      <c r="BJ375" s="354"/>
      <c r="BK375" s="366">
        <v>2016</v>
      </c>
      <c r="BL375" s="365" t="s">
        <v>1178</v>
      </c>
      <c r="BM375" s="366" t="s">
        <v>1628</v>
      </c>
      <c r="BN375" s="366" t="s">
        <v>3</v>
      </c>
      <c r="BO375" s="366">
        <v>0</v>
      </c>
      <c r="BP375" s="366">
        <v>0</v>
      </c>
      <c r="BQ375" s="366">
        <v>0</v>
      </c>
      <c r="BR375" s="366">
        <v>283</v>
      </c>
      <c r="BS375" s="366">
        <v>0</v>
      </c>
      <c r="BT375" s="366">
        <v>17</v>
      </c>
      <c r="BU375" s="366">
        <v>94</v>
      </c>
      <c r="BV375" s="366">
        <v>0</v>
      </c>
      <c r="BW375" s="366">
        <v>0</v>
      </c>
      <c r="BX375" s="366">
        <v>0</v>
      </c>
      <c r="BY375" s="366">
        <v>35</v>
      </c>
      <c r="BZ375" s="366">
        <v>0</v>
      </c>
      <c r="CA375" s="366">
        <v>0</v>
      </c>
      <c r="CB375" s="367">
        <f>IFERROR(BO375/Instructions!$J$25,0)+BP375*Instructions!$J$27+BQ375*Instructions!$J$29+IFERROR(BR375/Instructions!$E$34,0)+BS375*Instructions!$E$36+Tier!BT376*Instructions!$E$25+IFERROR(BU375/Instructions!$E$27,0)+BV375*Instructions!$E$29+IFERROR((BW375+BY375)/Instructions!$J$32,0)+(BX375+BZ375)*Instructions!$J$34+Tier!CA375*-2</f>
        <v>41.699999999999996</v>
      </c>
      <c r="CC375" s="354"/>
      <c r="CD375" s="238">
        <v>2016</v>
      </c>
      <c r="CE375" s="365" t="s">
        <v>1400</v>
      </c>
      <c r="CF375" s="366" t="s">
        <v>164</v>
      </c>
      <c r="CG375" s="366" t="s">
        <v>6</v>
      </c>
      <c r="CH375" s="366">
        <v>0</v>
      </c>
      <c r="CI375" s="366">
        <v>0</v>
      </c>
      <c r="CJ375" s="366">
        <v>0</v>
      </c>
      <c r="CK375" s="366">
        <v>42</v>
      </c>
      <c r="CL375" s="366">
        <v>0</v>
      </c>
      <c r="CM375" s="366">
        <v>42</v>
      </c>
      <c r="CN375" s="366">
        <v>587</v>
      </c>
      <c r="CO375" s="366">
        <v>2</v>
      </c>
      <c r="CP375" s="366">
        <v>0</v>
      </c>
      <c r="CQ375" s="366">
        <v>0</v>
      </c>
      <c r="CR375" s="366">
        <v>0</v>
      </c>
      <c r="CS375" s="366">
        <v>0</v>
      </c>
      <c r="CT375" s="366">
        <v>1</v>
      </c>
      <c r="CU375" s="367">
        <f>IFERROR(CH375/Instructions!$J$25,0)+CI375*Instructions!$J$27+CJ375*Instructions!$J$29+IFERROR(CK375/Instructions!$E$34,0)+CL375*Instructions!$E$36+Tier!CM375*Instructions!$E$25+IFERROR(CN375/Instructions!$E$27,0)+CO375*Instructions!$E$29+IFERROR((CP375+CR375)/Instructions!$J$32,0)+(CQ375+CS375)*Instructions!$J$34+Tier!CT375*-2</f>
        <v>114.9</v>
      </c>
      <c r="CV375" s="354"/>
      <c r="CW375"/>
      <c r="CX375"/>
      <c r="CY375"/>
      <c r="CZ375"/>
      <c r="DA375"/>
      <c r="DB375"/>
      <c r="DC375"/>
      <c r="DD375"/>
      <c r="DE375"/>
      <c r="DF375"/>
      <c r="DG375"/>
      <c r="DH375"/>
      <c r="DI375"/>
      <c r="DJ375"/>
      <c r="DK375"/>
      <c r="DL375"/>
      <c r="DM375"/>
      <c r="DN375"/>
    </row>
    <row r="376" spans="3:118" s="238" customFormat="1" ht="15.75" customHeight="1" x14ac:dyDescent="0.25">
      <c r="C376"/>
      <c r="D376"/>
      <c r="E376"/>
      <c r="F376"/>
      <c r="G376"/>
      <c r="H376"/>
      <c r="I376"/>
      <c r="J376"/>
      <c r="K376"/>
      <c r="L376"/>
      <c r="M376"/>
      <c r="N376"/>
      <c r="O376" s="366"/>
      <c r="P376" s="366">
        <v>2016</v>
      </c>
      <c r="Q376" s="367">
        <f>LARGE($CB$304:$CB$453,73)</f>
        <v>42.8</v>
      </c>
      <c r="R376" s="357">
        <f t="shared" si="121"/>
        <v>-121.8</v>
      </c>
      <c r="S376" s="356">
        <f t="shared" si="120"/>
        <v>14835.24</v>
      </c>
      <c r="U376" s="356">
        <f t="shared" si="122"/>
        <v>-7.6124999999999998</v>
      </c>
      <c r="V376" s="238">
        <f t="shared" si="118"/>
        <v>8</v>
      </c>
      <c r="W376" s="354"/>
      <c r="X376" s="371"/>
      <c r="Y376" s="371"/>
      <c r="Z376" s="238">
        <v>2016</v>
      </c>
      <c r="AA376" s="367">
        <f>LARGE($CU$304:$CU$453,73)</f>
        <v>114.9</v>
      </c>
      <c r="AB376" s="357">
        <f t="shared" si="123"/>
        <v>-96.800000000000011</v>
      </c>
      <c r="AC376" s="356">
        <f t="shared" si="117"/>
        <v>9370.2400000000016</v>
      </c>
      <c r="AD376" s="356"/>
      <c r="AE376" s="356">
        <f t="shared" si="124"/>
        <v>-6.0500000000000007</v>
      </c>
      <c r="AF376" s="238">
        <f t="shared" si="119"/>
        <v>8</v>
      </c>
      <c r="AG376" s="354"/>
      <c r="AK376"/>
      <c r="AL376"/>
      <c r="AM376"/>
      <c r="AN376"/>
      <c r="AO376"/>
      <c r="AP376"/>
      <c r="BI376" s="360"/>
      <c r="BJ376" s="354"/>
      <c r="BK376" s="366">
        <v>2016</v>
      </c>
      <c r="BL376" s="365" t="s">
        <v>12</v>
      </c>
      <c r="BM376" s="366" t="s">
        <v>1624</v>
      </c>
      <c r="BN376" s="366" t="s">
        <v>3</v>
      </c>
      <c r="BO376" s="366">
        <v>0</v>
      </c>
      <c r="BP376" s="366">
        <v>0</v>
      </c>
      <c r="BQ376" s="366">
        <v>0</v>
      </c>
      <c r="BR376" s="366">
        <v>360</v>
      </c>
      <c r="BS376" s="366">
        <v>0</v>
      </c>
      <c r="BT376" s="366">
        <v>4</v>
      </c>
      <c r="BU376" s="366">
        <v>28</v>
      </c>
      <c r="BV376" s="366">
        <v>0</v>
      </c>
      <c r="BW376" s="366">
        <v>0</v>
      </c>
      <c r="BX376" s="366">
        <v>0</v>
      </c>
      <c r="BY376" s="366">
        <v>0</v>
      </c>
      <c r="BZ376" s="366">
        <v>0</v>
      </c>
      <c r="CA376" s="366">
        <v>0</v>
      </c>
      <c r="CB376" s="367">
        <f>IFERROR(BO376/Instructions!$J$25,0)+BP376*Instructions!$J$27+BQ376*Instructions!$J$29+IFERROR(BR376/Instructions!$E$34,0)+BS376*Instructions!$E$36+Tier!BT377*Instructions!$E$25+IFERROR(BU376/Instructions!$E$27,0)+BV376*Instructions!$E$29+IFERROR((BW376+BY376)/Instructions!$J$32,0)+(BX376+BZ376)*Instructions!$J$34+Tier!CA376*-2</f>
        <v>41.8</v>
      </c>
      <c r="CC376" s="354"/>
      <c r="CD376" s="238">
        <v>2016</v>
      </c>
      <c r="CE376" s="365" t="s">
        <v>206</v>
      </c>
      <c r="CF376" s="366" t="s">
        <v>158</v>
      </c>
      <c r="CG376" s="366" t="s">
        <v>6</v>
      </c>
      <c r="CH376" s="366">
        <v>0</v>
      </c>
      <c r="CI376" s="366">
        <v>0</v>
      </c>
      <c r="CJ376" s="366">
        <v>0</v>
      </c>
      <c r="CK376" s="366">
        <v>-1</v>
      </c>
      <c r="CL376" s="366">
        <v>0</v>
      </c>
      <c r="CM376" s="366">
        <v>30</v>
      </c>
      <c r="CN376" s="366">
        <v>307</v>
      </c>
      <c r="CO376" s="366">
        <v>7</v>
      </c>
      <c r="CP376" s="366">
        <v>0</v>
      </c>
      <c r="CQ376" s="366">
        <v>0</v>
      </c>
      <c r="CR376" s="366">
        <v>0</v>
      </c>
      <c r="CS376" s="366">
        <v>0</v>
      </c>
      <c r="CT376" s="366">
        <v>0</v>
      </c>
      <c r="CU376" s="367">
        <f>IFERROR(CH376/Instructions!$J$25,0)+CI376*Instructions!$J$27+CJ376*Instructions!$J$29+IFERROR(CK376/Instructions!$E$34,0)+CL376*Instructions!$E$36+Tier!CM376*Instructions!$E$25+IFERROR(CN376/Instructions!$E$27,0)+CO376*Instructions!$E$29+IFERROR((CP376+CR376)/Instructions!$J$32,0)+(CQ376+CS376)*Instructions!$J$34+Tier!CT376*-2</f>
        <v>102.6</v>
      </c>
      <c r="CV376" s="354"/>
      <c r="CW376"/>
      <c r="CX376"/>
      <c r="CY376"/>
      <c r="CZ376"/>
      <c r="DA376"/>
      <c r="DB376"/>
      <c r="DC376"/>
      <c r="DD376"/>
      <c r="DE376"/>
      <c r="DF376"/>
      <c r="DG376"/>
      <c r="DH376"/>
      <c r="DI376"/>
      <c r="DJ376"/>
      <c r="DK376"/>
      <c r="DL376"/>
      <c r="DM376"/>
      <c r="DN376"/>
    </row>
    <row r="377" spans="3:118" s="238" customFormat="1" ht="15.75" customHeight="1" x14ac:dyDescent="0.25">
      <c r="C377"/>
      <c r="D377"/>
      <c r="E377"/>
      <c r="F377"/>
      <c r="G377"/>
      <c r="H377"/>
      <c r="I377"/>
      <c r="J377"/>
      <c r="K377"/>
      <c r="L377"/>
      <c r="M377"/>
      <c r="N377"/>
      <c r="O377" s="366"/>
      <c r="P377" s="366">
        <v>2016</v>
      </c>
      <c r="Q377" s="367">
        <f>LARGE($CB$304:$CB$453,74)</f>
        <v>41.8</v>
      </c>
      <c r="R377" s="357">
        <f t="shared" si="121"/>
        <v>-122.8</v>
      </c>
      <c r="S377" s="356">
        <f t="shared" si="120"/>
        <v>15079.84</v>
      </c>
      <c r="U377" s="356">
        <f t="shared" si="122"/>
        <v>-7.6749999999999998</v>
      </c>
      <c r="V377" s="238">
        <f t="shared" si="118"/>
        <v>8</v>
      </c>
      <c r="W377" s="354"/>
      <c r="X377" s="366"/>
      <c r="Y377" s="366"/>
      <c r="Z377" s="238">
        <v>2016</v>
      </c>
      <c r="AA377" s="367">
        <f>LARGE($CU$304:$CU$453,74)</f>
        <v>109.5</v>
      </c>
      <c r="AB377" s="357">
        <f t="shared" si="123"/>
        <v>-102.20000000000002</v>
      </c>
      <c r="AC377" s="356">
        <f t="shared" si="117"/>
        <v>10444.840000000004</v>
      </c>
      <c r="AE377" s="356">
        <f t="shared" si="124"/>
        <v>-6.3875000000000011</v>
      </c>
      <c r="AF377" s="238">
        <f t="shared" si="119"/>
        <v>8</v>
      </c>
      <c r="AG377" s="354"/>
      <c r="AK377"/>
      <c r="AL377"/>
      <c r="AM377"/>
      <c r="AN377"/>
      <c r="AO377"/>
      <c r="AP377"/>
      <c r="BI377" s="360"/>
      <c r="BJ377" s="354"/>
      <c r="BK377" s="366">
        <v>2016</v>
      </c>
      <c r="BL377" s="365" t="s">
        <v>52</v>
      </c>
      <c r="BM377" s="366" t="s">
        <v>146</v>
      </c>
      <c r="BN377" s="366" t="s">
        <v>3</v>
      </c>
      <c r="BO377" s="366">
        <v>0</v>
      </c>
      <c r="BP377" s="366">
        <v>0</v>
      </c>
      <c r="BQ377" s="366">
        <v>0</v>
      </c>
      <c r="BR377" s="366">
        <v>243</v>
      </c>
      <c r="BS377" s="366">
        <v>2</v>
      </c>
      <c r="BT377" s="366">
        <v>3</v>
      </c>
      <c r="BU377" s="366">
        <v>11</v>
      </c>
      <c r="BV377" s="366">
        <v>0</v>
      </c>
      <c r="BW377" s="366">
        <v>0</v>
      </c>
      <c r="BX377" s="366">
        <v>0</v>
      </c>
      <c r="BY377" s="366">
        <v>12</v>
      </c>
      <c r="BZ377" s="366">
        <v>0</v>
      </c>
      <c r="CA377" s="366">
        <v>0</v>
      </c>
      <c r="CB377" s="367">
        <f>IFERROR(BO377/Instructions!$J$25,0)+BP377*Instructions!$J$27+BQ377*Instructions!$J$29+IFERROR(BR377/Instructions!$E$34,0)+BS377*Instructions!$E$36+Tier!BT378*Instructions!$E$25+IFERROR(BU377/Instructions!$E$27,0)+BV377*Instructions!$E$29+IFERROR((BW377+BY377)/Instructions!$J$32,0)+(BX377+BZ377)*Instructions!$J$34+Tier!CA377*-2</f>
        <v>46.4</v>
      </c>
      <c r="CC377" s="354"/>
      <c r="CD377" s="238">
        <v>2016</v>
      </c>
      <c r="CE377" s="365" t="s">
        <v>1198</v>
      </c>
      <c r="CF377" s="366" t="s">
        <v>145</v>
      </c>
      <c r="CG377" s="366" t="s">
        <v>6</v>
      </c>
      <c r="CH377" s="366">
        <v>0</v>
      </c>
      <c r="CI377" s="366">
        <v>0</v>
      </c>
      <c r="CJ377" s="366">
        <v>0</v>
      </c>
      <c r="CK377" s="366">
        <v>58</v>
      </c>
      <c r="CL377" s="366">
        <v>0</v>
      </c>
      <c r="CM377" s="366">
        <v>54</v>
      </c>
      <c r="CN377" s="366">
        <v>603</v>
      </c>
      <c r="CO377" s="366">
        <v>1</v>
      </c>
      <c r="CP377" s="366">
        <v>0</v>
      </c>
      <c r="CQ377" s="366">
        <v>0</v>
      </c>
      <c r="CR377" s="366">
        <v>0</v>
      </c>
      <c r="CS377" s="366">
        <v>0</v>
      </c>
      <c r="CT377" s="366">
        <v>1</v>
      </c>
      <c r="CU377" s="367">
        <f>IFERROR(CH377/Instructions!$J$25,0)+CI377*Instructions!$J$27+CJ377*Instructions!$J$29+IFERROR(CK377/Instructions!$E$34,0)+CL377*Instructions!$E$36+Tier!CM377*Instructions!$E$25+IFERROR(CN377/Instructions!$E$27,0)+CO377*Instructions!$E$29+IFERROR((CP377+CR377)/Instructions!$J$32,0)+(CQ377+CS377)*Instructions!$J$34+Tier!CT377*-2</f>
        <v>124.1</v>
      </c>
      <c r="CV377" s="354"/>
      <c r="CW377"/>
      <c r="CX377"/>
      <c r="CY377"/>
      <c r="CZ377"/>
      <c r="DA377"/>
      <c r="DB377"/>
      <c r="DC377"/>
      <c r="DD377"/>
      <c r="DE377"/>
      <c r="DF377"/>
      <c r="DG377"/>
      <c r="DH377"/>
      <c r="DI377"/>
      <c r="DJ377"/>
      <c r="DK377"/>
      <c r="DL377"/>
      <c r="DM377"/>
      <c r="DN377"/>
    </row>
    <row r="378" spans="3:118" s="238" customFormat="1" ht="15.75" customHeight="1" x14ac:dyDescent="0.25">
      <c r="C378"/>
      <c r="D378"/>
      <c r="E378"/>
      <c r="F378"/>
      <c r="G378"/>
      <c r="H378"/>
      <c r="I378"/>
      <c r="J378"/>
      <c r="K378"/>
      <c r="L378"/>
      <c r="M378"/>
      <c r="N378"/>
      <c r="O378" s="366"/>
      <c r="P378" s="366">
        <v>2016</v>
      </c>
      <c r="Q378" s="367">
        <f>LARGE($CB$304:$CB$453,75)</f>
        <v>41.699999999999996</v>
      </c>
      <c r="R378" s="357">
        <f t="shared" si="121"/>
        <v>-122.9</v>
      </c>
      <c r="S378" s="356">
        <f t="shared" si="120"/>
        <v>15104.410000000002</v>
      </c>
      <c r="U378" s="356">
        <f t="shared" si="122"/>
        <v>-7.6812500000000004</v>
      </c>
      <c r="V378" s="238">
        <f t="shared" si="118"/>
        <v>8</v>
      </c>
      <c r="W378" s="354"/>
      <c r="X378" s="366"/>
      <c r="Y378" s="366"/>
      <c r="Z378" s="238">
        <v>2016</v>
      </c>
      <c r="AA378" s="367">
        <f>LARGE($CU$304:$CU$453,75)</f>
        <v>107.7</v>
      </c>
      <c r="AB378" s="357">
        <f t="shared" si="123"/>
        <v>-104.00000000000001</v>
      </c>
      <c r="AC378" s="356">
        <f t="shared" si="117"/>
        <v>10816.000000000004</v>
      </c>
      <c r="AE378" s="356">
        <f t="shared" si="124"/>
        <v>-6.5000000000000009</v>
      </c>
      <c r="AF378" s="238">
        <f t="shared" si="119"/>
        <v>8</v>
      </c>
      <c r="AG378" s="354"/>
      <c r="AK378"/>
      <c r="AL378"/>
      <c r="AM378"/>
      <c r="AN378"/>
      <c r="AO378"/>
      <c r="AP378"/>
      <c r="BI378" s="360"/>
      <c r="BJ378" s="354"/>
      <c r="BK378" s="366">
        <v>2016</v>
      </c>
      <c r="BL378" s="365" t="s">
        <v>1289</v>
      </c>
      <c r="BM378" s="366" t="s">
        <v>1624</v>
      </c>
      <c r="BN378" s="366" t="s">
        <v>3</v>
      </c>
      <c r="BO378" s="366">
        <v>0</v>
      </c>
      <c r="BP378" s="366">
        <v>0</v>
      </c>
      <c r="BQ378" s="366">
        <v>0</v>
      </c>
      <c r="BR378" s="366">
        <v>150</v>
      </c>
      <c r="BS378" s="366">
        <v>2</v>
      </c>
      <c r="BT378" s="366">
        <v>9</v>
      </c>
      <c r="BU378" s="366">
        <v>46</v>
      </c>
      <c r="BV378" s="366">
        <v>1</v>
      </c>
      <c r="BW378" s="366">
        <v>0</v>
      </c>
      <c r="BX378" s="366">
        <v>0</v>
      </c>
      <c r="BY378" s="366">
        <v>0</v>
      </c>
      <c r="BZ378" s="366">
        <v>0</v>
      </c>
      <c r="CA378" s="366">
        <v>0</v>
      </c>
      <c r="CB378" s="367">
        <f>IFERROR(BO378/Instructions!$J$25,0)+BP378*Instructions!$J$27+BQ378*Instructions!$J$29+IFERROR(BR378/Instructions!$E$34,0)+BS378*Instructions!$E$36+Tier!BT379*Instructions!$E$25+IFERROR(BU378/Instructions!$E$27,0)+BV378*Instructions!$E$29+IFERROR((BW378+BY378)/Instructions!$J$32,0)+(BX378+BZ378)*Instructions!$J$34+Tier!CA378*-2</f>
        <v>74.599999999999994</v>
      </c>
      <c r="CC378" s="354"/>
      <c r="CD378" s="238">
        <v>2016</v>
      </c>
      <c r="CE378" s="365" t="s">
        <v>202</v>
      </c>
      <c r="CF378" s="366" t="s">
        <v>153</v>
      </c>
      <c r="CG378" s="366" t="s">
        <v>6</v>
      </c>
      <c r="CH378" s="366">
        <v>0</v>
      </c>
      <c r="CI378" s="366">
        <v>0</v>
      </c>
      <c r="CJ378" s="366">
        <v>0</v>
      </c>
      <c r="CK378" s="366">
        <v>10</v>
      </c>
      <c r="CL378" s="366">
        <v>0</v>
      </c>
      <c r="CM378" s="366">
        <v>39</v>
      </c>
      <c r="CN378" s="366">
        <v>517</v>
      </c>
      <c r="CO378" s="366">
        <v>2</v>
      </c>
      <c r="CP378" s="366">
        <v>119</v>
      </c>
      <c r="CQ378" s="366">
        <v>0</v>
      </c>
      <c r="CR378" s="366">
        <v>51</v>
      </c>
      <c r="CS378" s="366">
        <v>0</v>
      </c>
      <c r="CT378" s="366">
        <v>0</v>
      </c>
      <c r="CU378" s="367">
        <f>IFERROR(CH378/Instructions!$J$25,0)+CI378*Instructions!$J$27+CJ378*Instructions!$J$29+IFERROR(CK378/Instructions!$E$34,0)+CL378*Instructions!$E$36+Tier!CM378*Instructions!$E$25+IFERROR(CN378/Instructions!$E$27,0)+CO378*Instructions!$E$29+IFERROR((CP378+CR378)/Instructions!$J$32,0)+(CQ378+CS378)*Instructions!$J$34+Tier!CT378*-2</f>
        <v>103.7</v>
      </c>
      <c r="CV378" s="354"/>
      <c r="CW378"/>
      <c r="CX378"/>
      <c r="CY378"/>
      <c r="CZ378"/>
      <c r="DA378"/>
      <c r="DB378"/>
      <c r="DC378"/>
      <c r="DD378"/>
      <c r="DE378"/>
      <c r="DF378"/>
      <c r="DG378"/>
      <c r="DH378"/>
      <c r="DI378"/>
      <c r="DJ378"/>
      <c r="DK378"/>
      <c r="DL378"/>
      <c r="DM378"/>
      <c r="DN378"/>
    </row>
    <row r="379" spans="3:118" s="238" customFormat="1" ht="15.75" customHeight="1" x14ac:dyDescent="0.25">
      <c r="C379"/>
      <c r="D379"/>
      <c r="E379"/>
      <c r="F379"/>
      <c r="G379"/>
      <c r="H379"/>
      <c r="I379"/>
      <c r="J379"/>
      <c r="K379"/>
      <c r="L379"/>
      <c r="M379"/>
      <c r="N379"/>
      <c r="O379" s="366"/>
      <c r="P379" s="366">
        <v>2016</v>
      </c>
      <c r="Q379" s="367">
        <f>LARGE($CB$304:$CB$453,76)</f>
        <v>40.5</v>
      </c>
      <c r="R379" s="357">
        <f t="shared" si="121"/>
        <v>-124.1</v>
      </c>
      <c r="S379" s="356">
        <f t="shared" si="120"/>
        <v>15400.81</v>
      </c>
      <c r="U379" s="356">
        <f t="shared" si="122"/>
        <v>-7.7562499999999996</v>
      </c>
      <c r="V379" s="238">
        <f t="shared" si="118"/>
        <v>8</v>
      </c>
      <c r="W379" s="354"/>
      <c r="X379" s="366"/>
      <c r="Y379" s="366"/>
      <c r="Z379" s="238">
        <v>2016</v>
      </c>
      <c r="AA379" s="367">
        <f>LARGE($CU$304:$CU$453,76)</f>
        <v>105.30000000000001</v>
      </c>
      <c r="AB379" s="357">
        <f t="shared" si="123"/>
        <v>-106.4</v>
      </c>
      <c r="AC379" s="356">
        <f t="shared" si="117"/>
        <v>11320.960000000001</v>
      </c>
      <c r="AE379" s="356">
        <f t="shared" si="124"/>
        <v>-6.65</v>
      </c>
      <c r="AF379" s="238">
        <f t="shared" si="119"/>
        <v>8</v>
      </c>
      <c r="AG379" s="354"/>
      <c r="AK379"/>
      <c r="AL379"/>
      <c r="AM379"/>
      <c r="AN379"/>
      <c r="AO379"/>
      <c r="AP379"/>
      <c r="BI379" s="360"/>
      <c r="BJ379" s="354"/>
      <c r="BK379" s="366">
        <v>2016</v>
      </c>
      <c r="BL379" s="365" t="s">
        <v>991</v>
      </c>
      <c r="BM379" s="366" t="s">
        <v>162</v>
      </c>
      <c r="BN379" s="366" t="s">
        <v>3</v>
      </c>
      <c r="BO379" s="366">
        <v>0</v>
      </c>
      <c r="BP379" s="366">
        <v>0</v>
      </c>
      <c r="BQ379" s="366">
        <v>0</v>
      </c>
      <c r="BR379" s="366">
        <v>22</v>
      </c>
      <c r="BS379" s="366">
        <v>1</v>
      </c>
      <c r="BT379" s="366">
        <v>37</v>
      </c>
      <c r="BU379" s="366">
        <v>266</v>
      </c>
      <c r="BV379" s="366">
        <v>0</v>
      </c>
      <c r="BW379" s="366">
        <v>0</v>
      </c>
      <c r="BX379" s="366">
        <v>0</v>
      </c>
      <c r="BY379" s="366">
        <v>0</v>
      </c>
      <c r="BZ379" s="366">
        <v>0</v>
      </c>
      <c r="CA379" s="366">
        <v>0</v>
      </c>
      <c r="CB379" s="367">
        <f>IFERROR(BO379/Instructions!$J$25,0)+BP379*Instructions!$J$27+BQ379*Instructions!$J$29+IFERROR(BR379/Instructions!$E$34,0)+BS379*Instructions!$E$36+Tier!BT380*Instructions!$E$25+IFERROR(BU379/Instructions!$E$27,0)+BV379*Instructions!$E$29+IFERROR((BW379+BY379)/Instructions!$J$32,0)+(BX379+BZ379)*Instructions!$J$34+Tier!CA379*-2</f>
        <v>42.8</v>
      </c>
      <c r="CC379" s="354"/>
      <c r="CD379" s="238">
        <v>2016</v>
      </c>
      <c r="CE379" s="365" t="s">
        <v>1207</v>
      </c>
      <c r="CF379" s="366" t="s">
        <v>167</v>
      </c>
      <c r="CG379" s="366" t="s">
        <v>6</v>
      </c>
      <c r="CH379" s="366">
        <v>0</v>
      </c>
      <c r="CI379" s="366">
        <v>0</v>
      </c>
      <c r="CJ379" s="366">
        <v>0</v>
      </c>
      <c r="CK379" s="366">
        <v>0</v>
      </c>
      <c r="CL379" s="366">
        <v>0</v>
      </c>
      <c r="CM379" s="366">
        <v>38</v>
      </c>
      <c r="CN379" s="366">
        <v>397</v>
      </c>
      <c r="CO379" s="366">
        <v>5</v>
      </c>
      <c r="CP379" s="366">
        <v>0</v>
      </c>
      <c r="CQ379" s="366">
        <v>0</v>
      </c>
      <c r="CR379" s="366">
        <v>0</v>
      </c>
      <c r="CS379" s="366">
        <v>0</v>
      </c>
      <c r="CT379" s="366">
        <v>0</v>
      </c>
      <c r="CU379" s="367">
        <f>IFERROR(CH379/Instructions!$J$25,0)+CI379*Instructions!$J$27+CJ379*Instructions!$J$29+IFERROR(CK379/Instructions!$E$34,0)+CL379*Instructions!$E$36+Tier!CM379*Instructions!$E$25+IFERROR(CN379/Instructions!$E$27,0)+CO379*Instructions!$E$29+IFERROR((CP379+CR379)/Instructions!$J$32,0)+(CQ379+CS379)*Instructions!$J$34+Tier!CT379*-2</f>
        <v>107.7</v>
      </c>
      <c r="CV379" s="354"/>
      <c r="CW379"/>
      <c r="CX379"/>
      <c r="CY379"/>
      <c r="CZ379"/>
      <c r="DA379"/>
      <c r="DB379"/>
      <c r="DC379"/>
      <c r="DD379"/>
      <c r="DE379"/>
      <c r="DF379"/>
      <c r="DG379"/>
      <c r="DH379"/>
      <c r="DI379"/>
      <c r="DJ379"/>
      <c r="DK379"/>
      <c r="DL379"/>
      <c r="DM379"/>
      <c r="DN379"/>
    </row>
    <row r="380" spans="3:118" s="238" customFormat="1" ht="15.75" customHeight="1" x14ac:dyDescent="0.25">
      <c r="C380"/>
      <c r="D380"/>
      <c r="E380"/>
      <c r="F380"/>
      <c r="G380"/>
      <c r="H380"/>
      <c r="I380"/>
      <c r="J380"/>
      <c r="K380"/>
      <c r="L380"/>
      <c r="M380"/>
      <c r="N380"/>
      <c r="O380" s="366"/>
      <c r="P380" s="366">
        <v>2016</v>
      </c>
      <c r="Q380" s="367">
        <f>LARGE($CB$304:$CB$453,77)</f>
        <v>40.300000000000004</v>
      </c>
      <c r="R380" s="357">
        <f t="shared" si="121"/>
        <v>-124.29999999999998</v>
      </c>
      <c r="S380" s="356">
        <f t="shared" si="120"/>
        <v>15450.489999999996</v>
      </c>
      <c r="U380" s="356">
        <f t="shared" si="122"/>
        <v>-7.7687499999999989</v>
      </c>
      <c r="V380" s="238">
        <f t="shared" si="118"/>
        <v>8</v>
      </c>
      <c r="W380" s="354"/>
      <c r="X380" s="366"/>
      <c r="Y380" s="366"/>
      <c r="Z380" s="238">
        <v>2016</v>
      </c>
      <c r="AA380" s="367">
        <f>LARGE($CU$304:$CU$453,77)</f>
        <v>103.7</v>
      </c>
      <c r="AB380" s="357">
        <f t="shared" si="123"/>
        <v>-108.00000000000001</v>
      </c>
      <c r="AC380" s="356">
        <f t="shared" si="117"/>
        <v>11664.000000000004</v>
      </c>
      <c r="AE380" s="356">
        <f t="shared" si="124"/>
        <v>-6.7500000000000009</v>
      </c>
      <c r="AF380" s="238">
        <f t="shared" si="119"/>
        <v>8</v>
      </c>
      <c r="AG380" s="354"/>
      <c r="AK380"/>
      <c r="AL380"/>
      <c r="AM380"/>
      <c r="AN380"/>
      <c r="AO380"/>
      <c r="AP380"/>
      <c r="BI380" s="360"/>
      <c r="BJ380" s="354"/>
      <c r="BK380" s="366">
        <v>2016</v>
      </c>
      <c r="BL380" s="365" t="s">
        <v>1303</v>
      </c>
      <c r="BM380" s="366" t="s">
        <v>1630</v>
      </c>
      <c r="BN380" s="366" t="s">
        <v>3</v>
      </c>
      <c r="BO380" s="366">
        <v>0</v>
      </c>
      <c r="BP380" s="366">
        <v>0</v>
      </c>
      <c r="BQ380" s="366">
        <v>0</v>
      </c>
      <c r="BR380" s="366">
        <v>138</v>
      </c>
      <c r="BS380" s="366">
        <v>0</v>
      </c>
      <c r="BT380" s="366">
        <v>8</v>
      </c>
      <c r="BU380" s="366">
        <v>115</v>
      </c>
      <c r="BV380" s="366">
        <v>1</v>
      </c>
      <c r="BW380" s="366">
        <v>0</v>
      </c>
      <c r="BX380" s="366">
        <v>0</v>
      </c>
      <c r="BY380" s="366">
        <v>18</v>
      </c>
      <c r="BZ380" s="366">
        <v>0</v>
      </c>
      <c r="CA380" s="366">
        <v>2</v>
      </c>
      <c r="CB380" s="367">
        <f>IFERROR(BO380/Instructions!$J$25,0)+BP380*Instructions!$J$27+BQ380*Instructions!$J$29+IFERROR(BR380/Instructions!$E$34,0)+BS380*Instructions!$E$36+Tier!BT381*Instructions!$E$25+IFERROR(BU380/Instructions!$E$27,0)+BV380*Instructions!$E$29+IFERROR((BW380+BY380)/Instructions!$J$32,0)+(BX380+BZ380)*Instructions!$J$34+Tier!CA380*-2</f>
        <v>32.299999999999997</v>
      </c>
      <c r="CC380" s="354"/>
      <c r="CD380" s="238">
        <v>2016</v>
      </c>
      <c r="CE380" s="365" t="s">
        <v>1259</v>
      </c>
      <c r="CF380" s="366" t="s">
        <v>141</v>
      </c>
      <c r="CG380" s="366" t="s">
        <v>6</v>
      </c>
      <c r="CH380" s="366">
        <v>0</v>
      </c>
      <c r="CI380" s="366">
        <v>0</v>
      </c>
      <c r="CJ380" s="366">
        <v>0</v>
      </c>
      <c r="CK380" s="366">
        <v>0</v>
      </c>
      <c r="CL380" s="366">
        <v>0</v>
      </c>
      <c r="CM380" s="366">
        <v>22</v>
      </c>
      <c r="CN380" s="366">
        <v>249</v>
      </c>
      <c r="CO380" s="366">
        <v>2</v>
      </c>
      <c r="CP380" s="366">
        <v>0</v>
      </c>
      <c r="CQ380" s="366">
        <v>0</v>
      </c>
      <c r="CR380" s="366">
        <v>804</v>
      </c>
      <c r="CS380" s="366">
        <v>0</v>
      </c>
      <c r="CT380" s="366">
        <v>0</v>
      </c>
      <c r="CU380" s="367">
        <f>IFERROR(CH380/Instructions!$J$25,0)+CI380*Instructions!$J$27+CJ380*Instructions!$J$29+IFERROR(CK380/Instructions!$E$34,0)+CL380*Instructions!$E$36+Tier!CM380*Instructions!$E$25+IFERROR(CN380/Instructions!$E$27,0)+CO380*Instructions!$E$29+IFERROR((CP380+CR380)/Instructions!$J$32,0)+(CQ380+CS380)*Instructions!$J$34+Tier!CT380*-2</f>
        <v>58.9</v>
      </c>
      <c r="CV380" s="354"/>
      <c r="CW380"/>
      <c r="CX380"/>
      <c r="CY380"/>
      <c r="CZ380"/>
      <c r="DA380"/>
      <c r="DB380"/>
      <c r="DC380"/>
      <c r="DD380"/>
      <c r="DE380"/>
      <c r="DF380"/>
      <c r="DG380"/>
      <c r="DH380"/>
      <c r="DI380"/>
      <c r="DJ380"/>
      <c r="DK380"/>
      <c r="DL380"/>
      <c r="DM380"/>
      <c r="DN380"/>
    </row>
    <row r="381" spans="3:118" s="238" customFormat="1" ht="15.75" customHeight="1" x14ac:dyDescent="0.25">
      <c r="C381"/>
      <c r="D381"/>
      <c r="E381"/>
      <c r="F381"/>
      <c r="G381"/>
      <c r="H381"/>
      <c r="I381"/>
      <c r="J381"/>
      <c r="K381"/>
      <c r="L381"/>
      <c r="M381"/>
      <c r="N381"/>
      <c r="O381" s="366"/>
      <c r="P381" s="366">
        <v>2016</v>
      </c>
      <c r="Q381" s="367">
        <f>LARGE($CB$304:$CB$453,78)</f>
        <v>37.4</v>
      </c>
      <c r="R381" s="357">
        <f t="shared" si="121"/>
        <v>-127.19999999999999</v>
      </c>
      <c r="S381" s="356">
        <f t="shared" si="120"/>
        <v>16179.839999999997</v>
      </c>
      <c r="U381" s="356">
        <f t="shared" si="122"/>
        <v>-7.9499999999999993</v>
      </c>
      <c r="V381" s="238">
        <f t="shared" si="118"/>
        <v>8</v>
      </c>
      <c r="W381" s="354"/>
      <c r="X381" s="366"/>
      <c r="Y381" s="366"/>
      <c r="Z381" s="238">
        <v>2016</v>
      </c>
      <c r="AA381" s="367">
        <f>LARGE($CU$304:$CU$453,78)</f>
        <v>102.6</v>
      </c>
      <c r="AB381" s="357">
        <f t="shared" si="123"/>
        <v>-109.10000000000002</v>
      </c>
      <c r="AC381" s="356">
        <f t="shared" si="117"/>
        <v>11902.810000000005</v>
      </c>
      <c r="AE381" s="356">
        <f t="shared" si="124"/>
        <v>-6.8187500000000014</v>
      </c>
      <c r="AF381" s="238">
        <f t="shared" si="119"/>
        <v>8</v>
      </c>
      <c r="AG381" s="354"/>
      <c r="AK381"/>
      <c r="AL381"/>
      <c r="AM381"/>
      <c r="AN381"/>
      <c r="AO381"/>
      <c r="AP381"/>
      <c r="BI381" s="360"/>
      <c r="BJ381" s="354"/>
      <c r="BK381" s="366">
        <v>2016</v>
      </c>
      <c r="BL381" s="365" t="s">
        <v>1310</v>
      </c>
      <c r="BM381" s="366" t="s">
        <v>1627</v>
      </c>
      <c r="BN381" s="366" t="s">
        <v>3</v>
      </c>
      <c r="BO381" s="366">
        <v>0</v>
      </c>
      <c r="BP381" s="366">
        <v>0</v>
      </c>
      <c r="BQ381" s="366">
        <v>0</v>
      </c>
      <c r="BR381" s="366">
        <v>223</v>
      </c>
      <c r="BS381" s="366">
        <v>1</v>
      </c>
      <c r="BT381" s="366">
        <v>5</v>
      </c>
      <c r="BU381" s="366">
        <v>28</v>
      </c>
      <c r="BV381" s="366">
        <v>0</v>
      </c>
      <c r="BW381" s="366">
        <v>0</v>
      </c>
      <c r="BX381" s="366">
        <v>0</v>
      </c>
      <c r="BY381" s="366">
        <v>0</v>
      </c>
      <c r="BZ381" s="366">
        <v>0</v>
      </c>
      <c r="CA381" s="366">
        <v>0</v>
      </c>
      <c r="CB381" s="367">
        <f>IFERROR(BO381/Instructions!$J$25,0)+BP381*Instructions!$J$27+BQ381*Instructions!$J$29+IFERROR(BR381/Instructions!$E$34,0)+BS381*Instructions!$E$36+Tier!BT382*Instructions!$E$25+IFERROR(BU381/Instructions!$E$27,0)+BV381*Instructions!$E$29+IFERROR((BW381+BY381)/Instructions!$J$32,0)+(BX381+BZ381)*Instructions!$J$34+Tier!CA381*-2</f>
        <v>31.1</v>
      </c>
      <c r="CC381" s="354"/>
      <c r="CD381" s="238">
        <v>2016</v>
      </c>
      <c r="CE381" s="365" t="s">
        <v>1104</v>
      </c>
      <c r="CF381" s="366" t="s">
        <v>162</v>
      </c>
      <c r="CG381" s="366" t="s">
        <v>6</v>
      </c>
      <c r="CH381" s="366">
        <v>0</v>
      </c>
      <c r="CI381" s="366">
        <v>0</v>
      </c>
      <c r="CJ381" s="366">
        <v>0</v>
      </c>
      <c r="CK381" s="366">
        <v>2</v>
      </c>
      <c r="CL381" s="366">
        <v>0</v>
      </c>
      <c r="CM381" s="366">
        <v>33</v>
      </c>
      <c r="CN381" s="366">
        <v>499</v>
      </c>
      <c r="CO381" s="366">
        <v>3</v>
      </c>
      <c r="CP381" s="366">
        <v>0</v>
      </c>
      <c r="CQ381" s="366">
        <v>0</v>
      </c>
      <c r="CR381" s="366">
        <v>0</v>
      </c>
      <c r="CS381" s="366">
        <v>0</v>
      </c>
      <c r="CT381" s="366">
        <v>0</v>
      </c>
      <c r="CU381" s="367">
        <f>IFERROR(CH381/Instructions!$J$25,0)+CI381*Instructions!$J$27+CJ381*Instructions!$J$29+IFERROR(CK381/Instructions!$E$34,0)+CL381*Instructions!$E$36+Tier!CM381*Instructions!$E$25+IFERROR(CN381/Instructions!$E$27,0)+CO381*Instructions!$E$29+IFERROR((CP381+CR381)/Instructions!$J$32,0)+(CQ381+CS381)*Instructions!$J$34+Tier!CT381*-2</f>
        <v>101.1</v>
      </c>
      <c r="CV381" s="354"/>
      <c r="CW381"/>
      <c r="CX381"/>
      <c r="CY381"/>
      <c r="CZ381"/>
      <c r="DA381"/>
      <c r="DB381"/>
      <c r="DC381"/>
      <c r="DD381"/>
      <c r="DE381"/>
      <c r="DF381"/>
      <c r="DG381"/>
      <c r="DH381"/>
      <c r="DI381"/>
      <c r="DJ381"/>
      <c r="DK381"/>
      <c r="DL381"/>
      <c r="DM381"/>
      <c r="DN381"/>
    </row>
    <row r="382" spans="3:118" s="238" customFormat="1" ht="15.75" customHeight="1" x14ac:dyDescent="0.25">
      <c r="C382"/>
      <c r="D382"/>
      <c r="E382"/>
      <c r="F382"/>
      <c r="G382"/>
      <c r="H382"/>
      <c r="I382"/>
      <c r="J382"/>
      <c r="K382"/>
      <c r="L382"/>
      <c r="M382"/>
      <c r="N382"/>
      <c r="O382" s="366"/>
      <c r="P382" s="366">
        <v>2016</v>
      </c>
      <c r="Q382" s="367">
        <f>LARGE($CB$304:$CB$453,79)</f>
        <v>36.9</v>
      </c>
      <c r="R382" s="357">
        <f t="shared" si="121"/>
        <v>-127.69999999999999</v>
      </c>
      <c r="S382" s="356">
        <f t="shared" si="120"/>
        <v>16307.289999999997</v>
      </c>
      <c r="U382" s="356">
        <f t="shared" si="122"/>
        <v>-7.9812499999999993</v>
      </c>
      <c r="V382" s="238">
        <f t="shared" si="118"/>
        <v>8</v>
      </c>
      <c r="W382" s="354"/>
      <c r="X382" s="366"/>
      <c r="Y382" s="366"/>
      <c r="Z382" s="238">
        <v>2016</v>
      </c>
      <c r="AA382" s="367">
        <f>LARGE($CU$304:$CU$453,79)</f>
        <v>101.6</v>
      </c>
      <c r="AB382" s="357">
        <f t="shared" si="123"/>
        <v>-110.10000000000002</v>
      </c>
      <c r="AC382" s="356">
        <f t="shared" si="117"/>
        <v>12122.010000000006</v>
      </c>
      <c r="AE382" s="356">
        <f t="shared" si="124"/>
        <v>-6.8812500000000014</v>
      </c>
      <c r="AF382" s="238">
        <f t="shared" si="119"/>
        <v>8</v>
      </c>
      <c r="AG382" s="354"/>
      <c r="AK382"/>
      <c r="AL382"/>
      <c r="AM382"/>
      <c r="AN382"/>
      <c r="AO382"/>
      <c r="AP382"/>
      <c r="BI382" s="360"/>
      <c r="BJ382" s="354"/>
      <c r="BK382" s="366">
        <v>2016</v>
      </c>
      <c r="BL382" s="365" t="s">
        <v>977</v>
      </c>
      <c r="BM382" s="366" t="s">
        <v>158</v>
      </c>
      <c r="BN382" s="366" t="s">
        <v>3</v>
      </c>
      <c r="BO382" s="366">
        <v>0</v>
      </c>
      <c r="BP382" s="366">
        <v>0</v>
      </c>
      <c r="BQ382" s="366">
        <v>0</v>
      </c>
      <c r="BR382" s="366">
        <v>59</v>
      </c>
      <c r="BS382" s="366">
        <v>0</v>
      </c>
      <c r="BT382" s="366">
        <v>0</v>
      </c>
      <c r="BU382" s="366">
        <v>0</v>
      </c>
      <c r="BV382" s="366">
        <v>0</v>
      </c>
      <c r="BW382" s="366">
        <v>0</v>
      </c>
      <c r="BX382" s="366">
        <v>0</v>
      </c>
      <c r="BY382" s="366">
        <v>478</v>
      </c>
      <c r="BZ382" s="366">
        <v>1</v>
      </c>
      <c r="CA382" s="366">
        <v>0</v>
      </c>
      <c r="CB382" s="367">
        <f>IFERROR(BO382/Instructions!$J$25,0)+BP382*Instructions!$J$27+BQ382*Instructions!$J$29+IFERROR(BR382/Instructions!$E$34,0)+BS382*Instructions!$E$36+Tier!BT383*Instructions!$E$25+IFERROR(BU382/Instructions!$E$27,0)+BV382*Instructions!$E$29+IFERROR((BW382+BY382)/Instructions!$J$32,0)+(BX382+BZ382)*Instructions!$J$34+Tier!CA382*-2</f>
        <v>22.9</v>
      </c>
      <c r="CC382" s="354"/>
      <c r="CD382" s="238">
        <v>2016</v>
      </c>
      <c r="CE382" s="365" t="s">
        <v>130</v>
      </c>
      <c r="CF382" s="366" t="s">
        <v>156</v>
      </c>
      <c r="CG382" s="366" t="s">
        <v>6</v>
      </c>
      <c r="CH382" s="366">
        <v>0</v>
      </c>
      <c r="CI382" s="366">
        <v>0</v>
      </c>
      <c r="CJ382" s="366">
        <v>0</v>
      </c>
      <c r="CK382" s="366">
        <v>6</v>
      </c>
      <c r="CL382" s="366">
        <v>0</v>
      </c>
      <c r="CM382" s="366">
        <v>51</v>
      </c>
      <c r="CN382" s="366">
        <v>613</v>
      </c>
      <c r="CO382" s="366">
        <v>1</v>
      </c>
      <c r="CP382" s="366">
        <v>0</v>
      </c>
      <c r="CQ382" s="366">
        <v>0</v>
      </c>
      <c r="CR382" s="366">
        <v>0</v>
      </c>
      <c r="CS382" s="366">
        <v>0</v>
      </c>
      <c r="CT382" s="366">
        <v>0</v>
      </c>
      <c r="CU382" s="367">
        <f>IFERROR(CH382/Instructions!$J$25,0)+CI382*Instructions!$J$27+CJ382*Instructions!$J$29+IFERROR(CK382/Instructions!$E$34,0)+CL382*Instructions!$E$36+Tier!CM382*Instructions!$E$25+IFERROR(CN382/Instructions!$E$27,0)+CO382*Instructions!$E$29+IFERROR((CP382+CR382)/Instructions!$J$32,0)+(CQ382+CS382)*Instructions!$J$34+Tier!CT382*-2</f>
        <v>118.9</v>
      </c>
      <c r="CV382" s="354"/>
      <c r="CW382"/>
      <c r="CX382"/>
      <c r="CY382"/>
      <c r="CZ382"/>
      <c r="DA382"/>
      <c r="DB382"/>
      <c r="DC382"/>
      <c r="DD382"/>
      <c r="DE382"/>
      <c r="DF382"/>
      <c r="DG382"/>
      <c r="DH382"/>
      <c r="DI382"/>
      <c r="DJ382"/>
      <c r="DK382"/>
      <c r="DL382"/>
      <c r="DM382"/>
      <c r="DN382"/>
    </row>
    <row r="383" spans="3:118" s="238" customFormat="1" ht="15.75" customHeight="1" x14ac:dyDescent="0.25">
      <c r="C383"/>
      <c r="D383"/>
      <c r="E383"/>
      <c r="F383"/>
      <c r="G383"/>
      <c r="H383"/>
      <c r="I383"/>
      <c r="J383"/>
      <c r="K383"/>
      <c r="L383"/>
      <c r="M383"/>
      <c r="N383"/>
      <c r="O383" s="366"/>
      <c r="P383" s="366">
        <v>2016</v>
      </c>
      <c r="Q383" s="367">
        <f>LARGE($CB$304:$CB$453,80)</f>
        <v>36.200000000000003</v>
      </c>
      <c r="R383" s="357">
        <f t="shared" si="121"/>
        <v>-128.39999999999998</v>
      </c>
      <c r="S383" s="356">
        <f t="shared" si="120"/>
        <v>16486.559999999994</v>
      </c>
      <c r="U383" s="356">
        <f t="shared" si="122"/>
        <v>-8.0249999999999986</v>
      </c>
      <c r="V383" s="238">
        <f t="shared" si="118"/>
        <v>8</v>
      </c>
      <c r="W383" s="354"/>
      <c r="X383" s="366"/>
      <c r="Y383" s="366"/>
      <c r="Z383" s="238">
        <v>2016</v>
      </c>
      <c r="AA383" s="367">
        <f>LARGE($CU$304:$CU$453,80)</f>
        <v>101.1</v>
      </c>
      <c r="AB383" s="357">
        <f t="shared" si="123"/>
        <v>-110.60000000000002</v>
      </c>
      <c r="AC383" s="356">
        <f t="shared" si="117"/>
        <v>12232.360000000004</v>
      </c>
      <c r="AE383" s="356">
        <f t="shared" si="124"/>
        <v>-6.9125000000000014</v>
      </c>
      <c r="AF383" s="238">
        <f t="shared" si="119"/>
        <v>8</v>
      </c>
      <c r="AG383" s="354"/>
      <c r="AK383"/>
      <c r="AL383"/>
      <c r="AM383"/>
      <c r="AN383"/>
      <c r="AO383"/>
      <c r="AP383"/>
      <c r="BI383" s="360"/>
      <c r="BJ383" s="354"/>
      <c r="BK383" s="366">
        <v>2016</v>
      </c>
      <c r="BL383" s="365" t="s">
        <v>82</v>
      </c>
      <c r="BM383" s="366" t="s">
        <v>154</v>
      </c>
      <c r="BN383" s="366" t="s">
        <v>3</v>
      </c>
      <c r="BO383" s="366">
        <v>0</v>
      </c>
      <c r="BP383" s="366">
        <v>0</v>
      </c>
      <c r="BQ383" s="366">
        <v>0</v>
      </c>
      <c r="BR383" s="366">
        <v>158</v>
      </c>
      <c r="BS383" s="366">
        <v>1</v>
      </c>
      <c r="BT383" s="366">
        <v>11</v>
      </c>
      <c r="BU383" s="366">
        <v>94</v>
      </c>
      <c r="BV383" s="366">
        <v>0</v>
      </c>
      <c r="BW383" s="366">
        <v>0</v>
      </c>
      <c r="BX383" s="366">
        <v>0</v>
      </c>
      <c r="BY383" s="366">
        <v>0</v>
      </c>
      <c r="BZ383" s="366">
        <v>0</v>
      </c>
      <c r="CA383" s="366">
        <v>2</v>
      </c>
      <c r="CB383" s="367">
        <f>IFERROR(BO383/Instructions!$J$25,0)+BP383*Instructions!$J$27+BQ383*Instructions!$J$29+IFERROR(BR383/Instructions!$E$34,0)+BS383*Instructions!$E$36+Tier!BT384*Instructions!$E$25+IFERROR(BU383/Instructions!$E$27,0)+BV383*Instructions!$E$29+IFERROR((BW383+BY383)/Instructions!$J$32,0)+(BX383+BZ383)*Instructions!$J$34+Tier!CA383*-2</f>
        <v>47.199999999999996</v>
      </c>
      <c r="CC383" s="354"/>
      <c r="CD383" s="238">
        <v>2016</v>
      </c>
      <c r="CE383" s="365" t="s">
        <v>1108</v>
      </c>
      <c r="CF383" s="366" t="s">
        <v>158</v>
      </c>
      <c r="CG383" s="366" t="s">
        <v>6</v>
      </c>
      <c r="CH383" s="366">
        <v>0</v>
      </c>
      <c r="CI383" s="366">
        <v>0</v>
      </c>
      <c r="CJ383" s="366">
        <v>0</v>
      </c>
      <c r="CK383" s="366">
        <v>10</v>
      </c>
      <c r="CL383" s="366">
        <v>0</v>
      </c>
      <c r="CM383" s="366">
        <v>33</v>
      </c>
      <c r="CN383" s="366">
        <v>528</v>
      </c>
      <c r="CO383" s="366">
        <v>2</v>
      </c>
      <c r="CP383" s="366">
        <v>0</v>
      </c>
      <c r="CQ383" s="366">
        <v>0</v>
      </c>
      <c r="CR383" s="366">
        <v>0</v>
      </c>
      <c r="CS383" s="366">
        <v>0</v>
      </c>
      <c r="CT383" s="366">
        <v>0</v>
      </c>
      <c r="CU383" s="367">
        <f>IFERROR(CH383/Instructions!$J$25,0)+CI383*Instructions!$J$27+CJ383*Instructions!$J$29+IFERROR(CK383/Instructions!$E$34,0)+CL383*Instructions!$E$36+Tier!CM383*Instructions!$E$25+IFERROR(CN383/Instructions!$E$27,0)+CO383*Instructions!$E$29+IFERROR((CP383+CR383)/Instructions!$J$32,0)+(CQ383+CS383)*Instructions!$J$34+Tier!CT383*-2</f>
        <v>98.8</v>
      </c>
      <c r="CV383" s="354"/>
      <c r="CW383"/>
      <c r="CX383"/>
      <c r="CY383"/>
      <c r="CZ383"/>
      <c r="DA383"/>
      <c r="DB383"/>
      <c r="DC383"/>
      <c r="DD383"/>
      <c r="DE383"/>
      <c r="DF383"/>
      <c r="DG383"/>
      <c r="DH383"/>
      <c r="DI383"/>
      <c r="DJ383"/>
      <c r="DK383"/>
      <c r="DL383"/>
      <c r="DM383"/>
      <c r="DN383"/>
    </row>
    <row r="384" spans="3:118" s="238" customFormat="1" ht="15.75" customHeight="1" x14ac:dyDescent="0.25">
      <c r="C384"/>
      <c r="D384"/>
      <c r="E384"/>
      <c r="F384"/>
      <c r="G384"/>
      <c r="H384"/>
      <c r="I384"/>
      <c r="J384"/>
      <c r="K384"/>
      <c r="L384"/>
      <c r="M384"/>
      <c r="N384"/>
      <c r="O384" s="366"/>
      <c r="P384" s="366">
        <v>2016</v>
      </c>
      <c r="Q384" s="367">
        <f>LARGE($CB$304:$CB$453,81)</f>
        <v>34.700000000000003</v>
      </c>
      <c r="R384" s="357">
        <f t="shared" si="121"/>
        <v>-129.89999999999998</v>
      </c>
      <c r="S384" s="356">
        <f t="shared" si="120"/>
        <v>16874.009999999995</v>
      </c>
      <c r="U384" s="356">
        <f t="shared" si="122"/>
        <v>-8.1187499999999986</v>
      </c>
      <c r="V384" s="238">
        <f t="shared" si="118"/>
        <v>8</v>
      </c>
      <c r="W384" s="354"/>
      <c r="X384" s="366"/>
      <c r="Y384" s="366"/>
      <c r="Z384" s="238">
        <v>2016</v>
      </c>
      <c r="AA384" s="367">
        <f>LARGE($CU$304:$CU$453,81)</f>
        <v>100.7</v>
      </c>
      <c r="AB384" s="357">
        <f t="shared" si="123"/>
        <v>-111.00000000000001</v>
      </c>
      <c r="AC384" s="356">
        <f t="shared" si="117"/>
        <v>12321.000000000004</v>
      </c>
      <c r="AE384" s="356">
        <f t="shared" si="124"/>
        <v>-6.9375000000000009</v>
      </c>
      <c r="AF384" s="238">
        <f t="shared" si="119"/>
        <v>8</v>
      </c>
      <c r="AG384" s="354"/>
      <c r="AK384"/>
      <c r="AL384"/>
      <c r="AM384"/>
      <c r="AN384"/>
      <c r="AO384"/>
      <c r="AP384"/>
      <c r="BI384" s="360"/>
      <c r="BJ384" s="354"/>
      <c r="BK384" s="366">
        <v>2016</v>
      </c>
      <c r="BL384" s="365" t="s">
        <v>1603</v>
      </c>
      <c r="BM384" s="366" t="s">
        <v>154</v>
      </c>
      <c r="BN384" s="366" t="s">
        <v>3</v>
      </c>
      <c r="BO384" s="366">
        <v>0</v>
      </c>
      <c r="BP384" s="366">
        <v>0</v>
      </c>
      <c r="BQ384" s="366">
        <v>0</v>
      </c>
      <c r="BR384" s="366">
        <v>63</v>
      </c>
      <c r="BS384" s="366">
        <v>0</v>
      </c>
      <c r="BT384" s="366">
        <v>20</v>
      </c>
      <c r="BU384" s="366">
        <v>153</v>
      </c>
      <c r="BV384" s="366">
        <v>0</v>
      </c>
      <c r="BW384" s="366">
        <v>39</v>
      </c>
      <c r="BX384" s="366">
        <v>0</v>
      </c>
      <c r="BY384" s="366">
        <v>204</v>
      </c>
      <c r="BZ384" s="366">
        <v>0</v>
      </c>
      <c r="CA384" s="366">
        <v>0</v>
      </c>
      <c r="CB384" s="367">
        <f>IFERROR(BO384/Instructions!$J$25,0)+BP384*Instructions!$J$27+BQ384*Instructions!$J$29+IFERROR(BR384/Instructions!$E$34,0)+BS384*Instructions!$E$36+Tier!BT385*Instructions!$E$25+IFERROR(BU384/Instructions!$E$27,0)+BV384*Instructions!$E$29+IFERROR((BW384+BY384)/Instructions!$J$32,0)+(BX384+BZ384)*Instructions!$J$34+Tier!CA384*-2</f>
        <v>22.6</v>
      </c>
      <c r="CC384" s="354"/>
      <c r="CD384" s="238">
        <v>2016</v>
      </c>
      <c r="CE384" s="365" t="s">
        <v>1082</v>
      </c>
      <c r="CF384" s="366" t="s">
        <v>1613</v>
      </c>
      <c r="CG384" s="366" t="s">
        <v>6</v>
      </c>
      <c r="CH384" s="366">
        <v>0</v>
      </c>
      <c r="CI384" s="366">
        <v>0</v>
      </c>
      <c r="CJ384" s="366">
        <v>0</v>
      </c>
      <c r="CK384" s="366">
        <v>0</v>
      </c>
      <c r="CL384" s="366">
        <v>0</v>
      </c>
      <c r="CM384" s="366">
        <v>35</v>
      </c>
      <c r="CN384" s="366">
        <v>477</v>
      </c>
      <c r="CO384" s="366">
        <v>3</v>
      </c>
      <c r="CP384" s="366">
        <v>0</v>
      </c>
      <c r="CQ384" s="366">
        <v>0</v>
      </c>
      <c r="CR384" s="366">
        <v>0</v>
      </c>
      <c r="CS384" s="366">
        <v>0</v>
      </c>
      <c r="CT384" s="366">
        <v>0</v>
      </c>
      <c r="CU384" s="367">
        <f>IFERROR(CH384/Instructions!$J$25,0)+CI384*Instructions!$J$27+CJ384*Instructions!$J$29+IFERROR(CK384/Instructions!$E$34,0)+CL384*Instructions!$E$36+Tier!CM384*Instructions!$E$25+IFERROR(CN384/Instructions!$E$27,0)+CO384*Instructions!$E$29+IFERROR((CP384+CR384)/Instructions!$J$32,0)+(CQ384+CS384)*Instructions!$J$34+Tier!CT384*-2</f>
        <v>100.7</v>
      </c>
      <c r="CV384" s="354"/>
      <c r="CW384"/>
      <c r="CX384"/>
      <c r="CY384"/>
      <c r="CZ384"/>
      <c r="DA384"/>
      <c r="DB384"/>
      <c r="DC384"/>
      <c r="DD384"/>
      <c r="DE384"/>
      <c r="DF384"/>
      <c r="DG384"/>
      <c r="DH384"/>
      <c r="DI384"/>
      <c r="DJ384"/>
      <c r="DK384"/>
      <c r="DL384"/>
      <c r="DM384"/>
      <c r="DN384"/>
    </row>
    <row r="385" spans="3:118" s="238" customFormat="1" ht="15.75" customHeight="1" x14ac:dyDescent="0.25">
      <c r="C385"/>
      <c r="D385"/>
      <c r="E385"/>
      <c r="F385"/>
      <c r="G385"/>
      <c r="H385"/>
      <c r="I385"/>
      <c r="J385"/>
      <c r="K385"/>
      <c r="L385"/>
      <c r="M385"/>
      <c r="N385"/>
      <c r="O385" s="366"/>
      <c r="P385" s="366">
        <v>2016</v>
      </c>
      <c r="Q385" s="367">
        <f>LARGE($CB$304:$CB$453,82)</f>
        <v>32.299999999999997</v>
      </c>
      <c r="R385" s="357">
        <f t="shared" si="121"/>
        <v>-132.30000000000001</v>
      </c>
      <c r="S385" s="356">
        <f t="shared" si="120"/>
        <v>17503.290000000005</v>
      </c>
      <c r="U385" s="356">
        <f t="shared" si="122"/>
        <v>-8.2687500000000007</v>
      </c>
      <c r="V385" s="238">
        <f t="shared" si="118"/>
        <v>8</v>
      </c>
      <c r="W385" s="354"/>
      <c r="X385" s="366"/>
      <c r="Y385" s="366"/>
      <c r="Z385" s="238">
        <v>2016</v>
      </c>
      <c r="AA385" s="367">
        <f>LARGE($CU$304:$CU$453,82)</f>
        <v>98.8</v>
      </c>
      <c r="AB385" s="357">
        <f t="shared" si="123"/>
        <v>-112.90000000000002</v>
      </c>
      <c r="AC385" s="356">
        <f t="shared" si="117"/>
        <v>12746.410000000005</v>
      </c>
      <c r="AE385" s="356">
        <f t="shared" si="124"/>
        <v>-7.0562500000000012</v>
      </c>
      <c r="AF385" s="238">
        <f t="shared" si="119"/>
        <v>8</v>
      </c>
      <c r="AG385" s="354"/>
      <c r="AK385"/>
      <c r="AL385"/>
      <c r="AM385"/>
      <c r="AN385"/>
      <c r="AO385"/>
      <c r="AP385"/>
      <c r="BI385" s="360"/>
      <c r="BJ385" s="354"/>
      <c r="BK385" s="366">
        <v>2016</v>
      </c>
      <c r="BL385" s="365" t="s">
        <v>1239</v>
      </c>
      <c r="BM385" s="366" t="s">
        <v>153</v>
      </c>
      <c r="BN385" s="366" t="s">
        <v>3</v>
      </c>
      <c r="BO385" s="366">
        <v>0</v>
      </c>
      <c r="BP385" s="366">
        <v>0</v>
      </c>
      <c r="BQ385" s="366">
        <v>0</v>
      </c>
      <c r="BR385" s="366">
        <v>157</v>
      </c>
      <c r="BS385" s="366">
        <v>2</v>
      </c>
      <c r="BT385" s="366">
        <v>1</v>
      </c>
      <c r="BU385" s="366">
        <v>6</v>
      </c>
      <c r="BV385" s="366">
        <v>0</v>
      </c>
      <c r="BW385" s="366">
        <v>0</v>
      </c>
      <c r="BX385" s="366">
        <v>0</v>
      </c>
      <c r="BY385" s="366">
        <v>0</v>
      </c>
      <c r="BZ385" s="366">
        <v>0</v>
      </c>
      <c r="CA385" s="366">
        <v>0</v>
      </c>
      <c r="CB385" s="367">
        <f>IFERROR(BO385/Instructions!$J$25,0)+BP385*Instructions!$J$27+BQ385*Instructions!$J$29+IFERROR(BR385/Instructions!$E$34,0)+BS385*Instructions!$E$36+Tier!BT386*Instructions!$E$25+IFERROR(BU385/Instructions!$E$27,0)+BV385*Instructions!$E$29+IFERROR((BW385+BY385)/Instructions!$J$32,0)+(BX385+BZ385)*Instructions!$J$34+Tier!CA385*-2</f>
        <v>30.3</v>
      </c>
      <c r="CC385" s="354"/>
      <c r="CD385" s="238">
        <v>2016</v>
      </c>
      <c r="CE385" s="365" t="s">
        <v>86</v>
      </c>
      <c r="CF385" s="366" t="s">
        <v>1629</v>
      </c>
      <c r="CG385" s="366" t="s">
        <v>6</v>
      </c>
      <c r="CH385" s="366">
        <v>0</v>
      </c>
      <c r="CI385" s="366">
        <v>0</v>
      </c>
      <c r="CJ385" s="366">
        <v>0</v>
      </c>
      <c r="CK385" s="366">
        <v>-1</v>
      </c>
      <c r="CL385" s="366">
        <v>0</v>
      </c>
      <c r="CM385" s="366">
        <v>44</v>
      </c>
      <c r="CN385" s="366">
        <v>536</v>
      </c>
      <c r="CO385" s="366">
        <v>2</v>
      </c>
      <c r="CP385" s="366">
        <v>0</v>
      </c>
      <c r="CQ385" s="366">
        <v>0</v>
      </c>
      <c r="CR385" s="366">
        <v>0</v>
      </c>
      <c r="CS385" s="366">
        <v>0</v>
      </c>
      <c r="CT385" s="366">
        <v>0</v>
      </c>
      <c r="CU385" s="367">
        <f>IFERROR(CH385/Instructions!$J$25,0)+CI385*Instructions!$J$27+CJ385*Instructions!$J$29+IFERROR(CK385/Instructions!$E$34,0)+CL385*Instructions!$E$36+Tier!CM385*Instructions!$E$25+IFERROR(CN385/Instructions!$E$27,0)+CO385*Instructions!$E$29+IFERROR((CP385+CR385)/Instructions!$J$32,0)+(CQ385+CS385)*Instructions!$J$34+Tier!CT385*-2</f>
        <v>109.5</v>
      </c>
      <c r="CV385" s="354"/>
      <c r="CW385"/>
      <c r="CX385"/>
      <c r="CY385"/>
      <c r="CZ385"/>
      <c r="DA385"/>
      <c r="DB385"/>
      <c r="DC385"/>
      <c r="DD385"/>
      <c r="DE385"/>
      <c r="DF385"/>
      <c r="DG385"/>
      <c r="DH385"/>
      <c r="DI385"/>
      <c r="DJ385"/>
      <c r="DK385"/>
      <c r="DL385"/>
      <c r="DM385"/>
      <c r="DN385"/>
    </row>
    <row r="386" spans="3:118" s="238" customFormat="1" ht="15.75" customHeight="1" x14ac:dyDescent="0.25">
      <c r="C386"/>
      <c r="D386"/>
      <c r="E386"/>
      <c r="F386"/>
      <c r="G386"/>
      <c r="H386"/>
      <c r="I386"/>
      <c r="J386"/>
      <c r="K386"/>
      <c r="L386"/>
      <c r="M386"/>
      <c r="N386"/>
      <c r="O386" s="366"/>
      <c r="P386" s="366">
        <v>2016</v>
      </c>
      <c r="Q386" s="367">
        <f>LARGE($CB$304:$CB$453,83)</f>
        <v>31.1</v>
      </c>
      <c r="R386" s="357">
        <f t="shared" si="121"/>
        <v>-133.5</v>
      </c>
      <c r="S386" s="356">
        <f t="shared" si="120"/>
        <v>17822.25</v>
      </c>
      <c r="U386" s="356">
        <f t="shared" si="122"/>
        <v>-8.34375</v>
      </c>
      <c r="V386" s="238">
        <f t="shared" si="118"/>
        <v>8</v>
      </c>
      <c r="W386" s="354"/>
      <c r="X386" s="366"/>
      <c r="Y386" s="366"/>
      <c r="Z386" s="238">
        <v>2016</v>
      </c>
      <c r="AA386" s="367">
        <f>LARGE($CU$304:$CU$453,83)</f>
        <v>98</v>
      </c>
      <c r="AB386" s="357">
        <f t="shared" si="123"/>
        <v>-113.70000000000002</v>
      </c>
      <c r="AC386" s="356">
        <f t="shared" ref="AC386:AC449" si="125">AB386^2</f>
        <v>12927.690000000004</v>
      </c>
      <c r="AE386" s="356">
        <f t="shared" si="124"/>
        <v>-7.1062500000000011</v>
      </c>
      <c r="AF386" s="238">
        <f t="shared" si="119"/>
        <v>8</v>
      </c>
      <c r="AG386" s="354"/>
      <c r="AK386"/>
      <c r="AL386"/>
      <c r="AM386"/>
      <c r="AN386"/>
      <c r="AO386"/>
      <c r="AP386"/>
      <c r="BI386" s="360"/>
      <c r="BJ386" s="354"/>
      <c r="BK386" s="366">
        <v>2016</v>
      </c>
      <c r="BL386" s="365" t="s">
        <v>1330</v>
      </c>
      <c r="BM386" s="366" t="s">
        <v>144</v>
      </c>
      <c r="BN386" s="366" t="s">
        <v>3</v>
      </c>
      <c r="BO386" s="366">
        <v>0</v>
      </c>
      <c r="BP386" s="366">
        <v>0</v>
      </c>
      <c r="BQ386" s="366">
        <v>0</v>
      </c>
      <c r="BR386" s="366">
        <v>129</v>
      </c>
      <c r="BS386" s="366">
        <v>0</v>
      </c>
      <c r="BT386" s="366">
        <v>2</v>
      </c>
      <c r="BU386" s="366">
        <v>75</v>
      </c>
      <c r="BV386" s="366">
        <v>1</v>
      </c>
      <c r="BW386" s="366">
        <v>0</v>
      </c>
      <c r="BX386" s="366">
        <v>0</v>
      </c>
      <c r="BY386" s="366">
        <v>79</v>
      </c>
      <c r="BZ386" s="366">
        <v>0</v>
      </c>
      <c r="CA386" s="366">
        <v>0</v>
      </c>
      <c r="CB386" s="367">
        <f>IFERROR(BO386/Instructions!$J$25,0)+BP386*Instructions!$J$27+BQ386*Instructions!$J$29+IFERROR(BR386/Instructions!$E$34,0)+BS386*Instructions!$E$36+Tier!BT387*Instructions!$E$25+IFERROR(BU386/Instructions!$E$27,0)+BV386*Instructions!$E$29+IFERROR((BW386+BY386)/Instructions!$J$32,0)+(BX386+BZ386)*Instructions!$J$34+Tier!CA386*-2</f>
        <v>37.4</v>
      </c>
      <c r="CC386" s="354"/>
      <c r="CD386" s="238">
        <v>2016</v>
      </c>
      <c r="CE386" s="365" t="s">
        <v>61</v>
      </c>
      <c r="CF386" s="366" t="s">
        <v>154</v>
      </c>
      <c r="CG386" s="366" t="s">
        <v>6</v>
      </c>
      <c r="CH386" s="366">
        <v>0</v>
      </c>
      <c r="CI386" s="366">
        <v>0</v>
      </c>
      <c r="CJ386" s="366">
        <v>0</v>
      </c>
      <c r="CK386" s="366">
        <v>0</v>
      </c>
      <c r="CL386" s="366">
        <v>0</v>
      </c>
      <c r="CM386" s="366">
        <v>39</v>
      </c>
      <c r="CN386" s="366">
        <v>586</v>
      </c>
      <c r="CO386" s="366">
        <v>1</v>
      </c>
      <c r="CP386" s="366">
        <v>0</v>
      </c>
      <c r="CQ386" s="366">
        <v>0</v>
      </c>
      <c r="CR386" s="366">
        <v>0</v>
      </c>
      <c r="CS386" s="366">
        <v>0</v>
      </c>
      <c r="CT386" s="366">
        <v>1</v>
      </c>
      <c r="CU386" s="367">
        <f>IFERROR(CH386/Instructions!$J$25,0)+CI386*Instructions!$J$27+CJ386*Instructions!$J$29+IFERROR(CK386/Instructions!$E$34,0)+CL386*Instructions!$E$36+Tier!CM386*Instructions!$E$25+IFERROR(CN386/Instructions!$E$27,0)+CO386*Instructions!$E$29+IFERROR((CP386+CR386)/Instructions!$J$32,0)+(CQ386+CS386)*Instructions!$J$34+Tier!CT386*-2</f>
        <v>101.6</v>
      </c>
      <c r="CV386" s="354"/>
      <c r="CW386"/>
      <c r="CX386"/>
      <c r="CY386"/>
      <c r="CZ386"/>
      <c r="DA386"/>
      <c r="DB386"/>
      <c r="DC386"/>
      <c r="DD386"/>
      <c r="DE386"/>
      <c r="DF386"/>
      <c r="DG386"/>
      <c r="DH386"/>
      <c r="DI386"/>
      <c r="DJ386"/>
      <c r="DK386"/>
      <c r="DL386"/>
      <c r="DM386"/>
      <c r="DN386"/>
    </row>
    <row r="387" spans="3:118" s="238" customFormat="1" ht="15.75" customHeight="1" x14ac:dyDescent="0.25">
      <c r="C387"/>
      <c r="D387"/>
      <c r="E387"/>
      <c r="F387"/>
      <c r="G387"/>
      <c r="H387"/>
      <c r="I387"/>
      <c r="J387"/>
      <c r="K387"/>
      <c r="L387"/>
      <c r="M387"/>
      <c r="N387"/>
      <c r="O387" s="366"/>
      <c r="P387" s="366">
        <v>2016</v>
      </c>
      <c r="Q387" s="367">
        <f>LARGE($CB$304:$CB$453,84)</f>
        <v>30.3</v>
      </c>
      <c r="R387" s="357">
        <f t="shared" si="121"/>
        <v>-134.29999999999998</v>
      </c>
      <c r="S387" s="356">
        <f t="shared" si="120"/>
        <v>18036.489999999994</v>
      </c>
      <c r="U387" s="356">
        <f t="shared" si="122"/>
        <v>-8.3937499999999989</v>
      </c>
      <c r="V387" s="238">
        <f t="shared" ref="V387:V450" si="126">IF(U387&gt;6,0,
IF(AND(U387&lt;=6,U387&gt;5),1,
IF(AND(U387&lt;=5,U387&gt;4),2,
IF(AND(U387&lt;=4,U387&gt;3),3,
IF(AND(U387&lt;=3,U387&gt;2),4,
IF(AND(U387&lt;=2,U387&gt;1),5,
IF(AND(U387&lt;=1,U387&gt;0),6,
IF(AND(U387&lt;=0,U387&gt;-1),7,
8))))))))</f>
        <v>8</v>
      </c>
      <c r="W387" s="354"/>
      <c r="X387" s="366"/>
      <c r="Y387" s="366"/>
      <c r="Z387" s="238">
        <v>2016</v>
      </c>
      <c r="AA387" s="367">
        <f>LARGE($CU$304:$CU$453,84)</f>
        <v>97</v>
      </c>
      <c r="AB387" s="357">
        <f t="shared" si="123"/>
        <v>-114.70000000000002</v>
      </c>
      <c r="AC387" s="356">
        <f t="shared" si="125"/>
        <v>13156.090000000004</v>
      </c>
      <c r="AE387" s="356">
        <f t="shared" si="124"/>
        <v>-7.1687500000000011</v>
      </c>
      <c r="AF387" s="238">
        <f t="shared" ref="AF387:AF450" si="127">IF(AE387&gt;6,0,
IF(AND(AE387&lt;=6,AE387&gt;5),1,
IF(AND(AE387&lt;=5,AE387&gt;4),2,
IF(AND(AE387&lt;=4,AE387&gt;3),3,
IF(AND(AE387&lt;=3,AE387&gt;2),4,
IF(AND(AE387&lt;=2,AE387&gt;1),5,
IF(AND(AE387&lt;=1,AE387&gt;0),6,
IF(AND(AE387&lt;=0,AE387&gt;-1),7,
8))))))))</f>
        <v>8</v>
      </c>
      <c r="AG387" s="354"/>
      <c r="AK387"/>
      <c r="AL387"/>
      <c r="AM387"/>
      <c r="AN387"/>
      <c r="AO387"/>
      <c r="AP387"/>
      <c r="BI387" s="360"/>
      <c r="BJ387" s="354"/>
      <c r="BK387" s="366">
        <v>2016</v>
      </c>
      <c r="BL387" s="365" t="s">
        <v>1210</v>
      </c>
      <c r="BM387" s="366" t="s">
        <v>140</v>
      </c>
      <c r="BN387" s="366" t="s">
        <v>3</v>
      </c>
      <c r="BO387" s="366">
        <v>0</v>
      </c>
      <c r="BP387" s="366">
        <v>0</v>
      </c>
      <c r="BQ387" s="366">
        <v>0</v>
      </c>
      <c r="BR387" s="366">
        <v>125</v>
      </c>
      <c r="BS387" s="366">
        <v>1</v>
      </c>
      <c r="BT387" s="366">
        <v>11</v>
      </c>
      <c r="BU387" s="366">
        <v>84</v>
      </c>
      <c r="BV387" s="366">
        <v>0</v>
      </c>
      <c r="BW387" s="366">
        <v>0</v>
      </c>
      <c r="BX387" s="366">
        <v>0</v>
      </c>
      <c r="BY387" s="366">
        <v>0</v>
      </c>
      <c r="BZ387" s="366">
        <v>0</v>
      </c>
      <c r="CA387" s="366">
        <v>1</v>
      </c>
      <c r="CB387" s="367">
        <f>IFERROR(BO387/Instructions!$J$25,0)+BP387*Instructions!$J$27+BQ387*Instructions!$J$29+IFERROR(BR387/Instructions!$E$34,0)+BS387*Instructions!$E$36+Tier!BT388*Instructions!$E$25+IFERROR(BU387/Instructions!$E$27,0)+BV387*Instructions!$E$29+IFERROR((BW387+BY387)/Instructions!$J$32,0)+(BX387+BZ387)*Instructions!$J$34+Tier!CA387*-2</f>
        <v>25.9</v>
      </c>
      <c r="CC387" s="354"/>
      <c r="CD387" s="238">
        <v>2016</v>
      </c>
      <c r="CE387" s="365" t="s">
        <v>1218</v>
      </c>
      <c r="CF387" s="366" t="s">
        <v>163</v>
      </c>
      <c r="CG387" s="366" t="s">
        <v>6</v>
      </c>
      <c r="CH387" s="366">
        <v>0</v>
      </c>
      <c r="CI387" s="366">
        <v>0</v>
      </c>
      <c r="CJ387" s="366">
        <v>0</v>
      </c>
      <c r="CK387" s="366">
        <v>1</v>
      </c>
      <c r="CL387" s="366">
        <v>0</v>
      </c>
      <c r="CM387" s="366">
        <v>41</v>
      </c>
      <c r="CN387" s="366">
        <v>522</v>
      </c>
      <c r="CO387" s="366">
        <v>2</v>
      </c>
      <c r="CP387" s="366">
        <v>0</v>
      </c>
      <c r="CQ387" s="366">
        <v>0</v>
      </c>
      <c r="CR387" s="366">
        <v>0</v>
      </c>
      <c r="CS387" s="366">
        <v>0</v>
      </c>
      <c r="CT387" s="366">
        <v>0</v>
      </c>
      <c r="CU387" s="367">
        <f>IFERROR(CH387/Instructions!$J$25,0)+CI387*Instructions!$J$27+CJ387*Instructions!$J$29+IFERROR(CK387/Instructions!$E$34,0)+CL387*Instructions!$E$36+Tier!CM387*Instructions!$E$25+IFERROR(CN387/Instructions!$E$27,0)+CO387*Instructions!$E$29+IFERROR((CP387+CR387)/Instructions!$J$32,0)+(CQ387+CS387)*Instructions!$J$34+Tier!CT387*-2</f>
        <v>105.30000000000001</v>
      </c>
      <c r="CV387" s="354"/>
      <c r="CW387"/>
      <c r="CX387"/>
      <c r="CY387"/>
      <c r="CZ387"/>
      <c r="DA387"/>
      <c r="DB387"/>
      <c r="DC387"/>
      <c r="DD387"/>
      <c r="DE387"/>
      <c r="DF387"/>
      <c r="DG387"/>
      <c r="DH387"/>
      <c r="DI387"/>
      <c r="DJ387"/>
      <c r="DK387"/>
      <c r="DL387"/>
      <c r="DM387"/>
      <c r="DN387"/>
    </row>
    <row r="388" spans="3:118" s="238" customFormat="1" ht="15.75" customHeight="1" x14ac:dyDescent="0.25">
      <c r="C388"/>
      <c r="D388"/>
      <c r="E388"/>
      <c r="F388"/>
      <c r="G388"/>
      <c r="H388"/>
      <c r="I388"/>
      <c r="J388"/>
      <c r="K388"/>
      <c r="L388"/>
      <c r="M388"/>
      <c r="N388"/>
      <c r="O388" s="366"/>
      <c r="P388" s="366">
        <v>2016</v>
      </c>
      <c r="Q388" s="367">
        <f>LARGE($CB$304:$CB$453,85)</f>
        <v>28.3</v>
      </c>
      <c r="R388" s="357">
        <f t="shared" si="121"/>
        <v>-136.29999999999998</v>
      </c>
      <c r="S388" s="356">
        <f t="shared" si="120"/>
        <v>18577.689999999995</v>
      </c>
      <c r="U388" s="356">
        <f t="shared" si="122"/>
        <v>-8.5187499999999989</v>
      </c>
      <c r="V388" s="238">
        <f t="shared" si="126"/>
        <v>8</v>
      </c>
      <c r="W388" s="354"/>
      <c r="X388" s="366"/>
      <c r="Y388" s="366"/>
      <c r="Z388" s="238">
        <v>2016</v>
      </c>
      <c r="AA388" s="367">
        <f>LARGE($CU$304:$CU$453,85)</f>
        <v>96.1</v>
      </c>
      <c r="AB388" s="357">
        <f t="shared" si="123"/>
        <v>-115.60000000000002</v>
      </c>
      <c r="AC388" s="356">
        <f t="shared" si="125"/>
        <v>13363.360000000006</v>
      </c>
      <c r="AE388" s="356">
        <f t="shared" si="124"/>
        <v>-7.2250000000000014</v>
      </c>
      <c r="AF388" s="238">
        <f t="shared" si="127"/>
        <v>8</v>
      </c>
      <c r="AG388" s="354"/>
      <c r="AK388"/>
      <c r="AL388"/>
      <c r="AM388"/>
      <c r="AN388"/>
      <c r="AO388"/>
      <c r="AP388"/>
      <c r="BI388" s="360"/>
      <c r="BJ388" s="354"/>
      <c r="BK388" s="366">
        <v>2016</v>
      </c>
      <c r="BL388" s="365" t="s">
        <v>1140</v>
      </c>
      <c r="BM388" s="366" t="s">
        <v>159</v>
      </c>
      <c r="BN388" s="366" t="s">
        <v>3</v>
      </c>
      <c r="BO388" s="366">
        <v>0</v>
      </c>
      <c r="BP388" s="366">
        <v>0</v>
      </c>
      <c r="BQ388" s="366">
        <v>0</v>
      </c>
      <c r="BR388" s="366">
        <v>144</v>
      </c>
      <c r="BS388" s="366">
        <v>2</v>
      </c>
      <c r="BT388" s="366">
        <v>1</v>
      </c>
      <c r="BU388" s="366">
        <v>11</v>
      </c>
      <c r="BV388" s="366">
        <v>0</v>
      </c>
      <c r="BW388" s="366">
        <v>0</v>
      </c>
      <c r="BX388" s="366">
        <v>0</v>
      </c>
      <c r="BY388" s="366">
        <v>0</v>
      </c>
      <c r="BZ388" s="366">
        <v>0</v>
      </c>
      <c r="CA388" s="366">
        <v>0</v>
      </c>
      <c r="CB388" s="367">
        <f>IFERROR(BO388/Instructions!$J$25,0)+BP388*Instructions!$J$27+BQ388*Instructions!$J$29+IFERROR(BR388/Instructions!$E$34,0)+BS388*Instructions!$E$36+Tier!BT389*Instructions!$E$25+IFERROR(BU388/Instructions!$E$27,0)+BV388*Instructions!$E$29+IFERROR((BW388+BY388)/Instructions!$J$32,0)+(BX388+BZ388)*Instructions!$J$34+Tier!CA388*-2</f>
        <v>40.5</v>
      </c>
      <c r="CC388" s="354"/>
      <c r="CD388" s="238">
        <v>2016</v>
      </c>
      <c r="CE388" s="365" t="s">
        <v>1213</v>
      </c>
      <c r="CF388" s="366" t="s">
        <v>1628</v>
      </c>
      <c r="CG388" s="366" t="s">
        <v>6</v>
      </c>
      <c r="CH388" s="366">
        <v>0</v>
      </c>
      <c r="CI388" s="366">
        <v>0</v>
      </c>
      <c r="CJ388" s="366">
        <v>0</v>
      </c>
      <c r="CK388" s="366">
        <v>0</v>
      </c>
      <c r="CL388" s="366">
        <v>0</v>
      </c>
      <c r="CM388" s="366">
        <v>32</v>
      </c>
      <c r="CN388" s="366">
        <v>401</v>
      </c>
      <c r="CO388" s="366">
        <v>4</v>
      </c>
      <c r="CP388" s="366">
        <v>0</v>
      </c>
      <c r="CQ388" s="366">
        <v>0</v>
      </c>
      <c r="CR388" s="366">
        <v>0</v>
      </c>
      <c r="CS388" s="366">
        <v>0</v>
      </c>
      <c r="CT388" s="366">
        <v>0</v>
      </c>
      <c r="CU388" s="367">
        <f>IFERROR(CH388/Instructions!$J$25,0)+CI388*Instructions!$J$27+CJ388*Instructions!$J$29+IFERROR(CK388/Instructions!$E$34,0)+CL388*Instructions!$E$36+Tier!CM388*Instructions!$E$25+IFERROR(CN388/Instructions!$E$27,0)+CO388*Instructions!$E$29+IFERROR((CP388+CR388)/Instructions!$J$32,0)+(CQ388+CS388)*Instructions!$J$34+Tier!CT388*-2</f>
        <v>96.1</v>
      </c>
      <c r="CV388" s="354"/>
      <c r="CW388"/>
      <c r="CX388"/>
      <c r="CY388"/>
      <c r="CZ388"/>
      <c r="DA388"/>
      <c r="DB388"/>
      <c r="DC388"/>
      <c r="DD388"/>
      <c r="DE388"/>
      <c r="DF388"/>
      <c r="DG388"/>
      <c r="DH388"/>
      <c r="DI388"/>
      <c r="DJ388"/>
      <c r="DK388"/>
      <c r="DL388"/>
      <c r="DM388"/>
      <c r="DN388"/>
    </row>
    <row r="389" spans="3:118" s="238" customFormat="1" ht="15.75" customHeight="1" x14ac:dyDescent="0.25">
      <c r="C389"/>
      <c r="D389"/>
      <c r="E389"/>
      <c r="F389"/>
      <c r="G389"/>
      <c r="H389"/>
      <c r="I389"/>
      <c r="J389"/>
      <c r="K389"/>
      <c r="L389"/>
      <c r="M389"/>
      <c r="N389"/>
      <c r="O389" s="366"/>
      <c r="P389" s="366">
        <v>2016</v>
      </c>
      <c r="Q389" s="367">
        <f>LARGE($CB$304:$CB$453,86)</f>
        <v>28.1</v>
      </c>
      <c r="R389" s="357">
        <f t="shared" si="121"/>
        <v>-136.5</v>
      </c>
      <c r="S389" s="356">
        <f t="shared" si="120"/>
        <v>18632.25</v>
      </c>
      <c r="U389" s="356">
        <f t="shared" si="122"/>
        <v>-8.53125</v>
      </c>
      <c r="V389" s="238">
        <f t="shared" si="126"/>
        <v>8</v>
      </c>
      <c r="W389" s="354"/>
      <c r="X389" s="366"/>
      <c r="Y389" s="366"/>
      <c r="Z389" s="238">
        <v>2016</v>
      </c>
      <c r="AA389" s="367">
        <f>LARGE($CU$304:$CU$453,86)</f>
        <v>93.3</v>
      </c>
      <c r="AB389" s="357">
        <f t="shared" si="123"/>
        <v>-118.40000000000002</v>
      </c>
      <c r="AC389" s="356">
        <f t="shared" si="125"/>
        <v>14018.560000000005</v>
      </c>
      <c r="AE389" s="356">
        <f t="shared" si="124"/>
        <v>-7.4000000000000012</v>
      </c>
      <c r="AF389" s="238">
        <f t="shared" si="127"/>
        <v>8</v>
      </c>
      <c r="AG389" s="354"/>
      <c r="AK389"/>
      <c r="AL389"/>
      <c r="AM389"/>
      <c r="AN389"/>
      <c r="AO389"/>
      <c r="AP389"/>
      <c r="BI389" s="360"/>
      <c r="BJ389" s="354"/>
      <c r="BK389" s="366">
        <v>2016</v>
      </c>
      <c r="BL389" s="365" t="s">
        <v>1406</v>
      </c>
      <c r="BM389" s="366" t="s">
        <v>1626</v>
      </c>
      <c r="BN389" s="366" t="s">
        <v>3</v>
      </c>
      <c r="BO389" s="366">
        <v>0</v>
      </c>
      <c r="BP389" s="366">
        <v>0</v>
      </c>
      <c r="BQ389" s="366">
        <v>0</v>
      </c>
      <c r="BR389" s="366">
        <v>192</v>
      </c>
      <c r="BS389" s="366">
        <v>0</v>
      </c>
      <c r="BT389" s="366">
        <v>13</v>
      </c>
      <c r="BU389" s="366">
        <v>70</v>
      </c>
      <c r="BV389" s="366">
        <v>0</v>
      </c>
      <c r="BW389" s="366">
        <v>0</v>
      </c>
      <c r="BX389" s="366">
        <v>0</v>
      </c>
      <c r="BY389" s="366">
        <v>0</v>
      </c>
      <c r="BZ389" s="366">
        <v>0</v>
      </c>
      <c r="CA389" s="366">
        <v>1</v>
      </c>
      <c r="CB389" s="367">
        <f>IFERROR(BO389/Instructions!$J$25,0)+BP389*Instructions!$J$27+BQ389*Instructions!$J$29+IFERROR(BR389/Instructions!$E$34,0)+BS389*Instructions!$E$36+Tier!BT390*Instructions!$E$25+IFERROR(BU389/Instructions!$E$27,0)+BV389*Instructions!$E$29+IFERROR((BW389+BY389)/Instructions!$J$32,0)+(BX389+BZ389)*Instructions!$J$34+Tier!CA389*-2</f>
        <v>36.200000000000003</v>
      </c>
      <c r="CC389" s="354"/>
      <c r="CD389" s="238">
        <v>2016</v>
      </c>
      <c r="CE389" s="365" t="s">
        <v>1115</v>
      </c>
      <c r="CF389" s="366" t="s">
        <v>147</v>
      </c>
      <c r="CG389" s="366" t="s">
        <v>6</v>
      </c>
      <c r="CH389" s="366">
        <v>0</v>
      </c>
      <c r="CI389" s="366">
        <v>0</v>
      </c>
      <c r="CJ389" s="366">
        <v>0</v>
      </c>
      <c r="CK389" s="366">
        <v>14</v>
      </c>
      <c r="CL389" s="366">
        <v>0</v>
      </c>
      <c r="CM389" s="366">
        <v>21</v>
      </c>
      <c r="CN389" s="366">
        <v>435</v>
      </c>
      <c r="CO389" s="366">
        <v>2</v>
      </c>
      <c r="CP389" s="366">
        <v>0</v>
      </c>
      <c r="CQ389" s="366">
        <v>0</v>
      </c>
      <c r="CR389" s="366">
        <v>150</v>
      </c>
      <c r="CS389" s="366">
        <v>0</v>
      </c>
      <c r="CT389" s="366">
        <v>0</v>
      </c>
      <c r="CU389" s="367">
        <f>IFERROR(CH389/Instructions!$J$25,0)+CI389*Instructions!$J$27+CJ389*Instructions!$J$29+IFERROR(CK389/Instructions!$E$34,0)+CL389*Instructions!$E$36+Tier!CM389*Instructions!$E$25+IFERROR(CN389/Instructions!$E$27,0)+CO389*Instructions!$E$29+IFERROR((CP389+CR389)/Instructions!$J$32,0)+(CQ389+CS389)*Instructions!$J$34+Tier!CT389*-2</f>
        <v>77.900000000000006</v>
      </c>
      <c r="CV389" s="354"/>
      <c r="CW389"/>
      <c r="CX389"/>
      <c r="CY389"/>
      <c r="CZ389"/>
      <c r="DA389"/>
      <c r="DB389"/>
      <c r="DC389"/>
      <c r="DD389"/>
      <c r="DE389"/>
      <c r="DF389"/>
      <c r="DG389"/>
      <c r="DH389"/>
      <c r="DI389"/>
      <c r="DJ389"/>
      <c r="DK389"/>
      <c r="DL389"/>
      <c r="DM389"/>
      <c r="DN389"/>
    </row>
    <row r="390" spans="3:118" s="238" customFormat="1" ht="15.75" customHeight="1" x14ac:dyDescent="0.25">
      <c r="C390"/>
      <c r="D390"/>
      <c r="E390"/>
      <c r="F390"/>
      <c r="G390"/>
      <c r="H390"/>
      <c r="I390"/>
      <c r="J390"/>
      <c r="K390"/>
      <c r="L390"/>
      <c r="M390"/>
      <c r="N390"/>
      <c r="O390" s="366"/>
      <c r="P390" s="366">
        <v>2016</v>
      </c>
      <c r="Q390" s="367">
        <f>LARGE($CB$304:$CB$453,87)</f>
        <v>27.400000000000002</v>
      </c>
      <c r="R390" s="357">
        <f t="shared" si="121"/>
        <v>-137.19999999999999</v>
      </c>
      <c r="S390" s="356">
        <f t="shared" si="120"/>
        <v>18823.839999999997</v>
      </c>
      <c r="U390" s="356">
        <f t="shared" si="122"/>
        <v>-8.5749999999999993</v>
      </c>
      <c r="V390" s="238">
        <f t="shared" si="126"/>
        <v>8</v>
      </c>
      <c r="W390" s="354"/>
      <c r="X390" s="366"/>
      <c r="Y390" s="366"/>
      <c r="Z390" s="238">
        <v>2016</v>
      </c>
      <c r="AA390" s="367">
        <f>LARGE($CU$304:$CU$453,87)</f>
        <v>90.1</v>
      </c>
      <c r="AB390" s="357">
        <f t="shared" si="123"/>
        <v>-121.60000000000002</v>
      </c>
      <c r="AC390" s="356">
        <f t="shared" si="125"/>
        <v>14786.560000000005</v>
      </c>
      <c r="AE390" s="356">
        <f t="shared" si="124"/>
        <v>-7.6000000000000014</v>
      </c>
      <c r="AF390" s="238">
        <f t="shared" si="127"/>
        <v>8</v>
      </c>
      <c r="AG390" s="354"/>
      <c r="AK390"/>
      <c r="AL390"/>
      <c r="AM390"/>
      <c r="AN390"/>
      <c r="AO390"/>
      <c r="AP390"/>
      <c r="BI390" s="360"/>
      <c r="BJ390" s="354"/>
      <c r="BK390" s="366">
        <v>2016</v>
      </c>
      <c r="BL390" s="365" t="s">
        <v>64</v>
      </c>
      <c r="BM390" s="366" t="s">
        <v>153</v>
      </c>
      <c r="BN390" s="366" t="s">
        <v>3</v>
      </c>
      <c r="BO390" s="366">
        <v>0</v>
      </c>
      <c r="BP390" s="366">
        <v>0</v>
      </c>
      <c r="BQ390" s="366">
        <v>0</v>
      </c>
      <c r="BR390" s="366">
        <v>96</v>
      </c>
      <c r="BS390" s="366">
        <v>0</v>
      </c>
      <c r="BT390" s="366">
        <v>12</v>
      </c>
      <c r="BU390" s="366">
        <v>85</v>
      </c>
      <c r="BV390" s="366">
        <v>0</v>
      </c>
      <c r="BW390" s="366">
        <v>0</v>
      </c>
      <c r="BX390" s="366">
        <v>0</v>
      </c>
      <c r="BY390" s="366">
        <v>163</v>
      </c>
      <c r="BZ390" s="366">
        <v>0</v>
      </c>
      <c r="CA390" s="366">
        <v>0</v>
      </c>
      <c r="CB390" s="367">
        <f>IFERROR(BO390/Instructions!$J$25,0)+BP390*Instructions!$J$27+BQ390*Instructions!$J$29+IFERROR(BR390/Instructions!$E$34,0)+BS390*Instructions!$E$36+Tier!BT391*Instructions!$E$25+IFERROR(BU390/Instructions!$E$27,0)+BV390*Instructions!$E$29+IFERROR((BW390+BY390)/Instructions!$J$32,0)+(BX390+BZ390)*Instructions!$J$34+Tier!CA390*-2</f>
        <v>28.1</v>
      </c>
      <c r="CC390" s="354"/>
      <c r="CD390" s="238">
        <v>2016</v>
      </c>
      <c r="CE390" s="365" t="s">
        <v>89</v>
      </c>
      <c r="CF390" s="366" t="s">
        <v>163</v>
      </c>
      <c r="CG390" s="366" t="s">
        <v>6</v>
      </c>
      <c r="CH390" s="366">
        <v>0</v>
      </c>
      <c r="CI390" s="366">
        <v>0</v>
      </c>
      <c r="CJ390" s="366">
        <v>0</v>
      </c>
      <c r="CK390" s="366">
        <v>15</v>
      </c>
      <c r="CL390" s="366">
        <v>0</v>
      </c>
      <c r="CM390" s="366">
        <v>29</v>
      </c>
      <c r="CN390" s="366">
        <v>416</v>
      </c>
      <c r="CO390" s="366">
        <v>3</v>
      </c>
      <c r="CP390" s="366">
        <v>0</v>
      </c>
      <c r="CQ390" s="366">
        <v>0</v>
      </c>
      <c r="CR390" s="366">
        <v>32</v>
      </c>
      <c r="CS390" s="366">
        <v>0</v>
      </c>
      <c r="CT390" s="366">
        <v>0</v>
      </c>
      <c r="CU390" s="367">
        <f>IFERROR(CH390/Instructions!$J$25,0)+CI390*Instructions!$J$27+CJ390*Instructions!$J$29+IFERROR(CK390/Instructions!$E$34,0)+CL390*Instructions!$E$36+Tier!CM390*Instructions!$E$25+IFERROR(CN390/Instructions!$E$27,0)+CO390*Instructions!$E$29+IFERROR((CP390+CR390)/Instructions!$J$32,0)+(CQ390+CS390)*Instructions!$J$34+Tier!CT390*-2</f>
        <v>90.1</v>
      </c>
      <c r="CV390" s="354"/>
      <c r="CW390"/>
      <c r="CX390"/>
      <c r="CY390"/>
      <c r="CZ390"/>
      <c r="DA390"/>
      <c r="DB390"/>
      <c r="DC390"/>
      <c r="DD390"/>
      <c r="DE390"/>
      <c r="DF390"/>
      <c r="DG390"/>
      <c r="DH390"/>
      <c r="DI390"/>
      <c r="DJ390"/>
      <c r="DK390"/>
      <c r="DL390"/>
      <c r="DM390"/>
      <c r="DN390"/>
    </row>
    <row r="391" spans="3:118" s="238" customFormat="1" ht="15.75" customHeight="1" x14ac:dyDescent="0.25">
      <c r="C391"/>
      <c r="D391"/>
      <c r="E391"/>
      <c r="F391"/>
      <c r="G391"/>
      <c r="H391"/>
      <c r="I391"/>
      <c r="J391"/>
      <c r="K391"/>
      <c r="L391"/>
      <c r="M391"/>
      <c r="N391"/>
      <c r="O391" s="366"/>
      <c r="P391" s="366">
        <v>2016</v>
      </c>
      <c r="Q391" s="367">
        <f>LARGE($CB$304:$CB$453,88)</f>
        <v>26.6</v>
      </c>
      <c r="R391" s="357">
        <f t="shared" si="121"/>
        <v>-138</v>
      </c>
      <c r="S391" s="356">
        <f t="shared" si="120"/>
        <v>19044</v>
      </c>
      <c r="U391" s="356">
        <f t="shared" si="122"/>
        <v>-8.625</v>
      </c>
      <c r="V391" s="238">
        <f t="shared" si="126"/>
        <v>8</v>
      </c>
      <c r="W391" s="354"/>
      <c r="X391" s="366"/>
      <c r="Y391" s="366"/>
      <c r="Z391" s="238">
        <v>2016</v>
      </c>
      <c r="AA391" s="367">
        <f>LARGE($CU$304:$CU$453,88)</f>
        <v>90.1</v>
      </c>
      <c r="AB391" s="357">
        <f t="shared" si="123"/>
        <v>-121.60000000000002</v>
      </c>
      <c r="AC391" s="356">
        <f t="shared" si="125"/>
        <v>14786.560000000005</v>
      </c>
      <c r="AE391" s="356">
        <f t="shared" si="124"/>
        <v>-7.6000000000000014</v>
      </c>
      <c r="AF391" s="238">
        <f t="shared" si="127"/>
        <v>8</v>
      </c>
      <c r="AG391" s="354"/>
      <c r="AK391"/>
      <c r="AL391"/>
      <c r="AM391"/>
      <c r="AN391"/>
      <c r="AO391"/>
      <c r="AP391"/>
      <c r="BI391" s="360"/>
      <c r="BJ391" s="354"/>
      <c r="BK391" s="366">
        <v>2016</v>
      </c>
      <c r="BL391" s="365" t="s">
        <v>973</v>
      </c>
      <c r="BM391" s="366" t="s">
        <v>159</v>
      </c>
      <c r="BN391" s="366" t="s">
        <v>3</v>
      </c>
      <c r="BO391" s="366">
        <v>0</v>
      </c>
      <c r="BP391" s="366">
        <v>0</v>
      </c>
      <c r="BQ391" s="366">
        <v>0</v>
      </c>
      <c r="BR391" s="366">
        <v>114</v>
      </c>
      <c r="BS391" s="366">
        <v>0</v>
      </c>
      <c r="BT391" s="366">
        <v>10</v>
      </c>
      <c r="BU391" s="366">
        <v>72</v>
      </c>
      <c r="BV391" s="366">
        <v>1</v>
      </c>
      <c r="BW391" s="366">
        <v>0</v>
      </c>
      <c r="BX391" s="366">
        <v>0</v>
      </c>
      <c r="BY391" s="366">
        <v>0</v>
      </c>
      <c r="BZ391" s="366">
        <v>0</v>
      </c>
      <c r="CA391" s="366">
        <v>0</v>
      </c>
      <c r="CB391" s="367">
        <f>IFERROR(BO391/Instructions!$J$25,0)+BP391*Instructions!$J$27+BQ391*Instructions!$J$29+IFERROR(BR391/Instructions!$E$34,0)+BS391*Instructions!$E$36+Tier!BT392*Instructions!$E$25+IFERROR(BU391/Instructions!$E$27,0)+BV391*Instructions!$E$29+IFERROR((BW391+BY391)/Instructions!$J$32,0)+(BX391+BZ391)*Instructions!$J$34+Tier!CA391*-2</f>
        <v>26.6</v>
      </c>
      <c r="CC391" s="354"/>
      <c r="CD391" s="238">
        <v>2016</v>
      </c>
      <c r="CE391" s="365" t="s">
        <v>134</v>
      </c>
      <c r="CF391" s="366" t="s">
        <v>141</v>
      </c>
      <c r="CG391" s="366" t="s">
        <v>6</v>
      </c>
      <c r="CH391" s="366">
        <v>0</v>
      </c>
      <c r="CI391" s="366">
        <v>0</v>
      </c>
      <c r="CJ391" s="366">
        <v>0</v>
      </c>
      <c r="CK391" s="366">
        <v>0</v>
      </c>
      <c r="CL391" s="366">
        <v>0</v>
      </c>
      <c r="CM391" s="366">
        <v>33</v>
      </c>
      <c r="CN391" s="366">
        <v>369</v>
      </c>
      <c r="CO391" s="366">
        <v>2</v>
      </c>
      <c r="CP391" s="366">
        <v>166</v>
      </c>
      <c r="CQ391" s="366">
        <v>1</v>
      </c>
      <c r="CR391" s="366">
        <v>0</v>
      </c>
      <c r="CS391" s="366">
        <v>0</v>
      </c>
      <c r="CT391" s="366">
        <v>0</v>
      </c>
      <c r="CU391" s="367">
        <f>IFERROR(CH391/Instructions!$J$25,0)+CI391*Instructions!$J$27+CJ391*Instructions!$J$29+IFERROR(CK391/Instructions!$E$34,0)+CL391*Instructions!$E$36+Tier!CM391*Instructions!$E$25+IFERROR(CN391/Instructions!$E$27,0)+CO391*Instructions!$E$29+IFERROR((CP391+CR391)/Instructions!$J$32,0)+(CQ391+CS391)*Instructions!$J$34+Tier!CT391*-2</f>
        <v>87.9</v>
      </c>
      <c r="CV391" s="354"/>
      <c r="CW391"/>
      <c r="CX391"/>
      <c r="CY391"/>
      <c r="CZ391"/>
      <c r="DA391"/>
      <c r="DB391"/>
      <c r="DC391"/>
      <c r="DD391"/>
      <c r="DE391"/>
      <c r="DF391"/>
      <c r="DG391"/>
      <c r="DH391"/>
      <c r="DI391"/>
      <c r="DJ391"/>
      <c r="DK391"/>
      <c r="DL391"/>
      <c r="DM391"/>
      <c r="DN391"/>
    </row>
    <row r="392" spans="3:118" s="238" customFormat="1" ht="15.75" customHeight="1" x14ac:dyDescent="0.25">
      <c r="C392"/>
      <c r="D392"/>
      <c r="E392"/>
      <c r="F392"/>
      <c r="G392"/>
      <c r="H392"/>
      <c r="I392"/>
      <c r="J392"/>
      <c r="K392"/>
      <c r="L392"/>
      <c r="M392"/>
      <c r="N392"/>
      <c r="O392" s="366"/>
      <c r="P392" s="366">
        <v>2016</v>
      </c>
      <c r="Q392" s="367">
        <f>LARGE($CB$304:$CB$453,89)</f>
        <v>25.9</v>
      </c>
      <c r="R392" s="357">
        <f t="shared" si="121"/>
        <v>-138.69999999999999</v>
      </c>
      <c r="S392" s="356">
        <f t="shared" si="120"/>
        <v>19237.689999999995</v>
      </c>
      <c r="U392" s="356">
        <f t="shared" si="122"/>
        <v>-8.6687499999999993</v>
      </c>
      <c r="V392" s="238">
        <f t="shared" si="126"/>
        <v>8</v>
      </c>
      <c r="W392" s="354"/>
      <c r="X392" s="366"/>
      <c r="Y392" s="366"/>
      <c r="Z392" s="238">
        <v>2016</v>
      </c>
      <c r="AA392" s="367">
        <f>LARGE($CU$304:$CU$453,89)</f>
        <v>87.9</v>
      </c>
      <c r="AB392" s="357">
        <f t="shared" si="123"/>
        <v>-123.80000000000001</v>
      </c>
      <c r="AC392" s="356">
        <f t="shared" si="125"/>
        <v>15326.440000000002</v>
      </c>
      <c r="AE392" s="356">
        <f t="shared" si="124"/>
        <v>-7.7375000000000007</v>
      </c>
      <c r="AF392" s="238">
        <f t="shared" si="127"/>
        <v>8</v>
      </c>
      <c r="AG392" s="354"/>
      <c r="AK392"/>
      <c r="AL392"/>
      <c r="AM392"/>
      <c r="AN392"/>
      <c r="AO392"/>
      <c r="AP392"/>
      <c r="BI392" s="360"/>
      <c r="BJ392" s="354"/>
      <c r="BK392" s="366">
        <v>2016</v>
      </c>
      <c r="BL392" s="365" t="s">
        <v>1283</v>
      </c>
      <c r="BM392" s="366" t="s">
        <v>154</v>
      </c>
      <c r="BN392" s="366" t="s">
        <v>3</v>
      </c>
      <c r="BO392" s="366">
        <v>0</v>
      </c>
      <c r="BP392" s="366">
        <v>0</v>
      </c>
      <c r="BQ392" s="366">
        <v>0</v>
      </c>
      <c r="BR392" s="366">
        <v>111</v>
      </c>
      <c r="BS392" s="366">
        <v>2</v>
      </c>
      <c r="BT392" s="366">
        <v>2</v>
      </c>
      <c r="BU392" s="366">
        <v>12</v>
      </c>
      <c r="BV392" s="366">
        <v>0</v>
      </c>
      <c r="BW392" s="366">
        <v>0</v>
      </c>
      <c r="BX392" s="366">
        <v>0</v>
      </c>
      <c r="BY392" s="366">
        <v>0</v>
      </c>
      <c r="BZ392" s="366">
        <v>0</v>
      </c>
      <c r="CA392" s="366">
        <v>0</v>
      </c>
      <c r="CB392" s="367">
        <f>IFERROR(BO392/Instructions!$J$25,0)+BP392*Instructions!$J$27+BQ392*Instructions!$J$29+IFERROR(BR392/Instructions!$E$34,0)+BS392*Instructions!$E$36+Tier!BT393*Instructions!$E$25+IFERROR(BU392/Instructions!$E$27,0)+BV392*Instructions!$E$29+IFERROR((BW392+BY392)/Instructions!$J$32,0)+(BX392+BZ392)*Instructions!$J$34+Tier!CA392*-2</f>
        <v>40.300000000000004</v>
      </c>
      <c r="CC392" s="354"/>
      <c r="CD392" s="238">
        <v>2016</v>
      </c>
      <c r="CE392" s="365" t="s">
        <v>1247</v>
      </c>
      <c r="CF392" s="366" t="s">
        <v>156</v>
      </c>
      <c r="CG392" s="366" t="s">
        <v>6</v>
      </c>
      <c r="CH392" s="366">
        <v>0</v>
      </c>
      <c r="CI392" s="366">
        <v>0</v>
      </c>
      <c r="CJ392" s="366">
        <v>0</v>
      </c>
      <c r="CK392" s="366">
        <v>0</v>
      </c>
      <c r="CL392" s="366">
        <v>0</v>
      </c>
      <c r="CM392" s="366">
        <v>29</v>
      </c>
      <c r="CN392" s="366">
        <v>431</v>
      </c>
      <c r="CO392" s="366">
        <v>3</v>
      </c>
      <c r="CP392" s="366">
        <v>0</v>
      </c>
      <c r="CQ392" s="366">
        <v>0</v>
      </c>
      <c r="CR392" s="366">
        <v>0</v>
      </c>
      <c r="CS392" s="366">
        <v>0</v>
      </c>
      <c r="CT392" s="366">
        <v>0</v>
      </c>
      <c r="CU392" s="367">
        <f>IFERROR(CH392/Instructions!$J$25,0)+CI392*Instructions!$J$27+CJ392*Instructions!$J$29+IFERROR(CK392/Instructions!$E$34,0)+CL392*Instructions!$E$36+Tier!CM392*Instructions!$E$25+IFERROR(CN392/Instructions!$E$27,0)+CO392*Instructions!$E$29+IFERROR((CP392+CR392)/Instructions!$J$32,0)+(CQ392+CS392)*Instructions!$J$34+Tier!CT392*-2</f>
        <v>90.1</v>
      </c>
      <c r="CV392" s="354"/>
      <c r="CW392"/>
      <c r="CX392"/>
      <c r="CY392"/>
      <c r="CZ392"/>
      <c r="DA392"/>
      <c r="DB392"/>
      <c r="DC392"/>
      <c r="DD392"/>
      <c r="DE392"/>
      <c r="DF392"/>
      <c r="DG392"/>
      <c r="DH392"/>
      <c r="DI392"/>
      <c r="DJ392"/>
      <c r="DK392"/>
      <c r="DL392"/>
      <c r="DM392"/>
      <c r="DN392"/>
    </row>
    <row r="393" spans="3:118" s="238" customFormat="1" ht="15.75" customHeight="1" x14ac:dyDescent="0.25">
      <c r="C393"/>
      <c r="D393"/>
      <c r="E393"/>
      <c r="F393"/>
      <c r="G393"/>
      <c r="H393"/>
      <c r="I393"/>
      <c r="J393"/>
      <c r="K393"/>
      <c r="L393"/>
      <c r="M393"/>
      <c r="N393"/>
      <c r="O393" s="366"/>
      <c r="P393" s="366">
        <v>2016</v>
      </c>
      <c r="Q393" s="367">
        <f>LARGE($CB$304:$CB$453,90)</f>
        <v>25.1</v>
      </c>
      <c r="R393" s="357">
        <f t="shared" si="121"/>
        <v>-139.5</v>
      </c>
      <c r="S393" s="356">
        <f t="shared" si="120"/>
        <v>19460.25</v>
      </c>
      <c r="U393" s="356">
        <f t="shared" si="122"/>
        <v>-8.71875</v>
      </c>
      <c r="V393" s="238">
        <f t="shared" si="126"/>
        <v>8</v>
      </c>
      <c r="W393" s="354"/>
      <c r="X393" s="366"/>
      <c r="Y393" s="366"/>
      <c r="Z393" s="238">
        <v>2016</v>
      </c>
      <c r="AA393" s="367">
        <f>LARGE($CU$304:$CU$453,90)</f>
        <v>87.2</v>
      </c>
      <c r="AB393" s="357">
        <f t="shared" si="123"/>
        <v>-124.50000000000001</v>
      </c>
      <c r="AC393" s="356">
        <f t="shared" si="125"/>
        <v>15500.250000000004</v>
      </c>
      <c r="AE393" s="356">
        <f t="shared" si="124"/>
        <v>-7.7812500000000009</v>
      </c>
      <c r="AF393" s="238">
        <f t="shared" si="127"/>
        <v>8</v>
      </c>
      <c r="AG393" s="354"/>
      <c r="AK393"/>
      <c r="AL393"/>
      <c r="AM393"/>
      <c r="AN393"/>
      <c r="AO393"/>
      <c r="AP393"/>
      <c r="BI393" s="360"/>
      <c r="BJ393" s="354"/>
      <c r="BK393" s="366">
        <v>2016</v>
      </c>
      <c r="BL393" s="365" t="s">
        <v>128</v>
      </c>
      <c r="BM393" s="366" t="s">
        <v>146</v>
      </c>
      <c r="BN393" s="366" t="s">
        <v>3</v>
      </c>
      <c r="BO393" s="366">
        <v>0</v>
      </c>
      <c r="BP393" s="366">
        <v>0</v>
      </c>
      <c r="BQ393" s="366">
        <v>0</v>
      </c>
      <c r="BR393" s="366">
        <v>31</v>
      </c>
      <c r="BS393" s="366">
        <v>1</v>
      </c>
      <c r="BT393" s="366">
        <v>16</v>
      </c>
      <c r="BU393" s="366">
        <v>122</v>
      </c>
      <c r="BV393" s="366">
        <v>0</v>
      </c>
      <c r="BW393" s="366">
        <v>0</v>
      </c>
      <c r="BX393" s="366">
        <v>0</v>
      </c>
      <c r="BY393" s="366">
        <v>32</v>
      </c>
      <c r="BZ393" s="366">
        <v>0</v>
      </c>
      <c r="CA393" s="366">
        <v>0</v>
      </c>
      <c r="CB393" s="367">
        <f>IFERROR(BO393/Instructions!$J$25,0)+BP393*Instructions!$J$27+BQ393*Instructions!$J$29+IFERROR(BR393/Instructions!$E$34,0)+BS393*Instructions!$E$36+Tier!BT394*Instructions!$E$25+IFERROR(BU393/Instructions!$E$27,0)+BV393*Instructions!$E$29+IFERROR((BW393+BY393)/Instructions!$J$32,0)+(BX393+BZ393)*Instructions!$J$34+Tier!CA393*-2</f>
        <v>28.3</v>
      </c>
      <c r="CC393" s="354"/>
      <c r="CD393" s="238">
        <v>2016</v>
      </c>
      <c r="CE393" s="365" t="s">
        <v>1105</v>
      </c>
      <c r="CF393" s="366" t="s">
        <v>159</v>
      </c>
      <c r="CG393" s="366" t="s">
        <v>6</v>
      </c>
      <c r="CH393" s="366">
        <v>0</v>
      </c>
      <c r="CI393" s="366">
        <v>0</v>
      </c>
      <c r="CJ393" s="366">
        <v>0</v>
      </c>
      <c r="CK393" s="366">
        <v>0</v>
      </c>
      <c r="CL393" s="366">
        <v>0</v>
      </c>
      <c r="CM393" s="366">
        <v>23</v>
      </c>
      <c r="CN393" s="366">
        <v>371</v>
      </c>
      <c r="CO393" s="366">
        <v>4</v>
      </c>
      <c r="CP393" s="366">
        <v>0</v>
      </c>
      <c r="CQ393" s="366">
        <v>0</v>
      </c>
      <c r="CR393" s="366">
        <v>0</v>
      </c>
      <c r="CS393" s="366">
        <v>0</v>
      </c>
      <c r="CT393" s="366">
        <v>0</v>
      </c>
      <c r="CU393" s="367">
        <f>IFERROR(CH393/Instructions!$J$25,0)+CI393*Instructions!$J$27+CJ393*Instructions!$J$29+IFERROR(CK393/Instructions!$E$34,0)+CL393*Instructions!$E$36+Tier!CM393*Instructions!$E$25+IFERROR(CN393/Instructions!$E$27,0)+CO393*Instructions!$E$29+IFERROR((CP393+CR393)/Instructions!$J$32,0)+(CQ393+CS393)*Instructions!$J$34+Tier!CT393*-2</f>
        <v>84.1</v>
      </c>
      <c r="CV393" s="354"/>
      <c r="CW393"/>
      <c r="CX393"/>
      <c r="CY393"/>
      <c r="CZ393"/>
      <c r="DA393"/>
      <c r="DB393"/>
      <c r="DC393"/>
      <c r="DD393"/>
      <c r="DE393"/>
      <c r="DF393"/>
      <c r="DG393"/>
      <c r="DH393"/>
      <c r="DI393"/>
      <c r="DJ393"/>
      <c r="DK393"/>
      <c r="DL393"/>
      <c r="DM393"/>
      <c r="DN393"/>
    </row>
    <row r="394" spans="3:118" s="238" customFormat="1" ht="15.75" customHeight="1" x14ac:dyDescent="0.25">
      <c r="C394"/>
      <c r="D394"/>
      <c r="E394"/>
      <c r="F394"/>
      <c r="G394"/>
      <c r="H394"/>
      <c r="I394"/>
      <c r="J394"/>
      <c r="K394"/>
      <c r="L394"/>
      <c r="M394"/>
      <c r="N394"/>
      <c r="O394" s="366"/>
      <c r="P394" s="366">
        <v>2016</v>
      </c>
      <c r="Q394" s="367">
        <f>LARGE($CB$304:$CB$453,91)</f>
        <v>24.9</v>
      </c>
      <c r="R394" s="357">
        <f t="shared" si="121"/>
        <v>-139.69999999999999</v>
      </c>
      <c r="S394" s="356">
        <f t="shared" si="120"/>
        <v>19516.089999999997</v>
      </c>
      <c r="U394" s="356">
        <f t="shared" si="122"/>
        <v>-8.7312499999999993</v>
      </c>
      <c r="V394" s="238">
        <f t="shared" si="126"/>
        <v>8</v>
      </c>
      <c r="W394" s="354"/>
      <c r="X394" s="366"/>
      <c r="Y394" s="366"/>
      <c r="Z394" s="238">
        <v>2016</v>
      </c>
      <c r="AA394" s="367">
        <f>LARGE($CU$304:$CU$453,91)</f>
        <v>86.9</v>
      </c>
      <c r="AB394" s="357">
        <f t="shared" si="123"/>
        <v>-124.80000000000001</v>
      </c>
      <c r="AC394" s="356">
        <f t="shared" si="125"/>
        <v>15575.040000000003</v>
      </c>
      <c r="AE394" s="356">
        <f t="shared" si="124"/>
        <v>-7.8000000000000007</v>
      </c>
      <c r="AF394" s="238">
        <f t="shared" si="127"/>
        <v>8</v>
      </c>
      <c r="AG394" s="354"/>
      <c r="AK394"/>
      <c r="AL394"/>
      <c r="AM394"/>
      <c r="AN394"/>
      <c r="AO394"/>
      <c r="AP394"/>
      <c r="BI394" s="360"/>
      <c r="BJ394" s="354"/>
      <c r="BK394" s="366">
        <v>2016</v>
      </c>
      <c r="BL394" s="365" t="s">
        <v>972</v>
      </c>
      <c r="BM394" s="366" t="s">
        <v>1633</v>
      </c>
      <c r="BN394" s="366" t="s">
        <v>3</v>
      </c>
      <c r="BO394" s="366">
        <v>0</v>
      </c>
      <c r="BP394" s="366">
        <v>0</v>
      </c>
      <c r="BQ394" s="366">
        <v>0</v>
      </c>
      <c r="BR394" s="366">
        <v>131</v>
      </c>
      <c r="BS394" s="366">
        <v>0</v>
      </c>
      <c r="BT394" s="366">
        <v>7</v>
      </c>
      <c r="BU394" s="366">
        <v>93</v>
      </c>
      <c r="BV394" s="366">
        <v>0</v>
      </c>
      <c r="BW394" s="366">
        <v>0</v>
      </c>
      <c r="BX394" s="366">
        <v>0</v>
      </c>
      <c r="BY394" s="366">
        <v>0</v>
      </c>
      <c r="BZ394" s="366">
        <v>0</v>
      </c>
      <c r="CA394" s="366">
        <v>0</v>
      </c>
      <c r="CB394" s="367">
        <f>IFERROR(BO394/Instructions!$J$25,0)+BP394*Instructions!$J$27+BQ394*Instructions!$J$29+IFERROR(BR394/Instructions!$E$34,0)+BS394*Instructions!$E$36+Tier!BT395*Instructions!$E$25+IFERROR(BU394/Instructions!$E$27,0)+BV394*Instructions!$E$29+IFERROR((BW394+BY394)/Instructions!$J$32,0)+(BX394+BZ394)*Instructions!$J$34+Tier!CA394*-2</f>
        <v>27.400000000000002</v>
      </c>
      <c r="CC394" s="354"/>
      <c r="CD394" s="238">
        <v>2016</v>
      </c>
      <c r="CE394" s="365" t="s">
        <v>1184</v>
      </c>
      <c r="CF394" s="366" t="s">
        <v>161</v>
      </c>
      <c r="CG394" s="366" t="s">
        <v>6</v>
      </c>
      <c r="CH394" s="366">
        <v>0</v>
      </c>
      <c r="CI394" s="366">
        <v>0</v>
      </c>
      <c r="CJ394" s="366">
        <v>0</v>
      </c>
      <c r="CK394" s="366">
        <v>10</v>
      </c>
      <c r="CL394" s="366">
        <v>0</v>
      </c>
      <c r="CM394" s="366">
        <v>33</v>
      </c>
      <c r="CN394" s="366">
        <v>413</v>
      </c>
      <c r="CO394" s="366">
        <v>3</v>
      </c>
      <c r="CP394" s="366">
        <v>0</v>
      </c>
      <c r="CQ394" s="366">
        <v>0</v>
      </c>
      <c r="CR394" s="366">
        <v>0</v>
      </c>
      <c r="CS394" s="366">
        <v>0</v>
      </c>
      <c r="CT394" s="366">
        <v>0</v>
      </c>
      <c r="CU394" s="367">
        <f>IFERROR(CH394/Instructions!$J$25,0)+CI394*Instructions!$J$27+CJ394*Instructions!$J$29+IFERROR(CK394/Instructions!$E$34,0)+CL394*Instructions!$E$36+Tier!CM394*Instructions!$E$25+IFERROR(CN394/Instructions!$E$27,0)+CO394*Instructions!$E$29+IFERROR((CP394+CR394)/Instructions!$J$32,0)+(CQ394+CS394)*Instructions!$J$34+Tier!CT394*-2</f>
        <v>93.3</v>
      </c>
      <c r="CV394" s="354"/>
      <c r="CW394"/>
      <c r="CX394"/>
      <c r="CY394"/>
      <c r="CZ394"/>
      <c r="DA394"/>
      <c r="DB394"/>
      <c r="DC394"/>
      <c r="DD394"/>
      <c r="DE394"/>
      <c r="DF394"/>
      <c r="DG394"/>
      <c r="DH394"/>
      <c r="DI394"/>
      <c r="DJ394"/>
      <c r="DK394"/>
      <c r="DL394"/>
      <c r="DM394"/>
      <c r="DN394"/>
    </row>
    <row r="395" spans="3:118" s="238" customFormat="1" ht="15.75" customHeight="1" x14ac:dyDescent="0.25">
      <c r="C395"/>
      <c r="D395"/>
      <c r="E395"/>
      <c r="F395"/>
      <c r="G395"/>
      <c r="H395"/>
      <c r="I395"/>
      <c r="J395"/>
      <c r="K395"/>
      <c r="L395"/>
      <c r="M395"/>
      <c r="N395"/>
      <c r="O395" s="366"/>
      <c r="P395" s="366">
        <v>2016</v>
      </c>
      <c r="Q395" s="367">
        <f>LARGE($CB$304:$CB$453,92)</f>
        <v>24.8</v>
      </c>
      <c r="R395" s="357">
        <f t="shared" si="121"/>
        <v>-139.79999999999998</v>
      </c>
      <c r="S395" s="356">
        <f t="shared" si="120"/>
        <v>19544.039999999994</v>
      </c>
      <c r="U395" s="356">
        <f t="shared" si="122"/>
        <v>-8.7374999999999989</v>
      </c>
      <c r="V395" s="238">
        <f t="shared" si="126"/>
        <v>8</v>
      </c>
      <c r="W395" s="354"/>
      <c r="X395" s="366"/>
      <c r="Y395" s="366"/>
      <c r="Z395" s="238">
        <v>2016</v>
      </c>
      <c r="AA395" s="367">
        <f>LARGE($CU$304:$CU$453,92)</f>
        <v>85.9</v>
      </c>
      <c r="AB395" s="357">
        <f t="shared" si="123"/>
        <v>-125.80000000000001</v>
      </c>
      <c r="AC395" s="356">
        <f t="shared" si="125"/>
        <v>15825.640000000003</v>
      </c>
      <c r="AE395" s="356">
        <f t="shared" si="124"/>
        <v>-7.8625000000000007</v>
      </c>
      <c r="AF395" s="238">
        <f t="shared" si="127"/>
        <v>8</v>
      </c>
      <c r="AG395" s="354"/>
      <c r="AK395"/>
      <c r="AL395"/>
      <c r="AM395"/>
      <c r="AN395"/>
      <c r="AO395"/>
      <c r="AP395"/>
      <c r="BI395" s="360"/>
      <c r="BJ395" s="354"/>
      <c r="BK395" s="366">
        <v>2016</v>
      </c>
      <c r="BL395" s="365" t="s">
        <v>1130</v>
      </c>
      <c r="BM395" s="366" t="s">
        <v>142</v>
      </c>
      <c r="BN395" s="366" t="s">
        <v>3</v>
      </c>
      <c r="BO395" s="366">
        <v>0</v>
      </c>
      <c r="BP395" s="366">
        <v>0</v>
      </c>
      <c r="BQ395" s="366">
        <v>0</v>
      </c>
      <c r="BR395" s="366">
        <v>101</v>
      </c>
      <c r="BS395" s="366">
        <v>0</v>
      </c>
      <c r="BT395" s="366">
        <v>5</v>
      </c>
      <c r="BU395" s="366">
        <v>57</v>
      </c>
      <c r="BV395" s="366">
        <v>1</v>
      </c>
      <c r="BW395" s="366">
        <v>0</v>
      </c>
      <c r="BX395" s="366">
        <v>0</v>
      </c>
      <c r="BY395" s="366">
        <v>0</v>
      </c>
      <c r="BZ395" s="366">
        <v>0</v>
      </c>
      <c r="CA395" s="366">
        <v>0</v>
      </c>
      <c r="CB395" s="367">
        <f>IFERROR(BO395/Instructions!$J$25,0)+BP395*Instructions!$J$27+BQ395*Instructions!$J$29+IFERROR(BR395/Instructions!$E$34,0)+BS395*Instructions!$E$36+Tier!BT396*Instructions!$E$25+IFERROR(BU395/Instructions!$E$27,0)+BV395*Instructions!$E$29+IFERROR((BW395+BY395)/Instructions!$J$32,0)+(BX395+BZ395)*Instructions!$J$34+Tier!CA395*-2</f>
        <v>24.8</v>
      </c>
      <c r="CC395" s="354"/>
      <c r="CD395" s="238">
        <v>2016</v>
      </c>
      <c r="CE395" s="365" t="s">
        <v>112</v>
      </c>
      <c r="CF395" s="366" t="s">
        <v>1628</v>
      </c>
      <c r="CG395" s="366" t="s">
        <v>6</v>
      </c>
      <c r="CH395" s="366">
        <v>0</v>
      </c>
      <c r="CI395" s="366">
        <v>0</v>
      </c>
      <c r="CJ395" s="366">
        <v>0</v>
      </c>
      <c r="CK395" s="366">
        <v>0</v>
      </c>
      <c r="CL395" s="366">
        <v>0</v>
      </c>
      <c r="CM395" s="366">
        <v>23</v>
      </c>
      <c r="CN395" s="366">
        <v>243</v>
      </c>
      <c r="CO395" s="366">
        <v>4</v>
      </c>
      <c r="CP395" s="366">
        <v>121</v>
      </c>
      <c r="CQ395" s="366">
        <v>0</v>
      </c>
      <c r="CR395" s="366">
        <v>129</v>
      </c>
      <c r="CS395" s="366">
        <v>0</v>
      </c>
      <c r="CT395" s="366">
        <v>1</v>
      </c>
      <c r="CU395" s="367">
        <f>IFERROR(CH395/Instructions!$J$25,0)+CI395*Instructions!$J$27+CJ395*Instructions!$J$29+IFERROR(CK395/Instructions!$E$34,0)+CL395*Instructions!$E$36+Tier!CM395*Instructions!$E$25+IFERROR(CN395/Instructions!$E$27,0)+CO395*Instructions!$E$29+IFERROR((CP395+CR395)/Instructions!$J$32,0)+(CQ395+CS395)*Instructions!$J$34+Tier!CT395*-2</f>
        <v>69.3</v>
      </c>
      <c r="CV395" s="354"/>
      <c r="CW395"/>
      <c r="CX395"/>
      <c r="CY395"/>
      <c r="CZ395"/>
      <c r="DA395"/>
      <c r="DB395"/>
      <c r="DC395"/>
      <c r="DD395"/>
      <c r="DE395"/>
      <c r="DF395"/>
      <c r="DG395"/>
      <c r="DH395"/>
      <c r="DI395"/>
      <c r="DJ395"/>
      <c r="DK395"/>
      <c r="DL395"/>
      <c r="DM395"/>
      <c r="DN395"/>
    </row>
    <row r="396" spans="3:118" s="238" customFormat="1" ht="15.75" customHeight="1" x14ac:dyDescent="0.25">
      <c r="C396"/>
      <c r="D396"/>
      <c r="E396"/>
      <c r="F396"/>
      <c r="G396"/>
      <c r="H396"/>
      <c r="I396"/>
      <c r="J396"/>
      <c r="K396"/>
      <c r="L396"/>
      <c r="M396"/>
      <c r="N396"/>
      <c r="O396" s="366"/>
      <c r="P396" s="366">
        <v>2016</v>
      </c>
      <c r="Q396" s="367">
        <f>LARGE($CB$304:$CB$453,93)</f>
        <v>24.1</v>
      </c>
      <c r="R396" s="357">
        <f t="shared" si="121"/>
        <v>-140.5</v>
      </c>
      <c r="S396" s="356">
        <f t="shared" si="120"/>
        <v>19740.25</v>
      </c>
      <c r="U396" s="356">
        <f t="shared" si="122"/>
        <v>-8.78125</v>
      </c>
      <c r="V396" s="238">
        <f t="shared" si="126"/>
        <v>8</v>
      </c>
      <c r="W396" s="354"/>
      <c r="X396" s="366"/>
      <c r="Y396" s="366"/>
      <c r="Z396" s="238">
        <v>2016</v>
      </c>
      <c r="AA396" s="367">
        <f>LARGE($CU$304:$CU$453,93)</f>
        <v>84.1</v>
      </c>
      <c r="AB396" s="357">
        <f t="shared" si="123"/>
        <v>-127.60000000000002</v>
      </c>
      <c r="AC396" s="356">
        <f t="shared" si="125"/>
        <v>16281.760000000006</v>
      </c>
      <c r="AE396" s="356">
        <f t="shared" si="124"/>
        <v>-7.9750000000000014</v>
      </c>
      <c r="AF396" s="238">
        <f t="shared" si="127"/>
        <v>8</v>
      </c>
      <c r="AG396" s="354"/>
      <c r="AK396"/>
      <c r="AL396"/>
      <c r="AM396"/>
      <c r="AN396"/>
      <c r="AO396"/>
      <c r="AP396"/>
      <c r="BI396" s="360"/>
      <c r="BJ396" s="354"/>
      <c r="BK396" s="366">
        <v>2016</v>
      </c>
      <c r="BL396" s="365" t="s">
        <v>1291</v>
      </c>
      <c r="BM396" s="366" t="s">
        <v>151</v>
      </c>
      <c r="BN396" s="366" t="s">
        <v>3</v>
      </c>
      <c r="BO396" s="366">
        <v>0</v>
      </c>
      <c r="BP396" s="366">
        <v>0</v>
      </c>
      <c r="BQ396" s="366">
        <v>0</v>
      </c>
      <c r="BR396" s="366">
        <v>109</v>
      </c>
      <c r="BS396" s="366">
        <v>0</v>
      </c>
      <c r="BT396" s="366">
        <v>3</v>
      </c>
      <c r="BU396" s="366">
        <v>29</v>
      </c>
      <c r="BV396" s="366">
        <v>0</v>
      </c>
      <c r="BW396" s="366">
        <v>0</v>
      </c>
      <c r="BX396" s="366">
        <v>0</v>
      </c>
      <c r="BY396" s="366">
        <v>194</v>
      </c>
      <c r="BZ396" s="366">
        <v>0</v>
      </c>
      <c r="CA396" s="366">
        <v>0</v>
      </c>
      <c r="CB396" s="367">
        <f>IFERROR(BO396/Instructions!$J$25,0)+BP396*Instructions!$J$27+BQ396*Instructions!$J$29+IFERROR(BR396/Instructions!$E$34,0)+BS396*Instructions!$E$36+Tier!BT397*Instructions!$E$25+IFERROR(BU396/Instructions!$E$27,0)+BV396*Instructions!$E$29+IFERROR((BW396+BY396)/Instructions!$J$32,0)+(BX396+BZ396)*Instructions!$J$34+Tier!CA396*-2</f>
        <v>19.799999999999997</v>
      </c>
      <c r="CC396" s="354"/>
      <c r="CD396" s="238">
        <v>2016</v>
      </c>
      <c r="CE396" s="365" t="s">
        <v>204</v>
      </c>
      <c r="CF396" s="366" t="s">
        <v>140</v>
      </c>
      <c r="CG396" s="366" t="s">
        <v>6</v>
      </c>
      <c r="CH396" s="366">
        <v>0</v>
      </c>
      <c r="CI396" s="366">
        <v>0</v>
      </c>
      <c r="CJ396" s="366">
        <v>0</v>
      </c>
      <c r="CK396" s="366">
        <v>0</v>
      </c>
      <c r="CL396" s="366">
        <v>0</v>
      </c>
      <c r="CM396" s="366">
        <v>41</v>
      </c>
      <c r="CN396" s="366">
        <v>510</v>
      </c>
      <c r="CO396" s="366">
        <v>1</v>
      </c>
      <c r="CP396" s="366">
        <v>0</v>
      </c>
      <c r="CQ396" s="366">
        <v>0</v>
      </c>
      <c r="CR396" s="366">
        <v>0</v>
      </c>
      <c r="CS396" s="366">
        <v>0</v>
      </c>
      <c r="CT396" s="366">
        <v>0</v>
      </c>
      <c r="CU396" s="367">
        <f>IFERROR(CH396/Instructions!$J$25,0)+CI396*Instructions!$J$27+CJ396*Instructions!$J$29+IFERROR(CK396/Instructions!$E$34,0)+CL396*Instructions!$E$36+Tier!CM396*Instructions!$E$25+IFERROR(CN396/Instructions!$E$27,0)+CO396*Instructions!$E$29+IFERROR((CP396+CR396)/Instructions!$J$32,0)+(CQ396+CS396)*Instructions!$J$34+Tier!CT396*-2</f>
        <v>98</v>
      </c>
      <c r="CV396" s="354"/>
      <c r="CW396"/>
      <c r="CX396"/>
      <c r="CY396"/>
      <c r="CZ396"/>
      <c r="DA396"/>
      <c r="DB396"/>
      <c r="DC396"/>
      <c r="DD396"/>
      <c r="DE396"/>
      <c r="DF396"/>
      <c r="DG396"/>
      <c r="DH396"/>
      <c r="DI396"/>
      <c r="DJ396"/>
      <c r="DK396"/>
      <c r="DL396"/>
      <c r="DM396"/>
      <c r="DN396"/>
    </row>
    <row r="397" spans="3:118" s="238" customFormat="1" ht="15.75" customHeight="1" x14ac:dyDescent="0.25">
      <c r="C397"/>
      <c r="D397"/>
      <c r="E397"/>
      <c r="F397"/>
      <c r="G397"/>
      <c r="H397"/>
      <c r="I397"/>
      <c r="J397"/>
      <c r="K397"/>
      <c r="L397"/>
      <c r="M397"/>
      <c r="N397"/>
      <c r="O397" s="366"/>
      <c r="P397" s="366">
        <v>2016</v>
      </c>
      <c r="Q397" s="367">
        <f>LARGE($CB$304:$CB$453,94)</f>
        <v>23.2</v>
      </c>
      <c r="R397" s="357">
        <f t="shared" si="121"/>
        <v>-141.4</v>
      </c>
      <c r="S397" s="356">
        <f t="shared" si="120"/>
        <v>19993.960000000003</v>
      </c>
      <c r="U397" s="356">
        <f t="shared" si="122"/>
        <v>-8.8375000000000004</v>
      </c>
      <c r="V397" s="238">
        <f t="shared" si="126"/>
        <v>8</v>
      </c>
      <c r="W397" s="354"/>
      <c r="X397" s="366"/>
      <c r="Y397" s="366"/>
      <c r="Z397" s="238">
        <v>2016</v>
      </c>
      <c r="AA397" s="367">
        <f>LARGE($CU$304:$CU$453,94)</f>
        <v>83.4</v>
      </c>
      <c r="AB397" s="357">
        <f t="shared" si="123"/>
        <v>-128.30000000000001</v>
      </c>
      <c r="AC397" s="356">
        <f t="shared" si="125"/>
        <v>16460.890000000003</v>
      </c>
      <c r="AE397" s="356">
        <f t="shared" si="124"/>
        <v>-8.0187500000000007</v>
      </c>
      <c r="AF397" s="238">
        <f t="shared" si="127"/>
        <v>8</v>
      </c>
      <c r="AG397" s="354"/>
      <c r="AK397"/>
      <c r="AL397"/>
      <c r="AM397"/>
      <c r="AN397"/>
      <c r="AO397"/>
      <c r="AP397"/>
      <c r="BI397" s="360"/>
      <c r="BJ397" s="354"/>
      <c r="BK397" s="366">
        <v>2016</v>
      </c>
      <c r="BL397" s="365" t="s">
        <v>95</v>
      </c>
      <c r="BM397" s="366" t="s">
        <v>1626</v>
      </c>
      <c r="BN397" s="366" t="s">
        <v>3</v>
      </c>
      <c r="BO397" s="366">
        <v>0</v>
      </c>
      <c r="BP397" s="366">
        <v>0</v>
      </c>
      <c r="BQ397" s="366">
        <v>0</v>
      </c>
      <c r="BR397" s="366">
        <v>116</v>
      </c>
      <c r="BS397" s="366">
        <v>0</v>
      </c>
      <c r="BT397" s="366">
        <v>6</v>
      </c>
      <c r="BU397" s="366">
        <v>35</v>
      </c>
      <c r="BV397" s="366">
        <v>1</v>
      </c>
      <c r="BW397" s="366">
        <v>0</v>
      </c>
      <c r="BX397" s="366">
        <v>0</v>
      </c>
      <c r="BY397" s="366">
        <v>0</v>
      </c>
      <c r="BZ397" s="366">
        <v>0</v>
      </c>
      <c r="CA397" s="366">
        <v>0</v>
      </c>
      <c r="CB397" s="367">
        <f>IFERROR(BO397/Instructions!$J$25,0)+BP397*Instructions!$J$27+BQ397*Instructions!$J$29+IFERROR(BR397/Instructions!$E$34,0)+BS397*Instructions!$E$36+Tier!BT398*Instructions!$E$25+IFERROR(BU397/Instructions!$E$27,0)+BV397*Instructions!$E$29+IFERROR((BW397+BY397)/Instructions!$J$32,0)+(BX397+BZ397)*Instructions!$J$34+Tier!CA397*-2</f>
        <v>24.1</v>
      </c>
      <c r="CC397" s="354"/>
      <c r="CD397" s="238">
        <v>2016</v>
      </c>
      <c r="CE397" s="365" t="s">
        <v>1244</v>
      </c>
      <c r="CF397" s="366" t="s">
        <v>156</v>
      </c>
      <c r="CG397" s="366" t="s">
        <v>6</v>
      </c>
      <c r="CH397" s="366">
        <v>0</v>
      </c>
      <c r="CI397" s="366">
        <v>0</v>
      </c>
      <c r="CJ397" s="366">
        <v>0</v>
      </c>
      <c r="CK397" s="366">
        <v>48</v>
      </c>
      <c r="CL397" s="366">
        <v>0</v>
      </c>
      <c r="CM397" s="366">
        <v>8</v>
      </c>
      <c r="CN397" s="366">
        <v>117</v>
      </c>
      <c r="CO397" s="366">
        <v>0</v>
      </c>
      <c r="CP397" s="366">
        <v>301</v>
      </c>
      <c r="CQ397" s="366">
        <v>0</v>
      </c>
      <c r="CR397" s="366">
        <v>662</v>
      </c>
      <c r="CS397" s="366">
        <v>0</v>
      </c>
      <c r="CT397" s="366">
        <v>0</v>
      </c>
      <c r="CU397" s="367">
        <f>IFERROR(CH397/Instructions!$J$25,0)+CI397*Instructions!$J$27+CJ397*Instructions!$J$29+IFERROR(CK397/Instructions!$E$34,0)+CL397*Instructions!$E$36+Tier!CM397*Instructions!$E$25+IFERROR(CN397/Instructions!$E$27,0)+CO397*Instructions!$E$29+IFERROR((CP397+CR397)/Instructions!$J$32,0)+(CQ397+CS397)*Instructions!$J$34+Tier!CT397*-2</f>
        <v>24.5</v>
      </c>
      <c r="CV397" s="354"/>
      <c r="CW397"/>
      <c r="CX397"/>
      <c r="CY397"/>
      <c r="CZ397"/>
      <c r="DA397"/>
      <c r="DB397"/>
      <c r="DC397"/>
      <c r="DD397"/>
      <c r="DE397"/>
      <c r="DF397"/>
      <c r="DG397"/>
      <c r="DH397"/>
      <c r="DI397"/>
      <c r="DJ397"/>
      <c r="DK397"/>
      <c r="DL397"/>
      <c r="DM397"/>
      <c r="DN397"/>
    </row>
    <row r="398" spans="3:118" s="238" customFormat="1" ht="15.75" customHeight="1" x14ac:dyDescent="0.25">
      <c r="C398"/>
      <c r="D398"/>
      <c r="E398"/>
      <c r="F398"/>
      <c r="G398"/>
      <c r="H398"/>
      <c r="I398"/>
      <c r="J398"/>
      <c r="K398"/>
      <c r="L398"/>
      <c r="M398"/>
      <c r="N398"/>
      <c r="O398" s="366"/>
      <c r="P398" s="366">
        <v>2016</v>
      </c>
      <c r="Q398" s="367">
        <f>LARGE($CB$304:$CB$453,95)</f>
        <v>22.9</v>
      </c>
      <c r="R398" s="357">
        <f t="shared" si="121"/>
        <v>-141.69999999999999</v>
      </c>
      <c r="S398" s="356">
        <f t="shared" si="120"/>
        <v>20078.889999999996</v>
      </c>
      <c r="U398" s="356">
        <f t="shared" si="122"/>
        <v>-8.8562499999999993</v>
      </c>
      <c r="V398" s="238">
        <f t="shared" si="126"/>
        <v>8</v>
      </c>
      <c r="W398" s="354"/>
      <c r="X398" s="366"/>
      <c r="Y398" s="366"/>
      <c r="Z398" s="238">
        <v>2016</v>
      </c>
      <c r="AA398" s="367">
        <f>LARGE($CU$304:$CU$453,95)</f>
        <v>83</v>
      </c>
      <c r="AB398" s="357">
        <f t="shared" si="123"/>
        <v>-128.70000000000002</v>
      </c>
      <c r="AC398" s="356">
        <f t="shared" si="125"/>
        <v>16563.690000000006</v>
      </c>
      <c r="AE398" s="356">
        <f t="shared" si="124"/>
        <v>-8.0437500000000011</v>
      </c>
      <c r="AF398" s="238">
        <f t="shared" si="127"/>
        <v>8</v>
      </c>
      <c r="AG398" s="354"/>
      <c r="AK398"/>
      <c r="AL398"/>
      <c r="AM398"/>
      <c r="AN398"/>
      <c r="AO398"/>
      <c r="AP398"/>
      <c r="BI398" s="360"/>
      <c r="BJ398" s="354"/>
      <c r="BK398" s="366">
        <v>2016</v>
      </c>
      <c r="BL398" s="365" t="s">
        <v>1281</v>
      </c>
      <c r="BM398" s="366" t="s">
        <v>147</v>
      </c>
      <c r="BN398" s="366" t="s">
        <v>3</v>
      </c>
      <c r="BO398" s="366">
        <v>0</v>
      </c>
      <c r="BP398" s="366">
        <v>0</v>
      </c>
      <c r="BQ398" s="366">
        <v>0</v>
      </c>
      <c r="BR398" s="366">
        <v>58</v>
      </c>
      <c r="BS398" s="366">
        <v>0</v>
      </c>
      <c r="BT398" s="366">
        <v>3</v>
      </c>
      <c r="BU398" s="366">
        <v>33</v>
      </c>
      <c r="BV398" s="366">
        <v>0</v>
      </c>
      <c r="BW398" s="366">
        <v>0</v>
      </c>
      <c r="BX398" s="366">
        <v>0</v>
      </c>
      <c r="BY398" s="366">
        <v>278</v>
      </c>
      <c r="BZ398" s="366">
        <v>0</v>
      </c>
      <c r="CA398" s="366">
        <v>0</v>
      </c>
      <c r="CB398" s="367">
        <f>IFERROR(BO398/Instructions!$J$25,0)+BP398*Instructions!$J$27+BQ398*Instructions!$J$29+IFERROR(BR398/Instructions!$E$34,0)+BS398*Instructions!$E$36+Tier!BT399*Instructions!$E$25+IFERROR(BU398/Instructions!$E$27,0)+BV398*Instructions!$E$29+IFERROR((BW398+BY398)/Instructions!$J$32,0)+(BX398+BZ398)*Instructions!$J$34+Tier!CA398*-2</f>
        <v>22.1</v>
      </c>
      <c r="CC398" s="354"/>
      <c r="CD398" s="238">
        <v>2016</v>
      </c>
      <c r="CE398" s="365" t="s">
        <v>94</v>
      </c>
      <c r="CF398" s="366" t="s">
        <v>156</v>
      </c>
      <c r="CG398" s="366" t="s">
        <v>6</v>
      </c>
      <c r="CH398" s="366">
        <v>0</v>
      </c>
      <c r="CI398" s="366">
        <v>0</v>
      </c>
      <c r="CJ398" s="366">
        <v>0</v>
      </c>
      <c r="CK398" s="366">
        <v>0</v>
      </c>
      <c r="CL398" s="366">
        <v>0</v>
      </c>
      <c r="CM398" s="366">
        <v>28</v>
      </c>
      <c r="CN398" s="366">
        <v>430</v>
      </c>
      <c r="CO398" s="366">
        <v>2</v>
      </c>
      <c r="CP398" s="366">
        <v>0</v>
      </c>
      <c r="CQ398" s="366">
        <v>0</v>
      </c>
      <c r="CR398" s="366">
        <v>0</v>
      </c>
      <c r="CS398" s="366">
        <v>0</v>
      </c>
      <c r="CT398" s="366">
        <v>0</v>
      </c>
      <c r="CU398" s="367">
        <f>IFERROR(CH398/Instructions!$J$25,0)+CI398*Instructions!$J$27+CJ398*Instructions!$J$29+IFERROR(CK398/Instructions!$E$34,0)+CL398*Instructions!$E$36+Tier!CM398*Instructions!$E$25+IFERROR(CN398/Instructions!$E$27,0)+CO398*Instructions!$E$29+IFERROR((CP398+CR398)/Instructions!$J$32,0)+(CQ398+CS398)*Instructions!$J$34+Tier!CT398*-2</f>
        <v>83</v>
      </c>
      <c r="CV398" s="354"/>
      <c r="CW398"/>
      <c r="CX398"/>
      <c r="CY398"/>
      <c r="CZ398"/>
      <c r="DA398"/>
      <c r="DB398"/>
      <c r="DC398"/>
      <c r="DD398"/>
      <c r="DE398"/>
      <c r="DF398"/>
      <c r="DG398"/>
      <c r="DH398"/>
      <c r="DI398"/>
      <c r="DJ398"/>
      <c r="DK398"/>
      <c r="DL398"/>
      <c r="DM398"/>
      <c r="DN398"/>
    </row>
    <row r="399" spans="3:118" s="238" customFormat="1" ht="15.75" customHeight="1" x14ac:dyDescent="0.25">
      <c r="C399"/>
      <c r="D399"/>
      <c r="E399"/>
      <c r="F399"/>
      <c r="G399"/>
      <c r="H399"/>
      <c r="I399"/>
      <c r="J399"/>
      <c r="K399"/>
      <c r="L399"/>
      <c r="M399"/>
      <c r="N399"/>
      <c r="O399" s="366"/>
      <c r="P399" s="366">
        <v>2016</v>
      </c>
      <c r="Q399" s="367">
        <f>LARGE($CB$304:$CB$453,96)</f>
        <v>22.6</v>
      </c>
      <c r="R399" s="357">
        <f t="shared" si="121"/>
        <v>-142</v>
      </c>
      <c r="S399" s="356">
        <f t="shared" si="120"/>
        <v>20164</v>
      </c>
      <c r="U399" s="356">
        <f t="shared" si="122"/>
        <v>-8.875</v>
      </c>
      <c r="V399" s="238">
        <f t="shared" si="126"/>
        <v>8</v>
      </c>
      <c r="W399" s="354"/>
      <c r="X399" s="366"/>
      <c r="Y399" s="366"/>
      <c r="Z399" s="238">
        <v>2016</v>
      </c>
      <c r="AA399" s="367">
        <f>LARGE($CU$304:$CU$453,96)</f>
        <v>81.900000000000006</v>
      </c>
      <c r="AB399" s="357">
        <f t="shared" si="123"/>
        <v>-129.80000000000001</v>
      </c>
      <c r="AC399" s="356">
        <f t="shared" si="125"/>
        <v>16848.040000000005</v>
      </c>
      <c r="AE399" s="356">
        <f t="shared" si="124"/>
        <v>-8.1125000000000007</v>
      </c>
      <c r="AF399" s="238">
        <f t="shared" si="127"/>
        <v>8</v>
      </c>
      <c r="AG399" s="354"/>
      <c r="AK399"/>
      <c r="AL399"/>
      <c r="AM399"/>
      <c r="AN399"/>
      <c r="AO399"/>
      <c r="AP399"/>
      <c r="BI399" s="360"/>
      <c r="BJ399" s="354"/>
      <c r="BK399" s="366">
        <v>2016</v>
      </c>
      <c r="BL399" s="365" t="s">
        <v>974</v>
      </c>
      <c r="BM399" s="366" t="s">
        <v>151</v>
      </c>
      <c r="BN399" s="366" t="s">
        <v>3</v>
      </c>
      <c r="BO399" s="366">
        <v>0</v>
      </c>
      <c r="BP399" s="366">
        <v>0</v>
      </c>
      <c r="BQ399" s="366">
        <v>0</v>
      </c>
      <c r="BR399" s="366">
        <v>105</v>
      </c>
      <c r="BS399" s="366">
        <v>0</v>
      </c>
      <c r="BT399" s="366">
        <v>13</v>
      </c>
      <c r="BU399" s="366">
        <v>94</v>
      </c>
      <c r="BV399" s="366">
        <v>0</v>
      </c>
      <c r="BW399" s="366">
        <v>0</v>
      </c>
      <c r="BX399" s="366">
        <v>0</v>
      </c>
      <c r="BY399" s="366">
        <v>0</v>
      </c>
      <c r="BZ399" s="366">
        <v>0</v>
      </c>
      <c r="CA399" s="366">
        <v>0</v>
      </c>
      <c r="CB399" s="367">
        <f>IFERROR(BO399/Instructions!$J$25,0)+BP399*Instructions!$J$27+BQ399*Instructions!$J$29+IFERROR(BR399/Instructions!$E$34,0)+BS399*Instructions!$E$36+Tier!BT400*Instructions!$E$25+IFERROR(BU399/Instructions!$E$27,0)+BV399*Instructions!$E$29+IFERROR((BW399+BY399)/Instructions!$J$32,0)+(BX399+BZ399)*Instructions!$J$34+Tier!CA399*-2</f>
        <v>24.9</v>
      </c>
      <c r="CC399" s="354"/>
      <c r="CD399" s="238">
        <v>2016</v>
      </c>
      <c r="CE399" s="365" t="s">
        <v>1144</v>
      </c>
      <c r="CF399" s="366" t="s">
        <v>167</v>
      </c>
      <c r="CG399" s="366" t="s">
        <v>6</v>
      </c>
      <c r="CH399" s="366">
        <v>0</v>
      </c>
      <c r="CI399" s="366">
        <v>0</v>
      </c>
      <c r="CJ399" s="366">
        <v>0</v>
      </c>
      <c r="CK399" s="366">
        <v>0</v>
      </c>
      <c r="CL399" s="366">
        <v>0</v>
      </c>
      <c r="CM399" s="366">
        <v>33</v>
      </c>
      <c r="CN399" s="366">
        <v>359</v>
      </c>
      <c r="CO399" s="366">
        <v>3</v>
      </c>
      <c r="CP399" s="366">
        <v>0</v>
      </c>
      <c r="CQ399" s="366">
        <v>0</v>
      </c>
      <c r="CR399" s="366">
        <v>0</v>
      </c>
      <c r="CS399" s="366">
        <v>0</v>
      </c>
      <c r="CT399" s="366">
        <v>0</v>
      </c>
      <c r="CU399" s="367">
        <f>IFERROR(CH399/Instructions!$J$25,0)+CI399*Instructions!$J$27+CJ399*Instructions!$J$29+IFERROR(CK399/Instructions!$E$34,0)+CL399*Instructions!$E$36+Tier!CM399*Instructions!$E$25+IFERROR(CN399/Instructions!$E$27,0)+CO399*Instructions!$E$29+IFERROR((CP399+CR399)/Instructions!$J$32,0)+(CQ399+CS399)*Instructions!$J$34+Tier!CT399*-2</f>
        <v>86.9</v>
      </c>
      <c r="CV399" s="354"/>
      <c r="CW399"/>
      <c r="CX399"/>
      <c r="CY399"/>
      <c r="CZ399"/>
      <c r="DA399"/>
      <c r="DB399"/>
      <c r="DC399"/>
      <c r="DD399"/>
      <c r="DE399"/>
      <c r="DF399"/>
      <c r="DG399"/>
      <c r="DH399"/>
      <c r="DI399"/>
      <c r="DJ399"/>
      <c r="DK399"/>
      <c r="DL399"/>
      <c r="DM399"/>
      <c r="DN399"/>
    </row>
    <row r="400" spans="3:118" s="238" customFormat="1" ht="15.75" customHeight="1" x14ac:dyDescent="0.25">
      <c r="C400"/>
      <c r="D400"/>
      <c r="E400"/>
      <c r="F400"/>
      <c r="G400"/>
      <c r="H400"/>
      <c r="I400"/>
      <c r="J400"/>
      <c r="K400"/>
      <c r="L400"/>
      <c r="M400"/>
      <c r="N400"/>
      <c r="O400" s="366"/>
      <c r="P400" s="366">
        <v>2016</v>
      </c>
      <c r="Q400" s="367">
        <f>LARGE($CB$304:$CB$453,97)</f>
        <v>22.1</v>
      </c>
      <c r="R400" s="357">
        <f t="shared" si="121"/>
        <v>-142.5</v>
      </c>
      <c r="S400" s="356">
        <f t="shared" si="120"/>
        <v>20306.25</v>
      </c>
      <c r="U400" s="356">
        <f t="shared" si="122"/>
        <v>-8.90625</v>
      </c>
      <c r="V400" s="238">
        <f t="shared" si="126"/>
        <v>8</v>
      </c>
      <c r="W400" s="354"/>
      <c r="X400" s="366"/>
      <c r="Y400" s="366"/>
      <c r="Z400" s="238">
        <v>2016</v>
      </c>
      <c r="AA400" s="367">
        <f>LARGE($CU$304:$CU$453,97)</f>
        <v>77.900000000000006</v>
      </c>
      <c r="AB400" s="357">
        <f t="shared" si="123"/>
        <v>-133.80000000000001</v>
      </c>
      <c r="AC400" s="356">
        <f t="shared" si="125"/>
        <v>17902.440000000002</v>
      </c>
      <c r="AE400" s="356">
        <f t="shared" si="124"/>
        <v>-8.3625000000000007</v>
      </c>
      <c r="AF400" s="238">
        <f t="shared" si="127"/>
        <v>8</v>
      </c>
      <c r="AG400" s="354"/>
      <c r="AK400"/>
      <c r="AL400"/>
      <c r="AM400"/>
      <c r="AN400"/>
      <c r="AO400"/>
      <c r="AP400"/>
      <c r="BI400" s="360"/>
      <c r="BJ400" s="354"/>
      <c r="BK400" s="366">
        <v>2016</v>
      </c>
      <c r="BL400" s="365" t="s">
        <v>1634</v>
      </c>
      <c r="BM400" s="366" t="s">
        <v>141</v>
      </c>
      <c r="BN400" s="366" t="s">
        <v>3</v>
      </c>
      <c r="BO400" s="366">
        <v>0</v>
      </c>
      <c r="BP400" s="366">
        <v>0</v>
      </c>
      <c r="BQ400" s="366">
        <v>0</v>
      </c>
      <c r="BR400" s="366">
        <v>126</v>
      </c>
      <c r="BS400" s="366">
        <v>0</v>
      </c>
      <c r="BT400" s="366">
        <v>5</v>
      </c>
      <c r="BU400" s="366">
        <v>55</v>
      </c>
      <c r="BV400" s="366">
        <v>0</v>
      </c>
      <c r="BW400" s="366">
        <v>0</v>
      </c>
      <c r="BX400" s="366">
        <v>0</v>
      </c>
      <c r="BY400" s="366">
        <v>38</v>
      </c>
      <c r="BZ400" s="366">
        <v>0</v>
      </c>
      <c r="CA400" s="366">
        <v>0</v>
      </c>
      <c r="CB400" s="367">
        <f>IFERROR(BO400/Instructions!$J$25,0)+BP400*Instructions!$J$27+BQ400*Instructions!$J$29+IFERROR(BR400/Instructions!$E$34,0)+BS400*Instructions!$E$36+Tier!BT401*Instructions!$E$25+IFERROR(BU400/Instructions!$E$27,0)+BV400*Instructions!$E$29+IFERROR((BW400+BY400)/Instructions!$J$32,0)+(BX400+BZ400)*Instructions!$J$34+Tier!CA400*-2</f>
        <v>25.1</v>
      </c>
      <c r="CC400" s="354"/>
      <c r="CD400" s="238">
        <v>2016</v>
      </c>
      <c r="CE400" s="365" t="s">
        <v>1103</v>
      </c>
      <c r="CF400" s="366" t="s">
        <v>137</v>
      </c>
      <c r="CG400" s="366" t="s">
        <v>6</v>
      </c>
      <c r="CH400" s="366">
        <v>0</v>
      </c>
      <c r="CI400" s="366">
        <v>0</v>
      </c>
      <c r="CJ400" s="366">
        <v>0</v>
      </c>
      <c r="CK400" s="366">
        <v>14</v>
      </c>
      <c r="CL400" s="366">
        <v>0</v>
      </c>
      <c r="CM400" s="366">
        <v>36</v>
      </c>
      <c r="CN400" s="366">
        <v>365</v>
      </c>
      <c r="CO400" s="366">
        <v>2</v>
      </c>
      <c r="CP400" s="366">
        <v>0</v>
      </c>
      <c r="CQ400" s="366">
        <v>0</v>
      </c>
      <c r="CR400" s="366">
        <v>92</v>
      </c>
      <c r="CS400" s="366">
        <v>0</v>
      </c>
      <c r="CT400" s="366">
        <v>0</v>
      </c>
      <c r="CU400" s="367">
        <f>IFERROR(CH400/Instructions!$J$25,0)+CI400*Instructions!$J$27+CJ400*Instructions!$J$29+IFERROR(CK400/Instructions!$E$34,0)+CL400*Instructions!$E$36+Tier!CM400*Instructions!$E$25+IFERROR(CN400/Instructions!$E$27,0)+CO400*Instructions!$E$29+IFERROR((CP400+CR400)/Instructions!$J$32,0)+(CQ400+CS400)*Instructions!$J$34+Tier!CT400*-2</f>
        <v>85.9</v>
      </c>
      <c r="CV400" s="354"/>
      <c r="CW400"/>
      <c r="CX400"/>
      <c r="CY400"/>
      <c r="CZ400"/>
      <c r="DA400"/>
      <c r="DB400"/>
      <c r="DC400"/>
      <c r="DD400"/>
      <c r="DE400"/>
      <c r="DF400"/>
      <c r="DG400"/>
      <c r="DH400"/>
      <c r="DI400"/>
      <c r="DJ400"/>
      <c r="DK400"/>
      <c r="DL400"/>
      <c r="DM400"/>
      <c r="DN400"/>
    </row>
    <row r="401" spans="3:118" s="238" customFormat="1" ht="15.75" customHeight="1" x14ac:dyDescent="0.25">
      <c r="C401"/>
      <c r="D401"/>
      <c r="E401"/>
      <c r="F401"/>
      <c r="G401"/>
      <c r="H401"/>
      <c r="I401"/>
      <c r="J401"/>
      <c r="K401"/>
      <c r="L401"/>
      <c r="M401"/>
      <c r="N401"/>
      <c r="O401" s="366"/>
      <c r="P401" s="366">
        <v>2016</v>
      </c>
      <c r="Q401" s="367">
        <f>LARGE($CB$304:$CB$453,98)</f>
        <v>21.6</v>
      </c>
      <c r="R401" s="357">
        <f t="shared" si="121"/>
        <v>-143</v>
      </c>
      <c r="S401" s="356">
        <f t="shared" si="120"/>
        <v>20449</v>
      </c>
      <c r="U401" s="356">
        <f t="shared" si="122"/>
        <v>-8.9375</v>
      </c>
      <c r="V401" s="238">
        <f t="shared" si="126"/>
        <v>8</v>
      </c>
      <c r="W401" s="354"/>
      <c r="X401" s="366"/>
      <c r="Y401" s="366"/>
      <c r="Z401" s="238">
        <v>2016</v>
      </c>
      <c r="AA401" s="367">
        <f>LARGE($CU$304:$CU$453,98)</f>
        <v>77.8</v>
      </c>
      <c r="AB401" s="357">
        <f t="shared" si="123"/>
        <v>-133.90000000000003</v>
      </c>
      <c r="AC401" s="356">
        <f t="shared" si="125"/>
        <v>17929.21000000001</v>
      </c>
      <c r="AE401" s="356">
        <f t="shared" si="124"/>
        <v>-8.3687500000000021</v>
      </c>
      <c r="AF401" s="238">
        <f t="shared" si="127"/>
        <v>8</v>
      </c>
      <c r="AG401" s="354"/>
      <c r="AK401"/>
      <c r="AL401"/>
      <c r="AM401"/>
      <c r="AN401"/>
      <c r="AO401"/>
      <c r="AP401"/>
      <c r="BI401" s="360"/>
      <c r="BJ401" s="354"/>
      <c r="BK401" s="366">
        <v>2016</v>
      </c>
      <c r="BL401" s="365" t="s">
        <v>56</v>
      </c>
      <c r="BM401" s="366" t="s">
        <v>156</v>
      </c>
      <c r="BN401" s="366" t="s">
        <v>3</v>
      </c>
      <c r="BO401" s="366">
        <v>0</v>
      </c>
      <c r="BP401" s="366">
        <v>0</v>
      </c>
      <c r="BQ401" s="366">
        <v>0</v>
      </c>
      <c r="BR401" s="366">
        <v>-3</v>
      </c>
      <c r="BS401" s="366">
        <v>1</v>
      </c>
      <c r="BT401" s="366">
        <v>7</v>
      </c>
      <c r="BU401" s="366">
        <v>90</v>
      </c>
      <c r="BV401" s="366">
        <v>0</v>
      </c>
      <c r="BW401" s="366">
        <v>13</v>
      </c>
      <c r="BX401" s="366">
        <v>0</v>
      </c>
      <c r="BY401" s="366">
        <v>103</v>
      </c>
      <c r="BZ401" s="366">
        <v>0</v>
      </c>
      <c r="CA401" s="366">
        <v>0</v>
      </c>
      <c r="CB401" s="367">
        <f>IFERROR(BO401/Instructions!$J$25,0)+BP401*Instructions!$J$27+BQ401*Instructions!$J$29+IFERROR(BR401/Instructions!$E$34,0)+BS401*Instructions!$E$36+Tier!BT402*Instructions!$E$25+IFERROR(BU401/Instructions!$E$27,0)+BV401*Instructions!$E$29+IFERROR((BW401+BY401)/Instructions!$J$32,0)+(BX401+BZ401)*Instructions!$J$34+Tier!CA401*-2</f>
        <v>34.700000000000003</v>
      </c>
      <c r="CC401" s="354"/>
      <c r="CD401" s="238">
        <v>2016</v>
      </c>
      <c r="CE401" s="365" t="s">
        <v>1111</v>
      </c>
      <c r="CF401" s="366" t="s">
        <v>1629</v>
      </c>
      <c r="CG401" s="366" t="s">
        <v>6</v>
      </c>
      <c r="CH401" s="366">
        <v>0</v>
      </c>
      <c r="CI401" s="366">
        <v>0</v>
      </c>
      <c r="CJ401" s="366">
        <v>0</v>
      </c>
      <c r="CK401" s="366">
        <v>0</v>
      </c>
      <c r="CL401" s="366">
        <v>0</v>
      </c>
      <c r="CM401" s="366">
        <v>44</v>
      </c>
      <c r="CN401" s="366">
        <v>530</v>
      </c>
      <c r="CO401" s="366">
        <v>0</v>
      </c>
      <c r="CP401" s="366">
        <v>0</v>
      </c>
      <c r="CQ401" s="366">
        <v>0</v>
      </c>
      <c r="CR401" s="366">
        <v>0</v>
      </c>
      <c r="CS401" s="366">
        <v>0</v>
      </c>
      <c r="CT401" s="366">
        <v>0</v>
      </c>
      <c r="CU401" s="367">
        <f>IFERROR(CH401/Instructions!$J$25,0)+CI401*Instructions!$J$27+CJ401*Instructions!$J$29+IFERROR(CK401/Instructions!$E$34,0)+CL401*Instructions!$E$36+Tier!CM401*Instructions!$E$25+IFERROR(CN401/Instructions!$E$27,0)+CO401*Instructions!$E$29+IFERROR((CP401+CR401)/Instructions!$J$32,0)+(CQ401+CS401)*Instructions!$J$34+Tier!CT401*-2</f>
        <v>97</v>
      </c>
      <c r="CV401" s="354"/>
      <c r="CW401"/>
      <c r="CX401"/>
      <c r="CY401"/>
      <c r="CZ401"/>
      <c r="DA401"/>
      <c r="DB401"/>
      <c r="DC401"/>
      <c r="DD401"/>
      <c r="DE401"/>
      <c r="DF401"/>
      <c r="DG401"/>
      <c r="DH401"/>
      <c r="DI401"/>
      <c r="DJ401"/>
      <c r="DK401"/>
      <c r="DL401"/>
      <c r="DM401"/>
      <c r="DN401"/>
    </row>
    <row r="402" spans="3:118" s="238" customFormat="1" ht="15.75" customHeight="1" x14ac:dyDescent="0.25">
      <c r="C402"/>
      <c r="D402"/>
      <c r="E402"/>
      <c r="F402"/>
      <c r="G402"/>
      <c r="H402"/>
      <c r="I402"/>
      <c r="J402"/>
      <c r="K402"/>
      <c r="L402"/>
      <c r="M402"/>
      <c r="N402"/>
      <c r="O402" s="366"/>
      <c r="P402" s="366">
        <v>2016</v>
      </c>
      <c r="Q402" s="367">
        <f>LARGE($CB$304:$CB$453,99)</f>
        <v>21</v>
      </c>
      <c r="R402" s="357">
        <f t="shared" si="121"/>
        <v>-143.6</v>
      </c>
      <c r="S402" s="356">
        <f t="shared" si="120"/>
        <v>20620.96</v>
      </c>
      <c r="U402" s="356">
        <f t="shared" si="122"/>
        <v>-8.9749999999999996</v>
      </c>
      <c r="V402" s="238">
        <f t="shared" si="126"/>
        <v>8</v>
      </c>
      <c r="W402" s="354"/>
      <c r="X402" s="366"/>
      <c r="Y402" s="366"/>
      <c r="Z402" s="238">
        <v>2016</v>
      </c>
      <c r="AA402" s="367">
        <f>LARGE($CU$304:$CU$453,99)</f>
        <v>72.099999999999994</v>
      </c>
      <c r="AB402" s="357">
        <f t="shared" si="123"/>
        <v>-139.60000000000002</v>
      </c>
      <c r="AC402" s="356">
        <f t="shared" si="125"/>
        <v>19488.160000000007</v>
      </c>
      <c r="AE402" s="356">
        <f t="shared" si="124"/>
        <v>-8.7250000000000014</v>
      </c>
      <c r="AF402" s="238">
        <f t="shared" si="127"/>
        <v>8</v>
      </c>
      <c r="AG402" s="354"/>
      <c r="AK402"/>
      <c r="AL402"/>
      <c r="AM402"/>
      <c r="AN402"/>
      <c r="AO402"/>
      <c r="AP402"/>
      <c r="BI402" s="360"/>
      <c r="BJ402" s="354"/>
      <c r="BK402" s="366">
        <v>2016</v>
      </c>
      <c r="BL402" s="365" t="s">
        <v>1209</v>
      </c>
      <c r="BM402" s="366" t="s">
        <v>158</v>
      </c>
      <c r="BN402" s="366" t="s">
        <v>3</v>
      </c>
      <c r="BO402" s="366">
        <v>0</v>
      </c>
      <c r="BP402" s="366">
        <v>0</v>
      </c>
      <c r="BQ402" s="366">
        <v>0</v>
      </c>
      <c r="BR402" s="366">
        <v>20</v>
      </c>
      <c r="BS402" s="366">
        <v>0</v>
      </c>
      <c r="BT402" s="366">
        <v>20</v>
      </c>
      <c r="BU402" s="366">
        <v>136</v>
      </c>
      <c r="BV402" s="366">
        <v>0</v>
      </c>
      <c r="BW402" s="366">
        <v>0</v>
      </c>
      <c r="BX402" s="366">
        <v>0</v>
      </c>
      <c r="BY402" s="366">
        <v>80</v>
      </c>
      <c r="BZ402" s="366">
        <v>0</v>
      </c>
      <c r="CA402" s="366">
        <v>0</v>
      </c>
      <c r="CB402" s="367">
        <f>IFERROR(BO402/Instructions!$J$25,0)+BP402*Instructions!$J$27+BQ402*Instructions!$J$29+IFERROR(BR402/Instructions!$E$34,0)+BS402*Instructions!$E$36+Tier!BT403*Instructions!$E$25+IFERROR(BU402/Instructions!$E$27,0)+BV402*Instructions!$E$29+IFERROR((BW402+BY402)/Instructions!$J$32,0)+(BX402+BZ402)*Instructions!$J$34+Tier!CA402*-2</f>
        <v>21.6</v>
      </c>
      <c r="CC402" s="354"/>
      <c r="CD402" s="238">
        <v>2016</v>
      </c>
      <c r="CE402" s="365" t="s">
        <v>1110</v>
      </c>
      <c r="CF402" s="366" t="s">
        <v>1629</v>
      </c>
      <c r="CG402" s="366" t="s">
        <v>6</v>
      </c>
      <c r="CH402" s="366">
        <v>0</v>
      </c>
      <c r="CI402" s="366">
        <v>0</v>
      </c>
      <c r="CJ402" s="366">
        <v>0</v>
      </c>
      <c r="CK402" s="366">
        <v>50</v>
      </c>
      <c r="CL402" s="366">
        <v>1</v>
      </c>
      <c r="CM402" s="366">
        <v>31</v>
      </c>
      <c r="CN402" s="366">
        <v>279</v>
      </c>
      <c r="CO402" s="366">
        <v>2</v>
      </c>
      <c r="CP402" s="366">
        <v>0</v>
      </c>
      <c r="CQ402" s="366">
        <v>0</v>
      </c>
      <c r="CR402" s="366">
        <v>13</v>
      </c>
      <c r="CS402" s="366">
        <v>0</v>
      </c>
      <c r="CT402" s="366">
        <v>0</v>
      </c>
      <c r="CU402" s="367">
        <f>IFERROR(CH402/Instructions!$J$25,0)+CI402*Instructions!$J$27+CJ402*Instructions!$J$29+IFERROR(CK402/Instructions!$E$34,0)+CL402*Instructions!$E$36+Tier!CM402*Instructions!$E$25+IFERROR(CN402/Instructions!$E$27,0)+CO402*Instructions!$E$29+IFERROR((CP402+CR402)/Instructions!$J$32,0)+(CQ402+CS402)*Instructions!$J$34+Tier!CT402*-2</f>
        <v>81.900000000000006</v>
      </c>
      <c r="CV402" s="354"/>
      <c r="CW402"/>
      <c r="CX402"/>
      <c r="CY402"/>
      <c r="CZ402"/>
      <c r="DA402"/>
      <c r="DB402"/>
      <c r="DC402"/>
      <c r="DD402"/>
      <c r="DE402"/>
      <c r="DF402"/>
      <c r="DG402"/>
      <c r="DH402"/>
      <c r="DI402"/>
      <c r="DJ402"/>
      <c r="DK402"/>
      <c r="DL402"/>
      <c r="DM402"/>
      <c r="DN402"/>
    </row>
    <row r="403" spans="3:118" s="238" customFormat="1" ht="15.75" customHeight="1" x14ac:dyDescent="0.25">
      <c r="C403"/>
      <c r="D403"/>
      <c r="E403"/>
      <c r="F403"/>
      <c r="G403"/>
      <c r="H403"/>
      <c r="I403"/>
      <c r="J403"/>
      <c r="K403"/>
      <c r="L403"/>
      <c r="M403"/>
      <c r="N403"/>
      <c r="O403" s="366"/>
      <c r="P403" s="366">
        <v>2016</v>
      </c>
      <c r="Q403" s="367">
        <f>LARGE($CB$304:$CB$453,100)</f>
        <v>19.799999999999997</v>
      </c>
      <c r="R403" s="357">
        <f t="shared" si="121"/>
        <v>-144.80000000000001</v>
      </c>
      <c r="S403" s="356">
        <f t="shared" si="120"/>
        <v>20967.040000000005</v>
      </c>
      <c r="U403" s="356">
        <f t="shared" si="122"/>
        <v>-9.0500000000000007</v>
      </c>
      <c r="V403" s="238">
        <f t="shared" si="126"/>
        <v>8</v>
      </c>
      <c r="W403" s="354"/>
      <c r="X403" s="366"/>
      <c r="Y403" s="366"/>
      <c r="Z403" s="238">
        <v>2016</v>
      </c>
      <c r="AA403" s="367">
        <f>LARGE($CU$304:$CU$453,100)</f>
        <v>70</v>
      </c>
      <c r="AB403" s="357">
        <f t="shared" si="123"/>
        <v>-141.70000000000002</v>
      </c>
      <c r="AC403" s="356">
        <f t="shared" si="125"/>
        <v>20078.890000000003</v>
      </c>
      <c r="AE403" s="356">
        <f t="shared" si="124"/>
        <v>-8.8562500000000011</v>
      </c>
      <c r="AF403" s="238">
        <f t="shared" si="127"/>
        <v>8</v>
      </c>
      <c r="AG403" s="354"/>
      <c r="AK403"/>
      <c r="AL403"/>
      <c r="AM403"/>
      <c r="AN403"/>
      <c r="AO403"/>
      <c r="AP403"/>
      <c r="BI403" s="360"/>
      <c r="BJ403" s="354"/>
      <c r="BK403" s="366">
        <v>2016</v>
      </c>
      <c r="BL403" s="365" t="s">
        <v>65</v>
      </c>
      <c r="BM403" s="366" t="s">
        <v>1633</v>
      </c>
      <c r="BN403" s="366" t="s">
        <v>3</v>
      </c>
      <c r="BO403" s="366">
        <v>0</v>
      </c>
      <c r="BP403" s="366">
        <v>0</v>
      </c>
      <c r="BQ403" s="366">
        <v>0</v>
      </c>
      <c r="BR403" s="366">
        <v>18</v>
      </c>
      <c r="BS403" s="366">
        <v>0</v>
      </c>
      <c r="BT403" s="366">
        <v>6</v>
      </c>
      <c r="BU403" s="366">
        <v>50</v>
      </c>
      <c r="BV403" s="366">
        <v>1</v>
      </c>
      <c r="BW403" s="366">
        <v>0</v>
      </c>
      <c r="BX403" s="366">
        <v>0</v>
      </c>
      <c r="BY403" s="366">
        <v>142</v>
      </c>
      <c r="BZ403" s="366">
        <v>0</v>
      </c>
      <c r="CA403" s="366">
        <v>0</v>
      </c>
      <c r="CB403" s="367">
        <f>IFERROR(BO403/Instructions!$J$25,0)+BP403*Instructions!$J$27+BQ403*Instructions!$J$29+IFERROR(BR403/Instructions!$E$34,0)+BS403*Instructions!$E$36+Tier!BT404*Instructions!$E$25+IFERROR(BU403/Instructions!$E$27,0)+BV403*Instructions!$E$29+IFERROR((BW403+BY403)/Instructions!$J$32,0)+(BX403+BZ403)*Instructions!$J$34+Tier!CA403*-2</f>
        <v>15.8</v>
      </c>
      <c r="CC403" s="354"/>
      <c r="CD403" s="238">
        <v>2016</v>
      </c>
      <c r="CE403" s="365" t="s">
        <v>187</v>
      </c>
      <c r="CF403" s="366" t="s">
        <v>161</v>
      </c>
      <c r="CG403" s="366" t="s">
        <v>6</v>
      </c>
      <c r="CH403" s="366">
        <v>0</v>
      </c>
      <c r="CI403" s="366">
        <v>0</v>
      </c>
      <c r="CJ403" s="366">
        <v>0</v>
      </c>
      <c r="CK403" s="366">
        <v>0</v>
      </c>
      <c r="CL403" s="366">
        <v>0</v>
      </c>
      <c r="CM403" s="366">
        <v>33</v>
      </c>
      <c r="CN403" s="366">
        <v>324</v>
      </c>
      <c r="CO403" s="366">
        <v>3</v>
      </c>
      <c r="CP403" s="366">
        <v>0</v>
      </c>
      <c r="CQ403" s="366">
        <v>0</v>
      </c>
      <c r="CR403" s="366">
        <v>0</v>
      </c>
      <c r="CS403" s="366">
        <v>0</v>
      </c>
      <c r="CT403" s="366">
        <v>0</v>
      </c>
      <c r="CU403" s="367">
        <f>IFERROR(CH403/Instructions!$J$25,0)+CI403*Instructions!$J$27+CJ403*Instructions!$J$29+IFERROR(CK403/Instructions!$E$34,0)+CL403*Instructions!$E$36+Tier!CM403*Instructions!$E$25+IFERROR(CN403/Instructions!$E$27,0)+CO403*Instructions!$E$29+IFERROR((CP403+CR403)/Instructions!$J$32,0)+(CQ403+CS403)*Instructions!$J$34+Tier!CT403*-2</f>
        <v>83.4</v>
      </c>
      <c r="CV403" s="354"/>
      <c r="CW403"/>
      <c r="CX403"/>
      <c r="CY403"/>
      <c r="CZ403"/>
      <c r="DA403"/>
      <c r="DB403"/>
      <c r="DC403"/>
      <c r="DD403"/>
      <c r="DE403"/>
      <c r="DF403"/>
      <c r="DG403"/>
      <c r="DH403"/>
      <c r="DI403"/>
      <c r="DJ403"/>
      <c r="DK403"/>
      <c r="DL403"/>
      <c r="DM403"/>
      <c r="DN403"/>
    </row>
    <row r="404" spans="3:118" s="238" customFormat="1" ht="15.75" customHeight="1" x14ac:dyDescent="0.25">
      <c r="C404"/>
      <c r="D404"/>
      <c r="E404"/>
      <c r="F404"/>
      <c r="G404"/>
      <c r="H404"/>
      <c r="I404"/>
      <c r="J404"/>
      <c r="K404"/>
      <c r="L404"/>
      <c r="M404"/>
      <c r="N404"/>
      <c r="O404" s="366"/>
      <c r="P404" s="366">
        <v>2016</v>
      </c>
      <c r="Q404" s="367">
        <f>LARGE($CB$304:$CB$453,101)</f>
        <v>18.700000000000003</v>
      </c>
      <c r="R404" s="357">
        <f t="shared" si="121"/>
        <v>-145.89999999999998</v>
      </c>
      <c r="S404" s="356">
        <f t="shared" si="120"/>
        <v>21286.809999999994</v>
      </c>
      <c r="T404" s="356"/>
      <c r="U404" s="356">
        <f t="shared" si="122"/>
        <v>-9.1187499999999986</v>
      </c>
      <c r="V404" s="238">
        <f t="shared" si="126"/>
        <v>8</v>
      </c>
      <c r="W404" s="354"/>
      <c r="X404" s="366"/>
      <c r="Y404" s="366"/>
      <c r="Z404" s="238">
        <v>2016</v>
      </c>
      <c r="AA404" s="367">
        <f>LARGE($CU$304:$CU$453,101)</f>
        <v>69.3</v>
      </c>
      <c r="AB404" s="357">
        <f t="shared" si="123"/>
        <v>-142.40000000000003</v>
      </c>
      <c r="AC404" s="356">
        <f t="shared" si="125"/>
        <v>20277.760000000009</v>
      </c>
      <c r="AE404" s="356">
        <f t="shared" si="124"/>
        <v>-8.9000000000000021</v>
      </c>
      <c r="AF404" s="238">
        <f t="shared" si="127"/>
        <v>8</v>
      </c>
      <c r="AG404" s="354"/>
      <c r="AK404"/>
      <c r="AL404"/>
      <c r="AM404"/>
      <c r="AN404"/>
      <c r="AO404"/>
      <c r="AP404"/>
      <c r="BI404" s="360"/>
      <c r="BJ404" s="354"/>
      <c r="BK404" s="366">
        <v>2016</v>
      </c>
      <c r="BL404" s="365" t="s">
        <v>1605</v>
      </c>
      <c r="BM404" s="366" t="s">
        <v>1613</v>
      </c>
      <c r="BN404" s="366" t="s">
        <v>3</v>
      </c>
      <c r="BO404" s="366">
        <v>0</v>
      </c>
      <c r="BP404" s="366">
        <v>0</v>
      </c>
      <c r="BQ404" s="366">
        <v>0</v>
      </c>
      <c r="BR404" s="366">
        <v>144</v>
      </c>
      <c r="BS404" s="366">
        <v>0</v>
      </c>
      <c r="BT404" s="366">
        <v>3</v>
      </c>
      <c r="BU404" s="366">
        <v>22</v>
      </c>
      <c r="BV404" s="366">
        <v>0</v>
      </c>
      <c r="BW404" s="366">
        <v>0</v>
      </c>
      <c r="BX404" s="366">
        <v>0</v>
      </c>
      <c r="BY404" s="366">
        <v>13</v>
      </c>
      <c r="BZ404" s="366">
        <v>0</v>
      </c>
      <c r="CA404" s="366">
        <v>0</v>
      </c>
      <c r="CB404" s="367">
        <f>IFERROR(BO404/Instructions!$J$25,0)+BP404*Instructions!$J$27+BQ404*Instructions!$J$29+IFERROR(BR404/Instructions!$E$34,0)+BS404*Instructions!$E$36+Tier!BT405*Instructions!$E$25+IFERROR(BU404/Instructions!$E$27,0)+BV404*Instructions!$E$29+IFERROR((BW404+BY404)/Instructions!$J$32,0)+(BX404+BZ404)*Instructions!$J$34+Tier!CA404*-2</f>
        <v>16.600000000000001</v>
      </c>
      <c r="CC404" s="354"/>
      <c r="CD404" s="238">
        <v>2016</v>
      </c>
      <c r="CE404" s="365" t="s">
        <v>1106</v>
      </c>
      <c r="CF404" s="366" t="s">
        <v>137</v>
      </c>
      <c r="CG404" s="366" t="s">
        <v>6</v>
      </c>
      <c r="CH404" s="366">
        <v>0</v>
      </c>
      <c r="CI404" s="366">
        <v>0</v>
      </c>
      <c r="CJ404" s="366">
        <v>0</v>
      </c>
      <c r="CK404" s="366">
        <v>0</v>
      </c>
      <c r="CL404" s="366">
        <v>0</v>
      </c>
      <c r="CM404" s="366">
        <v>36</v>
      </c>
      <c r="CN404" s="366">
        <v>392</v>
      </c>
      <c r="CO404" s="366">
        <v>2</v>
      </c>
      <c r="CP404" s="366">
        <v>0</v>
      </c>
      <c r="CQ404" s="366">
        <v>0</v>
      </c>
      <c r="CR404" s="366">
        <v>0</v>
      </c>
      <c r="CS404" s="366">
        <v>0</v>
      </c>
      <c r="CT404" s="366">
        <v>0</v>
      </c>
      <c r="CU404" s="367">
        <f>IFERROR(CH404/Instructions!$J$25,0)+CI404*Instructions!$J$27+CJ404*Instructions!$J$29+IFERROR(CK404/Instructions!$E$34,0)+CL404*Instructions!$E$36+Tier!CM404*Instructions!$E$25+IFERROR(CN404/Instructions!$E$27,0)+CO404*Instructions!$E$29+IFERROR((CP404+CR404)/Instructions!$J$32,0)+(CQ404+CS404)*Instructions!$J$34+Tier!CT404*-2</f>
        <v>87.2</v>
      </c>
      <c r="CV404" s="354"/>
      <c r="CW404"/>
      <c r="CX404"/>
      <c r="CY404"/>
      <c r="CZ404"/>
      <c r="DA404"/>
      <c r="DB404"/>
      <c r="DC404"/>
      <c r="DD404"/>
      <c r="DE404"/>
      <c r="DF404"/>
      <c r="DG404"/>
      <c r="DH404"/>
      <c r="DI404"/>
      <c r="DJ404"/>
      <c r="DK404"/>
      <c r="DL404"/>
      <c r="DM404"/>
      <c r="DN404"/>
    </row>
    <row r="405" spans="3:118" s="238" customFormat="1" ht="15.75" customHeight="1" x14ac:dyDescent="0.25">
      <c r="C405"/>
      <c r="D405"/>
      <c r="E405"/>
      <c r="F405"/>
      <c r="G405"/>
      <c r="H405"/>
      <c r="I405"/>
      <c r="J405"/>
      <c r="K405"/>
      <c r="L405"/>
      <c r="M405"/>
      <c r="N405"/>
      <c r="O405" s="366"/>
      <c r="P405" s="366">
        <v>2016</v>
      </c>
      <c r="Q405" s="367">
        <f>LARGE($CB$304:$CB$453,102)</f>
        <v>16.600000000000001</v>
      </c>
      <c r="R405" s="357">
        <f t="shared" si="121"/>
        <v>-148</v>
      </c>
      <c r="S405" s="356">
        <f t="shared" si="120"/>
        <v>21904</v>
      </c>
      <c r="T405" s="356"/>
      <c r="U405" s="356">
        <f t="shared" si="122"/>
        <v>-9.25</v>
      </c>
      <c r="V405" s="238">
        <f t="shared" si="126"/>
        <v>8</v>
      </c>
      <c r="W405" s="354"/>
      <c r="X405" s="366"/>
      <c r="Y405" s="366"/>
      <c r="Z405" s="238">
        <v>2016</v>
      </c>
      <c r="AA405" s="367">
        <f>LARGE($CU$304:$CU$453,102)</f>
        <v>67.8</v>
      </c>
      <c r="AB405" s="357">
        <f t="shared" si="123"/>
        <v>-143.90000000000003</v>
      </c>
      <c r="AC405" s="356">
        <f t="shared" si="125"/>
        <v>20707.21000000001</v>
      </c>
      <c r="AE405" s="356">
        <f t="shared" si="124"/>
        <v>-8.9937500000000021</v>
      </c>
      <c r="AF405" s="238">
        <f t="shared" si="127"/>
        <v>8</v>
      </c>
      <c r="AG405" s="354"/>
      <c r="AK405"/>
      <c r="AL405"/>
      <c r="AM405"/>
      <c r="AN405"/>
      <c r="AO405"/>
      <c r="AP405"/>
      <c r="BI405" s="360"/>
      <c r="BJ405" s="354"/>
      <c r="BK405" s="366">
        <v>2016</v>
      </c>
      <c r="BL405" s="365" t="s">
        <v>78</v>
      </c>
      <c r="BM405" s="366" t="s">
        <v>153</v>
      </c>
      <c r="BN405" s="366" t="s">
        <v>3</v>
      </c>
      <c r="BO405" s="366">
        <v>0</v>
      </c>
      <c r="BP405" s="366">
        <v>0</v>
      </c>
      <c r="BQ405" s="366">
        <v>0</v>
      </c>
      <c r="BR405" s="366">
        <v>95</v>
      </c>
      <c r="BS405" s="366">
        <v>1</v>
      </c>
      <c r="BT405" s="366">
        <v>0</v>
      </c>
      <c r="BU405" s="366">
        <v>0</v>
      </c>
      <c r="BV405" s="366">
        <v>0</v>
      </c>
      <c r="BW405" s="366">
        <v>0</v>
      </c>
      <c r="BX405" s="366">
        <v>0</v>
      </c>
      <c r="BY405" s="366">
        <v>0</v>
      </c>
      <c r="BZ405" s="366">
        <v>0</v>
      </c>
      <c r="CA405" s="366">
        <v>0</v>
      </c>
      <c r="CB405" s="367">
        <f>IFERROR(BO405/Instructions!$J$25,0)+BP405*Instructions!$J$27+BQ405*Instructions!$J$29+IFERROR(BR405/Instructions!$E$34,0)+BS405*Instructions!$E$36+Tier!BT406*Instructions!$E$25+IFERROR(BU405/Instructions!$E$27,0)+BV405*Instructions!$E$29+IFERROR((BW405+BY405)/Instructions!$J$32,0)+(BX405+BZ405)*Instructions!$J$34+Tier!CA405*-2</f>
        <v>16.5</v>
      </c>
      <c r="CC405" s="354"/>
      <c r="CD405" s="238">
        <v>2016</v>
      </c>
      <c r="CE405" s="365" t="s">
        <v>1401</v>
      </c>
      <c r="CF405" s="366" t="s">
        <v>145</v>
      </c>
      <c r="CG405" s="366" t="s">
        <v>6</v>
      </c>
      <c r="CH405" s="366">
        <v>0</v>
      </c>
      <c r="CI405" s="366">
        <v>0</v>
      </c>
      <c r="CJ405" s="366">
        <v>0</v>
      </c>
      <c r="CK405" s="366">
        <v>0</v>
      </c>
      <c r="CL405" s="366">
        <v>0</v>
      </c>
      <c r="CM405" s="366">
        <v>6</v>
      </c>
      <c r="CN405" s="366">
        <v>71</v>
      </c>
      <c r="CO405" s="366">
        <v>0</v>
      </c>
      <c r="CP405" s="366">
        <v>195</v>
      </c>
      <c r="CQ405" s="366">
        <v>0</v>
      </c>
      <c r="CR405" s="366">
        <v>810</v>
      </c>
      <c r="CS405" s="366">
        <v>0</v>
      </c>
      <c r="CT405" s="366">
        <v>0</v>
      </c>
      <c r="CU405" s="367">
        <f>IFERROR(CH405/Instructions!$J$25,0)+CI405*Instructions!$J$27+CJ405*Instructions!$J$29+IFERROR(CK405/Instructions!$E$34,0)+CL405*Instructions!$E$36+Tier!CM405*Instructions!$E$25+IFERROR(CN405/Instructions!$E$27,0)+CO405*Instructions!$E$29+IFERROR((CP405+CR405)/Instructions!$J$32,0)+(CQ405+CS405)*Instructions!$J$34+Tier!CT405*-2</f>
        <v>13.1</v>
      </c>
      <c r="CV405" s="354"/>
      <c r="CW405"/>
      <c r="CX405"/>
      <c r="CY405"/>
      <c r="CZ405"/>
      <c r="DA405"/>
      <c r="DB405"/>
      <c r="DC405"/>
      <c r="DD405"/>
      <c r="DE405"/>
      <c r="DF405"/>
      <c r="DG405"/>
      <c r="DH405"/>
      <c r="DI405"/>
      <c r="DJ405"/>
      <c r="DK405"/>
      <c r="DL405"/>
      <c r="DM405"/>
      <c r="DN405"/>
    </row>
    <row r="406" spans="3:118" s="238" customFormat="1" ht="15.75" customHeight="1" x14ac:dyDescent="0.25">
      <c r="C406"/>
      <c r="D406"/>
      <c r="E406"/>
      <c r="F406"/>
      <c r="G406"/>
      <c r="H406"/>
      <c r="I406"/>
      <c r="J406"/>
      <c r="K406"/>
      <c r="L406"/>
      <c r="M406"/>
      <c r="N406"/>
      <c r="O406" s="366"/>
      <c r="P406" s="366">
        <v>2016</v>
      </c>
      <c r="Q406" s="367">
        <f>LARGE($CB$304:$CB$453,103)</f>
        <v>16.5</v>
      </c>
      <c r="R406" s="357">
        <f t="shared" si="121"/>
        <v>-148.1</v>
      </c>
      <c r="S406" s="356">
        <f t="shared" si="120"/>
        <v>21933.609999999997</v>
      </c>
      <c r="U406" s="356">
        <f t="shared" si="122"/>
        <v>-9.2562499999999996</v>
      </c>
      <c r="V406" s="238">
        <f t="shared" si="126"/>
        <v>8</v>
      </c>
      <c r="W406" s="354"/>
      <c r="X406" s="366"/>
      <c r="Y406" s="366"/>
      <c r="Z406" s="238">
        <v>2016</v>
      </c>
      <c r="AA406" s="367">
        <f>LARGE($CU$304:$CU$453,103)</f>
        <v>65.3</v>
      </c>
      <c r="AB406" s="357">
        <f t="shared" si="123"/>
        <v>-146.40000000000003</v>
      </c>
      <c r="AC406" s="356">
        <f t="shared" si="125"/>
        <v>21432.96000000001</v>
      </c>
      <c r="AE406" s="356">
        <f t="shared" si="124"/>
        <v>-9.1500000000000021</v>
      </c>
      <c r="AF406" s="238">
        <f t="shared" si="127"/>
        <v>8</v>
      </c>
      <c r="AG406" s="354"/>
      <c r="AK406"/>
      <c r="AL406"/>
      <c r="AM406"/>
      <c r="AN406"/>
      <c r="AO406"/>
      <c r="AP406"/>
      <c r="BI406" s="360"/>
      <c r="BJ406" s="354"/>
      <c r="BK406" s="366">
        <v>2016</v>
      </c>
      <c r="BL406" s="365" t="s">
        <v>1216</v>
      </c>
      <c r="BM406" s="366" t="s">
        <v>156</v>
      </c>
      <c r="BN406" s="366" t="s">
        <v>3</v>
      </c>
      <c r="BO406" s="366">
        <v>0</v>
      </c>
      <c r="BP406" s="366">
        <v>0</v>
      </c>
      <c r="BQ406" s="366">
        <v>0</v>
      </c>
      <c r="BR406" s="366">
        <v>94</v>
      </c>
      <c r="BS406" s="366">
        <v>1</v>
      </c>
      <c r="BT406" s="366">
        <v>1</v>
      </c>
      <c r="BU406" s="366">
        <v>0</v>
      </c>
      <c r="BV406" s="366">
        <v>0</v>
      </c>
      <c r="BW406" s="366">
        <v>0</v>
      </c>
      <c r="BX406" s="366">
        <v>0</v>
      </c>
      <c r="BY406" s="366">
        <v>0</v>
      </c>
      <c r="BZ406" s="366">
        <v>0</v>
      </c>
      <c r="CA406" s="366">
        <v>2</v>
      </c>
      <c r="CB406" s="367">
        <f>IFERROR(BO406/Instructions!$J$25,0)+BP406*Instructions!$J$27+BQ406*Instructions!$J$29+IFERROR(BR406/Instructions!$E$34,0)+BS406*Instructions!$E$36+Tier!BT407*Instructions!$E$25+IFERROR(BU406/Instructions!$E$27,0)+BV406*Instructions!$E$29+IFERROR((BW406+BY406)/Instructions!$J$32,0)+(BX406+BZ406)*Instructions!$J$34+Tier!CA406*-2</f>
        <v>12.399999999999999</v>
      </c>
      <c r="CC406" s="354"/>
      <c r="CD406" s="238">
        <v>2016</v>
      </c>
      <c r="CE406" s="365" t="s">
        <v>1308</v>
      </c>
      <c r="CF406" s="366" t="s">
        <v>1627</v>
      </c>
      <c r="CG406" s="366" t="s">
        <v>6</v>
      </c>
      <c r="CH406" s="366">
        <v>0</v>
      </c>
      <c r="CI406" s="366">
        <v>0</v>
      </c>
      <c r="CJ406" s="366">
        <v>0</v>
      </c>
      <c r="CK406" s="366">
        <v>9</v>
      </c>
      <c r="CL406" s="366">
        <v>0</v>
      </c>
      <c r="CM406" s="366">
        <v>23</v>
      </c>
      <c r="CN406" s="366">
        <v>341</v>
      </c>
      <c r="CO406" s="366">
        <v>2</v>
      </c>
      <c r="CP406" s="366">
        <v>0</v>
      </c>
      <c r="CQ406" s="366">
        <v>0</v>
      </c>
      <c r="CR406" s="366">
        <v>0</v>
      </c>
      <c r="CS406" s="366">
        <v>0</v>
      </c>
      <c r="CT406" s="366">
        <v>0</v>
      </c>
      <c r="CU406" s="367">
        <f>IFERROR(CH406/Instructions!$J$25,0)+CI406*Instructions!$J$27+CJ406*Instructions!$J$29+IFERROR(CK406/Instructions!$E$34,0)+CL406*Instructions!$E$36+Tier!CM406*Instructions!$E$25+IFERROR(CN406/Instructions!$E$27,0)+CO406*Instructions!$E$29+IFERROR((CP406+CR406)/Instructions!$J$32,0)+(CQ406+CS406)*Instructions!$J$34+Tier!CT406*-2</f>
        <v>70</v>
      </c>
      <c r="CV406" s="354"/>
      <c r="CW406"/>
      <c r="CX406"/>
      <c r="CY406"/>
      <c r="CZ406"/>
      <c r="DA406"/>
      <c r="DB406"/>
      <c r="DC406"/>
      <c r="DD406"/>
      <c r="DE406"/>
      <c r="DF406"/>
      <c r="DG406"/>
      <c r="DH406"/>
      <c r="DI406"/>
      <c r="DJ406"/>
      <c r="DK406"/>
      <c r="DL406"/>
      <c r="DM406"/>
      <c r="DN406"/>
    </row>
    <row r="407" spans="3:118" s="238" customFormat="1" ht="15.75" customHeight="1" x14ac:dyDescent="0.25">
      <c r="C407"/>
      <c r="D407"/>
      <c r="E407"/>
      <c r="F407"/>
      <c r="G407"/>
      <c r="H407"/>
      <c r="I407"/>
      <c r="J407"/>
      <c r="K407"/>
      <c r="L407"/>
      <c r="M407"/>
      <c r="N407"/>
      <c r="O407" s="366"/>
      <c r="P407" s="366">
        <v>2016</v>
      </c>
      <c r="Q407" s="367">
        <f>LARGE($CB$304:$CB$453,104)</f>
        <v>16.5</v>
      </c>
      <c r="R407" s="357">
        <f t="shared" si="121"/>
        <v>-148.1</v>
      </c>
      <c r="S407" s="356">
        <f t="shared" si="120"/>
        <v>21933.609999999997</v>
      </c>
      <c r="U407" s="356">
        <f t="shared" si="122"/>
        <v>-9.2562499999999996</v>
      </c>
      <c r="V407" s="238">
        <f t="shared" si="126"/>
        <v>8</v>
      </c>
      <c r="W407" s="354"/>
      <c r="X407" s="366"/>
      <c r="Y407" s="366"/>
      <c r="Z407" s="238">
        <v>2016</v>
      </c>
      <c r="AA407" s="367">
        <f>LARGE($CU$304:$CU$453,104)</f>
        <v>64.7</v>
      </c>
      <c r="AB407" s="357">
        <f t="shared" si="123"/>
        <v>-147</v>
      </c>
      <c r="AC407" s="356">
        <f t="shared" si="125"/>
        <v>21609</v>
      </c>
      <c r="AE407" s="356">
        <f t="shared" si="124"/>
        <v>-9.1875</v>
      </c>
      <c r="AF407" s="238">
        <f t="shared" si="127"/>
        <v>8</v>
      </c>
      <c r="AG407" s="354"/>
      <c r="AK407"/>
      <c r="AL407"/>
      <c r="AM407"/>
      <c r="AN407"/>
      <c r="AO407"/>
      <c r="AP407"/>
      <c r="BI407" s="360"/>
      <c r="BJ407" s="354"/>
      <c r="BK407" s="366">
        <v>2016</v>
      </c>
      <c r="BL407" s="365" t="s">
        <v>1282</v>
      </c>
      <c r="BM407" s="366" t="s">
        <v>148</v>
      </c>
      <c r="BN407" s="366" t="s">
        <v>3</v>
      </c>
      <c r="BO407" s="366">
        <v>0</v>
      </c>
      <c r="BP407" s="366">
        <v>0</v>
      </c>
      <c r="BQ407" s="366">
        <v>0</v>
      </c>
      <c r="BR407" s="366">
        <v>151</v>
      </c>
      <c r="BS407" s="366">
        <v>0</v>
      </c>
      <c r="BT407" s="366">
        <v>1</v>
      </c>
      <c r="BU407" s="366">
        <v>11</v>
      </c>
      <c r="BV407" s="366">
        <v>0</v>
      </c>
      <c r="BW407" s="366">
        <v>0</v>
      </c>
      <c r="BX407" s="366">
        <v>0</v>
      </c>
      <c r="BY407" s="366">
        <v>0</v>
      </c>
      <c r="BZ407" s="366">
        <v>0</v>
      </c>
      <c r="CA407" s="366">
        <v>0</v>
      </c>
      <c r="CB407" s="367">
        <f>IFERROR(BO407/Instructions!$J$25,0)+BP407*Instructions!$J$27+BQ407*Instructions!$J$29+IFERROR(BR407/Instructions!$E$34,0)+BS407*Instructions!$E$36+Tier!BT408*Instructions!$E$25+IFERROR(BU407/Instructions!$E$27,0)+BV407*Instructions!$E$29+IFERROR((BW407+BY407)/Instructions!$J$32,0)+(BX407+BZ407)*Instructions!$J$34+Tier!CA407*-2</f>
        <v>16.2</v>
      </c>
      <c r="CC407" s="354"/>
      <c r="CD407" s="238">
        <v>2016</v>
      </c>
      <c r="CE407" s="365" t="s">
        <v>1116</v>
      </c>
      <c r="CF407" s="366" t="s">
        <v>148</v>
      </c>
      <c r="CG407" s="366" t="s">
        <v>6</v>
      </c>
      <c r="CH407" s="366">
        <v>0</v>
      </c>
      <c r="CI407" s="366">
        <v>0</v>
      </c>
      <c r="CJ407" s="366">
        <v>0</v>
      </c>
      <c r="CK407" s="366">
        <v>0</v>
      </c>
      <c r="CL407" s="366">
        <v>0</v>
      </c>
      <c r="CM407" s="366">
        <v>21</v>
      </c>
      <c r="CN407" s="366">
        <v>203</v>
      </c>
      <c r="CO407" s="366">
        <v>4</v>
      </c>
      <c r="CP407" s="366">
        <v>0</v>
      </c>
      <c r="CQ407" s="366">
        <v>0</v>
      </c>
      <c r="CR407" s="366">
        <v>52</v>
      </c>
      <c r="CS407" s="366">
        <v>0</v>
      </c>
      <c r="CT407" s="366">
        <v>0</v>
      </c>
      <c r="CU407" s="367">
        <f>IFERROR(CH407/Instructions!$J$25,0)+CI407*Instructions!$J$27+CJ407*Instructions!$J$29+IFERROR(CK407/Instructions!$E$34,0)+CL407*Instructions!$E$36+Tier!CM407*Instructions!$E$25+IFERROR(CN407/Instructions!$E$27,0)+CO407*Instructions!$E$29+IFERROR((CP407+CR407)/Instructions!$J$32,0)+(CQ407+CS407)*Instructions!$J$34+Tier!CT407*-2</f>
        <v>65.3</v>
      </c>
      <c r="CV407" s="354"/>
      <c r="CW407"/>
      <c r="CX407"/>
      <c r="CY407"/>
      <c r="CZ407"/>
      <c r="DA407"/>
      <c r="DB407"/>
      <c r="DC407"/>
      <c r="DD407"/>
      <c r="DE407"/>
      <c r="DF407"/>
      <c r="DG407"/>
      <c r="DH407"/>
      <c r="DI407"/>
      <c r="DJ407"/>
      <c r="DK407"/>
      <c r="DL407"/>
      <c r="DM407"/>
      <c r="DN407"/>
    </row>
    <row r="408" spans="3:118" s="238" customFormat="1" ht="15.75" customHeight="1" x14ac:dyDescent="0.25">
      <c r="C408"/>
      <c r="D408"/>
      <c r="E408"/>
      <c r="F408"/>
      <c r="G408"/>
      <c r="H408"/>
      <c r="I408"/>
      <c r="J408"/>
      <c r="K408"/>
      <c r="L408"/>
      <c r="M408"/>
      <c r="N408"/>
      <c r="O408" s="366"/>
      <c r="P408" s="366">
        <v>2016</v>
      </c>
      <c r="Q408" s="367">
        <f>LARGE($CB$304:$CB$453,105)</f>
        <v>16.2</v>
      </c>
      <c r="R408" s="357">
        <f t="shared" si="121"/>
        <v>-148.4</v>
      </c>
      <c r="S408" s="356">
        <f t="shared" si="120"/>
        <v>22022.560000000001</v>
      </c>
      <c r="T408" s="356"/>
      <c r="U408" s="356">
        <f t="shared" si="122"/>
        <v>-9.2750000000000004</v>
      </c>
      <c r="V408" s="238">
        <f t="shared" si="126"/>
        <v>8</v>
      </c>
      <c r="W408" s="354"/>
      <c r="X408" s="366"/>
      <c r="Y408" s="366"/>
      <c r="Z408" s="238">
        <v>2016</v>
      </c>
      <c r="AA408" s="367">
        <f>LARGE($CU$304:$CU$453,105)</f>
        <v>64.3</v>
      </c>
      <c r="AB408" s="357">
        <f t="shared" si="123"/>
        <v>-147.40000000000003</v>
      </c>
      <c r="AC408" s="356">
        <f t="shared" si="125"/>
        <v>21726.760000000009</v>
      </c>
      <c r="AE408" s="356">
        <f t="shared" si="124"/>
        <v>-9.2125000000000021</v>
      </c>
      <c r="AF408" s="238">
        <f t="shared" si="127"/>
        <v>8</v>
      </c>
      <c r="AG408" s="354"/>
      <c r="AK408"/>
      <c r="AL408"/>
      <c r="AM408"/>
      <c r="AN408"/>
      <c r="AO408"/>
      <c r="AP408"/>
      <c r="BI408" s="360"/>
      <c r="BJ408" s="354"/>
      <c r="BK408" s="366">
        <v>2016</v>
      </c>
      <c r="BL408" s="365" t="s">
        <v>1329</v>
      </c>
      <c r="BM408" s="366" t="s">
        <v>161</v>
      </c>
      <c r="BN408" s="366" t="s">
        <v>3</v>
      </c>
      <c r="BO408" s="366">
        <v>0</v>
      </c>
      <c r="BP408" s="366">
        <v>0</v>
      </c>
      <c r="BQ408" s="366">
        <v>0</v>
      </c>
      <c r="BR408" s="366">
        <v>34</v>
      </c>
      <c r="BS408" s="366">
        <v>1</v>
      </c>
      <c r="BT408" s="366">
        <v>0</v>
      </c>
      <c r="BU408" s="366">
        <v>0</v>
      </c>
      <c r="BV408" s="366">
        <v>0</v>
      </c>
      <c r="BW408" s="366">
        <v>0</v>
      </c>
      <c r="BX408" s="366">
        <v>0</v>
      </c>
      <c r="BY408" s="366">
        <v>137</v>
      </c>
      <c r="BZ408" s="366">
        <v>0</v>
      </c>
      <c r="CA408" s="366">
        <v>0</v>
      </c>
      <c r="CB408" s="367">
        <f>IFERROR(BO408/Instructions!$J$25,0)+BP408*Instructions!$J$27+BQ408*Instructions!$J$29+IFERROR(BR408/Instructions!$E$34,0)+BS408*Instructions!$E$36+Tier!BT409*Instructions!$E$25+IFERROR(BU408/Instructions!$E$27,0)+BV408*Instructions!$E$29+IFERROR((BW408+BY408)/Instructions!$J$32,0)+(BX408+BZ408)*Instructions!$J$34+Tier!CA408*-2</f>
        <v>12.4</v>
      </c>
      <c r="CC408" s="354"/>
      <c r="CD408" s="238">
        <v>2016</v>
      </c>
      <c r="CE408" s="365" t="s">
        <v>1119</v>
      </c>
      <c r="CF408" s="366" t="s">
        <v>1625</v>
      </c>
      <c r="CG408" s="366" t="s">
        <v>6</v>
      </c>
      <c r="CH408" s="366">
        <v>0</v>
      </c>
      <c r="CI408" s="366">
        <v>0</v>
      </c>
      <c r="CJ408" s="366">
        <v>0</v>
      </c>
      <c r="CK408" s="366">
        <v>0</v>
      </c>
      <c r="CL408" s="366">
        <v>0</v>
      </c>
      <c r="CM408" s="366">
        <v>26</v>
      </c>
      <c r="CN408" s="366">
        <v>281</v>
      </c>
      <c r="CO408" s="366">
        <v>3</v>
      </c>
      <c r="CP408" s="366">
        <v>0</v>
      </c>
      <c r="CQ408" s="366">
        <v>0</v>
      </c>
      <c r="CR408" s="366">
        <v>0</v>
      </c>
      <c r="CS408" s="366">
        <v>0</v>
      </c>
      <c r="CT408" s="366">
        <v>0</v>
      </c>
      <c r="CU408" s="367">
        <f>IFERROR(CH408/Instructions!$J$25,0)+CI408*Instructions!$J$27+CJ408*Instructions!$J$29+IFERROR(CK408/Instructions!$E$34,0)+CL408*Instructions!$E$36+Tier!CM408*Instructions!$E$25+IFERROR(CN408/Instructions!$E$27,0)+CO408*Instructions!$E$29+IFERROR((CP408+CR408)/Instructions!$J$32,0)+(CQ408+CS408)*Instructions!$J$34+Tier!CT408*-2</f>
        <v>72.099999999999994</v>
      </c>
      <c r="CV408" s="354"/>
      <c r="CW408"/>
      <c r="CX408"/>
      <c r="CY408"/>
      <c r="CZ408"/>
      <c r="DA408"/>
      <c r="DB408"/>
      <c r="DC408"/>
      <c r="DD408"/>
      <c r="DE408"/>
      <c r="DF408"/>
      <c r="DG408"/>
      <c r="DH408"/>
      <c r="DI408"/>
      <c r="DJ408"/>
      <c r="DK408"/>
      <c r="DL408"/>
      <c r="DM408"/>
      <c r="DN408"/>
    </row>
    <row r="409" spans="3:118" s="238" customFormat="1" ht="15.75" customHeight="1" x14ac:dyDescent="0.25">
      <c r="C409"/>
      <c r="D409"/>
      <c r="E409"/>
      <c r="F409"/>
      <c r="G409"/>
      <c r="H409"/>
      <c r="I409"/>
      <c r="J409"/>
      <c r="K409"/>
      <c r="L409"/>
      <c r="M409"/>
      <c r="N409"/>
      <c r="O409" s="366"/>
      <c r="P409" s="366">
        <v>2016</v>
      </c>
      <c r="Q409" s="367">
        <f>LARGE($CB$304:$CB$453,106)</f>
        <v>15.8</v>
      </c>
      <c r="R409" s="357">
        <f t="shared" si="121"/>
        <v>-148.79999999999998</v>
      </c>
      <c r="S409" s="356">
        <f t="shared" si="120"/>
        <v>22141.439999999995</v>
      </c>
      <c r="T409" s="356"/>
      <c r="U409" s="356">
        <f t="shared" si="122"/>
        <v>-9.2999999999999989</v>
      </c>
      <c r="V409" s="238">
        <f t="shared" si="126"/>
        <v>8</v>
      </c>
      <c r="W409" s="354"/>
      <c r="X409" s="366"/>
      <c r="Y409" s="366"/>
      <c r="Z409" s="238">
        <v>2016</v>
      </c>
      <c r="AA409" s="367">
        <f>LARGE($CU$304:$CU$453,106)</f>
        <v>59.5</v>
      </c>
      <c r="AB409" s="357">
        <f t="shared" si="123"/>
        <v>-152.20000000000002</v>
      </c>
      <c r="AC409" s="356">
        <f t="shared" si="125"/>
        <v>23164.840000000004</v>
      </c>
      <c r="AE409" s="356">
        <f t="shared" si="124"/>
        <v>-9.5125000000000011</v>
      </c>
      <c r="AF409" s="238">
        <f t="shared" si="127"/>
        <v>8</v>
      </c>
      <c r="AG409" s="354"/>
      <c r="AK409"/>
      <c r="AL409"/>
      <c r="AM409"/>
      <c r="AN409"/>
      <c r="AO409"/>
      <c r="AP409"/>
      <c r="BI409" s="360"/>
      <c r="BJ409" s="354"/>
      <c r="BK409" s="366">
        <v>2016</v>
      </c>
      <c r="BL409" s="365" t="s">
        <v>1286</v>
      </c>
      <c r="BM409" s="366" t="s">
        <v>1630</v>
      </c>
      <c r="BN409" s="366" t="s">
        <v>3</v>
      </c>
      <c r="BO409" s="366">
        <v>0</v>
      </c>
      <c r="BP409" s="366">
        <v>0</v>
      </c>
      <c r="BQ409" s="366">
        <v>0</v>
      </c>
      <c r="BR409" s="366">
        <v>50</v>
      </c>
      <c r="BS409" s="366">
        <v>1</v>
      </c>
      <c r="BT409" s="366">
        <v>3</v>
      </c>
      <c r="BU409" s="366">
        <v>25</v>
      </c>
      <c r="BV409" s="366">
        <v>0</v>
      </c>
      <c r="BW409" s="366">
        <v>0</v>
      </c>
      <c r="BX409" s="366">
        <v>0</v>
      </c>
      <c r="BY409" s="366">
        <v>18</v>
      </c>
      <c r="BZ409" s="366">
        <v>0</v>
      </c>
      <c r="CA409" s="366">
        <v>1</v>
      </c>
      <c r="CB409" s="367">
        <f>IFERROR(BO409/Instructions!$J$25,0)+BP409*Instructions!$J$27+BQ409*Instructions!$J$29+IFERROR(BR409/Instructions!$E$34,0)+BS409*Instructions!$E$36+Tier!BT410*Instructions!$E$25+IFERROR(BU409/Instructions!$E$27,0)+BV409*Instructions!$E$29+IFERROR((BW409+BY409)/Instructions!$J$32,0)+(BX409+BZ409)*Instructions!$J$34+Tier!CA409*-2</f>
        <v>16.5</v>
      </c>
      <c r="CC409" s="354"/>
      <c r="CD409" s="238">
        <v>2016</v>
      </c>
      <c r="CE409" s="365" t="s">
        <v>1315</v>
      </c>
      <c r="CF409" s="366" t="s">
        <v>148</v>
      </c>
      <c r="CG409" s="366" t="s">
        <v>6</v>
      </c>
      <c r="CH409" s="366">
        <v>0</v>
      </c>
      <c r="CI409" s="366">
        <v>0</v>
      </c>
      <c r="CJ409" s="366">
        <v>0</v>
      </c>
      <c r="CK409" s="366">
        <v>0</v>
      </c>
      <c r="CL409" s="366">
        <v>0</v>
      </c>
      <c r="CM409" s="366">
        <v>20</v>
      </c>
      <c r="CN409" s="366">
        <v>323</v>
      </c>
      <c r="CO409" s="366">
        <v>2</v>
      </c>
      <c r="CP409" s="366">
        <v>0</v>
      </c>
      <c r="CQ409" s="366">
        <v>0</v>
      </c>
      <c r="CR409" s="366">
        <v>27</v>
      </c>
      <c r="CS409" s="366">
        <v>0</v>
      </c>
      <c r="CT409" s="366">
        <v>0</v>
      </c>
      <c r="CU409" s="367">
        <f>IFERROR(CH409/Instructions!$J$25,0)+CI409*Instructions!$J$27+CJ409*Instructions!$J$29+IFERROR(CK409/Instructions!$E$34,0)+CL409*Instructions!$E$36+Tier!CM409*Instructions!$E$25+IFERROR(CN409/Instructions!$E$27,0)+CO409*Instructions!$E$29+IFERROR((CP409+CR409)/Instructions!$J$32,0)+(CQ409+CS409)*Instructions!$J$34+Tier!CT409*-2</f>
        <v>64.3</v>
      </c>
      <c r="CV409" s="354"/>
      <c r="CW409"/>
      <c r="CX409"/>
      <c r="CY409"/>
      <c r="CZ409"/>
      <c r="DA409"/>
      <c r="DB409"/>
      <c r="DC409"/>
      <c r="DD409"/>
      <c r="DE409"/>
      <c r="DF409"/>
      <c r="DG409"/>
      <c r="DH409"/>
      <c r="DI409"/>
      <c r="DJ409"/>
      <c r="DK409"/>
      <c r="DL409"/>
      <c r="DM409"/>
      <c r="DN409"/>
    </row>
    <row r="410" spans="3:118" s="238" customFormat="1" ht="15.75" customHeight="1" x14ac:dyDescent="0.25">
      <c r="C410"/>
      <c r="D410"/>
      <c r="E410"/>
      <c r="F410"/>
      <c r="G410"/>
      <c r="H410"/>
      <c r="I410"/>
      <c r="J410"/>
      <c r="K410"/>
      <c r="L410"/>
      <c r="M410"/>
      <c r="N410"/>
      <c r="O410" s="366"/>
      <c r="P410" s="366">
        <v>2016</v>
      </c>
      <c r="Q410" s="367">
        <f>LARGE($CB$304:$CB$453,107)</f>
        <v>14.2</v>
      </c>
      <c r="R410" s="357">
        <f t="shared" si="121"/>
        <v>-150.4</v>
      </c>
      <c r="S410" s="356">
        <f t="shared" si="120"/>
        <v>22620.160000000003</v>
      </c>
      <c r="T410" s="356"/>
      <c r="U410" s="356">
        <f t="shared" si="122"/>
        <v>-9.4</v>
      </c>
      <c r="V410" s="238">
        <f t="shared" si="126"/>
        <v>8</v>
      </c>
      <c r="W410" s="354"/>
      <c r="X410" s="366"/>
      <c r="Y410" s="366"/>
      <c r="Z410" s="238">
        <v>2016</v>
      </c>
      <c r="AA410" s="367">
        <f>LARGE($CU$304:$CU$453,107)</f>
        <v>59.2</v>
      </c>
      <c r="AB410" s="357">
        <f t="shared" si="123"/>
        <v>-152.5</v>
      </c>
      <c r="AC410" s="356">
        <f t="shared" si="125"/>
        <v>23256.25</v>
      </c>
      <c r="AE410" s="356">
        <f t="shared" si="124"/>
        <v>-9.53125</v>
      </c>
      <c r="AF410" s="238">
        <f t="shared" si="127"/>
        <v>8</v>
      </c>
      <c r="AG410" s="354"/>
      <c r="AK410"/>
      <c r="AL410"/>
      <c r="AM410"/>
      <c r="AN410"/>
      <c r="AO410"/>
      <c r="AP410"/>
      <c r="BI410" s="360"/>
      <c r="BJ410" s="354"/>
      <c r="BK410" s="366">
        <v>2016</v>
      </c>
      <c r="BL410" s="365" t="s">
        <v>1394</v>
      </c>
      <c r="BM410" s="366" t="s">
        <v>144</v>
      </c>
      <c r="BN410" s="366" t="s">
        <v>3</v>
      </c>
      <c r="BO410" s="366">
        <v>0</v>
      </c>
      <c r="BP410" s="366">
        <v>0</v>
      </c>
      <c r="BQ410" s="366">
        <v>0</v>
      </c>
      <c r="BR410" s="366">
        <v>33</v>
      </c>
      <c r="BS410" s="366">
        <v>1</v>
      </c>
      <c r="BT410" s="366">
        <v>5</v>
      </c>
      <c r="BU410" s="366">
        <v>44</v>
      </c>
      <c r="BV410" s="366">
        <v>0</v>
      </c>
      <c r="BW410" s="366">
        <v>0</v>
      </c>
      <c r="BX410" s="366">
        <v>0</v>
      </c>
      <c r="BY410" s="366">
        <v>0</v>
      </c>
      <c r="BZ410" s="366">
        <v>0</v>
      </c>
      <c r="CA410" s="366">
        <v>0</v>
      </c>
      <c r="CB410" s="367">
        <f>IFERROR(BO410/Instructions!$J$25,0)+BP410*Instructions!$J$27+BQ410*Instructions!$J$29+IFERROR(BR410/Instructions!$E$34,0)+BS410*Instructions!$E$36+Tier!BT411*Instructions!$E$25+IFERROR(BU410/Instructions!$E$27,0)+BV410*Instructions!$E$29+IFERROR((BW410+BY410)/Instructions!$J$32,0)+(BX410+BZ410)*Instructions!$J$34+Tier!CA410*-2</f>
        <v>18.700000000000003</v>
      </c>
      <c r="CC410" s="354"/>
      <c r="CD410" s="238">
        <v>2016</v>
      </c>
      <c r="CE410" s="365" t="s">
        <v>83</v>
      </c>
      <c r="CF410" s="366" t="s">
        <v>1630</v>
      </c>
      <c r="CG410" s="366" t="s">
        <v>6</v>
      </c>
      <c r="CH410" s="366">
        <v>0</v>
      </c>
      <c r="CI410" s="366">
        <v>0</v>
      </c>
      <c r="CJ410" s="366">
        <v>0</v>
      </c>
      <c r="CK410" s="366">
        <v>0</v>
      </c>
      <c r="CL410" s="366">
        <v>0</v>
      </c>
      <c r="CM410" s="366">
        <v>20</v>
      </c>
      <c r="CN410" s="366">
        <v>267</v>
      </c>
      <c r="CO410" s="366">
        <v>3</v>
      </c>
      <c r="CP410" s="366">
        <v>0</v>
      </c>
      <c r="CQ410" s="366">
        <v>0</v>
      </c>
      <c r="CR410" s="366">
        <v>13</v>
      </c>
      <c r="CS410" s="366">
        <v>0</v>
      </c>
      <c r="CT410" s="366">
        <v>0</v>
      </c>
      <c r="CU410" s="367">
        <f>IFERROR(CH410/Instructions!$J$25,0)+CI410*Instructions!$J$27+CJ410*Instructions!$J$29+IFERROR(CK410/Instructions!$E$34,0)+CL410*Instructions!$E$36+Tier!CM410*Instructions!$E$25+IFERROR(CN410/Instructions!$E$27,0)+CO410*Instructions!$E$29+IFERROR((CP410+CR410)/Instructions!$J$32,0)+(CQ410+CS410)*Instructions!$J$34+Tier!CT410*-2</f>
        <v>64.7</v>
      </c>
      <c r="CV410" s="354"/>
      <c r="CW410"/>
      <c r="CX410"/>
      <c r="CY410"/>
      <c r="CZ410"/>
      <c r="DA410"/>
      <c r="DB410"/>
      <c r="DC410"/>
      <c r="DD410"/>
      <c r="DE410"/>
      <c r="DF410"/>
      <c r="DG410"/>
      <c r="DH410"/>
      <c r="DI410"/>
      <c r="DJ410"/>
      <c r="DK410"/>
      <c r="DL410"/>
      <c r="DM410"/>
      <c r="DN410"/>
    </row>
    <row r="411" spans="3:118" s="238" customFormat="1" ht="15.75" customHeight="1" x14ac:dyDescent="0.25">
      <c r="C411"/>
      <c r="D411"/>
      <c r="E411"/>
      <c r="F411"/>
      <c r="G411"/>
      <c r="H411"/>
      <c r="I411"/>
      <c r="J411"/>
      <c r="K411"/>
      <c r="L411"/>
      <c r="M411"/>
      <c r="N411"/>
      <c r="O411" s="366"/>
      <c r="P411" s="366">
        <v>2016</v>
      </c>
      <c r="Q411" s="367">
        <f>LARGE($CB$304:$CB$453,108)</f>
        <v>12.4</v>
      </c>
      <c r="R411" s="357">
        <f t="shared" si="121"/>
        <v>-152.19999999999999</v>
      </c>
      <c r="S411" s="356">
        <f t="shared" si="120"/>
        <v>23164.839999999997</v>
      </c>
      <c r="T411" s="356"/>
      <c r="U411" s="356">
        <f t="shared" si="122"/>
        <v>-9.5124999999999993</v>
      </c>
      <c r="V411" s="238">
        <f t="shared" si="126"/>
        <v>8</v>
      </c>
      <c r="W411" s="354"/>
      <c r="X411" s="366"/>
      <c r="Y411" s="366"/>
      <c r="Z411" s="238">
        <v>2016</v>
      </c>
      <c r="AA411" s="367">
        <f>LARGE($CU$304:$CU$453,108)</f>
        <v>58.9</v>
      </c>
      <c r="AB411" s="357">
        <f t="shared" si="123"/>
        <v>-152.80000000000001</v>
      </c>
      <c r="AC411" s="356">
        <f t="shared" si="125"/>
        <v>23347.840000000004</v>
      </c>
      <c r="AE411" s="356">
        <f t="shared" si="124"/>
        <v>-9.5500000000000007</v>
      </c>
      <c r="AF411" s="238">
        <f t="shared" si="127"/>
        <v>8</v>
      </c>
      <c r="AG411" s="354"/>
      <c r="AK411"/>
      <c r="AL411"/>
      <c r="AM411"/>
      <c r="AN411"/>
      <c r="AO411"/>
      <c r="AP411"/>
      <c r="BI411" s="360"/>
      <c r="BJ411" s="354"/>
      <c r="BK411" s="366">
        <v>2016</v>
      </c>
      <c r="BL411" s="365" t="s">
        <v>122</v>
      </c>
      <c r="BM411" s="366" t="s">
        <v>1633</v>
      </c>
      <c r="BN411" s="366" t="s">
        <v>3</v>
      </c>
      <c r="BO411" s="366">
        <v>0</v>
      </c>
      <c r="BP411" s="366">
        <v>0</v>
      </c>
      <c r="BQ411" s="366">
        <v>0</v>
      </c>
      <c r="BR411" s="366">
        <v>28</v>
      </c>
      <c r="BS411" s="366">
        <v>0</v>
      </c>
      <c r="BT411" s="366">
        <v>5</v>
      </c>
      <c r="BU411" s="366">
        <v>25</v>
      </c>
      <c r="BV411" s="366">
        <v>0</v>
      </c>
      <c r="BW411" s="366">
        <v>0</v>
      </c>
      <c r="BX411" s="366">
        <v>0</v>
      </c>
      <c r="BY411" s="366">
        <v>207</v>
      </c>
      <c r="BZ411" s="366">
        <v>0</v>
      </c>
      <c r="CA411" s="366">
        <v>0</v>
      </c>
      <c r="CB411" s="367">
        <f>IFERROR(BO411/Instructions!$J$25,0)+BP411*Instructions!$J$27+BQ411*Instructions!$J$29+IFERROR(BR411/Instructions!$E$34,0)+BS411*Instructions!$E$36+Tier!BT412*Instructions!$E$25+IFERROR(BU411/Instructions!$E$27,0)+BV411*Instructions!$E$29+IFERROR((BW411+BY411)/Instructions!$J$32,0)+(BX411+BZ411)*Instructions!$J$34+Tier!CA411*-2</f>
        <v>11.3</v>
      </c>
      <c r="CC411" s="354"/>
      <c r="CD411" s="238">
        <v>2016</v>
      </c>
      <c r="CE411" s="365" t="s">
        <v>1349</v>
      </c>
      <c r="CF411" s="366" t="s">
        <v>164</v>
      </c>
      <c r="CG411" s="366" t="s">
        <v>6</v>
      </c>
      <c r="CH411" s="366">
        <v>0</v>
      </c>
      <c r="CI411" s="366">
        <v>0</v>
      </c>
      <c r="CJ411" s="366">
        <v>0</v>
      </c>
      <c r="CK411" s="366">
        <v>0</v>
      </c>
      <c r="CL411" s="366">
        <v>0</v>
      </c>
      <c r="CM411" s="366">
        <v>14</v>
      </c>
      <c r="CN411" s="366">
        <v>162</v>
      </c>
      <c r="CO411" s="366">
        <v>2</v>
      </c>
      <c r="CP411" s="366">
        <v>100</v>
      </c>
      <c r="CQ411" s="366">
        <v>0</v>
      </c>
      <c r="CR411" s="366">
        <v>324</v>
      </c>
      <c r="CS411" s="366">
        <v>0</v>
      </c>
      <c r="CT411" s="366">
        <v>1</v>
      </c>
      <c r="CU411" s="367">
        <f>IFERROR(CH411/Instructions!$J$25,0)+CI411*Instructions!$J$27+CJ411*Instructions!$J$29+IFERROR(CK411/Instructions!$E$34,0)+CL411*Instructions!$E$36+Tier!CM411*Instructions!$E$25+IFERROR(CN411/Instructions!$E$27,0)+CO411*Instructions!$E$29+IFERROR((CP411+CR411)/Instructions!$J$32,0)+(CQ411+CS411)*Instructions!$J$34+Tier!CT411*-2</f>
        <v>40.200000000000003</v>
      </c>
      <c r="CV411" s="354"/>
      <c r="CW411"/>
      <c r="CX411"/>
      <c r="CY411"/>
      <c r="CZ411"/>
      <c r="DA411"/>
      <c r="DB411"/>
      <c r="DC411"/>
      <c r="DD411"/>
      <c r="DE411"/>
      <c r="DF411"/>
      <c r="DG411"/>
      <c r="DH411"/>
      <c r="DI411"/>
      <c r="DJ411"/>
      <c r="DK411"/>
      <c r="DL411"/>
      <c r="DM411"/>
      <c r="DN411"/>
    </row>
    <row r="412" spans="3:118" s="238" customFormat="1" ht="15.75" customHeight="1" x14ac:dyDescent="0.25">
      <c r="C412"/>
      <c r="D412"/>
      <c r="E412"/>
      <c r="F412"/>
      <c r="G412"/>
      <c r="H412"/>
      <c r="I412"/>
      <c r="J412"/>
      <c r="K412"/>
      <c r="L412"/>
      <c r="M412"/>
      <c r="N412"/>
      <c r="O412" s="366"/>
      <c r="P412" s="366">
        <v>2016</v>
      </c>
      <c r="Q412" s="367">
        <f>LARGE($CB$304:$CB$453,109)</f>
        <v>12.4</v>
      </c>
      <c r="R412" s="357">
        <f t="shared" si="121"/>
        <v>-152.19999999999999</v>
      </c>
      <c r="S412" s="356">
        <f t="shared" si="120"/>
        <v>23164.839999999997</v>
      </c>
      <c r="T412" s="356"/>
      <c r="U412" s="356">
        <f t="shared" si="122"/>
        <v>-9.5124999999999993</v>
      </c>
      <c r="V412" s="238">
        <f t="shared" si="126"/>
        <v>8</v>
      </c>
      <c r="W412" s="354"/>
      <c r="X412" s="366"/>
      <c r="Y412" s="366"/>
      <c r="Z412" s="238">
        <v>2016</v>
      </c>
      <c r="AA412" s="367">
        <f>LARGE($CU$304:$CU$453,109)</f>
        <v>56.9</v>
      </c>
      <c r="AB412" s="357">
        <f t="shared" si="123"/>
        <v>-154.80000000000001</v>
      </c>
      <c r="AC412" s="356">
        <f t="shared" si="125"/>
        <v>23963.040000000005</v>
      </c>
      <c r="AE412" s="356">
        <f t="shared" si="124"/>
        <v>-9.6750000000000007</v>
      </c>
      <c r="AF412" s="238">
        <f t="shared" si="127"/>
        <v>8</v>
      </c>
      <c r="AG412" s="354"/>
      <c r="AK412"/>
      <c r="AL412"/>
      <c r="AM412"/>
      <c r="AN412"/>
      <c r="AO412"/>
      <c r="AP412"/>
      <c r="BI412" s="360"/>
      <c r="BJ412" s="354"/>
      <c r="BK412" s="366">
        <v>2016</v>
      </c>
      <c r="BL412" s="365" t="s">
        <v>1385</v>
      </c>
      <c r="BM412" s="366" t="s">
        <v>1627</v>
      </c>
      <c r="BN412" s="366" t="s">
        <v>3</v>
      </c>
      <c r="BO412" s="366">
        <v>0</v>
      </c>
      <c r="BP412" s="366">
        <v>0</v>
      </c>
      <c r="BQ412" s="366">
        <v>0</v>
      </c>
      <c r="BR412" s="366">
        <v>47</v>
      </c>
      <c r="BS412" s="366">
        <v>0</v>
      </c>
      <c r="BT412" s="366">
        <v>6</v>
      </c>
      <c r="BU412" s="366">
        <v>77</v>
      </c>
      <c r="BV412" s="366">
        <v>0</v>
      </c>
      <c r="BW412" s="366">
        <v>0</v>
      </c>
      <c r="BX412" s="366">
        <v>0</v>
      </c>
      <c r="BY412" s="366">
        <v>0</v>
      </c>
      <c r="BZ412" s="366">
        <v>0</v>
      </c>
      <c r="CA412" s="366">
        <v>1</v>
      </c>
      <c r="CB412" s="367">
        <f>IFERROR(BO412/Instructions!$J$25,0)+BP412*Instructions!$J$27+BQ412*Instructions!$J$29+IFERROR(BR412/Instructions!$E$34,0)+BS412*Instructions!$E$36+Tier!BT413*Instructions!$E$25+IFERROR(BU412/Instructions!$E$27,0)+BV412*Instructions!$E$29+IFERROR((BW412+BY412)/Instructions!$J$32,0)+(BX412+BZ412)*Instructions!$J$34+Tier!CA412*-2</f>
        <v>11.4</v>
      </c>
      <c r="CC412" s="354"/>
      <c r="CD412" s="238">
        <v>2016</v>
      </c>
      <c r="CE412" s="365" t="s">
        <v>127</v>
      </c>
      <c r="CF412" s="366" t="s">
        <v>1633</v>
      </c>
      <c r="CG412" s="366" t="s">
        <v>6</v>
      </c>
      <c r="CH412" s="366">
        <v>0</v>
      </c>
      <c r="CI412" s="366">
        <v>0</v>
      </c>
      <c r="CJ412" s="366">
        <v>0</v>
      </c>
      <c r="CK412" s="366">
        <v>0</v>
      </c>
      <c r="CL412" s="366">
        <v>0</v>
      </c>
      <c r="CM412" s="366">
        <v>10</v>
      </c>
      <c r="CN412" s="366">
        <v>189</v>
      </c>
      <c r="CO412" s="366">
        <v>4</v>
      </c>
      <c r="CP412" s="366">
        <v>0</v>
      </c>
      <c r="CQ412" s="366">
        <v>0</v>
      </c>
      <c r="CR412" s="366">
        <v>0</v>
      </c>
      <c r="CS412" s="366">
        <v>0</v>
      </c>
      <c r="CT412" s="366">
        <v>0</v>
      </c>
      <c r="CU412" s="367">
        <f>IFERROR(CH412/Instructions!$J$25,0)+CI412*Instructions!$J$27+CJ412*Instructions!$J$29+IFERROR(CK412/Instructions!$E$34,0)+CL412*Instructions!$E$36+Tier!CM412*Instructions!$E$25+IFERROR(CN412/Instructions!$E$27,0)+CO412*Instructions!$E$29+IFERROR((CP412+CR412)/Instructions!$J$32,0)+(CQ412+CS412)*Instructions!$J$34+Tier!CT412*-2</f>
        <v>52.9</v>
      </c>
      <c r="CV412" s="354"/>
      <c r="CW412"/>
      <c r="CX412"/>
      <c r="CY412"/>
      <c r="CZ412"/>
      <c r="DA412"/>
      <c r="DB412"/>
      <c r="DC412"/>
      <c r="DD412"/>
      <c r="DE412"/>
      <c r="DF412"/>
      <c r="DG412"/>
      <c r="DH412"/>
      <c r="DI412"/>
      <c r="DJ412"/>
      <c r="DK412"/>
      <c r="DL412"/>
      <c r="DM412"/>
      <c r="DN412"/>
    </row>
    <row r="413" spans="3:118" s="238" customFormat="1" ht="15.75" customHeight="1" x14ac:dyDescent="0.25">
      <c r="C413"/>
      <c r="D413"/>
      <c r="E413"/>
      <c r="F413"/>
      <c r="G413"/>
      <c r="H413"/>
      <c r="I413"/>
      <c r="J413"/>
      <c r="K413"/>
      <c r="L413"/>
      <c r="M413"/>
      <c r="N413"/>
      <c r="O413" s="366"/>
      <c r="P413" s="366">
        <v>2016</v>
      </c>
      <c r="Q413" s="367">
        <f>LARGE($CB$304:$CB$453,110)</f>
        <v>12.399999999999999</v>
      </c>
      <c r="R413" s="357">
        <f t="shared" si="121"/>
        <v>-152.19999999999999</v>
      </c>
      <c r="S413" s="356">
        <f t="shared" si="120"/>
        <v>23164.839999999997</v>
      </c>
      <c r="T413" s="356"/>
      <c r="U413" s="356">
        <f t="shared" si="122"/>
        <v>-9.5124999999999993</v>
      </c>
      <c r="V413" s="238">
        <f t="shared" si="126"/>
        <v>8</v>
      </c>
      <c r="W413" s="354"/>
      <c r="X413" s="366"/>
      <c r="Y413" s="366"/>
      <c r="Z413" s="238">
        <v>2016</v>
      </c>
      <c r="AA413" s="367">
        <f>LARGE($CU$304:$CU$453,110)</f>
        <v>56.3</v>
      </c>
      <c r="AB413" s="357">
        <f t="shared" si="123"/>
        <v>-155.40000000000003</v>
      </c>
      <c r="AC413" s="356">
        <f t="shared" si="125"/>
        <v>24149.160000000011</v>
      </c>
      <c r="AE413" s="356">
        <f t="shared" si="124"/>
        <v>-9.7125000000000021</v>
      </c>
      <c r="AF413" s="238">
        <f t="shared" si="127"/>
        <v>8</v>
      </c>
      <c r="AG413" s="354"/>
      <c r="AK413"/>
      <c r="AL413"/>
      <c r="AM413"/>
      <c r="AN413"/>
      <c r="AO413"/>
      <c r="AP413"/>
      <c r="BI413" s="360"/>
      <c r="BJ413" s="354"/>
      <c r="BK413" s="366">
        <v>2016</v>
      </c>
      <c r="BL413" s="365" t="s">
        <v>1341</v>
      </c>
      <c r="BM413" s="366" t="s">
        <v>152</v>
      </c>
      <c r="BN413" s="366" t="s">
        <v>3</v>
      </c>
      <c r="BO413" s="366">
        <v>0</v>
      </c>
      <c r="BP413" s="366">
        <v>0</v>
      </c>
      <c r="BQ413" s="366">
        <v>0</v>
      </c>
      <c r="BR413" s="366">
        <v>82</v>
      </c>
      <c r="BS413" s="366">
        <v>1</v>
      </c>
      <c r="BT413" s="366">
        <v>1</v>
      </c>
      <c r="BU413" s="366">
        <v>-2</v>
      </c>
      <c r="BV413" s="366">
        <v>0</v>
      </c>
      <c r="BW413" s="366">
        <v>0</v>
      </c>
      <c r="BX413" s="366">
        <v>0</v>
      </c>
      <c r="BY413" s="366">
        <v>0</v>
      </c>
      <c r="BZ413" s="366">
        <v>0</v>
      </c>
      <c r="CA413" s="366">
        <v>0</v>
      </c>
      <c r="CB413" s="367">
        <f>IFERROR(BO413/Instructions!$J$25,0)+BP413*Instructions!$J$27+BQ413*Instructions!$J$29+IFERROR(BR413/Instructions!$E$34,0)+BS413*Instructions!$E$36+Tier!BT414*Instructions!$E$25+IFERROR(BU413/Instructions!$E$27,0)+BV413*Instructions!$E$29+IFERROR((BW413+BY413)/Instructions!$J$32,0)+(BX413+BZ413)*Instructions!$J$34+Tier!CA413*-2</f>
        <v>21</v>
      </c>
      <c r="CC413" s="354"/>
      <c r="CD413" s="238">
        <v>2016</v>
      </c>
      <c r="CE413" s="365" t="s">
        <v>216</v>
      </c>
      <c r="CF413" s="366" t="s">
        <v>1630</v>
      </c>
      <c r="CG413" s="366" t="s">
        <v>6</v>
      </c>
      <c r="CH413" s="366">
        <v>0</v>
      </c>
      <c r="CI413" s="366">
        <v>0</v>
      </c>
      <c r="CJ413" s="366">
        <v>0</v>
      </c>
      <c r="CK413" s="366">
        <v>0</v>
      </c>
      <c r="CL413" s="366">
        <v>0</v>
      </c>
      <c r="CM413" s="366">
        <v>37</v>
      </c>
      <c r="CN413" s="366">
        <v>408</v>
      </c>
      <c r="CO413" s="366">
        <v>0</v>
      </c>
      <c r="CP413" s="366">
        <v>0</v>
      </c>
      <c r="CQ413" s="366">
        <v>0</v>
      </c>
      <c r="CR413" s="366">
        <v>11</v>
      </c>
      <c r="CS413" s="366">
        <v>0</v>
      </c>
      <c r="CT413" s="366">
        <v>0</v>
      </c>
      <c r="CU413" s="367">
        <f>IFERROR(CH413/Instructions!$J$25,0)+CI413*Instructions!$J$27+CJ413*Instructions!$J$29+IFERROR(CK413/Instructions!$E$34,0)+CL413*Instructions!$E$36+Tier!CM413*Instructions!$E$25+IFERROR(CN413/Instructions!$E$27,0)+CO413*Instructions!$E$29+IFERROR((CP413+CR413)/Instructions!$J$32,0)+(CQ413+CS413)*Instructions!$J$34+Tier!CT413*-2</f>
        <v>77.8</v>
      </c>
      <c r="CV413" s="354"/>
      <c r="CW413"/>
      <c r="CX413"/>
      <c r="CY413"/>
      <c r="CZ413"/>
      <c r="DA413"/>
      <c r="DB413"/>
      <c r="DC413"/>
      <c r="DD413"/>
      <c r="DE413"/>
      <c r="DF413"/>
      <c r="DG413"/>
      <c r="DH413"/>
      <c r="DI413"/>
      <c r="DJ413"/>
      <c r="DK413"/>
      <c r="DL413"/>
      <c r="DM413"/>
      <c r="DN413"/>
    </row>
    <row r="414" spans="3:118" s="238" customFormat="1" ht="15.75" customHeight="1" x14ac:dyDescent="0.25">
      <c r="C414"/>
      <c r="D414"/>
      <c r="E414"/>
      <c r="F414"/>
      <c r="G414"/>
      <c r="H414"/>
      <c r="I414"/>
      <c r="J414"/>
      <c r="K414"/>
      <c r="L414"/>
      <c r="M414"/>
      <c r="N414"/>
      <c r="O414" s="366"/>
      <c r="P414" s="366">
        <v>2016</v>
      </c>
      <c r="Q414" s="367">
        <f>LARGE($CB$304:$CB$453,111)</f>
        <v>12.399999999999999</v>
      </c>
      <c r="R414" s="357">
        <f t="shared" si="121"/>
        <v>-152.19999999999999</v>
      </c>
      <c r="S414" s="356">
        <f t="shared" si="120"/>
        <v>23164.839999999997</v>
      </c>
      <c r="T414" s="356"/>
      <c r="U414" s="356">
        <f t="shared" si="122"/>
        <v>-9.5124999999999993</v>
      </c>
      <c r="V414" s="238">
        <f t="shared" si="126"/>
        <v>8</v>
      </c>
      <c r="W414" s="354"/>
      <c r="X414" s="366"/>
      <c r="Y414" s="366"/>
      <c r="Z414" s="238">
        <v>2016</v>
      </c>
      <c r="AA414" s="367">
        <f>LARGE($CU$304:$CU$453,111)</f>
        <v>55.9</v>
      </c>
      <c r="AB414" s="357">
        <f t="shared" si="123"/>
        <v>-155.80000000000001</v>
      </c>
      <c r="AC414" s="356">
        <f t="shared" si="125"/>
        <v>24273.640000000003</v>
      </c>
      <c r="AE414" s="356">
        <f t="shared" si="124"/>
        <v>-9.7375000000000007</v>
      </c>
      <c r="AF414" s="238">
        <f t="shared" si="127"/>
        <v>8</v>
      </c>
      <c r="AG414" s="354"/>
      <c r="AK414"/>
      <c r="AL414"/>
      <c r="AM414"/>
      <c r="AN414"/>
      <c r="AO414"/>
      <c r="AP414"/>
      <c r="BI414" s="360"/>
      <c r="BJ414" s="354"/>
      <c r="BK414" s="366">
        <v>2016</v>
      </c>
      <c r="BL414" s="365" t="s">
        <v>1234</v>
      </c>
      <c r="BM414" s="366" t="s">
        <v>148</v>
      </c>
      <c r="BN414" s="366" t="s">
        <v>3</v>
      </c>
      <c r="BO414" s="366">
        <v>0</v>
      </c>
      <c r="BP414" s="366">
        <v>0</v>
      </c>
      <c r="BQ414" s="366">
        <v>0</v>
      </c>
      <c r="BR414" s="366">
        <v>0</v>
      </c>
      <c r="BS414" s="366">
        <v>0</v>
      </c>
      <c r="BT414" s="366">
        <v>7</v>
      </c>
      <c r="BU414" s="366">
        <v>52</v>
      </c>
      <c r="BV414" s="366">
        <v>1</v>
      </c>
      <c r="BW414" s="366">
        <v>0</v>
      </c>
      <c r="BX414" s="366">
        <v>0</v>
      </c>
      <c r="BY414" s="366">
        <v>14</v>
      </c>
      <c r="BZ414" s="366">
        <v>0</v>
      </c>
      <c r="CA414" s="366">
        <v>0</v>
      </c>
      <c r="CB414" s="367">
        <f>IFERROR(BO414/Instructions!$J$25,0)+BP414*Instructions!$J$27+BQ414*Instructions!$J$29+IFERROR(BR414/Instructions!$E$34,0)+BS414*Instructions!$E$36+Tier!BT415*Instructions!$E$25+IFERROR(BU414/Instructions!$E$27,0)+BV414*Instructions!$E$29+IFERROR((BW414+BY414)/Instructions!$J$32,0)+(BX414+BZ414)*Instructions!$J$34+Tier!CA414*-2</f>
        <v>14.2</v>
      </c>
      <c r="CC414" s="354"/>
      <c r="CD414" s="238">
        <v>2016</v>
      </c>
      <c r="CE414" s="365" t="s">
        <v>1243</v>
      </c>
      <c r="CF414" s="366" t="s">
        <v>144</v>
      </c>
      <c r="CG414" s="366" t="s">
        <v>6</v>
      </c>
      <c r="CH414" s="366">
        <v>0</v>
      </c>
      <c r="CI414" s="366">
        <v>0</v>
      </c>
      <c r="CJ414" s="366">
        <v>0</v>
      </c>
      <c r="CK414" s="366">
        <v>0</v>
      </c>
      <c r="CL414" s="366">
        <v>0</v>
      </c>
      <c r="CM414" s="366">
        <v>21</v>
      </c>
      <c r="CN414" s="366">
        <v>232</v>
      </c>
      <c r="CO414" s="366">
        <v>1</v>
      </c>
      <c r="CP414" s="366">
        <v>204</v>
      </c>
      <c r="CQ414" s="366">
        <v>0</v>
      </c>
      <c r="CR414" s="366">
        <v>65</v>
      </c>
      <c r="CS414" s="366">
        <v>0</v>
      </c>
      <c r="CT414" s="366">
        <v>1</v>
      </c>
      <c r="CU414" s="367">
        <f>IFERROR(CH414/Instructions!$J$25,0)+CI414*Instructions!$J$27+CJ414*Instructions!$J$29+IFERROR(CK414/Instructions!$E$34,0)+CL414*Instructions!$E$36+Tier!CM414*Instructions!$E$25+IFERROR(CN414/Instructions!$E$27,0)+CO414*Instructions!$E$29+IFERROR((CP414+CR414)/Instructions!$J$32,0)+(CQ414+CS414)*Instructions!$J$34+Tier!CT414*-2</f>
        <v>48.2</v>
      </c>
      <c r="CV414" s="354"/>
      <c r="CW414"/>
      <c r="CX414"/>
      <c r="CY414"/>
      <c r="CZ414"/>
      <c r="DA414"/>
      <c r="DB414"/>
      <c r="DC414"/>
      <c r="DD414"/>
      <c r="DE414"/>
      <c r="DF414"/>
      <c r="DG414"/>
      <c r="DH414"/>
      <c r="DI414"/>
      <c r="DJ414"/>
      <c r="DK414"/>
      <c r="DL414"/>
      <c r="DM414"/>
      <c r="DN414"/>
    </row>
    <row r="415" spans="3:118" s="238" customFormat="1" ht="15.75" customHeight="1" x14ac:dyDescent="0.25">
      <c r="C415"/>
      <c r="D415"/>
      <c r="E415"/>
      <c r="F415"/>
      <c r="G415"/>
      <c r="H415"/>
      <c r="I415"/>
      <c r="J415"/>
      <c r="K415"/>
      <c r="L415"/>
      <c r="M415"/>
      <c r="N415"/>
      <c r="O415" s="366"/>
      <c r="P415" s="366">
        <v>2016</v>
      </c>
      <c r="Q415" s="367">
        <f>LARGE($CB$304:$CB$453,112)</f>
        <v>12.3</v>
      </c>
      <c r="R415" s="357">
        <f t="shared" si="121"/>
        <v>-152.29999999999998</v>
      </c>
      <c r="S415" s="356">
        <f t="shared" si="120"/>
        <v>23195.289999999994</v>
      </c>
      <c r="U415" s="356">
        <f t="shared" si="122"/>
        <v>-9.5187499999999989</v>
      </c>
      <c r="V415" s="238">
        <f t="shared" si="126"/>
        <v>8</v>
      </c>
      <c r="W415" s="354"/>
      <c r="X415" s="366"/>
      <c r="Y415" s="366"/>
      <c r="Z415" s="238">
        <v>2016</v>
      </c>
      <c r="AA415" s="367">
        <f>LARGE($CU$304:$CU$453,112)</f>
        <v>52.9</v>
      </c>
      <c r="AB415" s="357">
        <f t="shared" si="123"/>
        <v>-158.80000000000001</v>
      </c>
      <c r="AC415" s="356">
        <f t="shared" si="125"/>
        <v>25217.440000000002</v>
      </c>
      <c r="AE415" s="356">
        <f t="shared" si="124"/>
        <v>-9.9250000000000007</v>
      </c>
      <c r="AF415" s="238">
        <f t="shared" si="127"/>
        <v>8</v>
      </c>
      <c r="AG415" s="354"/>
      <c r="AK415"/>
      <c r="AL415"/>
      <c r="AM415"/>
      <c r="AN415"/>
      <c r="AO415"/>
      <c r="AP415"/>
      <c r="BI415" s="360"/>
      <c r="BJ415" s="354"/>
      <c r="BK415" s="366">
        <v>2016</v>
      </c>
      <c r="BL415" s="365" t="s">
        <v>105</v>
      </c>
      <c r="BM415" s="366" t="s">
        <v>146</v>
      </c>
      <c r="BN415" s="366" t="s">
        <v>3</v>
      </c>
      <c r="BO415" s="366">
        <v>0</v>
      </c>
      <c r="BP415" s="366">
        <v>0</v>
      </c>
      <c r="BQ415" s="366">
        <v>0</v>
      </c>
      <c r="BR415" s="366">
        <v>87</v>
      </c>
      <c r="BS415" s="366">
        <v>0</v>
      </c>
      <c r="BT415" s="366">
        <v>3</v>
      </c>
      <c r="BU415" s="366">
        <v>17</v>
      </c>
      <c r="BV415" s="366">
        <v>0</v>
      </c>
      <c r="BW415" s="366">
        <v>0</v>
      </c>
      <c r="BX415" s="366">
        <v>0</v>
      </c>
      <c r="BY415" s="366">
        <v>30</v>
      </c>
      <c r="BZ415" s="366">
        <v>0</v>
      </c>
      <c r="CA415" s="366">
        <v>0</v>
      </c>
      <c r="CB415" s="367">
        <f>IFERROR(BO415/Instructions!$J$25,0)+BP415*Instructions!$J$27+BQ415*Instructions!$J$29+IFERROR(BR415/Instructions!$E$34,0)+BS415*Instructions!$E$36+Tier!BT416*Instructions!$E$25+IFERROR(BU415/Instructions!$E$27,0)+BV415*Instructions!$E$29+IFERROR((BW415+BY415)/Instructions!$J$32,0)+(BX415+BZ415)*Instructions!$J$34+Tier!CA415*-2</f>
        <v>12.399999999999999</v>
      </c>
      <c r="CC415" s="354"/>
      <c r="CD415" s="238">
        <v>2016</v>
      </c>
      <c r="CE415" s="365" t="s">
        <v>1257</v>
      </c>
      <c r="CF415" s="366" t="s">
        <v>1613</v>
      </c>
      <c r="CG415" s="366" t="s">
        <v>6</v>
      </c>
      <c r="CH415" s="366">
        <v>0</v>
      </c>
      <c r="CI415" s="366">
        <v>0</v>
      </c>
      <c r="CJ415" s="366">
        <v>0</v>
      </c>
      <c r="CK415" s="366">
        <v>4</v>
      </c>
      <c r="CL415" s="366">
        <v>0</v>
      </c>
      <c r="CM415" s="366">
        <v>24</v>
      </c>
      <c r="CN415" s="366">
        <v>231</v>
      </c>
      <c r="CO415" s="366">
        <v>2</v>
      </c>
      <c r="CP415" s="366">
        <v>86</v>
      </c>
      <c r="CQ415" s="366">
        <v>0</v>
      </c>
      <c r="CR415" s="366">
        <v>39</v>
      </c>
      <c r="CS415" s="366">
        <v>0</v>
      </c>
      <c r="CT415" s="366">
        <v>0</v>
      </c>
      <c r="CU415" s="367">
        <f>IFERROR(CH415/Instructions!$J$25,0)+CI415*Instructions!$J$27+CJ415*Instructions!$J$29+IFERROR(CK415/Instructions!$E$34,0)+CL415*Instructions!$E$36+Tier!CM415*Instructions!$E$25+IFERROR(CN415/Instructions!$E$27,0)+CO415*Instructions!$E$29+IFERROR((CP415+CR415)/Instructions!$J$32,0)+(CQ415+CS415)*Instructions!$J$34+Tier!CT415*-2</f>
        <v>59.5</v>
      </c>
      <c r="CV415" s="354"/>
      <c r="CW415"/>
      <c r="CX415"/>
      <c r="CY415"/>
      <c r="CZ415"/>
      <c r="DA415"/>
      <c r="DB415"/>
      <c r="DC415"/>
      <c r="DD415"/>
      <c r="DE415"/>
      <c r="DF415"/>
      <c r="DG415"/>
      <c r="DH415"/>
      <c r="DI415"/>
      <c r="DJ415"/>
      <c r="DK415"/>
      <c r="DL415"/>
      <c r="DM415"/>
      <c r="DN415"/>
    </row>
    <row r="416" spans="3:118" s="238" customFormat="1" ht="15.75" customHeight="1" x14ac:dyDescent="0.25">
      <c r="C416"/>
      <c r="D416"/>
      <c r="E416"/>
      <c r="F416"/>
      <c r="G416"/>
      <c r="H416"/>
      <c r="I416"/>
      <c r="J416"/>
      <c r="K416"/>
      <c r="L416"/>
      <c r="M416"/>
      <c r="N416"/>
      <c r="O416" s="366"/>
      <c r="P416" s="366">
        <v>2016</v>
      </c>
      <c r="Q416" s="367">
        <f>LARGE($CB$304:$CB$453,113)</f>
        <v>11.6</v>
      </c>
      <c r="R416" s="357">
        <f t="shared" si="121"/>
        <v>-153</v>
      </c>
      <c r="S416" s="356">
        <f t="shared" si="120"/>
        <v>23409</v>
      </c>
      <c r="U416" s="356">
        <f t="shared" si="122"/>
        <v>-9.5625</v>
      </c>
      <c r="V416" s="238">
        <f t="shared" si="126"/>
        <v>8</v>
      </c>
      <c r="W416" s="354"/>
      <c r="X416" s="366"/>
      <c r="Y416" s="366"/>
      <c r="Z416" s="238">
        <v>2016</v>
      </c>
      <c r="AA416" s="367">
        <f>LARGE($CU$304:$CU$453,113)</f>
        <v>52.4</v>
      </c>
      <c r="AB416" s="357">
        <f t="shared" si="123"/>
        <v>-159.30000000000001</v>
      </c>
      <c r="AC416" s="356">
        <f t="shared" si="125"/>
        <v>25376.490000000005</v>
      </c>
      <c r="AE416" s="356">
        <f t="shared" si="124"/>
        <v>-9.9562500000000007</v>
      </c>
      <c r="AF416" s="238">
        <f t="shared" si="127"/>
        <v>8</v>
      </c>
      <c r="AG416" s="354"/>
      <c r="AK416"/>
      <c r="AL416"/>
      <c r="AM416"/>
      <c r="AN416"/>
      <c r="AO416"/>
      <c r="AP416"/>
      <c r="BI416" s="360"/>
      <c r="BJ416" s="354"/>
      <c r="BK416" s="366">
        <v>2016</v>
      </c>
      <c r="BL416" s="365" t="s">
        <v>4</v>
      </c>
      <c r="BM416" s="366" t="s">
        <v>1629</v>
      </c>
      <c r="BN416" s="366" t="s">
        <v>3</v>
      </c>
      <c r="BO416" s="366">
        <v>0</v>
      </c>
      <c r="BP416" s="366">
        <v>0</v>
      </c>
      <c r="BQ416" s="366">
        <v>0</v>
      </c>
      <c r="BR416" s="366">
        <v>40</v>
      </c>
      <c r="BS416" s="366">
        <v>1</v>
      </c>
      <c r="BT416" s="366">
        <v>2</v>
      </c>
      <c r="BU416" s="366">
        <v>14</v>
      </c>
      <c r="BV416" s="366">
        <v>0</v>
      </c>
      <c r="BW416" s="366">
        <v>0</v>
      </c>
      <c r="BX416" s="366">
        <v>0</v>
      </c>
      <c r="BY416" s="366">
        <v>0</v>
      </c>
      <c r="BZ416" s="366">
        <v>0</v>
      </c>
      <c r="CA416" s="366">
        <v>0</v>
      </c>
      <c r="CB416" s="367">
        <f>IFERROR(BO416/Instructions!$J$25,0)+BP416*Instructions!$J$27+BQ416*Instructions!$J$29+IFERROR(BR416/Instructions!$E$34,0)+BS416*Instructions!$E$36+Tier!BT417*Instructions!$E$25+IFERROR(BU416/Instructions!$E$27,0)+BV416*Instructions!$E$29+IFERROR((BW416+BY416)/Instructions!$J$32,0)+(BX416+BZ416)*Instructions!$J$34+Tier!CA416*-2</f>
        <v>12.4</v>
      </c>
      <c r="CC416" s="354"/>
      <c r="CD416" s="238">
        <v>2016</v>
      </c>
      <c r="CE416" s="365" t="s">
        <v>1250</v>
      </c>
      <c r="CF416" s="366" t="s">
        <v>140</v>
      </c>
      <c r="CG416" s="366" t="s">
        <v>6</v>
      </c>
      <c r="CH416" s="366">
        <v>0</v>
      </c>
      <c r="CI416" s="366">
        <v>0</v>
      </c>
      <c r="CJ416" s="366">
        <v>0</v>
      </c>
      <c r="CK416" s="366">
        <v>5</v>
      </c>
      <c r="CL416" s="366">
        <v>0</v>
      </c>
      <c r="CM416" s="366">
        <v>21</v>
      </c>
      <c r="CN416" s="366">
        <v>288</v>
      </c>
      <c r="CO416" s="366">
        <v>1</v>
      </c>
      <c r="CP416" s="366">
        <v>0</v>
      </c>
      <c r="CQ416" s="366">
        <v>0</v>
      </c>
      <c r="CR416" s="366">
        <v>105</v>
      </c>
      <c r="CS416" s="366">
        <v>0</v>
      </c>
      <c r="CT416" s="366">
        <v>0</v>
      </c>
      <c r="CU416" s="367">
        <f>IFERROR(CH416/Instructions!$J$25,0)+CI416*Instructions!$J$27+CJ416*Instructions!$J$29+IFERROR(CK416/Instructions!$E$34,0)+CL416*Instructions!$E$36+Tier!CM416*Instructions!$E$25+IFERROR(CN416/Instructions!$E$27,0)+CO416*Instructions!$E$29+IFERROR((CP416+CR416)/Instructions!$J$32,0)+(CQ416+CS416)*Instructions!$J$34+Tier!CT416*-2</f>
        <v>56.3</v>
      </c>
      <c r="CV416" s="354"/>
      <c r="CW416"/>
      <c r="CX416"/>
      <c r="CY416"/>
      <c r="CZ416"/>
      <c r="DA416"/>
      <c r="DB416"/>
      <c r="DC416"/>
      <c r="DD416"/>
      <c r="DE416"/>
      <c r="DF416"/>
      <c r="DG416"/>
      <c r="DH416"/>
      <c r="DI416"/>
      <c r="DJ416"/>
      <c r="DK416"/>
      <c r="DL416"/>
      <c r="DM416"/>
      <c r="DN416"/>
    </row>
    <row r="417" spans="3:118" s="238" customFormat="1" ht="15.75" customHeight="1" x14ac:dyDescent="0.25">
      <c r="C417"/>
      <c r="D417"/>
      <c r="E417"/>
      <c r="F417"/>
      <c r="G417"/>
      <c r="H417"/>
      <c r="I417"/>
      <c r="J417"/>
      <c r="K417"/>
      <c r="L417"/>
      <c r="M417"/>
      <c r="N417"/>
      <c r="O417" s="366"/>
      <c r="P417" s="366">
        <v>2016</v>
      </c>
      <c r="Q417" s="367">
        <f>LARGE($CB$304:$CB$453,114)</f>
        <v>11.4</v>
      </c>
      <c r="R417" s="357">
        <f t="shared" si="121"/>
        <v>-153.19999999999999</v>
      </c>
      <c r="S417" s="356">
        <f t="shared" si="120"/>
        <v>23470.239999999998</v>
      </c>
      <c r="U417" s="356">
        <f t="shared" si="122"/>
        <v>-9.5749999999999993</v>
      </c>
      <c r="V417" s="238">
        <f t="shared" si="126"/>
        <v>8</v>
      </c>
      <c r="W417" s="354"/>
      <c r="X417" s="366"/>
      <c r="Y417" s="366"/>
      <c r="Z417" s="238">
        <v>2016</v>
      </c>
      <c r="AA417" s="367">
        <f>LARGE($CU$304:$CU$453,114)</f>
        <v>50.8</v>
      </c>
      <c r="AB417" s="357">
        <f t="shared" si="123"/>
        <v>-160.90000000000003</v>
      </c>
      <c r="AC417" s="356">
        <f t="shared" si="125"/>
        <v>25888.810000000012</v>
      </c>
      <c r="AE417" s="356">
        <f t="shared" si="124"/>
        <v>-10.056250000000002</v>
      </c>
      <c r="AF417" s="238">
        <f t="shared" si="127"/>
        <v>8</v>
      </c>
      <c r="AG417" s="354"/>
      <c r="AK417"/>
      <c r="AL417"/>
      <c r="AM417"/>
      <c r="AN417"/>
      <c r="AO417"/>
      <c r="AP417"/>
      <c r="BI417" s="360"/>
      <c r="BJ417" s="354"/>
      <c r="BK417" s="366">
        <v>2016</v>
      </c>
      <c r="BL417" s="365" t="s">
        <v>1312</v>
      </c>
      <c r="BM417" s="366" t="s">
        <v>137</v>
      </c>
      <c r="BN417" s="366" t="s">
        <v>3</v>
      </c>
      <c r="BO417" s="366">
        <v>0</v>
      </c>
      <c r="BP417" s="366">
        <v>0</v>
      </c>
      <c r="BQ417" s="366">
        <v>0</v>
      </c>
      <c r="BR417" s="366">
        <v>28</v>
      </c>
      <c r="BS417" s="366">
        <v>1</v>
      </c>
      <c r="BT417" s="366">
        <v>1</v>
      </c>
      <c r="BU417" s="366">
        <v>5</v>
      </c>
      <c r="BV417" s="366">
        <v>0</v>
      </c>
      <c r="BW417" s="366">
        <v>0</v>
      </c>
      <c r="BX417" s="366">
        <v>0</v>
      </c>
      <c r="BY417" s="366">
        <v>0</v>
      </c>
      <c r="BZ417" s="366">
        <v>0</v>
      </c>
      <c r="CA417" s="366">
        <v>0</v>
      </c>
      <c r="CB417" s="367">
        <f>IFERROR(BO417/Instructions!$J$25,0)+BP417*Instructions!$J$27+BQ417*Instructions!$J$29+IFERROR(BR417/Instructions!$E$34,0)+BS417*Instructions!$E$36+Tier!BT418*Instructions!$E$25+IFERROR(BU417/Instructions!$E$27,0)+BV417*Instructions!$E$29+IFERROR((BW417+BY417)/Instructions!$J$32,0)+(BX417+BZ417)*Instructions!$J$34+Tier!CA417*-2</f>
        <v>12.3</v>
      </c>
      <c r="CC417" s="354"/>
      <c r="CD417" s="238">
        <v>2016</v>
      </c>
      <c r="CE417" s="365" t="s">
        <v>214</v>
      </c>
      <c r="CF417" s="366" t="s">
        <v>146</v>
      </c>
      <c r="CG417" s="366" t="s">
        <v>6</v>
      </c>
      <c r="CH417" s="366">
        <v>0</v>
      </c>
      <c r="CI417" s="366">
        <v>0</v>
      </c>
      <c r="CJ417" s="366">
        <v>0</v>
      </c>
      <c r="CK417" s="366">
        <v>0</v>
      </c>
      <c r="CL417" s="366">
        <v>0</v>
      </c>
      <c r="CM417" s="366">
        <v>16</v>
      </c>
      <c r="CN417" s="366">
        <v>219</v>
      </c>
      <c r="CO417" s="366">
        <v>3</v>
      </c>
      <c r="CP417" s="366">
        <v>0</v>
      </c>
      <c r="CQ417" s="366">
        <v>0</v>
      </c>
      <c r="CR417" s="366">
        <v>0</v>
      </c>
      <c r="CS417" s="366">
        <v>0</v>
      </c>
      <c r="CT417" s="366">
        <v>0</v>
      </c>
      <c r="CU417" s="367">
        <f>IFERROR(CH417/Instructions!$J$25,0)+CI417*Instructions!$J$27+CJ417*Instructions!$J$29+IFERROR(CK417/Instructions!$E$34,0)+CL417*Instructions!$E$36+Tier!CM417*Instructions!$E$25+IFERROR(CN417/Instructions!$E$27,0)+CO417*Instructions!$E$29+IFERROR((CP417+CR417)/Instructions!$J$32,0)+(CQ417+CS417)*Instructions!$J$34+Tier!CT417*-2</f>
        <v>55.9</v>
      </c>
      <c r="CV417" s="354"/>
      <c r="CW417"/>
      <c r="CX417"/>
      <c r="CY417"/>
      <c r="CZ417"/>
      <c r="DA417"/>
      <c r="DB417"/>
      <c r="DC417"/>
      <c r="DD417"/>
      <c r="DE417"/>
      <c r="DF417"/>
      <c r="DG417"/>
      <c r="DH417"/>
      <c r="DI417"/>
      <c r="DJ417"/>
      <c r="DK417"/>
      <c r="DL417"/>
      <c r="DM417"/>
      <c r="DN417"/>
    </row>
    <row r="418" spans="3:118" s="238" customFormat="1" ht="15.75" customHeight="1" x14ac:dyDescent="0.25">
      <c r="C418"/>
      <c r="D418"/>
      <c r="E418"/>
      <c r="F418"/>
      <c r="G418"/>
      <c r="H418"/>
      <c r="I418"/>
      <c r="J418"/>
      <c r="K418"/>
      <c r="L418"/>
      <c r="M418"/>
      <c r="N418"/>
      <c r="O418" s="366"/>
      <c r="P418" s="366">
        <v>2016</v>
      </c>
      <c r="Q418" s="367">
        <f>LARGE($CB$304:$CB$453,115)</f>
        <v>11.4</v>
      </c>
      <c r="R418" s="357">
        <f t="shared" si="121"/>
        <v>-153.19999999999999</v>
      </c>
      <c r="S418" s="356">
        <f t="shared" si="120"/>
        <v>23470.239999999998</v>
      </c>
      <c r="U418" s="356">
        <f t="shared" si="122"/>
        <v>-9.5749999999999993</v>
      </c>
      <c r="V418" s="238">
        <f t="shared" si="126"/>
        <v>8</v>
      </c>
      <c r="W418" s="354"/>
      <c r="X418" s="366"/>
      <c r="Y418" s="366"/>
      <c r="Z418" s="238">
        <v>2016</v>
      </c>
      <c r="AA418" s="367">
        <f>LARGE($CU$304:$CU$453,115)</f>
        <v>49.1</v>
      </c>
      <c r="AB418" s="357">
        <f t="shared" si="123"/>
        <v>-162.60000000000002</v>
      </c>
      <c r="AC418" s="356">
        <f t="shared" si="125"/>
        <v>26438.760000000006</v>
      </c>
      <c r="AE418" s="356">
        <f t="shared" si="124"/>
        <v>-10.162500000000001</v>
      </c>
      <c r="AF418" s="238">
        <f t="shared" si="127"/>
        <v>8</v>
      </c>
      <c r="AG418" s="354"/>
      <c r="AK418"/>
      <c r="AL418"/>
      <c r="AM418"/>
      <c r="AN418"/>
      <c r="AO418"/>
      <c r="AP418"/>
      <c r="BI418" s="360"/>
      <c r="BJ418" s="354"/>
      <c r="BK418" s="366">
        <v>2016</v>
      </c>
      <c r="BL418" s="365" t="s">
        <v>1635</v>
      </c>
      <c r="BM418" s="366" t="s">
        <v>137</v>
      </c>
      <c r="BN418" s="366" t="s">
        <v>3</v>
      </c>
      <c r="BO418" s="366">
        <v>0</v>
      </c>
      <c r="BP418" s="366">
        <v>0</v>
      </c>
      <c r="BQ418" s="366">
        <v>0</v>
      </c>
      <c r="BR418" s="366">
        <v>64</v>
      </c>
      <c r="BS418" s="366">
        <v>0</v>
      </c>
      <c r="BT418" s="366">
        <v>3</v>
      </c>
      <c r="BU418" s="366">
        <v>10</v>
      </c>
      <c r="BV418" s="366">
        <v>0</v>
      </c>
      <c r="BW418" s="366">
        <v>0</v>
      </c>
      <c r="BX418" s="366">
        <v>0</v>
      </c>
      <c r="BY418" s="366">
        <v>36</v>
      </c>
      <c r="BZ418" s="366">
        <v>0</v>
      </c>
      <c r="CA418" s="366">
        <v>0</v>
      </c>
      <c r="CB418" s="367">
        <f>IFERROR(BO418/Instructions!$J$25,0)+BP418*Instructions!$J$27+BQ418*Instructions!$J$29+IFERROR(BR418/Instructions!$E$34,0)+BS418*Instructions!$E$36+Tier!BT419*Instructions!$E$25+IFERROR(BU418/Instructions!$E$27,0)+BV418*Instructions!$E$29+IFERROR((BW418+BY418)/Instructions!$J$32,0)+(BX418+BZ418)*Instructions!$J$34+Tier!CA418*-2</f>
        <v>11.4</v>
      </c>
      <c r="CC418" s="354"/>
      <c r="CD418" s="238">
        <v>2016</v>
      </c>
      <c r="CE418" s="365" t="s">
        <v>1113</v>
      </c>
      <c r="CF418" s="366" t="s">
        <v>162</v>
      </c>
      <c r="CG418" s="366" t="s">
        <v>6</v>
      </c>
      <c r="CH418" s="366">
        <v>0</v>
      </c>
      <c r="CI418" s="366">
        <v>0</v>
      </c>
      <c r="CJ418" s="366">
        <v>0</v>
      </c>
      <c r="CK418" s="366">
        <v>0</v>
      </c>
      <c r="CL418" s="366">
        <v>0</v>
      </c>
      <c r="CM418" s="366">
        <v>29</v>
      </c>
      <c r="CN418" s="366">
        <v>328</v>
      </c>
      <c r="CO418" s="366">
        <v>1</v>
      </c>
      <c r="CP418" s="366">
        <v>0</v>
      </c>
      <c r="CQ418" s="366">
        <v>0</v>
      </c>
      <c r="CR418" s="366">
        <v>0</v>
      </c>
      <c r="CS418" s="366">
        <v>0</v>
      </c>
      <c r="CT418" s="366">
        <v>0</v>
      </c>
      <c r="CU418" s="367">
        <f>IFERROR(CH418/Instructions!$J$25,0)+CI418*Instructions!$J$27+CJ418*Instructions!$J$29+IFERROR(CK418/Instructions!$E$34,0)+CL418*Instructions!$E$36+Tier!CM418*Instructions!$E$25+IFERROR(CN418/Instructions!$E$27,0)+CO418*Instructions!$E$29+IFERROR((CP418+CR418)/Instructions!$J$32,0)+(CQ418+CS418)*Instructions!$J$34+Tier!CT418*-2</f>
        <v>67.8</v>
      </c>
      <c r="CV418" s="354"/>
      <c r="CW418"/>
      <c r="CX418"/>
      <c r="CY418"/>
      <c r="CZ418"/>
      <c r="DA418"/>
      <c r="DB418"/>
      <c r="DC418"/>
      <c r="DD418"/>
      <c r="DE418"/>
      <c r="DF418"/>
      <c r="DG418"/>
      <c r="DH418"/>
      <c r="DI418"/>
      <c r="DJ418"/>
      <c r="DK418"/>
      <c r="DL418"/>
      <c r="DM418"/>
      <c r="DN418"/>
    </row>
    <row r="419" spans="3:118" s="238" customFormat="1" ht="15.75" customHeight="1" x14ac:dyDescent="0.25">
      <c r="C419"/>
      <c r="D419"/>
      <c r="E419"/>
      <c r="F419"/>
      <c r="G419"/>
      <c r="H419"/>
      <c r="I419"/>
      <c r="J419"/>
      <c r="K419"/>
      <c r="L419"/>
      <c r="M419"/>
      <c r="N419"/>
      <c r="O419" s="366"/>
      <c r="P419" s="366">
        <v>2016</v>
      </c>
      <c r="Q419" s="367">
        <f>LARGE($CB$304:$CB$453,116)</f>
        <v>11.3</v>
      </c>
      <c r="R419" s="357">
        <f t="shared" si="121"/>
        <v>-153.29999999999998</v>
      </c>
      <c r="S419" s="356">
        <f t="shared" ref="S419:S453" si="128">R419^2</f>
        <v>23500.889999999996</v>
      </c>
      <c r="U419" s="356">
        <f t="shared" si="122"/>
        <v>-9.5812499999999989</v>
      </c>
      <c r="V419" s="238">
        <f t="shared" si="126"/>
        <v>8</v>
      </c>
      <c r="W419" s="354"/>
      <c r="X419" s="366"/>
      <c r="Y419" s="366"/>
      <c r="Z419" s="238">
        <v>2016</v>
      </c>
      <c r="AA419" s="367">
        <f>LARGE($CU$304:$CU$453,116)</f>
        <v>48.2</v>
      </c>
      <c r="AB419" s="357">
        <f t="shared" si="123"/>
        <v>-163.5</v>
      </c>
      <c r="AC419" s="356">
        <f t="shared" si="125"/>
        <v>26732.25</v>
      </c>
      <c r="AE419" s="356">
        <f t="shared" si="124"/>
        <v>-10.21875</v>
      </c>
      <c r="AF419" s="238">
        <f t="shared" si="127"/>
        <v>8</v>
      </c>
      <c r="AG419" s="354"/>
      <c r="AK419"/>
      <c r="AL419"/>
      <c r="AM419"/>
      <c r="AN419"/>
      <c r="AO419"/>
      <c r="AP419"/>
      <c r="BI419" s="360"/>
      <c r="BJ419" s="354"/>
      <c r="BK419" s="366">
        <v>2016</v>
      </c>
      <c r="BL419" s="365" t="s">
        <v>1393</v>
      </c>
      <c r="BM419" s="366" t="s">
        <v>1626</v>
      </c>
      <c r="BN419" s="366" t="s">
        <v>3</v>
      </c>
      <c r="BO419" s="366">
        <v>0</v>
      </c>
      <c r="BP419" s="366">
        <v>0</v>
      </c>
      <c r="BQ419" s="366">
        <v>0</v>
      </c>
      <c r="BR419" s="366">
        <v>4</v>
      </c>
      <c r="BS419" s="366">
        <v>0</v>
      </c>
      <c r="BT419" s="366">
        <v>4</v>
      </c>
      <c r="BU419" s="366">
        <v>83</v>
      </c>
      <c r="BV419" s="366">
        <v>0</v>
      </c>
      <c r="BW419" s="366">
        <v>0</v>
      </c>
      <c r="BX419" s="366">
        <v>0</v>
      </c>
      <c r="BY419" s="366">
        <v>0</v>
      </c>
      <c r="BZ419" s="366">
        <v>0</v>
      </c>
      <c r="CA419" s="366">
        <v>0</v>
      </c>
      <c r="CB419" s="367">
        <f>IFERROR(BO419/Instructions!$J$25,0)+BP419*Instructions!$J$27+BQ419*Instructions!$J$29+IFERROR(BR419/Instructions!$E$34,0)+BS419*Instructions!$E$36+Tier!BT420*Instructions!$E$25+IFERROR(BU419/Instructions!$E$27,0)+BV419*Instructions!$E$29+IFERROR((BW419+BY419)/Instructions!$J$32,0)+(BX419+BZ419)*Instructions!$J$34+Tier!CA419*-2</f>
        <v>8.7000000000000011</v>
      </c>
      <c r="CC419" s="354"/>
      <c r="CD419" s="238">
        <v>2016</v>
      </c>
      <c r="CE419" s="365" t="s">
        <v>1322</v>
      </c>
      <c r="CF419" s="366" t="s">
        <v>147</v>
      </c>
      <c r="CG419" s="366" t="s">
        <v>6</v>
      </c>
      <c r="CH419" s="366">
        <v>0</v>
      </c>
      <c r="CI419" s="366">
        <v>0</v>
      </c>
      <c r="CJ419" s="366">
        <v>0</v>
      </c>
      <c r="CK419" s="366">
        <v>0</v>
      </c>
      <c r="CL419" s="366">
        <v>0</v>
      </c>
      <c r="CM419" s="366">
        <v>17</v>
      </c>
      <c r="CN419" s="366">
        <v>234</v>
      </c>
      <c r="CO419" s="366">
        <v>2</v>
      </c>
      <c r="CP419" s="366">
        <v>0</v>
      </c>
      <c r="CQ419" s="366">
        <v>0</v>
      </c>
      <c r="CR419" s="366">
        <v>83</v>
      </c>
      <c r="CS419" s="366">
        <v>0</v>
      </c>
      <c r="CT419" s="366">
        <v>0</v>
      </c>
      <c r="CU419" s="367">
        <f>IFERROR(CH419/Instructions!$J$25,0)+CI419*Instructions!$J$27+CJ419*Instructions!$J$29+IFERROR(CK419/Instructions!$E$34,0)+CL419*Instructions!$E$36+Tier!CM419*Instructions!$E$25+IFERROR(CN419/Instructions!$E$27,0)+CO419*Instructions!$E$29+IFERROR((CP419+CR419)/Instructions!$J$32,0)+(CQ419+CS419)*Instructions!$J$34+Tier!CT419*-2</f>
        <v>52.4</v>
      </c>
      <c r="CV419" s="354"/>
      <c r="CW419"/>
      <c r="CX419"/>
      <c r="CY419"/>
      <c r="CZ419"/>
      <c r="DA419"/>
      <c r="DB419"/>
      <c r="DC419"/>
      <c r="DD419"/>
      <c r="DE419"/>
      <c r="DF419"/>
      <c r="DG419"/>
      <c r="DH419"/>
      <c r="DI419"/>
      <c r="DJ419"/>
      <c r="DK419"/>
      <c r="DL419"/>
      <c r="DM419"/>
      <c r="DN419"/>
    </row>
    <row r="420" spans="3:118" s="238" customFormat="1" ht="15.75" customHeight="1" x14ac:dyDescent="0.25">
      <c r="C420"/>
      <c r="D420"/>
      <c r="E420"/>
      <c r="F420"/>
      <c r="G420"/>
      <c r="H420"/>
      <c r="I420"/>
      <c r="J420"/>
      <c r="K420"/>
      <c r="L420"/>
      <c r="M420"/>
      <c r="N420"/>
      <c r="O420" s="366"/>
      <c r="P420" s="366">
        <v>2016</v>
      </c>
      <c r="Q420" s="367">
        <f>LARGE($CB$304:$CB$453,117)</f>
        <v>10</v>
      </c>
      <c r="R420" s="357">
        <f t="shared" si="121"/>
        <v>-154.6</v>
      </c>
      <c r="S420" s="356">
        <f t="shared" si="128"/>
        <v>23901.16</v>
      </c>
      <c r="U420" s="356">
        <f t="shared" si="122"/>
        <v>-9.6624999999999996</v>
      </c>
      <c r="V420" s="238">
        <f t="shared" si="126"/>
        <v>8</v>
      </c>
      <c r="W420" s="354"/>
      <c r="X420" s="366"/>
      <c r="Y420" s="366"/>
      <c r="Z420" s="238">
        <v>2016</v>
      </c>
      <c r="AA420" s="367">
        <f>LARGE($CU$304:$CU$453,117)</f>
        <v>46.9</v>
      </c>
      <c r="AB420" s="357">
        <f t="shared" si="123"/>
        <v>-164.8</v>
      </c>
      <c r="AC420" s="356">
        <f t="shared" si="125"/>
        <v>27159.040000000005</v>
      </c>
      <c r="AE420" s="356">
        <f t="shared" si="124"/>
        <v>-10.3</v>
      </c>
      <c r="AF420" s="238">
        <f t="shared" si="127"/>
        <v>8</v>
      </c>
      <c r="AG420" s="354"/>
      <c r="AK420"/>
      <c r="AL420"/>
      <c r="AM420"/>
      <c r="AN420"/>
      <c r="AO420"/>
      <c r="AP420"/>
      <c r="BI420" s="360"/>
      <c r="BJ420" s="354"/>
      <c r="BK420" s="366">
        <v>2016</v>
      </c>
      <c r="BL420" s="365" t="s">
        <v>183</v>
      </c>
      <c r="BM420" s="366" t="s">
        <v>1626</v>
      </c>
      <c r="BN420" s="366" t="s">
        <v>3</v>
      </c>
      <c r="BO420" s="366">
        <v>0</v>
      </c>
      <c r="BP420" s="366">
        <v>0</v>
      </c>
      <c r="BQ420" s="366">
        <v>0</v>
      </c>
      <c r="BR420" s="366">
        <v>87</v>
      </c>
      <c r="BS420" s="366">
        <v>0</v>
      </c>
      <c r="BT420" s="366">
        <v>0</v>
      </c>
      <c r="BU420" s="366">
        <v>0</v>
      </c>
      <c r="BV420" s="366">
        <v>0</v>
      </c>
      <c r="BW420" s="366">
        <v>0</v>
      </c>
      <c r="BX420" s="366">
        <v>0</v>
      </c>
      <c r="BY420" s="366">
        <v>0</v>
      </c>
      <c r="BZ420" s="366">
        <v>0</v>
      </c>
      <c r="CA420" s="366">
        <v>0</v>
      </c>
      <c r="CB420" s="367">
        <f>IFERROR(BO420/Instructions!$J$25,0)+BP420*Instructions!$J$27+BQ420*Instructions!$J$29+IFERROR(BR420/Instructions!$E$34,0)+BS420*Instructions!$E$36+Tier!BT421*Instructions!$E$25+IFERROR(BU420/Instructions!$E$27,0)+BV420*Instructions!$E$29+IFERROR((BW420+BY420)/Instructions!$J$32,0)+(BX420+BZ420)*Instructions!$J$34+Tier!CA420*-2</f>
        <v>8.6999999999999993</v>
      </c>
      <c r="CC420" s="354"/>
      <c r="CD420" s="238">
        <v>2016</v>
      </c>
      <c r="CE420" s="365" t="s">
        <v>1258</v>
      </c>
      <c r="CF420" s="366" t="s">
        <v>141</v>
      </c>
      <c r="CG420" s="366" t="s">
        <v>6</v>
      </c>
      <c r="CH420" s="366">
        <v>0</v>
      </c>
      <c r="CI420" s="366">
        <v>0</v>
      </c>
      <c r="CJ420" s="366">
        <v>0</v>
      </c>
      <c r="CK420" s="366">
        <v>37</v>
      </c>
      <c r="CL420" s="366">
        <v>0</v>
      </c>
      <c r="CM420" s="366">
        <v>19</v>
      </c>
      <c r="CN420" s="366">
        <v>282</v>
      </c>
      <c r="CO420" s="366">
        <v>1</v>
      </c>
      <c r="CP420" s="366">
        <v>0</v>
      </c>
      <c r="CQ420" s="366">
        <v>0</v>
      </c>
      <c r="CR420" s="366">
        <v>15</v>
      </c>
      <c r="CS420" s="366">
        <v>0</v>
      </c>
      <c r="CT420" s="366">
        <v>0</v>
      </c>
      <c r="CU420" s="367">
        <f>IFERROR(CH420/Instructions!$J$25,0)+CI420*Instructions!$J$27+CJ420*Instructions!$J$29+IFERROR(CK420/Instructions!$E$34,0)+CL420*Instructions!$E$36+Tier!CM420*Instructions!$E$25+IFERROR(CN420/Instructions!$E$27,0)+CO420*Instructions!$E$29+IFERROR((CP420+CR420)/Instructions!$J$32,0)+(CQ420+CS420)*Instructions!$J$34+Tier!CT420*-2</f>
        <v>56.9</v>
      </c>
      <c r="CV420" s="354"/>
      <c r="CW420"/>
      <c r="CX420"/>
      <c r="CY420"/>
      <c r="CZ420"/>
      <c r="DA420"/>
      <c r="DB420"/>
      <c r="DC420"/>
      <c r="DD420"/>
      <c r="DE420"/>
      <c r="DF420"/>
      <c r="DG420"/>
      <c r="DH420"/>
      <c r="DI420"/>
      <c r="DJ420"/>
      <c r="DK420"/>
      <c r="DL420"/>
      <c r="DM420"/>
      <c r="DN420"/>
    </row>
    <row r="421" spans="3:118" s="238" customFormat="1" ht="15.75" customHeight="1" x14ac:dyDescent="0.25">
      <c r="C421"/>
      <c r="D421"/>
      <c r="E421"/>
      <c r="F421"/>
      <c r="G421"/>
      <c r="H421"/>
      <c r="I421"/>
      <c r="J421"/>
      <c r="K421"/>
      <c r="L421"/>
      <c r="M421"/>
      <c r="N421"/>
      <c r="O421" s="366"/>
      <c r="P421" s="366">
        <v>2016</v>
      </c>
      <c r="Q421" s="367">
        <f>LARGE($CB$304:$CB$453,118)</f>
        <v>10</v>
      </c>
      <c r="R421" s="357">
        <f t="shared" si="121"/>
        <v>-154.6</v>
      </c>
      <c r="S421" s="356">
        <f t="shared" si="128"/>
        <v>23901.16</v>
      </c>
      <c r="U421" s="356">
        <f t="shared" si="122"/>
        <v>-9.6624999999999996</v>
      </c>
      <c r="V421" s="238">
        <f t="shared" si="126"/>
        <v>8</v>
      </c>
      <c r="W421" s="354"/>
      <c r="X421" s="366"/>
      <c r="Y421" s="366"/>
      <c r="Z421" s="238">
        <v>2016</v>
      </c>
      <c r="AA421" s="367">
        <f>LARGE($CU$304:$CU$453,118)</f>
        <v>46.3</v>
      </c>
      <c r="AB421" s="357">
        <f t="shared" si="123"/>
        <v>-165.40000000000003</v>
      </c>
      <c r="AC421" s="356">
        <f t="shared" si="125"/>
        <v>27357.160000000011</v>
      </c>
      <c r="AE421" s="356">
        <f t="shared" si="124"/>
        <v>-10.337500000000002</v>
      </c>
      <c r="AF421" s="238">
        <f t="shared" si="127"/>
        <v>8</v>
      </c>
      <c r="AG421" s="354"/>
      <c r="AK421"/>
      <c r="AL421"/>
      <c r="AM421"/>
      <c r="AN421"/>
      <c r="AO421"/>
      <c r="AP421"/>
      <c r="BI421" s="360"/>
      <c r="BJ421" s="354"/>
      <c r="BK421" s="366">
        <v>2016</v>
      </c>
      <c r="BL421" s="365" t="s">
        <v>1288</v>
      </c>
      <c r="BM421" s="366" t="s">
        <v>144</v>
      </c>
      <c r="BN421" s="366" t="s">
        <v>3</v>
      </c>
      <c r="BO421" s="366">
        <v>0</v>
      </c>
      <c r="BP421" s="366">
        <v>0</v>
      </c>
      <c r="BQ421" s="366">
        <v>0</v>
      </c>
      <c r="BR421" s="366">
        <v>26</v>
      </c>
      <c r="BS421" s="366">
        <v>1</v>
      </c>
      <c r="BT421" s="366">
        <v>0</v>
      </c>
      <c r="BU421" s="366">
        <v>0</v>
      </c>
      <c r="BV421" s="366">
        <v>0</v>
      </c>
      <c r="BW421" s="366">
        <v>0</v>
      </c>
      <c r="BX421" s="366">
        <v>0</v>
      </c>
      <c r="BY421" s="366">
        <v>0</v>
      </c>
      <c r="BZ421" s="366">
        <v>0</v>
      </c>
      <c r="CA421" s="366">
        <v>0</v>
      </c>
      <c r="CB421" s="367">
        <f>IFERROR(BO421/Instructions!$J$25,0)+BP421*Instructions!$J$27+BQ421*Instructions!$J$29+IFERROR(BR421/Instructions!$E$34,0)+BS421*Instructions!$E$36+Tier!BT422*Instructions!$E$25+IFERROR(BU421/Instructions!$E$27,0)+BV421*Instructions!$E$29+IFERROR((BW421+BY421)/Instructions!$J$32,0)+(BX421+BZ421)*Instructions!$J$34+Tier!CA421*-2</f>
        <v>11.6</v>
      </c>
      <c r="CC421" s="354"/>
      <c r="CD421" s="238">
        <v>2016</v>
      </c>
      <c r="CE421" s="365" t="s">
        <v>207</v>
      </c>
      <c r="CF421" s="366" t="s">
        <v>1633</v>
      </c>
      <c r="CG421" s="366" t="s">
        <v>6</v>
      </c>
      <c r="CH421" s="366">
        <v>0</v>
      </c>
      <c r="CI421" s="366">
        <v>0</v>
      </c>
      <c r="CJ421" s="366">
        <v>0</v>
      </c>
      <c r="CK421" s="366">
        <v>15</v>
      </c>
      <c r="CL421" s="366">
        <v>0</v>
      </c>
      <c r="CM421" s="366">
        <v>16</v>
      </c>
      <c r="CN421" s="366">
        <v>113</v>
      </c>
      <c r="CO421" s="366">
        <v>1</v>
      </c>
      <c r="CP421" s="366">
        <v>0</v>
      </c>
      <c r="CQ421" s="366">
        <v>0</v>
      </c>
      <c r="CR421" s="366">
        <v>324</v>
      </c>
      <c r="CS421" s="366">
        <v>1</v>
      </c>
      <c r="CT421" s="366">
        <v>0</v>
      </c>
      <c r="CU421" s="367">
        <f>IFERROR(CH421/Instructions!$J$25,0)+CI421*Instructions!$J$27+CJ421*Instructions!$J$29+IFERROR(CK421/Instructions!$E$34,0)+CL421*Instructions!$E$36+Tier!CM421*Instructions!$E$25+IFERROR(CN421/Instructions!$E$27,0)+CO421*Instructions!$E$29+IFERROR((CP421+CR421)/Instructions!$J$32,0)+(CQ421+CS421)*Instructions!$J$34+Tier!CT421*-2</f>
        <v>40.799999999999997</v>
      </c>
      <c r="CV421" s="354"/>
      <c r="CW421"/>
      <c r="CX421"/>
      <c r="CY421"/>
      <c r="CZ421"/>
      <c r="DA421"/>
      <c r="DB421"/>
      <c r="DC421"/>
      <c r="DD421"/>
      <c r="DE421"/>
      <c r="DF421"/>
      <c r="DG421"/>
      <c r="DH421"/>
      <c r="DI421"/>
      <c r="DJ421"/>
      <c r="DK421"/>
      <c r="DL421"/>
      <c r="DM421"/>
      <c r="DN421"/>
    </row>
    <row r="422" spans="3:118" s="238" customFormat="1" ht="15.75" customHeight="1" x14ac:dyDescent="0.25">
      <c r="C422"/>
      <c r="D422"/>
      <c r="E422"/>
      <c r="F422"/>
      <c r="G422"/>
      <c r="H422"/>
      <c r="I422"/>
      <c r="J422"/>
      <c r="K422"/>
      <c r="L422"/>
      <c r="M422"/>
      <c r="N422"/>
      <c r="O422" s="366"/>
      <c r="P422" s="366">
        <v>2016</v>
      </c>
      <c r="Q422" s="367">
        <f>LARGE($CB$304:$CB$453,119)</f>
        <v>9.6999999999999993</v>
      </c>
      <c r="R422" s="357">
        <f t="shared" si="121"/>
        <v>-154.9</v>
      </c>
      <c r="S422" s="356">
        <f t="shared" si="128"/>
        <v>23994.010000000002</v>
      </c>
      <c r="U422" s="356">
        <f t="shared" si="122"/>
        <v>-9.6812500000000004</v>
      </c>
      <c r="V422" s="238">
        <f t="shared" si="126"/>
        <v>8</v>
      </c>
      <c r="W422" s="354"/>
      <c r="X422" s="366"/>
      <c r="Y422" s="366"/>
      <c r="Z422" s="238">
        <v>2016</v>
      </c>
      <c r="AA422" s="367">
        <f>LARGE($CU$304:$CU$453,119)</f>
        <v>44.6</v>
      </c>
      <c r="AB422" s="357">
        <f t="shared" si="123"/>
        <v>-167.10000000000002</v>
      </c>
      <c r="AC422" s="356">
        <f t="shared" si="125"/>
        <v>27922.410000000007</v>
      </c>
      <c r="AE422" s="356">
        <f t="shared" si="124"/>
        <v>-10.443750000000001</v>
      </c>
      <c r="AF422" s="238">
        <f t="shared" si="127"/>
        <v>8</v>
      </c>
      <c r="AG422" s="354"/>
      <c r="AK422"/>
      <c r="AL422"/>
      <c r="AM422"/>
      <c r="AN422"/>
      <c r="AO422"/>
      <c r="AP422"/>
      <c r="BI422" s="360"/>
      <c r="BJ422" s="354"/>
      <c r="BK422" s="366">
        <v>2016</v>
      </c>
      <c r="BL422" s="365" t="s">
        <v>5</v>
      </c>
      <c r="BM422" s="366" t="s">
        <v>138</v>
      </c>
      <c r="BN422" s="366" t="s">
        <v>3</v>
      </c>
      <c r="BO422" s="366">
        <v>0</v>
      </c>
      <c r="BP422" s="366">
        <v>0</v>
      </c>
      <c r="BQ422" s="366">
        <v>0</v>
      </c>
      <c r="BR422" s="366">
        <v>72</v>
      </c>
      <c r="BS422" s="366">
        <v>0</v>
      </c>
      <c r="BT422" s="366">
        <v>3</v>
      </c>
      <c r="BU422" s="366">
        <v>8</v>
      </c>
      <c r="BV422" s="366">
        <v>0</v>
      </c>
      <c r="BW422" s="366">
        <v>0</v>
      </c>
      <c r="BX422" s="366">
        <v>0</v>
      </c>
      <c r="BY422" s="366">
        <v>0</v>
      </c>
      <c r="BZ422" s="366">
        <v>0</v>
      </c>
      <c r="CA422" s="366">
        <v>1</v>
      </c>
      <c r="CB422" s="367">
        <f>IFERROR(BO422/Instructions!$J$25,0)+BP422*Instructions!$J$27+BQ422*Instructions!$J$29+IFERROR(BR422/Instructions!$E$34,0)+BS422*Instructions!$E$36+Tier!BT423*Instructions!$E$25+IFERROR(BU422/Instructions!$E$27,0)+BV422*Instructions!$E$29+IFERROR((BW422+BY422)/Instructions!$J$32,0)+(BX422+BZ422)*Instructions!$J$34+Tier!CA422*-2</f>
        <v>10</v>
      </c>
      <c r="CC422" s="354"/>
      <c r="CD422" s="238">
        <v>2016</v>
      </c>
      <c r="CE422" s="365" t="s">
        <v>1273</v>
      </c>
      <c r="CF422" s="366" t="s">
        <v>146</v>
      </c>
      <c r="CG422" s="366" t="s">
        <v>6</v>
      </c>
      <c r="CH422" s="366">
        <v>0</v>
      </c>
      <c r="CI422" s="366">
        <v>0</v>
      </c>
      <c r="CJ422" s="366">
        <v>0</v>
      </c>
      <c r="CK422" s="366">
        <v>82</v>
      </c>
      <c r="CL422" s="366">
        <v>0</v>
      </c>
      <c r="CM422" s="366">
        <v>3</v>
      </c>
      <c r="CN422" s="366">
        <v>48</v>
      </c>
      <c r="CO422" s="366">
        <v>0</v>
      </c>
      <c r="CP422" s="366">
        <v>195</v>
      </c>
      <c r="CQ422" s="366">
        <v>0</v>
      </c>
      <c r="CR422" s="366">
        <v>394</v>
      </c>
      <c r="CS422" s="366">
        <v>0</v>
      </c>
      <c r="CT422" s="366">
        <v>1</v>
      </c>
      <c r="CU422" s="367">
        <f>IFERROR(CH422/Instructions!$J$25,0)+CI422*Instructions!$J$27+CJ422*Instructions!$J$29+IFERROR(CK422/Instructions!$E$34,0)+CL422*Instructions!$E$36+Tier!CM422*Instructions!$E$25+IFERROR(CN422/Instructions!$E$27,0)+CO422*Instructions!$E$29+IFERROR((CP422+CR422)/Instructions!$J$32,0)+(CQ422+CS422)*Instructions!$J$34+Tier!CT422*-2</f>
        <v>14</v>
      </c>
      <c r="CV422" s="354"/>
      <c r="CW422"/>
      <c r="CX422"/>
      <c r="CY422"/>
      <c r="CZ422"/>
      <c r="DA422"/>
      <c r="DB422"/>
      <c r="DC422"/>
      <c r="DD422"/>
      <c r="DE422"/>
      <c r="DF422"/>
      <c r="DG422"/>
      <c r="DH422"/>
      <c r="DI422"/>
      <c r="DJ422"/>
      <c r="DK422"/>
      <c r="DL422"/>
      <c r="DM422"/>
      <c r="DN422"/>
    </row>
    <row r="423" spans="3:118" s="238" customFormat="1" ht="15.75" customHeight="1" x14ac:dyDescent="0.25">
      <c r="C423"/>
      <c r="D423"/>
      <c r="E423"/>
      <c r="F423"/>
      <c r="G423"/>
      <c r="H423"/>
      <c r="I423"/>
      <c r="J423"/>
      <c r="K423"/>
      <c r="L423"/>
      <c r="M423"/>
      <c r="N423"/>
      <c r="O423" s="366"/>
      <c r="P423" s="366">
        <v>2016</v>
      </c>
      <c r="Q423" s="367">
        <f>LARGE($CB$304:$CB$453,120)</f>
        <v>9.5</v>
      </c>
      <c r="R423" s="357">
        <f t="shared" si="121"/>
        <v>-155.1</v>
      </c>
      <c r="S423" s="356">
        <f t="shared" si="128"/>
        <v>24056.01</v>
      </c>
      <c r="U423" s="356">
        <f t="shared" si="122"/>
        <v>-9.6937499999999996</v>
      </c>
      <c r="V423" s="238">
        <f t="shared" si="126"/>
        <v>8</v>
      </c>
      <c r="W423" s="354"/>
      <c r="X423" s="366"/>
      <c r="Y423" s="366"/>
      <c r="Z423" s="238">
        <v>2016</v>
      </c>
      <c r="AA423" s="367">
        <f>LARGE($CU$304:$CU$453,120)</f>
        <v>44.2</v>
      </c>
      <c r="AB423" s="357">
        <f t="shared" si="123"/>
        <v>-167.5</v>
      </c>
      <c r="AC423" s="356">
        <f t="shared" si="125"/>
        <v>28056.25</v>
      </c>
      <c r="AE423" s="356">
        <f t="shared" si="124"/>
        <v>-10.46875</v>
      </c>
      <c r="AF423" s="238">
        <f t="shared" si="127"/>
        <v>8</v>
      </c>
      <c r="AG423" s="354"/>
      <c r="AK423"/>
      <c r="AL423"/>
      <c r="AM423"/>
      <c r="AN423"/>
      <c r="AO423"/>
      <c r="AP423"/>
      <c r="BI423" s="360"/>
      <c r="BJ423" s="354"/>
      <c r="BK423" s="366">
        <v>2016</v>
      </c>
      <c r="BL423" s="365" t="s">
        <v>1231</v>
      </c>
      <c r="BM423" s="366" t="s">
        <v>167</v>
      </c>
      <c r="BN423" s="366" t="s">
        <v>3</v>
      </c>
      <c r="BO423" s="366">
        <v>0</v>
      </c>
      <c r="BP423" s="366">
        <v>0</v>
      </c>
      <c r="BQ423" s="366">
        <v>0</v>
      </c>
      <c r="BR423" s="366">
        <v>-8</v>
      </c>
      <c r="BS423" s="366">
        <v>0</v>
      </c>
      <c r="BT423" s="366">
        <v>4</v>
      </c>
      <c r="BU423" s="366">
        <v>43</v>
      </c>
      <c r="BV423" s="366">
        <v>0</v>
      </c>
      <c r="BW423" s="366">
        <v>0</v>
      </c>
      <c r="BX423" s="366">
        <v>0</v>
      </c>
      <c r="BY423" s="366">
        <v>112</v>
      </c>
      <c r="BZ423" s="366">
        <v>0</v>
      </c>
      <c r="CA423" s="366">
        <v>0</v>
      </c>
      <c r="CB423" s="367">
        <f>IFERROR(BO423/Instructions!$J$25,0)+BP423*Instructions!$J$27+BQ423*Instructions!$J$29+IFERROR(BR423/Instructions!$E$34,0)+BS423*Instructions!$E$36+Tier!BT424*Instructions!$E$25+IFERROR(BU423/Instructions!$E$27,0)+BV423*Instructions!$E$29+IFERROR((BW423+BY423)/Instructions!$J$32,0)+(BX423+BZ423)*Instructions!$J$34+Tier!CA423*-2</f>
        <v>9.5</v>
      </c>
      <c r="CC423" s="354"/>
      <c r="CD423" s="238">
        <v>2016</v>
      </c>
      <c r="CE423" s="365" t="s">
        <v>218</v>
      </c>
      <c r="CF423" s="366" t="s">
        <v>154</v>
      </c>
      <c r="CG423" s="366" t="s">
        <v>6</v>
      </c>
      <c r="CH423" s="366">
        <v>0</v>
      </c>
      <c r="CI423" s="366">
        <v>0</v>
      </c>
      <c r="CJ423" s="366">
        <v>0</v>
      </c>
      <c r="CK423" s="366">
        <v>0</v>
      </c>
      <c r="CL423" s="366">
        <v>0</v>
      </c>
      <c r="CM423" s="366">
        <v>1</v>
      </c>
      <c r="CN423" s="366">
        <v>13</v>
      </c>
      <c r="CO423" s="366">
        <v>1</v>
      </c>
      <c r="CP423" s="366">
        <v>170</v>
      </c>
      <c r="CQ423" s="366">
        <v>0</v>
      </c>
      <c r="CR423" s="366">
        <v>533</v>
      </c>
      <c r="CS423" s="366">
        <v>0</v>
      </c>
      <c r="CT423" s="366">
        <v>0</v>
      </c>
      <c r="CU423" s="367">
        <f>IFERROR(CH423/Instructions!$J$25,0)+CI423*Instructions!$J$27+CJ423*Instructions!$J$29+IFERROR(CK423/Instructions!$E$34,0)+CL423*Instructions!$E$36+Tier!CM423*Instructions!$E$25+IFERROR(CN423/Instructions!$E$27,0)+CO423*Instructions!$E$29+IFERROR((CP423+CR423)/Instructions!$J$32,0)+(CQ423+CS423)*Instructions!$J$34+Tier!CT423*-2</f>
        <v>8.3000000000000007</v>
      </c>
      <c r="CV423" s="354"/>
      <c r="CW423"/>
      <c r="CX423"/>
      <c r="CY423"/>
      <c r="CZ423"/>
      <c r="DA423"/>
      <c r="DB423"/>
      <c r="DC423"/>
      <c r="DD423"/>
      <c r="DE423"/>
      <c r="DF423"/>
      <c r="DG423"/>
      <c r="DH423"/>
      <c r="DI423"/>
      <c r="DJ423"/>
      <c r="DK423"/>
      <c r="DL423"/>
      <c r="DM423"/>
      <c r="DN423"/>
    </row>
    <row r="424" spans="3:118" s="238" customFormat="1" ht="15.75" customHeight="1" x14ac:dyDescent="0.25">
      <c r="C424"/>
      <c r="D424"/>
      <c r="E424"/>
      <c r="F424"/>
      <c r="G424"/>
      <c r="H424"/>
      <c r="I424"/>
      <c r="J424"/>
      <c r="K424"/>
      <c r="L424"/>
      <c r="M424"/>
      <c r="N424"/>
      <c r="O424" s="366"/>
      <c r="P424" s="366">
        <v>2016</v>
      </c>
      <c r="Q424" s="367">
        <f>LARGE($CB$304:$CB$453,121)</f>
        <v>8.7000000000000011</v>
      </c>
      <c r="R424" s="357">
        <f t="shared" si="121"/>
        <v>-155.9</v>
      </c>
      <c r="S424" s="356">
        <f t="shared" si="128"/>
        <v>24304.81</v>
      </c>
      <c r="U424" s="356">
        <f t="shared" si="122"/>
        <v>-9.7437500000000004</v>
      </c>
      <c r="V424" s="238">
        <f t="shared" si="126"/>
        <v>8</v>
      </c>
      <c r="W424" s="354"/>
      <c r="X424" s="366"/>
      <c r="Y424" s="366"/>
      <c r="Z424" s="238">
        <v>2016</v>
      </c>
      <c r="AA424" s="367">
        <f>LARGE($CU$304:$CU$453,121)</f>
        <v>43.2</v>
      </c>
      <c r="AB424" s="357">
        <f t="shared" si="123"/>
        <v>-168.5</v>
      </c>
      <c r="AC424" s="356">
        <f t="shared" si="125"/>
        <v>28392.25</v>
      </c>
      <c r="AE424" s="356">
        <f t="shared" si="124"/>
        <v>-10.53125</v>
      </c>
      <c r="AF424" s="238">
        <f t="shared" si="127"/>
        <v>8</v>
      </c>
      <c r="AG424" s="354"/>
      <c r="AK424"/>
      <c r="AL424"/>
      <c r="AM424"/>
      <c r="AN424"/>
      <c r="AO424"/>
      <c r="AP424"/>
      <c r="BI424" s="360"/>
      <c r="BJ424" s="354"/>
      <c r="BK424" s="366">
        <v>2016</v>
      </c>
      <c r="BL424" s="365" t="s">
        <v>1227</v>
      </c>
      <c r="BM424" s="366" t="s">
        <v>156</v>
      </c>
      <c r="BN424" s="366" t="s">
        <v>3</v>
      </c>
      <c r="BO424" s="366">
        <v>0</v>
      </c>
      <c r="BP424" s="366">
        <v>0</v>
      </c>
      <c r="BQ424" s="366">
        <v>0</v>
      </c>
      <c r="BR424" s="366">
        <v>13</v>
      </c>
      <c r="BS424" s="366">
        <v>0</v>
      </c>
      <c r="BT424" s="366">
        <v>6</v>
      </c>
      <c r="BU424" s="366">
        <v>57</v>
      </c>
      <c r="BV424" s="366">
        <v>0</v>
      </c>
      <c r="BW424" s="366">
        <v>0</v>
      </c>
      <c r="BX424" s="366">
        <v>0</v>
      </c>
      <c r="BY424" s="366">
        <v>18</v>
      </c>
      <c r="BZ424" s="366">
        <v>0</v>
      </c>
      <c r="CA424" s="366">
        <v>0</v>
      </c>
      <c r="CB424" s="367">
        <f>IFERROR(BO424/Instructions!$J$25,0)+BP424*Instructions!$J$27+BQ424*Instructions!$J$29+IFERROR(BR424/Instructions!$E$34,0)+BS424*Instructions!$E$36+Tier!BT425*Instructions!$E$25+IFERROR(BU424/Instructions!$E$27,0)+BV424*Instructions!$E$29+IFERROR((BW424+BY424)/Instructions!$J$32,0)+(BX424+BZ424)*Instructions!$J$34+Tier!CA424*-2</f>
        <v>10</v>
      </c>
      <c r="CC424" s="354"/>
      <c r="CD424" s="238">
        <v>2016</v>
      </c>
      <c r="CE424" s="365" t="s">
        <v>200</v>
      </c>
      <c r="CF424" s="366" t="s">
        <v>147</v>
      </c>
      <c r="CG424" s="366" t="s">
        <v>6</v>
      </c>
      <c r="CH424" s="366">
        <v>0</v>
      </c>
      <c r="CI424" s="366">
        <v>0</v>
      </c>
      <c r="CJ424" s="366">
        <v>0</v>
      </c>
      <c r="CK424" s="366">
        <v>60</v>
      </c>
      <c r="CL424" s="366">
        <v>1</v>
      </c>
      <c r="CM424" s="366">
        <v>6</v>
      </c>
      <c r="CN424" s="366">
        <v>114</v>
      </c>
      <c r="CO424" s="366">
        <v>2</v>
      </c>
      <c r="CP424" s="366">
        <v>0</v>
      </c>
      <c r="CQ424" s="366">
        <v>0</v>
      </c>
      <c r="CR424" s="366">
        <v>0</v>
      </c>
      <c r="CS424" s="366">
        <v>0</v>
      </c>
      <c r="CT424" s="366">
        <v>0</v>
      </c>
      <c r="CU424" s="367">
        <f>IFERROR(CH424/Instructions!$J$25,0)+CI424*Instructions!$J$27+CJ424*Instructions!$J$29+IFERROR(CK424/Instructions!$E$34,0)+CL424*Instructions!$E$36+Tier!CM424*Instructions!$E$25+IFERROR(CN424/Instructions!$E$27,0)+CO424*Instructions!$E$29+IFERROR((CP424+CR424)/Instructions!$J$32,0)+(CQ424+CS424)*Instructions!$J$34+Tier!CT424*-2</f>
        <v>41.4</v>
      </c>
      <c r="CV424" s="354"/>
      <c r="CW424"/>
      <c r="CX424"/>
      <c r="CY424"/>
      <c r="CZ424"/>
      <c r="DA424"/>
      <c r="DB424"/>
      <c r="DC424"/>
      <c r="DD424"/>
      <c r="DE424"/>
      <c r="DF424"/>
      <c r="DG424"/>
      <c r="DH424"/>
      <c r="DI424"/>
      <c r="DJ424"/>
      <c r="DK424"/>
      <c r="DL424"/>
      <c r="DM424"/>
      <c r="DN424"/>
    </row>
    <row r="425" spans="3:118" s="238" customFormat="1" ht="15.75" customHeight="1" x14ac:dyDescent="0.25">
      <c r="C425"/>
      <c r="D425"/>
      <c r="E425"/>
      <c r="F425"/>
      <c r="G425"/>
      <c r="H425"/>
      <c r="I425"/>
      <c r="J425"/>
      <c r="K425"/>
      <c r="L425"/>
      <c r="M425"/>
      <c r="N425"/>
      <c r="O425" s="366"/>
      <c r="P425" s="366">
        <v>2016</v>
      </c>
      <c r="Q425" s="367">
        <f>LARGE($CB$304:$CB$453,122)</f>
        <v>8.6999999999999993</v>
      </c>
      <c r="R425" s="357">
        <f t="shared" si="121"/>
        <v>-155.9</v>
      </c>
      <c r="S425" s="356">
        <f t="shared" si="128"/>
        <v>24304.81</v>
      </c>
      <c r="U425" s="356">
        <f t="shared" si="122"/>
        <v>-9.7437500000000004</v>
      </c>
      <c r="V425" s="238">
        <f t="shared" si="126"/>
        <v>8</v>
      </c>
      <c r="W425" s="354"/>
      <c r="X425" s="366"/>
      <c r="Y425" s="366"/>
      <c r="Z425" s="238">
        <v>2016</v>
      </c>
      <c r="AA425" s="367">
        <f>LARGE($CU$304:$CU$453,122)</f>
        <v>41.4</v>
      </c>
      <c r="AB425" s="357">
        <f t="shared" si="123"/>
        <v>-170.3</v>
      </c>
      <c r="AC425" s="356">
        <f t="shared" si="125"/>
        <v>29002.090000000004</v>
      </c>
      <c r="AE425" s="356">
        <f t="shared" si="124"/>
        <v>-10.643750000000001</v>
      </c>
      <c r="AF425" s="238">
        <f t="shared" si="127"/>
        <v>8</v>
      </c>
      <c r="AG425" s="354"/>
      <c r="AK425"/>
      <c r="AL425"/>
      <c r="AM425"/>
      <c r="AN425"/>
      <c r="AO425"/>
      <c r="AP425"/>
      <c r="BI425" s="360"/>
      <c r="BJ425" s="354"/>
      <c r="BK425" s="366">
        <v>2016</v>
      </c>
      <c r="BL425" s="365" t="s">
        <v>1307</v>
      </c>
      <c r="BM425" s="366" t="s">
        <v>1389</v>
      </c>
      <c r="BN425" s="366" t="s">
        <v>3</v>
      </c>
      <c r="BO425" s="366">
        <v>0</v>
      </c>
      <c r="BP425" s="366">
        <v>0</v>
      </c>
      <c r="BQ425" s="366">
        <v>0</v>
      </c>
      <c r="BR425" s="366">
        <v>39</v>
      </c>
      <c r="BS425" s="366">
        <v>0</v>
      </c>
      <c r="BT425" s="366">
        <v>3</v>
      </c>
      <c r="BU425" s="366">
        <v>46</v>
      </c>
      <c r="BV425" s="366">
        <v>0</v>
      </c>
      <c r="BW425" s="366">
        <v>0</v>
      </c>
      <c r="BX425" s="366">
        <v>0</v>
      </c>
      <c r="BY425" s="366">
        <v>0</v>
      </c>
      <c r="BZ425" s="366">
        <v>0</v>
      </c>
      <c r="CA425" s="366">
        <v>1</v>
      </c>
      <c r="CB425" s="367">
        <f>IFERROR(BO425/Instructions!$J$25,0)+BP425*Instructions!$J$27+BQ425*Instructions!$J$29+IFERROR(BR425/Instructions!$E$34,0)+BS425*Instructions!$E$36+Tier!BT426*Instructions!$E$25+IFERROR(BU425/Instructions!$E$27,0)+BV425*Instructions!$E$29+IFERROR((BW425+BY425)/Instructions!$J$32,0)+(BX425+BZ425)*Instructions!$J$34+Tier!CA425*-2</f>
        <v>7.5</v>
      </c>
      <c r="CC425" s="354"/>
      <c r="CD425" s="238">
        <v>2016</v>
      </c>
      <c r="CE425" s="365" t="s">
        <v>1245</v>
      </c>
      <c r="CF425" s="366" t="s">
        <v>163</v>
      </c>
      <c r="CG425" s="366" t="s">
        <v>6</v>
      </c>
      <c r="CH425" s="366">
        <v>0</v>
      </c>
      <c r="CI425" s="366">
        <v>0</v>
      </c>
      <c r="CJ425" s="366">
        <v>0</v>
      </c>
      <c r="CK425" s="366">
        <v>15</v>
      </c>
      <c r="CL425" s="366">
        <v>0</v>
      </c>
      <c r="CM425" s="366">
        <v>0</v>
      </c>
      <c r="CN425" s="366">
        <v>0</v>
      </c>
      <c r="CO425" s="366">
        <v>0</v>
      </c>
      <c r="CP425" s="366">
        <v>235</v>
      </c>
      <c r="CQ425" s="366">
        <v>0</v>
      </c>
      <c r="CR425" s="366">
        <v>560</v>
      </c>
      <c r="CS425" s="366">
        <v>0</v>
      </c>
      <c r="CT425" s="366">
        <v>0</v>
      </c>
      <c r="CU425" s="367">
        <f>IFERROR(CH425/Instructions!$J$25,0)+CI425*Instructions!$J$27+CJ425*Instructions!$J$29+IFERROR(CK425/Instructions!$E$34,0)+CL425*Instructions!$E$36+Tier!CM425*Instructions!$E$25+IFERROR(CN425/Instructions!$E$27,0)+CO425*Instructions!$E$29+IFERROR((CP425+CR425)/Instructions!$J$32,0)+(CQ425+CS425)*Instructions!$J$34+Tier!CT425*-2</f>
        <v>1.5</v>
      </c>
      <c r="CV425" s="354"/>
      <c r="CW425"/>
      <c r="CX425"/>
      <c r="CY425"/>
      <c r="CZ425"/>
      <c r="DA425"/>
      <c r="DB425"/>
      <c r="DC425"/>
      <c r="DD425"/>
      <c r="DE425"/>
      <c r="DF425"/>
      <c r="DG425"/>
      <c r="DH425"/>
      <c r="DI425"/>
      <c r="DJ425"/>
      <c r="DK425"/>
      <c r="DL425"/>
      <c r="DM425"/>
      <c r="DN425"/>
    </row>
    <row r="426" spans="3:118" s="238" customFormat="1" ht="15.75" customHeight="1" x14ac:dyDescent="0.25">
      <c r="C426"/>
      <c r="D426"/>
      <c r="E426"/>
      <c r="F426"/>
      <c r="G426"/>
      <c r="H426"/>
      <c r="I426"/>
      <c r="J426"/>
      <c r="K426"/>
      <c r="L426"/>
      <c r="M426"/>
      <c r="N426"/>
      <c r="O426" s="366"/>
      <c r="P426" s="366">
        <v>2016</v>
      </c>
      <c r="Q426" s="367">
        <f>LARGE($CB$304:$CB$453,123)</f>
        <v>8.3000000000000007</v>
      </c>
      <c r="R426" s="357">
        <f t="shared" si="121"/>
        <v>-156.29999999999998</v>
      </c>
      <c r="S426" s="356">
        <f t="shared" si="128"/>
        <v>24429.689999999995</v>
      </c>
      <c r="U426" s="356">
        <f t="shared" si="122"/>
        <v>-9.7687499999999989</v>
      </c>
      <c r="V426" s="238">
        <f t="shared" si="126"/>
        <v>8</v>
      </c>
      <c r="W426" s="354"/>
      <c r="X426" s="366"/>
      <c r="Y426" s="366"/>
      <c r="Z426" s="238">
        <v>2016</v>
      </c>
      <c r="AA426" s="367">
        <f>LARGE($CU$304:$CU$453,123)</f>
        <v>40.799999999999997</v>
      </c>
      <c r="AB426" s="357">
        <f t="shared" si="123"/>
        <v>-170.90000000000003</v>
      </c>
      <c r="AC426" s="356">
        <f t="shared" si="125"/>
        <v>29206.810000000012</v>
      </c>
      <c r="AE426" s="356">
        <f t="shared" si="124"/>
        <v>-10.681250000000002</v>
      </c>
      <c r="AF426" s="238">
        <f t="shared" si="127"/>
        <v>8</v>
      </c>
      <c r="AG426" s="354"/>
      <c r="AK426"/>
      <c r="AL426"/>
      <c r="AM426"/>
      <c r="AN426"/>
      <c r="AO426"/>
      <c r="AP426"/>
      <c r="BI426" s="360"/>
      <c r="BJ426" s="354"/>
      <c r="BK426" s="366">
        <v>2016</v>
      </c>
      <c r="BL426" s="365" t="s">
        <v>1305</v>
      </c>
      <c r="BM426" s="366" t="s">
        <v>1625</v>
      </c>
      <c r="BN426" s="366" t="s">
        <v>3</v>
      </c>
      <c r="BO426" s="366">
        <v>0</v>
      </c>
      <c r="BP426" s="366">
        <v>0</v>
      </c>
      <c r="BQ426" s="366">
        <v>0</v>
      </c>
      <c r="BR426" s="366">
        <v>0</v>
      </c>
      <c r="BS426" s="366">
        <v>0</v>
      </c>
      <c r="BT426" s="366">
        <v>1</v>
      </c>
      <c r="BU426" s="366">
        <v>3</v>
      </c>
      <c r="BV426" s="366">
        <v>0</v>
      </c>
      <c r="BW426" s="366">
        <v>57</v>
      </c>
      <c r="BX426" s="366">
        <v>0</v>
      </c>
      <c r="BY426" s="366">
        <v>105</v>
      </c>
      <c r="BZ426" s="366">
        <v>0</v>
      </c>
      <c r="CA426" s="366">
        <v>0</v>
      </c>
      <c r="CB426" s="367">
        <f>IFERROR(BO426/Instructions!$J$25,0)+BP426*Instructions!$J$27+BQ426*Instructions!$J$29+IFERROR(BR426/Instructions!$E$34,0)+BS426*Instructions!$E$36+Tier!BT427*Instructions!$E$25+IFERROR(BU426/Instructions!$E$27,0)+BV426*Instructions!$E$29+IFERROR((BW426+BY426)/Instructions!$J$32,0)+(BX426+BZ426)*Instructions!$J$34+Tier!CA426*-2</f>
        <v>5.3</v>
      </c>
      <c r="CC426" s="354"/>
      <c r="CD426" s="238">
        <v>2016</v>
      </c>
      <c r="CE426" s="365" t="s">
        <v>1641</v>
      </c>
      <c r="CF426" s="366" t="s">
        <v>159</v>
      </c>
      <c r="CG426" s="366" t="s">
        <v>6</v>
      </c>
      <c r="CH426" s="366">
        <v>0</v>
      </c>
      <c r="CI426" s="366">
        <v>0</v>
      </c>
      <c r="CJ426" s="366">
        <v>0</v>
      </c>
      <c r="CK426" s="366">
        <v>6</v>
      </c>
      <c r="CL426" s="366">
        <v>0</v>
      </c>
      <c r="CM426" s="366">
        <v>27</v>
      </c>
      <c r="CN426" s="366">
        <v>276</v>
      </c>
      <c r="CO426" s="366">
        <v>1</v>
      </c>
      <c r="CP426" s="366">
        <v>0</v>
      </c>
      <c r="CQ426" s="366">
        <v>0</v>
      </c>
      <c r="CR426" s="366">
        <v>0</v>
      </c>
      <c r="CS426" s="366">
        <v>0</v>
      </c>
      <c r="CT426" s="366">
        <v>1</v>
      </c>
      <c r="CU426" s="367">
        <f>IFERROR(CH426/Instructions!$J$25,0)+CI426*Instructions!$J$27+CJ426*Instructions!$J$29+IFERROR(CK426/Instructions!$E$34,0)+CL426*Instructions!$E$36+Tier!CM426*Instructions!$E$25+IFERROR(CN426/Instructions!$E$27,0)+CO426*Instructions!$E$29+IFERROR((CP426+CR426)/Instructions!$J$32,0)+(CQ426+CS426)*Instructions!$J$34+Tier!CT426*-2</f>
        <v>59.2</v>
      </c>
      <c r="CV426" s="354"/>
      <c r="CW426"/>
      <c r="CX426"/>
      <c r="CY426"/>
      <c r="CZ426"/>
      <c r="DA426"/>
      <c r="DB426"/>
      <c r="DC426"/>
      <c r="DD426"/>
      <c r="DE426"/>
      <c r="DF426"/>
      <c r="DG426"/>
      <c r="DH426"/>
      <c r="DI426"/>
      <c r="DJ426"/>
      <c r="DK426"/>
      <c r="DL426"/>
      <c r="DM426"/>
      <c r="DN426"/>
    </row>
    <row r="427" spans="3:118" s="238" customFormat="1" ht="15.75" customHeight="1" x14ac:dyDescent="0.25">
      <c r="C427"/>
      <c r="D427"/>
      <c r="E427"/>
      <c r="F427"/>
      <c r="G427"/>
      <c r="H427"/>
      <c r="I427"/>
      <c r="J427"/>
      <c r="K427"/>
      <c r="L427"/>
      <c r="M427"/>
      <c r="N427"/>
      <c r="O427" s="366"/>
      <c r="P427" s="366">
        <v>2016</v>
      </c>
      <c r="Q427" s="367">
        <f>LARGE($CB$304:$CB$453,124)</f>
        <v>8.3000000000000007</v>
      </c>
      <c r="R427" s="357">
        <f t="shared" si="121"/>
        <v>-156.29999999999998</v>
      </c>
      <c r="S427" s="356">
        <f t="shared" si="128"/>
        <v>24429.689999999995</v>
      </c>
      <c r="U427" s="356">
        <f t="shared" si="122"/>
        <v>-9.7687499999999989</v>
      </c>
      <c r="V427" s="238">
        <f t="shared" si="126"/>
        <v>8</v>
      </c>
      <c r="W427" s="354"/>
      <c r="X427" s="366"/>
      <c r="Y427" s="366"/>
      <c r="Z427" s="238">
        <v>2016</v>
      </c>
      <c r="AA427" s="367">
        <f>LARGE($CU$304:$CU$453,124)</f>
        <v>40.4</v>
      </c>
      <c r="AB427" s="357">
        <f t="shared" si="123"/>
        <v>-171.3</v>
      </c>
      <c r="AC427" s="356">
        <f t="shared" si="125"/>
        <v>29343.690000000002</v>
      </c>
      <c r="AE427" s="356">
        <f t="shared" si="124"/>
        <v>-10.706250000000001</v>
      </c>
      <c r="AF427" s="238">
        <f t="shared" si="127"/>
        <v>8</v>
      </c>
      <c r="AG427" s="354"/>
      <c r="AK427"/>
      <c r="AL427"/>
      <c r="AM427"/>
      <c r="AN427"/>
      <c r="AO427"/>
      <c r="AP427"/>
      <c r="BI427" s="360"/>
      <c r="BJ427" s="354"/>
      <c r="BK427" s="366">
        <v>2016</v>
      </c>
      <c r="BL427" s="365" t="s">
        <v>979</v>
      </c>
      <c r="BM427" s="366" t="s">
        <v>140</v>
      </c>
      <c r="BN427" s="366" t="s">
        <v>3</v>
      </c>
      <c r="BO427" s="366">
        <v>0</v>
      </c>
      <c r="BP427" s="366">
        <v>0</v>
      </c>
      <c r="BQ427" s="366">
        <v>0</v>
      </c>
      <c r="BR427" s="366">
        <v>0</v>
      </c>
      <c r="BS427" s="366">
        <v>0</v>
      </c>
      <c r="BT427" s="366">
        <v>5</v>
      </c>
      <c r="BU427" s="366">
        <v>73</v>
      </c>
      <c r="BV427" s="366">
        <v>0</v>
      </c>
      <c r="BW427" s="366">
        <v>0</v>
      </c>
      <c r="BX427" s="366">
        <v>0</v>
      </c>
      <c r="BY427" s="366">
        <v>0</v>
      </c>
      <c r="BZ427" s="366">
        <v>0</v>
      </c>
      <c r="CA427" s="366">
        <v>0</v>
      </c>
      <c r="CB427" s="367">
        <f>IFERROR(BO427/Instructions!$J$25,0)+BP427*Instructions!$J$27+BQ427*Instructions!$J$29+IFERROR(BR427/Instructions!$E$34,0)+BS427*Instructions!$E$36+Tier!BT428*Instructions!$E$25+IFERROR(BU427/Instructions!$E$27,0)+BV427*Instructions!$E$29+IFERROR((BW427+BY427)/Instructions!$J$32,0)+(BX427+BZ427)*Instructions!$J$34+Tier!CA427*-2</f>
        <v>8.3000000000000007</v>
      </c>
      <c r="CC427" s="354"/>
      <c r="CD427" s="238">
        <v>2016</v>
      </c>
      <c r="CE427" s="365" t="s">
        <v>1338</v>
      </c>
      <c r="CF427" s="366" t="s">
        <v>144</v>
      </c>
      <c r="CG427" s="366" t="s">
        <v>6</v>
      </c>
      <c r="CH427" s="366">
        <v>0</v>
      </c>
      <c r="CI427" s="366">
        <v>0</v>
      </c>
      <c r="CJ427" s="366">
        <v>0</v>
      </c>
      <c r="CK427" s="366">
        <v>0</v>
      </c>
      <c r="CL427" s="366">
        <v>0</v>
      </c>
      <c r="CM427" s="366">
        <v>16</v>
      </c>
      <c r="CN427" s="366">
        <v>209</v>
      </c>
      <c r="CO427" s="366">
        <v>2</v>
      </c>
      <c r="CP427" s="366">
        <v>0</v>
      </c>
      <c r="CQ427" s="366">
        <v>0</v>
      </c>
      <c r="CR427" s="366">
        <v>0</v>
      </c>
      <c r="CS427" s="366">
        <v>0</v>
      </c>
      <c r="CT427" s="366">
        <v>1</v>
      </c>
      <c r="CU427" s="367">
        <f>IFERROR(CH427/Instructions!$J$25,0)+CI427*Instructions!$J$27+CJ427*Instructions!$J$29+IFERROR(CK427/Instructions!$E$34,0)+CL427*Instructions!$E$36+Tier!CM427*Instructions!$E$25+IFERROR(CN427/Instructions!$E$27,0)+CO427*Instructions!$E$29+IFERROR((CP427+CR427)/Instructions!$J$32,0)+(CQ427+CS427)*Instructions!$J$34+Tier!CT427*-2</f>
        <v>46.9</v>
      </c>
      <c r="CV427" s="354"/>
      <c r="CW427"/>
      <c r="CX427"/>
      <c r="CY427"/>
      <c r="CZ427"/>
      <c r="DA427"/>
      <c r="DB427"/>
      <c r="DC427"/>
      <c r="DD427"/>
      <c r="DE427"/>
      <c r="DF427"/>
      <c r="DG427"/>
      <c r="DH427"/>
      <c r="DI427"/>
      <c r="DJ427"/>
      <c r="DK427"/>
      <c r="DL427"/>
      <c r="DM427"/>
      <c r="DN427"/>
    </row>
    <row r="428" spans="3:118" s="238" customFormat="1" ht="15.75" customHeight="1" x14ac:dyDescent="0.25">
      <c r="C428"/>
      <c r="D428"/>
      <c r="E428"/>
      <c r="F428"/>
      <c r="G428"/>
      <c r="H428"/>
      <c r="I428"/>
      <c r="J428"/>
      <c r="K428"/>
      <c r="L428"/>
      <c r="M428"/>
      <c r="N428"/>
      <c r="O428" s="366"/>
      <c r="P428" s="366">
        <v>2016</v>
      </c>
      <c r="Q428" s="367">
        <f>LARGE($CB$304:$CB$453,125)</f>
        <v>7.9</v>
      </c>
      <c r="R428" s="357">
        <f t="shared" si="121"/>
        <v>-156.69999999999999</v>
      </c>
      <c r="S428" s="356">
        <f t="shared" si="128"/>
        <v>24554.889999999996</v>
      </c>
      <c r="U428" s="356">
        <f t="shared" si="122"/>
        <v>-9.7937499999999993</v>
      </c>
      <c r="V428" s="238">
        <f t="shared" si="126"/>
        <v>8</v>
      </c>
      <c r="W428" s="354"/>
      <c r="X428" s="366"/>
      <c r="Y428" s="366"/>
      <c r="Z428" s="238">
        <v>2016</v>
      </c>
      <c r="AA428" s="367">
        <f>LARGE($CU$304:$CU$453,125)</f>
        <v>40.200000000000003</v>
      </c>
      <c r="AB428" s="357">
        <f t="shared" si="123"/>
        <v>-171.5</v>
      </c>
      <c r="AC428" s="356">
        <f t="shared" si="125"/>
        <v>29412.25</v>
      </c>
      <c r="AE428" s="356">
        <f t="shared" si="124"/>
        <v>-10.71875</v>
      </c>
      <c r="AF428" s="238">
        <f t="shared" si="127"/>
        <v>8</v>
      </c>
      <c r="AG428" s="354"/>
      <c r="AK428"/>
      <c r="AL428"/>
      <c r="AM428"/>
      <c r="AN428"/>
      <c r="AO428"/>
      <c r="AP428"/>
      <c r="BI428" s="360"/>
      <c r="BJ428" s="354"/>
      <c r="BK428" s="366">
        <v>2016</v>
      </c>
      <c r="BL428" s="365" t="s">
        <v>1409</v>
      </c>
      <c r="BM428" s="366" t="s">
        <v>1633</v>
      </c>
      <c r="BN428" s="366" t="s">
        <v>3</v>
      </c>
      <c r="BO428" s="366">
        <v>0</v>
      </c>
      <c r="BP428" s="366">
        <v>0</v>
      </c>
      <c r="BQ428" s="366">
        <v>0</v>
      </c>
      <c r="BR428" s="366">
        <v>44</v>
      </c>
      <c r="BS428" s="366">
        <v>0</v>
      </c>
      <c r="BT428" s="366">
        <v>1</v>
      </c>
      <c r="BU428" s="366">
        <v>5</v>
      </c>
      <c r="BV428" s="366">
        <v>0</v>
      </c>
      <c r="BW428" s="366">
        <v>0</v>
      </c>
      <c r="BX428" s="366">
        <v>0</v>
      </c>
      <c r="BY428" s="366">
        <v>0</v>
      </c>
      <c r="BZ428" s="366">
        <v>0</v>
      </c>
      <c r="CA428" s="366">
        <v>0</v>
      </c>
      <c r="CB428" s="367">
        <f>IFERROR(BO428/Instructions!$J$25,0)+BP428*Instructions!$J$27+BQ428*Instructions!$J$29+IFERROR(BR428/Instructions!$E$34,0)+BS428*Instructions!$E$36+Tier!BT429*Instructions!$E$25+IFERROR(BU428/Instructions!$E$27,0)+BV428*Instructions!$E$29+IFERROR((BW428+BY428)/Instructions!$J$32,0)+(BX428+BZ428)*Instructions!$J$34+Tier!CA428*-2</f>
        <v>7.9</v>
      </c>
      <c r="CC428" s="354"/>
      <c r="CD428" s="238">
        <v>2016</v>
      </c>
      <c r="CE428" s="365" t="s">
        <v>1399</v>
      </c>
      <c r="CF428" s="366" t="s">
        <v>1624</v>
      </c>
      <c r="CG428" s="366" t="s">
        <v>6</v>
      </c>
      <c r="CH428" s="366">
        <v>0</v>
      </c>
      <c r="CI428" s="366">
        <v>0</v>
      </c>
      <c r="CJ428" s="366">
        <v>0</v>
      </c>
      <c r="CK428" s="366">
        <v>0</v>
      </c>
      <c r="CL428" s="366">
        <v>0</v>
      </c>
      <c r="CM428" s="366">
        <v>12</v>
      </c>
      <c r="CN428" s="366">
        <v>202</v>
      </c>
      <c r="CO428" s="366">
        <v>2</v>
      </c>
      <c r="CP428" s="366">
        <v>0</v>
      </c>
      <c r="CQ428" s="366">
        <v>0</v>
      </c>
      <c r="CR428" s="366">
        <v>0</v>
      </c>
      <c r="CS428" s="366">
        <v>0</v>
      </c>
      <c r="CT428" s="366">
        <v>0</v>
      </c>
      <c r="CU428" s="367">
        <f>IFERROR(CH428/Instructions!$J$25,0)+CI428*Instructions!$J$27+CJ428*Instructions!$J$29+IFERROR(CK428/Instructions!$E$34,0)+CL428*Instructions!$E$36+Tier!CM428*Instructions!$E$25+IFERROR(CN428/Instructions!$E$27,0)+CO428*Instructions!$E$29+IFERROR((CP428+CR428)/Instructions!$J$32,0)+(CQ428+CS428)*Instructions!$J$34+Tier!CT428*-2</f>
        <v>44.2</v>
      </c>
      <c r="CV428" s="354"/>
      <c r="CW428"/>
      <c r="CX428"/>
      <c r="CY428"/>
      <c r="CZ428"/>
      <c r="DA428"/>
      <c r="DB428"/>
      <c r="DC428"/>
      <c r="DD428"/>
      <c r="DE428"/>
      <c r="DF428"/>
      <c r="DG428"/>
      <c r="DH428"/>
      <c r="DI428"/>
      <c r="DJ428"/>
      <c r="DK428"/>
      <c r="DL428"/>
      <c r="DM428"/>
      <c r="DN428"/>
    </row>
    <row r="429" spans="3:118" s="238" customFormat="1" ht="15.75" customHeight="1" x14ac:dyDescent="0.25">
      <c r="C429"/>
      <c r="D429"/>
      <c r="E429"/>
      <c r="F429"/>
      <c r="G429"/>
      <c r="H429"/>
      <c r="I429"/>
      <c r="J429"/>
      <c r="K429"/>
      <c r="L429"/>
      <c r="M429"/>
      <c r="N429"/>
      <c r="O429" s="366"/>
      <c r="P429" s="366">
        <v>2016</v>
      </c>
      <c r="Q429" s="367">
        <f>LARGE($CB$304:$CB$453,126)</f>
        <v>7.5</v>
      </c>
      <c r="R429" s="357">
        <f t="shared" si="121"/>
        <v>-157.1</v>
      </c>
      <c r="S429" s="356">
        <f t="shared" si="128"/>
        <v>24680.41</v>
      </c>
      <c r="U429" s="356">
        <f t="shared" si="122"/>
        <v>-9.8187499999999996</v>
      </c>
      <c r="V429" s="238">
        <f t="shared" si="126"/>
        <v>8</v>
      </c>
      <c r="W429" s="354"/>
      <c r="X429" s="366"/>
      <c r="Y429" s="366"/>
      <c r="Z429" s="238">
        <v>2016</v>
      </c>
      <c r="AA429" s="367">
        <f>LARGE($CU$304:$CU$453,126)</f>
        <v>39.9</v>
      </c>
      <c r="AB429" s="357">
        <f t="shared" si="123"/>
        <v>-171.8</v>
      </c>
      <c r="AC429" s="356">
        <f t="shared" si="125"/>
        <v>29515.240000000005</v>
      </c>
      <c r="AE429" s="356">
        <f t="shared" si="124"/>
        <v>-10.737500000000001</v>
      </c>
      <c r="AF429" s="238">
        <f t="shared" si="127"/>
        <v>8</v>
      </c>
      <c r="AG429" s="354"/>
      <c r="AK429"/>
      <c r="AL429"/>
      <c r="AM429"/>
      <c r="AN429"/>
      <c r="AO429"/>
      <c r="AP429"/>
      <c r="BI429" s="360"/>
      <c r="BJ429" s="354"/>
      <c r="BK429" s="366">
        <v>2016</v>
      </c>
      <c r="BL429" s="365" t="s">
        <v>1141</v>
      </c>
      <c r="BM429" s="366" t="s">
        <v>162</v>
      </c>
      <c r="BN429" s="366" t="s">
        <v>3</v>
      </c>
      <c r="BO429" s="366">
        <v>0</v>
      </c>
      <c r="BP429" s="366">
        <v>0</v>
      </c>
      <c r="BQ429" s="366">
        <v>0</v>
      </c>
      <c r="BR429" s="366">
        <v>34</v>
      </c>
      <c r="BS429" s="366">
        <v>0</v>
      </c>
      <c r="BT429" s="366">
        <v>3</v>
      </c>
      <c r="BU429" s="366">
        <v>15</v>
      </c>
      <c r="BV429" s="366">
        <v>0</v>
      </c>
      <c r="BW429" s="366">
        <v>0</v>
      </c>
      <c r="BX429" s="366">
        <v>0</v>
      </c>
      <c r="BY429" s="366">
        <v>0</v>
      </c>
      <c r="BZ429" s="366">
        <v>0</v>
      </c>
      <c r="CA429" s="366">
        <v>0</v>
      </c>
      <c r="CB429" s="367">
        <f>IFERROR(BO429/Instructions!$J$25,0)+BP429*Instructions!$J$27+BQ429*Instructions!$J$29+IFERROR(BR429/Instructions!$E$34,0)+BS429*Instructions!$E$36+Tier!BT430*Instructions!$E$25+IFERROR(BU429/Instructions!$E$27,0)+BV429*Instructions!$E$29+IFERROR((BW429+BY429)/Instructions!$J$32,0)+(BX429+BZ429)*Instructions!$J$34+Tier!CA429*-2</f>
        <v>6.9</v>
      </c>
      <c r="CC429" s="354"/>
      <c r="CD429" s="238">
        <v>2016</v>
      </c>
      <c r="CE429" s="365" t="s">
        <v>1395</v>
      </c>
      <c r="CF429" s="366" t="s">
        <v>158</v>
      </c>
      <c r="CG429" s="366" t="s">
        <v>6</v>
      </c>
      <c r="CH429" s="366">
        <v>0</v>
      </c>
      <c r="CI429" s="366">
        <v>0</v>
      </c>
      <c r="CJ429" s="366">
        <v>0</v>
      </c>
      <c r="CK429" s="366">
        <v>0</v>
      </c>
      <c r="CL429" s="366">
        <v>0</v>
      </c>
      <c r="CM429" s="366">
        <v>19</v>
      </c>
      <c r="CN429" s="366">
        <v>273</v>
      </c>
      <c r="CO429" s="366">
        <v>0</v>
      </c>
      <c r="CP429" s="366">
        <v>119</v>
      </c>
      <c r="CQ429" s="366">
        <v>0</v>
      </c>
      <c r="CR429" s="366">
        <v>0</v>
      </c>
      <c r="CS429" s="366">
        <v>0</v>
      </c>
      <c r="CT429" s="366">
        <v>0</v>
      </c>
      <c r="CU429" s="367">
        <f>IFERROR(CH429/Instructions!$J$25,0)+CI429*Instructions!$J$27+CJ429*Instructions!$J$29+IFERROR(CK429/Instructions!$E$34,0)+CL429*Instructions!$E$36+Tier!CM429*Instructions!$E$25+IFERROR(CN429/Instructions!$E$27,0)+CO429*Instructions!$E$29+IFERROR((CP429+CR429)/Instructions!$J$32,0)+(CQ429+CS429)*Instructions!$J$34+Tier!CT429*-2</f>
        <v>46.3</v>
      </c>
      <c r="CV429" s="354"/>
      <c r="CW429"/>
      <c r="CX429"/>
      <c r="CY429"/>
      <c r="CZ429"/>
      <c r="DA429"/>
      <c r="DB429"/>
      <c r="DC429"/>
      <c r="DD429"/>
      <c r="DE429"/>
      <c r="DF429"/>
      <c r="DG429"/>
      <c r="DH429"/>
      <c r="DI429"/>
      <c r="DJ429"/>
      <c r="DK429"/>
      <c r="DL429"/>
      <c r="DM429"/>
      <c r="DN429"/>
    </row>
    <row r="430" spans="3:118" s="238" customFormat="1" ht="15.75" customHeight="1" x14ac:dyDescent="0.25">
      <c r="C430"/>
      <c r="D430"/>
      <c r="E430"/>
      <c r="F430"/>
      <c r="G430"/>
      <c r="H430"/>
      <c r="I430"/>
      <c r="J430"/>
      <c r="K430"/>
      <c r="L430"/>
      <c r="M430"/>
      <c r="N430"/>
      <c r="O430" s="366"/>
      <c r="P430" s="366">
        <v>2016</v>
      </c>
      <c r="Q430" s="367">
        <f>LARGE($CB$304:$CB$453,127)</f>
        <v>6.9</v>
      </c>
      <c r="R430" s="357">
        <f t="shared" si="121"/>
        <v>-157.69999999999999</v>
      </c>
      <c r="S430" s="356">
        <f t="shared" si="128"/>
        <v>24869.289999999997</v>
      </c>
      <c r="U430" s="356">
        <f t="shared" si="122"/>
        <v>-9.8562499999999993</v>
      </c>
      <c r="V430" s="238">
        <f t="shared" si="126"/>
        <v>8</v>
      </c>
      <c r="W430" s="354"/>
      <c r="X430" s="366"/>
      <c r="Y430" s="366"/>
      <c r="Z430" s="238">
        <v>2016</v>
      </c>
      <c r="AA430" s="367">
        <f>LARGE($CU$304:$CU$453,127)</f>
        <v>38.599999999999994</v>
      </c>
      <c r="AB430" s="357">
        <f t="shared" si="123"/>
        <v>-173.10000000000002</v>
      </c>
      <c r="AC430" s="356">
        <f t="shared" si="125"/>
        <v>29963.610000000008</v>
      </c>
      <c r="AE430" s="356">
        <f t="shared" si="124"/>
        <v>-10.818750000000001</v>
      </c>
      <c r="AF430" s="238">
        <f t="shared" si="127"/>
        <v>8</v>
      </c>
      <c r="AG430" s="354"/>
      <c r="AK430"/>
      <c r="AL430"/>
      <c r="AM430"/>
      <c r="AN430"/>
      <c r="AO430"/>
      <c r="AP430"/>
      <c r="BI430" s="360"/>
      <c r="BJ430" s="354"/>
      <c r="BK430" s="366">
        <v>2016</v>
      </c>
      <c r="BL430" s="365" t="s">
        <v>1398</v>
      </c>
      <c r="BM430" s="366" t="s">
        <v>164</v>
      </c>
      <c r="BN430" s="366" t="s">
        <v>3</v>
      </c>
      <c r="BO430" s="366">
        <v>0</v>
      </c>
      <c r="BP430" s="366">
        <v>0</v>
      </c>
      <c r="BQ430" s="366">
        <v>0</v>
      </c>
      <c r="BR430" s="366">
        <v>27</v>
      </c>
      <c r="BS430" s="366">
        <v>0</v>
      </c>
      <c r="BT430" s="366">
        <v>2</v>
      </c>
      <c r="BU430" s="366">
        <v>20</v>
      </c>
      <c r="BV430" s="366">
        <v>0</v>
      </c>
      <c r="BW430" s="366">
        <v>0</v>
      </c>
      <c r="BX430" s="366">
        <v>0</v>
      </c>
      <c r="BY430" s="366">
        <v>0</v>
      </c>
      <c r="BZ430" s="366">
        <v>0</v>
      </c>
      <c r="CA430" s="366">
        <v>0</v>
      </c>
      <c r="CB430" s="367">
        <f>IFERROR(BO430/Instructions!$J$25,0)+BP430*Instructions!$J$27+BQ430*Instructions!$J$29+IFERROR(BR430/Instructions!$E$34,0)+BS430*Instructions!$E$36+Tier!BT431*Instructions!$E$25+IFERROR(BU430/Instructions!$E$27,0)+BV430*Instructions!$E$29+IFERROR((BW430+BY430)/Instructions!$J$32,0)+(BX430+BZ430)*Instructions!$J$34+Tier!CA430*-2</f>
        <v>9.6999999999999993</v>
      </c>
      <c r="CC430" s="354"/>
      <c r="CD430" s="238">
        <v>2016</v>
      </c>
      <c r="CE430" s="365" t="s">
        <v>93</v>
      </c>
      <c r="CF430" s="366" t="s">
        <v>164</v>
      </c>
      <c r="CG430" s="366" t="s">
        <v>6</v>
      </c>
      <c r="CH430" s="366">
        <v>0</v>
      </c>
      <c r="CI430" s="366">
        <v>0</v>
      </c>
      <c r="CJ430" s="366">
        <v>0</v>
      </c>
      <c r="CK430" s="366">
        <v>0</v>
      </c>
      <c r="CL430" s="366">
        <v>0</v>
      </c>
      <c r="CM430" s="366">
        <v>9</v>
      </c>
      <c r="CN430" s="366">
        <v>194</v>
      </c>
      <c r="CO430" s="366">
        <v>2</v>
      </c>
      <c r="CP430" s="366">
        <v>0</v>
      </c>
      <c r="CQ430" s="366">
        <v>0</v>
      </c>
      <c r="CR430" s="366">
        <v>0</v>
      </c>
      <c r="CS430" s="366">
        <v>0</v>
      </c>
      <c r="CT430" s="366">
        <v>0</v>
      </c>
      <c r="CU430" s="367">
        <f>IFERROR(CH430/Instructions!$J$25,0)+CI430*Instructions!$J$27+CJ430*Instructions!$J$29+IFERROR(CK430/Instructions!$E$34,0)+CL430*Instructions!$E$36+Tier!CM430*Instructions!$E$25+IFERROR(CN430/Instructions!$E$27,0)+CO430*Instructions!$E$29+IFERROR((CP430+CR430)/Instructions!$J$32,0)+(CQ430+CS430)*Instructions!$J$34+Tier!CT430*-2</f>
        <v>40.4</v>
      </c>
      <c r="CV430" s="354"/>
      <c r="CW430"/>
      <c r="CX430"/>
      <c r="CY430"/>
      <c r="CZ430"/>
      <c r="DA430"/>
      <c r="DB430"/>
      <c r="DC430"/>
      <c r="DD430"/>
      <c r="DE430"/>
      <c r="DF430"/>
      <c r="DG430"/>
      <c r="DH430"/>
      <c r="DI430"/>
      <c r="DJ430"/>
      <c r="DK430"/>
      <c r="DL430"/>
      <c r="DM430"/>
      <c r="DN430"/>
    </row>
    <row r="431" spans="3:118" s="238" customFormat="1" ht="15.75" customHeight="1" x14ac:dyDescent="0.25">
      <c r="C431"/>
      <c r="D431"/>
      <c r="E431"/>
      <c r="F431"/>
      <c r="G431"/>
      <c r="H431"/>
      <c r="I431"/>
      <c r="J431"/>
      <c r="K431"/>
      <c r="L431"/>
      <c r="M431"/>
      <c r="N431"/>
      <c r="O431" s="366"/>
      <c r="P431" s="366">
        <v>2016</v>
      </c>
      <c r="Q431" s="367">
        <f>LARGE($CB$304:$CB$453,128)</f>
        <v>6.8</v>
      </c>
      <c r="R431" s="357">
        <f t="shared" si="121"/>
        <v>-157.79999999999998</v>
      </c>
      <c r="S431" s="356">
        <f t="shared" si="128"/>
        <v>24900.839999999993</v>
      </c>
      <c r="U431" s="356">
        <f t="shared" si="122"/>
        <v>-9.8624999999999989</v>
      </c>
      <c r="V431" s="238">
        <f t="shared" si="126"/>
        <v>8</v>
      </c>
      <c r="W431" s="354"/>
      <c r="X431" s="366"/>
      <c r="Y431" s="366"/>
      <c r="Z431" s="238">
        <v>2016</v>
      </c>
      <c r="AA431" s="367">
        <f>LARGE($CU$304:$CU$453,128)</f>
        <v>38.5</v>
      </c>
      <c r="AB431" s="357">
        <f t="shared" si="123"/>
        <v>-173.20000000000002</v>
      </c>
      <c r="AC431" s="356">
        <f t="shared" si="125"/>
        <v>29998.240000000005</v>
      </c>
      <c r="AE431" s="356">
        <f t="shared" si="124"/>
        <v>-10.825000000000001</v>
      </c>
      <c r="AF431" s="238">
        <f t="shared" si="127"/>
        <v>8</v>
      </c>
      <c r="AG431" s="354"/>
      <c r="AK431"/>
      <c r="AL431"/>
      <c r="AM431"/>
      <c r="AN431"/>
      <c r="AO431"/>
      <c r="AP431"/>
      <c r="BI431" s="360"/>
      <c r="BJ431" s="354"/>
      <c r="BK431" s="366">
        <v>2016</v>
      </c>
      <c r="BL431" s="365" t="s">
        <v>1391</v>
      </c>
      <c r="BM431" s="366" t="s">
        <v>161</v>
      </c>
      <c r="BN431" s="366" t="s">
        <v>3</v>
      </c>
      <c r="BO431" s="366">
        <v>0</v>
      </c>
      <c r="BP431" s="366">
        <v>0</v>
      </c>
      <c r="BQ431" s="366">
        <v>0</v>
      </c>
      <c r="BR431" s="366">
        <v>2</v>
      </c>
      <c r="BS431" s="366">
        <v>0</v>
      </c>
      <c r="BT431" s="366">
        <v>5</v>
      </c>
      <c r="BU431" s="366">
        <v>44</v>
      </c>
      <c r="BV431" s="366">
        <v>0</v>
      </c>
      <c r="BW431" s="366">
        <v>0</v>
      </c>
      <c r="BX431" s="366">
        <v>0</v>
      </c>
      <c r="BY431" s="366">
        <v>0</v>
      </c>
      <c r="BZ431" s="366">
        <v>0</v>
      </c>
      <c r="CA431" s="366">
        <v>1</v>
      </c>
      <c r="CB431" s="367">
        <f>IFERROR(BO431/Instructions!$J$25,0)+BP431*Instructions!$J$27+BQ431*Instructions!$J$29+IFERROR(BR431/Instructions!$E$34,0)+BS431*Instructions!$E$36+Tier!BT432*Instructions!$E$25+IFERROR(BU431/Instructions!$E$27,0)+BV431*Instructions!$E$29+IFERROR((BW431+BY431)/Instructions!$J$32,0)+(BX431+BZ431)*Instructions!$J$34+Tier!CA431*-2</f>
        <v>4.6000000000000005</v>
      </c>
      <c r="CC431" s="354"/>
      <c r="CD431" s="238">
        <v>2016</v>
      </c>
      <c r="CE431" s="365" t="s">
        <v>186</v>
      </c>
      <c r="CF431" s="366" t="s">
        <v>1630</v>
      </c>
      <c r="CG431" s="366" t="s">
        <v>6</v>
      </c>
      <c r="CH431" s="366">
        <v>0</v>
      </c>
      <c r="CI431" s="366">
        <v>0</v>
      </c>
      <c r="CJ431" s="366">
        <v>0</v>
      </c>
      <c r="CK431" s="366">
        <v>0</v>
      </c>
      <c r="CL431" s="366">
        <v>0</v>
      </c>
      <c r="CM431" s="366">
        <v>18</v>
      </c>
      <c r="CN431" s="366">
        <v>191</v>
      </c>
      <c r="CO431" s="366">
        <v>2</v>
      </c>
      <c r="CP431" s="366">
        <v>0</v>
      </c>
      <c r="CQ431" s="366">
        <v>0</v>
      </c>
      <c r="CR431" s="366">
        <v>0</v>
      </c>
      <c r="CS431" s="366">
        <v>0</v>
      </c>
      <c r="CT431" s="366">
        <v>0</v>
      </c>
      <c r="CU431" s="367">
        <f>IFERROR(CH431/Instructions!$J$25,0)+CI431*Instructions!$J$27+CJ431*Instructions!$J$29+IFERROR(CK431/Instructions!$E$34,0)+CL431*Instructions!$E$36+Tier!CM431*Instructions!$E$25+IFERROR(CN431/Instructions!$E$27,0)+CO431*Instructions!$E$29+IFERROR((CP431+CR431)/Instructions!$J$32,0)+(CQ431+CS431)*Instructions!$J$34+Tier!CT431*-2</f>
        <v>49.1</v>
      </c>
      <c r="CV431" s="354"/>
      <c r="CW431"/>
      <c r="CX431"/>
      <c r="CY431"/>
      <c r="CZ431"/>
      <c r="DA431"/>
      <c r="DB431"/>
      <c r="DC431"/>
      <c r="DD431"/>
      <c r="DE431"/>
      <c r="DF431"/>
      <c r="DG431"/>
      <c r="DH431"/>
      <c r="DI431"/>
      <c r="DJ431"/>
      <c r="DK431"/>
      <c r="DL431"/>
      <c r="DM431"/>
      <c r="DN431"/>
    </row>
    <row r="432" spans="3:118" s="238" customFormat="1" ht="15.75" customHeight="1" x14ac:dyDescent="0.25">
      <c r="C432"/>
      <c r="D432"/>
      <c r="E432"/>
      <c r="F432"/>
      <c r="G432"/>
      <c r="H432"/>
      <c r="I432"/>
      <c r="J432"/>
      <c r="K432"/>
      <c r="L432"/>
      <c r="M432"/>
      <c r="N432"/>
      <c r="O432" s="366"/>
      <c r="P432" s="366">
        <v>2016</v>
      </c>
      <c r="Q432" s="367">
        <f>LARGE($CB$304:$CB$453,129)</f>
        <v>5.3</v>
      </c>
      <c r="R432" s="357">
        <f t="shared" si="121"/>
        <v>-159.29999999999998</v>
      </c>
      <c r="S432" s="356">
        <f t="shared" si="128"/>
        <v>25376.489999999994</v>
      </c>
      <c r="U432" s="356">
        <f t="shared" si="122"/>
        <v>-9.9562499999999989</v>
      </c>
      <c r="V432" s="238">
        <f t="shared" si="126"/>
        <v>8</v>
      </c>
      <c r="W432" s="354"/>
      <c r="X432" s="366"/>
      <c r="Y432" s="366"/>
      <c r="Z432" s="238">
        <v>2016</v>
      </c>
      <c r="AA432" s="367">
        <f>LARGE($CU$304:$CU$453,129)</f>
        <v>37.6</v>
      </c>
      <c r="AB432" s="357">
        <f t="shared" si="123"/>
        <v>-174.10000000000002</v>
      </c>
      <c r="AC432" s="356">
        <f t="shared" si="125"/>
        <v>30310.810000000009</v>
      </c>
      <c r="AE432" s="356">
        <f t="shared" si="124"/>
        <v>-10.881250000000001</v>
      </c>
      <c r="AF432" s="238">
        <f t="shared" si="127"/>
        <v>8</v>
      </c>
      <c r="AG432" s="354"/>
      <c r="AK432"/>
      <c r="AL432"/>
      <c r="AM432"/>
      <c r="AN432"/>
      <c r="AO432"/>
      <c r="AP432"/>
      <c r="BI432" s="360"/>
      <c r="BJ432" s="354"/>
      <c r="BK432" s="366">
        <v>2016</v>
      </c>
      <c r="BL432" s="365" t="s">
        <v>1222</v>
      </c>
      <c r="BM432" s="366" t="s">
        <v>1625</v>
      </c>
      <c r="BN432" s="366" t="s">
        <v>3</v>
      </c>
      <c r="BO432" s="366">
        <v>0</v>
      </c>
      <c r="BP432" s="366">
        <v>0</v>
      </c>
      <c r="BQ432" s="366">
        <v>0</v>
      </c>
      <c r="BR432" s="366">
        <v>32</v>
      </c>
      <c r="BS432" s="366">
        <v>0</v>
      </c>
      <c r="BT432" s="366">
        <v>2</v>
      </c>
      <c r="BU432" s="366">
        <v>11</v>
      </c>
      <c r="BV432" s="366">
        <v>0</v>
      </c>
      <c r="BW432" s="366">
        <v>0</v>
      </c>
      <c r="BX432" s="366">
        <v>0</v>
      </c>
      <c r="BY432" s="366">
        <v>0</v>
      </c>
      <c r="BZ432" s="366">
        <v>0</v>
      </c>
      <c r="CA432" s="366">
        <v>0</v>
      </c>
      <c r="CB432" s="367">
        <f>IFERROR(BO432/Instructions!$J$25,0)+BP432*Instructions!$J$27+BQ432*Instructions!$J$29+IFERROR(BR432/Instructions!$E$34,0)+BS432*Instructions!$E$36+Tier!BT433*Instructions!$E$25+IFERROR(BU432/Instructions!$E$27,0)+BV432*Instructions!$E$29+IFERROR((BW432+BY432)/Instructions!$J$32,0)+(BX432+BZ432)*Instructions!$J$34+Tier!CA432*-2</f>
        <v>8.3000000000000007</v>
      </c>
      <c r="CC432" s="354"/>
      <c r="CD432" s="238">
        <v>2016</v>
      </c>
      <c r="CE432" s="365" t="s">
        <v>203</v>
      </c>
      <c r="CF432" s="366" t="s">
        <v>167</v>
      </c>
      <c r="CG432" s="366" t="s">
        <v>6</v>
      </c>
      <c r="CH432" s="366">
        <v>0</v>
      </c>
      <c r="CI432" s="366">
        <v>0</v>
      </c>
      <c r="CJ432" s="366">
        <v>0</v>
      </c>
      <c r="CK432" s="366">
        <v>0</v>
      </c>
      <c r="CL432" s="366">
        <v>0</v>
      </c>
      <c r="CM432" s="366">
        <v>14</v>
      </c>
      <c r="CN432" s="366">
        <v>126</v>
      </c>
      <c r="CO432" s="366">
        <v>3</v>
      </c>
      <c r="CP432" s="366">
        <v>0</v>
      </c>
      <c r="CQ432" s="366">
        <v>0</v>
      </c>
      <c r="CR432" s="366">
        <v>0</v>
      </c>
      <c r="CS432" s="366">
        <v>0</v>
      </c>
      <c r="CT432" s="366">
        <v>0</v>
      </c>
      <c r="CU432" s="367">
        <f>IFERROR(CH432/Instructions!$J$25,0)+CI432*Instructions!$J$27+CJ432*Instructions!$J$29+IFERROR(CK432/Instructions!$E$34,0)+CL432*Instructions!$E$36+Tier!CM432*Instructions!$E$25+IFERROR(CN432/Instructions!$E$27,0)+CO432*Instructions!$E$29+IFERROR((CP432+CR432)/Instructions!$J$32,0)+(CQ432+CS432)*Instructions!$J$34+Tier!CT432*-2</f>
        <v>44.6</v>
      </c>
      <c r="CV432" s="354"/>
      <c r="CW432"/>
      <c r="CX432"/>
      <c r="CY432"/>
      <c r="CZ432"/>
      <c r="DA432"/>
      <c r="DB432"/>
      <c r="DC432"/>
      <c r="DD432"/>
      <c r="DE432"/>
      <c r="DF432"/>
      <c r="DG432"/>
      <c r="DH432"/>
      <c r="DI432"/>
      <c r="DJ432"/>
      <c r="DK432"/>
      <c r="DL432"/>
      <c r="DM432"/>
      <c r="DN432"/>
    </row>
    <row r="433" spans="3:118" s="238" customFormat="1" ht="15.75" customHeight="1" x14ac:dyDescent="0.25">
      <c r="C433"/>
      <c r="D433"/>
      <c r="E433"/>
      <c r="F433"/>
      <c r="G433"/>
      <c r="H433"/>
      <c r="I433"/>
      <c r="J433"/>
      <c r="K433"/>
      <c r="L433"/>
      <c r="M433"/>
      <c r="N433"/>
      <c r="O433" s="366"/>
      <c r="P433" s="366">
        <v>2016</v>
      </c>
      <c r="Q433" s="367">
        <f>LARGE($CB$304:$CB$453,130)</f>
        <v>5.0999999999999996</v>
      </c>
      <c r="R433" s="357">
        <f t="shared" ref="R433:R453" si="129">Q433-$T$314</f>
        <v>-159.5</v>
      </c>
      <c r="S433" s="356">
        <f t="shared" si="128"/>
        <v>25440.25</v>
      </c>
      <c r="U433" s="356">
        <f t="shared" ref="U433:U453" si="130">R433/$T$304</f>
        <v>-9.96875</v>
      </c>
      <c r="V433" s="238">
        <f t="shared" si="126"/>
        <v>8</v>
      </c>
      <c r="W433" s="354"/>
      <c r="X433" s="366"/>
      <c r="Y433" s="366"/>
      <c r="Z433" s="238">
        <v>2016</v>
      </c>
      <c r="AA433" s="367">
        <f>LARGE($CU$304:$CU$453,130)</f>
        <v>37.5</v>
      </c>
      <c r="AB433" s="357">
        <f t="shared" ref="AB433:AB453" si="131">$AA433-$AD$314</f>
        <v>-174.20000000000002</v>
      </c>
      <c r="AC433" s="356">
        <f t="shared" si="125"/>
        <v>30345.640000000007</v>
      </c>
      <c r="AE433" s="356">
        <f t="shared" ref="AE433:AE453" si="132">AB433/$AD$304</f>
        <v>-10.887500000000001</v>
      </c>
      <c r="AF433" s="238">
        <f t="shared" si="127"/>
        <v>8</v>
      </c>
      <c r="AG433" s="354"/>
      <c r="AK433"/>
      <c r="AL433"/>
      <c r="AM433"/>
      <c r="AN433"/>
      <c r="AO433"/>
      <c r="AP433"/>
      <c r="BI433" s="360"/>
      <c r="BJ433" s="354"/>
      <c r="BK433" s="366">
        <v>2016</v>
      </c>
      <c r="BL433" s="365" t="s">
        <v>1240</v>
      </c>
      <c r="BM433" s="366" t="s">
        <v>1627</v>
      </c>
      <c r="BN433" s="366" t="s">
        <v>3</v>
      </c>
      <c r="BO433" s="366">
        <v>0</v>
      </c>
      <c r="BP433" s="366">
        <v>0</v>
      </c>
      <c r="BQ433" s="366">
        <v>0</v>
      </c>
      <c r="BR433" s="366">
        <v>19</v>
      </c>
      <c r="BS433" s="366">
        <v>0</v>
      </c>
      <c r="BT433" s="366">
        <v>4</v>
      </c>
      <c r="BU433" s="366">
        <v>22</v>
      </c>
      <c r="BV433" s="366">
        <v>0</v>
      </c>
      <c r="BW433" s="366">
        <v>0</v>
      </c>
      <c r="BX433" s="366">
        <v>0</v>
      </c>
      <c r="BY433" s="366">
        <v>0</v>
      </c>
      <c r="BZ433" s="366">
        <v>0</v>
      </c>
      <c r="CA433" s="366">
        <v>0</v>
      </c>
      <c r="CB433" s="367">
        <f>IFERROR(BO433/Instructions!$J$25,0)+BP433*Instructions!$J$27+BQ433*Instructions!$J$29+IFERROR(BR433/Instructions!$E$34,0)+BS433*Instructions!$E$36+Tier!BT434*Instructions!$E$25+IFERROR(BU433/Instructions!$E$27,0)+BV433*Instructions!$E$29+IFERROR((BW433+BY433)/Instructions!$J$32,0)+(BX433+BZ433)*Instructions!$J$34+Tier!CA433*-2</f>
        <v>5.0999999999999996</v>
      </c>
      <c r="CC433" s="354"/>
      <c r="CD433" s="238">
        <v>2016</v>
      </c>
      <c r="CE433" s="365" t="s">
        <v>212</v>
      </c>
      <c r="CF433" s="366" t="s">
        <v>1624</v>
      </c>
      <c r="CG433" s="366" t="s">
        <v>6</v>
      </c>
      <c r="CH433" s="366">
        <v>0</v>
      </c>
      <c r="CI433" s="366">
        <v>0</v>
      </c>
      <c r="CJ433" s="366">
        <v>0</v>
      </c>
      <c r="CK433" s="366">
        <v>38</v>
      </c>
      <c r="CL433" s="366">
        <v>1</v>
      </c>
      <c r="CM433" s="366">
        <v>11</v>
      </c>
      <c r="CN433" s="366">
        <v>93</v>
      </c>
      <c r="CO433" s="366">
        <v>1</v>
      </c>
      <c r="CP433" s="366">
        <v>0</v>
      </c>
      <c r="CQ433" s="366">
        <v>0</v>
      </c>
      <c r="CR433" s="366">
        <v>119</v>
      </c>
      <c r="CS433" s="366">
        <v>0</v>
      </c>
      <c r="CT433" s="366">
        <v>0</v>
      </c>
      <c r="CU433" s="367">
        <f>IFERROR(CH433/Instructions!$J$25,0)+CI433*Instructions!$J$27+CJ433*Instructions!$J$29+IFERROR(CK433/Instructions!$E$34,0)+CL433*Instructions!$E$36+Tier!CM433*Instructions!$E$25+IFERROR(CN433/Instructions!$E$27,0)+CO433*Instructions!$E$29+IFERROR((CP433+CR433)/Instructions!$J$32,0)+(CQ433+CS433)*Instructions!$J$34+Tier!CT433*-2</f>
        <v>36.1</v>
      </c>
      <c r="CV433" s="354"/>
      <c r="CW433"/>
      <c r="CX433"/>
      <c r="CY433"/>
      <c r="CZ433"/>
      <c r="DA433"/>
      <c r="DB433"/>
      <c r="DC433"/>
      <c r="DD433"/>
      <c r="DE433"/>
      <c r="DF433"/>
      <c r="DG433"/>
      <c r="DH433"/>
      <c r="DI433"/>
      <c r="DJ433"/>
      <c r="DK433"/>
      <c r="DL433"/>
      <c r="DM433"/>
      <c r="DN433"/>
    </row>
    <row r="434" spans="3:118" s="238" customFormat="1" ht="15.75" customHeight="1" x14ac:dyDescent="0.25">
      <c r="C434"/>
      <c r="D434"/>
      <c r="E434"/>
      <c r="F434"/>
      <c r="G434"/>
      <c r="H434"/>
      <c r="I434"/>
      <c r="J434"/>
      <c r="K434"/>
      <c r="L434"/>
      <c r="M434"/>
      <c r="N434"/>
      <c r="O434" s="366"/>
      <c r="P434" s="366">
        <v>2016</v>
      </c>
      <c r="Q434" s="367">
        <f>LARGE($CB$304:$CB$453,131)</f>
        <v>4.8000000000000007</v>
      </c>
      <c r="R434" s="357">
        <f t="shared" si="129"/>
        <v>-159.79999999999998</v>
      </c>
      <c r="S434" s="356">
        <f t="shared" si="128"/>
        <v>25536.039999999994</v>
      </c>
      <c r="U434" s="356">
        <f t="shared" si="130"/>
        <v>-9.9874999999999989</v>
      </c>
      <c r="V434" s="238">
        <f t="shared" si="126"/>
        <v>8</v>
      </c>
      <c r="W434" s="354"/>
      <c r="X434" s="366"/>
      <c r="Y434" s="366"/>
      <c r="Z434" s="238">
        <v>2016</v>
      </c>
      <c r="AA434" s="367">
        <f>LARGE($CU$304:$CU$453,131)</f>
        <v>37</v>
      </c>
      <c r="AB434" s="357">
        <f t="shared" si="131"/>
        <v>-174.70000000000002</v>
      </c>
      <c r="AC434" s="356">
        <f t="shared" si="125"/>
        <v>30520.090000000007</v>
      </c>
      <c r="AE434" s="356">
        <f t="shared" si="132"/>
        <v>-10.918750000000001</v>
      </c>
      <c r="AF434" s="238">
        <f t="shared" si="127"/>
        <v>8</v>
      </c>
      <c r="AG434" s="354"/>
      <c r="AK434"/>
      <c r="AL434"/>
      <c r="AM434"/>
      <c r="AN434"/>
      <c r="AO434"/>
      <c r="AP434"/>
      <c r="BI434" s="360"/>
      <c r="BJ434" s="354"/>
      <c r="BK434" s="366">
        <v>2016</v>
      </c>
      <c r="BL434" s="365" t="s">
        <v>1347</v>
      </c>
      <c r="BM434" s="366" t="s">
        <v>1628</v>
      </c>
      <c r="BN434" s="366" t="s">
        <v>3</v>
      </c>
      <c r="BO434" s="366">
        <v>0</v>
      </c>
      <c r="BP434" s="366">
        <v>0</v>
      </c>
      <c r="BQ434" s="366">
        <v>0</v>
      </c>
      <c r="BR434" s="366">
        <v>24</v>
      </c>
      <c r="BS434" s="366">
        <v>0</v>
      </c>
      <c r="BT434" s="366">
        <v>1</v>
      </c>
      <c r="BU434" s="366">
        <v>2</v>
      </c>
      <c r="BV434" s="366">
        <v>0</v>
      </c>
      <c r="BW434" s="366">
        <v>0</v>
      </c>
      <c r="BX434" s="366">
        <v>0</v>
      </c>
      <c r="BY434" s="366">
        <v>30</v>
      </c>
      <c r="BZ434" s="366">
        <v>0</v>
      </c>
      <c r="CA434" s="366">
        <v>0</v>
      </c>
      <c r="CB434" s="367">
        <f>IFERROR(BO434/Instructions!$J$25,0)+BP434*Instructions!$J$27+BQ434*Instructions!$J$29+IFERROR(BR434/Instructions!$E$34,0)+BS434*Instructions!$E$36+Tier!BT435*Instructions!$E$25+IFERROR(BU434/Instructions!$E$27,0)+BV434*Instructions!$E$29+IFERROR((BW434+BY434)/Instructions!$J$32,0)+(BX434+BZ434)*Instructions!$J$34+Tier!CA434*-2</f>
        <v>2.6</v>
      </c>
      <c r="CC434" s="354"/>
      <c r="CD434" s="238">
        <v>2016</v>
      </c>
      <c r="CE434" s="365" t="s">
        <v>1404</v>
      </c>
      <c r="CF434" s="366" t="s">
        <v>140</v>
      </c>
      <c r="CG434" s="366" t="s">
        <v>6</v>
      </c>
      <c r="CH434" s="366">
        <v>43</v>
      </c>
      <c r="CI434" s="366">
        <v>0</v>
      </c>
      <c r="CJ434" s="366">
        <v>0</v>
      </c>
      <c r="CK434" s="366">
        <v>0</v>
      </c>
      <c r="CL434" s="366">
        <v>0</v>
      </c>
      <c r="CM434" s="366">
        <v>9</v>
      </c>
      <c r="CN434" s="366">
        <v>140</v>
      </c>
      <c r="CO434" s="366">
        <v>2</v>
      </c>
      <c r="CP434" s="366">
        <v>0</v>
      </c>
      <c r="CQ434" s="366">
        <v>0</v>
      </c>
      <c r="CR434" s="366">
        <v>0</v>
      </c>
      <c r="CS434" s="366">
        <v>0</v>
      </c>
      <c r="CT434" s="366">
        <v>0</v>
      </c>
      <c r="CU434" s="367">
        <f>IFERROR(CH434/Instructions!$J$25,0)+CI434*Instructions!$J$27+CJ434*Instructions!$J$29+IFERROR(CK434/Instructions!$E$34,0)+CL434*Instructions!$E$36+Tier!CM434*Instructions!$E$25+IFERROR(CN434/Instructions!$E$27,0)+CO434*Instructions!$E$29+IFERROR((CP434+CR434)/Instructions!$J$32,0)+(CQ434+CS434)*Instructions!$J$34+Tier!CT434*-2</f>
        <v>36.72</v>
      </c>
      <c r="CV434" s="354"/>
      <c r="CW434"/>
      <c r="CX434"/>
      <c r="CY434"/>
      <c r="CZ434"/>
      <c r="DA434"/>
      <c r="DB434"/>
      <c r="DC434"/>
      <c r="DD434"/>
      <c r="DE434"/>
      <c r="DF434"/>
      <c r="DG434"/>
      <c r="DH434"/>
      <c r="DI434"/>
      <c r="DJ434"/>
      <c r="DK434"/>
      <c r="DL434"/>
      <c r="DM434"/>
      <c r="DN434"/>
    </row>
    <row r="435" spans="3:118" s="238" customFormat="1" ht="15.75" customHeight="1" x14ac:dyDescent="0.25">
      <c r="C435"/>
      <c r="D435"/>
      <c r="E435"/>
      <c r="F435"/>
      <c r="G435"/>
      <c r="H435"/>
      <c r="I435"/>
      <c r="J435"/>
      <c r="K435"/>
      <c r="L435"/>
      <c r="M435"/>
      <c r="N435"/>
      <c r="O435" s="366"/>
      <c r="P435" s="366">
        <v>2016</v>
      </c>
      <c r="Q435" s="367">
        <f>LARGE($CB$304:$CB$453,132)</f>
        <v>4.7</v>
      </c>
      <c r="R435" s="357">
        <f t="shared" si="129"/>
        <v>-159.9</v>
      </c>
      <c r="S435" s="356">
        <f t="shared" si="128"/>
        <v>25568.010000000002</v>
      </c>
      <c r="U435" s="356">
        <f t="shared" si="130"/>
        <v>-9.9937500000000004</v>
      </c>
      <c r="V435" s="238">
        <f t="shared" si="126"/>
        <v>8</v>
      </c>
      <c r="W435" s="354"/>
      <c r="X435" s="366"/>
      <c r="Y435" s="366"/>
      <c r="Z435" s="238">
        <v>2016</v>
      </c>
      <c r="AA435" s="367">
        <f>LARGE($CU$304:$CU$453,132)</f>
        <v>36.72</v>
      </c>
      <c r="AB435" s="357">
        <f t="shared" si="131"/>
        <v>-174.98000000000002</v>
      </c>
      <c r="AC435" s="356">
        <f t="shared" si="125"/>
        <v>30618.000400000008</v>
      </c>
      <c r="AE435" s="356">
        <f t="shared" si="132"/>
        <v>-10.936250000000001</v>
      </c>
      <c r="AF435" s="238">
        <f t="shared" si="127"/>
        <v>8</v>
      </c>
      <c r="AG435" s="354"/>
      <c r="AK435"/>
      <c r="AL435"/>
      <c r="AM435"/>
      <c r="AN435"/>
      <c r="AO435"/>
      <c r="AP435"/>
      <c r="BI435" s="360"/>
      <c r="BJ435" s="354"/>
      <c r="BK435" s="366">
        <v>2016</v>
      </c>
      <c r="BL435" s="365" t="s">
        <v>1280</v>
      </c>
      <c r="BM435" s="366" t="s">
        <v>1633</v>
      </c>
      <c r="BN435" s="366" t="s">
        <v>3</v>
      </c>
      <c r="BO435" s="366">
        <v>0</v>
      </c>
      <c r="BP435" s="366">
        <v>0</v>
      </c>
      <c r="BQ435" s="366">
        <v>0</v>
      </c>
      <c r="BR435" s="366">
        <v>6</v>
      </c>
      <c r="BS435" s="366">
        <v>0</v>
      </c>
      <c r="BT435" s="366">
        <v>0</v>
      </c>
      <c r="BU435" s="366">
        <v>0</v>
      </c>
      <c r="BV435" s="366">
        <v>0</v>
      </c>
      <c r="BW435" s="366">
        <v>33</v>
      </c>
      <c r="BX435" s="366">
        <v>0</v>
      </c>
      <c r="BY435" s="366">
        <v>35</v>
      </c>
      <c r="BZ435" s="366">
        <v>0</v>
      </c>
      <c r="CA435" s="366">
        <v>0</v>
      </c>
      <c r="CB435" s="367">
        <f>IFERROR(BO435/Instructions!$J$25,0)+BP435*Instructions!$J$27+BQ435*Instructions!$J$29+IFERROR(BR435/Instructions!$E$34,0)+BS435*Instructions!$E$36+Tier!BT436*Instructions!$E$25+IFERROR(BU435/Instructions!$E$27,0)+BV435*Instructions!$E$29+IFERROR((BW435+BY435)/Instructions!$J$32,0)+(BX435+BZ435)*Instructions!$J$34+Tier!CA435*-2</f>
        <v>3.6</v>
      </c>
      <c r="CC435" s="354"/>
      <c r="CD435" s="238">
        <v>2016</v>
      </c>
      <c r="CE435" s="365" t="s">
        <v>1272</v>
      </c>
      <c r="CF435" s="366" t="s">
        <v>144</v>
      </c>
      <c r="CG435" s="366" t="s">
        <v>6</v>
      </c>
      <c r="CH435" s="366">
        <v>0</v>
      </c>
      <c r="CI435" s="366">
        <v>0</v>
      </c>
      <c r="CJ435" s="366">
        <v>0</v>
      </c>
      <c r="CK435" s="366">
        <v>0</v>
      </c>
      <c r="CL435" s="366">
        <v>0</v>
      </c>
      <c r="CM435" s="366">
        <v>11</v>
      </c>
      <c r="CN435" s="366">
        <v>145</v>
      </c>
      <c r="CO435" s="366">
        <v>2</v>
      </c>
      <c r="CP435" s="366">
        <v>0</v>
      </c>
      <c r="CQ435" s="366">
        <v>0</v>
      </c>
      <c r="CR435" s="366">
        <v>0</v>
      </c>
      <c r="CS435" s="366">
        <v>0</v>
      </c>
      <c r="CT435" s="366">
        <v>0</v>
      </c>
      <c r="CU435" s="367">
        <f>IFERROR(CH435/Instructions!$J$25,0)+CI435*Instructions!$J$27+CJ435*Instructions!$J$29+IFERROR(CK435/Instructions!$E$34,0)+CL435*Instructions!$E$36+Tier!CM435*Instructions!$E$25+IFERROR(CN435/Instructions!$E$27,0)+CO435*Instructions!$E$29+IFERROR((CP435+CR435)/Instructions!$J$32,0)+(CQ435+CS435)*Instructions!$J$34+Tier!CT435*-2</f>
        <v>37.5</v>
      </c>
      <c r="CV435" s="354"/>
      <c r="CW435"/>
      <c r="CX435"/>
      <c r="CY435"/>
      <c r="CZ435"/>
      <c r="DA435"/>
      <c r="DB435"/>
      <c r="DC435"/>
      <c r="DD435"/>
      <c r="DE435"/>
      <c r="DF435"/>
      <c r="DG435"/>
      <c r="DH435"/>
      <c r="DI435"/>
      <c r="DJ435"/>
      <c r="DK435"/>
      <c r="DL435"/>
      <c r="DM435"/>
      <c r="DN435"/>
    </row>
    <row r="436" spans="3:118" s="238" customFormat="1" ht="15.75" customHeight="1" x14ac:dyDescent="0.25">
      <c r="C436"/>
      <c r="D436"/>
      <c r="E436"/>
      <c r="F436"/>
      <c r="G436"/>
      <c r="H436"/>
      <c r="I436"/>
      <c r="J436"/>
      <c r="K436"/>
      <c r="L436"/>
      <c r="M436"/>
      <c r="N436"/>
      <c r="O436" s="366"/>
      <c r="P436" s="366">
        <v>2016</v>
      </c>
      <c r="Q436" s="367">
        <f>LARGE($CB$304:$CB$453,133)</f>
        <v>4.6000000000000005</v>
      </c>
      <c r="R436" s="357">
        <f t="shared" si="129"/>
        <v>-160</v>
      </c>
      <c r="S436" s="356">
        <f t="shared" si="128"/>
        <v>25600</v>
      </c>
      <c r="U436" s="356">
        <f t="shared" si="130"/>
        <v>-10</v>
      </c>
      <c r="V436" s="238">
        <f t="shared" si="126"/>
        <v>8</v>
      </c>
      <c r="W436" s="354"/>
      <c r="X436" s="366"/>
      <c r="Y436" s="366"/>
      <c r="Z436" s="238">
        <v>2016</v>
      </c>
      <c r="AA436" s="367">
        <f>LARGE($CU$304:$CU$453,133)</f>
        <v>36.1</v>
      </c>
      <c r="AB436" s="357">
        <f t="shared" si="131"/>
        <v>-175.60000000000002</v>
      </c>
      <c r="AC436" s="356">
        <f t="shared" si="125"/>
        <v>30835.360000000008</v>
      </c>
      <c r="AE436" s="356">
        <f t="shared" si="132"/>
        <v>-10.975000000000001</v>
      </c>
      <c r="AF436" s="238">
        <f t="shared" si="127"/>
        <v>8</v>
      </c>
      <c r="AG436" s="354"/>
      <c r="AK436"/>
      <c r="AL436"/>
      <c r="AM436"/>
      <c r="AN436"/>
      <c r="AO436"/>
      <c r="AP436"/>
      <c r="BI436" s="360"/>
      <c r="BJ436" s="354"/>
      <c r="BK436" s="366">
        <v>2016</v>
      </c>
      <c r="BL436" s="365" t="s">
        <v>1233</v>
      </c>
      <c r="BM436" s="366" t="s">
        <v>1628</v>
      </c>
      <c r="BN436" s="366" t="s">
        <v>3</v>
      </c>
      <c r="BO436" s="366">
        <v>0</v>
      </c>
      <c r="BP436" s="366">
        <v>0</v>
      </c>
      <c r="BQ436" s="366">
        <v>0</v>
      </c>
      <c r="BR436" s="366">
        <v>0</v>
      </c>
      <c r="BS436" s="366">
        <v>0</v>
      </c>
      <c r="BT436" s="366">
        <v>3</v>
      </c>
      <c r="BU436" s="366">
        <v>18</v>
      </c>
      <c r="BV436" s="366">
        <v>0</v>
      </c>
      <c r="BW436" s="366">
        <v>0</v>
      </c>
      <c r="BX436" s="366">
        <v>0</v>
      </c>
      <c r="BY436" s="366">
        <v>35</v>
      </c>
      <c r="BZ436" s="366">
        <v>0</v>
      </c>
      <c r="CA436" s="366">
        <v>0</v>
      </c>
      <c r="CB436" s="367">
        <f>IFERROR(BO436/Instructions!$J$25,0)+BP436*Instructions!$J$27+BQ436*Instructions!$J$29+IFERROR(BR436/Instructions!$E$34,0)+BS436*Instructions!$E$36+Tier!BT437*Instructions!$E$25+IFERROR(BU436/Instructions!$E$27,0)+BV436*Instructions!$E$29+IFERROR((BW436+BY436)/Instructions!$J$32,0)+(BX436+BZ436)*Instructions!$J$34+Tier!CA436*-2</f>
        <v>1.8</v>
      </c>
      <c r="CC436" s="354"/>
      <c r="CD436" s="238">
        <v>2016</v>
      </c>
      <c r="CE436" s="365" t="s">
        <v>1271</v>
      </c>
      <c r="CF436" s="366" t="s">
        <v>161</v>
      </c>
      <c r="CG436" s="366" t="s">
        <v>6</v>
      </c>
      <c r="CH436" s="366">
        <v>0</v>
      </c>
      <c r="CI436" s="366">
        <v>0</v>
      </c>
      <c r="CJ436" s="366">
        <v>0</v>
      </c>
      <c r="CK436" s="366">
        <v>0</v>
      </c>
      <c r="CL436" s="366">
        <v>0</v>
      </c>
      <c r="CM436" s="366">
        <v>18</v>
      </c>
      <c r="CN436" s="366">
        <v>205</v>
      </c>
      <c r="CO436" s="366">
        <v>0</v>
      </c>
      <c r="CP436" s="366">
        <v>0</v>
      </c>
      <c r="CQ436" s="366">
        <v>0</v>
      </c>
      <c r="CR436" s="366">
        <v>164</v>
      </c>
      <c r="CS436" s="366">
        <v>0</v>
      </c>
      <c r="CT436" s="366">
        <v>0</v>
      </c>
      <c r="CU436" s="367">
        <f>IFERROR(CH436/Instructions!$J$25,0)+CI436*Instructions!$J$27+CJ436*Instructions!$J$29+IFERROR(CK436/Instructions!$E$34,0)+CL436*Instructions!$E$36+Tier!CM436*Instructions!$E$25+IFERROR(CN436/Instructions!$E$27,0)+CO436*Instructions!$E$29+IFERROR((CP436+CR436)/Instructions!$J$32,0)+(CQ436+CS436)*Instructions!$J$34+Tier!CT436*-2</f>
        <v>38.5</v>
      </c>
      <c r="CV436" s="354"/>
      <c r="CW436"/>
      <c r="CX436"/>
      <c r="CY436"/>
      <c r="CZ436"/>
      <c r="DA436"/>
      <c r="DB436"/>
      <c r="DC436"/>
      <c r="DD436"/>
      <c r="DE436"/>
      <c r="DF436"/>
      <c r="DG436"/>
      <c r="DH436"/>
      <c r="DI436"/>
      <c r="DJ436"/>
      <c r="DK436"/>
      <c r="DL436"/>
      <c r="DM436"/>
      <c r="DN436"/>
    </row>
    <row r="437" spans="3:118" s="238" customFormat="1" ht="15.75" customHeight="1" x14ac:dyDescent="0.25">
      <c r="C437"/>
      <c r="D437"/>
      <c r="E437"/>
      <c r="F437"/>
      <c r="G437"/>
      <c r="H437"/>
      <c r="I437"/>
      <c r="J437"/>
      <c r="K437"/>
      <c r="L437"/>
      <c r="M437"/>
      <c r="N437"/>
      <c r="O437" s="366"/>
      <c r="P437" s="366">
        <v>2016</v>
      </c>
      <c r="Q437" s="367">
        <f>LARGE($CB$304:$CB$453,134)</f>
        <v>4.0999999999999996</v>
      </c>
      <c r="R437" s="357">
        <f t="shared" si="129"/>
        <v>-160.5</v>
      </c>
      <c r="S437" s="356">
        <f t="shared" si="128"/>
        <v>25760.25</v>
      </c>
      <c r="U437" s="356">
        <f t="shared" si="130"/>
        <v>-10.03125</v>
      </c>
      <c r="V437" s="238">
        <f t="shared" si="126"/>
        <v>8</v>
      </c>
      <c r="W437" s="354"/>
      <c r="X437" s="366"/>
      <c r="Y437" s="366"/>
      <c r="Z437" s="238">
        <v>2016</v>
      </c>
      <c r="AA437" s="367">
        <f>LARGE($CU$304:$CU$453,134)</f>
        <v>36</v>
      </c>
      <c r="AB437" s="357">
        <f t="shared" si="131"/>
        <v>-175.70000000000002</v>
      </c>
      <c r="AC437" s="356">
        <f t="shared" si="125"/>
        <v>30870.490000000005</v>
      </c>
      <c r="AE437" s="356">
        <f t="shared" si="132"/>
        <v>-10.981250000000001</v>
      </c>
      <c r="AF437" s="238">
        <f t="shared" si="127"/>
        <v>8</v>
      </c>
      <c r="AG437" s="354"/>
      <c r="AK437"/>
      <c r="AL437"/>
      <c r="AM437"/>
      <c r="AN437"/>
      <c r="AO437"/>
      <c r="AP437"/>
      <c r="BI437" s="360"/>
      <c r="BJ437" s="354"/>
      <c r="BK437" s="366">
        <v>2016</v>
      </c>
      <c r="BL437" s="365" t="s">
        <v>1402</v>
      </c>
      <c r="BM437" s="366" t="s">
        <v>1624</v>
      </c>
      <c r="BN437" s="366" t="s">
        <v>3</v>
      </c>
      <c r="BO437" s="366">
        <v>0</v>
      </c>
      <c r="BP437" s="366">
        <v>0</v>
      </c>
      <c r="BQ437" s="366">
        <v>0</v>
      </c>
      <c r="BR437" s="366">
        <v>32</v>
      </c>
      <c r="BS437" s="366">
        <v>0</v>
      </c>
      <c r="BT437" s="366">
        <v>0</v>
      </c>
      <c r="BU437" s="366">
        <v>0</v>
      </c>
      <c r="BV437" s="366">
        <v>0</v>
      </c>
      <c r="BW437" s="366">
        <v>0</v>
      </c>
      <c r="BX437" s="366">
        <v>0</v>
      </c>
      <c r="BY437" s="366">
        <v>0</v>
      </c>
      <c r="BZ437" s="366">
        <v>0</v>
      </c>
      <c r="CA437" s="366">
        <v>0</v>
      </c>
      <c r="CB437" s="367">
        <f>IFERROR(BO437/Instructions!$J$25,0)+BP437*Instructions!$J$27+BQ437*Instructions!$J$29+IFERROR(BR437/Instructions!$E$34,0)+BS437*Instructions!$E$36+Tier!BT438*Instructions!$E$25+IFERROR(BU437/Instructions!$E$27,0)+BV437*Instructions!$E$29+IFERROR((BW437+BY437)/Instructions!$J$32,0)+(BX437+BZ437)*Instructions!$J$34+Tier!CA437*-2</f>
        <v>3.2</v>
      </c>
      <c r="CC437" s="354"/>
      <c r="CD437" s="238">
        <v>2016</v>
      </c>
      <c r="CE437" s="365" t="s">
        <v>1321</v>
      </c>
      <c r="CF437" s="366" t="s">
        <v>153</v>
      </c>
      <c r="CG437" s="366" t="s">
        <v>6</v>
      </c>
      <c r="CH437" s="366">
        <v>0</v>
      </c>
      <c r="CI437" s="366">
        <v>0</v>
      </c>
      <c r="CJ437" s="366">
        <v>0</v>
      </c>
      <c r="CK437" s="366">
        <v>0</v>
      </c>
      <c r="CL437" s="366">
        <v>0</v>
      </c>
      <c r="CM437" s="366">
        <v>8</v>
      </c>
      <c r="CN437" s="366">
        <v>82</v>
      </c>
      <c r="CO437" s="366">
        <v>1</v>
      </c>
      <c r="CP437" s="366">
        <v>30</v>
      </c>
      <c r="CQ437" s="366">
        <v>0</v>
      </c>
      <c r="CR437" s="366">
        <v>266</v>
      </c>
      <c r="CS437" s="366">
        <v>0</v>
      </c>
      <c r="CT437" s="366">
        <v>1</v>
      </c>
      <c r="CU437" s="367">
        <f>IFERROR(CH437/Instructions!$J$25,0)+CI437*Instructions!$J$27+CJ437*Instructions!$J$29+IFERROR(CK437/Instructions!$E$34,0)+CL437*Instructions!$E$36+Tier!CM437*Instructions!$E$25+IFERROR(CN437/Instructions!$E$27,0)+CO437*Instructions!$E$29+IFERROR((CP437+CR437)/Instructions!$J$32,0)+(CQ437+CS437)*Instructions!$J$34+Tier!CT437*-2</f>
        <v>20.2</v>
      </c>
      <c r="CV437" s="354"/>
      <c r="CW437"/>
      <c r="CX437"/>
      <c r="CY437"/>
      <c r="CZ437"/>
      <c r="DA437"/>
      <c r="DB437"/>
      <c r="DC437"/>
      <c r="DD437"/>
      <c r="DE437"/>
      <c r="DF437"/>
      <c r="DG437"/>
      <c r="DH437"/>
      <c r="DI437"/>
      <c r="DJ437"/>
      <c r="DK437"/>
      <c r="DL437"/>
      <c r="DM437"/>
      <c r="DN437"/>
    </row>
    <row r="438" spans="3:118" s="238" customFormat="1" ht="15.75" customHeight="1" x14ac:dyDescent="0.25">
      <c r="C438"/>
      <c r="D438"/>
      <c r="E438"/>
      <c r="F438"/>
      <c r="G438"/>
      <c r="H438"/>
      <c r="I438"/>
      <c r="J438"/>
      <c r="K438"/>
      <c r="L438"/>
      <c r="M438"/>
      <c r="N438"/>
      <c r="O438" s="366"/>
      <c r="P438" s="366">
        <v>2016</v>
      </c>
      <c r="Q438" s="367">
        <f>LARGE($CB$304:$CB$453,135)</f>
        <v>3.6</v>
      </c>
      <c r="R438" s="357">
        <f t="shared" si="129"/>
        <v>-161</v>
      </c>
      <c r="S438" s="356">
        <f t="shared" si="128"/>
        <v>25921</v>
      </c>
      <c r="U438" s="356">
        <f t="shared" si="130"/>
        <v>-10.0625</v>
      </c>
      <c r="V438" s="238">
        <f t="shared" si="126"/>
        <v>8</v>
      </c>
      <c r="W438" s="354"/>
      <c r="X438" s="366"/>
      <c r="Y438" s="366"/>
      <c r="Z438" s="238">
        <v>2016</v>
      </c>
      <c r="AA438" s="367">
        <f>LARGE($CU$304:$CU$453,135)</f>
        <v>35.700000000000003</v>
      </c>
      <c r="AB438" s="357">
        <f t="shared" si="131"/>
        <v>-176</v>
      </c>
      <c r="AC438" s="356">
        <f t="shared" si="125"/>
        <v>30976</v>
      </c>
      <c r="AE438" s="356">
        <f t="shared" si="132"/>
        <v>-11</v>
      </c>
      <c r="AF438" s="238">
        <f t="shared" si="127"/>
        <v>8</v>
      </c>
      <c r="AG438" s="354"/>
      <c r="AK438"/>
      <c r="AL438"/>
      <c r="AM438"/>
      <c r="AN438"/>
      <c r="AO438"/>
      <c r="AP438"/>
      <c r="BI438" s="360"/>
      <c r="BJ438" s="354"/>
      <c r="BK438" s="366">
        <v>2016</v>
      </c>
      <c r="BL438" s="365" t="s">
        <v>1153</v>
      </c>
      <c r="BM438" s="366" t="s">
        <v>163</v>
      </c>
      <c r="BN438" s="366" t="s">
        <v>3</v>
      </c>
      <c r="BO438" s="366">
        <v>0</v>
      </c>
      <c r="BP438" s="366">
        <v>0</v>
      </c>
      <c r="BQ438" s="366">
        <v>0</v>
      </c>
      <c r="BR438" s="366">
        <v>15</v>
      </c>
      <c r="BS438" s="366">
        <v>0</v>
      </c>
      <c r="BT438" s="366">
        <v>0</v>
      </c>
      <c r="BU438" s="366">
        <v>0</v>
      </c>
      <c r="BV438" s="366">
        <v>0</v>
      </c>
      <c r="BW438" s="366">
        <v>0</v>
      </c>
      <c r="BX438" s="366">
        <v>0</v>
      </c>
      <c r="BY438" s="366">
        <v>37</v>
      </c>
      <c r="BZ438" s="366">
        <v>0</v>
      </c>
      <c r="CA438" s="366">
        <v>0</v>
      </c>
      <c r="CB438" s="367">
        <f>IFERROR(BO438/Instructions!$J$25,0)+BP438*Instructions!$J$27+BQ438*Instructions!$J$29+IFERROR(BR438/Instructions!$E$34,0)+BS438*Instructions!$E$36+Tier!BT439*Instructions!$E$25+IFERROR(BU438/Instructions!$E$27,0)+BV438*Instructions!$E$29+IFERROR((BW438+BY438)/Instructions!$J$32,0)+(BX438+BZ438)*Instructions!$J$34+Tier!CA438*-2</f>
        <v>2.5</v>
      </c>
      <c r="CC438" s="354"/>
      <c r="CD438" s="238">
        <v>2016</v>
      </c>
      <c r="CE438" s="365" t="s">
        <v>233</v>
      </c>
      <c r="CF438" s="366" t="s">
        <v>140</v>
      </c>
      <c r="CG438" s="366" t="s">
        <v>6</v>
      </c>
      <c r="CH438" s="366">
        <v>0</v>
      </c>
      <c r="CI438" s="366">
        <v>0</v>
      </c>
      <c r="CJ438" s="366">
        <v>0</v>
      </c>
      <c r="CK438" s="366">
        <v>0</v>
      </c>
      <c r="CL438" s="366">
        <v>0</v>
      </c>
      <c r="CM438" s="366">
        <v>15</v>
      </c>
      <c r="CN438" s="366">
        <v>129</v>
      </c>
      <c r="CO438" s="366">
        <v>2</v>
      </c>
      <c r="CP438" s="366">
        <v>0</v>
      </c>
      <c r="CQ438" s="366">
        <v>0</v>
      </c>
      <c r="CR438" s="366">
        <v>0</v>
      </c>
      <c r="CS438" s="366">
        <v>0</v>
      </c>
      <c r="CT438" s="366">
        <v>0</v>
      </c>
      <c r="CU438" s="367">
        <f>IFERROR(CH438/Instructions!$J$25,0)+CI438*Instructions!$J$27+CJ438*Instructions!$J$29+IFERROR(CK438/Instructions!$E$34,0)+CL438*Instructions!$E$36+Tier!CM438*Instructions!$E$25+IFERROR(CN438/Instructions!$E$27,0)+CO438*Instructions!$E$29+IFERROR((CP438+CR438)/Instructions!$J$32,0)+(CQ438+CS438)*Instructions!$J$34+Tier!CT438*-2</f>
        <v>39.9</v>
      </c>
      <c r="CV438" s="354"/>
      <c r="CW438"/>
      <c r="CX438"/>
      <c r="CY438"/>
      <c r="CZ438"/>
      <c r="DA438"/>
      <c r="DB438"/>
      <c r="DC438"/>
      <c r="DD438"/>
      <c r="DE438"/>
      <c r="DF438"/>
      <c r="DG438"/>
      <c r="DH438"/>
      <c r="DI438"/>
      <c r="DJ438"/>
      <c r="DK438"/>
      <c r="DL438"/>
      <c r="DM438"/>
      <c r="DN438"/>
    </row>
    <row r="439" spans="3:118" s="238" customFormat="1" ht="15.75" customHeight="1" x14ac:dyDescent="0.25">
      <c r="C439"/>
      <c r="D439"/>
      <c r="E439"/>
      <c r="F439"/>
      <c r="G439"/>
      <c r="H439"/>
      <c r="I439"/>
      <c r="J439"/>
      <c r="K439"/>
      <c r="L439"/>
      <c r="M439"/>
      <c r="N439"/>
      <c r="O439" s="366"/>
      <c r="P439" s="366">
        <v>2016</v>
      </c>
      <c r="Q439" s="367">
        <f>LARGE($CB$304:$CB$453,136)</f>
        <v>3.5</v>
      </c>
      <c r="R439" s="357">
        <f t="shared" si="129"/>
        <v>-161.1</v>
      </c>
      <c r="S439" s="356">
        <f t="shared" si="128"/>
        <v>25953.21</v>
      </c>
      <c r="U439" s="356">
        <f t="shared" si="130"/>
        <v>-10.06875</v>
      </c>
      <c r="V439" s="238">
        <f t="shared" si="126"/>
        <v>8</v>
      </c>
      <c r="W439" s="354"/>
      <c r="X439" s="366"/>
      <c r="Y439" s="366"/>
      <c r="Z439" s="238">
        <v>2016</v>
      </c>
      <c r="AA439" s="367">
        <f>LARGE($CU$304:$CU$453,136)</f>
        <v>34.4</v>
      </c>
      <c r="AB439" s="357">
        <f t="shared" si="131"/>
        <v>-177.3</v>
      </c>
      <c r="AC439" s="356">
        <f t="shared" si="125"/>
        <v>31435.290000000005</v>
      </c>
      <c r="AE439" s="356">
        <f t="shared" si="132"/>
        <v>-11.081250000000001</v>
      </c>
      <c r="AF439" s="238">
        <f t="shared" si="127"/>
        <v>8</v>
      </c>
      <c r="AG439" s="354"/>
      <c r="AK439"/>
      <c r="AL439"/>
      <c r="AM439"/>
      <c r="AN439"/>
      <c r="AO439"/>
      <c r="AP439"/>
      <c r="BI439" s="360"/>
      <c r="BJ439" s="354"/>
      <c r="BK439" s="366">
        <v>2016</v>
      </c>
      <c r="BL439" s="365" t="s">
        <v>1636</v>
      </c>
      <c r="BM439" s="366" t="s">
        <v>166</v>
      </c>
      <c r="BN439" s="366" t="s">
        <v>3</v>
      </c>
      <c r="BO439" s="366">
        <v>0</v>
      </c>
      <c r="BP439" s="366">
        <v>0</v>
      </c>
      <c r="BQ439" s="366">
        <v>0</v>
      </c>
      <c r="BR439" s="366">
        <v>22</v>
      </c>
      <c r="BS439" s="366">
        <v>0</v>
      </c>
      <c r="BT439" s="366">
        <v>1</v>
      </c>
      <c r="BU439" s="366">
        <v>6</v>
      </c>
      <c r="BV439" s="366">
        <v>0</v>
      </c>
      <c r="BW439" s="366">
        <v>0</v>
      </c>
      <c r="BX439" s="366">
        <v>0</v>
      </c>
      <c r="BY439" s="366">
        <v>0</v>
      </c>
      <c r="BZ439" s="366">
        <v>0</v>
      </c>
      <c r="CA439" s="366">
        <v>0</v>
      </c>
      <c r="CB439" s="367">
        <f>IFERROR(BO439/Instructions!$J$25,0)+BP439*Instructions!$J$27+BQ439*Instructions!$J$29+IFERROR(BR439/Instructions!$E$34,0)+BS439*Instructions!$E$36+Tier!BT440*Instructions!$E$25+IFERROR(BU439/Instructions!$E$27,0)+BV439*Instructions!$E$29+IFERROR((BW439+BY439)/Instructions!$J$32,0)+(BX439+BZ439)*Instructions!$J$34+Tier!CA439*-2</f>
        <v>6.8</v>
      </c>
      <c r="CC439" s="354"/>
      <c r="CD439" s="238">
        <v>2016</v>
      </c>
      <c r="CE439" s="365" t="s">
        <v>1083</v>
      </c>
      <c r="CF439" s="366" t="s">
        <v>153</v>
      </c>
      <c r="CG439" s="366" t="s">
        <v>6</v>
      </c>
      <c r="CH439" s="366">
        <v>0</v>
      </c>
      <c r="CI439" s="366">
        <v>0</v>
      </c>
      <c r="CJ439" s="366">
        <v>0</v>
      </c>
      <c r="CK439" s="366">
        <v>0</v>
      </c>
      <c r="CL439" s="366">
        <v>0</v>
      </c>
      <c r="CM439" s="366">
        <v>11</v>
      </c>
      <c r="CN439" s="366">
        <v>187</v>
      </c>
      <c r="CO439" s="366">
        <v>1</v>
      </c>
      <c r="CP439" s="366">
        <v>0</v>
      </c>
      <c r="CQ439" s="366">
        <v>0</v>
      </c>
      <c r="CR439" s="366">
        <v>0</v>
      </c>
      <c r="CS439" s="366">
        <v>0</v>
      </c>
      <c r="CT439" s="366">
        <v>0</v>
      </c>
      <c r="CU439" s="367">
        <f>IFERROR(CH439/Instructions!$J$25,0)+CI439*Instructions!$J$27+CJ439*Instructions!$J$29+IFERROR(CK439/Instructions!$E$34,0)+CL439*Instructions!$E$36+Tier!CM439*Instructions!$E$25+IFERROR(CN439/Instructions!$E$27,0)+CO439*Instructions!$E$29+IFERROR((CP439+CR439)/Instructions!$J$32,0)+(CQ439+CS439)*Instructions!$J$34+Tier!CT439*-2</f>
        <v>35.700000000000003</v>
      </c>
      <c r="CV439" s="354"/>
      <c r="CW439"/>
      <c r="CX439"/>
      <c r="CY439"/>
      <c r="CZ439"/>
      <c r="DA439"/>
      <c r="DB439"/>
      <c r="DC439"/>
      <c r="DD439"/>
      <c r="DE439"/>
      <c r="DF439"/>
      <c r="DG439"/>
      <c r="DH439"/>
      <c r="DI439"/>
      <c r="DJ439"/>
      <c r="DK439"/>
      <c r="DL439"/>
      <c r="DM439"/>
      <c r="DN439"/>
    </row>
    <row r="440" spans="3:118" s="238" customFormat="1" ht="15.75" customHeight="1" x14ac:dyDescent="0.25">
      <c r="C440"/>
      <c r="D440"/>
      <c r="E440"/>
      <c r="F440"/>
      <c r="G440"/>
      <c r="H440"/>
      <c r="I440"/>
      <c r="J440"/>
      <c r="K440"/>
      <c r="L440"/>
      <c r="M440"/>
      <c r="N440"/>
      <c r="O440" s="366"/>
      <c r="P440" s="366">
        <v>2016</v>
      </c>
      <c r="Q440" s="367">
        <f>LARGE($CB$304:$CB$453,137)</f>
        <v>3.2</v>
      </c>
      <c r="R440" s="357">
        <f t="shared" si="129"/>
        <v>-161.4</v>
      </c>
      <c r="S440" s="356">
        <f t="shared" si="128"/>
        <v>26049.960000000003</v>
      </c>
      <c r="U440" s="356">
        <f t="shared" si="130"/>
        <v>-10.0875</v>
      </c>
      <c r="V440" s="238">
        <f t="shared" si="126"/>
        <v>8</v>
      </c>
      <c r="W440" s="354"/>
      <c r="X440" s="366"/>
      <c r="Y440" s="366"/>
      <c r="Z440" s="238">
        <v>2016</v>
      </c>
      <c r="AA440" s="367">
        <f>LARGE($CU$304:$CU$453,137)</f>
        <v>31</v>
      </c>
      <c r="AB440" s="357">
        <f t="shared" si="131"/>
        <v>-180.70000000000002</v>
      </c>
      <c r="AC440" s="356">
        <f t="shared" si="125"/>
        <v>32652.490000000005</v>
      </c>
      <c r="AE440" s="356">
        <f t="shared" si="132"/>
        <v>-11.293750000000001</v>
      </c>
      <c r="AF440" s="238">
        <f t="shared" si="127"/>
        <v>8</v>
      </c>
      <c r="AG440" s="354"/>
      <c r="AK440"/>
      <c r="AL440"/>
      <c r="AM440"/>
      <c r="AN440"/>
      <c r="AO440"/>
      <c r="AP440"/>
      <c r="BI440" s="360"/>
      <c r="BJ440" s="354"/>
      <c r="BK440" s="366">
        <v>2016</v>
      </c>
      <c r="BL440" s="365" t="s">
        <v>1392</v>
      </c>
      <c r="BM440" s="366" t="s">
        <v>161</v>
      </c>
      <c r="BN440" s="366" t="s">
        <v>3</v>
      </c>
      <c r="BO440" s="366">
        <v>0</v>
      </c>
      <c r="BP440" s="366">
        <v>0</v>
      </c>
      <c r="BQ440" s="366">
        <v>0</v>
      </c>
      <c r="BR440" s="366">
        <v>0</v>
      </c>
      <c r="BS440" s="366">
        <v>0</v>
      </c>
      <c r="BT440" s="366">
        <v>4</v>
      </c>
      <c r="BU440" s="366">
        <v>27</v>
      </c>
      <c r="BV440" s="366">
        <v>0</v>
      </c>
      <c r="BW440" s="366">
        <v>0</v>
      </c>
      <c r="BX440" s="366">
        <v>0</v>
      </c>
      <c r="BY440" s="366">
        <v>0</v>
      </c>
      <c r="BZ440" s="366">
        <v>0</v>
      </c>
      <c r="CA440" s="366">
        <v>0</v>
      </c>
      <c r="CB440" s="367">
        <f>IFERROR(BO440/Instructions!$J$25,0)+BP440*Instructions!$J$27+BQ440*Instructions!$J$29+IFERROR(BR440/Instructions!$E$34,0)+BS440*Instructions!$E$36+Tier!BT441*Instructions!$E$25+IFERROR(BU440/Instructions!$E$27,0)+BV440*Instructions!$E$29+IFERROR((BW440+BY440)/Instructions!$J$32,0)+(BX440+BZ440)*Instructions!$J$34+Tier!CA440*-2</f>
        <v>4.7</v>
      </c>
      <c r="CC440" s="354"/>
      <c r="CD440" s="238">
        <v>2016</v>
      </c>
      <c r="CE440" s="365" t="s">
        <v>217</v>
      </c>
      <c r="CF440" s="366" t="s">
        <v>138</v>
      </c>
      <c r="CG440" s="366" t="s">
        <v>6</v>
      </c>
      <c r="CH440" s="366">
        <v>0</v>
      </c>
      <c r="CI440" s="366">
        <v>0</v>
      </c>
      <c r="CJ440" s="366">
        <v>0</v>
      </c>
      <c r="CK440" s="366">
        <v>0</v>
      </c>
      <c r="CL440" s="366">
        <v>0</v>
      </c>
      <c r="CM440" s="366">
        <v>20</v>
      </c>
      <c r="CN440" s="366">
        <v>232</v>
      </c>
      <c r="CO440" s="366">
        <v>0</v>
      </c>
      <c r="CP440" s="366">
        <v>0</v>
      </c>
      <c r="CQ440" s="366">
        <v>0</v>
      </c>
      <c r="CR440" s="366">
        <v>16</v>
      </c>
      <c r="CS440" s="366">
        <v>0</v>
      </c>
      <c r="CT440" s="366">
        <v>0</v>
      </c>
      <c r="CU440" s="367">
        <f>IFERROR(CH440/Instructions!$J$25,0)+CI440*Instructions!$J$27+CJ440*Instructions!$J$29+IFERROR(CK440/Instructions!$E$34,0)+CL440*Instructions!$E$36+Tier!CM440*Instructions!$E$25+IFERROR(CN440/Instructions!$E$27,0)+CO440*Instructions!$E$29+IFERROR((CP440+CR440)/Instructions!$J$32,0)+(CQ440+CS440)*Instructions!$J$34+Tier!CT440*-2</f>
        <v>43.2</v>
      </c>
      <c r="CV440" s="354"/>
      <c r="CW440"/>
      <c r="CX440"/>
      <c r="CY440"/>
      <c r="CZ440"/>
      <c r="DA440"/>
      <c r="DB440"/>
      <c r="DC440"/>
      <c r="DD440"/>
      <c r="DE440"/>
      <c r="DF440"/>
      <c r="DG440"/>
      <c r="DH440"/>
      <c r="DI440"/>
      <c r="DJ440"/>
      <c r="DK440"/>
      <c r="DL440"/>
      <c r="DM440"/>
      <c r="DN440"/>
    </row>
    <row r="441" spans="3:118" s="238" customFormat="1" ht="15.75" customHeight="1" x14ac:dyDescent="0.25">
      <c r="C441"/>
      <c r="D441"/>
      <c r="E441"/>
      <c r="F441"/>
      <c r="G441"/>
      <c r="H441"/>
      <c r="I441"/>
      <c r="J441"/>
      <c r="K441"/>
      <c r="L441"/>
      <c r="M441"/>
      <c r="N441"/>
      <c r="O441" s="366"/>
      <c r="P441" s="366">
        <v>2016</v>
      </c>
      <c r="Q441" s="367">
        <f>LARGE($CB$304:$CB$453,138)</f>
        <v>3.2</v>
      </c>
      <c r="R441" s="357">
        <f t="shared" si="129"/>
        <v>-161.4</v>
      </c>
      <c r="S441" s="356">
        <f t="shared" si="128"/>
        <v>26049.960000000003</v>
      </c>
      <c r="U441" s="356">
        <f t="shared" si="130"/>
        <v>-10.0875</v>
      </c>
      <c r="V441" s="238">
        <f t="shared" si="126"/>
        <v>8</v>
      </c>
      <c r="W441" s="354"/>
      <c r="X441" s="366"/>
      <c r="Y441" s="366"/>
      <c r="Z441" s="238">
        <v>2016</v>
      </c>
      <c r="AA441" s="367">
        <f>LARGE($CU$304:$CU$453,138)</f>
        <v>29.5</v>
      </c>
      <c r="AB441" s="357">
        <f t="shared" si="131"/>
        <v>-182.20000000000002</v>
      </c>
      <c r="AC441" s="356">
        <f t="shared" si="125"/>
        <v>33196.840000000004</v>
      </c>
      <c r="AE441" s="356">
        <f t="shared" si="132"/>
        <v>-11.387500000000001</v>
      </c>
      <c r="AF441" s="238">
        <f t="shared" si="127"/>
        <v>8</v>
      </c>
      <c r="AG441" s="354"/>
      <c r="AK441"/>
      <c r="AL441"/>
      <c r="AM441"/>
      <c r="AN441"/>
      <c r="AO441"/>
      <c r="AP441"/>
      <c r="BI441" s="360"/>
      <c r="BJ441" s="354"/>
      <c r="BK441" s="366">
        <v>2016</v>
      </c>
      <c r="BL441" s="365" t="s">
        <v>1608</v>
      </c>
      <c r="BM441" s="366" t="s">
        <v>140</v>
      </c>
      <c r="BN441" s="366" t="s">
        <v>3</v>
      </c>
      <c r="BO441" s="366">
        <v>0</v>
      </c>
      <c r="BP441" s="366">
        <v>0</v>
      </c>
      <c r="BQ441" s="366">
        <v>0</v>
      </c>
      <c r="BR441" s="366">
        <v>2</v>
      </c>
      <c r="BS441" s="366">
        <v>0</v>
      </c>
      <c r="BT441" s="366">
        <v>2</v>
      </c>
      <c r="BU441" s="366">
        <v>16</v>
      </c>
      <c r="BV441" s="366">
        <v>0</v>
      </c>
      <c r="BW441" s="366">
        <v>0</v>
      </c>
      <c r="BX441" s="366">
        <v>0</v>
      </c>
      <c r="BY441" s="366">
        <v>22</v>
      </c>
      <c r="BZ441" s="366">
        <v>0</v>
      </c>
      <c r="CA441" s="366">
        <v>0</v>
      </c>
      <c r="CB441" s="367">
        <f>IFERROR(BO441/Instructions!$J$25,0)+BP441*Instructions!$J$27+BQ441*Instructions!$J$29+IFERROR(BR441/Instructions!$E$34,0)+BS441*Instructions!$E$36+Tier!BT442*Instructions!$E$25+IFERROR(BU441/Instructions!$E$27,0)+BV441*Instructions!$E$29+IFERROR((BW441+BY441)/Instructions!$J$32,0)+(BX441+BZ441)*Instructions!$J$34+Tier!CA441*-2</f>
        <v>4.8000000000000007</v>
      </c>
      <c r="CC441" s="354"/>
      <c r="CD441" s="238">
        <v>2016</v>
      </c>
      <c r="CE441" s="365" t="s">
        <v>1200</v>
      </c>
      <c r="CF441" s="366" t="s">
        <v>1389</v>
      </c>
      <c r="CG441" s="366" t="s">
        <v>6</v>
      </c>
      <c r="CH441" s="366">
        <v>0</v>
      </c>
      <c r="CI441" s="366">
        <v>0</v>
      </c>
      <c r="CJ441" s="366">
        <v>1</v>
      </c>
      <c r="CK441" s="366">
        <v>0</v>
      </c>
      <c r="CL441" s="366">
        <v>0</v>
      </c>
      <c r="CM441" s="366">
        <v>14</v>
      </c>
      <c r="CN441" s="366">
        <v>106</v>
      </c>
      <c r="CO441" s="366">
        <v>0</v>
      </c>
      <c r="CP441" s="366">
        <v>5</v>
      </c>
      <c r="CQ441" s="366">
        <v>0</v>
      </c>
      <c r="CR441" s="366">
        <v>323</v>
      </c>
      <c r="CS441" s="366">
        <v>0</v>
      </c>
      <c r="CT441" s="366">
        <v>0</v>
      </c>
      <c r="CU441" s="367">
        <f>IFERROR(CH441/Instructions!$J$25,0)+CI441*Instructions!$J$27+CJ441*Instructions!$J$29+IFERROR(CK441/Instructions!$E$34,0)+CL441*Instructions!$E$36+Tier!CM441*Instructions!$E$25+IFERROR(CN441/Instructions!$E$27,0)+CO441*Instructions!$E$29+IFERROR((CP441+CR441)/Instructions!$J$32,0)+(CQ441+CS441)*Instructions!$J$34+Tier!CT441*-2</f>
        <v>22.6</v>
      </c>
      <c r="CV441" s="354"/>
      <c r="CW441"/>
      <c r="CX441"/>
      <c r="CY441"/>
      <c r="CZ441"/>
      <c r="DA441"/>
      <c r="DB441"/>
      <c r="DC441"/>
      <c r="DD441"/>
      <c r="DE441"/>
      <c r="DF441"/>
      <c r="DG441"/>
      <c r="DH441"/>
      <c r="DI441"/>
      <c r="DJ441"/>
      <c r="DK441"/>
      <c r="DL441"/>
      <c r="DM441"/>
      <c r="DN441"/>
    </row>
    <row r="442" spans="3:118" s="238" customFormat="1" ht="15.75" customHeight="1" x14ac:dyDescent="0.25">
      <c r="C442"/>
      <c r="D442"/>
      <c r="E442"/>
      <c r="F442"/>
      <c r="G442"/>
      <c r="H442"/>
      <c r="I442"/>
      <c r="J442"/>
      <c r="K442"/>
      <c r="L442"/>
      <c r="M442"/>
      <c r="N442"/>
      <c r="O442" s="366"/>
      <c r="P442" s="366">
        <v>2016</v>
      </c>
      <c r="Q442" s="367">
        <f>LARGE($CB$304:$CB$453,139)</f>
        <v>2.9</v>
      </c>
      <c r="R442" s="357">
        <f t="shared" si="129"/>
        <v>-161.69999999999999</v>
      </c>
      <c r="S442" s="356">
        <f t="shared" si="128"/>
        <v>26146.889999999996</v>
      </c>
      <c r="U442" s="356">
        <f t="shared" si="130"/>
        <v>-10.106249999999999</v>
      </c>
      <c r="V442" s="238">
        <f t="shared" si="126"/>
        <v>8</v>
      </c>
      <c r="W442" s="354"/>
      <c r="X442" s="366"/>
      <c r="Y442" s="366"/>
      <c r="Z442" s="238">
        <v>2016</v>
      </c>
      <c r="AA442" s="367">
        <f>LARGE($CU$304:$CU$453,139)</f>
        <v>28.7</v>
      </c>
      <c r="AB442" s="357">
        <f t="shared" si="131"/>
        <v>-183.00000000000003</v>
      </c>
      <c r="AC442" s="356">
        <f t="shared" si="125"/>
        <v>33489.000000000007</v>
      </c>
      <c r="AE442" s="356">
        <f t="shared" si="132"/>
        <v>-11.437500000000002</v>
      </c>
      <c r="AF442" s="238">
        <f t="shared" si="127"/>
        <v>8</v>
      </c>
      <c r="AG442" s="354"/>
      <c r="AK442"/>
      <c r="AL442"/>
      <c r="AM442"/>
      <c r="AN442"/>
      <c r="AO442"/>
      <c r="AP442"/>
      <c r="BI442" s="360"/>
      <c r="BJ442" s="354"/>
      <c r="BK442" s="366">
        <v>2016</v>
      </c>
      <c r="BL442" s="365" t="s">
        <v>1390</v>
      </c>
      <c r="BM442" s="366" t="s">
        <v>146</v>
      </c>
      <c r="BN442" s="366" t="s">
        <v>3</v>
      </c>
      <c r="BO442" s="366">
        <v>0</v>
      </c>
      <c r="BP442" s="366">
        <v>0</v>
      </c>
      <c r="BQ442" s="366">
        <v>0</v>
      </c>
      <c r="BR442" s="366">
        <v>5</v>
      </c>
      <c r="BS442" s="366">
        <v>0</v>
      </c>
      <c r="BT442" s="366">
        <v>3</v>
      </c>
      <c r="BU442" s="366">
        <v>20</v>
      </c>
      <c r="BV442" s="366">
        <v>0</v>
      </c>
      <c r="BW442" s="366">
        <v>0</v>
      </c>
      <c r="BX442" s="366">
        <v>0</v>
      </c>
      <c r="BY442" s="366">
        <v>0</v>
      </c>
      <c r="BZ442" s="366">
        <v>0</v>
      </c>
      <c r="CA442" s="366">
        <v>0</v>
      </c>
      <c r="CB442" s="367">
        <f>IFERROR(BO442/Instructions!$J$25,0)+BP442*Instructions!$J$27+BQ442*Instructions!$J$29+IFERROR(BR442/Instructions!$E$34,0)+BS442*Instructions!$E$36+Tier!BT443*Instructions!$E$25+IFERROR(BU442/Instructions!$E$27,0)+BV442*Instructions!$E$29+IFERROR((BW442+BY442)/Instructions!$J$32,0)+(BX442+BZ442)*Instructions!$J$34+Tier!CA442*-2</f>
        <v>2.5</v>
      </c>
      <c r="CC442" s="354"/>
      <c r="CD442" s="238">
        <v>2016</v>
      </c>
      <c r="CE442" s="365" t="s">
        <v>198</v>
      </c>
      <c r="CF442" s="366" t="s">
        <v>141</v>
      </c>
      <c r="CG442" s="366" t="s">
        <v>6</v>
      </c>
      <c r="CH442" s="366">
        <v>0</v>
      </c>
      <c r="CI442" s="366">
        <v>0</v>
      </c>
      <c r="CJ442" s="366">
        <v>0</v>
      </c>
      <c r="CK442" s="366">
        <v>0</v>
      </c>
      <c r="CL442" s="366">
        <v>0</v>
      </c>
      <c r="CM442" s="366">
        <v>9</v>
      </c>
      <c r="CN442" s="366">
        <v>160</v>
      </c>
      <c r="CO442" s="366">
        <v>1</v>
      </c>
      <c r="CP442" s="366">
        <v>0</v>
      </c>
      <c r="CQ442" s="366">
        <v>0</v>
      </c>
      <c r="CR442" s="366">
        <v>0</v>
      </c>
      <c r="CS442" s="366">
        <v>0</v>
      </c>
      <c r="CT442" s="366">
        <v>0</v>
      </c>
      <c r="CU442" s="367">
        <f>IFERROR(CH442/Instructions!$J$25,0)+CI442*Instructions!$J$27+CJ442*Instructions!$J$29+IFERROR(CK442/Instructions!$E$34,0)+CL442*Instructions!$E$36+Tier!CM442*Instructions!$E$25+IFERROR(CN442/Instructions!$E$27,0)+CO442*Instructions!$E$29+IFERROR((CP442+CR442)/Instructions!$J$32,0)+(CQ442+CS442)*Instructions!$J$34+Tier!CT442*-2</f>
        <v>31</v>
      </c>
      <c r="CV442" s="354"/>
      <c r="CW442"/>
      <c r="CX442"/>
      <c r="CY442"/>
      <c r="CZ442"/>
      <c r="DA442"/>
      <c r="DB442"/>
      <c r="DC442"/>
      <c r="DD442"/>
      <c r="DE442"/>
      <c r="DF442"/>
      <c r="DG442"/>
      <c r="DH442"/>
      <c r="DI442"/>
      <c r="DJ442"/>
      <c r="DK442"/>
      <c r="DL442"/>
      <c r="DM442"/>
      <c r="DN442"/>
    </row>
    <row r="443" spans="3:118" s="238" customFormat="1" ht="15.75" customHeight="1" x14ac:dyDescent="0.25">
      <c r="C443"/>
      <c r="D443"/>
      <c r="E443"/>
      <c r="F443"/>
      <c r="G443"/>
      <c r="H443"/>
      <c r="I443"/>
      <c r="J443"/>
      <c r="K443"/>
      <c r="L443"/>
      <c r="M443"/>
      <c r="N443"/>
      <c r="O443" s="366"/>
      <c r="P443" s="366">
        <v>2016</v>
      </c>
      <c r="Q443" s="367">
        <f>LARGE($CB$304:$CB$453,140)</f>
        <v>2.6</v>
      </c>
      <c r="R443" s="357">
        <f t="shared" si="129"/>
        <v>-162</v>
      </c>
      <c r="S443" s="356">
        <f t="shared" si="128"/>
        <v>26244</v>
      </c>
      <c r="U443" s="356">
        <f t="shared" si="130"/>
        <v>-10.125</v>
      </c>
      <c r="V443" s="238">
        <f t="shared" si="126"/>
        <v>8</v>
      </c>
      <c r="W443" s="354"/>
      <c r="X443" s="366"/>
      <c r="Y443" s="366"/>
      <c r="Z443" s="238">
        <v>2016</v>
      </c>
      <c r="AA443" s="367">
        <f>LARGE($CU$304:$CU$453,140)</f>
        <v>28.2</v>
      </c>
      <c r="AB443" s="357">
        <f t="shared" si="131"/>
        <v>-183.50000000000003</v>
      </c>
      <c r="AC443" s="356">
        <f t="shared" si="125"/>
        <v>33672.250000000007</v>
      </c>
      <c r="AE443" s="356">
        <f t="shared" si="132"/>
        <v>-11.468750000000002</v>
      </c>
      <c r="AF443" s="238">
        <f t="shared" si="127"/>
        <v>8</v>
      </c>
      <c r="AG443" s="354"/>
      <c r="AK443"/>
      <c r="AL443"/>
      <c r="AM443"/>
      <c r="AN443"/>
      <c r="AO443"/>
      <c r="AP443"/>
      <c r="BI443" s="360"/>
      <c r="BJ443" s="354"/>
      <c r="BK443" s="366">
        <v>2016</v>
      </c>
      <c r="BL443" s="365" t="s">
        <v>101</v>
      </c>
      <c r="BM443" s="366" t="s">
        <v>164</v>
      </c>
      <c r="BN443" s="366" t="s">
        <v>3</v>
      </c>
      <c r="BO443" s="366">
        <v>0</v>
      </c>
      <c r="BP443" s="366">
        <v>0</v>
      </c>
      <c r="BQ443" s="366">
        <v>0</v>
      </c>
      <c r="BR443" s="366">
        <v>22</v>
      </c>
      <c r="BS443" s="366">
        <v>0</v>
      </c>
      <c r="BT443" s="366">
        <v>0</v>
      </c>
      <c r="BU443" s="366">
        <v>0</v>
      </c>
      <c r="BV443" s="366">
        <v>0</v>
      </c>
      <c r="BW443" s="366">
        <v>0</v>
      </c>
      <c r="BX443" s="366">
        <v>0</v>
      </c>
      <c r="BY443" s="366">
        <v>0</v>
      </c>
      <c r="BZ443" s="366">
        <v>0</v>
      </c>
      <c r="CA443" s="366">
        <v>1</v>
      </c>
      <c r="CB443" s="367">
        <f>IFERROR(BO443/Instructions!$J$25,0)+BP443*Instructions!$J$27+BQ443*Instructions!$J$29+IFERROR(BR443/Instructions!$E$34,0)+BS443*Instructions!$E$36+Tier!BT444*Instructions!$E$25+IFERROR(BU443/Instructions!$E$27,0)+BV443*Instructions!$E$29+IFERROR((BW443+BY443)/Instructions!$J$32,0)+(BX443+BZ443)*Instructions!$J$34+Tier!CA443*-2</f>
        <v>3.2</v>
      </c>
      <c r="CC443" s="354"/>
      <c r="CD443" s="238">
        <v>2016</v>
      </c>
      <c r="CE443" s="365" t="s">
        <v>1348</v>
      </c>
      <c r="CF443" s="366" t="s">
        <v>154</v>
      </c>
      <c r="CG443" s="366" t="s">
        <v>6</v>
      </c>
      <c r="CH443" s="366">
        <v>0</v>
      </c>
      <c r="CI443" s="366">
        <v>0</v>
      </c>
      <c r="CJ443" s="366">
        <v>0</v>
      </c>
      <c r="CK443" s="366">
        <v>0</v>
      </c>
      <c r="CL443" s="366">
        <v>0</v>
      </c>
      <c r="CM443" s="366">
        <v>7</v>
      </c>
      <c r="CN443" s="366">
        <v>97</v>
      </c>
      <c r="CO443" s="366">
        <v>2</v>
      </c>
      <c r="CP443" s="366">
        <v>0</v>
      </c>
      <c r="CQ443" s="366">
        <v>0</v>
      </c>
      <c r="CR443" s="366">
        <v>0</v>
      </c>
      <c r="CS443" s="366">
        <v>0</v>
      </c>
      <c r="CT443" s="366">
        <v>0</v>
      </c>
      <c r="CU443" s="367">
        <f>IFERROR(CH443/Instructions!$J$25,0)+CI443*Instructions!$J$27+CJ443*Instructions!$J$29+IFERROR(CK443/Instructions!$E$34,0)+CL443*Instructions!$E$36+Tier!CM443*Instructions!$E$25+IFERROR(CN443/Instructions!$E$27,0)+CO443*Instructions!$E$29+IFERROR((CP443+CR443)/Instructions!$J$32,0)+(CQ443+CS443)*Instructions!$J$34+Tier!CT443*-2</f>
        <v>28.7</v>
      </c>
      <c r="CV443" s="354"/>
      <c r="CW443"/>
      <c r="CX443"/>
      <c r="CY443"/>
      <c r="CZ443"/>
      <c r="DA443"/>
      <c r="DB443"/>
      <c r="DC443"/>
      <c r="DD443"/>
      <c r="DE443"/>
      <c r="DF443"/>
      <c r="DG443"/>
      <c r="DH443"/>
      <c r="DI443"/>
      <c r="DJ443"/>
      <c r="DK443"/>
      <c r="DL443"/>
      <c r="DM443"/>
      <c r="DN443"/>
    </row>
    <row r="444" spans="3:118" s="238" customFormat="1" ht="15.75" customHeight="1" x14ac:dyDescent="0.25">
      <c r="C444"/>
      <c r="D444"/>
      <c r="E444"/>
      <c r="F444"/>
      <c r="G444"/>
      <c r="H444"/>
      <c r="I444"/>
      <c r="J444"/>
      <c r="K444"/>
      <c r="L444"/>
      <c r="M444"/>
      <c r="N444"/>
      <c r="O444" s="366"/>
      <c r="P444" s="366">
        <v>2016</v>
      </c>
      <c r="Q444" s="367">
        <f>LARGE($CB$304:$CB$453,141)</f>
        <v>2.5</v>
      </c>
      <c r="R444" s="357">
        <f t="shared" si="129"/>
        <v>-162.1</v>
      </c>
      <c r="S444" s="356">
        <f t="shared" si="128"/>
        <v>26276.41</v>
      </c>
      <c r="U444" s="356">
        <f t="shared" si="130"/>
        <v>-10.13125</v>
      </c>
      <c r="V444" s="238">
        <f t="shared" si="126"/>
        <v>8</v>
      </c>
      <c r="W444" s="354"/>
      <c r="X444" s="366"/>
      <c r="Y444" s="366"/>
      <c r="Z444" s="238">
        <v>2016</v>
      </c>
      <c r="AA444" s="367">
        <f>LARGE($CU$304:$CU$453,141)</f>
        <v>24.5</v>
      </c>
      <c r="AB444" s="357">
        <f t="shared" si="131"/>
        <v>-187.20000000000002</v>
      </c>
      <c r="AC444" s="356">
        <f t="shared" si="125"/>
        <v>35043.840000000004</v>
      </c>
      <c r="AE444" s="356">
        <f t="shared" si="132"/>
        <v>-11.700000000000001</v>
      </c>
      <c r="AF444" s="238">
        <f t="shared" si="127"/>
        <v>8</v>
      </c>
      <c r="AG444" s="354"/>
      <c r="AK444"/>
      <c r="AL444"/>
      <c r="AM444"/>
      <c r="AN444"/>
      <c r="AO444"/>
      <c r="AP444"/>
      <c r="BI444" s="360"/>
      <c r="BJ444" s="354"/>
      <c r="BK444" s="366">
        <v>2016</v>
      </c>
      <c r="BL444" s="365" t="s">
        <v>1201</v>
      </c>
      <c r="BM444" s="366" t="s">
        <v>151</v>
      </c>
      <c r="BN444" s="366" t="s">
        <v>3</v>
      </c>
      <c r="BO444" s="366">
        <v>0</v>
      </c>
      <c r="BP444" s="366">
        <v>0</v>
      </c>
      <c r="BQ444" s="366">
        <v>0</v>
      </c>
      <c r="BR444" s="366">
        <v>3</v>
      </c>
      <c r="BS444" s="366">
        <v>0</v>
      </c>
      <c r="BT444" s="366">
        <v>3</v>
      </c>
      <c r="BU444" s="366">
        <v>18</v>
      </c>
      <c r="BV444" s="366">
        <v>0</v>
      </c>
      <c r="BW444" s="366">
        <v>0</v>
      </c>
      <c r="BX444" s="366">
        <v>0</v>
      </c>
      <c r="BY444" s="366">
        <v>0</v>
      </c>
      <c r="BZ444" s="366">
        <v>0</v>
      </c>
      <c r="CA444" s="366">
        <v>0</v>
      </c>
      <c r="CB444" s="367">
        <f>IFERROR(BO444/Instructions!$J$25,0)+BP444*Instructions!$J$27+BQ444*Instructions!$J$29+IFERROR(BR444/Instructions!$E$34,0)+BS444*Instructions!$E$36+Tier!BT445*Instructions!$E$25+IFERROR(BU444/Instructions!$E$27,0)+BV444*Instructions!$E$29+IFERROR((BW444+BY444)/Instructions!$J$32,0)+(BX444+BZ444)*Instructions!$J$34+Tier!CA444*-2</f>
        <v>4.0999999999999996</v>
      </c>
      <c r="CC444" s="354"/>
      <c r="CD444" s="238">
        <v>2016</v>
      </c>
      <c r="CE444" s="365" t="s">
        <v>1405</v>
      </c>
      <c r="CF444" s="366" t="s">
        <v>1625</v>
      </c>
      <c r="CG444" s="366" t="s">
        <v>6</v>
      </c>
      <c r="CH444" s="366">
        <v>0</v>
      </c>
      <c r="CI444" s="366">
        <v>0</v>
      </c>
      <c r="CJ444" s="366">
        <v>0</v>
      </c>
      <c r="CK444" s="366">
        <v>11</v>
      </c>
      <c r="CL444" s="366">
        <v>0</v>
      </c>
      <c r="CM444" s="366">
        <v>7</v>
      </c>
      <c r="CN444" s="366">
        <v>76</v>
      </c>
      <c r="CO444" s="366">
        <v>0</v>
      </c>
      <c r="CP444" s="366">
        <v>160</v>
      </c>
      <c r="CQ444" s="366">
        <v>0</v>
      </c>
      <c r="CR444" s="366">
        <v>152</v>
      </c>
      <c r="CS444" s="366">
        <v>0</v>
      </c>
      <c r="CT444" s="366">
        <v>0</v>
      </c>
      <c r="CU444" s="367">
        <f>IFERROR(CH444/Instructions!$J$25,0)+CI444*Instructions!$J$27+CJ444*Instructions!$J$29+IFERROR(CK444/Instructions!$E$34,0)+CL444*Instructions!$E$36+Tier!CM444*Instructions!$E$25+IFERROR(CN444/Instructions!$E$27,0)+CO444*Instructions!$E$29+IFERROR((CP444+CR444)/Instructions!$J$32,0)+(CQ444+CS444)*Instructions!$J$34+Tier!CT444*-2</f>
        <v>15.7</v>
      </c>
      <c r="CV444" s="354"/>
      <c r="CW444"/>
      <c r="CX444"/>
      <c r="CY444"/>
      <c r="CZ444"/>
      <c r="DA444"/>
      <c r="DB444"/>
      <c r="DC444"/>
      <c r="DD444"/>
      <c r="DE444"/>
      <c r="DF444"/>
      <c r="DG444"/>
      <c r="DH444"/>
      <c r="DI444"/>
      <c r="DJ444"/>
      <c r="DK444"/>
      <c r="DL444"/>
      <c r="DM444"/>
      <c r="DN444"/>
    </row>
    <row r="445" spans="3:118" s="238" customFormat="1" ht="15.75" customHeight="1" x14ac:dyDescent="0.25">
      <c r="C445"/>
      <c r="D445"/>
      <c r="E445"/>
      <c r="F445"/>
      <c r="G445"/>
      <c r="H445"/>
      <c r="I445"/>
      <c r="J445"/>
      <c r="K445"/>
      <c r="L445"/>
      <c r="M445"/>
      <c r="N445"/>
      <c r="O445" s="366"/>
      <c r="P445" s="366">
        <v>2016</v>
      </c>
      <c r="Q445" s="367">
        <f>LARGE($CB$304:$CB$453,142)</f>
        <v>2.5</v>
      </c>
      <c r="R445" s="357">
        <f t="shared" si="129"/>
        <v>-162.1</v>
      </c>
      <c r="S445" s="356">
        <f t="shared" si="128"/>
        <v>26276.41</v>
      </c>
      <c r="U445" s="356">
        <f t="shared" si="130"/>
        <v>-10.13125</v>
      </c>
      <c r="V445" s="238">
        <f t="shared" si="126"/>
        <v>8</v>
      </c>
      <c r="W445" s="354"/>
      <c r="X445" s="366"/>
      <c r="Y445" s="366"/>
      <c r="Z445" s="238">
        <v>2016</v>
      </c>
      <c r="AA445" s="367">
        <f>LARGE($CU$304:$CU$453,142)</f>
        <v>22.6</v>
      </c>
      <c r="AB445" s="357">
        <f t="shared" si="131"/>
        <v>-189.10000000000002</v>
      </c>
      <c r="AC445" s="356">
        <f t="shared" si="125"/>
        <v>35758.810000000012</v>
      </c>
      <c r="AE445" s="356">
        <f t="shared" si="132"/>
        <v>-11.818750000000001</v>
      </c>
      <c r="AF445" s="238">
        <f t="shared" si="127"/>
        <v>8</v>
      </c>
      <c r="AG445" s="354"/>
      <c r="AK445"/>
      <c r="AL445"/>
      <c r="AM445"/>
      <c r="AN445"/>
      <c r="AO445"/>
      <c r="AP445"/>
      <c r="BI445" s="360"/>
      <c r="BJ445" s="354"/>
      <c r="BK445" s="366">
        <v>2016</v>
      </c>
      <c r="BL445" s="365" t="s">
        <v>980</v>
      </c>
      <c r="BM445" s="366" t="s">
        <v>1628</v>
      </c>
      <c r="BN445" s="366" t="s">
        <v>3</v>
      </c>
      <c r="BO445" s="366">
        <v>0</v>
      </c>
      <c r="BP445" s="366">
        <v>0</v>
      </c>
      <c r="BQ445" s="366">
        <v>0</v>
      </c>
      <c r="BR445" s="366">
        <v>4</v>
      </c>
      <c r="BS445" s="366">
        <v>0</v>
      </c>
      <c r="BT445" s="366">
        <v>2</v>
      </c>
      <c r="BU445" s="366">
        <v>15</v>
      </c>
      <c r="BV445" s="366">
        <v>0</v>
      </c>
      <c r="BW445" s="366">
        <v>0</v>
      </c>
      <c r="BX445" s="366">
        <v>0</v>
      </c>
      <c r="BY445" s="366">
        <v>0</v>
      </c>
      <c r="BZ445" s="366">
        <v>0</v>
      </c>
      <c r="CA445" s="366">
        <v>0</v>
      </c>
      <c r="CB445" s="367">
        <f>IFERROR(BO445/Instructions!$J$25,0)+BP445*Instructions!$J$27+BQ445*Instructions!$J$29+IFERROR(BR445/Instructions!$E$34,0)+BS445*Instructions!$E$36+Tier!BT446*Instructions!$E$25+IFERROR(BU445/Instructions!$E$27,0)+BV445*Instructions!$E$29+IFERROR((BW445+BY445)/Instructions!$J$32,0)+(BX445+BZ445)*Instructions!$J$34+Tier!CA445*-2</f>
        <v>2.9</v>
      </c>
      <c r="CC445" s="354"/>
      <c r="CD445" s="238">
        <v>2016</v>
      </c>
      <c r="CE445" s="365" t="s">
        <v>133</v>
      </c>
      <c r="CF445" s="366" t="s">
        <v>163</v>
      </c>
      <c r="CG445" s="366" t="s">
        <v>6</v>
      </c>
      <c r="CH445" s="366">
        <v>0</v>
      </c>
      <c r="CI445" s="366">
        <v>0</v>
      </c>
      <c r="CJ445" s="366">
        <v>0</v>
      </c>
      <c r="CK445" s="366">
        <v>0</v>
      </c>
      <c r="CL445" s="366">
        <v>0</v>
      </c>
      <c r="CM445" s="366">
        <v>15</v>
      </c>
      <c r="CN445" s="366">
        <v>210</v>
      </c>
      <c r="CO445" s="366">
        <v>0</v>
      </c>
      <c r="CP445" s="366">
        <v>0</v>
      </c>
      <c r="CQ445" s="366">
        <v>0</v>
      </c>
      <c r="CR445" s="366">
        <v>0</v>
      </c>
      <c r="CS445" s="366">
        <v>0</v>
      </c>
      <c r="CT445" s="366">
        <v>0</v>
      </c>
      <c r="CU445" s="367">
        <f>IFERROR(CH445/Instructions!$J$25,0)+CI445*Instructions!$J$27+CJ445*Instructions!$J$29+IFERROR(CK445/Instructions!$E$34,0)+CL445*Instructions!$E$36+Tier!CM445*Instructions!$E$25+IFERROR(CN445/Instructions!$E$27,0)+CO445*Instructions!$E$29+IFERROR((CP445+CR445)/Instructions!$J$32,0)+(CQ445+CS445)*Instructions!$J$34+Tier!CT445*-2</f>
        <v>36</v>
      </c>
      <c r="CV445" s="354"/>
      <c r="CW445"/>
      <c r="CX445"/>
      <c r="CY445"/>
      <c r="CZ445"/>
      <c r="DA445"/>
      <c r="DB445"/>
      <c r="DC445"/>
      <c r="DD445"/>
      <c r="DE445"/>
      <c r="DF445"/>
      <c r="DG445"/>
      <c r="DH445"/>
      <c r="DI445"/>
      <c r="DJ445"/>
      <c r="DK445"/>
      <c r="DL445"/>
      <c r="DM445"/>
      <c r="DN445"/>
    </row>
    <row r="446" spans="3:118" s="238" customFormat="1" ht="15.75" customHeight="1" x14ac:dyDescent="0.25">
      <c r="C446"/>
      <c r="D446"/>
      <c r="E446"/>
      <c r="F446"/>
      <c r="G446"/>
      <c r="H446"/>
      <c r="I446"/>
      <c r="J446"/>
      <c r="K446"/>
      <c r="L446"/>
      <c r="M446"/>
      <c r="N446"/>
      <c r="O446" s="366"/>
      <c r="P446" s="366">
        <v>2016</v>
      </c>
      <c r="Q446" s="367">
        <f>LARGE($CB$304:$CB$453,143)</f>
        <v>2.5</v>
      </c>
      <c r="R446" s="357">
        <f t="shared" si="129"/>
        <v>-162.1</v>
      </c>
      <c r="S446" s="356">
        <f t="shared" si="128"/>
        <v>26276.41</v>
      </c>
      <c r="U446" s="356">
        <f t="shared" si="130"/>
        <v>-10.13125</v>
      </c>
      <c r="V446" s="238">
        <f t="shared" si="126"/>
        <v>8</v>
      </c>
      <c r="W446" s="354"/>
      <c r="X446" s="366"/>
      <c r="Y446" s="366"/>
      <c r="Z446" s="238">
        <v>2016</v>
      </c>
      <c r="AA446" s="367">
        <f>LARGE($CU$304:$CU$453,143)</f>
        <v>20.2</v>
      </c>
      <c r="AB446" s="357">
        <f t="shared" si="131"/>
        <v>-191.50000000000003</v>
      </c>
      <c r="AC446" s="356">
        <f t="shared" si="125"/>
        <v>36672.250000000007</v>
      </c>
      <c r="AE446" s="356">
        <f t="shared" si="132"/>
        <v>-11.968750000000002</v>
      </c>
      <c r="AF446" s="238">
        <f t="shared" si="127"/>
        <v>8</v>
      </c>
      <c r="AG446" s="354"/>
      <c r="AK446"/>
      <c r="AL446"/>
      <c r="AM446"/>
      <c r="AN446"/>
      <c r="AO446"/>
      <c r="AP446"/>
      <c r="BI446" s="360"/>
      <c r="BJ446" s="354"/>
      <c r="BK446" s="366">
        <v>2016</v>
      </c>
      <c r="BL446" s="365" t="s">
        <v>1292</v>
      </c>
      <c r="BM446" s="366" t="s">
        <v>151</v>
      </c>
      <c r="BN446" s="366" t="s">
        <v>3</v>
      </c>
      <c r="BO446" s="366">
        <v>0</v>
      </c>
      <c r="BP446" s="366">
        <v>0</v>
      </c>
      <c r="BQ446" s="366">
        <v>0</v>
      </c>
      <c r="BR446" s="366">
        <v>9</v>
      </c>
      <c r="BS446" s="366">
        <v>0</v>
      </c>
      <c r="BT446" s="366">
        <v>1</v>
      </c>
      <c r="BU446" s="366">
        <v>6</v>
      </c>
      <c r="BV446" s="366">
        <v>0</v>
      </c>
      <c r="BW446" s="366">
        <v>0</v>
      </c>
      <c r="BX446" s="366">
        <v>0</v>
      </c>
      <c r="BY446" s="366">
        <v>10</v>
      </c>
      <c r="BZ446" s="366">
        <v>0</v>
      </c>
      <c r="CA446" s="366">
        <v>0</v>
      </c>
      <c r="CB446" s="367">
        <f>IFERROR(BO446/Instructions!$J$25,0)+BP446*Instructions!$J$27+BQ446*Instructions!$J$29+IFERROR(BR446/Instructions!$E$34,0)+BS446*Instructions!$E$36+Tier!BT447*Instructions!$E$25+IFERROR(BU446/Instructions!$E$27,0)+BV446*Instructions!$E$29+IFERROR((BW446+BY446)/Instructions!$J$32,0)+(BX446+BZ446)*Instructions!$J$34+Tier!CA446*-2</f>
        <v>2.5</v>
      </c>
      <c r="CC446" s="354"/>
      <c r="CD446" s="238">
        <v>2016</v>
      </c>
      <c r="CE446" s="365" t="s">
        <v>1326</v>
      </c>
      <c r="CF446" s="366" t="s">
        <v>1627</v>
      </c>
      <c r="CG446" s="366" t="s">
        <v>6</v>
      </c>
      <c r="CH446" s="366">
        <v>0</v>
      </c>
      <c r="CI446" s="366">
        <v>0</v>
      </c>
      <c r="CJ446" s="366">
        <v>0</v>
      </c>
      <c r="CK446" s="366">
        <v>0</v>
      </c>
      <c r="CL446" s="366">
        <v>0</v>
      </c>
      <c r="CM446" s="366">
        <v>8</v>
      </c>
      <c r="CN446" s="366">
        <v>142</v>
      </c>
      <c r="CO446" s="366">
        <v>1</v>
      </c>
      <c r="CP446" s="366">
        <v>0</v>
      </c>
      <c r="CQ446" s="366">
        <v>0</v>
      </c>
      <c r="CR446" s="366">
        <v>0</v>
      </c>
      <c r="CS446" s="366">
        <v>0</v>
      </c>
      <c r="CT446" s="366">
        <v>0</v>
      </c>
      <c r="CU446" s="367">
        <f>IFERROR(CH446/Instructions!$J$25,0)+CI446*Instructions!$J$27+CJ446*Instructions!$J$29+IFERROR(CK446/Instructions!$E$34,0)+CL446*Instructions!$E$36+Tier!CM446*Instructions!$E$25+IFERROR(CN446/Instructions!$E$27,0)+CO446*Instructions!$E$29+IFERROR((CP446+CR446)/Instructions!$J$32,0)+(CQ446+CS446)*Instructions!$J$34+Tier!CT446*-2</f>
        <v>28.2</v>
      </c>
      <c r="CV446" s="354"/>
      <c r="CW446"/>
      <c r="CX446"/>
      <c r="CY446"/>
      <c r="CZ446"/>
      <c r="DA446"/>
      <c r="DB446"/>
      <c r="DC446"/>
      <c r="DD446"/>
      <c r="DE446"/>
      <c r="DF446"/>
      <c r="DG446"/>
      <c r="DH446"/>
      <c r="DI446"/>
      <c r="DJ446"/>
      <c r="DK446"/>
      <c r="DL446"/>
      <c r="DM446"/>
      <c r="DN446"/>
    </row>
    <row r="447" spans="3:118" s="238" customFormat="1" ht="15.75" customHeight="1" x14ac:dyDescent="0.25">
      <c r="C447"/>
      <c r="D447"/>
      <c r="E447"/>
      <c r="F447"/>
      <c r="G447"/>
      <c r="H447"/>
      <c r="I447"/>
      <c r="J447"/>
      <c r="K447"/>
      <c r="L447"/>
      <c r="M447"/>
      <c r="N447"/>
      <c r="O447" s="366"/>
      <c r="P447" s="366">
        <v>2016</v>
      </c>
      <c r="Q447" s="367">
        <f>LARGE($CB$304:$CB$453,144)</f>
        <v>2.5</v>
      </c>
      <c r="R447" s="357">
        <f t="shared" si="129"/>
        <v>-162.1</v>
      </c>
      <c r="S447" s="356">
        <f t="shared" si="128"/>
        <v>26276.41</v>
      </c>
      <c r="U447" s="356">
        <f t="shared" si="130"/>
        <v>-10.13125</v>
      </c>
      <c r="V447" s="238">
        <f t="shared" si="126"/>
        <v>8</v>
      </c>
      <c r="W447" s="354"/>
      <c r="X447" s="366"/>
      <c r="Y447" s="366"/>
      <c r="Z447" s="238">
        <v>2016</v>
      </c>
      <c r="AA447" s="367">
        <f>LARGE($CU$304:$CU$453,144)</f>
        <v>15.7</v>
      </c>
      <c r="AB447" s="357">
        <f t="shared" si="131"/>
        <v>-196.00000000000003</v>
      </c>
      <c r="AC447" s="356">
        <f t="shared" si="125"/>
        <v>38416.000000000015</v>
      </c>
      <c r="AE447" s="356">
        <f t="shared" si="132"/>
        <v>-12.250000000000002</v>
      </c>
      <c r="AF447" s="238">
        <f t="shared" si="127"/>
        <v>8</v>
      </c>
      <c r="AG447" s="354"/>
      <c r="AK447"/>
      <c r="AL447"/>
      <c r="AM447"/>
      <c r="AN447"/>
      <c r="AO447"/>
      <c r="AP447"/>
      <c r="BI447" s="360"/>
      <c r="BJ447" s="354"/>
      <c r="BK447" s="366">
        <v>2016</v>
      </c>
      <c r="BL447" s="365" t="s">
        <v>1285</v>
      </c>
      <c r="BM447" s="366" t="s">
        <v>163</v>
      </c>
      <c r="BN447" s="366" t="s">
        <v>3</v>
      </c>
      <c r="BO447" s="366">
        <v>0</v>
      </c>
      <c r="BP447" s="366">
        <v>0</v>
      </c>
      <c r="BQ447" s="366">
        <v>0</v>
      </c>
      <c r="BR447" s="366">
        <v>3</v>
      </c>
      <c r="BS447" s="366">
        <v>0</v>
      </c>
      <c r="BT447" s="366">
        <v>1</v>
      </c>
      <c r="BU447" s="366">
        <v>14</v>
      </c>
      <c r="BV447" s="366">
        <v>0</v>
      </c>
      <c r="BW447" s="366">
        <v>0</v>
      </c>
      <c r="BX447" s="366">
        <v>0</v>
      </c>
      <c r="BY447" s="366">
        <v>0</v>
      </c>
      <c r="BZ447" s="366">
        <v>0</v>
      </c>
      <c r="CA447" s="366">
        <v>0</v>
      </c>
      <c r="CB447" s="367">
        <f>IFERROR(BO447/Instructions!$J$25,0)+BP447*Instructions!$J$27+BQ447*Instructions!$J$29+IFERROR(BR447/Instructions!$E$34,0)+BS447*Instructions!$E$36+Tier!BT448*Instructions!$E$25+IFERROR(BU447/Instructions!$E$27,0)+BV447*Instructions!$E$29+IFERROR((BW447+BY447)/Instructions!$J$32,0)+(BX447+BZ447)*Instructions!$J$34+Tier!CA447*-2</f>
        <v>1.7</v>
      </c>
      <c r="CC447" s="354"/>
      <c r="CD447" s="238">
        <v>2016</v>
      </c>
      <c r="CE447" s="365" t="s">
        <v>1343</v>
      </c>
      <c r="CF447" s="366" t="s">
        <v>145</v>
      </c>
      <c r="CG447" s="366" t="s">
        <v>6</v>
      </c>
      <c r="CH447" s="366">
        <v>0</v>
      </c>
      <c r="CI447" s="366">
        <v>0</v>
      </c>
      <c r="CJ447" s="366">
        <v>0</v>
      </c>
      <c r="CK447" s="366">
        <v>0</v>
      </c>
      <c r="CL447" s="366">
        <v>0</v>
      </c>
      <c r="CM447" s="366">
        <v>17</v>
      </c>
      <c r="CN447" s="366">
        <v>200</v>
      </c>
      <c r="CO447" s="366">
        <v>0</v>
      </c>
      <c r="CP447" s="366">
        <v>0</v>
      </c>
      <c r="CQ447" s="366">
        <v>0</v>
      </c>
      <c r="CR447" s="366">
        <v>0</v>
      </c>
      <c r="CS447" s="366">
        <v>0</v>
      </c>
      <c r="CT447" s="366">
        <v>0</v>
      </c>
      <c r="CU447" s="367">
        <f>IFERROR(CH447/Instructions!$J$25,0)+CI447*Instructions!$J$27+CJ447*Instructions!$J$29+IFERROR(CK447/Instructions!$E$34,0)+CL447*Instructions!$E$36+Tier!CM447*Instructions!$E$25+IFERROR(CN447/Instructions!$E$27,0)+CO447*Instructions!$E$29+IFERROR((CP447+CR447)/Instructions!$J$32,0)+(CQ447+CS447)*Instructions!$J$34+Tier!CT447*-2</f>
        <v>37</v>
      </c>
      <c r="CV447" s="354"/>
      <c r="CW447"/>
      <c r="CX447"/>
      <c r="CY447"/>
      <c r="CZ447"/>
      <c r="DA447"/>
      <c r="DB447"/>
      <c r="DC447"/>
      <c r="DD447"/>
      <c r="DE447"/>
      <c r="DF447"/>
      <c r="DG447"/>
      <c r="DH447"/>
      <c r="DI447"/>
      <c r="DJ447"/>
      <c r="DK447"/>
      <c r="DL447"/>
      <c r="DM447"/>
      <c r="DN447"/>
    </row>
    <row r="448" spans="3:118" s="238" customFormat="1" ht="15.75" customHeight="1" x14ac:dyDescent="0.25">
      <c r="C448"/>
      <c r="D448"/>
      <c r="E448"/>
      <c r="F448"/>
      <c r="G448"/>
      <c r="H448"/>
      <c r="I448"/>
      <c r="J448"/>
      <c r="K448"/>
      <c r="L448"/>
      <c r="M448"/>
      <c r="N448"/>
      <c r="O448" s="366"/>
      <c r="P448" s="366">
        <v>2016</v>
      </c>
      <c r="Q448" s="367">
        <f>LARGE($CB$304:$CB$453,145)</f>
        <v>1.8</v>
      </c>
      <c r="R448" s="357">
        <f t="shared" si="129"/>
        <v>-162.79999999999998</v>
      </c>
      <c r="S448" s="356">
        <f t="shared" si="128"/>
        <v>26503.839999999993</v>
      </c>
      <c r="U448" s="356">
        <f t="shared" si="130"/>
        <v>-10.174999999999999</v>
      </c>
      <c r="V448" s="238">
        <f t="shared" si="126"/>
        <v>8</v>
      </c>
      <c r="W448" s="354"/>
      <c r="X448" s="366"/>
      <c r="Y448" s="366"/>
      <c r="Z448" s="238">
        <v>2016</v>
      </c>
      <c r="AA448" s="367">
        <f>LARGE($CU$304:$CU$453,145)</f>
        <v>14</v>
      </c>
      <c r="AB448" s="357">
        <f t="shared" si="131"/>
        <v>-197.70000000000002</v>
      </c>
      <c r="AC448" s="356">
        <f t="shared" si="125"/>
        <v>39085.290000000008</v>
      </c>
      <c r="AE448" s="356">
        <f t="shared" si="132"/>
        <v>-12.356250000000001</v>
      </c>
      <c r="AF448" s="238">
        <f t="shared" si="127"/>
        <v>8</v>
      </c>
      <c r="AG448" s="354"/>
      <c r="AK448"/>
      <c r="AL448"/>
      <c r="AM448"/>
      <c r="AN448"/>
      <c r="AO448"/>
      <c r="AP448"/>
      <c r="BI448" s="360"/>
      <c r="BJ448" s="354"/>
      <c r="BK448" s="366">
        <v>2016</v>
      </c>
      <c r="BL448" s="365" t="s">
        <v>1228</v>
      </c>
      <c r="BM448" s="366" t="s">
        <v>145</v>
      </c>
      <c r="BN448" s="366" t="s">
        <v>3</v>
      </c>
      <c r="BO448" s="366">
        <v>0</v>
      </c>
      <c r="BP448" s="366">
        <v>0</v>
      </c>
      <c r="BQ448" s="366">
        <v>0</v>
      </c>
      <c r="BR448" s="366">
        <v>15</v>
      </c>
      <c r="BS448" s="366">
        <v>0</v>
      </c>
      <c r="BT448" s="366">
        <v>0</v>
      </c>
      <c r="BU448" s="366">
        <v>0</v>
      </c>
      <c r="BV448" s="366">
        <v>0</v>
      </c>
      <c r="BW448" s="366">
        <v>0</v>
      </c>
      <c r="BX448" s="366">
        <v>0</v>
      </c>
      <c r="BY448" s="366">
        <v>0</v>
      </c>
      <c r="BZ448" s="366">
        <v>0</v>
      </c>
      <c r="CA448" s="366">
        <v>0</v>
      </c>
      <c r="CB448" s="367">
        <f>IFERROR(BO448/Instructions!$J$25,0)+BP448*Instructions!$J$27+BQ448*Instructions!$J$29+IFERROR(BR448/Instructions!$E$34,0)+BS448*Instructions!$E$36+Tier!BT449*Instructions!$E$25+IFERROR(BU448/Instructions!$E$27,0)+BV448*Instructions!$E$29+IFERROR((BW448+BY448)/Instructions!$J$32,0)+(BX448+BZ448)*Instructions!$J$34+Tier!CA448*-2</f>
        <v>2.5</v>
      </c>
      <c r="CC448" s="354"/>
      <c r="CD448" s="238">
        <v>2016</v>
      </c>
      <c r="CE448" s="365" t="s">
        <v>1643</v>
      </c>
      <c r="CF448" s="366" t="s">
        <v>1629</v>
      </c>
      <c r="CG448" s="366" t="s">
        <v>6</v>
      </c>
      <c r="CH448" s="366">
        <v>0</v>
      </c>
      <c r="CI448" s="366">
        <v>0</v>
      </c>
      <c r="CJ448" s="366">
        <v>0</v>
      </c>
      <c r="CK448" s="366">
        <v>29</v>
      </c>
      <c r="CL448" s="366">
        <v>0</v>
      </c>
      <c r="CM448" s="366">
        <v>7</v>
      </c>
      <c r="CN448" s="366">
        <v>35</v>
      </c>
      <c r="CO448" s="366">
        <v>0</v>
      </c>
      <c r="CP448" s="366">
        <v>0</v>
      </c>
      <c r="CQ448" s="366">
        <v>0</v>
      </c>
      <c r="CR448" s="366">
        <v>338</v>
      </c>
      <c r="CS448" s="366">
        <v>0</v>
      </c>
      <c r="CT448" s="366">
        <v>0</v>
      </c>
      <c r="CU448" s="367">
        <f>IFERROR(CH448/Instructions!$J$25,0)+CI448*Instructions!$J$27+CJ448*Instructions!$J$29+IFERROR(CK448/Instructions!$E$34,0)+CL448*Instructions!$E$36+Tier!CM448*Instructions!$E$25+IFERROR(CN448/Instructions!$E$27,0)+CO448*Instructions!$E$29+IFERROR((CP448+CR448)/Instructions!$J$32,0)+(CQ448+CS448)*Instructions!$J$34+Tier!CT448*-2</f>
        <v>13.4</v>
      </c>
      <c r="CV448" s="354"/>
      <c r="CW448"/>
      <c r="CX448"/>
      <c r="CY448"/>
      <c r="CZ448"/>
      <c r="DA448"/>
      <c r="DB448"/>
      <c r="DC448"/>
      <c r="DD448"/>
      <c r="DE448"/>
      <c r="DF448"/>
      <c r="DG448"/>
      <c r="DH448"/>
      <c r="DI448"/>
      <c r="DJ448"/>
      <c r="DK448"/>
      <c r="DL448"/>
      <c r="DM448"/>
      <c r="DN448"/>
    </row>
    <row r="449" spans="3:118" s="238" customFormat="1" ht="15.75" customHeight="1" x14ac:dyDescent="0.25">
      <c r="C449"/>
      <c r="D449"/>
      <c r="E449"/>
      <c r="F449"/>
      <c r="G449"/>
      <c r="H449"/>
      <c r="I449"/>
      <c r="J449"/>
      <c r="K449"/>
      <c r="L449"/>
      <c r="M449"/>
      <c r="N449"/>
      <c r="O449" s="366"/>
      <c r="P449" s="366">
        <v>2016</v>
      </c>
      <c r="Q449" s="367">
        <f>LARGE($CB$304:$CB$453,146)</f>
        <v>1.7</v>
      </c>
      <c r="R449" s="357">
        <f t="shared" si="129"/>
        <v>-162.9</v>
      </c>
      <c r="S449" s="356">
        <f t="shared" si="128"/>
        <v>26536.410000000003</v>
      </c>
      <c r="U449" s="356">
        <f t="shared" si="130"/>
        <v>-10.18125</v>
      </c>
      <c r="V449" s="238">
        <f t="shared" si="126"/>
        <v>8</v>
      </c>
      <c r="W449" s="354"/>
      <c r="X449" s="366"/>
      <c r="Y449" s="366"/>
      <c r="Z449" s="238">
        <v>2016</v>
      </c>
      <c r="AA449" s="367">
        <f>LARGE($CU$304:$CU$453,146)</f>
        <v>13.7</v>
      </c>
      <c r="AB449" s="357">
        <f t="shared" si="131"/>
        <v>-198.00000000000003</v>
      </c>
      <c r="AC449" s="356">
        <f t="shared" si="125"/>
        <v>39204.000000000015</v>
      </c>
      <c r="AE449" s="356">
        <f t="shared" si="132"/>
        <v>-12.375000000000002</v>
      </c>
      <c r="AF449" s="238">
        <f t="shared" si="127"/>
        <v>8</v>
      </c>
      <c r="AG449" s="354"/>
      <c r="AK449"/>
      <c r="AL449"/>
      <c r="AM449"/>
      <c r="AN449"/>
      <c r="AO449"/>
      <c r="AP449"/>
      <c r="BI449" s="360"/>
      <c r="BJ449" s="354"/>
      <c r="BK449" s="366">
        <v>2016</v>
      </c>
      <c r="BL449" s="365" t="s">
        <v>1637</v>
      </c>
      <c r="BM449" s="366" t="s">
        <v>141</v>
      </c>
      <c r="BN449" s="366" t="s">
        <v>3</v>
      </c>
      <c r="BO449" s="366">
        <v>0</v>
      </c>
      <c r="BP449" s="366">
        <v>0</v>
      </c>
      <c r="BQ449" s="366">
        <v>0</v>
      </c>
      <c r="BR449" s="366">
        <v>4</v>
      </c>
      <c r="BS449" s="366">
        <v>0</v>
      </c>
      <c r="BT449" s="366">
        <v>1</v>
      </c>
      <c r="BU449" s="366">
        <v>11</v>
      </c>
      <c r="BV449" s="366">
        <v>0</v>
      </c>
      <c r="BW449" s="366">
        <v>0</v>
      </c>
      <c r="BX449" s="366">
        <v>0</v>
      </c>
      <c r="BY449" s="366">
        <v>0</v>
      </c>
      <c r="BZ449" s="366">
        <v>0</v>
      </c>
      <c r="CA449" s="366">
        <v>0</v>
      </c>
      <c r="CB449" s="367">
        <f>IFERROR(BO449/Instructions!$J$25,0)+BP449*Instructions!$J$27+BQ449*Instructions!$J$29+IFERROR(BR449/Instructions!$E$34,0)+BS449*Instructions!$E$36+Tier!BT450*Instructions!$E$25+IFERROR(BU449/Instructions!$E$27,0)+BV449*Instructions!$E$29+IFERROR((BW449+BY449)/Instructions!$J$32,0)+(BX449+BZ449)*Instructions!$J$34+Tier!CA449*-2</f>
        <v>3.5</v>
      </c>
      <c r="CC449" s="354"/>
      <c r="CD449" s="238">
        <v>2016</v>
      </c>
      <c r="CE449" s="365" t="s">
        <v>1102</v>
      </c>
      <c r="CF449" s="366" t="s">
        <v>141</v>
      </c>
      <c r="CG449" s="366" t="s">
        <v>6</v>
      </c>
      <c r="CH449" s="366">
        <v>0</v>
      </c>
      <c r="CI449" s="366">
        <v>0</v>
      </c>
      <c r="CJ449" s="366">
        <v>0</v>
      </c>
      <c r="CK449" s="366">
        <v>9</v>
      </c>
      <c r="CL449" s="366">
        <v>0</v>
      </c>
      <c r="CM449" s="366">
        <v>19</v>
      </c>
      <c r="CN449" s="366">
        <v>187</v>
      </c>
      <c r="CO449" s="366">
        <v>0</v>
      </c>
      <c r="CP449" s="366">
        <v>0</v>
      </c>
      <c r="CQ449" s="366">
        <v>0</v>
      </c>
      <c r="CR449" s="366">
        <v>0</v>
      </c>
      <c r="CS449" s="366">
        <v>0</v>
      </c>
      <c r="CT449" s="366">
        <v>0</v>
      </c>
      <c r="CU449" s="367">
        <f>IFERROR(CH449/Instructions!$J$25,0)+CI449*Instructions!$J$27+CJ449*Instructions!$J$29+IFERROR(CK449/Instructions!$E$34,0)+CL449*Instructions!$E$36+Tier!CM449*Instructions!$E$25+IFERROR(CN449/Instructions!$E$27,0)+CO449*Instructions!$E$29+IFERROR((CP449+CR449)/Instructions!$J$32,0)+(CQ449+CS449)*Instructions!$J$34+Tier!CT449*-2</f>
        <v>38.599999999999994</v>
      </c>
      <c r="CV449" s="354"/>
      <c r="CW449"/>
      <c r="CX449"/>
      <c r="CY449"/>
      <c r="CZ449"/>
      <c r="DA449"/>
      <c r="DB449"/>
      <c r="DC449"/>
      <c r="DD449"/>
      <c r="DE449"/>
      <c r="DF449"/>
      <c r="DG449"/>
      <c r="DH449"/>
      <c r="DI449"/>
      <c r="DJ449"/>
      <c r="DK449"/>
      <c r="DL449"/>
      <c r="DM449"/>
      <c r="DN449"/>
    </row>
    <row r="450" spans="3:118" s="238" customFormat="1" ht="15.75" customHeight="1" x14ac:dyDescent="0.25">
      <c r="C450"/>
      <c r="D450"/>
      <c r="E450"/>
      <c r="F450"/>
      <c r="G450"/>
      <c r="H450"/>
      <c r="I450"/>
      <c r="J450"/>
      <c r="K450"/>
      <c r="L450"/>
      <c r="M450"/>
      <c r="N450"/>
      <c r="O450" s="366"/>
      <c r="P450" s="366">
        <v>2016</v>
      </c>
      <c r="Q450" s="367">
        <f>LARGE($CB$304:$CB$453,147)</f>
        <v>1.3</v>
      </c>
      <c r="R450" s="357">
        <f t="shared" si="129"/>
        <v>-163.29999999999998</v>
      </c>
      <c r="S450" s="356">
        <f t="shared" si="128"/>
        <v>26666.889999999996</v>
      </c>
      <c r="U450" s="356">
        <f t="shared" si="130"/>
        <v>-10.206249999999999</v>
      </c>
      <c r="V450" s="238">
        <f t="shared" si="126"/>
        <v>8</v>
      </c>
      <c r="W450" s="354"/>
      <c r="X450" s="366"/>
      <c r="Y450" s="366"/>
      <c r="Z450" s="238">
        <v>2016</v>
      </c>
      <c r="AA450" s="367">
        <f>LARGE($CU$304:$CU$453,147)</f>
        <v>13.4</v>
      </c>
      <c r="AB450" s="357">
        <f t="shared" si="131"/>
        <v>-198.3</v>
      </c>
      <c r="AC450" s="356">
        <f t="shared" ref="AC450:AC513" si="133">AB450^2</f>
        <v>39322.890000000007</v>
      </c>
      <c r="AE450" s="356">
        <f t="shared" si="132"/>
        <v>-12.393750000000001</v>
      </c>
      <c r="AF450" s="238">
        <f t="shared" si="127"/>
        <v>8</v>
      </c>
      <c r="AG450" s="354"/>
      <c r="AK450"/>
      <c r="AL450"/>
      <c r="AM450"/>
      <c r="AN450"/>
      <c r="AO450"/>
      <c r="AP450"/>
      <c r="BI450" s="360"/>
      <c r="BJ450" s="354"/>
      <c r="BK450" s="366">
        <v>2016</v>
      </c>
      <c r="BL450" s="365" t="s">
        <v>1300</v>
      </c>
      <c r="BM450" s="366" t="s">
        <v>145</v>
      </c>
      <c r="BN450" s="366" t="s">
        <v>3</v>
      </c>
      <c r="BO450" s="366">
        <v>0</v>
      </c>
      <c r="BP450" s="366">
        <v>0</v>
      </c>
      <c r="BQ450" s="366">
        <v>0</v>
      </c>
      <c r="BR450" s="366">
        <v>0</v>
      </c>
      <c r="BS450" s="366">
        <v>0</v>
      </c>
      <c r="BT450" s="366">
        <v>2</v>
      </c>
      <c r="BU450" s="366">
        <v>13</v>
      </c>
      <c r="BV450" s="366">
        <v>0</v>
      </c>
      <c r="BW450" s="366">
        <v>0</v>
      </c>
      <c r="BX450" s="366">
        <v>0</v>
      </c>
      <c r="BY450" s="366">
        <v>0</v>
      </c>
      <c r="BZ450" s="366">
        <v>0</v>
      </c>
      <c r="CA450" s="366">
        <v>0</v>
      </c>
      <c r="CB450" s="367">
        <f>IFERROR(BO450/Instructions!$J$25,0)+BP450*Instructions!$J$27+BQ450*Instructions!$J$29+IFERROR(BR450/Instructions!$E$34,0)+BS450*Instructions!$E$36+Tier!BT451*Instructions!$E$25+IFERROR(BU450/Instructions!$E$27,0)+BV450*Instructions!$E$29+IFERROR((BW450+BY450)/Instructions!$J$32,0)+(BX450+BZ450)*Instructions!$J$34+Tier!CA450*-2</f>
        <v>1.3</v>
      </c>
      <c r="CC450" s="354"/>
      <c r="CD450" s="238">
        <v>2016</v>
      </c>
      <c r="CE450" s="365" t="s">
        <v>1642</v>
      </c>
      <c r="CF450" s="366" t="s">
        <v>163</v>
      </c>
      <c r="CG450" s="366" t="s">
        <v>6</v>
      </c>
      <c r="CH450" s="366">
        <v>0</v>
      </c>
      <c r="CI450" s="366">
        <v>0</v>
      </c>
      <c r="CJ450" s="366">
        <v>0</v>
      </c>
      <c r="CK450" s="366">
        <v>0</v>
      </c>
      <c r="CL450" s="366">
        <v>0</v>
      </c>
      <c r="CM450" s="366">
        <v>9</v>
      </c>
      <c r="CN450" s="366">
        <v>85</v>
      </c>
      <c r="CO450" s="366">
        <v>2</v>
      </c>
      <c r="CP450" s="366">
        <v>0</v>
      </c>
      <c r="CQ450" s="366">
        <v>0</v>
      </c>
      <c r="CR450" s="366">
        <v>0</v>
      </c>
      <c r="CS450" s="366">
        <v>0</v>
      </c>
      <c r="CT450" s="366">
        <v>0</v>
      </c>
      <c r="CU450" s="367">
        <f>IFERROR(CH450/Instructions!$J$25,0)+CI450*Instructions!$J$27+CJ450*Instructions!$J$29+IFERROR(CK450/Instructions!$E$34,0)+CL450*Instructions!$E$36+Tier!CM450*Instructions!$E$25+IFERROR(CN450/Instructions!$E$27,0)+CO450*Instructions!$E$29+IFERROR((CP450+CR450)/Instructions!$J$32,0)+(CQ450+CS450)*Instructions!$J$34+Tier!CT450*-2</f>
        <v>29.5</v>
      </c>
      <c r="CV450" s="354"/>
      <c r="CW450"/>
      <c r="CX450"/>
      <c r="CY450"/>
      <c r="CZ450"/>
      <c r="DA450"/>
      <c r="DB450"/>
      <c r="DC450"/>
      <c r="DD450"/>
      <c r="DE450"/>
      <c r="DF450"/>
      <c r="DG450"/>
      <c r="DH450"/>
      <c r="DI450"/>
      <c r="DJ450"/>
      <c r="DK450"/>
      <c r="DL450"/>
      <c r="DM450"/>
      <c r="DN450"/>
    </row>
    <row r="451" spans="3:118" s="238" customFormat="1" ht="15.75" customHeight="1" x14ac:dyDescent="0.25">
      <c r="C451"/>
      <c r="D451"/>
      <c r="E451"/>
      <c r="F451"/>
      <c r="G451"/>
      <c r="H451"/>
      <c r="I451"/>
      <c r="J451"/>
      <c r="K451"/>
      <c r="L451"/>
      <c r="M451"/>
      <c r="N451"/>
      <c r="O451" s="366"/>
      <c r="P451" s="366">
        <v>2016</v>
      </c>
      <c r="Q451" s="367">
        <f>LARGE($CB$304:$CB$453,148)</f>
        <v>1.2</v>
      </c>
      <c r="R451" s="357">
        <f t="shared" si="129"/>
        <v>-163.4</v>
      </c>
      <c r="S451" s="356">
        <f t="shared" si="128"/>
        <v>26699.56</v>
      </c>
      <c r="U451" s="356">
        <f t="shared" si="130"/>
        <v>-10.2125</v>
      </c>
      <c r="V451" s="238">
        <f t="shared" ref="V451:V514" si="134">IF(U451&gt;6,0,
IF(AND(U451&lt;=6,U451&gt;5),1,
IF(AND(U451&lt;=5,U451&gt;4),2,
IF(AND(U451&lt;=4,U451&gt;3),3,
IF(AND(U451&lt;=3,U451&gt;2),4,
IF(AND(U451&lt;=2,U451&gt;1),5,
IF(AND(U451&lt;=1,U451&gt;0),6,
IF(AND(U451&lt;=0,U451&gt;-1),7,
8))))))))</f>
        <v>8</v>
      </c>
      <c r="W451" s="354"/>
      <c r="X451" s="366"/>
      <c r="Y451" s="366"/>
      <c r="Z451" s="238">
        <v>2016</v>
      </c>
      <c r="AA451" s="367">
        <f>LARGE($CU$304:$CU$453,148)</f>
        <v>13.1</v>
      </c>
      <c r="AB451" s="357">
        <f t="shared" si="131"/>
        <v>-198.60000000000002</v>
      </c>
      <c r="AC451" s="356">
        <f t="shared" si="133"/>
        <v>39441.960000000006</v>
      </c>
      <c r="AE451" s="356">
        <f t="shared" si="132"/>
        <v>-12.412500000000001</v>
      </c>
      <c r="AF451" s="238">
        <f t="shared" ref="AF451:AF514" si="135">IF(AE451&gt;6,0,
IF(AND(AE451&lt;=6,AE451&gt;5),1,
IF(AND(AE451&lt;=5,AE451&gt;4),2,
IF(AND(AE451&lt;=4,AE451&gt;3),3,
IF(AND(AE451&lt;=3,AE451&gt;2),4,
IF(AND(AE451&lt;=2,AE451&gt;1),5,
IF(AND(AE451&lt;=1,AE451&gt;0),6,
IF(AND(AE451&lt;=0,AE451&gt;-1),7,
8))))))))</f>
        <v>8</v>
      </c>
      <c r="AG451" s="354"/>
      <c r="AK451"/>
      <c r="AL451"/>
      <c r="AM451"/>
      <c r="AN451"/>
      <c r="AO451"/>
      <c r="AP451"/>
      <c r="BI451" s="360"/>
      <c r="BJ451" s="354"/>
      <c r="BK451" s="366">
        <v>2016</v>
      </c>
      <c r="BL451" s="365" t="s">
        <v>1238</v>
      </c>
      <c r="BM451" s="366" t="s">
        <v>153</v>
      </c>
      <c r="BN451" s="366" t="s">
        <v>3</v>
      </c>
      <c r="BO451" s="366">
        <v>0</v>
      </c>
      <c r="BP451" s="366">
        <v>0</v>
      </c>
      <c r="BQ451" s="366">
        <v>0</v>
      </c>
      <c r="BR451" s="366">
        <v>12</v>
      </c>
      <c r="BS451" s="366">
        <v>0</v>
      </c>
      <c r="BT451" s="366">
        <v>0</v>
      </c>
      <c r="BU451" s="366">
        <v>0</v>
      </c>
      <c r="BV451" s="366">
        <v>0</v>
      </c>
      <c r="BW451" s="366">
        <v>0</v>
      </c>
      <c r="BX451" s="366">
        <v>0</v>
      </c>
      <c r="BY451" s="366">
        <v>0</v>
      </c>
      <c r="BZ451" s="366">
        <v>0</v>
      </c>
      <c r="CA451" s="366">
        <v>0</v>
      </c>
      <c r="CB451" s="367">
        <f>IFERROR(BO451/Instructions!$J$25,0)+BP451*Instructions!$J$27+BQ451*Instructions!$J$29+IFERROR(BR451/Instructions!$E$34,0)+BS451*Instructions!$E$36+Tier!BT452*Instructions!$E$25+IFERROR(BU451/Instructions!$E$27,0)+BV451*Instructions!$E$29+IFERROR((BW451+BY451)/Instructions!$J$32,0)+(BX451+BZ451)*Instructions!$J$34+Tier!CA451*-2</f>
        <v>1.2</v>
      </c>
      <c r="CC451" s="354"/>
      <c r="CD451" s="238">
        <v>2016</v>
      </c>
      <c r="CE451" s="365" t="s">
        <v>211</v>
      </c>
      <c r="CF451" s="366" t="s">
        <v>1633</v>
      </c>
      <c r="CG451" s="366" t="s">
        <v>6</v>
      </c>
      <c r="CH451" s="366">
        <v>0</v>
      </c>
      <c r="CI451" s="366">
        <v>0</v>
      </c>
      <c r="CJ451" s="366">
        <v>0</v>
      </c>
      <c r="CK451" s="366">
        <v>0</v>
      </c>
      <c r="CL451" s="366">
        <v>0</v>
      </c>
      <c r="CM451" s="366">
        <v>4</v>
      </c>
      <c r="CN451" s="366">
        <v>37</v>
      </c>
      <c r="CO451" s="366">
        <v>1</v>
      </c>
      <c r="CP451" s="366">
        <v>10</v>
      </c>
      <c r="CQ451" s="366">
        <v>0</v>
      </c>
      <c r="CR451" s="366">
        <v>224</v>
      </c>
      <c r="CS451" s="366">
        <v>0</v>
      </c>
      <c r="CT451" s="366">
        <v>0</v>
      </c>
      <c r="CU451" s="367">
        <f>IFERROR(CH451/Instructions!$J$25,0)+CI451*Instructions!$J$27+CJ451*Instructions!$J$29+IFERROR(CK451/Instructions!$E$34,0)+CL451*Instructions!$E$36+Tier!CM451*Instructions!$E$25+IFERROR(CN451/Instructions!$E$27,0)+CO451*Instructions!$E$29+IFERROR((CP451+CR451)/Instructions!$J$32,0)+(CQ451+CS451)*Instructions!$J$34+Tier!CT451*-2</f>
        <v>13.7</v>
      </c>
      <c r="CV451" s="354"/>
      <c r="CW451"/>
      <c r="CX451"/>
      <c r="CY451"/>
      <c r="CZ451"/>
      <c r="DA451"/>
      <c r="DB451"/>
      <c r="DC451"/>
      <c r="DD451"/>
      <c r="DE451"/>
      <c r="DF451"/>
      <c r="DG451"/>
      <c r="DH451"/>
      <c r="DI451"/>
      <c r="DJ451"/>
      <c r="DK451"/>
      <c r="DL451"/>
      <c r="DM451"/>
      <c r="DN451"/>
    </row>
    <row r="452" spans="3:118" s="238" customFormat="1" ht="15.75" customHeight="1" x14ac:dyDescent="0.25">
      <c r="C452"/>
      <c r="D452"/>
      <c r="E452"/>
      <c r="F452"/>
      <c r="G452"/>
      <c r="H452"/>
      <c r="I452"/>
      <c r="J452"/>
      <c r="K452"/>
      <c r="L452"/>
      <c r="M452"/>
      <c r="N452"/>
      <c r="O452" s="380"/>
      <c r="P452" s="366">
        <v>2016</v>
      </c>
      <c r="Q452" s="367">
        <f>LARGE($CB$304:$CB$453,149)</f>
        <v>1.2</v>
      </c>
      <c r="R452" s="357">
        <f t="shared" si="129"/>
        <v>-163.4</v>
      </c>
      <c r="S452" s="356">
        <f t="shared" si="128"/>
        <v>26699.56</v>
      </c>
      <c r="U452" s="356">
        <f t="shared" si="130"/>
        <v>-10.2125</v>
      </c>
      <c r="V452" s="238">
        <f t="shared" si="134"/>
        <v>8</v>
      </c>
      <c r="W452" s="354"/>
      <c r="X452" s="366"/>
      <c r="Y452" s="366"/>
      <c r="Z452" s="238">
        <v>2016</v>
      </c>
      <c r="AA452" s="367">
        <f>LARGE($CU$304:$CU$453,149)</f>
        <v>8.3000000000000007</v>
      </c>
      <c r="AB452" s="357">
        <f t="shared" si="131"/>
        <v>-203.4</v>
      </c>
      <c r="AC452" s="356">
        <f t="shared" si="133"/>
        <v>41371.560000000005</v>
      </c>
      <c r="AE452" s="356">
        <f t="shared" si="132"/>
        <v>-12.7125</v>
      </c>
      <c r="AF452" s="238">
        <f t="shared" si="135"/>
        <v>8</v>
      </c>
      <c r="AG452" s="354"/>
      <c r="AK452"/>
      <c r="AL452"/>
      <c r="AM452"/>
      <c r="AN452"/>
      <c r="AO452"/>
      <c r="AP452"/>
      <c r="BI452" s="360"/>
      <c r="BJ452" s="354"/>
      <c r="BK452" s="366">
        <v>2016</v>
      </c>
      <c r="BL452" s="365" t="s">
        <v>1638</v>
      </c>
      <c r="BM452" s="366" t="s">
        <v>1613</v>
      </c>
      <c r="BN452" s="366" t="s">
        <v>3</v>
      </c>
      <c r="BO452" s="366">
        <v>0</v>
      </c>
      <c r="BP452" s="366">
        <v>0</v>
      </c>
      <c r="BQ452" s="366">
        <v>0</v>
      </c>
      <c r="BR452" s="366">
        <v>11</v>
      </c>
      <c r="BS452" s="366">
        <v>0</v>
      </c>
      <c r="BT452" s="366">
        <v>0</v>
      </c>
      <c r="BU452" s="366">
        <v>0</v>
      </c>
      <c r="BV452" s="366">
        <v>0</v>
      </c>
      <c r="BW452" s="366">
        <v>0</v>
      </c>
      <c r="BX452" s="366">
        <v>0</v>
      </c>
      <c r="BY452" s="366">
        <v>0</v>
      </c>
      <c r="BZ452" s="366">
        <v>0</v>
      </c>
      <c r="CA452" s="366">
        <v>0</v>
      </c>
      <c r="CB452" s="367">
        <f>IFERROR(BO452/Instructions!$J$25,0)+BP452*Instructions!$J$27+BQ452*Instructions!$J$29+IFERROR(BR452/Instructions!$E$34,0)+BS452*Instructions!$E$36+Tier!BT453*Instructions!$E$25+IFERROR(BU452/Instructions!$E$27,0)+BV452*Instructions!$E$29+IFERROR((BW452+BY452)/Instructions!$J$32,0)+(BX452+BZ452)*Instructions!$J$34+Tier!CA452*-2</f>
        <v>1.1000000000000001</v>
      </c>
      <c r="CC452" s="354"/>
      <c r="CD452" s="238">
        <v>2016</v>
      </c>
      <c r="CE452" s="365" t="s">
        <v>1344</v>
      </c>
      <c r="CF452" s="366" t="s">
        <v>164</v>
      </c>
      <c r="CG452" s="366" t="s">
        <v>6</v>
      </c>
      <c r="CH452" s="366">
        <v>0</v>
      </c>
      <c r="CI452" s="366">
        <v>0</v>
      </c>
      <c r="CJ452" s="366">
        <v>0</v>
      </c>
      <c r="CK452" s="366">
        <v>0</v>
      </c>
      <c r="CL452" s="366">
        <v>0</v>
      </c>
      <c r="CM452" s="366">
        <v>19</v>
      </c>
      <c r="CN452" s="366">
        <v>186</v>
      </c>
      <c r="CO452" s="366">
        <v>0</v>
      </c>
      <c r="CP452" s="366">
        <v>0</v>
      </c>
      <c r="CQ452" s="366">
        <v>0</v>
      </c>
      <c r="CR452" s="366">
        <v>0</v>
      </c>
      <c r="CS452" s="366">
        <v>0</v>
      </c>
      <c r="CT452" s="366">
        <v>0</v>
      </c>
      <c r="CU452" s="367">
        <f>IFERROR(CH452/Instructions!$J$25,0)+CI452*Instructions!$J$27+CJ452*Instructions!$J$29+IFERROR(CK452/Instructions!$E$34,0)+CL452*Instructions!$E$36+Tier!CM452*Instructions!$E$25+IFERROR(CN452/Instructions!$E$27,0)+CO452*Instructions!$E$29+IFERROR((CP452+CR452)/Instructions!$J$32,0)+(CQ452+CS452)*Instructions!$J$34+Tier!CT452*-2</f>
        <v>37.6</v>
      </c>
      <c r="CV452" s="354"/>
      <c r="CW452"/>
      <c r="CX452"/>
      <c r="CY452"/>
      <c r="CZ452"/>
      <c r="DA452"/>
      <c r="DB452"/>
      <c r="DC452"/>
      <c r="DD452"/>
      <c r="DE452"/>
      <c r="DF452"/>
      <c r="DG452"/>
      <c r="DH452"/>
      <c r="DI452"/>
      <c r="DJ452"/>
      <c r="DK452"/>
      <c r="DL452"/>
      <c r="DM452"/>
      <c r="DN452"/>
    </row>
    <row r="453" spans="3:118" s="238" customFormat="1" ht="15.75" customHeight="1" x14ac:dyDescent="0.25">
      <c r="C453"/>
      <c r="D453"/>
      <c r="E453"/>
      <c r="F453"/>
      <c r="G453"/>
      <c r="H453"/>
      <c r="I453"/>
      <c r="J453"/>
      <c r="K453"/>
      <c r="L453"/>
      <c r="M453"/>
      <c r="N453"/>
      <c r="O453" s="366"/>
      <c r="P453" s="366">
        <v>2016</v>
      </c>
      <c r="Q453" s="367">
        <f>LARGE($CB$304:$CB$453,150)</f>
        <v>1.1000000000000001</v>
      </c>
      <c r="R453" s="357">
        <f t="shared" si="129"/>
        <v>-163.5</v>
      </c>
      <c r="S453" s="356">
        <f t="shared" si="128"/>
        <v>26732.25</v>
      </c>
      <c r="U453" s="356">
        <f t="shared" si="130"/>
        <v>-10.21875</v>
      </c>
      <c r="V453" s="238">
        <f t="shared" si="134"/>
        <v>8</v>
      </c>
      <c r="W453" s="354"/>
      <c r="X453" s="366"/>
      <c r="Y453" s="366"/>
      <c r="Z453" s="238">
        <v>2016</v>
      </c>
      <c r="AA453" s="367">
        <f>LARGE($CU$304:$CU$453,150)</f>
        <v>1.5</v>
      </c>
      <c r="AB453" s="357">
        <f t="shared" si="131"/>
        <v>-210.20000000000002</v>
      </c>
      <c r="AC453" s="356">
        <f t="shared" si="133"/>
        <v>44184.040000000008</v>
      </c>
      <c r="AE453" s="356">
        <f t="shared" si="132"/>
        <v>-13.137500000000001</v>
      </c>
      <c r="AF453" s="238">
        <f t="shared" si="135"/>
        <v>8</v>
      </c>
      <c r="AG453" s="354"/>
      <c r="AK453"/>
      <c r="AL453"/>
      <c r="AM453"/>
      <c r="AN453"/>
      <c r="AO453"/>
      <c r="AP453"/>
      <c r="BI453" s="360"/>
      <c r="BJ453" s="354"/>
      <c r="BK453" s="366">
        <v>2016</v>
      </c>
      <c r="BL453" s="365" t="s">
        <v>1333</v>
      </c>
      <c r="BM453" s="366" t="s">
        <v>140</v>
      </c>
      <c r="BN453" s="366" t="s">
        <v>3</v>
      </c>
      <c r="BO453" s="366">
        <v>0</v>
      </c>
      <c r="BP453" s="366">
        <v>0</v>
      </c>
      <c r="BQ453" s="366">
        <v>0</v>
      </c>
      <c r="BR453" s="366">
        <v>12</v>
      </c>
      <c r="BS453" s="366">
        <v>0</v>
      </c>
      <c r="BT453" s="366">
        <v>0</v>
      </c>
      <c r="BU453" s="366">
        <v>0</v>
      </c>
      <c r="BV453" s="366">
        <v>0</v>
      </c>
      <c r="BW453" s="366">
        <v>0</v>
      </c>
      <c r="BX453" s="366">
        <v>0</v>
      </c>
      <c r="BY453" s="366">
        <v>0</v>
      </c>
      <c r="BZ453" s="366">
        <v>0</v>
      </c>
      <c r="CA453" s="366">
        <v>0</v>
      </c>
      <c r="CB453" s="367">
        <f>IFERROR(BO453/Instructions!$J$25,0)+BP453*Instructions!$J$27+BQ453*Instructions!$J$29+IFERROR(BR453/Instructions!$E$34,0)+BS453*Instructions!$E$36+Tier!BT454*Instructions!$E$25+IFERROR(BU453/Instructions!$E$27,0)+BV453*Instructions!$E$29+IFERROR((BW453+BY453)/Instructions!$J$32,0)+(BX453+BZ453)*Instructions!$J$34+Tier!CA453*-2</f>
        <v>1.2</v>
      </c>
      <c r="CC453" s="354"/>
      <c r="CD453" s="238">
        <v>2016</v>
      </c>
      <c r="CE453" s="365" t="s">
        <v>1342</v>
      </c>
      <c r="CF453" s="366" t="s">
        <v>1633</v>
      </c>
      <c r="CG453" s="366" t="s">
        <v>6</v>
      </c>
      <c r="CH453" s="366">
        <v>0</v>
      </c>
      <c r="CI453" s="366">
        <v>0</v>
      </c>
      <c r="CJ453" s="366">
        <v>0</v>
      </c>
      <c r="CK453" s="366">
        <v>0</v>
      </c>
      <c r="CL453" s="366">
        <v>0</v>
      </c>
      <c r="CM453" s="366">
        <v>16</v>
      </c>
      <c r="CN453" s="366">
        <v>124</v>
      </c>
      <c r="CO453" s="366">
        <v>1</v>
      </c>
      <c r="CP453" s="366">
        <v>0</v>
      </c>
      <c r="CQ453" s="366">
        <v>0</v>
      </c>
      <c r="CR453" s="366">
        <v>0</v>
      </c>
      <c r="CS453" s="366">
        <v>0</v>
      </c>
      <c r="CT453" s="366">
        <v>0</v>
      </c>
      <c r="CU453" s="367">
        <f>IFERROR(CH453/Instructions!$J$25,0)+CI453*Instructions!$J$27+CJ453*Instructions!$J$29+IFERROR(CK453/Instructions!$E$34,0)+CL453*Instructions!$E$36+Tier!CM453*Instructions!$E$25+IFERROR(CN453/Instructions!$E$27,0)+CO453*Instructions!$E$29+IFERROR((CP453+CR453)/Instructions!$J$32,0)+(CQ453+CS453)*Instructions!$J$34+Tier!CT453*-2</f>
        <v>34.4</v>
      </c>
      <c r="CV453" s="354"/>
      <c r="CW453"/>
      <c r="CX453"/>
      <c r="CY453"/>
      <c r="CZ453"/>
      <c r="DA453"/>
      <c r="DB453"/>
      <c r="DC453"/>
      <c r="DD453"/>
      <c r="DE453"/>
      <c r="DF453"/>
      <c r="DG453"/>
      <c r="DH453"/>
      <c r="DI453"/>
      <c r="DJ453"/>
      <c r="DK453"/>
      <c r="DL453"/>
      <c r="DM453"/>
      <c r="DN453"/>
    </row>
    <row r="454" spans="3:118" s="238" customFormat="1" ht="15.75" customHeight="1" x14ac:dyDescent="0.25">
      <c r="C454"/>
      <c r="D454"/>
      <c r="E454"/>
      <c r="F454"/>
      <c r="G454"/>
      <c r="H454"/>
      <c r="I454"/>
      <c r="J454"/>
      <c r="K454"/>
      <c r="L454"/>
      <c r="M454"/>
      <c r="N454"/>
      <c r="O454" s="366"/>
      <c r="P454" s="380"/>
      <c r="Q454" s="376"/>
      <c r="R454" s="376"/>
      <c r="S454" s="376"/>
      <c r="T454" s="376"/>
      <c r="U454" s="376"/>
      <c r="V454" s="376"/>
      <c r="W454" s="354"/>
      <c r="X454" s="380"/>
      <c r="Y454" s="380"/>
      <c r="Z454" s="354"/>
      <c r="AA454" s="376"/>
      <c r="AB454" s="376"/>
      <c r="AC454" s="376"/>
      <c r="AD454" s="376"/>
      <c r="AE454" s="376"/>
      <c r="AF454" s="376"/>
      <c r="AG454" s="354"/>
      <c r="AK454"/>
      <c r="AL454"/>
      <c r="AM454"/>
      <c r="AN454"/>
      <c r="AO454"/>
      <c r="AP454"/>
      <c r="BI454" s="360"/>
      <c r="BJ454" s="354"/>
      <c r="BK454" s="380"/>
      <c r="BL454" s="420"/>
      <c r="BM454" s="380"/>
      <c r="BN454" s="380"/>
      <c r="BO454" s="380"/>
      <c r="BP454" s="380"/>
      <c r="BQ454" s="380"/>
      <c r="BR454" s="380"/>
      <c r="BS454" s="380"/>
      <c r="BT454" s="380"/>
      <c r="BU454" s="380"/>
      <c r="BV454" s="380"/>
      <c r="BW454" s="380"/>
      <c r="BX454" s="380"/>
      <c r="BY454" s="380"/>
      <c r="BZ454" s="380"/>
      <c r="CA454" s="380"/>
      <c r="CB454" s="382"/>
      <c r="CC454" s="354"/>
      <c r="CD454" s="354"/>
      <c r="CE454" s="420"/>
      <c r="CF454" s="380"/>
      <c r="CG454" s="380"/>
      <c r="CH454" s="380"/>
      <c r="CI454" s="380"/>
      <c r="CJ454" s="380"/>
      <c r="CK454" s="380"/>
      <c r="CL454" s="380"/>
      <c r="CM454" s="380"/>
      <c r="CN454" s="380"/>
      <c r="CO454" s="380"/>
      <c r="CP454" s="380"/>
      <c r="CQ454" s="380"/>
      <c r="CR454" s="380"/>
      <c r="CS454" s="380"/>
      <c r="CT454" s="380"/>
      <c r="CU454" s="382"/>
      <c r="CV454" s="354"/>
      <c r="CW454"/>
      <c r="CX454"/>
      <c r="CY454"/>
      <c r="CZ454"/>
      <c r="DA454"/>
      <c r="DB454"/>
      <c r="DC454"/>
      <c r="DD454"/>
      <c r="DE454"/>
      <c r="DF454"/>
      <c r="DG454"/>
      <c r="DH454"/>
      <c r="DI454"/>
      <c r="DJ454"/>
      <c r="DK454"/>
      <c r="DL454"/>
      <c r="DM454"/>
      <c r="DN454"/>
    </row>
    <row r="455" spans="3:118" s="238" customFormat="1" ht="15.75" customHeight="1" x14ac:dyDescent="0.25">
      <c r="C455"/>
      <c r="D455"/>
      <c r="E455"/>
      <c r="F455"/>
      <c r="G455"/>
      <c r="H455"/>
      <c r="I455"/>
      <c r="J455"/>
      <c r="K455"/>
      <c r="L455"/>
      <c r="M455"/>
      <c r="N455"/>
      <c r="O455" s="366"/>
      <c r="P455" s="366">
        <v>2017</v>
      </c>
      <c r="Q455" s="367">
        <f>LARGE($CB$455:$CB$604,1)</f>
        <v>404.3</v>
      </c>
      <c r="R455" s="357">
        <f>Q455-$T$465</f>
        <v>232.23333333333332</v>
      </c>
      <c r="S455" s="356">
        <f>R455^2</f>
        <v>53932.321111111101</v>
      </c>
      <c r="T455" s="356">
        <v>16</v>
      </c>
      <c r="U455" s="356">
        <f>R455/$T$455</f>
        <v>14.514583333333333</v>
      </c>
      <c r="V455" s="238">
        <f t="shared" si="134"/>
        <v>0</v>
      </c>
      <c r="W455" s="354"/>
      <c r="X455" s="366"/>
      <c r="Y455" s="366"/>
      <c r="Z455" s="238">
        <v>2017</v>
      </c>
      <c r="AA455" s="367">
        <f>LARGE($CU$455:$CU$604,1)</f>
        <v>309.8</v>
      </c>
      <c r="AB455" s="357">
        <f>$AA455-$AD$465</f>
        <v>117.26666666666668</v>
      </c>
      <c r="AC455" s="356">
        <f t="shared" si="133"/>
        <v>13751.471111111114</v>
      </c>
      <c r="AD455" s="356">
        <v>16</v>
      </c>
      <c r="AE455" s="356">
        <f>AB455/$AD$455</f>
        <v>7.3291666666666675</v>
      </c>
      <c r="AF455" s="238">
        <f t="shared" si="135"/>
        <v>0</v>
      </c>
      <c r="AG455" s="354"/>
      <c r="AK455"/>
      <c r="AL455"/>
      <c r="AM455"/>
      <c r="AN455"/>
      <c r="AO455"/>
      <c r="AP455"/>
      <c r="BI455" s="360"/>
      <c r="BJ455" s="354"/>
      <c r="BK455" s="366">
        <v>2017</v>
      </c>
      <c r="BL455" s="365" t="s">
        <v>1127</v>
      </c>
      <c r="BM455" s="366" t="s">
        <v>1389</v>
      </c>
      <c r="BN455" s="366" t="s">
        <v>3</v>
      </c>
      <c r="BO455" s="366">
        <v>0</v>
      </c>
      <c r="BP455" s="366">
        <v>0</v>
      </c>
      <c r="BQ455" s="366">
        <v>0</v>
      </c>
      <c r="BR455" s="366">
        <v>1305</v>
      </c>
      <c r="BS455" s="366">
        <v>13</v>
      </c>
      <c r="BT455" s="366">
        <v>64</v>
      </c>
      <c r="BU455" s="366">
        <v>788</v>
      </c>
      <c r="BV455" s="366">
        <v>6</v>
      </c>
      <c r="BW455" s="366">
        <v>0</v>
      </c>
      <c r="BX455" s="366">
        <v>0</v>
      </c>
      <c r="BY455" s="366">
        <v>0</v>
      </c>
      <c r="BZ455" s="366">
        <v>0</v>
      </c>
      <c r="CA455" s="366">
        <v>2</v>
      </c>
      <c r="CB455" s="367">
        <f>IFERROR(BO455/Instructions!$J$25,0)+BP455*Instructions!$J$27+BQ455*Instructions!$J$29+IFERROR(BR455/Instructions!$E$34,0)+BS455*Instructions!$E$36+Tier!BT456*Instructions!$E$25+IFERROR(BU455/Instructions!$E$27,0)+BV455*Instructions!$E$29+IFERROR((BW455+BY455)/Instructions!$J$32,0)+(BX455+BZ455)*Instructions!$J$34+Tier!CA455*-2</f>
        <v>404.3</v>
      </c>
      <c r="CC455" s="354"/>
      <c r="CD455" s="238">
        <v>2017</v>
      </c>
      <c r="CE455" s="365" t="s">
        <v>108</v>
      </c>
      <c r="CF455" s="366" t="s">
        <v>151</v>
      </c>
      <c r="CG455" s="366" t="s">
        <v>6</v>
      </c>
      <c r="CH455" s="366">
        <v>0</v>
      </c>
      <c r="CI455" s="366">
        <v>0</v>
      </c>
      <c r="CJ455" s="366">
        <v>0</v>
      </c>
      <c r="CK455" s="366">
        <v>0</v>
      </c>
      <c r="CL455" s="366">
        <v>0</v>
      </c>
      <c r="CM455" s="366">
        <v>96</v>
      </c>
      <c r="CN455" s="366">
        <v>1378</v>
      </c>
      <c r="CO455" s="366">
        <v>13</v>
      </c>
      <c r="CP455" s="366">
        <v>0</v>
      </c>
      <c r="CQ455" s="366">
        <v>0</v>
      </c>
      <c r="CR455" s="366">
        <v>0</v>
      </c>
      <c r="CS455" s="366">
        <v>0</v>
      </c>
      <c r="CT455" s="366">
        <v>1</v>
      </c>
      <c r="CU455" s="367">
        <f>IFERROR(CH455/Instructions!$J$25,0)+CI455*Instructions!$J$27+CJ455*Instructions!$J$29+IFERROR(CK455/Instructions!$E$34,0)+CL455*Instructions!$E$36+Tier!CM455*Instructions!$E$25+IFERROR(CN455/Instructions!$E$27,0)+CO455*Instructions!$E$29+IFERROR((CP455+CR455)/Instructions!$J$32,0)+(CQ455+CS455)*Instructions!$J$34+Tier!CT455*-2</f>
        <v>309.8</v>
      </c>
      <c r="CV455" s="354"/>
      <c r="CW455"/>
      <c r="CX455"/>
      <c r="CY455"/>
      <c r="CZ455"/>
      <c r="DA455"/>
      <c r="DB455"/>
      <c r="DC455"/>
      <c r="DD455"/>
      <c r="DE455"/>
      <c r="DF455"/>
      <c r="DG455"/>
      <c r="DH455"/>
      <c r="DI455"/>
      <c r="DJ455"/>
      <c r="DK455"/>
      <c r="DL455"/>
      <c r="DM455"/>
      <c r="DN455"/>
    </row>
    <row r="456" spans="3:118" s="238" customFormat="1" ht="15.75" customHeight="1" x14ac:dyDescent="0.25">
      <c r="C456"/>
      <c r="D456"/>
      <c r="E456"/>
      <c r="F456"/>
      <c r="G456"/>
      <c r="H456"/>
      <c r="I456"/>
      <c r="J456"/>
      <c r="K456"/>
      <c r="L456"/>
      <c r="M456"/>
      <c r="N456"/>
      <c r="O456" s="366"/>
      <c r="P456" s="366">
        <v>2017</v>
      </c>
      <c r="Q456" s="367">
        <f>LARGE($CB$455:$CB$604,2)</f>
        <v>324.2</v>
      </c>
      <c r="R456" s="357">
        <f t="shared" ref="R456:R519" si="136">Q456-$T$465</f>
        <v>152.1333333333333</v>
      </c>
      <c r="S456" s="356">
        <f t="shared" ref="S456:S504" si="137">R456^2</f>
        <v>23144.551111111101</v>
      </c>
      <c r="T456" s="356">
        <f>AVERAGE(S455:INDEX(S455:S604,Instructions!$E$11*(Instructions!$E$19+Instructions!$J$15*0.5),1))</f>
        <v>5319.9519999999966</v>
      </c>
      <c r="U456" s="356">
        <f t="shared" ref="U456:U519" si="138">R456/$T$455</f>
        <v>9.5083333333333311</v>
      </c>
      <c r="V456" s="238">
        <f t="shared" si="134"/>
        <v>0</v>
      </c>
      <c r="W456" s="354"/>
      <c r="X456" s="366"/>
      <c r="Y456" s="366"/>
      <c r="Z456" s="238">
        <v>2017</v>
      </c>
      <c r="AA456" s="367">
        <f>LARGE($CU$455:$CU$604,2)</f>
        <v>308.3</v>
      </c>
      <c r="AB456" s="357">
        <f t="shared" ref="AB456:AB519" si="139">$AA456-$AD$465</f>
        <v>115.76666666666668</v>
      </c>
      <c r="AC456" s="356">
        <f t="shared" si="133"/>
        <v>13401.921111111114</v>
      </c>
      <c r="AD456" s="356">
        <f>AVERAGE(AC2:INDEX(AC2:AC151,Instructions!$E$11*(Instructions!$E$17+Instructions!$J$15*0.5),1))</f>
        <v>3455.2365555555548</v>
      </c>
      <c r="AE456" s="356">
        <f t="shared" ref="AE456:AE519" si="140">AB456/$AD$455</f>
        <v>7.2354166666666675</v>
      </c>
      <c r="AF456" s="238">
        <f t="shared" si="135"/>
        <v>0</v>
      </c>
      <c r="AG456" s="354"/>
      <c r="AK456"/>
      <c r="AL456"/>
      <c r="AM456"/>
      <c r="AN456"/>
      <c r="AO456"/>
      <c r="AP456"/>
      <c r="BI456" s="360"/>
      <c r="BJ456" s="354"/>
      <c r="BK456" s="366">
        <v>2017</v>
      </c>
      <c r="BL456" s="365" t="s">
        <v>1631</v>
      </c>
      <c r="BM456" s="366" t="s">
        <v>147</v>
      </c>
      <c r="BN456" s="366" t="s">
        <v>3</v>
      </c>
      <c r="BO456" s="366">
        <v>0</v>
      </c>
      <c r="BP456" s="366">
        <v>0</v>
      </c>
      <c r="BQ456" s="366">
        <v>0</v>
      </c>
      <c r="BR456" s="366">
        <v>1291</v>
      </c>
      <c r="BS456" s="366">
        <v>9</v>
      </c>
      <c r="BT456" s="366">
        <v>85</v>
      </c>
      <c r="BU456" s="366">
        <v>655</v>
      </c>
      <c r="BV456" s="366">
        <v>2</v>
      </c>
      <c r="BW456" s="366">
        <v>0</v>
      </c>
      <c r="BX456" s="366">
        <v>0</v>
      </c>
      <c r="BY456" s="366">
        <v>0</v>
      </c>
      <c r="BZ456" s="366">
        <v>0</v>
      </c>
      <c r="CA456" s="366">
        <v>2</v>
      </c>
      <c r="CB456" s="367">
        <f>IFERROR(BO456/Instructions!$J$25,0)+BP456*Instructions!$J$27+BQ456*Instructions!$J$29+IFERROR(BR456/Instructions!$E$34,0)+BS456*Instructions!$E$36+Tier!BT457*Instructions!$E$25+IFERROR(BU456/Instructions!$E$27,0)+BV456*Instructions!$E$29+IFERROR((BW456+BY456)/Instructions!$J$32,0)+(BX456+BZ456)*Instructions!$J$34+Tier!CA456*-2</f>
        <v>309.60000000000002</v>
      </c>
      <c r="CC456" s="354"/>
      <c r="CD456" s="238">
        <v>2017</v>
      </c>
      <c r="CE456" s="365" t="s">
        <v>36</v>
      </c>
      <c r="CF456" s="366" t="s">
        <v>147</v>
      </c>
      <c r="CG456" s="366" t="s">
        <v>6</v>
      </c>
      <c r="CH456" s="366">
        <v>0</v>
      </c>
      <c r="CI456" s="366">
        <v>0</v>
      </c>
      <c r="CJ456" s="366">
        <v>0</v>
      </c>
      <c r="CK456" s="366">
        <v>0</v>
      </c>
      <c r="CL456" s="366">
        <v>0</v>
      </c>
      <c r="CM456" s="366">
        <v>101</v>
      </c>
      <c r="CN456" s="366">
        <v>1533</v>
      </c>
      <c r="CO456" s="366">
        <v>9</v>
      </c>
      <c r="CP456" s="366">
        <v>61</v>
      </c>
      <c r="CQ456" s="366">
        <v>0</v>
      </c>
      <c r="CR456" s="366">
        <v>0</v>
      </c>
      <c r="CS456" s="366">
        <v>0</v>
      </c>
      <c r="CT456" s="366">
        <v>0</v>
      </c>
      <c r="CU456" s="367">
        <f>IFERROR(CH456/Instructions!$J$25,0)+CI456*Instructions!$J$27+CJ456*Instructions!$J$29+IFERROR(CK456/Instructions!$E$34,0)+CL456*Instructions!$E$36+Tier!CM456*Instructions!$E$25+IFERROR(CN456/Instructions!$E$27,0)+CO456*Instructions!$E$29+IFERROR((CP456+CR456)/Instructions!$J$32,0)+(CQ456+CS456)*Instructions!$J$34+Tier!CT456*-2</f>
        <v>308.3</v>
      </c>
      <c r="CV456" s="354"/>
      <c r="CW456"/>
      <c r="CX456"/>
      <c r="CY456"/>
      <c r="CZ456"/>
      <c r="DA456"/>
      <c r="DB456"/>
      <c r="DC456"/>
      <c r="DD456"/>
      <c r="DE456"/>
      <c r="DF456"/>
      <c r="DG456"/>
      <c r="DH456"/>
      <c r="DI456"/>
      <c r="DJ456"/>
      <c r="DK456"/>
      <c r="DL456"/>
      <c r="DM456"/>
      <c r="DN456"/>
    </row>
    <row r="457" spans="3:118" s="238" customFormat="1" ht="15.75" customHeight="1" x14ac:dyDescent="0.25">
      <c r="C457"/>
      <c r="D457"/>
      <c r="E457"/>
      <c r="F457"/>
      <c r="G457"/>
      <c r="H457"/>
      <c r="I457"/>
      <c r="J457"/>
      <c r="K457"/>
      <c r="L457"/>
      <c r="M457"/>
      <c r="N457"/>
      <c r="O457" s="366"/>
      <c r="P457" s="366">
        <v>2017</v>
      </c>
      <c r="Q457" s="367">
        <f>LARGE($CB$455:$CB$604,3)</f>
        <v>309.60000000000002</v>
      </c>
      <c r="R457" s="357">
        <f t="shared" si="136"/>
        <v>137.53333333333333</v>
      </c>
      <c r="S457" s="356">
        <f t="shared" si="137"/>
        <v>18915.417777777777</v>
      </c>
      <c r="U457" s="356">
        <f t="shared" si="138"/>
        <v>8.5958333333333332</v>
      </c>
      <c r="V457" s="238">
        <f t="shared" si="134"/>
        <v>0</v>
      </c>
      <c r="W457" s="354"/>
      <c r="X457" s="366"/>
      <c r="Y457" s="366"/>
      <c r="Z457" s="238">
        <v>2017</v>
      </c>
      <c r="AA457" s="367">
        <f>LARGE($CU$455:$CU$604,3)</f>
        <v>284.20000000000005</v>
      </c>
      <c r="AB457" s="357">
        <f t="shared" si="139"/>
        <v>91.666666666666714</v>
      </c>
      <c r="AC457" s="356">
        <f t="shared" si="133"/>
        <v>8402.7777777777865</v>
      </c>
      <c r="AE457" s="356">
        <f t="shared" si="140"/>
        <v>5.7291666666666696</v>
      </c>
      <c r="AF457" s="238">
        <f t="shared" si="135"/>
        <v>1</v>
      </c>
      <c r="AG457" s="354"/>
      <c r="AK457"/>
      <c r="AL457"/>
      <c r="AM457"/>
      <c r="AN457"/>
      <c r="AO457"/>
      <c r="AP457"/>
      <c r="BI457" s="360"/>
      <c r="BJ457" s="354"/>
      <c r="BK457" s="366">
        <v>2017</v>
      </c>
      <c r="BL457" s="365" t="s">
        <v>1417</v>
      </c>
      <c r="BM457" s="366" t="s">
        <v>136</v>
      </c>
      <c r="BN457" s="366" t="s">
        <v>3</v>
      </c>
      <c r="BO457" s="366">
        <v>0</v>
      </c>
      <c r="BP457" s="366">
        <v>0</v>
      </c>
      <c r="BQ457" s="366">
        <v>0</v>
      </c>
      <c r="BR457" s="366">
        <v>1327</v>
      </c>
      <c r="BS457" s="366">
        <v>8</v>
      </c>
      <c r="BT457" s="366">
        <v>53</v>
      </c>
      <c r="BU457" s="366">
        <v>455</v>
      </c>
      <c r="BV457" s="366">
        <v>3</v>
      </c>
      <c r="BW457" s="366">
        <v>0</v>
      </c>
      <c r="BX457" s="366">
        <v>0</v>
      </c>
      <c r="BY457" s="366">
        <v>0</v>
      </c>
      <c r="BZ457" s="366">
        <v>0</v>
      </c>
      <c r="CA457" s="366">
        <v>1</v>
      </c>
      <c r="CB457" s="367">
        <f>IFERROR(BO457/Instructions!$J$25,0)+BP457*Instructions!$J$27+BQ457*Instructions!$J$29+IFERROR(BR457/Instructions!$E$34,0)+BS457*Instructions!$E$36+Tier!BT458*Instructions!$E$25+IFERROR(BU457/Instructions!$E$27,0)+BV457*Instructions!$E$29+IFERROR((BW457+BY457)/Instructions!$J$32,0)+(BX457+BZ457)*Instructions!$J$34+Tier!CA457*-2</f>
        <v>324.2</v>
      </c>
      <c r="CC457" s="354"/>
      <c r="CD457" s="238">
        <v>2017</v>
      </c>
      <c r="CE457" s="365" t="s">
        <v>53</v>
      </c>
      <c r="CF457" s="366" t="s">
        <v>1388</v>
      </c>
      <c r="CG457" s="366" t="s">
        <v>6</v>
      </c>
      <c r="CH457" s="366">
        <v>0</v>
      </c>
      <c r="CI457" s="366">
        <v>0</v>
      </c>
      <c r="CJ457" s="366">
        <v>0</v>
      </c>
      <c r="CK457" s="366">
        <v>9</v>
      </c>
      <c r="CL457" s="366">
        <v>1</v>
      </c>
      <c r="CM457" s="366">
        <v>102</v>
      </c>
      <c r="CN457" s="366">
        <v>1393</v>
      </c>
      <c r="CO457" s="366">
        <v>6</v>
      </c>
      <c r="CP457" s="366">
        <v>0</v>
      </c>
      <c r="CQ457" s="366">
        <v>0</v>
      </c>
      <c r="CR457" s="366">
        <v>0</v>
      </c>
      <c r="CS457" s="366">
        <v>0</v>
      </c>
      <c r="CT457" s="366">
        <v>0</v>
      </c>
      <c r="CU457" s="367">
        <f>IFERROR(CH457/Instructions!$J$25,0)+CI457*Instructions!$J$27+CJ457*Instructions!$J$29+IFERROR(CK457/Instructions!$E$34,0)+CL457*Instructions!$E$36+Tier!CM457*Instructions!$E$25+IFERROR(CN457/Instructions!$E$27,0)+CO457*Instructions!$E$29+IFERROR((CP457+CR457)/Instructions!$J$32,0)+(CQ457+CS457)*Instructions!$J$34+Tier!CT457*-2</f>
        <v>284.20000000000005</v>
      </c>
      <c r="CV457" s="354"/>
      <c r="CW457"/>
      <c r="CX457"/>
      <c r="CY457"/>
      <c r="CZ457"/>
      <c r="DA457"/>
      <c r="DB457"/>
      <c r="DC457"/>
      <c r="DD457"/>
      <c r="DE457"/>
      <c r="DF457"/>
      <c r="DG457"/>
      <c r="DH457"/>
      <c r="DI457"/>
      <c r="DJ457"/>
      <c r="DK457"/>
      <c r="DL457"/>
      <c r="DM457"/>
      <c r="DN457"/>
    </row>
    <row r="458" spans="3:118" s="238" customFormat="1" ht="15.75" customHeight="1" x14ac:dyDescent="0.25">
      <c r="C458"/>
      <c r="D458"/>
      <c r="E458"/>
      <c r="F458"/>
      <c r="G458"/>
      <c r="H458"/>
      <c r="I458"/>
      <c r="J458"/>
      <c r="K458"/>
      <c r="L458"/>
      <c r="M458"/>
      <c r="N458"/>
      <c r="O458" s="366"/>
      <c r="P458" s="366">
        <v>2017</v>
      </c>
      <c r="Q458" s="367">
        <f>LARGE($CB$455:$CB$604,4)</f>
        <v>294.39999999999998</v>
      </c>
      <c r="R458" s="357">
        <f t="shared" si="136"/>
        <v>122.33333333333329</v>
      </c>
      <c r="S458" s="356">
        <f t="shared" si="137"/>
        <v>14965.444444444433</v>
      </c>
      <c r="T458" s="356">
        <f>T459+T455</f>
        <v>284.06666666666672</v>
      </c>
      <c r="U458" s="356">
        <f t="shared" si="138"/>
        <v>7.6458333333333304</v>
      </c>
      <c r="V458" s="238">
        <f t="shared" si="134"/>
        <v>0</v>
      </c>
      <c r="W458" s="354"/>
      <c r="X458" s="366"/>
      <c r="Y458" s="366"/>
      <c r="Z458" s="238">
        <v>2017</v>
      </c>
      <c r="AA458" s="367">
        <f>LARGE($CU$455:$CU$604,4)</f>
        <v>260</v>
      </c>
      <c r="AB458" s="357">
        <f t="shared" si="139"/>
        <v>67.466666666666669</v>
      </c>
      <c r="AC458" s="356">
        <f t="shared" si="133"/>
        <v>4551.7511111111116</v>
      </c>
      <c r="AD458" s="356">
        <f>AD459+AD455</f>
        <v>304.5333333333333</v>
      </c>
      <c r="AE458" s="356">
        <f t="shared" si="140"/>
        <v>4.2166666666666668</v>
      </c>
      <c r="AF458" s="238">
        <f t="shared" si="135"/>
        <v>2</v>
      </c>
      <c r="AG458" s="354"/>
      <c r="AK458"/>
      <c r="AL458"/>
      <c r="AM458"/>
      <c r="AN458"/>
      <c r="AO458"/>
      <c r="AP458"/>
      <c r="BI458" s="360"/>
      <c r="BJ458" s="354"/>
      <c r="BK458" s="366">
        <v>2017</v>
      </c>
      <c r="BL458" s="365" t="s">
        <v>1429</v>
      </c>
      <c r="BM458" s="366" t="s">
        <v>143</v>
      </c>
      <c r="BN458" s="366" t="s">
        <v>3</v>
      </c>
      <c r="BO458" s="366">
        <v>0</v>
      </c>
      <c r="BP458" s="366">
        <v>0</v>
      </c>
      <c r="BQ458" s="366">
        <v>0</v>
      </c>
      <c r="BR458" s="366">
        <v>728</v>
      </c>
      <c r="BS458" s="366">
        <v>8</v>
      </c>
      <c r="BT458" s="366">
        <v>82</v>
      </c>
      <c r="BU458" s="366">
        <v>826</v>
      </c>
      <c r="BV458" s="366">
        <v>5</v>
      </c>
      <c r="BW458" s="366">
        <v>0</v>
      </c>
      <c r="BX458" s="366">
        <v>0</v>
      </c>
      <c r="BY458" s="366">
        <v>347</v>
      </c>
      <c r="BZ458" s="366">
        <v>1</v>
      </c>
      <c r="CA458" s="366">
        <v>1</v>
      </c>
      <c r="CB458" s="367">
        <f>IFERROR(BO458/Instructions!$J$25,0)+BP458*Instructions!$J$27+BQ458*Instructions!$J$29+IFERROR(BR458/Instructions!$E$34,0)+BS458*Instructions!$E$36+Tier!BT459*Instructions!$E$25+IFERROR(BU458/Instructions!$E$27,0)+BV458*Instructions!$E$29+IFERROR((BW458+BY458)/Instructions!$J$32,0)+(BX458+BZ458)*Instructions!$J$34+Tier!CA458*-2</f>
        <v>294.39999999999998</v>
      </c>
      <c r="CC458" s="354"/>
      <c r="CD458" s="238">
        <v>2017</v>
      </c>
      <c r="CE458" s="365" t="s">
        <v>1267</v>
      </c>
      <c r="CF458" s="366" t="s">
        <v>136</v>
      </c>
      <c r="CG458" s="366" t="s">
        <v>6</v>
      </c>
      <c r="CH458" s="366">
        <v>0</v>
      </c>
      <c r="CI458" s="366">
        <v>0</v>
      </c>
      <c r="CJ458" s="366">
        <v>1</v>
      </c>
      <c r="CK458" s="366">
        <v>59</v>
      </c>
      <c r="CL458" s="366">
        <v>0</v>
      </c>
      <c r="CM458" s="366">
        <v>75</v>
      </c>
      <c r="CN458" s="366">
        <v>1183</v>
      </c>
      <c r="CO458" s="366">
        <v>7</v>
      </c>
      <c r="CP458" s="366">
        <v>204</v>
      </c>
      <c r="CQ458" s="366">
        <v>1</v>
      </c>
      <c r="CR458" s="366">
        <v>0</v>
      </c>
      <c r="CS458" s="366">
        <v>0</v>
      </c>
      <c r="CT458" s="366">
        <v>0</v>
      </c>
      <c r="CU458" s="367">
        <f>IFERROR(CH458/Instructions!$J$25,0)+CI458*Instructions!$J$27+CJ458*Instructions!$J$29+IFERROR(CK458/Instructions!$E$34,0)+CL458*Instructions!$E$36+Tier!CM458*Instructions!$E$25+IFERROR(CN458/Instructions!$E$27,0)+CO458*Instructions!$E$29+IFERROR((CP458+CR458)/Instructions!$J$32,0)+(CQ458+CS458)*Instructions!$J$34+Tier!CT458*-2</f>
        <v>245.2</v>
      </c>
      <c r="CV458" s="354"/>
      <c r="CW458"/>
      <c r="CX458"/>
      <c r="CY458"/>
      <c r="CZ458"/>
      <c r="DA458"/>
      <c r="DB458"/>
      <c r="DC458"/>
      <c r="DD458"/>
      <c r="DE458"/>
      <c r="DF458"/>
      <c r="DG458"/>
      <c r="DH458"/>
      <c r="DI458"/>
      <c r="DJ458"/>
      <c r="DK458"/>
      <c r="DL458"/>
      <c r="DM458"/>
      <c r="DN458"/>
    </row>
    <row r="459" spans="3:118" s="238" customFormat="1" ht="15.75" customHeight="1" x14ac:dyDescent="0.25">
      <c r="C459"/>
      <c r="D459"/>
      <c r="E459"/>
      <c r="F459"/>
      <c r="G459"/>
      <c r="H459"/>
      <c r="I459"/>
      <c r="J459"/>
      <c r="K459"/>
      <c r="L459"/>
      <c r="M459"/>
      <c r="N459"/>
      <c r="O459" s="366"/>
      <c r="P459" s="366">
        <v>2017</v>
      </c>
      <c r="Q459" s="367">
        <f>LARGE($CB$455:$CB$604,5)</f>
        <v>287.5</v>
      </c>
      <c r="R459" s="357">
        <f t="shared" si="136"/>
        <v>115.43333333333331</v>
      </c>
      <c r="S459" s="356">
        <f t="shared" si="137"/>
        <v>13324.85444444444</v>
      </c>
      <c r="T459" s="356">
        <f>T460+T455</f>
        <v>268.06666666666672</v>
      </c>
      <c r="U459" s="356">
        <f t="shared" si="138"/>
        <v>7.2145833333333318</v>
      </c>
      <c r="V459" s="238">
        <f t="shared" si="134"/>
        <v>0</v>
      </c>
      <c r="W459" s="354"/>
      <c r="X459" s="366"/>
      <c r="Y459" s="366"/>
      <c r="Z459" s="238">
        <v>2017</v>
      </c>
      <c r="AA459" s="367">
        <f>LARGE($CU$455:$CU$604,5)</f>
        <v>259.44</v>
      </c>
      <c r="AB459" s="357">
        <f t="shared" si="139"/>
        <v>66.906666666666666</v>
      </c>
      <c r="AC459" s="356">
        <f t="shared" si="133"/>
        <v>4476.5020444444444</v>
      </c>
      <c r="AD459" s="356">
        <f>AD460+AD455</f>
        <v>288.5333333333333</v>
      </c>
      <c r="AE459" s="356">
        <f t="shared" si="140"/>
        <v>4.1816666666666666</v>
      </c>
      <c r="AF459" s="238">
        <f t="shared" si="135"/>
        <v>2</v>
      </c>
      <c r="AG459" s="354"/>
      <c r="AK459"/>
      <c r="AL459"/>
      <c r="AM459"/>
      <c r="AN459"/>
      <c r="AO459"/>
      <c r="AP459"/>
      <c r="BI459" s="360"/>
      <c r="BJ459" s="354"/>
      <c r="BK459" s="366">
        <v>2017</v>
      </c>
      <c r="BL459" s="365" t="s">
        <v>1126</v>
      </c>
      <c r="BM459" s="366" t="s">
        <v>1388</v>
      </c>
      <c r="BN459" s="366" t="s">
        <v>3</v>
      </c>
      <c r="BO459" s="366">
        <v>0</v>
      </c>
      <c r="BP459" s="366">
        <v>0</v>
      </c>
      <c r="BQ459" s="366">
        <v>0</v>
      </c>
      <c r="BR459" s="366">
        <v>1105</v>
      </c>
      <c r="BS459" s="366">
        <v>8</v>
      </c>
      <c r="BT459" s="366">
        <v>57</v>
      </c>
      <c r="BU459" s="366">
        <v>470</v>
      </c>
      <c r="BV459" s="366">
        <v>4</v>
      </c>
      <c r="BW459" s="366">
        <v>0</v>
      </c>
      <c r="BX459" s="366">
        <v>0</v>
      </c>
      <c r="BY459" s="366">
        <v>0</v>
      </c>
      <c r="BZ459" s="366">
        <v>0</v>
      </c>
      <c r="CA459" s="366">
        <v>0</v>
      </c>
      <c r="CB459" s="367">
        <f>IFERROR(BO459/Instructions!$J$25,0)+BP459*Instructions!$J$27+BQ459*Instructions!$J$29+IFERROR(BR459/Instructions!$E$34,0)+BS459*Instructions!$E$36+Tier!BT460*Instructions!$E$25+IFERROR(BU459/Instructions!$E$27,0)+BV459*Instructions!$E$29+IFERROR((BW459+BY459)/Instructions!$J$32,0)+(BX459+BZ459)*Instructions!$J$34+Tier!CA459*-2</f>
        <v>287.5</v>
      </c>
      <c r="CC459" s="354"/>
      <c r="CD459" s="238">
        <v>2017</v>
      </c>
      <c r="CE459" s="365" t="s">
        <v>118</v>
      </c>
      <c r="CF459" s="366" t="s">
        <v>142</v>
      </c>
      <c r="CG459" s="366" t="s">
        <v>6</v>
      </c>
      <c r="CH459" s="366">
        <v>0</v>
      </c>
      <c r="CI459" s="366">
        <v>0</v>
      </c>
      <c r="CJ459" s="366">
        <v>0</v>
      </c>
      <c r="CK459" s="366">
        <v>0</v>
      </c>
      <c r="CL459" s="366">
        <v>0</v>
      </c>
      <c r="CM459" s="366">
        <v>61</v>
      </c>
      <c r="CN459" s="366">
        <v>1101</v>
      </c>
      <c r="CO459" s="366">
        <v>9</v>
      </c>
      <c r="CP459" s="366">
        <v>0</v>
      </c>
      <c r="CQ459" s="366">
        <v>0</v>
      </c>
      <c r="CR459" s="366">
        <v>0</v>
      </c>
      <c r="CS459" s="366">
        <v>0</v>
      </c>
      <c r="CT459" s="366">
        <v>0</v>
      </c>
      <c r="CU459" s="367">
        <f>IFERROR(CH459/Instructions!$J$25,0)+CI459*Instructions!$J$27+CJ459*Instructions!$J$29+IFERROR(CK459/Instructions!$E$34,0)+CL459*Instructions!$E$36+Tier!CM459*Instructions!$E$25+IFERROR(CN459/Instructions!$E$27,0)+CO459*Instructions!$E$29+IFERROR((CP459+CR459)/Instructions!$J$32,0)+(CQ459+CS459)*Instructions!$J$34+Tier!CT459*-2</f>
        <v>225.1</v>
      </c>
      <c r="CV459" s="354"/>
      <c r="CW459"/>
      <c r="CX459"/>
      <c r="CY459"/>
      <c r="CZ459"/>
      <c r="DA459"/>
      <c r="DB459"/>
      <c r="DC459"/>
      <c r="DD459"/>
      <c r="DE459"/>
      <c r="DF459"/>
      <c r="DG459"/>
      <c r="DH459"/>
      <c r="DI459"/>
      <c r="DJ459"/>
      <c r="DK459"/>
      <c r="DL459"/>
      <c r="DM459"/>
      <c r="DN459"/>
    </row>
    <row r="460" spans="3:118" s="238" customFormat="1" ht="15.75" customHeight="1" x14ac:dyDescent="0.25">
      <c r="C460"/>
      <c r="D460"/>
      <c r="E460"/>
      <c r="F460"/>
      <c r="G460"/>
      <c r="H460"/>
      <c r="I460"/>
      <c r="J460"/>
      <c r="K460"/>
      <c r="L460"/>
      <c r="M460"/>
      <c r="N460"/>
      <c r="O460" s="366"/>
      <c r="P460" s="366">
        <v>2017</v>
      </c>
      <c r="Q460" s="367">
        <f>LARGE($CB$455:$CB$604,6)</f>
        <v>279</v>
      </c>
      <c r="R460" s="357">
        <f t="shared" si="136"/>
        <v>106.93333333333331</v>
      </c>
      <c r="S460" s="356">
        <f t="shared" si="137"/>
        <v>11434.737777777773</v>
      </c>
      <c r="T460" s="356">
        <f>T461+T455</f>
        <v>252.06666666666669</v>
      </c>
      <c r="U460" s="356">
        <f t="shared" si="138"/>
        <v>6.6833333333333318</v>
      </c>
      <c r="V460" s="238">
        <f t="shared" si="134"/>
        <v>0</v>
      </c>
      <c r="W460" s="354"/>
      <c r="X460" s="366"/>
      <c r="Y460" s="366"/>
      <c r="Z460" s="238">
        <v>2017</v>
      </c>
      <c r="AA460" s="367">
        <f>LARGE($CU$455:$CU$604,6)</f>
        <v>258.5</v>
      </c>
      <c r="AB460" s="357">
        <f t="shared" si="139"/>
        <v>65.966666666666669</v>
      </c>
      <c r="AC460" s="356">
        <f t="shared" si="133"/>
        <v>4351.6011111111111</v>
      </c>
      <c r="AD460" s="356">
        <f>AD461+AD455</f>
        <v>272.5333333333333</v>
      </c>
      <c r="AE460" s="356">
        <f t="shared" si="140"/>
        <v>4.1229166666666668</v>
      </c>
      <c r="AF460" s="238">
        <f t="shared" si="135"/>
        <v>2</v>
      </c>
      <c r="AG460" s="354"/>
      <c r="AK460"/>
      <c r="AL460"/>
      <c r="AM460"/>
      <c r="AN460"/>
      <c r="AO460"/>
      <c r="AP460"/>
      <c r="BI460" s="360"/>
      <c r="BJ460" s="354"/>
      <c r="BK460" s="366">
        <v>2017</v>
      </c>
      <c r="BL460" s="365" t="s">
        <v>119</v>
      </c>
      <c r="BM460" s="366" t="s">
        <v>143</v>
      </c>
      <c r="BN460" s="366" t="s">
        <v>3</v>
      </c>
      <c r="BO460" s="366">
        <v>0</v>
      </c>
      <c r="BP460" s="366">
        <v>0</v>
      </c>
      <c r="BQ460" s="366">
        <v>0</v>
      </c>
      <c r="BR460" s="366">
        <v>1124</v>
      </c>
      <c r="BS460" s="366">
        <v>12</v>
      </c>
      <c r="BT460" s="366">
        <v>58</v>
      </c>
      <c r="BU460" s="366">
        <v>416</v>
      </c>
      <c r="BV460" s="366">
        <v>0</v>
      </c>
      <c r="BW460" s="366">
        <v>0</v>
      </c>
      <c r="BX460" s="366">
        <v>0</v>
      </c>
      <c r="BY460" s="366">
        <v>0</v>
      </c>
      <c r="BZ460" s="366">
        <v>0</v>
      </c>
      <c r="CA460" s="366">
        <v>3</v>
      </c>
      <c r="CB460" s="367">
        <f>IFERROR(BO460/Instructions!$J$25,0)+BP460*Instructions!$J$27+BQ460*Instructions!$J$29+IFERROR(BR460/Instructions!$E$34,0)+BS460*Instructions!$E$36+Tier!BT461*Instructions!$E$25+IFERROR(BU460/Instructions!$E$27,0)+BV460*Instructions!$E$29+IFERROR((BW460+BY460)/Instructions!$J$32,0)+(BX460+BZ460)*Instructions!$J$34+Tier!CA460*-2</f>
        <v>279</v>
      </c>
      <c r="CC460" s="354"/>
      <c r="CD460" s="238">
        <v>2017</v>
      </c>
      <c r="CE460" s="365" t="s">
        <v>27</v>
      </c>
      <c r="CF460" s="366" t="s">
        <v>148</v>
      </c>
      <c r="CG460" s="366" t="s">
        <v>6</v>
      </c>
      <c r="CH460" s="366">
        <v>0</v>
      </c>
      <c r="CI460" s="366">
        <v>0</v>
      </c>
      <c r="CJ460" s="366">
        <v>0</v>
      </c>
      <c r="CK460" s="366">
        <v>15</v>
      </c>
      <c r="CL460" s="366">
        <v>0</v>
      </c>
      <c r="CM460" s="366">
        <v>88</v>
      </c>
      <c r="CN460" s="366">
        <v>1444</v>
      </c>
      <c r="CO460" s="366">
        <v>3</v>
      </c>
      <c r="CP460" s="366">
        <v>0</v>
      </c>
      <c r="CQ460" s="366">
        <v>0</v>
      </c>
      <c r="CR460" s="366">
        <v>0</v>
      </c>
      <c r="CS460" s="366">
        <v>0</v>
      </c>
      <c r="CT460" s="366">
        <v>0</v>
      </c>
      <c r="CU460" s="367">
        <f>IFERROR(CH460/Instructions!$J$25,0)+CI460*Instructions!$J$27+CJ460*Instructions!$J$29+IFERROR(CK460/Instructions!$E$34,0)+CL460*Instructions!$E$36+Tier!CM460*Instructions!$E$25+IFERROR(CN460/Instructions!$E$27,0)+CO460*Instructions!$E$29+IFERROR((CP460+CR460)/Instructions!$J$32,0)+(CQ460+CS460)*Instructions!$J$34+Tier!CT460*-2</f>
        <v>251.9</v>
      </c>
      <c r="CV460" s="354"/>
      <c r="CW460"/>
      <c r="CX460"/>
      <c r="CY460"/>
      <c r="CZ460"/>
      <c r="DA460"/>
      <c r="DB460"/>
      <c r="DC460"/>
      <c r="DD460"/>
      <c r="DE460"/>
      <c r="DF460"/>
      <c r="DG460"/>
      <c r="DH460"/>
      <c r="DI460"/>
      <c r="DJ460"/>
      <c r="DK460"/>
      <c r="DL460"/>
      <c r="DM460"/>
      <c r="DN460"/>
    </row>
    <row r="461" spans="3:118" s="238" customFormat="1" ht="15.75" customHeight="1" x14ac:dyDescent="0.25">
      <c r="C461"/>
      <c r="D461"/>
      <c r="E461"/>
      <c r="F461"/>
      <c r="G461"/>
      <c r="H461"/>
      <c r="I461"/>
      <c r="J461"/>
      <c r="K461"/>
      <c r="L461"/>
      <c r="M461"/>
      <c r="N461"/>
      <c r="O461" s="366"/>
      <c r="P461" s="366">
        <v>2017</v>
      </c>
      <c r="Q461" s="367">
        <f>LARGE($CB$455:$CB$604,7)</f>
        <v>240.60000000000002</v>
      </c>
      <c r="R461" s="357">
        <f t="shared" si="136"/>
        <v>68.533333333333331</v>
      </c>
      <c r="S461" s="356">
        <f t="shared" si="137"/>
        <v>4696.8177777777773</v>
      </c>
      <c r="T461" s="356">
        <f>T462+T455</f>
        <v>236.06666666666669</v>
      </c>
      <c r="U461" s="356">
        <f t="shared" si="138"/>
        <v>4.2833333333333332</v>
      </c>
      <c r="V461" s="238">
        <f t="shared" si="134"/>
        <v>2</v>
      </c>
      <c r="W461" s="354"/>
      <c r="X461" s="366"/>
      <c r="Y461" s="366"/>
      <c r="Z461" s="238">
        <v>2017</v>
      </c>
      <c r="AA461" s="367">
        <f>LARGE($CU$455:$CU$604,7)</f>
        <v>251.9</v>
      </c>
      <c r="AB461" s="357">
        <f t="shared" si="139"/>
        <v>59.366666666666674</v>
      </c>
      <c r="AC461" s="356">
        <f t="shared" si="133"/>
        <v>3524.4011111111122</v>
      </c>
      <c r="AD461" s="356">
        <f>AD462+AD455</f>
        <v>256.5333333333333</v>
      </c>
      <c r="AE461" s="356">
        <f t="shared" si="140"/>
        <v>3.7104166666666671</v>
      </c>
      <c r="AF461" s="238">
        <f t="shared" si="135"/>
        <v>3</v>
      </c>
      <c r="AG461" s="354"/>
      <c r="AK461"/>
      <c r="AL461"/>
      <c r="AM461"/>
      <c r="AN461"/>
      <c r="AO461"/>
      <c r="AP461"/>
      <c r="BI461" s="360"/>
      <c r="BJ461" s="354"/>
      <c r="BK461" s="366">
        <v>2017</v>
      </c>
      <c r="BL461" s="365" t="s">
        <v>2</v>
      </c>
      <c r="BM461" s="366" t="s">
        <v>156</v>
      </c>
      <c r="BN461" s="366" t="s">
        <v>3</v>
      </c>
      <c r="BO461" s="366">
        <v>0</v>
      </c>
      <c r="BP461" s="366">
        <v>0</v>
      </c>
      <c r="BQ461" s="366">
        <v>0</v>
      </c>
      <c r="BR461" s="366">
        <v>1138</v>
      </c>
      <c r="BS461" s="366">
        <v>6</v>
      </c>
      <c r="BT461" s="366">
        <v>59</v>
      </c>
      <c r="BU461" s="366">
        <v>448</v>
      </c>
      <c r="BV461" s="366">
        <v>2</v>
      </c>
      <c r="BW461" s="366">
        <v>0</v>
      </c>
      <c r="BX461" s="366">
        <v>0</v>
      </c>
      <c r="BY461" s="366">
        <v>0</v>
      </c>
      <c r="BZ461" s="366">
        <v>0</v>
      </c>
      <c r="CA461" s="366">
        <v>1</v>
      </c>
      <c r="CB461" s="367">
        <f>IFERROR(BO461/Instructions!$J$25,0)+BP461*Instructions!$J$27+BQ461*Instructions!$J$29+IFERROR(BR461/Instructions!$E$34,0)+BS461*Instructions!$E$36+Tier!BT462*Instructions!$E$25+IFERROR(BU461/Instructions!$E$27,0)+BV461*Instructions!$E$29+IFERROR((BW461+BY461)/Instructions!$J$32,0)+(BX461+BZ461)*Instructions!$J$34+Tier!CA461*-2</f>
        <v>240.60000000000002</v>
      </c>
      <c r="CC461" s="354"/>
      <c r="CD461" s="238">
        <v>2017</v>
      </c>
      <c r="CE461" s="365" t="s">
        <v>21</v>
      </c>
      <c r="CF461" s="366" t="s">
        <v>145</v>
      </c>
      <c r="CG461" s="366" t="s">
        <v>6</v>
      </c>
      <c r="CH461" s="366">
        <v>0</v>
      </c>
      <c r="CI461" s="366">
        <v>0</v>
      </c>
      <c r="CJ461" s="366">
        <v>0</v>
      </c>
      <c r="CK461" s="366">
        <v>0</v>
      </c>
      <c r="CL461" s="366">
        <v>0</v>
      </c>
      <c r="CM461" s="366">
        <v>75</v>
      </c>
      <c r="CN461" s="366">
        <v>1078</v>
      </c>
      <c r="CO461" s="366">
        <v>8</v>
      </c>
      <c r="CP461" s="366">
        <v>0</v>
      </c>
      <c r="CQ461" s="366">
        <v>0</v>
      </c>
      <c r="CR461" s="366">
        <v>0</v>
      </c>
      <c r="CS461" s="366">
        <v>0</v>
      </c>
      <c r="CT461" s="366">
        <v>2</v>
      </c>
      <c r="CU461" s="367">
        <f>IFERROR(CH461/Instructions!$J$25,0)+CI461*Instructions!$J$27+CJ461*Instructions!$J$29+IFERROR(CK461/Instructions!$E$34,0)+CL461*Instructions!$E$36+Tier!CM461*Instructions!$E$25+IFERROR(CN461/Instructions!$E$27,0)+CO461*Instructions!$E$29+IFERROR((CP461+CR461)/Instructions!$J$32,0)+(CQ461+CS461)*Instructions!$J$34+Tier!CT461*-2</f>
        <v>226.8</v>
      </c>
      <c r="CV461" s="354"/>
      <c r="CW461"/>
      <c r="CX461"/>
      <c r="CY461"/>
      <c r="CZ461"/>
      <c r="DA461"/>
      <c r="DB461"/>
      <c r="DC461"/>
      <c r="DD461"/>
      <c r="DE461"/>
      <c r="DF461"/>
      <c r="DG461"/>
      <c r="DH461"/>
      <c r="DI461"/>
      <c r="DJ461"/>
      <c r="DK461"/>
      <c r="DL461"/>
      <c r="DM461"/>
      <c r="DN461"/>
    </row>
    <row r="462" spans="3:118" s="238" customFormat="1" ht="15.75" customHeight="1" x14ac:dyDescent="0.25">
      <c r="C462"/>
      <c r="D462"/>
      <c r="E462"/>
      <c r="F462"/>
      <c r="G462"/>
      <c r="H462"/>
      <c r="I462"/>
      <c r="J462"/>
      <c r="K462"/>
      <c r="L462"/>
      <c r="M462"/>
      <c r="N462"/>
      <c r="O462" s="366"/>
      <c r="P462" s="366">
        <v>2017</v>
      </c>
      <c r="Q462" s="367">
        <f>LARGE($CB$455:$CB$604,8)</f>
        <v>235.5</v>
      </c>
      <c r="R462" s="357">
        <f t="shared" si="136"/>
        <v>63.433333333333309</v>
      </c>
      <c r="S462" s="356">
        <f t="shared" si="137"/>
        <v>4023.7877777777749</v>
      </c>
      <c r="T462" s="356">
        <f>T463+T455</f>
        <v>220.06666666666669</v>
      </c>
      <c r="U462" s="356">
        <f t="shared" si="138"/>
        <v>3.9645833333333318</v>
      </c>
      <c r="V462" s="238">
        <f t="shared" si="134"/>
        <v>3</v>
      </c>
      <c r="W462" s="354"/>
      <c r="X462" s="366"/>
      <c r="Y462" s="366"/>
      <c r="Z462" s="238">
        <v>2017</v>
      </c>
      <c r="AA462" s="367">
        <f>LARGE($CU$455:$CU$604,8)</f>
        <v>245.2</v>
      </c>
      <c r="AB462" s="357">
        <f t="shared" si="139"/>
        <v>52.666666666666657</v>
      </c>
      <c r="AC462" s="356">
        <f t="shared" si="133"/>
        <v>2773.7777777777769</v>
      </c>
      <c r="AD462" s="356">
        <f>AD463+AD455</f>
        <v>240.53333333333333</v>
      </c>
      <c r="AE462" s="356">
        <f t="shared" si="140"/>
        <v>3.2916666666666661</v>
      </c>
      <c r="AF462" s="238">
        <f t="shared" si="135"/>
        <v>3</v>
      </c>
      <c r="AG462" s="354"/>
      <c r="AK462"/>
      <c r="AL462"/>
      <c r="AM462"/>
      <c r="AN462"/>
      <c r="AO462"/>
      <c r="AP462"/>
      <c r="BI462" s="360"/>
      <c r="BJ462" s="354"/>
      <c r="BK462" s="366">
        <v>2017</v>
      </c>
      <c r="BL462" s="365" t="s">
        <v>1612</v>
      </c>
      <c r="BM462" s="366" t="s">
        <v>165</v>
      </c>
      <c r="BN462" s="366" t="s">
        <v>3</v>
      </c>
      <c r="BO462" s="366">
        <v>0</v>
      </c>
      <c r="BP462" s="366">
        <v>0</v>
      </c>
      <c r="BQ462" s="366">
        <v>0</v>
      </c>
      <c r="BR462" s="366">
        <v>1040</v>
      </c>
      <c r="BS462" s="366">
        <v>9</v>
      </c>
      <c r="BT462" s="366">
        <v>36</v>
      </c>
      <c r="BU462" s="366">
        <v>302</v>
      </c>
      <c r="BV462" s="366">
        <v>1</v>
      </c>
      <c r="BW462" s="366">
        <v>0</v>
      </c>
      <c r="BX462" s="366">
        <v>0</v>
      </c>
      <c r="BY462" s="366">
        <v>0</v>
      </c>
      <c r="BZ462" s="366">
        <v>0</v>
      </c>
      <c r="CA462" s="366">
        <v>0</v>
      </c>
      <c r="CB462" s="367">
        <f>IFERROR(BO462/Instructions!$J$25,0)+BP462*Instructions!$J$27+BQ462*Instructions!$J$29+IFERROR(BR462/Instructions!$E$34,0)+BS462*Instructions!$E$36+Tier!BT463*Instructions!$E$25+IFERROR(BU462/Instructions!$E$27,0)+BV462*Instructions!$E$29+IFERROR((BW462+BY462)/Instructions!$J$32,0)+(BX462+BZ462)*Instructions!$J$34+Tier!CA462*-2</f>
        <v>220.2</v>
      </c>
      <c r="CC462" s="354"/>
      <c r="CD462" s="238">
        <v>2017</v>
      </c>
      <c r="CE462" s="365" t="s">
        <v>1192</v>
      </c>
      <c r="CF462" s="366" t="s">
        <v>143</v>
      </c>
      <c r="CG462" s="366" t="s">
        <v>6</v>
      </c>
      <c r="CH462" s="366">
        <v>0</v>
      </c>
      <c r="CI462" s="366">
        <v>0</v>
      </c>
      <c r="CJ462" s="366">
        <v>0</v>
      </c>
      <c r="CK462" s="366">
        <v>0</v>
      </c>
      <c r="CL462" s="366">
        <v>0</v>
      </c>
      <c r="CM462" s="366">
        <v>104</v>
      </c>
      <c r="CN462" s="366">
        <v>1245</v>
      </c>
      <c r="CO462" s="366">
        <v>5</v>
      </c>
      <c r="CP462" s="366">
        <v>0</v>
      </c>
      <c r="CQ462" s="366">
        <v>0</v>
      </c>
      <c r="CR462" s="366">
        <v>0</v>
      </c>
      <c r="CS462" s="366">
        <v>0</v>
      </c>
      <c r="CT462" s="366">
        <v>0</v>
      </c>
      <c r="CU462" s="367">
        <f>IFERROR(CH462/Instructions!$J$25,0)+CI462*Instructions!$J$27+CJ462*Instructions!$J$29+IFERROR(CK462/Instructions!$E$34,0)+CL462*Instructions!$E$36+Tier!CM462*Instructions!$E$25+IFERROR(CN462/Instructions!$E$27,0)+CO462*Instructions!$E$29+IFERROR((CP462+CR462)/Instructions!$J$32,0)+(CQ462+CS462)*Instructions!$J$34+Tier!CT462*-2</f>
        <v>258.5</v>
      </c>
      <c r="CV462" s="354"/>
      <c r="CW462"/>
      <c r="CX462"/>
      <c r="CY462"/>
      <c r="CZ462"/>
      <c r="DA462"/>
      <c r="DB462"/>
      <c r="DC462"/>
      <c r="DD462"/>
      <c r="DE462"/>
      <c r="DF462"/>
      <c r="DG462"/>
      <c r="DH462"/>
      <c r="DI462"/>
      <c r="DJ462"/>
      <c r="DK462"/>
      <c r="DL462"/>
      <c r="DM462"/>
      <c r="DN462"/>
    </row>
    <row r="463" spans="3:118" s="238" customFormat="1" ht="15.75" customHeight="1" x14ac:dyDescent="0.25">
      <c r="C463"/>
      <c r="D463"/>
      <c r="E463"/>
      <c r="F463"/>
      <c r="G463"/>
      <c r="H463"/>
      <c r="I463"/>
      <c r="J463"/>
      <c r="K463"/>
      <c r="L463"/>
      <c r="M463"/>
      <c r="N463"/>
      <c r="O463" s="366"/>
      <c r="P463" s="366">
        <v>2017</v>
      </c>
      <c r="Q463" s="367">
        <f>LARGE($CB$455:$CB$604,9)</f>
        <v>228</v>
      </c>
      <c r="R463" s="357">
        <f t="shared" si="136"/>
        <v>55.933333333333309</v>
      </c>
      <c r="S463" s="356">
        <f t="shared" si="137"/>
        <v>3128.5377777777749</v>
      </c>
      <c r="T463" s="356">
        <f>T464+T455</f>
        <v>204.06666666666669</v>
      </c>
      <c r="U463" s="356">
        <f t="shared" si="138"/>
        <v>3.4958333333333318</v>
      </c>
      <c r="V463" s="238">
        <f t="shared" si="134"/>
        <v>3</v>
      </c>
      <c r="W463" s="354"/>
      <c r="X463" s="366"/>
      <c r="Y463" s="366"/>
      <c r="Z463" s="238">
        <v>2017</v>
      </c>
      <c r="AA463" s="367">
        <f>LARGE($CU$455:$CU$604,9)</f>
        <v>239.8</v>
      </c>
      <c r="AB463" s="357">
        <f t="shared" si="139"/>
        <v>47.26666666666668</v>
      </c>
      <c r="AC463" s="356">
        <f t="shared" si="133"/>
        <v>2234.1377777777789</v>
      </c>
      <c r="AD463" s="356">
        <f>AD464+AD455</f>
        <v>224.53333333333333</v>
      </c>
      <c r="AE463" s="356">
        <f t="shared" si="140"/>
        <v>2.9541666666666675</v>
      </c>
      <c r="AF463" s="238">
        <f t="shared" si="135"/>
        <v>4</v>
      </c>
      <c r="AG463" s="354"/>
      <c r="AK463"/>
      <c r="AL463"/>
      <c r="AM463"/>
      <c r="AN463"/>
      <c r="AO463"/>
      <c r="AP463"/>
      <c r="BI463" s="360"/>
      <c r="BJ463" s="354"/>
      <c r="BK463" s="366">
        <v>2017</v>
      </c>
      <c r="BL463" s="365" t="s">
        <v>1179</v>
      </c>
      <c r="BM463" s="366" t="s">
        <v>146</v>
      </c>
      <c r="BN463" s="366" t="s">
        <v>3</v>
      </c>
      <c r="BO463" s="366">
        <v>0</v>
      </c>
      <c r="BP463" s="366">
        <v>0</v>
      </c>
      <c r="BQ463" s="366">
        <v>0</v>
      </c>
      <c r="BR463" s="366">
        <v>983</v>
      </c>
      <c r="BS463" s="366">
        <v>7</v>
      </c>
      <c r="BT463" s="366">
        <v>26</v>
      </c>
      <c r="BU463" s="366">
        <v>269</v>
      </c>
      <c r="BV463" s="366">
        <v>2</v>
      </c>
      <c r="BW463" s="366">
        <v>0</v>
      </c>
      <c r="BX463" s="366">
        <v>0</v>
      </c>
      <c r="BY463" s="366">
        <v>0</v>
      </c>
      <c r="BZ463" s="366">
        <v>0</v>
      </c>
      <c r="CA463" s="366">
        <v>1</v>
      </c>
      <c r="CB463" s="367">
        <f>IFERROR(BO463/Instructions!$J$25,0)+BP463*Instructions!$J$27+BQ463*Instructions!$J$29+IFERROR(BR463/Instructions!$E$34,0)+BS463*Instructions!$E$36+Tier!BT464*Instructions!$E$25+IFERROR(BU463/Instructions!$E$27,0)+BV463*Instructions!$E$29+IFERROR((BW463+BY463)/Instructions!$J$32,0)+(BX463+BZ463)*Instructions!$J$34+Tier!CA463*-2</f>
        <v>200.20000000000002</v>
      </c>
      <c r="CC463" s="354"/>
      <c r="CD463" s="238">
        <v>2017</v>
      </c>
      <c r="CE463" s="365" t="s">
        <v>107</v>
      </c>
      <c r="CF463" s="366" t="s">
        <v>157</v>
      </c>
      <c r="CG463" s="366" t="s">
        <v>6</v>
      </c>
      <c r="CH463" s="366">
        <v>0</v>
      </c>
      <c r="CI463" s="366">
        <v>0</v>
      </c>
      <c r="CJ463" s="366">
        <v>0</v>
      </c>
      <c r="CK463" s="366">
        <v>40</v>
      </c>
      <c r="CL463" s="366">
        <v>0</v>
      </c>
      <c r="CM463" s="366">
        <v>65</v>
      </c>
      <c r="CN463" s="366">
        <v>1082</v>
      </c>
      <c r="CO463" s="366">
        <v>7</v>
      </c>
      <c r="CP463" s="366">
        <v>0</v>
      </c>
      <c r="CQ463" s="366">
        <v>0</v>
      </c>
      <c r="CR463" s="366">
        <v>0</v>
      </c>
      <c r="CS463" s="366">
        <v>0</v>
      </c>
      <c r="CT463" s="366">
        <v>0</v>
      </c>
      <c r="CU463" s="367">
        <f>IFERROR(CH463/Instructions!$J$25,0)+CI463*Instructions!$J$27+CJ463*Instructions!$J$29+IFERROR(CK463/Instructions!$E$34,0)+CL463*Instructions!$E$36+Tier!CM463*Instructions!$E$25+IFERROR(CN463/Instructions!$E$27,0)+CO463*Instructions!$E$29+IFERROR((CP463+CR463)/Instructions!$J$32,0)+(CQ463+CS463)*Instructions!$J$34+Tier!CT463*-2</f>
        <v>219.2</v>
      </c>
      <c r="CV463" s="354"/>
      <c r="CW463"/>
      <c r="CX463"/>
      <c r="CY463"/>
      <c r="CZ463"/>
      <c r="DA463"/>
      <c r="DB463"/>
      <c r="DC463"/>
      <c r="DD463"/>
      <c r="DE463"/>
      <c r="DF463"/>
      <c r="DG463"/>
      <c r="DH463"/>
      <c r="DI463"/>
      <c r="DJ463"/>
      <c r="DK463"/>
      <c r="DL463"/>
      <c r="DM463"/>
      <c r="DN463"/>
    </row>
    <row r="464" spans="3:118" s="238" customFormat="1" ht="15.75" customHeight="1" x14ac:dyDescent="0.25">
      <c r="C464"/>
      <c r="D464"/>
      <c r="E464"/>
      <c r="F464"/>
      <c r="G464"/>
      <c r="H464"/>
      <c r="I464"/>
      <c r="J464"/>
      <c r="K464"/>
      <c r="L464"/>
      <c r="M464"/>
      <c r="N464"/>
      <c r="O464" s="366"/>
      <c r="P464" s="366">
        <v>2017</v>
      </c>
      <c r="Q464" s="367">
        <f>LARGE($CB$455:$CB$604,10)</f>
        <v>220.2</v>
      </c>
      <c r="R464" s="357">
        <f t="shared" si="136"/>
        <v>48.133333333333297</v>
      </c>
      <c r="S464" s="356">
        <f t="shared" si="137"/>
        <v>2316.8177777777742</v>
      </c>
      <c r="T464" s="356">
        <f>T465+T455</f>
        <v>188.06666666666669</v>
      </c>
      <c r="U464" s="356">
        <f t="shared" si="138"/>
        <v>3.0083333333333311</v>
      </c>
      <c r="V464" s="238">
        <f t="shared" si="134"/>
        <v>3</v>
      </c>
      <c r="W464" s="354"/>
      <c r="X464" s="366"/>
      <c r="Y464" s="366"/>
      <c r="Z464" s="238">
        <v>2017</v>
      </c>
      <c r="AA464" s="367">
        <f>LARGE($CU$455:$CU$604,10)</f>
        <v>226.8</v>
      </c>
      <c r="AB464" s="357">
        <f t="shared" si="139"/>
        <v>34.26666666666668</v>
      </c>
      <c r="AC464" s="356">
        <f t="shared" si="133"/>
        <v>1174.2044444444452</v>
      </c>
      <c r="AD464" s="356">
        <f>AD465+AD455</f>
        <v>208.53333333333333</v>
      </c>
      <c r="AE464" s="356">
        <f t="shared" si="140"/>
        <v>2.1416666666666675</v>
      </c>
      <c r="AF464" s="238">
        <f t="shared" si="135"/>
        <v>4</v>
      </c>
      <c r="AG464" s="354"/>
      <c r="AK464"/>
      <c r="AL464"/>
      <c r="AM464"/>
      <c r="AN464"/>
      <c r="AO464"/>
      <c r="AP464"/>
      <c r="BI464" s="360"/>
      <c r="BJ464" s="354"/>
      <c r="BK464" s="366">
        <v>2017</v>
      </c>
      <c r="BL464" s="365" t="s">
        <v>1182</v>
      </c>
      <c r="BM464" s="366" t="s">
        <v>141</v>
      </c>
      <c r="BN464" s="366" t="s">
        <v>3</v>
      </c>
      <c r="BO464" s="366">
        <v>0</v>
      </c>
      <c r="BP464" s="366">
        <v>0</v>
      </c>
      <c r="BQ464" s="366">
        <v>0</v>
      </c>
      <c r="BR464" s="366">
        <v>1120</v>
      </c>
      <c r="BS464" s="366">
        <v>9</v>
      </c>
      <c r="BT464" s="366">
        <v>23</v>
      </c>
      <c r="BU464" s="366">
        <v>125</v>
      </c>
      <c r="BV464" s="366">
        <v>0</v>
      </c>
      <c r="BW464" s="366">
        <v>0</v>
      </c>
      <c r="BX464" s="366">
        <v>0</v>
      </c>
      <c r="BY464" s="366">
        <v>0</v>
      </c>
      <c r="BZ464" s="366">
        <v>0</v>
      </c>
      <c r="CA464" s="366">
        <v>1</v>
      </c>
      <c r="CB464" s="367">
        <f>IFERROR(BO464/Instructions!$J$25,0)+BP464*Instructions!$J$27+BQ464*Instructions!$J$29+IFERROR(BR464/Instructions!$E$34,0)+BS464*Instructions!$E$36+Tier!BT465*Instructions!$E$25+IFERROR(BU464/Instructions!$E$27,0)+BV464*Instructions!$E$29+IFERROR((BW464+BY464)/Instructions!$J$32,0)+(BX464+BZ464)*Instructions!$J$34+Tier!CA464*-2</f>
        <v>235.5</v>
      </c>
      <c r="CC464" s="354"/>
      <c r="CD464" s="238">
        <v>2017</v>
      </c>
      <c r="CE464" s="365" t="s">
        <v>1249</v>
      </c>
      <c r="CF464" s="366" t="s">
        <v>138</v>
      </c>
      <c r="CG464" s="366" t="s">
        <v>6</v>
      </c>
      <c r="CH464" s="366">
        <v>0</v>
      </c>
      <c r="CI464" s="366">
        <v>0</v>
      </c>
      <c r="CJ464" s="366">
        <v>0</v>
      </c>
      <c r="CK464" s="366">
        <v>11</v>
      </c>
      <c r="CL464" s="366">
        <v>0</v>
      </c>
      <c r="CM464" s="366">
        <v>91</v>
      </c>
      <c r="CN464" s="366">
        <v>1277</v>
      </c>
      <c r="CO464" s="366">
        <v>4</v>
      </c>
      <c r="CP464" s="366">
        <v>0</v>
      </c>
      <c r="CQ464" s="366">
        <v>0</v>
      </c>
      <c r="CR464" s="366">
        <v>0</v>
      </c>
      <c r="CS464" s="366">
        <v>0</v>
      </c>
      <c r="CT464" s="366">
        <v>2</v>
      </c>
      <c r="CU464" s="367">
        <f>IFERROR(CH464/Instructions!$J$25,0)+CI464*Instructions!$J$27+CJ464*Instructions!$J$29+IFERROR(CK464/Instructions!$E$34,0)+CL464*Instructions!$E$36+Tier!CM464*Instructions!$E$25+IFERROR(CN464/Instructions!$E$27,0)+CO464*Instructions!$E$29+IFERROR((CP464+CR464)/Instructions!$J$32,0)+(CQ464+CS464)*Instructions!$J$34+Tier!CT464*-2</f>
        <v>239.8</v>
      </c>
      <c r="CV464" s="354"/>
      <c r="CW464"/>
      <c r="CX464"/>
      <c r="CY464"/>
      <c r="CZ464"/>
      <c r="DA464"/>
      <c r="DB464"/>
      <c r="DC464"/>
      <c r="DD464"/>
      <c r="DE464"/>
      <c r="DF464"/>
      <c r="DG464"/>
      <c r="DH464"/>
      <c r="DI464"/>
      <c r="DJ464"/>
      <c r="DK464"/>
      <c r="DL464"/>
      <c r="DM464"/>
      <c r="DN464"/>
    </row>
    <row r="465" spans="3:118" s="238" customFormat="1" ht="15.75" customHeight="1" x14ac:dyDescent="0.25">
      <c r="C465"/>
      <c r="D465"/>
      <c r="E465"/>
      <c r="F465"/>
      <c r="G465"/>
      <c r="H465"/>
      <c r="I465"/>
      <c r="J465"/>
      <c r="K465"/>
      <c r="L465"/>
      <c r="M465"/>
      <c r="N465"/>
      <c r="O465" s="366"/>
      <c r="P465" s="366">
        <v>2017</v>
      </c>
      <c r="Q465" s="367">
        <f>LARGE($CB$455:$CB$604,11)</f>
        <v>218.29999999999998</v>
      </c>
      <c r="R465" s="357">
        <f t="shared" si="136"/>
        <v>46.233333333333292</v>
      </c>
      <c r="S465" s="356">
        <f t="shared" si="137"/>
        <v>2137.5211111111071</v>
      </c>
      <c r="T465" s="481">
        <f>(INDEX(Tier!$Q$455:$Q$604, Instructions!$E$11*Instructions!$E$19,1)
+IF(Instructions!$E$19=2, INDEX(Tier!$Q$455:$Q$604,Instructions!$E$11,1),0)
+IF(Instructions!$J$15&gt;0, INDEX(Tier!$Q$455:$Q$604,Instructions!$E$11*(Instructions!$E$19+Instructions!$J$15*0.5),1),0)
+IF(Instructions!$J$15=2, INDEX(Tier!$Q$455:$Q$604,Instructions!$E$11*(Instructions!$E$19+0.5),1),0))
/(Instructions!$E$19+Instructions!$J$15)</f>
        <v>172.06666666666669</v>
      </c>
      <c r="U465" s="356">
        <f t="shared" si="138"/>
        <v>2.8895833333333307</v>
      </c>
      <c r="V465" s="238">
        <f t="shared" si="134"/>
        <v>4</v>
      </c>
      <c r="W465" s="354"/>
      <c r="X465" s="366"/>
      <c r="Y465" s="366"/>
      <c r="Z465" s="238">
        <v>2017</v>
      </c>
      <c r="AA465" s="367">
        <f>LARGE($CU$455:$CU$604,11)</f>
        <v>225.1</v>
      </c>
      <c r="AB465" s="357">
        <f t="shared" si="139"/>
        <v>32.566666666666663</v>
      </c>
      <c r="AC465" s="356">
        <f t="shared" si="133"/>
        <v>1060.5877777777775</v>
      </c>
      <c r="AD465" s="481">
        <f>(INDEX(Tier!$AA$455:$AA$604,Instructions!$E$11,1)
+IF(Instructions!$E$17&gt;=2,INDEX(Tier!$AA$455:$AA$604,Instructions!$E$11*2,1),0)
+IF(Instructions!$E$17=3,INDEX(Tier!$AA$455:$AA$604,Instructions!$E$11*3,1),0)
+IF(Instructions!$J$15&gt;0,INDEX(Tier!$AA$455:$AA$604,Instructions!$E$11*(Instructions!$E$17+Instructions!$J$15*0.5),1),0)
+IF(Instructions!$J$15=2,INDEX(Tier!$AA$455:$AA$604,Instructions!$E$11*(Instructions!$E$17+0.5),1),0))
/(Instructions!$E$17+Instructions!$J$15)</f>
        <v>192.53333333333333</v>
      </c>
      <c r="AE465" s="356">
        <f t="shared" si="140"/>
        <v>2.0354166666666664</v>
      </c>
      <c r="AF465" s="238">
        <f t="shared" si="135"/>
        <v>4</v>
      </c>
      <c r="AG465" s="354"/>
      <c r="AK465"/>
      <c r="AL465"/>
      <c r="AM465"/>
      <c r="AN465"/>
      <c r="AO465"/>
      <c r="AP465"/>
      <c r="BI465" s="360"/>
      <c r="BJ465" s="354"/>
      <c r="BK465" s="366">
        <v>2017</v>
      </c>
      <c r="BL465" s="365" t="s">
        <v>113</v>
      </c>
      <c r="BM465" s="366" t="s">
        <v>155</v>
      </c>
      <c r="BN465" s="366" t="s">
        <v>3</v>
      </c>
      <c r="BO465" s="366">
        <v>0</v>
      </c>
      <c r="BP465" s="366">
        <v>0</v>
      </c>
      <c r="BQ465" s="366">
        <v>0</v>
      </c>
      <c r="BR465" s="366">
        <v>940</v>
      </c>
      <c r="BS465" s="366">
        <v>8</v>
      </c>
      <c r="BT465" s="366">
        <v>59</v>
      </c>
      <c r="BU465" s="366">
        <v>350</v>
      </c>
      <c r="BV465" s="366">
        <v>0</v>
      </c>
      <c r="BW465" s="366">
        <v>0</v>
      </c>
      <c r="BX465" s="366">
        <v>0</v>
      </c>
      <c r="BY465" s="366">
        <v>0</v>
      </c>
      <c r="BZ465" s="366">
        <v>0</v>
      </c>
      <c r="CA465" s="366">
        <v>1</v>
      </c>
      <c r="CB465" s="367">
        <f>IFERROR(BO465/Instructions!$J$25,0)+BP465*Instructions!$J$27+BQ465*Instructions!$J$29+IFERROR(BR465/Instructions!$E$34,0)+BS465*Instructions!$E$36+Tier!BT466*Instructions!$E$25+IFERROR(BU465/Instructions!$E$27,0)+BV465*Instructions!$E$29+IFERROR((BW465+BY465)/Instructions!$J$32,0)+(BX465+BZ465)*Instructions!$J$34+Tier!CA465*-2</f>
        <v>211</v>
      </c>
      <c r="CC465" s="354"/>
      <c r="CD465" s="238">
        <v>2017</v>
      </c>
      <c r="CE465" s="365" t="s">
        <v>201</v>
      </c>
      <c r="CF465" s="366" t="s">
        <v>166</v>
      </c>
      <c r="CG465" s="366" t="s">
        <v>6</v>
      </c>
      <c r="CH465" s="366">
        <v>0</v>
      </c>
      <c r="CI465" s="366">
        <v>0</v>
      </c>
      <c r="CJ465" s="366">
        <v>0</v>
      </c>
      <c r="CK465" s="366">
        <v>-7</v>
      </c>
      <c r="CL465" s="366">
        <v>0</v>
      </c>
      <c r="CM465" s="366">
        <v>112</v>
      </c>
      <c r="CN465" s="366">
        <v>987</v>
      </c>
      <c r="CO465" s="366">
        <v>9</v>
      </c>
      <c r="CP465" s="366">
        <v>81</v>
      </c>
      <c r="CQ465" s="366">
        <v>0</v>
      </c>
      <c r="CR465" s="366">
        <v>-5</v>
      </c>
      <c r="CS465" s="366">
        <v>0</v>
      </c>
      <c r="CT465" s="366">
        <v>2</v>
      </c>
      <c r="CU465" s="367">
        <f>IFERROR(CH465/Instructions!$J$25,0)+CI465*Instructions!$J$27+CJ465*Instructions!$J$29+IFERROR(CK465/Instructions!$E$34,0)+CL465*Instructions!$E$36+Tier!CM465*Instructions!$E$25+IFERROR(CN465/Instructions!$E$27,0)+CO465*Instructions!$E$29+IFERROR((CP465+CR465)/Instructions!$J$32,0)+(CQ465+CS465)*Instructions!$J$34+Tier!CT465*-2</f>
        <v>260</v>
      </c>
      <c r="CV465" s="354"/>
      <c r="CW465"/>
      <c r="CX465"/>
      <c r="CY465"/>
      <c r="CZ465"/>
      <c r="DA465"/>
      <c r="DB465"/>
      <c r="DC465"/>
      <c r="DD465"/>
      <c r="DE465"/>
      <c r="DF465"/>
      <c r="DG465"/>
      <c r="DH465"/>
      <c r="DI465"/>
      <c r="DJ465"/>
      <c r="DK465"/>
      <c r="DL465"/>
      <c r="DM465"/>
      <c r="DN465"/>
    </row>
    <row r="466" spans="3:118" s="238" customFormat="1" ht="15.75" customHeight="1" x14ac:dyDescent="0.25">
      <c r="C466"/>
      <c r="D466"/>
      <c r="E466"/>
      <c r="F466"/>
      <c r="G466"/>
      <c r="H466"/>
      <c r="I466"/>
      <c r="J466"/>
      <c r="K466"/>
      <c r="L466"/>
      <c r="M466"/>
      <c r="N466"/>
      <c r="O466" s="366"/>
      <c r="P466" s="366">
        <v>2017</v>
      </c>
      <c r="Q466" s="367">
        <f>LARGE($CB$455:$CB$604,12)</f>
        <v>211</v>
      </c>
      <c r="R466" s="357">
        <f t="shared" si="136"/>
        <v>38.933333333333309</v>
      </c>
      <c r="S466" s="356">
        <f t="shared" si="137"/>
        <v>1515.8044444444424</v>
      </c>
      <c r="T466" s="356">
        <f>T465-T455</f>
        <v>156.06666666666669</v>
      </c>
      <c r="U466" s="356">
        <f t="shared" si="138"/>
        <v>2.4333333333333318</v>
      </c>
      <c r="V466" s="238">
        <f t="shared" si="134"/>
        <v>4</v>
      </c>
      <c r="W466" s="354"/>
      <c r="X466" s="366"/>
      <c r="Y466" s="366"/>
      <c r="Z466" s="238">
        <v>2017</v>
      </c>
      <c r="AA466" s="367">
        <f>LARGE($CU$455:$CU$604,12)</f>
        <v>222.5</v>
      </c>
      <c r="AB466" s="357">
        <f t="shared" si="139"/>
        <v>29.966666666666669</v>
      </c>
      <c r="AC466" s="356">
        <f t="shared" si="133"/>
        <v>898.00111111111119</v>
      </c>
      <c r="AD466" s="356">
        <f>AD465-AD455</f>
        <v>176.53333333333333</v>
      </c>
      <c r="AE466" s="356">
        <f t="shared" si="140"/>
        <v>1.8729166666666668</v>
      </c>
      <c r="AF466" s="238">
        <f t="shared" si="135"/>
        <v>5</v>
      </c>
      <c r="AG466" s="354"/>
      <c r="AK466"/>
      <c r="AL466"/>
      <c r="AM466"/>
      <c r="AN466"/>
      <c r="AO466"/>
      <c r="AP466"/>
      <c r="BI466" s="360"/>
      <c r="BJ466" s="354"/>
      <c r="BK466" s="366">
        <v>2017</v>
      </c>
      <c r="BL466" s="365" t="s">
        <v>117</v>
      </c>
      <c r="BM466" s="366" t="s">
        <v>148</v>
      </c>
      <c r="BN466" s="366" t="s">
        <v>3</v>
      </c>
      <c r="BO466" s="366">
        <v>0</v>
      </c>
      <c r="BP466" s="366">
        <v>0</v>
      </c>
      <c r="BQ466" s="366">
        <v>0</v>
      </c>
      <c r="BR466" s="366">
        <v>865</v>
      </c>
      <c r="BS466" s="366">
        <v>7</v>
      </c>
      <c r="BT466" s="366">
        <v>36</v>
      </c>
      <c r="BU466" s="366">
        <v>317</v>
      </c>
      <c r="BV466" s="366">
        <v>1</v>
      </c>
      <c r="BW466" s="366">
        <v>0</v>
      </c>
      <c r="BX466" s="366">
        <v>0</v>
      </c>
      <c r="BY466" s="366">
        <v>0</v>
      </c>
      <c r="BZ466" s="366">
        <v>0</v>
      </c>
      <c r="CA466" s="366">
        <v>1</v>
      </c>
      <c r="CB466" s="367">
        <f>IFERROR(BO466/Instructions!$J$25,0)+BP466*Instructions!$J$27+BQ466*Instructions!$J$29+IFERROR(BR466/Instructions!$E$34,0)+BS466*Instructions!$E$36+Tier!BT467*Instructions!$E$25+IFERROR(BU466/Instructions!$E$27,0)+BV466*Instructions!$E$29+IFERROR((BW466+BY466)/Instructions!$J$32,0)+(BX466+BZ466)*Instructions!$J$34+Tier!CA466*-2</f>
        <v>196.2</v>
      </c>
      <c r="CC466" s="354"/>
      <c r="CD466" s="238">
        <v>2017</v>
      </c>
      <c r="CE466" s="365" t="s">
        <v>47</v>
      </c>
      <c r="CF466" s="366" t="s">
        <v>153</v>
      </c>
      <c r="CG466" s="366" t="s">
        <v>6</v>
      </c>
      <c r="CH466" s="366">
        <v>21</v>
      </c>
      <c r="CI466" s="366">
        <v>0</v>
      </c>
      <c r="CJ466" s="366">
        <v>0</v>
      </c>
      <c r="CK466" s="366">
        <v>0</v>
      </c>
      <c r="CL466" s="366">
        <v>0</v>
      </c>
      <c r="CM466" s="366">
        <v>109</v>
      </c>
      <c r="CN466" s="366">
        <v>1156</v>
      </c>
      <c r="CO466" s="366">
        <v>6</v>
      </c>
      <c r="CP466" s="366">
        <v>0</v>
      </c>
      <c r="CQ466" s="366">
        <v>0</v>
      </c>
      <c r="CR466" s="366">
        <v>0</v>
      </c>
      <c r="CS466" s="366">
        <v>0</v>
      </c>
      <c r="CT466" s="366">
        <v>1</v>
      </c>
      <c r="CU466" s="367">
        <f>IFERROR(CH466/Instructions!$J$25,0)+CI466*Instructions!$J$27+CJ466*Instructions!$J$29+IFERROR(CK466/Instructions!$E$34,0)+CL466*Instructions!$E$36+Tier!CM466*Instructions!$E$25+IFERROR(CN466/Instructions!$E$27,0)+CO466*Instructions!$E$29+IFERROR((CP466+CR466)/Instructions!$J$32,0)+(CQ466+CS466)*Instructions!$J$34+Tier!CT466*-2</f>
        <v>259.44</v>
      </c>
      <c r="CV466" s="354"/>
      <c r="CW466"/>
      <c r="CX466"/>
      <c r="CY466"/>
      <c r="CZ466"/>
      <c r="DA466"/>
      <c r="DB466"/>
      <c r="DC466"/>
      <c r="DD466"/>
      <c r="DE466"/>
      <c r="DF466"/>
      <c r="DG466"/>
      <c r="DH466"/>
      <c r="DI466"/>
      <c r="DJ466"/>
      <c r="DK466"/>
      <c r="DL466"/>
      <c r="DM466"/>
      <c r="DN466"/>
    </row>
    <row r="467" spans="3:118" s="238" customFormat="1" ht="15.75" customHeight="1" x14ac:dyDescent="0.25">
      <c r="C467"/>
      <c r="D467"/>
      <c r="E467"/>
      <c r="F467"/>
      <c r="G467"/>
      <c r="H467"/>
      <c r="I467"/>
      <c r="J467"/>
      <c r="K467"/>
      <c r="L467"/>
      <c r="M467"/>
      <c r="N467"/>
      <c r="O467" s="366"/>
      <c r="P467" s="366">
        <v>2017</v>
      </c>
      <c r="Q467" s="367">
        <f>LARGE($CB$455:$CB$604,13)</f>
        <v>207</v>
      </c>
      <c r="R467" s="357">
        <f t="shared" si="136"/>
        <v>34.933333333333309</v>
      </c>
      <c r="S467" s="356">
        <f t="shared" si="137"/>
        <v>1220.337777777776</v>
      </c>
      <c r="T467" s="356">
        <f>T466-T455</f>
        <v>140.06666666666669</v>
      </c>
      <c r="U467" s="356">
        <f t="shared" si="138"/>
        <v>2.1833333333333318</v>
      </c>
      <c r="V467" s="238">
        <f t="shared" si="134"/>
        <v>4</v>
      </c>
      <c r="W467" s="354"/>
      <c r="X467" s="366"/>
      <c r="Y467" s="366"/>
      <c r="Z467" s="238">
        <v>2017</v>
      </c>
      <c r="AA467" s="367">
        <f>LARGE($CU$455:$CU$604,13)</f>
        <v>222.5</v>
      </c>
      <c r="AB467" s="357">
        <f t="shared" si="139"/>
        <v>29.966666666666669</v>
      </c>
      <c r="AC467" s="356">
        <f t="shared" si="133"/>
        <v>898.00111111111119</v>
      </c>
      <c r="AD467" s="356">
        <f>AD466-AD455</f>
        <v>160.53333333333333</v>
      </c>
      <c r="AE467" s="356">
        <f t="shared" si="140"/>
        <v>1.8729166666666668</v>
      </c>
      <c r="AF467" s="238">
        <f t="shared" si="135"/>
        <v>5</v>
      </c>
      <c r="AG467" s="354"/>
      <c r="AK467"/>
      <c r="AL467"/>
      <c r="AM467"/>
      <c r="AN467"/>
      <c r="AO467"/>
      <c r="AP467"/>
      <c r="BI467" s="360"/>
      <c r="BJ467" s="354"/>
      <c r="BK467" s="366">
        <v>2017</v>
      </c>
      <c r="BL467" s="365" t="s">
        <v>1178</v>
      </c>
      <c r="BM467" s="366" t="s">
        <v>157</v>
      </c>
      <c r="BN467" s="366" t="s">
        <v>3</v>
      </c>
      <c r="BO467" s="366">
        <v>0</v>
      </c>
      <c r="BP467" s="366">
        <v>0</v>
      </c>
      <c r="BQ467" s="366">
        <v>0</v>
      </c>
      <c r="BR467" s="366">
        <v>896</v>
      </c>
      <c r="BS467" s="366">
        <v>6</v>
      </c>
      <c r="BT467" s="366">
        <v>32</v>
      </c>
      <c r="BU467" s="366">
        <v>214</v>
      </c>
      <c r="BV467" s="366">
        <v>3</v>
      </c>
      <c r="BW467" s="366">
        <v>0</v>
      </c>
      <c r="BX467" s="366">
        <v>0</v>
      </c>
      <c r="BY467" s="366">
        <v>570</v>
      </c>
      <c r="BZ467" s="366">
        <v>1</v>
      </c>
      <c r="CA467" s="366">
        <v>0</v>
      </c>
      <c r="CB467" s="367">
        <f>IFERROR(BO467/Instructions!$J$25,0)+BP467*Instructions!$J$27+BQ467*Instructions!$J$29+IFERROR(BR467/Instructions!$E$34,0)+BS467*Instructions!$E$36+Tier!BT468*Instructions!$E$25+IFERROR(BU467/Instructions!$E$27,0)+BV467*Instructions!$E$29+IFERROR((BW467+BY467)/Instructions!$J$32,0)+(BX467+BZ467)*Instructions!$J$34+Tier!CA467*-2</f>
        <v>207</v>
      </c>
      <c r="CC467" s="354"/>
      <c r="CD467" s="238">
        <v>2017</v>
      </c>
      <c r="CE467" s="365" t="s">
        <v>193</v>
      </c>
      <c r="CF467" s="366" t="s">
        <v>139</v>
      </c>
      <c r="CG467" s="366" t="s">
        <v>6</v>
      </c>
      <c r="CH467" s="366">
        <v>0</v>
      </c>
      <c r="CI467" s="366">
        <v>0</v>
      </c>
      <c r="CJ467" s="366">
        <v>0</v>
      </c>
      <c r="CK467" s="366">
        <v>0</v>
      </c>
      <c r="CL467" s="366">
        <v>0</v>
      </c>
      <c r="CM467" s="366">
        <v>74</v>
      </c>
      <c r="CN467" s="366">
        <v>885</v>
      </c>
      <c r="CO467" s="366">
        <v>10</v>
      </c>
      <c r="CP467" s="366">
        <v>0</v>
      </c>
      <c r="CQ467" s="366">
        <v>0</v>
      </c>
      <c r="CR467" s="366">
        <v>0</v>
      </c>
      <c r="CS467" s="366">
        <v>0</v>
      </c>
      <c r="CT467" s="366">
        <v>0</v>
      </c>
      <c r="CU467" s="367">
        <f>IFERROR(CH467/Instructions!$J$25,0)+CI467*Instructions!$J$27+CJ467*Instructions!$J$29+IFERROR(CK467/Instructions!$E$34,0)+CL467*Instructions!$E$36+Tier!CM467*Instructions!$E$25+IFERROR(CN467/Instructions!$E$27,0)+CO467*Instructions!$E$29+IFERROR((CP467+CR467)/Instructions!$J$32,0)+(CQ467+CS467)*Instructions!$J$34+Tier!CT467*-2</f>
        <v>222.5</v>
      </c>
      <c r="CV467" s="354"/>
      <c r="CW467"/>
      <c r="CX467"/>
      <c r="CY467"/>
      <c r="CZ467"/>
      <c r="DA467"/>
      <c r="DB467"/>
      <c r="DC467"/>
      <c r="DD467"/>
      <c r="DE467"/>
      <c r="DF467"/>
      <c r="DG467"/>
      <c r="DH467"/>
      <c r="DI467"/>
      <c r="DJ467"/>
      <c r="DK467"/>
      <c r="DL467"/>
      <c r="DM467"/>
      <c r="DN467"/>
    </row>
    <row r="468" spans="3:118" s="238" customFormat="1" ht="15.75" customHeight="1" x14ac:dyDescent="0.25">
      <c r="C468"/>
      <c r="D468"/>
      <c r="E468"/>
      <c r="F468"/>
      <c r="G468"/>
      <c r="H468"/>
      <c r="I468"/>
      <c r="J468"/>
      <c r="K468"/>
      <c r="L468"/>
      <c r="M468"/>
      <c r="N468"/>
      <c r="O468" s="366"/>
      <c r="P468" s="366">
        <v>2017</v>
      </c>
      <c r="Q468" s="367">
        <f>LARGE($CB$455:$CB$604,14)</f>
        <v>200.20000000000002</v>
      </c>
      <c r="R468" s="357">
        <f t="shared" si="136"/>
        <v>28.133333333333326</v>
      </c>
      <c r="S468" s="356">
        <f t="shared" si="137"/>
        <v>791.48444444444397</v>
      </c>
      <c r="T468" s="356"/>
      <c r="U468" s="356">
        <f t="shared" si="138"/>
        <v>1.7583333333333329</v>
      </c>
      <c r="V468" s="238">
        <f t="shared" si="134"/>
        <v>5</v>
      </c>
      <c r="W468" s="354"/>
      <c r="X468" s="366"/>
      <c r="Y468" s="366"/>
      <c r="Z468" s="238">
        <v>2017</v>
      </c>
      <c r="AA468" s="367">
        <f>LARGE($CU$455:$CU$604,14)</f>
        <v>221.3</v>
      </c>
      <c r="AB468" s="357">
        <f t="shared" si="139"/>
        <v>28.76666666666668</v>
      </c>
      <c r="AC468" s="356">
        <f t="shared" si="133"/>
        <v>827.52111111111185</v>
      </c>
      <c r="AD468" s="356"/>
      <c r="AE468" s="356">
        <f t="shared" si="140"/>
        <v>1.7979166666666675</v>
      </c>
      <c r="AF468" s="238">
        <f t="shared" si="135"/>
        <v>5</v>
      </c>
      <c r="AG468" s="354"/>
      <c r="AK468"/>
      <c r="AL468"/>
      <c r="AM468"/>
      <c r="AN468"/>
      <c r="AO468"/>
      <c r="AP468"/>
      <c r="BI468" s="360"/>
      <c r="BJ468" s="354"/>
      <c r="BK468" s="366">
        <v>2017</v>
      </c>
      <c r="BL468" s="365" t="s">
        <v>97</v>
      </c>
      <c r="BM468" s="366" t="s">
        <v>151</v>
      </c>
      <c r="BN468" s="366" t="s">
        <v>3</v>
      </c>
      <c r="BO468" s="366">
        <v>0</v>
      </c>
      <c r="BP468" s="366">
        <v>0</v>
      </c>
      <c r="BQ468" s="366">
        <v>0</v>
      </c>
      <c r="BR468" s="366">
        <v>888</v>
      </c>
      <c r="BS468" s="366">
        <v>3</v>
      </c>
      <c r="BT468" s="366">
        <v>36</v>
      </c>
      <c r="BU468" s="366">
        <v>327</v>
      </c>
      <c r="BV468" s="366">
        <v>3</v>
      </c>
      <c r="BW468" s="366">
        <v>0</v>
      </c>
      <c r="BX468" s="366">
        <v>0</v>
      </c>
      <c r="BY468" s="366">
        <v>0</v>
      </c>
      <c r="BZ468" s="366">
        <v>0</v>
      </c>
      <c r="CA468" s="366">
        <v>0</v>
      </c>
      <c r="CB468" s="367">
        <f>IFERROR(BO468/Instructions!$J$25,0)+BP468*Instructions!$J$27+BQ468*Instructions!$J$29+IFERROR(BR468/Instructions!$E$34,0)+BS468*Instructions!$E$36+Tier!BT469*Instructions!$E$25+IFERROR(BU468/Instructions!$E$27,0)+BV468*Instructions!$E$29+IFERROR((BW468+BY468)/Instructions!$J$32,0)+(BX468+BZ468)*Instructions!$J$34+Tier!CA468*-2</f>
        <v>180.5</v>
      </c>
      <c r="CC468" s="354"/>
      <c r="CD468" s="238">
        <v>2017</v>
      </c>
      <c r="CE468" s="365" t="s">
        <v>125</v>
      </c>
      <c r="CF468" s="366" t="s">
        <v>140</v>
      </c>
      <c r="CG468" s="366" t="s">
        <v>6</v>
      </c>
      <c r="CH468" s="366">
        <v>0</v>
      </c>
      <c r="CI468" s="366">
        <v>0</v>
      </c>
      <c r="CJ468" s="366">
        <v>0</v>
      </c>
      <c r="CK468" s="366">
        <v>-8</v>
      </c>
      <c r="CL468" s="366">
        <v>0</v>
      </c>
      <c r="CM468" s="366">
        <v>75</v>
      </c>
      <c r="CN468" s="366">
        <v>991</v>
      </c>
      <c r="CO468" s="366">
        <v>8</v>
      </c>
      <c r="CP468" s="366">
        <v>0</v>
      </c>
      <c r="CQ468" s="366">
        <v>0</v>
      </c>
      <c r="CR468" s="366">
        <v>0</v>
      </c>
      <c r="CS468" s="366">
        <v>0</v>
      </c>
      <c r="CT468" s="366">
        <v>0</v>
      </c>
      <c r="CU468" s="367">
        <f>IFERROR(CH468/Instructions!$J$25,0)+CI468*Instructions!$J$27+CJ468*Instructions!$J$29+IFERROR(CK468/Instructions!$E$34,0)+CL468*Instructions!$E$36+Tier!CM468*Instructions!$E$25+IFERROR(CN468/Instructions!$E$27,0)+CO468*Instructions!$E$29+IFERROR((CP468+CR468)/Instructions!$J$32,0)+(CQ468+CS468)*Instructions!$J$34+Tier!CT468*-2</f>
        <v>221.3</v>
      </c>
      <c r="CV468" s="354"/>
      <c r="CW468"/>
      <c r="CX468"/>
      <c r="CY468"/>
      <c r="CZ468"/>
      <c r="DA468"/>
      <c r="DB468"/>
      <c r="DC468"/>
      <c r="DD468"/>
      <c r="DE468"/>
      <c r="DF468"/>
      <c r="DG468"/>
      <c r="DH468"/>
      <c r="DI468"/>
      <c r="DJ468"/>
      <c r="DK468"/>
      <c r="DL468"/>
      <c r="DM468"/>
      <c r="DN468"/>
    </row>
    <row r="469" spans="3:118" s="238" customFormat="1" ht="15.75" customHeight="1" x14ac:dyDescent="0.25">
      <c r="C469"/>
      <c r="D469"/>
      <c r="E469"/>
      <c r="F469"/>
      <c r="G469"/>
      <c r="H469"/>
      <c r="I469"/>
      <c r="J469"/>
      <c r="K469"/>
      <c r="L469"/>
      <c r="M469"/>
      <c r="N469"/>
      <c r="O469" s="366"/>
      <c r="P469" s="366">
        <v>2017</v>
      </c>
      <c r="Q469" s="367">
        <f>LARGE($CB$455:$CB$604,15)</f>
        <v>196.2</v>
      </c>
      <c r="R469" s="357">
        <f t="shared" si="136"/>
        <v>24.133333333333297</v>
      </c>
      <c r="S469" s="356">
        <f t="shared" si="137"/>
        <v>582.417777777776</v>
      </c>
      <c r="T469" s="356"/>
      <c r="U469" s="356">
        <f t="shared" si="138"/>
        <v>1.5083333333333311</v>
      </c>
      <c r="V469" s="238">
        <f t="shared" si="134"/>
        <v>5</v>
      </c>
      <c r="W469" s="354"/>
      <c r="X469" s="366"/>
      <c r="Y469" s="366"/>
      <c r="Z469" s="238">
        <v>2017</v>
      </c>
      <c r="AA469" s="367">
        <f>LARGE($CU$455:$CU$604,15)</f>
        <v>219.2</v>
      </c>
      <c r="AB469" s="357">
        <f t="shared" si="139"/>
        <v>26.666666666666657</v>
      </c>
      <c r="AC469" s="356">
        <f t="shared" si="133"/>
        <v>711.11111111111063</v>
      </c>
      <c r="AD469" s="356"/>
      <c r="AE469" s="356">
        <f t="shared" si="140"/>
        <v>1.6666666666666661</v>
      </c>
      <c r="AF469" s="238">
        <f t="shared" si="135"/>
        <v>5</v>
      </c>
      <c r="AG469" s="354"/>
      <c r="AK469"/>
      <c r="AL469"/>
      <c r="AM469"/>
      <c r="AN469"/>
      <c r="AO469"/>
      <c r="AP469"/>
      <c r="BI469" s="360"/>
      <c r="BJ469" s="354"/>
      <c r="BK469" s="366">
        <v>2017</v>
      </c>
      <c r="BL469" s="365" t="s">
        <v>1210</v>
      </c>
      <c r="BM469" s="366" t="s">
        <v>162</v>
      </c>
      <c r="BN469" s="366" t="s">
        <v>3</v>
      </c>
      <c r="BO469" s="366">
        <v>0</v>
      </c>
      <c r="BP469" s="366">
        <v>0</v>
      </c>
      <c r="BQ469" s="366">
        <v>0</v>
      </c>
      <c r="BR469" s="366">
        <v>973</v>
      </c>
      <c r="BS469" s="366">
        <v>6</v>
      </c>
      <c r="BT469" s="366">
        <v>23</v>
      </c>
      <c r="BU469" s="366">
        <v>187</v>
      </c>
      <c r="BV469" s="366">
        <v>0</v>
      </c>
      <c r="BW469" s="366">
        <v>0</v>
      </c>
      <c r="BX469" s="366">
        <v>0</v>
      </c>
      <c r="BY469" s="366">
        <v>50</v>
      </c>
      <c r="BZ469" s="366">
        <v>0</v>
      </c>
      <c r="CA469" s="366">
        <v>2</v>
      </c>
      <c r="CB469" s="367">
        <f>IFERROR(BO469/Instructions!$J$25,0)+BP469*Instructions!$J$27+BQ469*Instructions!$J$29+IFERROR(BR469/Instructions!$E$34,0)+BS469*Instructions!$E$36+Tier!BT470*Instructions!$E$25+IFERROR(BU469/Instructions!$E$27,0)+BV469*Instructions!$E$29+IFERROR((BW469+BY469)/Instructions!$J$32,0)+(BX469+BZ469)*Instructions!$J$34+Tier!CA469*-2</f>
        <v>228</v>
      </c>
      <c r="CC469" s="354"/>
      <c r="CD469" s="238">
        <v>2017</v>
      </c>
      <c r="CE469" s="365" t="s">
        <v>1400</v>
      </c>
      <c r="CF469" s="366" t="s">
        <v>164</v>
      </c>
      <c r="CG469" s="366" t="s">
        <v>6</v>
      </c>
      <c r="CH469" s="366">
        <v>0</v>
      </c>
      <c r="CI469" s="366">
        <v>0</v>
      </c>
      <c r="CJ469" s="366">
        <v>0</v>
      </c>
      <c r="CK469" s="366">
        <v>9</v>
      </c>
      <c r="CL469" s="366">
        <v>0</v>
      </c>
      <c r="CM469" s="366">
        <v>63</v>
      </c>
      <c r="CN469" s="366">
        <v>941</v>
      </c>
      <c r="CO469" s="366">
        <v>7</v>
      </c>
      <c r="CP469" s="366">
        <v>0</v>
      </c>
      <c r="CQ469" s="366">
        <v>0</v>
      </c>
      <c r="CR469" s="366">
        <v>0</v>
      </c>
      <c r="CS469" s="366">
        <v>0</v>
      </c>
      <c r="CT469" s="366">
        <v>0</v>
      </c>
      <c r="CU469" s="367">
        <f>IFERROR(CH469/Instructions!$J$25,0)+CI469*Instructions!$J$27+CJ469*Instructions!$J$29+IFERROR(CK469/Instructions!$E$34,0)+CL469*Instructions!$E$36+Tier!CM469*Instructions!$E$25+IFERROR(CN469/Instructions!$E$27,0)+CO469*Instructions!$E$29+IFERROR((CP469+CR469)/Instructions!$J$32,0)+(CQ469+CS469)*Instructions!$J$34+Tier!CT469*-2</f>
        <v>200</v>
      </c>
      <c r="CV469" s="354"/>
      <c r="CW469"/>
      <c r="CX469"/>
      <c r="CY469"/>
      <c r="CZ469"/>
      <c r="DA469"/>
      <c r="DB469"/>
      <c r="DC469"/>
      <c r="DD469"/>
      <c r="DE469"/>
      <c r="DF469"/>
      <c r="DG469"/>
      <c r="DH469"/>
      <c r="DI469"/>
      <c r="DJ469"/>
      <c r="DK469"/>
      <c r="DL469"/>
      <c r="DM469"/>
      <c r="DN469"/>
    </row>
    <row r="470" spans="3:118" s="238" customFormat="1" ht="15.75" customHeight="1" x14ac:dyDescent="0.25">
      <c r="C470"/>
      <c r="D470"/>
      <c r="E470"/>
      <c r="F470"/>
      <c r="G470"/>
      <c r="H470"/>
      <c r="I470"/>
      <c r="J470"/>
      <c r="K470"/>
      <c r="L470"/>
      <c r="M470"/>
      <c r="N470"/>
      <c r="O470" s="366"/>
      <c r="P470" s="366">
        <v>2017</v>
      </c>
      <c r="Q470" s="367">
        <f>LARGE($CB$455:$CB$604,16)</f>
        <v>183.5</v>
      </c>
      <c r="R470" s="357">
        <f t="shared" si="136"/>
        <v>11.433333333333309</v>
      </c>
      <c r="S470" s="356">
        <f t="shared" si="137"/>
        <v>130.72111111111056</v>
      </c>
      <c r="U470" s="356">
        <f t="shared" si="138"/>
        <v>0.71458333333333179</v>
      </c>
      <c r="V470" s="238">
        <f t="shared" si="134"/>
        <v>6</v>
      </c>
      <c r="W470" s="354"/>
      <c r="X470" s="366"/>
      <c r="Y470" s="366"/>
      <c r="Z470" s="238">
        <v>2017</v>
      </c>
      <c r="AA470" s="367">
        <f>LARGE($CU$455:$CU$604,16)</f>
        <v>205.9</v>
      </c>
      <c r="AB470" s="357">
        <f t="shared" si="139"/>
        <v>13.366666666666674</v>
      </c>
      <c r="AC470" s="356">
        <f t="shared" si="133"/>
        <v>178.66777777777799</v>
      </c>
      <c r="AE470" s="356">
        <f t="shared" si="140"/>
        <v>0.83541666666666714</v>
      </c>
      <c r="AF470" s="238">
        <f t="shared" si="135"/>
        <v>6</v>
      </c>
      <c r="AG470" s="354"/>
      <c r="AK470"/>
      <c r="AL470"/>
      <c r="AM470"/>
      <c r="AN470"/>
      <c r="AO470"/>
      <c r="AP470"/>
      <c r="BI470" s="360"/>
      <c r="BJ470" s="354"/>
      <c r="BK470" s="366">
        <v>2017</v>
      </c>
      <c r="BL470" s="365" t="s">
        <v>1426</v>
      </c>
      <c r="BM470" s="366" t="s">
        <v>159</v>
      </c>
      <c r="BN470" s="366" t="s">
        <v>3</v>
      </c>
      <c r="BO470" s="366">
        <v>0</v>
      </c>
      <c r="BP470" s="366">
        <v>0</v>
      </c>
      <c r="BQ470" s="366">
        <v>0</v>
      </c>
      <c r="BR470" s="366">
        <v>435</v>
      </c>
      <c r="BS470" s="366">
        <v>2</v>
      </c>
      <c r="BT470" s="366">
        <v>80</v>
      </c>
      <c r="BU470" s="366">
        <v>651</v>
      </c>
      <c r="BV470" s="366">
        <v>5</v>
      </c>
      <c r="BW470" s="366">
        <v>162</v>
      </c>
      <c r="BX470" s="366">
        <v>0</v>
      </c>
      <c r="BY470" s="366">
        <v>58</v>
      </c>
      <c r="BZ470" s="366">
        <v>0</v>
      </c>
      <c r="CA470" s="366">
        <v>1</v>
      </c>
      <c r="CB470" s="367">
        <f>IFERROR(BO470/Instructions!$J$25,0)+BP470*Instructions!$J$27+BQ470*Instructions!$J$29+IFERROR(BR470/Instructions!$E$34,0)+BS470*Instructions!$E$36+Tier!BT471*Instructions!$E$25+IFERROR(BU470/Instructions!$E$27,0)+BV470*Instructions!$E$29+IFERROR((BW470+BY470)/Instructions!$J$32,0)+(BX470+BZ470)*Instructions!$J$34+Tier!CA470*-2</f>
        <v>176.6</v>
      </c>
      <c r="CC470" s="354"/>
      <c r="CD470" s="238">
        <v>2017</v>
      </c>
      <c r="CE470" s="365" t="s">
        <v>1124</v>
      </c>
      <c r="CF470" s="366" t="s">
        <v>138</v>
      </c>
      <c r="CG470" s="366" t="s">
        <v>6</v>
      </c>
      <c r="CH470" s="366">
        <v>0</v>
      </c>
      <c r="CI470" s="366">
        <v>0</v>
      </c>
      <c r="CJ470" s="366">
        <v>0</v>
      </c>
      <c r="CK470" s="366">
        <v>13</v>
      </c>
      <c r="CL470" s="366">
        <v>0</v>
      </c>
      <c r="CM470" s="366">
        <v>64</v>
      </c>
      <c r="CN470" s="366">
        <v>849</v>
      </c>
      <c r="CO470" s="366">
        <v>8</v>
      </c>
      <c r="CP470" s="366">
        <v>0</v>
      </c>
      <c r="CQ470" s="366">
        <v>0</v>
      </c>
      <c r="CR470" s="366">
        <v>0</v>
      </c>
      <c r="CS470" s="366">
        <v>0</v>
      </c>
      <c r="CT470" s="366">
        <v>0</v>
      </c>
      <c r="CU470" s="367">
        <f>IFERROR(CH470/Instructions!$J$25,0)+CI470*Instructions!$J$27+CJ470*Instructions!$J$29+IFERROR(CK470/Instructions!$E$34,0)+CL470*Instructions!$E$36+Tier!CM470*Instructions!$E$25+IFERROR(CN470/Instructions!$E$27,0)+CO470*Instructions!$E$29+IFERROR((CP470+CR470)/Instructions!$J$32,0)+(CQ470+CS470)*Instructions!$J$34+Tier!CT470*-2</f>
        <v>198.2</v>
      </c>
      <c r="CV470" s="354"/>
      <c r="CW470"/>
      <c r="CX470"/>
      <c r="CY470"/>
      <c r="CZ470"/>
      <c r="DA470"/>
      <c r="DB470"/>
      <c r="DC470"/>
      <c r="DD470"/>
      <c r="DE470"/>
      <c r="DF470"/>
      <c r="DG470"/>
      <c r="DH470"/>
      <c r="DI470"/>
      <c r="DJ470"/>
      <c r="DK470"/>
      <c r="DL470"/>
      <c r="DM470"/>
      <c r="DN470"/>
    </row>
    <row r="471" spans="3:118" s="238" customFormat="1" ht="15.75" customHeight="1" x14ac:dyDescent="0.25">
      <c r="C471"/>
      <c r="D471"/>
      <c r="E471"/>
      <c r="F471"/>
      <c r="G471"/>
      <c r="H471"/>
      <c r="I471"/>
      <c r="J471"/>
      <c r="K471"/>
      <c r="L471"/>
      <c r="M471"/>
      <c r="N471"/>
      <c r="O471" s="366"/>
      <c r="P471" s="366">
        <v>2017</v>
      </c>
      <c r="Q471" s="367">
        <f>LARGE($CB$455:$CB$604,17)</f>
        <v>180.5</v>
      </c>
      <c r="R471" s="357">
        <f t="shared" si="136"/>
        <v>8.4333333333333087</v>
      </c>
      <c r="S471" s="356">
        <f t="shared" si="137"/>
        <v>71.121111111110693</v>
      </c>
      <c r="U471" s="356">
        <f t="shared" si="138"/>
        <v>0.52708333333333179</v>
      </c>
      <c r="V471" s="238">
        <f t="shared" si="134"/>
        <v>6</v>
      </c>
      <c r="W471" s="354"/>
      <c r="X471" s="366"/>
      <c r="Y471" s="366"/>
      <c r="Z471" s="238">
        <v>2017</v>
      </c>
      <c r="AA471" s="367">
        <f>LARGE($CU$455:$CU$604,17)</f>
        <v>201.1</v>
      </c>
      <c r="AB471" s="357">
        <f t="shared" si="139"/>
        <v>8.5666666666666629</v>
      </c>
      <c r="AC471" s="356">
        <f t="shared" si="133"/>
        <v>73.387777777777714</v>
      </c>
      <c r="AE471" s="356">
        <f t="shared" si="140"/>
        <v>0.53541666666666643</v>
      </c>
      <c r="AF471" s="238">
        <f t="shared" si="135"/>
        <v>6</v>
      </c>
      <c r="AG471" s="354"/>
      <c r="AK471"/>
      <c r="AL471"/>
      <c r="AM471"/>
      <c r="AN471"/>
      <c r="AO471"/>
      <c r="AP471"/>
      <c r="BI471" s="360"/>
      <c r="BJ471" s="354"/>
      <c r="BK471" s="366">
        <v>2017</v>
      </c>
      <c r="BL471" s="365" t="s">
        <v>123</v>
      </c>
      <c r="BM471" s="366" t="s">
        <v>144</v>
      </c>
      <c r="BN471" s="366" t="s">
        <v>3</v>
      </c>
      <c r="BO471" s="366">
        <v>0</v>
      </c>
      <c r="BP471" s="366">
        <v>0</v>
      </c>
      <c r="BQ471" s="366">
        <v>0</v>
      </c>
      <c r="BR471" s="366">
        <v>1007</v>
      </c>
      <c r="BS471" s="366">
        <v>3</v>
      </c>
      <c r="BT471" s="366">
        <v>28</v>
      </c>
      <c r="BU471" s="366">
        <v>224</v>
      </c>
      <c r="BV471" s="366">
        <v>1</v>
      </c>
      <c r="BW471" s="366">
        <v>0</v>
      </c>
      <c r="BX471" s="366">
        <v>0</v>
      </c>
      <c r="BY471" s="366">
        <v>0</v>
      </c>
      <c r="BZ471" s="366">
        <v>0</v>
      </c>
      <c r="CA471" s="366">
        <v>1</v>
      </c>
      <c r="CB471" s="367">
        <f>IFERROR(BO471/Instructions!$J$25,0)+BP471*Instructions!$J$27+BQ471*Instructions!$J$29+IFERROR(BR471/Instructions!$E$34,0)+BS471*Instructions!$E$36+Tier!BT472*Instructions!$E$25+IFERROR(BU471/Instructions!$E$27,0)+BV471*Instructions!$E$29+IFERROR((BW471+BY471)/Instructions!$J$32,0)+(BX471+BZ471)*Instructions!$J$34+Tier!CA471*-2</f>
        <v>165.1</v>
      </c>
      <c r="CC471" s="354"/>
      <c r="CD471" s="238">
        <v>2017</v>
      </c>
      <c r="CE471" s="365" t="s">
        <v>1441</v>
      </c>
      <c r="CF471" s="366" t="s">
        <v>147</v>
      </c>
      <c r="CG471" s="366" t="s">
        <v>6</v>
      </c>
      <c r="CH471" s="366">
        <v>0</v>
      </c>
      <c r="CI471" s="366">
        <v>0</v>
      </c>
      <c r="CJ471" s="366">
        <v>0</v>
      </c>
      <c r="CK471" s="366">
        <v>0</v>
      </c>
      <c r="CL471" s="366">
        <v>0</v>
      </c>
      <c r="CM471" s="366">
        <v>58</v>
      </c>
      <c r="CN471" s="366">
        <v>917</v>
      </c>
      <c r="CO471" s="366">
        <v>7</v>
      </c>
      <c r="CP471" s="366">
        <v>0</v>
      </c>
      <c r="CQ471" s="366">
        <v>0</v>
      </c>
      <c r="CR471" s="366">
        <v>240</v>
      </c>
      <c r="CS471" s="366">
        <v>1</v>
      </c>
      <c r="CT471" s="366">
        <v>0</v>
      </c>
      <c r="CU471" s="367">
        <f>IFERROR(CH471/Instructions!$J$25,0)+CI471*Instructions!$J$27+CJ471*Instructions!$J$29+IFERROR(CK471/Instructions!$E$34,0)+CL471*Instructions!$E$36+Tier!CM471*Instructions!$E$25+IFERROR(CN471/Instructions!$E$27,0)+CO471*Instructions!$E$29+IFERROR((CP471+CR471)/Instructions!$J$32,0)+(CQ471+CS471)*Instructions!$J$34+Tier!CT471*-2</f>
        <v>197.7</v>
      </c>
      <c r="CV471" s="354"/>
      <c r="CW471"/>
      <c r="CX471"/>
      <c r="CY471"/>
      <c r="CZ471"/>
      <c r="DA471"/>
      <c r="DB471"/>
      <c r="DC471"/>
      <c r="DD471"/>
      <c r="DE471"/>
      <c r="DF471"/>
      <c r="DG471"/>
      <c r="DH471"/>
      <c r="DI471"/>
      <c r="DJ471"/>
      <c r="DK471"/>
      <c r="DL471"/>
      <c r="DM471"/>
      <c r="DN471"/>
    </row>
    <row r="472" spans="3:118" s="238" customFormat="1" ht="15.75" customHeight="1" x14ac:dyDescent="0.25">
      <c r="C472"/>
      <c r="D472"/>
      <c r="E472"/>
      <c r="F472"/>
      <c r="G472"/>
      <c r="H472"/>
      <c r="I472"/>
      <c r="J472"/>
      <c r="K472"/>
      <c r="L472"/>
      <c r="M472"/>
      <c r="N472"/>
      <c r="O472" s="366"/>
      <c r="P472" s="366">
        <v>2017</v>
      </c>
      <c r="Q472" s="367">
        <f>LARGE($CB$455:$CB$604,18)</f>
        <v>179.9</v>
      </c>
      <c r="R472" s="357">
        <f t="shared" si="136"/>
        <v>7.8333333333333144</v>
      </c>
      <c r="S472" s="356">
        <f t="shared" si="137"/>
        <v>61.361111111110816</v>
      </c>
      <c r="U472" s="356">
        <f t="shared" si="138"/>
        <v>0.48958333333333215</v>
      </c>
      <c r="V472" s="238">
        <f t="shared" si="134"/>
        <v>6</v>
      </c>
      <c r="W472" s="354"/>
      <c r="X472" s="366"/>
      <c r="Y472" s="366"/>
      <c r="Z472" s="238">
        <v>2017</v>
      </c>
      <c r="AA472" s="367">
        <f>LARGE($CU$455:$CU$604,18)</f>
        <v>200</v>
      </c>
      <c r="AB472" s="357">
        <f t="shared" si="139"/>
        <v>7.4666666666666686</v>
      </c>
      <c r="AC472" s="356">
        <f t="shared" si="133"/>
        <v>55.751111111111136</v>
      </c>
      <c r="AE472" s="356">
        <f t="shared" si="140"/>
        <v>0.46666666666666679</v>
      </c>
      <c r="AF472" s="238">
        <f t="shared" si="135"/>
        <v>6</v>
      </c>
      <c r="AG472" s="354"/>
      <c r="AK472"/>
      <c r="AL472"/>
      <c r="AM472"/>
      <c r="AN472"/>
      <c r="AO472"/>
      <c r="AP472"/>
      <c r="BI472" s="360"/>
      <c r="BJ472" s="354"/>
      <c r="BK472" s="366">
        <v>2017</v>
      </c>
      <c r="BL472" s="365" t="s">
        <v>10</v>
      </c>
      <c r="BM472" s="366" t="s">
        <v>167</v>
      </c>
      <c r="BN472" s="366" t="s">
        <v>3</v>
      </c>
      <c r="BO472" s="366">
        <v>0</v>
      </c>
      <c r="BP472" s="366">
        <v>0</v>
      </c>
      <c r="BQ472" s="366">
        <v>0</v>
      </c>
      <c r="BR472" s="366">
        <v>891</v>
      </c>
      <c r="BS472" s="366">
        <v>7</v>
      </c>
      <c r="BT472" s="366">
        <v>20</v>
      </c>
      <c r="BU472" s="366">
        <v>152</v>
      </c>
      <c r="BV472" s="366">
        <v>0</v>
      </c>
      <c r="BW472" s="366">
        <v>0</v>
      </c>
      <c r="BX472" s="366">
        <v>0</v>
      </c>
      <c r="BY472" s="366">
        <v>0</v>
      </c>
      <c r="BZ472" s="366">
        <v>0</v>
      </c>
      <c r="CA472" s="366">
        <v>1</v>
      </c>
      <c r="CB472" s="367">
        <f>IFERROR(BO472/Instructions!$J$25,0)+BP472*Instructions!$J$27+BQ472*Instructions!$J$29+IFERROR(BR472/Instructions!$E$34,0)+BS472*Instructions!$E$36+Tier!BT473*Instructions!$E$25+IFERROR(BU472/Instructions!$E$27,0)+BV472*Instructions!$E$29+IFERROR((BW472+BY472)/Instructions!$J$32,0)+(BX472+BZ472)*Instructions!$J$34+Tier!CA472*-2</f>
        <v>218.29999999999998</v>
      </c>
      <c r="CC472" s="354"/>
      <c r="CD472" s="238">
        <v>2017</v>
      </c>
      <c r="CE472" s="365" t="s">
        <v>33</v>
      </c>
      <c r="CF472" s="366" t="s">
        <v>137</v>
      </c>
      <c r="CG472" s="366" t="s">
        <v>6</v>
      </c>
      <c r="CH472" s="366">
        <v>0</v>
      </c>
      <c r="CI472" s="366">
        <v>0</v>
      </c>
      <c r="CJ472" s="366">
        <v>0</v>
      </c>
      <c r="CK472" s="366">
        <v>0</v>
      </c>
      <c r="CL472" s="366">
        <v>0</v>
      </c>
      <c r="CM472" s="366">
        <v>57</v>
      </c>
      <c r="CN472" s="366">
        <v>789</v>
      </c>
      <c r="CO472" s="366">
        <v>9</v>
      </c>
      <c r="CP472" s="366">
        <v>0</v>
      </c>
      <c r="CQ472" s="366">
        <v>0</v>
      </c>
      <c r="CR472" s="366">
        <v>0</v>
      </c>
      <c r="CS472" s="366">
        <v>0</v>
      </c>
      <c r="CT472" s="366">
        <v>0</v>
      </c>
      <c r="CU472" s="367">
        <f>IFERROR(CH472/Instructions!$J$25,0)+CI472*Instructions!$J$27+CJ472*Instructions!$J$29+IFERROR(CK472/Instructions!$E$34,0)+CL472*Instructions!$E$36+Tier!CM472*Instructions!$E$25+IFERROR(CN472/Instructions!$E$27,0)+CO472*Instructions!$E$29+IFERROR((CP472+CR472)/Instructions!$J$32,0)+(CQ472+CS472)*Instructions!$J$34+Tier!CT472*-2</f>
        <v>189.9</v>
      </c>
      <c r="CV472" s="354"/>
      <c r="CW472"/>
      <c r="CX472"/>
      <c r="CY472"/>
      <c r="CZ472"/>
      <c r="DA472"/>
      <c r="DB472"/>
      <c r="DC472"/>
      <c r="DD472"/>
      <c r="DE472"/>
      <c r="DF472"/>
      <c r="DG472"/>
      <c r="DH472"/>
      <c r="DI472"/>
      <c r="DJ472"/>
      <c r="DK472"/>
      <c r="DL472"/>
      <c r="DM472"/>
      <c r="DN472"/>
    </row>
    <row r="473" spans="3:118" s="238" customFormat="1" ht="15.75" customHeight="1" x14ac:dyDescent="0.25">
      <c r="C473"/>
      <c r="D473"/>
      <c r="E473"/>
      <c r="F473"/>
      <c r="G473"/>
      <c r="H473"/>
      <c r="I473"/>
      <c r="J473"/>
      <c r="K473"/>
      <c r="L473"/>
      <c r="M473"/>
      <c r="N473"/>
      <c r="O473" s="366"/>
      <c r="P473" s="366">
        <v>2017</v>
      </c>
      <c r="Q473" s="367">
        <f>LARGE($CB$455:$CB$604,19)</f>
        <v>176.6</v>
      </c>
      <c r="R473" s="357">
        <f t="shared" si="136"/>
        <v>4.533333333333303</v>
      </c>
      <c r="S473" s="356">
        <f t="shared" si="137"/>
        <v>20.551111111110835</v>
      </c>
      <c r="T473" s="356"/>
      <c r="U473" s="356">
        <f t="shared" si="138"/>
        <v>0.28333333333333144</v>
      </c>
      <c r="V473" s="238">
        <f t="shared" si="134"/>
        <v>6</v>
      </c>
      <c r="W473" s="354"/>
      <c r="X473" s="366"/>
      <c r="Y473" s="366"/>
      <c r="Z473" s="238">
        <v>2017</v>
      </c>
      <c r="AA473" s="367">
        <f>LARGE($CU$455:$CU$604,19)</f>
        <v>198.2</v>
      </c>
      <c r="AB473" s="357">
        <f t="shared" si="139"/>
        <v>5.6666666666666572</v>
      </c>
      <c r="AC473" s="356">
        <f t="shared" si="133"/>
        <v>32.111111111111001</v>
      </c>
      <c r="AE473" s="356">
        <f t="shared" si="140"/>
        <v>0.35416666666666607</v>
      </c>
      <c r="AF473" s="238">
        <f t="shared" si="135"/>
        <v>6</v>
      </c>
      <c r="AG473" s="354"/>
      <c r="AK473"/>
      <c r="AL473"/>
      <c r="AM473"/>
      <c r="AN473"/>
      <c r="AO473"/>
      <c r="AP473"/>
      <c r="BI473" s="360"/>
      <c r="BJ473" s="354"/>
      <c r="BK473" s="366">
        <v>2017</v>
      </c>
      <c r="BL473" s="365" t="s">
        <v>1136</v>
      </c>
      <c r="BM473" s="366" t="s">
        <v>161</v>
      </c>
      <c r="BN473" s="366" t="s">
        <v>3</v>
      </c>
      <c r="BO473" s="366">
        <v>0</v>
      </c>
      <c r="BP473" s="366">
        <v>0</v>
      </c>
      <c r="BQ473" s="366">
        <v>0</v>
      </c>
      <c r="BR473" s="366">
        <v>348</v>
      </c>
      <c r="BS473" s="366">
        <v>4</v>
      </c>
      <c r="BT473" s="366">
        <v>74</v>
      </c>
      <c r="BU473" s="366">
        <v>693</v>
      </c>
      <c r="BV473" s="366">
        <v>3</v>
      </c>
      <c r="BW473" s="366">
        <v>17</v>
      </c>
      <c r="BX473" s="366">
        <v>0</v>
      </c>
      <c r="BY473" s="366">
        <v>0</v>
      </c>
      <c r="BZ473" s="366">
        <v>0</v>
      </c>
      <c r="CA473" s="366">
        <v>2</v>
      </c>
      <c r="CB473" s="367">
        <f>IFERROR(BO473/Instructions!$J$25,0)+BP473*Instructions!$J$27+BQ473*Instructions!$J$29+IFERROR(BR473/Instructions!$E$34,0)+BS473*Instructions!$E$36+Tier!BT474*Instructions!$E$25+IFERROR(BU473/Instructions!$E$27,0)+BV473*Instructions!$E$29+IFERROR((BW473+BY473)/Instructions!$J$32,0)+(BX473+BZ473)*Instructions!$J$34+Tier!CA473*-2</f>
        <v>168.1</v>
      </c>
      <c r="CC473" s="354"/>
      <c r="CD473" s="238">
        <v>2017</v>
      </c>
      <c r="CE473" s="365" t="s">
        <v>91</v>
      </c>
      <c r="CF473" s="366" t="s">
        <v>142</v>
      </c>
      <c r="CG473" s="366" t="s">
        <v>6</v>
      </c>
      <c r="CH473" s="366">
        <v>0</v>
      </c>
      <c r="CI473" s="366">
        <v>0</v>
      </c>
      <c r="CJ473" s="366">
        <v>0</v>
      </c>
      <c r="CK473" s="366">
        <v>22</v>
      </c>
      <c r="CL473" s="366">
        <v>0</v>
      </c>
      <c r="CM473" s="366">
        <v>92</v>
      </c>
      <c r="CN473" s="366">
        <v>1003</v>
      </c>
      <c r="CO473" s="366">
        <v>5</v>
      </c>
      <c r="CP473" s="366">
        <v>23</v>
      </c>
      <c r="CQ473" s="366">
        <v>0</v>
      </c>
      <c r="CR473" s="366">
        <v>0</v>
      </c>
      <c r="CS473" s="366">
        <v>0</v>
      </c>
      <c r="CT473" s="366">
        <v>1</v>
      </c>
      <c r="CU473" s="367">
        <f>IFERROR(CH473/Instructions!$J$25,0)+CI473*Instructions!$J$27+CJ473*Instructions!$J$29+IFERROR(CK473/Instructions!$E$34,0)+CL473*Instructions!$E$36+Tier!CM473*Instructions!$E$25+IFERROR(CN473/Instructions!$E$27,0)+CO473*Instructions!$E$29+IFERROR((CP473+CR473)/Instructions!$J$32,0)+(CQ473+CS473)*Instructions!$J$34+Tier!CT473*-2</f>
        <v>222.5</v>
      </c>
      <c r="CV473" s="354"/>
      <c r="CW473"/>
      <c r="CX473"/>
      <c r="CY473"/>
      <c r="CZ473"/>
      <c r="DA473"/>
      <c r="DB473"/>
      <c r="DC473"/>
      <c r="DD473"/>
      <c r="DE473"/>
      <c r="DF473"/>
      <c r="DG473"/>
      <c r="DH473"/>
      <c r="DI473"/>
      <c r="DJ473"/>
      <c r="DK473"/>
      <c r="DL473"/>
      <c r="DM473"/>
      <c r="DN473"/>
    </row>
    <row r="474" spans="3:118" s="238" customFormat="1" ht="15.75" customHeight="1" x14ac:dyDescent="0.25">
      <c r="C474"/>
      <c r="D474"/>
      <c r="E474"/>
      <c r="F474"/>
      <c r="G474"/>
      <c r="H474"/>
      <c r="I474"/>
      <c r="J474"/>
      <c r="K474"/>
      <c r="L474"/>
      <c r="M474"/>
      <c r="N474"/>
      <c r="O474" s="366"/>
      <c r="P474" s="366">
        <v>2017</v>
      </c>
      <c r="Q474" s="367">
        <f>LARGE($CB$455:$CB$604,20)</f>
        <v>170</v>
      </c>
      <c r="R474" s="357">
        <f t="shared" si="136"/>
        <v>-2.0666666666666913</v>
      </c>
      <c r="S474" s="356">
        <f t="shared" si="137"/>
        <v>4.271111111111213</v>
      </c>
      <c r="U474" s="356">
        <f t="shared" si="138"/>
        <v>-0.12916666666666821</v>
      </c>
      <c r="V474" s="238">
        <f t="shared" si="134"/>
        <v>7</v>
      </c>
      <c r="W474" s="354"/>
      <c r="X474" s="366"/>
      <c r="Y474" s="366"/>
      <c r="Z474" s="238">
        <v>2017</v>
      </c>
      <c r="AA474" s="367">
        <f>LARGE($CU$455:$CU$604,20)</f>
        <v>197.7</v>
      </c>
      <c r="AB474" s="357">
        <f t="shared" si="139"/>
        <v>5.1666666666666572</v>
      </c>
      <c r="AC474" s="356">
        <f t="shared" si="133"/>
        <v>26.694444444444347</v>
      </c>
      <c r="AE474" s="356">
        <f t="shared" si="140"/>
        <v>0.32291666666666607</v>
      </c>
      <c r="AF474" s="238">
        <f t="shared" si="135"/>
        <v>6</v>
      </c>
      <c r="AG474" s="354"/>
      <c r="AK474"/>
      <c r="AL474"/>
      <c r="AM474"/>
      <c r="AN474"/>
      <c r="AO474"/>
      <c r="AP474"/>
      <c r="BI474" s="360"/>
      <c r="BJ474" s="354"/>
      <c r="BK474" s="366">
        <v>2017</v>
      </c>
      <c r="BL474" s="365" t="s">
        <v>68</v>
      </c>
      <c r="BM474" s="366" t="s">
        <v>158</v>
      </c>
      <c r="BN474" s="366" t="s">
        <v>3</v>
      </c>
      <c r="BO474" s="366">
        <v>0</v>
      </c>
      <c r="BP474" s="366">
        <v>0</v>
      </c>
      <c r="BQ474" s="366">
        <v>0</v>
      </c>
      <c r="BR474" s="366">
        <v>961</v>
      </c>
      <c r="BS474" s="366">
        <v>3</v>
      </c>
      <c r="BT474" s="366">
        <v>26</v>
      </c>
      <c r="BU474" s="366">
        <v>234</v>
      </c>
      <c r="BV474" s="366">
        <v>1</v>
      </c>
      <c r="BW474" s="366">
        <v>0</v>
      </c>
      <c r="BX474" s="366">
        <v>0</v>
      </c>
      <c r="BY474" s="366">
        <v>0</v>
      </c>
      <c r="BZ474" s="366">
        <v>0</v>
      </c>
      <c r="CA474" s="366">
        <v>0</v>
      </c>
      <c r="CB474" s="367">
        <f>IFERROR(BO474/Instructions!$J$25,0)+BP474*Instructions!$J$27+BQ474*Instructions!$J$29+IFERROR(BR474/Instructions!$E$34,0)+BS474*Instructions!$E$36+Tier!BT475*Instructions!$E$25+IFERROR(BU474/Instructions!$E$27,0)+BV474*Instructions!$E$29+IFERROR((BW474+BY474)/Instructions!$J$32,0)+(BX474+BZ474)*Instructions!$J$34+Tier!CA474*-2</f>
        <v>158.5</v>
      </c>
      <c r="CC474" s="354"/>
      <c r="CD474" s="238">
        <v>2017</v>
      </c>
      <c r="CE474" s="365" t="s">
        <v>1105</v>
      </c>
      <c r="CF474" s="366" t="s">
        <v>159</v>
      </c>
      <c r="CG474" s="366" t="s">
        <v>6</v>
      </c>
      <c r="CH474" s="366">
        <v>0</v>
      </c>
      <c r="CI474" s="366">
        <v>0</v>
      </c>
      <c r="CJ474" s="366">
        <v>0</v>
      </c>
      <c r="CK474" s="366">
        <v>0</v>
      </c>
      <c r="CL474" s="366">
        <v>0</v>
      </c>
      <c r="CM474" s="366">
        <v>63</v>
      </c>
      <c r="CN474" s="366">
        <v>840</v>
      </c>
      <c r="CO474" s="366">
        <v>8</v>
      </c>
      <c r="CP474" s="366">
        <v>0</v>
      </c>
      <c r="CQ474" s="366">
        <v>0</v>
      </c>
      <c r="CR474" s="366">
        <v>0</v>
      </c>
      <c r="CS474" s="366">
        <v>0</v>
      </c>
      <c r="CT474" s="366">
        <v>0</v>
      </c>
      <c r="CU474" s="367">
        <f>IFERROR(CH474/Instructions!$J$25,0)+CI474*Instructions!$J$27+CJ474*Instructions!$J$29+IFERROR(CK474/Instructions!$E$34,0)+CL474*Instructions!$E$36+Tier!CM474*Instructions!$E$25+IFERROR(CN474/Instructions!$E$27,0)+CO474*Instructions!$E$29+IFERROR((CP474+CR474)/Instructions!$J$32,0)+(CQ474+CS474)*Instructions!$J$34+Tier!CT474*-2</f>
        <v>195</v>
      </c>
      <c r="CV474" s="354"/>
      <c r="CW474"/>
      <c r="CX474"/>
      <c r="CY474"/>
      <c r="CZ474"/>
      <c r="DA474"/>
      <c r="DB474"/>
      <c r="DC474"/>
      <c r="DD474"/>
      <c r="DE474"/>
      <c r="DF474"/>
      <c r="DG474"/>
      <c r="DH474"/>
      <c r="DI474"/>
      <c r="DJ474"/>
      <c r="DK474"/>
      <c r="DL474"/>
      <c r="DM474"/>
      <c r="DN474"/>
    </row>
    <row r="475" spans="3:118" s="238" customFormat="1" ht="15.75" customHeight="1" x14ac:dyDescent="0.25">
      <c r="C475"/>
      <c r="D475"/>
      <c r="E475"/>
      <c r="F475"/>
      <c r="G475"/>
      <c r="H475"/>
      <c r="I475"/>
      <c r="J475"/>
      <c r="K475"/>
      <c r="L475"/>
      <c r="M475"/>
      <c r="N475"/>
      <c r="O475" s="366"/>
      <c r="P475" s="366">
        <v>2017</v>
      </c>
      <c r="Q475" s="367">
        <f>LARGE($CB$455:$CB$604,21)</f>
        <v>169.39999999999998</v>
      </c>
      <c r="R475" s="357">
        <f t="shared" si="136"/>
        <v>-2.666666666666714</v>
      </c>
      <c r="S475" s="356">
        <f t="shared" si="137"/>
        <v>7.1111111111113638</v>
      </c>
      <c r="U475" s="356">
        <f t="shared" si="138"/>
        <v>-0.16666666666666963</v>
      </c>
      <c r="V475" s="238">
        <f t="shared" si="134"/>
        <v>7</v>
      </c>
      <c r="W475" s="354"/>
      <c r="X475" s="366"/>
      <c r="Y475" s="366"/>
      <c r="Z475" s="238">
        <v>2017</v>
      </c>
      <c r="AA475" s="367">
        <f>LARGE($CU$455:$CU$604,21)</f>
        <v>195</v>
      </c>
      <c r="AB475" s="357">
        <f t="shared" si="139"/>
        <v>2.4666666666666686</v>
      </c>
      <c r="AC475" s="356">
        <f t="shared" si="133"/>
        <v>6.0844444444444541</v>
      </c>
      <c r="AE475" s="356">
        <f t="shared" si="140"/>
        <v>0.15416666666666679</v>
      </c>
      <c r="AF475" s="238">
        <f t="shared" si="135"/>
        <v>6</v>
      </c>
      <c r="AG475" s="354"/>
      <c r="AK475"/>
      <c r="AL475"/>
      <c r="AM475"/>
      <c r="AN475"/>
      <c r="AO475"/>
      <c r="AP475"/>
      <c r="BI475" s="360"/>
      <c r="BJ475" s="354"/>
      <c r="BK475" s="366">
        <v>2017</v>
      </c>
      <c r="BL475" s="365" t="s">
        <v>129</v>
      </c>
      <c r="BM475" s="366" t="s">
        <v>138</v>
      </c>
      <c r="BN475" s="366" t="s">
        <v>3</v>
      </c>
      <c r="BO475" s="366">
        <v>0</v>
      </c>
      <c r="BP475" s="366">
        <v>0</v>
      </c>
      <c r="BQ475" s="366">
        <v>0</v>
      </c>
      <c r="BR475" s="366">
        <v>842</v>
      </c>
      <c r="BS475" s="366">
        <v>8</v>
      </c>
      <c r="BT475" s="366">
        <v>15</v>
      </c>
      <c r="BU475" s="366">
        <v>102</v>
      </c>
      <c r="BV475" s="366">
        <v>0</v>
      </c>
      <c r="BW475" s="366">
        <v>0</v>
      </c>
      <c r="BX475" s="366">
        <v>0</v>
      </c>
      <c r="BY475" s="366">
        <v>0</v>
      </c>
      <c r="BZ475" s="366">
        <v>0</v>
      </c>
      <c r="CA475" s="366">
        <v>0</v>
      </c>
      <c r="CB475" s="367">
        <f>IFERROR(BO475/Instructions!$J$25,0)+BP475*Instructions!$J$27+BQ475*Instructions!$J$29+IFERROR(BR475/Instructions!$E$34,0)+BS475*Instructions!$E$36+Tier!BT476*Instructions!$E$25+IFERROR(BU475/Instructions!$E$27,0)+BV475*Instructions!$E$29+IFERROR((BW475+BY475)/Instructions!$J$32,0)+(BX475+BZ475)*Instructions!$J$34+Tier!CA475*-2</f>
        <v>169.39999999999998</v>
      </c>
      <c r="CC475" s="354"/>
      <c r="CD475" s="238">
        <v>2017</v>
      </c>
      <c r="CE475" s="365" t="s">
        <v>1103</v>
      </c>
      <c r="CF475" s="366" t="s">
        <v>137</v>
      </c>
      <c r="CG475" s="366" t="s">
        <v>6</v>
      </c>
      <c r="CH475" s="366">
        <v>0</v>
      </c>
      <c r="CI475" s="366">
        <v>0</v>
      </c>
      <c r="CJ475" s="366">
        <v>0</v>
      </c>
      <c r="CK475" s="366">
        <v>7</v>
      </c>
      <c r="CL475" s="366">
        <v>1</v>
      </c>
      <c r="CM475" s="366">
        <v>62</v>
      </c>
      <c r="CN475" s="366">
        <v>768</v>
      </c>
      <c r="CO475" s="366">
        <v>8</v>
      </c>
      <c r="CP475" s="366">
        <v>0</v>
      </c>
      <c r="CQ475" s="366">
        <v>0</v>
      </c>
      <c r="CR475" s="366">
        <v>0</v>
      </c>
      <c r="CS475" s="366">
        <v>0</v>
      </c>
      <c r="CT475" s="366">
        <v>0</v>
      </c>
      <c r="CU475" s="367">
        <f>IFERROR(CH475/Instructions!$J$25,0)+CI475*Instructions!$J$27+CJ475*Instructions!$J$29+IFERROR(CK475/Instructions!$E$34,0)+CL475*Instructions!$E$36+Tier!CM475*Instructions!$E$25+IFERROR(CN475/Instructions!$E$27,0)+CO475*Instructions!$E$29+IFERROR((CP475+CR475)/Instructions!$J$32,0)+(CQ475+CS475)*Instructions!$J$34+Tier!CT475*-2</f>
        <v>193.5</v>
      </c>
      <c r="CV475" s="354"/>
      <c r="CW475"/>
      <c r="CX475"/>
      <c r="CY475"/>
      <c r="CZ475"/>
      <c r="DA475"/>
      <c r="DB475"/>
      <c r="DC475"/>
      <c r="DD475"/>
      <c r="DE475"/>
      <c r="DF475"/>
      <c r="DG475"/>
      <c r="DH475"/>
      <c r="DI475"/>
      <c r="DJ475"/>
      <c r="DK475"/>
      <c r="DL475"/>
      <c r="DM475"/>
      <c r="DN475"/>
    </row>
    <row r="476" spans="3:118" s="238" customFormat="1" ht="15.75" customHeight="1" x14ac:dyDescent="0.25">
      <c r="C476"/>
      <c r="D476"/>
      <c r="E476"/>
      <c r="F476"/>
      <c r="G476"/>
      <c r="H476"/>
      <c r="I476"/>
      <c r="J476"/>
      <c r="K476"/>
      <c r="L476"/>
      <c r="M476"/>
      <c r="N476"/>
      <c r="O476" s="366"/>
      <c r="P476" s="366">
        <v>2017</v>
      </c>
      <c r="Q476" s="367">
        <f>LARGE($CB$455:$CB$604,22)</f>
        <v>168.1</v>
      </c>
      <c r="R476" s="357">
        <f t="shared" si="136"/>
        <v>-3.966666666666697</v>
      </c>
      <c r="S476" s="356">
        <f t="shared" si="137"/>
        <v>15.734444444444685</v>
      </c>
      <c r="U476" s="356">
        <f t="shared" si="138"/>
        <v>-0.24791666666666856</v>
      </c>
      <c r="V476" s="238">
        <f t="shared" si="134"/>
        <v>7</v>
      </c>
      <c r="W476" s="354"/>
      <c r="X476" s="366"/>
      <c r="Y476" s="366"/>
      <c r="Z476" s="238">
        <v>2017</v>
      </c>
      <c r="AA476" s="367">
        <f>LARGE($CU$455:$CU$604,22)</f>
        <v>193.5</v>
      </c>
      <c r="AB476" s="357">
        <f t="shared" si="139"/>
        <v>0.96666666666666856</v>
      </c>
      <c r="AC476" s="356">
        <f t="shared" si="133"/>
        <v>0.93444444444444807</v>
      </c>
      <c r="AE476" s="356">
        <f t="shared" si="140"/>
        <v>6.0416666666666785E-2</v>
      </c>
      <c r="AF476" s="238">
        <f t="shared" si="135"/>
        <v>6</v>
      </c>
      <c r="AG476" s="354"/>
      <c r="AK476"/>
      <c r="AL476"/>
      <c r="AM476"/>
      <c r="AN476"/>
      <c r="AO476"/>
      <c r="AP476"/>
      <c r="BI476" s="360"/>
      <c r="BJ476" s="354"/>
      <c r="BK476" s="366">
        <v>2017</v>
      </c>
      <c r="BL476" s="365" t="s">
        <v>1129</v>
      </c>
      <c r="BM476" s="366" t="s">
        <v>148</v>
      </c>
      <c r="BN476" s="366" t="s">
        <v>3</v>
      </c>
      <c r="BO476" s="366">
        <v>0</v>
      </c>
      <c r="BP476" s="366">
        <v>0</v>
      </c>
      <c r="BQ476" s="366">
        <v>0</v>
      </c>
      <c r="BR476" s="366">
        <v>630</v>
      </c>
      <c r="BS476" s="366">
        <v>5</v>
      </c>
      <c r="BT476" s="366">
        <v>27</v>
      </c>
      <c r="BU476" s="366">
        <v>299</v>
      </c>
      <c r="BV476" s="366">
        <v>3</v>
      </c>
      <c r="BW476" s="366">
        <v>0</v>
      </c>
      <c r="BX476" s="366">
        <v>0</v>
      </c>
      <c r="BY476" s="366">
        <v>0</v>
      </c>
      <c r="BZ476" s="366">
        <v>0</v>
      </c>
      <c r="CA476" s="366">
        <v>0</v>
      </c>
      <c r="CB476" s="367">
        <f>IFERROR(BO476/Instructions!$J$25,0)+BP476*Instructions!$J$27+BQ476*Instructions!$J$29+IFERROR(BR476/Instructions!$E$34,0)+BS476*Instructions!$E$36+Tier!BT477*Instructions!$E$25+IFERROR(BU476/Instructions!$E$27,0)+BV476*Instructions!$E$29+IFERROR((BW476+BY476)/Instructions!$J$32,0)+(BX476+BZ476)*Instructions!$J$34+Tier!CA476*-2</f>
        <v>179.9</v>
      </c>
      <c r="CC476" s="354"/>
      <c r="CD476" s="238">
        <v>2017</v>
      </c>
      <c r="CE476" s="365" t="s">
        <v>104</v>
      </c>
      <c r="CF476" s="366" t="s">
        <v>149</v>
      </c>
      <c r="CG476" s="366" t="s">
        <v>6</v>
      </c>
      <c r="CH476" s="366">
        <v>0</v>
      </c>
      <c r="CI476" s="366">
        <v>0</v>
      </c>
      <c r="CJ476" s="366">
        <v>0</v>
      </c>
      <c r="CK476" s="366">
        <v>0</v>
      </c>
      <c r="CL476" s="366">
        <v>0</v>
      </c>
      <c r="CM476" s="366">
        <v>71</v>
      </c>
      <c r="CN476" s="366">
        <v>1001</v>
      </c>
      <c r="CO476" s="366">
        <v>5</v>
      </c>
      <c r="CP476" s="366">
        <v>0</v>
      </c>
      <c r="CQ476" s="366">
        <v>0</v>
      </c>
      <c r="CR476" s="366">
        <v>0</v>
      </c>
      <c r="CS476" s="366">
        <v>0</v>
      </c>
      <c r="CT476" s="366">
        <v>0</v>
      </c>
      <c r="CU476" s="367">
        <f>IFERROR(CH476/Instructions!$J$25,0)+CI476*Instructions!$J$27+CJ476*Instructions!$J$29+IFERROR(CK476/Instructions!$E$34,0)+CL476*Instructions!$E$36+Tier!CM476*Instructions!$E$25+IFERROR(CN476/Instructions!$E$27,0)+CO476*Instructions!$E$29+IFERROR((CP476+CR476)/Instructions!$J$32,0)+(CQ476+CS476)*Instructions!$J$34+Tier!CT476*-2</f>
        <v>201.1</v>
      </c>
      <c r="CV476" s="354"/>
      <c r="CW476"/>
      <c r="CX476"/>
      <c r="CY476"/>
      <c r="CZ476"/>
      <c r="DA476"/>
      <c r="DB476"/>
      <c r="DC476"/>
      <c r="DD476"/>
      <c r="DE476"/>
      <c r="DF476"/>
      <c r="DG476"/>
      <c r="DH476"/>
      <c r="DI476"/>
      <c r="DJ476"/>
      <c r="DK476"/>
      <c r="DL476"/>
      <c r="DM476"/>
      <c r="DN476"/>
    </row>
    <row r="477" spans="3:118" s="238" customFormat="1" ht="15.75" customHeight="1" x14ac:dyDescent="0.25">
      <c r="C477"/>
      <c r="D477"/>
      <c r="E477"/>
      <c r="F477"/>
      <c r="G477"/>
      <c r="H477"/>
      <c r="I477"/>
      <c r="J477"/>
      <c r="K477"/>
      <c r="L477"/>
      <c r="M477"/>
      <c r="N477"/>
      <c r="O477" s="366"/>
      <c r="P477" s="366">
        <v>2017</v>
      </c>
      <c r="Q477" s="367">
        <f>LARGE($CB$455:$CB$604,23)</f>
        <v>165.1</v>
      </c>
      <c r="R477" s="357">
        <f t="shared" si="136"/>
        <v>-6.966666666666697</v>
      </c>
      <c r="S477" s="356">
        <f t="shared" si="137"/>
        <v>48.534444444444865</v>
      </c>
      <c r="U477" s="356">
        <f t="shared" si="138"/>
        <v>-0.43541666666666856</v>
      </c>
      <c r="V477" s="238">
        <f t="shared" si="134"/>
        <v>7</v>
      </c>
      <c r="W477" s="354"/>
      <c r="X477" s="366"/>
      <c r="Y477" s="366"/>
      <c r="Z477" s="238">
        <v>2017</v>
      </c>
      <c r="AA477" s="367">
        <f>LARGE($CU$455:$CU$604,23)</f>
        <v>189.9</v>
      </c>
      <c r="AB477" s="357">
        <f t="shared" si="139"/>
        <v>-2.6333333333333258</v>
      </c>
      <c r="AC477" s="356">
        <f t="shared" si="133"/>
        <v>6.9344444444444049</v>
      </c>
      <c r="AE477" s="356">
        <f t="shared" si="140"/>
        <v>-0.16458333333333286</v>
      </c>
      <c r="AF477" s="238">
        <f t="shared" si="135"/>
        <v>7</v>
      </c>
      <c r="AG477" s="354"/>
      <c r="AK477"/>
      <c r="AL477"/>
      <c r="AM477"/>
      <c r="AN477"/>
      <c r="AO477"/>
      <c r="AP477"/>
      <c r="BI477" s="360"/>
      <c r="BJ477" s="354"/>
      <c r="BK477" s="366">
        <v>2017</v>
      </c>
      <c r="BL477" s="365" t="s">
        <v>32</v>
      </c>
      <c r="BM477" s="366" t="s">
        <v>163</v>
      </c>
      <c r="BN477" s="366" t="s">
        <v>3</v>
      </c>
      <c r="BO477" s="366">
        <v>0</v>
      </c>
      <c r="BP477" s="366">
        <v>0</v>
      </c>
      <c r="BQ477" s="366">
        <v>0</v>
      </c>
      <c r="BR477" s="366">
        <v>659</v>
      </c>
      <c r="BS477" s="366">
        <v>6</v>
      </c>
      <c r="BT477" s="366">
        <v>39</v>
      </c>
      <c r="BU477" s="366">
        <v>266</v>
      </c>
      <c r="BV477" s="366">
        <v>1</v>
      </c>
      <c r="BW477" s="366">
        <v>0</v>
      </c>
      <c r="BX477" s="366">
        <v>0</v>
      </c>
      <c r="BY477" s="366">
        <v>0</v>
      </c>
      <c r="BZ477" s="366">
        <v>0</v>
      </c>
      <c r="CA477" s="366">
        <v>1</v>
      </c>
      <c r="CB477" s="367">
        <f>IFERROR(BO477/Instructions!$J$25,0)+BP477*Instructions!$J$27+BQ477*Instructions!$J$29+IFERROR(BR477/Instructions!$E$34,0)+BS477*Instructions!$E$36+Tier!BT478*Instructions!$E$25+IFERROR(BU477/Instructions!$E$27,0)+BV477*Instructions!$E$29+IFERROR((BW477+BY477)/Instructions!$J$32,0)+(BX477+BZ477)*Instructions!$J$34+Tier!CA477*-2</f>
        <v>183.5</v>
      </c>
      <c r="CC477" s="354"/>
      <c r="CD477" s="238">
        <v>2017</v>
      </c>
      <c r="CE477" s="365" t="s">
        <v>14</v>
      </c>
      <c r="CF477" s="366" t="s">
        <v>144</v>
      </c>
      <c r="CG477" s="366" t="s">
        <v>6</v>
      </c>
      <c r="CH477" s="366">
        <v>0</v>
      </c>
      <c r="CI477" s="366">
        <v>0</v>
      </c>
      <c r="CJ477" s="366">
        <v>0</v>
      </c>
      <c r="CK477" s="366">
        <v>0</v>
      </c>
      <c r="CL477" s="366">
        <v>0</v>
      </c>
      <c r="CM477" s="366">
        <v>83</v>
      </c>
      <c r="CN477" s="366">
        <v>949</v>
      </c>
      <c r="CO477" s="366">
        <v>5</v>
      </c>
      <c r="CP477" s="366">
        <v>0</v>
      </c>
      <c r="CQ477" s="366">
        <v>0</v>
      </c>
      <c r="CR477" s="366">
        <v>0</v>
      </c>
      <c r="CS477" s="366">
        <v>0</v>
      </c>
      <c r="CT477" s="366">
        <v>1</v>
      </c>
      <c r="CU477" s="367">
        <f>IFERROR(CH477/Instructions!$J$25,0)+CI477*Instructions!$J$27+CJ477*Instructions!$J$29+IFERROR(CK477/Instructions!$E$34,0)+CL477*Instructions!$E$36+Tier!CM477*Instructions!$E$25+IFERROR(CN477/Instructions!$E$27,0)+CO477*Instructions!$E$29+IFERROR((CP477+CR477)/Instructions!$J$32,0)+(CQ477+CS477)*Instructions!$J$34+Tier!CT477*-2</f>
        <v>205.9</v>
      </c>
      <c r="CV477" s="354"/>
      <c r="CW477"/>
      <c r="CX477"/>
      <c r="CY477"/>
      <c r="CZ477"/>
      <c r="DA477"/>
      <c r="DB477"/>
      <c r="DC477"/>
      <c r="DD477"/>
      <c r="DE477"/>
      <c r="DF477"/>
      <c r="DG477"/>
      <c r="DH477"/>
      <c r="DI477"/>
      <c r="DJ477"/>
      <c r="DK477"/>
      <c r="DL477"/>
      <c r="DM477"/>
      <c r="DN477"/>
    </row>
    <row r="478" spans="3:118" s="238" customFormat="1" ht="15.75" customHeight="1" x14ac:dyDescent="0.25">
      <c r="C478"/>
      <c r="D478"/>
      <c r="E478"/>
      <c r="F478"/>
      <c r="G478"/>
      <c r="H478"/>
      <c r="I478"/>
      <c r="J478"/>
      <c r="K478"/>
      <c r="L478"/>
      <c r="M478"/>
      <c r="N478"/>
      <c r="O478" s="366"/>
      <c r="P478" s="366">
        <v>2017</v>
      </c>
      <c r="Q478" s="367">
        <f>LARGE($CB$455:$CB$604,24)</f>
        <v>161.69999999999999</v>
      </c>
      <c r="R478" s="357">
        <f t="shared" si="136"/>
        <v>-10.366666666666703</v>
      </c>
      <c r="S478" s="356">
        <f t="shared" si="137"/>
        <v>107.46777777777852</v>
      </c>
      <c r="U478" s="356">
        <f t="shared" si="138"/>
        <v>-0.64791666666666892</v>
      </c>
      <c r="V478" s="238">
        <f t="shared" si="134"/>
        <v>7</v>
      </c>
      <c r="W478" s="354"/>
      <c r="X478" s="366"/>
      <c r="Y478" s="366"/>
      <c r="Z478" s="238">
        <v>2017</v>
      </c>
      <c r="AA478" s="367">
        <f>LARGE($CU$455:$CU$604,24)</f>
        <v>186.5</v>
      </c>
      <c r="AB478" s="357">
        <f t="shared" si="139"/>
        <v>-6.0333333333333314</v>
      </c>
      <c r="AC478" s="356">
        <f t="shared" si="133"/>
        <v>36.401111111111085</v>
      </c>
      <c r="AE478" s="356">
        <f t="shared" si="140"/>
        <v>-0.37708333333333321</v>
      </c>
      <c r="AF478" s="238">
        <f t="shared" si="135"/>
        <v>7</v>
      </c>
      <c r="AG478" s="354"/>
      <c r="AK478"/>
      <c r="AL478"/>
      <c r="AM478"/>
      <c r="AN478"/>
      <c r="AO478"/>
      <c r="AP478"/>
      <c r="BI478" s="360"/>
      <c r="BJ478" s="354"/>
      <c r="BK478" s="366">
        <v>2017</v>
      </c>
      <c r="BL478" s="365" t="s">
        <v>986</v>
      </c>
      <c r="BM478" s="366" t="s">
        <v>138</v>
      </c>
      <c r="BN478" s="366" t="s">
        <v>3</v>
      </c>
      <c r="BO478" s="366">
        <v>0</v>
      </c>
      <c r="BP478" s="366">
        <v>0</v>
      </c>
      <c r="BQ478" s="366">
        <v>0</v>
      </c>
      <c r="BR478" s="366">
        <v>570</v>
      </c>
      <c r="BS478" s="366">
        <v>3</v>
      </c>
      <c r="BT478" s="366">
        <v>51</v>
      </c>
      <c r="BU478" s="366">
        <v>421</v>
      </c>
      <c r="BV478" s="366">
        <v>2</v>
      </c>
      <c r="BW478" s="366">
        <v>0</v>
      </c>
      <c r="BX478" s="366">
        <v>0</v>
      </c>
      <c r="BY478" s="366">
        <v>312</v>
      </c>
      <c r="BZ478" s="366">
        <v>0</v>
      </c>
      <c r="CA478" s="366">
        <v>2</v>
      </c>
      <c r="CB478" s="367">
        <f>IFERROR(BO478/Instructions!$J$25,0)+BP478*Instructions!$J$27+BQ478*Instructions!$J$29+IFERROR(BR478/Instructions!$E$34,0)+BS478*Instructions!$E$36+Tier!BT479*Instructions!$E$25+IFERROR(BU478/Instructions!$E$27,0)+BV478*Instructions!$E$29+IFERROR((BW478+BY478)/Instructions!$J$32,0)+(BX478+BZ478)*Instructions!$J$34+Tier!CA478*-2</f>
        <v>148.1</v>
      </c>
      <c r="CC478" s="354"/>
      <c r="CD478" s="238">
        <v>2017</v>
      </c>
      <c r="CE478" s="365" t="s">
        <v>121</v>
      </c>
      <c r="CF478" s="366" t="s">
        <v>166</v>
      </c>
      <c r="CG478" s="366" t="s">
        <v>6</v>
      </c>
      <c r="CH478" s="366">
        <v>0</v>
      </c>
      <c r="CI478" s="366">
        <v>0</v>
      </c>
      <c r="CJ478" s="366">
        <v>0</v>
      </c>
      <c r="CK478" s="366">
        <v>0</v>
      </c>
      <c r="CL478" s="366">
        <v>0</v>
      </c>
      <c r="CM478" s="366">
        <v>58</v>
      </c>
      <c r="CN478" s="366">
        <v>847</v>
      </c>
      <c r="CO478" s="366">
        <v>6</v>
      </c>
      <c r="CP478" s="366">
        <v>0</v>
      </c>
      <c r="CQ478" s="366">
        <v>0</v>
      </c>
      <c r="CR478" s="366">
        <v>0</v>
      </c>
      <c r="CS478" s="366">
        <v>0</v>
      </c>
      <c r="CT478" s="366">
        <v>2</v>
      </c>
      <c r="CU478" s="367">
        <f>IFERROR(CH478/Instructions!$J$25,0)+CI478*Instructions!$J$27+CJ478*Instructions!$J$29+IFERROR(CK478/Instructions!$E$34,0)+CL478*Instructions!$E$36+Tier!CM478*Instructions!$E$25+IFERROR(CN478/Instructions!$E$27,0)+CO478*Instructions!$E$29+IFERROR((CP478+CR478)/Instructions!$J$32,0)+(CQ478+CS478)*Instructions!$J$34+Tier!CT478*-2</f>
        <v>174.7</v>
      </c>
      <c r="CV478" s="354"/>
      <c r="CW478"/>
      <c r="CX478"/>
      <c r="CY478"/>
      <c r="CZ478"/>
      <c r="DA478"/>
      <c r="DB478"/>
      <c r="DC478"/>
      <c r="DD478"/>
      <c r="DE478"/>
      <c r="DF478"/>
      <c r="DG478"/>
      <c r="DH478"/>
      <c r="DI478"/>
      <c r="DJ478"/>
      <c r="DK478"/>
      <c r="DL478"/>
      <c r="DM478"/>
      <c r="DN478"/>
    </row>
    <row r="479" spans="3:118" s="238" customFormat="1" ht="15.75" customHeight="1" x14ac:dyDescent="0.25">
      <c r="C479"/>
      <c r="D479"/>
      <c r="E479"/>
      <c r="F479"/>
      <c r="G479"/>
      <c r="H479"/>
      <c r="I479"/>
      <c r="J479"/>
      <c r="K479"/>
      <c r="L479"/>
      <c r="M479"/>
      <c r="N479"/>
      <c r="O479" s="366"/>
      <c r="P479" s="366">
        <v>2017</v>
      </c>
      <c r="Q479" s="367">
        <f>LARGE($CB$455:$CB$604,25)</f>
        <v>158.5</v>
      </c>
      <c r="R479" s="357">
        <f t="shared" si="136"/>
        <v>-13.566666666666691</v>
      </c>
      <c r="S479" s="356">
        <f t="shared" si="137"/>
        <v>184.05444444444512</v>
      </c>
      <c r="U479" s="356">
        <f t="shared" si="138"/>
        <v>-0.84791666666666821</v>
      </c>
      <c r="V479" s="238">
        <f t="shared" si="134"/>
        <v>7</v>
      </c>
      <c r="W479" s="354"/>
      <c r="X479" s="366"/>
      <c r="Y479" s="366"/>
      <c r="Z479" s="238">
        <v>2017</v>
      </c>
      <c r="AA479" s="367">
        <f>LARGE($CU$455:$CU$604,25)</f>
        <v>176.9</v>
      </c>
      <c r="AB479" s="357">
        <f t="shared" si="139"/>
        <v>-15.633333333333326</v>
      </c>
      <c r="AC479" s="356">
        <f t="shared" si="133"/>
        <v>244.40111111111088</v>
      </c>
      <c r="AE479" s="356">
        <f t="shared" si="140"/>
        <v>-0.97708333333333286</v>
      </c>
      <c r="AF479" s="238">
        <f t="shared" si="135"/>
        <v>7</v>
      </c>
      <c r="AG479" s="354"/>
      <c r="AK479"/>
      <c r="AL479"/>
      <c r="AM479"/>
      <c r="AN479"/>
      <c r="AO479"/>
      <c r="AP479"/>
      <c r="BI479" s="360"/>
      <c r="BJ479" s="354"/>
      <c r="BK479" s="366">
        <v>2017</v>
      </c>
      <c r="BL479" s="365" t="s">
        <v>978</v>
      </c>
      <c r="BM479" s="366" t="s">
        <v>164</v>
      </c>
      <c r="BN479" s="366" t="s">
        <v>3</v>
      </c>
      <c r="BO479" s="366">
        <v>0</v>
      </c>
      <c r="BP479" s="366">
        <v>0</v>
      </c>
      <c r="BQ479" s="366">
        <v>0</v>
      </c>
      <c r="BR479" s="366">
        <v>772</v>
      </c>
      <c r="BS479" s="366">
        <v>5</v>
      </c>
      <c r="BT479" s="366">
        <v>23</v>
      </c>
      <c r="BU479" s="366">
        <v>170</v>
      </c>
      <c r="BV479" s="366">
        <v>0</v>
      </c>
      <c r="BW479" s="366">
        <v>0</v>
      </c>
      <c r="BX479" s="366">
        <v>0</v>
      </c>
      <c r="BY479" s="366">
        <v>0</v>
      </c>
      <c r="BZ479" s="366">
        <v>0</v>
      </c>
      <c r="CA479" s="366">
        <v>1</v>
      </c>
      <c r="CB479" s="367">
        <f>IFERROR(BO479/Instructions!$J$25,0)+BP479*Instructions!$J$27+BQ479*Instructions!$J$29+IFERROR(BR479/Instructions!$E$34,0)+BS479*Instructions!$E$36+Tier!BT480*Instructions!$E$25+IFERROR(BU479/Instructions!$E$27,0)+BV479*Instructions!$E$29+IFERROR((BW479+BY479)/Instructions!$J$32,0)+(BX479+BZ479)*Instructions!$J$34+Tier!CA479*-2</f>
        <v>133.19999999999999</v>
      </c>
      <c r="CC479" s="354"/>
      <c r="CD479" s="238">
        <v>2017</v>
      </c>
      <c r="CE479" s="365" t="s">
        <v>1163</v>
      </c>
      <c r="CF479" s="366" t="s">
        <v>158</v>
      </c>
      <c r="CG479" s="366" t="s">
        <v>6</v>
      </c>
      <c r="CH479" s="366">
        <v>0</v>
      </c>
      <c r="CI479" s="366">
        <v>0</v>
      </c>
      <c r="CJ479" s="366">
        <v>0</v>
      </c>
      <c r="CK479" s="366">
        <v>0</v>
      </c>
      <c r="CL479" s="366">
        <v>0</v>
      </c>
      <c r="CM479" s="366">
        <v>57</v>
      </c>
      <c r="CN479" s="366">
        <v>966</v>
      </c>
      <c r="CO479" s="366">
        <v>4</v>
      </c>
      <c r="CP479" s="366">
        <v>0</v>
      </c>
      <c r="CQ479" s="366">
        <v>0</v>
      </c>
      <c r="CR479" s="366">
        <v>0</v>
      </c>
      <c r="CS479" s="366">
        <v>0</v>
      </c>
      <c r="CT479" s="366">
        <v>1</v>
      </c>
      <c r="CU479" s="367">
        <f>IFERROR(CH479/Instructions!$J$25,0)+CI479*Instructions!$J$27+CJ479*Instructions!$J$29+IFERROR(CK479/Instructions!$E$34,0)+CL479*Instructions!$E$36+Tier!CM479*Instructions!$E$25+IFERROR(CN479/Instructions!$E$27,0)+CO479*Instructions!$E$29+IFERROR((CP479+CR479)/Instructions!$J$32,0)+(CQ479+CS479)*Instructions!$J$34+Tier!CT479*-2</f>
        <v>175.6</v>
      </c>
      <c r="CV479" s="354"/>
      <c r="CW479"/>
      <c r="CX479"/>
      <c r="CY479"/>
      <c r="CZ479"/>
      <c r="DA479"/>
      <c r="DB479"/>
      <c r="DC479"/>
      <c r="DD479"/>
      <c r="DE479"/>
      <c r="DF479"/>
      <c r="DG479"/>
      <c r="DH479"/>
      <c r="DI479"/>
      <c r="DJ479"/>
      <c r="DK479"/>
      <c r="DL479"/>
      <c r="DM479"/>
      <c r="DN479"/>
    </row>
    <row r="480" spans="3:118" s="238" customFormat="1" ht="15.75" customHeight="1" x14ac:dyDescent="0.25">
      <c r="C480"/>
      <c r="D480"/>
      <c r="E480"/>
      <c r="F480"/>
      <c r="G480"/>
      <c r="H480"/>
      <c r="I480"/>
      <c r="J480"/>
      <c r="K480"/>
      <c r="L480"/>
      <c r="M480"/>
      <c r="N480"/>
      <c r="O480" s="366"/>
      <c r="P480" s="366">
        <v>2017</v>
      </c>
      <c r="Q480" s="367">
        <f>LARGE($CB$455:$CB$604,26)</f>
        <v>155.69999999999999</v>
      </c>
      <c r="R480" s="357">
        <f t="shared" si="136"/>
        <v>-16.366666666666703</v>
      </c>
      <c r="S480" s="356">
        <f t="shared" si="137"/>
        <v>267.86777777777894</v>
      </c>
      <c r="U480" s="356">
        <f t="shared" si="138"/>
        <v>-1.0229166666666689</v>
      </c>
      <c r="V480" s="238">
        <f t="shared" si="134"/>
        <v>8</v>
      </c>
      <c r="W480" s="354"/>
      <c r="X480" s="366"/>
      <c r="Y480" s="366"/>
      <c r="Z480" s="238">
        <v>2017</v>
      </c>
      <c r="AA480" s="367">
        <f>LARGE($CU$455:$CU$604,26)</f>
        <v>176</v>
      </c>
      <c r="AB480" s="357">
        <f t="shared" si="139"/>
        <v>-16.533333333333331</v>
      </c>
      <c r="AC480" s="356">
        <f t="shared" si="133"/>
        <v>273.35111111111104</v>
      </c>
      <c r="AE480" s="356">
        <f t="shared" si="140"/>
        <v>-1.0333333333333332</v>
      </c>
      <c r="AF480" s="238">
        <f t="shared" si="135"/>
        <v>8</v>
      </c>
      <c r="AG480" s="354"/>
      <c r="AK480"/>
      <c r="AL480"/>
      <c r="AM480"/>
      <c r="AN480"/>
      <c r="AO480"/>
      <c r="AP480"/>
      <c r="BI480" s="360"/>
      <c r="BJ480" s="354"/>
      <c r="BK480" s="366">
        <v>2017</v>
      </c>
      <c r="BL480" s="365" t="s">
        <v>1180</v>
      </c>
      <c r="BM480" s="366" t="s">
        <v>163</v>
      </c>
      <c r="BN480" s="366" t="s">
        <v>3</v>
      </c>
      <c r="BO480" s="366">
        <v>0</v>
      </c>
      <c r="BP480" s="366">
        <v>0</v>
      </c>
      <c r="BQ480" s="366">
        <v>0</v>
      </c>
      <c r="BR480" s="366">
        <v>744</v>
      </c>
      <c r="BS480" s="366">
        <v>5</v>
      </c>
      <c r="BT480" s="366">
        <v>11</v>
      </c>
      <c r="BU480" s="366">
        <v>136</v>
      </c>
      <c r="BV480" s="366">
        <v>1</v>
      </c>
      <c r="BW480" s="366">
        <v>0</v>
      </c>
      <c r="BX480" s="366">
        <v>0</v>
      </c>
      <c r="BY480" s="366">
        <v>0</v>
      </c>
      <c r="BZ480" s="366">
        <v>0</v>
      </c>
      <c r="CA480" s="366">
        <v>0</v>
      </c>
      <c r="CB480" s="367">
        <f>IFERROR(BO480/Instructions!$J$25,0)+BP480*Instructions!$J$27+BQ480*Instructions!$J$29+IFERROR(BR480/Instructions!$E$34,0)+BS480*Instructions!$E$36+Tier!BT481*Instructions!$E$25+IFERROR(BU480/Instructions!$E$27,0)+BV480*Instructions!$E$29+IFERROR((BW480+BY480)/Instructions!$J$32,0)+(BX480+BZ480)*Instructions!$J$34+Tier!CA480*-2</f>
        <v>170</v>
      </c>
      <c r="CC480" s="354"/>
      <c r="CD480" s="238">
        <v>2017</v>
      </c>
      <c r="CE480" s="365" t="s">
        <v>17</v>
      </c>
      <c r="CF480" s="366" t="s">
        <v>146</v>
      </c>
      <c r="CG480" s="366" t="s">
        <v>6</v>
      </c>
      <c r="CH480" s="366">
        <v>0</v>
      </c>
      <c r="CI480" s="366">
        <v>0</v>
      </c>
      <c r="CJ480" s="366">
        <v>0</v>
      </c>
      <c r="CK480" s="366">
        <v>-4</v>
      </c>
      <c r="CL480" s="366">
        <v>0</v>
      </c>
      <c r="CM480" s="366">
        <v>69</v>
      </c>
      <c r="CN480" s="366">
        <v>839</v>
      </c>
      <c r="CO480" s="366">
        <v>6</v>
      </c>
      <c r="CP480" s="366">
        <v>0</v>
      </c>
      <c r="CQ480" s="366">
        <v>0</v>
      </c>
      <c r="CR480" s="366">
        <v>0</v>
      </c>
      <c r="CS480" s="366">
        <v>0</v>
      </c>
      <c r="CT480" s="366">
        <v>1</v>
      </c>
      <c r="CU480" s="367">
        <f>IFERROR(CH480/Instructions!$J$25,0)+CI480*Instructions!$J$27+CJ480*Instructions!$J$29+IFERROR(CK480/Instructions!$E$34,0)+CL480*Instructions!$E$36+Tier!CM480*Instructions!$E$25+IFERROR(CN480/Instructions!$E$27,0)+CO480*Instructions!$E$29+IFERROR((CP480+CR480)/Instructions!$J$32,0)+(CQ480+CS480)*Instructions!$J$34+Tier!CT480*-2</f>
        <v>186.5</v>
      </c>
      <c r="CV480" s="354"/>
      <c r="CW480"/>
      <c r="CX480"/>
      <c r="CY480"/>
      <c r="CZ480"/>
      <c r="DA480"/>
      <c r="DB480"/>
      <c r="DC480"/>
      <c r="DD480"/>
      <c r="DE480"/>
      <c r="DF480"/>
      <c r="DG480"/>
      <c r="DH480"/>
      <c r="DI480"/>
      <c r="DJ480"/>
      <c r="DK480"/>
      <c r="DL480"/>
      <c r="DM480"/>
      <c r="DN480"/>
    </row>
    <row r="481" spans="3:118" s="238" customFormat="1" ht="15.75" customHeight="1" x14ac:dyDescent="0.25">
      <c r="C481"/>
      <c r="D481"/>
      <c r="E481"/>
      <c r="F481"/>
      <c r="G481"/>
      <c r="H481"/>
      <c r="I481"/>
      <c r="J481"/>
      <c r="K481"/>
      <c r="L481"/>
      <c r="M481"/>
      <c r="N481"/>
      <c r="O481" s="366"/>
      <c r="P481" s="366">
        <v>2017</v>
      </c>
      <c r="Q481" s="367">
        <f>LARGE($CB$455:$CB$604,27)</f>
        <v>151.30000000000001</v>
      </c>
      <c r="R481" s="357">
        <f t="shared" si="136"/>
        <v>-20.76666666666668</v>
      </c>
      <c r="S481" s="356">
        <f t="shared" si="137"/>
        <v>431.25444444444497</v>
      </c>
      <c r="U481" s="356">
        <f t="shared" si="138"/>
        <v>-1.2979166666666675</v>
      </c>
      <c r="V481" s="238">
        <f t="shared" si="134"/>
        <v>8</v>
      </c>
      <c r="W481" s="354"/>
      <c r="X481" s="366"/>
      <c r="Y481" s="366"/>
      <c r="Z481" s="238">
        <v>2017</v>
      </c>
      <c r="AA481" s="367">
        <f>LARGE($CU$455:$CU$604,27)</f>
        <v>175.6</v>
      </c>
      <c r="AB481" s="357">
        <f t="shared" si="139"/>
        <v>-16.933333333333337</v>
      </c>
      <c r="AC481" s="356">
        <f t="shared" si="133"/>
        <v>286.73777777777792</v>
      </c>
      <c r="AE481" s="356">
        <f t="shared" si="140"/>
        <v>-1.0583333333333336</v>
      </c>
      <c r="AF481" s="238">
        <f t="shared" si="135"/>
        <v>8</v>
      </c>
      <c r="AG481" s="354"/>
      <c r="AK481"/>
      <c r="AL481"/>
      <c r="AM481"/>
      <c r="AN481"/>
      <c r="AO481"/>
      <c r="AP481"/>
      <c r="BI481" s="360"/>
      <c r="BJ481" s="354"/>
      <c r="BK481" s="366">
        <v>2017</v>
      </c>
      <c r="BL481" s="365" t="s">
        <v>1141</v>
      </c>
      <c r="BM481" s="366" t="s">
        <v>162</v>
      </c>
      <c r="BN481" s="366" t="s">
        <v>3</v>
      </c>
      <c r="BO481" s="366">
        <v>0</v>
      </c>
      <c r="BP481" s="366">
        <v>0</v>
      </c>
      <c r="BQ481" s="366">
        <v>0</v>
      </c>
      <c r="BR481" s="366">
        <v>591</v>
      </c>
      <c r="BS481" s="366">
        <v>4</v>
      </c>
      <c r="BT481" s="366">
        <v>46</v>
      </c>
      <c r="BU481" s="366">
        <v>250</v>
      </c>
      <c r="BV481" s="366">
        <v>2</v>
      </c>
      <c r="BW481" s="366">
        <v>0</v>
      </c>
      <c r="BX481" s="366">
        <v>0</v>
      </c>
      <c r="BY481" s="366">
        <v>0</v>
      </c>
      <c r="BZ481" s="366">
        <v>0</v>
      </c>
      <c r="CA481" s="366">
        <v>0</v>
      </c>
      <c r="CB481" s="367">
        <f>IFERROR(BO481/Instructions!$J$25,0)+BP481*Instructions!$J$27+BQ481*Instructions!$J$29+IFERROR(BR481/Instructions!$E$34,0)+BS481*Instructions!$E$36+Tier!BT482*Instructions!$E$25+IFERROR(BU481/Instructions!$E$27,0)+BV481*Instructions!$E$29+IFERROR((BW481+BY481)/Instructions!$J$32,0)+(BX481+BZ481)*Instructions!$J$34+Tier!CA481*-2</f>
        <v>145.1</v>
      </c>
      <c r="CC481" s="354"/>
      <c r="CD481" s="238">
        <v>2017</v>
      </c>
      <c r="CE481" s="365" t="s">
        <v>1416</v>
      </c>
      <c r="CF481" s="366" t="s">
        <v>1389</v>
      </c>
      <c r="CG481" s="366" t="s">
        <v>6</v>
      </c>
      <c r="CH481" s="366">
        <v>0</v>
      </c>
      <c r="CI481" s="366">
        <v>0</v>
      </c>
      <c r="CJ481" s="366">
        <v>0</v>
      </c>
      <c r="CK481" s="366">
        <v>0</v>
      </c>
      <c r="CL481" s="366">
        <v>0</v>
      </c>
      <c r="CM481" s="366">
        <v>62</v>
      </c>
      <c r="CN481" s="366">
        <v>869</v>
      </c>
      <c r="CO481" s="366">
        <v>5</v>
      </c>
      <c r="CP481" s="366">
        <v>0</v>
      </c>
      <c r="CQ481" s="366">
        <v>0</v>
      </c>
      <c r="CR481" s="366">
        <v>0</v>
      </c>
      <c r="CS481" s="366">
        <v>0</v>
      </c>
      <c r="CT481" s="366">
        <v>1</v>
      </c>
      <c r="CU481" s="367">
        <f>IFERROR(CH481/Instructions!$J$25,0)+CI481*Instructions!$J$27+CJ481*Instructions!$J$29+IFERROR(CK481/Instructions!$E$34,0)+CL481*Instructions!$E$36+Tier!CM481*Instructions!$E$25+IFERROR(CN481/Instructions!$E$27,0)+CO481*Instructions!$E$29+IFERROR((CP481+CR481)/Instructions!$J$32,0)+(CQ481+CS481)*Instructions!$J$34+Tier!CT481*-2</f>
        <v>176.9</v>
      </c>
      <c r="CV481" s="354"/>
      <c r="CW481"/>
      <c r="CX481"/>
      <c r="CY481"/>
      <c r="CZ481"/>
      <c r="DA481"/>
      <c r="DB481"/>
      <c r="DC481"/>
      <c r="DD481"/>
      <c r="DE481"/>
      <c r="DF481"/>
      <c r="DG481"/>
      <c r="DH481"/>
      <c r="DI481"/>
      <c r="DJ481"/>
      <c r="DK481"/>
      <c r="DL481"/>
      <c r="DM481"/>
      <c r="DN481"/>
    </row>
    <row r="482" spans="3:118" s="238" customFormat="1" ht="15.75" customHeight="1" x14ac:dyDescent="0.25">
      <c r="C482"/>
      <c r="D482"/>
      <c r="E482"/>
      <c r="F482"/>
      <c r="G482"/>
      <c r="H482"/>
      <c r="I482"/>
      <c r="J482"/>
      <c r="K482"/>
      <c r="L482"/>
      <c r="M482"/>
      <c r="N482"/>
      <c r="O482" s="366"/>
      <c r="P482" s="366">
        <v>2017</v>
      </c>
      <c r="Q482" s="367">
        <f>LARGE($CB$455:$CB$604,28)</f>
        <v>148.1</v>
      </c>
      <c r="R482" s="357">
        <f t="shared" si="136"/>
        <v>-23.966666666666697</v>
      </c>
      <c r="S482" s="356">
        <f t="shared" si="137"/>
        <v>574.40111111111253</v>
      </c>
      <c r="U482" s="356">
        <f t="shared" si="138"/>
        <v>-1.4979166666666686</v>
      </c>
      <c r="V482" s="238">
        <f t="shared" si="134"/>
        <v>8</v>
      </c>
      <c r="W482" s="354"/>
      <c r="X482" s="366"/>
      <c r="Y482" s="366"/>
      <c r="Z482" s="238">
        <v>2017</v>
      </c>
      <c r="AA482" s="367">
        <f>LARGE($CU$455:$CU$604,28)</f>
        <v>174.7</v>
      </c>
      <c r="AB482" s="357">
        <f t="shared" si="139"/>
        <v>-17.833333333333343</v>
      </c>
      <c r="AC482" s="356">
        <f t="shared" si="133"/>
        <v>318.02777777777811</v>
      </c>
      <c r="AE482" s="356">
        <f t="shared" si="140"/>
        <v>-1.1145833333333339</v>
      </c>
      <c r="AF482" s="238">
        <f t="shared" si="135"/>
        <v>8</v>
      </c>
      <c r="AG482" s="354"/>
      <c r="AK482"/>
      <c r="AL482"/>
      <c r="AM482"/>
      <c r="AN482"/>
      <c r="AO482"/>
      <c r="AP482"/>
      <c r="BI482" s="360"/>
      <c r="BJ482" s="354"/>
      <c r="BK482" s="366">
        <v>2017</v>
      </c>
      <c r="BL482" s="365" t="s">
        <v>1446</v>
      </c>
      <c r="BM482" s="366" t="s">
        <v>139</v>
      </c>
      <c r="BN482" s="366" t="s">
        <v>3</v>
      </c>
      <c r="BO482" s="366">
        <v>0</v>
      </c>
      <c r="BP482" s="366">
        <v>0</v>
      </c>
      <c r="BQ482" s="366">
        <v>0</v>
      </c>
      <c r="BR482" s="366">
        <v>556</v>
      </c>
      <c r="BS482" s="366">
        <v>4</v>
      </c>
      <c r="BT482" s="366">
        <v>25</v>
      </c>
      <c r="BU482" s="366">
        <v>262</v>
      </c>
      <c r="BV482" s="366">
        <v>2</v>
      </c>
      <c r="BW482" s="366">
        <v>0</v>
      </c>
      <c r="BX482" s="366">
        <v>0</v>
      </c>
      <c r="BY482" s="366">
        <v>0</v>
      </c>
      <c r="BZ482" s="366">
        <v>0</v>
      </c>
      <c r="CA482" s="366">
        <v>0</v>
      </c>
      <c r="CB482" s="367">
        <f>IFERROR(BO482/Instructions!$J$25,0)+BP482*Instructions!$J$27+BQ482*Instructions!$J$29+IFERROR(BR482/Instructions!$E$34,0)+BS482*Instructions!$E$36+Tier!BT483*Instructions!$E$25+IFERROR(BU482/Instructions!$E$27,0)+BV482*Instructions!$E$29+IFERROR((BW482+BY482)/Instructions!$J$32,0)+(BX482+BZ482)*Instructions!$J$34+Tier!CA482*-2</f>
        <v>136.80000000000001</v>
      </c>
      <c r="CC482" s="354"/>
      <c r="CD482" s="238">
        <v>2017</v>
      </c>
      <c r="CE482" s="365" t="s">
        <v>1247</v>
      </c>
      <c r="CF482" s="366" t="s">
        <v>155</v>
      </c>
      <c r="CG482" s="366" t="s">
        <v>6</v>
      </c>
      <c r="CH482" s="366">
        <v>0</v>
      </c>
      <c r="CI482" s="366">
        <v>0</v>
      </c>
      <c r="CJ482" s="366">
        <v>0</v>
      </c>
      <c r="CK482" s="366">
        <v>44</v>
      </c>
      <c r="CL482" s="366">
        <v>0</v>
      </c>
      <c r="CM482" s="366">
        <v>56</v>
      </c>
      <c r="CN482" s="366">
        <v>962</v>
      </c>
      <c r="CO482" s="366">
        <v>2</v>
      </c>
      <c r="CP482" s="366">
        <v>0</v>
      </c>
      <c r="CQ482" s="366">
        <v>0</v>
      </c>
      <c r="CR482" s="366">
        <v>0</v>
      </c>
      <c r="CS482" s="366">
        <v>0</v>
      </c>
      <c r="CT482" s="366">
        <v>0</v>
      </c>
      <c r="CU482" s="367">
        <f>IFERROR(CH482/Instructions!$J$25,0)+CI482*Instructions!$J$27+CJ482*Instructions!$J$29+IFERROR(CK482/Instructions!$E$34,0)+CL482*Instructions!$E$36+Tier!CM482*Instructions!$E$25+IFERROR(CN482/Instructions!$E$27,0)+CO482*Instructions!$E$29+IFERROR((CP482+CR482)/Instructions!$J$32,0)+(CQ482+CS482)*Instructions!$J$34+Tier!CT482*-2</f>
        <v>168.6</v>
      </c>
      <c r="CV482" s="354"/>
      <c r="CW482"/>
      <c r="CX482"/>
      <c r="CY482"/>
      <c r="CZ482"/>
      <c r="DA482"/>
      <c r="DB482"/>
      <c r="DC482"/>
      <c r="DD482"/>
      <c r="DE482"/>
      <c r="DF482"/>
      <c r="DG482"/>
      <c r="DH482"/>
      <c r="DI482"/>
      <c r="DJ482"/>
      <c r="DK482"/>
      <c r="DL482"/>
      <c r="DM482"/>
      <c r="DN482"/>
    </row>
    <row r="483" spans="3:118" s="238" customFormat="1" ht="15.75" customHeight="1" x14ac:dyDescent="0.25">
      <c r="C483"/>
      <c r="D483"/>
      <c r="E483"/>
      <c r="F483"/>
      <c r="G483"/>
      <c r="H483"/>
      <c r="I483"/>
      <c r="J483"/>
      <c r="K483"/>
      <c r="L483"/>
      <c r="M483"/>
      <c r="N483"/>
      <c r="O483" s="366"/>
      <c r="P483" s="366">
        <v>2017</v>
      </c>
      <c r="Q483" s="367">
        <f>LARGE($CB$455:$CB$604,29)</f>
        <v>145.1</v>
      </c>
      <c r="R483" s="357">
        <f t="shared" si="136"/>
        <v>-26.966666666666697</v>
      </c>
      <c r="S483" s="356">
        <f t="shared" si="137"/>
        <v>727.20111111111271</v>
      </c>
      <c r="U483" s="356">
        <f t="shared" si="138"/>
        <v>-1.6854166666666686</v>
      </c>
      <c r="V483" s="238">
        <f t="shared" si="134"/>
        <v>8</v>
      </c>
      <c r="W483" s="354"/>
      <c r="X483" s="366"/>
      <c r="Y483" s="366"/>
      <c r="Z483" s="238">
        <v>2017</v>
      </c>
      <c r="AA483" s="367">
        <f>LARGE($CU$455:$CU$604,29)</f>
        <v>174.34</v>
      </c>
      <c r="AB483" s="357">
        <f t="shared" si="139"/>
        <v>-18.193333333333328</v>
      </c>
      <c r="AC483" s="356">
        <f t="shared" si="133"/>
        <v>330.99737777777756</v>
      </c>
      <c r="AE483" s="356">
        <f t="shared" si="140"/>
        <v>-1.137083333333333</v>
      </c>
      <c r="AF483" s="238">
        <f t="shared" si="135"/>
        <v>8</v>
      </c>
      <c r="AG483" s="354"/>
      <c r="AK483"/>
      <c r="AL483"/>
      <c r="AM483"/>
      <c r="AN483"/>
      <c r="AO483"/>
      <c r="AP483"/>
      <c r="BI483" s="360"/>
      <c r="BJ483" s="354"/>
      <c r="BK483" s="366">
        <v>2017</v>
      </c>
      <c r="BL483" s="365" t="s">
        <v>1283</v>
      </c>
      <c r="BM483" s="366" t="s">
        <v>154</v>
      </c>
      <c r="BN483" s="366" t="s">
        <v>3</v>
      </c>
      <c r="BO483" s="366">
        <v>0</v>
      </c>
      <c r="BP483" s="366">
        <v>0</v>
      </c>
      <c r="BQ483" s="366">
        <v>0</v>
      </c>
      <c r="BR483" s="366">
        <v>751</v>
      </c>
      <c r="BS483" s="366">
        <v>5</v>
      </c>
      <c r="BT483" s="366">
        <v>19</v>
      </c>
      <c r="BU483" s="366">
        <v>116</v>
      </c>
      <c r="BV483" s="366">
        <v>0</v>
      </c>
      <c r="BW483" s="366">
        <v>0</v>
      </c>
      <c r="BX483" s="366">
        <v>0</v>
      </c>
      <c r="BY483" s="366">
        <v>0</v>
      </c>
      <c r="BZ483" s="366">
        <v>0</v>
      </c>
      <c r="CA483" s="366">
        <v>0</v>
      </c>
      <c r="CB483" s="367">
        <f>IFERROR(BO483/Instructions!$J$25,0)+BP483*Instructions!$J$27+BQ483*Instructions!$J$29+IFERROR(BR483/Instructions!$E$34,0)+BS483*Instructions!$E$36+Tier!BT484*Instructions!$E$25+IFERROR(BU483/Instructions!$E$27,0)+BV483*Instructions!$E$29+IFERROR((BW483+BY483)/Instructions!$J$32,0)+(BX483+BZ483)*Instructions!$J$34+Tier!CA483*-2</f>
        <v>155.69999999999999</v>
      </c>
      <c r="CC483" s="354"/>
      <c r="CD483" s="238">
        <v>2017</v>
      </c>
      <c r="CE483" s="365" t="s">
        <v>204</v>
      </c>
      <c r="CF483" s="366" t="s">
        <v>164</v>
      </c>
      <c r="CG483" s="366" t="s">
        <v>6</v>
      </c>
      <c r="CH483" s="366">
        <v>0</v>
      </c>
      <c r="CI483" s="366">
        <v>0</v>
      </c>
      <c r="CJ483" s="366">
        <v>0</v>
      </c>
      <c r="CK483" s="366">
        <v>0</v>
      </c>
      <c r="CL483" s="366">
        <v>0</v>
      </c>
      <c r="CM483" s="366">
        <v>65</v>
      </c>
      <c r="CN483" s="366">
        <v>810</v>
      </c>
      <c r="CO483" s="366">
        <v>5</v>
      </c>
      <c r="CP483" s="366">
        <v>0</v>
      </c>
      <c r="CQ483" s="366">
        <v>0</v>
      </c>
      <c r="CR483" s="366">
        <v>0</v>
      </c>
      <c r="CS483" s="366">
        <v>0</v>
      </c>
      <c r="CT483" s="366">
        <v>0</v>
      </c>
      <c r="CU483" s="367">
        <f>IFERROR(CH483/Instructions!$J$25,0)+CI483*Instructions!$J$27+CJ483*Instructions!$J$29+IFERROR(CK483/Instructions!$E$34,0)+CL483*Instructions!$E$36+Tier!CM483*Instructions!$E$25+IFERROR(CN483/Instructions!$E$27,0)+CO483*Instructions!$E$29+IFERROR((CP483+CR483)/Instructions!$J$32,0)+(CQ483+CS483)*Instructions!$J$34+Tier!CT483*-2</f>
        <v>176</v>
      </c>
      <c r="CV483" s="354"/>
      <c r="CW483"/>
      <c r="CX483"/>
      <c r="CY483"/>
      <c r="CZ483"/>
      <c r="DA483"/>
      <c r="DB483"/>
      <c r="DC483"/>
      <c r="DD483"/>
      <c r="DE483"/>
      <c r="DF483"/>
      <c r="DG483"/>
      <c r="DH483"/>
      <c r="DI483"/>
      <c r="DJ483"/>
      <c r="DK483"/>
      <c r="DL483"/>
      <c r="DM483"/>
      <c r="DN483"/>
    </row>
    <row r="484" spans="3:118" s="238" customFormat="1" ht="15.75" customHeight="1" x14ac:dyDescent="0.25">
      <c r="C484"/>
      <c r="D484"/>
      <c r="E484"/>
      <c r="F484"/>
      <c r="G484"/>
      <c r="H484"/>
      <c r="I484"/>
      <c r="J484"/>
      <c r="K484"/>
      <c r="L484"/>
      <c r="M484"/>
      <c r="N484"/>
      <c r="O484" s="366"/>
      <c r="P484" s="366">
        <v>2017</v>
      </c>
      <c r="Q484" s="367">
        <f>LARGE($CB$455:$CB$604,30)</f>
        <v>143.5</v>
      </c>
      <c r="R484" s="357">
        <f t="shared" si="136"/>
        <v>-28.566666666666691</v>
      </c>
      <c r="S484" s="356">
        <f t="shared" si="137"/>
        <v>816.05444444444583</v>
      </c>
      <c r="U484" s="356">
        <f t="shared" si="138"/>
        <v>-1.7854166666666682</v>
      </c>
      <c r="V484" s="238">
        <f t="shared" si="134"/>
        <v>8</v>
      </c>
      <c r="W484" s="354"/>
      <c r="X484" s="366"/>
      <c r="Y484" s="366"/>
      <c r="Z484" s="238">
        <v>2017</v>
      </c>
      <c r="AA484" s="367">
        <f>LARGE($CU$455:$CU$604,30)</f>
        <v>168.6</v>
      </c>
      <c r="AB484" s="357">
        <f t="shared" si="139"/>
        <v>-23.933333333333337</v>
      </c>
      <c r="AC484" s="356">
        <f t="shared" si="133"/>
        <v>572.80444444444458</v>
      </c>
      <c r="AE484" s="356">
        <f t="shared" si="140"/>
        <v>-1.4958333333333336</v>
      </c>
      <c r="AF484" s="238">
        <f t="shared" si="135"/>
        <v>8</v>
      </c>
      <c r="AG484" s="354"/>
      <c r="AK484"/>
      <c r="AL484"/>
      <c r="AM484"/>
      <c r="AN484"/>
      <c r="AO484"/>
      <c r="AP484"/>
      <c r="BI484" s="360"/>
      <c r="BJ484" s="354"/>
      <c r="BK484" s="366">
        <v>2017</v>
      </c>
      <c r="BL484" s="365" t="s">
        <v>990</v>
      </c>
      <c r="BM484" s="366" t="s">
        <v>152</v>
      </c>
      <c r="BN484" s="366" t="s">
        <v>3</v>
      </c>
      <c r="BO484" s="366">
        <v>0</v>
      </c>
      <c r="BP484" s="366">
        <v>0</v>
      </c>
      <c r="BQ484" s="366">
        <v>0</v>
      </c>
      <c r="BR484" s="366">
        <v>294</v>
      </c>
      <c r="BS484" s="366">
        <v>2</v>
      </c>
      <c r="BT484" s="366">
        <v>39</v>
      </c>
      <c r="BU484" s="366">
        <v>510</v>
      </c>
      <c r="BV484" s="366">
        <v>4</v>
      </c>
      <c r="BW484" s="366">
        <v>39</v>
      </c>
      <c r="BX484" s="366">
        <v>0</v>
      </c>
      <c r="BY484" s="366">
        <v>369</v>
      </c>
      <c r="BZ484" s="366">
        <v>0</v>
      </c>
      <c r="CA484" s="366">
        <v>2</v>
      </c>
      <c r="CB484" s="367">
        <f>IFERROR(BO484/Instructions!$J$25,0)+BP484*Instructions!$J$27+BQ484*Instructions!$J$29+IFERROR(BR484/Instructions!$E$34,0)+BS484*Instructions!$E$36+Tier!BT485*Instructions!$E$25+IFERROR(BU484/Instructions!$E$27,0)+BV484*Instructions!$E$29+IFERROR((BW484+BY484)/Instructions!$J$32,0)+(BX484+BZ484)*Instructions!$J$34+Tier!CA484*-2</f>
        <v>140.4</v>
      </c>
      <c r="CC484" s="354"/>
      <c r="CD484" s="238">
        <v>2017</v>
      </c>
      <c r="CE484" s="365" t="s">
        <v>1101</v>
      </c>
      <c r="CF484" s="366" t="s">
        <v>167</v>
      </c>
      <c r="CG484" s="366" t="s">
        <v>6</v>
      </c>
      <c r="CH484" s="366">
        <v>0</v>
      </c>
      <c r="CI484" s="366">
        <v>0</v>
      </c>
      <c r="CJ484" s="366">
        <v>0</v>
      </c>
      <c r="CK484" s="366">
        <v>4</v>
      </c>
      <c r="CL484" s="366">
        <v>0</v>
      </c>
      <c r="CM484" s="366">
        <v>48</v>
      </c>
      <c r="CN484" s="366">
        <v>680</v>
      </c>
      <c r="CO484" s="366">
        <v>7</v>
      </c>
      <c r="CP484" s="366">
        <v>0</v>
      </c>
      <c r="CQ484" s="366">
        <v>0</v>
      </c>
      <c r="CR484" s="366">
        <v>0</v>
      </c>
      <c r="CS484" s="366">
        <v>0</v>
      </c>
      <c r="CT484" s="366">
        <v>0</v>
      </c>
      <c r="CU484" s="367">
        <f>IFERROR(CH484/Instructions!$J$25,0)+CI484*Instructions!$J$27+CJ484*Instructions!$J$29+IFERROR(CK484/Instructions!$E$34,0)+CL484*Instructions!$E$36+Tier!CM484*Instructions!$E$25+IFERROR(CN484/Instructions!$E$27,0)+CO484*Instructions!$E$29+IFERROR((CP484+CR484)/Instructions!$J$32,0)+(CQ484+CS484)*Instructions!$J$34+Tier!CT484*-2</f>
        <v>158.4</v>
      </c>
      <c r="CV484" s="354"/>
      <c r="CW484"/>
      <c r="CX484"/>
      <c r="CY484"/>
      <c r="CZ484"/>
      <c r="DA484"/>
      <c r="DB484"/>
      <c r="DC484"/>
      <c r="DD484"/>
      <c r="DE484"/>
      <c r="DF484"/>
      <c r="DG484"/>
      <c r="DH484"/>
      <c r="DI484"/>
      <c r="DJ484"/>
      <c r="DK484"/>
      <c r="DL484"/>
      <c r="DM484"/>
      <c r="DN484"/>
    </row>
    <row r="485" spans="3:118" s="238" customFormat="1" ht="15.75" customHeight="1" x14ac:dyDescent="0.25">
      <c r="C485"/>
      <c r="D485"/>
      <c r="E485"/>
      <c r="F485"/>
      <c r="G485"/>
      <c r="H485"/>
      <c r="I485"/>
      <c r="J485"/>
      <c r="K485"/>
      <c r="L485"/>
      <c r="M485"/>
      <c r="N485"/>
      <c r="O485" s="366"/>
      <c r="P485" s="366">
        <v>2017</v>
      </c>
      <c r="Q485" s="367">
        <f>LARGE($CB$455:$CB$604,31)</f>
        <v>143.1</v>
      </c>
      <c r="R485" s="357">
        <f t="shared" si="136"/>
        <v>-28.966666666666697</v>
      </c>
      <c r="S485" s="356">
        <f t="shared" si="137"/>
        <v>839.0677777777795</v>
      </c>
      <c r="U485" s="356">
        <f t="shared" si="138"/>
        <v>-1.8104166666666686</v>
      </c>
      <c r="V485" s="238">
        <f t="shared" si="134"/>
        <v>8</v>
      </c>
      <c r="W485" s="354"/>
      <c r="X485" s="366"/>
      <c r="Y485" s="366"/>
      <c r="Z485" s="238">
        <v>2017</v>
      </c>
      <c r="AA485" s="367">
        <f>LARGE($CU$455:$CU$604,31)</f>
        <v>167.8</v>
      </c>
      <c r="AB485" s="357">
        <f t="shared" si="139"/>
        <v>-24.73333333333332</v>
      </c>
      <c r="AC485" s="356">
        <f t="shared" si="133"/>
        <v>611.73777777777707</v>
      </c>
      <c r="AE485" s="356">
        <f t="shared" si="140"/>
        <v>-1.5458333333333325</v>
      </c>
      <c r="AF485" s="238">
        <f t="shared" si="135"/>
        <v>8</v>
      </c>
      <c r="AG485" s="354"/>
      <c r="AK485"/>
      <c r="AL485"/>
      <c r="AM485"/>
      <c r="AN485"/>
      <c r="AO485"/>
      <c r="AP485"/>
      <c r="BI485" s="360"/>
      <c r="BJ485" s="354"/>
      <c r="BK485" s="366">
        <v>2017</v>
      </c>
      <c r="BL485" s="365" t="s">
        <v>983</v>
      </c>
      <c r="BM485" s="366" t="s">
        <v>161</v>
      </c>
      <c r="BN485" s="366" t="s">
        <v>3</v>
      </c>
      <c r="BO485" s="366">
        <v>0</v>
      </c>
      <c r="BP485" s="366">
        <v>0</v>
      </c>
      <c r="BQ485" s="366">
        <v>0</v>
      </c>
      <c r="BR485" s="366">
        <v>853</v>
      </c>
      <c r="BS485" s="366">
        <v>2</v>
      </c>
      <c r="BT485" s="366">
        <v>28</v>
      </c>
      <c r="BU485" s="366">
        <v>182</v>
      </c>
      <c r="BV485" s="366">
        <v>0</v>
      </c>
      <c r="BW485" s="366">
        <v>0</v>
      </c>
      <c r="BX485" s="366">
        <v>0</v>
      </c>
      <c r="BY485" s="366">
        <v>0</v>
      </c>
      <c r="BZ485" s="366">
        <v>0</v>
      </c>
      <c r="CA485" s="366">
        <v>1</v>
      </c>
      <c r="CB485" s="367">
        <f>IFERROR(BO485/Instructions!$J$25,0)+BP485*Instructions!$J$27+BQ485*Instructions!$J$29+IFERROR(BR485/Instructions!$E$34,0)+BS485*Instructions!$E$36+Tier!BT486*Instructions!$E$25+IFERROR(BU485/Instructions!$E$27,0)+BV485*Instructions!$E$29+IFERROR((BW485+BY485)/Instructions!$J$32,0)+(BX485+BZ485)*Instructions!$J$34+Tier!CA485*-2</f>
        <v>143.5</v>
      </c>
      <c r="CC485" s="354"/>
      <c r="CD485" s="238">
        <v>2017</v>
      </c>
      <c r="CE485" s="365" t="s">
        <v>66</v>
      </c>
      <c r="CF485" s="366" t="s">
        <v>167</v>
      </c>
      <c r="CG485" s="366" t="s">
        <v>6</v>
      </c>
      <c r="CH485" s="366">
        <v>0</v>
      </c>
      <c r="CI485" s="366">
        <v>0</v>
      </c>
      <c r="CJ485" s="366">
        <v>0</v>
      </c>
      <c r="CK485" s="366">
        <v>0</v>
      </c>
      <c r="CL485" s="366">
        <v>0</v>
      </c>
      <c r="CM485" s="366">
        <v>58</v>
      </c>
      <c r="CN485" s="366">
        <v>618</v>
      </c>
      <c r="CO485" s="366">
        <v>8</v>
      </c>
      <c r="CP485" s="366">
        <v>0</v>
      </c>
      <c r="CQ485" s="366">
        <v>0</v>
      </c>
      <c r="CR485" s="366">
        <v>0</v>
      </c>
      <c r="CS485" s="366">
        <v>0</v>
      </c>
      <c r="CT485" s="366">
        <v>0</v>
      </c>
      <c r="CU485" s="367">
        <f>IFERROR(CH485/Instructions!$J$25,0)+CI485*Instructions!$J$27+CJ485*Instructions!$J$29+IFERROR(CK485/Instructions!$E$34,0)+CL485*Instructions!$E$36+Tier!CM485*Instructions!$E$25+IFERROR(CN485/Instructions!$E$27,0)+CO485*Instructions!$E$29+IFERROR((CP485+CR485)/Instructions!$J$32,0)+(CQ485+CS485)*Instructions!$J$34+Tier!CT485*-2</f>
        <v>167.8</v>
      </c>
      <c r="CV485" s="354"/>
      <c r="CW485"/>
      <c r="CX485"/>
      <c r="CY485"/>
      <c r="CZ485"/>
      <c r="DA485"/>
      <c r="DB485"/>
      <c r="DC485"/>
      <c r="DD485"/>
      <c r="DE485"/>
      <c r="DF485"/>
      <c r="DG485"/>
      <c r="DH485"/>
      <c r="DI485"/>
      <c r="DJ485"/>
      <c r="DK485"/>
      <c r="DL485"/>
      <c r="DM485"/>
      <c r="DN485"/>
    </row>
    <row r="486" spans="3:118" s="238" customFormat="1" ht="15.75" customHeight="1" x14ac:dyDescent="0.25">
      <c r="C486"/>
      <c r="D486"/>
      <c r="E486"/>
      <c r="F486"/>
      <c r="G486"/>
      <c r="H486"/>
      <c r="I486"/>
      <c r="J486"/>
      <c r="K486"/>
      <c r="L486"/>
      <c r="M486"/>
      <c r="N486"/>
      <c r="O486" s="366"/>
      <c r="P486" s="366">
        <v>2017</v>
      </c>
      <c r="Q486" s="367">
        <f>LARGE($CB$455:$CB$604,32)</f>
        <v>140.4</v>
      </c>
      <c r="R486" s="357">
        <f t="shared" si="136"/>
        <v>-31.666666666666686</v>
      </c>
      <c r="S486" s="356">
        <f t="shared" si="137"/>
        <v>1002.777777777779</v>
      </c>
      <c r="U486" s="356">
        <f t="shared" si="138"/>
        <v>-1.9791666666666679</v>
      </c>
      <c r="V486" s="238">
        <f t="shared" si="134"/>
        <v>8</v>
      </c>
      <c r="W486" s="354"/>
      <c r="X486" s="366"/>
      <c r="Y486" s="366"/>
      <c r="Z486" s="238">
        <v>2017</v>
      </c>
      <c r="AA486" s="367">
        <f>LARGE($CU$455:$CU$604,32)</f>
        <v>163.30000000000001</v>
      </c>
      <c r="AB486" s="357">
        <f t="shared" si="139"/>
        <v>-29.23333333333332</v>
      </c>
      <c r="AC486" s="356">
        <f t="shared" si="133"/>
        <v>854.58777777777698</v>
      </c>
      <c r="AE486" s="356">
        <f t="shared" si="140"/>
        <v>-1.8270833333333325</v>
      </c>
      <c r="AF486" s="238">
        <f t="shared" si="135"/>
        <v>8</v>
      </c>
      <c r="AG486" s="354"/>
      <c r="AK486"/>
      <c r="AL486"/>
      <c r="AM486"/>
      <c r="AN486"/>
      <c r="AO486"/>
      <c r="AP486"/>
      <c r="BI486" s="360"/>
      <c r="BJ486" s="354"/>
      <c r="BK486" s="366">
        <v>2017</v>
      </c>
      <c r="BL486" s="365" t="s">
        <v>1421</v>
      </c>
      <c r="BM486" s="366" t="s">
        <v>145</v>
      </c>
      <c r="BN486" s="366" t="s">
        <v>3</v>
      </c>
      <c r="BO486" s="366">
        <v>0</v>
      </c>
      <c r="BP486" s="366">
        <v>0</v>
      </c>
      <c r="BQ486" s="366">
        <v>0</v>
      </c>
      <c r="BR486" s="366">
        <v>626</v>
      </c>
      <c r="BS486" s="366">
        <v>4</v>
      </c>
      <c r="BT486" s="366">
        <v>30</v>
      </c>
      <c r="BU486" s="366">
        <v>287</v>
      </c>
      <c r="BV486" s="366">
        <v>0</v>
      </c>
      <c r="BW486" s="366">
        <v>0</v>
      </c>
      <c r="BX486" s="366">
        <v>0</v>
      </c>
      <c r="BY486" s="366">
        <v>0</v>
      </c>
      <c r="BZ486" s="366">
        <v>0</v>
      </c>
      <c r="CA486" s="366">
        <v>2</v>
      </c>
      <c r="CB486" s="367">
        <f>IFERROR(BO486/Instructions!$J$25,0)+BP486*Instructions!$J$27+BQ486*Instructions!$J$29+IFERROR(BR486/Instructions!$E$34,0)+BS486*Instructions!$E$36+Tier!BT487*Instructions!$E$25+IFERROR(BU486/Instructions!$E$27,0)+BV486*Instructions!$E$29+IFERROR((BW486+BY486)/Instructions!$J$32,0)+(BX486+BZ486)*Instructions!$J$34+Tier!CA486*-2</f>
        <v>119.3</v>
      </c>
      <c r="CC486" s="354"/>
      <c r="CD486" s="238">
        <v>2017</v>
      </c>
      <c r="CE486" s="365" t="s">
        <v>130</v>
      </c>
      <c r="CF486" s="366" t="s">
        <v>1389</v>
      </c>
      <c r="CG486" s="366" t="s">
        <v>6</v>
      </c>
      <c r="CH486" s="366">
        <v>0</v>
      </c>
      <c r="CI486" s="366">
        <v>0</v>
      </c>
      <c r="CJ486" s="366">
        <v>0</v>
      </c>
      <c r="CK486" s="366">
        <v>12</v>
      </c>
      <c r="CL486" s="366">
        <v>0</v>
      </c>
      <c r="CM486" s="366">
        <v>56</v>
      </c>
      <c r="CN486" s="366">
        <v>781</v>
      </c>
      <c r="CO486" s="366">
        <v>5</v>
      </c>
      <c r="CP486" s="366">
        <v>0</v>
      </c>
      <c r="CQ486" s="366">
        <v>0</v>
      </c>
      <c r="CR486" s="366">
        <v>0</v>
      </c>
      <c r="CS486" s="366">
        <v>0</v>
      </c>
      <c r="CT486" s="366">
        <v>1</v>
      </c>
      <c r="CU486" s="367">
        <f>IFERROR(CH486/Instructions!$J$25,0)+CI486*Instructions!$J$27+CJ486*Instructions!$J$29+IFERROR(CK486/Instructions!$E$34,0)+CL486*Instructions!$E$36+Tier!CM486*Instructions!$E$25+IFERROR(CN486/Instructions!$E$27,0)+CO486*Instructions!$E$29+IFERROR((CP486+CR486)/Instructions!$J$32,0)+(CQ486+CS486)*Instructions!$J$34+Tier!CT486*-2</f>
        <v>163.30000000000001</v>
      </c>
      <c r="CV486" s="354"/>
      <c r="CW486"/>
      <c r="CX486"/>
      <c r="CY486"/>
      <c r="CZ486"/>
      <c r="DA486"/>
      <c r="DB486"/>
      <c r="DC486"/>
      <c r="DD486"/>
      <c r="DE486"/>
      <c r="DF486"/>
      <c r="DG486"/>
      <c r="DH486"/>
      <c r="DI486"/>
      <c r="DJ486"/>
      <c r="DK486"/>
      <c r="DL486"/>
      <c r="DM486"/>
      <c r="DN486"/>
    </row>
    <row r="487" spans="3:118" s="238" customFormat="1" ht="15.75" customHeight="1" x14ac:dyDescent="0.25">
      <c r="C487"/>
      <c r="D487"/>
      <c r="E487"/>
      <c r="F487"/>
      <c r="G487"/>
      <c r="H487"/>
      <c r="I487"/>
      <c r="J487"/>
      <c r="K487"/>
      <c r="L487"/>
      <c r="M487"/>
      <c r="N487"/>
      <c r="O487" s="366"/>
      <c r="P487" s="366">
        <v>2017</v>
      </c>
      <c r="Q487" s="367">
        <f>LARGE($CB$455:$CB$604,33)</f>
        <v>139.5</v>
      </c>
      <c r="R487" s="357">
        <f t="shared" si="136"/>
        <v>-32.566666666666691</v>
      </c>
      <c r="S487" s="356">
        <f t="shared" si="137"/>
        <v>1060.5877777777794</v>
      </c>
      <c r="U487" s="356">
        <f t="shared" si="138"/>
        <v>-2.0354166666666682</v>
      </c>
      <c r="V487" s="238">
        <f t="shared" si="134"/>
        <v>8</v>
      </c>
      <c r="W487" s="354"/>
      <c r="X487" s="366"/>
      <c r="Y487" s="366"/>
      <c r="Z487" s="238">
        <v>2017</v>
      </c>
      <c r="AA487" s="367">
        <f>LARGE($CU$455:$CU$604,33)</f>
        <v>160.30000000000001</v>
      </c>
      <c r="AB487" s="357">
        <f t="shared" si="139"/>
        <v>-32.23333333333332</v>
      </c>
      <c r="AC487" s="356">
        <f t="shared" si="133"/>
        <v>1038.987777777777</v>
      </c>
      <c r="AE487" s="356">
        <f t="shared" si="140"/>
        <v>-2.0145833333333325</v>
      </c>
      <c r="AF487" s="238">
        <f t="shared" si="135"/>
        <v>8</v>
      </c>
      <c r="AG487" s="354"/>
      <c r="AK487"/>
      <c r="AL487"/>
      <c r="AM487"/>
      <c r="AN487"/>
      <c r="AO487"/>
      <c r="AP487"/>
      <c r="BI487" s="360"/>
      <c r="BJ487" s="354"/>
      <c r="BK487" s="366">
        <v>2017</v>
      </c>
      <c r="BL487" s="365" t="s">
        <v>120</v>
      </c>
      <c r="BM487" s="366" t="s">
        <v>159</v>
      </c>
      <c r="BN487" s="366" t="s">
        <v>3</v>
      </c>
      <c r="BO487" s="366">
        <v>0</v>
      </c>
      <c r="BP487" s="366">
        <v>0</v>
      </c>
      <c r="BQ487" s="366">
        <v>0</v>
      </c>
      <c r="BR487" s="366">
        <v>680</v>
      </c>
      <c r="BS487" s="366">
        <v>6</v>
      </c>
      <c r="BT487" s="366">
        <v>8</v>
      </c>
      <c r="BU487" s="366">
        <v>52</v>
      </c>
      <c r="BV487" s="366">
        <v>1</v>
      </c>
      <c r="BW487" s="366">
        <v>0</v>
      </c>
      <c r="BX487" s="366">
        <v>0</v>
      </c>
      <c r="BY487" s="366">
        <v>0</v>
      </c>
      <c r="BZ487" s="366">
        <v>0</v>
      </c>
      <c r="CA487" s="366">
        <v>3</v>
      </c>
      <c r="CB487" s="367">
        <f>IFERROR(BO487/Instructions!$J$25,0)+BP487*Instructions!$J$27+BQ487*Instructions!$J$29+IFERROR(BR487/Instructions!$E$34,0)+BS487*Instructions!$E$36+Tier!BT488*Instructions!$E$25+IFERROR(BU487/Instructions!$E$27,0)+BV487*Instructions!$E$29+IFERROR((BW487+BY487)/Instructions!$J$32,0)+(BX487+BZ487)*Instructions!$J$34+Tier!CA487*-2</f>
        <v>133.19999999999999</v>
      </c>
      <c r="CC487" s="354"/>
      <c r="CD487" s="238">
        <v>2017</v>
      </c>
      <c r="CE487" s="365" t="s">
        <v>94</v>
      </c>
      <c r="CF487" s="366" t="s">
        <v>1389</v>
      </c>
      <c r="CG487" s="366" t="s">
        <v>6</v>
      </c>
      <c r="CH487" s="366">
        <v>0</v>
      </c>
      <c r="CI487" s="366">
        <v>0</v>
      </c>
      <c r="CJ487" s="366">
        <v>0</v>
      </c>
      <c r="CK487" s="366">
        <v>0</v>
      </c>
      <c r="CL487" s="366">
        <v>0</v>
      </c>
      <c r="CM487" s="366">
        <v>39</v>
      </c>
      <c r="CN487" s="366">
        <v>593</v>
      </c>
      <c r="CO487" s="366">
        <v>8</v>
      </c>
      <c r="CP487" s="366">
        <v>0</v>
      </c>
      <c r="CQ487" s="366">
        <v>0</v>
      </c>
      <c r="CR487" s="366">
        <v>0</v>
      </c>
      <c r="CS487" s="366">
        <v>0</v>
      </c>
      <c r="CT487" s="366">
        <v>0</v>
      </c>
      <c r="CU487" s="367">
        <f>IFERROR(CH487/Instructions!$J$25,0)+CI487*Instructions!$J$27+CJ487*Instructions!$J$29+IFERROR(CK487/Instructions!$E$34,0)+CL487*Instructions!$E$36+Tier!CM487*Instructions!$E$25+IFERROR(CN487/Instructions!$E$27,0)+CO487*Instructions!$E$29+IFERROR((CP487+CR487)/Instructions!$J$32,0)+(CQ487+CS487)*Instructions!$J$34+Tier!CT487*-2</f>
        <v>146.30000000000001</v>
      </c>
      <c r="CV487" s="354"/>
      <c r="CW487"/>
      <c r="CX487"/>
      <c r="CY487"/>
      <c r="CZ487"/>
      <c r="DA487"/>
      <c r="DB487"/>
      <c r="DC487"/>
      <c r="DD487"/>
      <c r="DE487"/>
      <c r="DF487"/>
      <c r="DG487"/>
      <c r="DH487"/>
      <c r="DI487"/>
      <c r="DJ487"/>
      <c r="DK487"/>
      <c r="DL487"/>
      <c r="DM487"/>
      <c r="DN487"/>
    </row>
    <row r="488" spans="3:118" s="238" customFormat="1" ht="15.75" customHeight="1" x14ac:dyDescent="0.25">
      <c r="C488"/>
      <c r="D488"/>
      <c r="E488"/>
      <c r="F488"/>
      <c r="G488"/>
      <c r="H488"/>
      <c r="I488"/>
      <c r="J488"/>
      <c r="K488"/>
      <c r="L488"/>
      <c r="M488"/>
      <c r="N488"/>
      <c r="O488" s="366"/>
      <c r="P488" s="366">
        <v>2017</v>
      </c>
      <c r="Q488" s="367">
        <f>LARGE($CB$455:$CB$604,34)</f>
        <v>136.80000000000001</v>
      </c>
      <c r="R488" s="357">
        <f t="shared" si="136"/>
        <v>-35.26666666666668</v>
      </c>
      <c r="S488" s="356">
        <f t="shared" si="137"/>
        <v>1243.7377777777788</v>
      </c>
      <c r="U488" s="356">
        <f t="shared" si="138"/>
        <v>-2.2041666666666675</v>
      </c>
      <c r="V488" s="238">
        <f t="shared" si="134"/>
        <v>8</v>
      </c>
      <c r="W488" s="354"/>
      <c r="X488" s="366"/>
      <c r="Y488" s="366"/>
      <c r="Z488" s="238">
        <v>2017</v>
      </c>
      <c r="AA488" s="367">
        <f>LARGE($CU$455:$CU$604,34)</f>
        <v>159.6</v>
      </c>
      <c r="AB488" s="357">
        <f t="shared" si="139"/>
        <v>-32.933333333333337</v>
      </c>
      <c r="AC488" s="356">
        <f t="shared" si="133"/>
        <v>1084.6044444444447</v>
      </c>
      <c r="AE488" s="356">
        <f t="shared" si="140"/>
        <v>-2.0583333333333336</v>
      </c>
      <c r="AF488" s="238">
        <f t="shared" si="135"/>
        <v>8</v>
      </c>
      <c r="AG488" s="354"/>
      <c r="AK488"/>
      <c r="AL488"/>
      <c r="AM488"/>
      <c r="AN488"/>
      <c r="AO488"/>
      <c r="AP488"/>
      <c r="BI488" s="360"/>
      <c r="BJ488" s="354"/>
      <c r="BK488" s="366">
        <v>2017</v>
      </c>
      <c r="BL488" s="365" t="s">
        <v>1137</v>
      </c>
      <c r="BM488" s="366" t="s">
        <v>166</v>
      </c>
      <c r="BN488" s="366" t="s">
        <v>3</v>
      </c>
      <c r="BO488" s="366">
        <v>0</v>
      </c>
      <c r="BP488" s="366">
        <v>0</v>
      </c>
      <c r="BQ488" s="366">
        <v>0</v>
      </c>
      <c r="BR488" s="366">
        <v>873</v>
      </c>
      <c r="BS488" s="366">
        <v>1</v>
      </c>
      <c r="BT488" s="366">
        <v>24</v>
      </c>
      <c r="BU488" s="366">
        <v>158</v>
      </c>
      <c r="BV488" s="366">
        <v>1</v>
      </c>
      <c r="BW488" s="366">
        <v>0</v>
      </c>
      <c r="BX488" s="366">
        <v>0</v>
      </c>
      <c r="BY488" s="366">
        <v>0</v>
      </c>
      <c r="BZ488" s="366">
        <v>0</v>
      </c>
      <c r="CA488" s="366">
        <v>2</v>
      </c>
      <c r="CB488" s="367">
        <f>IFERROR(BO488/Instructions!$J$25,0)+BP488*Instructions!$J$27+BQ488*Instructions!$J$29+IFERROR(BR488/Instructions!$E$34,0)+BS488*Instructions!$E$36+Tier!BT489*Instructions!$E$25+IFERROR(BU488/Instructions!$E$27,0)+BV488*Instructions!$E$29+IFERROR((BW488+BY488)/Instructions!$J$32,0)+(BX488+BZ488)*Instructions!$J$34+Tier!CA488*-2</f>
        <v>143.1</v>
      </c>
      <c r="CC488" s="354"/>
      <c r="CD488" s="238">
        <v>2017</v>
      </c>
      <c r="CE488" s="365" t="s">
        <v>1826</v>
      </c>
      <c r="CF488" s="366" t="s">
        <v>143</v>
      </c>
      <c r="CG488" s="366" t="s">
        <v>6</v>
      </c>
      <c r="CH488" s="366">
        <v>0</v>
      </c>
      <c r="CI488" s="366">
        <v>0</v>
      </c>
      <c r="CJ488" s="366">
        <v>0</v>
      </c>
      <c r="CK488" s="366">
        <v>39</v>
      </c>
      <c r="CL488" s="366">
        <v>0</v>
      </c>
      <c r="CM488" s="366">
        <v>53</v>
      </c>
      <c r="CN488" s="366">
        <v>787</v>
      </c>
      <c r="CO488" s="366">
        <v>4</v>
      </c>
      <c r="CP488" s="366">
        <v>0</v>
      </c>
      <c r="CQ488" s="366">
        <v>0</v>
      </c>
      <c r="CR488" s="366">
        <v>0</v>
      </c>
      <c r="CS488" s="366">
        <v>0</v>
      </c>
      <c r="CT488" s="366">
        <v>0</v>
      </c>
      <c r="CU488" s="367">
        <f>IFERROR(CH488/Instructions!$J$25,0)+CI488*Instructions!$J$27+CJ488*Instructions!$J$29+IFERROR(CK488/Instructions!$E$34,0)+CL488*Instructions!$E$36+Tier!CM488*Instructions!$E$25+IFERROR(CN488/Instructions!$E$27,0)+CO488*Instructions!$E$29+IFERROR((CP488+CR488)/Instructions!$J$32,0)+(CQ488+CS488)*Instructions!$J$34+Tier!CT488*-2</f>
        <v>159.6</v>
      </c>
      <c r="CV488" s="354"/>
      <c r="CW488"/>
      <c r="CX488"/>
      <c r="CY488"/>
      <c r="CZ488"/>
      <c r="DA488"/>
      <c r="DB488"/>
      <c r="DC488"/>
      <c r="DD488"/>
      <c r="DE488"/>
      <c r="DF488"/>
      <c r="DG488"/>
      <c r="DH488"/>
      <c r="DI488"/>
      <c r="DJ488"/>
      <c r="DK488"/>
      <c r="DL488"/>
      <c r="DM488"/>
      <c r="DN488"/>
    </row>
    <row r="489" spans="3:118" s="238" customFormat="1" ht="15.75" customHeight="1" x14ac:dyDescent="0.25">
      <c r="C489"/>
      <c r="D489"/>
      <c r="E489"/>
      <c r="F489"/>
      <c r="G489"/>
      <c r="H489"/>
      <c r="I489"/>
      <c r="J489"/>
      <c r="K489"/>
      <c r="L489"/>
      <c r="M489"/>
      <c r="N489"/>
      <c r="O489" s="366"/>
      <c r="P489" s="366">
        <v>2017</v>
      </c>
      <c r="Q489" s="367">
        <f>LARGE($CB$455:$CB$604,35)</f>
        <v>136.39999999999998</v>
      </c>
      <c r="R489" s="357">
        <f t="shared" si="136"/>
        <v>-35.666666666666714</v>
      </c>
      <c r="S489" s="356">
        <f t="shared" si="137"/>
        <v>1272.1111111111145</v>
      </c>
      <c r="U489" s="356">
        <f t="shared" si="138"/>
        <v>-2.2291666666666696</v>
      </c>
      <c r="V489" s="238">
        <f t="shared" si="134"/>
        <v>8</v>
      </c>
      <c r="W489" s="354"/>
      <c r="X489" s="366"/>
      <c r="Y489" s="366"/>
      <c r="Z489" s="238">
        <v>2017</v>
      </c>
      <c r="AA489" s="367">
        <f>LARGE($CU$455:$CU$604,35)</f>
        <v>158.4</v>
      </c>
      <c r="AB489" s="357">
        <f t="shared" si="139"/>
        <v>-34.133333333333326</v>
      </c>
      <c r="AC489" s="356">
        <f t="shared" si="133"/>
        <v>1165.084444444444</v>
      </c>
      <c r="AE489" s="356">
        <f t="shared" si="140"/>
        <v>-2.1333333333333329</v>
      </c>
      <c r="AF489" s="238">
        <f t="shared" si="135"/>
        <v>8</v>
      </c>
      <c r="AG489" s="354"/>
      <c r="AK489"/>
      <c r="AL489"/>
      <c r="AM489"/>
      <c r="AN489"/>
      <c r="AO489"/>
      <c r="AP489"/>
      <c r="BI489" s="360"/>
      <c r="BJ489" s="354"/>
      <c r="BK489" s="366">
        <v>2017</v>
      </c>
      <c r="BL489" s="365" t="s">
        <v>1193</v>
      </c>
      <c r="BM489" s="366" t="s">
        <v>166</v>
      </c>
      <c r="BN489" s="366" t="s">
        <v>3</v>
      </c>
      <c r="BO489" s="366">
        <v>0</v>
      </c>
      <c r="BP489" s="366">
        <v>0</v>
      </c>
      <c r="BQ489" s="366">
        <v>0</v>
      </c>
      <c r="BR489" s="366">
        <v>644</v>
      </c>
      <c r="BS489" s="366">
        <v>3</v>
      </c>
      <c r="BT489" s="366">
        <v>32</v>
      </c>
      <c r="BU489" s="366">
        <v>239</v>
      </c>
      <c r="BV489" s="366">
        <v>1</v>
      </c>
      <c r="BW489" s="366">
        <v>0</v>
      </c>
      <c r="BX489" s="366">
        <v>0</v>
      </c>
      <c r="BY489" s="366">
        <v>147</v>
      </c>
      <c r="BZ489" s="366">
        <v>0</v>
      </c>
      <c r="CA489" s="366">
        <v>2</v>
      </c>
      <c r="CB489" s="367">
        <f>IFERROR(BO489/Instructions!$J$25,0)+BP489*Instructions!$J$27+BQ489*Instructions!$J$29+IFERROR(BR489/Instructions!$E$34,0)+BS489*Instructions!$E$36+Tier!BT490*Instructions!$E$25+IFERROR(BU489/Instructions!$E$27,0)+BV489*Instructions!$E$29+IFERROR((BW489+BY489)/Instructions!$J$32,0)+(BX489+BZ489)*Instructions!$J$34+Tier!CA489*-2</f>
        <v>151.30000000000001</v>
      </c>
      <c r="CC489" s="354"/>
      <c r="CD489" s="238">
        <v>2017</v>
      </c>
      <c r="CE489" s="365" t="s">
        <v>1250</v>
      </c>
      <c r="CF489" s="366" t="s">
        <v>140</v>
      </c>
      <c r="CG489" s="366" t="s">
        <v>6</v>
      </c>
      <c r="CH489" s="366">
        <v>0</v>
      </c>
      <c r="CI489" s="366">
        <v>0</v>
      </c>
      <c r="CJ489" s="366">
        <v>0</v>
      </c>
      <c r="CK489" s="366">
        <v>0</v>
      </c>
      <c r="CL489" s="366">
        <v>0</v>
      </c>
      <c r="CM489" s="366">
        <v>44</v>
      </c>
      <c r="CN489" s="366">
        <v>703</v>
      </c>
      <c r="CO489" s="366">
        <v>6</v>
      </c>
      <c r="CP489" s="366">
        <v>0</v>
      </c>
      <c r="CQ489" s="366">
        <v>0</v>
      </c>
      <c r="CR489" s="366">
        <v>0</v>
      </c>
      <c r="CS489" s="366">
        <v>0</v>
      </c>
      <c r="CT489" s="366">
        <v>0</v>
      </c>
      <c r="CU489" s="367">
        <f>IFERROR(CH489/Instructions!$J$25,0)+CI489*Instructions!$J$27+CJ489*Instructions!$J$29+IFERROR(CK489/Instructions!$E$34,0)+CL489*Instructions!$E$36+Tier!CM489*Instructions!$E$25+IFERROR(CN489/Instructions!$E$27,0)+CO489*Instructions!$E$29+IFERROR((CP489+CR489)/Instructions!$J$32,0)+(CQ489+CS489)*Instructions!$J$34+Tier!CT489*-2</f>
        <v>150.30000000000001</v>
      </c>
      <c r="CV489" s="354"/>
      <c r="CW489"/>
      <c r="CX489"/>
      <c r="CY489"/>
      <c r="CZ489"/>
      <c r="DA489"/>
      <c r="DB489"/>
      <c r="DC489"/>
      <c r="DD489"/>
      <c r="DE489"/>
      <c r="DF489"/>
      <c r="DG489"/>
      <c r="DH489"/>
      <c r="DI489"/>
      <c r="DJ489"/>
      <c r="DK489"/>
      <c r="DL489"/>
      <c r="DM489"/>
      <c r="DN489"/>
    </row>
    <row r="490" spans="3:118" s="238" customFormat="1" ht="15.75" customHeight="1" x14ac:dyDescent="0.25">
      <c r="C490"/>
      <c r="D490"/>
      <c r="E490"/>
      <c r="F490"/>
      <c r="G490"/>
      <c r="H490"/>
      <c r="I490"/>
      <c r="J490"/>
      <c r="K490"/>
      <c r="L490"/>
      <c r="M490"/>
      <c r="N490"/>
      <c r="O490" s="366"/>
      <c r="P490" s="366">
        <v>2017</v>
      </c>
      <c r="Q490" s="367">
        <f>LARGE($CB$455:$CB$604,36)</f>
        <v>133.19999999999999</v>
      </c>
      <c r="R490" s="357">
        <f t="shared" si="136"/>
        <v>-38.866666666666703</v>
      </c>
      <c r="S490" s="356">
        <f t="shared" si="137"/>
        <v>1510.6177777777805</v>
      </c>
      <c r="U490" s="356">
        <f t="shared" si="138"/>
        <v>-2.4291666666666689</v>
      </c>
      <c r="V490" s="238">
        <f t="shared" si="134"/>
        <v>8</v>
      </c>
      <c r="W490" s="354"/>
      <c r="X490" s="366"/>
      <c r="Y490" s="366"/>
      <c r="Z490" s="238">
        <v>2017</v>
      </c>
      <c r="AA490" s="367">
        <f>LARGE($CU$455:$CU$604,36)</f>
        <v>157.39999999999998</v>
      </c>
      <c r="AB490" s="357">
        <f t="shared" si="139"/>
        <v>-35.133333333333354</v>
      </c>
      <c r="AC490" s="356">
        <f t="shared" si="133"/>
        <v>1234.3511111111127</v>
      </c>
      <c r="AE490" s="356">
        <f t="shared" si="140"/>
        <v>-2.1958333333333346</v>
      </c>
      <c r="AF490" s="238">
        <f t="shared" si="135"/>
        <v>8</v>
      </c>
      <c r="AG490" s="354"/>
      <c r="AK490"/>
      <c r="AL490"/>
      <c r="AM490"/>
      <c r="AN490"/>
      <c r="AO490"/>
      <c r="AP490"/>
      <c r="BI490" s="360"/>
      <c r="BJ490" s="354"/>
      <c r="BK490" s="366">
        <v>2017</v>
      </c>
      <c r="BL490" s="365" t="s">
        <v>46</v>
      </c>
      <c r="BM490" s="366" t="s">
        <v>145</v>
      </c>
      <c r="BN490" s="366" t="s">
        <v>3</v>
      </c>
      <c r="BO490" s="366">
        <v>0</v>
      </c>
      <c r="BP490" s="366">
        <v>0</v>
      </c>
      <c r="BQ490" s="366">
        <v>0</v>
      </c>
      <c r="BR490" s="366">
        <v>458</v>
      </c>
      <c r="BS490" s="366">
        <v>2</v>
      </c>
      <c r="BT490" s="366">
        <v>43</v>
      </c>
      <c r="BU490" s="366">
        <v>389</v>
      </c>
      <c r="BV490" s="366">
        <v>2</v>
      </c>
      <c r="BW490" s="366">
        <v>0</v>
      </c>
      <c r="BX490" s="366">
        <v>0</v>
      </c>
      <c r="BY490" s="366">
        <v>7</v>
      </c>
      <c r="BZ490" s="366">
        <v>0</v>
      </c>
      <c r="CA490" s="366">
        <v>0</v>
      </c>
      <c r="CB490" s="367">
        <f>IFERROR(BO490/Instructions!$J$25,0)+BP490*Instructions!$J$27+BQ490*Instructions!$J$29+IFERROR(BR490/Instructions!$E$34,0)+BS490*Instructions!$E$36+Tier!BT491*Instructions!$E$25+IFERROR(BU490/Instructions!$E$27,0)+BV490*Instructions!$E$29+IFERROR((BW490+BY490)/Instructions!$J$32,0)+(BX490+BZ490)*Instructions!$J$34+Tier!CA490*-2</f>
        <v>161.69999999999999</v>
      </c>
      <c r="CC490" s="354"/>
      <c r="CD490" s="238">
        <v>2017</v>
      </c>
      <c r="CE490" s="365" t="s">
        <v>213</v>
      </c>
      <c r="CF490" s="366" t="s">
        <v>163</v>
      </c>
      <c r="CG490" s="366" t="s">
        <v>6</v>
      </c>
      <c r="CH490" s="366">
        <v>0</v>
      </c>
      <c r="CI490" s="366">
        <v>0</v>
      </c>
      <c r="CJ490" s="366">
        <v>0</v>
      </c>
      <c r="CK490" s="366">
        <v>-3</v>
      </c>
      <c r="CL490" s="366">
        <v>0</v>
      </c>
      <c r="CM490" s="366">
        <v>53</v>
      </c>
      <c r="CN490" s="366">
        <v>795</v>
      </c>
      <c r="CO490" s="366">
        <v>4</v>
      </c>
      <c r="CP490" s="366">
        <v>0</v>
      </c>
      <c r="CQ490" s="366">
        <v>0</v>
      </c>
      <c r="CR490" s="366">
        <v>0</v>
      </c>
      <c r="CS490" s="366">
        <v>0</v>
      </c>
      <c r="CT490" s="366">
        <v>0</v>
      </c>
      <c r="CU490" s="367">
        <f>IFERROR(CH490/Instructions!$J$25,0)+CI490*Instructions!$J$27+CJ490*Instructions!$J$29+IFERROR(CK490/Instructions!$E$34,0)+CL490*Instructions!$E$36+Tier!CM490*Instructions!$E$25+IFERROR(CN490/Instructions!$E$27,0)+CO490*Instructions!$E$29+IFERROR((CP490+CR490)/Instructions!$J$32,0)+(CQ490+CS490)*Instructions!$J$34+Tier!CT490*-2</f>
        <v>156.19999999999999</v>
      </c>
      <c r="CV490" s="354"/>
      <c r="CW490"/>
      <c r="CX490"/>
      <c r="CY490"/>
      <c r="CZ490"/>
      <c r="DA490"/>
      <c r="DB490"/>
      <c r="DC490"/>
      <c r="DD490"/>
      <c r="DE490"/>
      <c r="DF490"/>
      <c r="DG490"/>
      <c r="DH490"/>
      <c r="DI490"/>
      <c r="DJ490"/>
      <c r="DK490"/>
      <c r="DL490"/>
      <c r="DM490"/>
      <c r="DN490"/>
    </row>
    <row r="491" spans="3:118" s="238" customFormat="1" ht="15.75" customHeight="1" x14ac:dyDescent="0.25">
      <c r="C491"/>
      <c r="D491"/>
      <c r="E491"/>
      <c r="F491"/>
      <c r="G491"/>
      <c r="H491"/>
      <c r="I491"/>
      <c r="J491"/>
      <c r="K491"/>
      <c r="L491"/>
      <c r="M491"/>
      <c r="N491"/>
      <c r="O491" s="366"/>
      <c r="P491" s="366">
        <v>2017</v>
      </c>
      <c r="Q491" s="367">
        <f>LARGE($CB$455:$CB$604,37)</f>
        <v>133.19999999999999</v>
      </c>
      <c r="R491" s="357">
        <f t="shared" si="136"/>
        <v>-38.866666666666703</v>
      </c>
      <c r="S491" s="356">
        <f t="shared" si="137"/>
        <v>1510.6177777777805</v>
      </c>
      <c r="U491" s="356">
        <f t="shared" si="138"/>
        <v>-2.4291666666666689</v>
      </c>
      <c r="V491" s="238">
        <f t="shared" si="134"/>
        <v>8</v>
      </c>
      <c r="W491" s="354"/>
      <c r="X491" s="366"/>
      <c r="Y491" s="366"/>
      <c r="Z491" s="238">
        <v>2017</v>
      </c>
      <c r="AA491" s="367">
        <f>LARGE($CU$455:$CU$604,37)</f>
        <v>156.19999999999999</v>
      </c>
      <c r="AB491" s="357">
        <f t="shared" si="139"/>
        <v>-36.333333333333343</v>
      </c>
      <c r="AC491" s="356">
        <f t="shared" si="133"/>
        <v>1320.1111111111118</v>
      </c>
      <c r="AE491" s="356">
        <f t="shared" si="140"/>
        <v>-2.2708333333333339</v>
      </c>
      <c r="AF491" s="238">
        <f t="shared" si="135"/>
        <v>8</v>
      </c>
      <c r="AG491" s="354"/>
      <c r="AK491"/>
      <c r="AL491"/>
      <c r="AM491"/>
      <c r="AN491"/>
      <c r="AO491"/>
      <c r="AP491"/>
      <c r="BI491" s="360"/>
      <c r="BJ491" s="354"/>
      <c r="BK491" s="366">
        <v>2017</v>
      </c>
      <c r="BL491" s="365" t="s">
        <v>981</v>
      </c>
      <c r="BM491" s="366" t="s">
        <v>142</v>
      </c>
      <c r="BN491" s="366" t="s">
        <v>3</v>
      </c>
      <c r="BO491" s="366">
        <v>0</v>
      </c>
      <c r="BP491" s="366">
        <v>0</v>
      </c>
      <c r="BQ491" s="366">
        <v>0</v>
      </c>
      <c r="BR491" s="366">
        <v>286</v>
      </c>
      <c r="BS491" s="366">
        <v>3</v>
      </c>
      <c r="BT491" s="366">
        <v>53</v>
      </c>
      <c r="BU491" s="366">
        <v>444</v>
      </c>
      <c r="BV491" s="366">
        <v>2</v>
      </c>
      <c r="BW491" s="366">
        <v>0</v>
      </c>
      <c r="BX491" s="366">
        <v>0</v>
      </c>
      <c r="BY491" s="366">
        <v>0</v>
      </c>
      <c r="BZ491" s="366">
        <v>0</v>
      </c>
      <c r="CA491" s="366">
        <v>1</v>
      </c>
      <c r="CB491" s="367">
        <f>IFERROR(BO491/Instructions!$J$25,0)+BP491*Instructions!$J$27+BQ491*Instructions!$J$29+IFERROR(BR491/Instructions!$E$34,0)+BS491*Instructions!$E$36+Tier!BT492*Instructions!$E$25+IFERROR(BU491/Instructions!$E$27,0)+BV491*Instructions!$E$29+IFERROR((BW491+BY491)/Instructions!$J$32,0)+(BX491+BZ491)*Instructions!$J$34+Tier!CA491*-2</f>
        <v>126</v>
      </c>
      <c r="CC491" s="354"/>
      <c r="CD491" s="238">
        <v>2017</v>
      </c>
      <c r="CE491" s="365" t="s">
        <v>196</v>
      </c>
      <c r="CF491" s="366" t="s">
        <v>148</v>
      </c>
      <c r="CG491" s="366" t="s">
        <v>6</v>
      </c>
      <c r="CH491" s="366">
        <v>51</v>
      </c>
      <c r="CI491" s="366">
        <v>1</v>
      </c>
      <c r="CJ491" s="366">
        <v>0</v>
      </c>
      <c r="CK491" s="366">
        <v>10</v>
      </c>
      <c r="CL491" s="366">
        <v>0</v>
      </c>
      <c r="CM491" s="366">
        <v>67</v>
      </c>
      <c r="CN491" s="366">
        <v>703</v>
      </c>
      <c r="CO491" s="366">
        <v>5</v>
      </c>
      <c r="CP491" s="366">
        <v>0</v>
      </c>
      <c r="CQ491" s="366">
        <v>0</v>
      </c>
      <c r="CR491" s="366">
        <v>0</v>
      </c>
      <c r="CS491" s="366">
        <v>0</v>
      </c>
      <c r="CT491" s="366">
        <v>0</v>
      </c>
      <c r="CU491" s="367">
        <f>IFERROR(CH491/Instructions!$J$25,0)+CI491*Instructions!$J$27+CJ491*Instructions!$J$29+IFERROR(CK491/Instructions!$E$34,0)+CL491*Instructions!$E$36+Tier!CM491*Instructions!$E$25+IFERROR(CN491/Instructions!$E$27,0)+CO491*Instructions!$E$29+IFERROR((CP491+CR491)/Instructions!$J$32,0)+(CQ491+CS491)*Instructions!$J$34+Tier!CT491*-2</f>
        <v>174.34</v>
      </c>
      <c r="CV491" s="354"/>
      <c r="CW491"/>
      <c r="CX491"/>
      <c r="CY491"/>
      <c r="CZ491"/>
      <c r="DA491"/>
      <c r="DB491"/>
      <c r="DC491"/>
      <c r="DD491"/>
      <c r="DE491"/>
      <c r="DF491"/>
      <c r="DG491"/>
      <c r="DH491"/>
      <c r="DI491"/>
      <c r="DJ491"/>
      <c r="DK491"/>
      <c r="DL491"/>
      <c r="DM491"/>
      <c r="DN491"/>
    </row>
    <row r="492" spans="3:118" s="238" customFormat="1" ht="15.75" customHeight="1" x14ac:dyDescent="0.25">
      <c r="C492"/>
      <c r="D492"/>
      <c r="E492"/>
      <c r="F492"/>
      <c r="G492"/>
      <c r="H492"/>
      <c r="I492"/>
      <c r="J492"/>
      <c r="K492"/>
      <c r="L492"/>
      <c r="M492"/>
      <c r="N492"/>
      <c r="O492" s="366"/>
      <c r="P492" s="366">
        <v>2017</v>
      </c>
      <c r="Q492" s="367">
        <f>LARGE($CB$455:$CB$604,38)</f>
        <v>131.13999999999999</v>
      </c>
      <c r="R492" s="357">
        <f t="shared" si="136"/>
        <v>-40.926666666666705</v>
      </c>
      <c r="S492" s="356">
        <f t="shared" si="137"/>
        <v>1674.9920444444476</v>
      </c>
      <c r="U492" s="356">
        <f t="shared" si="138"/>
        <v>-2.5579166666666691</v>
      </c>
      <c r="V492" s="238">
        <f t="shared" si="134"/>
        <v>8</v>
      </c>
      <c r="W492" s="354"/>
      <c r="X492" s="366"/>
      <c r="Y492" s="366"/>
      <c r="Z492" s="238">
        <v>2017</v>
      </c>
      <c r="AA492" s="367">
        <f>LARGE($CU$455:$CU$604,38)</f>
        <v>151.19999999999999</v>
      </c>
      <c r="AB492" s="357">
        <f t="shared" si="139"/>
        <v>-41.333333333333343</v>
      </c>
      <c r="AC492" s="356">
        <f t="shared" si="133"/>
        <v>1708.4444444444453</v>
      </c>
      <c r="AE492" s="356">
        <f t="shared" si="140"/>
        <v>-2.5833333333333339</v>
      </c>
      <c r="AF492" s="238">
        <f t="shared" si="135"/>
        <v>8</v>
      </c>
      <c r="AG492" s="354"/>
      <c r="AK492"/>
      <c r="AL492"/>
      <c r="AM492"/>
      <c r="AN492"/>
      <c r="AO492"/>
      <c r="AP492"/>
      <c r="BI492" s="360"/>
      <c r="BJ492" s="354"/>
      <c r="BK492" s="366">
        <v>2017</v>
      </c>
      <c r="BL492" s="365" t="s">
        <v>1130</v>
      </c>
      <c r="BM492" s="366" t="s">
        <v>142</v>
      </c>
      <c r="BN492" s="366" t="s">
        <v>3</v>
      </c>
      <c r="BO492" s="366">
        <v>0</v>
      </c>
      <c r="BP492" s="366">
        <v>0</v>
      </c>
      <c r="BQ492" s="366">
        <v>0</v>
      </c>
      <c r="BR492" s="366">
        <v>552</v>
      </c>
      <c r="BS492" s="366">
        <v>4</v>
      </c>
      <c r="BT492" s="366">
        <v>25</v>
      </c>
      <c r="BU492" s="366">
        <v>162</v>
      </c>
      <c r="BV492" s="366">
        <v>1</v>
      </c>
      <c r="BW492" s="366">
        <v>0</v>
      </c>
      <c r="BX492" s="366">
        <v>0</v>
      </c>
      <c r="BY492" s="366">
        <v>179</v>
      </c>
      <c r="BZ492" s="366">
        <v>0</v>
      </c>
      <c r="CA492" s="366">
        <v>1</v>
      </c>
      <c r="CB492" s="367">
        <f>IFERROR(BO492/Instructions!$J$25,0)+BP492*Instructions!$J$27+BQ492*Instructions!$J$29+IFERROR(BR492/Instructions!$E$34,0)+BS492*Instructions!$E$36+Tier!BT493*Instructions!$E$25+IFERROR(BU492/Instructions!$E$27,0)+BV492*Instructions!$E$29+IFERROR((BW492+BY492)/Instructions!$J$32,0)+(BX492+BZ492)*Instructions!$J$34+Tier!CA492*-2</f>
        <v>129.4</v>
      </c>
      <c r="CC492" s="354"/>
      <c r="CD492" s="238">
        <v>2017</v>
      </c>
      <c r="CE492" s="365" t="s">
        <v>1122</v>
      </c>
      <c r="CF492" s="366" t="s">
        <v>152</v>
      </c>
      <c r="CG492" s="366" t="s">
        <v>6</v>
      </c>
      <c r="CH492" s="366">
        <v>0</v>
      </c>
      <c r="CI492" s="366">
        <v>0</v>
      </c>
      <c r="CJ492" s="366">
        <v>0</v>
      </c>
      <c r="CK492" s="366">
        <v>34</v>
      </c>
      <c r="CL492" s="366">
        <v>0</v>
      </c>
      <c r="CM492" s="366">
        <v>66</v>
      </c>
      <c r="CN492" s="366">
        <v>789</v>
      </c>
      <c r="CO492" s="366">
        <v>3</v>
      </c>
      <c r="CP492" s="366">
        <v>171</v>
      </c>
      <c r="CQ492" s="366">
        <v>0</v>
      </c>
      <c r="CR492" s="366">
        <v>0</v>
      </c>
      <c r="CS492" s="366">
        <v>0</v>
      </c>
      <c r="CT492" s="366">
        <v>3</v>
      </c>
      <c r="CU492" s="367">
        <f>IFERROR(CH492/Instructions!$J$25,0)+CI492*Instructions!$J$27+CJ492*Instructions!$J$29+IFERROR(CK492/Instructions!$E$34,0)+CL492*Instructions!$E$36+Tier!CM492*Instructions!$E$25+IFERROR(CN492/Instructions!$E$27,0)+CO492*Instructions!$E$29+IFERROR((CP492+CR492)/Instructions!$J$32,0)+(CQ492+CS492)*Instructions!$J$34+Tier!CT492*-2</f>
        <v>160.30000000000001</v>
      </c>
      <c r="CV492" s="354"/>
      <c r="CW492"/>
      <c r="CX492"/>
      <c r="CY492"/>
      <c r="CZ492"/>
      <c r="DA492"/>
      <c r="DB492"/>
      <c r="DC492"/>
      <c r="DD492"/>
      <c r="DE492"/>
      <c r="DF492"/>
      <c r="DG492"/>
      <c r="DH492"/>
      <c r="DI492"/>
      <c r="DJ492"/>
      <c r="DK492"/>
      <c r="DL492"/>
      <c r="DM492"/>
      <c r="DN492"/>
    </row>
    <row r="493" spans="3:118" s="238" customFormat="1" ht="15.75" customHeight="1" x14ac:dyDescent="0.25">
      <c r="C493"/>
      <c r="D493"/>
      <c r="E493"/>
      <c r="F493"/>
      <c r="G493"/>
      <c r="H493"/>
      <c r="I493"/>
      <c r="J493"/>
      <c r="K493"/>
      <c r="L493"/>
      <c r="M493"/>
      <c r="N493"/>
      <c r="O493" s="366"/>
      <c r="P493" s="366">
        <v>2017</v>
      </c>
      <c r="Q493" s="367">
        <f>LARGE($CB$455:$CB$604,39)</f>
        <v>129.4</v>
      </c>
      <c r="R493" s="357">
        <f t="shared" si="136"/>
        <v>-42.666666666666686</v>
      </c>
      <c r="S493" s="356">
        <f t="shared" si="137"/>
        <v>1820.4444444444462</v>
      </c>
      <c r="U493" s="356">
        <f t="shared" si="138"/>
        <v>-2.6666666666666679</v>
      </c>
      <c r="V493" s="238">
        <f t="shared" si="134"/>
        <v>8</v>
      </c>
      <c r="W493" s="354"/>
      <c r="X493" s="366"/>
      <c r="Y493" s="366"/>
      <c r="Z493" s="238">
        <v>2017</v>
      </c>
      <c r="AA493" s="367">
        <f>LARGE($CU$455:$CU$604,39)</f>
        <v>150.30000000000001</v>
      </c>
      <c r="AB493" s="357">
        <f t="shared" si="139"/>
        <v>-42.23333333333332</v>
      </c>
      <c r="AC493" s="356">
        <f t="shared" si="133"/>
        <v>1783.6544444444432</v>
      </c>
      <c r="AE493" s="356">
        <f t="shared" si="140"/>
        <v>-2.6395833333333325</v>
      </c>
      <c r="AF493" s="238">
        <f t="shared" si="135"/>
        <v>8</v>
      </c>
      <c r="AG493" s="354"/>
      <c r="AK493"/>
      <c r="AL493"/>
      <c r="AM493"/>
      <c r="AN493"/>
      <c r="AO493"/>
      <c r="AP493"/>
      <c r="BI493" s="360"/>
      <c r="BJ493" s="354"/>
      <c r="BK493" s="366">
        <v>2017</v>
      </c>
      <c r="BL493" s="365" t="s">
        <v>1152</v>
      </c>
      <c r="BM493" s="366" t="s">
        <v>157</v>
      </c>
      <c r="BN493" s="366" t="s">
        <v>3</v>
      </c>
      <c r="BO493" s="366">
        <v>0</v>
      </c>
      <c r="BP493" s="366">
        <v>0</v>
      </c>
      <c r="BQ493" s="366">
        <v>0</v>
      </c>
      <c r="BR493" s="366">
        <v>264</v>
      </c>
      <c r="BS493" s="366">
        <v>5</v>
      </c>
      <c r="BT493" s="366">
        <v>30</v>
      </c>
      <c r="BU493" s="366">
        <v>254</v>
      </c>
      <c r="BV493" s="366">
        <v>3</v>
      </c>
      <c r="BW493" s="366">
        <v>0</v>
      </c>
      <c r="BX493" s="366">
        <v>0</v>
      </c>
      <c r="BY493" s="366">
        <v>17</v>
      </c>
      <c r="BZ493" s="366">
        <v>0</v>
      </c>
      <c r="CA493" s="366">
        <v>0</v>
      </c>
      <c r="CB493" s="367">
        <f>IFERROR(BO493/Instructions!$J$25,0)+BP493*Instructions!$J$27+BQ493*Instructions!$J$29+IFERROR(BR493/Instructions!$E$34,0)+BS493*Instructions!$E$36+Tier!BT494*Instructions!$E$25+IFERROR(BU493/Instructions!$E$27,0)+BV493*Instructions!$E$29+IFERROR((BW493+BY493)/Instructions!$J$32,0)+(BX493+BZ493)*Instructions!$J$34+Tier!CA493*-2</f>
        <v>107.80000000000001</v>
      </c>
      <c r="CC493" s="354"/>
      <c r="CD493" s="238">
        <v>2017</v>
      </c>
      <c r="CE493" s="365" t="s">
        <v>90</v>
      </c>
      <c r="CF493" s="366" t="s">
        <v>162</v>
      </c>
      <c r="CG493" s="366" t="s">
        <v>6</v>
      </c>
      <c r="CH493" s="366">
        <v>0</v>
      </c>
      <c r="CI493" s="366">
        <v>0</v>
      </c>
      <c r="CJ493" s="366">
        <v>0</v>
      </c>
      <c r="CK493" s="366">
        <v>4</v>
      </c>
      <c r="CL493" s="366">
        <v>0</v>
      </c>
      <c r="CM493" s="366">
        <v>52</v>
      </c>
      <c r="CN493" s="366">
        <v>748</v>
      </c>
      <c r="CO493" s="366">
        <v>4</v>
      </c>
      <c r="CP493" s="366">
        <v>0</v>
      </c>
      <c r="CQ493" s="366">
        <v>0</v>
      </c>
      <c r="CR493" s="366">
        <v>0</v>
      </c>
      <c r="CS493" s="366">
        <v>0</v>
      </c>
      <c r="CT493" s="366">
        <v>0</v>
      </c>
      <c r="CU493" s="367">
        <f>IFERROR(CH493/Instructions!$J$25,0)+CI493*Instructions!$J$27+CJ493*Instructions!$J$29+IFERROR(CK493/Instructions!$E$34,0)+CL493*Instructions!$E$36+Tier!CM493*Instructions!$E$25+IFERROR(CN493/Instructions!$E$27,0)+CO493*Instructions!$E$29+IFERROR((CP493+CR493)/Instructions!$J$32,0)+(CQ493+CS493)*Instructions!$J$34+Tier!CT493*-2</f>
        <v>151.19999999999999</v>
      </c>
      <c r="CV493" s="354"/>
      <c r="CW493"/>
      <c r="CX493"/>
      <c r="CY493"/>
      <c r="CZ493"/>
      <c r="DA493"/>
      <c r="DB493"/>
      <c r="DC493"/>
      <c r="DD493"/>
      <c r="DE493"/>
      <c r="DF493"/>
      <c r="DG493"/>
      <c r="DH493"/>
      <c r="DI493"/>
      <c r="DJ493"/>
      <c r="DK493"/>
      <c r="DL493"/>
      <c r="DM493"/>
      <c r="DN493"/>
    </row>
    <row r="494" spans="3:118" s="238" customFormat="1" ht="15.75" customHeight="1" x14ac:dyDescent="0.25">
      <c r="C494"/>
      <c r="D494"/>
      <c r="E494"/>
      <c r="F494"/>
      <c r="G494"/>
      <c r="H494"/>
      <c r="I494"/>
      <c r="J494"/>
      <c r="K494"/>
      <c r="L494"/>
      <c r="M494"/>
      <c r="N494"/>
      <c r="O494" s="366"/>
      <c r="P494" s="366">
        <v>2017</v>
      </c>
      <c r="Q494" s="367">
        <f>LARGE($CB$455:$CB$604,40)</f>
        <v>126</v>
      </c>
      <c r="R494" s="357">
        <f t="shared" si="136"/>
        <v>-46.066666666666691</v>
      </c>
      <c r="S494" s="356">
        <f t="shared" si="137"/>
        <v>2122.1377777777802</v>
      </c>
      <c r="U494" s="356">
        <f t="shared" si="138"/>
        <v>-2.8791666666666682</v>
      </c>
      <c r="V494" s="238">
        <f t="shared" si="134"/>
        <v>8</v>
      </c>
      <c r="W494" s="354"/>
      <c r="X494" s="366"/>
      <c r="Y494" s="366"/>
      <c r="Z494" s="238">
        <v>2017</v>
      </c>
      <c r="AA494" s="367">
        <f>LARGE($CU$455:$CU$604,40)</f>
        <v>146.30000000000001</v>
      </c>
      <c r="AB494" s="357">
        <f t="shared" si="139"/>
        <v>-46.23333333333332</v>
      </c>
      <c r="AC494" s="356">
        <f t="shared" si="133"/>
        <v>2137.5211111111098</v>
      </c>
      <c r="AE494" s="356">
        <f t="shared" si="140"/>
        <v>-2.8895833333333325</v>
      </c>
      <c r="AF494" s="238">
        <f t="shared" si="135"/>
        <v>8</v>
      </c>
      <c r="AG494" s="354"/>
      <c r="AK494"/>
      <c r="AL494"/>
      <c r="AM494"/>
      <c r="AN494"/>
      <c r="AO494"/>
      <c r="AP494"/>
      <c r="BI494" s="360"/>
      <c r="BJ494" s="354"/>
      <c r="BK494" s="366">
        <v>2017</v>
      </c>
      <c r="BL494" s="365" t="s">
        <v>109</v>
      </c>
      <c r="BM494" s="366" t="s">
        <v>137</v>
      </c>
      <c r="BN494" s="366" t="s">
        <v>3</v>
      </c>
      <c r="BO494" s="366">
        <v>0</v>
      </c>
      <c r="BP494" s="366">
        <v>0</v>
      </c>
      <c r="BQ494" s="366">
        <v>0</v>
      </c>
      <c r="BR494" s="366">
        <v>766</v>
      </c>
      <c r="BS494" s="366">
        <v>2</v>
      </c>
      <c r="BT494" s="366">
        <v>8</v>
      </c>
      <c r="BU494" s="366">
        <v>50</v>
      </c>
      <c r="BV494" s="366">
        <v>1</v>
      </c>
      <c r="BW494" s="366">
        <v>0</v>
      </c>
      <c r="BX494" s="366">
        <v>0</v>
      </c>
      <c r="BY494" s="366">
        <v>0</v>
      </c>
      <c r="BZ494" s="366">
        <v>0</v>
      </c>
      <c r="CA494" s="366">
        <v>1</v>
      </c>
      <c r="CB494" s="367">
        <f>IFERROR(BO494/Instructions!$J$25,0)+BP494*Instructions!$J$27+BQ494*Instructions!$J$29+IFERROR(BR494/Instructions!$E$34,0)+BS494*Instructions!$E$36+Tier!BT495*Instructions!$E$25+IFERROR(BU494/Instructions!$E$27,0)+BV494*Instructions!$E$29+IFERROR((BW494+BY494)/Instructions!$J$32,0)+(BX494+BZ494)*Instructions!$J$34+Tier!CA494*-2</f>
        <v>119.6</v>
      </c>
      <c r="CC494" s="354"/>
      <c r="CD494" s="238">
        <v>2017</v>
      </c>
      <c r="CE494" s="365" t="s">
        <v>1264</v>
      </c>
      <c r="CF494" s="366" t="s">
        <v>1388</v>
      </c>
      <c r="CG494" s="366" t="s">
        <v>6</v>
      </c>
      <c r="CH494" s="366">
        <v>0</v>
      </c>
      <c r="CI494" s="366">
        <v>0</v>
      </c>
      <c r="CJ494" s="366">
        <v>0</v>
      </c>
      <c r="CK494" s="366">
        <v>0</v>
      </c>
      <c r="CL494" s="366">
        <v>0</v>
      </c>
      <c r="CM494" s="366">
        <v>43</v>
      </c>
      <c r="CN494" s="366">
        <v>728</v>
      </c>
      <c r="CO494" s="366">
        <v>4</v>
      </c>
      <c r="CP494" s="366">
        <v>0</v>
      </c>
      <c r="CQ494" s="366">
        <v>0</v>
      </c>
      <c r="CR494" s="366">
        <v>0</v>
      </c>
      <c r="CS494" s="366">
        <v>0</v>
      </c>
      <c r="CT494" s="366">
        <v>1</v>
      </c>
      <c r="CU494" s="367">
        <f>IFERROR(CH494/Instructions!$J$25,0)+CI494*Instructions!$J$27+CJ494*Instructions!$J$29+IFERROR(CK494/Instructions!$E$34,0)+CL494*Instructions!$E$36+Tier!CM494*Instructions!$E$25+IFERROR(CN494/Instructions!$E$27,0)+CO494*Instructions!$E$29+IFERROR((CP494+CR494)/Instructions!$J$32,0)+(CQ494+CS494)*Instructions!$J$34+Tier!CT494*-2</f>
        <v>137.80000000000001</v>
      </c>
      <c r="CV494" s="354"/>
      <c r="CW494"/>
      <c r="CX494"/>
      <c r="CY494"/>
      <c r="CZ494"/>
      <c r="DA494"/>
      <c r="DB494"/>
      <c r="DC494"/>
      <c r="DD494"/>
      <c r="DE494"/>
      <c r="DF494"/>
      <c r="DG494"/>
      <c r="DH494"/>
      <c r="DI494"/>
      <c r="DJ494"/>
      <c r="DK494"/>
      <c r="DL494"/>
      <c r="DM494"/>
      <c r="DN494"/>
    </row>
    <row r="495" spans="3:118" s="238" customFormat="1" ht="15.75" customHeight="1" x14ac:dyDescent="0.25">
      <c r="C495"/>
      <c r="D495"/>
      <c r="E495"/>
      <c r="F495"/>
      <c r="G495"/>
      <c r="H495"/>
      <c r="I495"/>
      <c r="J495"/>
      <c r="K495"/>
      <c r="L495"/>
      <c r="M495"/>
      <c r="N495"/>
      <c r="O495" s="366"/>
      <c r="P495" s="366">
        <v>2017</v>
      </c>
      <c r="Q495" s="367">
        <f>LARGE($CB$455:$CB$604,41)</f>
        <v>119.6</v>
      </c>
      <c r="R495" s="357">
        <f t="shared" si="136"/>
        <v>-52.466666666666697</v>
      </c>
      <c r="S495" s="356">
        <f t="shared" si="137"/>
        <v>2752.7511111111144</v>
      </c>
      <c r="U495" s="356">
        <f t="shared" si="138"/>
        <v>-3.2791666666666686</v>
      </c>
      <c r="V495" s="238">
        <f t="shared" si="134"/>
        <v>8</v>
      </c>
      <c r="W495" s="354"/>
      <c r="X495" s="366"/>
      <c r="Y495" s="366"/>
      <c r="Z495" s="238">
        <v>2017</v>
      </c>
      <c r="AA495" s="367">
        <f>LARGE($CU$455:$CU$604,41)</f>
        <v>145.9</v>
      </c>
      <c r="AB495" s="357">
        <f t="shared" si="139"/>
        <v>-46.633333333333326</v>
      </c>
      <c r="AC495" s="356">
        <f t="shared" si="133"/>
        <v>2174.6677777777772</v>
      </c>
      <c r="AE495" s="356">
        <f t="shared" si="140"/>
        <v>-2.9145833333333329</v>
      </c>
      <c r="AF495" s="238">
        <f t="shared" si="135"/>
        <v>8</v>
      </c>
      <c r="AG495" s="354"/>
      <c r="AK495"/>
      <c r="AL495"/>
      <c r="AM495"/>
      <c r="AN495"/>
      <c r="AO495"/>
      <c r="AP495"/>
      <c r="BI495" s="360"/>
      <c r="BJ495" s="354"/>
      <c r="BK495" s="366">
        <v>2017</v>
      </c>
      <c r="BL495" s="365" t="s">
        <v>1440</v>
      </c>
      <c r="BM495" s="366" t="s">
        <v>152</v>
      </c>
      <c r="BN495" s="366" t="s">
        <v>3</v>
      </c>
      <c r="BO495" s="366">
        <v>0</v>
      </c>
      <c r="BP495" s="366">
        <v>0</v>
      </c>
      <c r="BQ495" s="366">
        <v>0</v>
      </c>
      <c r="BR495" s="366">
        <v>603</v>
      </c>
      <c r="BS495" s="366">
        <v>1</v>
      </c>
      <c r="BT495" s="366">
        <v>22</v>
      </c>
      <c r="BU495" s="366">
        <v>182</v>
      </c>
      <c r="BV495" s="366">
        <v>1</v>
      </c>
      <c r="BW495" s="366">
        <v>0</v>
      </c>
      <c r="BX495" s="366">
        <v>0</v>
      </c>
      <c r="BY495" s="366">
        <v>48</v>
      </c>
      <c r="BZ495" s="366">
        <v>0</v>
      </c>
      <c r="CA495" s="366">
        <v>2</v>
      </c>
      <c r="CB495" s="367">
        <f>IFERROR(BO495/Instructions!$J$25,0)+BP495*Instructions!$J$27+BQ495*Instructions!$J$29+IFERROR(BR495/Instructions!$E$34,0)+BS495*Instructions!$E$36+Tier!BT496*Instructions!$E$25+IFERROR(BU495/Instructions!$E$27,0)+BV495*Instructions!$E$29+IFERROR((BW495+BY495)/Instructions!$J$32,0)+(BX495+BZ495)*Instructions!$J$34+Tier!CA495*-2</f>
        <v>139.5</v>
      </c>
      <c r="CC495" s="354"/>
      <c r="CD495" s="238">
        <v>2017</v>
      </c>
      <c r="CE495" s="365" t="s">
        <v>1790</v>
      </c>
      <c r="CF495" s="366" t="s">
        <v>165</v>
      </c>
      <c r="CG495" s="366" t="s">
        <v>6</v>
      </c>
      <c r="CH495" s="366">
        <v>0</v>
      </c>
      <c r="CI495" s="366">
        <v>0</v>
      </c>
      <c r="CJ495" s="366">
        <v>0</v>
      </c>
      <c r="CK495" s="366">
        <v>0</v>
      </c>
      <c r="CL495" s="366">
        <v>0</v>
      </c>
      <c r="CM495" s="366">
        <v>42</v>
      </c>
      <c r="CN495" s="366">
        <v>748</v>
      </c>
      <c r="CO495" s="366">
        <v>3</v>
      </c>
      <c r="CP495" s="366">
        <v>0</v>
      </c>
      <c r="CQ495" s="366">
        <v>0</v>
      </c>
      <c r="CR495" s="366">
        <v>26</v>
      </c>
      <c r="CS495" s="366">
        <v>0</v>
      </c>
      <c r="CT495" s="366">
        <v>1</v>
      </c>
      <c r="CU495" s="367">
        <f>IFERROR(CH495/Instructions!$J$25,0)+CI495*Instructions!$J$27+CJ495*Instructions!$J$29+IFERROR(CK495/Instructions!$E$34,0)+CL495*Instructions!$E$36+Tier!CM495*Instructions!$E$25+IFERROR(CN495/Instructions!$E$27,0)+CO495*Instructions!$E$29+IFERROR((CP495+CR495)/Instructions!$J$32,0)+(CQ495+CS495)*Instructions!$J$34+Tier!CT495*-2</f>
        <v>132.80000000000001</v>
      </c>
      <c r="CV495" s="354"/>
      <c r="CW495"/>
      <c r="CX495"/>
      <c r="CY495"/>
      <c r="CZ495"/>
      <c r="DA495"/>
      <c r="DB495"/>
      <c r="DC495"/>
      <c r="DD495"/>
      <c r="DE495"/>
      <c r="DF495"/>
      <c r="DG495"/>
      <c r="DH495"/>
      <c r="DI495"/>
      <c r="DJ495"/>
      <c r="DK495"/>
      <c r="DL495"/>
      <c r="DM495"/>
      <c r="DN495"/>
    </row>
    <row r="496" spans="3:118" s="238" customFormat="1" ht="15.75" customHeight="1" x14ac:dyDescent="0.25">
      <c r="C496"/>
      <c r="D496"/>
      <c r="E496"/>
      <c r="F496"/>
      <c r="G496"/>
      <c r="H496"/>
      <c r="I496"/>
      <c r="J496"/>
      <c r="K496"/>
      <c r="L496"/>
      <c r="M496"/>
      <c r="N496"/>
      <c r="O496" s="366"/>
      <c r="P496" s="366">
        <v>2017</v>
      </c>
      <c r="Q496" s="367">
        <f>LARGE($CB$455:$CB$604,42)</f>
        <v>119.3</v>
      </c>
      <c r="R496" s="357">
        <f t="shared" si="136"/>
        <v>-52.766666666666694</v>
      </c>
      <c r="S496" s="356">
        <f t="shared" si="137"/>
        <v>2784.3211111111141</v>
      </c>
      <c r="U496" s="356">
        <f t="shared" si="138"/>
        <v>-3.2979166666666684</v>
      </c>
      <c r="V496" s="238">
        <f t="shared" si="134"/>
        <v>8</v>
      </c>
      <c r="W496" s="354"/>
      <c r="X496" s="366"/>
      <c r="Y496" s="366"/>
      <c r="Z496" s="238">
        <v>2017</v>
      </c>
      <c r="AA496" s="367">
        <f>LARGE($CU$455:$CU$604,42)</f>
        <v>144.5</v>
      </c>
      <c r="AB496" s="357">
        <f t="shared" si="139"/>
        <v>-48.033333333333331</v>
      </c>
      <c r="AC496" s="356">
        <f t="shared" si="133"/>
        <v>2307.201111111111</v>
      </c>
      <c r="AE496" s="356">
        <f t="shared" si="140"/>
        <v>-3.0020833333333332</v>
      </c>
      <c r="AF496" s="238">
        <f t="shared" si="135"/>
        <v>8</v>
      </c>
      <c r="AG496" s="354"/>
      <c r="AK496"/>
      <c r="AL496"/>
      <c r="AM496"/>
      <c r="AN496"/>
      <c r="AO496"/>
      <c r="AP496"/>
      <c r="BI496" s="360"/>
      <c r="BJ496" s="354"/>
      <c r="BK496" s="366">
        <v>2017</v>
      </c>
      <c r="BL496" s="365" t="s">
        <v>1449</v>
      </c>
      <c r="BM496" s="366" t="s">
        <v>141</v>
      </c>
      <c r="BN496" s="366" t="s">
        <v>3</v>
      </c>
      <c r="BO496" s="366">
        <v>21</v>
      </c>
      <c r="BP496" s="366">
        <v>0</v>
      </c>
      <c r="BQ496" s="366">
        <v>0</v>
      </c>
      <c r="BR496" s="366">
        <v>370</v>
      </c>
      <c r="BS496" s="366">
        <v>2</v>
      </c>
      <c r="BT496" s="366">
        <v>53</v>
      </c>
      <c r="BU496" s="366">
        <v>353</v>
      </c>
      <c r="BV496" s="366">
        <v>1</v>
      </c>
      <c r="BW496" s="366">
        <v>272</v>
      </c>
      <c r="BX496" s="366">
        <v>1</v>
      </c>
      <c r="BY496" s="366">
        <v>583</v>
      </c>
      <c r="BZ496" s="366">
        <v>0</v>
      </c>
      <c r="CA496" s="366">
        <v>2</v>
      </c>
      <c r="CB496" s="367">
        <f>IFERROR(BO496/Instructions!$J$25,0)+BP496*Instructions!$J$27+BQ496*Instructions!$J$29+IFERROR(BR496/Instructions!$E$34,0)+BS496*Instructions!$E$36+Tier!BT497*Instructions!$E$25+IFERROR(BU496/Instructions!$E$27,0)+BV496*Instructions!$E$29+IFERROR((BW496+BY496)/Instructions!$J$32,0)+(BX496+BZ496)*Instructions!$J$34+Tier!CA496*-2</f>
        <v>131.13999999999999</v>
      </c>
      <c r="CC496" s="354"/>
      <c r="CD496" s="238">
        <v>2017</v>
      </c>
      <c r="CE496" s="365" t="s">
        <v>40</v>
      </c>
      <c r="CF496" s="366" t="s">
        <v>139</v>
      </c>
      <c r="CG496" s="366" t="s">
        <v>6</v>
      </c>
      <c r="CH496" s="366">
        <v>10</v>
      </c>
      <c r="CI496" s="366">
        <v>0</v>
      </c>
      <c r="CJ496" s="366">
        <v>0</v>
      </c>
      <c r="CK496" s="366">
        <v>17</v>
      </c>
      <c r="CL496" s="366">
        <v>0</v>
      </c>
      <c r="CM496" s="366">
        <v>66</v>
      </c>
      <c r="CN496" s="366">
        <v>653</v>
      </c>
      <c r="CO496" s="366">
        <v>4</v>
      </c>
      <c r="CP496" s="366">
        <v>0</v>
      </c>
      <c r="CQ496" s="366">
        <v>0</v>
      </c>
      <c r="CR496" s="366">
        <v>0</v>
      </c>
      <c r="CS496" s="366">
        <v>0</v>
      </c>
      <c r="CT496" s="366">
        <v>0</v>
      </c>
      <c r="CU496" s="367">
        <f>IFERROR(CH496/Instructions!$J$25,0)+CI496*Instructions!$J$27+CJ496*Instructions!$J$29+IFERROR(CK496/Instructions!$E$34,0)+CL496*Instructions!$E$36+Tier!CM496*Instructions!$E$25+IFERROR(CN496/Instructions!$E$27,0)+CO496*Instructions!$E$29+IFERROR((CP496+CR496)/Instructions!$J$32,0)+(CQ496+CS496)*Instructions!$J$34+Tier!CT496*-2</f>
        <v>157.39999999999998</v>
      </c>
      <c r="CV496" s="354"/>
      <c r="CW496"/>
      <c r="CX496"/>
      <c r="CY496"/>
      <c r="CZ496"/>
      <c r="DA496"/>
      <c r="DB496"/>
      <c r="DC496"/>
      <c r="DD496"/>
      <c r="DE496"/>
      <c r="DF496"/>
      <c r="DG496"/>
      <c r="DH496"/>
      <c r="DI496"/>
      <c r="DJ496"/>
      <c r="DK496"/>
      <c r="DL496"/>
      <c r="DM496"/>
      <c r="DN496"/>
    </row>
    <row r="497" spans="3:118" s="238" customFormat="1" ht="15.75" customHeight="1" x14ac:dyDescent="0.25">
      <c r="C497"/>
      <c r="D497"/>
      <c r="E497"/>
      <c r="F497"/>
      <c r="G497"/>
      <c r="H497"/>
      <c r="I497"/>
      <c r="J497"/>
      <c r="K497"/>
      <c r="L497"/>
      <c r="M497"/>
      <c r="N497"/>
      <c r="O497" s="366"/>
      <c r="P497" s="366">
        <v>2017</v>
      </c>
      <c r="Q497" s="367">
        <f>LARGE($CB$455:$CB$604,43)</f>
        <v>110.39999999999999</v>
      </c>
      <c r="R497" s="357">
        <f t="shared" si="136"/>
        <v>-61.6666666666667</v>
      </c>
      <c r="S497" s="356">
        <f t="shared" si="137"/>
        <v>3802.7777777777819</v>
      </c>
      <c r="U497" s="356">
        <f t="shared" si="138"/>
        <v>-3.8541666666666687</v>
      </c>
      <c r="V497" s="238">
        <f t="shared" si="134"/>
        <v>8</v>
      </c>
      <c r="W497" s="354"/>
      <c r="X497" s="366"/>
      <c r="Y497" s="366"/>
      <c r="Z497" s="238">
        <v>2017</v>
      </c>
      <c r="AA497" s="367">
        <f>LARGE($CU$455:$CU$604,43)</f>
        <v>138.9</v>
      </c>
      <c r="AB497" s="357">
        <f t="shared" si="139"/>
        <v>-53.633333333333326</v>
      </c>
      <c r="AC497" s="356">
        <f t="shared" si="133"/>
        <v>2876.5344444444436</v>
      </c>
      <c r="AE497" s="356">
        <f t="shared" si="140"/>
        <v>-3.3520833333333329</v>
      </c>
      <c r="AF497" s="238">
        <f t="shared" si="135"/>
        <v>8</v>
      </c>
      <c r="AG497" s="354"/>
      <c r="AK497"/>
      <c r="AL497"/>
      <c r="AM497"/>
      <c r="AN497"/>
      <c r="AO497"/>
      <c r="AP497"/>
      <c r="BI497" s="360"/>
      <c r="BJ497" s="354"/>
      <c r="BK497" s="366">
        <v>2017</v>
      </c>
      <c r="BL497" s="365" t="s">
        <v>9</v>
      </c>
      <c r="BM497" s="366" t="s">
        <v>164</v>
      </c>
      <c r="BN497" s="366" t="s">
        <v>3</v>
      </c>
      <c r="BO497" s="366">
        <v>0</v>
      </c>
      <c r="BP497" s="366">
        <v>0</v>
      </c>
      <c r="BQ497" s="366">
        <v>0</v>
      </c>
      <c r="BR497" s="366">
        <v>381</v>
      </c>
      <c r="BS497" s="366">
        <v>2</v>
      </c>
      <c r="BT497" s="366">
        <v>38</v>
      </c>
      <c r="BU497" s="366">
        <v>293</v>
      </c>
      <c r="BV497" s="366">
        <v>1</v>
      </c>
      <c r="BW497" s="366">
        <v>0</v>
      </c>
      <c r="BX497" s="366">
        <v>0</v>
      </c>
      <c r="BY497" s="366">
        <v>0</v>
      </c>
      <c r="BZ497" s="366">
        <v>0</v>
      </c>
      <c r="CA497" s="366">
        <v>1</v>
      </c>
      <c r="CB497" s="367">
        <f>IFERROR(BO497/Instructions!$J$25,0)+BP497*Instructions!$J$27+BQ497*Instructions!$J$29+IFERROR(BR497/Instructions!$E$34,0)+BS497*Instructions!$E$36+Tier!BT498*Instructions!$E$25+IFERROR(BU497/Instructions!$E$27,0)+BV497*Instructions!$E$29+IFERROR((BW497+BY497)/Instructions!$J$32,0)+(BX497+BZ497)*Instructions!$J$34+Tier!CA497*-2</f>
        <v>110.39999999999999</v>
      </c>
      <c r="CC497" s="354"/>
      <c r="CD497" s="238">
        <v>2017</v>
      </c>
      <c r="CE497" s="365" t="s">
        <v>209</v>
      </c>
      <c r="CF497" s="366" t="s">
        <v>1388</v>
      </c>
      <c r="CG497" s="366" t="s">
        <v>6</v>
      </c>
      <c r="CH497" s="366">
        <v>0</v>
      </c>
      <c r="CI497" s="366">
        <v>0</v>
      </c>
      <c r="CJ497" s="366">
        <v>0</v>
      </c>
      <c r="CK497" s="366">
        <v>96</v>
      </c>
      <c r="CL497" s="366">
        <v>0</v>
      </c>
      <c r="CM497" s="366">
        <v>34</v>
      </c>
      <c r="CN497" s="366">
        <v>567</v>
      </c>
      <c r="CO497" s="366">
        <v>4</v>
      </c>
      <c r="CP497" s="366">
        <v>257</v>
      </c>
      <c r="CQ497" s="366">
        <v>1</v>
      </c>
      <c r="CR497" s="366">
        <v>0</v>
      </c>
      <c r="CS497" s="366">
        <v>0</v>
      </c>
      <c r="CT497" s="366">
        <v>0</v>
      </c>
      <c r="CU497" s="367">
        <f>IFERROR(CH497/Instructions!$J$25,0)+CI497*Instructions!$J$27+CJ497*Instructions!$J$29+IFERROR(CK497/Instructions!$E$34,0)+CL497*Instructions!$E$36+Tier!CM497*Instructions!$E$25+IFERROR(CN497/Instructions!$E$27,0)+CO497*Instructions!$E$29+IFERROR((CP497+CR497)/Instructions!$J$32,0)+(CQ497+CS497)*Instructions!$J$34+Tier!CT497*-2</f>
        <v>130.30000000000001</v>
      </c>
      <c r="CV497" s="354"/>
      <c r="CW497"/>
      <c r="CX497"/>
      <c r="CY497"/>
      <c r="CZ497"/>
      <c r="DA497"/>
      <c r="DB497"/>
      <c r="DC497"/>
      <c r="DD497"/>
      <c r="DE497"/>
      <c r="DF497"/>
      <c r="DG497"/>
      <c r="DH497"/>
      <c r="DI497"/>
      <c r="DJ497"/>
      <c r="DK497"/>
      <c r="DL497"/>
      <c r="DM497"/>
      <c r="DN497"/>
    </row>
    <row r="498" spans="3:118" s="238" customFormat="1" ht="15.75" customHeight="1" x14ac:dyDescent="0.25">
      <c r="C498"/>
      <c r="D498"/>
      <c r="E498"/>
      <c r="F498"/>
      <c r="G498"/>
      <c r="H498"/>
      <c r="I498"/>
      <c r="J498"/>
      <c r="K498"/>
      <c r="L498"/>
      <c r="M498"/>
      <c r="N498"/>
      <c r="O498" s="366"/>
      <c r="P498" s="366">
        <v>2017</v>
      </c>
      <c r="Q498" s="367">
        <f>LARGE($CB$455:$CB$604,44)</f>
        <v>107.80000000000001</v>
      </c>
      <c r="R498" s="357">
        <f t="shared" si="136"/>
        <v>-64.26666666666668</v>
      </c>
      <c r="S498" s="356">
        <f t="shared" si="137"/>
        <v>4130.2044444444464</v>
      </c>
      <c r="U498" s="356">
        <f t="shared" si="138"/>
        <v>-4.0166666666666675</v>
      </c>
      <c r="V498" s="238">
        <f t="shared" si="134"/>
        <v>8</v>
      </c>
      <c r="W498" s="354"/>
      <c r="X498" s="366"/>
      <c r="Y498" s="366"/>
      <c r="Z498" s="238">
        <v>2017</v>
      </c>
      <c r="AA498" s="367">
        <f>LARGE($CU$455:$CU$604,44)</f>
        <v>138.6</v>
      </c>
      <c r="AB498" s="357">
        <f t="shared" si="139"/>
        <v>-53.933333333333337</v>
      </c>
      <c r="AC498" s="356">
        <f t="shared" si="133"/>
        <v>2908.8044444444449</v>
      </c>
      <c r="AE498" s="356">
        <f t="shared" si="140"/>
        <v>-3.3708333333333336</v>
      </c>
      <c r="AF498" s="238">
        <f t="shared" si="135"/>
        <v>8</v>
      </c>
      <c r="AG498" s="354"/>
      <c r="AK498"/>
      <c r="AL498"/>
      <c r="AM498"/>
      <c r="AN498"/>
      <c r="AO498"/>
      <c r="AP498"/>
      <c r="BI498" s="360"/>
      <c r="BJ498" s="354"/>
      <c r="BK498" s="366">
        <v>2017</v>
      </c>
      <c r="BL498" s="365" t="s">
        <v>1756</v>
      </c>
      <c r="BM498" s="366" t="s">
        <v>1388</v>
      </c>
      <c r="BN498" s="366" t="s">
        <v>3</v>
      </c>
      <c r="BO498" s="366">
        <v>0</v>
      </c>
      <c r="BP498" s="366">
        <v>0</v>
      </c>
      <c r="BQ498" s="366">
        <v>0</v>
      </c>
      <c r="BR498" s="366">
        <v>260</v>
      </c>
      <c r="BS498" s="366">
        <v>2</v>
      </c>
      <c r="BT498" s="366">
        <v>27</v>
      </c>
      <c r="BU498" s="366">
        <v>279</v>
      </c>
      <c r="BV498" s="366">
        <v>3</v>
      </c>
      <c r="BW498" s="366">
        <v>0</v>
      </c>
      <c r="BX498" s="366">
        <v>0</v>
      </c>
      <c r="BY498" s="366">
        <v>85</v>
      </c>
      <c r="BZ498" s="366">
        <v>0</v>
      </c>
      <c r="CA498" s="366">
        <v>2</v>
      </c>
      <c r="CB498" s="367">
        <f>IFERROR(BO498/Instructions!$J$25,0)+BP498*Instructions!$J$27+BQ498*Instructions!$J$29+IFERROR(BR498/Instructions!$E$34,0)+BS498*Instructions!$E$36+Tier!BT499*Instructions!$E$25+IFERROR(BU498/Instructions!$E$27,0)+BV498*Instructions!$E$29+IFERROR((BW498+BY498)/Instructions!$J$32,0)+(BX498+BZ498)*Instructions!$J$34+Tier!CA498*-2</f>
        <v>100.9</v>
      </c>
      <c r="CC498" s="354"/>
      <c r="CD498" s="238">
        <v>2017</v>
      </c>
      <c r="CE498" s="365" t="s">
        <v>135</v>
      </c>
      <c r="CF498" s="366" t="s">
        <v>165</v>
      </c>
      <c r="CG498" s="366" t="s">
        <v>6</v>
      </c>
      <c r="CH498" s="366">
        <v>0</v>
      </c>
      <c r="CI498" s="366">
        <v>0</v>
      </c>
      <c r="CJ498" s="366">
        <v>0</v>
      </c>
      <c r="CK498" s="366">
        <v>17</v>
      </c>
      <c r="CL498" s="366">
        <v>0</v>
      </c>
      <c r="CM498" s="366">
        <v>56</v>
      </c>
      <c r="CN498" s="366">
        <v>702</v>
      </c>
      <c r="CO498" s="366">
        <v>3</v>
      </c>
      <c r="CP498" s="366">
        <v>13</v>
      </c>
      <c r="CQ498" s="366">
        <v>0</v>
      </c>
      <c r="CR498" s="366">
        <v>0</v>
      </c>
      <c r="CS498" s="366">
        <v>0</v>
      </c>
      <c r="CT498" s="366">
        <v>0</v>
      </c>
      <c r="CU498" s="367">
        <f>IFERROR(CH498/Instructions!$J$25,0)+CI498*Instructions!$J$27+CJ498*Instructions!$J$29+IFERROR(CK498/Instructions!$E$34,0)+CL498*Instructions!$E$36+Tier!CM498*Instructions!$E$25+IFERROR(CN498/Instructions!$E$27,0)+CO498*Instructions!$E$29+IFERROR((CP498+CR498)/Instructions!$J$32,0)+(CQ498+CS498)*Instructions!$J$34+Tier!CT498*-2</f>
        <v>145.9</v>
      </c>
      <c r="CV498" s="354"/>
      <c r="CW498"/>
      <c r="CX498"/>
      <c r="CY498"/>
      <c r="CZ498"/>
      <c r="DA498"/>
      <c r="DB498"/>
      <c r="DC498"/>
      <c r="DD498"/>
      <c r="DE498"/>
      <c r="DF498"/>
      <c r="DG498"/>
      <c r="DH498"/>
      <c r="DI498"/>
      <c r="DJ498"/>
      <c r="DK498"/>
      <c r="DL498"/>
      <c r="DM498"/>
      <c r="DN498"/>
    </row>
    <row r="499" spans="3:118" s="238" customFormat="1" ht="15.75" customHeight="1" x14ac:dyDescent="0.25">
      <c r="C499"/>
      <c r="D499"/>
      <c r="E499"/>
      <c r="F499"/>
      <c r="G499"/>
      <c r="H499"/>
      <c r="I499"/>
      <c r="J499"/>
      <c r="K499"/>
      <c r="L499"/>
      <c r="M499"/>
      <c r="N499"/>
      <c r="O499" s="366"/>
      <c r="P499" s="366">
        <v>2017</v>
      </c>
      <c r="Q499" s="367">
        <f>LARGE($CB$455:$CB$604,45)</f>
        <v>107.4</v>
      </c>
      <c r="R499" s="357">
        <f t="shared" si="136"/>
        <v>-64.666666666666686</v>
      </c>
      <c r="S499" s="356">
        <f t="shared" si="137"/>
        <v>4181.7777777777801</v>
      </c>
      <c r="U499" s="356">
        <f t="shared" si="138"/>
        <v>-4.0416666666666679</v>
      </c>
      <c r="V499" s="238">
        <f t="shared" si="134"/>
        <v>8</v>
      </c>
      <c r="W499" s="354"/>
      <c r="X499" s="366"/>
      <c r="Y499" s="366"/>
      <c r="Z499" s="238">
        <v>2017</v>
      </c>
      <c r="AA499" s="367">
        <f>LARGE($CU$455:$CU$604,45)</f>
        <v>137.80000000000001</v>
      </c>
      <c r="AB499" s="357">
        <f t="shared" si="139"/>
        <v>-54.73333333333332</v>
      </c>
      <c r="AC499" s="356">
        <f t="shared" si="133"/>
        <v>2995.7377777777765</v>
      </c>
      <c r="AE499" s="356">
        <f t="shared" si="140"/>
        <v>-3.4208333333333325</v>
      </c>
      <c r="AF499" s="238">
        <f t="shared" si="135"/>
        <v>8</v>
      </c>
      <c r="AG499" s="354"/>
      <c r="AK499"/>
      <c r="AL499"/>
      <c r="AM499"/>
      <c r="AN499"/>
      <c r="AO499"/>
      <c r="AP499"/>
      <c r="BI499" s="360"/>
      <c r="BJ499" s="354"/>
      <c r="BK499" s="366">
        <v>2017</v>
      </c>
      <c r="BL499" s="365" t="s">
        <v>1748</v>
      </c>
      <c r="BM499" s="366" t="s">
        <v>155</v>
      </c>
      <c r="BN499" s="366" t="s">
        <v>3</v>
      </c>
      <c r="BO499" s="366">
        <v>0</v>
      </c>
      <c r="BP499" s="366">
        <v>0</v>
      </c>
      <c r="BQ499" s="366">
        <v>0</v>
      </c>
      <c r="BR499" s="366">
        <v>465</v>
      </c>
      <c r="BS499" s="366">
        <v>2</v>
      </c>
      <c r="BT499" s="366">
        <v>21</v>
      </c>
      <c r="BU499" s="366">
        <v>180</v>
      </c>
      <c r="BV499" s="366">
        <v>1</v>
      </c>
      <c r="BW499" s="366">
        <v>0</v>
      </c>
      <c r="BX499" s="366">
        <v>0</v>
      </c>
      <c r="BY499" s="366">
        <v>83</v>
      </c>
      <c r="BZ499" s="366">
        <v>0</v>
      </c>
      <c r="CA499" s="366">
        <v>0</v>
      </c>
      <c r="CB499" s="367">
        <f>IFERROR(BO499/Instructions!$J$25,0)+BP499*Instructions!$J$27+BQ499*Instructions!$J$29+IFERROR(BR499/Instructions!$E$34,0)+BS499*Instructions!$E$36+Tier!BT500*Instructions!$E$25+IFERROR(BU499/Instructions!$E$27,0)+BV499*Instructions!$E$29+IFERROR((BW499+BY499)/Instructions!$J$32,0)+(BX499+BZ499)*Instructions!$J$34+Tier!CA499*-2</f>
        <v>103.5</v>
      </c>
      <c r="CC499" s="354"/>
      <c r="CD499" s="238">
        <v>2017</v>
      </c>
      <c r="CE499" s="365" t="s">
        <v>69</v>
      </c>
      <c r="CF499" s="366" t="s">
        <v>149</v>
      </c>
      <c r="CG499" s="366" t="s">
        <v>6</v>
      </c>
      <c r="CH499" s="366">
        <v>0</v>
      </c>
      <c r="CI499" s="366">
        <v>0</v>
      </c>
      <c r="CJ499" s="366">
        <v>0</v>
      </c>
      <c r="CK499" s="366">
        <v>38</v>
      </c>
      <c r="CL499" s="366">
        <v>0</v>
      </c>
      <c r="CM499" s="366">
        <v>50</v>
      </c>
      <c r="CN499" s="366">
        <v>668</v>
      </c>
      <c r="CO499" s="366">
        <v>3</v>
      </c>
      <c r="CP499" s="366">
        <v>0</v>
      </c>
      <c r="CQ499" s="366">
        <v>0</v>
      </c>
      <c r="CR499" s="366">
        <v>0</v>
      </c>
      <c r="CS499" s="366">
        <v>0</v>
      </c>
      <c r="CT499" s="366">
        <v>0</v>
      </c>
      <c r="CU499" s="367">
        <f>IFERROR(CH499/Instructions!$J$25,0)+CI499*Instructions!$J$27+CJ499*Instructions!$J$29+IFERROR(CK499/Instructions!$E$34,0)+CL499*Instructions!$E$36+Tier!CM499*Instructions!$E$25+IFERROR(CN499/Instructions!$E$27,0)+CO499*Instructions!$E$29+IFERROR((CP499+CR499)/Instructions!$J$32,0)+(CQ499+CS499)*Instructions!$J$34+Tier!CT499*-2</f>
        <v>138.6</v>
      </c>
      <c r="CV499" s="354"/>
      <c r="CW499"/>
      <c r="CX499"/>
      <c r="CY499"/>
      <c r="CZ499"/>
      <c r="DA499"/>
      <c r="DB499"/>
      <c r="DC499"/>
      <c r="DD499"/>
      <c r="DE499"/>
      <c r="DF499"/>
      <c r="DG499"/>
      <c r="DH499"/>
      <c r="DI499"/>
      <c r="DJ499"/>
      <c r="DK499"/>
      <c r="DL499"/>
      <c r="DM499"/>
      <c r="DN499"/>
    </row>
    <row r="500" spans="3:118" s="238" customFormat="1" ht="15.75" customHeight="1" x14ac:dyDescent="0.25">
      <c r="C500"/>
      <c r="D500"/>
      <c r="E500"/>
      <c r="F500"/>
      <c r="G500"/>
      <c r="H500"/>
      <c r="I500"/>
      <c r="J500"/>
      <c r="K500"/>
      <c r="L500"/>
      <c r="M500"/>
      <c r="N500"/>
      <c r="O500" s="366"/>
      <c r="P500" s="366">
        <v>2017</v>
      </c>
      <c r="Q500" s="367">
        <f>LARGE($CB$455:$CB$604,46)</f>
        <v>103.5</v>
      </c>
      <c r="R500" s="357">
        <f t="shared" si="136"/>
        <v>-68.566666666666691</v>
      </c>
      <c r="S500" s="356">
        <f t="shared" si="137"/>
        <v>4701.3877777777816</v>
      </c>
      <c r="U500" s="356">
        <f t="shared" si="138"/>
        <v>-4.2854166666666682</v>
      </c>
      <c r="V500" s="238">
        <f t="shared" si="134"/>
        <v>8</v>
      </c>
      <c r="W500" s="354"/>
      <c r="X500" s="366"/>
      <c r="Y500" s="366"/>
      <c r="Z500" s="238">
        <v>2017</v>
      </c>
      <c r="AA500" s="367">
        <f>LARGE($CU$455:$CU$604,46)</f>
        <v>137.19999999999999</v>
      </c>
      <c r="AB500" s="357">
        <f t="shared" si="139"/>
        <v>-55.333333333333343</v>
      </c>
      <c r="AC500" s="356">
        <f t="shared" si="133"/>
        <v>3061.7777777777787</v>
      </c>
      <c r="AE500" s="356">
        <f t="shared" si="140"/>
        <v>-3.4583333333333339</v>
      </c>
      <c r="AF500" s="238">
        <f t="shared" si="135"/>
        <v>8</v>
      </c>
      <c r="AG500" s="354"/>
      <c r="AK500"/>
      <c r="AL500"/>
      <c r="AM500"/>
      <c r="AN500"/>
      <c r="AO500"/>
      <c r="AP500"/>
      <c r="BI500" s="360"/>
      <c r="BJ500" s="354"/>
      <c r="BK500" s="366">
        <v>2017</v>
      </c>
      <c r="BL500" s="365" t="s">
        <v>1437</v>
      </c>
      <c r="BM500" s="366" t="s">
        <v>158</v>
      </c>
      <c r="BN500" s="366" t="s">
        <v>3</v>
      </c>
      <c r="BO500" s="366">
        <v>0</v>
      </c>
      <c r="BP500" s="366">
        <v>0</v>
      </c>
      <c r="BQ500" s="366">
        <v>0</v>
      </c>
      <c r="BR500" s="366">
        <v>358</v>
      </c>
      <c r="BS500" s="366">
        <v>3</v>
      </c>
      <c r="BT500" s="366">
        <v>21</v>
      </c>
      <c r="BU500" s="366">
        <v>225</v>
      </c>
      <c r="BV500" s="366">
        <v>1</v>
      </c>
      <c r="BW500" s="366">
        <v>0</v>
      </c>
      <c r="BX500" s="366">
        <v>0</v>
      </c>
      <c r="BY500" s="366">
        <v>69</v>
      </c>
      <c r="BZ500" s="366">
        <v>0</v>
      </c>
      <c r="CA500" s="366">
        <v>0</v>
      </c>
      <c r="CB500" s="367">
        <f>IFERROR(BO500/Instructions!$J$25,0)+BP500*Instructions!$J$27+BQ500*Instructions!$J$29+IFERROR(BR500/Instructions!$E$34,0)+BS500*Instructions!$E$36+Tier!BT501*Instructions!$E$25+IFERROR(BU500/Instructions!$E$27,0)+BV500*Instructions!$E$29+IFERROR((BW500+BY500)/Instructions!$J$32,0)+(BX500+BZ500)*Instructions!$J$34+Tier!CA500*-2</f>
        <v>92.3</v>
      </c>
      <c r="CC500" s="354"/>
      <c r="CD500" s="238">
        <v>2017</v>
      </c>
      <c r="CE500" s="365" t="s">
        <v>116</v>
      </c>
      <c r="CF500" s="366" t="s">
        <v>159</v>
      </c>
      <c r="CG500" s="366" t="s">
        <v>6</v>
      </c>
      <c r="CH500" s="366">
        <v>0</v>
      </c>
      <c r="CI500" s="366">
        <v>0</v>
      </c>
      <c r="CJ500" s="366">
        <v>0</v>
      </c>
      <c r="CK500" s="366">
        <v>0</v>
      </c>
      <c r="CL500" s="366">
        <v>0</v>
      </c>
      <c r="CM500" s="366">
        <v>48</v>
      </c>
      <c r="CN500" s="366">
        <v>692</v>
      </c>
      <c r="CO500" s="366">
        <v>3</v>
      </c>
      <c r="CP500" s="366">
        <v>0</v>
      </c>
      <c r="CQ500" s="366">
        <v>0</v>
      </c>
      <c r="CR500" s="366">
        <v>0</v>
      </c>
      <c r="CS500" s="366">
        <v>0</v>
      </c>
      <c r="CT500" s="366">
        <v>0</v>
      </c>
      <c r="CU500" s="367">
        <f>IFERROR(CH500/Instructions!$J$25,0)+CI500*Instructions!$J$27+CJ500*Instructions!$J$29+IFERROR(CK500/Instructions!$E$34,0)+CL500*Instructions!$E$36+Tier!CM500*Instructions!$E$25+IFERROR(CN500/Instructions!$E$27,0)+CO500*Instructions!$E$29+IFERROR((CP500+CR500)/Instructions!$J$32,0)+(CQ500+CS500)*Instructions!$J$34+Tier!CT500*-2</f>
        <v>135.19999999999999</v>
      </c>
      <c r="CV500" s="354"/>
      <c r="CW500"/>
      <c r="CX500"/>
      <c r="CY500"/>
      <c r="CZ500"/>
      <c r="DA500"/>
      <c r="DB500"/>
      <c r="DC500"/>
      <c r="DD500"/>
      <c r="DE500"/>
      <c r="DF500"/>
      <c r="DG500"/>
      <c r="DH500"/>
      <c r="DI500"/>
      <c r="DJ500"/>
      <c r="DK500"/>
      <c r="DL500"/>
      <c r="DM500"/>
      <c r="DN500"/>
    </row>
    <row r="501" spans="3:118" s="238" customFormat="1" ht="15.75" customHeight="1" x14ac:dyDescent="0.25">
      <c r="C501"/>
      <c r="D501"/>
      <c r="E501"/>
      <c r="F501"/>
      <c r="G501"/>
      <c r="H501"/>
      <c r="I501"/>
      <c r="J501"/>
      <c r="K501"/>
      <c r="L501"/>
      <c r="M501"/>
      <c r="N501"/>
      <c r="O501" s="366"/>
      <c r="P501" s="366">
        <v>2017</v>
      </c>
      <c r="Q501" s="367">
        <f>LARGE($CB$455:$CB$604,47)</f>
        <v>100.9</v>
      </c>
      <c r="R501" s="357">
        <f t="shared" si="136"/>
        <v>-71.166666666666686</v>
      </c>
      <c r="S501" s="356">
        <f t="shared" si="137"/>
        <v>5064.6944444444471</v>
      </c>
      <c r="U501" s="356">
        <f t="shared" si="138"/>
        <v>-4.4479166666666679</v>
      </c>
      <c r="V501" s="238">
        <f t="shared" si="134"/>
        <v>8</v>
      </c>
      <c r="W501" s="354"/>
      <c r="X501" s="366"/>
      <c r="Y501" s="366"/>
      <c r="Z501" s="238">
        <v>2017</v>
      </c>
      <c r="AA501" s="367">
        <f>LARGE($CU$455:$CU$604,47)</f>
        <v>135.19999999999999</v>
      </c>
      <c r="AB501" s="357">
        <f t="shared" si="139"/>
        <v>-57.333333333333343</v>
      </c>
      <c r="AC501" s="356">
        <f t="shared" si="133"/>
        <v>3287.1111111111122</v>
      </c>
      <c r="AE501" s="356">
        <f t="shared" si="140"/>
        <v>-3.5833333333333339</v>
      </c>
      <c r="AF501" s="238">
        <f t="shared" si="135"/>
        <v>8</v>
      </c>
      <c r="AG501" s="354"/>
      <c r="AK501"/>
      <c r="AL501"/>
      <c r="AM501"/>
      <c r="AN501"/>
      <c r="AO501"/>
      <c r="AP501"/>
      <c r="BI501" s="360"/>
      <c r="BJ501" s="354"/>
      <c r="BK501" s="366">
        <v>2017</v>
      </c>
      <c r="BL501" s="365" t="s">
        <v>1749</v>
      </c>
      <c r="BM501" s="366" t="s">
        <v>137</v>
      </c>
      <c r="BN501" s="366" t="s">
        <v>3</v>
      </c>
      <c r="BO501" s="366">
        <v>0</v>
      </c>
      <c r="BP501" s="366">
        <v>0</v>
      </c>
      <c r="BQ501" s="366">
        <v>0</v>
      </c>
      <c r="BR501" s="366">
        <v>321</v>
      </c>
      <c r="BS501" s="366">
        <v>4</v>
      </c>
      <c r="BT501" s="366">
        <v>10</v>
      </c>
      <c r="BU501" s="366">
        <v>123</v>
      </c>
      <c r="BV501" s="366">
        <v>2</v>
      </c>
      <c r="BW501" s="366">
        <v>0</v>
      </c>
      <c r="BX501" s="366">
        <v>0</v>
      </c>
      <c r="BY501" s="366">
        <v>49</v>
      </c>
      <c r="BZ501" s="366">
        <v>0</v>
      </c>
      <c r="CA501" s="366">
        <v>0</v>
      </c>
      <c r="CB501" s="367">
        <f>IFERROR(BO501/Instructions!$J$25,0)+BP501*Instructions!$J$27+BQ501*Instructions!$J$29+IFERROR(BR501/Instructions!$E$34,0)+BS501*Instructions!$E$36+Tier!BT502*Instructions!$E$25+IFERROR(BU501/Instructions!$E$27,0)+BV501*Instructions!$E$29+IFERROR((BW501+BY501)/Instructions!$J$32,0)+(BX501+BZ501)*Instructions!$J$34+Tier!CA501*-2</f>
        <v>136.39999999999998</v>
      </c>
      <c r="CC501" s="354"/>
      <c r="CD501" s="238">
        <v>2017</v>
      </c>
      <c r="CE501" s="365" t="s">
        <v>1183</v>
      </c>
      <c r="CF501" s="366" t="s">
        <v>154</v>
      </c>
      <c r="CG501" s="366" t="s">
        <v>6</v>
      </c>
      <c r="CH501" s="366">
        <v>0</v>
      </c>
      <c r="CI501" s="366">
        <v>0</v>
      </c>
      <c r="CJ501" s="366">
        <v>0</v>
      </c>
      <c r="CK501" s="366">
        <v>4</v>
      </c>
      <c r="CL501" s="366">
        <v>0</v>
      </c>
      <c r="CM501" s="366">
        <v>59</v>
      </c>
      <c r="CN501" s="366">
        <v>731</v>
      </c>
      <c r="CO501" s="366">
        <v>2</v>
      </c>
      <c r="CP501" s="366">
        <v>0</v>
      </c>
      <c r="CQ501" s="366">
        <v>0</v>
      </c>
      <c r="CR501" s="366">
        <v>0</v>
      </c>
      <c r="CS501" s="366">
        <v>0</v>
      </c>
      <c r="CT501" s="366">
        <v>0</v>
      </c>
      <c r="CU501" s="367">
        <f>IFERROR(CH501/Instructions!$J$25,0)+CI501*Instructions!$J$27+CJ501*Instructions!$J$29+IFERROR(CK501/Instructions!$E$34,0)+CL501*Instructions!$E$36+Tier!CM501*Instructions!$E$25+IFERROR(CN501/Instructions!$E$27,0)+CO501*Instructions!$E$29+IFERROR((CP501+CR501)/Instructions!$J$32,0)+(CQ501+CS501)*Instructions!$J$34+Tier!CT501*-2</f>
        <v>144.5</v>
      </c>
      <c r="CV501" s="354"/>
      <c r="CW501"/>
      <c r="CX501"/>
      <c r="CY501"/>
      <c r="CZ501"/>
      <c r="DA501"/>
      <c r="DB501"/>
      <c r="DC501"/>
      <c r="DD501"/>
      <c r="DE501"/>
      <c r="DF501"/>
      <c r="DG501"/>
      <c r="DH501"/>
      <c r="DI501"/>
      <c r="DJ501"/>
      <c r="DK501"/>
      <c r="DL501"/>
      <c r="DM501"/>
      <c r="DN501"/>
    </row>
    <row r="502" spans="3:118" s="238" customFormat="1" ht="15.75" customHeight="1" x14ac:dyDescent="0.25">
      <c r="C502"/>
      <c r="D502"/>
      <c r="E502"/>
      <c r="F502"/>
      <c r="G502"/>
      <c r="H502"/>
      <c r="I502"/>
      <c r="J502"/>
      <c r="K502"/>
      <c r="L502"/>
      <c r="M502"/>
      <c r="N502"/>
      <c r="O502" s="366"/>
      <c r="P502" s="366">
        <v>2017</v>
      </c>
      <c r="Q502" s="367">
        <f>LARGE($CB$455:$CB$604,48)</f>
        <v>97</v>
      </c>
      <c r="R502" s="357">
        <f t="shared" si="136"/>
        <v>-75.066666666666691</v>
      </c>
      <c r="S502" s="356">
        <f t="shared" si="137"/>
        <v>5635.0044444444484</v>
      </c>
      <c r="U502" s="356">
        <f t="shared" si="138"/>
        <v>-4.6916666666666682</v>
      </c>
      <c r="V502" s="238">
        <f t="shared" si="134"/>
        <v>8</v>
      </c>
      <c r="W502" s="354"/>
      <c r="X502" s="366"/>
      <c r="Y502" s="366"/>
      <c r="Z502" s="238">
        <v>2017</v>
      </c>
      <c r="AA502" s="367">
        <f>LARGE($CU$455:$CU$604,48)</f>
        <v>132.80000000000001</v>
      </c>
      <c r="AB502" s="357">
        <f t="shared" si="139"/>
        <v>-59.73333333333332</v>
      </c>
      <c r="AC502" s="356">
        <f t="shared" si="133"/>
        <v>3568.0711111111095</v>
      </c>
      <c r="AE502" s="356">
        <f t="shared" si="140"/>
        <v>-3.7333333333333325</v>
      </c>
      <c r="AF502" s="238">
        <f t="shared" si="135"/>
        <v>8</v>
      </c>
      <c r="AG502" s="354"/>
      <c r="AK502"/>
      <c r="AL502"/>
      <c r="AM502"/>
      <c r="AN502"/>
      <c r="AO502"/>
      <c r="AP502"/>
      <c r="BI502" s="360"/>
      <c r="BJ502" s="354"/>
      <c r="BK502" s="366">
        <v>2017</v>
      </c>
      <c r="BL502" s="365" t="s">
        <v>185</v>
      </c>
      <c r="BM502" s="366" t="s">
        <v>157</v>
      </c>
      <c r="BN502" s="366" t="s">
        <v>3</v>
      </c>
      <c r="BO502" s="366">
        <v>0</v>
      </c>
      <c r="BP502" s="366">
        <v>0</v>
      </c>
      <c r="BQ502" s="366">
        <v>0</v>
      </c>
      <c r="BR502" s="366">
        <v>171</v>
      </c>
      <c r="BS502" s="366">
        <v>0</v>
      </c>
      <c r="BT502" s="366">
        <v>56</v>
      </c>
      <c r="BU502" s="366">
        <v>429</v>
      </c>
      <c r="BV502" s="366">
        <v>3</v>
      </c>
      <c r="BW502" s="366">
        <v>0</v>
      </c>
      <c r="BX502" s="366">
        <v>0</v>
      </c>
      <c r="BY502" s="366">
        <v>0</v>
      </c>
      <c r="BZ502" s="366">
        <v>0</v>
      </c>
      <c r="CA502" s="366">
        <v>0</v>
      </c>
      <c r="CB502" s="367">
        <f>IFERROR(BO502/Instructions!$J$25,0)+BP502*Instructions!$J$27+BQ502*Instructions!$J$29+IFERROR(BR502/Instructions!$E$34,0)+BS502*Instructions!$E$36+Tier!BT503*Instructions!$E$25+IFERROR(BU502/Instructions!$E$27,0)+BV502*Instructions!$E$29+IFERROR((BW502+BY502)/Instructions!$J$32,0)+(BX502+BZ502)*Instructions!$J$34+Tier!CA502*-2</f>
        <v>97</v>
      </c>
      <c r="CC502" s="354"/>
      <c r="CD502" s="238">
        <v>2017</v>
      </c>
      <c r="CE502" s="365" t="s">
        <v>1197</v>
      </c>
      <c r="CF502" s="366" t="s">
        <v>151</v>
      </c>
      <c r="CG502" s="366" t="s">
        <v>6</v>
      </c>
      <c r="CH502" s="366">
        <v>0</v>
      </c>
      <c r="CI502" s="366">
        <v>0</v>
      </c>
      <c r="CJ502" s="366">
        <v>0</v>
      </c>
      <c r="CK502" s="366">
        <v>9</v>
      </c>
      <c r="CL502" s="366">
        <v>0</v>
      </c>
      <c r="CM502" s="366">
        <v>28</v>
      </c>
      <c r="CN502" s="366">
        <v>423</v>
      </c>
      <c r="CO502" s="366">
        <v>7</v>
      </c>
      <c r="CP502" s="366">
        <v>135</v>
      </c>
      <c r="CQ502" s="366">
        <v>0</v>
      </c>
      <c r="CR502" s="366">
        <v>0</v>
      </c>
      <c r="CS502" s="366">
        <v>0</v>
      </c>
      <c r="CT502" s="366">
        <v>0</v>
      </c>
      <c r="CU502" s="367">
        <f>IFERROR(CH502/Instructions!$J$25,0)+CI502*Instructions!$J$27+CJ502*Instructions!$J$29+IFERROR(CK502/Instructions!$E$34,0)+CL502*Instructions!$E$36+Tier!CM502*Instructions!$E$25+IFERROR(CN502/Instructions!$E$27,0)+CO502*Instructions!$E$29+IFERROR((CP502+CR502)/Instructions!$J$32,0)+(CQ502+CS502)*Instructions!$J$34+Tier!CT502*-2</f>
        <v>113.19999999999999</v>
      </c>
      <c r="CV502" s="354"/>
      <c r="CW502"/>
      <c r="CX502"/>
      <c r="CY502"/>
      <c r="CZ502"/>
      <c r="DA502"/>
      <c r="DB502"/>
      <c r="DC502"/>
      <c r="DD502"/>
      <c r="DE502"/>
      <c r="DF502"/>
      <c r="DG502"/>
      <c r="DH502"/>
      <c r="DI502"/>
      <c r="DJ502"/>
      <c r="DK502"/>
      <c r="DL502"/>
      <c r="DM502"/>
      <c r="DN502"/>
    </row>
    <row r="503" spans="3:118" s="238" customFormat="1" ht="15.75" customHeight="1" x14ac:dyDescent="0.25">
      <c r="C503"/>
      <c r="D503"/>
      <c r="E503"/>
      <c r="F503"/>
      <c r="G503"/>
      <c r="H503"/>
      <c r="I503"/>
      <c r="J503"/>
      <c r="K503"/>
      <c r="L503"/>
      <c r="M503"/>
      <c r="N503"/>
      <c r="O503" s="366"/>
      <c r="P503" s="366">
        <v>2017</v>
      </c>
      <c r="Q503" s="367">
        <f>LARGE($CB$455:$CB$604,49)</f>
        <v>95.4</v>
      </c>
      <c r="R503" s="357">
        <f t="shared" si="136"/>
        <v>-76.666666666666686</v>
      </c>
      <c r="S503" s="356">
        <f t="shared" si="137"/>
        <v>5877.777777777781</v>
      </c>
      <c r="U503" s="356">
        <f t="shared" si="138"/>
        <v>-4.7916666666666679</v>
      </c>
      <c r="V503" s="238">
        <f t="shared" si="134"/>
        <v>8</v>
      </c>
      <c r="W503" s="354"/>
      <c r="X503" s="366"/>
      <c r="Y503" s="366"/>
      <c r="Z503" s="238">
        <v>2017</v>
      </c>
      <c r="AA503" s="367">
        <f>LARGE($CU$455:$CU$604,49)</f>
        <v>130.5</v>
      </c>
      <c r="AB503" s="357">
        <f t="shared" si="139"/>
        <v>-62.033333333333331</v>
      </c>
      <c r="AC503" s="356">
        <f t="shared" si="133"/>
        <v>3848.1344444444444</v>
      </c>
      <c r="AE503" s="356">
        <f t="shared" si="140"/>
        <v>-3.8770833333333332</v>
      </c>
      <c r="AF503" s="238">
        <f t="shared" si="135"/>
        <v>8</v>
      </c>
      <c r="AG503" s="354"/>
      <c r="AK503"/>
      <c r="AL503"/>
      <c r="AM503"/>
      <c r="AN503"/>
      <c r="AO503"/>
      <c r="AP503"/>
      <c r="BI503" s="360"/>
      <c r="BJ503" s="354"/>
      <c r="BK503" s="366">
        <v>2017</v>
      </c>
      <c r="BL503" s="365" t="s">
        <v>1340</v>
      </c>
      <c r="BM503" s="366" t="s">
        <v>146</v>
      </c>
      <c r="BN503" s="366" t="s">
        <v>3</v>
      </c>
      <c r="BO503" s="366">
        <v>0</v>
      </c>
      <c r="BP503" s="366">
        <v>0</v>
      </c>
      <c r="BQ503" s="366">
        <v>0</v>
      </c>
      <c r="BR503" s="366">
        <v>232</v>
      </c>
      <c r="BS503" s="366">
        <v>4</v>
      </c>
      <c r="BT503" s="366">
        <v>19</v>
      </c>
      <c r="BU503" s="366">
        <v>202</v>
      </c>
      <c r="BV503" s="366">
        <v>1</v>
      </c>
      <c r="BW503" s="366">
        <v>0</v>
      </c>
      <c r="BX503" s="366">
        <v>0</v>
      </c>
      <c r="BY503" s="366">
        <v>20</v>
      </c>
      <c r="BZ503" s="366">
        <v>0</v>
      </c>
      <c r="CA503" s="366">
        <v>0</v>
      </c>
      <c r="CB503" s="367">
        <f>IFERROR(BO503/Instructions!$J$25,0)+BP503*Instructions!$J$27+BQ503*Instructions!$J$29+IFERROR(BR503/Instructions!$E$34,0)+BS503*Instructions!$E$36+Tier!BT504*Instructions!$E$25+IFERROR(BU503/Instructions!$E$27,0)+BV503*Instructions!$E$29+IFERROR((BW503+BY503)/Instructions!$J$32,0)+(BX503+BZ503)*Instructions!$J$34+Tier!CA503*-2</f>
        <v>107.4</v>
      </c>
      <c r="CC503" s="354"/>
      <c r="CD503" s="238">
        <v>2017</v>
      </c>
      <c r="CE503" s="365" t="s">
        <v>1186</v>
      </c>
      <c r="CF503" s="366" t="s">
        <v>152</v>
      </c>
      <c r="CG503" s="366" t="s">
        <v>6</v>
      </c>
      <c r="CH503" s="366">
        <v>0</v>
      </c>
      <c r="CI503" s="366">
        <v>0</v>
      </c>
      <c r="CJ503" s="366">
        <v>0</v>
      </c>
      <c r="CK503" s="366">
        <v>-14</v>
      </c>
      <c r="CL503" s="366">
        <v>0</v>
      </c>
      <c r="CM503" s="366">
        <v>35</v>
      </c>
      <c r="CN503" s="366">
        <v>502</v>
      </c>
      <c r="CO503" s="366">
        <v>6</v>
      </c>
      <c r="CP503" s="366">
        <v>0</v>
      </c>
      <c r="CQ503" s="366">
        <v>0</v>
      </c>
      <c r="CR503" s="366">
        <v>0</v>
      </c>
      <c r="CS503" s="366">
        <v>0</v>
      </c>
      <c r="CT503" s="366">
        <v>0</v>
      </c>
      <c r="CU503" s="367">
        <f>IFERROR(CH503/Instructions!$J$25,0)+CI503*Instructions!$J$27+CJ503*Instructions!$J$29+IFERROR(CK503/Instructions!$E$34,0)+CL503*Instructions!$E$36+Tier!CM503*Instructions!$E$25+IFERROR(CN503/Instructions!$E$27,0)+CO503*Instructions!$E$29+IFERROR((CP503+CR503)/Instructions!$J$32,0)+(CQ503+CS503)*Instructions!$J$34+Tier!CT503*-2</f>
        <v>119.80000000000001</v>
      </c>
      <c r="CV503" s="354"/>
      <c r="CW503"/>
      <c r="CX503"/>
      <c r="CY503"/>
      <c r="CZ503"/>
      <c r="DA503"/>
      <c r="DB503"/>
      <c r="DC503"/>
      <c r="DD503"/>
      <c r="DE503"/>
      <c r="DF503"/>
      <c r="DG503"/>
      <c r="DH503"/>
      <c r="DI503"/>
      <c r="DJ503"/>
      <c r="DK503"/>
      <c r="DL503"/>
      <c r="DM503"/>
      <c r="DN503"/>
    </row>
    <row r="504" spans="3:118" s="238" customFormat="1" ht="15.75" customHeight="1" x14ac:dyDescent="0.25">
      <c r="C504"/>
      <c r="D504"/>
      <c r="E504"/>
      <c r="F504"/>
      <c r="G504"/>
      <c r="H504"/>
      <c r="I504"/>
      <c r="J504"/>
      <c r="K504"/>
      <c r="L504"/>
      <c r="M504"/>
      <c r="N504"/>
      <c r="O504" s="366"/>
      <c r="P504" s="366">
        <v>2017</v>
      </c>
      <c r="Q504" s="367">
        <f>LARGE($CB$455:$CB$604,50)</f>
        <v>92.3</v>
      </c>
      <c r="R504" s="357">
        <f t="shared" si="136"/>
        <v>-79.766666666666694</v>
      </c>
      <c r="S504" s="356">
        <f t="shared" si="137"/>
        <v>6362.7211111111155</v>
      </c>
      <c r="U504" s="356">
        <f t="shared" si="138"/>
        <v>-4.9854166666666684</v>
      </c>
      <c r="V504" s="238">
        <f t="shared" si="134"/>
        <v>8</v>
      </c>
      <c r="W504" s="354"/>
      <c r="X504" s="366"/>
      <c r="Y504" s="366"/>
      <c r="Z504" s="238">
        <v>2017</v>
      </c>
      <c r="AA504" s="367">
        <f>LARGE($CU$455:$CU$604,50)</f>
        <v>130.30000000000001</v>
      </c>
      <c r="AB504" s="357">
        <f t="shared" si="139"/>
        <v>-62.23333333333332</v>
      </c>
      <c r="AC504" s="356">
        <f t="shared" si="133"/>
        <v>3872.987777777776</v>
      </c>
      <c r="AE504" s="356">
        <f t="shared" si="140"/>
        <v>-3.8895833333333325</v>
      </c>
      <c r="AF504" s="238">
        <f t="shared" si="135"/>
        <v>8</v>
      </c>
      <c r="AG504" s="354"/>
      <c r="AK504"/>
      <c r="AL504"/>
      <c r="AM504"/>
      <c r="AN504"/>
      <c r="AO504"/>
      <c r="AP504"/>
      <c r="BI504" s="360"/>
      <c r="BJ504" s="354"/>
      <c r="BK504" s="366">
        <v>2017</v>
      </c>
      <c r="BL504" s="365" t="s">
        <v>1419</v>
      </c>
      <c r="BM504" s="366" t="s">
        <v>154</v>
      </c>
      <c r="BN504" s="366" t="s">
        <v>3</v>
      </c>
      <c r="BO504" s="366">
        <v>0</v>
      </c>
      <c r="BP504" s="366">
        <v>0</v>
      </c>
      <c r="BQ504" s="366">
        <v>0</v>
      </c>
      <c r="BR504" s="366">
        <v>476</v>
      </c>
      <c r="BS504" s="366">
        <v>0</v>
      </c>
      <c r="BT504" s="366">
        <v>34</v>
      </c>
      <c r="BU504" s="366">
        <v>193</v>
      </c>
      <c r="BV504" s="366">
        <v>1</v>
      </c>
      <c r="BW504" s="366">
        <v>0</v>
      </c>
      <c r="BX504" s="366">
        <v>0</v>
      </c>
      <c r="BY504" s="366">
        <v>0</v>
      </c>
      <c r="BZ504" s="366">
        <v>0</v>
      </c>
      <c r="CA504" s="366">
        <v>1</v>
      </c>
      <c r="CB504" s="367">
        <f>IFERROR(BO504/Instructions!$J$25,0)+BP504*Instructions!$J$27+BQ504*Instructions!$J$29+IFERROR(BR504/Instructions!$E$34,0)+BS504*Instructions!$E$36+Tier!BT505*Instructions!$E$25+IFERROR(BU504/Instructions!$E$27,0)+BV504*Instructions!$E$29+IFERROR((BW504+BY504)/Instructions!$J$32,0)+(BX504+BZ504)*Instructions!$J$34+Tier!CA504*-2</f>
        <v>81.900000000000006</v>
      </c>
      <c r="CC504" s="354"/>
      <c r="CD504" s="238">
        <v>2017</v>
      </c>
      <c r="CE504" s="365" t="s">
        <v>29</v>
      </c>
      <c r="CF504" s="366" t="s">
        <v>139</v>
      </c>
      <c r="CG504" s="366" t="s">
        <v>6</v>
      </c>
      <c r="CH504" s="366">
        <v>0</v>
      </c>
      <c r="CI504" s="366">
        <v>0</v>
      </c>
      <c r="CJ504" s="366">
        <v>0</v>
      </c>
      <c r="CK504" s="366">
        <v>0</v>
      </c>
      <c r="CL504" s="366">
        <v>0</v>
      </c>
      <c r="CM504" s="366">
        <v>53</v>
      </c>
      <c r="CN504" s="366">
        <v>482</v>
      </c>
      <c r="CO504" s="366">
        <v>6</v>
      </c>
      <c r="CP504" s="366">
        <v>0</v>
      </c>
      <c r="CQ504" s="366">
        <v>0</v>
      </c>
      <c r="CR504" s="366">
        <v>0</v>
      </c>
      <c r="CS504" s="366">
        <v>0</v>
      </c>
      <c r="CT504" s="366">
        <v>0</v>
      </c>
      <c r="CU504" s="367">
        <f>IFERROR(CH504/Instructions!$J$25,0)+CI504*Instructions!$J$27+CJ504*Instructions!$J$29+IFERROR(CK504/Instructions!$E$34,0)+CL504*Instructions!$E$36+Tier!CM504*Instructions!$E$25+IFERROR(CN504/Instructions!$E$27,0)+CO504*Instructions!$E$29+IFERROR((CP504+CR504)/Instructions!$J$32,0)+(CQ504+CS504)*Instructions!$J$34+Tier!CT504*-2</f>
        <v>137.19999999999999</v>
      </c>
      <c r="CV504" s="354"/>
      <c r="CW504"/>
      <c r="CX504"/>
      <c r="CY504"/>
      <c r="CZ504"/>
      <c r="DA504"/>
      <c r="DB504"/>
      <c r="DC504"/>
      <c r="DD504"/>
      <c r="DE504"/>
      <c r="DF504"/>
      <c r="DG504"/>
      <c r="DH504"/>
      <c r="DI504"/>
      <c r="DJ504"/>
      <c r="DK504"/>
      <c r="DL504"/>
      <c r="DM504"/>
      <c r="DN504"/>
    </row>
    <row r="505" spans="3:118" s="238" customFormat="1" ht="15.75" customHeight="1" x14ac:dyDescent="0.25">
      <c r="C505"/>
      <c r="D505"/>
      <c r="E505"/>
      <c r="F505"/>
      <c r="G505"/>
      <c r="H505"/>
      <c r="I505"/>
      <c r="J505"/>
      <c r="K505"/>
      <c r="L505"/>
      <c r="M505"/>
      <c r="N505"/>
      <c r="O505" s="366"/>
      <c r="P505" s="366">
        <v>2017</v>
      </c>
      <c r="Q505" s="367">
        <f>LARGE($CB$455:$CB$604,51)</f>
        <v>92.2</v>
      </c>
      <c r="R505" s="357">
        <f t="shared" si="136"/>
        <v>-79.866666666666688</v>
      </c>
      <c r="S505" s="356">
        <f>R505^2</f>
        <v>6378.6844444444478</v>
      </c>
      <c r="T505" s="356"/>
      <c r="U505" s="356">
        <f t="shared" si="138"/>
        <v>-4.991666666666668</v>
      </c>
      <c r="V505" s="238">
        <f t="shared" si="134"/>
        <v>8</v>
      </c>
      <c r="W505" s="354"/>
      <c r="X505" s="366"/>
      <c r="Y505" s="366"/>
      <c r="Z505" s="238">
        <v>2017</v>
      </c>
      <c r="AA505" s="367">
        <f>LARGE($CU$455:$CU$604,51)</f>
        <v>130</v>
      </c>
      <c r="AB505" s="357">
        <f t="shared" si="139"/>
        <v>-62.533333333333331</v>
      </c>
      <c r="AC505" s="356">
        <f t="shared" si="133"/>
        <v>3910.4177777777777</v>
      </c>
      <c r="AE505" s="356">
        <f t="shared" si="140"/>
        <v>-3.9083333333333332</v>
      </c>
      <c r="AF505" s="238">
        <f t="shared" si="135"/>
        <v>8</v>
      </c>
      <c r="AG505" s="354"/>
      <c r="AK505"/>
      <c r="AL505"/>
      <c r="AM505"/>
      <c r="AN505"/>
      <c r="AO505"/>
      <c r="AP505"/>
      <c r="BI505" s="360"/>
      <c r="BJ505" s="354"/>
      <c r="BK505" s="366">
        <v>2017</v>
      </c>
      <c r="BL505" s="365" t="s">
        <v>5</v>
      </c>
      <c r="BM505" s="366" t="s">
        <v>143</v>
      </c>
      <c r="BN505" s="366" t="s">
        <v>3</v>
      </c>
      <c r="BO505" s="366">
        <v>0</v>
      </c>
      <c r="BP505" s="366">
        <v>0</v>
      </c>
      <c r="BQ505" s="366">
        <v>0</v>
      </c>
      <c r="BR505" s="366">
        <v>529</v>
      </c>
      <c r="BS505" s="366">
        <v>2</v>
      </c>
      <c r="BT505" s="366">
        <v>11</v>
      </c>
      <c r="BU505" s="366">
        <v>70</v>
      </c>
      <c r="BV505" s="366">
        <v>0</v>
      </c>
      <c r="BW505" s="366">
        <v>0</v>
      </c>
      <c r="BX505" s="366">
        <v>0</v>
      </c>
      <c r="BY505" s="366">
        <v>0</v>
      </c>
      <c r="BZ505" s="366">
        <v>0</v>
      </c>
      <c r="CA505" s="366">
        <v>2</v>
      </c>
      <c r="CB505" s="367">
        <f>IFERROR(BO505/Instructions!$J$25,0)+BP505*Instructions!$J$27+BQ505*Instructions!$J$29+IFERROR(BR505/Instructions!$E$34,0)+BS505*Instructions!$E$36+Tier!BT506*Instructions!$E$25+IFERROR(BU505/Instructions!$E$27,0)+BV505*Instructions!$E$29+IFERROR((BW505+BY505)/Instructions!$J$32,0)+(BX505+BZ505)*Instructions!$J$34+Tier!CA505*-2</f>
        <v>83.9</v>
      </c>
      <c r="CC505" s="354"/>
      <c r="CD505" s="238">
        <v>2017</v>
      </c>
      <c r="CE505" s="365" t="s">
        <v>1123</v>
      </c>
      <c r="CF505" s="366" t="s">
        <v>152</v>
      </c>
      <c r="CG505" s="366" t="s">
        <v>6</v>
      </c>
      <c r="CH505" s="366">
        <v>0</v>
      </c>
      <c r="CI505" s="366">
        <v>0</v>
      </c>
      <c r="CJ505" s="366">
        <v>0</v>
      </c>
      <c r="CK505" s="366">
        <v>0</v>
      </c>
      <c r="CL505" s="366">
        <v>0</v>
      </c>
      <c r="CM505" s="366">
        <v>45</v>
      </c>
      <c r="CN505" s="366">
        <v>573</v>
      </c>
      <c r="CO505" s="366">
        <v>4</v>
      </c>
      <c r="CP505" s="366">
        <v>0</v>
      </c>
      <c r="CQ505" s="366">
        <v>0</v>
      </c>
      <c r="CR505" s="366">
        <v>0</v>
      </c>
      <c r="CS505" s="366">
        <v>0</v>
      </c>
      <c r="CT505" s="366">
        <v>0</v>
      </c>
      <c r="CU505" s="367">
        <f>IFERROR(CH505/Instructions!$J$25,0)+CI505*Instructions!$J$27+CJ505*Instructions!$J$29+IFERROR(CK505/Instructions!$E$34,0)+CL505*Instructions!$E$36+Tier!CM505*Instructions!$E$25+IFERROR(CN505/Instructions!$E$27,0)+CO505*Instructions!$E$29+IFERROR((CP505+CR505)/Instructions!$J$32,0)+(CQ505+CS505)*Instructions!$J$34+Tier!CT505*-2</f>
        <v>126.3</v>
      </c>
      <c r="CV505" s="354"/>
      <c r="CW505"/>
      <c r="CX505"/>
      <c r="CY505"/>
      <c r="CZ505"/>
      <c r="DA505"/>
      <c r="DB505"/>
      <c r="DC505"/>
      <c r="DD505"/>
      <c r="DE505"/>
      <c r="DF505"/>
      <c r="DG505"/>
      <c r="DH505"/>
      <c r="DI505"/>
      <c r="DJ505"/>
      <c r="DK505"/>
      <c r="DL505"/>
      <c r="DM505"/>
      <c r="DN505"/>
    </row>
    <row r="506" spans="3:118" s="238" customFormat="1" ht="15.75" customHeight="1" x14ac:dyDescent="0.25">
      <c r="C506"/>
      <c r="D506"/>
      <c r="E506"/>
      <c r="F506"/>
      <c r="G506"/>
      <c r="H506"/>
      <c r="I506"/>
      <c r="J506"/>
      <c r="K506"/>
      <c r="L506"/>
      <c r="M506"/>
      <c r="N506"/>
      <c r="O506" s="366"/>
      <c r="P506" s="366">
        <v>2017</v>
      </c>
      <c r="Q506" s="367">
        <f>LARGE($CB$455:$CB$604,52)</f>
        <v>90.8</v>
      </c>
      <c r="R506" s="357">
        <f t="shared" si="136"/>
        <v>-81.266666666666694</v>
      </c>
      <c r="S506" s="356">
        <f t="shared" ref="S506:S569" si="141">R506^2</f>
        <v>6604.2711111111157</v>
      </c>
      <c r="T506" s="356"/>
      <c r="U506" s="356">
        <f t="shared" si="138"/>
        <v>-5.0791666666666684</v>
      </c>
      <c r="V506" s="238">
        <f t="shared" si="134"/>
        <v>8</v>
      </c>
      <c r="W506" s="354"/>
      <c r="X506" s="366"/>
      <c r="Y506" s="366"/>
      <c r="Z506" s="238">
        <v>2017</v>
      </c>
      <c r="AA506" s="367">
        <f>LARGE($CU$455:$CU$604,52)</f>
        <v>128.69999999999999</v>
      </c>
      <c r="AB506" s="357">
        <f t="shared" si="139"/>
        <v>-63.833333333333343</v>
      </c>
      <c r="AC506" s="356">
        <f t="shared" si="133"/>
        <v>4074.6944444444457</v>
      </c>
      <c r="AE506" s="356">
        <f t="shared" si="140"/>
        <v>-3.9895833333333339</v>
      </c>
      <c r="AF506" s="238">
        <f t="shared" si="135"/>
        <v>8</v>
      </c>
      <c r="AG506" s="354"/>
      <c r="AK506"/>
      <c r="AL506"/>
      <c r="AM506"/>
      <c r="AN506"/>
      <c r="AO506"/>
      <c r="AP506"/>
      <c r="BI506" s="360"/>
      <c r="BJ506" s="354"/>
      <c r="BK506" s="366">
        <v>2017</v>
      </c>
      <c r="BL506" s="365" t="s">
        <v>1310</v>
      </c>
      <c r="BM506" s="366" t="s">
        <v>149</v>
      </c>
      <c r="BN506" s="366" t="s">
        <v>3</v>
      </c>
      <c r="BO506" s="366">
        <v>0</v>
      </c>
      <c r="BP506" s="366">
        <v>0</v>
      </c>
      <c r="BQ506" s="366">
        <v>0</v>
      </c>
      <c r="BR506" s="366">
        <v>423</v>
      </c>
      <c r="BS506" s="366">
        <v>3</v>
      </c>
      <c r="BT506" s="366">
        <v>16</v>
      </c>
      <c r="BU506" s="366">
        <v>114</v>
      </c>
      <c r="BV506" s="366">
        <v>0</v>
      </c>
      <c r="BW506" s="366">
        <v>0</v>
      </c>
      <c r="BX506" s="366">
        <v>0</v>
      </c>
      <c r="BY506" s="366">
        <v>0</v>
      </c>
      <c r="BZ506" s="366">
        <v>0</v>
      </c>
      <c r="CA506" s="366">
        <v>1</v>
      </c>
      <c r="CB506" s="367">
        <f>IFERROR(BO506/Instructions!$J$25,0)+BP506*Instructions!$J$27+BQ506*Instructions!$J$29+IFERROR(BR506/Instructions!$E$34,0)+BS506*Instructions!$E$36+Tier!BT507*Instructions!$E$25+IFERROR(BU506/Instructions!$E$27,0)+BV506*Instructions!$E$29+IFERROR((BW506+BY506)/Instructions!$J$32,0)+(BX506+BZ506)*Instructions!$J$34+Tier!CA506*-2</f>
        <v>78.7</v>
      </c>
      <c r="CC506" s="354"/>
      <c r="CD506" s="238">
        <v>2017</v>
      </c>
      <c r="CE506" s="365" t="s">
        <v>194</v>
      </c>
      <c r="CF506" s="366" t="s">
        <v>147</v>
      </c>
      <c r="CG506" s="366" t="s">
        <v>6</v>
      </c>
      <c r="CH506" s="366">
        <v>0</v>
      </c>
      <c r="CI506" s="366">
        <v>0</v>
      </c>
      <c r="CJ506" s="366">
        <v>0</v>
      </c>
      <c r="CK506" s="366">
        <v>22</v>
      </c>
      <c r="CL506" s="366">
        <v>0</v>
      </c>
      <c r="CM506" s="366">
        <v>50</v>
      </c>
      <c r="CN506" s="366">
        <v>603</v>
      </c>
      <c r="CO506" s="366">
        <v>3</v>
      </c>
      <c r="CP506" s="366">
        <v>0</v>
      </c>
      <c r="CQ506" s="366">
        <v>0</v>
      </c>
      <c r="CR506" s="366">
        <v>151</v>
      </c>
      <c r="CS506" s="366">
        <v>0</v>
      </c>
      <c r="CT506" s="366">
        <v>0</v>
      </c>
      <c r="CU506" s="367">
        <f>IFERROR(CH506/Instructions!$J$25,0)+CI506*Instructions!$J$27+CJ506*Instructions!$J$29+IFERROR(CK506/Instructions!$E$34,0)+CL506*Instructions!$E$36+Tier!CM506*Instructions!$E$25+IFERROR(CN506/Instructions!$E$27,0)+CO506*Instructions!$E$29+IFERROR((CP506+CR506)/Instructions!$J$32,0)+(CQ506+CS506)*Instructions!$J$34+Tier!CT506*-2</f>
        <v>130.5</v>
      </c>
      <c r="CV506" s="354"/>
      <c r="CW506"/>
      <c r="CX506"/>
      <c r="CY506"/>
      <c r="CZ506"/>
      <c r="DA506"/>
      <c r="DB506"/>
      <c r="DC506"/>
      <c r="DD506"/>
      <c r="DE506"/>
      <c r="DF506"/>
      <c r="DG506"/>
      <c r="DH506"/>
      <c r="DI506"/>
      <c r="DJ506"/>
      <c r="DK506"/>
      <c r="DL506"/>
      <c r="DM506"/>
      <c r="DN506"/>
    </row>
    <row r="507" spans="3:118" s="238" customFormat="1" ht="15.75" customHeight="1" x14ac:dyDescent="0.25">
      <c r="C507"/>
      <c r="D507"/>
      <c r="E507"/>
      <c r="F507"/>
      <c r="G507"/>
      <c r="H507"/>
      <c r="I507"/>
      <c r="J507"/>
      <c r="K507"/>
      <c r="L507"/>
      <c r="M507"/>
      <c r="N507"/>
      <c r="O507" s="366"/>
      <c r="P507" s="366">
        <v>2017</v>
      </c>
      <c r="Q507" s="367">
        <f>LARGE($CB$455:$CB$604,53)</f>
        <v>90.2</v>
      </c>
      <c r="R507" s="357">
        <f t="shared" si="136"/>
        <v>-81.866666666666688</v>
      </c>
      <c r="S507" s="356">
        <f t="shared" si="141"/>
        <v>6702.1511111111149</v>
      </c>
      <c r="U507" s="356">
        <f t="shared" si="138"/>
        <v>-5.116666666666668</v>
      </c>
      <c r="V507" s="238">
        <f t="shared" si="134"/>
        <v>8</v>
      </c>
      <c r="W507" s="354"/>
      <c r="X507" s="366"/>
      <c r="Y507" s="366"/>
      <c r="Z507" s="238">
        <v>2017</v>
      </c>
      <c r="AA507" s="367">
        <f>LARGE($CU$455:$CU$604,53)</f>
        <v>126.4</v>
      </c>
      <c r="AB507" s="357">
        <f t="shared" si="139"/>
        <v>-66.133333333333326</v>
      </c>
      <c r="AC507" s="356">
        <f t="shared" si="133"/>
        <v>4373.6177777777766</v>
      </c>
      <c r="AE507" s="356">
        <f t="shared" si="140"/>
        <v>-4.1333333333333329</v>
      </c>
      <c r="AF507" s="238">
        <f t="shared" si="135"/>
        <v>8</v>
      </c>
      <c r="AG507" s="354"/>
      <c r="AK507"/>
      <c r="AL507"/>
      <c r="AM507"/>
      <c r="AN507"/>
      <c r="AO507"/>
      <c r="AP507"/>
      <c r="BI507" s="360"/>
      <c r="BJ507" s="354"/>
      <c r="BK507" s="366">
        <v>2017</v>
      </c>
      <c r="BL507" s="365" t="s">
        <v>1436</v>
      </c>
      <c r="BM507" s="366" t="s">
        <v>139</v>
      </c>
      <c r="BN507" s="366" t="s">
        <v>3</v>
      </c>
      <c r="BO507" s="366">
        <v>0</v>
      </c>
      <c r="BP507" s="366">
        <v>0</v>
      </c>
      <c r="BQ507" s="366">
        <v>0</v>
      </c>
      <c r="BR507" s="366">
        <v>448</v>
      </c>
      <c r="BS507" s="366">
        <v>4</v>
      </c>
      <c r="BT507" s="366">
        <v>9</v>
      </c>
      <c r="BU507" s="366">
        <v>22</v>
      </c>
      <c r="BV507" s="366">
        <v>0</v>
      </c>
      <c r="BW507" s="366">
        <v>0</v>
      </c>
      <c r="BX507" s="366">
        <v>0</v>
      </c>
      <c r="BY507" s="366">
        <v>0</v>
      </c>
      <c r="BZ507" s="366">
        <v>0</v>
      </c>
      <c r="CA507" s="366">
        <v>0</v>
      </c>
      <c r="CB507" s="367">
        <f>IFERROR(BO507/Instructions!$J$25,0)+BP507*Instructions!$J$27+BQ507*Instructions!$J$29+IFERROR(BR507/Instructions!$E$34,0)+BS507*Instructions!$E$36+Tier!BT508*Instructions!$E$25+IFERROR(BU507/Instructions!$E$27,0)+BV507*Instructions!$E$29+IFERROR((BW507+BY507)/Instructions!$J$32,0)+(BX507+BZ507)*Instructions!$J$34+Tier!CA507*-2</f>
        <v>72</v>
      </c>
      <c r="CC507" s="354"/>
      <c r="CD507" s="238">
        <v>2017</v>
      </c>
      <c r="CE507" s="365" t="s">
        <v>112</v>
      </c>
      <c r="CF507" s="366" t="s">
        <v>157</v>
      </c>
      <c r="CG507" s="366" t="s">
        <v>6</v>
      </c>
      <c r="CH507" s="366">
        <v>0</v>
      </c>
      <c r="CI507" s="366">
        <v>0</v>
      </c>
      <c r="CJ507" s="366">
        <v>0</v>
      </c>
      <c r="CK507" s="366">
        <v>0</v>
      </c>
      <c r="CL507" s="366">
        <v>0</v>
      </c>
      <c r="CM507" s="366">
        <v>61</v>
      </c>
      <c r="CN507" s="366">
        <v>659</v>
      </c>
      <c r="CO507" s="366">
        <v>2</v>
      </c>
      <c r="CP507" s="366">
        <v>231</v>
      </c>
      <c r="CQ507" s="366">
        <v>0</v>
      </c>
      <c r="CR507" s="366">
        <v>16</v>
      </c>
      <c r="CS507" s="366">
        <v>0</v>
      </c>
      <c r="CT507" s="366">
        <v>0</v>
      </c>
      <c r="CU507" s="367">
        <f>IFERROR(CH507/Instructions!$J$25,0)+CI507*Instructions!$J$27+CJ507*Instructions!$J$29+IFERROR(CK507/Instructions!$E$34,0)+CL507*Instructions!$E$36+Tier!CM507*Instructions!$E$25+IFERROR(CN507/Instructions!$E$27,0)+CO507*Instructions!$E$29+IFERROR((CP507+CR507)/Instructions!$J$32,0)+(CQ507+CS507)*Instructions!$J$34+Tier!CT507*-2</f>
        <v>138.9</v>
      </c>
      <c r="CV507" s="354"/>
      <c r="CW507"/>
      <c r="CX507"/>
      <c r="CY507"/>
      <c r="CZ507"/>
      <c r="DA507"/>
      <c r="DB507"/>
      <c r="DC507"/>
      <c r="DD507"/>
      <c r="DE507"/>
      <c r="DF507"/>
      <c r="DG507"/>
      <c r="DH507"/>
      <c r="DI507"/>
      <c r="DJ507"/>
      <c r="DK507"/>
      <c r="DL507"/>
      <c r="DM507"/>
      <c r="DN507"/>
    </row>
    <row r="508" spans="3:118" s="238" customFormat="1" ht="15.75" customHeight="1" x14ac:dyDescent="0.25">
      <c r="C508"/>
      <c r="D508"/>
      <c r="E508"/>
      <c r="F508"/>
      <c r="G508"/>
      <c r="H508"/>
      <c r="I508"/>
      <c r="J508"/>
      <c r="K508"/>
      <c r="L508"/>
      <c r="M508"/>
      <c r="N508"/>
      <c r="O508" s="366"/>
      <c r="P508" s="366">
        <v>2017</v>
      </c>
      <c r="Q508" s="367">
        <f>LARGE($CB$455:$CB$604,54)</f>
        <v>89.6</v>
      </c>
      <c r="R508" s="357">
        <f t="shared" si="136"/>
        <v>-82.466666666666697</v>
      </c>
      <c r="S508" s="356">
        <f t="shared" si="141"/>
        <v>6800.7511111111162</v>
      </c>
      <c r="U508" s="356">
        <f t="shared" si="138"/>
        <v>-5.1541666666666686</v>
      </c>
      <c r="V508" s="238">
        <f t="shared" si="134"/>
        <v>8</v>
      </c>
      <c r="W508" s="354"/>
      <c r="X508" s="366"/>
      <c r="Y508" s="366"/>
      <c r="Z508" s="238">
        <v>2017</v>
      </c>
      <c r="AA508" s="367">
        <f>LARGE($CU$455:$CU$604,54)</f>
        <v>126.3</v>
      </c>
      <c r="AB508" s="357">
        <f t="shared" si="139"/>
        <v>-66.233333333333334</v>
      </c>
      <c r="AC508" s="356">
        <f t="shared" si="133"/>
        <v>4386.8544444444442</v>
      </c>
      <c r="AE508" s="356">
        <f t="shared" si="140"/>
        <v>-4.1395833333333334</v>
      </c>
      <c r="AF508" s="238">
        <f t="shared" si="135"/>
        <v>8</v>
      </c>
      <c r="AG508" s="354"/>
      <c r="AK508"/>
      <c r="AL508"/>
      <c r="AM508"/>
      <c r="AN508"/>
      <c r="AO508"/>
      <c r="AP508"/>
      <c r="BI508" s="360"/>
      <c r="BJ508" s="354"/>
      <c r="BK508" s="366">
        <v>2017</v>
      </c>
      <c r="BL508" s="365" t="s">
        <v>989</v>
      </c>
      <c r="BM508" s="366" t="s">
        <v>157</v>
      </c>
      <c r="BN508" s="366" t="s">
        <v>3</v>
      </c>
      <c r="BO508" s="366">
        <v>0</v>
      </c>
      <c r="BP508" s="366">
        <v>0</v>
      </c>
      <c r="BQ508" s="366">
        <v>0</v>
      </c>
      <c r="BR508" s="366">
        <v>383</v>
      </c>
      <c r="BS508" s="366">
        <v>5</v>
      </c>
      <c r="BT508" s="366">
        <v>1</v>
      </c>
      <c r="BU508" s="366">
        <v>15</v>
      </c>
      <c r="BV508" s="366">
        <v>0</v>
      </c>
      <c r="BW508" s="366">
        <v>0</v>
      </c>
      <c r="BX508" s="366">
        <v>0</v>
      </c>
      <c r="BY508" s="366">
        <v>0</v>
      </c>
      <c r="BZ508" s="366">
        <v>0</v>
      </c>
      <c r="CA508" s="366">
        <v>1</v>
      </c>
      <c r="CB508" s="367">
        <f>IFERROR(BO508/Instructions!$J$25,0)+BP508*Instructions!$J$27+BQ508*Instructions!$J$29+IFERROR(BR508/Instructions!$E$34,0)+BS508*Instructions!$E$36+Tier!BT509*Instructions!$E$25+IFERROR(BU508/Instructions!$E$27,0)+BV508*Instructions!$E$29+IFERROR((BW508+BY508)/Instructions!$J$32,0)+(BX508+BZ508)*Instructions!$J$34+Tier!CA508*-2</f>
        <v>90.8</v>
      </c>
      <c r="CC508" s="354"/>
      <c r="CD508" s="238">
        <v>2017</v>
      </c>
      <c r="CE508" s="365" t="s">
        <v>219</v>
      </c>
      <c r="CF508" s="366" t="s">
        <v>157</v>
      </c>
      <c r="CG508" s="366" t="s">
        <v>6</v>
      </c>
      <c r="CH508" s="366">
        <v>0</v>
      </c>
      <c r="CI508" s="366">
        <v>0</v>
      </c>
      <c r="CJ508" s="366">
        <v>0</v>
      </c>
      <c r="CK508" s="366">
        <v>17</v>
      </c>
      <c r="CL508" s="366">
        <v>0</v>
      </c>
      <c r="CM508" s="366">
        <v>34</v>
      </c>
      <c r="CN508" s="366">
        <v>439</v>
      </c>
      <c r="CO508" s="366">
        <v>5</v>
      </c>
      <c r="CP508" s="366">
        <v>0</v>
      </c>
      <c r="CQ508" s="366">
        <v>0</v>
      </c>
      <c r="CR508" s="366">
        <v>0</v>
      </c>
      <c r="CS508" s="366">
        <v>0</v>
      </c>
      <c r="CT508" s="366">
        <v>0</v>
      </c>
      <c r="CU508" s="367">
        <f>IFERROR(CH508/Instructions!$J$25,0)+CI508*Instructions!$J$27+CJ508*Instructions!$J$29+IFERROR(CK508/Instructions!$E$34,0)+CL508*Instructions!$E$36+Tier!CM508*Instructions!$E$25+IFERROR(CN508/Instructions!$E$27,0)+CO508*Instructions!$E$29+IFERROR((CP508+CR508)/Instructions!$J$32,0)+(CQ508+CS508)*Instructions!$J$34+Tier!CT508*-2</f>
        <v>109.6</v>
      </c>
      <c r="CV508" s="354"/>
      <c r="CW508"/>
      <c r="CX508"/>
      <c r="CY508"/>
      <c r="CZ508"/>
      <c r="DA508"/>
      <c r="DB508"/>
      <c r="DC508"/>
      <c r="DD508"/>
      <c r="DE508"/>
      <c r="DF508"/>
      <c r="DG508"/>
      <c r="DH508"/>
      <c r="DI508"/>
      <c r="DJ508"/>
      <c r="DK508"/>
      <c r="DL508"/>
      <c r="DM508"/>
      <c r="DN508"/>
    </row>
    <row r="509" spans="3:118" s="238" customFormat="1" ht="15.75" customHeight="1" x14ac:dyDescent="0.25">
      <c r="C509"/>
      <c r="D509"/>
      <c r="E509"/>
      <c r="F509"/>
      <c r="G509"/>
      <c r="H509"/>
      <c r="I509"/>
      <c r="J509"/>
      <c r="K509"/>
      <c r="L509"/>
      <c r="M509"/>
      <c r="N509"/>
      <c r="O509" s="366"/>
      <c r="P509" s="366">
        <v>2017</v>
      </c>
      <c r="Q509" s="367">
        <f>LARGE($CB$455:$CB$604,55)</f>
        <v>89.1</v>
      </c>
      <c r="R509" s="357">
        <f t="shared" si="136"/>
        <v>-82.966666666666697</v>
      </c>
      <c r="S509" s="356">
        <f t="shared" si="141"/>
        <v>6883.4677777777824</v>
      </c>
      <c r="T509" s="356"/>
      <c r="U509" s="356">
        <f t="shared" si="138"/>
        <v>-5.1854166666666686</v>
      </c>
      <c r="V509" s="238">
        <f t="shared" si="134"/>
        <v>8</v>
      </c>
      <c r="W509" s="354"/>
      <c r="X509" s="366"/>
      <c r="Y509" s="366"/>
      <c r="Z509" s="238">
        <v>2017</v>
      </c>
      <c r="AA509" s="367">
        <f>LARGE($CU$455:$CU$604,55)</f>
        <v>124.8</v>
      </c>
      <c r="AB509" s="357">
        <f t="shared" si="139"/>
        <v>-67.733333333333334</v>
      </c>
      <c r="AC509" s="356">
        <f t="shared" si="133"/>
        <v>4587.8044444444449</v>
      </c>
      <c r="AE509" s="356">
        <f t="shared" si="140"/>
        <v>-4.2333333333333334</v>
      </c>
      <c r="AF509" s="238">
        <f t="shared" si="135"/>
        <v>8</v>
      </c>
      <c r="AG509" s="354"/>
      <c r="AK509"/>
      <c r="AL509"/>
      <c r="AM509"/>
      <c r="AN509"/>
      <c r="AO509"/>
      <c r="AP509"/>
      <c r="BI509" s="360"/>
      <c r="BJ509" s="354"/>
      <c r="BK509" s="366">
        <v>2017</v>
      </c>
      <c r="BL509" s="365" t="s">
        <v>1114</v>
      </c>
      <c r="BM509" s="366" t="s">
        <v>139</v>
      </c>
      <c r="BN509" s="366" t="s">
        <v>3</v>
      </c>
      <c r="BO509" s="366">
        <v>0</v>
      </c>
      <c r="BP509" s="366">
        <v>0</v>
      </c>
      <c r="BQ509" s="366">
        <v>0</v>
      </c>
      <c r="BR509" s="366">
        <v>273</v>
      </c>
      <c r="BS509" s="366">
        <v>3</v>
      </c>
      <c r="BT509" s="366">
        <v>23</v>
      </c>
      <c r="BU509" s="366">
        <v>173</v>
      </c>
      <c r="BV509" s="366">
        <v>1</v>
      </c>
      <c r="BW509" s="366">
        <v>0</v>
      </c>
      <c r="BX509" s="366">
        <v>0</v>
      </c>
      <c r="BY509" s="366">
        <v>0</v>
      </c>
      <c r="BZ509" s="366">
        <v>0</v>
      </c>
      <c r="CA509" s="366">
        <v>0</v>
      </c>
      <c r="CB509" s="367">
        <f>IFERROR(BO509/Instructions!$J$25,0)+BP509*Instructions!$J$27+BQ509*Instructions!$J$29+IFERROR(BR509/Instructions!$E$34,0)+BS509*Instructions!$E$36+Tier!BT510*Instructions!$E$25+IFERROR(BU509/Instructions!$E$27,0)+BV509*Instructions!$E$29+IFERROR((BW509+BY509)/Instructions!$J$32,0)+(BX509+BZ509)*Instructions!$J$34+Tier!CA509*-2</f>
        <v>89.6</v>
      </c>
      <c r="CC509" s="354"/>
      <c r="CD509" s="238">
        <v>2017</v>
      </c>
      <c r="CE509" s="365" t="s">
        <v>1110</v>
      </c>
      <c r="CF509" s="366" t="s">
        <v>136</v>
      </c>
      <c r="CG509" s="366" t="s">
        <v>6</v>
      </c>
      <c r="CH509" s="366">
        <v>0</v>
      </c>
      <c r="CI509" s="366">
        <v>0</v>
      </c>
      <c r="CJ509" s="366">
        <v>0</v>
      </c>
      <c r="CK509" s="366">
        <v>6</v>
      </c>
      <c r="CL509" s="366">
        <v>0</v>
      </c>
      <c r="CM509" s="366">
        <v>42</v>
      </c>
      <c r="CN509" s="366">
        <v>554</v>
      </c>
      <c r="CO509" s="366">
        <v>3</v>
      </c>
      <c r="CP509" s="366">
        <v>0</v>
      </c>
      <c r="CQ509" s="366">
        <v>0</v>
      </c>
      <c r="CR509" s="366">
        <v>18</v>
      </c>
      <c r="CS509" s="366">
        <v>0</v>
      </c>
      <c r="CT509" s="366">
        <v>0</v>
      </c>
      <c r="CU509" s="367">
        <f>IFERROR(CH509/Instructions!$J$25,0)+CI509*Instructions!$J$27+CJ509*Instructions!$J$29+IFERROR(CK509/Instructions!$E$34,0)+CL509*Instructions!$E$36+Tier!CM509*Instructions!$E$25+IFERROR(CN509/Instructions!$E$27,0)+CO509*Instructions!$E$29+IFERROR((CP509+CR509)/Instructions!$J$32,0)+(CQ509+CS509)*Instructions!$J$34+Tier!CT509*-2</f>
        <v>116</v>
      </c>
      <c r="CV509" s="354"/>
      <c r="CW509"/>
      <c r="CX509"/>
      <c r="CY509"/>
      <c r="CZ509"/>
      <c r="DA509"/>
      <c r="DB509"/>
      <c r="DC509"/>
      <c r="DD509"/>
      <c r="DE509"/>
      <c r="DF509"/>
      <c r="DG509"/>
      <c r="DH509"/>
      <c r="DI509"/>
      <c r="DJ509"/>
      <c r="DK509"/>
      <c r="DL509"/>
      <c r="DM509"/>
      <c r="DN509"/>
    </row>
    <row r="510" spans="3:118" s="238" customFormat="1" ht="15.75" customHeight="1" x14ac:dyDescent="0.25">
      <c r="C510"/>
      <c r="D510"/>
      <c r="E510"/>
      <c r="F510"/>
      <c r="G510"/>
      <c r="H510"/>
      <c r="I510"/>
      <c r="J510"/>
      <c r="K510"/>
      <c r="L510"/>
      <c r="M510"/>
      <c r="N510"/>
      <c r="O510" s="366"/>
      <c r="P510" s="366">
        <v>2017</v>
      </c>
      <c r="Q510" s="367">
        <f>LARGE($CB$455:$CB$604,56)</f>
        <v>87.2</v>
      </c>
      <c r="R510" s="357">
        <f t="shared" si="136"/>
        <v>-84.866666666666688</v>
      </c>
      <c r="S510" s="356">
        <f t="shared" si="141"/>
        <v>7202.3511111111147</v>
      </c>
      <c r="T510" s="356"/>
      <c r="U510" s="356">
        <f t="shared" si="138"/>
        <v>-5.304166666666668</v>
      </c>
      <c r="V510" s="238">
        <f t="shared" si="134"/>
        <v>8</v>
      </c>
      <c r="W510" s="354"/>
      <c r="X510" s="366"/>
      <c r="Y510" s="366"/>
      <c r="Z510" s="238">
        <v>2017</v>
      </c>
      <c r="AA510" s="367">
        <f>LARGE($CU$455:$CU$604,56)</f>
        <v>124.3</v>
      </c>
      <c r="AB510" s="357">
        <f t="shared" si="139"/>
        <v>-68.233333333333334</v>
      </c>
      <c r="AC510" s="356">
        <f t="shared" si="133"/>
        <v>4655.7877777777776</v>
      </c>
      <c r="AE510" s="356">
        <f t="shared" si="140"/>
        <v>-4.2645833333333334</v>
      </c>
      <c r="AF510" s="238">
        <f t="shared" si="135"/>
        <v>8</v>
      </c>
      <c r="AG510" s="354"/>
      <c r="AK510"/>
      <c r="AL510"/>
      <c r="AM510"/>
      <c r="AN510"/>
      <c r="AO510"/>
      <c r="AP510"/>
      <c r="BI510" s="360"/>
      <c r="BJ510" s="354"/>
      <c r="BK510" s="366">
        <v>2017</v>
      </c>
      <c r="BL510" s="365" t="s">
        <v>1161</v>
      </c>
      <c r="BM510" s="366" t="s">
        <v>165</v>
      </c>
      <c r="BN510" s="366" t="s">
        <v>3</v>
      </c>
      <c r="BO510" s="366">
        <v>0</v>
      </c>
      <c r="BP510" s="366">
        <v>0</v>
      </c>
      <c r="BQ510" s="366">
        <v>0</v>
      </c>
      <c r="BR510" s="366">
        <v>381</v>
      </c>
      <c r="BS510" s="366">
        <v>1</v>
      </c>
      <c r="BT510" s="366">
        <v>21</v>
      </c>
      <c r="BU510" s="366">
        <v>175</v>
      </c>
      <c r="BV510" s="366">
        <v>1</v>
      </c>
      <c r="BW510" s="366">
        <v>0</v>
      </c>
      <c r="BX510" s="366">
        <v>0</v>
      </c>
      <c r="BY510" s="366">
        <v>0</v>
      </c>
      <c r="BZ510" s="366">
        <v>0</v>
      </c>
      <c r="CA510" s="366">
        <v>2</v>
      </c>
      <c r="CB510" s="367">
        <f>IFERROR(BO510/Instructions!$J$25,0)+BP510*Instructions!$J$27+BQ510*Instructions!$J$29+IFERROR(BR510/Instructions!$E$34,0)+BS510*Instructions!$E$36+Tier!BT511*Instructions!$E$25+IFERROR(BU510/Instructions!$E$27,0)+BV510*Instructions!$E$29+IFERROR((BW510+BY510)/Instructions!$J$32,0)+(BX510+BZ510)*Instructions!$J$34+Tier!CA510*-2</f>
        <v>72.599999999999994</v>
      </c>
      <c r="CC510" s="354"/>
      <c r="CD510" s="238">
        <v>2017</v>
      </c>
      <c r="CE510" s="365" t="s">
        <v>1109</v>
      </c>
      <c r="CF510" s="366" t="s">
        <v>140</v>
      </c>
      <c r="CG510" s="366" t="s">
        <v>6</v>
      </c>
      <c r="CH510" s="366">
        <v>0</v>
      </c>
      <c r="CI510" s="366">
        <v>0</v>
      </c>
      <c r="CJ510" s="366">
        <v>0</v>
      </c>
      <c r="CK510" s="366">
        <v>58</v>
      </c>
      <c r="CL510" s="366">
        <v>0</v>
      </c>
      <c r="CM510" s="366">
        <v>45</v>
      </c>
      <c r="CN510" s="366">
        <v>555</v>
      </c>
      <c r="CO510" s="366">
        <v>2</v>
      </c>
      <c r="CP510" s="366">
        <v>237</v>
      </c>
      <c r="CQ510" s="366">
        <v>0</v>
      </c>
      <c r="CR510" s="366">
        <v>949</v>
      </c>
      <c r="CS510" s="366">
        <v>1</v>
      </c>
      <c r="CT510" s="366">
        <v>0</v>
      </c>
      <c r="CU510" s="367">
        <f>IFERROR(CH510/Instructions!$J$25,0)+CI510*Instructions!$J$27+CJ510*Instructions!$J$29+IFERROR(CK510/Instructions!$E$34,0)+CL510*Instructions!$E$36+Tier!CM510*Instructions!$E$25+IFERROR(CN510/Instructions!$E$27,0)+CO510*Instructions!$E$29+IFERROR((CP510+CR510)/Instructions!$J$32,0)+(CQ510+CS510)*Instructions!$J$34+Tier!CT510*-2</f>
        <v>124.3</v>
      </c>
      <c r="CV510" s="354"/>
      <c r="CW510"/>
      <c r="CX510"/>
      <c r="CY510"/>
      <c r="CZ510"/>
      <c r="DA510"/>
      <c r="DB510"/>
      <c r="DC510"/>
      <c r="DD510"/>
      <c r="DE510"/>
      <c r="DF510"/>
      <c r="DG510"/>
      <c r="DH510"/>
      <c r="DI510"/>
      <c r="DJ510"/>
      <c r="DK510"/>
      <c r="DL510"/>
      <c r="DM510"/>
      <c r="DN510"/>
    </row>
    <row r="511" spans="3:118" s="238" customFormat="1" ht="15.75" customHeight="1" x14ac:dyDescent="0.25">
      <c r="C511"/>
      <c r="D511"/>
      <c r="E511"/>
      <c r="F511"/>
      <c r="G511"/>
      <c r="H511"/>
      <c r="I511"/>
      <c r="J511"/>
      <c r="K511"/>
      <c r="L511"/>
      <c r="M511"/>
      <c r="N511"/>
      <c r="O511" s="366"/>
      <c r="P511" s="366">
        <v>2017</v>
      </c>
      <c r="Q511" s="367">
        <f>LARGE($CB$455:$CB$604,57)</f>
        <v>85</v>
      </c>
      <c r="R511" s="357">
        <f t="shared" si="136"/>
        <v>-87.066666666666691</v>
      </c>
      <c r="S511" s="356">
        <f t="shared" si="141"/>
        <v>7580.6044444444487</v>
      </c>
      <c r="T511" s="356"/>
      <c r="U511" s="356">
        <f t="shared" si="138"/>
        <v>-5.4416666666666682</v>
      </c>
      <c r="V511" s="238">
        <f t="shared" si="134"/>
        <v>8</v>
      </c>
      <c r="W511" s="354"/>
      <c r="X511" s="366"/>
      <c r="Y511" s="366"/>
      <c r="Z511" s="238">
        <v>2017</v>
      </c>
      <c r="AA511" s="367">
        <f>LARGE($CU$455:$CU$604,57)</f>
        <v>119.80000000000001</v>
      </c>
      <c r="AB511" s="357">
        <f t="shared" si="139"/>
        <v>-72.73333333333332</v>
      </c>
      <c r="AC511" s="356">
        <f t="shared" si="133"/>
        <v>5290.1377777777761</v>
      </c>
      <c r="AE511" s="356">
        <f t="shared" si="140"/>
        <v>-4.5458333333333325</v>
      </c>
      <c r="AF511" s="238">
        <f t="shared" si="135"/>
        <v>8</v>
      </c>
      <c r="AG511" s="354"/>
      <c r="AK511"/>
      <c r="AL511"/>
      <c r="AM511"/>
      <c r="AN511"/>
      <c r="AO511"/>
      <c r="AP511"/>
      <c r="BI511" s="360"/>
      <c r="BJ511" s="354"/>
      <c r="BK511" s="366">
        <v>2017</v>
      </c>
      <c r="BL511" s="365" t="s">
        <v>42</v>
      </c>
      <c r="BM511" s="366" t="s">
        <v>149</v>
      </c>
      <c r="BN511" s="366" t="s">
        <v>3</v>
      </c>
      <c r="BO511" s="366">
        <v>0</v>
      </c>
      <c r="BP511" s="366">
        <v>0</v>
      </c>
      <c r="BQ511" s="366">
        <v>0</v>
      </c>
      <c r="BR511" s="366">
        <v>406</v>
      </c>
      <c r="BS511" s="366">
        <v>3</v>
      </c>
      <c r="BT511" s="366">
        <v>9</v>
      </c>
      <c r="BU511" s="366">
        <v>84</v>
      </c>
      <c r="BV511" s="366">
        <v>0</v>
      </c>
      <c r="BW511" s="366">
        <v>0</v>
      </c>
      <c r="BX511" s="366">
        <v>0</v>
      </c>
      <c r="BY511" s="366">
        <v>0</v>
      </c>
      <c r="BZ511" s="366">
        <v>0</v>
      </c>
      <c r="CA511" s="366">
        <v>1</v>
      </c>
      <c r="CB511" s="367">
        <f>IFERROR(BO511/Instructions!$J$25,0)+BP511*Instructions!$J$27+BQ511*Instructions!$J$29+IFERROR(BR511/Instructions!$E$34,0)+BS511*Instructions!$E$36+Tier!BT512*Instructions!$E$25+IFERROR(BU511/Instructions!$E$27,0)+BV511*Instructions!$E$29+IFERROR((BW511+BY511)/Instructions!$J$32,0)+(BX511+BZ511)*Instructions!$J$34+Tier!CA511*-2</f>
        <v>72</v>
      </c>
      <c r="CC511" s="354"/>
      <c r="CD511" s="238">
        <v>2017</v>
      </c>
      <c r="CE511" s="365" t="s">
        <v>1208</v>
      </c>
      <c r="CF511" s="366" t="s">
        <v>166</v>
      </c>
      <c r="CG511" s="366" t="s">
        <v>6</v>
      </c>
      <c r="CH511" s="366">
        <v>0</v>
      </c>
      <c r="CI511" s="366">
        <v>0</v>
      </c>
      <c r="CJ511" s="366">
        <v>0</v>
      </c>
      <c r="CK511" s="366">
        <v>0</v>
      </c>
      <c r="CL511" s="366">
        <v>0</v>
      </c>
      <c r="CM511" s="366">
        <v>57</v>
      </c>
      <c r="CN511" s="366">
        <v>670</v>
      </c>
      <c r="CO511" s="366">
        <v>1</v>
      </c>
      <c r="CP511" s="366">
        <v>0</v>
      </c>
      <c r="CQ511" s="366">
        <v>0</v>
      </c>
      <c r="CR511" s="366">
        <v>0</v>
      </c>
      <c r="CS511" s="366">
        <v>0</v>
      </c>
      <c r="CT511" s="366">
        <v>0</v>
      </c>
      <c r="CU511" s="367">
        <f>IFERROR(CH511/Instructions!$J$25,0)+CI511*Instructions!$J$27+CJ511*Instructions!$J$29+IFERROR(CK511/Instructions!$E$34,0)+CL511*Instructions!$E$36+Tier!CM511*Instructions!$E$25+IFERROR(CN511/Instructions!$E$27,0)+CO511*Instructions!$E$29+IFERROR((CP511+CR511)/Instructions!$J$32,0)+(CQ511+CS511)*Instructions!$J$34+Tier!CT511*-2</f>
        <v>130</v>
      </c>
      <c r="CV511" s="354"/>
      <c r="CW511"/>
      <c r="CX511"/>
      <c r="CY511"/>
      <c r="CZ511"/>
      <c r="DA511"/>
      <c r="DB511"/>
      <c r="DC511"/>
      <c r="DD511"/>
      <c r="DE511"/>
      <c r="DF511"/>
      <c r="DG511"/>
      <c r="DH511"/>
      <c r="DI511"/>
      <c r="DJ511"/>
      <c r="DK511"/>
      <c r="DL511"/>
      <c r="DM511"/>
      <c r="DN511"/>
    </row>
    <row r="512" spans="3:118" s="238" customFormat="1" ht="15.75" customHeight="1" x14ac:dyDescent="0.25">
      <c r="C512"/>
      <c r="D512"/>
      <c r="E512"/>
      <c r="F512"/>
      <c r="G512"/>
      <c r="H512"/>
      <c r="I512"/>
      <c r="J512"/>
      <c r="K512"/>
      <c r="L512"/>
      <c r="M512"/>
      <c r="N512"/>
      <c r="O512" s="366"/>
      <c r="P512" s="366">
        <v>2017</v>
      </c>
      <c r="Q512" s="367">
        <f>LARGE($CB$455:$CB$604,58)</f>
        <v>83.9</v>
      </c>
      <c r="R512" s="357">
        <f t="shared" si="136"/>
        <v>-88.166666666666686</v>
      </c>
      <c r="S512" s="356">
        <f t="shared" si="141"/>
        <v>7773.361111111114</v>
      </c>
      <c r="T512" s="356"/>
      <c r="U512" s="356">
        <f t="shared" si="138"/>
        <v>-5.5104166666666679</v>
      </c>
      <c r="V512" s="238">
        <f t="shared" si="134"/>
        <v>8</v>
      </c>
      <c r="W512" s="354"/>
      <c r="X512" s="366"/>
      <c r="Y512" s="366"/>
      <c r="Z512" s="238">
        <v>2017</v>
      </c>
      <c r="AA512" s="367">
        <f>LARGE($CU$455:$CU$604,58)</f>
        <v>116.3</v>
      </c>
      <c r="AB512" s="357">
        <f t="shared" si="139"/>
        <v>-76.233333333333334</v>
      </c>
      <c r="AC512" s="356">
        <f t="shared" si="133"/>
        <v>5811.5211111111112</v>
      </c>
      <c r="AE512" s="356">
        <f t="shared" si="140"/>
        <v>-4.7645833333333334</v>
      </c>
      <c r="AF512" s="238">
        <f t="shared" si="135"/>
        <v>8</v>
      </c>
      <c r="AG512" s="354"/>
      <c r="AK512"/>
      <c r="AL512"/>
      <c r="AM512"/>
      <c r="AN512"/>
      <c r="AO512"/>
      <c r="AP512"/>
      <c r="BI512" s="360"/>
      <c r="BJ512" s="354"/>
      <c r="BK512" s="366">
        <v>2017</v>
      </c>
      <c r="BL512" s="365" t="s">
        <v>52</v>
      </c>
      <c r="BM512" s="366" t="s">
        <v>146</v>
      </c>
      <c r="BN512" s="366" t="s">
        <v>3</v>
      </c>
      <c r="BO512" s="366">
        <v>0</v>
      </c>
      <c r="BP512" s="366">
        <v>0</v>
      </c>
      <c r="BQ512" s="366">
        <v>0</v>
      </c>
      <c r="BR512" s="366">
        <v>547</v>
      </c>
      <c r="BS512" s="366">
        <v>1</v>
      </c>
      <c r="BT512" s="366">
        <v>7</v>
      </c>
      <c r="BU512" s="366">
        <v>45</v>
      </c>
      <c r="BV512" s="366">
        <v>0</v>
      </c>
      <c r="BW512" s="366">
        <v>0</v>
      </c>
      <c r="BX512" s="366">
        <v>0</v>
      </c>
      <c r="BY512" s="366">
        <v>0</v>
      </c>
      <c r="BZ512" s="366">
        <v>0</v>
      </c>
      <c r="CA512" s="366">
        <v>0</v>
      </c>
      <c r="CB512" s="367">
        <f>IFERROR(BO512/Instructions!$J$25,0)+BP512*Instructions!$J$27+BQ512*Instructions!$J$29+IFERROR(BR512/Instructions!$E$34,0)+BS512*Instructions!$E$36+Tier!BT513*Instructions!$E$25+IFERROR(BU512/Instructions!$E$27,0)+BV512*Instructions!$E$29+IFERROR((BW512+BY512)/Instructions!$J$32,0)+(BX512+BZ512)*Instructions!$J$34+Tier!CA512*-2</f>
        <v>92.2</v>
      </c>
      <c r="CC512" s="354"/>
      <c r="CD512" s="238">
        <v>2017</v>
      </c>
      <c r="CE512" s="365" t="s">
        <v>132</v>
      </c>
      <c r="CF512" s="366" t="s">
        <v>145</v>
      </c>
      <c r="CG512" s="366" t="s">
        <v>6</v>
      </c>
      <c r="CH512" s="366">
        <v>0</v>
      </c>
      <c r="CI512" s="366">
        <v>0</v>
      </c>
      <c r="CJ512" s="366">
        <v>0</v>
      </c>
      <c r="CK512" s="366">
        <v>0</v>
      </c>
      <c r="CL512" s="366">
        <v>0</v>
      </c>
      <c r="CM512" s="366">
        <v>52</v>
      </c>
      <c r="CN512" s="366">
        <v>548</v>
      </c>
      <c r="CO512" s="366">
        <v>3</v>
      </c>
      <c r="CP512" s="366">
        <v>0</v>
      </c>
      <c r="CQ512" s="366">
        <v>0</v>
      </c>
      <c r="CR512" s="366">
        <v>0</v>
      </c>
      <c r="CS512" s="366">
        <v>0</v>
      </c>
      <c r="CT512" s="366">
        <v>0</v>
      </c>
      <c r="CU512" s="367">
        <f>IFERROR(CH512/Instructions!$J$25,0)+CI512*Instructions!$J$27+CJ512*Instructions!$J$29+IFERROR(CK512/Instructions!$E$34,0)+CL512*Instructions!$E$36+Tier!CM512*Instructions!$E$25+IFERROR(CN512/Instructions!$E$27,0)+CO512*Instructions!$E$29+IFERROR((CP512+CR512)/Instructions!$J$32,0)+(CQ512+CS512)*Instructions!$J$34+Tier!CT512*-2</f>
        <v>124.8</v>
      </c>
      <c r="CV512" s="354"/>
      <c r="CW512"/>
      <c r="CX512"/>
      <c r="CY512"/>
      <c r="CZ512"/>
      <c r="DA512"/>
      <c r="DB512"/>
      <c r="DC512"/>
      <c r="DD512"/>
      <c r="DE512"/>
      <c r="DF512"/>
      <c r="DG512"/>
      <c r="DH512"/>
      <c r="DI512"/>
      <c r="DJ512"/>
      <c r="DK512"/>
      <c r="DL512"/>
      <c r="DM512"/>
      <c r="DN512"/>
    </row>
    <row r="513" spans="3:118" s="238" customFormat="1" ht="15.75" customHeight="1" x14ac:dyDescent="0.25">
      <c r="C513"/>
      <c r="D513"/>
      <c r="E513"/>
      <c r="F513"/>
      <c r="G513"/>
      <c r="H513"/>
      <c r="I513"/>
      <c r="J513"/>
      <c r="K513"/>
      <c r="L513"/>
      <c r="M513"/>
      <c r="N513"/>
      <c r="O513" s="366"/>
      <c r="P513" s="366">
        <v>2017</v>
      </c>
      <c r="Q513" s="367">
        <f>LARGE($CB$455:$CB$604,59)</f>
        <v>83.5</v>
      </c>
      <c r="R513" s="357">
        <f t="shared" si="136"/>
        <v>-88.566666666666691</v>
      </c>
      <c r="S513" s="356">
        <f t="shared" si="141"/>
        <v>7844.0544444444486</v>
      </c>
      <c r="T513" s="356"/>
      <c r="U513" s="356">
        <f t="shared" si="138"/>
        <v>-5.5354166666666682</v>
      </c>
      <c r="V513" s="238">
        <f t="shared" si="134"/>
        <v>8</v>
      </c>
      <c r="W513" s="354"/>
      <c r="X513" s="366"/>
      <c r="Y513" s="366"/>
      <c r="Z513" s="238">
        <v>2017</v>
      </c>
      <c r="AA513" s="367">
        <f>LARGE($CU$455:$CU$604,59)</f>
        <v>116</v>
      </c>
      <c r="AB513" s="357">
        <f t="shared" si="139"/>
        <v>-76.533333333333331</v>
      </c>
      <c r="AC513" s="356">
        <f t="shared" si="133"/>
        <v>5857.3511111111111</v>
      </c>
      <c r="AE513" s="356">
        <f t="shared" si="140"/>
        <v>-4.7833333333333332</v>
      </c>
      <c r="AF513" s="238">
        <f t="shared" si="135"/>
        <v>8</v>
      </c>
      <c r="AG513" s="354"/>
      <c r="AK513"/>
      <c r="AL513"/>
      <c r="AM513"/>
      <c r="AN513"/>
      <c r="AO513"/>
      <c r="AP513"/>
      <c r="BI513" s="360"/>
      <c r="BJ513" s="354"/>
      <c r="BK513" s="366">
        <v>2017</v>
      </c>
      <c r="BL513" s="365" t="s">
        <v>1408</v>
      </c>
      <c r="BM513" s="366" t="s">
        <v>167</v>
      </c>
      <c r="BN513" s="366" t="s">
        <v>3</v>
      </c>
      <c r="BO513" s="366">
        <v>0</v>
      </c>
      <c r="BP513" s="366">
        <v>0</v>
      </c>
      <c r="BQ513" s="366">
        <v>0</v>
      </c>
      <c r="BR513" s="366">
        <v>275</v>
      </c>
      <c r="BS513" s="366">
        <v>1</v>
      </c>
      <c r="BT513" s="366">
        <v>27</v>
      </c>
      <c r="BU513" s="366">
        <v>256</v>
      </c>
      <c r="BV513" s="366">
        <v>1</v>
      </c>
      <c r="BW513" s="366">
        <v>155</v>
      </c>
      <c r="BX513" s="366">
        <v>0</v>
      </c>
      <c r="BY513" s="366">
        <v>90</v>
      </c>
      <c r="BZ513" s="366">
        <v>0</v>
      </c>
      <c r="CA513" s="366">
        <v>3</v>
      </c>
      <c r="CB513" s="367">
        <f>IFERROR(BO513/Instructions!$J$25,0)+BP513*Instructions!$J$27+BQ513*Instructions!$J$29+IFERROR(BR513/Instructions!$E$34,0)+BS513*Instructions!$E$36+Tier!BT514*Instructions!$E$25+IFERROR(BU513/Instructions!$E$27,0)+BV513*Instructions!$E$29+IFERROR((BW513+BY513)/Instructions!$J$32,0)+(BX513+BZ513)*Instructions!$J$34+Tier!CA513*-2</f>
        <v>89.1</v>
      </c>
      <c r="CC513" s="354"/>
      <c r="CD513" s="238">
        <v>2017</v>
      </c>
      <c r="CE513" s="365" t="s">
        <v>1083</v>
      </c>
      <c r="CF513" s="366" t="s">
        <v>153</v>
      </c>
      <c r="CG513" s="366" t="s">
        <v>6</v>
      </c>
      <c r="CH513" s="366">
        <v>0</v>
      </c>
      <c r="CI513" s="366">
        <v>0</v>
      </c>
      <c r="CJ513" s="366">
        <v>0</v>
      </c>
      <c r="CK513" s="366">
        <v>0</v>
      </c>
      <c r="CL513" s="366">
        <v>0</v>
      </c>
      <c r="CM513" s="366">
        <v>31</v>
      </c>
      <c r="CN513" s="366">
        <v>477</v>
      </c>
      <c r="CO513" s="366">
        <v>4</v>
      </c>
      <c r="CP513" s="366">
        <v>0</v>
      </c>
      <c r="CQ513" s="366">
        <v>0</v>
      </c>
      <c r="CR513" s="366">
        <v>0</v>
      </c>
      <c r="CS513" s="366">
        <v>0</v>
      </c>
      <c r="CT513" s="366">
        <v>0</v>
      </c>
      <c r="CU513" s="367">
        <f>IFERROR(CH513/Instructions!$J$25,0)+CI513*Instructions!$J$27+CJ513*Instructions!$J$29+IFERROR(CK513/Instructions!$E$34,0)+CL513*Instructions!$E$36+Tier!CM513*Instructions!$E$25+IFERROR(CN513/Instructions!$E$27,0)+CO513*Instructions!$E$29+IFERROR((CP513+CR513)/Instructions!$J$32,0)+(CQ513+CS513)*Instructions!$J$34+Tier!CT513*-2</f>
        <v>102.7</v>
      </c>
      <c r="CV513" s="354"/>
      <c r="CW513"/>
      <c r="CX513"/>
      <c r="CY513"/>
      <c r="CZ513"/>
      <c r="DA513"/>
      <c r="DB513"/>
      <c r="DC513"/>
      <c r="DD513"/>
      <c r="DE513"/>
      <c r="DF513"/>
      <c r="DG513"/>
      <c r="DH513"/>
      <c r="DI513"/>
      <c r="DJ513"/>
      <c r="DK513"/>
      <c r="DL513"/>
      <c r="DM513"/>
      <c r="DN513"/>
    </row>
    <row r="514" spans="3:118" s="238" customFormat="1" ht="15.75" customHeight="1" x14ac:dyDescent="0.25">
      <c r="C514"/>
      <c r="D514"/>
      <c r="E514"/>
      <c r="F514"/>
      <c r="G514"/>
      <c r="H514"/>
      <c r="I514"/>
      <c r="J514"/>
      <c r="K514"/>
      <c r="L514"/>
      <c r="M514"/>
      <c r="N514"/>
      <c r="O514" s="366"/>
      <c r="P514" s="366">
        <v>2017</v>
      </c>
      <c r="Q514" s="367">
        <f>LARGE($CB$455:$CB$604,60)</f>
        <v>81.900000000000006</v>
      </c>
      <c r="R514" s="357">
        <f t="shared" si="136"/>
        <v>-90.166666666666686</v>
      </c>
      <c r="S514" s="356">
        <f t="shared" si="141"/>
        <v>8130.027777777781</v>
      </c>
      <c r="T514" s="356"/>
      <c r="U514" s="356">
        <f t="shared" si="138"/>
        <v>-5.6354166666666679</v>
      </c>
      <c r="V514" s="238">
        <f t="shared" si="134"/>
        <v>8</v>
      </c>
      <c r="W514" s="354"/>
      <c r="X514" s="366"/>
      <c r="Y514" s="366"/>
      <c r="Z514" s="238">
        <v>2017</v>
      </c>
      <c r="AA514" s="367">
        <f>LARGE($CU$455:$CU$604,60)</f>
        <v>114.5</v>
      </c>
      <c r="AB514" s="357">
        <f t="shared" si="139"/>
        <v>-78.033333333333331</v>
      </c>
      <c r="AC514" s="356">
        <f t="shared" ref="AC514:AC577" si="142">AB514^2</f>
        <v>6089.2011111111105</v>
      </c>
      <c r="AE514" s="356">
        <f t="shared" si="140"/>
        <v>-4.8770833333333332</v>
      </c>
      <c r="AF514" s="238">
        <f t="shared" si="135"/>
        <v>8</v>
      </c>
      <c r="AG514" s="354"/>
      <c r="AK514"/>
      <c r="AL514"/>
      <c r="AM514"/>
      <c r="AN514"/>
      <c r="AO514"/>
      <c r="AP514"/>
      <c r="BI514" s="360"/>
      <c r="BJ514" s="354"/>
      <c r="BK514" s="366">
        <v>2017</v>
      </c>
      <c r="BL514" s="365" t="s">
        <v>1189</v>
      </c>
      <c r="BM514" s="366" t="s">
        <v>144</v>
      </c>
      <c r="BN514" s="366" t="s">
        <v>3</v>
      </c>
      <c r="BO514" s="366">
        <v>0</v>
      </c>
      <c r="BP514" s="366">
        <v>0</v>
      </c>
      <c r="BQ514" s="366">
        <v>0</v>
      </c>
      <c r="BR514" s="366">
        <v>299</v>
      </c>
      <c r="BS514" s="366">
        <v>1</v>
      </c>
      <c r="BT514" s="366">
        <v>30</v>
      </c>
      <c r="BU514" s="366">
        <v>275</v>
      </c>
      <c r="BV514" s="366">
        <v>0</v>
      </c>
      <c r="BW514" s="366">
        <v>0</v>
      </c>
      <c r="BX514" s="366">
        <v>0</v>
      </c>
      <c r="BY514" s="366">
        <v>276</v>
      </c>
      <c r="BZ514" s="366">
        <v>0</v>
      </c>
      <c r="CA514" s="366">
        <v>1</v>
      </c>
      <c r="CB514" s="367">
        <f>IFERROR(BO514/Instructions!$J$25,0)+BP514*Instructions!$J$27+BQ514*Instructions!$J$29+IFERROR(BR514/Instructions!$E$34,0)+BS514*Instructions!$E$36+Tier!BT515*Instructions!$E$25+IFERROR(BU514/Instructions!$E$27,0)+BV514*Instructions!$E$29+IFERROR((BW514+BY514)/Instructions!$J$32,0)+(BX514+BZ514)*Instructions!$J$34+Tier!CA514*-2</f>
        <v>95.4</v>
      </c>
      <c r="CC514" s="354"/>
      <c r="CD514" s="238">
        <v>2017</v>
      </c>
      <c r="CE514" s="365" t="s">
        <v>1262</v>
      </c>
      <c r="CF514" s="366" t="s">
        <v>149</v>
      </c>
      <c r="CG514" s="366" t="s">
        <v>6</v>
      </c>
      <c r="CH514" s="366">
        <v>0</v>
      </c>
      <c r="CI514" s="366">
        <v>0</v>
      </c>
      <c r="CJ514" s="366">
        <v>0</v>
      </c>
      <c r="CK514" s="366">
        <v>6</v>
      </c>
      <c r="CL514" s="366">
        <v>0</v>
      </c>
      <c r="CM514" s="366">
        <v>61</v>
      </c>
      <c r="CN514" s="366">
        <v>631</v>
      </c>
      <c r="CO514" s="366">
        <v>1</v>
      </c>
      <c r="CP514" s="366">
        <v>49</v>
      </c>
      <c r="CQ514" s="366">
        <v>0</v>
      </c>
      <c r="CR514" s="366">
        <v>0</v>
      </c>
      <c r="CS514" s="366">
        <v>0</v>
      </c>
      <c r="CT514" s="366">
        <v>1</v>
      </c>
      <c r="CU514" s="367">
        <f>IFERROR(CH514/Instructions!$J$25,0)+CI514*Instructions!$J$27+CJ514*Instructions!$J$29+IFERROR(CK514/Instructions!$E$34,0)+CL514*Instructions!$E$36+Tier!CM514*Instructions!$E$25+IFERROR(CN514/Instructions!$E$27,0)+CO514*Instructions!$E$29+IFERROR((CP514+CR514)/Instructions!$J$32,0)+(CQ514+CS514)*Instructions!$J$34+Tier!CT514*-2</f>
        <v>128.69999999999999</v>
      </c>
      <c r="CV514" s="354"/>
      <c r="CW514"/>
      <c r="CX514"/>
      <c r="CY514"/>
      <c r="CZ514"/>
      <c r="DA514"/>
      <c r="DB514"/>
      <c r="DC514"/>
      <c r="DD514"/>
      <c r="DE514"/>
      <c r="DF514"/>
      <c r="DG514"/>
      <c r="DH514"/>
      <c r="DI514"/>
      <c r="DJ514"/>
      <c r="DK514"/>
      <c r="DL514"/>
      <c r="DM514"/>
      <c r="DN514"/>
    </row>
    <row r="515" spans="3:118" s="238" customFormat="1" ht="15.75" customHeight="1" x14ac:dyDescent="0.25">
      <c r="C515"/>
      <c r="D515"/>
      <c r="E515"/>
      <c r="F515"/>
      <c r="G515"/>
      <c r="H515"/>
      <c r="I515"/>
      <c r="J515"/>
      <c r="K515"/>
      <c r="L515"/>
      <c r="M515"/>
      <c r="N515"/>
      <c r="O515" s="366"/>
      <c r="P515" s="366">
        <v>2017</v>
      </c>
      <c r="Q515" s="367">
        <f>LARGE($CB$455:$CB$604,61)</f>
        <v>80.300000000000011</v>
      </c>
      <c r="R515" s="357">
        <f t="shared" si="136"/>
        <v>-91.76666666666668</v>
      </c>
      <c r="S515" s="356">
        <f t="shared" si="141"/>
        <v>8421.1211111111134</v>
      </c>
      <c r="T515" s="356"/>
      <c r="U515" s="356">
        <f t="shared" si="138"/>
        <v>-5.7354166666666675</v>
      </c>
      <c r="V515" s="238">
        <f t="shared" ref="V515:V578" si="143">IF(U515&gt;6,0,
IF(AND(U515&lt;=6,U515&gt;5),1,
IF(AND(U515&lt;=5,U515&gt;4),2,
IF(AND(U515&lt;=4,U515&gt;3),3,
IF(AND(U515&lt;=3,U515&gt;2),4,
IF(AND(U515&lt;=2,U515&gt;1),5,
IF(AND(U515&lt;=1,U515&gt;0),6,
IF(AND(U515&lt;=0,U515&gt;-1),7,
8))))))))</f>
        <v>8</v>
      </c>
      <c r="W515" s="354"/>
      <c r="X515" s="366"/>
      <c r="Y515" s="366"/>
      <c r="Z515" s="238">
        <v>2017</v>
      </c>
      <c r="AA515" s="367">
        <f>LARGE($CU$455:$CU$604,61)</f>
        <v>113.19999999999999</v>
      </c>
      <c r="AB515" s="357">
        <f t="shared" si="139"/>
        <v>-79.333333333333343</v>
      </c>
      <c r="AC515" s="356">
        <f t="shared" si="142"/>
        <v>6293.7777777777792</v>
      </c>
      <c r="AE515" s="356">
        <f t="shared" si="140"/>
        <v>-4.9583333333333339</v>
      </c>
      <c r="AF515" s="238">
        <f t="shared" ref="AF515:AF578" si="144">IF(AE515&gt;6,0,
IF(AND(AE515&lt;=6,AE515&gt;5),1,
IF(AND(AE515&lt;=5,AE515&gt;4),2,
IF(AND(AE515&lt;=4,AE515&gt;3),3,
IF(AND(AE515&lt;=3,AE515&gt;2),4,
IF(AND(AE515&lt;=2,AE515&gt;1),5,
IF(AND(AE515&lt;=1,AE515&gt;0),6,
IF(AND(AE515&lt;=0,AE515&gt;-1),7,
8))))))))</f>
        <v>8</v>
      </c>
      <c r="AG515" s="354"/>
      <c r="AK515"/>
      <c r="AL515"/>
      <c r="AM515"/>
      <c r="AN515"/>
      <c r="AO515"/>
      <c r="AP515"/>
      <c r="BI515" s="360"/>
      <c r="BJ515" s="354"/>
      <c r="BK515" s="366">
        <v>2017</v>
      </c>
      <c r="BL515" s="365" t="s">
        <v>1608</v>
      </c>
      <c r="BM515" s="366" t="s">
        <v>140</v>
      </c>
      <c r="BN515" s="366" t="s">
        <v>3</v>
      </c>
      <c r="BO515" s="366">
        <v>0</v>
      </c>
      <c r="BP515" s="366">
        <v>0</v>
      </c>
      <c r="BQ515" s="366">
        <v>0</v>
      </c>
      <c r="BR515" s="366">
        <v>187</v>
      </c>
      <c r="BS515" s="366">
        <v>1</v>
      </c>
      <c r="BT515" s="366">
        <v>34</v>
      </c>
      <c r="BU515" s="366">
        <v>266</v>
      </c>
      <c r="BV515" s="366">
        <v>2</v>
      </c>
      <c r="BW515" s="366">
        <v>0</v>
      </c>
      <c r="BX515" s="366">
        <v>0</v>
      </c>
      <c r="BY515" s="366">
        <v>0</v>
      </c>
      <c r="BZ515" s="366">
        <v>0</v>
      </c>
      <c r="CA515" s="366">
        <v>0</v>
      </c>
      <c r="CB515" s="367">
        <f>IFERROR(BO515/Instructions!$J$25,0)+BP515*Instructions!$J$27+BQ515*Instructions!$J$29+IFERROR(BR515/Instructions!$E$34,0)+BS515*Instructions!$E$36+Tier!BT516*Instructions!$E$25+IFERROR(BU515/Instructions!$E$27,0)+BV515*Instructions!$E$29+IFERROR((BW515+BY515)/Instructions!$J$32,0)+(BX515+BZ515)*Instructions!$J$34+Tier!CA515*-2</f>
        <v>80.300000000000011</v>
      </c>
      <c r="CC515" s="354"/>
      <c r="CD515" s="238">
        <v>2017</v>
      </c>
      <c r="CE515" s="365" t="s">
        <v>88</v>
      </c>
      <c r="CF515" s="366" t="s">
        <v>144</v>
      </c>
      <c r="CG515" s="366" t="s">
        <v>6</v>
      </c>
      <c r="CH515" s="366">
        <v>0</v>
      </c>
      <c r="CI515" s="366">
        <v>0</v>
      </c>
      <c r="CJ515" s="366">
        <v>0</v>
      </c>
      <c r="CK515" s="366">
        <v>0</v>
      </c>
      <c r="CL515" s="366">
        <v>0</v>
      </c>
      <c r="CM515" s="366">
        <v>47</v>
      </c>
      <c r="CN515" s="366">
        <v>555</v>
      </c>
      <c r="CO515" s="366">
        <v>2</v>
      </c>
      <c r="CP515" s="366">
        <v>-2</v>
      </c>
      <c r="CQ515" s="366">
        <v>0</v>
      </c>
      <c r="CR515" s="366">
        <v>0</v>
      </c>
      <c r="CS515" s="366">
        <v>0</v>
      </c>
      <c r="CT515" s="366">
        <v>0</v>
      </c>
      <c r="CU515" s="367">
        <f>IFERROR(CH515/Instructions!$J$25,0)+CI515*Instructions!$J$27+CJ515*Instructions!$J$29+IFERROR(CK515/Instructions!$E$34,0)+CL515*Instructions!$E$36+Tier!CM515*Instructions!$E$25+IFERROR(CN515/Instructions!$E$27,0)+CO515*Instructions!$E$29+IFERROR((CP515+CR515)/Instructions!$J$32,0)+(CQ515+CS515)*Instructions!$J$34+Tier!CT515*-2</f>
        <v>114.5</v>
      </c>
      <c r="CV515" s="354"/>
      <c r="CW515"/>
      <c r="CX515"/>
      <c r="CY515"/>
      <c r="CZ515"/>
      <c r="DA515"/>
      <c r="DB515"/>
      <c r="DC515"/>
      <c r="DD515"/>
      <c r="DE515"/>
      <c r="DF515"/>
      <c r="DG515"/>
      <c r="DH515"/>
      <c r="DI515"/>
      <c r="DJ515"/>
      <c r="DK515"/>
      <c r="DL515"/>
      <c r="DM515"/>
      <c r="DN515"/>
    </row>
    <row r="516" spans="3:118" s="238" customFormat="1" ht="15.75" customHeight="1" x14ac:dyDescent="0.25">
      <c r="C516"/>
      <c r="D516"/>
      <c r="E516"/>
      <c r="F516"/>
      <c r="G516"/>
      <c r="H516"/>
      <c r="I516"/>
      <c r="J516"/>
      <c r="K516"/>
      <c r="L516"/>
      <c r="M516"/>
      <c r="N516"/>
      <c r="O516" s="366"/>
      <c r="P516" s="366">
        <v>2017</v>
      </c>
      <c r="Q516" s="367">
        <f>LARGE($CB$455:$CB$604,62)</f>
        <v>78.7</v>
      </c>
      <c r="R516" s="357">
        <f t="shared" si="136"/>
        <v>-93.366666666666688</v>
      </c>
      <c r="S516" s="356">
        <f t="shared" si="141"/>
        <v>8717.3344444444483</v>
      </c>
      <c r="U516" s="356">
        <f t="shared" si="138"/>
        <v>-5.835416666666668</v>
      </c>
      <c r="V516" s="238">
        <f t="shared" si="143"/>
        <v>8</v>
      </c>
      <c r="W516" s="354"/>
      <c r="X516" s="366"/>
      <c r="Y516" s="366"/>
      <c r="Z516" s="238">
        <v>2017</v>
      </c>
      <c r="AA516" s="367">
        <f>LARGE($CU$455:$CU$604,62)</f>
        <v>111.3</v>
      </c>
      <c r="AB516" s="357">
        <f t="shared" si="139"/>
        <v>-81.233333333333334</v>
      </c>
      <c r="AC516" s="356">
        <f t="shared" si="142"/>
        <v>6598.8544444444442</v>
      </c>
      <c r="AE516" s="356">
        <f t="shared" si="140"/>
        <v>-5.0770833333333334</v>
      </c>
      <c r="AF516" s="238">
        <f t="shared" si="144"/>
        <v>8</v>
      </c>
      <c r="AG516" s="354"/>
      <c r="AK516"/>
      <c r="AL516"/>
      <c r="AM516"/>
      <c r="AN516"/>
      <c r="AO516"/>
      <c r="AP516"/>
      <c r="BI516" s="360"/>
      <c r="BJ516" s="354"/>
      <c r="BK516" s="366">
        <v>2017</v>
      </c>
      <c r="BL516" s="365" t="s">
        <v>1418</v>
      </c>
      <c r="BM516" s="366" t="s">
        <v>164</v>
      </c>
      <c r="BN516" s="366" t="s">
        <v>3</v>
      </c>
      <c r="BO516" s="366">
        <v>0</v>
      </c>
      <c r="BP516" s="366">
        <v>0</v>
      </c>
      <c r="BQ516" s="366">
        <v>0</v>
      </c>
      <c r="BR516" s="366">
        <v>315</v>
      </c>
      <c r="BS516" s="366">
        <v>1</v>
      </c>
      <c r="BT516" s="366">
        <v>17</v>
      </c>
      <c r="BU516" s="366">
        <v>177</v>
      </c>
      <c r="BV516" s="366">
        <v>1</v>
      </c>
      <c r="BW516" s="366">
        <v>10</v>
      </c>
      <c r="BX516" s="366">
        <v>0</v>
      </c>
      <c r="BY516" s="366">
        <v>83</v>
      </c>
      <c r="BZ516" s="366">
        <v>0</v>
      </c>
      <c r="CA516" s="366">
        <v>2</v>
      </c>
      <c r="CB516" s="367">
        <f>IFERROR(BO516/Instructions!$J$25,0)+BP516*Instructions!$J$27+BQ516*Instructions!$J$29+IFERROR(BR516/Instructions!$E$34,0)+BS516*Instructions!$E$36+Tier!BT517*Instructions!$E$25+IFERROR(BU516/Instructions!$E$27,0)+BV516*Instructions!$E$29+IFERROR((BW516+BY516)/Instructions!$J$32,0)+(BX516+BZ516)*Instructions!$J$34+Tier!CA516*-2</f>
        <v>87.2</v>
      </c>
      <c r="CC516" s="354"/>
      <c r="CD516" s="238">
        <v>2017</v>
      </c>
      <c r="CE516" s="365" t="s">
        <v>89</v>
      </c>
      <c r="CF516" s="366" t="s">
        <v>141</v>
      </c>
      <c r="CG516" s="366" t="s">
        <v>6</v>
      </c>
      <c r="CH516" s="366">
        <v>0</v>
      </c>
      <c r="CI516" s="366">
        <v>0</v>
      </c>
      <c r="CJ516" s="366">
        <v>0</v>
      </c>
      <c r="CK516" s="366">
        <v>0</v>
      </c>
      <c r="CL516" s="366">
        <v>0</v>
      </c>
      <c r="CM516" s="366">
        <v>59</v>
      </c>
      <c r="CN516" s="366">
        <v>614</v>
      </c>
      <c r="CO516" s="366">
        <v>1</v>
      </c>
      <c r="CP516" s="366">
        <v>0</v>
      </c>
      <c r="CQ516" s="366">
        <v>0</v>
      </c>
      <c r="CR516" s="366">
        <v>0</v>
      </c>
      <c r="CS516" s="366">
        <v>0</v>
      </c>
      <c r="CT516" s="366">
        <v>0</v>
      </c>
      <c r="CU516" s="367">
        <f>IFERROR(CH516/Instructions!$J$25,0)+CI516*Instructions!$J$27+CJ516*Instructions!$J$29+IFERROR(CK516/Instructions!$E$34,0)+CL516*Instructions!$E$36+Tier!CM516*Instructions!$E$25+IFERROR(CN516/Instructions!$E$27,0)+CO516*Instructions!$E$29+IFERROR((CP516+CR516)/Instructions!$J$32,0)+(CQ516+CS516)*Instructions!$J$34+Tier!CT516*-2</f>
        <v>126.4</v>
      </c>
      <c r="CV516" s="354"/>
      <c r="CW516"/>
      <c r="CX516"/>
      <c r="CY516"/>
      <c r="CZ516"/>
      <c r="DA516"/>
      <c r="DB516"/>
      <c r="DC516"/>
      <c r="DD516"/>
      <c r="DE516"/>
      <c r="DF516"/>
      <c r="DG516"/>
      <c r="DH516"/>
      <c r="DI516"/>
      <c r="DJ516"/>
      <c r="DK516"/>
      <c r="DL516"/>
      <c r="DM516"/>
      <c r="DN516"/>
    </row>
    <row r="517" spans="3:118" s="238" customFormat="1" ht="15.75" customHeight="1" x14ac:dyDescent="0.25">
      <c r="C517"/>
      <c r="D517"/>
      <c r="E517"/>
      <c r="F517"/>
      <c r="G517"/>
      <c r="H517"/>
      <c r="I517"/>
      <c r="J517"/>
      <c r="K517"/>
      <c r="L517"/>
      <c r="M517"/>
      <c r="N517"/>
      <c r="O517" s="366"/>
      <c r="P517" s="366">
        <v>2017</v>
      </c>
      <c r="Q517" s="367">
        <f>LARGE($CB$455:$CB$604,63)</f>
        <v>75.400000000000006</v>
      </c>
      <c r="R517" s="357">
        <f t="shared" si="136"/>
        <v>-96.666666666666686</v>
      </c>
      <c r="S517" s="356">
        <f t="shared" si="141"/>
        <v>9344.4444444444489</v>
      </c>
      <c r="U517" s="356">
        <f t="shared" si="138"/>
        <v>-6.0416666666666679</v>
      </c>
      <c r="V517" s="238">
        <f t="shared" si="143"/>
        <v>8</v>
      </c>
      <c r="W517" s="354"/>
      <c r="X517" s="366"/>
      <c r="Y517" s="366"/>
      <c r="Z517" s="238">
        <v>2017</v>
      </c>
      <c r="AA517" s="367">
        <f>LARGE($CU$455:$CU$604,63)</f>
        <v>109.6</v>
      </c>
      <c r="AB517" s="357">
        <f t="shared" si="139"/>
        <v>-82.933333333333337</v>
      </c>
      <c r="AC517" s="356">
        <f t="shared" si="142"/>
        <v>6877.9377777777781</v>
      </c>
      <c r="AE517" s="356">
        <f t="shared" si="140"/>
        <v>-5.1833333333333336</v>
      </c>
      <c r="AF517" s="238">
        <f t="shared" si="144"/>
        <v>8</v>
      </c>
      <c r="AG517" s="354"/>
      <c r="AK517"/>
      <c r="AL517"/>
      <c r="AM517"/>
      <c r="AN517"/>
      <c r="AO517"/>
      <c r="AP517"/>
      <c r="BI517" s="360"/>
      <c r="BJ517" s="354"/>
      <c r="BK517" s="366">
        <v>2017</v>
      </c>
      <c r="BL517" s="365" t="s">
        <v>1128</v>
      </c>
      <c r="BM517" s="366" t="s">
        <v>165</v>
      </c>
      <c r="BN517" s="366" t="s">
        <v>3</v>
      </c>
      <c r="BO517" s="366">
        <v>0</v>
      </c>
      <c r="BP517" s="366">
        <v>0</v>
      </c>
      <c r="BQ517" s="366">
        <v>0</v>
      </c>
      <c r="BR517" s="366">
        <v>253</v>
      </c>
      <c r="BS517" s="366">
        <v>2</v>
      </c>
      <c r="BT517" s="366">
        <v>30</v>
      </c>
      <c r="BU517" s="366">
        <v>224</v>
      </c>
      <c r="BV517" s="366">
        <v>0</v>
      </c>
      <c r="BW517" s="366">
        <v>0</v>
      </c>
      <c r="BX517" s="366">
        <v>0</v>
      </c>
      <c r="BY517" s="366">
        <v>0</v>
      </c>
      <c r="BZ517" s="366">
        <v>0</v>
      </c>
      <c r="CA517" s="366">
        <v>1</v>
      </c>
      <c r="CB517" s="367">
        <f>IFERROR(BO517/Instructions!$J$25,0)+BP517*Instructions!$J$27+BQ517*Instructions!$J$29+IFERROR(BR517/Instructions!$E$34,0)+BS517*Instructions!$E$36+Tier!BT518*Instructions!$E$25+IFERROR(BU517/Instructions!$E$27,0)+BV517*Instructions!$E$29+IFERROR((BW517+BY517)/Instructions!$J$32,0)+(BX517+BZ517)*Instructions!$J$34+Tier!CA517*-2</f>
        <v>67.699999999999989</v>
      </c>
      <c r="CC517" s="354"/>
      <c r="CD517" s="238">
        <v>2017</v>
      </c>
      <c r="CE517" s="365" t="s">
        <v>1259</v>
      </c>
      <c r="CF517" s="366" t="s">
        <v>141</v>
      </c>
      <c r="CG517" s="366" t="s">
        <v>6</v>
      </c>
      <c r="CH517" s="366">
        <v>0</v>
      </c>
      <c r="CI517" s="366">
        <v>0</v>
      </c>
      <c r="CJ517" s="366">
        <v>0</v>
      </c>
      <c r="CK517" s="366">
        <v>-5</v>
      </c>
      <c r="CL517" s="366">
        <v>0</v>
      </c>
      <c r="CM517" s="366">
        <v>38</v>
      </c>
      <c r="CN517" s="366">
        <v>555</v>
      </c>
      <c r="CO517" s="366">
        <v>2</v>
      </c>
      <c r="CP517" s="366">
        <v>0</v>
      </c>
      <c r="CQ517" s="366">
        <v>0</v>
      </c>
      <c r="CR517" s="366">
        <v>229</v>
      </c>
      <c r="CS517" s="366">
        <v>0</v>
      </c>
      <c r="CT517" s="366">
        <v>0</v>
      </c>
      <c r="CU517" s="367">
        <f>IFERROR(CH517/Instructions!$J$25,0)+CI517*Instructions!$J$27+CJ517*Instructions!$J$29+IFERROR(CK517/Instructions!$E$34,0)+CL517*Instructions!$E$36+Tier!CM517*Instructions!$E$25+IFERROR(CN517/Instructions!$E$27,0)+CO517*Instructions!$E$29+IFERROR((CP517+CR517)/Instructions!$J$32,0)+(CQ517+CS517)*Instructions!$J$34+Tier!CT517*-2</f>
        <v>105</v>
      </c>
      <c r="CV517" s="354"/>
      <c r="CW517"/>
      <c r="CX517"/>
      <c r="CY517"/>
      <c r="CZ517"/>
      <c r="DA517"/>
      <c r="DB517"/>
      <c r="DC517"/>
      <c r="DD517"/>
      <c r="DE517"/>
      <c r="DF517"/>
      <c r="DG517"/>
      <c r="DH517"/>
      <c r="DI517"/>
      <c r="DJ517"/>
      <c r="DK517"/>
      <c r="DL517"/>
      <c r="DM517"/>
      <c r="DN517"/>
    </row>
    <row r="518" spans="3:118" s="238" customFormat="1" ht="15.75" customHeight="1" x14ac:dyDescent="0.25">
      <c r="C518"/>
      <c r="D518"/>
      <c r="E518"/>
      <c r="F518"/>
      <c r="G518"/>
      <c r="H518"/>
      <c r="I518"/>
      <c r="J518"/>
      <c r="K518"/>
      <c r="L518"/>
      <c r="M518"/>
      <c r="N518"/>
      <c r="O518" s="366"/>
      <c r="P518" s="366">
        <v>2017</v>
      </c>
      <c r="Q518" s="367">
        <f>LARGE($CB$455:$CB$604,64)</f>
        <v>74</v>
      </c>
      <c r="R518" s="357">
        <f t="shared" si="136"/>
        <v>-98.066666666666691</v>
      </c>
      <c r="S518" s="356">
        <f t="shared" si="141"/>
        <v>9617.0711111111159</v>
      </c>
      <c r="U518" s="356">
        <f t="shared" si="138"/>
        <v>-6.1291666666666682</v>
      </c>
      <c r="V518" s="238">
        <f t="shared" si="143"/>
        <v>8</v>
      </c>
      <c r="W518" s="354"/>
      <c r="X518" s="366"/>
      <c r="Y518" s="366"/>
      <c r="Z518" s="238">
        <v>2017</v>
      </c>
      <c r="AA518" s="367">
        <f>LARGE($CU$455:$CU$604,64)</f>
        <v>105</v>
      </c>
      <c r="AB518" s="357">
        <f t="shared" si="139"/>
        <v>-87.533333333333331</v>
      </c>
      <c r="AC518" s="356">
        <f t="shared" si="142"/>
        <v>7662.0844444444438</v>
      </c>
      <c r="AE518" s="356">
        <f t="shared" si="140"/>
        <v>-5.4708333333333332</v>
      </c>
      <c r="AF518" s="238">
        <f t="shared" si="144"/>
        <v>8</v>
      </c>
      <c r="AG518" s="354"/>
      <c r="AK518"/>
      <c r="AL518"/>
      <c r="AM518"/>
      <c r="AN518"/>
      <c r="AO518"/>
      <c r="AP518"/>
      <c r="BI518" s="360"/>
      <c r="BJ518" s="354"/>
      <c r="BK518" s="366">
        <v>2017</v>
      </c>
      <c r="BL518" s="365" t="s">
        <v>1239</v>
      </c>
      <c r="BM518" s="366" t="s">
        <v>153</v>
      </c>
      <c r="BN518" s="366" t="s">
        <v>3</v>
      </c>
      <c r="BO518" s="366">
        <v>0</v>
      </c>
      <c r="BP518" s="366">
        <v>0</v>
      </c>
      <c r="BQ518" s="366">
        <v>0</v>
      </c>
      <c r="BR518" s="366">
        <v>426</v>
      </c>
      <c r="BS518" s="366">
        <v>1</v>
      </c>
      <c r="BT518" s="366">
        <v>10</v>
      </c>
      <c r="BU518" s="366">
        <v>93</v>
      </c>
      <c r="BV518" s="366">
        <v>0</v>
      </c>
      <c r="BW518" s="366">
        <v>137</v>
      </c>
      <c r="BX518" s="366">
        <v>0</v>
      </c>
      <c r="BY518" s="366">
        <v>326</v>
      </c>
      <c r="BZ518" s="366">
        <v>0</v>
      </c>
      <c r="CA518" s="366">
        <v>0</v>
      </c>
      <c r="CB518" s="367">
        <f>IFERROR(BO518/Instructions!$J$25,0)+BP518*Instructions!$J$27+BQ518*Instructions!$J$29+IFERROR(BR518/Instructions!$E$34,0)+BS518*Instructions!$E$36+Tier!BT519*Instructions!$E$25+IFERROR(BU518/Instructions!$E$27,0)+BV518*Instructions!$E$29+IFERROR((BW518+BY518)/Instructions!$J$32,0)+(BX518+BZ518)*Instructions!$J$34+Tier!CA518*-2</f>
        <v>68.900000000000006</v>
      </c>
      <c r="CC518" s="354"/>
      <c r="CD518" s="238">
        <v>2017</v>
      </c>
      <c r="CE518" s="365" t="s">
        <v>1430</v>
      </c>
      <c r="CF518" s="366" t="s">
        <v>142</v>
      </c>
      <c r="CG518" s="366" t="s">
        <v>6</v>
      </c>
      <c r="CH518" s="366">
        <v>0</v>
      </c>
      <c r="CI518" s="366">
        <v>0</v>
      </c>
      <c r="CJ518" s="366">
        <v>0</v>
      </c>
      <c r="CK518" s="366">
        <v>9</v>
      </c>
      <c r="CL518" s="366">
        <v>0</v>
      </c>
      <c r="CM518" s="366">
        <v>28</v>
      </c>
      <c r="CN518" s="366">
        <v>477</v>
      </c>
      <c r="CO518" s="366">
        <v>3</v>
      </c>
      <c r="CP518" s="366">
        <v>0</v>
      </c>
      <c r="CQ518" s="366">
        <v>0</v>
      </c>
      <c r="CR518" s="366">
        <v>0</v>
      </c>
      <c r="CS518" s="366">
        <v>0</v>
      </c>
      <c r="CT518" s="366">
        <v>0</v>
      </c>
      <c r="CU518" s="367">
        <f>IFERROR(CH518/Instructions!$J$25,0)+CI518*Instructions!$J$27+CJ518*Instructions!$J$29+IFERROR(CK518/Instructions!$E$34,0)+CL518*Instructions!$E$36+Tier!CM518*Instructions!$E$25+IFERROR(CN518/Instructions!$E$27,0)+CO518*Instructions!$E$29+IFERROR((CP518+CR518)/Instructions!$J$32,0)+(CQ518+CS518)*Instructions!$J$34+Tier!CT518*-2</f>
        <v>94.6</v>
      </c>
      <c r="CV518" s="354"/>
      <c r="CW518"/>
      <c r="CX518"/>
      <c r="CY518"/>
      <c r="CZ518"/>
      <c r="DA518"/>
      <c r="DB518"/>
      <c r="DC518"/>
      <c r="DD518"/>
      <c r="DE518"/>
      <c r="DF518"/>
      <c r="DG518"/>
      <c r="DH518"/>
      <c r="DI518"/>
      <c r="DJ518"/>
      <c r="DK518"/>
      <c r="DL518"/>
      <c r="DM518"/>
      <c r="DN518"/>
    </row>
    <row r="519" spans="3:118" s="238" customFormat="1" ht="15.75" customHeight="1" x14ac:dyDescent="0.25">
      <c r="C519"/>
      <c r="D519"/>
      <c r="E519"/>
      <c r="F519"/>
      <c r="G519"/>
      <c r="H519"/>
      <c r="I519"/>
      <c r="J519"/>
      <c r="K519"/>
      <c r="L519"/>
      <c r="M519"/>
      <c r="N519"/>
      <c r="O519" s="366"/>
      <c r="P519" s="366">
        <v>2017</v>
      </c>
      <c r="Q519" s="367">
        <f>LARGE($CB$455:$CB$604,65)</f>
        <v>72.599999999999994</v>
      </c>
      <c r="R519" s="357">
        <f t="shared" si="136"/>
        <v>-99.466666666666697</v>
      </c>
      <c r="S519" s="356">
        <f t="shared" si="141"/>
        <v>9893.617777777783</v>
      </c>
      <c r="U519" s="356">
        <f t="shared" si="138"/>
        <v>-6.2166666666666686</v>
      </c>
      <c r="V519" s="238">
        <f t="shared" si="143"/>
        <v>8</v>
      </c>
      <c r="W519" s="354"/>
      <c r="X519" s="366"/>
      <c r="Y519" s="366"/>
      <c r="Z519" s="238">
        <v>2017</v>
      </c>
      <c r="AA519" s="367">
        <f>LARGE($CU$455:$CU$604,65)</f>
        <v>102.7</v>
      </c>
      <c r="AB519" s="357">
        <f t="shared" si="139"/>
        <v>-89.833333333333329</v>
      </c>
      <c r="AC519" s="356">
        <f t="shared" si="142"/>
        <v>8070.0277777777774</v>
      </c>
      <c r="AE519" s="356">
        <f t="shared" si="140"/>
        <v>-5.614583333333333</v>
      </c>
      <c r="AF519" s="238">
        <f t="shared" si="144"/>
        <v>8</v>
      </c>
      <c r="AG519" s="354"/>
      <c r="AK519"/>
      <c r="AL519"/>
      <c r="AM519"/>
      <c r="AN519"/>
      <c r="AO519"/>
      <c r="AP519"/>
      <c r="BI519" s="360"/>
      <c r="BJ519" s="354"/>
      <c r="BK519" s="366">
        <v>2017</v>
      </c>
      <c r="BL519" s="365" t="s">
        <v>1425</v>
      </c>
      <c r="BM519" s="366" t="s">
        <v>138</v>
      </c>
      <c r="BN519" s="366" t="s">
        <v>3</v>
      </c>
      <c r="BO519" s="366">
        <v>0</v>
      </c>
      <c r="BP519" s="366">
        <v>0</v>
      </c>
      <c r="BQ519" s="366">
        <v>0</v>
      </c>
      <c r="BR519" s="366">
        <v>354</v>
      </c>
      <c r="BS519" s="366">
        <v>2</v>
      </c>
      <c r="BT519" s="366">
        <v>11</v>
      </c>
      <c r="BU519" s="366">
        <v>90</v>
      </c>
      <c r="BV519" s="366">
        <v>0</v>
      </c>
      <c r="BW519" s="366">
        <v>0</v>
      </c>
      <c r="BX519" s="366">
        <v>0</v>
      </c>
      <c r="BY519" s="366">
        <v>0</v>
      </c>
      <c r="BZ519" s="366">
        <v>0</v>
      </c>
      <c r="CA519" s="366">
        <v>1</v>
      </c>
      <c r="CB519" s="367">
        <f>IFERROR(BO519/Instructions!$J$25,0)+BP519*Instructions!$J$27+BQ519*Instructions!$J$29+IFERROR(BR519/Instructions!$E$34,0)+BS519*Instructions!$E$36+Tier!BT520*Instructions!$E$25+IFERROR(BU519/Instructions!$E$27,0)+BV519*Instructions!$E$29+IFERROR((BW519+BY519)/Instructions!$J$32,0)+(BX519+BZ519)*Instructions!$J$34+Tier!CA519*-2</f>
        <v>60.4</v>
      </c>
      <c r="CC519" s="354"/>
      <c r="CD519" s="238">
        <v>2017</v>
      </c>
      <c r="CE519" s="365" t="s">
        <v>1125</v>
      </c>
      <c r="CF519" s="366" t="s">
        <v>153</v>
      </c>
      <c r="CG519" s="366" t="s">
        <v>6</v>
      </c>
      <c r="CH519" s="366">
        <v>0</v>
      </c>
      <c r="CI519" s="366">
        <v>0</v>
      </c>
      <c r="CJ519" s="366">
        <v>0</v>
      </c>
      <c r="CK519" s="366">
        <v>37</v>
      </c>
      <c r="CL519" s="366">
        <v>0</v>
      </c>
      <c r="CM519" s="366">
        <v>29</v>
      </c>
      <c r="CN519" s="366">
        <v>504</v>
      </c>
      <c r="CO519" s="366">
        <v>2</v>
      </c>
      <c r="CP519" s="366">
        <v>0</v>
      </c>
      <c r="CQ519" s="366">
        <v>0</v>
      </c>
      <c r="CR519" s="366">
        <v>0</v>
      </c>
      <c r="CS519" s="366">
        <v>0</v>
      </c>
      <c r="CT519" s="366">
        <v>1</v>
      </c>
      <c r="CU519" s="367">
        <f>IFERROR(CH519/Instructions!$J$25,0)+CI519*Instructions!$J$27+CJ519*Instructions!$J$29+IFERROR(CK519/Instructions!$E$34,0)+CL519*Instructions!$E$36+Tier!CM519*Instructions!$E$25+IFERROR(CN519/Instructions!$E$27,0)+CO519*Instructions!$E$29+IFERROR((CP519+CR519)/Instructions!$J$32,0)+(CQ519+CS519)*Instructions!$J$34+Tier!CT519*-2</f>
        <v>93.1</v>
      </c>
      <c r="CV519" s="354"/>
      <c r="CW519"/>
      <c r="CX519"/>
      <c r="CY519"/>
      <c r="CZ519"/>
      <c r="DA519"/>
      <c r="DB519"/>
      <c r="DC519"/>
      <c r="DD519"/>
      <c r="DE519"/>
      <c r="DF519"/>
      <c r="DG519"/>
      <c r="DH519"/>
      <c r="DI519"/>
      <c r="DJ519"/>
      <c r="DK519"/>
      <c r="DL519"/>
      <c r="DM519"/>
      <c r="DN519"/>
    </row>
    <row r="520" spans="3:118" s="238" customFormat="1" ht="15.75" customHeight="1" x14ac:dyDescent="0.25">
      <c r="C520"/>
      <c r="D520"/>
      <c r="E520"/>
      <c r="F520"/>
      <c r="G520"/>
      <c r="H520"/>
      <c r="I520"/>
      <c r="J520"/>
      <c r="K520"/>
      <c r="L520"/>
      <c r="M520"/>
      <c r="N520"/>
      <c r="O520" s="366"/>
      <c r="P520" s="366">
        <v>2017</v>
      </c>
      <c r="Q520" s="367">
        <f>LARGE($CB$455:$CB$604,66)</f>
        <v>72</v>
      </c>
      <c r="R520" s="357">
        <f t="shared" ref="R520:R583" si="145">Q520-$T$465</f>
        <v>-100.06666666666669</v>
      </c>
      <c r="S520" s="356">
        <f t="shared" si="141"/>
        <v>10013.337777777782</v>
      </c>
      <c r="U520" s="356">
        <f t="shared" ref="U520:U583" si="146">R520/$T$455</f>
        <v>-6.2541666666666682</v>
      </c>
      <c r="V520" s="238">
        <f t="shared" si="143"/>
        <v>8</v>
      </c>
      <c r="W520" s="354"/>
      <c r="X520" s="366"/>
      <c r="Y520" s="366"/>
      <c r="Z520" s="238">
        <v>2017</v>
      </c>
      <c r="AA520" s="367">
        <f>LARGE($CU$455:$CU$604,66)</f>
        <v>102</v>
      </c>
      <c r="AB520" s="357">
        <f t="shared" ref="AB520:AB583" si="147">$AA520-$AD$465</f>
        <v>-90.533333333333331</v>
      </c>
      <c r="AC520" s="356">
        <f t="shared" si="142"/>
        <v>8196.2844444444436</v>
      </c>
      <c r="AE520" s="356">
        <f t="shared" ref="AE520:AE583" si="148">AB520/$AD$455</f>
        <v>-5.6583333333333332</v>
      </c>
      <c r="AF520" s="238">
        <f t="shared" si="144"/>
        <v>8</v>
      </c>
      <c r="AG520" s="354"/>
      <c r="AK520"/>
      <c r="AL520"/>
      <c r="AM520"/>
      <c r="AN520"/>
      <c r="AO520"/>
      <c r="AP520"/>
      <c r="BI520" s="360"/>
      <c r="BJ520" s="354"/>
      <c r="BK520" s="366">
        <v>2017</v>
      </c>
      <c r="BL520" s="365" t="s">
        <v>1771</v>
      </c>
      <c r="BM520" s="366" t="s">
        <v>151</v>
      </c>
      <c r="BN520" s="366" t="s">
        <v>3</v>
      </c>
      <c r="BO520" s="366">
        <v>0</v>
      </c>
      <c r="BP520" s="366">
        <v>0</v>
      </c>
      <c r="BQ520" s="366">
        <v>0</v>
      </c>
      <c r="BR520" s="366">
        <v>327</v>
      </c>
      <c r="BS520" s="366">
        <v>2</v>
      </c>
      <c r="BT520" s="366">
        <v>6</v>
      </c>
      <c r="BU520" s="366">
        <v>83</v>
      </c>
      <c r="BV520" s="366">
        <v>0</v>
      </c>
      <c r="BW520" s="366">
        <v>0</v>
      </c>
      <c r="BX520" s="366">
        <v>0</v>
      </c>
      <c r="BY520" s="366">
        <v>12</v>
      </c>
      <c r="BZ520" s="366">
        <v>0</v>
      </c>
      <c r="CA520" s="366">
        <v>1</v>
      </c>
      <c r="CB520" s="367">
        <f>IFERROR(BO520/Instructions!$J$25,0)+BP520*Instructions!$J$27+BQ520*Instructions!$J$29+IFERROR(BR520/Instructions!$E$34,0)+BS520*Instructions!$E$36+Tier!BT521*Instructions!$E$25+IFERROR(BU520/Instructions!$E$27,0)+BV520*Instructions!$E$29+IFERROR((BW520+BY520)/Instructions!$J$32,0)+(BX520+BZ520)*Instructions!$J$34+Tier!CA520*-2</f>
        <v>85</v>
      </c>
      <c r="CC520" s="354"/>
      <c r="CD520" s="238">
        <v>2017</v>
      </c>
      <c r="CE520" s="365" t="s">
        <v>93</v>
      </c>
      <c r="CF520" s="366" t="s">
        <v>163</v>
      </c>
      <c r="CG520" s="366" t="s">
        <v>6</v>
      </c>
      <c r="CH520" s="366">
        <v>0</v>
      </c>
      <c r="CI520" s="366">
        <v>0</v>
      </c>
      <c r="CJ520" s="366">
        <v>0</v>
      </c>
      <c r="CK520" s="366">
        <v>0</v>
      </c>
      <c r="CL520" s="366">
        <v>0</v>
      </c>
      <c r="CM520" s="366">
        <v>54</v>
      </c>
      <c r="CN520" s="366">
        <v>563</v>
      </c>
      <c r="CO520" s="366">
        <v>1</v>
      </c>
      <c r="CP520" s="366">
        <v>0</v>
      </c>
      <c r="CQ520" s="366">
        <v>0</v>
      </c>
      <c r="CR520" s="366">
        <v>22</v>
      </c>
      <c r="CS520" s="366">
        <v>0</v>
      </c>
      <c r="CT520" s="366">
        <v>0</v>
      </c>
      <c r="CU520" s="367">
        <f>IFERROR(CH520/Instructions!$J$25,0)+CI520*Instructions!$J$27+CJ520*Instructions!$J$29+IFERROR(CK520/Instructions!$E$34,0)+CL520*Instructions!$E$36+Tier!CM520*Instructions!$E$25+IFERROR(CN520/Instructions!$E$27,0)+CO520*Instructions!$E$29+IFERROR((CP520+CR520)/Instructions!$J$32,0)+(CQ520+CS520)*Instructions!$J$34+Tier!CT520*-2</f>
        <v>116.3</v>
      </c>
      <c r="CV520" s="354"/>
      <c r="CW520"/>
      <c r="CX520"/>
      <c r="CY520"/>
      <c r="CZ520"/>
      <c r="DA520"/>
      <c r="DB520"/>
      <c r="DC520"/>
      <c r="DD520"/>
      <c r="DE520"/>
      <c r="DF520"/>
      <c r="DG520"/>
      <c r="DH520"/>
      <c r="DI520"/>
      <c r="DJ520"/>
      <c r="DK520"/>
      <c r="DL520"/>
      <c r="DM520"/>
      <c r="DN520"/>
    </row>
    <row r="521" spans="3:118" s="238" customFormat="1" ht="15.75" customHeight="1" x14ac:dyDescent="0.25">
      <c r="C521"/>
      <c r="D521"/>
      <c r="E521"/>
      <c r="F521"/>
      <c r="G521"/>
      <c r="H521"/>
      <c r="I521"/>
      <c r="J521"/>
      <c r="K521"/>
      <c r="L521"/>
      <c r="M521"/>
      <c r="N521"/>
      <c r="O521" s="366"/>
      <c r="P521" s="366">
        <v>2017</v>
      </c>
      <c r="Q521" s="367">
        <f>LARGE($CB$455:$CB$604,67)</f>
        <v>72</v>
      </c>
      <c r="R521" s="357">
        <f t="shared" si="145"/>
        <v>-100.06666666666669</v>
      </c>
      <c r="S521" s="356">
        <f t="shared" si="141"/>
        <v>10013.337777777782</v>
      </c>
      <c r="U521" s="356">
        <f t="shared" si="146"/>
        <v>-6.2541666666666682</v>
      </c>
      <c r="V521" s="238">
        <f t="shared" si="143"/>
        <v>8</v>
      </c>
      <c r="W521" s="354"/>
      <c r="X521" s="366"/>
      <c r="Y521" s="366"/>
      <c r="Z521" s="238">
        <v>2017</v>
      </c>
      <c r="AA521" s="367">
        <f>LARGE($CU$455:$CU$604,67)</f>
        <v>99.4</v>
      </c>
      <c r="AB521" s="357">
        <f t="shared" si="147"/>
        <v>-93.133333333333326</v>
      </c>
      <c r="AC521" s="356">
        <f t="shared" si="142"/>
        <v>8673.8177777777764</v>
      </c>
      <c r="AE521" s="356">
        <f t="shared" si="148"/>
        <v>-5.8208333333333329</v>
      </c>
      <c r="AF521" s="238">
        <f t="shared" si="144"/>
        <v>8</v>
      </c>
      <c r="AG521" s="354"/>
      <c r="AK521"/>
      <c r="AL521"/>
      <c r="AM521"/>
      <c r="AN521"/>
      <c r="AO521"/>
      <c r="AP521"/>
      <c r="BI521" s="360"/>
      <c r="BJ521" s="354"/>
      <c r="BK521" s="366">
        <v>2017</v>
      </c>
      <c r="BL521" s="365" t="s">
        <v>1195</v>
      </c>
      <c r="BM521" s="366" t="s">
        <v>167</v>
      </c>
      <c r="BN521" s="366" t="s">
        <v>3</v>
      </c>
      <c r="BO521" s="366">
        <v>0</v>
      </c>
      <c r="BP521" s="366">
        <v>0</v>
      </c>
      <c r="BQ521" s="366">
        <v>0</v>
      </c>
      <c r="BR521" s="366">
        <v>153</v>
      </c>
      <c r="BS521" s="366">
        <v>2</v>
      </c>
      <c r="BT521" s="366">
        <v>34</v>
      </c>
      <c r="BU521" s="366">
        <v>197</v>
      </c>
      <c r="BV521" s="366">
        <v>1</v>
      </c>
      <c r="BW521" s="366">
        <v>0</v>
      </c>
      <c r="BX521" s="366">
        <v>0</v>
      </c>
      <c r="BY521" s="366">
        <v>86</v>
      </c>
      <c r="BZ521" s="366">
        <v>0</v>
      </c>
      <c r="CA521" s="366">
        <v>1</v>
      </c>
      <c r="CB521" s="367">
        <f>IFERROR(BO521/Instructions!$J$25,0)+BP521*Instructions!$J$27+BQ521*Instructions!$J$29+IFERROR(BR521/Instructions!$E$34,0)+BS521*Instructions!$E$36+Tier!BT522*Instructions!$E$25+IFERROR(BU521/Instructions!$E$27,0)+BV521*Instructions!$E$29+IFERROR((BW521+BY521)/Instructions!$J$32,0)+(BX521+BZ521)*Instructions!$J$34+Tier!CA521*-2</f>
        <v>74</v>
      </c>
      <c r="CC521" s="354"/>
      <c r="CD521" s="238">
        <v>2017</v>
      </c>
      <c r="CE521" s="365" t="s">
        <v>86</v>
      </c>
      <c r="CF521" s="366" t="s">
        <v>162</v>
      </c>
      <c r="CG521" s="366" t="s">
        <v>6</v>
      </c>
      <c r="CH521" s="366">
        <v>0</v>
      </c>
      <c r="CI521" s="366">
        <v>0</v>
      </c>
      <c r="CJ521" s="366">
        <v>0</v>
      </c>
      <c r="CK521" s="366">
        <v>0</v>
      </c>
      <c r="CL521" s="366">
        <v>0</v>
      </c>
      <c r="CM521" s="366">
        <v>40</v>
      </c>
      <c r="CN521" s="366">
        <v>440</v>
      </c>
      <c r="CO521" s="366">
        <v>3</v>
      </c>
      <c r="CP521" s="366">
        <v>0</v>
      </c>
      <c r="CQ521" s="366">
        <v>0</v>
      </c>
      <c r="CR521" s="366">
        <v>0</v>
      </c>
      <c r="CS521" s="366">
        <v>0</v>
      </c>
      <c r="CT521" s="366">
        <v>0</v>
      </c>
      <c r="CU521" s="367">
        <f>IFERROR(CH521/Instructions!$J$25,0)+CI521*Instructions!$J$27+CJ521*Instructions!$J$29+IFERROR(CK521/Instructions!$E$34,0)+CL521*Instructions!$E$36+Tier!CM521*Instructions!$E$25+IFERROR(CN521/Instructions!$E$27,0)+CO521*Instructions!$E$29+IFERROR((CP521+CR521)/Instructions!$J$32,0)+(CQ521+CS521)*Instructions!$J$34+Tier!CT521*-2</f>
        <v>102</v>
      </c>
      <c r="CV521" s="354"/>
      <c r="CW521"/>
      <c r="CX521"/>
      <c r="CY521"/>
      <c r="CZ521"/>
      <c r="DA521"/>
      <c r="DB521"/>
      <c r="DC521"/>
      <c r="DD521"/>
      <c r="DE521"/>
      <c r="DF521"/>
      <c r="DG521"/>
      <c r="DH521"/>
      <c r="DI521"/>
      <c r="DJ521"/>
      <c r="DK521"/>
      <c r="DL521"/>
      <c r="DM521"/>
      <c r="DN521"/>
    </row>
    <row r="522" spans="3:118" s="238" customFormat="1" ht="15.75" customHeight="1" x14ac:dyDescent="0.25">
      <c r="C522"/>
      <c r="D522"/>
      <c r="E522"/>
      <c r="F522"/>
      <c r="G522"/>
      <c r="H522"/>
      <c r="I522"/>
      <c r="J522"/>
      <c r="K522"/>
      <c r="L522"/>
      <c r="M522"/>
      <c r="N522"/>
      <c r="O522" s="366"/>
      <c r="P522" s="366">
        <v>2017</v>
      </c>
      <c r="Q522" s="367">
        <f>LARGE($CB$455:$CB$604,68)</f>
        <v>71.899999999999991</v>
      </c>
      <c r="R522" s="357">
        <f t="shared" si="145"/>
        <v>-100.1666666666667</v>
      </c>
      <c r="S522" s="356">
        <f t="shared" si="141"/>
        <v>10033.361111111119</v>
      </c>
      <c r="U522" s="356">
        <f t="shared" si="146"/>
        <v>-6.2604166666666687</v>
      </c>
      <c r="V522" s="238">
        <f t="shared" si="143"/>
        <v>8</v>
      </c>
      <c r="W522" s="354"/>
      <c r="X522" s="366"/>
      <c r="Y522" s="366"/>
      <c r="Z522" s="238">
        <v>2017</v>
      </c>
      <c r="AA522" s="367">
        <f>LARGE($CU$455:$CU$604,68)</f>
        <v>96</v>
      </c>
      <c r="AB522" s="357">
        <f t="shared" si="147"/>
        <v>-96.533333333333331</v>
      </c>
      <c r="AC522" s="356">
        <f t="shared" si="142"/>
        <v>9318.6844444444432</v>
      </c>
      <c r="AE522" s="356">
        <f t="shared" si="148"/>
        <v>-6.0333333333333332</v>
      </c>
      <c r="AF522" s="238">
        <f t="shared" si="144"/>
        <v>8</v>
      </c>
      <c r="AG522" s="354"/>
      <c r="AK522"/>
      <c r="AL522"/>
      <c r="AM522"/>
      <c r="AN522"/>
      <c r="AO522"/>
      <c r="AP522"/>
      <c r="BI522" s="360"/>
      <c r="BJ522" s="354"/>
      <c r="BK522" s="366">
        <v>2017</v>
      </c>
      <c r="BL522" s="365" t="s">
        <v>4</v>
      </c>
      <c r="BM522" s="366" t="s">
        <v>144</v>
      </c>
      <c r="BN522" s="366" t="s">
        <v>3</v>
      </c>
      <c r="BO522" s="366">
        <v>0</v>
      </c>
      <c r="BP522" s="366">
        <v>0</v>
      </c>
      <c r="BQ522" s="366">
        <v>0</v>
      </c>
      <c r="BR522" s="366">
        <v>296</v>
      </c>
      <c r="BS522" s="366">
        <v>1</v>
      </c>
      <c r="BT522" s="366">
        <v>23</v>
      </c>
      <c r="BU522" s="366">
        <v>129</v>
      </c>
      <c r="BV522" s="366">
        <v>0</v>
      </c>
      <c r="BW522" s="366">
        <v>0</v>
      </c>
      <c r="BX522" s="366">
        <v>0</v>
      </c>
      <c r="BY522" s="366">
        <v>0</v>
      </c>
      <c r="BZ522" s="366">
        <v>0</v>
      </c>
      <c r="CA522" s="366">
        <v>2</v>
      </c>
      <c r="CB522" s="367">
        <f>IFERROR(BO522/Instructions!$J$25,0)+BP522*Instructions!$J$27+BQ522*Instructions!$J$29+IFERROR(BR522/Instructions!$E$34,0)+BS522*Instructions!$E$36+Tier!BT523*Instructions!$E$25+IFERROR(BU522/Instructions!$E$27,0)+BV522*Instructions!$E$29+IFERROR((BW522+BY522)/Instructions!$J$32,0)+(BX522+BZ522)*Instructions!$J$34+Tier!CA522*-2</f>
        <v>83.5</v>
      </c>
      <c r="CC522" s="354"/>
      <c r="CD522" s="238">
        <v>2017</v>
      </c>
      <c r="CE522" s="365" t="s">
        <v>1082</v>
      </c>
      <c r="CF522" s="366" t="s">
        <v>165</v>
      </c>
      <c r="CG522" s="366" t="s">
        <v>6</v>
      </c>
      <c r="CH522" s="366">
        <v>0</v>
      </c>
      <c r="CI522" s="366">
        <v>0</v>
      </c>
      <c r="CJ522" s="366">
        <v>0</v>
      </c>
      <c r="CK522" s="366">
        <v>0</v>
      </c>
      <c r="CL522" s="366">
        <v>0</v>
      </c>
      <c r="CM522" s="366">
        <v>39</v>
      </c>
      <c r="CN522" s="366">
        <v>484</v>
      </c>
      <c r="CO522" s="366">
        <v>2</v>
      </c>
      <c r="CP522" s="366">
        <v>0</v>
      </c>
      <c r="CQ522" s="366">
        <v>0</v>
      </c>
      <c r="CR522" s="366">
        <v>0</v>
      </c>
      <c r="CS522" s="366">
        <v>0</v>
      </c>
      <c r="CT522" s="366">
        <v>0</v>
      </c>
      <c r="CU522" s="367">
        <f>IFERROR(CH522/Instructions!$J$25,0)+CI522*Instructions!$J$27+CJ522*Instructions!$J$29+IFERROR(CK522/Instructions!$E$34,0)+CL522*Instructions!$E$36+Tier!CM522*Instructions!$E$25+IFERROR(CN522/Instructions!$E$27,0)+CO522*Instructions!$E$29+IFERROR((CP522+CR522)/Instructions!$J$32,0)+(CQ522+CS522)*Instructions!$J$34+Tier!CT522*-2</f>
        <v>99.4</v>
      </c>
      <c r="CV522" s="354"/>
      <c r="CW522"/>
      <c r="CX522"/>
      <c r="CY522"/>
      <c r="CZ522"/>
      <c r="DA522"/>
      <c r="DB522"/>
      <c r="DC522"/>
      <c r="DD522"/>
      <c r="DE522"/>
      <c r="DF522"/>
      <c r="DG522"/>
      <c r="DH522"/>
      <c r="DI522"/>
      <c r="DJ522"/>
      <c r="DK522"/>
      <c r="DL522"/>
      <c r="DM522"/>
      <c r="DN522"/>
    </row>
    <row r="523" spans="3:118" s="238" customFormat="1" ht="15.75" customHeight="1" x14ac:dyDescent="0.25">
      <c r="C523"/>
      <c r="D523"/>
      <c r="E523"/>
      <c r="F523"/>
      <c r="G523"/>
      <c r="H523"/>
      <c r="I523"/>
      <c r="J523"/>
      <c r="K523"/>
      <c r="L523"/>
      <c r="M523"/>
      <c r="N523"/>
      <c r="O523" s="366"/>
      <c r="P523" s="366">
        <v>2017</v>
      </c>
      <c r="Q523" s="367">
        <f>LARGE($CB$455:$CB$604,69)</f>
        <v>71.599999999999994</v>
      </c>
      <c r="R523" s="357">
        <f t="shared" si="145"/>
        <v>-100.4666666666667</v>
      </c>
      <c r="S523" s="356">
        <f t="shared" si="141"/>
        <v>10093.551111111117</v>
      </c>
      <c r="U523" s="356">
        <f t="shared" si="146"/>
        <v>-6.2791666666666686</v>
      </c>
      <c r="V523" s="238">
        <f t="shared" si="143"/>
        <v>8</v>
      </c>
      <c r="W523" s="354"/>
      <c r="X523" s="366"/>
      <c r="Y523" s="366"/>
      <c r="Z523" s="238">
        <v>2017</v>
      </c>
      <c r="AA523" s="367">
        <f>LARGE($CU$455:$CU$604,69)</f>
        <v>94.6</v>
      </c>
      <c r="AB523" s="357">
        <f t="shared" si="147"/>
        <v>-97.933333333333337</v>
      </c>
      <c r="AC523" s="356">
        <f t="shared" si="142"/>
        <v>9590.937777777779</v>
      </c>
      <c r="AE523" s="356">
        <f t="shared" si="148"/>
        <v>-6.1208333333333336</v>
      </c>
      <c r="AF523" s="238">
        <f t="shared" si="144"/>
        <v>8</v>
      </c>
      <c r="AG523" s="354"/>
      <c r="AK523"/>
      <c r="AL523"/>
      <c r="AM523"/>
      <c r="AN523"/>
      <c r="AO523"/>
      <c r="AP523"/>
      <c r="BI523" s="360"/>
      <c r="BJ523" s="354"/>
      <c r="BK523" s="366">
        <v>2017</v>
      </c>
      <c r="BL523" s="365" t="s">
        <v>64</v>
      </c>
      <c r="BM523" s="366" t="s">
        <v>153</v>
      </c>
      <c r="BN523" s="366" t="s">
        <v>3</v>
      </c>
      <c r="BO523" s="366">
        <v>0</v>
      </c>
      <c r="BP523" s="366">
        <v>0</v>
      </c>
      <c r="BQ523" s="366">
        <v>0</v>
      </c>
      <c r="BR523" s="366">
        <v>55</v>
      </c>
      <c r="BS523" s="366">
        <v>1</v>
      </c>
      <c r="BT523" s="366">
        <v>39</v>
      </c>
      <c r="BU523" s="366">
        <v>369</v>
      </c>
      <c r="BV523" s="366">
        <v>0</v>
      </c>
      <c r="BW523" s="366">
        <v>0</v>
      </c>
      <c r="BX523" s="366">
        <v>0</v>
      </c>
      <c r="BY523" s="366">
        <v>0</v>
      </c>
      <c r="BZ523" s="366">
        <v>0</v>
      </c>
      <c r="CA523" s="366">
        <v>0</v>
      </c>
      <c r="CB523" s="367">
        <f>IFERROR(BO523/Instructions!$J$25,0)+BP523*Instructions!$J$27+BQ523*Instructions!$J$29+IFERROR(BR523/Instructions!$E$34,0)+BS523*Instructions!$E$36+Tier!BT524*Instructions!$E$25+IFERROR(BU523/Instructions!$E$27,0)+BV523*Instructions!$E$29+IFERROR((BW523+BY523)/Instructions!$J$32,0)+(BX523+BZ523)*Instructions!$J$34+Tier!CA523*-2</f>
        <v>75.400000000000006</v>
      </c>
      <c r="CC523" s="354"/>
      <c r="CD523" s="238">
        <v>2017</v>
      </c>
      <c r="CE523" s="365" t="s">
        <v>1434</v>
      </c>
      <c r="CF523" s="366" t="s">
        <v>149</v>
      </c>
      <c r="CG523" s="366" t="s">
        <v>6</v>
      </c>
      <c r="CH523" s="366">
        <v>0</v>
      </c>
      <c r="CI523" s="366">
        <v>0</v>
      </c>
      <c r="CJ523" s="366">
        <v>0</v>
      </c>
      <c r="CK523" s="366">
        <v>0</v>
      </c>
      <c r="CL523" s="366">
        <v>0</v>
      </c>
      <c r="CM523" s="366">
        <v>34</v>
      </c>
      <c r="CN523" s="366">
        <v>525</v>
      </c>
      <c r="CO523" s="366">
        <v>1</v>
      </c>
      <c r="CP523" s="366">
        <v>0</v>
      </c>
      <c r="CQ523" s="366">
        <v>0</v>
      </c>
      <c r="CR523" s="366">
        <v>0</v>
      </c>
      <c r="CS523" s="366">
        <v>0</v>
      </c>
      <c r="CT523" s="366">
        <v>0</v>
      </c>
      <c r="CU523" s="367">
        <f>IFERROR(CH523/Instructions!$J$25,0)+CI523*Instructions!$J$27+CJ523*Instructions!$J$29+IFERROR(CK523/Instructions!$E$34,0)+CL523*Instructions!$E$36+Tier!CM523*Instructions!$E$25+IFERROR(CN523/Instructions!$E$27,0)+CO523*Instructions!$E$29+IFERROR((CP523+CR523)/Instructions!$J$32,0)+(CQ523+CS523)*Instructions!$J$34+Tier!CT523*-2</f>
        <v>92.5</v>
      </c>
      <c r="CV523" s="354"/>
      <c r="CW523"/>
      <c r="CX523"/>
      <c r="CY523"/>
      <c r="CZ523"/>
      <c r="DA523"/>
      <c r="DB523"/>
      <c r="DC523"/>
      <c r="DD523"/>
      <c r="DE523"/>
      <c r="DF523"/>
      <c r="DG523"/>
      <c r="DH523"/>
      <c r="DI523"/>
      <c r="DJ523"/>
      <c r="DK523"/>
      <c r="DL523"/>
      <c r="DM523"/>
      <c r="DN523"/>
    </row>
    <row r="524" spans="3:118" s="238" customFormat="1" ht="15.75" customHeight="1" x14ac:dyDescent="0.25">
      <c r="C524"/>
      <c r="D524"/>
      <c r="E524"/>
      <c r="F524"/>
      <c r="G524"/>
      <c r="H524"/>
      <c r="I524"/>
      <c r="J524"/>
      <c r="K524"/>
      <c r="L524"/>
      <c r="M524"/>
      <c r="N524"/>
      <c r="O524" s="366"/>
      <c r="P524" s="366">
        <v>2017</v>
      </c>
      <c r="Q524" s="367">
        <f>LARGE($CB$455:$CB$604,70)</f>
        <v>68.900000000000006</v>
      </c>
      <c r="R524" s="357">
        <f t="shared" si="145"/>
        <v>-103.16666666666669</v>
      </c>
      <c r="S524" s="356">
        <f t="shared" si="141"/>
        <v>10643.361111111115</v>
      </c>
      <c r="U524" s="356">
        <f t="shared" si="146"/>
        <v>-6.4479166666666679</v>
      </c>
      <c r="V524" s="238">
        <f t="shared" si="143"/>
        <v>8</v>
      </c>
      <c r="W524" s="354"/>
      <c r="X524" s="366"/>
      <c r="Y524" s="366"/>
      <c r="Z524" s="238">
        <v>2017</v>
      </c>
      <c r="AA524" s="367">
        <f>LARGE($CU$455:$CU$604,70)</f>
        <v>93.1</v>
      </c>
      <c r="AB524" s="357">
        <f t="shared" si="147"/>
        <v>-99.433333333333337</v>
      </c>
      <c r="AC524" s="356">
        <f t="shared" si="142"/>
        <v>9886.9877777777783</v>
      </c>
      <c r="AE524" s="356">
        <f t="shared" si="148"/>
        <v>-6.2145833333333336</v>
      </c>
      <c r="AF524" s="238">
        <f t="shared" si="144"/>
        <v>8</v>
      </c>
      <c r="AG524" s="354"/>
      <c r="AK524"/>
      <c r="AL524"/>
      <c r="AM524"/>
      <c r="AN524"/>
      <c r="AO524"/>
      <c r="AP524"/>
      <c r="BI524" s="360"/>
      <c r="BJ524" s="354"/>
      <c r="BK524" s="366">
        <v>2017</v>
      </c>
      <c r="BL524" s="365" t="s">
        <v>1175</v>
      </c>
      <c r="BM524" s="366" t="s">
        <v>136</v>
      </c>
      <c r="BN524" s="366" t="s">
        <v>3</v>
      </c>
      <c r="BO524" s="366">
        <v>0</v>
      </c>
      <c r="BP524" s="366">
        <v>0</v>
      </c>
      <c r="BQ524" s="366">
        <v>0</v>
      </c>
      <c r="BR524" s="366">
        <v>72</v>
      </c>
      <c r="BS524" s="366">
        <v>2</v>
      </c>
      <c r="BT524" s="366">
        <v>27</v>
      </c>
      <c r="BU524" s="366">
        <v>150</v>
      </c>
      <c r="BV524" s="366">
        <v>2</v>
      </c>
      <c r="BW524" s="366">
        <v>0</v>
      </c>
      <c r="BX524" s="366">
        <v>0</v>
      </c>
      <c r="BY524" s="366">
        <v>37</v>
      </c>
      <c r="BZ524" s="366">
        <v>0</v>
      </c>
      <c r="CA524" s="366">
        <v>0</v>
      </c>
      <c r="CB524" s="367">
        <f>IFERROR(BO524/Instructions!$J$25,0)+BP524*Instructions!$J$27+BQ524*Instructions!$J$29+IFERROR(BR524/Instructions!$E$34,0)+BS524*Instructions!$E$36+Tier!BT525*Instructions!$E$25+IFERROR(BU524/Instructions!$E$27,0)+BV524*Instructions!$E$29+IFERROR((BW524+BY524)/Instructions!$J$32,0)+(BX524+BZ524)*Instructions!$J$34+Tier!CA524*-2</f>
        <v>90.2</v>
      </c>
      <c r="CC524" s="354"/>
      <c r="CD524" s="238">
        <v>2017</v>
      </c>
      <c r="CE524" s="365" t="s">
        <v>96</v>
      </c>
      <c r="CF524" s="366" t="s">
        <v>146</v>
      </c>
      <c r="CG524" s="366" t="s">
        <v>6</v>
      </c>
      <c r="CH524" s="366">
        <v>0</v>
      </c>
      <c r="CI524" s="366">
        <v>0</v>
      </c>
      <c r="CJ524" s="366">
        <v>0</v>
      </c>
      <c r="CK524" s="366">
        <v>15</v>
      </c>
      <c r="CL524" s="366">
        <v>0</v>
      </c>
      <c r="CM524" s="366">
        <v>53</v>
      </c>
      <c r="CN524" s="366">
        <v>568</v>
      </c>
      <c r="CO524" s="366">
        <v>0</v>
      </c>
      <c r="CP524" s="366">
        <v>0</v>
      </c>
      <c r="CQ524" s="366">
        <v>0</v>
      </c>
      <c r="CR524" s="366">
        <v>0</v>
      </c>
      <c r="CS524" s="366">
        <v>0</v>
      </c>
      <c r="CT524" s="366">
        <v>0</v>
      </c>
      <c r="CU524" s="367">
        <f>IFERROR(CH524/Instructions!$J$25,0)+CI524*Instructions!$J$27+CJ524*Instructions!$J$29+IFERROR(CK524/Instructions!$E$34,0)+CL524*Instructions!$E$36+Tier!CM524*Instructions!$E$25+IFERROR(CN524/Instructions!$E$27,0)+CO524*Instructions!$E$29+IFERROR((CP524+CR524)/Instructions!$J$32,0)+(CQ524+CS524)*Instructions!$J$34+Tier!CT524*-2</f>
        <v>111.3</v>
      </c>
      <c r="CV524" s="354"/>
      <c r="CW524"/>
      <c r="CX524"/>
      <c r="CY524"/>
      <c r="CZ524"/>
      <c r="DA524"/>
      <c r="DB524"/>
      <c r="DC524"/>
      <c r="DD524"/>
      <c r="DE524"/>
      <c r="DF524"/>
      <c r="DG524"/>
      <c r="DH524"/>
      <c r="DI524"/>
      <c r="DJ524"/>
      <c r="DK524"/>
      <c r="DL524"/>
      <c r="DM524"/>
      <c r="DN524"/>
    </row>
    <row r="525" spans="3:118" s="238" customFormat="1" ht="15.75" customHeight="1" x14ac:dyDescent="0.25">
      <c r="C525"/>
      <c r="D525"/>
      <c r="E525"/>
      <c r="F525"/>
      <c r="G525"/>
      <c r="H525"/>
      <c r="I525"/>
      <c r="J525"/>
      <c r="K525"/>
      <c r="L525"/>
      <c r="M525"/>
      <c r="N525"/>
      <c r="O525" s="366"/>
      <c r="P525" s="366">
        <v>2017</v>
      </c>
      <c r="Q525" s="367">
        <f>LARGE($CB$455:$CB$604,71)</f>
        <v>67.699999999999989</v>
      </c>
      <c r="R525" s="357">
        <f t="shared" si="145"/>
        <v>-104.3666666666667</v>
      </c>
      <c r="S525" s="356">
        <f t="shared" si="141"/>
        <v>10892.401111111119</v>
      </c>
      <c r="U525" s="356">
        <f t="shared" si="146"/>
        <v>-6.5229166666666689</v>
      </c>
      <c r="V525" s="238">
        <f t="shared" si="143"/>
        <v>8</v>
      </c>
      <c r="W525" s="354"/>
      <c r="X525" s="366"/>
      <c r="Y525" s="366"/>
      <c r="Z525" s="238">
        <v>2017</v>
      </c>
      <c r="AA525" s="367">
        <f>LARGE($CU$455:$CU$604,71)</f>
        <v>92.5</v>
      </c>
      <c r="AB525" s="357">
        <f t="shared" si="147"/>
        <v>-100.03333333333333</v>
      </c>
      <c r="AC525" s="356">
        <f t="shared" si="142"/>
        <v>10006.667777777777</v>
      </c>
      <c r="AE525" s="356">
        <f t="shared" si="148"/>
        <v>-6.2520833333333332</v>
      </c>
      <c r="AF525" s="238">
        <f t="shared" si="144"/>
        <v>8</v>
      </c>
      <c r="AG525" s="354"/>
      <c r="AK525"/>
      <c r="AL525"/>
      <c r="AM525"/>
      <c r="AN525"/>
      <c r="AO525"/>
      <c r="AP525"/>
      <c r="BI525" s="360"/>
      <c r="BJ525" s="354"/>
      <c r="BK525" s="366">
        <v>2017</v>
      </c>
      <c r="BL525" s="365" t="s">
        <v>82</v>
      </c>
      <c r="BM525" s="366" t="s">
        <v>154</v>
      </c>
      <c r="BN525" s="366" t="s">
        <v>3</v>
      </c>
      <c r="BO525" s="366">
        <v>0</v>
      </c>
      <c r="BP525" s="366">
        <v>0</v>
      </c>
      <c r="BQ525" s="366">
        <v>0</v>
      </c>
      <c r="BR525" s="366">
        <v>164</v>
      </c>
      <c r="BS525" s="366">
        <v>0</v>
      </c>
      <c r="BT525" s="366">
        <v>44</v>
      </c>
      <c r="BU525" s="366">
        <v>253</v>
      </c>
      <c r="BV525" s="366">
        <v>0</v>
      </c>
      <c r="BW525" s="366">
        <v>0</v>
      </c>
      <c r="BX525" s="366">
        <v>0</v>
      </c>
      <c r="BY525" s="366">
        <v>196</v>
      </c>
      <c r="BZ525" s="366">
        <v>0</v>
      </c>
      <c r="CA525" s="366">
        <v>0</v>
      </c>
      <c r="CB525" s="367">
        <f>IFERROR(BO525/Instructions!$J$25,0)+BP525*Instructions!$J$27+BQ525*Instructions!$J$29+IFERROR(BR525/Instructions!$E$34,0)+BS525*Instructions!$E$36+Tier!BT526*Instructions!$E$25+IFERROR(BU525/Instructions!$E$27,0)+BV525*Instructions!$E$29+IFERROR((BW525+BY525)/Instructions!$J$32,0)+(BX525+BZ525)*Instructions!$J$34+Tier!CA525*-2</f>
        <v>44.7</v>
      </c>
      <c r="CC525" s="354"/>
      <c r="CD525" s="238">
        <v>2017</v>
      </c>
      <c r="CE525" s="365" t="s">
        <v>197</v>
      </c>
      <c r="CF525" s="366" t="s">
        <v>146</v>
      </c>
      <c r="CG525" s="366" t="s">
        <v>6</v>
      </c>
      <c r="CH525" s="366">
        <v>0</v>
      </c>
      <c r="CI525" s="366">
        <v>0</v>
      </c>
      <c r="CJ525" s="366">
        <v>0</v>
      </c>
      <c r="CK525" s="366">
        <v>0</v>
      </c>
      <c r="CL525" s="366">
        <v>0</v>
      </c>
      <c r="CM525" s="366">
        <v>36</v>
      </c>
      <c r="CN525" s="366">
        <v>314</v>
      </c>
      <c r="CO525" s="366">
        <v>4</v>
      </c>
      <c r="CP525" s="366">
        <v>19</v>
      </c>
      <c r="CQ525" s="366">
        <v>0</v>
      </c>
      <c r="CR525" s="366">
        <v>0</v>
      </c>
      <c r="CS525" s="366">
        <v>0</v>
      </c>
      <c r="CT525" s="366">
        <v>0</v>
      </c>
      <c r="CU525" s="367">
        <f>IFERROR(CH525/Instructions!$J$25,0)+CI525*Instructions!$J$27+CJ525*Instructions!$J$29+IFERROR(CK525/Instructions!$E$34,0)+CL525*Instructions!$E$36+Tier!CM525*Instructions!$E$25+IFERROR(CN525/Instructions!$E$27,0)+CO525*Instructions!$E$29+IFERROR((CP525+CR525)/Instructions!$J$32,0)+(CQ525+CS525)*Instructions!$J$34+Tier!CT525*-2</f>
        <v>91.4</v>
      </c>
      <c r="CV525" s="354"/>
      <c r="CW525"/>
      <c r="CX525"/>
      <c r="CY525"/>
      <c r="CZ525"/>
      <c r="DA525"/>
      <c r="DB525"/>
      <c r="DC525"/>
      <c r="DD525"/>
      <c r="DE525"/>
      <c r="DF525"/>
      <c r="DG525"/>
      <c r="DH525"/>
      <c r="DI525"/>
      <c r="DJ525"/>
      <c r="DK525"/>
      <c r="DL525"/>
      <c r="DM525"/>
      <c r="DN525"/>
    </row>
    <row r="526" spans="3:118" s="238" customFormat="1" ht="15.75" customHeight="1" x14ac:dyDescent="0.25">
      <c r="C526"/>
      <c r="D526"/>
      <c r="E526"/>
      <c r="F526"/>
      <c r="G526"/>
      <c r="H526"/>
      <c r="I526"/>
      <c r="J526"/>
      <c r="K526"/>
      <c r="L526"/>
      <c r="M526"/>
      <c r="N526"/>
      <c r="O526" s="366"/>
      <c r="P526" s="366">
        <v>2017</v>
      </c>
      <c r="Q526" s="367">
        <f>LARGE($CB$455:$CB$604,72)</f>
        <v>60.4</v>
      </c>
      <c r="R526" s="357">
        <f t="shared" si="145"/>
        <v>-111.66666666666669</v>
      </c>
      <c r="S526" s="356">
        <f t="shared" si="141"/>
        <v>12469.444444444449</v>
      </c>
      <c r="U526" s="356">
        <f t="shared" si="146"/>
        <v>-6.9791666666666679</v>
      </c>
      <c r="V526" s="238">
        <f t="shared" si="143"/>
        <v>8</v>
      </c>
      <c r="W526" s="354"/>
      <c r="X526" s="366"/>
      <c r="Y526" s="366"/>
      <c r="Z526" s="238">
        <v>2017</v>
      </c>
      <c r="AA526" s="367">
        <f>LARGE($CU$455:$CU$604,72)</f>
        <v>91.4</v>
      </c>
      <c r="AB526" s="357">
        <f t="shared" si="147"/>
        <v>-101.13333333333333</v>
      </c>
      <c r="AC526" s="356">
        <f t="shared" si="142"/>
        <v>10227.95111111111</v>
      </c>
      <c r="AE526" s="356">
        <f t="shared" si="148"/>
        <v>-6.3208333333333329</v>
      </c>
      <c r="AF526" s="238">
        <f t="shared" si="144"/>
        <v>8</v>
      </c>
      <c r="AG526" s="354"/>
      <c r="AK526"/>
      <c r="AL526"/>
      <c r="AM526"/>
      <c r="AN526"/>
      <c r="AO526"/>
      <c r="AP526"/>
      <c r="BI526" s="360"/>
      <c r="BJ526" s="354"/>
      <c r="BK526" s="366">
        <v>2017</v>
      </c>
      <c r="BL526" s="365" t="s">
        <v>1313</v>
      </c>
      <c r="BM526" s="366" t="s">
        <v>165</v>
      </c>
      <c r="BN526" s="366" t="s">
        <v>3</v>
      </c>
      <c r="BO526" s="366">
        <v>0</v>
      </c>
      <c r="BP526" s="366">
        <v>0</v>
      </c>
      <c r="BQ526" s="366">
        <v>0</v>
      </c>
      <c r="BR526" s="366">
        <v>248</v>
      </c>
      <c r="BS526" s="366">
        <v>2</v>
      </c>
      <c r="BT526" s="366">
        <v>3</v>
      </c>
      <c r="BU526" s="366">
        <v>41</v>
      </c>
      <c r="BV526" s="366">
        <v>0</v>
      </c>
      <c r="BW526" s="366">
        <v>6</v>
      </c>
      <c r="BX526" s="366">
        <v>0</v>
      </c>
      <c r="BY526" s="366">
        <v>473</v>
      </c>
      <c r="BZ526" s="366">
        <v>0</v>
      </c>
      <c r="CA526" s="366">
        <v>1</v>
      </c>
      <c r="CB526" s="367">
        <f>IFERROR(BO526/Instructions!$J$25,0)+BP526*Instructions!$J$27+BQ526*Instructions!$J$29+IFERROR(BR526/Instructions!$E$34,0)+BS526*Instructions!$E$36+Tier!BT527*Instructions!$E$25+IFERROR(BU526/Instructions!$E$27,0)+BV526*Instructions!$E$29+IFERROR((BW526+BY526)/Instructions!$J$32,0)+(BX526+BZ526)*Instructions!$J$34+Tier!CA526*-2</f>
        <v>71.899999999999991</v>
      </c>
      <c r="CC526" s="354"/>
      <c r="CD526" s="238">
        <v>2017</v>
      </c>
      <c r="CE526" s="365" t="s">
        <v>76</v>
      </c>
      <c r="CF526" s="366" t="s">
        <v>167</v>
      </c>
      <c r="CG526" s="366" t="s">
        <v>6</v>
      </c>
      <c r="CH526" s="366">
        <v>0</v>
      </c>
      <c r="CI526" s="366">
        <v>0</v>
      </c>
      <c r="CJ526" s="366">
        <v>0</v>
      </c>
      <c r="CK526" s="366">
        <v>121</v>
      </c>
      <c r="CL526" s="366">
        <v>2</v>
      </c>
      <c r="CM526" s="366">
        <v>31</v>
      </c>
      <c r="CN526" s="366">
        <v>309</v>
      </c>
      <c r="CO526" s="366">
        <v>0</v>
      </c>
      <c r="CP526" s="366">
        <v>0</v>
      </c>
      <c r="CQ526" s="366">
        <v>0</v>
      </c>
      <c r="CR526" s="366">
        <v>538</v>
      </c>
      <c r="CS526" s="366">
        <v>0</v>
      </c>
      <c r="CT526" s="366">
        <v>0</v>
      </c>
      <c r="CU526" s="367">
        <f>IFERROR(CH526/Instructions!$J$25,0)+CI526*Instructions!$J$27+CJ526*Instructions!$J$29+IFERROR(CK526/Instructions!$E$34,0)+CL526*Instructions!$E$36+Tier!CM526*Instructions!$E$25+IFERROR(CN526/Instructions!$E$27,0)+CO526*Instructions!$E$29+IFERROR((CP526+CR526)/Instructions!$J$32,0)+(CQ526+CS526)*Instructions!$J$34+Tier!CT526*-2</f>
        <v>86</v>
      </c>
      <c r="CV526" s="354"/>
      <c r="CW526"/>
      <c r="CX526"/>
      <c r="CY526"/>
      <c r="CZ526"/>
      <c r="DA526"/>
      <c r="DB526"/>
      <c r="DC526"/>
      <c r="DD526"/>
      <c r="DE526"/>
      <c r="DF526"/>
      <c r="DG526"/>
      <c r="DH526"/>
      <c r="DI526"/>
      <c r="DJ526"/>
      <c r="DK526"/>
      <c r="DL526"/>
      <c r="DM526"/>
      <c r="DN526"/>
    </row>
    <row r="527" spans="3:118" s="238" customFormat="1" ht="15.75" customHeight="1" x14ac:dyDescent="0.25">
      <c r="C527"/>
      <c r="D527"/>
      <c r="E527"/>
      <c r="F527"/>
      <c r="G527"/>
      <c r="H527"/>
      <c r="I527"/>
      <c r="J527"/>
      <c r="K527"/>
      <c r="L527"/>
      <c r="M527"/>
      <c r="N527"/>
      <c r="O527" s="366"/>
      <c r="P527" s="366">
        <v>2017</v>
      </c>
      <c r="Q527" s="367">
        <f>LARGE($CB$455:$CB$604,73)</f>
        <v>59.7</v>
      </c>
      <c r="R527" s="357">
        <f t="shared" si="145"/>
        <v>-112.36666666666669</v>
      </c>
      <c r="S527" s="356">
        <f t="shared" si="141"/>
        <v>12626.267777777783</v>
      </c>
      <c r="U527" s="356">
        <f t="shared" si="146"/>
        <v>-7.022916666666668</v>
      </c>
      <c r="V527" s="238">
        <f t="shared" si="143"/>
        <v>8</v>
      </c>
      <c r="W527" s="354"/>
      <c r="X527" s="366"/>
      <c r="Y527" s="366"/>
      <c r="Z527" s="238">
        <v>2017</v>
      </c>
      <c r="AA527" s="367">
        <f>LARGE($CU$455:$CU$604,73)</f>
        <v>90.5</v>
      </c>
      <c r="AB527" s="357">
        <f t="shared" si="147"/>
        <v>-102.03333333333333</v>
      </c>
      <c r="AC527" s="356">
        <f t="shared" si="142"/>
        <v>10410.80111111111</v>
      </c>
      <c r="AE527" s="356">
        <f t="shared" si="148"/>
        <v>-6.3770833333333332</v>
      </c>
      <c r="AF527" s="238">
        <f t="shared" si="144"/>
        <v>8</v>
      </c>
      <c r="AG527" s="354"/>
      <c r="AK527"/>
      <c r="AL527"/>
      <c r="AM527"/>
      <c r="AN527"/>
      <c r="AO527"/>
      <c r="AP527"/>
      <c r="BI527" s="360"/>
      <c r="BJ527" s="354"/>
      <c r="BK527" s="366">
        <v>2017</v>
      </c>
      <c r="BL527" s="365" t="s">
        <v>991</v>
      </c>
      <c r="BM527" s="366" t="s">
        <v>155</v>
      </c>
      <c r="BN527" s="366" t="s">
        <v>3</v>
      </c>
      <c r="BO527" s="366">
        <v>0</v>
      </c>
      <c r="BP527" s="366">
        <v>0</v>
      </c>
      <c r="BQ527" s="366">
        <v>0</v>
      </c>
      <c r="BR527" s="366">
        <v>31</v>
      </c>
      <c r="BS527" s="366">
        <v>0</v>
      </c>
      <c r="BT527" s="366">
        <v>33</v>
      </c>
      <c r="BU527" s="366">
        <v>315</v>
      </c>
      <c r="BV527" s="366">
        <v>1</v>
      </c>
      <c r="BW527" s="366">
        <v>0</v>
      </c>
      <c r="BX527" s="366">
        <v>0</v>
      </c>
      <c r="BY527" s="366">
        <v>0</v>
      </c>
      <c r="BZ527" s="366">
        <v>0</v>
      </c>
      <c r="CA527" s="366">
        <v>2</v>
      </c>
      <c r="CB527" s="367">
        <f>IFERROR(BO527/Instructions!$J$25,0)+BP527*Instructions!$J$27+BQ527*Instructions!$J$29+IFERROR(BR527/Instructions!$E$34,0)+BS527*Instructions!$E$36+Tier!BT528*Instructions!$E$25+IFERROR(BU527/Instructions!$E$27,0)+BV527*Instructions!$E$29+IFERROR((BW527+BY527)/Instructions!$J$32,0)+(BX527+BZ527)*Instructions!$J$34+Tier!CA527*-2</f>
        <v>71.599999999999994</v>
      </c>
      <c r="CC527" s="354"/>
      <c r="CD527" s="238">
        <v>2017</v>
      </c>
      <c r="CE527" s="365" t="s">
        <v>1445</v>
      </c>
      <c r="CF527" s="366" t="s">
        <v>155</v>
      </c>
      <c r="CG527" s="366" t="s">
        <v>6</v>
      </c>
      <c r="CH527" s="366">
        <v>0</v>
      </c>
      <c r="CI527" s="366">
        <v>0</v>
      </c>
      <c r="CJ527" s="366">
        <v>0</v>
      </c>
      <c r="CK527" s="366">
        <v>0</v>
      </c>
      <c r="CL527" s="366">
        <v>0</v>
      </c>
      <c r="CM527" s="366">
        <v>43</v>
      </c>
      <c r="CN527" s="366">
        <v>430</v>
      </c>
      <c r="CO527" s="366">
        <v>2</v>
      </c>
      <c r="CP527" s="366">
        <v>281</v>
      </c>
      <c r="CQ527" s="366">
        <v>0</v>
      </c>
      <c r="CR527" s="366">
        <v>8</v>
      </c>
      <c r="CS527" s="366">
        <v>0</v>
      </c>
      <c r="CT527" s="366">
        <v>1</v>
      </c>
      <c r="CU527" s="367">
        <f>IFERROR(CH527/Instructions!$J$25,0)+CI527*Instructions!$J$27+CJ527*Instructions!$J$29+IFERROR(CK527/Instructions!$E$34,0)+CL527*Instructions!$E$36+Tier!CM527*Instructions!$E$25+IFERROR(CN527/Instructions!$E$27,0)+CO527*Instructions!$E$29+IFERROR((CP527+CR527)/Instructions!$J$32,0)+(CQ527+CS527)*Instructions!$J$34+Tier!CT527*-2</f>
        <v>96</v>
      </c>
      <c r="CV527" s="354"/>
      <c r="CW527"/>
      <c r="CX527"/>
      <c r="CY527"/>
      <c r="CZ527"/>
      <c r="DA527"/>
      <c r="DB527"/>
      <c r="DC527"/>
      <c r="DD527"/>
      <c r="DE527"/>
      <c r="DF527"/>
      <c r="DG527"/>
      <c r="DH527"/>
      <c r="DI527"/>
      <c r="DJ527"/>
      <c r="DK527"/>
      <c r="DL527"/>
      <c r="DM527"/>
      <c r="DN527"/>
    </row>
    <row r="528" spans="3:118" s="238" customFormat="1" ht="15.75" customHeight="1" x14ac:dyDescent="0.25">
      <c r="C528"/>
      <c r="D528"/>
      <c r="E528"/>
      <c r="F528"/>
      <c r="G528"/>
      <c r="H528"/>
      <c r="I528"/>
      <c r="J528"/>
      <c r="K528"/>
      <c r="L528"/>
      <c r="M528"/>
      <c r="N528"/>
      <c r="O528" s="366"/>
      <c r="P528" s="366">
        <v>2017</v>
      </c>
      <c r="Q528" s="367">
        <f>LARGE($CB$455:$CB$604,74)</f>
        <v>59.199999999999996</v>
      </c>
      <c r="R528" s="357">
        <f t="shared" si="145"/>
        <v>-112.8666666666667</v>
      </c>
      <c r="S528" s="356">
        <f t="shared" si="141"/>
        <v>12738.884444444453</v>
      </c>
      <c r="U528" s="356">
        <f t="shared" si="146"/>
        <v>-7.0541666666666689</v>
      </c>
      <c r="V528" s="238">
        <f t="shared" si="143"/>
        <v>8</v>
      </c>
      <c r="W528" s="354"/>
      <c r="X528" s="366"/>
      <c r="Y528" s="366"/>
      <c r="Z528" s="238">
        <v>2017</v>
      </c>
      <c r="AA528" s="367">
        <f>LARGE($CU$455:$CU$604,74)</f>
        <v>90</v>
      </c>
      <c r="AB528" s="357">
        <f t="shared" si="147"/>
        <v>-102.53333333333333</v>
      </c>
      <c r="AC528" s="356">
        <f t="shared" si="142"/>
        <v>10513.084444444445</v>
      </c>
      <c r="AE528" s="356">
        <f t="shared" si="148"/>
        <v>-6.4083333333333332</v>
      </c>
      <c r="AF528" s="238">
        <f t="shared" si="144"/>
        <v>8</v>
      </c>
      <c r="AG528" s="354"/>
      <c r="AK528"/>
      <c r="AL528"/>
      <c r="AM528"/>
      <c r="AN528"/>
      <c r="AO528"/>
      <c r="AP528"/>
      <c r="BI528" s="360"/>
      <c r="BJ528" s="354"/>
      <c r="BK528" s="366">
        <v>2017</v>
      </c>
      <c r="BL528" s="365" t="s">
        <v>184</v>
      </c>
      <c r="BM528" s="366" t="s">
        <v>149</v>
      </c>
      <c r="BN528" s="366" t="s">
        <v>3</v>
      </c>
      <c r="BO528" s="366">
        <v>0</v>
      </c>
      <c r="BP528" s="366">
        <v>0</v>
      </c>
      <c r="BQ528" s="366">
        <v>0</v>
      </c>
      <c r="BR528" s="366">
        <v>95</v>
      </c>
      <c r="BS528" s="366">
        <v>0</v>
      </c>
      <c r="BT528" s="366">
        <v>35</v>
      </c>
      <c r="BU528" s="366">
        <v>249</v>
      </c>
      <c r="BV528" s="366">
        <v>1</v>
      </c>
      <c r="BW528" s="366">
        <v>0</v>
      </c>
      <c r="BX528" s="366">
        <v>0</v>
      </c>
      <c r="BY528" s="366">
        <v>32</v>
      </c>
      <c r="BZ528" s="366">
        <v>0</v>
      </c>
      <c r="CA528" s="366">
        <v>1</v>
      </c>
      <c r="CB528" s="367">
        <f>IFERROR(BO528/Instructions!$J$25,0)+BP528*Instructions!$J$27+BQ528*Instructions!$J$29+IFERROR(BR528/Instructions!$E$34,0)+BS528*Instructions!$E$36+Tier!BT529*Instructions!$E$25+IFERROR(BU528/Instructions!$E$27,0)+BV528*Instructions!$E$29+IFERROR((BW528+BY528)/Instructions!$J$32,0)+(BX528+BZ528)*Instructions!$J$34+Tier!CA528*-2</f>
        <v>58.4</v>
      </c>
      <c r="CC528" s="354"/>
      <c r="CD528" s="238">
        <v>2017</v>
      </c>
      <c r="CE528" s="365" t="s">
        <v>1119</v>
      </c>
      <c r="CF528" s="366" t="s">
        <v>143</v>
      </c>
      <c r="CG528" s="366" t="s">
        <v>6</v>
      </c>
      <c r="CH528" s="366">
        <v>0</v>
      </c>
      <c r="CI528" s="366">
        <v>0</v>
      </c>
      <c r="CJ528" s="366">
        <v>0</v>
      </c>
      <c r="CK528" s="366">
        <v>0</v>
      </c>
      <c r="CL528" s="366">
        <v>0</v>
      </c>
      <c r="CM528" s="366">
        <v>23</v>
      </c>
      <c r="CN528" s="366">
        <v>368</v>
      </c>
      <c r="CO528" s="366">
        <v>3</v>
      </c>
      <c r="CP528" s="366">
        <v>0</v>
      </c>
      <c r="CQ528" s="366">
        <v>0</v>
      </c>
      <c r="CR528" s="366">
        <v>0</v>
      </c>
      <c r="CS528" s="366">
        <v>0</v>
      </c>
      <c r="CT528" s="366">
        <v>2</v>
      </c>
      <c r="CU528" s="367">
        <f>IFERROR(CH528/Instructions!$J$25,0)+CI528*Instructions!$J$27+CJ528*Instructions!$J$29+IFERROR(CK528/Instructions!$E$34,0)+CL528*Instructions!$E$36+Tier!CM528*Instructions!$E$25+IFERROR(CN528/Instructions!$E$27,0)+CO528*Instructions!$E$29+IFERROR((CP528+CR528)/Instructions!$J$32,0)+(CQ528+CS528)*Instructions!$J$34+Tier!CT528*-2</f>
        <v>73.8</v>
      </c>
      <c r="CV528" s="354"/>
      <c r="CW528"/>
      <c r="CX528"/>
      <c r="CY528"/>
      <c r="CZ528"/>
      <c r="DA528"/>
      <c r="DB528"/>
      <c r="DC528"/>
      <c r="DD528"/>
      <c r="DE528"/>
      <c r="DF528"/>
      <c r="DG528"/>
      <c r="DH528"/>
      <c r="DI528"/>
      <c r="DJ528"/>
      <c r="DK528"/>
      <c r="DL528"/>
      <c r="DM528"/>
      <c r="DN528"/>
    </row>
    <row r="529" spans="3:118" s="238" customFormat="1" ht="15.75" customHeight="1" x14ac:dyDescent="0.25">
      <c r="C529"/>
      <c r="D529"/>
      <c r="E529"/>
      <c r="F529"/>
      <c r="G529"/>
      <c r="H529"/>
      <c r="I529"/>
      <c r="J529"/>
      <c r="K529"/>
      <c r="L529"/>
      <c r="M529"/>
      <c r="N529"/>
      <c r="O529" s="366"/>
      <c r="P529" s="366">
        <v>2017</v>
      </c>
      <c r="Q529" s="367">
        <f>LARGE($CB$455:$CB$604,75)</f>
        <v>58.4</v>
      </c>
      <c r="R529" s="357">
        <f t="shared" si="145"/>
        <v>-113.66666666666669</v>
      </c>
      <c r="S529" s="356">
        <f t="shared" si="141"/>
        <v>12920.111111111115</v>
      </c>
      <c r="U529" s="356">
        <f t="shared" si="146"/>
        <v>-7.1041666666666679</v>
      </c>
      <c r="V529" s="238">
        <f t="shared" si="143"/>
        <v>8</v>
      </c>
      <c r="W529" s="354"/>
      <c r="X529" s="366"/>
      <c r="Y529" s="366"/>
      <c r="Z529" s="238">
        <v>2017</v>
      </c>
      <c r="AA529" s="367">
        <f>LARGE($CU$455:$CU$604,75)</f>
        <v>89.6</v>
      </c>
      <c r="AB529" s="357">
        <f t="shared" si="147"/>
        <v>-102.93333333333334</v>
      </c>
      <c r="AC529" s="356">
        <f t="shared" si="142"/>
        <v>10595.271111111111</v>
      </c>
      <c r="AE529" s="356">
        <f t="shared" si="148"/>
        <v>-6.4333333333333336</v>
      </c>
      <c r="AF529" s="238">
        <f t="shared" si="144"/>
        <v>8</v>
      </c>
      <c r="AG529" s="354"/>
      <c r="AK529"/>
      <c r="AL529"/>
      <c r="AM529"/>
      <c r="AN529"/>
      <c r="AO529"/>
      <c r="AP529"/>
      <c r="BI529" s="360"/>
      <c r="BJ529" s="354"/>
      <c r="BK529" s="366">
        <v>2017</v>
      </c>
      <c r="BL529" s="365" t="s">
        <v>1149</v>
      </c>
      <c r="BM529" s="366" t="s">
        <v>166</v>
      </c>
      <c r="BN529" s="366" t="s">
        <v>3</v>
      </c>
      <c r="BO529" s="366">
        <v>0</v>
      </c>
      <c r="BP529" s="366">
        <v>0</v>
      </c>
      <c r="BQ529" s="366">
        <v>0</v>
      </c>
      <c r="BR529" s="366">
        <v>181</v>
      </c>
      <c r="BS529" s="366">
        <v>0</v>
      </c>
      <c r="BT529" s="366">
        <v>20</v>
      </c>
      <c r="BU529" s="366">
        <v>155</v>
      </c>
      <c r="BV529" s="366">
        <v>1</v>
      </c>
      <c r="BW529" s="366">
        <v>0</v>
      </c>
      <c r="BX529" s="366">
        <v>0</v>
      </c>
      <c r="BY529" s="366">
        <v>-7</v>
      </c>
      <c r="BZ529" s="366">
        <v>0</v>
      </c>
      <c r="CA529" s="366">
        <v>0</v>
      </c>
      <c r="CB529" s="367">
        <f>IFERROR(BO529/Instructions!$J$25,0)+BP529*Instructions!$J$27+BQ529*Instructions!$J$29+IFERROR(BR529/Instructions!$E$34,0)+BS529*Instructions!$E$36+Tier!BT530*Instructions!$E$25+IFERROR(BU529/Instructions!$E$27,0)+BV529*Instructions!$E$29+IFERROR((BW529+BY529)/Instructions!$J$32,0)+(BX529+BZ529)*Instructions!$J$34+Tier!CA529*-2</f>
        <v>43.6</v>
      </c>
      <c r="CC529" s="354"/>
      <c r="CD529" s="238">
        <v>2017</v>
      </c>
      <c r="CE529" s="365" t="s">
        <v>1348</v>
      </c>
      <c r="CF529" s="366" t="s">
        <v>154</v>
      </c>
      <c r="CG529" s="366" t="s">
        <v>6</v>
      </c>
      <c r="CH529" s="366">
        <v>0</v>
      </c>
      <c r="CI529" s="366">
        <v>0</v>
      </c>
      <c r="CJ529" s="366">
        <v>0</v>
      </c>
      <c r="CK529" s="366">
        <v>0</v>
      </c>
      <c r="CL529" s="366">
        <v>0</v>
      </c>
      <c r="CM529" s="366">
        <v>36</v>
      </c>
      <c r="CN529" s="366">
        <v>416</v>
      </c>
      <c r="CO529" s="366">
        <v>2</v>
      </c>
      <c r="CP529" s="366">
        <v>0</v>
      </c>
      <c r="CQ529" s="366">
        <v>0</v>
      </c>
      <c r="CR529" s="366">
        <v>0</v>
      </c>
      <c r="CS529" s="366">
        <v>0</v>
      </c>
      <c r="CT529" s="366">
        <v>0</v>
      </c>
      <c r="CU529" s="367">
        <f>IFERROR(CH529/Instructions!$J$25,0)+CI529*Instructions!$J$27+CJ529*Instructions!$J$29+IFERROR(CK529/Instructions!$E$34,0)+CL529*Instructions!$E$36+Tier!CM529*Instructions!$E$25+IFERROR(CN529/Instructions!$E$27,0)+CO529*Instructions!$E$29+IFERROR((CP529+CR529)/Instructions!$J$32,0)+(CQ529+CS529)*Instructions!$J$34+Tier!CT529*-2</f>
        <v>89.6</v>
      </c>
      <c r="CV529" s="354"/>
      <c r="CW529"/>
      <c r="CX529"/>
      <c r="CY529"/>
      <c r="CZ529"/>
      <c r="DA529"/>
      <c r="DB529"/>
      <c r="DC529"/>
      <c r="DD529"/>
      <c r="DE529"/>
      <c r="DF529"/>
      <c r="DG529"/>
      <c r="DH529"/>
      <c r="DI529"/>
      <c r="DJ529"/>
      <c r="DK529"/>
      <c r="DL529"/>
      <c r="DM529"/>
      <c r="DN529"/>
    </row>
    <row r="530" spans="3:118" s="238" customFormat="1" ht="15.75" customHeight="1" x14ac:dyDescent="0.25">
      <c r="C530"/>
      <c r="D530"/>
      <c r="E530"/>
      <c r="F530"/>
      <c r="G530"/>
      <c r="H530"/>
      <c r="I530"/>
      <c r="J530"/>
      <c r="K530"/>
      <c r="L530"/>
      <c r="M530"/>
      <c r="N530"/>
      <c r="O530" s="366"/>
      <c r="P530" s="366">
        <v>2017</v>
      </c>
      <c r="Q530" s="367">
        <f>LARGE($CB$455:$CB$604,76)</f>
        <v>52.6</v>
      </c>
      <c r="R530" s="357">
        <f t="shared" si="145"/>
        <v>-119.4666666666667</v>
      </c>
      <c r="S530" s="356">
        <f t="shared" si="141"/>
        <v>14272.284444444451</v>
      </c>
      <c r="U530" s="356">
        <f t="shared" si="146"/>
        <v>-7.4666666666666686</v>
      </c>
      <c r="V530" s="238">
        <f t="shared" si="143"/>
        <v>8</v>
      </c>
      <c r="W530" s="354"/>
      <c r="X530" s="366"/>
      <c r="Y530" s="366"/>
      <c r="Z530" s="238">
        <v>2017</v>
      </c>
      <c r="AA530" s="367">
        <f>LARGE($CU$455:$CU$604,76)</f>
        <v>86</v>
      </c>
      <c r="AB530" s="357">
        <f t="shared" si="147"/>
        <v>-106.53333333333333</v>
      </c>
      <c r="AC530" s="356">
        <f t="shared" si="142"/>
        <v>11349.351111111111</v>
      </c>
      <c r="AE530" s="356">
        <f t="shared" si="148"/>
        <v>-6.6583333333333332</v>
      </c>
      <c r="AF530" s="238">
        <f t="shared" si="144"/>
        <v>8</v>
      </c>
      <c r="AG530" s="354"/>
      <c r="AK530"/>
      <c r="AL530"/>
      <c r="AM530"/>
      <c r="AN530"/>
      <c r="AO530"/>
      <c r="AP530"/>
      <c r="BI530" s="360"/>
      <c r="BJ530" s="354"/>
      <c r="BK530" s="366">
        <v>2017</v>
      </c>
      <c r="BL530" s="365" t="s">
        <v>1397</v>
      </c>
      <c r="BM530" s="366" t="s">
        <v>152</v>
      </c>
      <c r="BN530" s="366" t="s">
        <v>3</v>
      </c>
      <c r="BO530" s="366">
        <v>0</v>
      </c>
      <c r="BP530" s="366">
        <v>0</v>
      </c>
      <c r="BQ530" s="366">
        <v>0</v>
      </c>
      <c r="BR530" s="366">
        <v>194</v>
      </c>
      <c r="BS530" s="366">
        <v>3</v>
      </c>
      <c r="BT530" s="366">
        <v>4</v>
      </c>
      <c r="BU530" s="366">
        <v>18</v>
      </c>
      <c r="BV530" s="366">
        <v>0</v>
      </c>
      <c r="BW530" s="366">
        <v>0</v>
      </c>
      <c r="BX530" s="366">
        <v>0</v>
      </c>
      <c r="BY530" s="366">
        <v>0</v>
      </c>
      <c r="BZ530" s="366">
        <v>0</v>
      </c>
      <c r="CA530" s="366">
        <v>0</v>
      </c>
      <c r="CB530" s="367">
        <f>IFERROR(BO530/Instructions!$J$25,0)+BP530*Instructions!$J$27+BQ530*Instructions!$J$29+IFERROR(BR530/Instructions!$E$34,0)+BS530*Instructions!$E$36+Tier!BT531*Instructions!$E$25+IFERROR(BU530/Instructions!$E$27,0)+BV530*Instructions!$E$29+IFERROR((BW530+BY530)/Instructions!$J$32,0)+(BX530+BZ530)*Instructions!$J$34+Tier!CA530*-2</f>
        <v>59.199999999999996</v>
      </c>
      <c r="CC530" s="354"/>
      <c r="CD530" s="238">
        <v>2017</v>
      </c>
      <c r="CE530" s="365" t="s">
        <v>1272</v>
      </c>
      <c r="CF530" s="366" t="s">
        <v>144</v>
      </c>
      <c r="CG530" s="366" t="s">
        <v>6</v>
      </c>
      <c r="CH530" s="366">
        <v>0</v>
      </c>
      <c r="CI530" s="366">
        <v>0</v>
      </c>
      <c r="CJ530" s="366">
        <v>0</v>
      </c>
      <c r="CK530" s="366">
        <v>0</v>
      </c>
      <c r="CL530" s="366">
        <v>0</v>
      </c>
      <c r="CM530" s="366">
        <v>29</v>
      </c>
      <c r="CN530" s="366">
        <v>350</v>
      </c>
      <c r="CO530" s="366">
        <v>3</v>
      </c>
      <c r="CP530" s="366">
        <v>6</v>
      </c>
      <c r="CQ530" s="366">
        <v>0</v>
      </c>
      <c r="CR530" s="366">
        <v>0</v>
      </c>
      <c r="CS530" s="366">
        <v>0</v>
      </c>
      <c r="CT530" s="366">
        <v>0</v>
      </c>
      <c r="CU530" s="367">
        <f>IFERROR(CH530/Instructions!$J$25,0)+CI530*Instructions!$J$27+CJ530*Instructions!$J$29+IFERROR(CK530/Instructions!$E$34,0)+CL530*Instructions!$E$36+Tier!CM530*Instructions!$E$25+IFERROR(CN530/Instructions!$E$27,0)+CO530*Instructions!$E$29+IFERROR((CP530+CR530)/Instructions!$J$32,0)+(CQ530+CS530)*Instructions!$J$34+Tier!CT530*-2</f>
        <v>82</v>
      </c>
      <c r="CV530" s="354"/>
      <c r="CW530"/>
      <c r="CX530"/>
      <c r="CY530"/>
      <c r="CZ530"/>
      <c r="DA530"/>
      <c r="DB530"/>
      <c r="DC530"/>
      <c r="DD530"/>
      <c r="DE530"/>
      <c r="DF530"/>
      <c r="DG530"/>
      <c r="DH530"/>
      <c r="DI530"/>
      <c r="DJ530"/>
      <c r="DK530"/>
      <c r="DL530"/>
      <c r="DM530"/>
      <c r="DN530"/>
    </row>
    <row r="531" spans="3:118" s="238" customFormat="1" ht="15.75" customHeight="1" x14ac:dyDescent="0.25">
      <c r="C531"/>
      <c r="D531"/>
      <c r="E531"/>
      <c r="F531"/>
      <c r="G531"/>
      <c r="H531"/>
      <c r="I531"/>
      <c r="J531"/>
      <c r="K531"/>
      <c r="L531"/>
      <c r="M531"/>
      <c r="N531"/>
      <c r="O531" s="366"/>
      <c r="P531" s="366">
        <v>2017</v>
      </c>
      <c r="Q531" s="367">
        <f>LARGE($CB$455:$CB$604,77)</f>
        <v>50.9</v>
      </c>
      <c r="R531" s="357">
        <f t="shared" si="145"/>
        <v>-121.16666666666669</v>
      </c>
      <c r="S531" s="356">
        <f t="shared" si="141"/>
        <v>14681.361111111115</v>
      </c>
      <c r="U531" s="356">
        <f t="shared" si="146"/>
        <v>-7.5729166666666679</v>
      </c>
      <c r="V531" s="238">
        <f t="shared" si="143"/>
        <v>8</v>
      </c>
      <c r="W531" s="354"/>
      <c r="X531" s="366"/>
      <c r="Y531" s="366"/>
      <c r="Z531" s="238">
        <v>2017</v>
      </c>
      <c r="AA531" s="367">
        <f>LARGE($CU$455:$CU$604,77)</f>
        <v>82</v>
      </c>
      <c r="AB531" s="357">
        <f t="shared" si="147"/>
        <v>-110.53333333333333</v>
      </c>
      <c r="AC531" s="356">
        <f t="shared" si="142"/>
        <v>12217.617777777778</v>
      </c>
      <c r="AE531" s="356">
        <f t="shared" si="148"/>
        <v>-6.9083333333333332</v>
      </c>
      <c r="AF531" s="238">
        <f t="shared" si="144"/>
        <v>8</v>
      </c>
      <c r="AG531" s="354"/>
      <c r="AK531"/>
      <c r="AL531"/>
      <c r="AM531"/>
      <c r="AN531"/>
      <c r="AO531"/>
      <c r="AP531"/>
      <c r="BI531" s="360"/>
      <c r="BJ531" s="354"/>
      <c r="BK531" s="366">
        <v>2017</v>
      </c>
      <c r="BL531" s="365" t="s">
        <v>985</v>
      </c>
      <c r="BM531" s="366" t="s">
        <v>141</v>
      </c>
      <c r="BN531" s="366" t="s">
        <v>3</v>
      </c>
      <c r="BO531" s="366">
        <v>0</v>
      </c>
      <c r="BP531" s="366">
        <v>0</v>
      </c>
      <c r="BQ531" s="366">
        <v>0</v>
      </c>
      <c r="BR531" s="366">
        <v>29</v>
      </c>
      <c r="BS531" s="366">
        <v>0</v>
      </c>
      <c r="BT531" s="366">
        <v>20</v>
      </c>
      <c r="BU531" s="366">
        <v>240</v>
      </c>
      <c r="BV531" s="366">
        <v>2</v>
      </c>
      <c r="BW531" s="366">
        <v>0</v>
      </c>
      <c r="BX531" s="366">
        <v>0</v>
      </c>
      <c r="BY531" s="366">
        <v>147</v>
      </c>
      <c r="BZ531" s="366">
        <v>0</v>
      </c>
      <c r="CA531" s="366">
        <v>1</v>
      </c>
      <c r="CB531" s="367">
        <f>IFERROR(BO531/Instructions!$J$25,0)+BP531*Instructions!$J$27+BQ531*Instructions!$J$29+IFERROR(BR531/Instructions!$E$34,0)+BS531*Instructions!$E$36+Tier!BT532*Instructions!$E$25+IFERROR(BU531/Instructions!$E$27,0)+BV531*Instructions!$E$29+IFERROR((BW531+BY531)/Instructions!$J$32,0)+(BX531+BZ531)*Instructions!$J$34+Tier!CA531*-2</f>
        <v>50.9</v>
      </c>
      <c r="CC531" s="354"/>
      <c r="CD531" s="238">
        <v>2017</v>
      </c>
      <c r="CE531" s="365" t="s">
        <v>1207</v>
      </c>
      <c r="CF531" s="366" t="s">
        <v>167</v>
      </c>
      <c r="CG531" s="366" t="s">
        <v>6</v>
      </c>
      <c r="CH531" s="366">
        <v>0</v>
      </c>
      <c r="CI531" s="366">
        <v>0</v>
      </c>
      <c r="CJ531" s="366">
        <v>0</v>
      </c>
      <c r="CK531" s="366">
        <v>0</v>
      </c>
      <c r="CL531" s="366">
        <v>0</v>
      </c>
      <c r="CM531" s="366">
        <v>43</v>
      </c>
      <c r="CN531" s="366">
        <v>455</v>
      </c>
      <c r="CO531" s="366">
        <v>1</v>
      </c>
      <c r="CP531" s="366">
        <v>0</v>
      </c>
      <c r="CQ531" s="366">
        <v>0</v>
      </c>
      <c r="CR531" s="366">
        <v>0</v>
      </c>
      <c r="CS531" s="366">
        <v>0</v>
      </c>
      <c r="CT531" s="366">
        <v>2</v>
      </c>
      <c r="CU531" s="367">
        <f>IFERROR(CH531/Instructions!$J$25,0)+CI531*Instructions!$J$27+CJ531*Instructions!$J$29+IFERROR(CK531/Instructions!$E$34,0)+CL531*Instructions!$E$36+Tier!CM531*Instructions!$E$25+IFERROR(CN531/Instructions!$E$27,0)+CO531*Instructions!$E$29+IFERROR((CP531+CR531)/Instructions!$J$32,0)+(CQ531+CS531)*Instructions!$J$34+Tier!CT531*-2</f>
        <v>90.5</v>
      </c>
      <c r="CV531" s="354"/>
      <c r="CW531"/>
      <c r="CX531"/>
      <c r="CY531"/>
      <c r="CZ531"/>
      <c r="DA531"/>
      <c r="DB531"/>
      <c r="DC531"/>
      <c r="DD531"/>
      <c r="DE531"/>
      <c r="DF531"/>
      <c r="DG531"/>
      <c r="DH531"/>
      <c r="DI531"/>
      <c r="DJ531"/>
      <c r="DK531"/>
      <c r="DL531"/>
      <c r="DM531"/>
      <c r="DN531"/>
    </row>
    <row r="532" spans="3:118" s="238" customFormat="1" ht="15.75" customHeight="1" x14ac:dyDescent="0.25">
      <c r="C532"/>
      <c r="D532"/>
      <c r="E532"/>
      <c r="F532"/>
      <c r="G532"/>
      <c r="H532"/>
      <c r="I532"/>
      <c r="J532"/>
      <c r="K532"/>
      <c r="L532"/>
      <c r="M532"/>
      <c r="N532"/>
      <c r="O532" s="366"/>
      <c r="P532" s="366">
        <v>2017</v>
      </c>
      <c r="Q532" s="367">
        <f>LARGE($CB$455:$CB$604,78)</f>
        <v>48.9</v>
      </c>
      <c r="R532" s="357">
        <f t="shared" si="145"/>
        <v>-123.16666666666669</v>
      </c>
      <c r="S532" s="356">
        <f t="shared" si="141"/>
        <v>15170.027777777783</v>
      </c>
      <c r="U532" s="356">
        <f t="shared" si="146"/>
        <v>-7.6979166666666679</v>
      </c>
      <c r="V532" s="238">
        <f t="shared" si="143"/>
        <v>8</v>
      </c>
      <c r="W532" s="354"/>
      <c r="X532" s="366"/>
      <c r="Y532" s="366"/>
      <c r="Z532" s="238">
        <v>2017</v>
      </c>
      <c r="AA532" s="367">
        <f>LARGE($CU$455:$CU$604,78)</f>
        <v>81.699999999999989</v>
      </c>
      <c r="AB532" s="357">
        <f t="shared" si="147"/>
        <v>-110.83333333333334</v>
      </c>
      <c r="AC532" s="356">
        <f t="shared" si="142"/>
        <v>12284.027777777779</v>
      </c>
      <c r="AE532" s="356">
        <f t="shared" si="148"/>
        <v>-6.9270833333333339</v>
      </c>
      <c r="AF532" s="238">
        <f t="shared" si="144"/>
        <v>8</v>
      </c>
      <c r="AG532" s="354"/>
      <c r="AK532"/>
      <c r="AL532"/>
      <c r="AM532"/>
      <c r="AN532"/>
      <c r="AO532"/>
      <c r="AP532"/>
      <c r="BI532" s="360"/>
      <c r="BJ532" s="354"/>
      <c r="BK532" s="366">
        <v>2017</v>
      </c>
      <c r="BL532" s="365" t="s">
        <v>973</v>
      </c>
      <c r="BM532" s="366" t="s">
        <v>156</v>
      </c>
      <c r="BN532" s="366" t="s">
        <v>3</v>
      </c>
      <c r="BO532" s="366">
        <v>0</v>
      </c>
      <c r="BP532" s="366">
        <v>0</v>
      </c>
      <c r="BQ532" s="366">
        <v>0</v>
      </c>
      <c r="BR532" s="366">
        <v>247</v>
      </c>
      <c r="BS532" s="366">
        <v>1</v>
      </c>
      <c r="BT532" s="366">
        <v>14</v>
      </c>
      <c r="BU532" s="366">
        <v>78</v>
      </c>
      <c r="BV532" s="366">
        <v>0</v>
      </c>
      <c r="BW532" s="366">
        <v>0</v>
      </c>
      <c r="BX532" s="366">
        <v>0</v>
      </c>
      <c r="BY532" s="366">
        <v>0</v>
      </c>
      <c r="BZ532" s="366">
        <v>0</v>
      </c>
      <c r="CA532" s="366">
        <v>1</v>
      </c>
      <c r="CB532" s="367">
        <f>IFERROR(BO532/Instructions!$J$25,0)+BP532*Instructions!$J$27+BQ532*Instructions!$J$29+IFERROR(BR532/Instructions!$E$34,0)+BS532*Instructions!$E$36+Tier!BT533*Instructions!$E$25+IFERROR(BU532/Instructions!$E$27,0)+BV532*Instructions!$E$29+IFERROR((BW532+BY532)/Instructions!$J$32,0)+(BX532+BZ532)*Instructions!$J$34+Tier!CA532*-2</f>
        <v>45.5</v>
      </c>
      <c r="CC532" s="354"/>
      <c r="CD532" s="238">
        <v>2017</v>
      </c>
      <c r="CE532" s="365" t="s">
        <v>206</v>
      </c>
      <c r="CF532" s="366" t="s">
        <v>158</v>
      </c>
      <c r="CG532" s="366" t="s">
        <v>6</v>
      </c>
      <c r="CH532" s="366">
        <v>0</v>
      </c>
      <c r="CI532" s="366">
        <v>0</v>
      </c>
      <c r="CJ532" s="366">
        <v>0</v>
      </c>
      <c r="CK532" s="366">
        <v>0</v>
      </c>
      <c r="CL532" s="366">
        <v>0</v>
      </c>
      <c r="CM532" s="366">
        <v>26</v>
      </c>
      <c r="CN532" s="366">
        <v>391</v>
      </c>
      <c r="CO532" s="366">
        <v>2</v>
      </c>
      <c r="CP532" s="366">
        <v>0</v>
      </c>
      <c r="CQ532" s="366">
        <v>0</v>
      </c>
      <c r="CR532" s="366">
        <v>0</v>
      </c>
      <c r="CS532" s="366">
        <v>0</v>
      </c>
      <c r="CT532" s="366">
        <v>0</v>
      </c>
      <c r="CU532" s="367">
        <f>IFERROR(CH532/Instructions!$J$25,0)+CI532*Instructions!$J$27+CJ532*Instructions!$J$29+IFERROR(CK532/Instructions!$E$34,0)+CL532*Instructions!$E$36+Tier!CM532*Instructions!$E$25+IFERROR(CN532/Instructions!$E$27,0)+CO532*Instructions!$E$29+IFERROR((CP532+CR532)/Instructions!$J$32,0)+(CQ532+CS532)*Instructions!$J$34+Tier!CT532*-2</f>
        <v>77.099999999999994</v>
      </c>
      <c r="CV532" s="354"/>
      <c r="CW532"/>
      <c r="CX532"/>
      <c r="CY532"/>
      <c r="CZ532"/>
      <c r="DA532"/>
      <c r="DB532"/>
      <c r="DC532"/>
      <c r="DD532"/>
      <c r="DE532"/>
      <c r="DF532"/>
      <c r="DG532"/>
      <c r="DH532"/>
      <c r="DI532"/>
      <c r="DJ532"/>
      <c r="DK532"/>
      <c r="DL532"/>
      <c r="DM532"/>
      <c r="DN532"/>
    </row>
    <row r="533" spans="3:118" s="238" customFormat="1" ht="15.75" customHeight="1" x14ac:dyDescent="0.25">
      <c r="C533"/>
      <c r="D533"/>
      <c r="E533"/>
      <c r="F533"/>
      <c r="G533"/>
      <c r="H533"/>
      <c r="I533"/>
      <c r="J533"/>
      <c r="K533"/>
      <c r="L533"/>
      <c r="M533"/>
      <c r="N533"/>
      <c r="O533" s="366"/>
      <c r="P533" s="366">
        <v>2017</v>
      </c>
      <c r="Q533" s="367">
        <f>LARGE($CB$455:$CB$604,79)</f>
        <v>46.1</v>
      </c>
      <c r="R533" s="357">
        <f t="shared" si="145"/>
        <v>-125.9666666666667</v>
      </c>
      <c r="S533" s="356">
        <f t="shared" si="141"/>
        <v>15867.601111111118</v>
      </c>
      <c r="U533" s="356">
        <f t="shared" si="146"/>
        <v>-7.8729166666666686</v>
      </c>
      <c r="V533" s="238">
        <f t="shared" si="143"/>
        <v>8</v>
      </c>
      <c r="W533" s="354"/>
      <c r="X533" s="366"/>
      <c r="Y533" s="366"/>
      <c r="Z533" s="238">
        <v>2017</v>
      </c>
      <c r="AA533" s="367">
        <f>LARGE($CU$455:$CU$604,79)</f>
        <v>80.099999999999994</v>
      </c>
      <c r="AB533" s="357">
        <f t="shared" si="147"/>
        <v>-112.43333333333334</v>
      </c>
      <c r="AC533" s="356">
        <f t="shared" si="142"/>
        <v>12641.254444444445</v>
      </c>
      <c r="AE533" s="356">
        <f t="shared" si="148"/>
        <v>-7.0270833333333336</v>
      </c>
      <c r="AF533" s="238">
        <f t="shared" si="144"/>
        <v>8</v>
      </c>
      <c r="AG533" s="354"/>
      <c r="AK533"/>
      <c r="AL533"/>
      <c r="AM533"/>
      <c r="AN533"/>
      <c r="AO533"/>
      <c r="AP533"/>
      <c r="BI533" s="360"/>
      <c r="BJ533" s="354"/>
      <c r="BK533" s="366">
        <v>2017</v>
      </c>
      <c r="BL533" s="365" t="s">
        <v>976</v>
      </c>
      <c r="BM533" s="366" t="s">
        <v>149</v>
      </c>
      <c r="BN533" s="366" t="s">
        <v>3</v>
      </c>
      <c r="BO533" s="366">
        <v>0</v>
      </c>
      <c r="BP533" s="366">
        <v>0</v>
      </c>
      <c r="BQ533" s="366">
        <v>0</v>
      </c>
      <c r="BR533" s="366">
        <v>244</v>
      </c>
      <c r="BS533" s="366">
        <v>1</v>
      </c>
      <c r="BT533" s="366">
        <v>9</v>
      </c>
      <c r="BU533" s="366">
        <v>74</v>
      </c>
      <c r="BV533" s="366">
        <v>0</v>
      </c>
      <c r="BW533" s="366">
        <v>0</v>
      </c>
      <c r="BX533" s="366">
        <v>0</v>
      </c>
      <c r="BY533" s="366">
        <v>255</v>
      </c>
      <c r="BZ533" s="366">
        <v>0</v>
      </c>
      <c r="CA533" s="366">
        <v>0</v>
      </c>
      <c r="CB533" s="367">
        <f>IFERROR(BO533/Instructions!$J$25,0)+BP533*Instructions!$J$27+BQ533*Instructions!$J$29+IFERROR(BR533/Instructions!$E$34,0)+BS533*Instructions!$E$36+Tier!BT534*Instructions!$E$25+IFERROR(BU533/Instructions!$E$27,0)+BV533*Instructions!$E$29+IFERROR((BW533+BY533)/Instructions!$J$32,0)+(BX533+BZ533)*Instructions!$J$34+Tier!CA533*-2</f>
        <v>44.8</v>
      </c>
      <c r="CC533" s="354"/>
      <c r="CD533" s="238">
        <v>2017</v>
      </c>
      <c r="CE533" s="365" t="s">
        <v>57</v>
      </c>
      <c r="CF533" s="366" t="s">
        <v>155</v>
      </c>
      <c r="CG533" s="366" t="s">
        <v>6</v>
      </c>
      <c r="CH533" s="366">
        <v>0</v>
      </c>
      <c r="CI533" s="366">
        <v>0</v>
      </c>
      <c r="CJ533" s="366">
        <v>0</v>
      </c>
      <c r="CK533" s="366">
        <v>0</v>
      </c>
      <c r="CL533" s="366">
        <v>0</v>
      </c>
      <c r="CM533" s="366">
        <v>40</v>
      </c>
      <c r="CN533" s="366">
        <v>500</v>
      </c>
      <c r="CO533" s="366">
        <v>0</v>
      </c>
      <c r="CP533" s="366">
        <v>0</v>
      </c>
      <c r="CQ533" s="366">
        <v>0</v>
      </c>
      <c r="CR533" s="366">
        <v>0</v>
      </c>
      <c r="CS533" s="366">
        <v>0</v>
      </c>
      <c r="CT533" s="366">
        <v>0</v>
      </c>
      <c r="CU533" s="367">
        <f>IFERROR(CH533/Instructions!$J$25,0)+CI533*Instructions!$J$27+CJ533*Instructions!$J$29+IFERROR(CK533/Instructions!$E$34,0)+CL533*Instructions!$E$36+Tier!CM533*Instructions!$E$25+IFERROR(CN533/Instructions!$E$27,0)+CO533*Instructions!$E$29+IFERROR((CP533+CR533)/Instructions!$J$32,0)+(CQ533+CS533)*Instructions!$J$34+Tier!CT533*-2</f>
        <v>90</v>
      </c>
      <c r="CV533" s="354"/>
      <c r="CW533"/>
      <c r="CX533"/>
      <c r="CY533"/>
      <c r="CZ533"/>
      <c r="DA533"/>
      <c r="DB533"/>
      <c r="DC533"/>
      <c r="DD533"/>
      <c r="DE533"/>
      <c r="DF533"/>
      <c r="DG533"/>
      <c r="DH533"/>
      <c r="DI533"/>
      <c r="DJ533"/>
      <c r="DK533"/>
      <c r="DL533"/>
      <c r="DM533"/>
      <c r="DN533"/>
    </row>
    <row r="534" spans="3:118" s="238" customFormat="1" ht="15.75" customHeight="1" x14ac:dyDescent="0.25">
      <c r="C534"/>
      <c r="D534"/>
      <c r="E534"/>
      <c r="F534"/>
      <c r="G534"/>
      <c r="H534"/>
      <c r="I534"/>
      <c r="J534"/>
      <c r="K534"/>
      <c r="L534"/>
      <c r="M534"/>
      <c r="N534"/>
      <c r="O534" s="366"/>
      <c r="P534" s="366">
        <v>2017</v>
      </c>
      <c r="Q534" s="367">
        <f>LARGE($CB$455:$CB$604,80)</f>
        <v>45.5</v>
      </c>
      <c r="R534" s="357">
        <f t="shared" si="145"/>
        <v>-126.56666666666669</v>
      </c>
      <c r="S534" s="356">
        <f t="shared" si="141"/>
        <v>16019.121111111117</v>
      </c>
      <c r="U534" s="356">
        <f t="shared" si="146"/>
        <v>-7.9104166666666682</v>
      </c>
      <c r="V534" s="238">
        <f t="shared" si="143"/>
        <v>8</v>
      </c>
      <c r="W534" s="354"/>
      <c r="X534" s="366"/>
      <c r="Y534" s="366"/>
      <c r="Z534" s="238">
        <v>2017</v>
      </c>
      <c r="AA534" s="367">
        <f>LARGE($CU$455:$CU$604,80)</f>
        <v>77.099999999999994</v>
      </c>
      <c r="AB534" s="357">
        <f t="shared" si="147"/>
        <v>-115.43333333333334</v>
      </c>
      <c r="AC534" s="356">
        <f t="shared" si="142"/>
        <v>13324.854444444445</v>
      </c>
      <c r="AE534" s="356">
        <f t="shared" si="148"/>
        <v>-7.2145833333333336</v>
      </c>
      <c r="AF534" s="238">
        <f t="shared" si="144"/>
        <v>8</v>
      </c>
      <c r="AG534" s="354"/>
      <c r="AK534"/>
      <c r="AL534"/>
      <c r="AM534"/>
      <c r="AN534"/>
      <c r="AO534"/>
      <c r="AP534"/>
      <c r="BI534" s="360"/>
      <c r="BJ534" s="354"/>
      <c r="BK534" s="366">
        <v>2017</v>
      </c>
      <c r="BL534" s="365" t="s">
        <v>984</v>
      </c>
      <c r="BM534" s="366" t="s">
        <v>151</v>
      </c>
      <c r="BN534" s="366" t="s">
        <v>3</v>
      </c>
      <c r="BO534" s="366">
        <v>0</v>
      </c>
      <c r="BP534" s="366">
        <v>0</v>
      </c>
      <c r="BQ534" s="366">
        <v>0</v>
      </c>
      <c r="BR534" s="366">
        <v>262</v>
      </c>
      <c r="BS534" s="366">
        <v>1</v>
      </c>
      <c r="BT534" s="366">
        <v>7</v>
      </c>
      <c r="BU534" s="366">
        <v>54</v>
      </c>
      <c r="BV534" s="366">
        <v>0</v>
      </c>
      <c r="BW534" s="366">
        <v>0</v>
      </c>
      <c r="BX534" s="366">
        <v>0</v>
      </c>
      <c r="BY534" s="366">
        <v>0</v>
      </c>
      <c r="BZ534" s="366">
        <v>0</v>
      </c>
      <c r="CA534" s="366">
        <v>0</v>
      </c>
      <c r="CB534" s="367">
        <f>IFERROR(BO534/Instructions!$J$25,0)+BP534*Instructions!$J$27+BQ534*Instructions!$J$29+IFERROR(BR534/Instructions!$E$34,0)+BS534*Instructions!$E$36+Tier!BT535*Instructions!$E$25+IFERROR(BU534/Instructions!$E$27,0)+BV534*Instructions!$E$29+IFERROR((BW534+BY534)/Instructions!$J$32,0)+(BX534+BZ534)*Instructions!$J$34+Tier!CA534*-2</f>
        <v>52.6</v>
      </c>
      <c r="CC534" s="354"/>
      <c r="CD534" s="238">
        <v>2017</v>
      </c>
      <c r="CE534" s="365" t="s">
        <v>214</v>
      </c>
      <c r="CF534" s="366" t="s">
        <v>146</v>
      </c>
      <c r="CG534" s="366" t="s">
        <v>6</v>
      </c>
      <c r="CH534" s="366">
        <v>0</v>
      </c>
      <c r="CI534" s="366">
        <v>0</v>
      </c>
      <c r="CJ534" s="366">
        <v>0</v>
      </c>
      <c r="CK534" s="366">
        <v>0</v>
      </c>
      <c r="CL534" s="366">
        <v>0</v>
      </c>
      <c r="CM534" s="366">
        <v>15</v>
      </c>
      <c r="CN534" s="366">
        <v>317</v>
      </c>
      <c r="CO534" s="366">
        <v>3</v>
      </c>
      <c r="CP534" s="366">
        <v>0</v>
      </c>
      <c r="CQ534" s="366">
        <v>0</v>
      </c>
      <c r="CR534" s="366">
        <v>0</v>
      </c>
      <c r="CS534" s="366">
        <v>0</v>
      </c>
      <c r="CT534" s="366">
        <v>0</v>
      </c>
      <c r="CU534" s="367">
        <f>IFERROR(CH534/Instructions!$J$25,0)+CI534*Instructions!$J$27+CJ534*Instructions!$J$29+IFERROR(CK534/Instructions!$E$34,0)+CL534*Instructions!$E$36+Tier!CM534*Instructions!$E$25+IFERROR(CN534/Instructions!$E$27,0)+CO534*Instructions!$E$29+IFERROR((CP534+CR534)/Instructions!$J$32,0)+(CQ534+CS534)*Instructions!$J$34+Tier!CT534*-2</f>
        <v>64.7</v>
      </c>
      <c r="CV534" s="354"/>
      <c r="CW534"/>
      <c r="CX534"/>
      <c r="CY534"/>
      <c r="CZ534"/>
      <c r="DA534"/>
      <c r="DB534"/>
      <c r="DC534"/>
      <c r="DD534"/>
      <c r="DE534"/>
      <c r="DF534"/>
      <c r="DG534"/>
      <c r="DH534"/>
      <c r="DI534"/>
      <c r="DJ534"/>
      <c r="DK534"/>
      <c r="DL534"/>
      <c r="DM534"/>
      <c r="DN534"/>
    </row>
    <row r="535" spans="3:118" s="238" customFormat="1" ht="15.75" customHeight="1" x14ac:dyDescent="0.25">
      <c r="C535"/>
      <c r="D535"/>
      <c r="E535"/>
      <c r="F535"/>
      <c r="G535"/>
      <c r="H535"/>
      <c r="I535"/>
      <c r="J535"/>
      <c r="K535"/>
      <c r="L535"/>
      <c r="M535"/>
      <c r="N535"/>
      <c r="O535" s="366"/>
      <c r="P535" s="366">
        <v>2017</v>
      </c>
      <c r="Q535" s="367">
        <f>LARGE($CB$455:$CB$604,81)</f>
        <v>44.8</v>
      </c>
      <c r="R535" s="357">
        <f t="shared" si="145"/>
        <v>-127.26666666666669</v>
      </c>
      <c r="S535" s="356">
        <f t="shared" si="141"/>
        <v>16196.804444444451</v>
      </c>
      <c r="U535" s="356">
        <f t="shared" si="146"/>
        <v>-7.9541666666666684</v>
      </c>
      <c r="V535" s="238">
        <f t="shared" si="143"/>
        <v>8</v>
      </c>
      <c r="W535" s="354"/>
      <c r="X535" s="366"/>
      <c r="Y535" s="366"/>
      <c r="Z535" s="238">
        <v>2017</v>
      </c>
      <c r="AA535" s="367">
        <f>LARGE($CU$455:$CU$604,81)</f>
        <v>75.900000000000006</v>
      </c>
      <c r="AB535" s="357">
        <f t="shared" si="147"/>
        <v>-116.63333333333333</v>
      </c>
      <c r="AC535" s="356">
        <f t="shared" si="142"/>
        <v>13603.334444444443</v>
      </c>
      <c r="AE535" s="356">
        <f t="shared" si="148"/>
        <v>-7.2895833333333329</v>
      </c>
      <c r="AF535" s="238">
        <f t="shared" si="144"/>
        <v>8</v>
      </c>
      <c r="AG535" s="354"/>
      <c r="AK535"/>
      <c r="AL535"/>
      <c r="AM535"/>
      <c r="AN535"/>
      <c r="AO535"/>
      <c r="AP535"/>
      <c r="BI535" s="360"/>
      <c r="BJ535" s="354"/>
      <c r="BK535" s="366">
        <v>2017</v>
      </c>
      <c r="BL535" s="365" t="s">
        <v>1286</v>
      </c>
      <c r="BM535" s="366" t="s">
        <v>140</v>
      </c>
      <c r="BN535" s="366" t="s">
        <v>3</v>
      </c>
      <c r="BO535" s="366">
        <v>0</v>
      </c>
      <c r="BP535" s="366">
        <v>0</v>
      </c>
      <c r="BQ535" s="366">
        <v>0</v>
      </c>
      <c r="BR535" s="366">
        <v>240</v>
      </c>
      <c r="BS535" s="366">
        <v>0</v>
      </c>
      <c r="BT535" s="366">
        <v>15</v>
      </c>
      <c r="BU535" s="366">
        <v>131</v>
      </c>
      <c r="BV535" s="366">
        <v>0</v>
      </c>
      <c r="BW535" s="366">
        <v>0</v>
      </c>
      <c r="BX535" s="366">
        <v>0</v>
      </c>
      <c r="BY535" s="366">
        <v>0</v>
      </c>
      <c r="BZ535" s="366">
        <v>0</v>
      </c>
      <c r="CA535" s="366">
        <v>0</v>
      </c>
      <c r="CB535" s="367">
        <f>IFERROR(BO535/Instructions!$J$25,0)+BP535*Instructions!$J$27+BQ535*Instructions!$J$29+IFERROR(BR535/Instructions!$E$34,0)+BS535*Instructions!$E$36+Tier!BT536*Instructions!$E$25+IFERROR(BU535/Instructions!$E$27,0)+BV535*Instructions!$E$29+IFERROR((BW535+BY535)/Instructions!$J$32,0)+(BX535+BZ535)*Instructions!$J$34+Tier!CA535*-2</f>
        <v>46.1</v>
      </c>
      <c r="CC535" s="354"/>
      <c r="CD535" s="238">
        <v>2017</v>
      </c>
      <c r="CE535" s="365" t="s">
        <v>1827</v>
      </c>
      <c r="CF535" s="366" t="s">
        <v>154</v>
      </c>
      <c r="CG535" s="366" t="s">
        <v>6</v>
      </c>
      <c r="CH535" s="366">
        <v>0</v>
      </c>
      <c r="CI535" s="366">
        <v>0</v>
      </c>
      <c r="CJ535" s="366">
        <v>0</v>
      </c>
      <c r="CK535" s="366">
        <v>8</v>
      </c>
      <c r="CL535" s="366">
        <v>0</v>
      </c>
      <c r="CM535" s="366">
        <v>25</v>
      </c>
      <c r="CN535" s="366">
        <v>302</v>
      </c>
      <c r="CO535" s="366">
        <v>3</v>
      </c>
      <c r="CP535" s="366">
        <v>0</v>
      </c>
      <c r="CQ535" s="366">
        <v>0</v>
      </c>
      <c r="CR535" s="366">
        <v>0</v>
      </c>
      <c r="CS535" s="366">
        <v>0</v>
      </c>
      <c r="CT535" s="366">
        <v>0</v>
      </c>
      <c r="CU535" s="367">
        <f>IFERROR(CH535/Instructions!$J$25,0)+CI535*Instructions!$J$27+CJ535*Instructions!$J$29+IFERROR(CK535/Instructions!$E$34,0)+CL535*Instructions!$E$36+Tier!CM535*Instructions!$E$25+IFERROR(CN535/Instructions!$E$27,0)+CO535*Instructions!$E$29+IFERROR((CP535+CR535)/Instructions!$J$32,0)+(CQ535+CS535)*Instructions!$J$34+Tier!CT535*-2</f>
        <v>74</v>
      </c>
      <c r="CV535" s="354"/>
      <c r="CW535"/>
      <c r="CX535"/>
      <c r="CY535"/>
      <c r="CZ535"/>
      <c r="DA535"/>
      <c r="DB535"/>
      <c r="DC535"/>
      <c r="DD535"/>
      <c r="DE535"/>
      <c r="DF535"/>
      <c r="DG535"/>
      <c r="DH535"/>
      <c r="DI535"/>
      <c r="DJ535"/>
      <c r="DK535"/>
      <c r="DL535"/>
      <c r="DM535"/>
      <c r="DN535"/>
    </row>
    <row r="536" spans="3:118" s="238" customFormat="1" ht="15.75" customHeight="1" x14ac:dyDescent="0.25">
      <c r="C536"/>
      <c r="D536"/>
      <c r="E536"/>
      <c r="F536"/>
      <c r="G536"/>
      <c r="H536"/>
      <c r="I536"/>
      <c r="J536"/>
      <c r="K536"/>
      <c r="L536"/>
      <c r="M536"/>
      <c r="N536"/>
      <c r="O536" s="366"/>
      <c r="P536" s="366">
        <v>2017</v>
      </c>
      <c r="Q536" s="367">
        <f>LARGE($CB$455:$CB$604,82)</f>
        <v>44.7</v>
      </c>
      <c r="R536" s="357">
        <f t="shared" si="145"/>
        <v>-127.36666666666669</v>
      </c>
      <c r="S536" s="356">
        <f t="shared" si="141"/>
        <v>16222.267777777783</v>
      </c>
      <c r="U536" s="356">
        <f t="shared" si="146"/>
        <v>-7.960416666666668</v>
      </c>
      <c r="V536" s="238">
        <f t="shared" si="143"/>
        <v>8</v>
      </c>
      <c r="W536" s="354"/>
      <c r="X536" s="366"/>
      <c r="Y536" s="366"/>
      <c r="Z536" s="238">
        <v>2017</v>
      </c>
      <c r="AA536" s="367">
        <f>LARGE($CU$455:$CU$604,82)</f>
        <v>75.7</v>
      </c>
      <c r="AB536" s="357">
        <f t="shared" si="147"/>
        <v>-116.83333333333333</v>
      </c>
      <c r="AC536" s="356">
        <f t="shared" si="142"/>
        <v>13650.027777777777</v>
      </c>
      <c r="AE536" s="356">
        <f t="shared" si="148"/>
        <v>-7.302083333333333</v>
      </c>
      <c r="AF536" s="238">
        <f t="shared" si="144"/>
        <v>8</v>
      </c>
      <c r="AG536" s="354"/>
      <c r="AK536"/>
      <c r="AL536"/>
      <c r="AM536"/>
      <c r="AN536"/>
      <c r="AO536"/>
      <c r="AP536"/>
      <c r="BI536" s="360"/>
      <c r="BJ536" s="354"/>
      <c r="BK536" s="366">
        <v>2017</v>
      </c>
      <c r="BL536" s="365" t="s">
        <v>1307</v>
      </c>
      <c r="BM536" s="366" t="s">
        <v>1389</v>
      </c>
      <c r="BN536" s="366" t="s">
        <v>3</v>
      </c>
      <c r="BO536" s="366">
        <v>0</v>
      </c>
      <c r="BP536" s="366">
        <v>0</v>
      </c>
      <c r="BQ536" s="366">
        <v>0</v>
      </c>
      <c r="BR536" s="366">
        <v>246</v>
      </c>
      <c r="BS536" s="366">
        <v>1</v>
      </c>
      <c r="BT536" s="366">
        <v>9</v>
      </c>
      <c r="BU536" s="366">
        <v>53</v>
      </c>
      <c r="BV536" s="366">
        <v>0</v>
      </c>
      <c r="BW536" s="366">
        <v>0</v>
      </c>
      <c r="BX536" s="366">
        <v>0</v>
      </c>
      <c r="BY536" s="366">
        <v>0</v>
      </c>
      <c r="BZ536" s="366">
        <v>0</v>
      </c>
      <c r="CA536" s="366">
        <v>0</v>
      </c>
      <c r="CB536" s="367">
        <f>IFERROR(BO536/Instructions!$J$25,0)+BP536*Instructions!$J$27+BQ536*Instructions!$J$29+IFERROR(BR536/Instructions!$E$34,0)+BS536*Instructions!$E$36+Tier!BT537*Instructions!$E$25+IFERROR(BU536/Instructions!$E$27,0)+BV536*Instructions!$E$29+IFERROR((BW536+BY536)/Instructions!$J$32,0)+(BX536+BZ536)*Instructions!$J$34+Tier!CA536*-2</f>
        <v>48.9</v>
      </c>
      <c r="CC536" s="354"/>
      <c r="CD536" s="238">
        <v>2017</v>
      </c>
      <c r="CE536" s="365" t="s">
        <v>202</v>
      </c>
      <c r="CF536" s="366" t="s">
        <v>153</v>
      </c>
      <c r="CG536" s="366" t="s">
        <v>6</v>
      </c>
      <c r="CH536" s="366">
        <v>0</v>
      </c>
      <c r="CI536" s="366">
        <v>0</v>
      </c>
      <c r="CJ536" s="366">
        <v>0</v>
      </c>
      <c r="CK536" s="366">
        <v>10</v>
      </c>
      <c r="CL536" s="366">
        <v>0</v>
      </c>
      <c r="CM536" s="366">
        <v>21</v>
      </c>
      <c r="CN536" s="366">
        <v>299</v>
      </c>
      <c r="CO536" s="366">
        <v>3</v>
      </c>
      <c r="CP536" s="366">
        <v>0</v>
      </c>
      <c r="CQ536" s="366">
        <v>0</v>
      </c>
      <c r="CR536" s="366">
        <v>0</v>
      </c>
      <c r="CS536" s="366">
        <v>0</v>
      </c>
      <c r="CT536" s="366">
        <v>0</v>
      </c>
      <c r="CU536" s="367">
        <f>IFERROR(CH536/Instructions!$J$25,0)+CI536*Instructions!$J$27+CJ536*Instructions!$J$29+IFERROR(CK536/Instructions!$E$34,0)+CL536*Instructions!$E$36+Tier!CM536*Instructions!$E$25+IFERROR(CN536/Instructions!$E$27,0)+CO536*Instructions!$E$29+IFERROR((CP536+CR536)/Instructions!$J$32,0)+(CQ536+CS536)*Instructions!$J$34+Tier!CT536*-2</f>
        <v>69.900000000000006</v>
      </c>
      <c r="CV536" s="354"/>
      <c r="CW536"/>
      <c r="CX536"/>
      <c r="CY536"/>
      <c r="CZ536"/>
      <c r="DA536"/>
      <c r="DB536"/>
      <c r="DC536"/>
      <c r="DD536"/>
      <c r="DE536"/>
      <c r="DF536"/>
      <c r="DG536"/>
      <c r="DH536"/>
      <c r="DI536"/>
      <c r="DJ536"/>
      <c r="DK536"/>
      <c r="DL536"/>
      <c r="DM536"/>
      <c r="DN536"/>
    </row>
    <row r="537" spans="3:118" s="238" customFormat="1" ht="15.75" customHeight="1" x14ac:dyDescent="0.25">
      <c r="C537"/>
      <c r="D537"/>
      <c r="E537"/>
      <c r="F537"/>
      <c r="G537"/>
      <c r="H537"/>
      <c r="I537"/>
      <c r="J537"/>
      <c r="K537"/>
      <c r="L537"/>
      <c r="M537"/>
      <c r="N537"/>
      <c r="O537" s="366"/>
      <c r="P537" s="366">
        <v>2017</v>
      </c>
      <c r="Q537" s="367">
        <f>LARGE($CB$455:$CB$604,83)</f>
        <v>43.6</v>
      </c>
      <c r="R537" s="357">
        <f t="shared" si="145"/>
        <v>-128.4666666666667</v>
      </c>
      <c r="S537" s="356">
        <f t="shared" si="141"/>
        <v>16503.68444444445</v>
      </c>
      <c r="U537" s="356">
        <f t="shared" si="146"/>
        <v>-8.0291666666666686</v>
      </c>
      <c r="V537" s="238">
        <f t="shared" si="143"/>
        <v>8</v>
      </c>
      <c r="W537" s="354"/>
      <c r="X537" s="366"/>
      <c r="Y537" s="366"/>
      <c r="Z537" s="238">
        <v>2017</v>
      </c>
      <c r="AA537" s="367">
        <f>LARGE($CU$455:$CU$604,83)</f>
        <v>74</v>
      </c>
      <c r="AB537" s="357">
        <f t="shared" si="147"/>
        <v>-118.53333333333333</v>
      </c>
      <c r="AC537" s="356">
        <f t="shared" si="142"/>
        <v>14050.15111111111</v>
      </c>
      <c r="AE537" s="356">
        <f t="shared" si="148"/>
        <v>-7.4083333333333332</v>
      </c>
      <c r="AF537" s="238">
        <f t="shared" si="144"/>
        <v>8</v>
      </c>
      <c r="AG537" s="354"/>
      <c r="AK537"/>
      <c r="AL537"/>
      <c r="AM537"/>
      <c r="AN537"/>
      <c r="AO537"/>
      <c r="AP537"/>
      <c r="BI537" s="360"/>
      <c r="BJ537" s="354"/>
      <c r="BK537" s="366">
        <v>2017</v>
      </c>
      <c r="BL537" s="365" t="s">
        <v>1204</v>
      </c>
      <c r="BM537" s="366" t="s">
        <v>137</v>
      </c>
      <c r="BN537" s="366" t="s">
        <v>3</v>
      </c>
      <c r="BO537" s="366">
        <v>0</v>
      </c>
      <c r="BP537" s="366">
        <v>0</v>
      </c>
      <c r="BQ537" s="366">
        <v>0</v>
      </c>
      <c r="BR537" s="366">
        <v>174</v>
      </c>
      <c r="BS537" s="366">
        <v>1</v>
      </c>
      <c r="BT537" s="366">
        <v>13</v>
      </c>
      <c r="BU537" s="366">
        <v>103</v>
      </c>
      <c r="BV537" s="366">
        <v>0</v>
      </c>
      <c r="BW537" s="366">
        <v>0</v>
      </c>
      <c r="BX537" s="366">
        <v>0</v>
      </c>
      <c r="BY537" s="366">
        <v>93</v>
      </c>
      <c r="BZ537" s="366">
        <v>0</v>
      </c>
      <c r="CA537" s="366">
        <v>0</v>
      </c>
      <c r="CB537" s="367">
        <f>IFERROR(BO537/Instructions!$J$25,0)+BP537*Instructions!$J$27+BQ537*Instructions!$J$29+IFERROR(BR537/Instructions!$E$34,0)+BS537*Instructions!$E$36+Tier!BT538*Instructions!$E$25+IFERROR(BU537/Instructions!$E$27,0)+BV537*Instructions!$E$29+IFERROR((BW537+BY537)/Instructions!$J$32,0)+(BX537+BZ537)*Instructions!$J$34+Tier!CA537*-2</f>
        <v>40.700000000000003</v>
      </c>
      <c r="CC537" s="354"/>
      <c r="CD537" s="238">
        <v>2017</v>
      </c>
      <c r="CE537" s="365" t="s">
        <v>1118</v>
      </c>
      <c r="CF537" s="366" t="s">
        <v>148</v>
      </c>
      <c r="CG537" s="366" t="s">
        <v>6</v>
      </c>
      <c r="CH537" s="366">
        <v>0</v>
      </c>
      <c r="CI537" s="366">
        <v>0</v>
      </c>
      <c r="CJ537" s="366">
        <v>0</v>
      </c>
      <c r="CK537" s="366">
        <v>49</v>
      </c>
      <c r="CL537" s="366">
        <v>0</v>
      </c>
      <c r="CM537" s="366">
        <v>33</v>
      </c>
      <c r="CN537" s="366">
        <v>378</v>
      </c>
      <c r="CO537" s="366">
        <v>1</v>
      </c>
      <c r="CP537" s="366">
        <v>0</v>
      </c>
      <c r="CQ537" s="366">
        <v>0</v>
      </c>
      <c r="CR537" s="366">
        <v>0</v>
      </c>
      <c r="CS537" s="366">
        <v>0</v>
      </c>
      <c r="CT537" s="366">
        <v>0</v>
      </c>
      <c r="CU537" s="367">
        <f>IFERROR(CH537/Instructions!$J$25,0)+CI537*Instructions!$J$27+CJ537*Instructions!$J$29+IFERROR(CK537/Instructions!$E$34,0)+CL537*Instructions!$E$36+Tier!CM537*Instructions!$E$25+IFERROR(CN537/Instructions!$E$27,0)+CO537*Instructions!$E$29+IFERROR((CP537+CR537)/Instructions!$J$32,0)+(CQ537+CS537)*Instructions!$J$34+Tier!CT537*-2</f>
        <v>81.699999999999989</v>
      </c>
      <c r="CV537" s="354"/>
      <c r="CW537"/>
      <c r="CX537"/>
      <c r="CY537"/>
      <c r="CZ537"/>
      <c r="DA537"/>
      <c r="DB537"/>
      <c r="DC537"/>
      <c r="DD537"/>
      <c r="DE537"/>
      <c r="DF537"/>
      <c r="DG537"/>
      <c r="DH537"/>
      <c r="DI537"/>
      <c r="DJ537"/>
      <c r="DK537"/>
      <c r="DL537"/>
      <c r="DM537"/>
      <c r="DN537"/>
    </row>
    <row r="538" spans="3:118" s="238" customFormat="1" ht="15.75" customHeight="1" x14ac:dyDescent="0.25">
      <c r="C538"/>
      <c r="D538"/>
      <c r="E538"/>
      <c r="F538"/>
      <c r="G538"/>
      <c r="H538"/>
      <c r="I538"/>
      <c r="J538"/>
      <c r="K538"/>
      <c r="L538"/>
      <c r="M538"/>
      <c r="N538"/>
      <c r="O538" s="366"/>
      <c r="P538" s="366">
        <v>2017</v>
      </c>
      <c r="Q538" s="367">
        <f>LARGE($CB$455:$CB$604,84)</f>
        <v>40.700000000000003</v>
      </c>
      <c r="R538" s="357">
        <f t="shared" si="145"/>
        <v>-131.36666666666667</v>
      </c>
      <c r="S538" s="356">
        <f t="shared" si="141"/>
        <v>17257.201111111113</v>
      </c>
      <c r="U538" s="356">
        <f t="shared" si="146"/>
        <v>-8.2104166666666671</v>
      </c>
      <c r="V538" s="238">
        <f t="shared" si="143"/>
        <v>8</v>
      </c>
      <c r="W538" s="354"/>
      <c r="X538" s="366"/>
      <c r="Y538" s="366"/>
      <c r="Z538" s="238">
        <v>2017</v>
      </c>
      <c r="AA538" s="367">
        <f>LARGE($CU$455:$CU$604,84)</f>
        <v>73.8</v>
      </c>
      <c r="AB538" s="357">
        <f t="shared" si="147"/>
        <v>-118.73333333333333</v>
      </c>
      <c r="AC538" s="356">
        <f t="shared" si="142"/>
        <v>14097.604444444445</v>
      </c>
      <c r="AE538" s="356">
        <f t="shared" si="148"/>
        <v>-7.4208333333333334</v>
      </c>
      <c r="AF538" s="238">
        <f t="shared" si="144"/>
        <v>8</v>
      </c>
      <c r="AG538" s="354"/>
      <c r="AK538"/>
      <c r="AL538"/>
      <c r="AM538"/>
      <c r="AN538"/>
      <c r="AO538"/>
      <c r="AP538"/>
      <c r="BI538" s="360"/>
      <c r="BJ538" s="354"/>
      <c r="BK538" s="366">
        <v>2017</v>
      </c>
      <c r="BL538" s="365" t="s">
        <v>1453</v>
      </c>
      <c r="BM538" s="366" t="s">
        <v>140</v>
      </c>
      <c r="BN538" s="366" t="s">
        <v>3</v>
      </c>
      <c r="BO538" s="366">
        <v>0</v>
      </c>
      <c r="BP538" s="366">
        <v>0</v>
      </c>
      <c r="BQ538" s="366">
        <v>0</v>
      </c>
      <c r="BR538" s="366">
        <v>208</v>
      </c>
      <c r="BS538" s="366">
        <v>0</v>
      </c>
      <c r="BT538" s="366">
        <v>7</v>
      </c>
      <c r="BU538" s="366">
        <v>59</v>
      </c>
      <c r="BV538" s="366">
        <v>1</v>
      </c>
      <c r="BW538" s="366">
        <v>0</v>
      </c>
      <c r="BX538" s="366">
        <v>0</v>
      </c>
      <c r="BY538" s="366">
        <v>0</v>
      </c>
      <c r="BZ538" s="366">
        <v>0</v>
      </c>
      <c r="CA538" s="366">
        <v>0</v>
      </c>
      <c r="CB538" s="367">
        <f>IFERROR(BO538/Instructions!$J$25,0)+BP538*Instructions!$J$27+BQ538*Instructions!$J$29+IFERROR(BR538/Instructions!$E$34,0)+BS538*Instructions!$E$36+Tier!BT539*Instructions!$E$25+IFERROR(BU538/Instructions!$E$27,0)+BV538*Instructions!$E$29+IFERROR((BW538+BY538)/Instructions!$J$32,0)+(BX538+BZ538)*Instructions!$J$34+Tier!CA538*-2</f>
        <v>34.700000000000003</v>
      </c>
      <c r="CC538" s="354"/>
      <c r="CD538" s="238">
        <v>2017</v>
      </c>
      <c r="CE538" s="365" t="s">
        <v>83</v>
      </c>
      <c r="CF538" s="366" t="s">
        <v>137</v>
      </c>
      <c r="CG538" s="366" t="s">
        <v>6</v>
      </c>
      <c r="CH538" s="366">
        <v>0</v>
      </c>
      <c r="CI538" s="366">
        <v>0</v>
      </c>
      <c r="CJ538" s="366">
        <v>0</v>
      </c>
      <c r="CK538" s="366">
        <v>-3</v>
      </c>
      <c r="CL538" s="366">
        <v>0</v>
      </c>
      <c r="CM538" s="366">
        <v>32</v>
      </c>
      <c r="CN538" s="366">
        <v>364</v>
      </c>
      <c r="CO538" s="366">
        <v>2</v>
      </c>
      <c r="CP538" s="366">
        <v>9</v>
      </c>
      <c r="CQ538" s="366">
        <v>0</v>
      </c>
      <c r="CR538" s="366">
        <v>0</v>
      </c>
      <c r="CS538" s="366">
        <v>0</v>
      </c>
      <c r="CT538" s="366">
        <v>0</v>
      </c>
      <c r="CU538" s="367">
        <f>IFERROR(CH538/Instructions!$J$25,0)+CI538*Instructions!$J$27+CJ538*Instructions!$J$29+IFERROR(CK538/Instructions!$E$34,0)+CL538*Instructions!$E$36+Tier!CM538*Instructions!$E$25+IFERROR(CN538/Instructions!$E$27,0)+CO538*Instructions!$E$29+IFERROR((CP538+CR538)/Instructions!$J$32,0)+(CQ538+CS538)*Instructions!$J$34+Tier!CT538*-2</f>
        <v>80.099999999999994</v>
      </c>
      <c r="CV538" s="354"/>
      <c r="CW538"/>
      <c r="CX538"/>
      <c r="CY538"/>
      <c r="CZ538"/>
      <c r="DA538"/>
      <c r="DB538"/>
      <c r="DC538"/>
      <c r="DD538"/>
      <c r="DE538"/>
      <c r="DF538"/>
      <c r="DG538"/>
      <c r="DH538"/>
      <c r="DI538"/>
      <c r="DJ538"/>
      <c r="DK538"/>
      <c r="DL538"/>
      <c r="DM538"/>
      <c r="DN538"/>
    </row>
    <row r="539" spans="3:118" s="238" customFormat="1" ht="15.75" customHeight="1" x14ac:dyDescent="0.25">
      <c r="C539"/>
      <c r="D539"/>
      <c r="E539"/>
      <c r="F539"/>
      <c r="G539"/>
      <c r="H539"/>
      <c r="I539"/>
      <c r="J539"/>
      <c r="K539"/>
      <c r="L539"/>
      <c r="M539"/>
      <c r="N539"/>
      <c r="O539" s="366"/>
      <c r="P539" s="366">
        <v>2017</v>
      </c>
      <c r="Q539" s="367">
        <f>LARGE($CB$455:$CB$604,85)</f>
        <v>40.099999999999994</v>
      </c>
      <c r="R539" s="357">
        <f t="shared" si="145"/>
        <v>-131.9666666666667</v>
      </c>
      <c r="S539" s="356">
        <f t="shared" si="141"/>
        <v>17415.201111111121</v>
      </c>
      <c r="U539" s="356">
        <f t="shared" si="146"/>
        <v>-8.2479166666666686</v>
      </c>
      <c r="V539" s="238">
        <f t="shared" si="143"/>
        <v>8</v>
      </c>
      <c r="W539" s="354"/>
      <c r="X539" s="366"/>
      <c r="Y539" s="366"/>
      <c r="Z539" s="238">
        <v>2017</v>
      </c>
      <c r="AA539" s="367">
        <f>LARGE($CU$455:$CU$604,85)</f>
        <v>71.5</v>
      </c>
      <c r="AB539" s="357">
        <f t="shared" si="147"/>
        <v>-121.03333333333333</v>
      </c>
      <c r="AC539" s="356">
        <f t="shared" si="142"/>
        <v>14649.067777777776</v>
      </c>
      <c r="AE539" s="356">
        <f t="shared" si="148"/>
        <v>-7.5645833333333332</v>
      </c>
      <c r="AF539" s="238">
        <f t="shared" si="144"/>
        <v>8</v>
      </c>
      <c r="AG539" s="354"/>
      <c r="AK539"/>
      <c r="AL539"/>
      <c r="AM539"/>
      <c r="AN539"/>
      <c r="AO539"/>
      <c r="AP539"/>
      <c r="BI539" s="360"/>
      <c r="BJ539" s="354"/>
      <c r="BK539" s="366">
        <v>2017</v>
      </c>
      <c r="BL539" s="365" t="s">
        <v>1822</v>
      </c>
      <c r="BM539" s="366" t="s">
        <v>142</v>
      </c>
      <c r="BN539" s="366" t="s">
        <v>3</v>
      </c>
      <c r="BO539" s="366">
        <v>0</v>
      </c>
      <c r="BP539" s="366">
        <v>0</v>
      </c>
      <c r="BQ539" s="366">
        <v>0</v>
      </c>
      <c r="BR539" s="366">
        <v>165</v>
      </c>
      <c r="BS539" s="366">
        <v>2</v>
      </c>
      <c r="BT539" s="366">
        <v>2</v>
      </c>
      <c r="BU539" s="366">
        <v>14</v>
      </c>
      <c r="BV539" s="366">
        <v>0</v>
      </c>
      <c r="BW539" s="366">
        <v>0</v>
      </c>
      <c r="BX539" s="366">
        <v>0</v>
      </c>
      <c r="BY539" s="366">
        <v>0</v>
      </c>
      <c r="BZ539" s="366">
        <v>0</v>
      </c>
      <c r="CA539" s="366">
        <v>0</v>
      </c>
      <c r="CB539" s="367">
        <f>IFERROR(BO539/Instructions!$J$25,0)+BP539*Instructions!$J$27+BQ539*Instructions!$J$29+IFERROR(BR539/Instructions!$E$34,0)+BS539*Instructions!$E$36+Tier!BT540*Instructions!$E$25+IFERROR(BU539/Instructions!$E$27,0)+BV539*Instructions!$E$29+IFERROR((BW539+BY539)/Instructions!$J$32,0)+(BX539+BZ539)*Instructions!$J$34+Tier!CA539*-2</f>
        <v>33.9</v>
      </c>
      <c r="CC539" s="354"/>
      <c r="CD539" s="238">
        <v>2017</v>
      </c>
      <c r="CE539" s="365" t="s">
        <v>1274</v>
      </c>
      <c r="CF539" s="366" t="s">
        <v>162</v>
      </c>
      <c r="CG539" s="366" t="s">
        <v>6</v>
      </c>
      <c r="CH539" s="366">
        <v>0</v>
      </c>
      <c r="CI539" s="366">
        <v>0</v>
      </c>
      <c r="CJ539" s="366">
        <v>0</v>
      </c>
      <c r="CK539" s="366">
        <v>-9</v>
      </c>
      <c r="CL539" s="366">
        <v>1</v>
      </c>
      <c r="CM539" s="366">
        <v>18</v>
      </c>
      <c r="CN539" s="366">
        <v>248</v>
      </c>
      <c r="CO539" s="366">
        <v>3</v>
      </c>
      <c r="CP539" s="366">
        <v>0</v>
      </c>
      <c r="CQ539" s="366">
        <v>0</v>
      </c>
      <c r="CR539" s="366">
        <v>346</v>
      </c>
      <c r="CS539" s="366">
        <v>0</v>
      </c>
      <c r="CT539" s="366">
        <v>0</v>
      </c>
      <c r="CU539" s="367">
        <f>IFERROR(CH539/Instructions!$J$25,0)+CI539*Instructions!$J$27+CJ539*Instructions!$J$29+IFERROR(CK539/Instructions!$E$34,0)+CL539*Instructions!$E$36+Tier!CM539*Instructions!$E$25+IFERROR(CN539/Instructions!$E$27,0)+CO539*Instructions!$E$29+IFERROR((CP539+CR539)/Instructions!$J$32,0)+(CQ539+CS539)*Instructions!$J$34+Tier!CT539*-2</f>
        <v>65.900000000000006</v>
      </c>
      <c r="CV539" s="354"/>
      <c r="CW539"/>
      <c r="CX539"/>
      <c r="CY539"/>
      <c r="CZ539"/>
      <c r="DA539"/>
      <c r="DB539"/>
      <c r="DC539"/>
      <c r="DD539"/>
      <c r="DE539"/>
      <c r="DF539"/>
      <c r="DG539"/>
      <c r="DH539"/>
      <c r="DI539"/>
      <c r="DJ539"/>
      <c r="DK539"/>
      <c r="DL539"/>
      <c r="DM539"/>
      <c r="DN539"/>
    </row>
    <row r="540" spans="3:118" s="238" customFormat="1" ht="15.75" customHeight="1" x14ac:dyDescent="0.25">
      <c r="C540"/>
      <c r="D540"/>
      <c r="E540"/>
      <c r="F540"/>
      <c r="G540"/>
      <c r="H540"/>
      <c r="I540"/>
      <c r="J540"/>
      <c r="K540"/>
      <c r="L540"/>
      <c r="M540"/>
      <c r="N540"/>
      <c r="O540" s="366"/>
      <c r="P540" s="366">
        <v>2017</v>
      </c>
      <c r="Q540" s="367">
        <f>LARGE($CB$455:$CB$604,86)</f>
        <v>38.6</v>
      </c>
      <c r="R540" s="357">
        <f t="shared" si="145"/>
        <v>-133.4666666666667</v>
      </c>
      <c r="S540" s="356">
        <f t="shared" si="141"/>
        <v>17813.351111111118</v>
      </c>
      <c r="U540" s="356">
        <f t="shared" si="146"/>
        <v>-8.3416666666666686</v>
      </c>
      <c r="V540" s="238">
        <f t="shared" si="143"/>
        <v>8</v>
      </c>
      <c r="W540" s="354"/>
      <c r="X540" s="366"/>
      <c r="Y540" s="366"/>
      <c r="Z540" s="238">
        <v>2017</v>
      </c>
      <c r="AA540" s="367">
        <f>LARGE($CU$455:$CU$604,86)</f>
        <v>70.599999999999994</v>
      </c>
      <c r="AB540" s="357">
        <f t="shared" si="147"/>
        <v>-121.93333333333334</v>
      </c>
      <c r="AC540" s="356">
        <f t="shared" si="142"/>
        <v>14867.737777777778</v>
      </c>
      <c r="AE540" s="356">
        <f t="shared" si="148"/>
        <v>-7.6208333333333336</v>
      </c>
      <c r="AF540" s="238">
        <f t="shared" si="144"/>
        <v>8</v>
      </c>
      <c r="AG540" s="354"/>
      <c r="AK540"/>
      <c r="AL540"/>
      <c r="AM540"/>
      <c r="AN540"/>
      <c r="AO540"/>
      <c r="AP540"/>
      <c r="BI540" s="360"/>
      <c r="BJ540" s="354"/>
      <c r="BK540" s="366">
        <v>2017</v>
      </c>
      <c r="BL540" s="365" t="s">
        <v>1752</v>
      </c>
      <c r="BM540" s="366" t="s">
        <v>153</v>
      </c>
      <c r="BN540" s="366" t="s">
        <v>3</v>
      </c>
      <c r="BO540" s="366">
        <v>0</v>
      </c>
      <c r="BP540" s="366">
        <v>0</v>
      </c>
      <c r="BQ540" s="366">
        <v>0</v>
      </c>
      <c r="BR540" s="366">
        <v>124</v>
      </c>
      <c r="BS540" s="366">
        <v>2</v>
      </c>
      <c r="BT540" s="366">
        <v>4</v>
      </c>
      <c r="BU540" s="366">
        <v>38</v>
      </c>
      <c r="BV540" s="366">
        <v>0</v>
      </c>
      <c r="BW540" s="366">
        <v>0</v>
      </c>
      <c r="BX540" s="366">
        <v>0</v>
      </c>
      <c r="BY540" s="366">
        <v>0</v>
      </c>
      <c r="BZ540" s="366">
        <v>0</v>
      </c>
      <c r="CA540" s="366">
        <v>0</v>
      </c>
      <c r="CB540" s="367">
        <f>IFERROR(BO540/Instructions!$J$25,0)+BP540*Instructions!$J$27+BQ540*Instructions!$J$29+IFERROR(BR540/Instructions!$E$34,0)+BS540*Instructions!$E$36+Tier!BT541*Instructions!$E$25+IFERROR(BU540/Instructions!$E$27,0)+BV540*Instructions!$E$29+IFERROR((BW540+BY540)/Instructions!$J$32,0)+(BX540+BZ540)*Instructions!$J$34+Tier!CA540*-2</f>
        <v>30.2</v>
      </c>
      <c r="CC540" s="354"/>
      <c r="CD540" s="238">
        <v>2017</v>
      </c>
      <c r="CE540" s="365" t="s">
        <v>215</v>
      </c>
      <c r="CF540" s="366" t="s">
        <v>151</v>
      </c>
      <c r="CG540" s="366" t="s">
        <v>6</v>
      </c>
      <c r="CH540" s="366">
        <v>0</v>
      </c>
      <c r="CI540" s="366">
        <v>0</v>
      </c>
      <c r="CJ540" s="366">
        <v>0</v>
      </c>
      <c r="CK540" s="366">
        <v>17</v>
      </c>
      <c r="CL540" s="366">
        <v>0</v>
      </c>
      <c r="CM540" s="366">
        <v>29</v>
      </c>
      <c r="CN540" s="366">
        <v>330</v>
      </c>
      <c r="CO540" s="366">
        <v>2</v>
      </c>
      <c r="CP540" s="366">
        <v>47</v>
      </c>
      <c r="CQ540" s="366">
        <v>0</v>
      </c>
      <c r="CR540" s="366">
        <v>0</v>
      </c>
      <c r="CS540" s="366">
        <v>0</v>
      </c>
      <c r="CT540" s="366">
        <v>0</v>
      </c>
      <c r="CU540" s="367">
        <f>IFERROR(CH540/Instructions!$J$25,0)+CI540*Instructions!$J$27+CJ540*Instructions!$J$29+IFERROR(CK540/Instructions!$E$34,0)+CL540*Instructions!$E$36+Tier!CM540*Instructions!$E$25+IFERROR(CN540/Instructions!$E$27,0)+CO540*Instructions!$E$29+IFERROR((CP540+CR540)/Instructions!$J$32,0)+(CQ540+CS540)*Instructions!$J$34+Tier!CT540*-2</f>
        <v>75.7</v>
      </c>
      <c r="CV540" s="354"/>
      <c r="CW540"/>
      <c r="CX540"/>
      <c r="CY540"/>
      <c r="CZ540"/>
      <c r="DA540"/>
      <c r="DB540"/>
      <c r="DC540"/>
      <c r="DD540"/>
      <c r="DE540"/>
      <c r="DF540"/>
      <c r="DG540"/>
      <c r="DH540"/>
      <c r="DI540"/>
      <c r="DJ540"/>
      <c r="DK540"/>
      <c r="DL540"/>
      <c r="DM540"/>
      <c r="DN540"/>
    </row>
    <row r="541" spans="3:118" s="238" customFormat="1" ht="15.75" customHeight="1" x14ac:dyDescent="0.25">
      <c r="C541"/>
      <c r="D541"/>
      <c r="E541"/>
      <c r="F541"/>
      <c r="G541"/>
      <c r="H541"/>
      <c r="I541"/>
      <c r="J541"/>
      <c r="K541"/>
      <c r="L541"/>
      <c r="M541"/>
      <c r="N541"/>
      <c r="O541" s="366"/>
      <c r="P541" s="366">
        <v>2017</v>
      </c>
      <c r="Q541" s="367">
        <f>LARGE($CB$455:$CB$604,87)</f>
        <v>34.700000000000003</v>
      </c>
      <c r="R541" s="357">
        <f t="shared" si="145"/>
        <v>-137.36666666666667</v>
      </c>
      <c r="S541" s="356">
        <f t="shared" si="141"/>
        <v>18869.601111111115</v>
      </c>
      <c r="U541" s="356">
        <f t="shared" si="146"/>
        <v>-8.5854166666666671</v>
      </c>
      <c r="V541" s="238">
        <f t="shared" si="143"/>
        <v>8</v>
      </c>
      <c r="W541" s="354"/>
      <c r="X541" s="366"/>
      <c r="Y541" s="366"/>
      <c r="Z541" s="238">
        <v>2017</v>
      </c>
      <c r="AA541" s="367">
        <f>LARGE($CU$455:$CU$604,87)</f>
        <v>69.900000000000006</v>
      </c>
      <c r="AB541" s="357">
        <f t="shared" si="147"/>
        <v>-122.63333333333333</v>
      </c>
      <c r="AC541" s="356">
        <f t="shared" si="142"/>
        <v>15038.934444444443</v>
      </c>
      <c r="AE541" s="356">
        <f t="shared" si="148"/>
        <v>-7.6645833333333329</v>
      </c>
      <c r="AF541" s="238">
        <f t="shared" si="144"/>
        <v>8</v>
      </c>
      <c r="AG541" s="354"/>
      <c r="AK541"/>
      <c r="AL541"/>
      <c r="AM541"/>
      <c r="AN541"/>
      <c r="AO541"/>
      <c r="AP541"/>
      <c r="BI541" s="360"/>
      <c r="BJ541" s="354"/>
      <c r="BK541" s="366">
        <v>2017</v>
      </c>
      <c r="BL541" s="365" t="s">
        <v>100</v>
      </c>
      <c r="BM541" s="366" t="s">
        <v>162</v>
      </c>
      <c r="BN541" s="366" t="s">
        <v>3</v>
      </c>
      <c r="BO541" s="366">
        <v>0</v>
      </c>
      <c r="BP541" s="366">
        <v>0</v>
      </c>
      <c r="BQ541" s="366">
        <v>0</v>
      </c>
      <c r="BR541" s="366">
        <v>138</v>
      </c>
      <c r="BS541" s="366">
        <v>2</v>
      </c>
      <c r="BT541" s="366">
        <v>2</v>
      </c>
      <c r="BU541" s="366">
        <v>23</v>
      </c>
      <c r="BV541" s="366">
        <v>0</v>
      </c>
      <c r="BW541" s="366">
        <v>0</v>
      </c>
      <c r="BX541" s="366">
        <v>0</v>
      </c>
      <c r="BY541" s="366">
        <v>0</v>
      </c>
      <c r="BZ541" s="366">
        <v>0</v>
      </c>
      <c r="CA541" s="366">
        <v>1</v>
      </c>
      <c r="CB541" s="367">
        <f>IFERROR(BO541/Instructions!$J$25,0)+BP541*Instructions!$J$27+BQ541*Instructions!$J$29+IFERROR(BR541/Instructions!$E$34,0)+BS541*Instructions!$E$36+Tier!BT542*Instructions!$E$25+IFERROR(BU541/Instructions!$E$27,0)+BV541*Instructions!$E$29+IFERROR((BW541+BY541)/Instructions!$J$32,0)+(BX541+BZ541)*Instructions!$J$34+Tier!CA541*-2</f>
        <v>40.099999999999994</v>
      </c>
      <c r="CC541" s="354"/>
      <c r="CD541" s="238">
        <v>2017</v>
      </c>
      <c r="CE541" s="365" t="s">
        <v>911</v>
      </c>
      <c r="CF541" s="366" t="s">
        <v>142</v>
      </c>
      <c r="CG541" s="366" t="s">
        <v>6</v>
      </c>
      <c r="CH541" s="366">
        <v>0</v>
      </c>
      <c r="CI541" s="366">
        <v>0</v>
      </c>
      <c r="CJ541" s="366">
        <v>0</v>
      </c>
      <c r="CK541" s="366">
        <v>0</v>
      </c>
      <c r="CL541" s="366">
        <v>0</v>
      </c>
      <c r="CM541" s="366">
        <v>30</v>
      </c>
      <c r="CN541" s="366">
        <v>399</v>
      </c>
      <c r="CO541" s="366">
        <v>1</v>
      </c>
      <c r="CP541" s="366">
        <v>0</v>
      </c>
      <c r="CQ541" s="366">
        <v>0</v>
      </c>
      <c r="CR541" s="366">
        <v>0</v>
      </c>
      <c r="CS541" s="366">
        <v>0</v>
      </c>
      <c r="CT541" s="366">
        <v>0</v>
      </c>
      <c r="CU541" s="367">
        <f>IFERROR(CH541/Instructions!$J$25,0)+CI541*Instructions!$J$27+CJ541*Instructions!$J$29+IFERROR(CK541/Instructions!$E$34,0)+CL541*Instructions!$E$36+Tier!CM541*Instructions!$E$25+IFERROR(CN541/Instructions!$E$27,0)+CO541*Instructions!$E$29+IFERROR((CP541+CR541)/Instructions!$J$32,0)+(CQ541+CS541)*Instructions!$J$34+Tier!CT541*-2</f>
        <v>75.900000000000006</v>
      </c>
      <c r="CV541" s="354"/>
      <c r="CW541"/>
      <c r="CX541"/>
      <c r="CY541"/>
      <c r="CZ541"/>
      <c r="DA541"/>
      <c r="DB541"/>
      <c r="DC541"/>
      <c r="DD541"/>
      <c r="DE541"/>
      <c r="DF541"/>
      <c r="DG541"/>
      <c r="DH541"/>
      <c r="DI541"/>
      <c r="DJ541"/>
      <c r="DK541"/>
      <c r="DL541"/>
      <c r="DM541"/>
      <c r="DN541"/>
    </row>
    <row r="542" spans="3:118" s="238" customFormat="1" ht="15.75" customHeight="1" x14ac:dyDescent="0.25">
      <c r="C542"/>
      <c r="D542"/>
      <c r="E542"/>
      <c r="F542"/>
      <c r="G542"/>
      <c r="H542"/>
      <c r="I542"/>
      <c r="J542"/>
      <c r="K542"/>
      <c r="L542"/>
      <c r="M542"/>
      <c r="N542"/>
      <c r="O542" s="366"/>
      <c r="P542" s="366">
        <v>2017</v>
      </c>
      <c r="Q542" s="367">
        <f>LARGE($CB$455:$CB$604,88)</f>
        <v>34.6</v>
      </c>
      <c r="R542" s="357">
        <f t="shared" si="145"/>
        <v>-137.4666666666667</v>
      </c>
      <c r="S542" s="356">
        <f t="shared" si="141"/>
        <v>18897.084444444452</v>
      </c>
      <c r="U542" s="356">
        <f t="shared" si="146"/>
        <v>-8.5916666666666686</v>
      </c>
      <c r="V542" s="238">
        <f t="shared" si="143"/>
        <v>8</v>
      </c>
      <c r="W542" s="354"/>
      <c r="X542" s="366"/>
      <c r="Y542" s="366"/>
      <c r="Z542" s="238">
        <v>2017</v>
      </c>
      <c r="AA542" s="367">
        <f>LARGE($CU$455:$CU$604,88)</f>
        <v>68.599999999999994</v>
      </c>
      <c r="AB542" s="357">
        <f t="shared" si="147"/>
        <v>-123.93333333333334</v>
      </c>
      <c r="AC542" s="356">
        <f t="shared" si="142"/>
        <v>15359.471111111112</v>
      </c>
      <c r="AE542" s="356">
        <f t="shared" si="148"/>
        <v>-7.7458333333333336</v>
      </c>
      <c r="AF542" s="238">
        <f t="shared" si="144"/>
        <v>8</v>
      </c>
      <c r="AG542" s="354"/>
      <c r="AK542"/>
      <c r="AL542"/>
      <c r="AM542"/>
      <c r="AN542"/>
      <c r="AO542"/>
      <c r="AP542"/>
      <c r="BI542" s="360"/>
      <c r="BJ542" s="354"/>
      <c r="BK542" s="366">
        <v>2017</v>
      </c>
      <c r="BL542" s="365" t="s">
        <v>1330</v>
      </c>
      <c r="BM542" s="366" t="s">
        <v>152</v>
      </c>
      <c r="BN542" s="366" t="s">
        <v>3</v>
      </c>
      <c r="BO542" s="366">
        <v>0</v>
      </c>
      <c r="BP542" s="366">
        <v>0</v>
      </c>
      <c r="BQ542" s="366">
        <v>0</v>
      </c>
      <c r="BR542" s="366">
        <v>79</v>
      </c>
      <c r="BS542" s="366">
        <v>0</v>
      </c>
      <c r="BT542" s="366">
        <v>14</v>
      </c>
      <c r="BU542" s="366">
        <v>128</v>
      </c>
      <c r="BV542" s="366">
        <v>1</v>
      </c>
      <c r="BW542" s="366">
        <v>0</v>
      </c>
      <c r="BX542" s="366">
        <v>0</v>
      </c>
      <c r="BY542" s="366">
        <v>17</v>
      </c>
      <c r="BZ542" s="366">
        <v>0</v>
      </c>
      <c r="CA542" s="366">
        <v>0</v>
      </c>
      <c r="CB542" s="367">
        <f>IFERROR(BO542/Instructions!$J$25,0)+BP542*Instructions!$J$27+BQ542*Instructions!$J$29+IFERROR(BR542/Instructions!$E$34,0)+BS542*Instructions!$E$36+Tier!BT543*Instructions!$E$25+IFERROR(BU542/Instructions!$E$27,0)+BV542*Instructions!$E$29+IFERROR((BW542+BY542)/Instructions!$J$32,0)+(BX542+BZ542)*Instructions!$J$34+Tier!CA542*-2</f>
        <v>59.7</v>
      </c>
      <c r="CC542" s="354"/>
      <c r="CD542" s="238">
        <v>2017</v>
      </c>
      <c r="CE542" s="365" t="s">
        <v>1258</v>
      </c>
      <c r="CF542" s="366" t="s">
        <v>141</v>
      </c>
      <c r="CG542" s="366" t="s">
        <v>6</v>
      </c>
      <c r="CH542" s="366">
        <v>0</v>
      </c>
      <c r="CI542" s="366">
        <v>0</v>
      </c>
      <c r="CJ542" s="366">
        <v>0</v>
      </c>
      <c r="CK542" s="366">
        <v>6</v>
      </c>
      <c r="CL542" s="366">
        <v>0</v>
      </c>
      <c r="CM542" s="366">
        <v>24</v>
      </c>
      <c r="CN542" s="366">
        <v>376</v>
      </c>
      <c r="CO542" s="366">
        <v>1</v>
      </c>
      <c r="CP542" s="366">
        <v>0</v>
      </c>
      <c r="CQ542" s="366">
        <v>0</v>
      </c>
      <c r="CR542" s="366">
        <v>0</v>
      </c>
      <c r="CS542" s="366">
        <v>0</v>
      </c>
      <c r="CT542" s="366">
        <v>0</v>
      </c>
      <c r="CU542" s="367">
        <f>IFERROR(CH542/Instructions!$J$25,0)+CI542*Instructions!$J$27+CJ542*Instructions!$J$29+IFERROR(CK542/Instructions!$E$34,0)+CL542*Instructions!$E$36+Tier!CM542*Instructions!$E$25+IFERROR(CN542/Instructions!$E$27,0)+CO542*Instructions!$E$29+IFERROR((CP542+CR542)/Instructions!$J$32,0)+(CQ542+CS542)*Instructions!$J$34+Tier!CT542*-2</f>
        <v>68.2</v>
      </c>
      <c r="CV542" s="354"/>
      <c r="CW542"/>
      <c r="CX542"/>
      <c r="CY542"/>
      <c r="CZ542"/>
      <c r="DA542"/>
      <c r="DB542"/>
      <c r="DC542"/>
      <c r="DD542"/>
      <c r="DE542"/>
      <c r="DF542"/>
      <c r="DG542"/>
      <c r="DH542"/>
      <c r="DI542"/>
      <c r="DJ542"/>
      <c r="DK542"/>
      <c r="DL542"/>
      <c r="DM542"/>
      <c r="DN542"/>
    </row>
    <row r="543" spans="3:118" s="238" customFormat="1" ht="15.75" customHeight="1" x14ac:dyDescent="0.25">
      <c r="C543"/>
      <c r="D543"/>
      <c r="E543"/>
      <c r="F543"/>
      <c r="G543"/>
      <c r="H543"/>
      <c r="I543"/>
      <c r="J543"/>
      <c r="K543"/>
      <c r="L543"/>
      <c r="M543"/>
      <c r="N543"/>
      <c r="O543" s="366"/>
      <c r="P543" s="366">
        <v>2017</v>
      </c>
      <c r="Q543" s="367">
        <f>LARGE($CB$455:$CB$604,89)</f>
        <v>33.9</v>
      </c>
      <c r="R543" s="357">
        <f t="shared" si="145"/>
        <v>-138.16666666666669</v>
      </c>
      <c r="S543" s="356">
        <f t="shared" si="141"/>
        <v>19090.027777777785</v>
      </c>
      <c r="U543" s="356">
        <f t="shared" si="146"/>
        <v>-8.6354166666666679</v>
      </c>
      <c r="V543" s="238">
        <f t="shared" si="143"/>
        <v>8</v>
      </c>
      <c r="W543" s="354"/>
      <c r="X543" s="366"/>
      <c r="Y543" s="366"/>
      <c r="Z543" s="238">
        <v>2017</v>
      </c>
      <c r="AA543" s="367">
        <f>LARGE($CU$455:$CU$604,89)</f>
        <v>68.2</v>
      </c>
      <c r="AB543" s="357">
        <f t="shared" si="147"/>
        <v>-124.33333333333333</v>
      </c>
      <c r="AC543" s="356">
        <f t="shared" si="142"/>
        <v>15458.777777777777</v>
      </c>
      <c r="AE543" s="356">
        <f t="shared" si="148"/>
        <v>-7.770833333333333</v>
      </c>
      <c r="AF543" s="238">
        <f t="shared" si="144"/>
        <v>8</v>
      </c>
      <c r="AG543" s="354"/>
      <c r="AK543"/>
      <c r="AL543"/>
      <c r="AM543"/>
      <c r="AN543"/>
      <c r="AO543"/>
      <c r="AP543"/>
      <c r="BI543" s="360"/>
      <c r="BJ543" s="354"/>
      <c r="BK543" s="366">
        <v>2017</v>
      </c>
      <c r="BL543" s="365" t="s">
        <v>95</v>
      </c>
      <c r="BM543" s="366" t="s">
        <v>162</v>
      </c>
      <c r="BN543" s="366" t="s">
        <v>3</v>
      </c>
      <c r="BO543" s="366">
        <v>0</v>
      </c>
      <c r="BP543" s="366">
        <v>0</v>
      </c>
      <c r="BQ543" s="366">
        <v>0</v>
      </c>
      <c r="BR543" s="366">
        <v>56</v>
      </c>
      <c r="BS543" s="366">
        <v>0</v>
      </c>
      <c r="BT543" s="366">
        <v>33</v>
      </c>
      <c r="BU543" s="366">
        <v>200</v>
      </c>
      <c r="BV543" s="366">
        <v>0</v>
      </c>
      <c r="BW543" s="366">
        <v>0</v>
      </c>
      <c r="BX543" s="366">
        <v>0</v>
      </c>
      <c r="BY543" s="366">
        <v>0</v>
      </c>
      <c r="BZ543" s="366">
        <v>0</v>
      </c>
      <c r="CA543" s="366">
        <v>0</v>
      </c>
      <c r="CB543" s="367">
        <f>IFERROR(BO543/Instructions!$J$25,0)+BP543*Instructions!$J$27+BQ543*Instructions!$J$29+IFERROR(BR543/Instructions!$E$34,0)+BS543*Instructions!$E$36+Tier!BT544*Instructions!$E$25+IFERROR(BU543/Instructions!$E$27,0)+BV543*Instructions!$E$29+IFERROR((BW543+BY543)/Instructions!$J$32,0)+(BX543+BZ543)*Instructions!$J$34+Tier!CA543*-2</f>
        <v>34.6</v>
      </c>
      <c r="CC543" s="354"/>
      <c r="CD543" s="238">
        <v>2017</v>
      </c>
      <c r="CE543" s="365" t="s">
        <v>1214</v>
      </c>
      <c r="CF543" s="366" t="s">
        <v>161</v>
      </c>
      <c r="CG543" s="366" t="s">
        <v>6</v>
      </c>
      <c r="CH543" s="366">
        <v>0</v>
      </c>
      <c r="CI543" s="366">
        <v>0</v>
      </c>
      <c r="CJ543" s="366">
        <v>0</v>
      </c>
      <c r="CK543" s="366">
        <v>4</v>
      </c>
      <c r="CL543" s="366">
        <v>0</v>
      </c>
      <c r="CM543" s="366">
        <v>27</v>
      </c>
      <c r="CN543" s="366">
        <v>312</v>
      </c>
      <c r="CO543" s="366">
        <v>2</v>
      </c>
      <c r="CP543" s="366">
        <v>0</v>
      </c>
      <c r="CQ543" s="366">
        <v>0</v>
      </c>
      <c r="CR543" s="366">
        <v>0</v>
      </c>
      <c r="CS543" s="366">
        <v>0</v>
      </c>
      <c r="CT543" s="366">
        <v>1</v>
      </c>
      <c r="CU543" s="367">
        <f>IFERROR(CH543/Instructions!$J$25,0)+CI543*Instructions!$J$27+CJ543*Instructions!$J$29+IFERROR(CK543/Instructions!$E$34,0)+CL543*Instructions!$E$36+Tier!CM543*Instructions!$E$25+IFERROR(CN543/Instructions!$E$27,0)+CO543*Instructions!$E$29+IFERROR((CP543+CR543)/Instructions!$J$32,0)+(CQ543+CS543)*Instructions!$J$34+Tier!CT543*-2</f>
        <v>68.599999999999994</v>
      </c>
      <c r="CV543" s="354"/>
      <c r="CW543"/>
      <c r="CX543"/>
      <c r="CY543"/>
      <c r="CZ543"/>
      <c r="DA543"/>
      <c r="DB543"/>
      <c r="DC543"/>
      <c r="DD543"/>
      <c r="DE543"/>
      <c r="DF543"/>
      <c r="DG543"/>
      <c r="DH543"/>
      <c r="DI543"/>
      <c r="DJ543"/>
      <c r="DK543"/>
      <c r="DL543"/>
      <c r="DM543"/>
      <c r="DN543"/>
    </row>
    <row r="544" spans="3:118" s="238" customFormat="1" ht="15.75" customHeight="1" x14ac:dyDescent="0.25">
      <c r="C544"/>
      <c r="D544"/>
      <c r="E544"/>
      <c r="F544"/>
      <c r="G544"/>
      <c r="H544"/>
      <c r="I544"/>
      <c r="J544"/>
      <c r="K544"/>
      <c r="L544"/>
      <c r="M544"/>
      <c r="N544"/>
      <c r="O544" s="366"/>
      <c r="P544" s="366">
        <v>2017</v>
      </c>
      <c r="Q544" s="367">
        <f>LARGE($CB$455:$CB$604,90)</f>
        <v>32.699999999999996</v>
      </c>
      <c r="R544" s="357">
        <f t="shared" si="145"/>
        <v>-139.3666666666667</v>
      </c>
      <c r="S544" s="356">
        <f t="shared" si="141"/>
        <v>19423.067777777789</v>
      </c>
      <c r="U544" s="356">
        <f t="shared" si="146"/>
        <v>-8.7104166666666689</v>
      </c>
      <c r="V544" s="238">
        <f t="shared" si="143"/>
        <v>8</v>
      </c>
      <c r="W544" s="354"/>
      <c r="X544" s="366"/>
      <c r="Y544" s="366"/>
      <c r="Z544" s="238">
        <v>2017</v>
      </c>
      <c r="AA544" s="367">
        <f>LARGE($CU$455:$CU$604,90)</f>
        <v>66.900000000000006</v>
      </c>
      <c r="AB544" s="357">
        <f t="shared" si="147"/>
        <v>-125.63333333333333</v>
      </c>
      <c r="AC544" s="356">
        <f t="shared" si="142"/>
        <v>15783.734444444442</v>
      </c>
      <c r="AE544" s="356">
        <f t="shared" si="148"/>
        <v>-7.8520833333333329</v>
      </c>
      <c r="AF544" s="238">
        <f t="shared" si="144"/>
        <v>8</v>
      </c>
      <c r="AG544" s="354"/>
      <c r="AK544"/>
      <c r="AL544"/>
      <c r="AM544"/>
      <c r="AN544"/>
      <c r="AO544"/>
      <c r="AP544"/>
      <c r="BI544" s="360"/>
      <c r="BJ544" s="354"/>
      <c r="BK544" s="366">
        <v>2017</v>
      </c>
      <c r="BL544" s="365" t="s">
        <v>1151</v>
      </c>
      <c r="BM544" s="366" t="s">
        <v>140</v>
      </c>
      <c r="BN544" s="366" t="s">
        <v>3</v>
      </c>
      <c r="BO544" s="366">
        <v>0</v>
      </c>
      <c r="BP544" s="366">
        <v>0</v>
      </c>
      <c r="BQ544" s="366">
        <v>0</v>
      </c>
      <c r="BR544" s="366">
        <v>157</v>
      </c>
      <c r="BS544" s="366">
        <v>0</v>
      </c>
      <c r="BT544" s="366">
        <v>9</v>
      </c>
      <c r="BU544" s="366">
        <v>94</v>
      </c>
      <c r="BV544" s="366">
        <v>0</v>
      </c>
      <c r="BW544" s="366">
        <v>0</v>
      </c>
      <c r="BX544" s="366">
        <v>0</v>
      </c>
      <c r="BY544" s="366">
        <v>0</v>
      </c>
      <c r="BZ544" s="366">
        <v>0</v>
      </c>
      <c r="CA544" s="366">
        <v>1</v>
      </c>
      <c r="CB544" s="367">
        <f>IFERROR(BO544/Instructions!$J$25,0)+BP544*Instructions!$J$27+BQ544*Instructions!$J$29+IFERROR(BR544/Instructions!$E$34,0)+BS544*Instructions!$E$36+Tier!BT545*Instructions!$E$25+IFERROR(BU544/Instructions!$E$27,0)+BV544*Instructions!$E$29+IFERROR((BW544+BY544)/Instructions!$J$32,0)+(BX544+BZ544)*Instructions!$J$34+Tier!CA544*-2</f>
        <v>29.1</v>
      </c>
      <c r="CC544" s="354"/>
      <c r="CD544" s="238">
        <v>2017</v>
      </c>
      <c r="CE544" s="365" t="s">
        <v>1413</v>
      </c>
      <c r="CF544" s="366" t="s">
        <v>156</v>
      </c>
      <c r="CG544" s="366" t="s">
        <v>6</v>
      </c>
      <c r="CH544" s="366">
        <v>0</v>
      </c>
      <c r="CI544" s="366">
        <v>0</v>
      </c>
      <c r="CJ544" s="366">
        <v>0</v>
      </c>
      <c r="CK544" s="366">
        <v>0</v>
      </c>
      <c r="CL544" s="366">
        <v>0</v>
      </c>
      <c r="CM544" s="366">
        <v>27</v>
      </c>
      <c r="CN544" s="366">
        <v>316</v>
      </c>
      <c r="CO544" s="366">
        <v>2</v>
      </c>
      <c r="CP544" s="366">
        <v>0</v>
      </c>
      <c r="CQ544" s="366">
        <v>0</v>
      </c>
      <c r="CR544" s="366">
        <v>0</v>
      </c>
      <c r="CS544" s="366">
        <v>0</v>
      </c>
      <c r="CT544" s="366">
        <v>0</v>
      </c>
      <c r="CU544" s="367">
        <f>IFERROR(CH544/Instructions!$J$25,0)+CI544*Instructions!$J$27+CJ544*Instructions!$J$29+IFERROR(CK544/Instructions!$E$34,0)+CL544*Instructions!$E$36+Tier!CM544*Instructions!$E$25+IFERROR(CN544/Instructions!$E$27,0)+CO544*Instructions!$E$29+IFERROR((CP544+CR544)/Instructions!$J$32,0)+(CQ544+CS544)*Instructions!$J$34+Tier!CT544*-2</f>
        <v>70.599999999999994</v>
      </c>
      <c r="CV544" s="354"/>
      <c r="CW544"/>
      <c r="CX544"/>
      <c r="CY544"/>
      <c r="CZ544"/>
      <c r="DA544"/>
      <c r="DB544"/>
      <c r="DC544"/>
      <c r="DD544"/>
      <c r="DE544"/>
      <c r="DF544"/>
      <c r="DG544"/>
      <c r="DH544"/>
      <c r="DI544"/>
      <c r="DJ544"/>
      <c r="DK544"/>
      <c r="DL544"/>
      <c r="DM544"/>
      <c r="DN544"/>
    </row>
    <row r="545" spans="3:118" s="238" customFormat="1" ht="15.75" customHeight="1" x14ac:dyDescent="0.25">
      <c r="C545"/>
      <c r="D545"/>
      <c r="E545"/>
      <c r="F545"/>
      <c r="G545"/>
      <c r="H545"/>
      <c r="I545"/>
      <c r="J545"/>
      <c r="K545"/>
      <c r="L545"/>
      <c r="M545"/>
      <c r="N545"/>
      <c r="O545" s="366"/>
      <c r="P545" s="366">
        <v>2017</v>
      </c>
      <c r="Q545" s="367">
        <f>LARGE($CB$455:$CB$604,91)</f>
        <v>30.2</v>
      </c>
      <c r="R545" s="357">
        <f t="shared" si="145"/>
        <v>-141.8666666666667</v>
      </c>
      <c r="S545" s="356">
        <f t="shared" si="141"/>
        <v>20126.151111111121</v>
      </c>
      <c r="U545" s="356">
        <f t="shared" si="146"/>
        <v>-8.8666666666666689</v>
      </c>
      <c r="V545" s="238">
        <f t="shared" si="143"/>
        <v>8</v>
      </c>
      <c r="W545" s="354"/>
      <c r="X545" s="366"/>
      <c r="Y545" s="366"/>
      <c r="Z545" s="238">
        <v>2017</v>
      </c>
      <c r="AA545" s="367">
        <f>LARGE($CU$455:$CU$604,91)</f>
        <v>65.900000000000006</v>
      </c>
      <c r="AB545" s="357">
        <f t="shared" si="147"/>
        <v>-126.63333333333333</v>
      </c>
      <c r="AC545" s="356">
        <f t="shared" si="142"/>
        <v>16036.001111111109</v>
      </c>
      <c r="AE545" s="356">
        <f t="shared" si="148"/>
        <v>-7.9145833333333329</v>
      </c>
      <c r="AF545" s="238">
        <f t="shared" si="144"/>
        <v>8</v>
      </c>
      <c r="AG545" s="354"/>
      <c r="AK545"/>
      <c r="AL545"/>
      <c r="AM545"/>
      <c r="AN545"/>
      <c r="AO545"/>
      <c r="AP545"/>
      <c r="BI545" s="360"/>
      <c r="BJ545" s="354"/>
      <c r="BK545" s="366">
        <v>2017</v>
      </c>
      <c r="BL545" s="365" t="s">
        <v>1606</v>
      </c>
      <c r="BM545" s="366" t="s">
        <v>165</v>
      </c>
      <c r="BN545" s="366" t="s">
        <v>3</v>
      </c>
      <c r="BO545" s="366">
        <v>0</v>
      </c>
      <c r="BP545" s="366">
        <v>0</v>
      </c>
      <c r="BQ545" s="366">
        <v>0</v>
      </c>
      <c r="BR545" s="366">
        <v>5</v>
      </c>
      <c r="BS545" s="366">
        <v>2</v>
      </c>
      <c r="BT545" s="366">
        <v>6</v>
      </c>
      <c r="BU545" s="366">
        <v>43</v>
      </c>
      <c r="BV545" s="366">
        <v>1</v>
      </c>
      <c r="BW545" s="366">
        <v>0</v>
      </c>
      <c r="BX545" s="366">
        <v>0</v>
      </c>
      <c r="BY545" s="366">
        <v>14</v>
      </c>
      <c r="BZ545" s="366">
        <v>0</v>
      </c>
      <c r="CA545" s="366">
        <v>0</v>
      </c>
      <c r="CB545" s="367">
        <f>IFERROR(BO545/Instructions!$J$25,0)+BP545*Instructions!$J$27+BQ545*Instructions!$J$29+IFERROR(BR545/Instructions!$E$34,0)+BS545*Instructions!$E$36+Tier!BT546*Instructions!$E$25+IFERROR(BU545/Instructions!$E$27,0)+BV545*Instructions!$E$29+IFERROR((BW545+BY545)/Instructions!$J$32,0)+(BX545+BZ545)*Instructions!$J$34+Tier!CA545*-2</f>
        <v>28.8</v>
      </c>
      <c r="CC545" s="354"/>
      <c r="CD545" s="238">
        <v>2017</v>
      </c>
      <c r="CE545" s="365" t="s">
        <v>1184</v>
      </c>
      <c r="CF545" s="366" t="s">
        <v>161</v>
      </c>
      <c r="CG545" s="366" t="s">
        <v>6</v>
      </c>
      <c r="CH545" s="366">
        <v>0</v>
      </c>
      <c r="CI545" s="366">
        <v>0</v>
      </c>
      <c r="CJ545" s="366">
        <v>0</v>
      </c>
      <c r="CK545" s="366">
        <v>0</v>
      </c>
      <c r="CL545" s="366">
        <v>0</v>
      </c>
      <c r="CM545" s="366">
        <v>23</v>
      </c>
      <c r="CN545" s="366">
        <v>305</v>
      </c>
      <c r="CO545" s="366">
        <v>2</v>
      </c>
      <c r="CP545" s="366">
        <v>0</v>
      </c>
      <c r="CQ545" s="366">
        <v>0</v>
      </c>
      <c r="CR545" s="366">
        <v>0</v>
      </c>
      <c r="CS545" s="366">
        <v>0</v>
      </c>
      <c r="CT545" s="366">
        <v>0</v>
      </c>
      <c r="CU545" s="367">
        <f>IFERROR(CH545/Instructions!$J$25,0)+CI545*Instructions!$J$27+CJ545*Instructions!$J$29+IFERROR(CK545/Instructions!$E$34,0)+CL545*Instructions!$E$36+Tier!CM545*Instructions!$E$25+IFERROR(CN545/Instructions!$E$27,0)+CO545*Instructions!$E$29+IFERROR((CP545+CR545)/Instructions!$J$32,0)+(CQ545+CS545)*Instructions!$J$34+Tier!CT545*-2</f>
        <v>65.5</v>
      </c>
      <c r="CV545" s="354"/>
      <c r="CW545"/>
      <c r="CX545"/>
      <c r="CY545"/>
      <c r="CZ545"/>
      <c r="DA545"/>
      <c r="DB545"/>
      <c r="DC545"/>
      <c r="DD545"/>
      <c r="DE545"/>
      <c r="DF545"/>
      <c r="DG545"/>
      <c r="DH545"/>
      <c r="DI545"/>
      <c r="DJ545"/>
      <c r="DK545"/>
      <c r="DL545"/>
      <c r="DM545"/>
      <c r="DN545"/>
    </row>
    <row r="546" spans="3:118" s="238" customFormat="1" ht="15.75" customHeight="1" x14ac:dyDescent="0.25">
      <c r="C546"/>
      <c r="D546"/>
      <c r="E546"/>
      <c r="F546"/>
      <c r="G546"/>
      <c r="H546"/>
      <c r="I546"/>
      <c r="J546"/>
      <c r="K546"/>
      <c r="L546"/>
      <c r="M546"/>
      <c r="N546"/>
      <c r="O546" s="366"/>
      <c r="P546" s="366">
        <v>2017</v>
      </c>
      <c r="Q546" s="367">
        <f>LARGE($CB$455:$CB$604,92)</f>
        <v>29.1</v>
      </c>
      <c r="R546" s="357">
        <f t="shared" si="145"/>
        <v>-142.9666666666667</v>
      </c>
      <c r="S546" s="356">
        <f t="shared" si="141"/>
        <v>20439.467777777787</v>
      </c>
      <c r="U546" s="356">
        <f t="shared" si="146"/>
        <v>-8.9354166666666686</v>
      </c>
      <c r="V546" s="238">
        <f t="shared" si="143"/>
        <v>8</v>
      </c>
      <c r="W546" s="354"/>
      <c r="X546" s="366"/>
      <c r="Y546" s="366"/>
      <c r="Z546" s="238">
        <v>2017</v>
      </c>
      <c r="AA546" s="367">
        <f>LARGE($CU$455:$CU$604,92)</f>
        <v>65.5</v>
      </c>
      <c r="AB546" s="357">
        <f t="shared" si="147"/>
        <v>-127.03333333333333</v>
      </c>
      <c r="AC546" s="356">
        <f t="shared" si="142"/>
        <v>16137.467777777778</v>
      </c>
      <c r="AE546" s="356">
        <f t="shared" si="148"/>
        <v>-7.9395833333333332</v>
      </c>
      <c r="AF546" s="238">
        <f t="shared" si="144"/>
        <v>8</v>
      </c>
      <c r="AG546" s="354"/>
      <c r="AK546"/>
      <c r="AL546"/>
      <c r="AM546"/>
      <c r="AN546"/>
      <c r="AO546"/>
      <c r="AP546"/>
      <c r="BI546" s="360"/>
      <c r="BJ546" s="354"/>
      <c r="BK546" s="366">
        <v>2017</v>
      </c>
      <c r="BL546" s="365" t="s">
        <v>12</v>
      </c>
      <c r="BM546" s="366" t="s">
        <v>140</v>
      </c>
      <c r="BN546" s="366" t="s">
        <v>3</v>
      </c>
      <c r="BO546" s="366">
        <v>0</v>
      </c>
      <c r="BP546" s="366">
        <v>0</v>
      </c>
      <c r="BQ546" s="366">
        <v>0</v>
      </c>
      <c r="BR546" s="366">
        <v>179</v>
      </c>
      <c r="BS546" s="366">
        <v>0</v>
      </c>
      <c r="BT546" s="366">
        <v>6</v>
      </c>
      <c r="BU546" s="366">
        <v>47</v>
      </c>
      <c r="BV546" s="366">
        <v>0</v>
      </c>
      <c r="BW546" s="366">
        <v>0</v>
      </c>
      <c r="BX546" s="366">
        <v>0</v>
      </c>
      <c r="BY546" s="366">
        <v>0</v>
      </c>
      <c r="BZ546" s="366">
        <v>0</v>
      </c>
      <c r="CA546" s="366">
        <v>0</v>
      </c>
      <c r="CB546" s="367">
        <f>IFERROR(BO546/Instructions!$J$25,0)+BP546*Instructions!$J$27+BQ546*Instructions!$J$29+IFERROR(BR546/Instructions!$E$34,0)+BS546*Instructions!$E$36+Tier!BT547*Instructions!$E$25+IFERROR(BU546/Instructions!$E$27,0)+BV546*Instructions!$E$29+IFERROR((BW546+BY546)/Instructions!$J$32,0)+(BX546+BZ546)*Instructions!$J$34+Tier!CA546*-2</f>
        <v>38.6</v>
      </c>
      <c r="CC546" s="354"/>
      <c r="CD546" s="238">
        <v>2017</v>
      </c>
      <c r="CE546" s="365" t="s">
        <v>1323</v>
      </c>
      <c r="CF546" s="366" t="s">
        <v>154</v>
      </c>
      <c r="CG546" s="366" t="s">
        <v>6</v>
      </c>
      <c r="CH546" s="366">
        <v>0</v>
      </c>
      <c r="CI546" s="366">
        <v>0</v>
      </c>
      <c r="CJ546" s="366">
        <v>0</v>
      </c>
      <c r="CK546" s="366">
        <v>3</v>
      </c>
      <c r="CL546" s="366">
        <v>0</v>
      </c>
      <c r="CM546" s="366">
        <v>18</v>
      </c>
      <c r="CN546" s="366">
        <v>240</v>
      </c>
      <c r="CO546" s="366">
        <v>3</v>
      </c>
      <c r="CP546" s="366">
        <v>0</v>
      </c>
      <c r="CQ546" s="366">
        <v>0</v>
      </c>
      <c r="CR546" s="366">
        <v>0</v>
      </c>
      <c r="CS546" s="366">
        <v>0</v>
      </c>
      <c r="CT546" s="366">
        <v>0</v>
      </c>
      <c r="CU546" s="367">
        <f>IFERROR(CH546/Instructions!$J$25,0)+CI546*Instructions!$J$27+CJ546*Instructions!$J$29+IFERROR(CK546/Instructions!$E$34,0)+CL546*Instructions!$E$36+Tier!CM546*Instructions!$E$25+IFERROR(CN546/Instructions!$E$27,0)+CO546*Instructions!$E$29+IFERROR((CP546+CR546)/Instructions!$J$32,0)+(CQ546+CS546)*Instructions!$J$34+Tier!CT546*-2</f>
        <v>60.3</v>
      </c>
      <c r="CV546" s="354"/>
      <c r="CW546"/>
      <c r="CX546"/>
      <c r="CY546"/>
      <c r="CZ546"/>
      <c r="DA546"/>
      <c r="DB546"/>
      <c r="DC546"/>
      <c r="DD546"/>
      <c r="DE546"/>
      <c r="DF546"/>
      <c r="DG546"/>
      <c r="DH546"/>
      <c r="DI546"/>
      <c r="DJ546"/>
      <c r="DK546"/>
      <c r="DL546"/>
      <c r="DM546"/>
      <c r="DN546"/>
    </row>
    <row r="547" spans="3:118" s="238" customFormat="1" ht="15.75" customHeight="1" x14ac:dyDescent="0.25">
      <c r="C547"/>
      <c r="D547"/>
      <c r="E547"/>
      <c r="F547"/>
      <c r="G547"/>
      <c r="H547"/>
      <c r="I547"/>
      <c r="J547"/>
      <c r="K547"/>
      <c r="L547"/>
      <c r="M547"/>
      <c r="N547"/>
      <c r="O547" s="366"/>
      <c r="P547" s="366">
        <v>2017</v>
      </c>
      <c r="Q547" s="367">
        <f>LARGE($CB$455:$CB$604,93)</f>
        <v>28.8</v>
      </c>
      <c r="R547" s="357">
        <f t="shared" si="145"/>
        <v>-143.26666666666668</v>
      </c>
      <c r="S547" s="356">
        <f t="shared" si="141"/>
        <v>20525.337777777782</v>
      </c>
      <c r="U547" s="356">
        <f t="shared" si="146"/>
        <v>-8.9541666666666675</v>
      </c>
      <c r="V547" s="238">
        <f t="shared" si="143"/>
        <v>8</v>
      </c>
      <c r="W547" s="354"/>
      <c r="X547" s="366"/>
      <c r="Y547" s="366"/>
      <c r="Z547" s="238">
        <v>2017</v>
      </c>
      <c r="AA547" s="367">
        <f>LARGE($CU$455:$CU$604,93)</f>
        <v>65.3</v>
      </c>
      <c r="AB547" s="357">
        <f t="shared" si="147"/>
        <v>-127.23333333333333</v>
      </c>
      <c r="AC547" s="356">
        <f t="shared" si="142"/>
        <v>16188.321111111112</v>
      </c>
      <c r="AE547" s="356">
        <f t="shared" si="148"/>
        <v>-7.9520833333333334</v>
      </c>
      <c r="AF547" s="238">
        <f t="shared" si="144"/>
        <v>8</v>
      </c>
      <c r="AG547" s="354"/>
      <c r="AK547"/>
      <c r="AL547"/>
      <c r="AM547"/>
      <c r="AN547"/>
      <c r="AO547"/>
      <c r="AP547"/>
      <c r="BI547" s="360"/>
      <c r="BJ547" s="354"/>
      <c r="BK547" s="366">
        <v>2017</v>
      </c>
      <c r="BL547" s="365" t="s">
        <v>982</v>
      </c>
      <c r="BM547" s="366" t="s">
        <v>164</v>
      </c>
      <c r="BN547" s="366" t="s">
        <v>3</v>
      </c>
      <c r="BO547" s="366">
        <v>0</v>
      </c>
      <c r="BP547" s="366">
        <v>0</v>
      </c>
      <c r="BQ547" s="366">
        <v>0</v>
      </c>
      <c r="BR547" s="366">
        <v>96</v>
      </c>
      <c r="BS547" s="366">
        <v>0</v>
      </c>
      <c r="BT547" s="366">
        <v>16</v>
      </c>
      <c r="BU547" s="366">
        <v>119</v>
      </c>
      <c r="BV547" s="366">
        <v>0</v>
      </c>
      <c r="BW547" s="366">
        <v>0</v>
      </c>
      <c r="BX547" s="366">
        <v>0</v>
      </c>
      <c r="BY547" s="366">
        <v>0</v>
      </c>
      <c r="BZ547" s="366">
        <v>0</v>
      </c>
      <c r="CA547" s="366">
        <v>0</v>
      </c>
      <c r="CB547" s="367">
        <f>IFERROR(BO547/Instructions!$J$25,0)+BP547*Instructions!$J$27+BQ547*Instructions!$J$29+IFERROR(BR547/Instructions!$E$34,0)+BS547*Instructions!$E$36+Tier!BT548*Instructions!$E$25+IFERROR(BU547/Instructions!$E$27,0)+BV547*Instructions!$E$29+IFERROR((BW547+BY547)/Instructions!$J$32,0)+(BX547+BZ547)*Instructions!$J$34+Tier!CA547*-2</f>
        <v>26.5</v>
      </c>
      <c r="CC547" s="354"/>
      <c r="CD547" s="238">
        <v>2017</v>
      </c>
      <c r="CE547" s="365" t="s">
        <v>210</v>
      </c>
      <c r="CF547" s="366" t="s">
        <v>144</v>
      </c>
      <c r="CG547" s="366" t="s">
        <v>6</v>
      </c>
      <c r="CH547" s="366">
        <v>0</v>
      </c>
      <c r="CI547" s="366">
        <v>0</v>
      </c>
      <c r="CJ547" s="366">
        <v>0</v>
      </c>
      <c r="CK547" s="366">
        <v>0</v>
      </c>
      <c r="CL547" s="366">
        <v>0</v>
      </c>
      <c r="CM547" s="366">
        <v>19</v>
      </c>
      <c r="CN547" s="366">
        <v>287</v>
      </c>
      <c r="CO547" s="366">
        <v>2</v>
      </c>
      <c r="CP547" s="366">
        <v>0</v>
      </c>
      <c r="CQ547" s="366">
        <v>0</v>
      </c>
      <c r="CR547" s="366">
        <v>190</v>
      </c>
      <c r="CS547" s="366">
        <v>0</v>
      </c>
      <c r="CT547" s="366">
        <v>0</v>
      </c>
      <c r="CU547" s="367">
        <f>IFERROR(CH547/Instructions!$J$25,0)+CI547*Instructions!$J$27+CJ547*Instructions!$J$29+IFERROR(CK547/Instructions!$E$34,0)+CL547*Instructions!$E$36+Tier!CM547*Instructions!$E$25+IFERROR(CN547/Instructions!$E$27,0)+CO547*Instructions!$E$29+IFERROR((CP547+CR547)/Instructions!$J$32,0)+(CQ547+CS547)*Instructions!$J$34+Tier!CT547*-2</f>
        <v>59.7</v>
      </c>
      <c r="CV547" s="354"/>
      <c r="CW547"/>
      <c r="CX547"/>
      <c r="CY547"/>
      <c r="CZ547"/>
      <c r="DA547"/>
      <c r="DB547"/>
      <c r="DC547"/>
      <c r="DD547"/>
      <c r="DE547"/>
      <c r="DF547"/>
      <c r="DG547"/>
      <c r="DH547"/>
      <c r="DI547"/>
      <c r="DJ547"/>
      <c r="DK547"/>
      <c r="DL547"/>
      <c r="DM547"/>
      <c r="DN547"/>
    </row>
    <row r="548" spans="3:118" s="238" customFormat="1" ht="15.75" customHeight="1" x14ac:dyDescent="0.25">
      <c r="C548"/>
      <c r="D548"/>
      <c r="E548"/>
      <c r="F548"/>
      <c r="G548"/>
      <c r="H548"/>
      <c r="I548"/>
      <c r="J548"/>
      <c r="K548"/>
      <c r="L548"/>
      <c r="M548"/>
      <c r="N548"/>
      <c r="O548" s="366"/>
      <c r="P548" s="366">
        <v>2017</v>
      </c>
      <c r="Q548" s="367">
        <f>LARGE($CB$455:$CB$604,94)</f>
        <v>26.5</v>
      </c>
      <c r="R548" s="357">
        <f t="shared" si="145"/>
        <v>-145.56666666666669</v>
      </c>
      <c r="S548" s="356">
        <f t="shared" si="141"/>
        <v>21189.654444444452</v>
      </c>
      <c r="U548" s="356">
        <f t="shared" si="146"/>
        <v>-9.0979166666666682</v>
      </c>
      <c r="V548" s="238">
        <f t="shared" si="143"/>
        <v>8</v>
      </c>
      <c r="W548" s="354"/>
      <c r="X548" s="366"/>
      <c r="Y548" s="366"/>
      <c r="Z548" s="238">
        <v>2017</v>
      </c>
      <c r="AA548" s="367">
        <f>LARGE($CU$455:$CU$604,94)</f>
        <v>64.7</v>
      </c>
      <c r="AB548" s="357">
        <f t="shared" si="147"/>
        <v>-127.83333333333333</v>
      </c>
      <c r="AC548" s="356">
        <f t="shared" si="142"/>
        <v>16341.361111111109</v>
      </c>
      <c r="AE548" s="356">
        <f t="shared" si="148"/>
        <v>-7.989583333333333</v>
      </c>
      <c r="AF548" s="238">
        <f t="shared" si="144"/>
        <v>8</v>
      </c>
      <c r="AG548" s="354"/>
      <c r="AK548"/>
      <c r="AL548"/>
      <c r="AM548"/>
      <c r="AN548"/>
      <c r="AO548"/>
      <c r="AP548"/>
      <c r="BI548" s="360"/>
      <c r="BJ548" s="354"/>
      <c r="BK548" s="366">
        <v>2017</v>
      </c>
      <c r="BL548" s="365" t="s">
        <v>1174</v>
      </c>
      <c r="BM548" s="366" t="s">
        <v>137</v>
      </c>
      <c r="BN548" s="366" t="s">
        <v>3</v>
      </c>
      <c r="BO548" s="366">
        <v>0</v>
      </c>
      <c r="BP548" s="366">
        <v>0</v>
      </c>
      <c r="BQ548" s="366">
        <v>0</v>
      </c>
      <c r="BR548" s="366">
        <v>57</v>
      </c>
      <c r="BS548" s="366">
        <v>1</v>
      </c>
      <c r="BT548" s="366">
        <v>5</v>
      </c>
      <c r="BU548" s="366">
        <v>56</v>
      </c>
      <c r="BV548" s="366">
        <v>0</v>
      </c>
      <c r="BW548" s="366">
        <v>240</v>
      </c>
      <c r="BX548" s="366">
        <v>0</v>
      </c>
      <c r="BY548" s="366">
        <v>194</v>
      </c>
      <c r="BZ548" s="366">
        <v>0</v>
      </c>
      <c r="CA548" s="366">
        <v>0</v>
      </c>
      <c r="CB548" s="367">
        <f>IFERROR(BO548/Instructions!$J$25,0)+BP548*Instructions!$J$27+BQ548*Instructions!$J$29+IFERROR(BR548/Instructions!$E$34,0)+BS548*Instructions!$E$36+Tier!BT549*Instructions!$E$25+IFERROR(BU548/Instructions!$E$27,0)+BV548*Instructions!$E$29+IFERROR((BW548+BY548)/Instructions!$J$32,0)+(BX548+BZ548)*Instructions!$J$34+Tier!CA548*-2</f>
        <v>26.299999999999997</v>
      </c>
      <c r="CC548" s="354"/>
      <c r="CD548" s="238">
        <v>2017</v>
      </c>
      <c r="CE548" s="365" t="s">
        <v>1112</v>
      </c>
      <c r="CF548" s="366" t="s">
        <v>1388</v>
      </c>
      <c r="CG548" s="366" t="s">
        <v>6</v>
      </c>
      <c r="CH548" s="366">
        <v>0</v>
      </c>
      <c r="CI548" s="366">
        <v>0</v>
      </c>
      <c r="CJ548" s="366">
        <v>0</v>
      </c>
      <c r="CK548" s="366">
        <v>0</v>
      </c>
      <c r="CL548" s="366">
        <v>0</v>
      </c>
      <c r="CM548" s="366">
        <v>25</v>
      </c>
      <c r="CN548" s="366">
        <v>343</v>
      </c>
      <c r="CO548" s="366">
        <v>1</v>
      </c>
      <c r="CP548" s="366">
        <v>0</v>
      </c>
      <c r="CQ548" s="366">
        <v>0</v>
      </c>
      <c r="CR548" s="366">
        <v>0</v>
      </c>
      <c r="CS548" s="366">
        <v>0</v>
      </c>
      <c r="CT548" s="366">
        <v>0</v>
      </c>
      <c r="CU548" s="367">
        <f>IFERROR(CH548/Instructions!$J$25,0)+CI548*Instructions!$J$27+CJ548*Instructions!$J$29+IFERROR(CK548/Instructions!$E$34,0)+CL548*Instructions!$E$36+Tier!CM548*Instructions!$E$25+IFERROR(CN548/Instructions!$E$27,0)+CO548*Instructions!$E$29+IFERROR((CP548+CR548)/Instructions!$J$32,0)+(CQ548+CS548)*Instructions!$J$34+Tier!CT548*-2</f>
        <v>65.3</v>
      </c>
      <c r="CV548" s="354"/>
      <c r="CW548"/>
      <c r="CX548"/>
      <c r="CY548"/>
      <c r="CZ548"/>
      <c r="DA548"/>
      <c r="DB548"/>
      <c r="DC548"/>
      <c r="DD548"/>
      <c r="DE548"/>
      <c r="DF548"/>
      <c r="DG548"/>
      <c r="DH548"/>
      <c r="DI548"/>
      <c r="DJ548"/>
      <c r="DK548"/>
      <c r="DL548"/>
      <c r="DM548"/>
      <c r="DN548"/>
    </row>
    <row r="549" spans="3:118" s="238" customFormat="1" ht="15.75" customHeight="1" x14ac:dyDescent="0.25">
      <c r="C549"/>
      <c r="D549"/>
      <c r="E549"/>
      <c r="F549"/>
      <c r="G549"/>
      <c r="H549"/>
      <c r="I549"/>
      <c r="J549"/>
      <c r="K549"/>
      <c r="L549"/>
      <c r="M549"/>
      <c r="N549"/>
      <c r="O549" s="366"/>
      <c r="P549" s="366">
        <v>2017</v>
      </c>
      <c r="Q549" s="367">
        <f>LARGE($CB$455:$CB$604,95)</f>
        <v>26.299999999999997</v>
      </c>
      <c r="R549" s="357">
        <f t="shared" si="145"/>
        <v>-145.76666666666671</v>
      </c>
      <c r="S549" s="356">
        <f t="shared" si="141"/>
        <v>21247.921111111122</v>
      </c>
      <c r="U549" s="356">
        <f t="shared" si="146"/>
        <v>-9.1104166666666693</v>
      </c>
      <c r="V549" s="238">
        <f t="shared" si="143"/>
        <v>8</v>
      </c>
      <c r="W549" s="354"/>
      <c r="X549" s="366"/>
      <c r="Y549" s="366"/>
      <c r="Z549" s="238">
        <v>2017</v>
      </c>
      <c r="AA549" s="367">
        <f>LARGE($CU$455:$CU$604,95)</f>
        <v>62.7</v>
      </c>
      <c r="AB549" s="357">
        <f t="shared" si="147"/>
        <v>-129.83333333333331</v>
      </c>
      <c r="AC549" s="356">
        <f t="shared" si="142"/>
        <v>16856.694444444438</v>
      </c>
      <c r="AE549" s="356">
        <f t="shared" si="148"/>
        <v>-8.1145833333333321</v>
      </c>
      <c r="AF549" s="238">
        <f t="shared" si="144"/>
        <v>8</v>
      </c>
      <c r="AG549" s="354"/>
      <c r="AK549"/>
      <c r="AL549"/>
      <c r="AM549"/>
      <c r="AN549"/>
      <c r="AO549"/>
      <c r="AP549"/>
      <c r="BI549" s="360"/>
      <c r="BJ549" s="354"/>
      <c r="BK549" s="366">
        <v>2017</v>
      </c>
      <c r="BL549" s="365" t="s">
        <v>975</v>
      </c>
      <c r="BM549" s="366" t="s">
        <v>158</v>
      </c>
      <c r="BN549" s="366" t="s">
        <v>3</v>
      </c>
      <c r="BO549" s="366">
        <v>0</v>
      </c>
      <c r="BP549" s="366">
        <v>0</v>
      </c>
      <c r="BQ549" s="366">
        <v>0</v>
      </c>
      <c r="BR549" s="366">
        <v>53</v>
      </c>
      <c r="BS549" s="366">
        <v>1</v>
      </c>
      <c r="BT549" s="366">
        <v>9</v>
      </c>
      <c r="BU549" s="366">
        <v>56</v>
      </c>
      <c r="BV549" s="366">
        <v>0</v>
      </c>
      <c r="BW549" s="366">
        <v>0</v>
      </c>
      <c r="BX549" s="366">
        <v>0</v>
      </c>
      <c r="BY549" s="366">
        <v>0</v>
      </c>
      <c r="BZ549" s="366">
        <v>0</v>
      </c>
      <c r="CA549" s="366">
        <v>0</v>
      </c>
      <c r="CB549" s="367">
        <f>IFERROR(BO549/Instructions!$J$25,0)+BP549*Instructions!$J$27+BQ549*Instructions!$J$29+IFERROR(BR549/Instructions!$E$34,0)+BS549*Instructions!$E$36+Tier!BT550*Instructions!$E$25+IFERROR(BU549/Instructions!$E$27,0)+BV549*Instructions!$E$29+IFERROR((BW549+BY549)/Instructions!$J$32,0)+(BX549+BZ549)*Instructions!$J$34+Tier!CA549*-2</f>
        <v>16.899999999999999</v>
      </c>
      <c r="CC549" s="354"/>
      <c r="CD549" s="238">
        <v>2017</v>
      </c>
      <c r="CE549" s="365" t="s">
        <v>1116</v>
      </c>
      <c r="CF549" s="366" t="s">
        <v>148</v>
      </c>
      <c r="CG549" s="366" t="s">
        <v>6</v>
      </c>
      <c r="CH549" s="366">
        <v>0</v>
      </c>
      <c r="CI549" s="366">
        <v>0</v>
      </c>
      <c r="CJ549" s="366">
        <v>0</v>
      </c>
      <c r="CK549" s="366">
        <v>0</v>
      </c>
      <c r="CL549" s="366">
        <v>0</v>
      </c>
      <c r="CM549" s="366">
        <v>20</v>
      </c>
      <c r="CN549" s="366">
        <v>221</v>
      </c>
      <c r="CO549" s="366">
        <v>3</v>
      </c>
      <c r="CP549" s="366">
        <v>0</v>
      </c>
      <c r="CQ549" s="366">
        <v>0</v>
      </c>
      <c r="CR549" s="366">
        <v>0</v>
      </c>
      <c r="CS549" s="366">
        <v>0</v>
      </c>
      <c r="CT549" s="366">
        <v>0</v>
      </c>
      <c r="CU549" s="367">
        <f>IFERROR(CH549/Instructions!$J$25,0)+CI549*Instructions!$J$27+CJ549*Instructions!$J$29+IFERROR(CK549/Instructions!$E$34,0)+CL549*Instructions!$E$36+Tier!CM549*Instructions!$E$25+IFERROR(CN549/Instructions!$E$27,0)+CO549*Instructions!$E$29+IFERROR((CP549+CR549)/Instructions!$J$32,0)+(CQ549+CS549)*Instructions!$J$34+Tier!CT549*-2</f>
        <v>60.1</v>
      </c>
      <c r="CV549" s="354"/>
      <c r="CW549"/>
      <c r="CX549"/>
      <c r="CY549"/>
      <c r="CZ549"/>
      <c r="DA549"/>
      <c r="DB549"/>
      <c r="DC549"/>
      <c r="DD549"/>
      <c r="DE549"/>
      <c r="DF549"/>
      <c r="DG549"/>
      <c r="DH549"/>
      <c r="DI549"/>
      <c r="DJ549"/>
      <c r="DK549"/>
      <c r="DL549"/>
      <c r="DM549"/>
      <c r="DN549"/>
    </row>
    <row r="550" spans="3:118" s="238" customFormat="1" ht="15.75" customHeight="1" x14ac:dyDescent="0.25">
      <c r="C550"/>
      <c r="D550"/>
      <c r="E550"/>
      <c r="F550"/>
      <c r="G550"/>
      <c r="H550"/>
      <c r="I550"/>
      <c r="J550"/>
      <c r="K550"/>
      <c r="L550"/>
      <c r="M550"/>
      <c r="N550"/>
      <c r="O550" s="366"/>
      <c r="P550" s="366">
        <v>2017</v>
      </c>
      <c r="Q550" s="367">
        <f>LARGE($CB$455:$CB$604,96)</f>
        <v>21.6</v>
      </c>
      <c r="R550" s="357">
        <f t="shared" si="145"/>
        <v>-150.4666666666667</v>
      </c>
      <c r="S550" s="356">
        <f t="shared" si="141"/>
        <v>22640.217777777787</v>
      </c>
      <c r="U550" s="356">
        <f t="shared" si="146"/>
        <v>-9.4041666666666686</v>
      </c>
      <c r="V550" s="238">
        <f t="shared" si="143"/>
        <v>8</v>
      </c>
      <c r="W550" s="354"/>
      <c r="X550" s="366"/>
      <c r="Y550" s="366"/>
      <c r="Z550" s="238">
        <v>2017</v>
      </c>
      <c r="AA550" s="367">
        <f>LARGE($CU$455:$CU$604,96)</f>
        <v>60.3</v>
      </c>
      <c r="AB550" s="357">
        <f t="shared" si="147"/>
        <v>-132.23333333333335</v>
      </c>
      <c r="AC550" s="356">
        <f t="shared" si="142"/>
        <v>17485.654444444448</v>
      </c>
      <c r="AE550" s="356">
        <f t="shared" si="148"/>
        <v>-8.2645833333333343</v>
      </c>
      <c r="AF550" s="238">
        <f t="shared" si="144"/>
        <v>8</v>
      </c>
      <c r="AG550" s="354"/>
      <c r="AK550"/>
      <c r="AL550"/>
      <c r="AM550"/>
      <c r="AN550"/>
      <c r="AO550"/>
      <c r="AP550"/>
      <c r="BI550" s="360"/>
      <c r="BJ550" s="354"/>
      <c r="BK550" s="366">
        <v>2017</v>
      </c>
      <c r="BL550" s="365" t="s">
        <v>1663</v>
      </c>
      <c r="BM550" s="366" t="s">
        <v>147</v>
      </c>
      <c r="BN550" s="366" t="s">
        <v>3</v>
      </c>
      <c r="BO550" s="366">
        <v>0</v>
      </c>
      <c r="BP550" s="366">
        <v>0</v>
      </c>
      <c r="BQ550" s="366">
        <v>0</v>
      </c>
      <c r="BR550" s="366">
        <v>108</v>
      </c>
      <c r="BS550" s="366">
        <v>1</v>
      </c>
      <c r="BT550" s="366">
        <v>0</v>
      </c>
      <c r="BU550" s="366">
        <v>0</v>
      </c>
      <c r="BV550" s="366">
        <v>0</v>
      </c>
      <c r="BW550" s="366">
        <v>0</v>
      </c>
      <c r="BX550" s="366">
        <v>0</v>
      </c>
      <c r="BY550" s="366">
        <v>0</v>
      </c>
      <c r="BZ550" s="366">
        <v>0</v>
      </c>
      <c r="CA550" s="366">
        <v>0</v>
      </c>
      <c r="CB550" s="367">
        <f>IFERROR(BO550/Instructions!$J$25,0)+BP550*Instructions!$J$27+BQ550*Instructions!$J$29+IFERROR(BR550/Instructions!$E$34,0)+BS550*Instructions!$E$36+Tier!BT551*Instructions!$E$25+IFERROR(BU550/Instructions!$E$27,0)+BV550*Instructions!$E$29+IFERROR((BW550+BY550)/Instructions!$J$32,0)+(BX550+BZ550)*Instructions!$J$34+Tier!CA550*-2</f>
        <v>17.8</v>
      </c>
      <c r="CC550" s="354"/>
      <c r="CD550" s="238">
        <v>2017</v>
      </c>
      <c r="CE550" s="365" t="s">
        <v>1753</v>
      </c>
      <c r="CF550" s="366" t="s">
        <v>165</v>
      </c>
      <c r="CG550" s="366" t="s">
        <v>6</v>
      </c>
      <c r="CH550" s="366">
        <v>0</v>
      </c>
      <c r="CI550" s="366">
        <v>0</v>
      </c>
      <c r="CJ550" s="366">
        <v>0</v>
      </c>
      <c r="CK550" s="366">
        <v>0</v>
      </c>
      <c r="CL550" s="366">
        <v>0</v>
      </c>
      <c r="CM550" s="366">
        <v>27</v>
      </c>
      <c r="CN550" s="366">
        <v>339</v>
      </c>
      <c r="CO550" s="366">
        <v>1</v>
      </c>
      <c r="CP550" s="366">
        <v>19</v>
      </c>
      <c r="CQ550" s="366">
        <v>0</v>
      </c>
      <c r="CR550" s="366">
        <v>0</v>
      </c>
      <c r="CS550" s="366">
        <v>0</v>
      </c>
      <c r="CT550" s="366">
        <v>0</v>
      </c>
      <c r="CU550" s="367">
        <f>IFERROR(CH550/Instructions!$J$25,0)+CI550*Instructions!$J$27+CJ550*Instructions!$J$29+IFERROR(CK550/Instructions!$E$34,0)+CL550*Instructions!$E$36+Tier!CM550*Instructions!$E$25+IFERROR(CN550/Instructions!$E$27,0)+CO550*Instructions!$E$29+IFERROR((CP550+CR550)/Instructions!$J$32,0)+(CQ550+CS550)*Instructions!$J$34+Tier!CT550*-2</f>
        <v>66.900000000000006</v>
      </c>
      <c r="CV550" s="354"/>
      <c r="CW550"/>
      <c r="CX550"/>
      <c r="CY550"/>
      <c r="CZ550"/>
      <c r="DA550"/>
      <c r="DB550"/>
      <c r="DC550"/>
      <c r="DD550"/>
      <c r="DE550"/>
      <c r="DF550"/>
      <c r="DG550"/>
      <c r="DH550"/>
      <c r="DI550"/>
      <c r="DJ550"/>
      <c r="DK550"/>
      <c r="DL550"/>
      <c r="DM550"/>
      <c r="DN550"/>
    </row>
    <row r="551" spans="3:118" s="238" customFormat="1" ht="15.75" customHeight="1" x14ac:dyDescent="0.25">
      <c r="C551"/>
      <c r="D551"/>
      <c r="E551"/>
      <c r="F551"/>
      <c r="G551"/>
      <c r="H551"/>
      <c r="I551"/>
      <c r="J551"/>
      <c r="K551"/>
      <c r="L551"/>
      <c r="M551"/>
      <c r="N551"/>
      <c r="O551" s="366"/>
      <c r="P551" s="366">
        <v>2017</v>
      </c>
      <c r="Q551" s="367">
        <f>LARGE($CB$455:$CB$604,97)</f>
        <v>21.4</v>
      </c>
      <c r="R551" s="357">
        <f t="shared" si="145"/>
        <v>-150.66666666666669</v>
      </c>
      <c r="S551" s="356">
        <f t="shared" si="141"/>
        <v>22700.444444444449</v>
      </c>
      <c r="U551" s="356">
        <f t="shared" si="146"/>
        <v>-9.4166666666666679</v>
      </c>
      <c r="V551" s="238">
        <f t="shared" si="143"/>
        <v>8</v>
      </c>
      <c r="W551" s="354"/>
      <c r="X551" s="366"/>
      <c r="Y551" s="366"/>
      <c r="Z551" s="238">
        <v>2017</v>
      </c>
      <c r="AA551" s="367">
        <f>LARGE($CU$455:$CU$604,97)</f>
        <v>60.1</v>
      </c>
      <c r="AB551" s="357">
        <f t="shared" si="147"/>
        <v>-132.43333333333334</v>
      </c>
      <c r="AC551" s="356">
        <f t="shared" si="142"/>
        <v>17538.587777777779</v>
      </c>
      <c r="AE551" s="356">
        <f t="shared" si="148"/>
        <v>-8.2770833333333336</v>
      </c>
      <c r="AF551" s="238">
        <f t="shared" si="144"/>
        <v>8</v>
      </c>
      <c r="AG551" s="354"/>
      <c r="AK551"/>
      <c r="AL551"/>
      <c r="AM551"/>
      <c r="AN551"/>
      <c r="AO551"/>
      <c r="AP551"/>
      <c r="BI551" s="360"/>
      <c r="BJ551" s="354"/>
      <c r="BK551" s="366">
        <v>2017</v>
      </c>
      <c r="BL551" s="365" t="s">
        <v>1140</v>
      </c>
      <c r="BM551" s="366" t="s">
        <v>159</v>
      </c>
      <c r="BN551" s="366" t="s">
        <v>3</v>
      </c>
      <c r="BO551" s="366">
        <v>0</v>
      </c>
      <c r="BP551" s="366">
        <v>0</v>
      </c>
      <c r="BQ551" s="366">
        <v>0</v>
      </c>
      <c r="BR551" s="366">
        <v>95</v>
      </c>
      <c r="BS551" s="366">
        <v>1</v>
      </c>
      <c r="BT551" s="366">
        <v>1</v>
      </c>
      <c r="BU551" s="366">
        <v>2</v>
      </c>
      <c r="BV551" s="366">
        <v>0</v>
      </c>
      <c r="BW551" s="366">
        <v>0</v>
      </c>
      <c r="BX551" s="366">
        <v>0</v>
      </c>
      <c r="BY551" s="366">
        <v>0</v>
      </c>
      <c r="BZ551" s="366">
        <v>0</v>
      </c>
      <c r="CA551" s="366">
        <v>0</v>
      </c>
      <c r="CB551" s="367">
        <f>IFERROR(BO551/Instructions!$J$25,0)+BP551*Instructions!$J$27+BQ551*Instructions!$J$29+IFERROR(BR551/Instructions!$E$34,0)+BS551*Instructions!$E$36+Tier!BT552*Instructions!$E$25+IFERROR(BU551/Instructions!$E$27,0)+BV551*Instructions!$E$29+IFERROR((BW551+BY551)/Instructions!$J$32,0)+(BX551+BZ551)*Instructions!$J$34+Tier!CA551*-2</f>
        <v>20.7</v>
      </c>
      <c r="CC551" s="354"/>
      <c r="CD551" s="238">
        <v>2017</v>
      </c>
      <c r="CE551" s="365" t="s">
        <v>1407</v>
      </c>
      <c r="CF551" s="366" t="s">
        <v>167</v>
      </c>
      <c r="CG551" s="366" t="s">
        <v>6</v>
      </c>
      <c r="CH551" s="366">
        <v>0</v>
      </c>
      <c r="CI551" s="366">
        <v>0</v>
      </c>
      <c r="CJ551" s="366">
        <v>0</v>
      </c>
      <c r="CK551" s="366">
        <v>0</v>
      </c>
      <c r="CL551" s="366">
        <v>0</v>
      </c>
      <c r="CM551" s="366">
        <v>9</v>
      </c>
      <c r="CN551" s="366">
        <v>218</v>
      </c>
      <c r="CO551" s="366">
        <v>3</v>
      </c>
      <c r="CP551" s="366">
        <v>0</v>
      </c>
      <c r="CQ551" s="366">
        <v>0</v>
      </c>
      <c r="CR551" s="366">
        <v>0</v>
      </c>
      <c r="CS551" s="366">
        <v>0</v>
      </c>
      <c r="CT551" s="366">
        <v>2</v>
      </c>
      <c r="CU551" s="367">
        <f>IFERROR(CH551/Instructions!$J$25,0)+CI551*Instructions!$J$27+CJ551*Instructions!$J$29+IFERROR(CK551/Instructions!$E$34,0)+CL551*Instructions!$E$36+Tier!CM551*Instructions!$E$25+IFERROR(CN551/Instructions!$E$27,0)+CO551*Instructions!$E$29+IFERROR((CP551+CR551)/Instructions!$J$32,0)+(CQ551+CS551)*Instructions!$J$34+Tier!CT551*-2</f>
        <v>44.8</v>
      </c>
      <c r="CV551" s="354"/>
      <c r="CW551"/>
      <c r="CX551"/>
      <c r="CY551"/>
      <c r="CZ551"/>
      <c r="DA551"/>
      <c r="DB551"/>
      <c r="DC551"/>
      <c r="DD551"/>
      <c r="DE551"/>
      <c r="DF551"/>
      <c r="DG551"/>
      <c r="DH551"/>
      <c r="DI551"/>
      <c r="DJ551"/>
      <c r="DK551"/>
      <c r="DL551"/>
      <c r="DM551"/>
      <c r="DN551"/>
    </row>
    <row r="552" spans="3:118" s="238" customFormat="1" ht="15.75" customHeight="1" x14ac:dyDescent="0.25">
      <c r="C552"/>
      <c r="D552"/>
      <c r="E552"/>
      <c r="F552"/>
      <c r="G552"/>
      <c r="H552"/>
      <c r="I552"/>
      <c r="J552"/>
      <c r="K552"/>
      <c r="L552"/>
      <c r="M552"/>
      <c r="N552"/>
      <c r="O552" s="366"/>
      <c r="P552" s="366">
        <v>2017</v>
      </c>
      <c r="Q552" s="367">
        <f>LARGE($CB$455:$CB$604,98)</f>
        <v>21.200000000000003</v>
      </c>
      <c r="R552" s="357">
        <f t="shared" si="145"/>
        <v>-150.86666666666667</v>
      </c>
      <c r="S552" s="356">
        <f t="shared" si="141"/>
        <v>22760.751111111113</v>
      </c>
      <c r="U552" s="356">
        <f t="shared" si="146"/>
        <v>-9.4291666666666671</v>
      </c>
      <c r="V552" s="238">
        <f t="shared" si="143"/>
        <v>8</v>
      </c>
      <c r="W552" s="354"/>
      <c r="X552" s="366"/>
      <c r="Y552" s="366"/>
      <c r="Z552" s="238">
        <v>2017</v>
      </c>
      <c r="AA552" s="367">
        <f>LARGE($CU$455:$CU$604,98)</f>
        <v>59.7</v>
      </c>
      <c r="AB552" s="357">
        <f t="shared" si="147"/>
        <v>-132.83333333333331</v>
      </c>
      <c r="AC552" s="356">
        <f t="shared" si="142"/>
        <v>17644.694444444438</v>
      </c>
      <c r="AE552" s="356">
        <f t="shared" si="148"/>
        <v>-8.3020833333333321</v>
      </c>
      <c r="AF552" s="238">
        <f t="shared" si="144"/>
        <v>8</v>
      </c>
      <c r="AG552" s="354"/>
      <c r="AK552"/>
      <c r="AL552"/>
      <c r="AM552"/>
      <c r="AN552"/>
      <c r="AO552"/>
      <c r="AP552"/>
      <c r="BI552" s="360"/>
      <c r="BJ552" s="354"/>
      <c r="BK552" s="366">
        <v>2017</v>
      </c>
      <c r="BL552" s="365" t="s">
        <v>78</v>
      </c>
      <c r="BM552" s="366" t="s">
        <v>153</v>
      </c>
      <c r="BN552" s="366" t="s">
        <v>3</v>
      </c>
      <c r="BO552" s="366">
        <v>0</v>
      </c>
      <c r="BP552" s="366">
        <v>0</v>
      </c>
      <c r="BQ552" s="366">
        <v>0</v>
      </c>
      <c r="BR552" s="366">
        <v>114</v>
      </c>
      <c r="BS552" s="366">
        <v>0</v>
      </c>
      <c r="BT552" s="366">
        <v>5</v>
      </c>
      <c r="BU552" s="366">
        <v>43</v>
      </c>
      <c r="BV552" s="366">
        <v>0</v>
      </c>
      <c r="BW552" s="366">
        <v>0</v>
      </c>
      <c r="BX552" s="366">
        <v>0</v>
      </c>
      <c r="BY552" s="366">
        <v>0</v>
      </c>
      <c r="BZ552" s="366">
        <v>0</v>
      </c>
      <c r="CA552" s="366">
        <v>0</v>
      </c>
      <c r="CB552" s="367">
        <f>IFERROR(BO552/Instructions!$J$25,0)+BP552*Instructions!$J$27+BQ552*Instructions!$J$29+IFERROR(BR552/Instructions!$E$34,0)+BS552*Instructions!$E$36+Tier!BT553*Instructions!$E$25+IFERROR(BU552/Instructions!$E$27,0)+BV552*Instructions!$E$29+IFERROR((BW552+BY552)/Instructions!$J$32,0)+(BX552+BZ552)*Instructions!$J$34+Tier!CA552*-2</f>
        <v>32.699999999999996</v>
      </c>
      <c r="CC552" s="354"/>
      <c r="CD552" s="238">
        <v>2017</v>
      </c>
      <c r="CE552" s="365" t="s">
        <v>110</v>
      </c>
      <c r="CF552" s="366" t="s">
        <v>161</v>
      </c>
      <c r="CG552" s="366" t="s">
        <v>6</v>
      </c>
      <c r="CH552" s="366">
        <v>0</v>
      </c>
      <c r="CI552" s="366">
        <v>0</v>
      </c>
      <c r="CJ552" s="366">
        <v>0</v>
      </c>
      <c r="CK552" s="366">
        <v>0</v>
      </c>
      <c r="CL552" s="366">
        <v>0</v>
      </c>
      <c r="CM552" s="366">
        <v>18</v>
      </c>
      <c r="CN552" s="366">
        <v>335</v>
      </c>
      <c r="CO552" s="366">
        <v>1</v>
      </c>
      <c r="CP552" s="366">
        <v>0</v>
      </c>
      <c r="CQ552" s="366">
        <v>0</v>
      </c>
      <c r="CR552" s="366">
        <v>0</v>
      </c>
      <c r="CS552" s="366">
        <v>0</v>
      </c>
      <c r="CT552" s="366">
        <v>0</v>
      </c>
      <c r="CU552" s="367">
        <f>IFERROR(CH552/Instructions!$J$25,0)+CI552*Instructions!$J$27+CJ552*Instructions!$J$29+IFERROR(CK552/Instructions!$E$34,0)+CL552*Instructions!$E$36+Tier!CM552*Instructions!$E$25+IFERROR(CN552/Instructions!$E$27,0)+CO552*Instructions!$E$29+IFERROR((CP552+CR552)/Instructions!$J$32,0)+(CQ552+CS552)*Instructions!$J$34+Tier!CT552*-2</f>
        <v>57.5</v>
      </c>
      <c r="CV552" s="354"/>
      <c r="CW552"/>
      <c r="CX552"/>
      <c r="CY552"/>
      <c r="CZ552"/>
      <c r="DA552"/>
      <c r="DB552"/>
      <c r="DC552"/>
      <c r="DD552"/>
      <c r="DE552"/>
      <c r="DF552"/>
      <c r="DG552"/>
      <c r="DH552"/>
      <c r="DI552"/>
      <c r="DJ552"/>
      <c r="DK552"/>
      <c r="DL552"/>
      <c r="DM552"/>
      <c r="DN552"/>
    </row>
    <row r="553" spans="3:118" s="238" customFormat="1" ht="15.75" customHeight="1" x14ac:dyDescent="0.25">
      <c r="C553"/>
      <c r="D553"/>
      <c r="E553"/>
      <c r="F553"/>
      <c r="G553"/>
      <c r="H553"/>
      <c r="I553"/>
      <c r="J553"/>
      <c r="K553"/>
      <c r="L553"/>
      <c r="M553"/>
      <c r="N553"/>
      <c r="O553" s="366"/>
      <c r="P553" s="366">
        <v>2017</v>
      </c>
      <c r="Q553" s="367">
        <f>LARGE($CB$455:$CB$604,99)</f>
        <v>20.7</v>
      </c>
      <c r="R553" s="357">
        <f t="shared" si="145"/>
        <v>-151.3666666666667</v>
      </c>
      <c r="S553" s="356">
        <f t="shared" si="141"/>
        <v>22911.867777777788</v>
      </c>
      <c r="U553" s="356">
        <f t="shared" si="146"/>
        <v>-9.4604166666666689</v>
      </c>
      <c r="V553" s="238">
        <f t="shared" si="143"/>
        <v>8</v>
      </c>
      <c r="W553" s="354"/>
      <c r="X553" s="366"/>
      <c r="Y553" s="366"/>
      <c r="Z553" s="238">
        <v>2017</v>
      </c>
      <c r="AA553" s="367">
        <f>LARGE($CU$455:$CU$604,99)</f>
        <v>59.2</v>
      </c>
      <c r="AB553" s="357">
        <f t="shared" si="147"/>
        <v>-133.33333333333331</v>
      </c>
      <c r="AC553" s="356">
        <f t="shared" si="142"/>
        <v>17777.777777777774</v>
      </c>
      <c r="AE553" s="356">
        <f t="shared" si="148"/>
        <v>-8.3333333333333321</v>
      </c>
      <c r="AF553" s="238">
        <f t="shared" si="144"/>
        <v>8</v>
      </c>
      <c r="AG553" s="354"/>
      <c r="AK553"/>
      <c r="AL553"/>
      <c r="AM553"/>
      <c r="AN553"/>
      <c r="AO553"/>
      <c r="AP553"/>
      <c r="BI553" s="360"/>
      <c r="BJ553" s="354"/>
      <c r="BK553" s="366">
        <v>2017</v>
      </c>
      <c r="BL553" s="365" t="s">
        <v>1347</v>
      </c>
      <c r="BM553" s="366" t="s">
        <v>153</v>
      </c>
      <c r="BN553" s="366" t="s">
        <v>3</v>
      </c>
      <c r="BO553" s="366">
        <v>0</v>
      </c>
      <c r="BP553" s="366">
        <v>0</v>
      </c>
      <c r="BQ553" s="366">
        <v>0</v>
      </c>
      <c r="BR553" s="366">
        <v>19</v>
      </c>
      <c r="BS553" s="366">
        <v>0</v>
      </c>
      <c r="BT553" s="366">
        <v>17</v>
      </c>
      <c r="BU553" s="366">
        <v>133</v>
      </c>
      <c r="BV553" s="366">
        <v>0</v>
      </c>
      <c r="BW553" s="366">
        <v>0</v>
      </c>
      <c r="BX553" s="366">
        <v>0</v>
      </c>
      <c r="BY553" s="366">
        <v>184</v>
      </c>
      <c r="BZ553" s="366">
        <v>0</v>
      </c>
      <c r="CA553" s="366">
        <v>0</v>
      </c>
      <c r="CB553" s="367">
        <f>IFERROR(BO553/Instructions!$J$25,0)+BP553*Instructions!$J$27+BQ553*Instructions!$J$29+IFERROR(BR553/Instructions!$E$34,0)+BS553*Instructions!$E$36+Tier!BT554*Instructions!$E$25+IFERROR(BU553/Instructions!$E$27,0)+BV553*Instructions!$E$29+IFERROR((BW553+BY553)/Instructions!$J$32,0)+(BX553+BZ553)*Instructions!$J$34+Tier!CA553*-2</f>
        <v>21.200000000000003</v>
      </c>
      <c r="CC553" s="354"/>
      <c r="CD553" s="238">
        <v>2017</v>
      </c>
      <c r="CE553" s="365" t="s">
        <v>1315</v>
      </c>
      <c r="CF553" s="366" t="s">
        <v>155</v>
      </c>
      <c r="CG553" s="366" t="s">
        <v>6</v>
      </c>
      <c r="CH553" s="366">
        <v>0</v>
      </c>
      <c r="CI553" s="366">
        <v>0</v>
      </c>
      <c r="CJ553" s="366">
        <v>0</v>
      </c>
      <c r="CK553" s="366">
        <v>0</v>
      </c>
      <c r="CL553" s="366">
        <v>0</v>
      </c>
      <c r="CM553" s="366">
        <v>19</v>
      </c>
      <c r="CN553" s="366">
        <v>260</v>
      </c>
      <c r="CO553" s="366">
        <v>2</v>
      </c>
      <c r="CP553" s="366">
        <v>0</v>
      </c>
      <c r="CQ553" s="366">
        <v>0</v>
      </c>
      <c r="CR553" s="366">
        <v>0</v>
      </c>
      <c r="CS553" s="366">
        <v>0</v>
      </c>
      <c r="CT553" s="366">
        <v>0</v>
      </c>
      <c r="CU553" s="367">
        <f>IFERROR(CH553/Instructions!$J$25,0)+CI553*Instructions!$J$27+CJ553*Instructions!$J$29+IFERROR(CK553/Instructions!$E$34,0)+CL553*Instructions!$E$36+Tier!CM553*Instructions!$E$25+IFERROR(CN553/Instructions!$E$27,0)+CO553*Instructions!$E$29+IFERROR((CP553+CR553)/Instructions!$J$32,0)+(CQ553+CS553)*Instructions!$J$34+Tier!CT553*-2</f>
        <v>57</v>
      </c>
      <c r="CV553" s="354"/>
      <c r="CW553"/>
      <c r="CX553"/>
      <c r="CY553"/>
      <c r="CZ553"/>
      <c r="DA553"/>
      <c r="DB553"/>
      <c r="DC553"/>
      <c r="DD553"/>
      <c r="DE553"/>
      <c r="DF553"/>
      <c r="DG553"/>
      <c r="DH553"/>
      <c r="DI553"/>
      <c r="DJ553"/>
      <c r="DK553"/>
      <c r="DL553"/>
      <c r="DM553"/>
      <c r="DN553"/>
    </row>
    <row r="554" spans="3:118" s="238" customFormat="1" ht="15.75" customHeight="1" x14ac:dyDescent="0.25">
      <c r="C554"/>
      <c r="D554"/>
      <c r="E554"/>
      <c r="F554"/>
      <c r="G554"/>
      <c r="H554"/>
      <c r="I554"/>
      <c r="J554"/>
      <c r="K554"/>
      <c r="L554"/>
      <c r="M554"/>
      <c r="N554"/>
      <c r="O554" s="366"/>
      <c r="P554" s="366">
        <v>2017</v>
      </c>
      <c r="Q554" s="367">
        <f>LARGE($CB$455:$CB$604,100)</f>
        <v>20.6</v>
      </c>
      <c r="R554" s="357">
        <f t="shared" si="145"/>
        <v>-151.4666666666667</v>
      </c>
      <c r="S554" s="356">
        <f t="shared" si="141"/>
        <v>22942.151111111121</v>
      </c>
      <c r="U554" s="356">
        <f t="shared" si="146"/>
        <v>-9.4666666666666686</v>
      </c>
      <c r="V554" s="238">
        <f t="shared" si="143"/>
        <v>8</v>
      </c>
      <c r="W554" s="354"/>
      <c r="X554" s="366"/>
      <c r="Y554" s="366"/>
      <c r="Z554" s="238">
        <v>2017</v>
      </c>
      <c r="AA554" s="367">
        <f>LARGE($CU$455:$CU$604,100)</f>
        <v>58.2</v>
      </c>
      <c r="AB554" s="357">
        <f t="shared" si="147"/>
        <v>-134.33333333333331</v>
      </c>
      <c r="AC554" s="356">
        <f t="shared" si="142"/>
        <v>18045.444444444438</v>
      </c>
      <c r="AE554" s="356">
        <f t="shared" si="148"/>
        <v>-8.3958333333333321</v>
      </c>
      <c r="AF554" s="238">
        <f t="shared" si="144"/>
        <v>8</v>
      </c>
      <c r="AG554" s="354"/>
      <c r="AK554"/>
      <c r="AL554"/>
      <c r="AM554"/>
      <c r="AN554"/>
      <c r="AO554"/>
      <c r="AP554"/>
      <c r="BI554" s="360"/>
      <c r="BJ554" s="354"/>
      <c r="BK554" s="366">
        <v>2017</v>
      </c>
      <c r="BL554" s="365" t="s">
        <v>1230</v>
      </c>
      <c r="BM554" s="366" t="s">
        <v>136</v>
      </c>
      <c r="BN554" s="366" t="s">
        <v>3</v>
      </c>
      <c r="BO554" s="366">
        <v>0</v>
      </c>
      <c r="BP554" s="366">
        <v>0</v>
      </c>
      <c r="BQ554" s="366">
        <v>0</v>
      </c>
      <c r="BR554" s="366">
        <v>40</v>
      </c>
      <c r="BS554" s="366">
        <v>1</v>
      </c>
      <c r="BT554" s="366">
        <v>6</v>
      </c>
      <c r="BU554" s="366">
        <v>47</v>
      </c>
      <c r="BV554" s="366">
        <v>0</v>
      </c>
      <c r="BW554" s="366">
        <v>0</v>
      </c>
      <c r="BX554" s="366">
        <v>0</v>
      </c>
      <c r="BY554" s="366">
        <v>7</v>
      </c>
      <c r="BZ554" s="366">
        <v>0</v>
      </c>
      <c r="CA554" s="366">
        <v>0</v>
      </c>
      <c r="CB554" s="367">
        <f>IFERROR(BO554/Instructions!$J$25,0)+BP554*Instructions!$J$27+BQ554*Instructions!$J$29+IFERROR(BR554/Instructions!$E$34,0)+BS554*Instructions!$E$36+Tier!BT555*Instructions!$E$25+IFERROR(BU554/Instructions!$E$27,0)+BV554*Instructions!$E$29+IFERROR((BW554+BY554)/Instructions!$J$32,0)+(BX554+BZ554)*Instructions!$J$34+Tier!CA554*-2</f>
        <v>14.7</v>
      </c>
      <c r="CC554" s="354"/>
      <c r="CD554" s="238">
        <v>2017</v>
      </c>
      <c r="CE554" s="365" t="s">
        <v>111</v>
      </c>
      <c r="CF554" s="366" t="s">
        <v>1389</v>
      </c>
      <c r="CG554" s="366" t="s">
        <v>6</v>
      </c>
      <c r="CH554" s="366">
        <v>0</v>
      </c>
      <c r="CI554" s="366">
        <v>0</v>
      </c>
      <c r="CJ554" s="366">
        <v>0</v>
      </c>
      <c r="CK554" s="366">
        <v>265</v>
      </c>
      <c r="CL554" s="366">
        <v>1</v>
      </c>
      <c r="CM554" s="366">
        <v>14</v>
      </c>
      <c r="CN554" s="366">
        <v>52</v>
      </c>
      <c r="CO554" s="366">
        <v>0</v>
      </c>
      <c r="CP554" s="366">
        <v>53</v>
      </c>
      <c r="CQ554" s="366">
        <v>0</v>
      </c>
      <c r="CR554" s="366">
        <v>13</v>
      </c>
      <c r="CS554" s="366">
        <v>0</v>
      </c>
      <c r="CT554" s="366">
        <v>0</v>
      </c>
      <c r="CU554" s="367">
        <f>IFERROR(CH554/Instructions!$J$25,0)+CI554*Instructions!$J$27+CJ554*Instructions!$J$29+IFERROR(CK554/Instructions!$E$34,0)+CL554*Instructions!$E$36+Tier!CM554*Instructions!$E$25+IFERROR(CN554/Instructions!$E$27,0)+CO554*Instructions!$E$29+IFERROR((CP554+CR554)/Instructions!$J$32,0)+(CQ554+CS554)*Instructions!$J$34+Tier!CT554*-2</f>
        <v>51.7</v>
      </c>
      <c r="CV554" s="354"/>
      <c r="CW554"/>
      <c r="CX554"/>
      <c r="CY554"/>
      <c r="CZ554"/>
      <c r="DA554"/>
      <c r="DB554"/>
      <c r="DC554"/>
      <c r="DD554"/>
      <c r="DE554"/>
      <c r="DF554"/>
      <c r="DG554"/>
      <c r="DH554"/>
      <c r="DI554"/>
      <c r="DJ554"/>
      <c r="DK554"/>
      <c r="DL554"/>
      <c r="DM554"/>
      <c r="DN554"/>
    </row>
    <row r="555" spans="3:118" s="238" customFormat="1" ht="15.75" customHeight="1" x14ac:dyDescent="0.25">
      <c r="C555"/>
      <c r="D555"/>
      <c r="E555"/>
      <c r="F555"/>
      <c r="G555"/>
      <c r="H555"/>
      <c r="I555"/>
      <c r="J555"/>
      <c r="K555"/>
      <c r="L555"/>
      <c r="M555"/>
      <c r="N555"/>
      <c r="O555" s="366"/>
      <c r="P555" s="366">
        <v>2017</v>
      </c>
      <c r="Q555" s="367">
        <f>LARGE($CB$455:$CB$604,101)</f>
        <v>20.100000000000001</v>
      </c>
      <c r="R555" s="357">
        <f t="shared" si="145"/>
        <v>-151.9666666666667</v>
      </c>
      <c r="S555" s="356">
        <f t="shared" si="141"/>
        <v>23093.867777777788</v>
      </c>
      <c r="T555" s="356"/>
      <c r="U555" s="356">
        <f t="shared" si="146"/>
        <v>-9.4979166666666686</v>
      </c>
      <c r="V555" s="238">
        <f t="shared" si="143"/>
        <v>8</v>
      </c>
      <c r="W555" s="354"/>
      <c r="X555" s="366"/>
      <c r="Y555" s="366"/>
      <c r="Z555" s="238">
        <v>2017</v>
      </c>
      <c r="AA555" s="367">
        <f>LARGE($CU$455:$CU$604,101)</f>
        <v>57.6</v>
      </c>
      <c r="AB555" s="357">
        <f t="shared" si="147"/>
        <v>-134.93333333333334</v>
      </c>
      <c r="AC555" s="356">
        <f t="shared" si="142"/>
        <v>18207.004444444447</v>
      </c>
      <c r="AE555" s="356">
        <f t="shared" si="148"/>
        <v>-8.4333333333333336</v>
      </c>
      <c r="AF555" s="238">
        <f t="shared" si="144"/>
        <v>8</v>
      </c>
      <c r="AG555" s="354"/>
      <c r="AK555"/>
      <c r="AL555"/>
      <c r="AM555"/>
      <c r="AN555"/>
      <c r="AO555"/>
      <c r="AP555"/>
      <c r="BI555" s="360"/>
      <c r="BJ555" s="354"/>
      <c r="BK555" s="366">
        <v>2017</v>
      </c>
      <c r="BL555" s="365" t="s">
        <v>1422</v>
      </c>
      <c r="BM555" s="366" t="s">
        <v>147</v>
      </c>
      <c r="BN555" s="366" t="s">
        <v>3</v>
      </c>
      <c r="BO555" s="366">
        <v>0</v>
      </c>
      <c r="BP555" s="366">
        <v>0</v>
      </c>
      <c r="BQ555" s="366">
        <v>0</v>
      </c>
      <c r="BR555" s="366">
        <v>144</v>
      </c>
      <c r="BS555" s="366">
        <v>0</v>
      </c>
      <c r="BT555" s="366">
        <v>0</v>
      </c>
      <c r="BU555" s="366">
        <v>0</v>
      </c>
      <c r="BV555" s="366">
        <v>0</v>
      </c>
      <c r="BW555" s="366">
        <v>0</v>
      </c>
      <c r="BX555" s="366">
        <v>0</v>
      </c>
      <c r="BY555" s="366">
        <v>0</v>
      </c>
      <c r="BZ555" s="366">
        <v>0</v>
      </c>
      <c r="CA555" s="366">
        <v>0</v>
      </c>
      <c r="CB555" s="367">
        <f>IFERROR(BO555/Instructions!$J$25,0)+BP555*Instructions!$J$27+BQ555*Instructions!$J$29+IFERROR(BR555/Instructions!$E$34,0)+BS555*Instructions!$E$36+Tier!BT556*Instructions!$E$25+IFERROR(BU555/Instructions!$E$27,0)+BV555*Instructions!$E$29+IFERROR((BW555+BY555)/Instructions!$J$32,0)+(BX555+BZ555)*Instructions!$J$34+Tier!CA555*-2</f>
        <v>21.4</v>
      </c>
      <c r="CC555" s="354"/>
      <c r="CD555" s="238">
        <v>2017</v>
      </c>
      <c r="CE555" s="365" t="s">
        <v>191</v>
      </c>
      <c r="CF555" s="366" t="s">
        <v>161</v>
      </c>
      <c r="CG555" s="366" t="s">
        <v>6</v>
      </c>
      <c r="CH555" s="366">
        <v>0</v>
      </c>
      <c r="CI555" s="366">
        <v>0</v>
      </c>
      <c r="CJ555" s="366">
        <v>0</v>
      </c>
      <c r="CK555" s="366">
        <v>0</v>
      </c>
      <c r="CL555" s="366">
        <v>0</v>
      </c>
      <c r="CM555" s="366">
        <v>20</v>
      </c>
      <c r="CN555" s="366">
        <v>256</v>
      </c>
      <c r="CO555" s="366">
        <v>2</v>
      </c>
      <c r="CP555" s="366">
        <v>0</v>
      </c>
      <c r="CQ555" s="366">
        <v>0</v>
      </c>
      <c r="CR555" s="366">
        <v>0</v>
      </c>
      <c r="CS555" s="366">
        <v>0</v>
      </c>
      <c r="CT555" s="366">
        <v>0</v>
      </c>
      <c r="CU555" s="367">
        <f>IFERROR(CH555/Instructions!$J$25,0)+CI555*Instructions!$J$27+CJ555*Instructions!$J$29+IFERROR(CK555/Instructions!$E$34,0)+CL555*Instructions!$E$36+Tier!CM555*Instructions!$E$25+IFERROR(CN555/Instructions!$E$27,0)+CO555*Instructions!$E$29+IFERROR((CP555+CR555)/Instructions!$J$32,0)+(CQ555+CS555)*Instructions!$J$34+Tier!CT555*-2</f>
        <v>57.6</v>
      </c>
      <c r="CV555" s="354"/>
      <c r="CW555"/>
      <c r="CX555"/>
      <c r="CY555"/>
      <c r="CZ555"/>
      <c r="DA555"/>
      <c r="DB555"/>
      <c r="DC555"/>
      <c r="DD555"/>
      <c r="DE555"/>
      <c r="DF555"/>
      <c r="DG555"/>
      <c r="DH555"/>
      <c r="DI555"/>
      <c r="DJ555"/>
      <c r="DK555"/>
      <c r="DL555"/>
      <c r="DM555"/>
      <c r="DN555"/>
    </row>
    <row r="556" spans="3:118" s="238" customFormat="1" ht="15.75" customHeight="1" x14ac:dyDescent="0.25">
      <c r="C556"/>
      <c r="D556"/>
      <c r="E556"/>
      <c r="F556"/>
      <c r="G556"/>
      <c r="H556"/>
      <c r="I556"/>
      <c r="J556"/>
      <c r="K556"/>
      <c r="L556"/>
      <c r="M556"/>
      <c r="N556"/>
      <c r="O556" s="366"/>
      <c r="P556" s="366">
        <v>2017</v>
      </c>
      <c r="Q556" s="367">
        <f>LARGE($CB$455:$CB$604,102)</f>
        <v>17.8</v>
      </c>
      <c r="R556" s="357">
        <f t="shared" si="145"/>
        <v>-154.26666666666668</v>
      </c>
      <c r="S556" s="356">
        <f t="shared" si="141"/>
        <v>23798.204444444447</v>
      </c>
      <c r="T556" s="356"/>
      <c r="U556" s="356">
        <f t="shared" si="146"/>
        <v>-9.6416666666666675</v>
      </c>
      <c r="V556" s="238">
        <f t="shared" si="143"/>
        <v>8</v>
      </c>
      <c r="W556" s="354"/>
      <c r="X556" s="366"/>
      <c r="Y556" s="366"/>
      <c r="Z556" s="238">
        <v>2017</v>
      </c>
      <c r="AA556" s="367">
        <f>LARGE($CU$455:$CU$604,102)</f>
        <v>57.5</v>
      </c>
      <c r="AB556" s="357">
        <f t="shared" si="147"/>
        <v>-135.03333333333333</v>
      </c>
      <c r="AC556" s="356">
        <f t="shared" si="142"/>
        <v>18234.001111111109</v>
      </c>
      <c r="AE556" s="356">
        <f t="shared" si="148"/>
        <v>-8.4395833333333332</v>
      </c>
      <c r="AF556" s="238">
        <f t="shared" si="144"/>
        <v>8</v>
      </c>
      <c r="AG556" s="354"/>
      <c r="AK556"/>
      <c r="AL556"/>
      <c r="AM556"/>
      <c r="AN556"/>
      <c r="AO556"/>
      <c r="AP556"/>
      <c r="BI556" s="360"/>
      <c r="BJ556" s="354"/>
      <c r="BK556" s="366">
        <v>2017</v>
      </c>
      <c r="BL556" s="365" t="s">
        <v>1610</v>
      </c>
      <c r="BM556" s="366" t="s">
        <v>138</v>
      </c>
      <c r="BN556" s="366" t="s">
        <v>3</v>
      </c>
      <c r="BO556" s="366">
        <v>0</v>
      </c>
      <c r="BP556" s="366">
        <v>0</v>
      </c>
      <c r="BQ556" s="366">
        <v>0</v>
      </c>
      <c r="BR556" s="366">
        <v>13</v>
      </c>
      <c r="BS556" s="366">
        <v>1</v>
      </c>
      <c r="BT556" s="366">
        <v>7</v>
      </c>
      <c r="BU556" s="366">
        <v>68</v>
      </c>
      <c r="BV556" s="366">
        <v>0</v>
      </c>
      <c r="BW556" s="366">
        <v>0</v>
      </c>
      <c r="BX556" s="366">
        <v>0</v>
      </c>
      <c r="BY556" s="366">
        <v>0</v>
      </c>
      <c r="BZ556" s="366">
        <v>0</v>
      </c>
      <c r="CA556" s="366">
        <v>0</v>
      </c>
      <c r="CB556" s="367">
        <f>IFERROR(BO556/Instructions!$J$25,0)+BP556*Instructions!$J$27+BQ556*Instructions!$J$29+IFERROR(BR556/Instructions!$E$34,0)+BS556*Instructions!$E$36+Tier!BT557*Instructions!$E$25+IFERROR(BU556/Instructions!$E$27,0)+BV556*Instructions!$E$29+IFERROR((BW556+BY556)/Instructions!$J$32,0)+(BX556+BZ556)*Instructions!$J$34+Tier!CA556*-2</f>
        <v>20.100000000000001</v>
      </c>
      <c r="CC556" s="354"/>
      <c r="CD556" s="238">
        <v>2017</v>
      </c>
      <c r="CE556" s="365" t="s">
        <v>1410</v>
      </c>
      <c r="CF556" s="366" t="s">
        <v>163</v>
      </c>
      <c r="CG556" s="366" t="s">
        <v>6</v>
      </c>
      <c r="CH556" s="366">
        <v>0</v>
      </c>
      <c r="CI556" s="366">
        <v>0</v>
      </c>
      <c r="CJ556" s="366">
        <v>0</v>
      </c>
      <c r="CK556" s="366">
        <v>0</v>
      </c>
      <c r="CL556" s="366">
        <v>0</v>
      </c>
      <c r="CM556" s="366">
        <v>34</v>
      </c>
      <c r="CN556" s="366">
        <v>375</v>
      </c>
      <c r="CO556" s="366">
        <v>0</v>
      </c>
      <c r="CP556" s="366">
        <v>0</v>
      </c>
      <c r="CQ556" s="366">
        <v>0</v>
      </c>
      <c r="CR556" s="366">
        <v>0</v>
      </c>
      <c r="CS556" s="366">
        <v>0</v>
      </c>
      <c r="CT556" s="366">
        <v>0</v>
      </c>
      <c r="CU556" s="367">
        <f>IFERROR(CH556/Instructions!$J$25,0)+CI556*Instructions!$J$27+CJ556*Instructions!$J$29+IFERROR(CK556/Instructions!$E$34,0)+CL556*Instructions!$E$36+Tier!CM556*Instructions!$E$25+IFERROR(CN556/Instructions!$E$27,0)+CO556*Instructions!$E$29+IFERROR((CP556+CR556)/Instructions!$J$32,0)+(CQ556+CS556)*Instructions!$J$34+Tier!CT556*-2</f>
        <v>71.5</v>
      </c>
      <c r="CV556" s="354"/>
      <c r="CW556"/>
      <c r="CX556"/>
      <c r="CY556"/>
      <c r="CZ556"/>
      <c r="DA556"/>
      <c r="DB556"/>
      <c r="DC556"/>
      <c r="DD556"/>
      <c r="DE556"/>
      <c r="DF556"/>
      <c r="DG556"/>
      <c r="DH556"/>
      <c r="DI556"/>
      <c r="DJ556"/>
      <c r="DK556"/>
      <c r="DL556"/>
      <c r="DM556"/>
      <c r="DN556"/>
    </row>
    <row r="557" spans="3:118" s="238" customFormat="1" ht="15.75" customHeight="1" x14ac:dyDescent="0.25">
      <c r="C557"/>
      <c r="D557"/>
      <c r="E557"/>
      <c r="F557"/>
      <c r="G557"/>
      <c r="H557"/>
      <c r="I557"/>
      <c r="J557"/>
      <c r="K557"/>
      <c r="L557"/>
      <c r="M557"/>
      <c r="N557"/>
      <c r="O557" s="366"/>
      <c r="P557" s="366">
        <v>2017</v>
      </c>
      <c r="Q557" s="367">
        <f>LARGE($CB$455:$CB$604,103)</f>
        <v>17.600000000000001</v>
      </c>
      <c r="R557" s="357">
        <f t="shared" si="145"/>
        <v>-154.4666666666667</v>
      </c>
      <c r="S557" s="356">
        <f t="shared" si="141"/>
        <v>23859.951111111121</v>
      </c>
      <c r="U557" s="356">
        <f t="shared" si="146"/>
        <v>-9.6541666666666686</v>
      </c>
      <c r="V557" s="238">
        <f t="shared" si="143"/>
        <v>8</v>
      </c>
      <c r="W557" s="354"/>
      <c r="X557" s="366"/>
      <c r="Y557" s="366"/>
      <c r="Z557" s="238">
        <v>2017</v>
      </c>
      <c r="AA557" s="367">
        <f>LARGE($CU$455:$CU$604,103)</f>
        <v>57</v>
      </c>
      <c r="AB557" s="357">
        <f t="shared" si="147"/>
        <v>-135.53333333333333</v>
      </c>
      <c r="AC557" s="356">
        <f t="shared" si="142"/>
        <v>18369.284444444445</v>
      </c>
      <c r="AE557" s="356">
        <f t="shared" si="148"/>
        <v>-8.4708333333333332</v>
      </c>
      <c r="AF557" s="238">
        <f t="shared" si="144"/>
        <v>8</v>
      </c>
      <c r="AG557" s="354"/>
      <c r="AK557"/>
      <c r="AL557"/>
      <c r="AM557"/>
      <c r="AN557"/>
      <c r="AO557"/>
      <c r="AP557"/>
      <c r="BI557" s="360"/>
      <c r="BJ557" s="354"/>
      <c r="BK557" s="366">
        <v>2017</v>
      </c>
      <c r="BL557" s="365" t="s">
        <v>1236</v>
      </c>
      <c r="BM557" s="366" t="s">
        <v>167</v>
      </c>
      <c r="BN557" s="366" t="s">
        <v>3</v>
      </c>
      <c r="BO557" s="366">
        <v>0</v>
      </c>
      <c r="BP557" s="366">
        <v>0</v>
      </c>
      <c r="BQ557" s="366">
        <v>0</v>
      </c>
      <c r="BR557" s="366">
        <v>43</v>
      </c>
      <c r="BS557" s="366">
        <v>1</v>
      </c>
      <c r="BT557" s="366">
        <v>6</v>
      </c>
      <c r="BU557" s="366">
        <v>33</v>
      </c>
      <c r="BV557" s="366">
        <v>0</v>
      </c>
      <c r="BW557" s="366">
        <v>0</v>
      </c>
      <c r="BX557" s="366">
        <v>0</v>
      </c>
      <c r="BY557" s="366">
        <v>9</v>
      </c>
      <c r="BZ557" s="366">
        <v>0</v>
      </c>
      <c r="CA557" s="366">
        <v>0</v>
      </c>
      <c r="CB557" s="367">
        <f>IFERROR(BO557/Instructions!$J$25,0)+BP557*Instructions!$J$27+BQ557*Instructions!$J$29+IFERROR(BR557/Instructions!$E$34,0)+BS557*Instructions!$E$36+Tier!BT558*Instructions!$E$25+IFERROR(BU557/Instructions!$E$27,0)+BV557*Instructions!$E$29+IFERROR((BW557+BY557)/Instructions!$J$32,0)+(BX557+BZ557)*Instructions!$J$34+Tier!CA557*-2</f>
        <v>21.6</v>
      </c>
      <c r="CC557" s="354"/>
      <c r="CD557" s="238">
        <v>2017</v>
      </c>
      <c r="CE557" s="365" t="s">
        <v>1271</v>
      </c>
      <c r="CF557" s="366" t="s">
        <v>161</v>
      </c>
      <c r="CG557" s="366" t="s">
        <v>6</v>
      </c>
      <c r="CH557" s="366">
        <v>0</v>
      </c>
      <c r="CI557" s="366">
        <v>0</v>
      </c>
      <c r="CJ557" s="366">
        <v>0</v>
      </c>
      <c r="CK557" s="366">
        <v>0</v>
      </c>
      <c r="CL557" s="366">
        <v>0</v>
      </c>
      <c r="CM557" s="366">
        <v>27</v>
      </c>
      <c r="CN557" s="366">
        <v>357</v>
      </c>
      <c r="CO557" s="366">
        <v>0</v>
      </c>
      <c r="CP557" s="366">
        <v>0</v>
      </c>
      <c r="CQ557" s="366">
        <v>0</v>
      </c>
      <c r="CR557" s="366">
        <v>0</v>
      </c>
      <c r="CS557" s="366">
        <v>0</v>
      </c>
      <c r="CT557" s="366">
        <v>0</v>
      </c>
      <c r="CU557" s="367">
        <f>IFERROR(CH557/Instructions!$J$25,0)+CI557*Instructions!$J$27+CJ557*Instructions!$J$29+IFERROR(CK557/Instructions!$E$34,0)+CL557*Instructions!$E$36+Tier!CM557*Instructions!$E$25+IFERROR(CN557/Instructions!$E$27,0)+CO557*Instructions!$E$29+IFERROR((CP557+CR557)/Instructions!$J$32,0)+(CQ557+CS557)*Instructions!$J$34+Tier!CT557*-2</f>
        <v>62.7</v>
      </c>
      <c r="CV557" s="354"/>
      <c r="CW557"/>
      <c r="CX557"/>
      <c r="CY557"/>
      <c r="CZ557"/>
      <c r="DA557"/>
      <c r="DB557"/>
      <c r="DC557"/>
      <c r="DD557"/>
      <c r="DE557"/>
      <c r="DF557"/>
      <c r="DG557"/>
      <c r="DH557"/>
      <c r="DI557"/>
      <c r="DJ557"/>
      <c r="DK557"/>
      <c r="DL557"/>
      <c r="DM557"/>
      <c r="DN557"/>
    </row>
    <row r="558" spans="3:118" s="238" customFormat="1" ht="15.75" customHeight="1" x14ac:dyDescent="0.25">
      <c r="C558"/>
      <c r="D558"/>
      <c r="E558"/>
      <c r="F558"/>
      <c r="G558"/>
      <c r="H558"/>
      <c r="I558"/>
      <c r="J558"/>
      <c r="K558"/>
      <c r="L558"/>
      <c r="M558"/>
      <c r="N558"/>
      <c r="O558" s="366"/>
      <c r="P558" s="366">
        <v>2017</v>
      </c>
      <c r="Q558" s="367">
        <f>LARGE($CB$455:$CB$604,104)</f>
        <v>17.399999999999999</v>
      </c>
      <c r="R558" s="357">
        <f t="shared" si="145"/>
        <v>-154.66666666666669</v>
      </c>
      <c r="S558" s="356">
        <f t="shared" si="141"/>
        <v>23921.777777777785</v>
      </c>
      <c r="U558" s="356">
        <f t="shared" si="146"/>
        <v>-9.6666666666666679</v>
      </c>
      <c r="V558" s="238">
        <f t="shared" si="143"/>
        <v>8</v>
      </c>
      <c r="W558" s="354"/>
      <c r="X558" s="366"/>
      <c r="Y558" s="366"/>
      <c r="Z558" s="238">
        <v>2017</v>
      </c>
      <c r="AA558" s="367">
        <f>LARGE($CU$455:$CU$604,104)</f>
        <v>56.5</v>
      </c>
      <c r="AB558" s="357">
        <f t="shared" si="147"/>
        <v>-136.03333333333333</v>
      </c>
      <c r="AC558" s="356">
        <f t="shared" si="142"/>
        <v>18505.067777777778</v>
      </c>
      <c r="AE558" s="356">
        <f t="shared" si="148"/>
        <v>-8.5020833333333332</v>
      </c>
      <c r="AF558" s="238">
        <f t="shared" si="144"/>
        <v>8</v>
      </c>
      <c r="AG558" s="354"/>
      <c r="AK558"/>
      <c r="AL558"/>
      <c r="AM558"/>
      <c r="AN558"/>
      <c r="AO558"/>
      <c r="AP558"/>
      <c r="BI558" s="360"/>
      <c r="BJ558" s="354"/>
      <c r="BK558" s="366">
        <v>2017</v>
      </c>
      <c r="BL558" s="365" t="s">
        <v>1191</v>
      </c>
      <c r="BM558" s="366" t="s">
        <v>154</v>
      </c>
      <c r="BN558" s="366" t="s">
        <v>3</v>
      </c>
      <c r="BO558" s="366">
        <v>0</v>
      </c>
      <c r="BP558" s="366">
        <v>0</v>
      </c>
      <c r="BQ558" s="366">
        <v>0</v>
      </c>
      <c r="BR558" s="366">
        <v>90</v>
      </c>
      <c r="BS558" s="366">
        <v>0</v>
      </c>
      <c r="BT558" s="366">
        <v>8</v>
      </c>
      <c r="BU558" s="366">
        <v>46</v>
      </c>
      <c r="BV558" s="366">
        <v>0</v>
      </c>
      <c r="BW558" s="366">
        <v>0</v>
      </c>
      <c r="BX558" s="366">
        <v>0</v>
      </c>
      <c r="BY558" s="366">
        <v>0</v>
      </c>
      <c r="BZ558" s="366">
        <v>0</v>
      </c>
      <c r="CA558" s="366">
        <v>0</v>
      </c>
      <c r="CB558" s="367">
        <f>IFERROR(BO558/Instructions!$J$25,0)+BP558*Instructions!$J$27+BQ558*Instructions!$J$29+IFERROR(BR558/Instructions!$E$34,0)+BS558*Instructions!$E$36+Tier!BT559*Instructions!$E$25+IFERROR(BU558/Instructions!$E$27,0)+BV558*Instructions!$E$29+IFERROR((BW558+BY558)/Instructions!$J$32,0)+(BX558+BZ558)*Instructions!$J$34+Tier!CA558*-2</f>
        <v>20.6</v>
      </c>
      <c r="CC558" s="354"/>
      <c r="CD558" s="238">
        <v>2017</v>
      </c>
      <c r="CE558" s="365" t="s">
        <v>1395</v>
      </c>
      <c r="CF558" s="366" t="s">
        <v>158</v>
      </c>
      <c r="CG558" s="366" t="s">
        <v>6</v>
      </c>
      <c r="CH558" s="366">
        <v>0</v>
      </c>
      <c r="CI558" s="366">
        <v>0</v>
      </c>
      <c r="CJ558" s="366">
        <v>0</v>
      </c>
      <c r="CK558" s="366">
        <v>8</v>
      </c>
      <c r="CL558" s="366">
        <v>0</v>
      </c>
      <c r="CM558" s="366">
        <v>23</v>
      </c>
      <c r="CN558" s="366">
        <v>284</v>
      </c>
      <c r="CO558" s="366">
        <v>1</v>
      </c>
      <c r="CP558" s="366">
        <v>80</v>
      </c>
      <c r="CQ558" s="366">
        <v>0</v>
      </c>
      <c r="CR558" s="366">
        <v>5</v>
      </c>
      <c r="CS558" s="366">
        <v>0</v>
      </c>
      <c r="CT558" s="366">
        <v>0</v>
      </c>
      <c r="CU558" s="367">
        <f>IFERROR(CH558/Instructions!$J$25,0)+CI558*Instructions!$J$27+CJ558*Instructions!$J$29+IFERROR(CK558/Instructions!$E$34,0)+CL558*Instructions!$E$36+Tier!CM558*Instructions!$E$25+IFERROR(CN558/Instructions!$E$27,0)+CO558*Instructions!$E$29+IFERROR((CP558+CR558)/Instructions!$J$32,0)+(CQ558+CS558)*Instructions!$J$34+Tier!CT558*-2</f>
        <v>58.2</v>
      </c>
      <c r="CV558" s="354"/>
      <c r="CW558"/>
      <c r="CX558"/>
      <c r="CY558"/>
      <c r="CZ558"/>
      <c r="DA558"/>
      <c r="DB558"/>
      <c r="DC558"/>
      <c r="DD558"/>
      <c r="DE558"/>
      <c r="DF558"/>
      <c r="DG558"/>
      <c r="DH558"/>
      <c r="DI558"/>
      <c r="DJ558"/>
      <c r="DK558"/>
      <c r="DL558"/>
      <c r="DM558"/>
      <c r="DN558"/>
    </row>
    <row r="559" spans="3:118" s="238" customFormat="1" ht="15.75" customHeight="1" x14ac:dyDescent="0.25">
      <c r="C559"/>
      <c r="D559"/>
      <c r="E559"/>
      <c r="F559"/>
      <c r="G559"/>
      <c r="H559"/>
      <c r="I559"/>
      <c r="J559"/>
      <c r="K559"/>
      <c r="L559"/>
      <c r="M559"/>
      <c r="N559"/>
      <c r="O559" s="366"/>
      <c r="P559" s="366">
        <v>2017</v>
      </c>
      <c r="Q559" s="367">
        <f>LARGE($CB$455:$CB$604,105)</f>
        <v>17.200000000000003</v>
      </c>
      <c r="R559" s="357">
        <f t="shared" si="145"/>
        <v>-154.86666666666667</v>
      </c>
      <c r="S559" s="356">
        <f t="shared" si="141"/>
        <v>23983.684444444447</v>
      </c>
      <c r="T559" s="356"/>
      <c r="U559" s="356">
        <f t="shared" si="146"/>
        <v>-9.6791666666666671</v>
      </c>
      <c r="V559" s="238">
        <f t="shared" si="143"/>
        <v>8</v>
      </c>
      <c r="W559" s="354"/>
      <c r="X559" s="366"/>
      <c r="Y559" s="366"/>
      <c r="Z559" s="238">
        <v>2017</v>
      </c>
      <c r="AA559" s="367">
        <f>LARGE($CU$455:$CU$604,105)</f>
        <v>52.5</v>
      </c>
      <c r="AB559" s="357">
        <f t="shared" si="147"/>
        <v>-140.03333333333333</v>
      </c>
      <c r="AC559" s="356">
        <f t="shared" si="142"/>
        <v>19609.334444444445</v>
      </c>
      <c r="AE559" s="356">
        <f t="shared" si="148"/>
        <v>-8.7520833333333332</v>
      </c>
      <c r="AF559" s="238">
        <f t="shared" si="144"/>
        <v>8</v>
      </c>
      <c r="AG559" s="354"/>
      <c r="AK559"/>
      <c r="AL559"/>
      <c r="AM559"/>
      <c r="AN559"/>
      <c r="AO559"/>
      <c r="AP559"/>
      <c r="BI559" s="360"/>
      <c r="BJ559" s="354"/>
      <c r="BK559" s="366">
        <v>2017</v>
      </c>
      <c r="BL559" s="365" t="s">
        <v>92</v>
      </c>
      <c r="BM559" s="366" t="s">
        <v>137</v>
      </c>
      <c r="BN559" s="366" t="s">
        <v>3</v>
      </c>
      <c r="BO559" s="366">
        <v>0</v>
      </c>
      <c r="BP559" s="366">
        <v>0</v>
      </c>
      <c r="BQ559" s="366">
        <v>0</v>
      </c>
      <c r="BR559" s="366">
        <v>61</v>
      </c>
      <c r="BS559" s="366">
        <v>0</v>
      </c>
      <c r="BT559" s="366">
        <v>7</v>
      </c>
      <c r="BU559" s="366">
        <v>73</v>
      </c>
      <c r="BV559" s="366">
        <v>0</v>
      </c>
      <c r="BW559" s="366">
        <v>10</v>
      </c>
      <c r="BX559" s="366">
        <v>0</v>
      </c>
      <c r="BY559" s="366">
        <v>0</v>
      </c>
      <c r="BZ559" s="366">
        <v>0</v>
      </c>
      <c r="CA559" s="366">
        <v>0</v>
      </c>
      <c r="CB559" s="367">
        <f>IFERROR(BO559/Instructions!$J$25,0)+BP559*Instructions!$J$27+BQ559*Instructions!$J$29+IFERROR(BR559/Instructions!$E$34,0)+BS559*Instructions!$E$36+Tier!BT560*Instructions!$E$25+IFERROR(BU559/Instructions!$E$27,0)+BV559*Instructions!$E$29+IFERROR((BW559+BY559)/Instructions!$J$32,0)+(BX559+BZ559)*Instructions!$J$34+Tier!CA559*-2</f>
        <v>17.399999999999999</v>
      </c>
      <c r="CC559" s="354"/>
      <c r="CD559" s="238">
        <v>2017</v>
      </c>
      <c r="CE559" s="365" t="s">
        <v>1198</v>
      </c>
      <c r="CF559" s="366" t="s">
        <v>145</v>
      </c>
      <c r="CG559" s="366" t="s">
        <v>6</v>
      </c>
      <c r="CH559" s="366">
        <v>0</v>
      </c>
      <c r="CI559" s="366">
        <v>0</v>
      </c>
      <c r="CJ559" s="366">
        <v>0</v>
      </c>
      <c r="CK559" s="366">
        <v>0</v>
      </c>
      <c r="CL559" s="366">
        <v>0</v>
      </c>
      <c r="CM559" s="366">
        <v>22</v>
      </c>
      <c r="CN559" s="366">
        <v>225</v>
      </c>
      <c r="CO559" s="366">
        <v>2</v>
      </c>
      <c r="CP559" s="366">
        <v>0</v>
      </c>
      <c r="CQ559" s="366">
        <v>0</v>
      </c>
      <c r="CR559" s="366">
        <v>0</v>
      </c>
      <c r="CS559" s="366">
        <v>0</v>
      </c>
      <c r="CT559" s="366">
        <v>0</v>
      </c>
      <c r="CU559" s="367">
        <f>IFERROR(CH559/Instructions!$J$25,0)+CI559*Instructions!$J$27+CJ559*Instructions!$J$29+IFERROR(CK559/Instructions!$E$34,0)+CL559*Instructions!$E$36+Tier!CM559*Instructions!$E$25+IFERROR(CN559/Instructions!$E$27,0)+CO559*Instructions!$E$29+IFERROR((CP559+CR559)/Instructions!$J$32,0)+(CQ559+CS559)*Instructions!$J$34+Tier!CT559*-2</f>
        <v>56.5</v>
      </c>
      <c r="CV559" s="354"/>
      <c r="CW559"/>
      <c r="CX559"/>
      <c r="CY559"/>
      <c r="CZ559"/>
      <c r="DA559"/>
      <c r="DB559"/>
      <c r="DC559"/>
      <c r="DD559"/>
      <c r="DE559"/>
      <c r="DF559"/>
      <c r="DG559"/>
      <c r="DH559"/>
      <c r="DI559"/>
      <c r="DJ559"/>
      <c r="DK559"/>
      <c r="DL559"/>
      <c r="DM559"/>
      <c r="DN559"/>
    </row>
    <row r="560" spans="3:118" s="238" customFormat="1" ht="15.75" customHeight="1" x14ac:dyDescent="0.25">
      <c r="C560"/>
      <c r="D560"/>
      <c r="E560"/>
      <c r="F560"/>
      <c r="G560"/>
      <c r="H560"/>
      <c r="I560"/>
      <c r="J560"/>
      <c r="K560"/>
      <c r="L560"/>
      <c r="M560"/>
      <c r="N560"/>
      <c r="O560" s="366"/>
      <c r="P560" s="366">
        <v>2017</v>
      </c>
      <c r="Q560" s="367">
        <f>LARGE($CB$455:$CB$604,106)</f>
        <v>16.899999999999999</v>
      </c>
      <c r="R560" s="357">
        <f t="shared" si="145"/>
        <v>-155.16666666666669</v>
      </c>
      <c r="S560" s="356">
        <f t="shared" si="141"/>
        <v>24076.694444444449</v>
      </c>
      <c r="T560" s="356"/>
      <c r="U560" s="356">
        <f t="shared" si="146"/>
        <v>-9.6979166666666679</v>
      </c>
      <c r="V560" s="238">
        <f t="shared" si="143"/>
        <v>8</v>
      </c>
      <c r="W560" s="354"/>
      <c r="X560" s="366"/>
      <c r="Y560" s="366"/>
      <c r="Z560" s="238">
        <v>2017</v>
      </c>
      <c r="AA560" s="367">
        <f>LARGE($CU$455:$CU$604,106)</f>
        <v>51.7</v>
      </c>
      <c r="AB560" s="357">
        <f t="shared" si="147"/>
        <v>-140.83333333333331</v>
      </c>
      <c r="AC560" s="356">
        <f t="shared" si="142"/>
        <v>19834.027777777774</v>
      </c>
      <c r="AE560" s="356">
        <f t="shared" si="148"/>
        <v>-8.8020833333333321</v>
      </c>
      <c r="AF560" s="238">
        <f t="shared" si="144"/>
        <v>8</v>
      </c>
      <c r="AG560" s="354"/>
      <c r="AK560"/>
      <c r="AL560"/>
      <c r="AM560"/>
      <c r="AN560"/>
      <c r="AO560"/>
      <c r="AP560"/>
      <c r="BI560" s="360"/>
      <c r="BJ560" s="354"/>
      <c r="BK560" s="366">
        <v>2017</v>
      </c>
      <c r="BL560" s="365" t="s">
        <v>106</v>
      </c>
      <c r="BM560" s="366" t="s">
        <v>145</v>
      </c>
      <c r="BN560" s="366" t="s">
        <v>3</v>
      </c>
      <c r="BO560" s="366">
        <v>0</v>
      </c>
      <c r="BP560" s="366">
        <v>0</v>
      </c>
      <c r="BQ560" s="366">
        <v>0</v>
      </c>
      <c r="BR560" s="366">
        <v>116</v>
      </c>
      <c r="BS560" s="366">
        <v>0</v>
      </c>
      <c r="BT560" s="366">
        <v>4</v>
      </c>
      <c r="BU560" s="366">
        <v>16</v>
      </c>
      <c r="BV560" s="366">
        <v>0</v>
      </c>
      <c r="BW560" s="366">
        <v>0</v>
      </c>
      <c r="BX560" s="366">
        <v>0</v>
      </c>
      <c r="BY560" s="366">
        <v>0</v>
      </c>
      <c r="BZ560" s="366">
        <v>0</v>
      </c>
      <c r="CA560" s="366">
        <v>0</v>
      </c>
      <c r="CB560" s="367">
        <f>IFERROR(BO560/Instructions!$J$25,0)+BP560*Instructions!$J$27+BQ560*Instructions!$J$29+IFERROR(BR560/Instructions!$E$34,0)+BS560*Instructions!$E$36+Tier!BT561*Instructions!$E$25+IFERROR(BU560/Instructions!$E$27,0)+BV560*Instructions!$E$29+IFERROR((BW560+BY560)/Instructions!$J$32,0)+(BX560+BZ560)*Instructions!$J$34+Tier!CA560*-2</f>
        <v>15.2</v>
      </c>
      <c r="CC560" s="354"/>
      <c r="CD560" s="238">
        <v>2017</v>
      </c>
      <c r="CE560" s="365" t="s">
        <v>124</v>
      </c>
      <c r="CF560" s="366" t="s">
        <v>156</v>
      </c>
      <c r="CG560" s="366" t="s">
        <v>6</v>
      </c>
      <c r="CH560" s="366">
        <v>0</v>
      </c>
      <c r="CI560" s="366">
        <v>0</v>
      </c>
      <c r="CJ560" s="366">
        <v>0</v>
      </c>
      <c r="CK560" s="366">
        <v>0</v>
      </c>
      <c r="CL560" s="366">
        <v>0</v>
      </c>
      <c r="CM560" s="366">
        <v>25</v>
      </c>
      <c r="CN560" s="366">
        <v>282</v>
      </c>
      <c r="CO560" s="366">
        <v>1</v>
      </c>
      <c r="CP560" s="366">
        <v>0</v>
      </c>
      <c r="CQ560" s="366">
        <v>0</v>
      </c>
      <c r="CR560" s="366">
        <v>0</v>
      </c>
      <c r="CS560" s="366">
        <v>0</v>
      </c>
      <c r="CT560" s="366">
        <v>0</v>
      </c>
      <c r="CU560" s="367">
        <f>IFERROR(CH560/Instructions!$J$25,0)+CI560*Instructions!$J$27+CJ560*Instructions!$J$29+IFERROR(CK560/Instructions!$E$34,0)+CL560*Instructions!$E$36+Tier!CM560*Instructions!$E$25+IFERROR(CN560/Instructions!$E$27,0)+CO560*Instructions!$E$29+IFERROR((CP560+CR560)/Instructions!$J$32,0)+(CQ560+CS560)*Instructions!$J$34+Tier!CT560*-2</f>
        <v>59.2</v>
      </c>
      <c r="CV560" s="354"/>
      <c r="CW560"/>
      <c r="CX560"/>
      <c r="CY560"/>
      <c r="CZ560"/>
      <c r="DA560"/>
      <c r="DB560"/>
      <c r="DC560"/>
      <c r="DD560"/>
      <c r="DE560"/>
      <c r="DF560"/>
      <c r="DG560"/>
      <c r="DH560"/>
      <c r="DI560"/>
      <c r="DJ560"/>
      <c r="DK560"/>
      <c r="DL560"/>
      <c r="DM560"/>
      <c r="DN560"/>
    </row>
    <row r="561" spans="3:118" s="238" customFormat="1" ht="15.75" customHeight="1" x14ac:dyDescent="0.25">
      <c r="C561"/>
      <c r="D561"/>
      <c r="E561"/>
      <c r="F561"/>
      <c r="G561"/>
      <c r="H561"/>
      <c r="I561"/>
      <c r="J561"/>
      <c r="K561"/>
      <c r="L561"/>
      <c r="M561"/>
      <c r="N561"/>
      <c r="O561" s="366"/>
      <c r="P561" s="366">
        <v>2017</v>
      </c>
      <c r="Q561" s="367">
        <f>LARGE($CB$455:$CB$604,107)</f>
        <v>16.899999999999999</v>
      </c>
      <c r="R561" s="357">
        <f t="shared" si="145"/>
        <v>-155.16666666666669</v>
      </c>
      <c r="S561" s="356">
        <f t="shared" si="141"/>
        <v>24076.694444444449</v>
      </c>
      <c r="T561" s="356"/>
      <c r="U561" s="356">
        <f t="shared" si="146"/>
        <v>-9.6979166666666679</v>
      </c>
      <c r="V561" s="238">
        <f t="shared" si="143"/>
        <v>8</v>
      </c>
      <c r="W561" s="354"/>
      <c r="X561" s="366"/>
      <c r="Y561" s="366"/>
      <c r="Z561" s="238">
        <v>2017</v>
      </c>
      <c r="AA561" s="367">
        <f>LARGE($CU$455:$CU$604,107)</f>
        <v>50</v>
      </c>
      <c r="AB561" s="357">
        <f t="shared" si="147"/>
        <v>-142.53333333333333</v>
      </c>
      <c r="AC561" s="356">
        <f t="shared" si="142"/>
        <v>20315.751111111109</v>
      </c>
      <c r="AE561" s="356">
        <f t="shared" si="148"/>
        <v>-8.9083333333333332</v>
      </c>
      <c r="AF561" s="238">
        <f t="shared" si="144"/>
        <v>8</v>
      </c>
      <c r="AG561" s="354"/>
      <c r="AK561"/>
      <c r="AL561"/>
      <c r="AM561"/>
      <c r="AN561"/>
      <c r="AO561"/>
      <c r="AP561"/>
      <c r="BI561" s="360"/>
      <c r="BJ561" s="354"/>
      <c r="BK561" s="366">
        <v>2017</v>
      </c>
      <c r="BL561" s="365" t="s">
        <v>1327</v>
      </c>
      <c r="BM561" s="366" t="s">
        <v>147</v>
      </c>
      <c r="BN561" s="366" t="s">
        <v>3</v>
      </c>
      <c r="BO561" s="366">
        <v>0</v>
      </c>
      <c r="BP561" s="366">
        <v>0</v>
      </c>
      <c r="BQ561" s="366">
        <v>0</v>
      </c>
      <c r="BR561" s="366">
        <v>0</v>
      </c>
      <c r="BS561" s="366">
        <v>1</v>
      </c>
      <c r="BT561" s="366">
        <v>2</v>
      </c>
      <c r="BU561" s="366">
        <v>6</v>
      </c>
      <c r="BV561" s="366">
        <v>1</v>
      </c>
      <c r="BW561" s="366">
        <v>0</v>
      </c>
      <c r="BX561" s="366">
        <v>0</v>
      </c>
      <c r="BY561" s="366">
        <v>0</v>
      </c>
      <c r="BZ561" s="366">
        <v>0</v>
      </c>
      <c r="CA561" s="366">
        <v>0</v>
      </c>
      <c r="CB561" s="367">
        <f>IFERROR(BO561/Instructions!$J$25,0)+BP561*Instructions!$J$27+BQ561*Instructions!$J$29+IFERROR(BR561/Instructions!$E$34,0)+BS561*Instructions!$E$36+Tier!BT562*Instructions!$E$25+IFERROR(BU561/Instructions!$E$27,0)+BV561*Instructions!$E$29+IFERROR((BW561+BY561)/Instructions!$J$32,0)+(BX561+BZ561)*Instructions!$J$34+Tier!CA561*-2</f>
        <v>17.600000000000001</v>
      </c>
      <c r="CC561" s="354"/>
      <c r="CD561" s="238">
        <v>2017</v>
      </c>
      <c r="CE561" s="365" t="s">
        <v>1346</v>
      </c>
      <c r="CF561" s="366" t="s">
        <v>166</v>
      </c>
      <c r="CG561" s="366" t="s">
        <v>6</v>
      </c>
      <c r="CH561" s="366">
        <v>0</v>
      </c>
      <c r="CI561" s="366">
        <v>0</v>
      </c>
      <c r="CJ561" s="366">
        <v>0</v>
      </c>
      <c r="CK561" s="366">
        <v>12</v>
      </c>
      <c r="CL561" s="366">
        <v>0</v>
      </c>
      <c r="CM561" s="366">
        <v>13</v>
      </c>
      <c r="CN561" s="366">
        <v>203</v>
      </c>
      <c r="CO561" s="366">
        <v>2</v>
      </c>
      <c r="CP561" s="366">
        <v>190</v>
      </c>
      <c r="CQ561" s="366">
        <v>0</v>
      </c>
      <c r="CR561" s="366">
        <v>479</v>
      </c>
      <c r="CS561" s="366">
        <v>0</v>
      </c>
      <c r="CT561" s="366">
        <v>0</v>
      </c>
      <c r="CU561" s="367">
        <f>IFERROR(CH561/Instructions!$J$25,0)+CI561*Instructions!$J$27+CJ561*Instructions!$J$29+IFERROR(CK561/Instructions!$E$34,0)+CL561*Instructions!$E$36+Tier!CM561*Instructions!$E$25+IFERROR(CN561/Instructions!$E$27,0)+CO561*Instructions!$E$29+IFERROR((CP561+CR561)/Instructions!$J$32,0)+(CQ561+CS561)*Instructions!$J$34+Tier!CT561*-2</f>
        <v>46.5</v>
      </c>
      <c r="CV561" s="354"/>
      <c r="CW561"/>
      <c r="CX561"/>
      <c r="CY561"/>
      <c r="CZ561"/>
      <c r="DA561"/>
      <c r="DB561"/>
      <c r="DC561"/>
      <c r="DD561"/>
      <c r="DE561"/>
      <c r="DF561"/>
      <c r="DG561"/>
      <c r="DH561"/>
      <c r="DI561"/>
      <c r="DJ561"/>
      <c r="DK561"/>
      <c r="DL561"/>
      <c r="DM561"/>
      <c r="DN561"/>
    </row>
    <row r="562" spans="3:118" s="238" customFormat="1" ht="15.75" customHeight="1" x14ac:dyDescent="0.25">
      <c r="C562"/>
      <c r="D562"/>
      <c r="E562"/>
      <c r="F562"/>
      <c r="G562"/>
      <c r="H562"/>
      <c r="I562"/>
      <c r="J562"/>
      <c r="K562"/>
      <c r="L562"/>
      <c r="M562"/>
      <c r="N562"/>
      <c r="O562" s="366"/>
      <c r="P562" s="366">
        <v>2017</v>
      </c>
      <c r="Q562" s="367">
        <f>LARGE($CB$455:$CB$604,108)</f>
        <v>15.600000000000001</v>
      </c>
      <c r="R562" s="357">
        <f t="shared" si="145"/>
        <v>-156.4666666666667</v>
      </c>
      <c r="S562" s="356">
        <f t="shared" si="141"/>
        <v>24481.817777777786</v>
      </c>
      <c r="T562" s="356"/>
      <c r="U562" s="356">
        <f t="shared" si="146"/>
        <v>-9.7791666666666686</v>
      </c>
      <c r="V562" s="238">
        <f t="shared" si="143"/>
        <v>8</v>
      </c>
      <c r="W562" s="354"/>
      <c r="X562" s="366"/>
      <c r="Y562" s="366"/>
      <c r="Z562" s="238">
        <v>2017</v>
      </c>
      <c r="AA562" s="367">
        <f>LARGE($CU$455:$CU$604,108)</f>
        <v>49.8</v>
      </c>
      <c r="AB562" s="357">
        <f t="shared" si="147"/>
        <v>-142.73333333333335</v>
      </c>
      <c r="AC562" s="356">
        <f t="shared" si="142"/>
        <v>20372.804444444449</v>
      </c>
      <c r="AE562" s="356">
        <f t="shared" si="148"/>
        <v>-8.9208333333333343</v>
      </c>
      <c r="AF562" s="238">
        <f t="shared" si="144"/>
        <v>8</v>
      </c>
      <c r="AG562" s="354"/>
      <c r="AK562"/>
      <c r="AL562"/>
      <c r="AM562"/>
      <c r="AN562"/>
      <c r="AO562"/>
      <c r="AP562"/>
      <c r="BI562" s="360"/>
      <c r="BJ562" s="354"/>
      <c r="BK562" s="366">
        <v>2017</v>
      </c>
      <c r="BL562" s="365" t="s">
        <v>1150</v>
      </c>
      <c r="BM562" s="366" t="s">
        <v>159</v>
      </c>
      <c r="BN562" s="366" t="s">
        <v>3</v>
      </c>
      <c r="BO562" s="366">
        <v>0</v>
      </c>
      <c r="BP562" s="366">
        <v>0</v>
      </c>
      <c r="BQ562" s="366">
        <v>0</v>
      </c>
      <c r="BR562" s="366">
        <v>18</v>
      </c>
      <c r="BS562" s="366">
        <v>0</v>
      </c>
      <c r="BT562" s="366">
        <v>5</v>
      </c>
      <c r="BU562" s="366">
        <v>47</v>
      </c>
      <c r="BV562" s="366">
        <v>1</v>
      </c>
      <c r="BW562" s="366">
        <v>0</v>
      </c>
      <c r="BX562" s="366">
        <v>0</v>
      </c>
      <c r="BY562" s="366">
        <v>110</v>
      </c>
      <c r="BZ562" s="366">
        <v>0</v>
      </c>
      <c r="CA562" s="366">
        <v>0</v>
      </c>
      <c r="CB562" s="367">
        <f>IFERROR(BO562/Instructions!$J$25,0)+BP562*Instructions!$J$27+BQ562*Instructions!$J$29+IFERROR(BR562/Instructions!$E$34,0)+BS562*Instructions!$E$36+Tier!BT563*Instructions!$E$25+IFERROR(BU562/Instructions!$E$27,0)+BV562*Instructions!$E$29+IFERROR((BW562+BY562)/Instructions!$J$32,0)+(BX562+BZ562)*Instructions!$J$34+Tier!CA562*-2</f>
        <v>13.5</v>
      </c>
      <c r="CC562" s="354"/>
      <c r="CD562" s="238">
        <v>2017</v>
      </c>
      <c r="CE562" s="365" t="s">
        <v>1414</v>
      </c>
      <c r="CF562" s="366" t="s">
        <v>163</v>
      </c>
      <c r="CG562" s="366" t="s">
        <v>6</v>
      </c>
      <c r="CH562" s="366">
        <v>0</v>
      </c>
      <c r="CI562" s="366">
        <v>0</v>
      </c>
      <c r="CJ562" s="366">
        <v>0</v>
      </c>
      <c r="CK562" s="366">
        <v>43</v>
      </c>
      <c r="CL562" s="366">
        <v>0</v>
      </c>
      <c r="CM562" s="366">
        <v>16</v>
      </c>
      <c r="CN562" s="366">
        <v>231</v>
      </c>
      <c r="CO562" s="366">
        <v>1</v>
      </c>
      <c r="CP562" s="366">
        <v>0</v>
      </c>
      <c r="CQ562" s="366">
        <v>0</v>
      </c>
      <c r="CR562" s="366">
        <v>0</v>
      </c>
      <c r="CS562" s="366">
        <v>0</v>
      </c>
      <c r="CT562" s="366">
        <v>0</v>
      </c>
      <c r="CU562" s="367">
        <f>IFERROR(CH562/Instructions!$J$25,0)+CI562*Instructions!$J$27+CJ562*Instructions!$J$29+IFERROR(CK562/Instructions!$E$34,0)+CL562*Instructions!$E$36+Tier!CM562*Instructions!$E$25+IFERROR(CN562/Instructions!$E$27,0)+CO562*Instructions!$E$29+IFERROR((CP562+CR562)/Instructions!$J$32,0)+(CQ562+CS562)*Instructions!$J$34+Tier!CT562*-2</f>
        <v>49.400000000000006</v>
      </c>
      <c r="CV562" s="354"/>
      <c r="CW562"/>
      <c r="CX562"/>
      <c r="CY562"/>
      <c r="CZ562"/>
      <c r="DA562"/>
      <c r="DB562"/>
      <c r="DC562"/>
      <c r="DD562"/>
      <c r="DE562"/>
      <c r="DF562"/>
      <c r="DG562"/>
      <c r="DH562"/>
      <c r="DI562"/>
      <c r="DJ562"/>
      <c r="DK562"/>
      <c r="DL562"/>
      <c r="DM562"/>
      <c r="DN562"/>
    </row>
    <row r="563" spans="3:118" s="238" customFormat="1" ht="15.75" customHeight="1" x14ac:dyDescent="0.25">
      <c r="C563"/>
      <c r="D563"/>
      <c r="E563"/>
      <c r="F563"/>
      <c r="G563"/>
      <c r="H563"/>
      <c r="I563"/>
      <c r="J563"/>
      <c r="K563"/>
      <c r="L563"/>
      <c r="M563"/>
      <c r="N563"/>
      <c r="O563" s="366"/>
      <c r="P563" s="366">
        <v>2017</v>
      </c>
      <c r="Q563" s="367">
        <f>LARGE($CB$455:$CB$604,109)</f>
        <v>15.2</v>
      </c>
      <c r="R563" s="357">
        <f t="shared" si="145"/>
        <v>-156.8666666666667</v>
      </c>
      <c r="S563" s="356">
        <f t="shared" si="141"/>
        <v>24607.151111111121</v>
      </c>
      <c r="T563" s="356"/>
      <c r="U563" s="356">
        <f t="shared" si="146"/>
        <v>-9.8041666666666689</v>
      </c>
      <c r="V563" s="238">
        <f t="shared" si="143"/>
        <v>8</v>
      </c>
      <c r="W563" s="354"/>
      <c r="X563" s="366"/>
      <c r="Y563" s="366"/>
      <c r="Z563" s="238">
        <v>2017</v>
      </c>
      <c r="AA563" s="367">
        <f>LARGE($CU$455:$CU$604,109)</f>
        <v>49.7</v>
      </c>
      <c r="AB563" s="357">
        <f t="shared" si="147"/>
        <v>-142.83333333333331</v>
      </c>
      <c r="AC563" s="356">
        <f t="shared" si="142"/>
        <v>20401.361111111106</v>
      </c>
      <c r="AE563" s="356">
        <f t="shared" si="148"/>
        <v>-8.9270833333333321</v>
      </c>
      <c r="AF563" s="238">
        <f t="shared" si="144"/>
        <v>8</v>
      </c>
      <c r="AG563" s="354"/>
      <c r="AK563"/>
      <c r="AL563"/>
      <c r="AM563"/>
      <c r="AN563"/>
      <c r="AO563"/>
      <c r="AP563"/>
      <c r="BI563" s="360"/>
      <c r="BJ563" s="354"/>
      <c r="BK563" s="366">
        <v>2017</v>
      </c>
      <c r="BL563" s="365" t="s">
        <v>128</v>
      </c>
      <c r="BM563" s="366" t="s">
        <v>1389</v>
      </c>
      <c r="BN563" s="366" t="s">
        <v>3</v>
      </c>
      <c r="BO563" s="366">
        <v>0</v>
      </c>
      <c r="BP563" s="366">
        <v>0</v>
      </c>
      <c r="BQ563" s="366">
        <v>0</v>
      </c>
      <c r="BR563" s="366">
        <v>51</v>
      </c>
      <c r="BS563" s="366">
        <v>1</v>
      </c>
      <c r="BT563" s="366">
        <v>1</v>
      </c>
      <c r="BU563" s="366">
        <v>1</v>
      </c>
      <c r="BV563" s="366">
        <v>0</v>
      </c>
      <c r="BW563" s="366">
        <v>0</v>
      </c>
      <c r="BX563" s="366">
        <v>0</v>
      </c>
      <c r="BY563" s="366">
        <v>0</v>
      </c>
      <c r="BZ563" s="366">
        <v>0</v>
      </c>
      <c r="CA563" s="366">
        <v>0</v>
      </c>
      <c r="CB563" s="367">
        <f>IFERROR(BO563/Instructions!$J$25,0)+BP563*Instructions!$J$27+BQ563*Instructions!$J$29+IFERROR(BR563/Instructions!$E$34,0)+BS563*Instructions!$E$36+Tier!BT564*Instructions!$E$25+IFERROR(BU563/Instructions!$E$27,0)+BV563*Instructions!$E$29+IFERROR((BW563+BY563)/Instructions!$J$32,0)+(BX563+BZ563)*Instructions!$J$34+Tier!CA563*-2</f>
        <v>17.200000000000003</v>
      </c>
      <c r="CC563" s="354"/>
      <c r="CD563" s="238">
        <v>2017</v>
      </c>
      <c r="CE563" s="365" t="s">
        <v>208</v>
      </c>
      <c r="CF563" s="366" t="s">
        <v>138</v>
      </c>
      <c r="CG563" s="366" t="s">
        <v>6</v>
      </c>
      <c r="CH563" s="366">
        <v>0</v>
      </c>
      <c r="CI563" s="366">
        <v>0</v>
      </c>
      <c r="CJ563" s="366">
        <v>0</v>
      </c>
      <c r="CK563" s="366">
        <v>0</v>
      </c>
      <c r="CL563" s="366">
        <v>0</v>
      </c>
      <c r="CM563" s="366">
        <v>18</v>
      </c>
      <c r="CN563" s="366">
        <v>198</v>
      </c>
      <c r="CO563" s="366">
        <v>2</v>
      </c>
      <c r="CP563" s="366">
        <v>0</v>
      </c>
      <c r="CQ563" s="366">
        <v>0</v>
      </c>
      <c r="CR563" s="366">
        <v>0</v>
      </c>
      <c r="CS563" s="366">
        <v>0</v>
      </c>
      <c r="CT563" s="366">
        <v>0</v>
      </c>
      <c r="CU563" s="367">
        <f>IFERROR(CH563/Instructions!$J$25,0)+CI563*Instructions!$J$27+CJ563*Instructions!$J$29+IFERROR(CK563/Instructions!$E$34,0)+CL563*Instructions!$E$36+Tier!CM563*Instructions!$E$25+IFERROR(CN563/Instructions!$E$27,0)+CO563*Instructions!$E$29+IFERROR((CP563+CR563)/Instructions!$J$32,0)+(CQ563+CS563)*Instructions!$J$34+Tier!CT563*-2</f>
        <v>49.8</v>
      </c>
      <c r="CV563" s="354"/>
      <c r="CW563"/>
      <c r="CX563"/>
      <c r="CY563"/>
      <c r="CZ563"/>
      <c r="DA563"/>
      <c r="DB563"/>
      <c r="DC563"/>
      <c r="DD563"/>
      <c r="DE563"/>
      <c r="DF563"/>
      <c r="DG563"/>
      <c r="DH563"/>
      <c r="DI563"/>
      <c r="DJ563"/>
      <c r="DK563"/>
      <c r="DL563"/>
      <c r="DM563"/>
      <c r="DN563"/>
    </row>
    <row r="564" spans="3:118" s="238" customFormat="1" ht="15.75" customHeight="1" x14ac:dyDescent="0.25">
      <c r="C564"/>
      <c r="D564"/>
      <c r="E564"/>
      <c r="F564"/>
      <c r="G564"/>
      <c r="H564"/>
      <c r="I564"/>
      <c r="J564"/>
      <c r="K564"/>
      <c r="L564"/>
      <c r="M564"/>
      <c r="N564"/>
      <c r="O564" s="366"/>
      <c r="P564" s="366">
        <v>2017</v>
      </c>
      <c r="Q564" s="367">
        <f>LARGE($CB$455:$CB$604,110)</f>
        <v>14.8</v>
      </c>
      <c r="R564" s="357">
        <f t="shared" si="145"/>
        <v>-157.26666666666668</v>
      </c>
      <c r="S564" s="356">
        <f t="shared" si="141"/>
        <v>24732.804444444449</v>
      </c>
      <c r="T564" s="356"/>
      <c r="U564" s="356">
        <f t="shared" si="146"/>
        <v>-9.8291666666666675</v>
      </c>
      <c r="V564" s="238">
        <f t="shared" si="143"/>
        <v>8</v>
      </c>
      <c r="W564" s="354"/>
      <c r="X564" s="366"/>
      <c r="Y564" s="366"/>
      <c r="Z564" s="238">
        <v>2017</v>
      </c>
      <c r="AA564" s="367">
        <f>LARGE($CU$455:$CU$604,110)</f>
        <v>49.400000000000006</v>
      </c>
      <c r="AB564" s="357">
        <f t="shared" si="147"/>
        <v>-143.13333333333333</v>
      </c>
      <c r="AC564" s="356">
        <f t="shared" si="142"/>
        <v>20487.15111111111</v>
      </c>
      <c r="AE564" s="356">
        <f t="shared" si="148"/>
        <v>-8.9458333333333329</v>
      </c>
      <c r="AF564" s="238">
        <f t="shared" si="144"/>
        <v>8</v>
      </c>
      <c r="AG564" s="354"/>
      <c r="AK564"/>
      <c r="AL564"/>
      <c r="AM564"/>
      <c r="AN564"/>
      <c r="AO564"/>
      <c r="AP564"/>
      <c r="BI564" s="360"/>
      <c r="BJ564" s="354"/>
      <c r="BK564" s="366">
        <v>2017</v>
      </c>
      <c r="BL564" s="365" t="s">
        <v>1190</v>
      </c>
      <c r="BM564" s="366" t="s">
        <v>140</v>
      </c>
      <c r="BN564" s="366" t="s">
        <v>3</v>
      </c>
      <c r="BO564" s="366">
        <v>0</v>
      </c>
      <c r="BP564" s="366">
        <v>0</v>
      </c>
      <c r="BQ564" s="366">
        <v>0</v>
      </c>
      <c r="BR564" s="366">
        <v>23</v>
      </c>
      <c r="BS564" s="366">
        <v>0</v>
      </c>
      <c r="BT564" s="366">
        <v>6</v>
      </c>
      <c r="BU564" s="366">
        <v>87</v>
      </c>
      <c r="BV564" s="366">
        <v>0</v>
      </c>
      <c r="BW564" s="366">
        <v>0</v>
      </c>
      <c r="BX564" s="366">
        <v>0</v>
      </c>
      <c r="BY564" s="366">
        <v>0</v>
      </c>
      <c r="BZ564" s="366">
        <v>0</v>
      </c>
      <c r="CA564" s="366">
        <v>0</v>
      </c>
      <c r="CB564" s="367">
        <f>IFERROR(BO564/Instructions!$J$25,0)+BP564*Instructions!$J$27+BQ564*Instructions!$J$29+IFERROR(BR564/Instructions!$E$34,0)+BS564*Instructions!$E$36+Tier!BT565*Instructions!$E$25+IFERROR(BU564/Instructions!$E$27,0)+BV564*Instructions!$E$29+IFERROR((BW564+BY564)/Instructions!$J$32,0)+(BX564+BZ564)*Instructions!$J$34+Tier!CA564*-2</f>
        <v>13</v>
      </c>
      <c r="CC564" s="354"/>
      <c r="CD564" s="238">
        <v>2017</v>
      </c>
      <c r="CE564" s="365" t="s">
        <v>203</v>
      </c>
      <c r="CF564" s="366" t="s">
        <v>156</v>
      </c>
      <c r="CG564" s="366" t="s">
        <v>6</v>
      </c>
      <c r="CH564" s="366">
        <v>0</v>
      </c>
      <c r="CI564" s="366">
        <v>0</v>
      </c>
      <c r="CJ564" s="366">
        <v>0</v>
      </c>
      <c r="CK564" s="366">
        <v>0</v>
      </c>
      <c r="CL564" s="366">
        <v>0</v>
      </c>
      <c r="CM564" s="366">
        <v>13</v>
      </c>
      <c r="CN564" s="366">
        <v>120</v>
      </c>
      <c r="CO564" s="366">
        <v>3</v>
      </c>
      <c r="CP564" s="366">
        <v>0</v>
      </c>
      <c r="CQ564" s="366">
        <v>0</v>
      </c>
      <c r="CR564" s="366">
        <v>0</v>
      </c>
      <c r="CS564" s="366">
        <v>0</v>
      </c>
      <c r="CT564" s="366">
        <v>0</v>
      </c>
      <c r="CU564" s="367">
        <f>IFERROR(CH564/Instructions!$J$25,0)+CI564*Instructions!$J$27+CJ564*Instructions!$J$29+IFERROR(CK564/Instructions!$E$34,0)+CL564*Instructions!$E$36+Tier!CM564*Instructions!$E$25+IFERROR(CN564/Instructions!$E$27,0)+CO564*Instructions!$E$29+IFERROR((CP564+CR564)/Instructions!$J$32,0)+(CQ564+CS564)*Instructions!$J$34+Tier!CT564*-2</f>
        <v>43</v>
      </c>
      <c r="CV564" s="354"/>
      <c r="CW564"/>
      <c r="CX564"/>
      <c r="CY564"/>
      <c r="CZ564"/>
      <c r="DA564"/>
      <c r="DB564"/>
      <c r="DC564"/>
      <c r="DD564"/>
      <c r="DE564"/>
      <c r="DF564"/>
      <c r="DG564"/>
      <c r="DH564"/>
      <c r="DI564"/>
      <c r="DJ564"/>
      <c r="DK564"/>
      <c r="DL564"/>
      <c r="DM564"/>
      <c r="DN564"/>
    </row>
    <row r="565" spans="3:118" s="238" customFormat="1" ht="15.75" customHeight="1" x14ac:dyDescent="0.25">
      <c r="C565"/>
      <c r="D565"/>
      <c r="E565"/>
      <c r="F565"/>
      <c r="G565"/>
      <c r="H565"/>
      <c r="I565"/>
      <c r="J565"/>
      <c r="K565"/>
      <c r="L565"/>
      <c r="M565"/>
      <c r="N565"/>
      <c r="O565" s="366"/>
      <c r="P565" s="366">
        <v>2017</v>
      </c>
      <c r="Q565" s="367">
        <f>LARGE($CB$455:$CB$604,111)</f>
        <v>14.7</v>
      </c>
      <c r="R565" s="357">
        <f t="shared" si="145"/>
        <v>-157.3666666666667</v>
      </c>
      <c r="S565" s="356">
        <f t="shared" si="141"/>
        <v>24764.26777777779</v>
      </c>
      <c r="T565" s="356"/>
      <c r="U565" s="356">
        <f t="shared" si="146"/>
        <v>-9.8354166666666689</v>
      </c>
      <c r="V565" s="238">
        <f t="shared" si="143"/>
        <v>8</v>
      </c>
      <c r="W565" s="354"/>
      <c r="X565" s="366"/>
      <c r="Y565" s="366"/>
      <c r="Z565" s="238">
        <v>2017</v>
      </c>
      <c r="AA565" s="367">
        <f>LARGE($CU$455:$CU$604,111)</f>
        <v>48.3</v>
      </c>
      <c r="AB565" s="357">
        <f t="shared" si="147"/>
        <v>-144.23333333333335</v>
      </c>
      <c r="AC565" s="356">
        <f t="shared" si="142"/>
        <v>20803.25444444445</v>
      </c>
      <c r="AE565" s="356">
        <f t="shared" si="148"/>
        <v>-9.0145833333333343</v>
      </c>
      <c r="AF565" s="238">
        <f t="shared" si="144"/>
        <v>8</v>
      </c>
      <c r="AG565" s="354"/>
      <c r="AK565"/>
      <c r="AL565"/>
      <c r="AM565"/>
      <c r="AN565"/>
      <c r="AO565"/>
      <c r="AP565"/>
      <c r="BI565" s="360"/>
      <c r="BJ565" s="354"/>
      <c r="BK565" s="366">
        <v>2017</v>
      </c>
      <c r="BL565" s="365" t="s">
        <v>1776</v>
      </c>
      <c r="BM565" s="366" t="s">
        <v>144</v>
      </c>
      <c r="BN565" s="366" t="s">
        <v>3</v>
      </c>
      <c r="BO565" s="366">
        <v>0</v>
      </c>
      <c r="BP565" s="366">
        <v>0</v>
      </c>
      <c r="BQ565" s="366">
        <v>0</v>
      </c>
      <c r="BR565" s="366">
        <v>13</v>
      </c>
      <c r="BS565" s="366">
        <v>0</v>
      </c>
      <c r="BT565" s="366">
        <v>2</v>
      </c>
      <c r="BU565" s="366">
        <v>36</v>
      </c>
      <c r="BV565" s="366">
        <v>1</v>
      </c>
      <c r="BW565" s="366">
        <v>0</v>
      </c>
      <c r="BX565" s="366">
        <v>0</v>
      </c>
      <c r="BY565" s="366">
        <v>59</v>
      </c>
      <c r="BZ565" s="366">
        <v>0</v>
      </c>
      <c r="CA565" s="366">
        <v>0</v>
      </c>
      <c r="CB565" s="367">
        <f>IFERROR(BO565/Instructions!$J$25,0)+BP565*Instructions!$J$27+BQ565*Instructions!$J$29+IFERROR(BR565/Instructions!$E$34,0)+BS565*Instructions!$E$36+Tier!BT566*Instructions!$E$25+IFERROR(BU565/Instructions!$E$27,0)+BV565*Instructions!$E$29+IFERROR((BW565+BY565)/Instructions!$J$32,0)+(BX565+BZ565)*Instructions!$J$34+Tier!CA565*-2</f>
        <v>16.899999999999999</v>
      </c>
      <c r="CC565" s="354"/>
      <c r="CD565" s="238">
        <v>2017</v>
      </c>
      <c r="CE565" s="365" t="s">
        <v>1350</v>
      </c>
      <c r="CF565" s="366" t="s">
        <v>152</v>
      </c>
      <c r="CG565" s="366" t="s">
        <v>6</v>
      </c>
      <c r="CH565" s="366">
        <v>0</v>
      </c>
      <c r="CI565" s="366">
        <v>0</v>
      </c>
      <c r="CJ565" s="366">
        <v>0</v>
      </c>
      <c r="CK565" s="366">
        <v>0</v>
      </c>
      <c r="CL565" s="366">
        <v>0</v>
      </c>
      <c r="CM565" s="366">
        <v>20</v>
      </c>
      <c r="CN565" s="366">
        <v>240</v>
      </c>
      <c r="CO565" s="366">
        <v>1</v>
      </c>
      <c r="CP565" s="366">
        <v>0</v>
      </c>
      <c r="CQ565" s="366">
        <v>0</v>
      </c>
      <c r="CR565" s="366">
        <v>0</v>
      </c>
      <c r="CS565" s="366">
        <v>0</v>
      </c>
      <c r="CT565" s="366">
        <v>0</v>
      </c>
      <c r="CU565" s="367">
        <f>IFERROR(CH565/Instructions!$J$25,0)+CI565*Instructions!$J$27+CJ565*Instructions!$J$29+IFERROR(CK565/Instructions!$E$34,0)+CL565*Instructions!$E$36+Tier!CM565*Instructions!$E$25+IFERROR(CN565/Instructions!$E$27,0)+CO565*Instructions!$E$29+IFERROR((CP565+CR565)/Instructions!$J$32,0)+(CQ565+CS565)*Instructions!$J$34+Tier!CT565*-2</f>
        <v>50</v>
      </c>
      <c r="CV565" s="354"/>
      <c r="CW565"/>
      <c r="CX565"/>
      <c r="CY565"/>
      <c r="CZ565"/>
      <c r="DA565"/>
      <c r="DB565"/>
      <c r="DC565"/>
      <c r="DD565"/>
      <c r="DE565"/>
      <c r="DF565"/>
      <c r="DG565"/>
      <c r="DH565"/>
      <c r="DI565"/>
      <c r="DJ565"/>
      <c r="DK565"/>
      <c r="DL565"/>
      <c r="DM565"/>
      <c r="DN565"/>
    </row>
    <row r="566" spans="3:118" s="238" customFormat="1" ht="15.75" customHeight="1" x14ac:dyDescent="0.25">
      <c r="C566"/>
      <c r="D566"/>
      <c r="E566"/>
      <c r="F566"/>
      <c r="G566"/>
      <c r="H566"/>
      <c r="I566"/>
      <c r="J566"/>
      <c r="K566"/>
      <c r="L566"/>
      <c r="M566"/>
      <c r="N566"/>
      <c r="O566" s="366"/>
      <c r="P566" s="366">
        <v>2017</v>
      </c>
      <c r="Q566" s="367">
        <f>LARGE($CB$455:$CB$604,112)</f>
        <v>13.5</v>
      </c>
      <c r="R566" s="357">
        <f t="shared" si="145"/>
        <v>-158.56666666666669</v>
      </c>
      <c r="S566" s="356">
        <f t="shared" si="141"/>
        <v>25143.387777777785</v>
      </c>
      <c r="U566" s="356">
        <f t="shared" si="146"/>
        <v>-9.9104166666666682</v>
      </c>
      <c r="V566" s="238">
        <f t="shared" si="143"/>
        <v>8</v>
      </c>
      <c r="W566" s="354"/>
      <c r="X566" s="366"/>
      <c r="Y566" s="366"/>
      <c r="Z566" s="238">
        <v>2017</v>
      </c>
      <c r="AA566" s="367">
        <f>LARGE($CU$455:$CU$604,112)</f>
        <v>46.5</v>
      </c>
      <c r="AB566" s="357">
        <f t="shared" si="147"/>
        <v>-146.03333333333333</v>
      </c>
      <c r="AC566" s="356">
        <f t="shared" si="142"/>
        <v>21325.734444444442</v>
      </c>
      <c r="AE566" s="356">
        <f t="shared" si="148"/>
        <v>-9.1270833333333332</v>
      </c>
      <c r="AF566" s="238">
        <f t="shared" si="144"/>
        <v>8</v>
      </c>
      <c r="AG566" s="354"/>
      <c r="AK566"/>
      <c r="AL566"/>
      <c r="AM566"/>
      <c r="AN566"/>
      <c r="AO566"/>
      <c r="AP566"/>
      <c r="BI566" s="360"/>
      <c r="BJ566" s="354"/>
      <c r="BK566" s="366">
        <v>2017</v>
      </c>
      <c r="BL566" s="365" t="s">
        <v>1142</v>
      </c>
      <c r="BM566" s="366" t="s">
        <v>1388</v>
      </c>
      <c r="BN566" s="366" t="s">
        <v>3</v>
      </c>
      <c r="BO566" s="366">
        <v>0</v>
      </c>
      <c r="BP566" s="366">
        <v>0</v>
      </c>
      <c r="BQ566" s="366">
        <v>0</v>
      </c>
      <c r="BR566" s="366">
        <v>83</v>
      </c>
      <c r="BS566" s="366">
        <v>0</v>
      </c>
      <c r="BT566" s="366">
        <v>6</v>
      </c>
      <c r="BU566" s="366">
        <v>26</v>
      </c>
      <c r="BV566" s="366">
        <v>0</v>
      </c>
      <c r="BW566" s="366">
        <v>0</v>
      </c>
      <c r="BX566" s="366">
        <v>0</v>
      </c>
      <c r="BY566" s="366">
        <v>0</v>
      </c>
      <c r="BZ566" s="366">
        <v>0</v>
      </c>
      <c r="CA566" s="366">
        <v>0</v>
      </c>
      <c r="CB566" s="367">
        <f>IFERROR(BO566/Instructions!$J$25,0)+BP566*Instructions!$J$27+BQ566*Instructions!$J$29+IFERROR(BR566/Instructions!$E$34,0)+BS566*Instructions!$E$36+Tier!BT567*Instructions!$E$25+IFERROR(BU566/Instructions!$E$27,0)+BV566*Instructions!$E$29+IFERROR((BW566+BY566)/Instructions!$J$32,0)+(BX566+BZ566)*Instructions!$J$34+Tier!CA566*-2</f>
        <v>10.9</v>
      </c>
      <c r="CC566" s="354"/>
      <c r="CD566" s="238">
        <v>2017</v>
      </c>
      <c r="CE566" s="365" t="s">
        <v>1450</v>
      </c>
      <c r="CF566" s="366" t="s">
        <v>137</v>
      </c>
      <c r="CG566" s="366" t="s">
        <v>6</v>
      </c>
      <c r="CH566" s="366">
        <v>0</v>
      </c>
      <c r="CI566" s="366">
        <v>0</v>
      </c>
      <c r="CJ566" s="366">
        <v>0</v>
      </c>
      <c r="CK566" s="366">
        <v>0</v>
      </c>
      <c r="CL566" s="366">
        <v>0</v>
      </c>
      <c r="CM566" s="366">
        <v>16</v>
      </c>
      <c r="CN566" s="366">
        <v>226</v>
      </c>
      <c r="CO566" s="366">
        <v>1</v>
      </c>
      <c r="CP566" s="366">
        <v>0</v>
      </c>
      <c r="CQ566" s="366">
        <v>0</v>
      </c>
      <c r="CR566" s="366">
        <v>0</v>
      </c>
      <c r="CS566" s="366">
        <v>0</v>
      </c>
      <c r="CT566" s="366">
        <v>0</v>
      </c>
      <c r="CU566" s="367">
        <f>IFERROR(CH566/Instructions!$J$25,0)+CI566*Instructions!$J$27+CJ566*Instructions!$J$29+IFERROR(CK566/Instructions!$E$34,0)+CL566*Instructions!$E$36+Tier!CM566*Instructions!$E$25+IFERROR(CN566/Instructions!$E$27,0)+CO566*Instructions!$E$29+IFERROR((CP566+CR566)/Instructions!$J$32,0)+(CQ566+CS566)*Instructions!$J$34+Tier!CT566*-2</f>
        <v>44.6</v>
      </c>
      <c r="CV566" s="354"/>
      <c r="CW566"/>
      <c r="CX566"/>
      <c r="CY566"/>
      <c r="CZ566"/>
      <c r="DA566"/>
      <c r="DB566"/>
      <c r="DC566"/>
      <c r="DD566"/>
      <c r="DE566"/>
      <c r="DF566"/>
      <c r="DG566"/>
      <c r="DH566"/>
      <c r="DI566"/>
      <c r="DJ566"/>
      <c r="DK566"/>
      <c r="DL566"/>
      <c r="DM566"/>
      <c r="DN566"/>
    </row>
    <row r="567" spans="3:118" s="238" customFormat="1" ht="15.75" customHeight="1" x14ac:dyDescent="0.25">
      <c r="C567"/>
      <c r="D567"/>
      <c r="E567"/>
      <c r="F567"/>
      <c r="G567"/>
      <c r="H567"/>
      <c r="I567"/>
      <c r="J567"/>
      <c r="K567"/>
      <c r="L567"/>
      <c r="M567"/>
      <c r="N567"/>
      <c r="O567" s="366"/>
      <c r="P567" s="366">
        <v>2017</v>
      </c>
      <c r="Q567" s="367">
        <f>LARGE($CB$455:$CB$604,113)</f>
        <v>13.299999999999999</v>
      </c>
      <c r="R567" s="357">
        <f t="shared" si="145"/>
        <v>-158.76666666666668</v>
      </c>
      <c r="S567" s="356">
        <f t="shared" si="141"/>
        <v>25206.854444444449</v>
      </c>
      <c r="U567" s="356">
        <f t="shared" si="146"/>
        <v>-9.9229166666666675</v>
      </c>
      <c r="V567" s="238">
        <f t="shared" si="143"/>
        <v>8</v>
      </c>
      <c r="W567" s="354"/>
      <c r="X567" s="366"/>
      <c r="Y567" s="366"/>
      <c r="Z567" s="238">
        <v>2017</v>
      </c>
      <c r="AA567" s="367">
        <f>LARGE($CU$455:$CU$604,113)</f>
        <v>45.099999999999994</v>
      </c>
      <c r="AB567" s="357">
        <f t="shared" si="147"/>
        <v>-147.43333333333334</v>
      </c>
      <c r="AC567" s="356">
        <f t="shared" si="142"/>
        <v>21736.587777777779</v>
      </c>
      <c r="AE567" s="356">
        <f t="shared" si="148"/>
        <v>-9.2145833333333336</v>
      </c>
      <c r="AF567" s="238">
        <f t="shared" si="144"/>
        <v>8</v>
      </c>
      <c r="AG567" s="354"/>
      <c r="AK567"/>
      <c r="AL567"/>
      <c r="AM567"/>
      <c r="AN567"/>
      <c r="AO567"/>
      <c r="AP567"/>
      <c r="BI567" s="360"/>
      <c r="BJ567" s="354"/>
      <c r="BK567" s="366">
        <v>2017</v>
      </c>
      <c r="BL567" s="365" t="s">
        <v>1784</v>
      </c>
      <c r="BM567" s="366" t="s">
        <v>143</v>
      </c>
      <c r="BN567" s="366" t="s">
        <v>3</v>
      </c>
      <c r="BO567" s="366">
        <v>0</v>
      </c>
      <c r="BP567" s="366">
        <v>0</v>
      </c>
      <c r="BQ567" s="366">
        <v>0</v>
      </c>
      <c r="BR567" s="366">
        <v>48</v>
      </c>
      <c r="BS567" s="366">
        <v>1</v>
      </c>
      <c r="BT567" s="366">
        <v>0</v>
      </c>
      <c r="BU567" s="366">
        <v>0</v>
      </c>
      <c r="BV567" s="366">
        <v>0</v>
      </c>
      <c r="BW567" s="366">
        <v>0</v>
      </c>
      <c r="BX567" s="366">
        <v>0</v>
      </c>
      <c r="BY567" s="366">
        <v>65</v>
      </c>
      <c r="BZ567" s="366">
        <v>0</v>
      </c>
      <c r="CA567" s="366">
        <v>0</v>
      </c>
      <c r="CB567" s="367">
        <f>IFERROR(BO567/Instructions!$J$25,0)+BP567*Instructions!$J$27+BQ567*Instructions!$J$29+IFERROR(BR567/Instructions!$E$34,0)+BS567*Instructions!$E$36+Tier!BT568*Instructions!$E$25+IFERROR(BU567/Instructions!$E$27,0)+BV567*Instructions!$E$29+IFERROR((BW567+BY567)/Instructions!$J$32,0)+(BX567+BZ567)*Instructions!$J$34+Tier!CA567*-2</f>
        <v>14.8</v>
      </c>
      <c r="CC567" s="354"/>
      <c r="CD567" s="238">
        <v>2017</v>
      </c>
      <c r="CE567" s="365" t="s">
        <v>1308</v>
      </c>
      <c r="CF567" s="366" t="s">
        <v>159</v>
      </c>
      <c r="CG567" s="366" t="s">
        <v>6</v>
      </c>
      <c r="CH567" s="366">
        <v>0</v>
      </c>
      <c r="CI567" s="366">
        <v>0</v>
      </c>
      <c r="CJ567" s="366">
        <v>0</v>
      </c>
      <c r="CK567" s="366">
        <v>19</v>
      </c>
      <c r="CL567" s="366">
        <v>0</v>
      </c>
      <c r="CM567" s="366">
        <v>17</v>
      </c>
      <c r="CN567" s="366">
        <v>202</v>
      </c>
      <c r="CO567" s="366">
        <v>1</v>
      </c>
      <c r="CP567" s="366">
        <v>0</v>
      </c>
      <c r="CQ567" s="366">
        <v>0</v>
      </c>
      <c r="CR567" s="366">
        <v>65</v>
      </c>
      <c r="CS567" s="366">
        <v>0</v>
      </c>
      <c r="CT567" s="366">
        <v>0</v>
      </c>
      <c r="CU567" s="367">
        <f>IFERROR(CH567/Instructions!$J$25,0)+CI567*Instructions!$J$27+CJ567*Instructions!$J$29+IFERROR(CK567/Instructions!$E$34,0)+CL567*Instructions!$E$36+Tier!CM567*Instructions!$E$25+IFERROR(CN567/Instructions!$E$27,0)+CO567*Instructions!$E$29+IFERROR((CP567+CR567)/Instructions!$J$32,0)+(CQ567+CS567)*Instructions!$J$34+Tier!CT567*-2</f>
        <v>45.099999999999994</v>
      </c>
      <c r="CV567" s="354"/>
      <c r="CW567"/>
      <c r="CX567"/>
      <c r="CY567"/>
      <c r="CZ567"/>
      <c r="DA567"/>
      <c r="DB567"/>
      <c r="DC567"/>
      <c r="DD567"/>
      <c r="DE567"/>
      <c r="DF567"/>
      <c r="DG567"/>
      <c r="DH567"/>
      <c r="DI567"/>
      <c r="DJ567"/>
      <c r="DK567"/>
      <c r="DL567"/>
      <c r="DM567"/>
      <c r="DN567"/>
    </row>
    <row r="568" spans="3:118" s="238" customFormat="1" ht="15.75" customHeight="1" x14ac:dyDescent="0.25">
      <c r="C568"/>
      <c r="D568"/>
      <c r="E568"/>
      <c r="F568"/>
      <c r="G568"/>
      <c r="H568"/>
      <c r="I568"/>
      <c r="J568"/>
      <c r="K568"/>
      <c r="L568"/>
      <c r="M568"/>
      <c r="N568"/>
      <c r="O568" s="366"/>
      <c r="P568" s="366">
        <v>2017</v>
      </c>
      <c r="Q568" s="367">
        <f>LARGE($CB$455:$CB$604,114)</f>
        <v>13.200000000000001</v>
      </c>
      <c r="R568" s="357">
        <f t="shared" si="145"/>
        <v>-158.8666666666667</v>
      </c>
      <c r="S568" s="356">
        <f t="shared" si="141"/>
        <v>25238.617777777788</v>
      </c>
      <c r="U568" s="356">
        <f t="shared" si="146"/>
        <v>-9.9291666666666689</v>
      </c>
      <c r="V568" s="238">
        <f t="shared" si="143"/>
        <v>8</v>
      </c>
      <c r="W568" s="354"/>
      <c r="X568" s="366"/>
      <c r="Y568" s="366"/>
      <c r="Z568" s="238">
        <v>2017</v>
      </c>
      <c r="AA568" s="367">
        <f>LARGE($CU$455:$CU$604,114)</f>
        <v>44.8</v>
      </c>
      <c r="AB568" s="357">
        <f t="shared" si="147"/>
        <v>-147.73333333333335</v>
      </c>
      <c r="AC568" s="356">
        <f t="shared" si="142"/>
        <v>21825.137777777782</v>
      </c>
      <c r="AE568" s="356">
        <f t="shared" si="148"/>
        <v>-9.2333333333333343</v>
      </c>
      <c r="AF568" s="238">
        <f t="shared" si="144"/>
        <v>8</v>
      </c>
      <c r="AG568" s="354"/>
      <c r="AK568"/>
      <c r="AL568"/>
      <c r="AM568"/>
      <c r="AN568"/>
      <c r="AO568"/>
      <c r="AP568"/>
      <c r="BI568" s="360"/>
      <c r="BJ568" s="354"/>
      <c r="BK568" s="366">
        <v>2017</v>
      </c>
      <c r="BL568" s="365" t="s">
        <v>1394</v>
      </c>
      <c r="BM568" s="366" t="s">
        <v>144</v>
      </c>
      <c r="BN568" s="366" t="s">
        <v>3</v>
      </c>
      <c r="BO568" s="366">
        <v>0</v>
      </c>
      <c r="BP568" s="366">
        <v>0</v>
      </c>
      <c r="BQ568" s="366">
        <v>0</v>
      </c>
      <c r="BR568" s="366">
        <v>12</v>
      </c>
      <c r="BS568" s="366">
        <v>1</v>
      </c>
      <c r="BT568" s="366">
        <v>4</v>
      </c>
      <c r="BU568" s="366">
        <v>35</v>
      </c>
      <c r="BV568" s="366">
        <v>0</v>
      </c>
      <c r="BW568" s="366">
        <v>0</v>
      </c>
      <c r="BX568" s="366">
        <v>0</v>
      </c>
      <c r="BY568" s="366">
        <v>10</v>
      </c>
      <c r="BZ568" s="366">
        <v>0</v>
      </c>
      <c r="CA568" s="366">
        <v>0</v>
      </c>
      <c r="CB568" s="367">
        <f>IFERROR(BO568/Instructions!$J$25,0)+BP568*Instructions!$J$27+BQ568*Instructions!$J$29+IFERROR(BR568/Instructions!$E$34,0)+BS568*Instructions!$E$36+Tier!BT569*Instructions!$E$25+IFERROR(BU568/Instructions!$E$27,0)+BV568*Instructions!$E$29+IFERROR((BW568+BY568)/Instructions!$J$32,0)+(BX568+BZ568)*Instructions!$J$34+Tier!CA568*-2</f>
        <v>12.7</v>
      </c>
      <c r="CC568" s="354"/>
      <c r="CD568" s="238">
        <v>2017</v>
      </c>
      <c r="CE568" s="365" t="s">
        <v>188</v>
      </c>
      <c r="CF568" s="366" t="s">
        <v>164</v>
      </c>
      <c r="CG568" s="366" t="s">
        <v>6</v>
      </c>
      <c r="CH568" s="366">
        <v>0</v>
      </c>
      <c r="CI568" s="366">
        <v>0</v>
      </c>
      <c r="CJ568" s="366">
        <v>0</v>
      </c>
      <c r="CK568" s="366">
        <v>0</v>
      </c>
      <c r="CL568" s="366">
        <v>0</v>
      </c>
      <c r="CM568" s="366">
        <v>22</v>
      </c>
      <c r="CN568" s="366">
        <v>217</v>
      </c>
      <c r="CO568" s="366">
        <v>1</v>
      </c>
      <c r="CP568" s="366">
        <v>85</v>
      </c>
      <c r="CQ568" s="366">
        <v>0</v>
      </c>
      <c r="CR568" s="366">
        <v>0</v>
      </c>
      <c r="CS568" s="366">
        <v>0</v>
      </c>
      <c r="CT568" s="366">
        <v>0</v>
      </c>
      <c r="CU568" s="367">
        <f>IFERROR(CH568/Instructions!$J$25,0)+CI568*Instructions!$J$27+CJ568*Instructions!$J$29+IFERROR(CK568/Instructions!$E$34,0)+CL568*Instructions!$E$36+Tier!CM568*Instructions!$E$25+IFERROR(CN568/Instructions!$E$27,0)+CO568*Instructions!$E$29+IFERROR((CP568+CR568)/Instructions!$J$32,0)+(CQ568+CS568)*Instructions!$J$34+Tier!CT568*-2</f>
        <v>49.7</v>
      </c>
      <c r="CV568" s="354"/>
      <c r="CW568"/>
      <c r="CX568"/>
      <c r="CY568"/>
      <c r="CZ568"/>
      <c r="DA568"/>
      <c r="DB568"/>
      <c r="DC568"/>
      <c r="DD568"/>
      <c r="DE568"/>
      <c r="DF568"/>
      <c r="DG568"/>
      <c r="DH568"/>
      <c r="DI568"/>
      <c r="DJ568"/>
      <c r="DK568"/>
      <c r="DL568"/>
      <c r="DM568"/>
      <c r="DN568"/>
    </row>
    <row r="569" spans="3:118" s="238" customFormat="1" ht="15.75" customHeight="1" x14ac:dyDescent="0.25">
      <c r="C569"/>
      <c r="D569"/>
      <c r="E569"/>
      <c r="F569"/>
      <c r="G569"/>
      <c r="H569"/>
      <c r="I569"/>
      <c r="J569"/>
      <c r="K569"/>
      <c r="L569"/>
      <c r="M569"/>
      <c r="N569"/>
      <c r="O569" s="366"/>
      <c r="P569" s="366">
        <v>2017</v>
      </c>
      <c r="Q569" s="367">
        <f>LARGE($CB$455:$CB$604,115)</f>
        <v>13</v>
      </c>
      <c r="R569" s="357">
        <f t="shared" si="145"/>
        <v>-159.06666666666669</v>
      </c>
      <c r="S569" s="356">
        <f t="shared" si="141"/>
        <v>25302.204444444451</v>
      </c>
      <c r="U569" s="356">
        <f t="shared" si="146"/>
        <v>-9.9416666666666682</v>
      </c>
      <c r="V569" s="238">
        <f t="shared" si="143"/>
        <v>8</v>
      </c>
      <c r="W569" s="354"/>
      <c r="X569" s="366"/>
      <c r="Y569" s="366"/>
      <c r="Z569" s="238">
        <v>2017</v>
      </c>
      <c r="AA569" s="367">
        <f>LARGE($CU$455:$CU$604,115)</f>
        <v>44.6</v>
      </c>
      <c r="AB569" s="357">
        <f t="shared" si="147"/>
        <v>-147.93333333333334</v>
      </c>
      <c r="AC569" s="356">
        <f t="shared" si="142"/>
        <v>21884.271111111113</v>
      </c>
      <c r="AE569" s="356">
        <f t="shared" si="148"/>
        <v>-9.2458333333333336</v>
      </c>
      <c r="AF569" s="238">
        <f t="shared" si="144"/>
        <v>8</v>
      </c>
      <c r="AG569" s="354"/>
      <c r="AK569"/>
      <c r="AL569"/>
      <c r="AM569"/>
      <c r="AN569"/>
      <c r="AO569"/>
      <c r="AP569"/>
      <c r="BI569" s="360"/>
      <c r="BJ569" s="354"/>
      <c r="BK569" s="366">
        <v>2017</v>
      </c>
      <c r="BL569" s="365" t="s">
        <v>1282</v>
      </c>
      <c r="BM569" s="366" t="s">
        <v>148</v>
      </c>
      <c r="BN569" s="366" t="s">
        <v>3</v>
      </c>
      <c r="BO569" s="366">
        <v>0</v>
      </c>
      <c r="BP569" s="366">
        <v>0</v>
      </c>
      <c r="BQ569" s="366">
        <v>0</v>
      </c>
      <c r="BR569" s="366">
        <v>89</v>
      </c>
      <c r="BS569" s="366">
        <v>0</v>
      </c>
      <c r="BT569" s="366">
        <v>2</v>
      </c>
      <c r="BU569" s="366">
        <v>8</v>
      </c>
      <c r="BV569" s="366">
        <v>0</v>
      </c>
      <c r="BW569" s="366">
        <v>0</v>
      </c>
      <c r="BX569" s="366">
        <v>0</v>
      </c>
      <c r="BY569" s="366">
        <v>0</v>
      </c>
      <c r="BZ569" s="366">
        <v>0</v>
      </c>
      <c r="CA569" s="366">
        <v>1</v>
      </c>
      <c r="CB569" s="367">
        <f>IFERROR(BO569/Instructions!$J$25,0)+BP569*Instructions!$J$27+BQ569*Instructions!$J$29+IFERROR(BR569/Instructions!$E$34,0)+BS569*Instructions!$E$36+Tier!BT570*Instructions!$E$25+IFERROR(BU569/Instructions!$E$27,0)+BV569*Instructions!$E$29+IFERROR((BW569+BY569)/Instructions!$J$32,0)+(BX569+BZ569)*Instructions!$J$34+Tier!CA569*-2</f>
        <v>9.7000000000000011</v>
      </c>
      <c r="CC569" s="354"/>
      <c r="CD569" s="238">
        <v>2017</v>
      </c>
      <c r="CE569" s="365" t="s">
        <v>1277</v>
      </c>
      <c r="CF569" s="366" t="s">
        <v>162</v>
      </c>
      <c r="CG569" s="366" t="s">
        <v>6</v>
      </c>
      <c r="CH569" s="366">
        <v>0</v>
      </c>
      <c r="CI569" s="366">
        <v>0</v>
      </c>
      <c r="CJ569" s="366">
        <v>0</v>
      </c>
      <c r="CK569" s="366">
        <v>42</v>
      </c>
      <c r="CL569" s="366">
        <v>0</v>
      </c>
      <c r="CM569" s="366">
        <v>19</v>
      </c>
      <c r="CN569" s="366">
        <v>173</v>
      </c>
      <c r="CO569" s="366">
        <v>1</v>
      </c>
      <c r="CP569" s="366">
        <v>291</v>
      </c>
      <c r="CQ569" s="366">
        <v>1</v>
      </c>
      <c r="CR569" s="366">
        <v>159</v>
      </c>
      <c r="CS569" s="366">
        <v>0</v>
      </c>
      <c r="CT569" s="366">
        <v>0</v>
      </c>
      <c r="CU569" s="367">
        <f>IFERROR(CH569/Instructions!$J$25,0)+CI569*Instructions!$J$27+CJ569*Instructions!$J$29+IFERROR(CK569/Instructions!$E$34,0)+CL569*Instructions!$E$36+Tier!CM569*Instructions!$E$25+IFERROR(CN569/Instructions!$E$27,0)+CO569*Instructions!$E$29+IFERROR((CP569+CR569)/Instructions!$J$32,0)+(CQ569+CS569)*Instructions!$J$34+Tier!CT569*-2</f>
        <v>52.5</v>
      </c>
      <c r="CV569" s="354"/>
      <c r="CW569"/>
      <c r="CX569"/>
      <c r="CY569"/>
      <c r="CZ569"/>
      <c r="DA569"/>
      <c r="DB569"/>
      <c r="DC569"/>
      <c r="DD569"/>
      <c r="DE569"/>
      <c r="DF569"/>
      <c r="DG569"/>
      <c r="DH569"/>
      <c r="DI569"/>
      <c r="DJ569"/>
      <c r="DK569"/>
      <c r="DL569"/>
      <c r="DM569"/>
      <c r="DN569"/>
    </row>
    <row r="570" spans="3:118" s="238" customFormat="1" ht="15.75" customHeight="1" x14ac:dyDescent="0.25">
      <c r="C570"/>
      <c r="D570"/>
      <c r="E570"/>
      <c r="F570"/>
      <c r="G570"/>
      <c r="H570"/>
      <c r="I570"/>
      <c r="J570"/>
      <c r="K570"/>
      <c r="L570"/>
      <c r="M570"/>
      <c r="N570"/>
      <c r="O570" s="366"/>
      <c r="P570" s="366">
        <v>2017</v>
      </c>
      <c r="Q570" s="367">
        <f>LARGE($CB$455:$CB$604,116)</f>
        <v>12.7</v>
      </c>
      <c r="R570" s="357">
        <f t="shared" si="145"/>
        <v>-159.3666666666667</v>
      </c>
      <c r="S570" s="356">
        <f t="shared" ref="S570:S604" si="149">R570^2</f>
        <v>25397.734444444457</v>
      </c>
      <c r="U570" s="356">
        <f t="shared" si="146"/>
        <v>-9.9604166666666689</v>
      </c>
      <c r="V570" s="238">
        <f t="shared" si="143"/>
        <v>8</v>
      </c>
      <c r="W570" s="354"/>
      <c r="X570" s="366"/>
      <c r="Y570" s="366"/>
      <c r="Z570" s="238">
        <v>2017</v>
      </c>
      <c r="AA570" s="367">
        <f>LARGE($CU$455:$CU$604,116)</f>
        <v>43</v>
      </c>
      <c r="AB570" s="357">
        <f t="shared" si="147"/>
        <v>-149.53333333333333</v>
      </c>
      <c r="AC570" s="356">
        <f t="shared" si="142"/>
        <v>22360.217777777776</v>
      </c>
      <c r="AE570" s="356">
        <f t="shared" si="148"/>
        <v>-9.3458333333333332</v>
      </c>
      <c r="AF570" s="238">
        <f t="shared" si="144"/>
        <v>8</v>
      </c>
      <c r="AG570" s="354"/>
      <c r="AK570"/>
      <c r="AL570"/>
      <c r="AM570"/>
      <c r="AN570"/>
      <c r="AO570"/>
      <c r="AP570"/>
      <c r="BI570" s="360"/>
      <c r="BJ570" s="354"/>
      <c r="BK570" s="366">
        <v>2017</v>
      </c>
      <c r="BL570" s="365" t="s">
        <v>1237</v>
      </c>
      <c r="BM570" s="366" t="s">
        <v>143</v>
      </c>
      <c r="BN570" s="366" t="s">
        <v>3</v>
      </c>
      <c r="BO570" s="366">
        <v>0</v>
      </c>
      <c r="BP570" s="366">
        <v>0</v>
      </c>
      <c r="BQ570" s="366">
        <v>0</v>
      </c>
      <c r="BR570" s="366">
        <v>28</v>
      </c>
      <c r="BS570" s="366">
        <v>0</v>
      </c>
      <c r="BT570" s="366">
        <v>2</v>
      </c>
      <c r="BU570" s="366">
        <v>8</v>
      </c>
      <c r="BV570" s="366">
        <v>1</v>
      </c>
      <c r="BW570" s="366">
        <v>0</v>
      </c>
      <c r="BX570" s="366">
        <v>0</v>
      </c>
      <c r="BY570" s="366">
        <v>0</v>
      </c>
      <c r="BZ570" s="366">
        <v>0</v>
      </c>
      <c r="CA570" s="366">
        <v>0</v>
      </c>
      <c r="CB570" s="367">
        <f>IFERROR(BO570/Instructions!$J$25,0)+BP570*Instructions!$J$27+BQ570*Instructions!$J$29+IFERROR(BR570/Instructions!$E$34,0)+BS570*Instructions!$E$36+Tier!BT571*Instructions!$E$25+IFERROR(BU570/Instructions!$E$27,0)+BV570*Instructions!$E$29+IFERROR((BW570+BY570)/Instructions!$J$32,0)+(BX570+BZ570)*Instructions!$J$34+Tier!CA570*-2</f>
        <v>15.600000000000001</v>
      </c>
      <c r="CC570" s="354"/>
      <c r="CD570" s="238">
        <v>2017</v>
      </c>
      <c r="CE570" s="365" t="s">
        <v>1643</v>
      </c>
      <c r="CF570" s="366" t="s">
        <v>136</v>
      </c>
      <c r="CG570" s="366" t="s">
        <v>6</v>
      </c>
      <c r="CH570" s="366">
        <v>0</v>
      </c>
      <c r="CI570" s="366">
        <v>0</v>
      </c>
      <c r="CJ570" s="366">
        <v>0</v>
      </c>
      <c r="CK570" s="366">
        <v>4</v>
      </c>
      <c r="CL570" s="366">
        <v>0</v>
      </c>
      <c r="CM570" s="366">
        <v>14</v>
      </c>
      <c r="CN570" s="366">
        <v>143</v>
      </c>
      <c r="CO570" s="366">
        <v>2</v>
      </c>
      <c r="CP570" s="366">
        <v>16</v>
      </c>
      <c r="CQ570" s="366">
        <v>0</v>
      </c>
      <c r="CR570" s="366">
        <v>305</v>
      </c>
      <c r="CS570" s="366">
        <v>0</v>
      </c>
      <c r="CT570" s="366">
        <v>0</v>
      </c>
      <c r="CU570" s="367">
        <f>IFERROR(CH570/Instructions!$J$25,0)+CI570*Instructions!$J$27+CJ570*Instructions!$J$29+IFERROR(CK570/Instructions!$E$34,0)+CL570*Instructions!$E$36+Tier!CM570*Instructions!$E$25+IFERROR(CN570/Instructions!$E$27,0)+CO570*Instructions!$E$29+IFERROR((CP570+CR570)/Instructions!$J$32,0)+(CQ570+CS570)*Instructions!$J$34+Tier!CT570*-2</f>
        <v>40.700000000000003</v>
      </c>
      <c r="CV570" s="354"/>
      <c r="CW570"/>
      <c r="CX570"/>
      <c r="CY570"/>
      <c r="CZ570"/>
      <c r="DA570"/>
      <c r="DB570"/>
      <c r="DC570"/>
      <c r="DD570"/>
      <c r="DE570"/>
      <c r="DF570"/>
      <c r="DG570"/>
      <c r="DH570"/>
      <c r="DI570"/>
      <c r="DJ570"/>
      <c r="DK570"/>
      <c r="DL570"/>
      <c r="DM570"/>
      <c r="DN570"/>
    </row>
    <row r="571" spans="3:118" s="238" customFormat="1" ht="15.75" customHeight="1" x14ac:dyDescent="0.25">
      <c r="C571"/>
      <c r="D571"/>
      <c r="E571"/>
      <c r="F571"/>
      <c r="G571"/>
      <c r="H571"/>
      <c r="I571"/>
      <c r="J571"/>
      <c r="K571"/>
      <c r="L571"/>
      <c r="M571"/>
      <c r="N571"/>
      <c r="O571" s="366"/>
      <c r="P571" s="366">
        <v>2017</v>
      </c>
      <c r="Q571" s="367">
        <f>LARGE($CB$455:$CB$604,117)</f>
        <v>12.4</v>
      </c>
      <c r="R571" s="357">
        <f t="shared" si="145"/>
        <v>-159.66666666666669</v>
      </c>
      <c r="S571" s="356">
        <f t="shared" si="149"/>
        <v>25493.444444444449</v>
      </c>
      <c r="U571" s="356">
        <f t="shared" si="146"/>
        <v>-9.9791666666666679</v>
      </c>
      <c r="V571" s="238">
        <f t="shared" si="143"/>
        <v>8</v>
      </c>
      <c r="W571" s="354"/>
      <c r="X571" s="366"/>
      <c r="Y571" s="366"/>
      <c r="Z571" s="238">
        <v>2017</v>
      </c>
      <c r="AA571" s="367">
        <f>LARGE($CU$455:$CU$604,117)</f>
        <v>42.2</v>
      </c>
      <c r="AB571" s="357">
        <f t="shared" si="147"/>
        <v>-150.33333333333331</v>
      </c>
      <c r="AC571" s="356">
        <f t="shared" si="142"/>
        <v>22600.111111111106</v>
      </c>
      <c r="AE571" s="356">
        <f t="shared" si="148"/>
        <v>-9.3958333333333321</v>
      </c>
      <c r="AF571" s="238">
        <f t="shared" si="144"/>
        <v>8</v>
      </c>
      <c r="AG571" s="354"/>
      <c r="AK571"/>
      <c r="AL571"/>
      <c r="AM571"/>
      <c r="AN571"/>
      <c r="AO571"/>
      <c r="AP571"/>
      <c r="BI571" s="360"/>
      <c r="BJ571" s="354"/>
      <c r="BK571" s="366">
        <v>2017</v>
      </c>
      <c r="BL571" s="365" t="s">
        <v>1138</v>
      </c>
      <c r="BM571" s="366" t="s">
        <v>153</v>
      </c>
      <c r="BN571" s="366" t="s">
        <v>3</v>
      </c>
      <c r="BO571" s="366">
        <v>0</v>
      </c>
      <c r="BP571" s="366">
        <v>0</v>
      </c>
      <c r="BQ571" s="366">
        <v>0</v>
      </c>
      <c r="BR571" s="366">
        <v>23</v>
      </c>
      <c r="BS571" s="366">
        <v>0</v>
      </c>
      <c r="BT571" s="366">
        <v>6</v>
      </c>
      <c r="BU571" s="366">
        <v>68</v>
      </c>
      <c r="BV571" s="366">
        <v>0</v>
      </c>
      <c r="BW571" s="366">
        <v>0</v>
      </c>
      <c r="BX571" s="366">
        <v>0</v>
      </c>
      <c r="BY571" s="366">
        <v>0</v>
      </c>
      <c r="BZ571" s="366">
        <v>0</v>
      </c>
      <c r="CA571" s="366">
        <v>0</v>
      </c>
      <c r="CB571" s="367">
        <f>IFERROR(BO571/Instructions!$J$25,0)+BP571*Instructions!$J$27+BQ571*Instructions!$J$29+IFERROR(BR571/Instructions!$E$34,0)+BS571*Instructions!$E$36+Tier!BT572*Instructions!$E$25+IFERROR(BU571/Instructions!$E$27,0)+BV571*Instructions!$E$29+IFERROR((BW571+BY571)/Instructions!$J$32,0)+(BX571+BZ571)*Instructions!$J$34+Tier!CA571*-2</f>
        <v>9.1</v>
      </c>
      <c r="CC571" s="354"/>
      <c r="CD571" s="238">
        <v>2017</v>
      </c>
      <c r="CE571" s="365" t="s">
        <v>1800</v>
      </c>
      <c r="CF571" s="366" t="s">
        <v>155</v>
      </c>
      <c r="CG571" s="366" t="s">
        <v>6</v>
      </c>
      <c r="CH571" s="366">
        <v>0</v>
      </c>
      <c r="CI571" s="366">
        <v>0</v>
      </c>
      <c r="CJ571" s="366">
        <v>0</v>
      </c>
      <c r="CK571" s="366">
        <v>0</v>
      </c>
      <c r="CL571" s="366">
        <v>0</v>
      </c>
      <c r="CM571" s="366">
        <v>16</v>
      </c>
      <c r="CN571" s="366">
        <v>257</v>
      </c>
      <c r="CO571" s="366">
        <v>0</v>
      </c>
      <c r="CP571" s="366">
        <v>0</v>
      </c>
      <c r="CQ571" s="366">
        <v>0</v>
      </c>
      <c r="CR571" s="366">
        <v>0</v>
      </c>
      <c r="CS571" s="366">
        <v>0</v>
      </c>
      <c r="CT571" s="366">
        <v>0</v>
      </c>
      <c r="CU571" s="367">
        <f>IFERROR(CH571/Instructions!$J$25,0)+CI571*Instructions!$J$27+CJ571*Instructions!$J$29+IFERROR(CK571/Instructions!$E$34,0)+CL571*Instructions!$E$36+Tier!CM571*Instructions!$E$25+IFERROR(CN571/Instructions!$E$27,0)+CO571*Instructions!$E$29+IFERROR((CP571+CR571)/Instructions!$J$32,0)+(CQ571+CS571)*Instructions!$J$34+Tier!CT571*-2</f>
        <v>41.7</v>
      </c>
      <c r="CV571" s="354"/>
      <c r="CW571"/>
      <c r="CX571"/>
      <c r="CY571"/>
      <c r="CZ571"/>
      <c r="DA571"/>
      <c r="DB571"/>
      <c r="DC571"/>
      <c r="DD571"/>
      <c r="DE571"/>
      <c r="DF571"/>
      <c r="DG571"/>
      <c r="DH571"/>
      <c r="DI571"/>
      <c r="DJ571"/>
      <c r="DK571"/>
      <c r="DL571"/>
      <c r="DM571"/>
      <c r="DN571"/>
    </row>
    <row r="572" spans="3:118" s="238" customFormat="1" ht="15.75" customHeight="1" x14ac:dyDescent="0.25">
      <c r="C572"/>
      <c r="D572"/>
      <c r="E572"/>
      <c r="F572"/>
      <c r="G572"/>
      <c r="H572"/>
      <c r="I572"/>
      <c r="J572"/>
      <c r="K572"/>
      <c r="L572"/>
      <c r="M572"/>
      <c r="N572"/>
      <c r="O572" s="366"/>
      <c r="P572" s="366">
        <v>2017</v>
      </c>
      <c r="Q572" s="367">
        <f>LARGE($CB$455:$CB$604,118)</f>
        <v>11</v>
      </c>
      <c r="R572" s="357">
        <f t="shared" si="145"/>
        <v>-161.06666666666669</v>
      </c>
      <c r="S572" s="356">
        <f t="shared" si="149"/>
        <v>25942.471111111117</v>
      </c>
      <c r="U572" s="356">
        <f t="shared" si="146"/>
        <v>-10.066666666666668</v>
      </c>
      <c r="V572" s="238">
        <f t="shared" si="143"/>
        <v>8</v>
      </c>
      <c r="W572" s="354"/>
      <c r="X572" s="366"/>
      <c r="Y572" s="366"/>
      <c r="Z572" s="238">
        <v>2017</v>
      </c>
      <c r="AA572" s="367">
        <f>LARGE($CU$455:$CU$604,118)</f>
        <v>41.7</v>
      </c>
      <c r="AB572" s="357">
        <f t="shared" si="147"/>
        <v>-150.83333333333331</v>
      </c>
      <c r="AC572" s="356">
        <f t="shared" si="142"/>
        <v>22750.694444444438</v>
      </c>
      <c r="AE572" s="356">
        <f t="shared" si="148"/>
        <v>-9.4270833333333321</v>
      </c>
      <c r="AF572" s="238">
        <f t="shared" si="144"/>
        <v>8</v>
      </c>
      <c r="AG572" s="354"/>
      <c r="AK572"/>
      <c r="AL572"/>
      <c r="AM572"/>
      <c r="AN572"/>
      <c r="AO572"/>
      <c r="AP572"/>
      <c r="BI572" s="360"/>
      <c r="BJ572" s="354"/>
      <c r="BK572" s="366">
        <v>2017</v>
      </c>
      <c r="BL572" s="365" t="s">
        <v>1177</v>
      </c>
      <c r="BM572" s="366" t="s">
        <v>142</v>
      </c>
      <c r="BN572" s="366" t="s">
        <v>3</v>
      </c>
      <c r="BO572" s="366">
        <v>0</v>
      </c>
      <c r="BP572" s="366">
        <v>0</v>
      </c>
      <c r="BQ572" s="366">
        <v>0</v>
      </c>
      <c r="BR572" s="366">
        <v>26</v>
      </c>
      <c r="BS572" s="366">
        <v>1</v>
      </c>
      <c r="BT572" s="366">
        <v>0</v>
      </c>
      <c r="BU572" s="366">
        <v>0</v>
      </c>
      <c r="BV572" s="366">
        <v>0</v>
      </c>
      <c r="BW572" s="366">
        <v>0</v>
      </c>
      <c r="BX572" s="366">
        <v>0</v>
      </c>
      <c r="BY572" s="366">
        <v>62</v>
      </c>
      <c r="BZ572" s="366">
        <v>0</v>
      </c>
      <c r="CA572" s="366">
        <v>0</v>
      </c>
      <c r="CB572" s="367">
        <f>IFERROR(BO572/Instructions!$J$25,0)+BP572*Instructions!$J$27+BQ572*Instructions!$J$29+IFERROR(BR572/Instructions!$E$34,0)+BS572*Instructions!$E$36+Tier!BT573*Instructions!$E$25+IFERROR(BU572/Instructions!$E$27,0)+BV572*Instructions!$E$29+IFERROR((BW572+BY572)/Instructions!$J$32,0)+(BX572+BZ572)*Instructions!$J$34+Tier!CA572*-2</f>
        <v>9.6</v>
      </c>
      <c r="CC572" s="354"/>
      <c r="CD572" s="238">
        <v>2017</v>
      </c>
      <c r="CE572" s="365" t="s">
        <v>1401</v>
      </c>
      <c r="CF572" s="366" t="s">
        <v>145</v>
      </c>
      <c r="CG572" s="366" t="s">
        <v>6</v>
      </c>
      <c r="CH572" s="366">
        <v>0</v>
      </c>
      <c r="CI572" s="366">
        <v>0</v>
      </c>
      <c r="CJ572" s="366">
        <v>0</v>
      </c>
      <c r="CK572" s="366">
        <v>16</v>
      </c>
      <c r="CL572" s="366">
        <v>0</v>
      </c>
      <c r="CM572" s="366">
        <v>12</v>
      </c>
      <c r="CN572" s="366">
        <v>180</v>
      </c>
      <c r="CO572" s="366">
        <v>1</v>
      </c>
      <c r="CP572" s="366">
        <v>278</v>
      </c>
      <c r="CQ572" s="366">
        <v>0</v>
      </c>
      <c r="CR572" s="366">
        <v>663</v>
      </c>
      <c r="CS572" s="366">
        <v>0</v>
      </c>
      <c r="CT572" s="366">
        <v>0</v>
      </c>
      <c r="CU572" s="367">
        <f>IFERROR(CH572/Instructions!$J$25,0)+CI572*Instructions!$J$27+CJ572*Instructions!$J$29+IFERROR(CK572/Instructions!$E$34,0)+CL572*Instructions!$E$36+Tier!CM572*Instructions!$E$25+IFERROR(CN572/Instructions!$E$27,0)+CO572*Instructions!$E$29+IFERROR((CP572+CR572)/Instructions!$J$32,0)+(CQ572+CS572)*Instructions!$J$34+Tier!CT572*-2</f>
        <v>37.6</v>
      </c>
      <c r="CV572" s="354"/>
      <c r="CW572"/>
      <c r="CX572"/>
      <c r="CY572"/>
      <c r="CZ572"/>
      <c r="DA572"/>
      <c r="DB572"/>
      <c r="DC572"/>
      <c r="DD572"/>
      <c r="DE572"/>
      <c r="DF572"/>
      <c r="DG572"/>
      <c r="DH572"/>
      <c r="DI572"/>
      <c r="DJ572"/>
      <c r="DK572"/>
      <c r="DL572"/>
      <c r="DM572"/>
      <c r="DN572"/>
    </row>
    <row r="573" spans="3:118" s="238" customFormat="1" ht="15.75" customHeight="1" x14ac:dyDescent="0.25">
      <c r="C573"/>
      <c r="D573"/>
      <c r="E573"/>
      <c r="F573"/>
      <c r="G573"/>
      <c r="H573"/>
      <c r="I573"/>
      <c r="J573"/>
      <c r="K573"/>
      <c r="L573"/>
      <c r="M573"/>
      <c r="N573"/>
      <c r="O573" s="366"/>
      <c r="P573" s="366">
        <v>2017</v>
      </c>
      <c r="Q573" s="367">
        <f>LARGE($CB$455:$CB$604,119)</f>
        <v>10.9</v>
      </c>
      <c r="R573" s="357">
        <f t="shared" si="145"/>
        <v>-161.16666666666669</v>
      </c>
      <c r="S573" s="356">
        <f t="shared" si="149"/>
        <v>25974.694444444449</v>
      </c>
      <c r="U573" s="356">
        <f t="shared" si="146"/>
        <v>-10.072916666666668</v>
      </c>
      <c r="V573" s="238">
        <f t="shared" si="143"/>
        <v>8</v>
      </c>
      <c r="W573" s="354"/>
      <c r="X573" s="366"/>
      <c r="Y573" s="366"/>
      <c r="Z573" s="238">
        <v>2017</v>
      </c>
      <c r="AA573" s="367">
        <f>LARGE($CU$455:$CU$604,119)</f>
        <v>41.3</v>
      </c>
      <c r="AB573" s="357">
        <f t="shared" si="147"/>
        <v>-151.23333333333335</v>
      </c>
      <c r="AC573" s="356">
        <f t="shared" si="142"/>
        <v>22871.521111111117</v>
      </c>
      <c r="AE573" s="356">
        <f t="shared" si="148"/>
        <v>-9.4520833333333343</v>
      </c>
      <c r="AF573" s="238">
        <f t="shared" si="144"/>
        <v>8</v>
      </c>
      <c r="AG573" s="354"/>
      <c r="AK573"/>
      <c r="AL573"/>
      <c r="AM573"/>
      <c r="AN573"/>
      <c r="AO573"/>
      <c r="AP573"/>
      <c r="BI573" s="360"/>
      <c r="BJ573" s="354"/>
      <c r="BK573" s="366">
        <v>2017</v>
      </c>
      <c r="BL573" s="365" t="s">
        <v>980</v>
      </c>
      <c r="BM573" s="366" t="s">
        <v>157</v>
      </c>
      <c r="BN573" s="366" t="s">
        <v>3</v>
      </c>
      <c r="BO573" s="366">
        <v>0</v>
      </c>
      <c r="BP573" s="366">
        <v>0</v>
      </c>
      <c r="BQ573" s="366">
        <v>0</v>
      </c>
      <c r="BR573" s="366">
        <v>67</v>
      </c>
      <c r="BS573" s="366">
        <v>0</v>
      </c>
      <c r="BT573" s="366">
        <v>1</v>
      </c>
      <c r="BU573" s="366">
        <v>7</v>
      </c>
      <c r="BV573" s="366">
        <v>0</v>
      </c>
      <c r="BW573" s="366">
        <v>0</v>
      </c>
      <c r="BX573" s="366">
        <v>0</v>
      </c>
      <c r="BY573" s="366">
        <v>0</v>
      </c>
      <c r="BZ573" s="366">
        <v>0</v>
      </c>
      <c r="CA573" s="366">
        <v>0</v>
      </c>
      <c r="CB573" s="367">
        <f>IFERROR(BO573/Instructions!$J$25,0)+BP573*Instructions!$J$27+BQ573*Instructions!$J$29+IFERROR(BR573/Instructions!$E$34,0)+BS573*Instructions!$E$36+Tier!BT574*Instructions!$E$25+IFERROR(BU573/Instructions!$E$27,0)+BV573*Instructions!$E$29+IFERROR((BW573+BY573)/Instructions!$J$32,0)+(BX573+BZ573)*Instructions!$J$34+Tier!CA573*-2</f>
        <v>9.3999999999999986</v>
      </c>
      <c r="CC573" s="354"/>
      <c r="CD573" s="238">
        <v>2017</v>
      </c>
      <c r="CE573" s="365" t="s">
        <v>1399</v>
      </c>
      <c r="CF573" s="366" t="s">
        <v>139</v>
      </c>
      <c r="CG573" s="366" t="s">
        <v>6</v>
      </c>
      <c r="CH573" s="366">
        <v>0</v>
      </c>
      <c r="CI573" s="366">
        <v>0</v>
      </c>
      <c r="CJ573" s="366">
        <v>0</v>
      </c>
      <c r="CK573" s="366">
        <v>0</v>
      </c>
      <c r="CL573" s="366">
        <v>0</v>
      </c>
      <c r="CM573" s="366">
        <v>23</v>
      </c>
      <c r="CN573" s="366">
        <v>253</v>
      </c>
      <c r="CO573" s="366">
        <v>0</v>
      </c>
      <c r="CP573" s="366">
        <v>0</v>
      </c>
      <c r="CQ573" s="366">
        <v>0</v>
      </c>
      <c r="CR573" s="366">
        <v>0</v>
      </c>
      <c r="CS573" s="366">
        <v>0</v>
      </c>
      <c r="CT573" s="366">
        <v>0</v>
      </c>
      <c r="CU573" s="367">
        <f>IFERROR(CH573/Instructions!$J$25,0)+CI573*Instructions!$J$27+CJ573*Instructions!$J$29+IFERROR(CK573/Instructions!$E$34,0)+CL573*Instructions!$E$36+Tier!CM573*Instructions!$E$25+IFERROR(CN573/Instructions!$E$27,0)+CO573*Instructions!$E$29+IFERROR((CP573+CR573)/Instructions!$J$32,0)+(CQ573+CS573)*Instructions!$J$34+Tier!CT573*-2</f>
        <v>48.3</v>
      </c>
      <c r="CV573" s="354"/>
      <c r="CW573"/>
      <c r="CX573"/>
      <c r="CY573"/>
      <c r="CZ573"/>
      <c r="DA573"/>
      <c r="DB573"/>
      <c r="DC573"/>
      <c r="DD573"/>
      <c r="DE573"/>
      <c r="DF573"/>
      <c r="DG573"/>
      <c r="DH573"/>
      <c r="DI573"/>
      <c r="DJ573"/>
      <c r="DK573"/>
      <c r="DL573"/>
      <c r="DM573"/>
      <c r="DN573"/>
    </row>
    <row r="574" spans="3:118" s="238" customFormat="1" ht="15.75" customHeight="1" x14ac:dyDescent="0.25">
      <c r="C574"/>
      <c r="D574"/>
      <c r="E574"/>
      <c r="F574"/>
      <c r="G574"/>
      <c r="H574"/>
      <c r="I574"/>
      <c r="J574"/>
      <c r="K574"/>
      <c r="L574"/>
      <c r="M574"/>
      <c r="N574"/>
      <c r="O574" s="366"/>
      <c r="P574" s="366">
        <v>2017</v>
      </c>
      <c r="Q574" s="367">
        <f>LARGE($CB$455:$CB$604,120)</f>
        <v>10</v>
      </c>
      <c r="R574" s="357">
        <f t="shared" si="145"/>
        <v>-162.06666666666669</v>
      </c>
      <c r="S574" s="356">
        <f t="shared" si="149"/>
        <v>26265.604444444452</v>
      </c>
      <c r="U574" s="356">
        <f t="shared" si="146"/>
        <v>-10.129166666666668</v>
      </c>
      <c r="V574" s="238">
        <f t="shared" si="143"/>
        <v>8</v>
      </c>
      <c r="W574" s="354"/>
      <c r="X574" s="366"/>
      <c r="Y574" s="366"/>
      <c r="Z574" s="238">
        <v>2017</v>
      </c>
      <c r="AA574" s="367">
        <f>LARGE($CU$455:$CU$604,120)</f>
        <v>40.700000000000003</v>
      </c>
      <c r="AB574" s="357">
        <f t="shared" si="147"/>
        <v>-151.83333333333331</v>
      </c>
      <c r="AC574" s="356">
        <f t="shared" si="142"/>
        <v>23053.361111111106</v>
      </c>
      <c r="AE574" s="356">
        <f t="shared" si="148"/>
        <v>-9.4895833333333321</v>
      </c>
      <c r="AF574" s="238">
        <f t="shared" si="144"/>
        <v>8</v>
      </c>
      <c r="AG574" s="354"/>
      <c r="AK574"/>
      <c r="AL574"/>
      <c r="AM574"/>
      <c r="AN574"/>
      <c r="AO574"/>
      <c r="AP574"/>
      <c r="BI574" s="360"/>
      <c r="BJ574" s="354"/>
      <c r="BK574" s="366">
        <v>2017</v>
      </c>
      <c r="BL574" s="365" t="s">
        <v>1435</v>
      </c>
      <c r="BM574" s="366" t="s">
        <v>145</v>
      </c>
      <c r="BN574" s="366" t="s">
        <v>3</v>
      </c>
      <c r="BO574" s="366">
        <v>0</v>
      </c>
      <c r="BP574" s="366">
        <v>0</v>
      </c>
      <c r="BQ574" s="366">
        <v>0</v>
      </c>
      <c r="BR574" s="366">
        <v>37</v>
      </c>
      <c r="BS574" s="366">
        <v>0</v>
      </c>
      <c r="BT574" s="366">
        <v>2</v>
      </c>
      <c r="BU574" s="366">
        <v>36</v>
      </c>
      <c r="BV574" s="366">
        <v>0</v>
      </c>
      <c r="BW574" s="366">
        <v>0</v>
      </c>
      <c r="BX574" s="366">
        <v>0</v>
      </c>
      <c r="BY574" s="366">
        <v>0</v>
      </c>
      <c r="BZ574" s="366">
        <v>0</v>
      </c>
      <c r="CA574" s="366">
        <v>0</v>
      </c>
      <c r="CB574" s="367">
        <f>IFERROR(BO574/Instructions!$J$25,0)+BP574*Instructions!$J$27+BQ574*Instructions!$J$29+IFERROR(BR574/Instructions!$E$34,0)+BS574*Instructions!$E$36+Tier!BT575*Instructions!$E$25+IFERROR(BU574/Instructions!$E$27,0)+BV574*Instructions!$E$29+IFERROR((BW574+BY574)/Instructions!$J$32,0)+(BX574+BZ574)*Instructions!$J$34+Tier!CA574*-2</f>
        <v>13.299999999999999</v>
      </c>
      <c r="CC574" s="354"/>
      <c r="CD574" s="238">
        <v>2017</v>
      </c>
      <c r="CE574" s="365" t="s">
        <v>1750</v>
      </c>
      <c r="CF574" s="366" t="s">
        <v>159</v>
      </c>
      <c r="CG574" s="366" t="s">
        <v>6</v>
      </c>
      <c r="CH574" s="366">
        <v>0</v>
      </c>
      <c r="CI574" s="366">
        <v>0</v>
      </c>
      <c r="CJ574" s="366">
        <v>0</v>
      </c>
      <c r="CK574" s="366">
        <v>12</v>
      </c>
      <c r="CL574" s="366">
        <v>0</v>
      </c>
      <c r="CM574" s="366">
        <v>10</v>
      </c>
      <c r="CN574" s="366">
        <v>105</v>
      </c>
      <c r="CO574" s="366">
        <v>2</v>
      </c>
      <c r="CP574" s="366">
        <v>9</v>
      </c>
      <c r="CQ574" s="366">
        <v>0</v>
      </c>
      <c r="CR574" s="366">
        <v>229</v>
      </c>
      <c r="CS574" s="366">
        <v>1</v>
      </c>
      <c r="CT574" s="366">
        <v>0</v>
      </c>
      <c r="CU574" s="367">
        <f>IFERROR(CH574/Instructions!$J$25,0)+CI574*Instructions!$J$27+CJ574*Instructions!$J$29+IFERROR(CK574/Instructions!$E$34,0)+CL574*Instructions!$E$36+Tier!CM574*Instructions!$E$25+IFERROR(CN574/Instructions!$E$27,0)+CO574*Instructions!$E$29+IFERROR((CP574+CR574)/Instructions!$J$32,0)+(CQ574+CS574)*Instructions!$J$34+Tier!CT574*-2</f>
        <v>39.700000000000003</v>
      </c>
      <c r="CV574" s="354"/>
      <c r="CW574"/>
      <c r="CX574"/>
      <c r="CY574"/>
      <c r="CZ574"/>
      <c r="DA574"/>
      <c r="DB574"/>
      <c r="DC574"/>
      <c r="DD574"/>
      <c r="DE574"/>
      <c r="DF574"/>
      <c r="DG574"/>
      <c r="DH574"/>
      <c r="DI574"/>
      <c r="DJ574"/>
      <c r="DK574"/>
      <c r="DL574"/>
      <c r="DM574"/>
      <c r="DN574"/>
    </row>
    <row r="575" spans="3:118" s="238" customFormat="1" ht="15.75" customHeight="1" x14ac:dyDescent="0.25">
      <c r="C575"/>
      <c r="D575"/>
      <c r="E575"/>
      <c r="F575"/>
      <c r="G575"/>
      <c r="H575"/>
      <c r="I575"/>
      <c r="J575"/>
      <c r="K575"/>
      <c r="L575"/>
      <c r="M575"/>
      <c r="N575"/>
      <c r="O575" s="366"/>
      <c r="P575" s="366">
        <v>2017</v>
      </c>
      <c r="Q575" s="367">
        <f>LARGE($CB$455:$CB$604,121)</f>
        <v>9.8000000000000007</v>
      </c>
      <c r="R575" s="357">
        <f t="shared" si="145"/>
        <v>-162.26666666666668</v>
      </c>
      <c r="S575" s="356">
        <f t="shared" si="149"/>
        <v>26330.471111111114</v>
      </c>
      <c r="U575" s="356">
        <f t="shared" si="146"/>
        <v>-10.141666666666667</v>
      </c>
      <c r="V575" s="238">
        <f t="shared" si="143"/>
        <v>8</v>
      </c>
      <c r="W575" s="354"/>
      <c r="X575" s="366"/>
      <c r="Y575" s="366"/>
      <c r="Z575" s="238">
        <v>2017</v>
      </c>
      <c r="AA575" s="367">
        <f>LARGE($CU$455:$CU$604,121)</f>
        <v>40</v>
      </c>
      <c r="AB575" s="357">
        <f t="shared" si="147"/>
        <v>-152.53333333333333</v>
      </c>
      <c r="AC575" s="356">
        <f t="shared" si="142"/>
        <v>23266.417777777777</v>
      </c>
      <c r="AE575" s="356">
        <f t="shared" si="148"/>
        <v>-9.5333333333333332</v>
      </c>
      <c r="AF575" s="238">
        <f t="shared" si="144"/>
        <v>8</v>
      </c>
      <c r="AG575" s="354"/>
      <c r="AK575"/>
      <c r="AL575"/>
      <c r="AM575"/>
      <c r="AN575"/>
      <c r="AO575"/>
      <c r="AP575"/>
      <c r="BI575" s="360"/>
      <c r="BJ575" s="354"/>
      <c r="BK575" s="366">
        <v>2017</v>
      </c>
      <c r="BL575" s="365" t="s">
        <v>1635</v>
      </c>
      <c r="BM575" s="366" t="s">
        <v>152</v>
      </c>
      <c r="BN575" s="366" t="s">
        <v>3</v>
      </c>
      <c r="BO575" s="366">
        <v>0</v>
      </c>
      <c r="BP575" s="366">
        <v>0</v>
      </c>
      <c r="BQ575" s="366">
        <v>0</v>
      </c>
      <c r="BR575" s="366">
        <v>32</v>
      </c>
      <c r="BS575" s="366">
        <v>0</v>
      </c>
      <c r="BT575" s="366">
        <v>6</v>
      </c>
      <c r="BU575" s="366">
        <v>36</v>
      </c>
      <c r="BV575" s="366">
        <v>0</v>
      </c>
      <c r="BW575" s="366">
        <v>0</v>
      </c>
      <c r="BX575" s="366">
        <v>0</v>
      </c>
      <c r="BY575" s="366">
        <v>89</v>
      </c>
      <c r="BZ575" s="366">
        <v>0</v>
      </c>
      <c r="CA575" s="366">
        <v>0</v>
      </c>
      <c r="CB575" s="367">
        <f>IFERROR(BO575/Instructions!$J$25,0)+BP575*Instructions!$J$27+BQ575*Instructions!$J$29+IFERROR(BR575/Instructions!$E$34,0)+BS575*Instructions!$E$36+Tier!BT576*Instructions!$E$25+IFERROR(BU575/Instructions!$E$27,0)+BV575*Instructions!$E$29+IFERROR((BW575+BY575)/Instructions!$J$32,0)+(BX575+BZ575)*Instructions!$J$34+Tier!CA575*-2</f>
        <v>8.8000000000000007</v>
      </c>
      <c r="CC575" s="354"/>
      <c r="CD575" s="238">
        <v>2017</v>
      </c>
      <c r="CE575" s="365" t="s">
        <v>1212</v>
      </c>
      <c r="CF575" s="366" t="s">
        <v>151</v>
      </c>
      <c r="CG575" s="366" t="s">
        <v>6</v>
      </c>
      <c r="CH575" s="366">
        <v>0</v>
      </c>
      <c r="CI575" s="366">
        <v>0</v>
      </c>
      <c r="CJ575" s="366">
        <v>0</v>
      </c>
      <c r="CK575" s="366">
        <v>1</v>
      </c>
      <c r="CL575" s="366">
        <v>0</v>
      </c>
      <c r="CM575" s="366">
        <v>19</v>
      </c>
      <c r="CN575" s="366">
        <v>162</v>
      </c>
      <c r="CO575" s="366">
        <v>1</v>
      </c>
      <c r="CP575" s="366">
        <v>12</v>
      </c>
      <c r="CQ575" s="366">
        <v>0</v>
      </c>
      <c r="CR575" s="366">
        <v>0</v>
      </c>
      <c r="CS575" s="366">
        <v>0</v>
      </c>
      <c r="CT575" s="366">
        <v>0</v>
      </c>
      <c r="CU575" s="367">
        <f>IFERROR(CH575/Instructions!$J$25,0)+CI575*Instructions!$J$27+CJ575*Instructions!$J$29+IFERROR(CK575/Instructions!$E$34,0)+CL575*Instructions!$E$36+Tier!CM575*Instructions!$E$25+IFERROR(CN575/Instructions!$E$27,0)+CO575*Instructions!$E$29+IFERROR((CP575+CR575)/Instructions!$J$32,0)+(CQ575+CS575)*Instructions!$J$34+Tier!CT575*-2</f>
        <v>41.3</v>
      </c>
      <c r="CV575" s="354"/>
      <c r="CW575"/>
      <c r="CX575"/>
      <c r="CY575"/>
      <c r="CZ575"/>
      <c r="DA575"/>
      <c r="DB575"/>
      <c r="DC575"/>
      <c r="DD575"/>
      <c r="DE575"/>
      <c r="DF575"/>
      <c r="DG575"/>
      <c r="DH575"/>
      <c r="DI575"/>
      <c r="DJ575"/>
      <c r="DK575"/>
      <c r="DL575"/>
      <c r="DM575"/>
      <c r="DN575"/>
    </row>
    <row r="576" spans="3:118" s="238" customFormat="1" ht="15.75" customHeight="1" x14ac:dyDescent="0.25">
      <c r="C576"/>
      <c r="D576"/>
      <c r="E576"/>
      <c r="F576"/>
      <c r="G576"/>
      <c r="H576"/>
      <c r="I576"/>
      <c r="J576"/>
      <c r="K576"/>
      <c r="L576"/>
      <c r="M576"/>
      <c r="N576"/>
      <c r="O576" s="366"/>
      <c r="P576" s="366">
        <v>2017</v>
      </c>
      <c r="Q576" s="367">
        <f>LARGE($CB$455:$CB$604,122)</f>
        <v>9.7000000000000011</v>
      </c>
      <c r="R576" s="357">
        <f t="shared" si="145"/>
        <v>-162.3666666666667</v>
      </c>
      <c r="S576" s="356">
        <f t="shared" si="149"/>
        <v>26362.934444444458</v>
      </c>
      <c r="U576" s="356">
        <f t="shared" si="146"/>
        <v>-10.147916666666669</v>
      </c>
      <c r="V576" s="238">
        <f t="shared" si="143"/>
        <v>8</v>
      </c>
      <c r="W576" s="354"/>
      <c r="X576" s="366"/>
      <c r="Y576" s="366"/>
      <c r="Z576" s="238">
        <v>2017</v>
      </c>
      <c r="AA576" s="367">
        <f>LARGE($CU$455:$CU$604,122)</f>
        <v>39.700000000000003</v>
      </c>
      <c r="AB576" s="357">
        <f t="shared" si="147"/>
        <v>-152.83333333333331</v>
      </c>
      <c r="AC576" s="356">
        <f t="shared" si="142"/>
        <v>23358.027777777774</v>
      </c>
      <c r="AE576" s="356">
        <f t="shared" si="148"/>
        <v>-9.5520833333333321</v>
      </c>
      <c r="AF576" s="238">
        <f t="shared" si="144"/>
        <v>8</v>
      </c>
      <c r="AG576" s="354"/>
      <c r="AK576"/>
      <c r="AL576"/>
      <c r="AM576"/>
      <c r="AN576"/>
      <c r="AO576"/>
      <c r="AP576"/>
      <c r="BI576" s="360"/>
      <c r="BJ576" s="354"/>
      <c r="BK576" s="366">
        <v>2017</v>
      </c>
      <c r="BL576" s="365" t="s">
        <v>1609</v>
      </c>
      <c r="BM576" s="366" t="s">
        <v>140</v>
      </c>
      <c r="BN576" s="366" t="s">
        <v>3</v>
      </c>
      <c r="BO576" s="366">
        <v>0</v>
      </c>
      <c r="BP576" s="366">
        <v>0</v>
      </c>
      <c r="BQ576" s="366">
        <v>0</v>
      </c>
      <c r="BR576" s="366">
        <v>0</v>
      </c>
      <c r="BS576" s="366">
        <v>0</v>
      </c>
      <c r="BT576" s="366">
        <v>2</v>
      </c>
      <c r="BU576" s="366">
        <v>65</v>
      </c>
      <c r="BV576" s="366">
        <v>0</v>
      </c>
      <c r="BW576" s="366">
        <v>0</v>
      </c>
      <c r="BX576" s="366">
        <v>0</v>
      </c>
      <c r="BY576" s="366">
        <v>0</v>
      </c>
      <c r="BZ576" s="366">
        <v>0</v>
      </c>
      <c r="CA576" s="366">
        <v>0</v>
      </c>
      <c r="CB576" s="367">
        <f>IFERROR(BO576/Instructions!$J$25,0)+BP576*Instructions!$J$27+BQ576*Instructions!$J$29+IFERROR(BR576/Instructions!$E$34,0)+BS576*Instructions!$E$36+Tier!BT577*Instructions!$E$25+IFERROR(BU576/Instructions!$E$27,0)+BV576*Instructions!$E$29+IFERROR((BW576+BY576)/Instructions!$J$32,0)+(BX576+BZ576)*Instructions!$J$34+Tier!CA576*-2</f>
        <v>6.5</v>
      </c>
      <c r="CC576" s="354"/>
      <c r="CD576" s="238">
        <v>2017</v>
      </c>
      <c r="CE576" s="365" t="s">
        <v>1266</v>
      </c>
      <c r="CF576" s="366" t="s">
        <v>136</v>
      </c>
      <c r="CG576" s="366" t="s">
        <v>6</v>
      </c>
      <c r="CH576" s="366">
        <v>0</v>
      </c>
      <c r="CI576" s="366">
        <v>0</v>
      </c>
      <c r="CJ576" s="366">
        <v>0</v>
      </c>
      <c r="CK576" s="366">
        <v>0</v>
      </c>
      <c r="CL576" s="366">
        <v>0</v>
      </c>
      <c r="CM576" s="366">
        <v>21</v>
      </c>
      <c r="CN576" s="366">
        <v>212</v>
      </c>
      <c r="CO576" s="366">
        <v>0</v>
      </c>
      <c r="CP576" s="366">
        <v>-4</v>
      </c>
      <c r="CQ576" s="366">
        <v>0</v>
      </c>
      <c r="CR576" s="366">
        <v>0</v>
      </c>
      <c r="CS576" s="366">
        <v>0</v>
      </c>
      <c r="CT576" s="366">
        <v>0</v>
      </c>
      <c r="CU576" s="367">
        <f>IFERROR(CH576/Instructions!$J$25,0)+CI576*Instructions!$J$27+CJ576*Instructions!$J$29+IFERROR(CK576/Instructions!$E$34,0)+CL576*Instructions!$E$36+Tier!CM576*Instructions!$E$25+IFERROR(CN576/Instructions!$E$27,0)+CO576*Instructions!$E$29+IFERROR((CP576+CR576)/Instructions!$J$32,0)+(CQ576+CS576)*Instructions!$J$34+Tier!CT576*-2</f>
        <v>42.2</v>
      </c>
      <c r="CV576" s="354"/>
      <c r="CW576"/>
      <c r="CX576"/>
      <c r="CY576"/>
      <c r="CZ576"/>
      <c r="DA576"/>
      <c r="DB576"/>
      <c r="DC576"/>
      <c r="DD576"/>
      <c r="DE576"/>
      <c r="DF576"/>
      <c r="DG576"/>
      <c r="DH576"/>
      <c r="DI576"/>
      <c r="DJ576"/>
      <c r="DK576"/>
      <c r="DL576"/>
      <c r="DM576"/>
      <c r="DN576"/>
    </row>
    <row r="577" spans="3:118" s="238" customFormat="1" ht="15.75" customHeight="1" x14ac:dyDescent="0.25">
      <c r="C577"/>
      <c r="D577"/>
      <c r="E577"/>
      <c r="F577"/>
      <c r="G577"/>
      <c r="H577"/>
      <c r="I577"/>
      <c r="J577"/>
      <c r="K577"/>
      <c r="L577"/>
      <c r="M577"/>
      <c r="N577"/>
      <c r="O577" s="366"/>
      <c r="P577" s="366">
        <v>2017</v>
      </c>
      <c r="Q577" s="367">
        <f>LARGE($CB$455:$CB$604,123)</f>
        <v>9.6999999999999993</v>
      </c>
      <c r="R577" s="357">
        <f t="shared" si="145"/>
        <v>-162.3666666666667</v>
      </c>
      <c r="S577" s="356">
        <f t="shared" si="149"/>
        <v>26362.934444444458</v>
      </c>
      <c r="U577" s="356">
        <f t="shared" si="146"/>
        <v>-10.147916666666669</v>
      </c>
      <c r="V577" s="238">
        <f t="shared" si="143"/>
        <v>8</v>
      </c>
      <c r="W577" s="354"/>
      <c r="X577" s="366"/>
      <c r="Y577" s="366"/>
      <c r="Z577" s="238">
        <v>2017</v>
      </c>
      <c r="AA577" s="367">
        <f>LARGE($CU$455:$CU$604,123)</f>
        <v>38.9</v>
      </c>
      <c r="AB577" s="357">
        <f t="shared" si="147"/>
        <v>-153.63333333333333</v>
      </c>
      <c r="AC577" s="356">
        <f t="shared" si="142"/>
        <v>23603.20111111111</v>
      </c>
      <c r="AE577" s="356">
        <f t="shared" si="148"/>
        <v>-9.6020833333333329</v>
      </c>
      <c r="AF577" s="238">
        <f t="shared" si="144"/>
        <v>8</v>
      </c>
      <c r="AG577" s="354"/>
      <c r="AK577"/>
      <c r="AL577"/>
      <c r="AM577"/>
      <c r="AN577"/>
      <c r="AO577"/>
      <c r="AP577"/>
      <c r="BI577" s="360"/>
      <c r="BJ577" s="354"/>
      <c r="BK577" s="366">
        <v>2017</v>
      </c>
      <c r="BL577" s="365" t="s">
        <v>1285</v>
      </c>
      <c r="BM577" s="366" t="s">
        <v>163</v>
      </c>
      <c r="BN577" s="366" t="s">
        <v>3</v>
      </c>
      <c r="BO577" s="366">
        <v>0</v>
      </c>
      <c r="BP577" s="366">
        <v>0</v>
      </c>
      <c r="BQ577" s="366">
        <v>0</v>
      </c>
      <c r="BR577" s="366">
        <v>4</v>
      </c>
      <c r="BS577" s="366">
        <v>1</v>
      </c>
      <c r="BT577" s="366">
        <v>0</v>
      </c>
      <c r="BU577" s="366">
        <v>0</v>
      </c>
      <c r="BV577" s="366">
        <v>0</v>
      </c>
      <c r="BW577" s="366">
        <v>0</v>
      </c>
      <c r="BX577" s="366">
        <v>0</v>
      </c>
      <c r="BY577" s="366">
        <v>0</v>
      </c>
      <c r="BZ577" s="366">
        <v>0</v>
      </c>
      <c r="CA577" s="366">
        <v>0</v>
      </c>
      <c r="CB577" s="367">
        <f>IFERROR(BO577/Instructions!$J$25,0)+BP577*Instructions!$J$27+BQ577*Instructions!$J$29+IFERROR(BR577/Instructions!$E$34,0)+BS577*Instructions!$E$36+Tier!BT578*Instructions!$E$25+IFERROR(BU577/Instructions!$E$27,0)+BV577*Instructions!$E$29+IFERROR((BW577+BY577)/Instructions!$J$32,0)+(BX577+BZ577)*Instructions!$J$34+Tier!CA577*-2</f>
        <v>8.4</v>
      </c>
      <c r="CC577" s="354"/>
      <c r="CD577" s="238">
        <v>2017</v>
      </c>
      <c r="CE577" s="365" t="s">
        <v>1339</v>
      </c>
      <c r="CF577" s="366" t="s">
        <v>147</v>
      </c>
      <c r="CG577" s="366" t="s">
        <v>6</v>
      </c>
      <c r="CH577" s="366">
        <v>0</v>
      </c>
      <c r="CI577" s="366">
        <v>0</v>
      </c>
      <c r="CJ577" s="366">
        <v>0</v>
      </c>
      <c r="CK577" s="366">
        <v>0</v>
      </c>
      <c r="CL577" s="366">
        <v>0</v>
      </c>
      <c r="CM577" s="366">
        <v>18</v>
      </c>
      <c r="CN577" s="366">
        <v>149</v>
      </c>
      <c r="CO577" s="366">
        <v>1</v>
      </c>
      <c r="CP577" s="366">
        <v>146</v>
      </c>
      <c r="CQ577" s="366">
        <v>0</v>
      </c>
      <c r="CR577" s="366">
        <v>0</v>
      </c>
      <c r="CS577" s="366">
        <v>0</v>
      </c>
      <c r="CT577" s="366">
        <v>0</v>
      </c>
      <c r="CU577" s="367">
        <f>IFERROR(CH577/Instructions!$J$25,0)+CI577*Instructions!$J$27+CJ577*Instructions!$J$29+IFERROR(CK577/Instructions!$E$34,0)+CL577*Instructions!$E$36+Tier!CM577*Instructions!$E$25+IFERROR(CN577/Instructions!$E$27,0)+CO577*Instructions!$E$29+IFERROR((CP577+CR577)/Instructions!$J$32,0)+(CQ577+CS577)*Instructions!$J$34+Tier!CT577*-2</f>
        <v>38.9</v>
      </c>
      <c r="CV577" s="354"/>
      <c r="CW577"/>
      <c r="CX577"/>
      <c r="CY577"/>
      <c r="CZ577"/>
      <c r="DA577"/>
      <c r="DB577"/>
      <c r="DC577"/>
      <c r="DD577"/>
      <c r="DE577"/>
      <c r="DF577"/>
      <c r="DG577"/>
      <c r="DH577"/>
      <c r="DI577"/>
      <c r="DJ577"/>
      <c r="DK577"/>
      <c r="DL577"/>
      <c r="DM577"/>
      <c r="DN577"/>
    </row>
    <row r="578" spans="3:118" s="238" customFormat="1" ht="15.75" customHeight="1" x14ac:dyDescent="0.25">
      <c r="C578"/>
      <c r="D578"/>
      <c r="E578"/>
      <c r="F578"/>
      <c r="G578"/>
      <c r="H578"/>
      <c r="I578"/>
      <c r="J578"/>
      <c r="K578"/>
      <c r="L578"/>
      <c r="M578"/>
      <c r="N578"/>
      <c r="O578" s="366"/>
      <c r="P578" s="366">
        <v>2017</v>
      </c>
      <c r="Q578" s="367">
        <f>LARGE($CB$455:$CB$604,124)</f>
        <v>9.6</v>
      </c>
      <c r="R578" s="357">
        <f t="shared" si="145"/>
        <v>-162.4666666666667</v>
      </c>
      <c r="S578" s="356">
        <f t="shared" si="149"/>
        <v>26395.417777777788</v>
      </c>
      <c r="U578" s="356">
        <f t="shared" si="146"/>
        <v>-10.154166666666669</v>
      </c>
      <c r="V578" s="238">
        <f t="shared" si="143"/>
        <v>8</v>
      </c>
      <c r="W578" s="354"/>
      <c r="X578" s="366"/>
      <c r="Y578" s="366"/>
      <c r="Z578" s="238">
        <v>2017</v>
      </c>
      <c r="AA578" s="367">
        <f>LARGE($CU$455:$CU$604,124)</f>
        <v>37.6</v>
      </c>
      <c r="AB578" s="357">
        <f t="shared" si="147"/>
        <v>-154.93333333333334</v>
      </c>
      <c r="AC578" s="356">
        <f t="shared" ref="AC578:AC641" si="150">AB578^2</f>
        <v>24004.337777777779</v>
      </c>
      <c r="AE578" s="356">
        <f t="shared" si="148"/>
        <v>-9.6833333333333336</v>
      </c>
      <c r="AF578" s="238">
        <f t="shared" si="144"/>
        <v>8</v>
      </c>
      <c r="AG578" s="354"/>
      <c r="AK578"/>
      <c r="AL578"/>
      <c r="AM578"/>
      <c r="AN578"/>
      <c r="AO578"/>
      <c r="AP578"/>
      <c r="BI578" s="360"/>
      <c r="BJ578" s="354"/>
      <c r="BK578" s="366">
        <v>2017</v>
      </c>
      <c r="BL578" s="365" t="s">
        <v>1393</v>
      </c>
      <c r="BM578" s="366" t="s">
        <v>1388</v>
      </c>
      <c r="BN578" s="366" t="s">
        <v>3</v>
      </c>
      <c r="BO578" s="366">
        <v>0</v>
      </c>
      <c r="BP578" s="366">
        <v>0</v>
      </c>
      <c r="BQ578" s="366">
        <v>0</v>
      </c>
      <c r="BR578" s="366">
        <v>24</v>
      </c>
      <c r="BS578" s="366">
        <v>0</v>
      </c>
      <c r="BT578" s="366">
        <v>2</v>
      </c>
      <c r="BU578" s="366">
        <v>35</v>
      </c>
      <c r="BV578" s="366">
        <v>0</v>
      </c>
      <c r="BW578" s="366">
        <v>0</v>
      </c>
      <c r="BX578" s="366">
        <v>0</v>
      </c>
      <c r="BY578" s="366">
        <v>0</v>
      </c>
      <c r="BZ578" s="366">
        <v>0</v>
      </c>
      <c r="CA578" s="366">
        <v>0</v>
      </c>
      <c r="CB578" s="367">
        <f>IFERROR(BO578/Instructions!$J$25,0)+BP578*Instructions!$J$27+BQ578*Instructions!$J$29+IFERROR(BR578/Instructions!$E$34,0)+BS578*Instructions!$E$36+Tier!BT579*Instructions!$E$25+IFERROR(BU578/Instructions!$E$27,0)+BV578*Instructions!$E$29+IFERROR((BW578+BY578)/Instructions!$J$32,0)+(BX578+BZ578)*Instructions!$J$34+Tier!CA578*-2</f>
        <v>7.9</v>
      </c>
      <c r="CC578" s="354"/>
      <c r="CD578" s="238">
        <v>2017</v>
      </c>
      <c r="CE578" s="365" t="s">
        <v>1108</v>
      </c>
      <c r="CF578" s="366" t="s">
        <v>157</v>
      </c>
      <c r="CG578" s="366" t="s">
        <v>6</v>
      </c>
      <c r="CH578" s="366">
        <v>0</v>
      </c>
      <c r="CI578" s="366">
        <v>0</v>
      </c>
      <c r="CJ578" s="366">
        <v>0</v>
      </c>
      <c r="CK578" s="366">
        <v>7</v>
      </c>
      <c r="CL578" s="366">
        <v>0</v>
      </c>
      <c r="CM578" s="366">
        <v>12</v>
      </c>
      <c r="CN578" s="366">
        <v>194</v>
      </c>
      <c r="CO578" s="366">
        <v>0</v>
      </c>
      <c r="CP578" s="366">
        <v>0</v>
      </c>
      <c r="CQ578" s="366">
        <v>0</v>
      </c>
      <c r="CR578" s="366">
        <v>0</v>
      </c>
      <c r="CS578" s="366">
        <v>0</v>
      </c>
      <c r="CT578" s="366">
        <v>0</v>
      </c>
      <c r="CU578" s="367">
        <f>IFERROR(CH578/Instructions!$J$25,0)+CI578*Instructions!$J$27+CJ578*Instructions!$J$29+IFERROR(CK578/Instructions!$E$34,0)+CL578*Instructions!$E$36+Tier!CM578*Instructions!$E$25+IFERROR(CN578/Instructions!$E$27,0)+CO578*Instructions!$E$29+IFERROR((CP578+CR578)/Instructions!$J$32,0)+(CQ578+CS578)*Instructions!$J$34+Tier!CT578*-2</f>
        <v>32.099999999999994</v>
      </c>
      <c r="CV578" s="354"/>
      <c r="CW578"/>
      <c r="CX578"/>
      <c r="CY578"/>
      <c r="CZ578"/>
      <c r="DA578"/>
      <c r="DB578"/>
      <c r="DC578"/>
      <c r="DD578"/>
      <c r="DE578"/>
      <c r="DF578"/>
      <c r="DG578"/>
      <c r="DH578"/>
      <c r="DI578"/>
      <c r="DJ578"/>
      <c r="DK578"/>
      <c r="DL578"/>
      <c r="DM578"/>
      <c r="DN578"/>
    </row>
    <row r="579" spans="3:118" s="238" customFormat="1" ht="15.75" customHeight="1" x14ac:dyDescent="0.25">
      <c r="C579"/>
      <c r="D579"/>
      <c r="E579"/>
      <c r="F579"/>
      <c r="G579"/>
      <c r="H579"/>
      <c r="I579"/>
      <c r="J579"/>
      <c r="K579"/>
      <c r="L579"/>
      <c r="M579"/>
      <c r="N579"/>
      <c r="O579" s="366"/>
      <c r="P579" s="366">
        <v>2017</v>
      </c>
      <c r="Q579" s="367">
        <f>LARGE($CB$455:$CB$604,125)</f>
        <v>9.3999999999999986</v>
      </c>
      <c r="R579" s="357">
        <f t="shared" si="145"/>
        <v>-162.66666666666669</v>
      </c>
      <c r="S579" s="356">
        <f t="shared" si="149"/>
        <v>26460.444444444449</v>
      </c>
      <c r="U579" s="356">
        <f t="shared" si="146"/>
        <v>-10.166666666666668</v>
      </c>
      <c r="V579" s="238">
        <f t="shared" ref="V579:V642" si="151">IF(U579&gt;6,0,
IF(AND(U579&lt;=6,U579&gt;5),1,
IF(AND(U579&lt;=5,U579&gt;4),2,
IF(AND(U579&lt;=4,U579&gt;3),3,
IF(AND(U579&lt;=3,U579&gt;2),4,
IF(AND(U579&lt;=2,U579&gt;1),5,
IF(AND(U579&lt;=1,U579&gt;0),6,
IF(AND(U579&lt;=0,U579&gt;-1),7,
8))))))))</f>
        <v>8</v>
      </c>
      <c r="W579" s="354"/>
      <c r="X579" s="366"/>
      <c r="Y579" s="366"/>
      <c r="Z579" s="238">
        <v>2017</v>
      </c>
      <c r="AA579" s="367">
        <f>LARGE($CU$455:$CU$604,125)</f>
        <v>33.4</v>
      </c>
      <c r="AB579" s="357">
        <f t="shared" si="147"/>
        <v>-159.13333333333333</v>
      </c>
      <c r="AC579" s="356">
        <f t="shared" si="150"/>
        <v>25323.417777777777</v>
      </c>
      <c r="AE579" s="356">
        <f t="shared" si="148"/>
        <v>-9.9458333333333329</v>
      </c>
      <c r="AF579" s="238">
        <f t="shared" ref="AF579:AF642" si="152">IF(AE579&gt;6,0,
IF(AND(AE579&lt;=6,AE579&gt;5),1,
IF(AND(AE579&lt;=5,AE579&gt;4),2,
IF(AND(AE579&lt;=4,AE579&gt;3),3,
IF(AND(AE579&lt;=3,AE579&gt;2),4,
IF(AND(AE579&lt;=2,AE579&gt;1),5,
IF(AND(AE579&lt;=1,AE579&gt;0),6,
IF(AND(AE579&lt;=0,AE579&gt;-1),7,
8))))))))</f>
        <v>8</v>
      </c>
      <c r="AG579" s="354"/>
      <c r="AK579"/>
      <c r="AL579"/>
      <c r="AM579"/>
      <c r="AN579"/>
      <c r="AO579"/>
      <c r="AP579"/>
      <c r="BI579" s="360"/>
      <c r="BJ579" s="354"/>
      <c r="BK579" s="366">
        <v>2017</v>
      </c>
      <c r="BL579" s="365" t="s">
        <v>1345</v>
      </c>
      <c r="BM579" s="366" t="s">
        <v>142</v>
      </c>
      <c r="BN579" s="366" t="s">
        <v>3</v>
      </c>
      <c r="BO579" s="366">
        <v>0</v>
      </c>
      <c r="BP579" s="366">
        <v>0</v>
      </c>
      <c r="BQ579" s="366">
        <v>0</v>
      </c>
      <c r="BR579" s="366">
        <v>44</v>
      </c>
      <c r="BS579" s="366">
        <v>0</v>
      </c>
      <c r="BT579" s="366">
        <v>2</v>
      </c>
      <c r="BU579" s="366">
        <v>14</v>
      </c>
      <c r="BV579" s="366">
        <v>0</v>
      </c>
      <c r="BW579" s="366">
        <v>0</v>
      </c>
      <c r="BX579" s="366">
        <v>0</v>
      </c>
      <c r="BY579" s="366">
        <v>31</v>
      </c>
      <c r="BZ579" s="366">
        <v>0</v>
      </c>
      <c r="CA579" s="366">
        <v>0</v>
      </c>
      <c r="CB579" s="367">
        <f>IFERROR(BO579/Instructions!$J$25,0)+BP579*Instructions!$J$27+BQ579*Instructions!$J$29+IFERROR(BR579/Instructions!$E$34,0)+BS579*Instructions!$E$36+Tier!BT580*Instructions!$E$25+IFERROR(BU579/Instructions!$E$27,0)+BV579*Instructions!$E$29+IFERROR((BW579+BY579)/Instructions!$J$32,0)+(BX579+BZ579)*Instructions!$J$34+Tier!CA579*-2</f>
        <v>9.8000000000000007</v>
      </c>
      <c r="CC579" s="354"/>
      <c r="CD579" s="238">
        <v>2017</v>
      </c>
      <c r="CE579" s="365" t="s">
        <v>1181</v>
      </c>
      <c r="CF579" s="366" t="s">
        <v>138</v>
      </c>
      <c r="CG579" s="366" t="s">
        <v>6</v>
      </c>
      <c r="CH579" s="366">
        <v>0</v>
      </c>
      <c r="CI579" s="366">
        <v>0</v>
      </c>
      <c r="CJ579" s="366">
        <v>0</v>
      </c>
      <c r="CK579" s="366">
        <v>0</v>
      </c>
      <c r="CL579" s="366">
        <v>0</v>
      </c>
      <c r="CM579" s="366">
        <v>20</v>
      </c>
      <c r="CN579" s="366">
        <v>200</v>
      </c>
      <c r="CO579" s="366">
        <v>0</v>
      </c>
      <c r="CP579" s="366">
        <v>0</v>
      </c>
      <c r="CQ579" s="366">
        <v>0</v>
      </c>
      <c r="CR579" s="366">
        <v>0</v>
      </c>
      <c r="CS579" s="366">
        <v>0</v>
      </c>
      <c r="CT579" s="366">
        <v>0</v>
      </c>
      <c r="CU579" s="367">
        <f>IFERROR(CH579/Instructions!$J$25,0)+CI579*Instructions!$J$27+CJ579*Instructions!$J$29+IFERROR(CK579/Instructions!$E$34,0)+CL579*Instructions!$E$36+Tier!CM579*Instructions!$E$25+IFERROR(CN579/Instructions!$E$27,0)+CO579*Instructions!$E$29+IFERROR((CP579+CR579)/Instructions!$J$32,0)+(CQ579+CS579)*Instructions!$J$34+Tier!CT579*-2</f>
        <v>40</v>
      </c>
      <c r="CV579" s="354"/>
      <c r="CW579"/>
      <c r="CX579"/>
      <c r="CY579"/>
      <c r="CZ579"/>
      <c r="DA579"/>
      <c r="DB579"/>
      <c r="DC579"/>
      <c r="DD579"/>
      <c r="DE579"/>
      <c r="DF579"/>
      <c r="DG579"/>
      <c r="DH579"/>
      <c r="DI579"/>
      <c r="DJ579"/>
      <c r="DK579"/>
      <c r="DL579"/>
      <c r="DM579"/>
      <c r="DN579"/>
    </row>
    <row r="580" spans="3:118" s="238" customFormat="1" ht="15.75" customHeight="1" x14ac:dyDescent="0.25">
      <c r="C580"/>
      <c r="D580"/>
      <c r="E580"/>
      <c r="F580"/>
      <c r="G580"/>
      <c r="H580"/>
      <c r="I580"/>
      <c r="J580"/>
      <c r="K580"/>
      <c r="L580"/>
      <c r="M580"/>
      <c r="N580"/>
      <c r="O580" s="366"/>
      <c r="P580" s="366">
        <v>2017</v>
      </c>
      <c r="Q580" s="367">
        <f>LARGE($CB$455:$CB$604,126)</f>
        <v>9.1</v>
      </c>
      <c r="R580" s="357">
        <f t="shared" si="145"/>
        <v>-162.9666666666667</v>
      </c>
      <c r="S580" s="356">
        <f t="shared" si="149"/>
        <v>26558.134444444455</v>
      </c>
      <c r="U580" s="356">
        <f t="shared" si="146"/>
        <v>-10.185416666666669</v>
      </c>
      <c r="V580" s="238">
        <f t="shared" si="151"/>
        <v>8</v>
      </c>
      <c r="W580" s="354"/>
      <c r="X580" s="366"/>
      <c r="Y580" s="366"/>
      <c r="Z580" s="238">
        <v>2017</v>
      </c>
      <c r="AA580" s="367">
        <f>LARGE($CU$455:$CU$604,126)</f>
        <v>32.9</v>
      </c>
      <c r="AB580" s="357">
        <f t="shared" si="147"/>
        <v>-159.63333333333333</v>
      </c>
      <c r="AC580" s="356">
        <f t="shared" si="150"/>
        <v>25482.801111111108</v>
      </c>
      <c r="AE580" s="356">
        <f t="shared" si="148"/>
        <v>-9.9770833333333329</v>
      </c>
      <c r="AF580" s="238">
        <f t="shared" si="152"/>
        <v>8</v>
      </c>
      <c r="AG580" s="354"/>
      <c r="AK580"/>
      <c r="AL580"/>
      <c r="AM580"/>
      <c r="AN580"/>
      <c r="AO580"/>
      <c r="AP580"/>
      <c r="BI580" s="360"/>
      <c r="BJ580" s="354"/>
      <c r="BK580" s="366">
        <v>2017</v>
      </c>
      <c r="BL580" s="365" t="s">
        <v>1291</v>
      </c>
      <c r="BM580" s="366" t="s">
        <v>136</v>
      </c>
      <c r="BN580" s="366" t="s">
        <v>3</v>
      </c>
      <c r="BO580" s="366">
        <v>0</v>
      </c>
      <c r="BP580" s="366">
        <v>0</v>
      </c>
      <c r="BQ580" s="366">
        <v>0</v>
      </c>
      <c r="BR580" s="366">
        <v>23</v>
      </c>
      <c r="BS580" s="366">
        <v>0</v>
      </c>
      <c r="BT580" s="366">
        <v>4</v>
      </c>
      <c r="BU580" s="366">
        <v>31</v>
      </c>
      <c r="BV580" s="366">
        <v>0</v>
      </c>
      <c r="BW580" s="366">
        <v>0</v>
      </c>
      <c r="BX580" s="366">
        <v>0</v>
      </c>
      <c r="BY580" s="366">
        <v>611</v>
      </c>
      <c r="BZ580" s="366">
        <v>0</v>
      </c>
      <c r="CA580" s="366">
        <v>0</v>
      </c>
      <c r="CB580" s="367">
        <f>IFERROR(BO580/Instructions!$J$25,0)+BP580*Instructions!$J$27+BQ580*Instructions!$J$29+IFERROR(BR580/Instructions!$E$34,0)+BS580*Instructions!$E$36+Tier!BT581*Instructions!$E$25+IFERROR(BU580/Instructions!$E$27,0)+BV580*Instructions!$E$29+IFERROR((BW580+BY580)/Instructions!$J$32,0)+(BX580+BZ580)*Instructions!$J$34+Tier!CA580*-2</f>
        <v>12.4</v>
      </c>
      <c r="CC580" s="354"/>
      <c r="CD580" s="238">
        <v>2017</v>
      </c>
      <c r="CE580" s="365" t="s">
        <v>1802</v>
      </c>
      <c r="CF580" s="366" t="s">
        <v>165</v>
      </c>
      <c r="CG580" s="366" t="s">
        <v>6</v>
      </c>
      <c r="CH580" s="366">
        <v>0</v>
      </c>
      <c r="CI580" s="366">
        <v>0</v>
      </c>
      <c r="CJ580" s="366">
        <v>0</v>
      </c>
      <c r="CK580" s="366">
        <v>0</v>
      </c>
      <c r="CL580" s="366">
        <v>0</v>
      </c>
      <c r="CM580" s="366">
        <v>6</v>
      </c>
      <c r="CN580" s="366">
        <v>77</v>
      </c>
      <c r="CO580" s="366">
        <v>2</v>
      </c>
      <c r="CP580" s="366">
        <v>287</v>
      </c>
      <c r="CQ580" s="366">
        <v>1</v>
      </c>
      <c r="CR580" s="366">
        <v>20</v>
      </c>
      <c r="CS580" s="366">
        <v>0</v>
      </c>
      <c r="CT580" s="366">
        <v>0</v>
      </c>
      <c r="CU580" s="367">
        <f>IFERROR(CH580/Instructions!$J$25,0)+CI580*Instructions!$J$27+CJ580*Instructions!$J$29+IFERROR(CK580/Instructions!$E$34,0)+CL580*Instructions!$E$36+Tier!CM580*Instructions!$E$25+IFERROR(CN580/Instructions!$E$27,0)+CO580*Instructions!$E$29+IFERROR((CP580+CR580)/Instructions!$J$32,0)+(CQ580+CS580)*Instructions!$J$34+Tier!CT580*-2</f>
        <v>31.7</v>
      </c>
      <c r="CV580" s="354"/>
      <c r="CW580"/>
      <c r="CX580"/>
      <c r="CY580"/>
      <c r="CZ580"/>
      <c r="DA580"/>
      <c r="DB580"/>
      <c r="DC580"/>
      <c r="DD580"/>
      <c r="DE580"/>
      <c r="DF580"/>
      <c r="DG580"/>
      <c r="DH580"/>
      <c r="DI580"/>
      <c r="DJ580"/>
      <c r="DK580"/>
      <c r="DL580"/>
      <c r="DM580"/>
      <c r="DN580"/>
    </row>
    <row r="581" spans="3:118" s="238" customFormat="1" ht="15.75" customHeight="1" x14ac:dyDescent="0.25">
      <c r="C581"/>
      <c r="D581"/>
      <c r="E581"/>
      <c r="F581"/>
      <c r="G581"/>
      <c r="H581"/>
      <c r="I581"/>
      <c r="J581"/>
      <c r="K581"/>
      <c r="L581"/>
      <c r="M581"/>
      <c r="N581"/>
      <c r="O581" s="366"/>
      <c r="P581" s="366">
        <v>2017</v>
      </c>
      <c r="Q581" s="367">
        <f>LARGE($CB$455:$CB$604,127)</f>
        <v>8.8000000000000007</v>
      </c>
      <c r="R581" s="357">
        <f t="shared" si="145"/>
        <v>-163.26666666666668</v>
      </c>
      <c r="S581" s="356">
        <f t="shared" si="149"/>
        <v>26656.00444444445</v>
      </c>
      <c r="U581" s="356">
        <f t="shared" si="146"/>
        <v>-10.204166666666667</v>
      </c>
      <c r="V581" s="238">
        <f t="shared" si="151"/>
        <v>8</v>
      </c>
      <c r="W581" s="354"/>
      <c r="X581" s="366"/>
      <c r="Y581" s="366"/>
      <c r="Z581" s="238">
        <v>2017</v>
      </c>
      <c r="AA581" s="367">
        <f>LARGE($CU$455:$CU$604,127)</f>
        <v>32.099999999999994</v>
      </c>
      <c r="AB581" s="357">
        <f t="shared" si="147"/>
        <v>-160.43333333333334</v>
      </c>
      <c r="AC581" s="356">
        <f t="shared" si="150"/>
        <v>25738.854444444445</v>
      </c>
      <c r="AE581" s="356">
        <f t="shared" si="148"/>
        <v>-10.027083333333334</v>
      </c>
      <c r="AF581" s="238">
        <f t="shared" si="152"/>
        <v>8</v>
      </c>
      <c r="AG581" s="354"/>
      <c r="AK581"/>
      <c r="AL581"/>
      <c r="AM581"/>
      <c r="AN581"/>
      <c r="AO581"/>
      <c r="AP581"/>
      <c r="BI581" s="360"/>
      <c r="BJ581" s="354"/>
      <c r="BK581" s="366">
        <v>2017</v>
      </c>
      <c r="BL581" s="365" t="s">
        <v>1289</v>
      </c>
      <c r="BM581" s="366" t="s">
        <v>139</v>
      </c>
      <c r="BN581" s="366" t="s">
        <v>3</v>
      </c>
      <c r="BO581" s="366">
        <v>0</v>
      </c>
      <c r="BP581" s="366">
        <v>0</v>
      </c>
      <c r="BQ581" s="366">
        <v>0</v>
      </c>
      <c r="BR581" s="366">
        <v>13</v>
      </c>
      <c r="BS581" s="366">
        <v>0</v>
      </c>
      <c r="BT581" s="366">
        <v>7</v>
      </c>
      <c r="BU581" s="366">
        <v>39</v>
      </c>
      <c r="BV581" s="366">
        <v>0</v>
      </c>
      <c r="BW581" s="366">
        <v>0</v>
      </c>
      <c r="BX581" s="366">
        <v>0</v>
      </c>
      <c r="BY581" s="366">
        <v>0</v>
      </c>
      <c r="BZ581" s="366">
        <v>0</v>
      </c>
      <c r="CA581" s="366">
        <v>0</v>
      </c>
      <c r="CB581" s="367">
        <f>IFERROR(BO581/Instructions!$J$25,0)+BP581*Instructions!$J$27+BQ581*Instructions!$J$29+IFERROR(BR581/Instructions!$E$34,0)+BS581*Instructions!$E$36+Tier!BT582*Instructions!$E$25+IFERROR(BU581/Instructions!$E$27,0)+BV581*Instructions!$E$29+IFERROR((BW581+BY581)/Instructions!$J$32,0)+(BX581+BZ581)*Instructions!$J$34+Tier!CA581*-2</f>
        <v>13.200000000000001</v>
      </c>
      <c r="CC581" s="354"/>
      <c r="CD581" s="238">
        <v>2017</v>
      </c>
      <c r="CE581" s="365" t="s">
        <v>1405</v>
      </c>
      <c r="CF581" s="366" t="s">
        <v>143</v>
      </c>
      <c r="CG581" s="366" t="s">
        <v>6</v>
      </c>
      <c r="CH581" s="366">
        <v>0</v>
      </c>
      <c r="CI581" s="366">
        <v>0</v>
      </c>
      <c r="CJ581" s="366">
        <v>0</v>
      </c>
      <c r="CK581" s="366">
        <v>14</v>
      </c>
      <c r="CL581" s="366">
        <v>0</v>
      </c>
      <c r="CM581" s="366">
        <v>10</v>
      </c>
      <c r="CN581" s="366">
        <v>116</v>
      </c>
      <c r="CO581" s="366">
        <v>1</v>
      </c>
      <c r="CP581" s="366">
        <v>115</v>
      </c>
      <c r="CQ581" s="366">
        <v>0</v>
      </c>
      <c r="CR581" s="366">
        <v>307</v>
      </c>
      <c r="CS581" s="366">
        <v>0</v>
      </c>
      <c r="CT581" s="366">
        <v>0</v>
      </c>
      <c r="CU581" s="367">
        <f>IFERROR(CH581/Instructions!$J$25,0)+CI581*Instructions!$J$27+CJ581*Instructions!$J$29+IFERROR(CK581/Instructions!$E$34,0)+CL581*Instructions!$E$36+Tier!CM581*Instructions!$E$25+IFERROR(CN581/Instructions!$E$27,0)+CO581*Instructions!$E$29+IFERROR((CP581+CR581)/Instructions!$J$32,0)+(CQ581+CS581)*Instructions!$J$34+Tier!CT581*-2</f>
        <v>29</v>
      </c>
      <c r="CV581" s="354"/>
      <c r="CW581"/>
      <c r="CX581"/>
      <c r="CY581"/>
      <c r="CZ581"/>
      <c r="DA581"/>
      <c r="DB581"/>
      <c r="DC581"/>
      <c r="DD581"/>
      <c r="DE581"/>
      <c r="DF581"/>
      <c r="DG581"/>
      <c r="DH581"/>
      <c r="DI581"/>
      <c r="DJ581"/>
      <c r="DK581"/>
      <c r="DL581"/>
      <c r="DM581"/>
      <c r="DN581"/>
    </row>
    <row r="582" spans="3:118" s="238" customFormat="1" ht="15.75" customHeight="1" x14ac:dyDescent="0.25">
      <c r="C582"/>
      <c r="D582"/>
      <c r="E582"/>
      <c r="F582"/>
      <c r="G582"/>
      <c r="H582"/>
      <c r="I582"/>
      <c r="J582"/>
      <c r="K582"/>
      <c r="L582"/>
      <c r="M582"/>
      <c r="N582"/>
      <c r="O582" s="366"/>
      <c r="P582" s="366">
        <v>2017</v>
      </c>
      <c r="Q582" s="367">
        <f>LARGE($CB$455:$CB$604,128)</f>
        <v>8.7999999999999989</v>
      </c>
      <c r="R582" s="357">
        <f t="shared" si="145"/>
        <v>-163.26666666666668</v>
      </c>
      <c r="S582" s="356">
        <f t="shared" si="149"/>
        <v>26656.00444444445</v>
      </c>
      <c r="U582" s="356">
        <f t="shared" si="146"/>
        <v>-10.204166666666667</v>
      </c>
      <c r="V582" s="238">
        <f t="shared" si="151"/>
        <v>8</v>
      </c>
      <c r="W582" s="354"/>
      <c r="X582" s="366"/>
      <c r="Y582" s="366"/>
      <c r="Z582" s="238">
        <v>2017</v>
      </c>
      <c r="AA582" s="367">
        <f>LARGE($CU$455:$CU$604,128)</f>
        <v>31.7</v>
      </c>
      <c r="AB582" s="357">
        <f t="shared" si="147"/>
        <v>-160.83333333333334</v>
      </c>
      <c r="AC582" s="356">
        <f t="shared" si="150"/>
        <v>25867.361111111113</v>
      </c>
      <c r="AE582" s="356">
        <f t="shared" si="148"/>
        <v>-10.052083333333334</v>
      </c>
      <c r="AF582" s="238">
        <f t="shared" si="152"/>
        <v>8</v>
      </c>
      <c r="AG582" s="354"/>
      <c r="AK582"/>
      <c r="AL582"/>
      <c r="AM582"/>
      <c r="AN582"/>
      <c r="AO582"/>
      <c r="AP582"/>
      <c r="BI582" s="360"/>
      <c r="BJ582" s="354"/>
      <c r="BK582" s="366">
        <v>2017</v>
      </c>
      <c r="BL582" s="365" t="s">
        <v>1201</v>
      </c>
      <c r="BM582" s="366" t="s">
        <v>151</v>
      </c>
      <c r="BN582" s="366" t="s">
        <v>3</v>
      </c>
      <c r="BO582" s="366">
        <v>0</v>
      </c>
      <c r="BP582" s="366">
        <v>0</v>
      </c>
      <c r="BQ582" s="366">
        <v>0</v>
      </c>
      <c r="BR582" s="366">
        <v>12</v>
      </c>
      <c r="BS582" s="366">
        <v>0</v>
      </c>
      <c r="BT582" s="366">
        <v>8</v>
      </c>
      <c r="BU582" s="366">
        <v>38</v>
      </c>
      <c r="BV582" s="366">
        <v>0</v>
      </c>
      <c r="BW582" s="366">
        <v>60</v>
      </c>
      <c r="BX582" s="366">
        <v>0</v>
      </c>
      <c r="BY582" s="366">
        <v>93</v>
      </c>
      <c r="BZ582" s="366">
        <v>0</v>
      </c>
      <c r="CA582" s="366">
        <v>0</v>
      </c>
      <c r="CB582" s="367">
        <f>IFERROR(BO582/Instructions!$J$25,0)+BP582*Instructions!$J$27+BQ582*Instructions!$J$29+IFERROR(BR582/Instructions!$E$34,0)+BS582*Instructions!$E$36+Tier!BT583*Instructions!$E$25+IFERROR(BU582/Instructions!$E$27,0)+BV582*Instructions!$E$29+IFERROR((BW582+BY582)/Instructions!$J$32,0)+(BX582+BZ582)*Instructions!$J$34+Tier!CA582*-2</f>
        <v>7</v>
      </c>
      <c r="CC582" s="354"/>
      <c r="CD582" s="238">
        <v>2017</v>
      </c>
      <c r="CE582" s="365" t="s">
        <v>1685</v>
      </c>
      <c r="CF582" s="366" t="s">
        <v>155</v>
      </c>
      <c r="CG582" s="366" t="s">
        <v>6</v>
      </c>
      <c r="CH582" s="366">
        <v>0</v>
      </c>
      <c r="CI582" s="366">
        <v>0</v>
      </c>
      <c r="CJ582" s="366">
        <v>0</v>
      </c>
      <c r="CK582" s="366">
        <v>0</v>
      </c>
      <c r="CL582" s="366">
        <v>0</v>
      </c>
      <c r="CM582" s="366">
        <v>8</v>
      </c>
      <c r="CN582" s="366">
        <v>121</v>
      </c>
      <c r="CO582" s="366">
        <v>1</v>
      </c>
      <c r="CP582" s="366">
        <v>0</v>
      </c>
      <c r="CQ582" s="366">
        <v>0</v>
      </c>
      <c r="CR582" s="366">
        <v>0</v>
      </c>
      <c r="CS582" s="366">
        <v>0</v>
      </c>
      <c r="CT582" s="366">
        <v>0</v>
      </c>
      <c r="CU582" s="367">
        <f>IFERROR(CH582/Instructions!$J$25,0)+CI582*Instructions!$J$27+CJ582*Instructions!$J$29+IFERROR(CK582/Instructions!$E$34,0)+CL582*Instructions!$E$36+Tier!CM582*Instructions!$E$25+IFERROR(CN582/Instructions!$E$27,0)+CO582*Instructions!$E$29+IFERROR((CP582+CR582)/Instructions!$J$32,0)+(CQ582+CS582)*Instructions!$J$34+Tier!CT582*-2</f>
        <v>26.1</v>
      </c>
      <c r="CV582" s="354"/>
      <c r="CW582"/>
      <c r="CX582"/>
      <c r="CY582"/>
      <c r="CZ582"/>
      <c r="DA582"/>
      <c r="DB582"/>
      <c r="DC582"/>
      <c r="DD582"/>
      <c r="DE582"/>
      <c r="DF582"/>
      <c r="DG582"/>
      <c r="DH582"/>
      <c r="DI582"/>
      <c r="DJ582"/>
      <c r="DK582"/>
      <c r="DL582"/>
      <c r="DM582"/>
      <c r="DN582"/>
    </row>
    <row r="583" spans="3:118" s="238" customFormat="1" ht="15.75" customHeight="1" x14ac:dyDescent="0.25">
      <c r="C583"/>
      <c r="D583"/>
      <c r="E583"/>
      <c r="F583"/>
      <c r="G583"/>
      <c r="H583"/>
      <c r="I583"/>
      <c r="J583"/>
      <c r="K583"/>
      <c r="L583"/>
      <c r="M583"/>
      <c r="N583"/>
      <c r="O583" s="366"/>
      <c r="P583" s="366">
        <v>2017</v>
      </c>
      <c r="Q583" s="367">
        <f>LARGE($CB$455:$CB$604,129)</f>
        <v>8.4</v>
      </c>
      <c r="R583" s="357">
        <f t="shared" si="145"/>
        <v>-163.66666666666669</v>
      </c>
      <c r="S583" s="356">
        <f t="shared" si="149"/>
        <v>26786.777777777785</v>
      </c>
      <c r="U583" s="356">
        <f t="shared" si="146"/>
        <v>-10.229166666666668</v>
      </c>
      <c r="V583" s="238">
        <f t="shared" si="151"/>
        <v>8</v>
      </c>
      <c r="W583" s="354"/>
      <c r="X583" s="366"/>
      <c r="Y583" s="366"/>
      <c r="Z583" s="238">
        <v>2017</v>
      </c>
      <c r="AA583" s="367">
        <f>LARGE($CU$455:$CU$604,129)</f>
        <v>29</v>
      </c>
      <c r="AB583" s="357">
        <f t="shared" si="147"/>
        <v>-163.53333333333333</v>
      </c>
      <c r="AC583" s="356">
        <f t="shared" si="150"/>
        <v>26743.15111111111</v>
      </c>
      <c r="AE583" s="356">
        <f t="shared" si="148"/>
        <v>-10.220833333333333</v>
      </c>
      <c r="AF583" s="238">
        <f t="shared" si="152"/>
        <v>8</v>
      </c>
      <c r="AG583" s="354"/>
      <c r="AK583"/>
      <c r="AL583"/>
      <c r="AM583"/>
      <c r="AN583"/>
      <c r="AO583"/>
      <c r="AP583"/>
      <c r="BI583" s="360"/>
      <c r="BJ583" s="354"/>
      <c r="BK583" s="366">
        <v>2017</v>
      </c>
      <c r="BL583" s="365" t="s">
        <v>1305</v>
      </c>
      <c r="BM583" s="366" t="s">
        <v>156</v>
      </c>
      <c r="BN583" s="366" t="s">
        <v>3</v>
      </c>
      <c r="BO583" s="366">
        <v>0</v>
      </c>
      <c r="BP583" s="366">
        <v>0</v>
      </c>
      <c r="BQ583" s="366">
        <v>0</v>
      </c>
      <c r="BR583" s="366">
        <v>41</v>
      </c>
      <c r="BS583" s="366">
        <v>0</v>
      </c>
      <c r="BT583" s="366">
        <v>2</v>
      </c>
      <c r="BU583" s="366">
        <v>7</v>
      </c>
      <c r="BV583" s="366">
        <v>0</v>
      </c>
      <c r="BW583" s="366">
        <v>0</v>
      </c>
      <c r="BX583" s="366">
        <v>0</v>
      </c>
      <c r="BY583" s="366">
        <v>18</v>
      </c>
      <c r="BZ583" s="366">
        <v>0</v>
      </c>
      <c r="CA583" s="366">
        <v>0</v>
      </c>
      <c r="CB583" s="367">
        <f>IFERROR(BO583/Instructions!$J$25,0)+BP583*Instructions!$J$27+BQ583*Instructions!$J$29+IFERROR(BR583/Instructions!$E$34,0)+BS583*Instructions!$E$36+Tier!BT584*Instructions!$E$25+IFERROR(BU583/Instructions!$E$27,0)+BV583*Instructions!$E$29+IFERROR((BW583+BY583)/Instructions!$J$32,0)+(BX583+BZ583)*Instructions!$J$34+Tier!CA583*-2</f>
        <v>8.7999999999999989</v>
      </c>
      <c r="CC583" s="354"/>
      <c r="CD583" s="238">
        <v>2017</v>
      </c>
      <c r="CE583" s="365" t="s">
        <v>1432</v>
      </c>
      <c r="CF583" s="366" t="s">
        <v>159</v>
      </c>
      <c r="CG583" s="366" t="s">
        <v>6</v>
      </c>
      <c r="CH583" s="366">
        <v>0</v>
      </c>
      <c r="CI583" s="366">
        <v>0</v>
      </c>
      <c r="CJ583" s="366">
        <v>0</v>
      </c>
      <c r="CK583" s="366">
        <v>64</v>
      </c>
      <c r="CL583" s="366">
        <v>0</v>
      </c>
      <c r="CM583" s="366">
        <v>15</v>
      </c>
      <c r="CN583" s="366">
        <v>115</v>
      </c>
      <c r="CO583" s="366">
        <v>0</v>
      </c>
      <c r="CP583" s="366">
        <v>0</v>
      </c>
      <c r="CQ583" s="366">
        <v>0</v>
      </c>
      <c r="CR583" s="366">
        <v>221</v>
      </c>
      <c r="CS583" s="366">
        <v>0</v>
      </c>
      <c r="CT583" s="366">
        <v>0</v>
      </c>
      <c r="CU583" s="367">
        <f>IFERROR(CH583/Instructions!$J$25,0)+CI583*Instructions!$J$27+CJ583*Instructions!$J$29+IFERROR(CK583/Instructions!$E$34,0)+CL583*Instructions!$E$36+Tier!CM583*Instructions!$E$25+IFERROR(CN583/Instructions!$E$27,0)+CO583*Instructions!$E$29+IFERROR((CP583+CR583)/Instructions!$J$32,0)+(CQ583+CS583)*Instructions!$J$34+Tier!CT583*-2</f>
        <v>32.9</v>
      </c>
      <c r="CV583" s="354"/>
      <c r="CW583"/>
      <c r="CX583"/>
      <c r="CY583"/>
      <c r="CZ583"/>
      <c r="DA583"/>
      <c r="DB583"/>
      <c r="DC583"/>
      <c r="DD583"/>
      <c r="DE583"/>
      <c r="DF583"/>
      <c r="DG583"/>
      <c r="DH583"/>
      <c r="DI583"/>
      <c r="DJ583"/>
      <c r="DK583"/>
      <c r="DL583"/>
      <c r="DM583"/>
      <c r="DN583"/>
    </row>
    <row r="584" spans="3:118" s="238" customFormat="1" ht="15.75" customHeight="1" x14ac:dyDescent="0.25">
      <c r="C584"/>
      <c r="D584"/>
      <c r="E584"/>
      <c r="F584"/>
      <c r="G584"/>
      <c r="H584"/>
      <c r="I584"/>
      <c r="J584"/>
      <c r="K584"/>
      <c r="L584"/>
      <c r="M584"/>
      <c r="N584"/>
      <c r="O584" s="366"/>
      <c r="P584" s="366">
        <v>2017</v>
      </c>
      <c r="Q584" s="367">
        <f>LARGE($CB$455:$CB$604,130)</f>
        <v>7.9</v>
      </c>
      <c r="R584" s="357">
        <f t="shared" ref="R584:R604" si="153">Q584-$T$465</f>
        <v>-164.16666666666669</v>
      </c>
      <c r="S584" s="356">
        <f t="shared" si="149"/>
        <v>26950.694444444449</v>
      </c>
      <c r="U584" s="356">
        <f t="shared" ref="U584:U604" si="154">R584/$T$455</f>
        <v>-10.260416666666668</v>
      </c>
      <c r="V584" s="238">
        <f t="shared" si="151"/>
        <v>8</v>
      </c>
      <c r="W584" s="354"/>
      <c r="X584" s="366"/>
      <c r="Y584" s="366"/>
      <c r="Z584" s="238">
        <v>2017</v>
      </c>
      <c r="AA584" s="367">
        <f>LARGE($CU$455:$CU$604,130)</f>
        <v>28.5</v>
      </c>
      <c r="AB584" s="357">
        <f t="shared" ref="AB584:AB604" si="155">$AA584-$AD$465</f>
        <v>-164.03333333333333</v>
      </c>
      <c r="AC584" s="356">
        <f t="shared" si="150"/>
        <v>26906.934444444443</v>
      </c>
      <c r="AE584" s="356">
        <f t="shared" ref="AE584:AE604" si="156">AB584/$AD$455</f>
        <v>-10.252083333333333</v>
      </c>
      <c r="AF584" s="238">
        <f t="shared" si="152"/>
        <v>8</v>
      </c>
      <c r="AG584" s="354"/>
      <c r="AK584"/>
      <c r="AL584"/>
      <c r="AM584"/>
      <c r="AN584"/>
      <c r="AO584"/>
      <c r="AP584"/>
      <c r="BI584" s="360"/>
      <c r="BJ584" s="354"/>
      <c r="BK584" s="366">
        <v>2017</v>
      </c>
      <c r="BL584" s="365" t="s">
        <v>1823</v>
      </c>
      <c r="BM584" s="366" t="s">
        <v>161</v>
      </c>
      <c r="BN584" s="366" t="s">
        <v>3</v>
      </c>
      <c r="BO584" s="366">
        <v>0</v>
      </c>
      <c r="BP584" s="366">
        <v>0</v>
      </c>
      <c r="BQ584" s="366">
        <v>0</v>
      </c>
      <c r="BR584" s="366">
        <v>12</v>
      </c>
      <c r="BS584" s="366">
        <v>0</v>
      </c>
      <c r="BT584" s="366">
        <v>4</v>
      </c>
      <c r="BU584" s="366">
        <v>29</v>
      </c>
      <c r="BV584" s="366">
        <v>0</v>
      </c>
      <c r="BW584" s="366">
        <v>0</v>
      </c>
      <c r="BX584" s="366">
        <v>0</v>
      </c>
      <c r="BY584" s="366">
        <v>0</v>
      </c>
      <c r="BZ584" s="366">
        <v>0</v>
      </c>
      <c r="CA584" s="366">
        <v>0</v>
      </c>
      <c r="CB584" s="367">
        <f>IFERROR(BO584/Instructions!$J$25,0)+BP584*Instructions!$J$27+BQ584*Instructions!$J$29+IFERROR(BR584/Instructions!$E$34,0)+BS584*Instructions!$E$36+Tier!BT585*Instructions!$E$25+IFERROR(BU584/Instructions!$E$27,0)+BV584*Instructions!$E$29+IFERROR((BW584+BY584)/Instructions!$J$32,0)+(BX584+BZ584)*Instructions!$J$34+Tier!CA584*-2</f>
        <v>5.0999999999999996</v>
      </c>
      <c r="CC584" s="354"/>
      <c r="CD584" s="238">
        <v>2017</v>
      </c>
      <c r="CE584" s="365" t="s">
        <v>1111</v>
      </c>
      <c r="CF584" s="366" t="s">
        <v>136</v>
      </c>
      <c r="CG584" s="366" t="s">
        <v>6</v>
      </c>
      <c r="CH584" s="366">
        <v>0</v>
      </c>
      <c r="CI584" s="366">
        <v>0</v>
      </c>
      <c r="CJ584" s="366">
        <v>0</v>
      </c>
      <c r="CK584" s="366">
        <v>0</v>
      </c>
      <c r="CL584" s="366">
        <v>0</v>
      </c>
      <c r="CM584" s="366">
        <v>11</v>
      </c>
      <c r="CN584" s="366">
        <v>175</v>
      </c>
      <c r="CO584" s="366">
        <v>0</v>
      </c>
      <c r="CP584" s="366">
        <v>0</v>
      </c>
      <c r="CQ584" s="366">
        <v>0</v>
      </c>
      <c r="CR584" s="366">
        <v>8</v>
      </c>
      <c r="CS584" s="366">
        <v>0</v>
      </c>
      <c r="CT584" s="366">
        <v>0</v>
      </c>
      <c r="CU584" s="367">
        <f>IFERROR(CH584/Instructions!$J$25,0)+CI584*Instructions!$J$27+CJ584*Instructions!$J$29+IFERROR(CK584/Instructions!$E$34,0)+CL584*Instructions!$E$36+Tier!CM584*Instructions!$E$25+IFERROR(CN584/Instructions!$E$27,0)+CO584*Instructions!$E$29+IFERROR((CP584+CR584)/Instructions!$J$32,0)+(CQ584+CS584)*Instructions!$J$34+Tier!CT584*-2</f>
        <v>28.5</v>
      </c>
      <c r="CV584" s="354"/>
      <c r="CW584"/>
      <c r="CX584"/>
      <c r="CY584"/>
      <c r="CZ584"/>
      <c r="DA584"/>
      <c r="DB584"/>
      <c r="DC584"/>
      <c r="DD584"/>
      <c r="DE584"/>
      <c r="DF584"/>
      <c r="DG584"/>
      <c r="DH584"/>
      <c r="DI584"/>
      <c r="DJ584"/>
      <c r="DK584"/>
      <c r="DL584"/>
      <c r="DM584"/>
      <c r="DN584"/>
    </row>
    <row r="585" spans="3:118" s="238" customFormat="1" ht="15.75" customHeight="1" x14ac:dyDescent="0.25">
      <c r="C585"/>
      <c r="D585"/>
      <c r="E585"/>
      <c r="F585"/>
      <c r="G585"/>
      <c r="H585"/>
      <c r="I585"/>
      <c r="J585"/>
      <c r="K585"/>
      <c r="L585"/>
      <c r="M585"/>
      <c r="N585"/>
      <c r="O585" s="366"/>
      <c r="P585" s="366">
        <v>2017</v>
      </c>
      <c r="Q585" s="367">
        <f>LARGE($CB$455:$CB$604,131)</f>
        <v>7.3</v>
      </c>
      <c r="R585" s="357">
        <f t="shared" si="153"/>
        <v>-164.76666666666668</v>
      </c>
      <c r="S585" s="356">
        <f t="shared" si="149"/>
        <v>27148.054444444449</v>
      </c>
      <c r="U585" s="356">
        <f t="shared" si="154"/>
        <v>-10.297916666666667</v>
      </c>
      <c r="V585" s="238">
        <f t="shared" si="151"/>
        <v>8</v>
      </c>
      <c r="W585" s="354"/>
      <c r="X585" s="366"/>
      <c r="Y585" s="366"/>
      <c r="Z585" s="238">
        <v>2017</v>
      </c>
      <c r="AA585" s="367">
        <f>LARGE($CU$455:$CU$604,131)</f>
        <v>28.3</v>
      </c>
      <c r="AB585" s="357">
        <f t="shared" si="155"/>
        <v>-164.23333333333332</v>
      </c>
      <c r="AC585" s="356">
        <f t="shared" si="150"/>
        <v>26972.587777777775</v>
      </c>
      <c r="AE585" s="356">
        <f t="shared" si="156"/>
        <v>-10.264583333333333</v>
      </c>
      <c r="AF585" s="238">
        <f t="shared" si="152"/>
        <v>8</v>
      </c>
      <c r="AG585" s="354"/>
      <c r="AK585"/>
      <c r="AL585"/>
      <c r="AM585"/>
      <c r="AN585"/>
      <c r="AO585"/>
      <c r="AP585"/>
      <c r="BI585" s="360"/>
      <c r="BJ585" s="354"/>
      <c r="BK585" s="366">
        <v>2017</v>
      </c>
      <c r="BL585" s="365" t="s">
        <v>1341</v>
      </c>
      <c r="BM585" s="366" t="s">
        <v>152</v>
      </c>
      <c r="BN585" s="366" t="s">
        <v>3</v>
      </c>
      <c r="BO585" s="366">
        <v>0</v>
      </c>
      <c r="BP585" s="366">
        <v>0</v>
      </c>
      <c r="BQ585" s="366">
        <v>0</v>
      </c>
      <c r="BR585" s="366">
        <v>29</v>
      </c>
      <c r="BS585" s="366">
        <v>0</v>
      </c>
      <c r="BT585" s="366">
        <v>1</v>
      </c>
      <c r="BU585" s="366">
        <v>11</v>
      </c>
      <c r="BV585" s="366">
        <v>0</v>
      </c>
      <c r="BW585" s="366">
        <v>0</v>
      </c>
      <c r="BX585" s="366">
        <v>0</v>
      </c>
      <c r="BY585" s="366">
        <v>17</v>
      </c>
      <c r="BZ585" s="366">
        <v>0</v>
      </c>
      <c r="CA585" s="366">
        <v>0</v>
      </c>
      <c r="CB585" s="367">
        <f>IFERROR(BO585/Instructions!$J$25,0)+BP585*Instructions!$J$27+BQ585*Instructions!$J$29+IFERROR(BR585/Instructions!$E$34,0)+BS585*Instructions!$E$36+Tier!BT586*Instructions!$E$25+IFERROR(BU585/Instructions!$E$27,0)+BV585*Instructions!$E$29+IFERROR((BW585+BY585)/Instructions!$J$32,0)+(BX585+BZ585)*Instructions!$J$34+Tier!CA585*-2</f>
        <v>10</v>
      </c>
      <c r="CC585" s="354"/>
      <c r="CD585" s="238">
        <v>2017</v>
      </c>
      <c r="CE585" s="365" t="s">
        <v>1444</v>
      </c>
      <c r="CF585" s="366" t="s">
        <v>1389</v>
      </c>
      <c r="CG585" s="366" t="s">
        <v>6</v>
      </c>
      <c r="CH585" s="366">
        <v>0</v>
      </c>
      <c r="CI585" s="366">
        <v>0</v>
      </c>
      <c r="CJ585" s="366">
        <v>0</v>
      </c>
      <c r="CK585" s="366">
        <v>0</v>
      </c>
      <c r="CL585" s="366">
        <v>0</v>
      </c>
      <c r="CM585" s="366">
        <v>11</v>
      </c>
      <c r="CN585" s="366">
        <v>104</v>
      </c>
      <c r="CO585" s="366">
        <v>1</v>
      </c>
      <c r="CP585" s="366">
        <v>0</v>
      </c>
      <c r="CQ585" s="366">
        <v>0</v>
      </c>
      <c r="CR585" s="366">
        <v>0</v>
      </c>
      <c r="CS585" s="366">
        <v>0</v>
      </c>
      <c r="CT585" s="366">
        <v>0</v>
      </c>
      <c r="CU585" s="367">
        <f>IFERROR(CH585/Instructions!$J$25,0)+CI585*Instructions!$J$27+CJ585*Instructions!$J$29+IFERROR(CK585/Instructions!$E$34,0)+CL585*Instructions!$E$36+Tier!CM585*Instructions!$E$25+IFERROR(CN585/Instructions!$E$27,0)+CO585*Instructions!$E$29+IFERROR((CP585+CR585)/Instructions!$J$32,0)+(CQ585+CS585)*Instructions!$J$34+Tier!CT585*-2</f>
        <v>27.4</v>
      </c>
      <c r="CV585" s="354"/>
      <c r="CW585"/>
      <c r="CX585"/>
      <c r="CY585"/>
      <c r="CZ585"/>
      <c r="DA585"/>
      <c r="DB585"/>
      <c r="DC585"/>
      <c r="DD585"/>
      <c r="DE585"/>
      <c r="DF585"/>
      <c r="DG585"/>
      <c r="DH585"/>
      <c r="DI585"/>
      <c r="DJ585"/>
      <c r="DK585"/>
      <c r="DL585"/>
      <c r="DM585"/>
      <c r="DN585"/>
    </row>
    <row r="586" spans="3:118" s="238" customFormat="1" ht="15.75" customHeight="1" x14ac:dyDescent="0.25">
      <c r="C586"/>
      <c r="D586"/>
      <c r="E586"/>
      <c r="F586"/>
      <c r="G586"/>
      <c r="H586"/>
      <c r="I586"/>
      <c r="J586"/>
      <c r="K586"/>
      <c r="L586"/>
      <c r="M586"/>
      <c r="N586"/>
      <c r="O586" s="366"/>
      <c r="P586" s="366">
        <v>2017</v>
      </c>
      <c r="Q586" s="367">
        <f>LARGE($CB$455:$CB$604,132)</f>
        <v>7.1</v>
      </c>
      <c r="R586" s="357">
        <f t="shared" si="153"/>
        <v>-164.9666666666667</v>
      </c>
      <c r="S586" s="356">
        <f t="shared" si="149"/>
        <v>27214.00111111112</v>
      </c>
      <c r="U586" s="356">
        <f t="shared" si="154"/>
        <v>-10.310416666666669</v>
      </c>
      <c r="V586" s="238">
        <f t="shared" si="151"/>
        <v>8</v>
      </c>
      <c r="W586" s="354"/>
      <c r="X586" s="366"/>
      <c r="Y586" s="366"/>
      <c r="Z586" s="238">
        <v>2017</v>
      </c>
      <c r="AA586" s="367">
        <f>LARGE($CU$455:$CU$604,132)</f>
        <v>27.4</v>
      </c>
      <c r="AB586" s="357">
        <f t="shared" si="155"/>
        <v>-165.13333333333333</v>
      </c>
      <c r="AC586" s="356">
        <f t="shared" si="150"/>
        <v>27269.017777777775</v>
      </c>
      <c r="AE586" s="356">
        <f t="shared" si="156"/>
        <v>-10.320833333333333</v>
      </c>
      <c r="AF586" s="238">
        <f t="shared" si="152"/>
        <v>8</v>
      </c>
      <c r="AG586" s="354"/>
      <c r="AK586"/>
      <c r="AL586"/>
      <c r="AM586"/>
      <c r="AN586"/>
      <c r="AO586"/>
      <c r="AP586"/>
      <c r="BI586" s="360"/>
      <c r="BJ586" s="354"/>
      <c r="BK586" s="366">
        <v>2017</v>
      </c>
      <c r="BL586" s="365" t="s">
        <v>1233</v>
      </c>
      <c r="BM586" s="366" t="s">
        <v>157</v>
      </c>
      <c r="BN586" s="366" t="s">
        <v>3</v>
      </c>
      <c r="BO586" s="366">
        <v>0</v>
      </c>
      <c r="BP586" s="366">
        <v>0</v>
      </c>
      <c r="BQ586" s="366">
        <v>0</v>
      </c>
      <c r="BR586" s="366">
        <v>0</v>
      </c>
      <c r="BS586" s="366">
        <v>0</v>
      </c>
      <c r="BT586" s="366">
        <v>6</v>
      </c>
      <c r="BU586" s="366">
        <v>38</v>
      </c>
      <c r="BV586" s="366">
        <v>0</v>
      </c>
      <c r="BW586" s="366">
        <v>0</v>
      </c>
      <c r="BX586" s="366">
        <v>0</v>
      </c>
      <c r="BY586" s="366">
        <v>0</v>
      </c>
      <c r="BZ586" s="366">
        <v>0</v>
      </c>
      <c r="CA586" s="366">
        <v>0</v>
      </c>
      <c r="CB586" s="367">
        <f>IFERROR(BO586/Instructions!$J$25,0)+BP586*Instructions!$J$27+BQ586*Instructions!$J$29+IFERROR(BR586/Instructions!$E$34,0)+BS586*Instructions!$E$36+Tier!BT587*Instructions!$E$25+IFERROR(BU586/Instructions!$E$27,0)+BV586*Instructions!$E$29+IFERROR((BW586+BY586)/Instructions!$J$32,0)+(BX586+BZ586)*Instructions!$J$34+Tier!CA586*-2</f>
        <v>5.8</v>
      </c>
      <c r="CC586" s="354"/>
      <c r="CD586" s="238">
        <v>2017</v>
      </c>
      <c r="CE586" s="365" t="s">
        <v>25</v>
      </c>
      <c r="CF586" s="366" t="s">
        <v>154</v>
      </c>
      <c r="CG586" s="366" t="s">
        <v>6</v>
      </c>
      <c r="CH586" s="366">
        <v>0</v>
      </c>
      <c r="CI586" s="366">
        <v>0</v>
      </c>
      <c r="CJ586" s="366">
        <v>0</v>
      </c>
      <c r="CK586" s="366">
        <v>0</v>
      </c>
      <c r="CL586" s="366">
        <v>0</v>
      </c>
      <c r="CM586" s="366">
        <v>18</v>
      </c>
      <c r="CN586" s="366">
        <v>154</v>
      </c>
      <c r="CO586" s="366">
        <v>0</v>
      </c>
      <c r="CP586" s="366">
        <v>0</v>
      </c>
      <c r="CQ586" s="366">
        <v>0</v>
      </c>
      <c r="CR586" s="366">
        <v>0</v>
      </c>
      <c r="CS586" s="366">
        <v>0</v>
      </c>
      <c r="CT586" s="366">
        <v>0</v>
      </c>
      <c r="CU586" s="367">
        <f>IFERROR(CH586/Instructions!$J$25,0)+CI586*Instructions!$J$27+CJ586*Instructions!$J$29+IFERROR(CK586/Instructions!$E$34,0)+CL586*Instructions!$E$36+Tier!CM586*Instructions!$E$25+IFERROR(CN586/Instructions!$E$27,0)+CO586*Instructions!$E$29+IFERROR((CP586+CR586)/Instructions!$J$32,0)+(CQ586+CS586)*Instructions!$J$34+Tier!CT586*-2</f>
        <v>33.4</v>
      </c>
      <c r="CV586" s="354"/>
      <c r="CW586"/>
      <c r="CX586"/>
      <c r="CY586"/>
      <c r="CZ586"/>
      <c r="DA586"/>
      <c r="DB586"/>
      <c r="DC586"/>
      <c r="DD586"/>
      <c r="DE586"/>
      <c r="DF586"/>
      <c r="DG586"/>
      <c r="DH586"/>
      <c r="DI586"/>
      <c r="DJ586"/>
      <c r="DK586"/>
      <c r="DL586"/>
      <c r="DM586"/>
      <c r="DN586"/>
    </row>
    <row r="587" spans="3:118" s="238" customFormat="1" ht="15.75" customHeight="1" x14ac:dyDescent="0.25">
      <c r="C587"/>
      <c r="D587"/>
      <c r="E587"/>
      <c r="F587"/>
      <c r="G587"/>
      <c r="H587"/>
      <c r="I587"/>
      <c r="J587"/>
      <c r="K587"/>
      <c r="L587"/>
      <c r="M587"/>
      <c r="N587"/>
      <c r="O587" s="366"/>
      <c r="P587" s="366">
        <v>2017</v>
      </c>
      <c r="Q587" s="367">
        <f>LARGE($CB$455:$CB$604,133)</f>
        <v>7</v>
      </c>
      <c r="R587" s="357">
        <f t="shared" si="153"/>
        <v>-165.06666666666669</v>
      </c>
      <c r="S587" s="356">
        <f t="shared" si="149"/>
        <v>27247.004444444454</v>
      </c>
      <c r="U587" s="356">
        <f t="shared" si="154"/>
        <v>-10.316666666666668</v>
      </c>
      <c r="V587" s="238">
        <f t="shared" si="151"/>
        <v>8</v>
      </c>
      <c r="W587" s="354"/>
      <c r="X587" s="366"/>
      <c r="Y587" s="366"/>
      <c r="Z587" s="238">
        <v>2017</v>
      </c>
      <c r="AA587" s="367">
        <f>LARGE($CU$455:$CU$604,133)</f>
        <v>27.2</v>
      </c>
      <c r="AB587" s="357">
        <f t="shared" si="155"/>
        <v>-165.33333333333334</v>
      </c>
      <c r="AC587" s="356">
        <f t="shared" si="150"/>
        <v>27335.111111111113</v>
      </c>
      <c r="AE587" s="356">
        <f t="shared" si="156"/>
        <v>-10.333333333333334</v>
      </c>
      <c r="AF587" s="238">
        <f t="shared" si="152"/>
        <v>8</v>
      </c>
      <c r="AG587" s="354"/>
      <c r="AK587"/>
      <c r="AL587"/>
      <c r="AM587"/>
      <c r="AN587"/>
      <c r="AO587"/>
      <c r="AP587"/>
      <c r="BI587" s="360"/>
      <c r="BJ587" s="354"/>
      <c r="BK587" s="366">
        <v>2017</v>
      </c>
      <c r="BL587" s="365" t="s">
        <v>1281</v>
      </c>
      <c r="BM587" s="366" t="s">
        <v>147</v>
      </c>
      <c r="BN587" s="366" t="s">
        <v>3</v>
      </c>
      <c r="BO587" s="366">
        <v>0</v>
      </c>
      <c r="BP587" s="366">
        <v>0</v>
      </c>
      <c r="BQ587" s="366">
        <v>0</v>
      </c>
      <c r="BR587" s="366">
        <v>25</v>
      </c>
      <c r="BS587" s="366">
        <v>0</v>
      </c>
      <c r="BT587" s="366">
        <v>2</v>
      </c>
      <c r="BU587" s="366">
        <v>9</v>
      </c>
      <c r="BV587" s="366">
        <v>0</v>
      </c>
      <c r="BW587" s="366">
        <v>0</v>
      </c>
      <c r="BX587" s="366">
        <v>0</v>
      </c>
      <c r="BY587" s="366">
        <v>94</v>
      </c>
      <c r="BZ587" s="366">
        <v>0</v>
      </c>
      <c r="CA587" s="366">
        <v>0</v>
      </c>
      <c r="CB587" s="367">
        <f>IFERROR(BO587/Instructions!$J$25,0)+BP587*Instructions!$J$27+BQ587*Instructions!$J$29+IFERROR(BR587/Instructions!$E$34,0)+BS587*Instructions!$E$36+Tier!BT588*Instructions!$E$25+IFERROR(BU587/Instructions!$E$27,0)+BV587*Instructions!$E$29+IFERROR((BW587+BY587)/Instructions!$J$32,0)+(BX587+BZ587)*Instructions!$J$34+Tier!CA587*-2</f>
        <v>4.4000000000000004</v>
      </c>
      <c r="CC587" s="354"/>
      <c r="CD587" s="238">
        <v>2017</v>
      </c>
      <c r="CE587" s="365" t="s">
        <v>1335</v>
      </c>
      <c r="CF587" s="366" t="s">
        <v>141</v>
      </c>
      <c r="CG587" s="366" t="s">
        <v>6</v>
      </c>
      <c r="CH587" s="366">
        <v>0</v>
      </c>
      <c r="CI587" s="366">
        <v>0</v>
      </c>
      <c r="CJ587" s="366">
        <v>0</v>
      </c>
      <c r="CK587" s="366">
        <v>0</v>
      </c>
      <c r="CL587" s="366">
        <v>0</v>
      </c>
      <c r="CM587" s="366">
        <v>8</v>
      </c>
      <c r="CN587" s="366">
        <v>144</v>
      </c>
      <c r="CO587" s="366">
        <v>0</v>
      </c>
      <c r="CP587" s="366">
        <v>0</v>
      </c>
      <c r="CQ587" s="366">
        <v>0</v>
      </c>
      <c r="CR587" s="366">
        <v>0</v>
      </c>
      <c r="CS587" s="366">
        <v>0</v>
      </c>
      <c r="CT587" s="366">
        <v>0</v>
      </c>
      <c r="CU587" s="367">
        <f>IFERROR(CH587/Instructions!$J$25,0)+CI587*Instructions!$J$27+CJ587*Instructions!$J$29+IFERROR(CK587/Instructions!$E$34,0)+CL587*Instructions!$E$36+Tier!CM587*Instructions!$E$25+IFERROR(CN587/Instructions!$E$27,0)+CO587*Instructions!$E$29+IFERROR((CP587+CR587)/Instructions!$J$32,0)+(CQ587+CS587)*Instructions!$J$34+Tier!CT587*-2</f>
        <v>22.4</v>
      </c>
      <c r="CV587" s="354"/>
      <c r="CW587"/>
      <c r="CX587"/>
      <c r="CY587"/>
      <c r="CZ587"/>
      <c r="DA587"/>
      <c r="DB587"/>
      <c r="DC587"/>
      <c r="DD587"/>
      <c r="DE587"/>
      <c r="DF587"/>
      <c r="DG587"/>
      <c r="DH587"/>
      <c r="DI587"/>
      <c r="DJ587"/>
      <c r="DK587"/>
      <c r="DL587"/>
      <c r="DM587"/>
      <c r="DN587"/>
    </row>
    <row r="588" spans="3:118" s="238" customFormat="1" ht="15.75" customHeight="1" x14ac:dyDescent="0.25">
      <c r="C588"/>
      <c r="D588"/>
      <c r="E588"/>
      <c r="F588"/>
      <c r="G588"/>
      <c r="H588"/>
      <c r="I588"/>
      <c r="J588"/>
      <c r="K588"/>
      <c r="L588"/>
      <c r="M588"/>
      <c r="N588"/>
      <c r="O588" s="366"/>
      <c r="P588" s="366">
        <v>2017</v>
      </c>
      <c r="Q588" s="367">
        <f>LARGE($CB$455:$CB$604,134)</f>
        <v>6.5</v>
      </c>
      <c r="R588" s="357">
        <f t="shared" si="153"/>
        <v>-165.56666666666669</v>
      </c>
      <c r="S588" s="356">
        <f t="shared" si="149"/>
        <v>27412.32111111112</v>
      </c>
      <c r="U588" s="356">
        <f t="shared" si="154"/>
        <v>-10.347916666666668</v>
      </c>
      <c r="V588" s="238">
        <f t="shared" si="151"/>
        <v>8</v>
      </c>
      <c r="W588" s="354"/>
      <c r="X588" s="366"/>
      <c r="Y588" s="366"/>
      <c r="Z588" s="238">
        <v>2017</v>
      </c>
      <c r="AA588" s="367">
        <f>LARGE($CU$455:$CU$604,134)</f>
        <v>26.1</v>
      </c>
      <c r="AB588" s="357">
        <f t="shared" si="155"/>
        <v>-166.43333333333334</v>
      </c>
      <c r="AC588" s="356">
        <f t="shared" si="150"/>
        <v>27700.054444444446</v>
      </c>
      <c r="AE588" s="356">
        <f t="shared" si="156"/>
        <v>-10.402083333333334</v>
      </c>
      <c r="AF588" s="238">
        <f t="shared" si="152"/>
        <v>8</v>
      </c>
      <c r="AG588" s="354"/>
      <c r="AK588"/>
      <c r="AL588"/>
      <c r="AM588"/>
      <c r="AN588"/>
      <c r="AO588"/>
      <c r="AP588"/>
      <c r="BI588" s="360"/>
      <c r="BJ588" s="354"/>
      <c r="BK588" s="366">
        <v>2017</v>
      </c>
      <c r="BL588" s="365" t="s">
        <v>1332</v>
      </c>
      <c r="BM588" s="366" t="s">
        <v>166</v>
      </c>
      <c r="BN588" s="366" t="s">
        <v>3</v>
      </c>
      <c r="BO588" s="366">
        <v>0</v>
      </c>
      <c r="BP588" s="366">
        <v>0</v>
      </c>
      <c r="BQ588" s="366">
        <v>0</v>
      </c>
      <c r="BR588" s="366">
        <v>30</v>
      </c>
      <c r="BS588" s="366">
        <v>0</v>
      </c>
      <c r="BT588" s="366">
        <v>1</v>
      </c>
      <c r="BU588" s="366">
        <v>3</v>
      </c>
      <c r="BV588" s="366">
        <v>0</v>
      </c>
      <c r="BW588" s="366">
        <v>0</v>
      </c>
      <c r="BX588" s="366">
        <v>0</v>
      </c>
      <c r="BY588" s="366">
        <v>202</v>
      </c>
      <c r="BZ588" s="366">
        <v>0</v>
      </c>
      <c r="CA588" s="366">
        <v>0</v>
      </c>
      <c r="CB588" s="367">
        <f>IFERROR(BO588/Instructions!$J$25,0)+BP588*Instructions!$J$27+BQ588*Instructions!$J$29+IFERROR(BR588/Instructions!$E$34,0)+BS588*Instructions!$E$36+Tier!BT589*Instructions!$E$25+IFERROR(BU588/Instructions!$E$27,0)+BV588*Instructions!$E$29+IFERROR((BW588+BY588)/Instructions!$J$32,0)+(BX588+BZ588)*Instructions!$J$34+Tier!CA588*-2</f>
        <v>7.3</v>
      </c>
      <c r="CC588" s="354"/>
      <c r="CD588" s="238">
        <v>2017</v>
      </c>
      <c r="CE588" s="365" t="s">
        <v>1338</v>
      </c>
      <c r="CF588" s="366" t="s">
        <v>144</v>
      </c>
      <c r="CG588" s="366" t="s">
        <v>6</v>
      </c>
      <c r="CH588" s="366">
        <v>0</v>
      </c>
      <c r="CI588" s="366">
        <v>0</v>
      </c>
      <c r="CJ588" s="366">
        <v>0</v>
      </c>
      <c r="CK588" s="366">
        <v>0</v>
      </c>
      <c r="CL588" s="366">
        <v>0</v>
      </c>
      <c r="CM588" s="366">
        <v>13</v>
      </c>
      <c r="CN588" s="366">
        <v>142</v>
      </c>
      <c r="CO588" s="366">
        <v>0</v>
      </c>
      <c r="CP588" s="366">
        <v>103</v>
      </c>
      <c r="CQ588" s="366">
        <v>0</v>
      </c>
      <c r="CR588" s="366">
        <v>0</v>
      </c>
      <c r="CS588" s="366">
        <v>0</v>
      </c>
      <c r="CT588" s="366">
        <v>0</v>
      </c>
      <c r="CU588" s="367">
        <f>IFERROR(CH588/Instructions!$J$25,0)+CI588*Instructions!$J$27+CJ588*Instructions!$J$29+IFERROR(CK588/Instructions!$E$34,0)+CL588*Instructions!$E$36+Tier!CM588*Instructions!$E$25+IFERROR(CN588/Instructions!$E$27,0)+CO588*Instructions!$E$29+IFERROR((CP588+CR588)/Instructions!$J$32,0)+(CQ588+CS588)*Instructions!$J$34+Tier!CT588*-2</f>
        <v>27.2</v>
      </c>
      <c r="CV588" s="354"/>
      <c r="CW588"/>
      <c r="CX588"/>
      <c r="CY588"/>
      <c r="CZ588"/>
      <c r="DA588"/>
      <c r="DB588"/>
      <c r="DC588"/>
      <c r="DD588"/>
      <c r="DE588"/>
      <c r="DF588"/>
      <c r="DG588"/>
      <c r="DH588"/>
      <c r="DI588"/>
      <c r="DJ588"/>
      <c r="DK588"/>
      <c r="DL588"/>
      <c r="DM588"/>
      <c r="DN588"/>
    </row>
    <row r="589" spans="3:118" s="238" customFormat="1" ht="15.75" customHeight="1" x14ac:dyDescent="0.25">
      <c r="C589"/>
      <c r="D589"/>
      <c r="E589"/>
      <c r="F589"/>
      <c r="G589"/>
      <c r="H589"/>
      <c r="I589"/>
      <c r="J589"/>
      <c r="K589"/>
      <c r="L589"/>
      <c r="M589"/>
      <c r="N589"/>
      <c r="O589" s="366"/>
      <c r="P589" s="366">
        <v>2017</v>
      </c>
      <c r="Q589" s="367">
        <f>LARGE($CB$455:$CB$604,135)</f>
        <v>5.8</v>
      </c>
      <c r="R589" s="357">
        <f t="shared" si="153"/>
        <v>-166.26666666666668</v>
      </c>
      <c r="S589" s="356">
        <f t="shared" si="149"/>
        <v>27644.604444444449</v>
      </c>
      <c r="U589" s="356">
        <f t="shared" si="154"/>
        <v>-10.391666666666667</v>
      </c>
      <c r="V589" s="238">
        <f t="shared" si="151"/>
        <v>8</v>
      </c>
      <c r="W589" s="354"/>
      <c r="X589" s="366"/>
      <c r="Y589" s="366"/>
      <c r="Z589" s="238">
        <v>2017</v>
      </c>
      <c r="AA589" s="367">
        <f>LARGE($CU$455:$CU$604,135)</f>
        <v>23.2</v>
      </c>
      <c r="AB589" s="357">
        <f t="shared" si="155"/>
        <v>-169.33333333333334</v>
      </c>
      <c r="AC589" s="356">
        <f t="shared" si="150"/>
        <v>28673.777777777781</v>
      </c>
      <c r="AE589" s="356">
        <f t="shared" si="156"/>
        <v>-10.583333333333334</v>
      </c>
      <c r="AF589" s="238">
        <f t="shared" si="152"/>
        <v>8</v>
      </c>
      <c r="AG589" s="354"/>
      <c r="AK589"/>
      <c r="AL589"/>
      <c r="AM589"/>
      <c r="AN589"/>
      <c r="AO589"/>
      <c r="AP589"/>
      <c r="BI589" s="360"/>
      <c r="BJ589" s="354"/>
      <c r="BK589" s="366">
        <v>2017</v>
      </c>
      <c r="BL589" s="365" t="s">
        <v>1292</v>
      </c>
      <c r="BM589" s="366" t="s">
        <v>151</v>
      </c>
      <c r="BN589" s="366" t="s">
        <v>3</v>
      </c>
      <c r="BO589" s="366">
        <v>0</v>
      </c>
      <c r="BP589" s="366">
        <v>0</v>
      </c>
      <c r="BQ589" s="366">
        <v>0</v>
      </c>
      <c r="BR589" s="366">
        <v>0</v>
      </c>
      <c r="BS589" s="366">
        <v>0</v>
      </c>
      <c r="BT589" s="366">
        <v>4</v>
      </c>
      <c r="BU589" s="366">
        <v>31</v>
      </c>
      <c r="BV589" s="366">
        <v>0</v>
      </c>
      <c r="BW589" s="366">
        <v>0</v>
      </c>
      <c r="BX589" s="366">
        <v>0</v>
      </c>
      <c r="BY589" s="366">
        <v>0</v>
      </c>
      <c r="BZ589" s="366">
        <v>0</v>
      </c>
      <c r="CA589" s="366">
        <v>0</v>
      </c>
      <c r="CB589" s="367">
        <f>IFERROR(BO589/Instructions!$J$25,0)+BP589*Instructions!$J$27+BQ589*Instructions!$J$29+IFERROR(BR589/Instructions!$E$34,0)+BS589*Instructions!$E$36+Tier!BT590*Instructions!$E$25+IFERROR(BU589/Instructions!$E$27,0)+BV589*Instructions!$E$29+IFERROR((BW589+BY589)/Instructions!$J$32,0)+(BX589+BZ589)*Instructions!$J$34+Tier!CA589*-2</f>
        <v>3.1</v>
      </c>
      <c r="CC589" s="354"/>
      <c r="CD589" s="238">
        <v>2017</v>
      </c>
      <c r="CE589" s="365" t="s">
        <v>1244</v>
      </c>
      <c r="CF589" s="366" t="s">
        <v>156</v>
      </c>
      <c r="CG589" s="366" t="s">
        <v>6</v>
      </c>
      <c r="CH589" s="366">
        <v>0</v>
      </c>
      <c r="CI589" s="366">
        <v>0</v>
      </c>
      <c r="CJ589" s="366">
        <v>0</v>
      </c>
      <c r="CK589" s="366">
        <v>0</v>
      </c>
      <c r="CL589" s="366">
        <v>0</v>
      </c>
      <c r="CM589" s="366">
        <v>6</v>
      </c>
      <c r="CN589" s="366">
        <v>81</v>
      </c>
      <c r="CO589" s="366">
        <v>1</v>
      </c>
      <c r="CP589" s="366">
        <v>193</v>
      </c>
      <c r="CQ589" s="366">
        <v>0</v>
      </c>
      <c r="CR589" s="366">
        <v>548</v>
      </c>
      <c r="CS589" s="366">
        <v>0</v>
      </c>
      <c r="CT589" s="366">
        <v>0</v>
      </c>
      <c r="CU589" s="367">
        <f>IFERROR(CH589/Instructions!$J$25,0)+CI589*Instructions!$J$27+CJ589*Instructions!$J$29+IFERROR(CK589/Instructions!$E$34,0)+CL589*Instructions!$E$36+Tier!CM589*Instructions!$E$25+IFERROR(CN589/Instructions!$E$27,0)+CO589*Instructions!$E$29+IFERROR((CP589+CR589)/Instructions!$J$32,0)+(CQ589+CS589)*Instructions!$J$34+Tier!CT589*-2</f>
        <v>20.100000000000001</v>
      </c>
      <c r="CV589" s="354"/>
      <c r="CW589"/>
      <c r="CX589"/>
      <c r="CY589"/>
      <c r="CZ589"/>
      <c r="DA589"/>
      <c r="DB589"/>
      <c r="DC589"/>
      <c r="DD589"/>
      <c r="DE589"/>
      <c r="DF589"/>
      <c r="DG589"/>
      <c r="DH589"/>
      <c r="DI589"/>
      <c r="DJ589"/>
      <c r="DK589"/>
      <c r="DL589"/>
      <c r="DM589"/>
      <c r="DN589"/>
    </row>
    <row r="590" spans="3:118" s="238" customFormat="1" ht="15.75" customHeight="1" x14ac:dyDescent="0.25">
      <c r="C590"/>
      <c r="D590"/>
      <c r="E590"/>
      <c r="F590"/>
      <c r="G590"/>
      <c r="H590"/>
      <c r="I590"/>
      <c r="J590"/>
      <c r="K590"/>
      <c r="L590"/>
      <c r="M590"/>
      <c r="N590"/>
      <c r="O590" s="366"/>
      <c r="P590" s="366">
        <v>2017</v>
      </c>
      <c r="Q590" s="367">
        <f>LARGE($CB$455:$CB$604,136)</f>
        <v>5.8</v>
      </c>
      <c r="R590" s="357">
        <f t="shared" si="153"/>
        <v>-166.26666666666668</v>
      </c>
      <c r="S590" s="356">
        <f t="shared" si="149"/>
        <v>27644.604444444449</v>
      </c>
      <c r="U590" s="356">
        <f t="shared" si="154"/>
        <v>-10.391666666666667</v>
      </c>
      <c r="V590" s="238">
        <f t="shared" si="151"/>
        <v>8</v>
      </c>
      <c r="W590" s="354"/>
      <c r="X590" s="366"/>
      <c r="Y590" s="366"/>
      <c r="Z590" s="238">
        <v>2017</v>
      </c>
      <c r="AA590" s="367">
        <f>LARGE($CU$455:$CU$604,136)</f>
        <v>22.4</v>
      </c>
      <c r="AB590" s="357">
        <f t="shared" si="155"/>
        <v>-170.13333333333333</v>
      </c>
      <c r="AC590" s="356">
        <f t="shared" si="150"/>
        <v>28945.351111111107</v>
      </c>
      <c r="AE590" s="356">
        <f t="shared" si="156"/>
        <v>-10.633333333333333</v>
      </c>
      <c r="AF590" s="238">
        <f t="shared" si="152"/>
        <v>8</v>
      </c>
      <c r="AG590" s="354"/>
      <c r="AK590"/>
      <c r="AL590"/>
      <c r="AM590"/>
      <c r="AN590"/>
      <c r="AO590"/>
      <c r="AP590"/>
      <c r="BI590" s="360"/>
      <c r="BJ590" s="354"/>
      <c r="BK590" s="366">
        <v>2017</v>
      </c>
      <c r="BL590" s="365" t="s">
        <v>1280</v>
      </c>
      <c r="BM590" s="366" t="s">
        <v>155</v>
      </c>
      <c r="BN590" s="366" t="s">
        <v>3</v>
      </c>
      <c r="BO590" s="366">
        <v>0</v>
      </c>
      <c r="BP590" s="366">
        <v>0</v>
      </c>
      <c r="BQ590" s="366">
        <v>0</v>
      </c>
      <c r="BR590" s="366">
        <v>30</v>
      </c>
      <c r="BS590" s="366">
        <v>0</v>
      </c>
      <c r="BT590" s="366">
        <v>0</v>
      </c>
      <c r="BU590" s="366">
        <v>0</v>
      </c>
      <c r="BV590" s="366">
        <v>0</v>
      </c>
      <c r="BW590" s="366">
        <v>0</v>
      </c>
      <c r="BX590" s="366">
        <v>0</v>
      </c>
      <c r="BY590" s="366">
        <v>83</v>
      </c>
      <c r="BZ590" s="366">
        <v>0</v>
      </c>
      <c r="CA590" s="366">
        <v>0</v>
      </c>
      <c r="CB590" s="367">
        <f>IFERROR(BO590/Instructions!$J$25,0)+BP590*Instructions!$J$27+BQ590*Instructions!$J$29+IFERROR(BR590/Instructions!$E$34,0)+BS590*Instructions!$E$36+Tier!BT591*Instructions!$E$25+IFERROR(BU590/Instructions!$E$27,0)+BV590*Instructions!$E$29+IFERROR((BW590+BY590)/Instructions!$J$32,0)+(BX590+BZ590)*Instructions!$J$34+Tier!CA590*-2</f>
        <v>5</v>
      </c>
      <c r="CC590" s="354"/>
      <c r="CD590" s="238">
        <v>2017</v>
      </c>
      <c r="CE590" s="365" t="s">
        <v>200</v>
      </c>
      <c r="CF590" s="366" t="s">
        <v>147</v>
      </c>
      <c r="CG590" s="366" t="s">
        <v>6</v>
      </c>
      <c r="CH590" s="366">
        <v>0</v>
      </c>
      <c r="CI590" s="366">
        <v>0</v>
      </c>
      <c r="CJ590" s="366">
        <v>0</v>
      </c>
      <c r="CK590" s="366">
        <v>32</v>
      </c>
      <c r="CL590" s="366">
        <v>1</v>
      </c>
      <c r="CM590" s="366">
        <v>2</v>
      </c>
      <c r="CN590" s="366">
        <v>47</v>
      </c>
      <c r="CO590" s="366">
        <v>0</v>
      </c>
      <c r="CP590" s="366">
        <v>0</v>
      </c>
      <c r="CQ590" s="366">
        <v>0</v>
      </c>
      <c r="CR590" s="366">
        <v>0</v>
      </c>
      <c r="CS590" s="366">
        <v>0</v>
      </c>
      <c r="CT590" s="366">
        <v>0</v>
      </c>
      <c r="CU590" s="367">
        <f>IFERROR(CH590/Instructions!$J$25,0)+CI590*Instructions!$J$27+CJ590*Instructions!$J$29+IFERROR(CK590/Instructions!$E$34,0)+CL590*Instructions!$E$36+Tier!CM590*Instructions!$E$25+IFERROR(CN590/Instructions!$E$27,0)+CO590*Instructions!$E$29+IFERROR((CP590+CR590)/Instructions!$J$32,0)+(CQ590+CS590)*Instructions!$J$34+Tier!CT590*-2</f>
        <v>15.899999999999999</v>
      </c>
      <c r="CV590" s="354"/>
      <c r="CW590"/>
      <c r="CX590"/>
      <c r="CY590"/>
      <c r="CZ590"/>
      <c r="DA590"/>
      <c r="DB590"/>
      <c r="DC590"/>
      <c r="DD590"/>
      <c r="DE590"/>
      <c r="DF590"/>
      <c r="DG590"/>
      <c r="DH590"/>
      <c r="DI590"/>
      <c r="DJ590"/>
      <c r="DK590"/>
      <c r="DL590"/>
      <c r="DM590"/>
      <c r="DN590"/>
    </row>
    <row r="591" spans="3:118" s="238" customFormat="1" ht="15.75" customHeight="1" x14ac:dyDescent="0.25">
      <c r="C591"/>
      <c r="D591"/>
      <c r="E591"/>
      <c r="F591"/>
      <c r="G591"/>
      <c r="H591"/>
      <c r="I591"/>
      <c r="J591"/>
      <c r="K591"/>
      <c r="L591"/>
      <c r="M591"/>
      <c r="N591"/>
      <c r="O591" s="366"/>
      <c r="P591" s="366">
        <v>2017</v>
      </c>
      <c r="Q591" s="367">
        <f>LARGE($CB$455:$CB$604,137)</f>
        <v>5.5</v>
      </c>
      <c r="R591" s="357">
        <f t="shared" si="153"/>
        <v>-166.56666666666669</v>
      </c>
      <c r="S591" s="356">
        <f t="shared" si="149"/>
        <v>27744.454444444451</v>
      </c>
      <c r="U591" s="356">
        <f t="shared" si="154"/>
        <v>-10.410416666666668</v>
      </c>
      <c r="V591" s="238">
        <f t="shared" si="151"/>
        <v>8</v>
      </c>
      <c r="W591" s="354"/>
      <c r="X591" s="366"/>
      <c r="Y591" s="366"/>
      <c r="Z591" s="238">
        <v>2017</v>
      </c>
      <c r="AA591" s="367">
        <f>LARGE($CU$455:$CU$604,137)</f>
        <v>20.8</v>
      </c>
      <c r="AB591" s="357">
        <f t="shared" si="155"/>
        <v>-171.73333333333332</v>
      </c>
      <c r="AC591" s="356">
        <f t="shared" si="150"/>
        <v>29492.337777777771</v>
      </c>
      <c r="AE591" s="356">
        <f t="shared" si="156"/>
        <v>-10.733333333333333</v>
      </c>
      <c r="AF591" s="238">
        <f t="shared" si="152"/>
        <v>8</v>
      </c>
      <c r="AG591" s="354"/>
      <c r="AK591"/>
      <c r="AL591"/>
      <c r="AM591"/>
      <c r="AN591"/>
      <c r="AO591"/>
      <c r="AP591"/>
      <c r="BI591" s="360"/>
      <c r="BJ591" s="354"/>
      <c r="BK591" s="366">
        <v>2017</v>
      </c>
      <c r="BL591" s="365" t="s">
        <v>1604</v>
      </c>
      <c r="BM591" s="366" t="s">
        <v>148</v>
      </c>
      <c r="BN591" s="366" t="s">
        <v>3</v>
      </c>
      <c r="BO591" s="366">
        <v>0</v>
      </c>
      <c r="BP591" s="366">
        <v>0</v>
      </c>
      <c r="BQ591" s="366">
        <v>0</v>
      </c>
      <c r="BR591" s="366">
        <v>8</v>
      </c>
      <c r="BS591" s="366">
        <v>0</v>
      </c>
      <c r="BT591" s="366">
        <v>2</v>
      </c>
      <c r="BU591" s="366">
        <v>20</v>
      </c>
      <c r="BV591" s="366">
        <v>0</v>
      </c>
      <c r="BW591" s="366">
        <v>0</v>
      </c>
      <c r="BX591" s="366">
        <v>0</v>
      </c>
      <c r="BY591" s="366">
        <v>0</v>
      </c>
      <c r="BZ591" s="366">
        <v>0</v>
      </c>
      <c r="CA591" s="366">
        <v>0</v>
      </c>
      <c r="CB591" s="367">
        <f>IFERROR(BO591/Instructions!$J$25,0)+BP591*Instructions!$J$27+BQ591*Instructions!$J$29+IFERROR(BR591/Instructions!$E$34,0)+BS591*Instructions!$E$36+Tier!BT592*Instructions!$E$25+IFERROR(BU591/Instructions!$E$27,0)+BV591*Instructions!$E$29+IFERROR((BW591+BY591)/Instructions!$J$32,0)+(BX591+BZ591)*Instructions!$J$34+Tier!CA591*-2</f>
        <v>5.8</v>
      </c>
      <c r="CC591" s="354"/>
      <c r="CD591" s="238">
        <v>2017</v>
      </c>
      <c r="CE591" s="365" t="s">
        <v>1113</v>
      </c>
      <c r="CF591" s="366" t="s">
        <v>158</v>
      </c>
      <c r="CG591" s="366" t="s">
        <v>6</v>
      </c>
      <c r="CH591" s="366">
        <v>0</v>
      </c>
      <c r="CI591" s="366">
        <v>0</v>
      </c>
      <c r="CJ591" s="366">
        <v>0</v>
      </c>
      <c r="CK591" s="366">
        <v>0</v>
      </c>
      <c r="CL591" s="366">
        <v>0</v>
      </c>
      <c r="CM591" s="366">
        <v>15</v>
      </c>
      <c r="CN591" s="366">
        <v>133</v>
      </c>
      <c r="CO591" s="366">
        <v>0</v>
      </c>
      <c r="CP591" s="366">
        <v>0</v>
      </c>
      <c r="CQ591" s="366">
        <v>0</v>
      </c>
      <c r="CR591" s="366">
        <v>0</v>
      </c>
      <c r="CS591" s="366">
        <v>0</v>
      </c>
      <c r="CT591" s="366">
        <v>0</v>
      </c>
      <c r="CU591" s="367">
        <f>IFERROR(CH591/Instructions!$J$25,0)+CI591*Instructions!$J$27+CJ591*Instructions!$J$29+IFERROR(CK591/Instructions!$E$34,0)+CL591*Instructions!$E$36+Tier!CM591*Instructions!$E$25+IFERROR(CN591/Instructions!$E$27,0)+CO591*Instructions!$E$29+IFERROR((CP591+CR591)/Instructions!$J$32,0)+(CQ591+CS591)*Instructions!$J$34+Tier!CT591*-2</f>
        <v>28.3</v>
      </c>
      <c r="CV591" s="354"/>
      <c r="CW591"/>
      <c r="CX591"/>
      <c r="CY591"/>
      <c r="CZ591"/>
      <c r="DA591"/>
      <c r="DB591"/>
      <c r="DC591"/>
      <c r="DD591"/>
      <c r="DE591"/>
      <c r="DF591"/>
      <c r="DG591"/>
      <c r="DH591"/>
      <c r="DI591"/>
      <c r="DJ591"/>
      <c r="DK591"/>
      <c r="DL591"/>
      <c r="DM591"/>
      <c r="DN591"/>
    </row>
    <row r="592" spans="3:118" s="238" customFormat="1" ht="15.75" customHeight="1" x14ac:dyDescent="0.25">
      <c r="C592"/>
      <c r="D592"/>
      <c r="E592"/>
      <c r="F592"/>
      <c r="G592"/>
      <c r="H592"/>
      <c r="I592"/>
      <c r="J592"/>
      <c r="K592"/>
      <c r="L592"/>
      <c r="M592"/>
      <c r="N592"/>
      <c r="O592" s="366"/>
      <c r="P592" s="366">
        <v>2017</v>
      </c>
      <c r="Q592" s="367">
        <f>LARGE($CB$455:$CB$604,138)</f>
        <v>5.0999999999999996</v>
      </c>
      <c r="R592" s="357">
        <f t="shared" si="153"/>
        <v>-166.9666666666667</v>
      </c>
      <c r="S592" s="356">
        <f t="shared" si="149"/>
        <v>27877.867777777788</v>
      </c>
      <c r="U592" s="356">
        <f t="shared" si="154"/>
        <v>-10.435416666666669</v>
      </c>
      <c r="V592" s="238">
        <f t="shared" si="151"/>
        <v>8</v>
      </c>
      <c r="W592" s="354"/>
      <c r="X592" s="366"/>
      <c r="Y592" s="366"/>
      <c r="Z592" s="238">
        <v>2017</v>
      </c>
      <c r="AA592" s="367">
        <f>LARGE($CU$455:$CU$604,138)</f>
        <v>20.5</v>
      </c>
      <c r="AB592" s="357">
        <f t="shared" si="155"/>
        <v>-172.03333333333333</v>
      </c>
      <c r="AC592" s="356">
        <f t="shared" si="150"/>
        <v>29595.467777777776</v>
      </c>
      <c r="AE592" s="356">
        <f t="shared" si="156"/>
        <v>-10.752083333333333</v>
      </c>
      <c r="AF592" s="238">
        <f t="shared" si="152"/>
        <v>8</v>
      </c>
      <c r="AG592" s="354"/>
      <c r="AK592"/>
      <c r="AL592"/>
      <c r="AM592"/>
      <c r="AN592"/>
      <c r="AO592"/>
      <c r="AP592"/>
      <c r="BI592" s="360"/>
      <c r="BJ592" s="354"/>
      <c r="BK592" s="366">
        <v>2017</v>
      </c>
      <c r="BL592" s="365" t="s">
        <v>1824</v>
      </c>
      <c r="BM592" s="366" t="s">
        <v>166</v>
      </c>
      <c r="BN592" s="366" t="s">
        <v>3</v>
      </c>
      <c r="BO592" s="366">
        <v>0</v>
      </c>
      <c r="BP592" s="366">
        <v>0</v>
      </c>
      <c r="BQ592" s="366">
        <v>0</v>
      </c>
      <c r="BR592" s="366">
        <v>0</v>
      </c>
      <c r="BS592" s="366">
        <v>0</v>
      </c>
      <c r="BT592" s="366">
        <v>3</v>
      </c>
      <c r="BU592" s="366">
        <v>27</v>
      </c>
      <c r="BV592" s="366">
        <v>0</v>
      </c>
      <c r="BW592" s="366">
        <v>0</v>
      </c>
      <c r="BX592" s="366">
        <v>0</v>
      </c>
      <c r="BY592" s="366">
        <v>0</v>
      </c>
      <c r="BZ592" s="366">
        <v>0</v>
      </c>
      <c r="CA592" s="366">
        <v>0</v>
      </c>
      <c r="CB592" s="367">
        <f>IFERROR(BO592/Instructions!$J$25,0)+BP592*Instructions!$J$27+BQ592*Instructions!$J$29+IFERROR(BR592/Instructions!$E$34,0)+BS592*Instructions!$E$36+Tier!BT593*Instructions!$E$25+IFERROR(BU592/Instructions!$E$27,0)+BV592*Instructions!$E$29+IFERROR((BW592+BY592)/Instructions!$J$32,0)+(BX592+BZ592)*Instructions!$J$34+Tier!CA592*-2</f>
        <v>9.6999999999999993</v>
      </c>
      <c r="CC592" s="354"/>
      <c r="CD592" s="238">
        <v>2017</v>
      </c>
      <c r="CE592" s="365" t="s">
        <v>1246</v>
      </c>
      <c r="CF592" s="366" t="s">
        <v>159</v>
      </c>
      <c r="CG592" s="366" t="s">
        <v>6</v>
      </c>
      <c r="CH592" s="366">
        <v>0</v>
      </c>
      <c r="CI592" s="366">
        <v>0</v>
      </c>
      <c r="CJ592" s="366">
        <v>0</v>
      </c>
      <c r="CK592" s="366">
        <v>0</v>
      </c>
      <c r="CL592" s="366">
        <v>0</v>
      </c>
      <c r="CM592" s="366">
        <v>8</v>
      </c>
      <c r="CN592" s="366">
        <v>128</v>
      </c>
      <c r="CO592" s="366">
        <v>0</v>
      </c>
      <c r="CP592" s="366">
        <v>0</v>
      </c>
      <c r="CQ592" s="366">
        <v>0</v>
      </c>
      <c r="CR592" s="366">
        <v>0</v>
      </c>
      <c r="CS592" s="366">
        <v>0</v>
      </c>
      <c r="CT592" s="366">
        <v>0</v>
      </c>
      <c r="CU592" s="367">
        <f>IFERROR(CH592/Instructions!$J$25,0)+CI592*Instructions!$J$27+CJ592*Instructions!$J$29+IFERROR(CK592/Instructions!$E$34,0)+CL592*Instructions!$E$36+Tier!CM592*Instructions!$E$25+IFERROR(CN592/Instructions!$E$27,0)+CO592*Instructions!$E$29+IFERROR((CP592+CR592)/Instructions!$J$32,0)+(CQ592+CS592)*Instructions!$J$34+Tier!CT592*-2</f>
        <v>20.8</v>
      </c>
      <c r="CV592" s="354"/>
      <c r="CW592"/>
      <c r="CX592"/>
      <c r="CY592"/>
      <c r="CZ592"/>
      <c r="DA592"/>
      <c r="DB592"/>
      <c r="DC592"/>
      <c r="DD592"/>
      <c r="DE592"/>
      <c r="DF592"/>
      <c r="DG592"/>
      <c r="DH592"/>
      <c r="DI592"/>
      <c r="DJ592"/>
      <c r="DK592"/>
      <c r="DL592"/>
      <c r="DM592"/>
      <c r="DN592"/>
    </row>
    <row r="593" spans="3:118" s="238" customFormat="1" ht="15.75" customHeight="1" x14ac:dyDescent="0.25">
      <c r="C593"/>
      <c r="D593"/>
      <c r="E593"/>
      <c r="F593"/>
      <c r="G593"/>
      <c r="H593"/>
      <c r="I593"/>
      <c r="J593"/>
      <c r="K593"/>
      <c r="L593"/>
      <c r="M593"/>
      <c r="N593"/>
      <c r="O593" s="366"/>
      <c r="P593" s="366">
        <v>2017</v>
      </c>
      <c r="Q593" s="367">
        <f>LARGE($CB$455:$CB$604,139)</f>
        <v>5</v>
      </c>
      <c r="R593" s="357">
        <f t="shared" si="153"/>
        <v>-167.06666666666669</v>
      </c>
      <c r="S593" s="356">
        <f t="shared" si="149"/>
        <v>27911.27111111112</v>
      </c>
      <c r="U593" s="356">
        <f t="shared" si="154"/>
        <v>-10.441666666666668</v>
      </c>
      <c r="V593" s="238">
        <f t="shared" si="151"/>
        <v>8</v>
      </c>
      <c r="W593" s="354"/>
      <c r="X593" s="366"/>
      <c r="Y593" s="366"/>
      <c r="Z593" s="238">
        <v>2017</v>
      </c>
      <c r="AA593" s="367">
        <f>LARGE($CU$455:$CU$604,139)</f>
        <v>20.100000000000001</v>
      </c>
      <c r="AB593" s="357">
        <f t="shared" si="155"/>
        <v>-172.43333333333334</v>
      </c>
      <c r="AC593" s="356">
        <f t="shared" si="150"/>
        <v>29733.254444444447</v>
      </c>
      <c r="AE593" s="356">
        <f t="shared" si="156"/>
        <v>-10.777083333333334</v>
      </c>
      <c r="AF593" s="238">
        <f t="shared" si="152"/>
        <v>8</v>
      </c>
      <c r="AG593" s="354"/>
      <c r="AK593"/>
      <c r="AL593"/>
      <c r="AM593"/>
      <c r="AN593"/>
      <c r="AO593"/>
      <c r="AP593"/>
      <c r="BI593" s="360"/>
      <c r="BJ593" s="354"/>
      <c r="BK593" s="366">
        <v>2017</v>
      </c>
      <c r="BL593" s="365" t="s">
        <v>1234</v>
      </c>
      <c r="BM593" s="366" t="s">
        <v>156</v>
      </c>
      <c r="BN593" s="366" t="s">
        <v>3</v>
      </c>
      <c r="BO593" s="366">
        <v>0</v>
      </c>
      <c r="BP593" s="366">
        <v>0</v>
      </c>
      <c r="BQ593" s="366">
        <v>0</v>
      </c>
      <c r="BR593" s="366">
        <v>-2</v>
      </c>
      <c r="BS593" s="366">
        <v>0</v>
      </c>
      <c r="BT593" s="366">
        <v>7</v>
      </c>
      <c r="BU593" s="366">
        <v>28</v>
      </c>
      <c r="BV593" s="366">
        <v>0</v>
      </c>
      <c r="BW593" s="366">
        <v>0</v>
      </c>
      <c r="BX593" s="366">
        <v>0</v>
      </c>
      <c r="BY593" s="366">
        <v>24</v>
      </c>
      <c r="BZ593" s="366">
        <v>0</v>
      </c>
      <c r="CA593" s="366">
        <v>0</v>
      </c>
      <c r="CB593" s="367">
        <f>IFERROR(BO593/Instructions!$J$25,0)+BP593*Instructions!$J$27+BQ593*Instructions!$J$29+IFERROR(BR593/Instructions!$E$34,0)+BS593*Instructions!$E$36+Tier!BT594*Instructions!$E$25+IFERROR(BU593/Instructions!$E$27,0)+BV593*Instructions!$E$29+IFERROR((BW593+BY593)/Instructions!$J$32,0)+(BX593+BZ593)*Instructions!$J$34+Tier!CA593*-2</f>
        <v>2.5999999999999996</v>
      </c>
      <c r="CC593" s="354"/>
      <c r="CD593" s="238">
        <v>2017</v>
      </c>
      <c r="CE593" s="365" t="s">
        <v>1438</v>
      </c>
      <c r="CF593" s="366" t="s">
        <v>145</v>
      </c>
      <c r="CG593" s="366" t="s">
        <v>6</v>
      </c>
      <c r="CH593" s="366">
        <v>0</v>
      </c>
      <c r="CI593" s="366">
        <v>0</v>
      </c>
      <c r="CJ593" s="366">
        <v>0</v>
      </c>
      <c r="CK593" s="366">
        <v>2</v>
      </c>
      <c r="CL593" s="366">
        <v>0</v>
      </c>
      <c r="CM593" s="366">
        <v>6</v>
      </c>
      <c r="CN593" s="366">
        <v>63</v>
      </c>
      <c r="CO593" s="366">
        <v>1</v>
      </c>
      <c r="CP593" s="366">
        <v>0</v>
      </c>
      <c r="CQ593" s="366">
        <v>0</v>
      </c>
      <c r="CR593" s="366">
        <v>0</v>
      </c>
      <c r="CS593" s="366">
        <v>0</v>
      </c>
      <c r="CT593" s="366">
        <v>0</v>
      </c>
      <c r="CU593" s="367">
        <f>IFERROR(CH593/Instructions!$J$25,0)+CI593*Instructions!$J$27+CJ593*Instructions!$J$29+IFERROR(CK593/Instructions!$E$34,0)+CL593*Instructions!$E$36+Tier!CM593*Instructions!$E$25+IFERROR(CN593/Instructions!$E$27,0)+CO593*Instructions!$E$29+IFERROR((CP593+CR593)/Instructions!$J$32,0)+(CQ593+CS593)*Instructions!$J$34+Tier!CT593*-2</f>
        <v>18.5</v>
      </c>
      <c r="CV593" s="354"/>
      <c r="CW593"/>
      <c r="CX593"/>
      <c r="CY593"/>
      <c r="CZ593"/>
      <c r="DA593"/>
      <c r="DB593"/>
      <c r="DC593"/>
      <c r="DD593"/>
      <c r="DE593"/>
      <c r="DF593"/>
      <c r="DG593"/>
      <c r="DH593"/>
      <c r="DI593"/>
      <c r="DJ593"/>
      <c r="DK593"/>
      <c r="DL593"/>
      <c r="DM593"/>
      <c r="DN593"/>
    </row>
    <row r="594" spans="3:118" s="238" customFormat="1" ht="15.75" customHeight="1" x14ac:dyDescent="0.25">
      <c r="C594"/>
      <c r="D594"/>
      <c r="E594"/>
      <c r="F594"/>
      <c r="G594"/>
      <c r="H594"/>
      <c r="I594"/>
      <c r="J594"/>
      <c r="K594"/>
      <c r="L594"/>
      <c r="M594"/>
      <c r="N594"/>
      <c r="O594" s="366"/>
      <c r="P594" s="366">
        <v>2017</v>
      </c>
      <c r="Q594" s="367">
        <f>LARGE($CB$455:$CB$604,140)</f>
        <v>4.4000000000000004</v>
      </c>
      <c r="R594" s="357">
        <f t="shared" si="153"/>
        <v>-167.66666666666669</v>
      </c>
      <c r="S594" s="356">
        <f t="shared" si="149"/>
        <v>28112.111111111117</v>
      </c>
      <c r="U594" s="356">
        <f t="shared" si="154"/>
        <v>-10.479166666666668</v>
      </c>
      <c r="V594" s="238">
        <f t="shared" si="151"/>
        <v>8</v>
      </c>
      <c r="W594" s="354"/>
      <c r="X594" s="366"/>
      <c r="Y594" s="366"/>
      <c r="Z594" s="238">
        <v>2017</v>
      </c>
      <c r="AA594" s="367">
        <f>LARGE($CU$455:$CU$604,140)</f>
        <v>18.5</v>
      </c>
      <c r="AB594" s="357">
        <f t="shared" si="155"/>
        <v>-174.03333333333333</v>
      </c>
      <c r="AC594" s="356">
        <f t="shared" si="150"/>
        <v>30287.601111111111</v>
      </c>
      <c r="AE594" s="356">
        <f t="shared" si="156"/>
        <v>-10.877083333333333</v>
      </c>
      <c r="AF594" s="238">
        <f t="shared" si="152"/>
        <v>8</v>
      </c>
      <c r="AG594" s="354"/>
      <c r="AK594"/>
      <c r="AL594"/>
      <c r="AM594"/>
      <c r="AN594"/>
      <c r="AO594"/>
      <c r="AP594"/>
      <c r="BI594" s="360"/>
      <c r="BJ594" s="354"/>
      <c r="BK594" s="366">
        <v>2017</v>
      </c>
      <c r="BL594" s="365" t="s">
        <v>183</v>
      </c>
      <c r="BM594" s="366" t="s">
        <v>1388</v>
      </c>
      <c r="BN594" s="366" t="s">
        <v>3</v>
      </c>
      <c r="BO594" s="366">
        <v>0</v>
      </c>
      <c r="BP594" s="366">
        <v>0</v>
      </c>
      <c r="BQ594" s="366">
        <v>0</v>
      </c>
      <c r="BR594" s="366">
        <v>25</v>
      </c>
      <c r="BS594" s="366">
        <v>0</v>
      </c>
      <c r="BT594" s="366">
        <v>0</v>
      </c>
      <c r="BU594" s="366">
        <v>0</v>
      </c>
      <c r="BV594" s="366">
        <v>0</v>
      </c>
      <c r="BW594" s="366">
        <v>0</v>
      </c>
      <c r="BX594" s="366">
        <v>0</v>
      </c>
      <c r="BY594" s="366">
        <v>0</v>
      </c>
      <c r="BZ594" s="366">
        <v>0</v>
      </c>
      <c r="CA594" s="366">
        <v>0</v>
      </c>
      <c r="CB594" s="367">
        <f>IFERROR(BO594/Instructions!$J$25,0)+BP594*Instructions!$J$27+BQ594*Instructions!$J$29+IFERROR(BR594/Instructions!$E$34,0)+BS594*Instructions!$E$36+Tier!BT595*Instructions!$E$25+IFERROR(BU594/Instructions!$E$27,0)+BV594*Instructions!$E$29+IFERROR((BW594+BY594)/Instructions!$J$32,0)+(BX594+BZ594)*Instructions!$J$34+Tier!CA594*-2</f>
        <v>5.5</v>
      </c>
      <c r="CC594" s="354"/>
      <c r="CD594" s="238">
        <v>2017</v>
      </c>
      <c r="CE594" s="365" t="s">
        <v>1396</v>
      </c>
      <c r="CF594" s="366" t="s">
        <v>152</v>
      </c>
      <c r="CG594" s="366" t="s">
        <v>6</v>
      </c>
      <c r="CH594" s="366">
        <v>0</v>
      </c>
      <c r="CI594" s="366">
        <v>0</v>
      </c>
      <c r="CJ594" s="366">
        <v>0</v>
      </c>
      <c r="CK594" s="366">
        <v>0</v>
      </c>
      <c r="CL594" s="366">
        <v>0</v>
      </c>
      <c r="CM594" s="366">
        <v>4</v>
      </c>
      <c r="CN594" s="366">
        <v>62</v>
      </c>
      <c r="CO594" s="366">
        <v>1</v>
      </c>
      <c r="CP594" s="366">
        <v>0</v>
      </c>
      <c r="CQ594" s="366">
        <v>0</v>
      </c>
      <c r="CR594" s="366">
        <v>71</v>
      </c>
      <c r="CS594" s="366">
        <v>0</v>
      </c>
      <c r="CT594" s="366">
        <v>0</v>
      </c>
      <c r="CU594" s="367">
        <f>IFERROR(CH594/Instructions!$J$25,0)+CI594*Instructions!$J$27+CJ594*Instructions!$J$29+IFERROR(CK594/Instructions!$E$34,0)+CL594*Instructions!$E$36+Tier!CM594*Instructions!$E$25+IFERROR(CN594/Instructions!$E$27,0)+CO594*Instructions!$E$29+IFERROR((CP594+CR594)/Instructions!$J$32,0)+(CQ594+CS594)*Instructions!$J$34+Tier!CT594*-2</f>
        <v>16.2</v>
      </c>
      <c r="CV594" s="354"/>
      <c r="CW594"/>
      <c r="CX594"/>
      <c r="CY594"/>
      <c r="CZ594"/>
      <c r="DA594"/>
      <c r="DB594"/>
      <c r="DC594"/>
      <c r="DD594"/>
      <c r="DE594"/>
      <c r="DF594"/>
      <c r="DG594"/>
      <c r="DH594"/>
      <c r="DI594"/>
      <c r="DJ594"/>
      <c r="DK594"/>
      <c r="DL594"/>
      <c r="DM594"/>
      <c r="DN594"/>
    </row>
    <row r="595" spans="3:118" s="238" customFormat="1" ht="15.75" customHeight="1" x14ac:dyDescent="0.25">
      <c r="C595"/>
      <c r="D595"/>
      <c r="E595"/>
      <c r="F595"/>
      <c r="G595"/>
      <c r="H595"/>
      <c r="I595"/>
      <c r="J595"/>
      <c r="K595"/>
      <c r="L595"/>
      <c r="M595"/>
      <c r="N595"/>
      <c r="O595" s="366"/>
      <c r="P595" s="366">
        <v>2017</v>
      </c>
      <c r="Q595" s="367">
        <f>LARGE($CB$455:$CB$604,141)</f>
        <v>3.9</v>
      </c>
      <c r="R595" s="357">
        <f t="shared" si="153"/>
        <v>-168.16666666666669</v>
      </c>
      <c r="S595" s="356">
        <f t="shared" si="149"/>
        <v>28280.027777777785</v>
      </c>
      <c r="U595" s="356">
        <f t="shared" si="154"/>
        <v>-10.510416666666668</v>
      </c>
      <c r="V595" s="238">
        <f t="shared" si="151"/>
        <v>8</v>
      </c>
      <c r="W595" s="354"/>
      <c r="X595" s="366"/>
      <c r="Y595" s="366"/>
      <c r="Z595" s="238">
        <v>2017</v>
      </c>
      <c r="AA595" s="367">
        <f>LARGE($CU$455:$CU$604,141)</f>
        <v>18.399999999999999</v>
      </c>
      <c r="AB595" s="357">
        <f t="shared" si="155"/>
        <v>-174.13333333333333</v>
      </c>
      <c r="AC595" s="356">
        <f t="shared" si="150"/>
        <v>30322.417777777777</v>
      </c>
      <c r="AE595" s="356">
        <f t="shared" si="156"/>
        <v>-10.883333333333333</v>
      </c>
      <c r="AF595" s="238">
        <f t="shared" si="152"/>
        <v>8</v>
      </c>
      <c r="AG595" s="354"/>
      <c r="AK595"/>
      <c r="AL595"/>
      <c r="AM595"/>
      <c r="AN595"/>
      <c r="AO595"/>
      <c r="AP595"/>
      <c r="BI595" s="360"/>
      <c r="BJ595" s="354"/>
      <c r="BK595" s="366">
        <v>2017</v>
      </c>
      <c r="BL595" s="365" t="s">
        <v>1209</v>
      </c>
      <c r="BM595" s="366" t="s">
        <v>158</v>
      </c>
      <c r="BN595" s="366" t="s">
        <v>3</v>
      </c>
      <c r="BO595" s="366">
        <v>0</v>
      </c>
      <c r="BP595" s="366">
        <v>0</v>
      </c>
      <c r="BQ595" s="366">
        <v>0</v>
      </c>
      <c r="BR595" s="366">
        <v>5</v>
      </c>
      <c r="BS595" s="366">
        <v>0</v>
      </c>
      <c r="BT595" s="366">
        <v>3</v>
      </c>
      <c r="BU595" s="366">
        <v>16</v>
      </c>
      <c r="BV595" s="366">
        <v>0</v>
      </c>
      <c r="BW595" s="366">
        <v>0</v>
      </c>
      <c r="BX595" s="366">
        <v>0</v>
      </c>
      <c r="BY595" s="366">
        <v>86</v>
      </c>
      <c r="BZ595" s="366">
        <v>0</v>
      </c>
      <c r="CA595" s="366">
        <v>0</v>
      </c>
      <c r="CB595" s="367">
        <f>IFERROR(BO595/Instructions!$J$25,0)+BP595*Instructions!$J$27+BQ595*Instructions!$J$29+IFERROR(BR595/Instructions!$E$34,0)+BS595*Instructions!$E$36+Tier!BT596*Instructions!$E$25+IFERROR(BU595/Instructions!$E$27,0)+BV595*Instructions!$E$29+IFERROR((BW595+BY595)/Instructions!$J$32,0)+(BX595+BZ595)*Instructions!$J$34+Tier!CA595*-2</f>
        <v>2.1</v>
      </c>
      <c r="CC595" s="354"/>
      <c r="CD595" s="238">
        <v>2017</v>
      </c>
      <c r="CE595" s="365" t="s">
        <v>1809</v>
      </c>
      <c r="CF595" s="366" t="s">
        <v>148</v>
      </c>
      <c r="CG595" s="366" t="s">
        <v>6</v>
      </c>
      <c r="CH595" s="366">
        <v>0</v>
      </c>
      <c r="CI595" s="366">
        <v>0</v>
      </c>
      <c r="CJ595" s="366">
        <v>0</v>
      </c>
      <c r="CK595" s="366">
        <v>0</v>
      </c>
      <c r="CL595" s="366">
        <v>0</v>
      </c>
      <c r="CM595" s="366">
        <v>2</v>
      </c>
      <c r="CN595" s="366">
        <v>60</v>
      </c>
      <c r="CO595" s="366">
        <v>1</v>
      </c>
      <c r="CP595" s="366">
        <v>0</v>
      </c>
      <c r="CQ595" s="366">
        <v>0</v>
      </c>
      <c r="CR595" s="366">
        <v>0</v>
      </c>
      <c r="CS595" s="366">
        <v>0</v>
      </c>
      <c r="CT595" s="366">
        <v>0</v>
      </c>
      <c r="CU595" s="367">
        <f>IFERROR(CH595/Instructions!$J$25,0)+CI595*Instructions!$J$27+CJ595*Instructions!$J$29+IFERROR(CK595/Instructions!$E$34,0)+CL595*Instructions!$E$36+Tier!CM595*Instructions!$E$25+IFERROR(CN595/Instructions!$E$27,0)+CO595*Instructions!$E$29+IFERROR((CP595+CR595)/Instructions!$J$32,0)+(CQ595+CS595)*Instructions!$J$34+Tier!CT595*-2</f>
        <v>14</v>
      </c>
      <c r="CV595" s="354"/>
      <c r="CW595"/>
      <c r="CX595"/>
      <c r="CY595"/>
      <c r="CZ595"/>
      <c r="DA595"/>
      <c r="DB595"/>
      <c r="DC595"/>
      <c r="DD595"/>
      <c r="DE595"/>
      <c r="DF595"/>
      <c r="DG595"/>
      <c r="DH595"/>
      <c r="DI595"/>
      <c r="DJ595"/>
      <c r="DK595"/>
      <c r="DL595"/>
      <c r="DM595"/>
      <c r="DN595"/>
    </row>
    <row r="596" spans="3:118" s="238" customFormat="1" ht="15.75" customHeight="1" x14ac:dyDescent="0.25">
      <c r="C596"/>
      <c r="D596"/>
      <c r="E596"/>
      <c r="F596"/>
      <c r="G596"/>
      <c r="H596"/>
      <c r="I596"/>
      <c r="J596"/>
      <c r="K596"/>
      <c r="L596"/>
      <c r="M596"/>
      <c r="N596"/>
      <c r="O596" s="366"/>
      <c r="P596" s="366">
        <v>2017</v>
      </c>
      <c r="Q596" s="367">
        <f>LARGE($CB$455:$CB$604,142)</f>
        <v>3.1</v>
      </c>
      <c r="R596" s="357">
        <f t="shared" si="153"/>
        <v>-168.9666666666667</v>
      </c>
      <c r="S596" s="356">
        <f t="shared" si="149"/>
        <v>28549.734444444453</v>
      </c>
      <c r="U596" s="356">
        <f t="shared" si="154"/>
        <v>-10.560416666666669</v>
      </c>
      <c r="V596" s="238">
        <f t="shared" si="151"/>
        <v>8</v>
      </c>
      <c r="W596" s="354"/>
      <c r="X596" s="366"/>
      <c r="Y596" s="366"/>
      <c r="Z596" s="238">
        <v>2017</v>
      </c>
      <c r="AA596" s="367">
        <f>LARGE($CU$455:$CU$604,142)</f>
        <v>18.100000000000001</v>
      </c>
      <c r="AB596" s="357">
        <f t="shared" si="155"/>
        <v>-174.43333333333334</v>
      </c>
      <c r="AC596" s="356">
        <f t="shared" si="150"/>
        <v>30426.98777777778</v>
      </c>
      <c r="AE596" s="356">
        <f t="shared" si="156"/>
        <v>-10.902083333333334</v>
      </c>
      <c r="AF596" s="238">
        <f t="shared" si="152"/>
        <v>8</v>
      </c>
      <c r="AG596" s="354"/>
      <c r="AK596"/>
      <c r="AL596"/>
      <c r="AM596"/>
      <c r="AN596"/>
      <c r="AO596"/>
      <c r="AP596"/>
      <c r="BI596" s="360"/>
      <c r="BJ596" s="354"/>
      <c r="BK596" s="366">
        <v>2017</v>
      </c>
      <c r="BL596" s="365" t="s">
        <v>1760</v>
      </c>
      <c r="BM596" s="366" t="s">
        <v>163</v>
      </c>
      <c r="BN596" s="366" t="s">
        <v>3</v>
      </c>
      <c r="BO596" s="366">
        <v>0</v>
      </c>
      <c r="BP596" s="366">
        <v>0</v>
      </c>
      <c r="BQ596" s="366">
        <v>0</v>
      </c>
      <c r="BR596" s="366">
        <v>21</v>
      </c>
      <c r="BS596" s="366">
        <v>0</v>
      </c>
      <c r="BT596" s="366">
        <v>0</v>
      </c>
      <c r="BU596" s="366">
        <v>0</v>
      </c>
      <c r="BV596" s="366">
        <v>0</v>
      </c>
      <c r="BW596" s="366">
        <v>0</v>
      </c>
      <c r="BX596" s="366">
        <v>0</v>
      </c>
      <c r="BY596" s="366">
        <v>0</v>
      </c>
      <c r="BZ596" s="366">
        <v>0</v>
      </c>
      <c r="CA596" s="366">
        <v>0</v>
      </c>
      <c r="CB596" s="367">
        <f>IFERROR(BO596/Instructions!$J$25,0)+BP596*Instructions!$J$27+BQ596*Instructions!$J$29+IFERROR(BR596/Instructions!$E$34,0)+BS596*Instructions!$E$36+Tier!BT597*Instructions!$E$25+IFERROR(BU596/Instructions!$E$27,0)+BV596*Instructions!$E$29+IFERROR((BW596+BY596)/Instructions!$J$32,0)+(BX596+BZ596)*Instructions!$J$34+Tier!CA596*-2</f>
        <v>7.1</v>
      </c>
      <c r="CC596" s="354"/>
      <c r="CD596" s="238">
        <v>2017</v>
      </c>
      <c r="CE596" s="365" t="s">
        <v>1797</v>
      </c>
      <c r="CF596" s="366" t="s">
        <v>144</v>
      </c>
      <c r="CG596" s="366" t="s">
        <v>6</v>
      </c>
      <c r="CH596" s="366">
        <v>0</v>
      </c>
      <c r="CI596" s="366">
        <v>0</v>
      </c>
      <c r="CJ596" s="366">
        <v>0</v>
      </c>
      <c r="CK596" s="366">
        <v>0</v>
      </c>
      <c r="CL596" s="366">
        <v>0</v>
      </c>
      <c r="CM596" s="366">
        <v>5</v>
      </c>
      <c r="CN596" s="366">
        <v>54</v>
      </c>
      <c r="CO596" s="366">
        <v>1</v>
      </c>
      <c r="CP596" s="366">
        <v>74</v>
      </c>
      <c r="CQ596" s="366">
        <v>0</v>
      </c>
      <c r="CR596" s="366">
        <v>19</v>
      </c>
      <c r="CS596" s="366">
        <v>0</v>
      </c>
      <c r="CT596" s="366">
        <v>0</v>
      </c>
      <c r="CU596" s="367">
        <f>IFERROR(CH596/Instructions!$J$25,0)+CI596*Instructions!$J$27+CJ596*Instructions!$J$29+IFERROR(CK596/Instructions!$E$34,0)+CL596*Instructions!$E$36+Tier!CM596*Instructions!$E$25+IFERROR(CN596/Instructions!$E$27,0)+CO596*Instructions!$E$29+IFERROR((CP596+CR596)/Instructions!$J$32,0)+(CQ596+CS596)*Instructions!$J$34+Tier!CT596*-2</f>
        <v>16.399999999999999</v>
      </c>
      <c r="CV596" s="354"/>
      <c r="CW596"/>
      <c r="CX596"/>
      <c r="CY596"/>
      <c r="CZ596"/>
      <c r="DA596"/>
      <c r="DB596"/>
      <c r="DC596"/>
      <c r="DD596"/>
      <c r="DE596"/>
      <c r="DF596"/>
      <c r="DG596"/>
      <c r="DH596"/>
      <c r="DI596"/>
      <c r="DJ596"/>
      <c r="DK596"/>
      <c r="DL596"/>
      <c r="DM596"/>
      <c r="DN596"/>
    </row>
    <row r="597" spans="3:118" s="238" customFormat="1" ht="15.75" customHeight="1" x14ac:dyDescent="0.25">
      <c r="C597"/>
      <c r="D597"/>
      <c r="E597"/>
      <c r="F597"/>
      <c r="G597"/>
      <c r="H597"/>
      <c r="I597"/>
      <c r="J597"/>
      <c r="K597"/>
      <c r="L597"/>
      <c r="M597"/>
      <c r="N597"/>
      <c r="O597" s="366"/>
      <c r="P597" s="366">
        <v>2017</v>
      </c>
      <c r="Q597" s="367">
        <f>LARGE($CB$455:$CB$604,143)</f>
        <v>2.5999999999999996</v>
      </c>
      <c r="R597" s="357">
        <f t="shared" si="153"/>
        <v>-169.4666666666667</v>
      </c>
      <c r="S597" s="356">
        <f t="shared" si="149"/>
        <v>28718.951111111121</v>
      </c>
      <c r="U597" s="356">
        <f t="shared" si="154"/>
        <v>-10.591666666666669</v>
      </c>
      <c r="V597" s="238">
        <f t="shared" si="151"/>
        <v>8</v>
      </c>
      <c r="W597" s="354"/>
      <c r="X597" s="366"/>
      <c r="Y597" s="366"/>
      <c r="Z597" s="238">
        <v>2017</v>
      </c>
      <c r="AA597" s="367">
        <f>LARGE($CU$455:$CU$604,143)</f>
        <v>16.899999999999999</v>
      </c>
      <c r="AB597" s="357">
        <f t="shared" si="155"/>
        <v>-175.63333333333333</v>
      </c>
      <c r="AC597" s="356">
        <f t="shared" si="150"/>
        <v>30847.067777777775</v>
      </c>
      <c r="AE597" s="356">
        <f t="shared" si="156"/>
        <v>-10.977083333333333</v>
      </c>
      <c r="AF597" s="238">
        <f t="shared" si="152"/>
        <v>8</v>
      </c>
      <c r="AG597" s="354"/>
      <c r="AK597"/>
      <c r="AL597"/>
      <c r="AM597"/>
      <c r="AN597"/>
      <c r="AO597"/>
      <c r="AP597"/>
      <c r="BI597" s="360"/>
      <c r="BJ597" s="354"/>
      <c r="BK597" s="366">
        <v>2017</v>
      </c>
      <c r="BL597" s="365" t="s">
        <v>1603</v>
      </c>
      <c r="BM597" s="366" t="s">
        <v>162</v>
      </c>
      <c r="BN597" s="366" t="s">
        <v>3</v>
      </c>
      <c r="BO597" s="366">
        <v>0</v>
      </c>
      <c r="BP597" s="366">
        <v>0</v>
      </c>
      <c r="BQ597" s="366">
        <v>0</v>
      </c>
      <c r="BR597" s="366">
        <v>2</v>
      </c>
      <c r="BS597" s="366">
        <v>0</v>
      </c>
      <c r="BT597" s="366">
        <v>5</v>
      </c>
      <c r="BU597" s="366">
        <v>18</v>
      </c>
      <c r="BV597" s="366">
        <v>0</v>
      </c>
      <c r="BW597" s="366">
        <v>22</v>
      </c>
      <c r="BX597" s="366">
        <v>0</v>
      </c>
      <c r="BY597" s="366">
        <v>338</v>
      </c>
      <c r="BZ597" s="366">
        <v>1</v>
      </c>
      <c r="CA597" s="366">
        <v>0</v>
      </c>
      <c r="CB597" s="367">
        <f>IFERROR(BO597/Instructions!$J$25,0)+BP597*Instructions!$J$27+BQ597*Instructions!$J$29+IFERROR(BR597/Instructions!$E$34,0)+BS597*Instructions!$E$36+Tier!BT598*Instructions!$E$25+IFERROR(BU597/Instructions!$E$27,0)+BV597*Instructions!$E$29+IFERROR((BW597+BY597)/Instructions!$J$32,0)+(BX597+BZ597)*Instructions!$J$34+Tier!CA597*-2</f>
        <v>11</v>
      </c>
      <c r="CC597" s="354"/>
      <c r="CD597" s="238">
        <v>2017</v>
      </c>
      <c r="CE597" s="365" t="s">
        <v>1404</v>
      </c>
      <c r="CF597" s="366" t="s">
        <v>140</v>
      </c>
      <c r="CG597" s="366" t="s">
        <v>6</v>
      </c>
      <c r="CH597" s="366">
        <v>0</v>
      </c>
      <c r="CI597" s="366">
        <v>0</v>
      </c>
      <c r="CJ597" s="366">
        <v>0</v>
      </c>
      <c r="CK597" s="366">
        <v>0</v>
      </c>
      <c r="CL597" s="366">
        <v>0</v>
      </c>
      <c r="CM597" s="366">
        <v>5</v>
      </c>
      <c r="CN597" s="366">
        <v>113</v>
      </c>
      <c r="CO597" s="366">
        <v>0</v>
      </c>
      <c r="CP597" s="366">
        <v>0</v>
      </c>
      <c r="CQ597" s="366">
        <v>0</v>
      </c>
      <c r="CR597" s="366">
        <v>0</v>
      </c>
      <c r="CS597" s="366">
        <v>0</v>
      </c>
      <c r="CT597" s="366">
        <v>0</v>
      </c>
      <c r="CU597" s="367">
        <f>IFERROR(CH597/Instructions!$J$25,0)+CI597*Instructions!$J$27+CJ597*Instructions!$J$29+IFERROR(CK597/Instructions!$E$34,0)+CL597*Instructions!$E$36+Tier!CM597*Instructions!$E$25+IFERROR(CN597/Instructions!$E$27,0)+CO597*Instructions!$E$29+IFERROR((CP597+CR597)/Instructions!$J$32,0)+(CQ597+CS597)*Instructions!$J$34+Tier!CT597*-2</f>
        <v>16.3</v>
      </c>
      <c r="CV597" s="354"/>
      <c r="CW597"/>
      <c r="CX597"/>
      <c r="CY597"/>
      <c r="CZ597"/>
      <c r="DA597"/>
      <c r="DB597"/>
      <c r="DC597"/>
      <c r="DD597"/>
      <c r="DE597"/>
      <c r="DF597"/>
      <c r="DG597"/>
      <c r="DH597"/>
      <c r="DI597"/>
      <c r="DJ597"/>
      <c r="DK597"/>
      <c r="DL597"/>
      <c r="DM597"/>
      <c r="DN597"/>
    </row>
    <row r="598" spans="3:118" s="238" customFormat="1" ht="15.75" customHeight="1" x14ac:dyDescent="0.25">
      <c r="C598"/>
      <c r="D598"/>
      <c r="E598"/>
      <c r="F598"/>
      <c r="G598"/>
      <c r="H598"/>
      <c r="I598"/>
      <c r="J598"/>
      <c r="K598"/>
      <c r="L598"/>
      <c r="M598"/>
      <c r="N598"/>
      <c r="O598" s="366"/>
      <c r="P598" s="366">
        <v>2017</v>
      </c>
      <c r="Q598" s="367">
        <f>LARGE($CB$455:$CB$604,144)</f>
        <v>2.4</v>
      </c>
      <c r="R598" s="357">
        <f t="shared" si="153"/>
        <v>-169.66666666666669</v>
      </c>
      <c r="S598" s="356">
        <f t="shared" si="149"/>
        <v>28786.777777777785</v>
      </c>
      <c r="U598" s="356">
        <f t="shared" si="154"/>
        <v>-10.604166666666668</v>
      </c>
      <c r="V598" s="238">
        <f t="shared" si="151"/>
        <v>8</v>
      </c>
      <c r="W598" s="354"/>
      <c r="X598" s="366"/>
      <c r="Y598" s="366"/>
      <c r="Z598" s="238">
        <v>2017</v>
      </c>
      <c r="AA598" s="367">
        <f>LARGE($CU$455:$CU$604,144)</f>
        <v>16.399999999999999</v>
      </c>
      <c r="AB598" s="357">
        <f t="shared" si="155"/>
        <v>-176.13333333333333</v>
      </c>
      <c r="AC598" s="356">
        <f t="shared" si="150"/>
        <v>31022.95111111111</v>
      </c>
      <c r="AE598" s="356">
        <f t="shared" si="156"/>
        <v>-11.008333333333333</v>
      </c>
      <c r="AF598" s="238">
        <f t="shared" si="152"/>
        <v>8</v>
      </c>
      <c r="AG598" s="354"/>
      <c r="AK598"/>
      <c r="AL598"/>
      <c r="AM598"/>
      <c r="AN598"/>
      <c r="AO598"/>
      <c r="AP598"/>
      <c r="BI598" s="360"/>
      <c r="BJ598" s="354"/>
      <c r="BK598" s="366">
        <v>2017</v>
      </c>
      <c r="BL598" s="365" t="s">
        <v>1392</v>
      </c>
      <c r="BM598" s="366" t="s">
        <v>161</v>
      </c>
      <c r="BN598" s="366" t="s">
        <v>3</v>
      </c>
      <c r="BO598" s="366">
        <v>0</v>
      </c>
      <c r="BP598" s="366">
        <v>0</v>
      </c>
      <c r="BQ598" s="366">
        <v>0</v>
      </c>
      <c r="BR598" s="366">
        <v>0</v>
      </c>
      <c r="BS598" s="366">
        <v>0</v>
      </c>
      <c r="BT598" s="366">
        <v>3</v>
      </c>
      <c r="BU598" s="366">
        <v>19</v>
      </c>
      <c r="BV598" s="366">
        <v>0</v>
      </c>
      <c r="BW598" s="366">
        <v>0</v>
      </c>
      <c r="BX598" s="366">
        <v>0</v>
      </c>
      <c r="BY598" s="366">
        <v>18</v>
      </c>
      <c r="BZ598" s="366">
        <v>0</v>
      </c>
      <c r="CA598" s="366">
        <v>0</v>
      </c>
      <c r="CB598" s="367">
        <f>IFERROR(BO598/Instructions!$J$25,0)+BP598*Instructions!$J$27+BQ598*Instructions!$J$29+IFERROR(BR598/Instructions!$E$34,0)+BS598*Instructions!$E$36+Tier!BT599*Instructions!$E$25+IFERROR(BU598/Instructions!$E$27,0)+BV598*Instructions!$E$29+IFERROR((BW598+BY598)/Instructions!$J$32,0)+(BX598+BZ598)*Instructions!$J$34+Tier!CA598*-2</f>
        <v>3.9</v>
      </c>
      <c r="CC598" s="354"/>
      <c r="CD598" s="238">
        <v>2017</v>
      </c>
      <c r="CE598" s="365" t="s">
        <v>1275</v>
      </c>
      <c r="CF598" s="366" t="s">
        <v>156</v>
      </c>
      <c r="CG598" s="366" t="s">
        <v>6</v>
      </c>
      <c r="CH598" s="366">
        <v>0</v>
      </c>
      <c r="CI598" s="366">
        <v>0</v>
      </c>
      <c r="CJ598" s="366">
        <v>0</v>
      </c>
      <c r="CK598" s="366">
        <v>27</v>
      </c>
      <c r="CL598" s="366">
        <v>0</v>
      </c>
      <c r="CM598" s="366">
        <v>6</v>
      </c>
      <c r="CN598" s="366">
        <v>85</v>
      </c>
      <c r="CO598" s="366">
        <v>0</v>
      </c>
      <c r="CP598" s="366">
        <v>149</v>
      </c>
      <c r="CQ598" s="366">
        <v>1</v>
      </c>
      <c r="CR598" s="366">
        <v>52</v>
      </c>
      <c r="CS598" s="366">
        <v>0</v>
      </c>
      <c r="CT598" s="366">
        <v>0</v>
      </c>
      <c r="CU598" s="367">
        <f>IFERROR(CH598/Instructions!$J$25,0)+CI598*Instructions!$J$27+CJ598*Instructions!$J$29+IFERROR(CK598/Instructions!$E$34,0)+CL598*Instructions!$E$36+Tier!CM598*Instructions!$E$25+IFERROR(CN598/Instructions!$E$27,0)+CO598*Instructions!$E$29+IFERROR((CP598+CR598)/Instructions!$J$32,0)+(CQ598+CS598)*Instructions!$J$34+Tier!CT598*-2</f>
        <v>23.2</v>
      </c>
      <c r="CV598" s="354"/>
      <c r="CW598"/>
      <c r="CX598"/>
      <c r="CY598"/>
      <c r="CZ598"/>
      <c r="DA598"/>
      <c r="DB598"/>
      <c r="DC598"/>
      <c r="DD598"/>
      <c r="DE598"/>
      <c r="DF598"/>
      <c r="DG598"/>
      <c r="DH598"/>
      <c r="DI598"/>
      <c r="DJ598"/>
      <c r="DK598"/>
      <c r="DL598"/>
      <c r="DM598"/>
      <c r="DN598"/>
    </row>
    <row r="599" spans="3:118" s="238" customFormat="1" ht="15.75" customHeight="1" x14ac:dyDescent="0.25">
      <c r="C599"/>
      <c r="D599"/>
      <c r="E599"/>
      <c r="F599"/>
      <c r="G599"/>
      <c r="H599"/>
      <c r="I599"/>
      <c r="J599"/>
      <c r="K599"/>
      <c r="L599"/>
      <c r="M599"/>
      <c r="N599"/>
      <c r="O599" s="366"/>
      <c r="P599" s="366">
        <v>2017</v>
      </c>
      <c r="Q599" s="367">
        <f>LARGE($CB$455:$CB$604,145)</f>
        <v>2.1</v>
      </c>
      <c r="R599" s="357">
        <f t="shared" si="153"/>
        <v>-169.9666666666667</v>
      </c>
      <c r="S599" s="356">
        <f t="shared" si="149"/>
        <v>28888.667777777788</v>
      </c>
      <c r="U599" s="356">
        <f t="shared" si="154"/>
        <v>-10.622916666666669</v>
      </c>
      <c r="V599" s="238">
        <f t="shared" si="151"/>
        <v>8</v>
      </c>
      <c r="W599" s="354"/>
      <c r="X599" s="366"/>
      <c r="Y599" s="366"/>
      <c r="Z599" s="238">
        <v>2017</v>
      </c>
      <c r="AA599" s="367">
        <f>LARGE($CU$455:$CU$604,145)</f>
        <v>16.3</v>
      </c>
      <c r="AB599" s="357">
        <f t="shared" si="155"/>
        <v>-176.23333333333332</v>
      </c>
      <c r="AC599" s="356">
        <f t="shared" si="150"/>
        <v>31058.187777777774</v>
      </c>
      <c r="AE599" s="356">
        <f t="shared" si="156"/>
        <v>-11.014583333333333</v>
      </c>
      <c r="AF599" s="238">
        <f t="shared" si="152"/>
        <v>8</v>
      </c>
      <c r="AG599" s="354"/>
      <c r="AK599"/>
      <c r="AL599"/>
      <c r="AM599"/>
      <c r="AN599"/>
      <c r="AO599"/>
      <c r="AP599"/>
      <c r="BI599" s="360"/>
      <c r="BJ599" s="354"/>
      <c r="BK599" s="366">
        <v>2017</v>
      </c>
      <c r="BL599" s="365" t="s">
        <v>1287</v>
      </c>
      <c r="BM599" s="366" t="s">
        <v>141</v>
      </c>
      <c r="BN599" s="366" t="s">
        <v>3</v>
      </c>
      <c r="BO599" s="366">
        <v>0</v>
      </c>
      <c r="BP599" s="366">
        <v>0</v>
      </c>
      <c r="BQ599" s="366">
        <v>0</v>
      </c>
      <c r="BR599" s="366">
        <v>9</v>
      </c>
      <c r="BS599" s="366">
        <v>0</v>
      </c>
      <c r="BT599" s="366">
        <v>2</v>
      </c>
      <c r="BU599" s="366">
        <v>8</v>
      </c>
      <c r="BV599" s="366">
        <v>0</v>
      </c>
      <c r="BW599" s="366">
        <v>0</v>
      </c>
      <c r="BX599" s="366">
        <v>0</v>
      </c>
      <c r="BY599" s="366">
        <v>0</v>
      </c>
      <c r="BZ599" s="366">
        <v>0</v>
      </c>
      <c r="CA599" s="366">
        <v>0</v>
      </c>
      <c r="CB599" s="367">
        <f>IFERROR(BO599/Instructions!$J$25,0)+BP599*Instructions!$J$27+BQ599*Instructions!$J$29+IFERROR(BR599/Instructions!$E$34,0)+BS599*Instructions!$E$36+Tier!BT600*Instructions!$E$25+IFERROR(BU599/Instructions!$E$27,0)+BV599*Instructions!$E$29+IFERROR((BW599+BY599)/Instructions!$J$32,0)+(BX599+BZ599)*Instructions!$J$34+Tier!CA599*-2</f>
        <v>1.7000000000000002</v>
      </c>
      <c r="CC599" s="354"/>
      <c r="CD599" s="238">
        <v>2017</v>
      </c>
      <c r="CE599" s="365" t="s">
        <v>1442</v>
      </c>
      <c r="CF599" s="366" t="s">
        <v>164</v>
      </c>
      <c r="CG599" s="366" t="s">
        <v>6</v>
      </c>
      <c r="CH599" s="366">
        <v>0</v>
      </c>
      <c r="CI599" s="366">
        <v>0</v>
      </c>
      <c r="CJ599" s="366">
        <v>0</v>
      </c>
      <c r="CK599" s="366">
        <v>27</v>
      </c>
      <c r="CL599" s="366">
        <v>0</v>
      </c>
      <c r="CM599" s="366">
        <v>6</v>
      </c>
      <c r="CN599" s="366">
        <v>82</v>
      </c>
      <c r="CO599" s="366">
        <v>0</v>
      </c>
      <c r="CP599" s="366">
        <v>0</v>
      </c>
      <c r="CQ599" s="366">
        <v>0</v>
      </c>
      <c r="CR599" s="366">
        <v>173</v>
      </c>
      <c r="CS599" s="366">
        <v>0</v>
      </c>
      <c r="CT599" s="366">
        <v>0</v>
      </c>
      <c r="CU599" s="367">
        <f>IFERROR(CH599/Instructions!$J$25,0)+CI599*Instructions!$J$27+CJ599*Instructions!$J$29+IFERROR(CK599/Instructions!$E$34,0)+CL599*Instructions!$E$36+Tier!CM599*Instructions!$E$25+IFERROR(CN599/Instructions!$E$27,0)+CO599*Instructions!$E$29+IFERROR((CP599+CR599)/Instructions!$J$32,0)+(CQ599+CS599)*Instructions!$J$34+Tier!CT599*-2</f>
        <v>16.899999999999999</v>
      </c>
      <c r="CV599" s="354"/>
      <c r="CW599"/>
      <c r="CX599"/>
      <c r="CY599"/>
      <c r="CZ599"/>
      <c r="DA599"/>
      <c r="DB599"/>
      <c r="DC599"/>
      <c r="DD599"/>
      <c r="DE599"/>
      <c r="DF599"/>
      <c r="DG599"/>
      <c r="DH599"/>
      <c r="DI599"/>
      <c r="DJ599"/>
      <c r="DK599"/>
      <c r="DL599"/>
      <c r="DM599"/>
      <c r="DN599"/>
    </row>
    <row r="600" spans="3:118" s="238" customFormat="1" ht="15.75" customHeight="1" x14ac:dyDescent="0.25">
      <c r="C600"/>
      <c r="D600"/>
      <c r="E600"/>
      <c r="F600"/>
      <c r="G600"/>
      <c r="H600"/>
      <c r="I600"/>
      <c r="J600"/>
      <c r="K600"/>
      <c r="L600"/>
      <c r="M600"/>
      <c r="N600"/>
      <c r="O600" s="366"/>
      <c r="P600" s="366">
        <v>2017</v>
      </c>
      <c r="Q600" s="367">
        <f>LARGE($CB$455:$CB$604,146)</f>
        <v>1.8</v>
      </c>
      <c r="R600" s="357">
        <f t="shared" si="153"/>
        <v>-170.26666666666668</v>
      </c>
      <c r="S600" s="356">
        <f t="shared" si="149"/>
        <v>28990.737777777784</v>
      </c>
      <c r="U600" s="356">
        <f t="shared" si="154"/>
        <v>-10.641666666666667</v>
      </c>
      <c r="V600" s="238">
        <f t="shared" si="151"/>
        <v>8</v>
      </c>
      <c r="W600" s="354"/>
      <c r="X600" s="366"/>
      <c r="Y600" s="366"/>
      <c r="Z600" s="238">
        <v>2017</v>
      </c>
      <c r="AA600" s="367">
        <f>LARGE($CU$455:$CU$604,146)</f>
        <v>16.2</v>
      </c>
      <c r="AB600" s="357">
        <f t="shared" si="155"/>
        <v>-176.33333333333334</v>
      </c>
      <c r="AC600" s="356">
        <f t="shared" si="150"/>
        <v>31093.444444444449</v>
      </c>
      <c r="AE600" s="356">
        <f t="shared" si="156"/>
        <v>-11.020833333333334</v>
      </c>
      <c r="AF600" s="238">
        <f t="shared" si="152"/>
        <v>8</v>
      </c>
      <c r="AG600" s="354"/>
      <c r="AK600"/>
      <c r="AL600"/>
      <c r="AM600"/>
      <c r="AN600"/>
      <c r="AO600"/>
      <c r="AP600"/>
      <c r="BI600" s="360"/>
      <c r="BJ600" s="354"/>
      <c r="BK600" s="366">
        <v>2017</v>
      </c>
      <c r="BL600" s="365" t="s">
        <v>1825</v>
      </c>
      <c r="BM600" s="366" t="s">
        <v>152</v>
      </c>
      <c r="BN600" s="366" t="s">
        <v>3</v>
      </c>
      <c r="BO600" s="366">
        <v>0</v>
      </c>
      <c r="BP600" s="366">
        <v>0</v>
      </c>
      <c r="BQ600" s="366">
        <v>0</v>
      </c>
      <c r="BR600" s="366">
        <v>14</v>
      </c>
      <c r="BS600" s="366">
        <v>0</v>
      </c>
      <c r="BT600" s="366">
        <v>0</v>
      </c>
      <c r="BU600" s="366">
        <v>0</v>
      </c>
      <c r="BV600" s="366">
        <v>0</v>
      </c>
      <c r="BW600" s="366">
        <v>0</v>
      </c>
      <c r="BX600" s="366">
        <v>0</v>
      </c>
      <c r="BY600" s="366">
        <v>0</v>
      </c>
      <c r="BZ600" s="366">
        <v>0</v>
      </c>
      <c r="CA600" s="366">
        <v>0</v>
      </c>
      <c r="CB600" s="367">
        <f>IFERROR(BO600/Instructions!$J$25,0)+BP600*Instructions!$J$27+BQ600*Instructions!$J$29+IFERROR(BR600/Instructions!$E$34,0)+BS600*Instructions!$E$36+Tier!BT601*Instructions!$E$25+IFERROR(BU600/Instructions!$E$27,0)+BV600*Instructions!$E$29+IFERROR((BW600+BY600)/Instructions!$J$32,0)+(BX600+BZ600)*Instructions!$J$34+Tier!CA600*-2</f>
        <v>1.4</v>
      </c>
      <c r="CC600" s="354"/>
      <c r="CD600" s="238">
        <v>2017</v>
      </c>
      <c r="CE600" s="365" t="s">
        <v>1798</v>
      </c>
      <c r="CF600" s="366" t="s">
        <v>154</v>
      </c>
      <c r="CG600" s="366" t="s">
        <v>6</v>
      </c>
      <c r="CH600" s="366">
        <v>0</v>
      </c>
      <c r="CI600" s="366">
        <v>0</v>
      </c>
      <c r="CJ600" s="366">
        <v>0</v>
      </c>
      <c r="CK600" s="366">
        <v>0</v>
      </c>
      <c r="CL600" s="366">
        <v>0</v>
      </c>
      <c r="CM600" s="366">
        <v>8</v>
      </c>
      <c r="CN600" s="366">
        <v>101</v>
      </c>
      <c r="CO600" s="366">
        <v>0</v>
      </c>
      <c r="CP600" s="366">
        <v>0</v>
      </c>
      <c r="CQ600" s="366">
        <v>0</v>
      </c>
      <c r="CR600" s="366">
        <v>0</v>
      </c>
      <c r="CS600" s="366">
        <v>0</v>
      </c>
      <c r="CT600" s="366">
        <v>0</v>
      </c>
      <c r="CU600" s="367">
        <f>IFERROR(CH600/Instructions!$J$25,0)+CI600*Instructions!$J$27+CJ600*Instructions!$J$29+IFERROR(CK600/Instructions!$E$34,0)+CL600*Instructions!$E$36+Tier!CM600*Instructions!$E$25+IFERROR(CN600/Instructions!$E$27,0)+CO600*Instructions!$E$29+IFERROR((CP600+CR600)/Instructions!$J$32,0)+(CQ600+CS600)*Instructions!$J$34+Tier!CT600*-2</f>
        <v>18.100000000000001</v>
      </c>
      <c r="CV600" s="354"/>
      <c r="CW600"/>
      <c r="CX600"/>
      <c r="CY600"/>
      <c r="CZ600"/>
      <c r="DA600"/>
      <c r="DB600"/>
      <c r="DC600"/>
      <c r="DD600"/>
      <c r="DE600"/>
      <c r="DF600"/>
      <c r="DG600"/>
      <c r="DH600"/>
      <c r="DI600"/>
      <c r="DJ600"/>
      <c r="DK600"/>
      <c r="DL600"/>
      <c r="DM600"/>
      <c r="DN600"/>
    </row>
    <row r="601" spans="3:118" s="238" customFormat="1" ht="15.75" customHeight="1" x14ac:dyDescent="0.25">
      <c r="C601"/>
      <c r="D601"/>
      <c r="E601"/>
      <c r="F601"/>
      <c r="G601"/>
      <c r="H601"/>
      <c r="I601"/>
      <c r="J601"/>
      <c r="K601"/>
      <c r="L601"/>
      <c r="M601"/>
      <c r="N601"/>
      <c r="O601" s="366"/>
      <c r="P601" s="366">
        <v>2017</v>
      </c>
      <c r="Q601" s="367">
        <f>LARGE($CB$455:$CB$604,147)</f>
        <v>1.7000000000000002</v>
      </c>
      <c r="R601" s="357">
        <f t="shared" si="153"/>
        <v>-170.3666666666667</v>
      </c>
      <c r="S601" s="356">
        <f t="shared" si="149"/>
        <v>29024.801111111123</v>
      </c>
      <c r="U601" s="356">
        <f t="shared" si="154"/>
        <v>-10.647916666666669</v>
      </c>
      <c r="V601" s="238">
        <f t="shared" si="151"/>
        <v>8</v>
      </c>
      <c r="W601" s="354"/>
      <c r="X601" s="366"/>
      <c r="Y601" s="366"/>
      <c r="Z601" s="238">
        <v>2017</v>
      </c>
      <c r="AA601" s="367">
        <f>LARGE($CU$455:$CU$604,147)</f>
        <v>15.899999999999999</v>
      </c>
      <c r="AB601" s="357">
        <f t="shared" si="155"/>
        <v>-176.63333333333333</v>
      </c>
      <c r="AC601" s="356">
        <f t="shared" si="150"/>
        <v>31199.334444444441</v>
      </c>
      <c r="AE601" s="356">
        <f t="shared" si="156"/>
        <v>-11.039583333333333</v>
      </c>
      <c r="AF601" s="238">
        <f t="shared" si="152"/>
        <v>8</v>
      </c>
      <c r="AG601" s="354"/>
      <c r="AK601"/>
      <c r="AL601"/>
      <c r="AM601"/>
      <c r="AN601"/>
      <c r="AO601"/>
      <c r="AP601"/>
      <c r="BI601" s="360"/>
      <c r="BJ601" s="354"/>
      <c r="BK601" s="366">
        <v>2017</v>
      </c>
      <c r="BL601" s="365" t="s">
        <v>1139</v>
      </c>
      <c r="BM601" s="366" t="s">
        <v>158</v>
      </c>
      <c r="BN601" s="366" t="s">
        <v>3</v>
      </c>
      <c r="BO601" s="366">
        <v>0</v>
      </c>
      <c r="BP601" s="366">
        <v>0</v>
      </c>
      <c r="BQ601" s="366">
        <v>0</v>
      </c>
      <c r="BR601" s="366">
        <v>14</v>
      </c>
      <c r="BS601" s="366">
        <v>0</v>
      </c>
      <c r="BT601" s="366">
        <v>0</v>
      </c>
      <c r="BU601" s="366">
        <v>0</v>
      </c>
      <c r="BV601" s="366">
        <v>0</v>
      </c>
      <c r="BW601" s="366">
        <v>0</v>
      </c>
      <c r="BX601" s="366">
        <v>0</v>
      </c>
      <c r="BY601" s="366">
        <v>0</v>
      </c>
      <c r="BZ601" s="366">
        <v>0</v>
      </c>
      <c r="CA601" s="366">
        <v>0</v>
      </c>
      <c r="CB601" s="367">
        <f>IFERROR(BO601/Instructions!$J$25,0)+BP601*Instructions!$J$27+BQ601*Instructions!$J$29+IFERROR(BR601/Instructions!$E$34,0)+BS601*Instructions!$E$36+Tier!BT602*Instructions!$E$25+IFERROR(BU601/Instructions!$E$27,0)+BV601*Instructions!$E$29+IFERROR((BW601+BY601)/Instructions!$J$32,0)+(BX601+BZ601)*Instructions!$J$34+Tier!CA601*-2</f>
        <v>2.4</v>
      </c>
      <c r="CC601" s="354"/>
      <c r="CD601" s="238">
        <v>2017</v>
      </c>
      <c r="CE601" s="365" t="s">
        <v>1107</v>
      </c>
      <c r="CF601" s="366" t="s">
        <v>165</v>
      </c>
      <c r="CG601" s="366" t="s">
        <v>6</v>
      </c>
      <c r="CH601" s="366">
        <v>0</v>
      </c>
      <c r="CI601" s="366">
        <v>0</v>
      </c>
      <c r="CJ601" s="366">
        <v>0</v>
      </c>
      <c r="CK601" s="366">
        <v>0</v>
      </c>
      <c r="CL601" s="366">
        <v>0</v>
      </c>
      <c r="CM601" s="366">
        <v>3</v>
      </c>
      <c r="CN601" s="366">
        <v>38</v>
      </c>
      <c r="CO601" s="366">
        <v>1</v>
      </c>
      <c r="CP601" s="366">
        <v>0</v>
      </c>
      <c r="CQ601" s="366">
        <v>0</v>
      </c>
      <c r="CR601" s="366">
        <v>0</v>
      </c>
      <c r="CS601" s="366">
        <v>0</v>
      </c>
      <c r="CT601" s="366">
        <v>0</v>
      </c>
      <c r="CU601" s="367">
        <f>IFERROR(CH601/Instructions!$J$25,0)+CI601*Instructions!$J$27+CJ601*Instructions!$J$29+IFERROR(CK601/Instructions!$E$34,0)+CL601*Instructions!$E$36+Tier!CM601*Instructions!$E$25+IFERROR(CN601/Instructions!$E$27,0)+CO601*Instructions!$E$29+IFERROR((CP601+CR601)/Instructions!$J$32,0)+(CQ601+CS601)*Instructions!$J$34+Tier!CT601*-2</f>
        <v>12.8</v>
      </c>
      <c r="CV601" s="354"/>
      <c r="CW601"/>
      <c r="CX601"/>
      <c r="CY601"/>
      <c r="CZ601"/>
      <c r="DA601"/>
      <c r="DB601"/>
      <c r="DC601"/>
      <c r="DD601"/>
      <c r="DE601"/>
      <c r="DF601"/>
      <c r="DG601"/>
      <c r="DH601"/>
      <c r="DI601"/>
      <c r="DJ601"/>
      <c r="DK601"/>
      <c r="DL601"/>
      <c r="DM601"/>
      <c r="DN601"/>
    </row>
    <row r="602" spans="3:118" s="238" customFormat="1" ht="15.75" customHeight="1" x14ac:dyDescent="0.25">
      <c r="C602"/>
      <c r="D602"/>
      <c r="E602"/>
      <c r="F602"/>
      <c r="G602"/>
      <c r="H602"/>
      <c r="I602"/>
      <c r="J602"/>
      <c r="K602"/>
      <c r="L602"/>
      <c r="M602"/>
      <c r="N602"/>
      <c r="O602" s="366"/>
      <c r="P602" s="366">
        <v>2017</v>
      </c>
      <c r="Q602" s="367">
        <f>LARGE($CB$455:$CB$604,148)</f>
        <v>1.4</v>
      </c>
      <c r="R602" s="357">
        <f t="shared" si="153"/>
        <v>-170.66666666666669</v>
      </c>
      <c r="S602" s="356">
        <f t="shared" si="149"/>
        <v>29127.111111111117</v>
      </c>
      <c r="U602" s="356">
        <f t="shared" si="154"/>
        <v>-10.666666666666668</v>
      </c>
      <c r="V602" s="238">
        <f t="shared" si="151"/>
        <v>8</v>
      </c>
      <c r="W602" s="354"/>
      <c r="X602" s="366"/>
      <c r="Y602" s="366"/>
      <c r="Z602" s="238">
        <v>2017</v>
      </c>
      <c r="AA602" s="367">
        <f>LARGE($CU$455:$CU$604,148)</f>
        <v>14.6</v>
      </c>
      <c r="AB602" s="357">
        <f t="shared" si="155"/>
        <v>-177.93333333333334</v>
      </c>
      <c r="AC602" s="356">
        <f t="shared" si="150"/>
        <v>31660.271111111113</v>
      </c>
      <c r="AE602" s="356">
        <f t="shared" si="156"/>
        <v>-11.120833333333334</v>
      </c>
      <c r="AF602" s="238">
        <f t="shared" si="152"/>
        <v>8</v>
      </c>
      <c r="AG602" s="354"/>
      <c r="AK602"/>
      <c r="AL602"/>
      <c r="AM602"/>
      <c r="AN602"/>
      <c r="AO602"/>
      <c r="AP602"/>
      <c r="BI602" s="360"/>
      <c r="BJ602" s="354"/>
      <c r="BK602" s="366">
        <v>2017</v>
      </c>
      <c r="BL602" s="365" t="s">
        <v>1231</v>
      </c>
      <c r="BM602" s="366" t="s">
        <v>156</v>
      </c>
      <c r="BN602" s="366" t="s">
        <v>3</v>
      </c>
      <c r="BO602" s="366">
        <v>0</v>
      </c>
      <c r="BP602" s="366">
        <v>0</v>
      </c>
      <c r="BQ602" s="366">
        <v>0</v>
      </c>
      <c r="BR602" s="366">
        <v>0</v>
      </c>
      <c r="BS602" s="366">
        <v>0</v>
      </c>
      <c r="BT602" s="366">
        <v>1</v>
      </c>
      <c r="BU602" s="366">
        <v>11</v>
      </c>
      <c r="BV602" s="366">
        <v>0</v>
      </c>
      <c r="BW602" s="366">
        <v>0</v>
      </c>
      <c r="BX602" s="366">
        <v>0</v>
      </c>
      <c r="BY602" s="366">
        <v>50</v>
      </c>
      <c r="BZ602" s="366">
        <v>0</v>
      </c>
      <c r="CA602" s="366">
        <v>0</v>
      </c>
      <c r="CB602" s="367">
        <f>IFERROR(BO602/Instructions!$J$25,0)+BP602*Instructions!$J$27+BQ602*Instructions!$J$29+IFERROR(BR602/Instructions!$E$34,0)+BS602*Instructions!$E$36+Tier!BT603*Instructions!$E$25+IFERROR(BU602/Instructions!$E$27,0)+BV602*Instructions!$E$29+IFERROR((BW602+BY602)/Instructions!$J$32,0)+(BX602+BZ602)*Instructions!$J$34+Tier!CA602*-2</f>
        <v>1.1000000000000001</v>
      </c>
      <c r="CC602" s="354"/>
      <c r="CD602" s="238">
        <v>2017</v>
      </c>
      <c r="CE602" s="365" t="s">
        <v>1326</v>
      </c>
      <c r="CF602" s="366" t="s">
        <v>149</v>
      </c>
      <c r="CG602" s="366" t="s">
        <v>6</v>
      </c>
      <c r="CH602" s="366">
        <v>0</v>
      </c>
      <c r="CI602" s="366">
        <v>0</v>
      </c>
      <c r="CJ602" s="366">
        <v>0</v>
      </c>
      <c r="CK602" s="366">
        <v>0</v>
      </c>
      <c r="CL602" s="366">
        <v>0</v>
      </c>
      <c r="CM602" s="366">
        <v>5</v>
      </c>
      <c r="CN602" s="366">
        <v>96</v>
      </c>
      <c r="CO602" s="366">
        <v>0</v>
      </c>
      <c r="CP602" s="366">
        <v>0</v>
      </c>
      <c r="CQ602" s="366">
        <v>0</v>
      </c>
      <c r="CR602" s="366">
        <v>0</v>
      </c>
      <c r="CS602" s="366">
        <v>0</v>
      </c>
      <c r="CT602" s="366">
        <v>0</v>
      </c>
      <c r="CU602" s="367">
        <f>IFERROR(CH602/Instructions!$J$25,0)+CI602*Instructions!$J$27+CJ602*Instructions!$J$29+IFERROR(CK602/Instructions!$E$34,0)+CL602*Instructions!$E$36+Tier!CM602*Instructions!$E$25+IFERROR(CN602/Instructions!$E$27,0)+CO602*Instructions!$E$29+IFERROR((CP602+CR602)/Instructions!$J$32,0)+(CQ602+CS602)*Instructions!$J$34+Tier!CT602*-2</f>
        <v>14.6</v>
      </c>
      <c r="CV602" s="354"/>
      <c r="CW602"/>
      <c r="CX602"/>
      <c r="CY602"/>
      <c r="CZ602"/>
      <c r="DA602"/>
      <c r="DB602"/>
      <c r="DC602"/>
      <c r="DD602"/>
      <c r="DE602"/>
      <c r="DF602"/>
      <c r="DG602"/>
      <c r="DH602"/>
      <c r="DI602"/>
      <c r="DJ602"/>
      <c r="DK602"/>
      <c r="DL602"/>
      <c r="DM602"/>
      <c r="DN602"/>
    </row>
    <row r="603" spans="3:118" s="238" customFormat="1" ht="15.75" customHeight="1" x14ac:dyDescent="0.25">
      <c r="C603"/>
      <c r="D603"/>
      <c r="E603"/>
      <c r="F603"/>
      <c r="G603"/>
      <c r="H603"/>
      <c r="I603"/>
      <c r="J603"/>
      <c r="K603"/>
      <c r="L603"/>
      <c r="M603"/>
      <c r="N603"/>
      <c r="O603" s="380"/>
      <c r="P603" s="366">
        <v>2017</v>
      </c>
      <c r="Q603" s="367">
        <f>LARGE($CB$455:$CB$604,149)</f>
        <v>1.1000000000000001</v>
      </c>
      <c r="R603" s="357">
        <f t="shared" si="153"/>
        <v>-170.9666666666667</v>
      </c>
      <c r="S603" s="356">
        <f t="shared" si="149"/>
        <v>29229.601111111122</v>
      </c>
      <c r="U603" s="356">
        <f t="shared" si="154"/>
        <v>-10.685416666666669</v>
      </c>
      <c r="V603" s="238">
        <f t="shared" si="151"/>
        <v>8</v>
      </c>
      <c r="W603" s="354"/>
      <c r="X603" s="366"/>
      <c r="Y603" s="366"/>
      <c r="Z603" s="238">
        <v>2017</v>
      </c>
      <c r="AA603" s="367">
        <f>LARGE($CU$455:$CU$604,149)</f>
        <v>14</v>
      </c>
      <c r="AB603" s="357">
        <f t="shared" si="155"/>
        <v>-178.53333333333333</v>
      </c>
      <c r="AC603" s="356">
        <f t="shared" si="150"/>
        <v>31874.15111111111</v>
      </c>
      <c r="AE603" s="356">
        <f t="shared" si="156"/>
        <v>-11.158333333333333</v>
      </c>
      <c r="AF603" s="238">
        <f t="shared" si="152"/>
        <v>8</v>
      </c>
      <c r="AG603" s="354"/>
      <c r="AK603"/>
      <c r="AL603"/>
      <c r="AM603"/>
      <c r="AN603"/>
      <c r="AO603"/>
      <c r="AP603"/>
      <c r="BI603" s="360"/>
      <c r="BJ603" s="354"/>
      <c r="BK603" s="366">
        <v>2017</v>
      </c>
      <c r="BL603" s="365" t="s">
        <v>1312</v>
      </c>
      <c r="BM603" s="366" t="s">
        <v>147</v>
      </c>
      <c r="BN603" s="366" t="s">
        <v>3</v>
      </c>
      <c r="BO603" s="366">
        <v>0</v>
      </c>
      <c r="BP603" s="366">
        <v>0</v>
      </c>
      <c r="BQ603" s="366">
        <v>0</v>
      </c>
      <c r="BR603" s="366">
        <v>8</v>
      </c>
      <c r="BS603" s="366">
        <v>0</v>
      </c>
      <c r="BT603" s="366">
        <v>0</v>
      </c>
      <c r="BU603" s="366">
        <v>0</v>
      </c>
      <c r="BV603" s="366">
        <v>0</v>
      </c>
      <c r="BW603" s="366">
        <v>0</v>
      </c>
      <c r="BX603" s="366">
        <v>0</v>
      </c>
      <c r="BY603" s="366">
        <v>140</v>
      </c>
      <c r="BZ603" s="366">
        <v>0</v>
      </c>
      <c r="CA603" s="366">
        <v>0</v>
      </c>
      <c r="CB603" s="367">
        <f>IFERROR(BO603/Instructions!$J$25,0)+BP603*Instructions!$J$27+BQ603*Instructions!$J$29+IFERROR(BR603/Instructions!$E$34,0)+BS603*Instructions!$E$36+Tier!BT604*Instructions!$E$25+IFERROR(BU603/Instructions!$E$27,0)+BV603*Instructions!$E$29+IFERROR((BW603+BY603)/Instructions!$J$32,0)+(BX603+BZ603)*Instructions!$J$34+Tier!CA603*-2</f>
        <v>1.8</v>
      </c>
      <c r="CC603" s="354"/>
      <c r="CD603" s="238">
        <v>2017</v>
      </c>
      <c r="CE603" s="365" t="s">
        <v>1164</v>
      </c>
      <c r="CF603" s="366" t="s">
        <v>1388</v>
      </c>
      <c r="CG603" s="366" t="s">
        <v>6</v>
      </c>
      <c r="CH603" s="366">
        <v>0</v>
      </c>
      <c r="CI603" s="366">
        <v>0</v>
      </c>
      <c r="CJ603" s="366">
        <v>0</v>
      </c>
      <c r="CK603" s="366">
        <v>0</v>
      </c>
      <c r="CL603" s="366">
        <v>0</v>
      </c>
      <c r="CM603" s="366">
        <v>11</v>
      </c>
      <c r="CN603" s="366">
        <v>95</v>
      </c>
      <c r="CO603" s="366">
        <v>0</v>
      </c>
      <c r="CP603" s="366">
        <v>0</v>
      </c>
      <c r="CQ603" s="366">
        <v>0</v>
      </c>
      <c r="CR603" s="366">
        <v>0</v>
      </c>
      <c r="CS603" s="366">
        <v>0</v>
      </c>
      <c r="CT603" s="366">
        <v>0</v>
      </c>
      <c r="CU603" s="367">
        <f>IFERROR(CH603/Instructions!$J$25,0)+CI603*Instructions!$J$27+CJ603*Instructions!$J$29+IFERROR(CK603/Instructions!$E$34,0)+CL603*Instructions!$E$36+Tier!CM603*Instructions!$E$25+IFERROR(CN603/Instructions!$E$27,0)+CO603*Instructions!$E$29+IFERROR((CP603+CR603)/Instructions!$J$32,0)+(CQ603+CS603)*Instructions!$J$34+Tier!CT603*-2</f>
        <v>20.5</v>
      </c>
      <c r="CV603" s="354"/>
      <c r="CW603"/>
      <c r="CX603"/>
      <c r="CY603"/>
      <c r="CZ603"/>
      <c r="DA603"/>
      <c r="DB603"/>
      <c r="DC603"/>
      <c r="DD603"/>
      <c r="DE603"/>
      <c r="DF603"/>
      <c r="DG603"/>
      <c r="DH603"/>
      <c r="DI603"/>
      <c r="DJ603"/>
      <c r="DK603"/>
      <c r="DL603"/>
      <c r="DM603"/>
      <c r="DN603"/>
    </row>
    <row r="604" spans="3:118" s="238" customFormat="1" ht="15.75" customHeight="1" x14ac:dyDescent="0.25">
      <c r="C604"/>
      <c r="D604"/>
      <c r="E604"/>
      <c r="F604"/>
      <c r="G604"/>
      <c r="H604"/>
      <c r="I604"/>
      <c r="J604"/>
      <c r="K604"/>
      <c r="L604"/>
      <c r="M604"/>
      <c r="N604"/>
      <c r="O604" s="366"/>
      <c r="P604" s="366">
        <v>2017</v>
      </c>
      <c r="Q604" s="367">
        <f>LARGE($CB$455:$CB$604,150)</f>
        <v>0.3</v>
      </c>
      <c r="R604" s="357">
        <f t="shared" si="153"/>
        <v>-171.76666666666668</v>
      </c>
      <c r="S604" s="356">
        <f t="shared" si="149"/>
        <v>29503.787777777783</v>
      </c>
      <c r="U604" s="356">
        <f t="shared" si="154"/>
        <v>-10.735416666666667</v>
      </c>
      <c r="V604" s="238">
        <f t="shared" si="151"/>
        <v>8</v>
      </c>
      <c r="W604" s="354"/>
      <c r="X604" s="366"/>
      <c r="Y604" s="366"/>
      <c r="Z604" s="238">
        <v>2017</v>
      </c>
      <c r="AA604" s="367">
        <f>LARGE($CU$455:$CU$604,150)</f>
        <v>12.8</v>
      </c>
      <c r="AB604" s="357">
        <f t="shared" si="155"/>
        <v>-179.73333333333332</v>
      </c>
      <c r="AC604" s="356">
        <f t="shared" si="150"/>
        <v>32304.071111111105</v>
      </c>
      <c r="AE604" s="356">
        <f t="shared" si="156"/>
        <v>-11.233333333333333</v>
      </c>
      <c r="AF604" s="238">
        <f t="shared" si="152"/>
        <v>8</v>
      </c>
      <c r="AG604" s="354"/>
      <c r="AK604"/>
      <c r="AL604"/>
      <c r="AM604"/>
      <c r="AN604"/>
      <c r="AO604"/>
      <c r="AP604"/>
      <c r="BI604" s="360"/>
      <c r="BJ604" s="354"/>
      <c r="BK604" s="366">
        <v>2017</v>
      </c>
      <c r="BL604" s="365" t="s">
        <v>1751</v>
      </c>
      <c r="BM604" s="366" t="s">
        <v>139</v>
      </c>
      <c r="BN604" s="366" t="s">
        <v>3</v>
      </c>
      <c r="BO604" s="366">
        <v>0</v>
      </c>
      <c r="BP604" s="366">
        <v>0</v>
      </c>
      <c r="BQ604" s="366">
        <v>0</v>
      </c>
      <c r="BR604" s="366">
        <v>0</v>
      </c>
      <c r="BS604" s="366">
        <v>0</v>
      </c>
      <c r="BT604" s="366">
        <v>1</v>
      </c>
      <c r="BU604" s="366">
        <v>3</v>
      </c>
      <c r="BV604" s="366">
        <v>0</v>
      </c>
      <c r="BW604" s="366">
        <v>0</v>
      </c>
      <c r="BX604" s="366">
        <v>0</v>
      </c>
      <c r="BY604" s="366">
        <v>0</v>
      </c>
      <c r="BZ604" s="366">
        <v>0</v>
      </c>
      <c r="CA604" s="366">
        <v>0</v>
      </c>
      <c r="CB604" s="367">
        <f>IFERROR(BO604/Instructions!$J$25,0)+BP604*Instructions!$J$27+BQ604*Instructions!$J$29+IFERROR(BR604/Instructions!$E$34,0)+BS604*Instructions!$E$36+Tier!BT605*Instructions!$E$25+IFERROR(BU604/Instructions!$E$27,0)+BV604*Instructions!$E$29+IFERROR((BW604+BY604)/Instructions!$J$32,0)+(BX604+BZ604)*Instructions!$J$34+Tier!CA604*-2</f>
        <v>0.3</v>
      </c>
      <c r="CC604" s="354"/>
      <c r="CD604" s="238">
        <v>2017</v>
      </c>
      <c r="CE604" s="365" t="s">
        <v>1433</v>
      </c>
      <c r="CF604" s="366" t="s">
        <v>164</v>
      </c>
      <c r="CG604" s="366" t="s">
        <v>6</v>
      </c>
      <c r="CH604" s="366">
        <v>0</v>
      </c>
      <c r="CI604" s="366">
        <v>0</v>
      </c>
      <c r="CJ604" s="366">
        <v>0</v>
      </c>
      <c r="CK604" s="366">
        <v>0</v>
      </c>
      <c r="CL604" s="366">
        <v>0</v>
      </c>
      <c r="CM604" s="366">
        <v>9</v>
      </c>
      <c r="CN604" s="366">
        <v>94</v>
      </c>
      <c r="CO604" s="366">
        <v>0</v>
      </c>
      <c r="CP604" s="366">
        <v>0</v>
      </c>
      <c r="CQ604" s="366">
        <v>0</v>
      </c>
      <c r="CR604" s="366">
        <v>0</v>
      </c>
      <c r="CS604" s="366">
        <v>0</v>
      </c>
      <c r="CT604" s="366">
        <v>0</v>
      </c>
      <c r="CU604" s="367">
        <f>IFERROR(CH604/Instructions!$J$25,0)+CI604*Instructions!$J$27+CJ604*Instructions!$J$29+IFERROR(CK604/Instructions!$E$34,0)+CL604*Instructions!$E$36+Tier!CM604*Instructions!$E$25+IFERROR(CN604/Instructions!$E$27,0)+CO604*Instructions!$E$29+IFERROR((CP604+CR604)/Instructions!$J$32,0)+(CQ604+CS604)*Instructions!$J$34+Tier!CT604*-2</f>
        <v>18.399999999999999</v>
      </c>
      <c r="CV604" s="354"/>
      <c r="CW604"/>
      <c r="CX604"/>
      <c r="CY604"/>
      <c r="CZ604"/>
      <c r="DA604"/>
      <c r="DB604"/>
      <c r="DC604"/>
      <c r="DD604"/>
      <c r="DE604"/>
      <c r="DF604"/>
      <c r="DG604"/>
      <c r="DH604"/>
      <c r="DI604"/>
      <c r="DJ604"/>
      <c r="DK604"/>
      <c r="DL604"/>
      <c r="DM604"/>
      <c r="DN604"/>
    </row>
    <row r="605" spans="3:118" s="238" customFormat="1" ht="15.75" customHeight="1" x14ac:dyDescent="0.25">
      <c r="C605"/>
      <c r="D605"/>
      <c r="E605"/>
      <c r="F605"/>
      <c r="G605"/>
      <c r="H605"/>
      <c r="I605"/>
      <c r="J605"/>
      <c r="K605"/>
      <c r="L605"/>
      <c r="M605"/>
      <c r="N605"/>
      <c r="O605" s="366"/>
      <c r="P605" s="380"/>
      <c r="Q605" s="376"/>
      <c r="R605" s="376"/>
      <c r="S605" s="376"/>
      <c r="T605" s="376"/>
      <c r="U605" s="376"/>
      <c r="V605" s="376"/>
      <c r="W605" s="354"/>
      <c r="X605" s="380"/>
      <c r="Y605" s="380"/>
      <c r="Z605" s="354"/>
      <c r="AA605" s="376"/>
      <c r="AB605" s="376"/>
      <c r="AC605" s="376"/>
      <c r="AD605" s="376"/>
      <c r="AE605" s="376"/>
      <c r="AF605" s="376"/>
      <c r="AG605" s="354"/>
      <c r="AK605"/>
      <c r="AL605"/>
      <c r="AM605"/>
      <c r="AN605"/>
      <c r="AO605"/>
      <c r="AP605"/>
      <c r="BI605" s="360"/>
      <c r="BJ605" s="354"/>
      <c r="BK605" s="354"/>
      <c r="BL605" s="375"/>
      <c r="BM605" s="354"/>
      <c r="BN605" s="354"/>
      <c r="BO605" s="354"/>
      <c r="BP605" s="354"/>
      <c r="BQ605" s="354"/>
      <c r="BR605" s="354"/>
      <c r="BS605" s="354"/>
      <c r="BT605" s="354"/>
      <c r="BU605" s="354"/>
      <c r="BV605" s="354"/>
      <c r="BW605" s="354"/>
      <c r="BX605" s="354"/>
      <c r="BY605" s="354"/>
      <c r="BZ605" s="354"/>
      <c r="CA605" s="354"/>
      <c r="CB605" s="382"/>
      <c r="CC605" s="354"/>
      <c r="CD605" s="354"/>
      <c r="CE605" s="375"/>
      <c r="CF605" s="354"/>
      <c r="CG605" s="354"/>
      <c r="CH605" s="354"/>
      <c r="CI605" s="354"/>
      <c r="CJ605" s="354"/>
      <c r="CK605" s="354"/>
      <c r="CL605" s="354"/>
      <c r="CM605" s="354"/>
      <c r="CN605" s="354"/>
      <c r="CO605" s="354"/>
      <c r="CP605" s="354"/>
      <c r="CQ605" s="354"/>
      <c r="CR605" s="354"/>
      <c r="CS605" s="354"/>
      <c r="CT605" s="354"/>
      <c r="CU605" s="382"/>
      <c r="CV605" s="354"/>
      <c r="CW605"/>
      <c r="CX605"/>
      <c r="CY605"/>
      <c r="CZ605"/>
      <c r="DA605"/>
      <c r="DB605"/>
      <c r="DC605"/>
      <c r="DD605"/>
      <c r="DE605"/>
      <c r="DF605"/>
      <c r="DG605"/>
      <c r="DH605"/>
      <c r="DI605"/>
      <c r="DJ605"/>
      <c r="DK605"/>
      <c r="DL605"/>
      <c r="DM605"/>
      <c r="DN605"/>
    </row>
    <row r="606" spans="3:118" s="238" customFormat="1" ht="15.75" customHeight="1" x14ac:dyDescent="0.25">
      <c r="C606"/>
      <c r="D606"/>
      <c r="E606"/>
      <c r="F606"/>
      <c r="G606"/>
      <c r="H606"/>
      <c r="I606"/>
      <c r="J606"/>
      <c r="K606"/>
      <c r="L606"/>
      <c r="M606"/>
      <c r="N606"/>
      <c r="O606" s="366"/>
      <c r="P606" s="366">
        <v>2018</v>
      </c>
      <c r="Q606" s="367">
        <f>LARGE($CB$606:$CB$755,1)</f>
        <v>398.1</v>
      </c>
      <c r="R606" s="357">
        <f>Q606-$T$616</f>
        <v>226.03333333333333</v>
      </c>
      <c r="S606" s="356">
        <f>R606^2</f>
        <v>51091.067777777775</v>
      </c>
      <c r="T606" s="356">
        <v>16</v>
      </c>
      <c r="U606" s="356">
        <f>R606/$T$606</f>
        <v>14.127083333333333</v>
      </c>
      <c r="V606" s="238">
        <f t="shared" si="151"/>
        <v>0</v>
      </c>
      <c r="W606" s="354"/>
      <c r="X606" s="366"/>
      <c r="Y606" s="366"/>
      <c r="Z606" s="238">
        <v>2018</v>
      </c>
      <c r="AA606" s="367">
        <f>LARGE($CU$606:$CU$755,1)</f>
        <v>337.5</v>
      </c>
      <c r="AB606" s="357">
        <f>$AA606-$AD$616</f>
        <v>146.6</v>
      </c>
      <c r="AC606" s="356">
        <f t="shared" si="150"/>
        <v>21491.559999999998</v>
      </c>
      <c r="AD606" s="356">
        <v>16</v>
      </c>
      <c r="AE606" s="356">
        <f>AB606/$AD$606</f>
        <v>9.1624999999999996</v>
      </c>
      <c r="AF606" s="238">
        <f t="shared" si="152"/>
        <v>0</v>
      </c>
      <c r="AG606" s="354"/>
      <c r="AK606"/>
      <c r="AL606"/>
      <c r="AM606"/>
      <c r="AN606"/>
      <c r="AO606"/>
      <c r="AP606"/>
      <c r="BI606" s="360"/>
      <c r="BJ606" s="354"/>
      <c r="BK606" s="366">
        <v>2018</v>
      </c>
      <c r="BL606" t="s">
        <v>1127</v>
      </c>
      <c r="BM606" t="s">
        <v>1389</v>
      </c>
      <c r="BN606" t="s">
        <v>3</v>
      </c>
      <c r="BO606">
        <v>0</v>
      </c>
      <c r="BP606">
        <v>0</v>
      </c>
      <c r="BQ606">
        <v>0</v>
      </c>
      <c r="BR606" s="418">
        <v>1251</v>
      </c>
      <c r="BS606">
        <v>17</v>
      </c>
      <c r="BT606">
        <v>59</v>
      </c>
      <c r="BU606">
        <v>580</v>
      </c>
      <c r="BV606">
        <v>4</v>
      </c>
      <c r="BW606">
        <v>0</v>
      </c>
      <c r="BX606">
        <v>0</v>
      </c>
      <c r="BY606">
        <v>0</v>
      </c>
      <c r="BZ606">
        <v>0</v>
      </c>
      <c r="CA606">
        <v>1</v>
      </c>
      <c r="CB606" s="367">
        <f>IFERROR(BO606/Instructions!$J$25,0)+BP606*Instructions!$J$27+BQ606*Instructions!$J$29+IFERROR(BR606/Instructions!$E$34,0)+BS606*Instructions!$E$36+Tier!BT607*Instructions!$E$25+IFERROR(BU606/Instructions!$E$27,0)+BV606*Instructions!$E$29+IFERROR((BW606+BY606)/Instructions!$J$32,0)+(BX606+BZ606)*Instructions!$J$34+Tier!CA606*-2</f>
        <v>398.1</v>
      </c>
      <c r="CC606" s="354"/>
      <c r="CD606" s="3">
        <v>2018</v>
      </c>
      <c r="CE606" t="s">
        <v>1267</v>
      </c>
      <c r="CF606" t="s">
        <v>136</v>
      </c>
      <c r="CG606" s="366" t="s">
        <v>6</v>
      </c>
      <c r="CH606">
        <v>0</v>
      </c>
      <c r="CI606">
        <v>0</v>
      </c>
      <c r="CJ606">
        <v>0</v>
      </c>
      <c r="CK606">
        <v>151</v>
      </c>
      <c r="CL606">
        <v>1</v>
      </c>
      <c r="CM606">
        <v>87</v>
      </c>
      <c r="CN606" s="418">
        <v>1479</v>
      </c>
      <c r="CO606">
        <v>12</v>
      </c>
      <c r="CP606">
        <v>0</v>
      </c>
      <c r="CQ606">
        <v>0</v>
      </c>
      <c r="CR606">
        <v>0</v>
      </c>
      <c r="CS606">
        <v>0</v>
      </c>
      <c r="CT606">
        <v>1</v>
      </c>
      <c r="CU606" s="367">
        <f>IFERROR(CH606/Instructions!$J$25,0)+CI606*Instructions!$J$27+CJ606*Instructions!$J$29+IFERROR(CK606/Instructions!$E$34,0)+CL606*Instructions!$E$36+Tier!CM606*Instructions!$E$25+IFERROR(CN606/Instructions!$E$27,0)+CO606*Instructions!$E$29+IFERROR((CP606+CR606)/Instructions!$J$32,0)+(CQ606+CS606)*Instructions!$J$34+Tier!CT606*-2</f>
        <v>326</v>
      </c>
      <c r="CV606" s="354"/>
      <c r="CW606"/>
      <c r="CX606"/>
      <c r="CY606"/>
      <c r="CZ606"/>
      <c r="DA606"/>
      <c r="DB606"/>
      <c r="DC606"/>
      <c r="DD606"/>
      <c r="DE606"/>
      <c r="DF606"/>
      <c r="DG606"/>
      <c r="DH606"/>
      <c r="DI606"/>
      <c r="DJ606"/>
      <c r="DK606"/>
      <c r="DL606"/>
      <c r="DM606"/>
      <c r="DN606"/>
    </row>
    <row r="607" spans="3:118" s="238" customFormat="1" ht="15.75" customHeight="1" x14ac:dyDescent="0.25">
      <c r="C607"/>
      <c r="D607"/>
      <c r="E607"/>
      <c r="F607"/>
      <c r="G607"/>
      <c r="H607"/>
      <c r="I607"/>
      <c r="J607"/>
      <c r="K607"/>
      <c r="L607"/>
      <c r="M607"/>
      <c r="N607"/>
      <c r="O607" s="366"/>
      <c r="P607" s="366">
        <v>2018</v>
      </c>
      <c r="Q607" s="367">
        <f>LARGE($CB$606:$CB$755,2)</f>
        <v>374.20000000000005</v>
      </c>
      <c r="R607" s="357">
        <f t="shared" ref="R607:R670" si="157">Q607-$T$161</f>
        <v>177.60000000000005</v>
      </c>
      <c r="S607" s="356">
        <f t="shared" ref="S607:S655" si="158">R607^2</f>
        <v>31541.760000000017</v>
      </c>
      <c r="T607" s="356">
        <f>AVERAGE(S606:INDEX(S606:S755,Instructions!$E$11*(Instructions!$E$19+Instructions!$J$15*0.5),1))</f>
        <v>6197.5780325925925</v>
      </c>
      <c r="U607" s="356">
        <f t="shared" ref="U607:U670" si="159">R607/$T$606</f>
        <v>11.100000000000003</v>
      </c>
      <c r="V607" s="238">
        <f t="shared" si="151"/>
        <v>0</v>
      </c>
      <c r="W607" s="354"/>
      <c r="X607" s="366"/>
      <c r="Y607" s="366"/>
      <c r="Z607" s="238">
        <v>2018</v>
      </c>
      <c r="AA607" s="367">
        <f>LARGE($CU$606:$CU$755,2)</f>
        <v>329.9</v>
      </c>
      <c r="AB607" s="357">
        <f t="shared" ref="AB607:AB670" si="160">$AA607-$AD$616</f>
        <v>138.99999999999997</v>
      </c>
      <c r="AC607" s="356">
        <f t="shared" si="150"/>
        <v>19320.999999999993</v>
      </c>
      <c r="AD607" s="356">
        <f>AVERAGE(AC2:INDEX(AC2:AC151,Instructions!$E$11*(Instructions!$E$17+Instructions!$J$15*0.5),1))</f>
        <v>3455.2365555555548</v>
      </c>
      <c r="AE607" s="356">
        <f t="shared" ref="AE607:AE670" si="161">AB607/$AD$606</f>
        <v>8.6874999999999982</v>
      </c>
      <c r="AF607" s="238">
        <f t="shared" si="152"/>
        <v>0</v>
      </c>
      <c r="AG607" s="354"/>
      <c r="AK607"/>
      <c r="AL607"/>
      <c r="AM607"/>
      <c r="AN607"/>
      <c r="AO607"/>
      <c r="AP607"/>
      <c r="BI607" s="360"/>
      <c r="BJ607" s="354"/>
      <c r="BK607" s="366">
        <v>2018</v>
      </c>
      <c r="BL607" t="s">
        <v>1766</v>
      </c>
      <c r="BM607" t="s">
        <v>154</v>
      </c>
      <c r="BN607" t="s">
        <v>3</v>
      </c>
      <c r="BO607">
        <v>0</v>
      </c>
      <c r="BP607">
        <v>0</v>
      </c>
      <c r="BQ607">
        <v>0</v>
      </c>
      <c r="BR607" s="418">
        <v>1307</v>
      </c>
      <c r="BS607">
        <v>11</v>
      </c>
      <c r="BT607">
        <v>91</v>
      </c>
      <c r="BU607">
        <v>721</v>
      </c>
      <c r="BV607">
        <v>4</v>
      </c>
      <c r="BW607">
        <v>0</v>
      </c>
      <c r="BX607">
        <v>0</v>
      </c>
      <c r="BY607">
        <v>0</v>
      </c>
      <c r="BZ607">
        <v>0</v>
      </c>
      <c r="CA607">
        <v>0</v>
      </c>
      <c r="CB607" s="367">
        <f>IFERROR(BO607/Instructions!$J$25,0)+BP607*Instructions!$J$27+BQ607*Instructions!$J$29+IFERROR(BR607/Instructions!$E$34,0)+BS607*Instructions!$E$36+Tier!BT608*Instructions!$E$25+IFERROR(BU607/Instructions!$E$27,0)+BV607*Instructions!$E$29+IFERROR((BW607+BY607)/Instructions!$J$32,0)+(BX607+BZ607)*Instructions!$J$34+Tier!CA607*-2</f>
        <v>373.79999999999995</v>
      </c>
      <c r="CC607" s="354"/>
      <c r="CD607" s="3">
        <v>2018</v>
      </c>
      <c r="CE607" t="s">
        <v>36</v>
      </c>
      <c r="CF607" t="s">
        <v>1941</v>
      </c>
      <c r="CG607" s="366" t="s">
        <v>6</v>
      </c>
      <c r="CH607">
        <v>0</v>
      </c>
      <c r="CI607">
        <v>0</v>
      </c>
      <c r="CJ607">
        <v>0</v>
      </c>
      <c r="CK607">
        <v>0</v>
      </c>
      <c r="CL607">
        <v>0</v>
      </c>
      <c r="CM607">
        <v>104</v>
      </c>
      <c r="CN607" s="418">
        <v>1297</v>
      </c>
      <c r="CO607">
        <v>15</v>
      </c>
      <c r="CP607">
        <v>0</v>
      </c>
      <c r="CQ607">
        <v>0</v>
      </c>
      <c r="CR607">
        <v>0</v>
      </c>
      <c r="CS607">
        <v>0</v>
      </c>
      <c r="CT607">
        <v>0</v>
      </c>
      <c r="CU607" s="367">
        <f>IFERROR(CH607/Instructions!$J$25,0)+CI607*Instructions!$J$27+CJ607*Instructions!$J$29+IFERROR(CK607/Instructions!$E$34,0)+CL607*Instructions!$E$36+Tier!CM607*Instructions!$E$25+IFERROR(CN607/Instructions!$E$27,0)+CO607*Instructions!$E$29+IFERROR((CP607+CR607)/Instructions!$J$32,0)+(CQ607+CS607)*Instructions!$J$34+Tier!CT607*-2</f>
        <v>323.7</v>
      </c>
      <c r="CV607" s="354"/>
      <c r="CW607"/>
      <c r="CX607"/>
      <c r="CY607"/>
      <c r="CZ607"/>
      <c r="DA607"/>
      <c r="DB607"/>
      <c r="DC607"/>
      <c r="DD607"/>
      <c r="DE607"/>
      <c r="DF607"/>
      <c r="DG607"/>
      <c r="DH607"/>
      <c r="DI607"/>
      <c r="DJ607"/>
      <c r="DK607"/>
      <c r="DL607"/>
      <c r="DM607"/>
      <c r="DN607"/>
    </row>
    <row r="608" spans="3:118" s="238" customFormat="1" ht="15.75" customHeight="1" x14ac:dyDescent="0.25">
      <c r="C608"/>
      <c r="D608"/>
      <c r="E608"/>
      <c r="F608"/>
      <c r="G608"/>
      <c r="H608"/>
      <c r="I608"/>
      <c r="J608"/>
      <c r="K608"/>
      <c r="L608"/>
      <c r="M608"/>
      <c r="N608"/>
      <c r="O608" s="366"/>
      <c r="P608" s="366">
        <v>2018</v>
      </c>
      <c r="Q608" s="367">
        <f>LARGE($CB$606:$CB$755,3)</f>
        <v>373.79999999999995</v>
      </c>
      <c r="R608" s="357">
        <f t="shared" si="157"/>
        <v>177.19999999999996</v>
      </c>
      <c r="S608" s="356">
        <f t="shared" si="158"/>
        <v>31399.839999999986</v>
      </c>
      <c r="U608" s="356">
        <f t="shared" si="159"/>
        <v>11.074999999999998</v>
      </c>
      <c r="V608" s="238">
        <f t="shared" si="151"/>
        <v>0</v>
      </c>
      <c r="W608" s="354"/>
      <c r="X608" s="366"/>
      <c r="Y608" s="366"/>
      <c r="Z608" s="238">
        <v>2018</v>
      </c>
      <c r="AA608" s="367">
        <f>LARGE($CU$606:$CU$755,3)</f>
        <v>327.60000000000002</v>
      </c>
      <c r="AB608" s="357">
        <f t="shared" si="160"/>
        <v>136.70000000000002</v>
      </c>
      <c r="AC608" s="356">
        <f t="shared" si="150"/>
        <v>18686.890000000003</v>
      </c>
      <c r="AE608" s="356">
        <f t="shared" si="161"/>
        <v>8.5437500000000011</v>
      </c>
      <c r="AF608" s="238">
        <f t="shared" si="152"/>
        <v>0</v>
      </c>
      <c r="AG608" s="354"/>
      <c r="AK608"/>
      <c r="AL608"/>
      <c r="AM608"/>
      <c r="AN608"/>
      <c r="AO608"/>
      <c r="AP608"/>
      <c r="BI608" s="360"/>
      <c r="BJ608" s="354"/>
      <c r="BK608" s="366">
        <v>2018</v>
      </c>
      <c r="BL608" t="s">
        <v>1429</v>
      </c>
      <c r="BM608" t="s">
        <v>143</v>
      </c>
      <c r="BN608" t="s">
        <v>3</v>
      </c>
      <c r="BO608">
        <v>0</v>
      </c>
      <c r="BP608">
        <v>0</v>
      </c>
      <c r="BQ608">
        <v>0</v>
      </c>
      <c r="BR608" s="418">
        <v>883</v>
      </c>
      <c r="BS608">
        <v>14</v>
      </c>
      <c r="BT608">
        <v>81</v>
      </c>
      <c r="BU608">
        <v>709</v>
      </c>
      <c r="BV608">
        <v>4</v>
      </c>
      <c r="BW608">
        <v>0</v>
      </c>
      <c r="BX608">
        <v>0</v>
      </c>
      <c r="BY608">
        <v>208</v>
      </c>
      <c r="BZ608">
        <v>0</v>
      </c>
      <c r="CA608">
        <v>0</v>
      </c>
      <c r="CB608" s="367">
        <f>IFERROR(BO608/Instructions!$J$25,0)+BP608*Instructions!$J$27+BQ608*Instructions!$J$29+IFERROR(BR608/Instructions!$E$34,0)+BS608*Instructions!$E$36+Tier!BT609*Instructions!$E$25+IFERROR(BU608/Instructions!$E$27,0)+BV608*Instructions!$E$29+IFERROR((BW608+BY608)/Instructions!$J$32,0)+(BX608+BZ608)*Instructions!$J$34+Tier!CA608*-2</f>
        <v>374.20000000000005</v>
      </c>
      <c r="CC608" s="354"/>
      <c r="CD608" s="3">
        <v>2018</v>
      </c>
      <c r="CE608" t="s">
        <v>193</v>
      </c>
      <c r="CF608" t="s">
        <v>139</v>
      </c>
      <c r="CG608" s="366" t="s">
        <v>6</v>
      </c>
      <c r="CH608">
        <v>0</v>
      </c>
      <c r="CI608">
        <v>0</v>
      </c>
      <c r="CJ608">
        <v>0</v>
      </c>
      <c r="CK608">
        <v>0</v>
      </c>
      <c r="CL608">
        <v>0</v>
      </c>
      <c r="CM608">
        <v>111</v>
      </c>
      <c r="CN608" s="418">
        <v>1386</v>
      </c>
      <c r="CO608">
        <v>13</v>
      </c>
      <c r="CP608">
        <v>0</v>
      </c>
      <c r="CQ608">
        <v>0</v>
      </c>
      <c r="CR608">
        <v>0</v>
      </c>
      <c r="CS608">
        <v>0</v>
      </c>
      <c r="CT608">
        <v>0</v>
      </c>
      <c r="CU608" s="367">
        <f>IFERROR(CH608/Instructions!$J$25,0)+CI608*Instructions!$J$27+CJ608*Instructions!$J$29+IFERROR(CK608/Instructions!$E$34,0)+CL608*Instructions!$E$36+Tier!CM608*Instructions!$E$25+IFERROR(CN608/Instructions!$E$27,0)+CO608*Instructions!$E$29+IFERROR((CP608+CR608)/Instructions!$J$32,0)+(CQ608+CS608)*Instructions!$J$34+Tier!CT608*-2</f>
        <v>327.60000000000002</v>
      </c>
      <c r="CV608" s="354"/>
      <c r="CW608"/>
      <c r="CX608"/>
      <c r="CY608"/>
      <c r="CZ608"/>
      <c r="DA608"/>
      <c r="DB608"/>
      <c r="DC608"/>
      <c r="DD608"/>
      <c r="DE608"/>
      <c r="DF608"/>
      <c r="DG608"/>
      <c r="DH608"/>
      <c r="DI608"/>
      <c r="DJ608"/>
      <c r="DK608"/>
      <c r="DL608"/>
      <c r="DM608"/>
      <c r="DN608"/>
    </row>
    <row r="609" spans="3:118" s="238" customFormat="1" ht="15.75" customHeight="1" x14ac:dyDescent="0.25">
      <c r="C609"/>
      <c r="D609"/>
      <c r="E609"/>
      <c r="F609"/>
      <c r="G609"/>
      <c r="H609"/>
      <c r="I609"/>
      <c r="J609"/>
      <c r="K609"/>
      <c r="L609"/>
      <c r="M609"/>
      <c r="N609"/>
      <c r="O609" s="366"/>
      <c r="P609" s="366">
        <v>2018</v>
      </c>
      <c r="Q609" s="367">
        <f>LARGE($CB$606:$CB$755,4)</f>
        <v>355.5</v>
      </c>
      <c r="R609" s="357">
        <f t="shared" si="157"/>
        <v>158.9</v>
      </c>
      <c r="S609" s="356">
        <f t="shared" si="158"/>
        <v>25249.210000000003</v>
      </c>
      <c r="T609" s="356">
        <f>T610+T606</f>
        <v>284.06666666666672</v>
      </c>
      <c r="U609" s="356">
        <f t="shared" si="159"/>
        <v>9.9312500000000004</v>
      </c>
      <c r="V609" s="238">
        <f t="shared" si="151"/>
        <v>0</v>
      </c>
      <c r="W609" s="354"/>
      <c r="X609" s="366"/>
      <c r="Y609" s="366"/>
      <c r="Z609" s="238">
        <v>2018</v>
      </c>
      <c r="AA609" s="367">
        <f>LARGE($CU$606:$CU$755,4)</f>
        <v>326</v>
      </c>
      <c r="AB609" s="357">
        <f t="shared" si="160"/>
        <v>135.1</v>
      </c>
      <c r="AC609" s="356">
        <f t="shared" si="150"/>
        <v>18252.009999999998</v>
      </c>
      <c r="AD609" s="356">
        <f>AD610+AD606</f>
        <v>302.89999999999998</v>
      </c>
      <c r="AE609" s="356">
        <f t="shared" si="161"/>
        <v>8.4437499999999996</v>
      </c>
      <c r="AF609" s="238">
        <f t="shared" si="152"/>
        <v>0</v>
      </c>
      <c r="AG609" s="354"/>
      <c r="AK609"/>
      <c r="AL609"/>
      <c r="AM609"/>
      <c r="AN609"/>
      <c r="AO609"/>
      <c r="AP609"/>
      <c r="BI609" s="360"/>
      <c r="BJ609" s="354"/>
      <c r="BK609" s="366">
        <v>2018</v>
      </c>
      <c r="BL609" t="s">
        <v>1426</v>
      </c>
      <c r="BM609" t="s">
        <v>1935</v>
      </c>
      <c r="BN609" t="s">
        <v>3</v>
      </c>
      <c r="BO609">
        <v>50</v>
      </c>
      <c r="BP609">
        <v>1</v>
      </c>
      <c r="BQ609">
        <v>0</v>
      </c>
      <c r="BR609">
        <v>1098</v>
      </c>
      <c r="BS609">
        <v>7</v>
      </c>
      <c r="BT609">
        <v>107</v>
      </c>
      <c r="BU609">
        <v>867</v>
      </c>
      <c r="BV609">
        <v>6</v>
      </c>
      <c r="BW609">
        <v>0</v>
      </c>
      <c r="BX609">
        <v>0</v>
      </c>
      <c r="BY609">
        <v>0</v>
      </c>
      <c r="BZ609">
        <v>0</v>
      </c>
      <c r="CA609">
        <v>1</v>
      </c>
      <c r="CB609" s="367">
        <f>IFERROR(BO609/Instructions!$J$25,0)+BP609*Instructions!$J$27+BQ609*Instructions!$J$29+IFERROR(BR609/Instructions!$E$34,0)+BS609*Instructions!$E$36+Tier!BT610*Instructions!$E$25+IFERROR(BU609/Instructions!$E$27,0)+BV609*Instructions!$E$29+IFERROR((BW609+BY609)/Instructions!$J$32,0)+(BX609+BZ609)*Instructions!$J$34+Tier!CA609*-2</f>
        <v>355.5</v>
      </c>
      <c r="CC609" s="354"/>
      <c r="CD609" s="3">
        <v>2018</v>
      </c>
      <c r="CE609" t="s">
        <v>108</v>
      </c>
      <c r="CF609" t="s">
        <v>1932</v>
      </c>
      <c r="CG609" s="366" t="s">
        <v>6</v>
      </c>
      <c r="CH609">
        <v>0</v>
      </c>
      <c r="CI609">
        <v>0</v>
      </c>
      <c r="CJ609">
        <v>0</v>
      </c>
      <c r="CK609">
        <v>-7</v>
      </c>
      <c r="CL609">
        <v>0</v>
      </c>
      <c r="CM609">
        <v>115</v>
      </c>
      <c r="CN609" s="418">
        <v>1572</v>
      </c>
      <c r="CO609">
        <v>11</v>
      </c>
      <c r="CP609">
        <v>0</v>
      </c>
      <c r="CQ609">
        <v>0</v>
      </c>
      <c r="CR609">
        <v>2</v>
      </c>
      <c r="CS609">
        <v>0</v>
      </c>
      <c r="CT609">
        <v>0</v>
      </c>
      <c r="CU609" s="367">
        <f>IFERROR(CH609/Instructions!$J$25,0)+CI609*Instructions!$J$27+CJ609*Instructions!$J$29+IFERROR(CK609/Instructions!$E$34,0)+CL609*Instructions!$E$36+Tier!CM609*Instructions!$E$25+IFERROR(CN609/Instructions!$E$27,0)+CO609*Instructions!$E$29+IFERROR((CP609+CR609)/Instructions!$J$32,0)+(CQ609+CS609)*Instructions!$J$34+Tier!CT609*-2</f>
        <v>337.5</v>
      </c>
      <c r="CV609" s="354"/>
      <c r="CW609"/>
      <c r="CX609"/>
      <c r="CY609"/>
      <c r="CZ609"/>
      <c r="DA609"/>
      <c r="DB609"/>
      <c r="DC609"/>
      <c r="DD609"/>
      <c r="DE609"/>
      <c r="DF609"/>
      <c r="DG609"/>
      <c r="DH609"/>
      <c r="DI609"/>
      <c r="DJ609"/>
      <c r="DK609"/>
      <c r="DL609"/>
      <c r="DM609"/>
      <c r="DN609"/>
    </row>
    <row r="610" spans="3:118" s="238" customFormat="1" ht="15.75" customHeight="1" x14ac:dyDescent="0.25">
      <c r="C610"/>
      <c r="D610"/>
      <c r="E610"/>
      <c r="F610"/>
      <c r="G610"/>
      <c r="H610"/>
      <c r="I610"/>
      <c r="J610"/>
      <c r="K610"/>
      <c r="L610"/>
      <c r="M610"/>
      <c r="N610"/>
      <c r="O610" s="366"/>
      <c r="P610" s="366">
        <v>2018</v>
      </c>
      <c r="Q610" s="367">
        <f>LARGE($CB$606:$CB$755,5)</f>
        <v>302.10000000000002</v>
      </c>
      <c r="R610" s="357">
        <f t="shared" si="157"/>
        <v>105.50000000000003</v>
      </c>
      <c r="S610" s="356">
        <f t="shared" si="158"/>
        <v>11130.250000000005</v>
      </c>
      <c r="T610" s="356">
        <f>T611+T606</f>
        <v>268.06666666666672</v>
      </c>
      <c r="U610" s="356">
        <f t="shared" si="159"/>
        <v>6.5937500000000018</v>
      </c>
      <c r="V610" s="238">
        <f t="shared" si="151"/>
        <v>0</v>
      </c>
      <c r="W610" s="354"/>
      <c r="X610" s="366"/>
      <c r="Y610" s="366"/>
      <c r="Z610" s="238">
        <v>2018</v>
      </c>
      <c r="AA610" s="367">
        <f>LARGE($CU$606:$CU$755,5)</f>
        <v>323.7</v>
      </c>
      <c r="AB610" s="357">
        <f t="shared" si="160"/>
        <v>132.79999999999998</v>
      </c>
      <c r="AC610" s="356">
        <f t="shared" si="150"/>
        <v>17635.839999999997</v>
      </c>
      <c r="AD610" s="356">
        <f>AD611+AD606</f>
        <v>286.89999999999998</v>
      </c>
      <c r="AE610" s="356">
        <f t="shared" si="161"/>
        <v>8.2999999999999989</v>
      </c>
      <c r="AF610" s="238">
        <f t="shared" si="152"/>
        <v>0</v>
      </c>
      <c r="AG610" s="354"/>
      <c r="AK610"/>
      <c r="AL610"/>
      <c r="AM610"/>
      <c r="AN610"/>
      <c r="AO610"/>
      <c r="AP610"/>
      <c r="BI610" s="360"/>
      <c r="BJ610" s="354"/>
      <c r="BK610" s="366">
        <v>2018</v>
      </c>
      <c r="BL610" t="s">
        <v>1179</v>
      </c>
      <c r="BM610" t="s">
        <v>1936</v>
      </c>
      <c r="BN610" t="s">
        <v>3</v>
      </c>
      <c r="BO610">
        <v>0</v>
      </c>
      <c r="BP610">
        <v>0</v>
      </c>
      <c r="BQ610">
        <v>0</v>
      </c>
      <c r="BR610" s="418">
        <v>1434</v>
      </c>
      <c r="BS610">
        <v>6</v>
      </c>
      <c r="BT610">
        <v>77</v>
      </c>
      <c r="BU610">
        <v>567</v>
      </c>
      <c r="BV610">
        <v>3</v>
      </c>
      <c r="BW610">
        <v>0</v>
      </c>
      <c r="BX610">
        <v>0</v>
      </c>
      <c r="BY610">
        <v>0</v>
      </c>
      <c r="BZ610">
        <v>0</v>
      </c>
      <c r="CA610">
        <v>1</v>
      </c>
      <c r="CB610" s="367">
        <f>IFERROR(BO610/Instructions!$J$25,0)+BP610*Instructions!$J$27+BQ610*Instructions!$J$29+IFERROR(BR610/Instructions!$E$34,0)+BS610*Instructions!$E$36+Tier!BT611*Instructions!$E$25+IFERROR(BU610/Instructions!$E$27,0)+BV610*Instructions!$E$29+IFERROR((BW610+BY610)/Instructions!$J$32,0)+(BX610+BZ610)*Instructions!$J$34+Tier!CA610*-2</f>
        <v>302.10000000000002</v>
      </c>
      <c r="CC610" s="354"/>
      <c r="CD610" s="3">
        <v>2018</v>
      </c>
      <c r="CE610" t="s">
        <v>27</v>
      </c>
      <c r="CF610" t="s">
        <v>1929</v>
      </c>
      <c r="CG610" s="366" t="s">
        <v>6</v>
      </c>
      <c r="CH610">
        <v>0</v>
      </c>
      <c r="CI610">
        <v>0</v>
      </c>
      <c r="CJ610">
        <v>0</v>
      </c>
      <c r="CK610">
        <v>12</v>
      </c>
      <c r="CL610">
        <v>0</v>
      </c>
      <c r="CM610">
        <v>113</v>
      </c>
      <c r="CN610" s="418">
        <v>1677</v>
      </c>
      <c r="CO610">
        <v>8</v>
      </c>
      <c r="CP610">
        <v>0</v>
      </c>
      <c r="CQ610">
        <v>0</v>
      </c>
      <c r="CR610">
        <v>2</v>
      </c>
      <c r="CS610">
        <v>0</v>
      </c>
      <c r="CT610">
        <v>0</v>
      </c>
      <c r="CU610" s="367">
        <f>IFERROR(CH610/Instructions!$J$25,0)+CI610*Instructions!$J$27+CJ610*Instructions!$J$29+IFERROR(CK610/Instructions!$E$34,0)+CL610*Instructions!$E$36+Tier!CM610*Instructions!$E$25+IFERROR(CN610/Instructions!$E$27,0)+CO610*Instructions!$E$29+IFERROR((CP610+CR610)/Instructions!$J$32,0)+(CQ610+CS610)*Instructions!$J$34+Tier!CT610*-2</f>
        <v>329.9</v>
      </c>
      <c r="CV610" s="354"/>
      <c r="CW610"/>
      <c r="CX610"/>
      <c r="CY610"/>
      <c r="CZ610"/>
      <c r="DA610"/>
      <c r="DB610"/>
      <c r="DC610"/>
      <c r="DD610"/>
      <c r="DE610"/>
      <c r="DF610"/>
      <c r="DG610"/>
      <c r="DH610"/>
      <c r="DI610"/>
      <c r="DJ610"/>
      <c r="DK610"/>
      <c r="DL610"/>
      <c r="DM610"/>
      <c r="DN610"/>
    </row>
    <row r="611" spans="3:118" s="238" customFormat="1" ht="15.75" customHeight="1" x14ac:dyDescent="0.25">
      <c r="C611"/>
      <c r="D611"/>
      <c r="E611"/>
      <c r="F611"/>
      <c r="G611"/>
      <c r="H611"/>
      <c r="I611"/>
      <c r="J611"/>
      <c r="K611"/>
      <c r="L611"/>
      <c r="M611"/>
      <c r="N611"/>
      <c r="O611" s="366"/>
      <c r="P611" s="366">
        <v>2018</v>
      </c>
      <c r="Q611" s="367">
        <f>LARGE($CB$606:$CB$755,6)</f>
        <v>276.5</v>
      </c>
      <c r="R611" s="357">
        <f t="shared" si="157"/>
        <v>79.900000000000006</v>
      </c>
      <c r="S611" s="356">
        <f t="shared" si="158"/>
        <v>6384.0100000000011</v>
      </c>
      <c r="T611" s="356">
        <f>T612+T606</f>
        <v>252.06666666666669</v>
      </c>
      <c r="U611" s="356">
        <f t="shared" si="159"/>
        <v>4.9937500000000004</v>
      </c>
      <c r="V611" s="238">
        <f t="shared" si="151"/>
        <v>2</v>
      </c>
      <c r="W611" s="354"/>
      <c r="X611" s="366"/>
      <c r="Y611" s="366"/>
      <c r="Z611" s="238">
        <v>2018</v>
      </c>
      <c r="AA611" s="367">
        <f>LARGE($CU$606:$CU$755,6)</f>
        <v>319.5</v>
      </c>
      <c r="AB611" s="357">
        <f t="shared" si="160"/>
        <v>128.6</v>
      </c>
      <c r="AC611" s="356">
        <f t="shared" si="150"/>
        <v>16537.96</v>
      </c>
      <c r="AD611" s="356">
        <f>AD612+AD606</f>
        <v>270.89999999999998</v>
      </c>
      <c r="AE611" s="356">
        <f t="shared" si="161"/>
        <v>8.0374999999999996</v>
      </c>
      <c r="AF611" s="238">
        <f t="shared" si="152"/>
        <v>0</v>
      </c>
      <c r="AG611" s="354"/>
      <c r="AK611"/>
      <c r="AL611"/>
      <c r="AM611"/>
      <c r="AN611"/>
      <c r="AO611"/>
      <c r="AP611"/>
      <c r="BI611" s="360"/>
      <c r="BJ611" s="354"/>
      <c r="BK611" s="366">
        <v>2018</v>
      </c>
      <c r="BL611" t="s">
        <v>1126</v>
      </c>
      <c r="BM611" t="s">
        <v>1388</v>
      </c>
      <c r="BN611" t="s">
        <v>3</v>
      </c>
      <c r="BO611">
        <v>0</v>
      </c>
      <c r="BP611">
        <v>0</v>
      </c>
      <c r="BQ611">
        <v>0</v>
      </c>
      <c r="BR611" s="418">
        <v>885</v>
      </c>
      <c r="BS611">
        <v>10</v>
      </c>
      <c r="BT611">
        <v>50</v>
      </c>
      <c r="BU611">
        <v>490</v>
      </c>
      <c r="BV611">
        <v>4</v>
      </c>
      <c r="BW611">
        <v>0</v>
      </c>
      <c r="BX611">
        <v>0</v>
      </c>
      <c r="BY611">
        <v>0</v>
      </c>
      <c r="BZ611">
        <v>0</v>
      </c>
      <c r="CA611">
        <v>0</v>
      </c>
      <c r="CB611" s="367">
        <f>IFERROR(BO611/Instructions!$J$25,0)+BP611*Instructions!$J$27+BQ611*Instructions!$J$29+IFERROR(BR611/Instructions!$E$34,0)+BS611*Instructions!$E$36+Tier!BT612*Instructions!$E$25+IFERROR(BU611/Instructions!$E$27,0)+BV611*Instructions!$E$29+IFERROR((BW611+BY611)/Instructions!$J$32,0)+(BX611+BZ611)*Instructions!$J$34+Tier!CA611*-2</f>
        <v>276.5</v>
      </c>
      <c r="CC611" s="354"/>
      <c r="CD611" s="3">
        <v>2018</v>
      </c>
      <c r="CE611" t="s">
        <v>104</v>
      </c>
      <c r="CF611" t="s">
        <v>149</v>
      </c>
      <c r="CG611" s="366" t="s">
        <v>6</v>
      </c>
      <c r="CH611">
        <v>0</v>
      </c>
      <c r="CI611">
        <v>0</v>
      </c>
      <c r="CJ611">
        <v>0</v>
      </c>
      <c r="CK611">
        <v>0</v>
      </c>
      <c r="CL611">
        <v>0</v>
      </c>
      <c r="CM611">
        <v>86</v>
      </c>
      <c r="CN611" s="418">
        <v>1524</v>
      </c>
      <c r="CO611">
        <v>8</v>
      </c>
      <c r="CP611">
        <v>0</v>
      </c>
      <c r="CQ611">
        <v>0</v>
      </c>
      <c r="CR611">
        <v>1</v>
      </c>
      <c r="CS611">
        <v>0</v>
      </c>
      <c r="CT611">
        <v>0</v>
      </c>
      <c r="CU611" s="367">
        <f>IFERROR(CH611/Instructions!$J$25,0)+CI611*Instructions!$J$27+CJ611*Instructions!$J$29+IFERROR(CK611/Instructions!$E$34,0)+CL611*Instructions!$E$36+Tier!CM611*Instructions!$E$25+IFERROR(CN611/Instructions!$E$27,0)+CO611*Instructions!$E$29+IFERROR((CP611+CR611)/Instructions!$J$32,0)+(CQ611+CS611)*Instructions!$J$34+Tier!CT611*-2</f>
        <v>286.39999999999998</v>
      </c>
      <c r="CV611" s="354"/>
      <c r="CW611"/>
      <c r="CX611"/>
      <c r="CY611"/>
      <c r="CZ611"/>
      <c r="DA611"/>
      <c r="DB611"/>
      <c r="DC611"/>
      <c r="DD611"/>
      <c r="DE611"/>
      <c r="DF611"/>
      <c r="DG611"/>
      <c r="DH611"/>
      <c r="DI611"/>
      <c r="DJ611"/>
      <c r="DK611"/>
      <c r="DL611"/>
      <c r="DM611"/>
      <c r="DN611"/>
    </row>
    <row r="612" spans="3:118" s="238" customFormat="1" ht="15.75" customHeight="1" x14ac:dyDescent="0.25">
      <c r="C612"/>
      <c r="D612"/>
      <c r="E612"/>
      <c r="F612"/>
      <c r="G612"/>
      <c r="H612"/>
      <c r="I612"/>
      <c r="J612"/>
      <c r="K612"/>
      <c r="L612"/>
      <c r="M612"/>
      <c r="N612"/>
      <c r="O612" s="366"/>
      <c r="P612" s="366">
        <v>2018</v>
      </c>
      <c r="Q612" s="367">
        <f>LARGE($CB$606:$CB$755,7)</f>
        <v>274.8</v>
      </c>
      <c r="R612" s="357">
        <f t="shared" si="157"/>
        <v>78.200000000000017</v>
      </c>
      <c r="S612" s="356">
        <f t="shared" si="158"/>
        <v>6115.2400000000025</v>
      </c>
      <c r="T612" s="356">
        <f>T613+T606</f>
        <v>236.06666666666669</v>
      </c>
      <c r="U612" s="356">
        <f t="shared" si="159"/>
        <v>4.8875000000000011</v>
      </c>
      <c r="V612" s="238">
        <f t="shared" si="151"/>
        <v>2</v>
      </c>
      <c r="W612" s="354"/>
      <c r="X612" s="366"/>
      <c r="Y612" s="366"/>
      <c r="Z612" s="238">
        <v>2018</v>
      </c>
      <c r="AA612" s="367">
        <f>LARGE($CU$606:$CU$755,7)</f>
        <v>303.3</v>
      </c>
      <c r="AB612" s="357">
        <f t="shared" si="160"/>
        <v>112.4</v>
      </c>
      <c r="AC612" s="356">
        <f t="shared" si="150"/>
        <v>12633.760000000002</v>
      </c>
      <c r="AD612" s="356">
        <f>AD613+AD606</f>
        <v>254.9</v>
      </c>
      <c r="AE612" s="356">
        <f t="shared" si="161"/>
        <v>7.0250000000000004</v>
      </c>
      <c r="AF612" s="238">
        <f t="shared" si="152"/>
        <v>0</v>
      </c>
      <c r="AG612" s="354"/>
      <c r="AK612"/>
      <c r="AL612"/>
      <c r="AM612"/>
      <c r="AN612"/>
      <c r="AO612"/>
      <c r="AP612"/>
      <c r="BI612" s="360"/>
      <c r="BJ612" s="354"/>
      <c r="BK612" s="366">
        <v>2018</v>
      </c>
      <c r="BL612" t="s">
        <v>1422</v>
      </c>
      <c r="BM612" t="s">
        <v>1930</v>
      </c>
      <c r="BN612" t="s">
        <v>3</v>
      </c>
      <c r="BO612">
        <v>0</v>
      </c>
      <c r="BP612">
        <v>0</v>
      </c>
      <c r="BQ612">
        <v>0</v>
      </c>
      <c r="BR612" s="418">
        <v>973</v>
      </c>
      <c r="BS612">
        <v>12</v>
      </c>
      <c r="BT612">
        <v>55</v>
      </c>
      <c r="BU612">
        <v>497</v>
      </c>
      <c r="BV612">
        <v>1</v>
      </c>
      <c r="BW612">
        <v>0</v>
      </c>
      <c r="BX612">
        <v>0</v>
      </c>
      <c r="BY612">
        <v>0</v>
      </c>
      <c r="BZ612">
        <v>0</v>
      </c>
      <c r="CA612">
        <v>2</v>
      </c>
      <c r="CB612" s="367">
        <f>IFERROR(BO612/Instructions!$J$25,0)+BP612*Instructions!$J$27+BQ612*Instructions!$J$29+IFERROR(BR612/Instructions!$E$34,0)+BS612*Instructions!$E$36+Tier!BT613*Instructions!$E$25+IFERROR(BU612/Instructions!$E$27,0)+BV612*Instructions!$E$29+IFERROR((BW612+BY612)/Instructions!$J$32,0)+(BX612+BZ612)*Instructions!$J$34+Tier!CA612*-2</f>
        <v>247</v>
      </c>
      <c r="CC612" s="354"/>
      <c r="CD612" s="3">
        <v>2018</v>
      </c>
      <c r="CE612" t="s">
        <v>1249</v>
      </c>
      <c r="CF612" t="s">
        <v>1934</v>
      </c>
      <c r="CG612" s="366" t="s">
        <v>6</v>
      </c>
      <c r="CH612">
        <v>0</v>
      </c>
      <c r="CI612">
        <v>0</v>
      </c>
      <c r="CJ612">
        <v>0</v>
      </c>
      <c r="CK612">
        <v>30</v>
      </c>
      <c r="CL612">
        <v>0</v>
      </c>
      <c r="CM612">
        <v>113</v>
      </c>
      <c r="CN612" s="418">
        <v>1373</v>
      </c>
      <c r="CO612">
        <v>9</v>
      </c>
      <c r="CP612">
        <v>0</v>
      </c>
      <c r="CQ612">
        <v>0</v>
      </c>
      <c r="CR612">
        <v>1</v>
      </c>
      <c r="CS612">
        <v>0</v>
      </c>
      <c r="CT612">
        <v>2</v>
      </c>
      <c r="CU612" s="367">
        <f>IFERROR(CH612/Instructions!$J$25,0)+CI612*Instructions!$J$27+CJ612*Instructions!$J$29+IFERROR(CK612/Instructions!$E$34,0)+CL612*Instructions!$E$36+Tier!CM612*Instructions!$E$25+IFERROR(CN612/Instructions!$E$27,0)+CO612*Instructions!$E$29+IFERROR((CP612+CR612)/Instructions!$J$32,0)+(CQ612+CS612)*Instructions!$J$34+Tier!CT612*-2</f>
        <v>303.3</v>
      </c>
      <c r="CV612" s="354"/>
      <c r="CW612"/>
      <c r="CX612"/>
      <c r="CY612"/>
      <c r="CZ612"/>
      <c r="DA612"/>
      <c r="DB612"/>
      <c r="DC612"/>
      <c r="DD612"/>
      <c r="DE612"/>
      <c r="DF612"/>
      <c r="DG612"/>
      <c r="DH612"/>
      <c r="DI612"/>
      <c r="DJ612"/>
      <c r="DK612"/>
      <c r="DL612"/>
      <c r="DM612"/>
      <c r="DN612"/>
    </row>
    <row r="613" spans="3:118" s="238" customFormat="1" ht="15.75" customHeight="1" x14ac:dyDescent="0.25">
      <c r="C613"/>
      <c r="D613"/>
      <c r="E613"/>
      <c r="F613"/>
      <c r="G613"/>
      <c r="H613"/>
      <c r="I613"/>
      <c r="J613"/>
      <c r="K613"/>
      <c r="L613"/>
      <c r="M613"/>
      <c r="N613"/>
      <c r="O613" s="366"/>
      <c r="P613" s="366">
        <v>2018</v>
      </c>
      <c r="Q613" s="367">
        <f>LARGE($CB$606:$CB$755,8)</f>
        <v>252.39999999999998</v>
      </c>
      <c r="R613" s="357">
        <f t="shared" si="157"/>
        <v>55.799999999999983</v>
      </c>
      <c r="S613" s="356">
        <f t="shared" si="158"/>
        <v>3113.6399999999981</v>
      </c>
      <c r="T613" s="356">
        <f>T614+T606</f>
        <v>220.06666666666669</v>
      </c>
      <c r="U613" s="356">
        <f t="shared" si="159"/>
        <v>3.4874999999999989</v>
      </c>
      <c r="V613" s="238">
        <f t="shared" si="151"/>
        <v>3</v>
      </c>
      <c r="W613" s="354"/>
      <c r="X613" s="366"/>
      <c r="Y613" s="366"/>
      <c r="Z613" s="238">
        <v>2018</v>
      </c>
      <c r="AA613" s="367">
        <f>LARGE($CU$606:$CU$755,8)</f>
        <v>292.89999999999998</v>
      </c>
      <c r="AB613" s="357">
        <f t="shared" si="160"/>
        <v>101.99999999999997</v>
      </c>
      <c r="AC613" s="356">
        <f t="shared" si="150"/>
        <v>10403.999999999995</v>
      </c>
      <c r="AD613" s="356">
        <f>AD614+AD606</f>
        <v>238.9</v>
      </c>
      <c r="AE613" s="356">
        <f t="shared" si="161"/>
        <v>6.3749999999999982</v>
      </c>
      <c r="AF613" s="238">
        <f t="shared" si="152"/>
        <v>0</v>
      </c>
      <c r="AG613" s="354"/>
      <c r="AK613"/>
      <c r="AL613"/>
      <c r="AM613"/>
      <c r="AN613"/>
      <c r="AO613"/>
      <c r="AP613"/>
      <c r="BI613" s="360"/>
      <c r="BJ613" s="354"/>
      <c r="BK613" s="366">
        <v>2018</v>
      </c>
      <c r="BL613" t="s">
        <v>1417</v>
      </c>
      <c r="BM613" t="s">
        <v>1938</v>
      </c>
      <c r="BN613" t="s">
        <v>3</v>
      </c>
      <c r="BO613">
        <v>0</v>
      </c>
      <c r="BP613">
        <v>0</v>
      </c>
      <c r="BQ613">
        <v>0</v>
      </c>
      <c r="BR613" s="418">
        <v>824</v>
      </c>
      <c r="BS613">
        <v>7</v>
      </c>
      <c r="BT613">
        <v>26</v>
      </c>
      <c r="BU613">
        <v>378</v>
      </c>
      <c r="BV613">
        <v>7</v>
      </c>
      <c r="BW613">
        <v>0</v>
      </c>
      <c r="BX613">
        <v>0</v>
      </c>
      <c r="BY613">
        <v>0</v>
      </c>
      <c r="BZ613">
        <v>0</v>
      </c>
      <c r="CA613">
        <v>0</v>
      </c>
      <c r="CB613" s="367">
        <f>IFERROR(BO613/Instructions!$J$25,0)+BP613*Instructions!$J$27+BQ613*Instructions!$J$29+IFERROR(BR613/Instructions!$E$34,0)+BS613*Instructions!$E$36+Tier!BT614*Instructions!$E$25+IFERROR(BU613/Instructions!$E$27,0)+BV613*Instructions!$E$29+IFERROR((BW613+BY613)/Instructions!$J$32,0)+(BX613+BZ613)*Instructions!$J$34+Tier!CA613*-2</f>
        <v>247.2</v>
      </c>
      <c r="CC613" s="354"/>
      <c r="CD613" s="3">
        <v>2018</v>
      </c>
      <c r="CE613" t="s">
        <v>1192</v>
      </c>
      <c r="CF613" t="s">
        <v>143</v>
      </c>
      <c r="CG613" s="366" t="s">
        <v>6</v>
      </c>
      <c r="CH613">
        <v>0</v>
      </c>
      <c r="CI613">
        <v>0</v>
      </c>
      <c r="CJ613">
        <v>0</v>
      </c>
      <c r="CK613">
        <v>0</v>
      </c>
      <c r="CL613">
        <v>0</v>
      </c>
      <c r="CM613">
        <v>125</v>
      </c>
      <c r="CN613" s="418">
        <v>1405</v>
      </c>
      <c r="CO613">
        <v>9</v>
      </c>
      <c r="CP613">
        <v>0</v>
      </c>
      <c r="CQ613">
        <v>0</v>
      </c>
      <c r="CR613">
        <v>2</v>
      </c>
      <c r="CS613">
        <v>0</v>
      </c>
      <c r="CT613">
        <v>0</v>
      </c>
      <c r="CU613" s="367">
        <f>IFERROR(CH613/Instructions!$J$25,0)+CI613*Instructions!$J$27+CJ613*Instructions!$J$29+IFERROR(CK613/Instructions!$E$34,0)+CL613*Instructions!$E$36+Tier!CM613*Instructions!$E$25+IFERROR(CN613/Instructions!$E$27,0)+CO613*Instructions!$E$29+IFERROR((CP613+CR613)/Instructions!$J$32,0)+(CQ613+CS613)*Instructions!$J$34+Tier!CT613*-2</f>
        <v>319.5</v>
      </c>
      <c r="CV613" s="354"/>
      <c r="CW613"/>
      <c r="CX613"/>
      <c r="CY613"/>
      <c r="CZ613"/>
      <c r="DA613"/>
      <c r="DB613"/>
      <c r="DC613"/>
      <c r="DD613"/>
      <c r="DE613"/>
      <c r="DF613"/>
      <c r="DG613"/>
      <c r="DH613"/>
      <c r="DI613"/>
      <c r="DJ613"/>
      <c r="DK613"/>
      <c r="DL613"/>
      <c r="DM613"/>
      <c r="DN613"/>
    </row>
    <row r="614" spans="3:118" s="238" customFormat="1" ht="15.75" customHeight="1" x14ac:dyDescent="0.25">
      <c r="C614"/>
      <c r="D614"/>
      <c r="E614"/>
      <c r="F614"/>
      <c r="G614"/>
      <c r="H614"/>
      <c r="I614"/>
      <c r="J614"/>
      <c r="K614"/>
      <c r="L614"/>
      <c r="M614"/>
      <c r="N614"/>
      <c r="O614" s="366"/>
      <c r="P614" s="366">
        <v>2018</v>
      </c>
      <c r="Q614" s="367">
        <f>LARGE($CB$606:$CB$755,9)</f>
        <v>250.4</v>
      </c>
      <c r="R614" s="357">
        <f t="shared" si="157"/>
        <v>53.800000000000011</v>
      </c>
      <c r="S614" s="356">
        <f t="shared" si="158"/>
        <v>2894.4400000000014</v>
      </c>
      <c r="T614" s="356">
        <f>T615+T606</f>
        <v>204.06666666666669</v>
      </c>
      <c r="U614" s="356">
        <f t="shared" si="159"/>
        <v>3.3625000000000007</v>
      </c>
      <c r="V614" s="238">
        <f t="shared" si="151"/>
        <v>3</v>
      </c>
      <c r="W614" s="354"/>
      <c r="X614" s="366"/>
      <c r="Y614" s="366"/>
      <c r="Z614" s="238">
        <v>2018</v>
      </c>
      <c r="AA614" s="367">
        <f>LARGE($CU$606:$CU$755,9)</f>
        <v>286.39999999999998</v>
      </c>
      <c r="AB614" s="357">
        <f t="shared" si="160"/>
        <v>95.499999999999972</v>
      </c>
      <c r="AC614" s="356">
        <f t="shared" si="150"/>
        <v>9120.2499999999945</v>
      </c>
      <c r="AD614" s="356">
        <f>AD615+AD606</f>
        <v>222.9</v>
      </c>
      <c r="AE614" s="356">
        <f t="shared" si="161"/>
        <v>5.9687499999999982</v>
      </c>
      <c r="AF614" s="238">
        <f t="shared" si="152"/>
        <v>1</v>
      </c>
      <c r="AG614" s="354"/>
      <c r="AK614"/>
      <c r="AL614"/>
      <c r="AM614"/>
      <c r="AN614"/>
      <c r="AO614"/>
      <c r="AP614"/>
      <c r="BI614" s="360"/>
      <c r="BJ614" s="354"/>
      <c r="BK614" s="366">
        <v>2018</v>
      </c>
      <c r="BL614" t="s">
        <v>1421</v>
      </c>
      <c r="BM614" t="s">
        <v>1944</v>
      </c>
      <c r="BN614" t="s">
        <v>3</v>
      </c>
      <c r="BO614">
        <v>0</v>
      </c>
      <c r="BP614">
        <v>0</v>
      </c>
      <c r="BQ614">
        <v>0</v>
      </c>
      <c r="BR614">
        <v>1168</v>
      </c>
      <c r="BS614">
        <v>8</v>
      </c>
      <c r="BT614">
        <v>43</v>
      </c>
      <c r="BU614">
        <v>296</v>
      </c>
      <c r="BV614">
        <v>1</v>
      </c>
      <c r="BW614">
        <v>0</v>
      </c>
      <c r="BX614">
        <v>0</v>
      </c>
      <c r="BY614">
        <v>0</v>
      </c>
      <c r="BZ614">
        <v>0</v>
      </c>
      <c r="CA614">
        <v>0</v>
      </c>
      <c r="CB614" s="367">
        <f>IFERROR(BO614/Instructions!$J$25,0)+BP614*Instructions!$J$27+BQ614*Instructions!$J$29+IFERROR(BR614/Instructions!$E$34,0)+BS614*Instructions!$E$36+Tier!BT615*Instructions!$E$25+IFERROR(BU614/Instructions!$E$27,0)+BV614*Instructions!$E$29+IFERROR((BW614+BY614)/Instructions!$J$32,0)+(BX614+BZ614)*Instructions!$J$34+Tier!CA614*-2</f>
        <v>250.4</v>
      </c>
      <c r="CC614" s="354"/>
      <c r="CD614" s="3">
        <v>2018</v>
      </c>
      <c r="CE614" t="s">
        <v>1109</v>
      </c>
      <c r="CF614" t="s">
        <v>1933</v>
      </c>
      <c r="CG614" s="366" t="s">
        <v>6</v>
      </c>
      <c r="CH614">
        <v>0</v>
      </c>
      <c r="CI614">
        <v>0</v>
      </c>
      <c r="CJ614">
        <v>0</v>
      </c>
      <c r="CK614">
        <v>69</v>
      </c>
      <c r="CL614">
        <v>0</v>
      </c>
      <c r="CM614">
        <v>57</v>
      </c>
      <c r="CN614" s="418">
        <v>965</v>
      </c>
      <c r="CO614">
        <v>10</v>
      </c>
      <c r="CP614">
        <v>0</v>
      </c>
      <c r="CQ614">
        <v>0</v>
      </c>
      <c r="CR614">
        <v>0</v>
      </c>
      <c r="CS614">
        <v>0</v>
      </c>
      <c r="CT614">
        <v>0</v>
      </c>
      <c r="CU614" s="367">
        <f>IFERROR(CH614/Instructions!$J$25,0)+CI614*Instructions!$J$27+CJ614*Instructions!$J$29+IFERROR(CK614/Instructions!$E$34,0)+CL614*Instructions!$E$36+Tier!CM614*Instructions!$E$25+IFERROR(CN614/Instructions!$E$27,0)+CO614*Instructions!$E$29+IFERROR((CP614+CR614)/Instructions!$J$32,0)+(CQ614+CS614)*Instructions!$J$34+Tier!CT614*-2</f>
        <v>220.4</v>
      </c>
      <c r="CV614" s="354"/>
      <c r="CW614"/>
      <c r="CX614"/>
      <c r="CY614"/>
      <c r="CZ614"/>
      <c r="DA614"/>
      <c r="DB614"/>
      <c r="DC614"/>
      <c r="DD614"/>
      <c r="DE614"/>
      <c r="DF614"/>
      <c r="DG614"/>
      <c r="DH614"/>
      <c r="DI614"/>
      <c r="DJ614"/>
      <c r="DK614"/>
      <c r="DL614"/>
      <c r="DM614"/>
      <c r="DN614"/>
    </row>
    <row r="615" spans="3:118" s="238" customFormat="1" ht="15.75" customHeight="1" x14ac:dyDescent="0.25">
      <c r="C615"/>
      <c r="D615"/>
      <c r="E615"/>
      <c r="F615"/>
      <c r="G615"/>
      <c r="H615"/>
      <c r="I615"/>
      <c r="J615"/>
      <c r="K615"/>
      <c r="L615"/>
      <c r="M615"/>
      <c r="N615"/>
      <c r="O615" s="366"/>
      <c r="P615" s="366">
        <v>2018</v>
      </c>
      <c r="Q615" s="367">
        <f>LARGE($CB$606:$CB$755,10)</f>
        <v>247.2</v>
      </c>
      <c r="R615" s="357">
        <f t="shared" si="157"/>
        <v>50.599999999999994</v>
      </c>
      <c r="S615" s="356">
        <f t="shared" si="158"/>
        <v>2560.3599999999992</v>
      </c>
      <c r="T615" s="356">
        <f>T616+T606</f>
        <v>188.06666666666669</v>
      </c>
      <c r="U615" s="356">
        <f t="shared" si="159"/>
        <v>3.1624999999999996</v>
      </c>
      <c r="V615" s="238">
        <f t="shared" si="151"/>
        <v>3</v>
      </c>
      <c r="W615" s="354"/>
      <c r="X615" s="366"/>
      <c r="Y615" s="366"/>
      <c r="Z615" s="238">
        <v>2018</v>
      </c>
      <c r="AA615" s="367">
        <f>LARGE($CU$606:$CU$755,10)</f>
        <v>262.3</v>
      </c>
      <c r="AB615" s="357">
        <f t="shared" si="160"/>
        <v>71.400000000000006</v>
      </c>
      <c r="AC615" s="356">
        <f t="shared" si="150"/>
        <v>5097.9600000000009</v>
      </c>
      <c r="AD615" s="356">
        <f>AD616+AD606</f>
        <v>206.9</v>
      </c>
      <c r="AE615" s="356">
        <f t="shared" si="161"/>
        <v>4.4625000000000004</v>
      </c>
      <c r="AF615" s="238">
        <f t="shared" si="152"/>
        <v>2</v>
      </c>
      <c r="AG615" s="354"/>
      <c r="AK615"/>
      <c r="AL615"/>
      <c r="AM615"/>
      <c r="AN615"/>
      <c r="AO615"/>
      <c r="AP615"/>
      <c r="BI615" s="360"/>
      <c r="BJ615" s="354"/>
      <c r="BK615" s="366">
        <v>2018</v>
      </c>
      <c r="BL615" t="s">
        <v>1138</v>
      </c>
      <c r="BM615" t="s">
        <v>1949</v>
      </c>
      <c r="BN615" t="s">
        <v>3</v>
      </c>
      <c r="BO615">
        <v>0</v>
      </c>
      <c r="BP615">
        <v>0</v>
      </c>
      <c r="BQ615">
        <v>0</v>
      </c>
      <c r="BR615" s="418">
        <v>940</v>
      </c>
      <c r="BS615">
        <v>7</v>
      </c>
      <c r="BT615">
        <v>50</v>
      </c>
      <c r="BU615">
        <v>446</v>
      </c>
      <c r="BV615">
        <v>3</v>
      </c>
      <c r="BW615">
        <v>0</v>
      </c>
      <c r="BX615">
        <v>0</v>
      </c>
      <c r="BY615">
        <v>0</v>
      </c>
      <c r="BZ615">
        <v>0</v>
      </c>
      <c r="CA615">
        <v>2</v>
      </c>
      <c r="CB615" s="367">
        <f>IFERROR(BO615/Instructions!$J$25,0)+BP615*Instructions!$J$27+BQ615*Instructions!$J$29+IFERROR(BR615/Instructions!$E$34,0)+BS615*Instructions!$E$36+Tier!BT616*Instructions!$E$25+IFERROR(BU615/Instructions!$E$27,0)+BV615*Instructions!$E$29+IFERROR((BW615+BY615)/Instructions!$J$32,0)+(BX615+BZ615)*Instructions!$J$34+Tier!CA615*-2</f>
        <v>229.6</v>
      </c>
      <c r="CC615" s="354"/>
      <c r="CD615" s="3">
        <v>2018</v>
      </c>
      <c r="CE615" t="s">
        <v>1441</v>
      </c>
      <c r="CF615" t="s">
        <v>1930</v>
      </c>
      <c r="CG615" s="366" t="s">
        <v>6</v>
      </c>
      <c r="CH615">
        <v>0</v>
      </c>
      <c r="CI615">
        <v>0</v>
      </c>
      <c r="CJ615">
        <v>0</v>
      </c>
      <c r="CK615">
        <v>13</v>
      </c>
      <c r="CL615">
        <v>0</v>
      </c>
      <c r="CM615">
        <v>111</v>
      </c>
      <c r="CN615" s="418">
        <v>1426</v>
      </c>
      <c r="CO615">
        <v>7</v>
      </c>
      <c r="CP615">
        <v>0</v>
      </c>
      <c r="CQ615">
        <v>0</v>
      </c>
      <c r="CR615">
        <v>1</v>
      </c>
      <c r="CS615">
        <v>0</v>
      </c>
      <c r="CT615">
        <v>2</v>
      </c>
      <c r="CU615" s="367">
        <f>IFERROR(CH615/Instructions!$J$25,0)+CI615*Instructions!$J$27+CJ615*Instructions!$J$29+IFERROR(CK615/Instructions!$E$34,0)+CL615*Instructions!$E$36+Tier!CM615*Instructions!$E$25+IFERROR(CN615/Instructions!$E$27,0)+CO615*Instructions!$E$29+IFERROR((CP615+CR615)/Instructions!$J$32,0)+(CQ615+CS615)*Instructions!$J$34+Tier!CT615*-2</f>
        <v>292.89999999999998</v>
      </c>
      <c r="CV615" s="354"/>
      <c r="CW615"/>
      <c r="CX615"/>
      <c r="CY615"/>
      <c r="CZ615"/>
      <c r="DA615"/>
      <c r="DB615"/>
      <c r="DC615"/>
      <c r="DD615"/>
      <c r="DE615"/>
      <c r="DF615"/>
      <c r="DG615"/>
      <c r="DH615"/>
      <c r="DI615"/>
      <c r="DJ615"/>
      <c r="DK615"/>
      <c r="DL615"/>
      <c r="DM615"/>
      <c r="DN615"/>
    </row>
    <row r="616" spans="3:118" s="238" customFormat="1" ht="15.75" customHeight="1" x14ac:dyDescent="0.25">
      <c r="C616"/>
      <c r="D616"/>
      <c r="E616"/>
      <c r="F616"/>
      <c r="G616"/>
      <c r="H616"/>
      <c r="I616"/>
      <c r="J616"/>
      <c r="K616"/>
      <c r="L616"/>
      <c r="M616"/>
      <c r="N616"/>
      <c r="O616" s="366"/>
      <c r="P616" s="366">
        <v>2018</v>
      </c>
      <c r="Q616" s="367">
        <f>LARGE($CB$606:$CB$755,11)</f>
        <v>247</v>
      </c>
      <c r="R616" s="357">
        <f t="shared" si="157"/>
        <v>50.400000000000006</v>
      </c>
      <c r="S616" s="356">
        <f t="shared" si="158"/>
        <v>2540.1600000000008</v>
      </c>
      <c r="T616" s="481">
        <f>(INDEX(Tier!$Q$455:$Q$604, Instructions!$E$11*Instructions!$E$19,1)
+IF(Instructions!$E$19=2, INDEX(Tier!$Q$455:$Q$604,Instructions!$E$11,1),0)
+IF(Instructions!$J$15&gt;0, INDEX(Tier!$Q$455:$Q$604,Instructions!$E$11*(Instructions!$E$19+Instructions!$J$15*0.5),1),0)
+IF(Instructions!$J$15=2, INDEX(Tier!$Q$455:$Q$604,Instructions!$E$11*(Instructions!$E$19+0.5),1),0))
/(Instructions!$E$19+Instructions!$J$15)</f>
        <v>172.06666666666669</v>
      </c>
      <c r="U616" s="356">
        <f t="shared" si="159"/>
        <v>3.1500000000000004</v>
      </c>
      <c r="V616" s="238">
        <f t="shared" si="151"/>
        <v>3</v>
      </c>
      <c r="W616" s="354"/>
      <c r="X616" s="366"/>
      <c r="Y616" s="366"/>
      <c r="Z616" s="238">
        <v>2018</v>
      </c>
      <c r="AA616" s="367">
        <f>LARGE($CU$606:$CU$755,11)</f>
        <v>261.60000000000002</v>
      </c>
      <c r="AB616" s="357">
        <f t="shared" si="160"/>
        <v>70.700000000000017</v>
      </c>
      <c r="AC616" s="356">
        <f t="shared" si="150"/>
        <v>4998.4900000000025</v>
      </c>
      <c r="AD616" s="481">
        <f>(INDEX(Tier!$AA$606:$AA$755,Instructions!$E$11,1)
+IF(Instructions!$E$17&gt;=2,INDEX(Tier!$AA$606:$AA$755,Instructions!$E$11*2,1),0)
+IF(Instructions!$E$17=3,INDEX(Tier!$AA$606:$AA$755,Instructions!$E$11*3,1),0)
+IF(Instructions!$J$15&gt;0,INDEX(Tier!$AA$606:$AA$755,Instructions!$E$11*(Instructions!$E$17+Instructions!$J$15*0.5),1),0)
+IF(Instructions!$J$15=2,INDEX(Tier!$AA$606:$AA$755,Instructions!$E$11*(Instructions!$E$17+0.5),1),0))
/(Instructions!$E$17+Instructions!$J$15)</f>
        <v>190.9</v>
      </c>
      <c r="AE616" s="356">
        <f t="shared" si="161"/>
        <v>4.4187500000000011</v>
      </c>
      <c r="AF616" s="238">
        <f t="shared" si="152"/>
        <v>2</v>
      </c>
      <c r="AG616" s="354"/>
      <c r="AK616"/>
      <c r="AL616"/>
      <c r="AM616"/>
      <c r="AN616"/>
      <c r="AO616"/>
      <c r="AP616"/>
      <c r="BI616" s="360"/>
      <c r="BJ616" s="354"/>
      <c r="BK616" s="366">
        <v>2018</v>
      </c>
      <c r="BL616" t="s">
        <v>1830</v>
      </c>
      <c r="BM616" t="s">
        <v>1948</v>
      </c>
      <c r="BN616" t="s">
        <v>3</v>
      </c>
      <c r="BO616">
        <v>0</v>
      </c>
      <c r="BP616">
        <v>0</v>
      </c>
      <c r="BQ616">
        <v>0</v>
      </c>
      <c r="BR616">
        <v>1037</v>
      </c>
      <c r="BS616">
        <v>9</v>
      </c>
      <c r="BT616">
        <v>35</v>
      </c>
      <c r="BU616">
        <v>241</v>
      </c>
      <c r="BV616">
        <v>1</v>
      </c>
      <c r="BW616">
        <v>0</v>
      </c>
      <c r="BX616">
        <v>0</v>
      </c>
      <c r="BY616">
        <v>186</v>
      </c>
      <c r="BZ616">
        <v>0</v>
      </c>
      <c r="CA616">
        <v>0</v>
      </c>
      <c r="CB616" s="367">
        <f>IFERROR(BO616/Instructions!$J$25,0)+BP616*Instructions!$J$27+BQ616*Instructions!$J$29+IFERROR(BR616/Instructions!$E$34,0)+BS616*Instructions!$E$36+Tier!BT617*Instructions!$E$25+IFERROR(BU616/Instructions!$E$27,0)+BV616*Instructions!$E$29+IFERROR((BW616+BY616)/Instructions!$J$32,0)+(BX616+BZ616)*Instructions!$J$34+Tier!CA616*-2</f>
        <v>274.8</v>
      </c>
      <c r="CC616" s="354"/>
      <c r="CD616" s="3">
        <v>2018</v>
      </c>
      <c r="CE616" t="s">
        <v>130</v>
      </c>
      <c r="CF616" t="s">
        <v>1389</v>
      </c>
      <c r="CG616" s="366" t="s">
        <v>6</v>
      </c>
      <c r="CH616">
        <v>0</v>
      </c>
      <c r="CI616">
        <v>0</v>
      </c>
      <c r="CJ616">
        <v>0</v>
      </c>
      <c r="CK616">
        <v>157</v>
      </c>
      <c r="CL616">
        <v>1</v>
      </c>
      <c r="CM616">
        <v>86</v>
      </c>
      <c r="CN616">
        <v>1219</v>
      </c>
      <c r="CO616">
        <v>6</v>
      </c>
      <c r="CP616">
        <v>0</v>
      </c>
      <c r="CQ616">
        <v>0</v>
      </c>
      <c r="CR616">
        <v>0</v>
      </c>
      <c r="CS616">
        <v>0</v>
      </c>
      <c r="CT616">
        <v>2</v>
      </c>
      <c r="CU616" s="367">
        <f>IFERROR(CH616/Instructions!$J$25,0)+CI616*Instructions!$J$27+CJ616*Instructions!$J$29+IFERROR(CK616/Instructions!$E$34,0)+CL616*Instructions!$E$36+Tier!CM616*Instructions!$E$25+IFERROR(CN616/Instructions!$E$27,0)+CO616*Instructions!$E$29+IFERROR((CP616+CR616)/Instructions!$J$32,0)+(CQ616+CS616)*Instructions!$J$34+Tier!CT616*-2</f>
        <v>261.60000000000002</v>
      </c>
      <c r="CV616" s="354"/>
      <c r="CW616"/>
      <c r="CX616"/>
      <c r="CY616"/>
      <c r="CZ616"/>
      <c r="DA616"/>
      <c r="DB616"/>
      <c r="DC616"/>
      <c r="DD616"/>
      <c r="DE616"/>
      <c r="DF616"/>
      <c r="DG616"/>
      <c r="DH616"/>
      <c r="DI616"/>
      <c r="DJ616"/>
      <c r="DK616"/>
      <c r="DL616"/>
      <c r="DM616"/>
      <c r="DN616"/>
    </row>
    <row r="617" spans="3:118" s="238" customFormat="1" ht="15.75" customHeight="1" x14ac:dyDescent="0.25">
      <c r="C617"/>
      <c r="D617"/>
      <c r="E617"/>
      <c r="F617"/>
      <c r="G617"/>
      <c r="H617"/>
      <c r="I617"/>
      <c r="J617"/>
      <c r="K617"/>
      <c r="L617"/>
      <c r="M617"/>
      <c r="N617"/>
      <c r="O617" s="366"/>
      <c r="P617" s="366">
        <v>2018</v>
      </c>
      <c r="Q617" s="367">
        <f>LARGE($CB$606:$CB$755,12)</f>
        <v>229.6</v>
      </c>
      <c r="R617" s="357">
        <f t="shared" si="157"/>
        <v>33</v>
      </c>
      <c r="S617" s="356">
        <f t="shared" si="158"/>
        <v>1089</v>
      </c>
      <c r="T617" s="356">
        <f>T616-T606</f>
        <v>156.06666666666669</v>
      </c>
      <c r="U617" s="356">
        <f t="shared" si="159"/>
        <v>2.0625</v>
      </c>
      <c r="V617" s="238">
        <f t="shared" si="151"/>
        <v>4</v>
      </c>
      <c r="W617" s="354"/>
      <c r="X617" s="366"/>
      <c r="Y617" s="366"/>
      <c r="Z617" s="238">
        <v>2018</v>
      </c>
      <c r="AA617" s="367">
        <f>LARGE($CU$606:$CU$755,12)</f>
        <v>260.10000000000002</v>
      </c>
      <c r="AB617" s="357">
        <f t="shared" si="160"/>
        <v>69.200000000000017</v>
      </c>
      <c r="AC617" s="356">
        <f t="shared" si="150"/>
        <v>4788.6400000000021</v>
      </c>
      <c r="AD617" s="356">
        <f>AD616-AD606</f>
        <v>174.9</v>
      </c>
      <c r="AE617" s="356">
        <f t="shared" si="161"/>
        <v>4.3250000000000011</v>
      </c>
      <c r="AF617" s="238">
        <f t="shared" si="152"/>
        <v>2</v>
      </c>
      <c r="AG617" s="354"/>
      <c r="AK617"/>
      <c r="AL617"/>
      <c r="AM617"/>
      <c r="AN617"/>
      <c r="AO617"/>
      <c r="AP617"/>
      <c r="BI617" s="360"/>
      <c r="BJ617" s="354"/>
      <c r="BK617" s="366">
        <v>2018</v>
      </c>
      <c r="BL617" t="s">
        <v>185</v>
      </c>
      <c r="BM617" t="s">
        <v>157</v>
      </c>
      <c r="BN617" t="s">
        <v>3</v>
      </c>
      <c r="BO617">
        <v>0</v>
      </c>
      <c r="BP617">
        <v>0</v>
      </c>
      <c r="BQ617">
        <v>0</v>
      </c>
      <c r="BR617">
        <v>425</v>
      </c>
      <c r="BS617">
        <v>5</v>
      </c>
      <c r="BT617">
        <v>87</v>
      </c>
      <c r="BU617">
        <v>751</v>
      </c>
      <c r="BV617">
        <v>7</v>
      </c>
      <c r="BW617">
        <v>0</v>
      </c>
      <c r="BX617">
        <v>0</v>
      </c>
      <c r="BY617">
        <v>0</v>
      </c>
      <c r="BZ617">
        <v>0</v>
      </c>
      <c r="CA617">
        <v>0</v>
      </c>
      <c r="CB617" s="367">
        <f>IFERROR(BO617/Instructions!$J$25,0)+BP617*Instructions!$J$27+BQ617*Instructions!$J$29+IFERROR(BR617/Instructions!$E$34,0)+BS617*Instructions!$E$36+Tier!BT618*Instructions!$E$25+IFERROR(BU617/Instructions!$E$27,0)+BV617*Instructions!$E$29+IFERROR((BW617+BY617)/Instructions!$J$32,0)+(BX617+BZ617)*Instructions!$J$34+Tier!CA617*-2</f>
        <v>204.6</v>
      </c>
      <c r="CC617" s="354"/>
      <c r="CD617" s="3">
        <v>2018</v>
      </c>
      <c r="CE617" t="s">
        <v>1124</v>
      </c>
      <c r="CF617" t="s">
        <v>1934</v>
      </c>
      <c r="CG617" s="366" t="s">
        <v>6</v>
      </c>
      <c r="CH617">
        <v>0</v>
      </c>
      <c r="CI617">
        <v>0</v>
      </c>
      <c r="CJ617">
        <v>0</v>
      </c>
      <c r="CK617">
        <v>62</v>
      </c>
      <c r="CL617">
        <v>0</v>
      </c>
      <c r="CM617">
        <v>102</v>
      </c>
      <c r="CN617" s="418">
        <v>1021</v>
      </c>
      <c r="CO617">
        <v>9</v>
      </c>
      <c r="CP617">
        <v>0</v>
      </c>
      <c r="CQ617">
        <v>0</v>
      </c>
      <c r="CR617">
        <v>0</v>
      </c>
      <c r="CS617">
        <v>0</v>
      </c>
      <c r="CT617">
        <v>1</v>
      </c>
      <c r="CU617" s="367">
        <f>IFERROR(CH617/Instructions!$J$25,0)+CI617*Instructions!$J$27+CJ617*Instructions!$J$29+IFERROR(CK617/Instructions!$E$34,0)+CL617*Instructions!$E$36+Tier!CM617*Instructions!$E$25+IFERROR(CN617/Instructions!$E$27,0)+CO617*Instructions!$E$29+IFERROR((CP617+CR617)/Instructions!$J$32,0)+(CQ617+CS617)*Instructions!$J$34+Tier!CT617*-2</f>
        <v>262.3</v>
      </c>
      <c r="CV617" s="354"/>
      <c r="CW617"/>
      <c r="CX617"/>
      <c r="CY617"/>
      <c r="CZ617"/>
      <c r="DA617"/>
      <c r="DB617"/>
      <c r="DC617"/>
      <c r="DD617"/>
      <c r="DE617"/>
      <c r="DF617"/>
      <c r="DG617"/>
      <c r="DH617"/>
      <c r="DI617"/>
      <c r="DJ617"/>
      <c r="DK617"/>
      <c r="DL617"/>
      <c r="DM617"/>
      <c r="DN617"/>
    </row>
    <row r="618" spans="3:118" s="238" customFormat="1" ht="15.75" customHeight="1" x14ac:dyDescent="0.25">
      <c r="C618"/>
      <c r="D618"/>
      <c r="E618"/>
      <c r="F618"/>
      <c r="G618"/>
      <c r="H618"/>
      <c r="I618"/>
      <c r="J618"/>
      <c r="K618"/>
      <c r="L618"/>
      <c r="M618"/>
      <c r="N618"/>
      <c r="O618" s="366"/>
      <c r="P618" s="366">
        <v>2018</v>
      </c>
      <c r="Q618" s="367">
        <f>LARGE($CB$606:$CB$755,13)</f>
        <v>210.10000000000002</v>
      </c>
      <c r="R618" s="357">
        <f t="shared" si="157"/>
        <v>13.500000000000028</v>
      </c>
      <c r="S618" s="356">
        <f t="shared" si="158"/>
        <v>182.25000000000077</v>
      </c>
      <c r="T618" s="356">
        <f>T617-T606</f>
        <v>140.06666666666669</v>
      </c>
      <c r="U618" s="356">
        <f t="shared" si="159"/>
        <v>0.84375000000000178</v>
      </c>
      <c r="V618" s="238">
        <f t="shared" si="151"/>
        <v>6</v>
      </c>
      <c r="W618" s="354"/>
      <c r="X618" s="366"/>
      <c r="Y618" s="366"/>
      <c r="Z618" s="238">
        <v>2018</v>
      </c>
      <c r="AA618" s="367">
        <f>LARGE($CU$606:$CU$755,13)</f>
        <v>243.2</v>
      </c>
      <c r="AB618" s="357">
        <f t="shared" si="160"/>
        <v>52.299999999999983</v>
      </c>
      <c r="AC618" s="356">
        <f t="shared" si="150"/>
        <v>2735.2899999999981</v>
      </c>
      <c r="AD618" s="356">
        <f>AD617-AD606</f>
        <v>158.9</v>
      </c>
      <c r="AE618" s="356">
        <f t="shared" si="161"/>
        <v>3.2687499999999989</v>
      </c>
      <c r="AF618" s="238">
        <f t="shared" si="152"/>
        <v>3</v>
      </c>
      <c r="AG618" s="354"/>
      <c r="AK618"/>
      <c r="AL618"/>
      <c r="AM618"/>
      <c r="AN618"/>
      <c r="AO618"/>
      <c r="AP618"/>
      <c r="BI618" s="360"/>
      <c r="BJ618" s="354"/>
      <c r="BK618" s="366">
        <v>2018</v>
      </c>
      <c r="BL618" t="s">
        <v>1180</v>
      </c>
      <c r="BM618" t="s">
        <v>1945</v>
      </c>
      <c r="BN618" t="s">
        <v>3</v>
      </c>
      <c r="BO618">
        <v>14</v>
      </c>
      <c r="BP618">
        <v>0</v>
      </c>
      <c r="BQ618">
        <v>0</v>
      </c>
      <c r="BR618">
        <v>1059</v>
      </c>
      <c r="BS618">
        <v>12</v>
      </c>
      <c r="BT618">
        <v>15</v>
      </c>
      <c r="BU618">
        <v>99</v>
      </c>
      <c r="BV618">
        <v>0</v>
      </c>
      <c r="BW618">
        <v>0</v>
      </c>
      <c r="BX618">
        <v>0</v>
      </c>
      <c r="BY618">
        <v>0</v>
      </c>
      <c r="BZ618">
        <v>0</v>
      </c>
      <c r="CA618">
        <v>1</v>
      </c>
      <c r="CB618" s="367">
        <f>IFERROR(BO618/Instructions!$J$25,0)+BP618*Instructions!$J$27+BQ618*Instructions!$J$29+IFERROR(BR618/Instructions!$E$34,0)+BS618*Instructions!$E$36+Tier!BT619*Instructions!$E$25+IFERROR(BU618/Instructions!$E$27,0)+BV618*Instructions!$E$29+IFERROR((BW618+BY618)/Instructions!$J$32,0)+(BX618+BZ618)*Instructions!$J$34+Tier!CA618*-2</f>
        <v>206.36</v>
      </c>
      <c r="CC618" s="354"/>
      <c r="CD618" s="3">
        <v>2018</v>
      </c>
      <c r="CE618" t="s">
        <v>53</v>
      </c>
      <c r="CF618" t="s">
        <v>1388</v>
      </c>
      <c r="CG618" s="366" t="s">
        <v>6</v>
      </c>
      <c r="CH618">
        <v>0</v>
      </c>
      <c r="CI618">
        <v>0</v>
      </c>
      <c r="CJ618">
        <v>0</v>
      </c>
      <c r="CK618">
        <v>75</v>
      </c>
      <c r="CL618">
        <v>0</v>
      </c>
      <c r="CM618">
        <v>97</v>
      </c>
      <c r="CN618">
        <v>1196</v>
      </c>
      <c r="CO618">
        <v>6</v>
      </c>
      <c r="CP618">
        <v>0</v>
      </c>
      <c r="CQ618">
        <v>0</v>
      </c>
      <c r="CR618">
        <v>1</v>
      </c>
      <c r="CS618">
        <v>0</v>
      </c>
      <c r="CT618">
        <v>0</v>
      </c>
      <c r="CU618" s="367">
        <f>IFERROR(CH618/Instructions!$J$25,0)+CI618*Instructions!$J$27+CJ618*Instructions!$J$29+IFERROR(CK618/Instructions!$E$34,0)+CL618*Instructions!$E$36+Tier!CM618*Instructions!$E$25+IFERROR(CN618/Instructions!$E$27,0)+CO618*Instructions!$E$29+IFERROR((CP618+CR618)/Instructions!$J$32,0)+(CQ618+CS618)*Instructions!$J$34+Tier!CT618*-2</f>
        <v>260.10000000000002</v>
      </c>
      <c r="CV618" s="354"/>
      <c r="CW618"/>
      <c r="CX618"/>
      <c r="CY618"/>
      <c r="CZ618"/>
      <c r="DA618"/>
      <c r="DB618"/>
      <c r="DC618"/>
      <c r="DD618"/>
      <c r="DE618"/>
      <c r="DF618"/>
      <c r="DG618"/>
      <c r="DH618"/>
      <c r="DI618"/>
      <c r="DJ618"/>
      <c r="DK618"/>
      <c r="DL618"/>
      <c r="DM618"/>
      <c r="DN618"/>
    </row>
    <row r="619" spans="3:118" s="238" customFormat="1" ht="15.75" customHeight="1" x14ac:dyDescent="0.25">
      <c r="C619"/>
      <c r="D619"/>
      <c r="E619"/>
      <c r="F619"/>
      <c r="G619"/>
      <c r="H619"/>
      <c r="I619"/>
      <c r="J619"/>
      <c r="K619"/>
      <c r="L619"/>
      <c r="M619"/>
      <c r="N619"/>
      <c r="O619" s="366"/>
      <c r="P619" s="366">
        <v>2018</v>
      </c>
      <c r="Q619" s="367">
        <f>LARGE($CB$606:$CB$755,14)</f>
        <v>206.36</v>
      </c>
      <c r="R619" s="357">
        <f t="shared" si="157"/>
        <v>9.7600000000000193</v>
      </c>
      <c r="S619" s="356">
        <f t="shared" si="158"/>
        <v>95.25760000000038</v>
      </c>
      <c r="T619" s="356"/>
      <c r="U619" s="356">
        <f t="shared" si="159"/>
        <v>0.61000000000000121</v>
      </c>
      <c r="V619" s="238">
        <f t="shared" si="151"/>
        <v>6</v>
      </c>
      <c r="W619" s="354"/>
      <c r="X619" s="366"/>
      <c r="Y619" s="366"/>
      <c r="Z619" s="238">
        <v>2018</v>
      </c>
      <c r="AA619" s="367">
        <f>LARGE($CU$606:$CU$755,14)</f>
        <v>239</v>
      </c>
      <c r="AB619" s="357">
        <f t="shared" si="160"/>
        <v>48.099999999999994</v>
      </c>
      <c r="AC619" s="356">
        <f t="shared" si="150"/>
        <v>2313.6099999999997</v>
      </c>
      <c r="AD619" s="356"/>
      <c r="AE619" s="356">
        <f t="shared" si="161"/>
        <v>3.0062499999999996</v>
      </c>
      <c r="AF619" s="238">
        <f t="shared" si="152"/>
        <v>3</v>
      </c>
      <c r="AG619" s="354"/>
      <c r="AK619"/>
      <c r="AL619"/>
      <c r="AM619"/>
      <c r="AN619"/>
      <c r="AO619"/>
      <c r="AP619"/>
      <c r="BI619" s="360"/>
      <c r="BJ619" s="354"/>
      <c r="BK619" s="366">
        <v>2018</v>
      </c>
      <c r="BL619" t="s">
        <v>1453</v>
      </c>
      <c r="BM619" t="s">
        <v>1933</v>
      </c>
      <c r="BN619" t="s">
        <v>3</v>
      </c>
      <c r="BO619">
        <v>0</v>
      </c>
      <c r="BP619">
        <v>0</v>
      </c>
      <c r="BQ619">
        <v>0</v>
      </c>
      <c r="BR619">
        <v>1151</v>
      </c>
      <c r="BS619">
        <v>9</v>
      </c>
      <c r="BT619">
        <v>20</v>
      </c>
      <c r="BU619">
        <v>163</v>
      </c>
      <c r="BV619">
        <v>0</v>
      </c>
      <c r="BW619">
        <v>0</v>
      </c>
      <c r="BX619">
        <v>0</v>
      </c>
      <c r="BY619">
        <v>0</v>
      </c>
      <c r="BZ619">
        <v>0</v>
      </c>
      <c r="CA619">
        <v>2</v>
      </c>
      <c r="CB619" s="367">
        <f>IFERROR(BO619/Instructions!$J$25,0)+BP619*Instructions!$J$27+BQ619*Instructions!$J$29+IFERROR(BR619/Instructions!$E$34,0)+BS619*Instructions!$E$36+Tier!BT620*Instructions!$E$25+IFERROR(BU619/Instructions!$E$27,0)+BV619*Instructions!$E$29+IFERROR((BW619+BY619)/Instructions!$J$32,0)+(BX619+BZ619)*Instructions!$J$34+Tier!CA619*-2</f>
        <v>252.39999999999998</v>
      </c>
      <c r="CC619" s="354"/>
      <c r="CD619" s="3">
        <v>2018</v>
      </c>
      <c r="CE619" t="s">
        <v>1163</v>
      </c>
      <c r="CF619" t="s">
        <v>1931</v>
      </c>
      <c r="CG619" s="366" t="s">
        <v>6</v>
      </c>
      <c r="CH619">
        <v>0</v>
      </c>
      <c r="CI619">
        <v>0</v>
      </c>
      <c r="CJ619">
        <v>0</v>
      </c>
      <c r="CK619">
        <v>0</v>
      </c>
      <c r="CL619">
        <v>0</v>
      </c>
      <c r="CM619">
        <v>76</v>
      </c>
      <c r="CN619">
        <v>1270</v>
      </c>
      <c r="CO619">
        <v>6</v>
      </c>
      <c r="CP619">
        <v>0</v>
      </c>
      <c r="CQ619">
        <v>0</v>
      </c>
      <c r="CR619">
        <v>0</v>
      </c>
      <c r="CS619">
        <v>0</v>
      </c>
      <c r="CT619">
        <v>0</v>
      </c>
      <c r="CU619" s="367">
        <f>IFERROR(CH619/Instructions!$J$25,0)+CI619*Instructions!$J$27+CJ619*Instructions!$J$29+IFERROR(CK619/Instructions!$E$34,0)+CL619*Instructions!$E$36+Tier!CM619*Instructions!$E$25+IFERROR(CN619/Instructions!$E$27,0)+CO619*Instructions!$E$29+IFERROR((CP619+CR619)/Instructions!$J$32,0)+(CQ619+CS619)*Instructions!$J$34+Tier!CT619*-2</f>
        <v>239</v>
      </c>
      <c r="CV619" s="354"/>
      <c r="CW619"/>
      <c r="CX619"/>
      <c r="CY619"/>
      <c r="CZ619"/>
      <c r="DA619"/>
      <c r="DB619"/>
      <c r="DC619"/>
      <c r="DD619"/>
      <c r="DE619"/>
      <c r="DF619"/>
      <c r="DG619"/>
      <c r="DH619"/>
      <c r="DI619"/>
      <c r="DJ619"/>
      <c r="DK619"/>
      <c r="DL619"/>
      <c r="DM619"/>
      <c r="DN619"/>
    </row>
    <row r="620" spans="3:118" s="238" customFormat="1" ht="15.75" customHeight="1" x14ac:dyDescent="0.25">
      <c r="C620"/>
      <c r="D620"/>
      <c r="E620"/>
      <c r="F620"/>
      <c r="G620"/>
      <c r="H620"/>
      <c r="I620"/>
      <c r="J620"/>
      <c r="K620"/>
      <c r="L620"/>
      <c r="M620"/>
      <c r="N620"/>
      <c r="O620" s="366"/>
      <c r="P620" s="366">
        <v>2018</v>
      </c>
      <c r="Q620" s="367">
        <f>LARGE($CB$606:$CB$755,15)</f>
        <v>204.6</v>
      </c>
      <c r="R620" s="357">
        <f t="shared" si="157"/>
        <v>8</v>
      </c>
      <c r="S620" s="356">
        <f t="shared" si="158"/>
        <v>64</v>
      </c>
      <c r="T620" s="356"/>
      <c r="U620" s="356">
        <f t="shared" si="159"/>
        <v>0.5</v>
      </c>
      <c r="V620" s="238">
        <f t="shared" si="151"/>
        <v>6</v>
      </c>
      <c r="W620" s="354"/>
      <c r="X620" s="366"/>
      <c r="Y620" s="366"/>
      <c r="Z620" s="238">
        <v>2018</v>
      </c>
      <c r="AA620" s="367">
        <f>LARGE($CU$606:$CU$755,15)</f>
        <v>232.34</v>
      </c>
      <c r="AB620" s="357">
        <f t="shared" si="160"/>
        <v>41.44</v>
      </c>
      <c r="AC620" s="356">
        <f t="shared" si="150"/>
        <v>1717.2735999999998</v>
      </c>
      <c r="AD620" s="356"/>
      <c r="AE620" s="356">
        <f t="shared" si="161"/>
        <v>2.59</v>
      </c>
      <c r="AF620" s="238">
        <f t="shared" si="152"/>
        <v>4</v>
      </c>
      <c r="AG620" s="354"/>
      <c r="AK620"/>
      <c r="AL620"/>
      <c r="AM620"/>
      <c r="AN620"/>
      <c r="AO620"/>
      <c r="AP620"/>
      <c r="BI620" s="360"/>
      <c r="BJ620" s="354"/>
      <c r="BK620" s="366">
        <v>2018</v>
      </c>
      <c r="BL620" t="s">
        <v>1449</v>
      </c>
      <c r="BM620" t="s">
        <v>1937</v>
      </c>
      <c r="BN620" t="s">
        <v>3</v>
      </c>
      <c r="BO620">
        <v>1</v>
      </c>
      <c r="BP620">
        <v>1</v>
      </c>
      <c r="BQ620">
        <v>0</v>
      </c>
      <c r="BR620">
        <v>444</v>
      </c>
      <c r="BS620">
        <v>3</v>
      </c>
      <c r="BT620">
        <v>71</v>
      </c>
      <c r="BU620">
        <v>725</v>
      </c>
      <c r="BV620">
        <v>5</v>
      </c>
      <c r="BW620">
        <v>0</v>
      </c>
      <c r="BX620">
        <v>0</v>
      </c>
      <c r="BY620">
        <v>433</v>
      </c>
      <c r="BZ620">
        <v>0</v>
      </c>
      <c r="CA620">
        <v>3</v>
      </c>
      <c r="CB620" s="367">
        <f>IFERROR(BO620/Instructions!$J$25,0)+BP620*Instructions!$J$27+BQ620*Instructions!$J$29+IFERROR(BR620/Instructions!$E$34,0)+BS620*Instructions!$E$36+Tier!BT621*Instructions!$E$25+IFERROR(BU620/Instructions!$E$27,0)+BV620*Instructions!$E$29+IFERROR((BW620+BY620)/Instructions!$J$32,0)+(BX620+BZ620)*Instructions!$J$34+Tier!CA620*-2</f>
        <v>182.94</v>
      </c>
      <c r="CC620" s="354"/>
      <c r="CD620" s="3">
        <v>2018</v>
      </c>
      <c r="CE620" t="s">
        <v>107</v>
      </c>
      <c r="CF620" t="s">
        <v>1389</v>
      </c>
      <c r="CG620" s="366" t="s">
        <v>6</v>
      </c>
      <c r="CH620">
        <v>0</v>
      </c>
      <c r="CI620">
        <v>0</v>
      </c>
      <c r="CJ620">
        <v>0</v>
      </c>
      <c r="CK620">
        <v>68</v>
      </c>
      <c r="CL620">
        <v>1</v>
      </c>
      <c r="CM620">
        <v>80</v>
      </c>
      <c r="CN620">
        <v>1204</v>
      </c>
      <c r="CO620">
        <v>5</v>
      </c>
      <c r="CP620">
        <v>0</v>
      </c>
      <c r="CQ620">
        <v>0</v>
      </c>
      <c r="CR620">
        <v>0</v>
      </c>
      <c r="CS620">
        <v>0</v>
      </c>
      <c r="CT620">
        <v>0</v>
      </c>
      <c r="CU620" s="367">
        <f>IFERROR(CH620/Instructions!$J$25,0)+CI620*Instructions!$J$27+CJ620*Instructions!$J$29+IFERROR(CK620/Instructions!$E$34,0)+CL620*Instructions!$E$36+Tier!CM620*Instructions!$E$25+IFERROR(CN620/Instructions!$E$27,0)+CO620*Instructions!$E$29+IFERROR((CP620+CR620)/Instructions!$J$32,0)+(CQ620+CS620)*Instructions!$J$34+Tier!CT620*-2</f>
        <v>243.2</v>
      </c>
      <c r="CV620" s="354"/>
      <c r="CW620"/>
      <c r="CX620"/>
      <c r="CY620"/>
      <c r="CZ620"/>
      <c r="DA620"/>
      <c r="DB620"/>
      <c r="DC620"/>
      <c r="DD620"/>
      <c r="DE620"/>
      <c r="DF620"/>
      <c r="DG620"/>
      <c r="DH620"/>
      <c r="DI620"/>
      <c r="DJ620"/>
      <c r="DK620"/>
      <c r="DL620"/>
      <c r="DM620"/>
      <c r="DN620"/>
    </row>
    <row r="621" spans="3:118" s="238" customFormat="1" ht="15.75" customHeight="1" x14ac:dyDescent="0.25">
      <c r="C621"/>
      <c r="D621"/>
      <c r="E621"/>
      <c r="F621"/>
      <c r="G621"/>
      <c r="H621"/>
      <c r="I621"/>
      <c r="J621"/>
      <c r="K621"/>
      <c r="L621"/>
      <c r="M621"/>
      <c r="N621"/>
      <c r="O621" s="366"/>
      <c r="P621" s="366">
        <v>2018</v>
      </c>
      <c r="Q621" s="367">
        <f>LARGE($CB$606:$CB$755,16)</f>
        <v>194.5</v>
      </c>
      <c r="R621" s="357">
        <f t="shared" si="157"/>
        <v>-2.0999999999999943</v>
      </c>
      <c r="S621" s="356">
        <f t="shared" si="158"/>
        <v>4.4099999999999762</v>
      </c>
      <c r="U621" s="356">
        <f t="shared" si="159"/>
        <v>-0.13124999999999964</v>
      </c>
      <c r="V621" s="238">
        <f t="shared" si="151"/>
        <v>7</v>
      </c>
      <c r="W621" s="354"/>
      <c r="X621" s="366"/>
      <c r="Y621" s="366"/>
      <c r="Z621" s="238">
        <v>2018</v>
      </c>
      <c r="AA621" s="367">
        <f>LARGE($CU$606:$CU$755,16)</f>
        <v>227.1</v>
      </c>
      <c r="AB621" s="357">
        <f t="shared" si="160"/>
        <v>36.199999999999989</v>
      </c>
      <c r="AC621" s="356">
        <f t="shared" si="150"/>
        <v>1310.4399999999991</v>
      </c>
      <c r="AE621" s="356">
        <f t="shared" si="161"/>
        <v>2.2624999999999993</v>
      </c>
      <c r="AF621" s="238">
        <f t="shared" si="152"/>
        <v>4</v>
      </c>
      <c r="AG621" s="354"/>
      <c r="AK621"/>
      <c r="AL621"/>
      <c r="AM621"/>
      <c r="AN621"/>
      <c r="AO621"/>
      <c r="AP621"/>
      <c r="BI621" s="360"/>
      <c r="BJ621" s="354"/>
      <c r="BK621" s="366">
        <v>2018</v>
      </c>
      <c r="BL621" t="s">
        <v>1772</v>
      </c>
      <c r="BM621" t="s">
        <v>1938</v>
      </c>
      <c r="BN621" t="s">
        <v>3</v>
      </c>
      <c r="BO621">
        <v>0</v>
      </c>
      <c r="BP621">
        <v>0</v>
      </c>
      <c r="BQ621">
        <v>0</v>
      </c>
      <c r="BR621">
        <v>996</v>
      </c>
      <c r="BS621">
        <v>8</v>
      </c>
      <c r="BT621">
        <v>20</v>
      </c>
      <c r="BU621">
        <v>149</v>
      </c>
      <c r="BV621">
        <v>2</v>
      </c>
      <c r="BW621">
        <v>0</v>
      </c>
      <c r="BX621">
        <v>0</v>
      </c>
      <c r="BY621">
        <v>0</v>
      </c>
      <c r="BZ621">
        <v>0</v>
      </c>
      <c r="CA621">
        <v>0</v>
      </c>
      <c r="CB621" s="367">
        <f>IFERROR(BO621/Instructions!$J$25,0)+BP621*Instructions!$J$27+BQ621*Instructions!$J$29+IFERROR(BR621/Instructions!$E$34,0)+BS621*Instructions!$E$36+Tier!BT622*Instructions!$E$25+IFERROR(BU621/Instructions!$E$27,0)+BV621*Instructions!$E$29+IFERROR((BW621+BY621)/Instructions!$J$32,0)+(BX621+BZ621)*Instructions!$J$34+Tier!CA621*-2</f>
        <v>194.5</v>
      </c>
      <c r="CC621" s="354"/>
      <c r="CD621" s="3">
        <v>2018</v>
      </c>
      <c r="CE621" t="s">
        <v>1206</v>
      </c>
      <c r="CF621" t="s">
        <v>1938</v>
      </c>
      <c r="CG621" s="366" t="s">
        <v>6</v>
      </c>
      <c r="CH621">
        <v>106</v>
      </c>
      <c r="CI621">
        <v>2</v>
      </c>
      <c r="CJ621">
        <v>0</v>
      </c>
      <c r="CK621">
        <v>19</v>
      </c>
      <c r="CL621">
        <v>0</v>
      </c>
      <c r="CM621">
        <v>77</v>
      </c>
      <c r="CN621">
        <v>1052</v>
      </c>
      <c r="CO621">
        <v>6</v>
      </c>
      <c r="CP621">
        <v>0</v>
      </c>
      <c r="CQ621">
        <v>0</v>
      </c>
      <c r="CR621">
        <v>1</v>
      </c>
      <c r="CS621">
        <v>0</v>
      </c>
      <c r="CT621">
        <v>0</v>
      </c>
      <c r="CU621" s="367">
        <f>IFERROR(CH621/Instructions!$J$25,0)+CI621*Instructions!$J$27+CJ621*Instructions!$J$29+IFERROR(CK621/Instructions!$E$34,0)+CL621*Instructions!$E$36+Tier!CM621*Instructions!$E$25+IFERROR(CN621/Instructions!$E$27,0)+CO621*Instructions!$E$29+IFERROR((CP621+CR621)/Instructions!$J$32,0)+(CQ621+CS621)*Instructions!$J$34+Tier!CT621*-2</f>
        <v>232.34</v>
      </c>
      <c r="CV621" s="354"/>
      <c r="CW621"/>
      <c r="CX621"/>
      <c r="CY621"/>
      <c r="CZ621"/>
      <c r="DA621"/>
      <c r="DB621"/>
      <c r="DC621"/>
      <c r="DD621"/>
      <c r="DE621"/>
      <c r="DF621"/>
      <c r="DG621"/>
      <c r="DH621"/>
      <c r="DI621"/>
      <c r="DJ621"/>
      <c r="DK621"/>
      <c r="DL621"/>
      <c r="DM621"/>
      <c r="DN621"/>
    </row>
    <row r="622" spans="3:118" s="238" customFormat="1" ht="15.75" customHeight="1" x14ac:dyDescent="0.25">
      <c r="C622"/>
      <c r="D622"/>
      <c r="E622"/>
      <c r="F622"/>
      <c r="G622"/>
      <c r="H622"/>
      <c r="I622"/>
      <c r="J622"/>
      <c r="K622"/>
      <c r="L622"/>
      <c r="M622"/>
      <c r="N622"/>
      <c r="O622" s="366"/>
      <c r="P622" s="366">
        <v>2018</v>
      </c>
      <c r="Q622" s="367">
        <f>LARGE($CB$606:$CB$755,17)</f>
        <v>186</v>
      </c>
      <c r="R622" s="357">
        <f t="shared" si="157"/>
        <v>-10.599999999999994</v>
      </c>
      <c r="S622" s="356">
        <f t="shared" si="158"/>
        <v>112.35999999999989</v>
      </c>
      <c r="U622" s="356">
        <f t="shared" si="159"/>
        <v>-0.66249999999999964</v>
      </c>
      <c r="V622" s="238">
        <f t="shared" si="151"/>
        <v>7</v>
      </c>
      <c r="W622" s="354"/>
      <c r="X622" s="366"/>
      <c r="Y622" s="366"/>
      <c r="Z622" s="238">
        <v>2018</v>
      </c>
      <c r="AA622" s="367">
        <f>LARGE($CU$606:$CU$755,17)</f>
        <v>220.4</v>
      </c>
      <c r="AB622" s="357">
        <f t="shared" si="160"/>
        <v>29.5</v>
      </c>
      <c r="AC622" s="356">
        <f t="shared" si="150"/>
        <v>870.25</v>
      </c>
      <c r="AE622" s="356">
        <f t="shared" si="161"/>
        <v>1.84375</v>
      </c>
      <c r="AF622" s="238">
        <f t="shared" si="152"/>
        <v>5</v>
      </c>
      <c r="AG622" s="354"/>
      <c r="AK622"/>
      <c r="AL622"/>
      <c r="AM622"/>
      <c r="AN622"/>
      <c r="AO622"/>
      <c r="AP622"/>
      <c r="BI622" s="360"/>
      <c r="BJ622" s="354"/>
      <c r="BK622" s="366">
        <v>2018</v>
      </c>
      <c r="BL622" t="s">
        <v>5</v>
      </c>
      <c r="BM622" t="s">
        <v>1940</v>
      </c>
      <c r="BN622" t="s">
        <v>3</v>
      </c>
      <c r="BO622">
        <v>0</v>
      </c>
      <c r="BP622">
        <v>0</v>
      </c>
      <c r="BQ622">
        <v>0</v>
      </c>
      <c r="BR622" s="418">
        <v>1042</v>
      </c>
      <c r="BS622">
        <v>7</v>
      </c>
      <c r="BT622">
        <v>20</v>
      </c>
      <c r="BU622">
        <v>208</v>
      </c>
      <c r="BV622">
        <v>1</v>
      </c>
      <c r="BW622">
        <v>0</v>
      </c>
      <c r="BX622">
        <v>0</v>
      </c>
      <c r="BY622">
        <v>0</v>
      </c>
      <c r="BZ622">
        <v>0</v>
      </c>
      <c r="CA622">
        <v>2</v>
      </c>
      <c r="CB622" s="367">
        <f>IFERROR(BO622/Instructions!$J$25,0)+BP622*Instructions!$J$27+BQ622*Instructions!$J$29+IFERROR(BR622/Instructions!$E$34,0)+BS622*Instructions!$E$36+Tier!BT623*Instructions!$E$25+IFERROR(BU622/Instructions!$E$27,0)+BV622*Instructions!$E$29+IFERROR((BW622+BY622)/Instructions!$J$32,0)+(BX622+BZ622)*Instructions!$J$34+Tier!CA622*-2</f>
        <v>186</v>
      </c>
      <c r="CC622" s="354"/>
      <c r="CD622" s="3">
        <v>2018</v>
      </c>
      <c r="CE622" t="s">
        <v>1198</v>
      </c>
      <c r="CF622" t="s">
        <v>1944</v>
      </c>
      <c r="CG622" s="366" t="s">
        <v>6</v>
      </c>
      <c r="CH622">
        <v>0</v>
      </c>
      <c r="CI622">
        <v>0</v>
      </c>
      <c r="CJ622">
        <v>0</v>
      </c>
      <c r="CK622">
        <v>3</v>
      </c>
      <c r="CL622">
        <v>0</v>
      </c>
      <c r="CM622">
        <v>76</v>
      </c>
      <c r="CN622">
        <v>1028</v>
      </c>
      <c r="CO622">
        <v>7</v>
      </c>
      <c r="CP622">
        <v>0</v>
      </c>
      <c r="CQ622">
        <v>0</v>
      </c>
      <c r="CR622">
        <v>0</v>
      </c>
      <c r="CS622">
        <v>1</v>
      </c>
      <c r="CT622">
        <v>0</v>
      </c>
      <c r="CU622" s="367">
        <f>IFERROR(CH622/Instructions!$J$25,0)+CI622*Instructions!$J$27+CJ622*Instructions!$J$29+IFERROR(CK622/Instructions!$E$34,0)+CL622*Instructions!$E$36+Tier!CM622*Instructions!$E$25+IFERROR(CN622/Instructions!$E$27,0)+CO622*Instructions!$E$29+IFERROR((CP622+CR622)/Instructions!$J$32,0)+(CQ622+CS622)*Instructions!$J$34+Tier!CT622*-2</f>
        <v>227.1</v>
      </c>
      <c r="CV622" s="354"/>
      <c r="CW622"/>
      <c r="CX622"/>
      <c r="CY622"/>
      <c r="CZ622"/>
      <c r="DA622"/>
      <c r="DB622"/>
      <c r="DC622"/>
      <c r="DD622"/>
      <c r="DE622"/>
      <c r="DF622"/>
      <c r="DG622"/>
      <c r="DH622"/>
      <c r="DI622"/>
      <c r="DJ622"/>
      <c r="DK622"/>
      <c r="DL622"/>
      <c r="DM622"/>
      <c r="DN622"/>
    </row>
    <row r="623" spans="3:118" s="238" customFormat="1" ht="15.75" customHeight="1" x14ac:dyDescent="0.25">
      <c r="C623"/>
      <c r="D623"/>
      <c r="E623"/>
      <c r="F623"/>
      <c r="G623"/>
      <c r="H623"/>
      <c r="I623"/>
      <c r="J623"/>
      <c r="K623"/>
      <c r="L623"/>
      <c r="M623"/>
      <c r="N623"/>
      <c r="O623" s="366"/>
      <c r="P623" s="366">
        <v>2018</v>
      </c>
      <c r="Q623" s="367">
        <f>LARGE($CB$606:$CB$755,18)</f>
        <v>185.2</v>
      </c>
      <c r="R623" s="357">
        <f t="shared" si="157"/>
        <v>-11.400000000000006</v>
      </c>
      <c r="S623" s="356">
        <f t="shared" si="158"/>
        <v>129.96000000000012</v>
      </c>
      <c r="U623" s="356">
        <f t="shared" si="159"/>
        <v>-0.71250000000000036</v>
      </c>
      <c r="V623" s="238">
        <f t="shared" si="151"/>
        <v>7</v>
      </c>
      <c r="W623" s="354"/>
      <c r="X623" s="366"/>
      <c r="Y623" s="366"/>
      <c r="Z623" s="238">
        <v>2018</v>
      </c>
      <c r="AA623" s="367">
        <f>LARGE($CU$606:$CU$755,18)</f>
        <v>217.5</v>
      </c>
      <c r="AB623" s="357">
        <f t="shared" si="160"/>
        <v>26.599999999999994</v>
      </c>
      <c r="AC623" s="356">
        <f t="shared" si="150"/>
        <v>707.55999999999972</v>
      </c>
      <c r="AE623" s="356">
        <f t="shared" si="161"/>
        <v>1.6624999999999996</v>
      </c>
      <c r="AF623" s="238">
        <f t="shared" si="152"/>
        <v>5</v>
      </c>
      <c r="AG623" s="354"/>
      <c r="AK623"/>
      <c r="AL623"/>
      <c r="AM623"/>
      <c r="AN623"/>
      <c r="AO623"/>
      <c r="AP623"/>
      <c r="BI623" s="360"/>
      <c r="BJ623" s="354"/>
      <c r="BK623" s="366">
        <v>2018</v>
      </c>
      <c r="BL623" t="s">
        <v>1437</v>
      </c>
      <c r="BM623" t="s">
        <v>1931</v>
      </c>
      <c r="BN623" t="s">
        <v>3</v>
      </c>
      <c r="BO623">
        <v>0</v>
      </c>
      <c r="BP623">
        <v>0</v>
      </c>
      <c r="BQ623">
        <v>0</v>
      </c>
      <c r="BR623">
        <v>908</v>
      </c>
      <c r="BS623">
        <v>9</v>
      </c>
      <c r="BT623">
        <v>17</v>
      </c>
      <c r="BU623">
        <v>103</v>
      </c>
      <c r="BV623">
        <v>1</v>
      </c>
      <c r="BW623">
        <v>0</v>
      </c>
      <c r="BX623">
        <v>0</v>
      </c>
      <c r="BY623">
        <v>0</v>
      </c>
      <c r="BZ623">
        <v>0</v>
      </c>
      <c r="CA623">
        <v>2</v>
      </c>
      <c r="CB623" s="367">
        <f>IFERROR(BO623/Instructions!$J$25,0)+BP623*Instructions!$J$27+BQ623*Instructions!$J$29+IFERROR(BR623/Instructions!$E$34,0)+BS623*Instructions!$E$36+Tier!BT624*Instructions!$E$25+IFERROR(BU623/Instructions!$E$27,0)+BV623*Instructions!$E$29+IFERROR((BW623+BY623)/Instructions!$J$32,0)+(BX623+BZ623)*Instructions!$J$34+Tier!CA623*-2</f>
        <v>210.10000000000002</v>
      </c>
      <c r="CC623" s="354"/>
      <c r="CD623" s="3">
        <v>2018</v>
      </c>
      <c r="CE623" t="s">
        <v>1787</v>
      </c>
      <c r="CF623" t="s">
        <v>1929</v>
      </c>
      <c r="CG623" s="366" t="s">
        <v>6</v>
      </c>
      <c r="CH623">
        <v>0</v>
      </c>
      <c r="CI623">
        <v>0</v>
      </c>
      <c r="CJ623">
        <v>0</v>
      </c>
      <c r="CK623">
        <v>27</v>
      </c>
      <c r="CL623">
        <v>0</v>
      </c>
      <c r="CM623">
        <v>64</v>
      </c>
      <c r="CN623">
        <v>821</v>
      </c>
      <c r="CO623">
        <v>10</v>
      </c>
      <c r="CP623">
        <v>0</v>
      </c>
      <c r="CQ623">
        <v>0</v>
      </c>
      <c r="CR623">
        <v>1</v>
      </c>
      <c r="CS623">
        <v>0</v>
      </c>
      <c r="CT623">
        <v>0</v>
      </c>
      <c r="CU623" s="367">
        <f>IFERROR(CH623/Instructions!$J$25,0)+CI623*Instructions!$J$27+CJ623*Instructions!$J$29+IFERROR(CK623/Instructions!$E$34,0)+CL623*Instructions!$E$36+Tier!CM623*Instructions!$E$25+IFERROR(CN623/Instructions!$E$27,0)+CO623*Instructions!$E$29+IFERROR((CP623+CR623)/Instructions!$J$32,0)+(CQ623+CS623)*Instructions!$J$34+Tier!CT623*-2</f>
        <v>208.8</v>
      </c>
      <c r="CV623" s="354"/>
      <c r="CW623"/>
      <c r="CX623"/>
      <c r="CY623"/>
      <c r="CZ623"/>
      <c r="DA623"/>
      <c r="DB623"/>
      <c r="DC623"/>
      <c r="DD623"/>
      <c r="DE623"/>
      <c r="DF623"/>
      <c r="DG623"/>
      <c r="DH623"/>
      <c r="DI623"/>
      <c r="DJ623"/>
      <c r="DK623"/>
      <c r="DL623"/>
      <c r="DM623"/>
      <c r="DN623"/>
    </row>
    <row r="624" spans="3:118" s="238" customFormat="1" ht="15.75" customHeight="1" x14ac:dyDescent="0.25">
      <c r="C624"/>
      <c r="D624"/>
      <c r="E624"/>
      <c r="F624"/>
      <c r="G624"/>
      <c r="H624"/>
      <c r="I624"/>
      <c r="J624"/>
      <c r="K624"/>
      <c r="L624"/>
      <c r="M624"/>
      <c r="N624"/>
      <c r="O624" s="366"/>
      <c r="P624" s="366">
        <v>2018</v>
      </c>
      <c r="Q624" s="367">
        <f>LARGE($CB$606:$CB$755,19)</f>
        <v>185</v>
      </c>
      <c r="R624" s="357">
        <f t="shared" si="157"/>
        <v>-11.599999999999994</v>
      </c>
      <c r="S624" s="356">
        <f t="shared" si="158"/>
        <v>134.55999999999986</v>
      </c>
      <c r="T624" s="356"/>
      <c r="U624" s="356">
        <f t="shared" si="159"/>
        <v>-0.72499999999999964</v>
      </c>
      <c r="V624" s="238">
        <f t="shared" si="151"/>
        <v>7</v>
      </c>
      <c r="W624" s="354"/>
      <c r="X624" s="366"/>
      <c r="Y624" s="366"/>
      <c r="Z624" s="238">
        <v>2018</v>
      </c>
      <c r="AA624" s="367">
        <f>LARGE($CU$606:$CU$755,19)</f>
        <v>217.12</v>
      </c>
      <c r="AB624" s="357">
        <f t="shared" si="160"/>
        <v>26.22</v>
      </c>
      <c r="AC624" s="356">
        <f t="shared" si="150"/>
        <v>687.48839999999996</v>
      </c>
      <c r="AE624" s="356">
        <f t="shared" si="161"/>
        <v>1.6387499999999999</v>
      </c>
      <c r="AF624" s="238">
        <f t="shared" si="152"/>
        <v>5</v>
      </c>
      <c r="AG624" s="354"/>
      <c r="AK624"/>
      <c r="AL624"/>
      <c r="AM624"/>
      <c r="AN624"/>
      <c r="AO624"/>
      <c r="AP624"/>
      <c r="BI624" s="360"/>
      <c r="BJ624" s="354"/>
      <c r="BK624" s="366">
        <v>2018</v>
      </c>
      <c r="BL624" t="s">
        <v>1193</v>
      </c>
      <c r="BM624" t="s">
        <v>1946</v>
      </c>
      <c r="BN624" t="s">
        <v>3</v>
      </c>
      <c r="BO624">
        <v>0</v>
      </c>
      <c r="BP624">
        <v>0</v>
      </c>
      <c r="BQ624">
        <v>0</v>
      </c>
      <c r="BR624">
        <v>535</v>
      </c>
      <c r="BS624">
        <v>4</v>
      </c>
      <c r="BT624">
        <v>53</v>
      </c>
      <c r="BU624">
        <v>477</v>
      </c>
      <c r="BV624">
        <v>5</v>
      </c>
      <c r="BW624">
        <v>0</v>
      </c>
      <c r="BX624">
        <v>0</v>
      </c>
      <c r="BY624">
        <v>213</v>
      </c>
      <c r="BZ624">
        <v>0</v>
      </c>
      <c r="CA624">
        <v>1</v>
      </c>
      <c r="CB624" s="367">
        <f>IFERROR(BO624/Instructions!$J$25,0)+BP624*Instructions!$J$27+BQ624*Instructions!$J$29+IFERROR(BR624/Instructions!$E$34,0)+BS624*Instructions!$E$36+Tier!BT625*Instructions!$E$25+IFERROR(BU624/Instructions!$E$27,0)+BV624*Instructions!$E$29+IFERROR((BW624+BY624)/Instructions!$J$32,0)+(BX624+BZ624)*Instructions!$J$34+Tier!CA624*-2</f>
        <v>185.2</v>
      </c>
      <c r="CC624" s="354"/>
      <c r="CD624" s="3">
        <v>2018</v>
      </c>
      <c r="CE624" t="s">
        <v>1101</v>
      </c>
      <c r="CF624" t="s">
        <v>1936</v>
      </c>
      <c r="CG624" s="366" t="s">
        <v>6</v>
      </c>
      <c r="CH624">
        <v>0</v>
      </c>
      <c r="CI624">
        <v>0</v>
      </c>
      <c r="CJ624">
        <v>0</v>
      </c>
      <c r="CK624">
        <v>20</v>
      </c>
      <c r="CL624">
        <v>0</v>
      </c>
      <c r="CM624">
        <v>75</v>
      </c>
      <c r="CN624" s="418">
        <v>1005</v>
      </c>
      <c r="CO624">
        <v>7</v>
      </c>
      <c r="CP624">
        <v>0</v>
      </c>
      <c r="CQ624">
        <v>0</v>
      </c>
      <c r="CR624">
        <v>2</v>
      </c>
      <c r="CS624">
        <v>0</v>
      </c>
      <c r="CT624">
        <v>1</v>
      </c>
      <c r="CU624" s="367">
        <f>IFERROR(CH624/Instructions!$J$25,0)+CI624*Instructions!$J$27+CJ624*Instructions!$J$29+IFERROR(CK624/Instructions!$E$34,0)+CL624*Instructions!$E$36+Tier!CM624*Instructions!$E$25+IFERROR(CN624/Instructions!$E$27,0)+CO624*Instructions!$E$29+IFERROR((CP624+CR624)/Instructions!$J$32,0)+(CQ624+CS624)*Instructions!$J$34+Tier!CT624*-2</f>
        <v>217.5</v>
      </c>
      <c r="CV624" s="354"/>
      <c r="CW624"/>
      <c r="CX624"/>
      <c r="CY624"/>
      <c r="CZ624"/>
      <c r="DA624"/>
      <c r="DB624"/>
      <c r="DC624"/>
      <c r="DD624"/>
      <c r="DE624"/>
      <c r="DF624"/>
      <c r="DG624"/>
      <c r="DH624"/>
      <c r="DI624"/>
      <c r="DJ624"/>
      <c r="DK624"/>
      <c r="DL624"/>
      <c r="DM624"/>
      <c r="DN624"/>
    </row>
    <row r="625" spans="3:118" s="238" customFormat="1" ht="15.75" customHeight="1" x14ac:dyDescent="0.25">
      <c r="C625"/>
      <c r="D625"/>
      <c r="E625"/>
      <c r="F625"/>
      <c r="G625"/>
      <c r="H625"/>
      <c r="I625"/>
      <c r="J625"/>
      <c r="K625"/>
      <c r="L625"/>
      <c r="M625"/>
      <c r="N625"/>
      <c r="O625" s="366"/>
      <c r="P625" s="366">
        <v>2018</v>
      </c>
      <c r="Q625" s="367">
        <f>LARGE($CB$606:$CB$755,20)</f>
        <v>182.94</v>
      </c>
      <c r="R625" s="357">
        <f t="shared" si="157"/>
        <v>-13.659999999999997</v>
      </c>
      <c r="S625" s="356">
        <f t="shared" si="158"/>
        <v>186.59559999999991</v>
      </c>
      <c r="U625" s="356">
        <f t="shared" si="159"/>
        <v>-0.85374999999999979</v>
      </c>
      <c r="V625" s="238">
        <f t="shared" si="151"/>
        <v>7</v>
      </c>
      <c r="W625" s="354"/>
      <c r="X625" s="366"/>
      <c r="Y625" s="366"/>
      <c r="Z625" s="238">
        <v>2018</v>
      </c>
      <c r="AA625" s="367">
        <f>LARGE($CU$606:$CU$755,20)</f>
        <v>208.8</v>
      </c>
      <c r="AB625" s="357">
        <f t="shared" si="160"/>
        <v>17.900000000000006</v>
      </c>
      <c r="AC625" s="356">
        <f t="shared" si="150"/>
        <v>320.4100000000002</v>
      </c>
      <c r="AE625" s="356">
        <f t="shared" si="161"/>
        <v>1.1187500000000004</v>
      </c>
      <c r="AF625" s="238">
        <f t="shared" si="152"/>
        <v>5</v>
      </c>
      <c r="AG625" s="354"/>
      <c r="AK625"/>
      <c r="AL625"/>
      <c r="AM625"/>
      <c r="AN625"/>
      <c r="AO625"/>
      <c r="AP625"/>
      <c r="BI625" s="360"/>
      <c r="BJ625" s="354"/>
      <c r="BK625" s="366">
        <v>2018</v>
      </c>
      <c r="BL625" t="s">
        <v>1129</v>
      </c>
      <c r="BM625" t="s">
        <v>155</v>
      </c>
      <c r="BN625" t="s">
        <v>3</v>
      </c>
      <c r="BO625">
        <v>0</v>
      </c>
      <c r="BP625">
        <v>0</v>
      </c>
      <c r="BQ625">
        <v>0</v>
      </c>
      <c r="BR625">
        <v>800</v>
      </c>
      <c r="BS625">
        <v>4</v>
      </c>
      <c r="BT625">
        <v>32</v>
      </c>
      <c r="BU625">
        <v>276</v>
      </c>
      <c r="BV625">
        <v>5</v>
      </c>
      <c r="BW625">
        <v>0</v>
      </c>
      <c r="BX625">
        <v>0</v>
      </c>
      <c r="BY625">
        <v>0</v>
      </c>
      <c r="BZ625">
        <v>0</v>
      </c>
      <c r="CA625">
        <v>0</v>
      </c>
      <c r="CB625" s="367">
        <f>IFERROR(BO625/Instructions!$J$25,0)+BP625*Instructions!$J$27+BQ625*Instructions!$J$29+IFERROR(BR625/Instructions!$E$34,0)+BS625*Instructions!$E$36+Tier!BT626*Instructions!$E$25+IFERROR(BU625/Instructions!$E$27,0)+BV625*Instructions!$E$29+IFERROR((BW625+BY625)/Instructions!$J$32,0)+(BX625+BZ625)*Instructions!$J$34+Tier!CA625*-2</f>
        <v>181.6</v>
      </c>
      <c r="CC625" s="354"/>
      <c r="CD625" s="3">
        <v>2018</v>
      </c>
      <c r="CE625" t="s">
        <v>84</v>
      </c>
      <c r="CF625" t="s">
        <v>157</v>
      </c>
      <c r="CG625" s="366" t="s">
        <v>6</v>
      </c>
      <c r="CH625">
        <v>43</v>
      </c>
      <c r="CI625">
        <v>0</v>
      </c>
      <c r="CJ625">
        <v>0</v>
      </c>
      <c r="CK625">
        <v>107</v>
      </c>
      <c r="CL625">
        <v>0</v>
      </c>
      <c r="CM625">
        <v>74</v>
      </c>
      <c r="CN625">
        <v>850</v>
      </c>
      <c r="CO625">
        <v>6</v>
      </c>
      <c r="CP625">
        <v>0</v>
      </c>
      <c r="CQ625">
        <v>0</v>
      </c>
      <c r="CR625">
        <v>0</v>
      </c>
      <c r="CS625">
        <v>0</v>
      </c>
      <c r="CT625">
        <v>0</v>
      </c>
      <c r="CU625" s="367">
        <f>IFERROR(CH625/Instructions!$J$25,0)+CI625*Instructions!$J$27+CJ625*Instructions!$J$29+IFERROR(CK625/Instructions!$E$34,0)+CL625*Instructions!$E$36+Tier!CM625*Instructions!$E$25+IFERROR(CN625/Instructions!$E$27,0)+CO625*Instructions!$E$29+IFERROR((CP625+CR625)/Instructions!$J$32,0)+(CQ625+CS625)*Instructions!$J$34+Tier!CT625*-2</f>
        <v>207.42000000000002</v>
      </c>
      <c r="CV625" s="354"/>
      <c r="CW625"/>
      <c r="CX625"/>
      <c r="CY625"/>
      <c r="CZ625"/>
      <c r="DA625"/>
      <c r="DB625"/>
      <c r="DC625"/>
      <c r="DD625"/>
      <c r="DE625"/>
      <c r="DF625"/>
      <c r="DG625"/>
      <c r="DH625"/>
      <c r="DI625"/>
      <c r="DJ625"/>
      <c r="DK625"/>
      <c r="DL625"/>
      <c r="DM625"/>
      <c r="DN625"/>
    </row>
    <row r="626" spans="3:118" s="238" customFormat="1" ht="15.75" customHeight="1" x14ac:dyDescent="0.25">
      <c r="C626"/>
      <c r="D626"/>
      <c r="E626"/>
      <c r="F626"/>
      <c r="G626"/>
      <c r="H626"/>
      <c r="I626"/>
      <c r="J626"/>
      <c r="K626"/>
      <c r="L626"/>
      <c r="M626"/>
      <c r="N626"/>
      <c r="O626" s="366"/>
      <c r="P626" s="366">
        <v>2018</v>
      </c>
      <c r="Q626" s="367">
        <f>LARGE($CB$606:$CB$755,21)</f>
        <v>181.6</v>
      </c>
      <c r="R626" s="357">
        <f t="shared" si="157"/>
        <v>-15</v>
      </c>
      <c r="S626" s="356">
        <f t="shared" si="158"/>
        <v>225</v>
      </c>
      <c r="U626" s="356">
        <f t="shared" si="159"/>
        <v>-0.9375</v>
      </c>
      <c r="V626" s="238">
        <f t="shared" si="151"/>
        <v>7</v>
      </c>
      <c r="W626" s="354"/>
      <c r="X626" s="366"/>
      <c r="Y626" s="366"/>
      <c r="Z626" s="238">
        <v>2018</v>
      </c>
      <c r="AA626" s="367">
        <f>LARGE($CU$606:$CU$755,21)</f>
        <v>207.42000000000002</v>
      </c>
      <c r="AB626" s="357">
        <f t="shared" si="160"/>
        <v>16.52000000000001</v>
      </c>
      <c r="AC626" s="356">
        <f t="shared" si="150"/>
        <v>272.91040000000032</v>
      </c>
      <c r="AE626" s="356">
        <f t="shared" si="161"/>
        <v>1.0325000000000006</v>
      </c>
      <c r="AF626" s="238">
        <f t="shared" si="152"/>
        <v>5</v>
      </c>
      <c r="AG626" s="354"/>
      <c r="AK626"/>
      <c r="AL626"/>
      <c r="AM626"/>
      <c r="AN626"/>
      <c r="AO626"/>
      <c r="AP626"/>
      <c r="BI626" s="360"/>
      <c r="BJ626" s="354"/>
      <c r="BK626" s="366">
        <v>2018</v>
      </c>
      <c r="BL626" t="s">
        <v>1182</v>
      </c>
      <c r="BM626" t="s">
        <v>1943</v>
      </c>
      <c r="BN626" t="s">
        <v>3</v>
      </c>
      <c r="BO626">
        <v>0</v>
      </c>
      <c r="BP626">
        <v>0</v>
      </c>
      <c r="BQ626">
        <v>0</v>
      </c>
      <c r="BR626">
        <v>935</v>
      </c>
      <c r="BS626">
        <v>9</v>
      </c>
      <c r="BT626">
        <v>20</v>
      </c>
      <c r="BU626">
        <v>145</v>
      </c>
      <c r="BV626">
        <v>0</v>
      </c>
      <c r="BW626">
        <v>0</v>
      </c>
      <c r="BX626">
        <v>0</v>
      </c>
      <c r="BY626">
        <v>0</v>
      </c>
      <c r="BZ626">
        <v>0</v>
      </c>
      <c r="CA626">
        <v>1</v>
      </c>
      <c r="CB626" s="367">
        <f>IFERROR(BO626/Instructions!$J$25,0)+BP626*Instructions!$J$27+BQ626*Instructions!$J$29+IFERROR(BR626/Instructions!$E$34,0)+BS626*Instructions!$E$36+Tier!BT627*Instructions!$E$25+IFERROR(BU626/Instructions!$E$27,0)+BV626*Instructions!$E$29+IFERROR((BW626+BY626)/Instructions!$J$32,0)+(BX626+BZ626)*Instructions!$J$34+Tier!CA626*-2</f>
        <v>185</v>
      </c>
      <c r="CC626" s="354"/>
      <c r="CD626" s="3">
        <v>2018</v>
      </c>
      <c r="CE626" t="s">
        <v>201</v>
      </c>
      <c r="CF626" t="s">
        <v>1938</v>
      </c>
      <c r="CG626" s="366" t="s">
        <v>6</v>
      </c>
      <c r="CH626">
        <v>63</v>
      </c>
      <c r="CI626">
        <v>0</v>
      </c>
      <c r="CJ626">
        <v>0</v>
      </c>
      <c r="CK626">
        <v>60</v>
      </c>
      <c r="CL626">
        <v>1</v>
      </c>
      <c r="CM626">
        <v>81</v>
      </c>
      <c r="CN626">
        <v>976</v>
      </c>
      <c r="CO626">
        <v>4</v>
      </c>
      <c r="CP626">
        <v>0</v>
      </c>
      <c r="CQ626">
        <v>0</v>
      </c>
      <c r="CR626">
        <v>1</v>
      </c>
      <c r="CS626">
        <v>0</v>
      </c>
      <c r="CT626">
        <v>0</v>
      </c>
      <c r="CU626" s="367">
        <f>IFERROR(CH626/Instructions!$J$25,0)+CI626*Instructions!$J$27+CJ626*Instructions!$J$29+IFERROR(CK626/Instructions!$E$34,0)+CL626*Instructions!$E$36+Tier!CM626*Instructions!$E$25+IFERROR(CN626/Instructions!$E$27,0)+CO626*Instructions!$E$29+IFERROR((CP626+CR626)/Instructions!$J$32,0)+(CQ626+CS626)*Instructions!$J$34+Tier!CT626*-2</f>
        <v>217.12</v>
      </c>
      <c r="CV626" s="354"/>
      <c r="CW626"/>
      <c r="CX626"/>
      <c r="CY626"/>
      <c r="CZ626"/>
      <c r="DA626"/>
      <c r="DB626"/>
      <c r="DC626"/>
      <c r="DD626"/>
      <c r="DE626"/>
      <c r="DF626"/>
      <c r="DG626"/>
      <c r="DH626"/>
      <c r="DI626"/>
      <c r="DJ626"/>
      <c r="DK626"/>
      <c r="DL626"/>
      <c r="DM626"/>
      <c r="DN626"/>
    </row>
    <row r="627" spans="3:118" s="238" customFormat="1" ht="15.75" customHeight="1" x14ac:dyDescent="0.25">
      <c r="C627"/>
      <c r="D627"/>
      <c r="E627"/>
      <c r="F627"/>
      <c r="G627"/>
      <c r="H627"/>
      <c r="I627"/>
      <c r="J627"/>
      <c r="K627"/>
      <c r="L627"/>
      <c r="M627"/>
      <c r="N627"/>
      <c r="O627" s="366"/>
      <c r="P627" s="366">
        <v>2018</v>
      </c>
      <c r="Q627" s="367">
        <f>LARGE($CB$606:$CB$755,22)</f>
        <v>176.5</v>
      </c>
      <c r="R627" s="357">
        <f t="shared" si="157"/>
        <v>-20.099999999999994</v>
      </c>
      <c r="S627" s="356">
        <f t="shared" si="158"/>
        <v>404.00999999999976</v>
      </c>
      <c r="U627" s="356">
        <f t="shared" si="159"/>
        <v>-1.2562499999999996</v>
      </c>
      <c r="V627" s="238">
        <f t="shared" si="151"/>
        <v>8</v>
      </c>
      <c r="W627" s="354"/>
      <c r="X627" s="366"/>
      <c r="Y627" s="366"/>
      <c r="Z627" s="238">
        <v>2018</v>
      </c>
      <c r="AA627" s="367">
        <f>LARGE($CU$606:$CU$755,22)</f>
        <v>205.1</v>
      </c>
      <c r="AB627" s="357">
        <f t="shared" si="160"/>
        <v>14.199999999999989</v>
      </c>
      <c r="AC627" s="356">
        <f t="shared" si="150"/>
        <v>201.63999999999967</v>
      </c>
      <c r="AE627" s="356">
        <f t="shared" si="161"/>
        <v>0.88749999999999929</v>
      </c>
      <c r="AF627" s="238">
        <f t="shared" si="152"/>
        <v>6</v>
      </c>
      <c r="AG627" s="354"/>
      <c r="AK627"/>
      <c r="AL627"/>
      <c r="AM627"/>
      <c r="AN627"/>
      <c r="AO627"/>
      <c r="AP627"/>
      <c r="BI627" s="360"/>
      <c r="BJ627" s="354"/>
      <c r="BK627" s="366">
        <v>2018</v>
      </c>
      <c r="BL627" t="s">
        <v>97</v>
      </c>
      <c r="BM627" t="s">
        <v>1932</v>
      </c>
      <c r="BN627" t="s">
        <v>3</v>
      </c>
      <c r="BO627">
        <v>0</v>
      </c>
      <c r="BP627">
        <v>0</v>
      </c>
      <c r="BQ627">
        <v>0</v>
      </c>
      <c r="BR627">
        <v>973</v>
      </c>
      <c r="BS627">
        <v>5</v>
      </c>
      <c r="BT627">
        <v>25</v>
      </c>
      <c r="BU627">
        <v>163</v>
      </c>
      <c r="BV627">
        <v>1</v>
      </c>
      <c r="BW627">
        <v>0</v>
      </c>
      <c r="BX627">
        <v>0</v>
      </c>
      <c r="BY627">
        <v>0</v>
      </c>
      <c r="BZ627">
        <v>0</v>
      </c>
      <c r="CA627">
        <v>1</v>
      </c>
      <c r="CB627" s="367">
        <f>IFERROR(BO627/Instructions!$J$25,0)+BP627*Instructions!$J$27+BQ627*Instructions!$J$29+IFERROR(BR627/Instructions!$E$34,0)+BS627*Instructions!$E$36+Tier!BT628*Instructions!$E$25+IFERROR(BU627/Instructions!$E$27,0)+BV627*Instructions!$E$29+IFERROR((BW627+BY627)/Instructions!$J$32,0)+(BX627+BZ627)*Instructions!$J$34+Tier!CA627*-2</f>
        <v>173.60000000000002</v>
      </c>
      <c r="CC627" s="354"/>
      <c r="CD627" s="3">
        <v>2018</v>
      </c>
      <c r="CE627" t="s">
        <v>1164</v>
      </c>
      <c r="CF627" t="s">
        <v>1388</v>
      </c>
      <c r="CG627" s="366" t="s">
        <v>6</v>
      </c>
      <c r="CH627">
        <v>0</v>
      </c>
      <c r="CI627">
        <v>0</v>
      </c>
      <c r="CJ627">
        <v>0</v>
      </c>
      <c r="CK627">
        <v>28</v>
      </c>
      <c r="CL627">
        <v>1</v>
      </c>
      <c r="CM627">
        <v>43</v>
      </c>
      <c r="CN627" s="418">
        <v>664</v>
      </c>
      <c r="CO627">
        <v>10</v>
      </c>
      <c r="CP627">
        <v>0</v>
      </c>
      <c r="CQ627">
        <v>0</v>
      </c>
      <c r="CR627">
        <v>0</v>
      </c>
      <c r="CS627">
        <v>0</v>
      </c>
      <c r="CT627">
        <v>0</v>
      </c>
      <c r="CU627" s="367">
        <f>IFERROR(CH627/Instructions!$J$25,0)+CI627*Instructions!$J$27+CJ627*Instructions!$J$29+IFERROR(CK627/Instructions!$E$34,0)+CL627*Instructions!$E$36+Tier!CM627*Instructions!$E$25+IFERROR(CN627/Instructions!$E$27,0)+CO627*Instructions!$E$29+IFERROR((CP627+CR627)/Instructions!$J$32,0)+(CQ627+CS627)*Instructions!$J$34+Tier!CT627*-2</f>
        <v>178.2</v>
      </c>
      <c r="CV627" s="354"/>
      <c r="CW627"/>
      <c r="CX627"/>
      <c r="CY627"/>
      <c r="CZ627"/>
      <c r="DA627"/>
      <c r="DB627"/>
      <c r="DC627"/>
      <c r="DD627"/>
      <c r="DE627"/>
      <c r="DF627"/>
      <c r="DG627"/>
      <c r="DH627"/>
      <c r="DI627"/>
      <c r="DJ627"/>
      <c r="DK627"/>
      <c r="DL627"/>
      <c r="DM627"/>
      <c r="DN627"/>
    </row>
    <row r="628" spans="3:118" s="238" customFormat="1" ht="15.75" customHeight="1" x14ac:dyDescent="0.25">
      <c r="C628"/>
      <c r="D628"/>
      <c r="E628"/>
      <c r="F628"/>
      <c r="G628"/>
      <c r="H628"/>
      <c r="I628"/>
      <c r="J628"/>
      <c r="K628"/>
      <c r="L628"/>
      <c r="M628"/>
      <c r="N628"/>
      <c r="O628" s="366"/>
      <c r="P628" s="366">
        <v>2018</v>
      </c>
      <c r="Q628" s="367">
        <f>LARGE($CB$606:$CB$755,23)</f>
        <v>173.60000000000002</v>
      </c>
      <c r="R628" s="357">
        <f t="shared" si="157"/>
        <v>-22.999999999999972</v>
      </c>
      <c r="S628" s="356">
        <f t="shared" si="158"/>
        <v>528.99999999999864</v>
      </c>
      <c r="U628" s="356">
        <f t="shared" si="159"/>
        <v>-1.4374999999999982</v>
      </c>
      <c r="V628" s="238">
        <f t="shared" si="151"/>
        <v>8</v>
      </c>
      <c r="W628" s="354"/>
      <c r="X628" s="366"/>
      <c r="Y628" s="366"/>
      <c r="Z628" s="238">
        <v>2018</v>
      </c>
      <c r="AA628" s="367">
        <f>LARGE($CU$606:$CU$755,23)</f>
        <v>194.22</v>
      </c>
      <c r="AB628" s="357">
        <f t="shared" si="160"/>
        <v>3.3199999999999932</v>
      </c>
      <c r="AC628" s="356">
        <f t="shared" si="150"/>
        <v>11.022399999999955</v>
      </c>
      <c r="AE628" s="356">
        <f t="shared" si="161"/>
        <v>0.20749999999999957</v>
      </c>
      <c r="AF628" s="238">
        <f t="shared" si="152"/>
        <v>6</v>
      </c>
      <c r="AG628" s="354"/>
      <c r="AK628"/>
      <c r="AL628"/>
      <c r="AM628"/>
      <c r="AN628"/>
      <c r="AO628"/>
      <c r="AP628"/>
      <c r="BI628" s="360"/>
      <c r="BJ628" s="354"/>
      <c r="BK628" s="366">
        <v>2018</v>
      </c>
      <c r="BL628" t="s">
        <v>1436</v>
      </c>
      <c r="BM628" t="s">
        <v>139</v>
      </c>
      <c r="BN628" t="s">
        <v>3</v>
      </c>
      <c r="BO628">
        <v>0</v>
      </c>
      <c r="BP628">
        <v>0</v>
      </c>
      <c r="BQ628">
        <v>0</v>
      </c>
      <c r="BR628">
        <v>728</v>
      </c>
      <c r="BS628">
        <v>8</v>
      </c>
      <c r="BT628">
        <v>26</v>
      </c>
      <c r="BU628">
        <v>206</v>
      </c>
      <c r="BV628">
        <v>1</v>
      </c>
      <c r="BW628">
        <v>0</v>
      </c>
      <c r="BX628">
        <v>0</v>
      </c>
      <c r="BY628">
        <v>0</v>
      </c>
      <c r="BZ628">
        <v>0</v>
      </c>
      <c r="CA628">
        <v>1</v>
      </c>
      <c r="CB628" s="367">
        <f>IFERROR(BO628/Instructions!$J$25,0)+BP628*Instructions!$J$27+BQ628*Instructions!$J$29+IFERROR(BR628/Instructions!$E$34,0)+BS628*Instructions!$E$36+Tier!BT629*Instructions!$E$25+IFERROR(BU628/Instructions!$E$27,0)+BV628*Instructions!$E$29+IFERROR((BW628+BY628)/Instructions!$J$32,0)+(BX628+BZ628)*Instructions!$J$34+Tier!CA628*-2</f>
        <v>172.4</v>
      </c>
      <c r="CC628" s="354"/>
      <c r="CD628" s="3">
        <v>2018</v>
      </c>
      <c r="CE628" t="s">
        <v>1430</v>
      </c>
      <c r="CF628" t="s">
        <v>1939</v>
      </c>
      <c r="CG628" s="366" t="s">
        <v>6</v>
      </c>
      <c r="CH628">
        <v>0</v>
      </c>
      <c r="CI628">
        <v>0</v>
      </c>
      <c r="CJ628">
        <v>0</v>
      </c>
      <c r="CK628">
        <v>8</v>
      </c>
      <c r="CL628">
        <v>0</v>
      </c>
      <c r="CM628">
        <v>70</v>
      </c>
      <c r="CN628">
        <v>1063</v>
      </c>
      <c r="CO628">
        <v>5</v>
      </c>
      <c r="CP628">
        <v>0</v>
      </c>
      <c r="CQ628">
        <v>0</v>
      </c>
      <c r="CR628">
        <v>0</v>
      </c>
      <c r="CS628">
        <v>0</v>
      </c>
      <c r="CT628">
        <v>1</v>
      </c>
      <c r="CU628" s="367">
        <f>IFERROR(CH628/Instructions!$J$25,0)+CI628*Instructions!$J$27+CJ628*Instructions!$J$29+IFERROR(CK628/Instructions!$E$34,0)+CL628*Instructions!$E$36+Tier!CM628*Instructions!$E$25+IFERROR(CN628/Instructions!$E$27,0)+CO628*Instructions!$E$29+IFERROR((CP628+CR628)/Instructions!$J$32,0)+(CQ628+CS628)*Instructions!$J$34+Tier!CT628*-2</f>
        <v>205.1</v>
      </c>
      <c r="CV628" s="354"/>
      <c r="CW628"/>
      <c r="CX628"/>
      <c r="CY628"/>
      <c r="CZ628"/>
      <c r="DA628"/>
      <c r="DB628"/>
      <c r="DC628"/>
      <c r="DD628"/>
      <c r="DE628"/>
      <c r="DF628"/>
      <c r="DG628"/>
      <c r="DH628"/>
      <c r="DI628"/>
      <c r="DJ628"/>
      <c r="DK628"/>
      <c r="DL628"/>
      <c r="DM628"/>
      <c r="DN628"/>
    </row>
    <row r="629" spans="3:118" s="238" customFormat="1" ht="15.75" customHeight="1" x14ac:dyDescent="0.25">
      <c r="C629"/>
      <c r="D629"/>
      <c r="E629"/>
      <c r="F629"/>
      <c r="G629"/>
      <c r="H629"/>
      <c r="I629"/>
      <c r="J629"/>
      <c r="K629"/>
      <c r="L629"/>
      <c r="M629"/>
      <c r="N629"/>
      <c r="O629" s="366"/>
      <c r="P629" s="366">
        <v>2018</v>
      </c>
      <c r="Q629" s="367">
        <f>LARGE($CB$606:$CB$755,24)</f>
        <v>172.4</v>
      </c>
      <c r="R629" s="357">
        <f t="shared" si="157"/>
        <v>-24.199999999999989</v>
      </c>
      <c r="S629" s="356">
        <f t="shared" si="158"/>
        <v>585.63999999999942</v>
      </c>
      <c r="U629" s="356">
        <f t="shared" si="159"/>
        <v>-1.5124999999999993</v>
      </c>
      <c r="V629" s="238">
        <f t="shared" si="151"/>
        <v>8</v>
      </c>
      <c r="W629" s="354"/>
      <c r="X629" s="366"/>
      <c r="Y629" s="366"/>
      <c r="Z629" s="238">
        <v>2018</v>
      </c>
      <c r="AA629" s="367">
        <f>LARGE($CU$606:$CU$755,24)</f>
        <v>178.2</v>
      </c>
      <c r="AB629" s="357">
        <f t="shared" si="160"/>
        <v>-12.700000000000017</v>
      </c>
      <c r="AC629" s="356">
        <f t="shared" si="150"/>
        <v>161.29000000000045</v>
      </c>
      <c r="AE629" s="356">
        <f t="shared" si="161"/>
        <v>-0.79375000000000107</v>
      </c>
      <c r="AF629" s="238">
        <f t="shared" si="152"/>
        <v>7</v>
      </c>
      <c r="AG629" s="354"/>
      <c r="AK629"/>
      <c r="AL629"/>
      <c r="AM629"/>
      <c r="AN629"/>
      <c r="AO629"/>
      <c r="AP629"/>
      <c r="BI629" s="360"/>
      <c r="BJ629" s="354"/>
      <c r="BK629" s="366">
        <v>2018</v>
      </c>
      <c r="BL629" t="s">
        <v>1748</v>
      </c>
      <c r="BM629" t="s">
        <v>155</v>
      </c>
      <c r="BN629" t="s">
        <v>3</v>
      </c>
      <c r="BO629">
        <v>0</v>
      </c>
      <c r="BP629">
        <v>0</v>
      </c>
      <c r="BQ629">
        <v>0</v>
      </c>
      <c r="BR629">
        <v>814</v>
      </c>
      <c r="BS629">
        <v>3</v>
      </c>
      <c r="BT629">
        <v>27</v>
      </c>
      <c r="BU629">
        <v>261</v>
      </c>
      <c r="BV629">
        <v>2</v>
      </c>
      <c r="BW629">
        <v>0</v>
      </c>
      <c r="BX629">
        <v>0</v>
      </c>
      <c r="BY629">
        <v>0</v>
      </c>
      <c r="BZ629">
        <v>0</v>
      </c>
      <c r="CA629">
        <v>1</v>
      </c>
      <c r="CB629" s="367">
        <f>IFERROR(BO629/Instructions!$J$25,0)+BP629*Instructions!$J$27+BQ629*Instructions!$J$29+IFERROR(BR629/Instructions!$E$34,0)+BS629*Instructions!$E$36+Tier!BT630*Instructions!$E$25+IFERROR(BU629/Instructions!$E$27,0)+BV629*Instructions!$E$29+IFERROR((BW629+BY629)/Instructions!$J$32,0)+(BX629+BZ629)*Instructions!$J$34+Tier!CA629*-2</f>
        <v>142.5</v>
      </c>
      <c r="CC629" s="354"/>
      <c r="CD629" s="3">
        <v>2018</v>
      </c>
      <c r="CE629" t="s">
        <v>88</v>
      </c>
      <c r="CF629" t="s">
        <v>1948</v>
      </c>
      <c r="CG629" s="366" t="s">
        <v>6</v>
      </c>
      <c r="CH629">
        <v>28</v>
      </c>
      <c r="CI629">
        <v>1</v>
      </c>
      <c r="CJ629">
        <v>0</v>
      </c>
      <c r="CK629">
        <v>53</v>
      </c>
      <c r="CL629">
        <v>1</v>
      </c>
      <c r="CM629">
        <v>71</v>
      </c>
      <c r="CN629">
        <v>868</v>
      </c>
      <c r="CO629">
        <v>4</v>
      </c>
      <c r="CP629">
        <v>0</v>
      </c>
      <c r="CQ629">
        <v>0</v>
      </c>
      <c r="CR629">
        <v>0</v>
      </c>
      <c r="CS629">
        <v>0</v>
      </c>
      <c r="CT629">
        <v>2</v>
      </c>
      <c r="CU629" s="367">
        <f>IFERROR(CH629/Instructions!$J$25,0)+CI629*Instructions!$J$27+CJ629*Instructions!$J$29+IFERROR(CK629/Instructions!$E$34,0)+CL629*Instructions!$E$36+Tier!CM629*Instructions!$E$25+IFERROR(CN629/Instructions!$E$27,0)+CO629*Instructions!$E$29+IFERROR((CP629+CR629)/Instructions!$J$32,0)+(CQ629+CS629)*Instructions!$J$34+Tier!CT629*-2</f>
        <v>194.22</v>
      </c>
      <c r="CV629" s="354"/>
      <c r="CW629"/>
      <c r="CX629"/>
      <c r="CY629"/>
      <c r="CZ629"/>
      <c r="DA629"/>
      <c r="DB629"/>
      <c r="DC629"/>
      <c r="DD629"/>
      <c r="DE629"/>
      <c r="DF629"/>
      <c r="DG629"/>
      <c r="DH629"/>
      <c r="DI629"/>
      <c r="DJ629"/>
      <c r="DK629"/>
      <c r="DL629"/>
      <c r="DM629"/>
      <c r="DN629"/>
    </row>
    <row r="630" spans="3:118" s="238" customFormat="1" ht="15.75" customHeight="1" x14ac:dyDescent="0.25">
      <c r="C630"/>
      <c r="D630"/>
      <c r="E630"/>
      <c r="F630"/>
      <c r="G630"/>
      <c r="H630"/>
      <c r="I630"/>
      <c r="J630"/>
      <c r="K630"/>
      <c r="L630"/>
      <c r="M630"/>
      <c r="N630"/>
      <c r="O630" s="366"/>
      <c r="P630" s="366">
        <v>2018</v>
      </c>
      <c r="Q630" s="367">
        <f>LARGE($CB$606:$CB$755,25)</f>
        <v>169.29999999999998</v>
      </c>
      <c r="R630" s="357">
        <f t="shared" si="157"/>
        <v>-27.300000000000011</v>
      </c>
      <c r="S630" s="356">
        <f t="shared" si="158"/>
        <v>745.29000000000065</v>
      </c>
      <c r="U630" s="356">
        <f t="shared" si="159"/>
        <v>-1.7062500000000007</v>
      </c>
      <c r="V630" s="238">
        <f t="shared" si="151"/>
        <v>8</v>
      </c>
      <c r="W630" s="354"/>
      <c r="X630" s="366"/>
      <c r="Y630" s="366"/>
      <c r="Z630" s="238">
        <v>2018</v>
      </c>
      <c r="AA630" s="367">
        <f>LARGE($CU$606:$CU$755,25)</f>
        <v>175.5</v>
      </c>
      <c r="AB630" s="357">
        <f t="shared" si="160"/>
        <v>-15.400000000000006</v>
      </c>
      <c r="AC630" s="356">
        <f t="shared" si="150"/>
        <v>237.16000000000017</v>
      </c>
      <c r="AE630" s="356">
        <f t="shared" si="161"/>
        <v>-0.96250000000000036</v>
      </c>
      <c r="AF630" s="238">
        <f t="shared" si="152"/>
        <v>7</v>
      </c>
      <c r="AG630" s="354"/>
      <c r="AK630"/>
      <c r="AL630"/>
      <c r="AM630"/>
      <c r="AN630"/>
      <c r="AO630"/>
      <c r="AP630"/>
      <c r="BI630" s="360"/>
      <c r="BJ630" s="354"/>
      <c r="BK630" s="366">
        <v>2018</v>
      </c>
      <c r="BL630" t="s">
        <v>1769</v>
      </c>
      <c r="BM630" t="s">
        <v>157</v>
      </c>
      <c r="BN630" t="s">
        <v>3</v>
      </c>
      <c r="BO630">
        <v>0</v>
      </c>
      <c r="BP630">
        <v>0</v>
      </c>
      <c r="BQ630">
        <v>0</v>
      </c>
      <c r="BR630">
        <v>931</v>
      </c>
      <c r="BS630">
        <v>6</v>
      </c>
      <c r="BT630">
        <v>7</v>
      </c>
      <c r="BU630">
        <v>50</v>
      </c>
      <c r="BV630">
        <v>0</v>
      </c>
      <c r="BW630">
        <v>0</v>
      </c>
      <c r="BX630">
        <v>0</v>
      </c>
      <c r="BY630">
        <v>77</v>
      </c>
      <c r="BZ630">
        <v>0</v>
      </c>
      <c r="CA630">
        <v>1</v>
      </c>
      <c r="CB630" s="367">
        <f>IFERROR(BO630/Instructions!$J$25,0)+BP630*Instructions!$J$27+BQ630*Instructions!$J$29+IFERROR(BR630/Instructions!$E$34,0)+BS630*Instructions!$E$36+Tier!BT631*Instructions!$E$25+IFERROR(BU630/Instructions!$E$27,0)+BV630*Instructions!$E$29+IFERROR((BW630+BY630)/Instructions!$J$32,0)+(BX630+BZ630)*Instructions!$J$34+Tier!CA630*-2</f>
        <v>152.1</v>
      </c>
      <c r="CC630" s="354"/>
      <c r="CD630" s="3">
        <v>2018</v>
      </c>
      <c r="CE630" t="s">
        <v>1753</v>
      </c>
      <c r="CF630" t="s">
        <v>1950</v>
      </c>
      <c r="CG630" s="366" t="s">
        <v>6</v>
      </c>
      <c r="CH630">
        <v>0</v>
      </c>
      <c r="CI630">
        <v>0</v>
      </c>
      <c r="CJ630">
        <v>0</v>
      </c>
      <c r="CK630">
        <v>98</v>
      </c>
      <c r="CL630">
        <v>0</v>
      </c>
      <c r="CM630">
        <v>66</v>
      </c>
      <c r="CN630">
        <v>717</v>
      </c>
      <c r="CO630">
        <v>5</v>
      </c>
      <c r="CP630">
        <v>0</v>
      </c>
      <c r="CQ630">
        <v>0</v>
      </c>
      <c r="CR630">
        <v>2</v>
      </c>
      <c r="CS630">
        <v>0</v>
      </c>
      <c r="CT630">
        <v>1</v>
      </c>
      <c r="CU630" s="367">
        <f>IFERROR(CH630/Instructions!$J$25,0)+CI630*Instructions!$J$27+CJ630*Instructions!$J$29+IFERROR(CK630/Instructions!$E$34,0)+CL630*Instructions!$E$36+Tier!CM630*Instructions!$E$25+IFERROR(CN630/Instructions!$E$27,0)+CO630*Instructions!$E$29+IFERROR((CP630+CR630)/Instructions!$J$32,0)+(CQ630+CS630)*Instructions!$J$34+Tier!CT630*-2</f>
        <v>175.5</v>
      </c>
      <c r="CV630" s="354"/>
      <c r="CW630"/>
      <c r="CX630"/>
      <c r="CY630"/>
      <c r="CZ630"/>
      <c r="DA630"/>
      <c r="DB630"/>
      <c r="DC630"/>
      <c r="DD630"/>
      <c r="DE630"/>
      <c r="DF630"/>
      <c r="DG630"/>
      <c r="DH630"/>
      <c r="DI630"/>
      <c r="DJ630"/>
      <c r="DK630"/>
      <c r="DL630"/>
      <c r="DM630"/>
      <c r="DN630"/>
    </row>
    <row r="631" spans="3:118" s="238" customFormat="1" ht="15.75" customHeight="1" x14ac:dyDescent="0.25">
      <c r="C631"/>
      <c r="D631"/>
      <c r="E631"/>
      <c r="F631"/>
      <c r="G631"/>
      <c r="H631"/>
      <c r="I631"/>
      <c r="J631"/>
      <c r="K631"/>
      <c r="L631"/>
      <c r="M631"/>
      <c r="N631"/>
      <c r="O631" s="366"/>
      <c r="P631" s="366">
        <v>2018</v>
      </c>
      <c r="Q631" s="367">
        <f>LARGE($CB$606:$CB$755,26)</f>
        <v>161.4</v>
      </c>
      <c r="R631" s="357">
        <f t="shared" si="157"/>
        <v>-35.199999999999989</v>
      </c>
      <c r="S631" s="356">
        <f t="shared" si="158"/>
        <v>1239.0399999999993</v>
      </c>
      <c r="U631" s="356">
        <f t="shared" si="159"/>
        <v>-2.1999999999999993</v>
      </c>
      <c r="V631" s="238">
        <f t="shared" si="151"/>
        <v>8</v>
      </c>
      <c r="W631" s="354"/>
      <c r="X631" s="366"/>
      <c r="Y631" s="366"/>
      <c r="Z631" s="238">
        <v>2018</v>
      </c>
      <c r="AA631" s="367">
        <f>LARGE($CU$606:$CU$755,26)</f>
        <v>152.69999999999999</v>
      </c>
      <c r="AB631" s="357">
        <f t="shared" si="160"/>
        <v>-38.200000000000017</v>
      </c>
      <c r="AC631" s="356">
        <f t="shared" si="150"/>
        <v>1459.2400000000014</v>
      </c>
      <c r="AE631" s="356">
        <f t="shared" si="161"/>
        <v>-2.3875000000000011</v>
      </c>
      <c r="AF631" s="238">
        <f t="shared" si="152"/>
        <v>8</v>
      </c>
      <c r="AG631" s="354"/>
      <c r="AK631"/>
      <c r="AL631"/>
      <c r="AM631"/>
      <c r="AN631"/>
      <c r="AO631"/>
      <c r="AP631"/>
      <c r="BI631" s="360"/>
      <c r="BJ631" s="354"/>
      <c r="BK631" s="366">
        <v>2018</v>
      </c>
      <c r="BL631" t="s">
        <v>1310</v>
      </c>
      <c r="BM631" t="s">
        <v>149</v>
      </c>
      <c r="BN631" t="s">
        <v>3</v>
      </c>
      <c r="BO631">
        <v>0</v>
      </c>
      <c r="BP631">
        <v>0</v>
      </c>
      <c r="BQ631">
        <v>0</v>
      </c>
      <c r="BR631">
        <v>871</v>
      </c>
      <c r="BS631">
        <v>5</v>
      </c>
      <c r="BT631">
        <v>20</v>
      </c>
      <c r="BU631">
        <v>92</v>
      </c>
      <c r="BV631">
        <v>1</v>
      </c>
      <c r="BW631">
        <v>0</v>
      </c>
      <c r="BX631">
        <v>0</v>
      </c>
      <c r="BY631">
        <v>0</v>
      </c>
      <c r="BZ631">
        <v>0</v>
      </c>
      <c r="CA631">
        <v>1</v>
      </c>
      <c r="CB631" s="367">
        <f>IFERROR(BO631/Instructions!$J$25,0)+BP631*Instructions!$J$27+BQ631*Instructions!$J$29+IFERROR(BR631/Instructions!$E$34,0)+BS631*Instructions!$E$36+Tier!BT632*Instructions!$E$25+IFERROR(BU631/Instructions!$E$27,0)+BV631*Instructions!$E$29+IFERROR((BW631+BY631)/Instructions!$J$32,0)+(BX631+BZ631)*Instructions!$J$34+Tier!CA631*-2</f>
        <v>169.29999999999998</v>
      </c>
      <c r="CC631" s="354"/>
      <c r="CD631" s="3">
        <v>2018</v>
      </c>
      <c r="CE631" t="s">
        <v>29</v>
      </c>
      <c r="CF631" t="s">
        <v>1941</v>
      </c>
      <c r="CG631" s="366" t="s">
        <v>6</v>
      </c>
      <c r="CH631">
        <v>0</v>
      </c>
      <c r="CI631">
        <v>0</v>
      </c>
      <c r="CJ631">
        <v>0</v>
      </c>
      <c r="CK631">
        <v>-2</v>
      </c>
      <c r="CL631">
        <v>0</v>
      </c>
      <c r="CM631">
        <v>63</v>
      </c>
      <c r="CN631">
        <v>739</v>
      </c>
      <c r="CO631">
        <v>3</v>
      </c>
      <c r="CP631">
        <v>0</v>
      </c>
      <c r="CQ631">
        <v>0</v>
      </c>
      <c r="CR631">
        <v>0</v>
      </c>
      <c r="CS631">
        <v>0</v>
      </c>
      <c r="CT631">
        <v>1</v>
      </c>
      <c r="CU631" s="367">
        <f>IFERROR(CH631/Instructions!$J$25,0)+CI631*Instructions!$J$27+CJ631*Instructions!$J$29+IFERROR(CK631/Instructions!$E$34,0)+CL631*Instructions!$E$36+Tier!CM631*Instructions!$E$25+IFERROR(CN631/Instructions!$E$27,0)+CO631*Instructions!$E$29+IFERROR((CP631+CR631)/Instructions!$J$32,0)+(CQ631+CS631)*Instructions!$J$34+Tier!CT631*-2</f>
        <v>152.69999999999999</v>
      </c>
      <c r="CV631" s="354"/>
      <c r="CW631"/>
      <c r="CX631"/>
      <c r="CY631"/>
      <c r="CZ631"/>
      <c r="DA631"/>
      <c r="DB631"/>
      <c r="DC631"/>
      <c r="DD631"/>
      <c r="DE631"/>
      <c r="DF631"/>
      <c r="DG631"/>
      <c r="DH631"/>
      <c r="DI631"/>
      <c r="DJ631"/>
      <c r="DK631"/>
      <c r="DL631"/>
      <c r="DM631"/>
      <c r="DN631"/>
    </row>
    <row r="632" spans="3:118" s="238" customFormat="1" ht="15.75" customHeight="1" x14ac:dyDescent="0.25">
      <c r="C632"/>
      <c r="D632"/>
      <c r="E632"/>
      <c r="F632"/>
      <c r="G632"/>
      <c r="H632"/>
      <c r="I632"/>
      <c r="J632"/>
      <c r="K632"/>
      <c r="L632"/>
      <c r="M632"/>
      <c r="N632"/>
      <c r="O632" s="366"/>
      <c r="P632" s="366">
        <v>2018</v>
      </c>
      <c r="Q632" s="367">
        <f>LARGE($CB$606:$CB$755,27)</f>
        <v>160.9</v>
      </c>
      <c r="R632" s="357">
        <f t="shared" si="157"/>
        <v>-35.699999999999989</v>
      </c>
      <c r="S632" s="356">
        <f t="shared" si="158"/>
        <v>1274.4899999999991</v>
      </c>
      <c r="U632" s="356">
        <f t="shared" si="159"/>
        <v>-2.2312499999999993</v>
      </c>
      <c r="V632" s="238">
        <f t="shared" si="151"/>
        <v>8</v>
      </c>
      <c r="W632" s="354"/>
      <c r="X632" s="366"/>
      <c r="Y632" s="366"/>
      <c r="Z632" s="238">
        <v>2018</v>
      </c>
      <c r="AA632" s="367">
        <f>LARGE($CU$606:$CU$755,27)</f>
        <v>151.89999999999998</v>
      </c>
      <c r="AB632" s="357">
        <f t="shared" si="160"/>
        <v>-39.000000000000028</v>
      </c>
      <c r="AC632" s="356">
        <f t="shared" si="150"/>
        <v>1521.0000000000023</v>
      </c>
      <c r="AE632" s="356">
        <f t="shared" si="161"/>
        <v>-2.4375000000000018</v>
      </c>
      <c r="AF632" s="238">
        <f t="shared" si="152"/>
        <v>8</v>
      </c>
      <c r="AG632" s="354"/>
      <c r="AK632"/>
      <c r="AL632"/>
      <c r="AM632"/>
      <c r="AN632"/>
      <c r="AO632"/>
      <c r="AP632"/>
      <c r="BI632" s="360"/>
      <c r="BJ632" s="354"/>
      <c r="BK632" s="366">
        <v>2018</v>
      </c>
      <c r="BL632" t="s">
        <v>1756</v>
      </c>
      <c r="BM632" t="s">
        <v>1388</v>
      </c>
      <c r="BN632" t="s">
        <v>3</v>
      </c>
      <c r="BO632">
        <v>0</v>
      </c>
      <c r="BP632">
        <v>0</v>
      </c>
      <c r="BQ632">
        <v>0</v>
      </c>
      <c r="BR632">
        <v>554</v>
      </c>
      <c r="BS632">
        <v>3</v>
      </c>
      <c r="BT632">
        <v>39</v>
      </c>
      <c r="BU632">
        <v>404</v>
      </c>
      <c r="BV632">
        <v>3</v>
      </c>
      <c r="BW632">
        <v>0</v>
      </c>
      <c r="BX632">
        <v>0</v>
      </c>
      <c r="BY632">
        <v>0</v>
      </c>
      <c r="BZ632">
        <v>0</v>
      </c>
      <c r="CA632">
        <v>1</v>
      </c>
      <c r="CB632" s="367">
        <f>IFERROR(BO632/Instructions!$J$25,0)+BP632*Instructions!$J$27+BQ632*Instructions!$J$29+IFERROR(BR632/Instructions!$E$34,0)+BS632*Instructions!$E$36+Tier!BT633*Instructions!$E$25+IFERROR(BU632/Instructions!$E$27,0)+BV632*Instructions!$E$29+IFERROR((BW632+BY632)/Instructions!$J$32,0)+(BX632+BZ632)*Instructions!$J$34+Tier!CA632*-2</f>
        <v>150.80000000000001</v>
      </c>
      <c r="CC632" s="354"/>
      <c r="CD632" s="3">
        <v>2018</v>
      </c>
      <c r="CE632" t="s">
        <v>125</v>
      </c>
      <c r="CF632" t="s">
        <v>1933</v>
      </c>
      <c r="CG632" s="366" t="s">
        <v>6</v>
      </c>
      <c r="CH632">
        <v>0</v>
      </c>
      <c r="CI632">
        <v>0</v>
      </c>
      <c r="CJ632">
        <v>0</v>
      </c>
      <c r="CK632">
        <v>0</v>
      </c>
      <c r="CL632">
        <v>0</v>
      </c>
      <c r="CM632">
        <v>50</v>
      </c>
      <c r="CN632">
        <v>618</v>
      </c>
      <c r="CO632">
        <v>5</v>
      </c>
      <c r="CP632">
        <v>0</v>
      </c>
      <c r="CQ632">
        <v>0</v>
      </c>
      <c r="CR632">
        <v>0</v>
      </c>
      <c r="CS632">
        <v>0</v>
      </c>
      <c r="CT632">
        <v>1</v>
      </c>
      <c r="CU632" s="367">
        <f>IFERROR(CH632/Instructions!$J$25,0)+CI632*Instructions!$J$27+CJ632*Instructions!$J$29+IFERROR(CK632/Instructions!$E$34,0)+CL632*Instructions!$E$36+Tier!CM632*Instructions!$E$25+IFERROR(CN632/Instructions!$E$27,0)+CO632*Instructions!$E$29+IFERROR((CP632+CR632)/Instructions!$J$32,0)+(CQ632+CS632)*Instructions!$J$34+Tier!CT632*-2</f>
        <v>139.80000000000001</v>
      </c>
      <c r="CV632" s="354"/>
      <c r="CW632"/>
      <c r="CX632"/>
      <c r="CY632"/>
      <c r="CZ632"/>
      <c r="DA632"/>
      <c r="DB632"/>
      <c r="DC632"/>
      <c r="DD632"/>
      <c r="DE632"/>
      <c r="DF632"/>
      <c r="DG632"/>
      <c r="DH632"/>
      <c r="DI632"/>
      <c r="DJ632"/>
      <c r="DK632"/>
      <c r="DL632"/>
      <c r="DM632"/>
      <c r="DN632"/>
    </row>
    <row r="633" spans="3:118" s="238" customFormat="1" ht="15.75" customHeight="1" x14ac:dyDescent="0.25">
      <c r="C633"/>
      <c r="D633"/>
      <c r="E633"/>
      <c r="F633"/>
      <c r="G633"/>
      <c r="H633"/>
      <c r="I633"/>
      <c r="J633"/>
      <c r="K633"/>
      <c r="L633"/>
      <c r="M633"/>
      <c r="N633"/>
      <c r="O633" s="366"/>
      <c r="P633" s="366">
        <v>2018</v>
      </c>
      <c r="Q633" s="367">
        <f>LARGE($CB$606:$CB$755,28)</f>
        <v>158.6</v>
      </c>
      <c r="R633" s="357">
        <f t="shared" si="157"/>
        <v>-38</v>
      </c>
      <c r="S633" s="356">
        <f t="shared" si="158"/>
        <v>1444</v>
      </c>
      <c r="U633" s="356">
        <f t="shared" si="159"/>
        <v>-2.375</v>
      </c>
      <c r="V633" s="238">
        <f t="shared" si="151"/>
        <v>8</v>
      </c>
      <c r="W633" s="354"/>
      <c r="X633" s="366"/>
      <c r="Y633" s="366"/>
      <c r="Z633" s="238">
        <v>2018</v>
      </c>
      <c r="AA633" s="367">
        <f>LARGE($CU$606:$CU$755,28)</f>
        <v>150.19999999999999</v>
      </c>
      <c r="AB633" s="357">
        <f t="shared" si="160"/>
        <v>-40.700000000000017</v>
      </c>
      <c r="AC633" s="356">
        <f t="shared" si="150"/>
        <v>1656.4900000000014</v>
      </c>
      <c r="AE633" s="356">
        <f t="shared" si="161"/>
        <v>-2.5437500000000011</v>
      </c>
      <c r="AF633" s="238">
        <f t="shared" si="152"/>
        <v>8</v>
      </c>
      <c r="AG633" s="354"/>
      <c r="AK633"/>
      <c r="AL633"/>
      <c r="AM633"/>
      <c r="AN633"/>
      <c r="AO633"/>
      <c r="AP633"/>
      <c r="BI633" s="360"/>
      <c r="BJ633" s="354"/>
      <c r="BK633" s="366">
        <v>2018</v>
      </c>
      <c r="BL633" t="s">
        <v>983</v>
      </c>
      <c r="BM633" t="s">
        <v>1941</v>
      </c>
      <c r="BN633" t="s">
        <v>3</v>
      </c>
      <c r="BO633">
        <v>0</v>
      </c>
      <c r="BP633">
        <v>0</v>
      </c>
      <c r="BQ633">
        <v>0</v>
      </c>
      <c r="BR633">
        <v>685</v>
      </c>
      <c r="BS633">
        <v>6</v>
      </c>
      <c r="BT633">
        <v>21</v>
      </c>
      <c r="BU633">
        <v>152</v>
      </c>
      <c r="BV633">
        <v>0</v>
      </c>
      <c r="BW633">
        <v>0</v>
      </c>
      <c r="BX633">
        <v>0</v>
      </c>
      <c r="BY633">
        <v>0</v>
      </c>
      <c r="BZ633">
        <v>0</v>
      </c>
      <c r="CA633">
        <v>0</v>
      </c>
      <c r="CB633" s="367">
        <f>IFERROR(BO633/Instructions!$J$25,0)+BP633*Instructions!$J$27+BQ633*Instructions!$J$29+IFERROR(BR633/Instructions!$E$34,0)+BS633*Instructions!$E$36+Tier!BT634*Instructions!$E$25+IFERROR(BU633/Instructions!$E$27,0)+BV633*Instructions!$E$29+IFERROR((BW633+BY633)/Instructions!$J$32,0)+(BX633+BZ633)*Instructions!$J$34+Tier!CA633*-2</f>
        <v>140.69999999999999</v>
      </c>
      <c r="CC633" s="354"/>
      <c r="CD633" s="3">
        <v>2018</v>
      </c>
      <c r="CE633" t="s">
        <v>1789</v>
      </c>
      <c r="CF633" t="s">
        <v>1937</v>
      </c>
      <c r="CG633" s="366" t="s">
        <v>6</v>
      </c>
      <c r="CH633">
        <v>8</v>
      </c>
      <c r="CI633">
        <v>0</v>
      </c>
      <c r="CJ633">
        <v>0</v>
      </c>
      <c r="CK633">
        <v>26</v>
      </c>
      <c r="CL633">
        <v>0</v>
      </c>
      <c r="CM633">
        <v>33</v>
      </c>
      <c r="CN633">
        <v>423</v>
      </c>
      <c r="CO633">
        <v>7</v>
      </c>
      <c r="CP633">
        <v>0</v>
      </c>
      <c r="CQ633">
        <v>0</v>
      </c>
      <c r="CR633">
        <v>0</v>
      </c>
      <c r="CS633">
        <v>0</v>
      </c>
      <c r="CT633">
        <v>0</v>
      </c>
      <c r="CU633" s="367">
        <f>IFERROR(CH633/Instructions!$J$25,0)+CI633*Instructions!$J$27+CJ633*Instructions!$J$29+IFERROR(CK633/Instructions!$E$34,0)+CL633*Instructions!$E$36+Tier!CM633*Instructions!$E$25+IFERROR(CN633/Instructions!$E$27,0)+CO633*Instructions!$E$29+IFERROR((CP633+CR633)/Instructions!$J$32,0)+(CQ633+CS633)*Instructions!$J$34+Tier!CT633*-2</f>
        <v>120.22</v>
      </c>
      <c r="CV633" s="354"/>
      <c r="CW633"/>
      <c r="CX633"/>
      <c r="CY633"/>
      <c r="CZ633"/>
      <c r="DA633"/>
      <c r="DB633"/>
      <c r="DC633"/>
      <c r="DD633"/>
      <c r="DE633"/>
      <c r="DF633"/>
      <c r="DG633"/>
      <c r="DH633"/>
      <c r="DI633"/>
      <c r="DJ633"/>
      <c r="DK633"/>
      <c r="DL633"/>
      <c r="DM633"/>
      <c r="DN633"/>
    </row>
    <row r="634" spans="3:118" s="238" customFormat="1" ht="15.75" customHeight="1" x14ac:dyDescent="0.25">
      <c r="C634"/>
      <c r="D634"/>
      <c r="E634"/>
      <c r="F634"/>
      <c r="G634"/>
      <c r="H634"/>
      <c r="I634"/>
      <c r="J634"/>
      <c r="K634"/>
      <c r="L634"/>
      <c r="M634"/>
      <c r="N634"/>
      <c r="O634" s="366"/>
      <c r="P634" s="366">
        <v>2018</v>
      </c>
      <c r="Q634" s="367">
        <f>LARGE($CB$606:$CB$755,29)</f>
        <v>158.10000000000002</v>
      </c>
      <c r="R634" s="357">
        <f t="shared" si="157"/>
        <v>-38.499999999999972</v>
      </c>
      <c r="S634" s="356">
        <f t="shared" si="158"/>
        <v>1482.2499999999977</v>
      </c>
      <c r="U634" s="356">
        <f t="shared" si="159"/>
        <v>-2.4062499999999982</v>
      </c>
      <c r="V634" s="238">
        <f t="shared" si="151"/>
        <v>8</v>
      </c>
      <c r="W634" s="354"/>
      <c r="X634" s="366"/>
      <c r="Y634" s="366"/>
      <c r="Z634" s="238">
        <v>2018</v>
      </c>
      <c r="AA634" s="367">
        <f>LARGE($CU$606:$CU$755,29)</f>
        <v>139.80000000000001</v>
      </c>
      <c r="AB634" s="357">
        <f t="shared" si="160"/>
        <v>-51.099999999999994</v>
      </c>
      <c r="AC634" s="356">
        <f t="shared" si="150"/>
        <v>2611.2099999999996</v>
      </c>
      <c r="AE634" s="356">
        <f t="shared" si="161"/>
        <v>-3.1937499999999996</v>
      </c>
      <c r="AF634" s="238">
        <f t="shared" si="152"/>
        <v>8</v>
      </c>
      <c r="AG634" s="354"/>
      <c r="AK634"/>
      <c r="AL634"/>
      <c r="AM634"/>
      <c r="AN634"/>
      <c r="AO634"/>
      <c r="AP634"/>
      <c r="BI634" s="360"/>
      <c r="BJ634" s="354"/>
      <c r="BK634" s="366">
        <v>2018</v>
      </c>
      <c r="BL634" t="s">
        <v>119</v>
      </c>
      <c r="BM634" t="s">
        <v>1947</v>
      </c>
      <c r="BN634" t="s">
        <v>3</v>
      </c>
      <c r="BO634">
        <v>0</v>
      </c>
      <c r="BP634">
        <v>0</v>
      </c>
      <c r="BQ634">
        <v>0</v>
      </c>
      <c r="BR634">
        <v>645</v>
      </c>
      <c r="BS634">
        <v>6</v>
      </c>
      <c r="BT634">
        <v>21</v>
      </c>
      <c r="BU634">
        <v>170</v>
      </c>
      <c r="BV634">
        <v>1</v>
      </c>
      <c r="BW634">
        <v>0</v>
      </c>
      <c r="BX634">
        <v>0</v>
      </c>
      <c r="BY634">
        <v>0</v>
      </c>
      <c r="BZ634">
        <v>0</v>
      </c>
      <c r="CA634">
        <v>1</v>
      </c>
      <c r="CB634" s="367">
        <f>IFERROR(BO634/Instructions!$J$25,0)+BP634*Instructions!$J$27+BQ634*Instructions!$J$29+IFERROR(BR634/Instructions!$E$34,0)+BS634*Instructions!$E$36+Tier!BT635*Instructions!$E$25+IFERROR(BU634/Instructions!$E$27,0)+BV634*Instructions!$E$29+IFERROR((BW634+BY634)/Instructions!$J$32,0)+(BX634+BZ634)*Instructions!$J$34+Tier!CA634*-2</f>
        <v>176.5</v>
      </c>
      <c r="CC634" s="354"/>
      <c r="CD634" s="3">
        <v>2018</v>
      </c>
      <c r="CE634" t="s">
        <v>197</v>
      </c>
      <c r="CF634" t="s">
        <v>1942</v>
      </c>
      <c r="CG634" s="366" t="s">
        <v>6</v>
      </c>
      <c r="CH634">
        <v>0</v>
      </c>
      <c r="CI634">
        <v>0</v>
      </c>
      <c r="CJ634">
        <v>0</v>
      </c>
      <c r="CK634">
        <v>0</v>
      </c>
      <c r="CL634">
        <v>0</v>
      </c>
      <c r="CM634">
        <v>65</v>
      </c>
      <c r="CN634">
        <v>672</v>
      </c>
      <c r="CO634">
        <v>3</v>
      </c>
      <c r="CP634">
        <v>0</v>
      </c>
      <c r="CQ634">
        <v>0</v>
      </c>
      <c r="CR634">
        <v>0</v>
      </c>
      <c r="CS634">
        <v>0</v>
      </c>
      <c r="CT634">
        <v>0</v>
      </c>
      <c r="CU634" s="367">
        <f>IFERROR(CH634/Instructions!$J$25,0)+CI634*Instructions!$J$27+CJ634*Instructions!$J$29+IFERROR(CK634/Instructions!$E$34,0)+CL634*Instructions!$E$36+Tier!CM634*Instructions!$E$25+IFERROR(CN634/Instructions!$E$27,0)+CO634*Instructions!$E$29+IFERROR((CP634+CR634)/Instructions!$J$32,0)+(CQ634+CS634)*Instructions!$J$34+Tier!CT634*-2</f>
        <v>150.19999999999999</v>
      </c>
      <c r="CV634" s="354"/>
      <c r="CW634"/>
      <c r="CX634"/>
      <c r="CY634"/>
      <c r="CZ634"/>
      <c r="DA634"/>
      <c r="DB634"/>
      <c r="DC634"/>
      <c r="DD634"/>
      <c r="DE634"/>
      <c r="DF634"/>
      <c r="DG634"/>
      <c r="DH634"/>
      <c r="DI634"/>
      <c r="DJ634"/>
      <c r="DK634"/>
      <c r="DL634"/>
      <c r="DM634"/>
      <c r="DN634"/>
    </row>
    <row r="635" spans="3:118" s="238" customFormat="1" ht="15.75" customHeight="1" x14ac:dyDescent="0.25">
      <c r="C635"/>
      <c r="D635"/>
      <c r="E635"/>
      <c r="F635"/>
      <c r="G635"/>
      <c r="H635"/>
      <c r="I635"/>
      <c r="J635"/>
      <c r="K635"/>
      <c r="L635"/>
      <c r="M635"/>
      <c r="N635"/>
      <c r="O635" s="366"/>
      <c r="P635" s="366">
        <v>2018</v>
      </c>
      <c r="Q635" s="367">
        <f>LARGE($CB$606:$CB$755,30)</f>
        <v>152.1</v>
      </c>
      <c r="R635" s="357">
        <f t="shared" si="157"/>
        <v>-44.5</v>
      </c>
      <c r="S635" s="356">
        <f t="shared" si="158"/>
        <v>1980.25</v>
      </c>
      <c r="U635" s="356">
        <f t="shared" si="159"/>
        <v>-2.78125</v>
      </c>
      <c r="V635" s="238">
        <f t="shared" si="151"/>
        <v>8</v>
      </c>
      <c r="W635" s="354"/>
      <c r="X635" s="366"/>
      <c r="Y635" s="366"/>
      <c r="Z635" s="238">
        <v>2018</v>
      </c>
      <c r="AA635" s="367">
        <f>LARGE($CU$606:$CU$755,30)</f>
        <v>134.39999999999998</v>
      </c>
      <c r="AB635" s="357">
        <f t="shared" si="160"/>
        <v>-56.500000000000028</v>
      </c>
      <c r="AC635" s="356">
        <f t="shared" si="150"/>
        <v>3192.2500000000032</v>
      </c>
      <c r="AE635" s="356">
        <f t="shared" si="161"/>
        <v>-3.5312500000000018</v>
      </c>
      <c r="AF635" s="238">
        <f t="shared" si="152"/>
        <v>8</v>
      </c>
      <c r="AG635" s="354"/>
      <c r="AK635"/>
      <c r="AL635"/>
      <c r="AM635"/>
      <c r="AN635"/>
      <c r="AO635"/>
      <c r="AP635"/>
      <c r="BI635" s="360"/>
      <c r="BJ635" s="354"/>
      <c r="BK635" s="366">
        <v>2018</v>
      </c>
      <c r="BL635" t="s">
        <v>1128</v>
      </c>
      <c r="BM635" t="s">
        <v>1942</v>
      </c>
      <c r="BN635" t="s">
        <v>3</v>
      </c>
      <c r="BO635">
        <v>0</v>
      </c>
      <c r="BP635">
        <v>0</v>
      </c>
      <c r="BQ635">
        <v>0</v>
      </c>
      <c r="BR635">
        <v>414</v>
      </c>
      <c r="BS635">
        <v>1</v>
      </c>
      <c r="BT635">
        <v>55</v>
      </c>
      <c r="BU635">
        <v>487</v>
      </c>
      <c r="BV635">
        <v>4</v>
      </c>
      <c r="BW635">
        <v>0</v>
      </c>
      <c r="BX635">
        <v>0</v>
      </c>
      <c r="BY635">
        <v>0</v>
      </c>
      <c r="BZ635">
        <v>0</v>
      </c>
      <c r="CA635">
        <v>1</v>
      </c>
      <c r="CB635" s="367">
        <f>IFERROR(BO635/Instructions!$J$25,0)+BP635*Instructions!$J$27+BQ635*Instructions!$J$29+IFERROR(BR635/Instructions!$E$34,0)+BS635*Instructions!$E$36+Tier!BT636*Instructions!$E$25+IFERROR(BU635/Instructions!$E$27,0)+BV635*Instructions!$E$29+IFERROR((BW635+BY635)/Instructions!$J$32,0)+(BX635+BZ635)*Instructions!$J$34+Tier!CA635*-2</f>
        <v>158.10000000000002</v>
      </c>
      <c r="CC635" s="354"/>
      <c r="CD635" s="3">
        <v>2018</v>
      </c>
      <c r="CE635" t="s">
        <v>1791</v>
      </c>
      <c r="CF635" t="s">
        <v>1949</v>
      </c>
      <c r="CG635" s="366" t="s">
        <v>6</v>
      </c>
      <c r="CH635">
        <v>0</v>
      </c>
      <c r="CI635">
        <v>0</v>
      </c>
      <c r="CJ635">
        <v>0</v>
      </c>
      <c r="CK635">
        <v>35</v>
      </c>
      <c r="CL635">
        <v>0</v>
      </c>
      <c r="CM635">
        <v>43</v>
      </c>
      <c r="CN635">
        <v>590</v>
      </c>
      <c r="CO635">
        <v>3</v>
      </c>
      <c r="CP635">
        <v>0</v>
      </c>
      <c r="CQ635">
        <v>0</v>
      </c>
      <c r="CR635">
        <v>0</v>
      </c>
      <c r="CS635">
        <v>0</v>
      </c>
      <c r="CT635">
        <v>0</v>
      </c>
      <c r="CU635" s="367">
        <f>IFERROR(CH635/Instructions!$J$25,0)+CI635*Instructions!$J$27+CJ635*Instructions!$J$29+IFERROR(CK635/Instructions!$E$34,0)+CL635*Instructions!$E$36+Tier!CM635*Instructions!$E$25+IFERROR(CN635/Instructions!$E$27,0)+CO635*Instructions!$E$29+IFERROR((CP635+CR635)/Instructions!$J$32,0)+(CQ635+CS635)*Instructions!$J$34+Tier!CT635*-2</f>
        <v>123.5</v>
      </c>
      <c r="CV635" s="354"/>
      <c r="CW635"/>
      <c r="CX635"/>
      <c r="CY635"/>
      <c r="CZ635"/>
      <c r="DA635"/>
      <c r="DB635"/>
      <c r="DC635"/>
      <c r="DD635"/>
      <c r="DE635"/>
      <c r="DF635"/>
      <c r="DG635"/>
      <c r="DH635"/>
      <c r="DI635"/>
      <c r="DJ635"/>
      <c r="DK635"/>
      <c r="DL635"/>
      <c r="DM635"/>
      <c r="DN635"/>
    </row>
    <row r="636" spans="3:118" s="238" customFormat="1" ht="15.75" customHeight="1" x14ac:dyDescent="0.25">
      <c r="C636"/>
      <c r="D636"/>
      <c r="E636"/>
      <c r="F636"/>
      <c r="G636"/>
      <c r="H636"/>
      <c r="I636"/>
      <c r="J636"/>
      <c r="K636"/>
      <c r="L636"/>
      <c r="M636"/>
      <c r="N636"/>
      <c r="O636" s="366"/>
      <c r="P636" s="366">
        <v>2018</v>
      </c>
      <c r="Q636" s="367">
        <f>LARGE($CB$606:$CB$755,31)</f>
        <v>150.80000000000001</v>
      </c>
      <c r="R636" s="357">
        <f t="shared" si="157"/>
        <v>-45.799999999999983</v>
      </c>
      <c r="S636" s="356">
        <f t="shared" si="158"/>
        <v>2097.6399999999985</v>
      </c>
      <c r="U636" s="356">
        <f t="shared" si="159"/>
        <v>-2.8624999999999989</v>
      </c>
      <c r="V636" s="238">
        <f t="shared" si="151"/>
        <v>8</v>
      </c>
      <c r="W636" s="354"/>
      <c r="X636" s="366"/>
      <c r="Y636" s="366"/>
      <c r="Z636" s="238">
        <v>2018</v>
      </c>
      <c r="AA636" s="367">
        <f>LARGE($CU$606:$CU$755,31)</f>
        <v>132.80000000000001</v>
      </c>
      <c r="AB636" s="357">
        <f t="shared" si="160"/>
        <v>-58.099999999999994</v>
      </c>
      <c r="AC636" s="356">
        <f t="shared" si="150"/>
        <v>3375.6099999999992</v>
      </c>
      <c r="AE636" s="356">
        <f t="shared" si="161"/>
        <v>-3.6312499999999996</v>
      </c>
      <c r="AF636" s="238">
        <f t="shared" si="152"/>
        <v>8</v>
      </c>
      <c r="AG636" s="354"/>
      <c r="AK636"/>
      <c r="AL636"/>
      <c r="AM636"/>
      <c r="AN636"/>
      <c r="AO636"/>
      <c r="AP636"/>
      <c r="BI636" s="360"/>
      <c r="BJ636" s="354"/>
      <c r="BK636" s="366">
        <v>2018</v>
      </c>
      <c r="BL636" t="s">
        <v>1425</v>
      </c>
      <c r="BM636" t="s">
        <v>1934</v>
      </c>
      <c r="BN636" t="s">
        <v>3</v>
      </c>
      <c r="BO636">
        <v>0</v>
      </c>
      <c r="BP636">
        <v>0</v>
      </c>
      <c r="BQ636">
        <v>0</v>
      </c>
      <c r="BR636">
        <v>615</v>
      </c>
      <c r="BS636">
        <v>2</v>
      </c>
      <c r="BT636">
        <v>40</v>
      </c>
      <c r="BU636">
        <v>305</v>
      </c>
      <c r="BV636">
        <v>2</v>
      </c>
      <c r="BW636">
        <v>0</v>
      </c>
      <c r="BX636">
        <v>0</v>
      </c>
      <c r="BY636">
        <v>0</v>
      </c>
      <c r="BZ636">
        <v>0</v>
      </c>
      <c r="CA636">
        <v>2</v>
      </c>
      <c r="CB636" s="367">
        <f>IFERROR(BO636/Instructions!$J$25,0)+BP636*Instructions!$J$27+BQ636*Instructions!$J$29+IFERROR(BR636/Instructions!$E$34,0)+BS636*Instructions!$E$36+Tier!BT637*Instructions!$E$25+IFERROR(BU636/Instructions!$E$27,0)+BV636*Instructions!$E$29+IFERROR((BW636+BY636)/Instructions!$J$32,0)+(BX636+BZ636)*Instructions!$J$34+Tier!CA636*-2</f>
        <v>134</v>
      </c>
      <c r="CC636" s="354"/>
      <c r="CD636" s="3">
        <v>2018</v>
      </c>
      <c r="CE636" t="s">
        <v>189</v>
      </c>
      <c r="CF636" t="s">
        <v>1942</v>
      </c>
      <c r="CG636" s="366" t="s">
        <v>6</v>
      </c>
      <c r="CH636">
        <v>0</v>
      </c>
      <c r="CI636">
        <v>0</v>
      </c>
      <c r="CJ636">
        <v>0</v>
      </c>
      <c r="CK636">
        <v>20</v>
      </c>
      <c r="CL636">
        <v>0</v>
      </c>
      <c r="CM636">
        <v>10</v>
      </c>
      <c r="CN636">
        <v>79</v>
      </c>
      <c r="CO636">
        <v>1</v>
      </c>
      <c r="CP636">
        <v>0</v>
      </c>
      <c r="CQ636">
        <v>0</v>
      </c>
      <c r="CR636">
        <v>1</v>
      </c>
      <c r="CS636">
        <v>0</v>
      </c>
      <c r="CT636">
        <v>0</v>
      </c>
      <c r="CU636" s="367">
        <f>IFERROR(CH636/Instructions!$J$25,0)+CI636*Instructions!$J$27+CJ636*Instructions!$J$29+IFERROR(CK636/Instructions!$E$34,0)+CL636*Instructions!$E$36+Tier!CM636*Instructions!$E$25+IFERROR(CN636/Instructions!$E$27,0)+CO636*Instructions!$E$29+IFERROR((CP636+CR636)/Instructions!$J$32,0)+(CQ636+CS636)*Instructions!$J$34+Tier!CT636*-2</f>
        <v>25.9</v>
      </c>
      <c r="CV636" s="354"/>
      <c r="CW636"/>
      <c r="CX636"/>
      <c r="CY636"/>
      <c r="CZ636"/>
      <c r="DA636"/>
      <c r="DB636"/>
      <c r="DC636"/>
      <c r="DD636"/>
      <c r="DE636"/>
      <c r="DF636"/>
      <c r="DG636"/>
      <c r="DH636"/>
      <c r="DI636"/>
      <c r="DJ636"/>
      <c r="DK636"/>
      <c r="DL636"/>
      <c r="DM636"/>
      <c r="DN636"/>
    </row>
    <row r="637" spans="3:118" s="238" customFormat="1" ht="15.75" customHeight="1" x14ac:dyDescent="0.25">
      <c r="C637"/>
      <c r="D637"/>
      <c r="E637"/>
      <c r="F637"/>
      <c r="G637"/>
      <c r="H637"/>
      <c r="I637"/>
      <c r="J637"/>
      <c r="K637"/>
      <c r="L637"/>
      <c r="M637"/>
      <c r="N637"/>
      <c r="O637" s="366"/>
      <c r="P637" s="366">
        <v>2018</v>
      </c>
      <c r="Q637" s="367">
        <f>LARGE($CB$606:$CB$755,32)</f>
        <v>142.5</v>
      </c>
      <c r="R637" s="357">
        <f t="shared" si="157"/>
        <v>-54.099999999999994</v>
      </c>
      <c r="S637" s="356">
        <f t="shared" si="158"/>
        <v>2926.8099999999995</v>
      </c>
      <c r="U637" s="356">
        <f t="shared" si="159"/>
        <v>-3.3812499999999996</v>
      </c>
      <c r="V637" s="238">
        <f t="shared" si="151"/>
        <v>8</v>
      </c>
      <c r="W637" s="354"/>
      <c r="X637" s="366"/>
      <c r="Y637" s="366"/>
      <c r="Z637" s="238">
        <v>2018</v>
      </c>
      <c r="AA637" s="367">
        <f>LARGE($CU$606:$CU$755,32)</f>
        <v>132.69999999999999</v>
      </c>
      <c r="AB637" s="357">
        <f t="shared" si="160"/>
        <v>-58.200000000000017</v>
      </c>
      <c r="AC637" s="356">
        <f t="shared" si="150"/>
        <v>3387.2400000000021</v>
      </c>
      <c r="AE637" s="356">
        <f t="shared" si="161"/>
        <v>-3.6375000000000011</v>
      </c>
      <c r="AF637" s="238">
        <f t="shared" si="152"/>
        <v>8</v>
      </c>
      <c r="AG637" s="354"/>
      <c r="AK637"/>
      <c r="AL637"/>
      <c r="AM637"/>
      <c r="AN637"/>
      <c r="AO637"/>
      <c r="AP637"/>
      <c r="BI637" s="360"/>
      <c r="BJ637" s="354"/>
      <c r="BK637" s="366">
        <v>2018</v>
      </c>
      <c r="BL637" t="s">
        <v>129</v>
      </c>
      <c r="BM637" t="s">
        <v>143</v>
      </c>
      <c r="BN637" t="s">
        <v>3</v>
      </c>
      <c r="BO637">
        <v>0</v>
      </c>
      <c r="BP637">
        <v>0</v>
      </c>
      <c r="BQ637">
        <v>0</v>
      </c>
      <c r="BR637">
        <v>578</v>
      </c>
      <c r="BS637">
        <v>6</v>
      </c>
      <c r="BT637">
        <v>22</v>
      </c>
      <c r="BU637">
        <v>141</v>
      </c>
      <c r="BV637">
        <v>0</v>
      </c>
      <c r="BW637">
        <v>0</v>
      </c>
      <c r="BX637">
        <v>0</v>
      </c>
      <c r="BY637">
        <v>0</v>
      </c>
      <c r="BZ637">
        <v>0</v>
      </c>
      <c r="CA637">
        <v>0</v>
      </c>
      <c r="CB637" s="367">
        <f>IFERROR(BO637/Instructions!$J$25,0)+BP637*Instructions!$J$27+BQ637*Instructions!$J$29+IFERROR(BR637/Instructions!$E$34,0)+BS637*Instructions!$E$36+Tier!BT638*Instructions!$E$25+IFERROR(BU637/Instructions!$E$27,0)+BV637*Instructions!$E$29+IFERROR((BW637+BY637)/Instructions!$J$32,0)+(BX637+BZ637)*Instructions!$J$34+Tier!CA637*-2</f>
        <v>139.9</v>
      </c>
      <c r="CC637" s="354"/>
      <c r="CD637" s="3">
        <v>2018</v>
      </c>
      <c r="CE637" t="s">
        <v>1118</v>
      </c>
      <c r="CF637" t="s">
        <v>1937</v>
      </c>
      <c r="CG637" s="366" t="s">
        <v>6</v>
      </c>
      <c r="CH637">
        <v>0</v>
      </c>
      <c r="CI637">
        <v>0</v>
      </c>
      <c r="CJ637">
        <v>0</v>
      </c>
      <c r="CK637">
        <v>61</v>
      </c>
      <c r="CL637">
        <v>0</v>
      </c>
      <c r="CM637">
        <v>67</v>
      </c>
      <c r="CN637">
        <v>688</v>
      </c>
      <c r="CO637">
        <v>2</v>
      </c>
      <c r="CP637">
        <v>0</v>
      </c>
      <c r="CQ637">
        <v>0</v>
      </c>
      <c r="CR637">
        <v>1</v>
      </c>
      <c r="CS637">
        <v>0</v>
      </c>
      <c r="CT637">
        <v>1</v>
      </c>
      <c r="CU637" s="367">
        <f>IFERROR(CH637/Instructions!$J$25,0)+CI637*Instructions!$J$27+CJ637*Instructions!$J$29+IFERROR(CK637/Instructions!$E$34,0)+CL637*Instructions!$E$36+Tier!CM637*Instructions!$E$25+IFERROR(CN637/Instructions!$E$27,0)+CO637*Instructions!$E$29+IFERROR((CP637+CR637)/Instructions!$J$32,0)+(CQ637+CS637)*Instructions!$J$34+Tier!CT637*-2</f>
        <v>151.89999999999998</v>
      </c>
      <c r="CV637" s="354"/>
      <c r="CW637"/>
      <c r="CX637"/>
      <c r="CY637"/>
      <c r="CZ637"/>
      <c r="DA637"/>
      <c r="DB637"/>
      <c r="DC637"/>
      <c r="DD637"/>
      <c r="DE637"/>
      <c r="DF637"/>
      <c r="DG637"/>
      <c r="DH637"/>
      <c r="DI637"/>
      <c r="DJ637"/>
      <c r="DK637"/>
      <c r="DL637"/>
      <c r="DM637"/>
      <c r="DN637"/>
    </row>
    <row r="638" spans="3:118" s="238" customFormat="1" ht="15.75" customHeight="1" x14ac:dyDescent="0.25">
      <c r="C638"/>
      <c r="D638"/>
      <c r="E638"/>
      <c r="F638"/>
      <c r="G638"/>
      <c r="H638"/>
      <c r="I638"/>
      <c r="J638"/>
      <c r="K638"/>
      <c r="L638"/>
      <c r="M638"/>
      <c r="N638"/>
      <c r="O638" s="366"/>
      <c r="P638" s="366">
        <v>2018</v>
      </c>
      <c r="Q638" s="367">
        <f>LARGE($CB$606:$CB$755,33)</f>
        <v>141.4</v>
      </c>
      <c r="R638" s="357">
        <f t="shared" si="157"/>
        <v>-55.199999999999989</v>
      </c>
      <c r="S638" s="356">
        <f t="shared" si="158"/>
        <v>3047.0399999999986</v>
      </c>
      <c r="U638" s="356">
        <f t="shared" si="159"/>
        <v>-3.4499999999999993</v>
      </c>
      <c r="V638" s="238">
        <f t="shared" si="151"/>
        <v>8</v>
      </c>
      <c r="W638" s="354"/>
      <c r="X638" s="366"/>
      <c r="Y638" s="366"/>
      <c r="Z638" s="238">
        <v>2018</v>
      </c>
      <c r="AA638" s="367">
        <f>LARGE($CU$606:$CU$755,33)</f>
        <v>127.42</v>
      </c>
      <c r="AB638" s="357">
        <f t="shared" si="160"/>
        <v>-63.480000000000004</v>
      </c>
      <c r="AC638" s="356">
        <f t="shared" si="150"/>
        <v>4029.7104000000004</v>
      </c>
      <c r="AE638" s="356">
        <f t="shared" si="161"/>
        <v>-3.9675000000000002</v>
      </c>
      <c r="AF638" s="238">
        <f t="shared" si="152"/>
        <v>8</v>
      </c>
      <c r="AG638" s="354"/>
      <c r="AK638"/>
      <c r="AL638"/>
      <c r="AM638"/>
      <c r="AN638"/>
      <c r="AO638"/>
      <c r="AP638"/>
      <c r="BI638" s="360"/>
      <c r="BJ638" s="354"/>
      <c r="BK638" s="366">
        <v>2018</v>
      </c>
      <c r="BL638" t="s">
        <v>1770</v>
      </c>
      <c r="BM638" t="s">
        <v>1939</v>
      </c>
      <c r="BN638" t="s">
        <v>3</v>
      </c>
      <c r="BO638">
        <v>0</v>
      </c>
      <c r="BP638">
        <v>0</v>
      </c>
      <c r="BQ638">
        <v>0</v>
      </c>
      <c r="BR638">
        <v>641</v>
      </c>
      <c r="BS638">
        <v>3</v>
      </c>
      <c r="BT638">
        <v>32</v>
      </c>
      <c r="BU638">
        <v>213</v>
      </c>
      <c r="BV638">
        <v>1</v>
      </c>
      <c r="BW638">
        <v>0</v>
      </c>
      <c r="BX638">
        <v>0</v>
      </c>
      <c r="BY638">
        <v>0</v>
      </c>
      <c r="BZ638">
        <v>0</v>
      </c>
      <c r="CA638">
        <v>1</v>
      </c>
      <c r="CB638" s="367">
        <f>IFERROR(BO638/Instructions!$J$25,0)+BP638*Instructions!$J$27+BQ638*Instructions!$J$29+IFERROR(BR638/Instructions!$E$34,0)+BS638*Instructions!$E$36+Tier!BT639*Instructions!$E$25+IFERROR(BU638/Instructions!$E$27,0)+BV638*Instructions!$E$29+IFERROR((BW638+BY638)/Instructions!$J$32,0)+(BX638+BZ638)*Instructions!$J$34+Tier!CA638*-2</f>
        <v>141.4</v>
      </c>
      <c r="CC638" s="354"/>
      <c r="CD638" s="3">
        <v>2018</v>
      </c>
      <c r="CE638" t="s">
        <v>206</v>
      </c>
      <c r="CF638" t="s">
        <v>1930</v>
      </c>
      <c r="CG638" s="366" t="s">
        <v>6</v>
      </c>
      <c r="CH638">
        <v>0</v>
      </c>
      <c r="CI638">
        <v>0</v>
      </c>
      <c r="CJ638">
        <v>0</v>
      </c>
      <c r="CK638">
        <v>0</v>
      </c>
      <c r="CL638">
        <v>0</v>
      </c>
      <c r="CM638">
        <v>48</v>
      </c>
      <c r="CN638">
        <v>668</v>
      </c>
      <c r="CO638">
        <v>3</v>
      </c>
      <c r="CP638">
        <v>0</v>
      </c>
      <c r="CQ638">
        <v>0</v>
      </c>
      <c r="CR638">
        <v>1</v>
      </c>
      <c r="CS638">
        <v>0</v>
      </c>
      <c r="CT638">
        <v>0</v>
      </c>
      <c r="CU638" s="367">
        <f>IFERROR(CH638/Instructions!$J$25,0)+CI638*Instructions!$J$27+CJ638*Instructions!$J$29+IFERROR(CK638/Instructions!$E$34,0)+CL638*Instructions!$E$36+Tier!CM638*Instructions!$E$25+IFERROR(CN638/Instructions!$E$27,0)+CO638*Instructions!$E$29+IFERROR((CP638+CR638)/Instructions!$J$32,0)+(CQ638+CS638)*Instructions!$J$34+Tier!CT638*-2</f>
        <v>132.80000000000001</v>
      </c>
      <c r="CV638" s="354"/>
      <c r="CW638"/>
      <c r="CX638"/>
      <c r="CY638"/>
      <c r="CZ638"/>
      <c r="DA638"/>
      <c r="DB638"/>
      <c r="DC638"/>
      <c r="DD638"/>
      <c r="DE638"/>
      <c r="DF638"/>
      <c r="DG638"/>
      <c r="DH638"/>
      <c r="DI638"/>
      <c r="DJ638"/>
      <c r="DK638"/>
      <c r="DL638"/>
      <c r="DM638"/>
      <c r="DN638"/>
    </row>
    <row r="639" spans="3:118" s="238" customFormat="1" ht="15.75" customHeight="1" x14ac:dyDescent="0.25">
      <c r="C639"/>
      <c r="D639"/>
      <c r="E639"/>
      <c r="F639"/>
      <c r="G639"/>
      <c r="H639"/>
      <c r="I639"/>
      <c r="J639"/>
      <c r="K639"/>
      <c r="L639"/>
      <c r="M639"/>
      <c r="N639"/>
      <c r="O639" s="366"/>
      <c r="P639" s="366">
        <v>2018</v>
      </c>
      <c r="Q639" s="367">
        <f>LARGE($CB$606:$CB$755,34)</f>
        <v>140.69999999999999</v>
      </c>
      <c r="R639" s="357">
        <f t="shared" si="157"/>
        <v>-55.900000000000006</v>
      </c>
      <c r="S639" s="356">
        <f t="shared" si="158"/>
        <v>3124.8100000000009</v>
      </c>
      <c r="U639" s="356">
        <f t="shared" si="159"/>
        <v>-3.4937500000000004</v>
      </c>
      <c r="V639" s="238">
        <f t="shared" si="151"/>
        <v>8</v>
      </c>
      <c r="W639" s="354"/>
      <c r="X639" s="366"/>
      <c r="Y639" s="366"/>
      <c r="Z639" s="238">
        <v>2018</v>
      </c>
      <c r="AA639" s="367">
        <f>LARGE($CU$606:$CU$755,34)</f>
        <v>123.5</v>
      </c>
      <c r="AB639" s="357">
        <f t="shared" si="160"/>
        <v>-67.400000000000006</v>
      </c>
      <c r="AC639" s="356">
        <f t="shared" si="150"/>
        <v>4542.7600000000011</v>
      </c>
      <c r="AE639" s="356">
        <f t="shared" si="161"/>
        <v>-4.2125000000000004</v>
      </c>
      <c r="AF639" s="238">
        <f t="shared" si="152"/>
        <v>8</v>
      </c>
      <c r="AG639" s="354"/>
      <c r="AK639"/>
      <c r="AL639"/>
      <c r="AM639"/>
      <c r="AN639"/>
      <c r="AO639"/>
      <c r="AP639"/>
      <c r="BI639" s="360"/>
      <c r="BJ639" s="354"/>
      <c r="BK639" s="366">
        <v>2018</v>
      </c>
      <c r="BL639" t="s">
        <v>1286</v>
      </c>
      <c r="BM639" t="s">
        <v>1937</v>
      </c>
      <c r="BN639" t="s">
        <v>3</v>
      </c>
      <c r="BO639">
        <v>0</v>
      </c>
      <c r="BP639">
        <v>0</v>
      </c>
      <c r="BQ639">
        <v>0</v>
      </c>
      <c r="BR639">
        <v>514</v>
      </c>
      <c r="BS639">
        <v>4</v>
      </c>
      <c r="BT639">
        <v>34</v>
      </c>
      <c r="BU639">
        <v>214</v>
      </c>
      <c r="BV639">
        <v>1</v>
      </c>
      <c r="BW639">
        <v>0</v>
      </c>
      <c r="BX639">
        <v>0</v>
      </c>
      <c r="BY639">
        <v>0</v>
      </c>
      <c r="BZ639">
        <v>0</v>
      </c>
      <c r="CA639">
        <v>0</v>
      </c>
      <c r="CB639" s="367">
        <f>IFERROR(BO639/Instructions!$J$25,0)+BP639*Instructions!$J$27+BQ639*Instructions!$J$29+IFERROR(BR639/Instructions!$E$34,0)+BS639*Instructions!$E$36+Tier!BT640*Instructions!$E$25+IFERROR(BU639/Instructions!$E$27,0)+BV639*Instructions!$E$29+IFERROR((BW639+BY639)/Instructions!$J$32,0)+(BX639+BZ639)*Instructions!$J$34+Tier!CA639*-2</f>
        <v>120.80000000000001</v>
      </c>
      <c r="CC639" s="354"/>
      <c r="CD639" s="3">
        <v>2018</v>
      </c>
      <c r="CE639" t="s">
        <v>1346</v>
      </c>
      <c r="CF639" t="s">
        <v>1946</v>
      </c>
      <c r="CG639" s="366" t="s">
        <v>6</v>
      </c>
      <c r="CH639">
        <v>0</v>
      </c>
      <c r="CI639">
        <v>0</v>
      </c>
      <c r="CJ639">
        <v>0</v>
      </c>
      <c r="CK639">
        <v>5</v>
      </c>
      <c r="CL639">
        <v>0</v>
      </c>
      <c r="CM639">
        <v>21</v>
      </c>
      <c r="CN639">
        <v>268</v>
      </c>
      <c r="CO639">
        <v>2</v>
      </c>
      <c r="CP639">
        <v>0</v>
      </c>
      <c r="CQ639">
        <v>0</v>
      </c>
      <c r="CR639">
        <v>0</v>
      </c>
      <c r="CS639">
        <v>0</v>
      </c>
      <c r="CT639">
        <v>0</v>
      </c>
      <c r="CU639" s="367">
        <f>IFERROR(CH639/Instructions!$J$25,0)+CI639*Instructions!$J$27+CJ639*Instructions!$J$29+IFERROR(CK639/Instructions!$E$34,0)+CL639*Instructions!$E$36+Tier!CM639*Instructions!$E$25+IFERROR(CN639/Instructions!$E$27,0)+CO639*Instructions!$E$29+IFERROR((CP639+CR639)/Instructions!$J$32,0)+(CQ639+CS639)*Instructions!$J$34+Tier!CT639*-2</f>
        <v>60.3</v>
      </c>
      <c r="CV639" s="354"/>
      <c r="CW639"/>
      <c r="CX639"/>
      <c r="CY639"/>
      <c r="CZ639"/>
      <c r="DA639"/>
      <c r="DB639"/>
      <c r="DC639"/>
      <c r="DD639"/>
      <c r="DE639"/>
      <c r="DF639"/>
      <c r="DG639"/>
      <c r="DH639"/>
      <c r="DI639"/>
      <c r="DJ639"/>
      <c r="DK639"/>
      <c r="DL639"/>
      <c r="DM639"/>
      <c r="DN639"/>
    </row>
    <row r="640" spans="3:118" s="238" customFormat="1" ht="15.75" customHeight="1" x14ac:dyDescent="0.25">
      <c r="C640"/>
      <c r="D640"/>
      <c r="E640"/>
      <c r="F640"/>
      <c r="G640"/>
      <c r="H640"/>
      <c r="I640"/>
      <c r="J640"/>
      <c r="K640"/>
      <c r="L640"/>
      <c r="M640"/>
      <c r="N640"/>
      <c r="O640" s="366"/>
      <c r="P640" s="366">
        <v>2018</v>
      </c>
      <c r="Q640" s="367">
        <f>LARGE($CB$606:$CB$755,35)</f>
        <v>139.9</v>
      </c>
      <c r="R640" s="357">
        <f t="shared" si="157"/>
        <v>-56.699999999999989</v>
      </c>
      <c r="S640" s="356">
        <f t="shared" si="158"/>
        <v>3214.8899999999985</v>
      </c>
      <c r="U640" s="356">
        <f t="shared" si="159"/>
        <v>-3.5437499999999993</v>
      </c>
      <c r="V640" s="238">
        <f t="shared" si="151"/>
        <v>8</v>
      </c>
      <c r="W640" s="354"/>
      <c r="X640" s="366"/>
      <c r="Y640" s="366"/>
      <c r="Z640" s="238">
        <v>2018</v>
      </c>
      <c r="AA640" s="367">
        <f>LARGE($CU$606:$CU$755,35)</f>
        <v>122.9</v>
      </c>
      <c r="AB640" s="357">
        <f t="shared" si="160"/>
        <v>-68</v>
      </c>
      <c r="AC640" s="356">
        <f t="shared" si="150"/>
        <v>4624</v>
      </c>
      <c r="AE640" s="356">
        <f t="shared" si="161"/>
        <v>-4.25</v>
      </c>
      <c r="AF640" s="238">
        <f t="shared" si="152"/>
        <v>8</v>
      </c>
      <c r="AG640" s="354"/>
      <c r="AK640"/>
      <c r="AL640"/>
      <c r="AM640"/>
      <c r="AN640"/>
      <c r="AO640"/>
      <c r="AP640"/>
      <c r="BI640" s="360"/>
      <c r="BJ640" s="354"/>
      <c r="BK640" s="366">
        <v>2018</v>
      </c>
      <c r="BL640" t="s">
        <v>42</v>
      </c>
      <c r="BM640" t="s">
        <v>1941</v>
      </c>
      <c r="BN640" t="s">
        <v>3</v>
      </c>
      <c r="BO640">
        <v>0</v>
      </c>
      <c r="BP640">
        <v>0</v>
      </c>
      <c r="BQ640">
        <v>0</v>
      </c>
      <c r="BR640">
        <v>723</v>
      </c>
      <c r="BS640">
        <v>4</v>
      </c>
      <c r="BT640">
        <v>18</v>
      </c>
      <c r="BU640">
        <v>116</v>
      </c>
      <c r="BV640">
        <v>0</v>
      </c>
      <c r="BW640">
        <v>0</v>
      </c>
      <c r="BX640">
        <v>0</v>
      </c>
      <c r="BY640">
        <v>0</v>
      </c>
      <c r="BZ640">
        <v>0</v>
      </c>
      <c r="CA640">
        <v>3</v>
      </c>
      <c r="CB640" s="367">
        <f>IFERROR(BO640/Instructions!$J$25,0)+BP640*Instructions!$J$27+BQ640*Instructions!$J$29+IFERROR(BR640/Instructions!$E$34,0)+BS640*Instructions!$E$36+Tier!BT641*Instructions!$E$25+IFERROR(BU640/Instructions!$E$27,0)+BV640*Instructions!$E$29+IFERROR((BW640+BY640)/Instructions!$J$32,0)+(BX640+BZ640)*Instructions!$J$34+Tier!CA640*-2</f>
        <v>160.9</v>
      </c>
      <c r="CC640" s="354"/>
      <c r="CD640" s="3">
        <v>2018</v>
      </c>
      <c r="CE640" t="s">
        <v>118</v>
      </c>
      <c r="CF640" t="s">
        <v>1939</v>
      </c>
      <c r="CG640" s="366" t="s">
        <v>6</v>
      </c>
      <c r="CH640">
        <v>0</v>
      </c>
      <c r="CI640">
        <v>0</v>
      </c>
      <c r="CJ640">
        <v>0</v>
      </c>
      <c r="CK640">
        <v>0</v>
      </c>
      <c r="CL640">
        <v>0</v>
      </c>
      <c r="CM640">
        <v>35</v>
      </c>
      <c r="CN640">
        <v>508</v>
      </c>
      <c r="CO640">
        <v>5</v>
      </c>
      <c r="CP640">
        <v>0</v>
      </c>
      <c r="CQ640">
        <v>0</v>
      </c>
      <c r="CR640">
        <v>0</v>
      </c>
      <c r="CS640">
        <v>0</v>
      </c>
      <c r="CT640">
        <v>0</v>
      </c>
      <c r="CU640" s="367">
        <f>IFERROR(CH640/Instructions!$J$25,0)+CI640*Instructions!$J$27+CJ640*Instructions!$J$29+IFERROR(CK640/Instructions!$E$34,0)+CL640*Instructions!$E$36+Tier!CM640*Instructions!$E$25+IFERROR(CN640/Instructions!$E$27,0)+CO640*Instructions!$E$29+IFERROR((CP640+CR640)/Instructions!$J$32,0)+(CQ640+CS640)*Instructions!$J$34+Tier!CT640*-2</f>
        <v>115.8</v>
      </c>
      <c r="CV640" s="354"/>
      <c r="CW640"/>
      <c r="CX640"/>
      <c r="CY640"/>
      <c r="CZ640"/>
      <c r="DA640"/>
      <c r="DB640"/>
      <c r="DC640"/>
      <c r="DD640"/>
      <c r="DE640"/>
      <c r="DF640"/>
      <c r="DG640"/>
      <c r="DH640"/>
      <c r="DI640"/>
      <c r="DJ640"/>
      <c r="DK640"/>
      <c r="DL640"/>
      <c r="DM640"/>
      <c r="DN640"/>
    </row>
    <row r="641" spans="3:118" s="238" customFormat="1" ht="15.75" customHeight="1" x14ac:dyDescent="0.25">
      <c r="C641"/>
      <c r="D641"/>
      <c r="E641"/>
      <c r="F641"/>
      <c r="G641"/>
      <c r="H641"/>
      <c r="I641"/>
      <c r="J641"/>
      <c r="K641"/>
      <c r="L641"/>
      <c r="M641"/>
      <c r="N641"/>
      <c r="O641" s="366"/>
      <c r="P641" s="366">
        <v>2018</v>
      </c>
      <c r="Q641" s="367">
        <f>LARGE($CB$606:$CB$755,36)</f>
        <v>134.29999999999998</v>
      </c>
      <c r="R641" s="357">
        <f t="shared" si="157"/>
        <v>-62.300000000000011</v>
      </c>
      <c r="S641" s="356">
        <f t="shared" si="158"/>
        <v>3881.2900000000013</v>
      </c>
      <c r="U641" s="356">
        <f t="shared" si="159"/>
        <v>-3.8937500000000007</v>
      </c>
      <c r="V641" s="238">
        <f t="shared" si="151"/>
        <v>8</v>
      </c>
      <c r="W641" s="354"/>
      <c r="X641" s="366"/>
      <c r="Y641" s="366"/>
      <c r="Z641" s="238">
        <v>2018</v>
      </c>
      <c r="AA641" s="367">
        <f>LARGE($CU$606:$CU$755,36)</f>
        <v>120.22</v>
      </c>
      <c r="AB641" s="357">
        <f t="shared" si="160"/>
        <v>-70.680000000000007</v>
      </c>
      <c r="AC641" s="356">
        <f t="shared" si="150"/>
        <v>4995.6624000000011</v>
      </c>
      <c r="AE641" s="356">
        <f t="shared" si="161"/>
        <v>-4.4175000000000004</v>
      </c>
      <c r="AF641" s="238">
        <f t="shared" si="152"/>
        <v>8</v>
      </c>
      <c r="AG641" s="354"/>
      <c r="AK641"/>
      <c r="AL641"/>
      <c r="AM641"/>
      <c r="AN641"/>
      <c r="AO641"/>
      <c r="AP641"/>
      <c r="BI641" s="360"/>
      <c r="BJ641" s="354"/>
      <c r="BK641" s="366">
        <v>2018</v>
      </c>
      <c r="BL641" t="s">
        <v>1178</v>
      </c>
      <c r="BM641" t="s">
        <v>1945</v>
      </c>
      <c r="BN641" t="s">
        <v>3</v>
      </c>
      <c r="BO641">
        <v>0</v>
      </c>
      <c r="BP641">
        <v>0</v>
      </c>
      <c r="BQ641">
        <v>0</v>
      </c>
      <c r="BR641">
        <v>517</v>
      </c>
      <c r="BS641">
        <v>1</v>
      </c>
      <c r="BT641">
        <v>59</v>
      </c>
      <c r="BU641">
        <v>400</v>
      </c>
      <c r="BV641">
        <v>1</v>
      </c>
      <c r="BW641">
        <v>0</v>
      </c>
      <c r="BX641">
        <v>0</v>
      </c>
      <c r="BY641">
        <v>0</v>
      </c>
      <c r="BZ641">
        <v>0</v>
      </c>
      <c r="CA641">
        <v>1</v>
      </c>
      <c r="CB641" s="367">
        <f>IFERROR(BO641/Instructions!$J$25,0)+BP641*Instructions!$J$27+BQ641*Instructions!$J$29+IFERROR(BR641/Instructions!$E$34,0)+BS641*Instructions!$E$36+Tier!BT642*Instructions!$E$25+IFERROR(BU641/Instructions!$E$27,0)+BV641*Instructions!$E$29+IFERROR((BW641+BY641)/Instructions!$J$32,0)+(BX641+BZ641)*Instructions!$J$34+Tier!CA641*-2</f>
        <v>123.7</v>
      </c>
      <c r="CC641" s="354"/>
      <c r="CD641" s="3">
        <v>2018</v>
      </c>
      <c r="CE641" t="s">
        <v>1105</v>
      </c>
      <c r="CF641" t="s">
        <v>1931</v>
      </c>
      <c r="CG641" s="366" t="s">
        <v>6</v>
      </c>
      <c r="CH641">
        <v>0</v>
      </c>
      <c r="CI641">
        <v>0</v>
      </c>
      <c r="CJ641">
        <v>0</v>
      </c>
      <c r="CK641">
        <v>0</v>
      </c>
      <c r="CL641">
        <v>0</v>
      </c>
      <c r="CM641">
        <v>44</v>
      </c>
      <c r="CN641">
        <v>549</v>
      </c>
      <c r="CO641">
        <v>4</v>
      </c>
      <c r="CP641">
        <v>0</v>
      </c>
      <c r="CQ641">
        <v>0</v>
      </c>
      <c r="CR641">
        <v>0</v>
      </c>
      <c r="CS641">
        <v>0</v>
      </c>
      <c r="CT641">
        <v>0</v>
      </c>
      <c r="CU641" s="367">
        <f>IFERROR(CH641/Instructions!$J$25,0)+CI641*Instructions!$J$27+CJ641*Instructions!$J$29+IFERROR(CK641/Instructions!$E$34,0)+CL641*Instructions!$E$36+Tier!CM641*Instructions!$E$25+IFERROR(CN641/Instructions!$E$27,0)+CO641*Instructions!$E$29+IFERROR((CP641+CR641)/Instructions!$J$32,0)+(CQ641+CS641)*Instructions!$J$34+Tier!CT641*-2</f>
        <v>122.9</v>
      </c>
      <c r="CV641" s="354"/>
      <c r="CW641"/>
      <c r="CX641"/>
      <c r="CY641"/>
      <c r="CZ641"/>
      <c r="DA641"/>
      <c r="DB641"/>
      <c r="DC641"/>
      <c r="DD641"/>
      <c r="DE641"/>
      <c r="DF641"/>
      <c r="DG641"/>
      <c r="DH641"/>
      <c r="DI641"/>
      <c r="DJ641"/>
      <c r="DK641"/>
      <c r="DL641"/>
      <c r="DM641"/>
      <c r="DN641"/>
    </row>
    <row r="642" spans="3:118" s="238" customFormat="1" ht="15.75" customHeight="1" x14ac:dyDescent="0.25">
      <c r="C642"/>
      <c r="D642"/>
      <c r="E642"/>
      <c r="F642"/>
      <c r="G642"/>
      <c r="H642"/>
      <c r="I642"/>
      <c r="J642"/>
      <c r="K642"/>
      <c r="L642"/>
      <c r="M642"/>
      <c r="N642"/>
      <c r="O642" s="366"/>
      <c r="P642" s="366">
        <v>2018</v>
      </c>
      <c r="Q642" s="367">
        <f>LARGE($CB$606:$CB$755,37)</f>
        <v>134</v>
      </c>
      <c r="R642" s="357">
        <f t="shared" si="157"/>
        <v>-62.599999999999994</v>
      </c>
      <c r="S642" s="356">
        <f t="shared" si="158"/>
        <v>3918.7599999999993</v>
      </c>
      <c r="U642" s="356">
        <f t="shared" si="159"/>
        <v>-3.9124999999999996</v>
      </c>
      <c r="V642" s="238">
        <f t="shared" si="151"/>
        <v>8</v>
      </c>
      <c r="W642" s="354"/>
      <c r="X642" s="366"/>
      <c r="Y642" s="366"/>
      <c r="Z642" s="238">
        <v>2018</v>
      </c>
      <c r="AA642" s="367">
        <f>LARGE($CU$606:$CU$755,37)</f>
        <v>115.8</v>
      </c>
      <c r="AB642" s="357">
        <f t="shared" si="160"/>
        <v>-75.100000000000009</v>
      </c>
      <c r="AC642" s="356">
        <f t="shared" ref="AC642:AC705" si="162">AB642^2</f>
        <v>5640.0100000000011</v>
      </c>
      <c r="AE642" s="356">
        <f t="shared" si="161"/>
        <v>-4.6937500000000005</v>
      </c>
      <c r="AF642" s="238">
        <f t="shared" si="152"/>
        <v>8</v>
      </c>
      <c r="AG642" s="354"/>
      <c r="AK642"/>
      <c r="AL642"/>
      <c r="AM642"/>
      <c r="AN642"/>
      <c r="AO642"/>
      <c r="AP642"/>
      <c r="BI642" s="360"/>
      <c r="BJ642" s="354"/>
      <c r="BK642" s="366">
        <v>2018</v>
      </c>
      <c r="BL642" t="s">
        <v>1612</v>
      </c>
      <c r="BM642" t="s">
        <v>1950</v>
      </c>
      <c r="BN642" t="s">
        <v>3</v>
      </c>
      <c r="BO642">
        <v>0</v>
      </c>
      <c r="BP642">
        <v>0</v>
      </c>
      <c r="BQ642">
        <v>0</v>
      </c>
      <c r="BR642">
        <v>439</v>
      </c>
      <c r="BS642">
        <v>5</v>
      </c>
      <c r="BT642">
        <v>22</v>
      </c>
      <c r="BU642">
        <v>185</v>
      </c>
      <c r="BV642">
        <v>1</v>
      </c>
      <c r="BW642">
        <v>0</v>
      </c>
      <c r="BX642">
        <v>0</v>
      </c>
      <c r="BY642">
        <v>0</v>
      </c>
      <c r="BZ642">
        <v>0</v>
      </c>
      <c r="CA642">
        <v>0</v>
      </c>
      <c r="CB642" s="367">
        <f>IFERROR(BO642/Instructions!$J$25,0)+BP642*Instructions!$J$27+BQ642*Instructions!$J$29+IFERROR(BR642/Instructions!$E$34,0)+BS642*Instructions!$E$36+Tier!BT643*Instructions!$E$25+IFERROR(BU642/Instructions!$E$27,0)+BV642*Instructions!$E$29+IFERROR((BW642+BY642)/Instructions!$J$32,0)+(BX642+BZ642)*Instructions!$J$34+Tier!CA642*-2</f>
        <v>161.4</v>
      </c>
      <c r="CC642" s="354"/>
      <c r="CD642" s="3">
        <v>2018</v>
      </c>
      <c r="CE642" t="s">
        <v>66</v>
      </c>
      <c r="CF642" t="s">
        <v>1947</v>
      </c>
      <c r="CG642" s="366" t="s">
        <v>6</v>
      </c>
      <c r="CH642">
        <v>0</v>
      </c>
      <c r="CI642">
        <v>0</v>
      </c>
      <c r="CJ642">
        <v>0</v>
      </c>
      <c r="CK642">
        <v>0</v>
      </c>
      <c r="CL642">
        <v>0</v>
      </c>
      <c r="CM642">
        <v>54</v>
      </c>
      <c r="CN642">
        <v>607</v>
      </c>
      <c r="CO642">
        <v>3</v>
      </c>
      <c r="CP642">
        <v>0</v>
      </c>
      <c r="CQ642">
        <v>0</v>
      </c>
      <c r="CR642">
        <v>0</v>
      </c>
      <c r="CS642">
        <v>0</v>
      </c>
      <c r="CT642">
        <v>0</v>
      </c>
      <c r="CU642" s="367">
        <f>IFERROR(CH642/Instructions!$J$25,0)+CI642*Instructions!$J$27+CJ642*Instructions!$J$29+IFERROR(CK642/Instructions!$E$34,0)+CL642*Instructions!$E$36+Tier!CM642*Instructions!$E$25+IFERROR(CN642/Instructions!$E$27,0)+CO642*Instructions!$E$29+IFERROR((CP642+CR642)/Instructions!$J$32,0)+(CQ642+CS642)*Instructions!$J$34+Tier!CT642*-2</f>
        <v>132.69999999999999</v>
      </c>
      <c r="CV642" s="354"/>
      <c r="CW642"/>
      <c r="CX642"/>
      <c r="CY642"/>
      <c r="CZ642"/>
      <c r="DA642"/>
      <c r="DB642"/>
      <c r="DC642"/>
      <c r="DD642"/>
      <c r="DE642"/>
      <c r="DF642"/>
      <c r="DG642"/>
      <c r="DH642"/>
      <c r="DI642"/>
      <c r="DJ642"/>
      <c r="DK642"/>
      <c r="DL642"/>
      <c r="DM642"/>
      <c r="DN642"/>
    </row>
    <row r="643" spans="3:118" s="238" customFormat="1" ht="15.75" customHeight="1" x14ac:dyDescent="0.25">
      <c r="C643"/>
      <c r="D643"/>
      <c r="E643"/>
      <c r="F643"/>
      <c r="G643"/>
      <c r="H643"/>
      <c r="I643"/>
      <c r="J643"/>
      <c r="K643"/>
      <c r="L643"/>
      <c r="M643"/>
      <c r="N643"/>
      <c r="O643" s="366"/>
      <c r="P643" s="366">
        <v>2018</v>
      </c>
      <c r="Q643" s="367">
        <f>LARGE($CB$606:$CB$755,38)</f>
        <v>127.6</v>
      </c>
      <c r="R643" s="357">
        <f t="shared" si="157"/>
        <v>-69</v>
      </c>
      <c r="S643" s="356">
        <f t="shared" si="158"/>
        <v>4761</v>
      </c>
      <c r="U643" s="356">
        <f t="shared" si="159"/>
        <v>-4.3125</v>
      </c>
      <c r="V643" s="238">
        <f t="shared" ref="V643:V706" si="163">IF(U643&gt;6,0,
IF(AND(U643&lt;=6,U643&gt;5),1,
IF(AND(U643&lt;=5,U643&gt;4),2,
IF(AND(U643&lt;=4,U643&gt;3),3,
IF(AND(U643&lt;=3,U643&gt;2),4,
IF(AND(U643&lt;=2,U643&gt;1),5,
IF(AND(U643&lt;=1,U643&gt;0),6,
IF(AND(U643&lt;=0,U643&gt;-1),7,
8))))))))</f>
        <v>8</v>
      </c>
      <c r="W643" s="354"/>
      <c r="X643" s="366"/>
      <c r="Y643" s="366"/>
      <c r="Z643" s="238">
        <v>2018</v>
      </c>
      <c r="AA643" s="367">
        <f>LARGE($CU$606:$CU$755,38)</f>
        <v>114.7</v>
      </c>
      <c r="AB643" s="357">
        <f t="shared" si="160"/>
        <v>-76.2</v>
      </c>
      <c r="AC643" s="356">
        <f t="shared" si="162"/>
        <v>5806.4400000000005</v>
      </c>
      <c r="AE643" s="356">
        <f t="shared" si="161"/>
        <v>-4.7625000000000002</v>
      </c>
      <c r="AF643" s="238">
        <f t="shared" ref="AF643:AF706" si="164">IF(AE643&gt;6,0,
IF(AND(AE643&lt;=6,AE643&gt;5),1,
IF(AND(AE643&lt;=5,AE643&gt;4),2,
IF(AND(AE643&lt;=4,AE643&gt;3),3,
IF(AND(AE643&lt;=3,AE643&gt;2),4,
IF(AND(AE643&lt;=2,AE643&gt;1),5,
IF(AND(AE643&lt;=1,AE643&gt;0),6,
IF(AND(AE643&lt;=0,AE643&gt;-1),7,
8))))))))</f>
        <v>8</v>
      </c>
      <c r="AG643" s="354"/>
      <c r="AK643"/>
      <c r="AL643"/>
      <c r="AM643"/>
      <c r="AN643"/>
      <c r="AO643"/>
      <c r="AP643"/>
      <c r="BI643" s="360"/>
      <c r="BJ643" s="354"/>
      <c r="BK643" s="366">
        <v>2018</v>
      </c>
      <c r="BL643" t="s">
        <v>1773</v>
      </c>
      <c r="BM643" t="s">
        <v>1931</v>
      </c>
      <c r="BN643" t="s">
        <v>3</v>
      </c>
      <c r="BO643">
        <v>0</v>
      </c>
      <c r="BP643">
        <v>0</v>
      </c>
      <c r="BQ643">
        <v>0</v>
      </c>
      <c r="BR643">
        <v>314</v>
      </c>
      <c r="BS643">
        <v>2</v>
      </c>
      <c r="BT643">
        <v>63</v>
      </c>
      <c r="BU643">
        <v>425</v>
      </c>
      <c r="BV643">
        <v>2</v>
      </c>
      <c r="BW643">
        <v>0</v>
      </c>
      <c r="BX643">
        <v>0</v>
      </c>
      <c r="BY643">
        <v>0</v>
      </c>
      <c r="BZ643">
        <v>0</v>
      </c>
      <c r="CA643">
        <v>0</v>
      </c>
      <c r="CB643" s="367">
        <f>IFERROR(BO643/Instructions!$J$25,0)+BP643*Instructions!$J$27+BQ643*Instructions!$J$29+IFERROR(BR643/Instructions!$E$34,0)+BS643*Instructions!$E$36+Tier!BT644*Instructions!$E$25+IFERROR(BU643/Instructions!$E$27,0)+BV643*Instructions!$E$29+IFERROR((BW643+BY643)/Instructions!$J$32,0)+(BX643+BZ643)*Instructions!$J$34+Tier!CA643*-2</f>
        <v>112.9</v>
      </c>
      <c r="CC643" s="354"/>
      <c r="CD643" s="3">
        <v>2018</v>
      </c>
      <c r="CE643" t="s">
        <v>1214</v>
      </c>
      <c r="CF643" t="s">
        <v>1938</v>
      </c>
      <c r="CG643" s="366" t="s">
        <v>6</v>
      </c>
      <c r="CH643">
        <v>0</v>
      </c>
      <c r="CI643">
        <v>0</v>
      </c>
      <c r="CJ643">
        <v>0</v>
      </c>
      <c r="CK643">
        <v>0</v>
      </c>
      <c r="CL643">
        <v>0</v>
      </c>
      <c r="CM643">
        <v>39</v>
      </c>
      <c r="CN643">
        <v>572</v>
      </c>
      <c r="CO643">
        <v>4</v>
      </c>
      <c r="CP643">
        <v>0</v>
      </c>
      <c r="CQ643">
        <v>0</v>
      </c>
      <c r="CR643">
        <v>1</v>
      </c>
      <c r="CS643">
        <v>0</v>
      </c>
      <c r="CT643">
        <v>3</v>
      </c>
      <c r="CU643" s="367">
        <f>IFERROR(CH643/Instructions!$J$25,0)+CI643*Instructions!$J$27+CJ643*Instructions!$J$29+IFERROR(CK643/Instructions!$E$34,0)+CL643*Instructions!$E$36+Tier!CM643*Instructions!$E$25+IFERROR(CN643/Instructions!$E$27,0)+CO643*Instructions!$E$29+IFERROR((CP643+CR643)/Instructions!$J$32,0)+(CQ643+CS643)*Instructions!$J$34+Tier!CT643*-2</f>
        <v>114.2</v>
      </c>
      <c r="CV643" s="354"/>
      <c r="CW643"/>
      <c r="CX643"/>
      <c r="CY643"/>
      <c r="CZ643"/>
      <c r="DA643"/>
      <c r="DB643"/>
      <c r="DC643"/>
      <c r="DD643"/>
      <c r="DE643"/>
      <c r="DF643"/>
      <c r="DG643"/>
      <c r="DH643"/>
      <c r="DI643"/>
      <c r="DJ643"/>
      <c r="DK643"/>
      <c r="DL643"/>
      <c r="DM643"/>
      <c r="DN643"/>
    </row>
    <row r="644" spans="3:118" s="238" customFormat="1" ht="15.75" customHeight="1" x14ac:dyDescent="0.25">
      <c r="C644"/>
      <c r="D644"/>
      <c r="E644"/>
      <c r="F644"/>
      <c r="G644"/>
      <c r="H644"/>
      <c r="I644"/>
      <c r="J644"/>
      <c r="K644"/>
      <c r="L644"/>
      <c r="M644"/>
      <c r="N644"/>
      <c r="O644" s="366"/>
      <c r="P644" s="366">
        <v>2018</v>
      </c>
      <c r="Q644" s="367">
        <f>LARGE($CB$606:$CB$755,39)</f>
        <v>123.7</v>
      </c>
      <c r="R644" s="357">
        <f t="shared" si="157"/>
        <v>-72.899999999999991</v>
      </c>
      <c r="S644" s="356">
        <f t="shared" si="158"/>
        <v>5314.4099999999989</v>
      </c>
      <c r="U644" s="356">
        <f t="shared" si="159"/>
        <v>-4.5562499999999995</v>
      </c>
      <c r="V644" s="238">
        <f t="shared" si="163"/>
        <v>8</v>
      </c>
      <c r="W644" s="354"/>
      <c r="X644" s="366"/>
      <c r="Y644" s="366"/>
      <c r="Z644" s="238">
        <v>2018</v>
      </c>
      <c r="AA644" s="367">
        <f>LARGE($CU$606:$CU$755,39)</f>
        <v>114.2</v>
      </c>
      <c r="AB644" s="357">
        <f t="shared" si="160"/>
        <v>-76.7</v>
      </c>
      <c r="AC644" s="356">
        <f t="shared" si="162"/>
        <v>5882.89</v>
      </c>
      <c r="AE644" s="356">
        <f t="shared" si="161"/>
        <v>-4.7937500000000002</v>
      </c>
      <c r="AF644" s="238">
        <f t="shared" si="164"/>
        <v>8</v>
      </c>
      <c r="AG644" s="354"/>
      <c r="AK644"/>
      <c r="AL644"/>
      <c r="AM644"/>
      <c r="AN644"/>
      <c r="AO644"/>
      <c r="AP644"/>
      <c r="BI644" s="360"/>
      <c r="BJ644" s="354"/>
      <c r="BK644" s="366">
        <v>2018</v>
      </c>
      <c r="BL644" t="s">
        <v>1210</v>
      </c>
      <c r="BM644" t="s">
        <v>1947</v>
      </c>
      <c r="BN644" t="s">
        <v>3</v>
      </c>
      <c r="BO644">
        <v>0</v>
      </c>
      <c r="BP644">
        <v>0</v>
      </c>
      <c r="BQ644">
        <v>0</v>
      </c>
      <c r="BR644">
        <v>411</v>
      </c>
      <c r="BS644">
        <v>7</v>
      </c>
      <c r="BT644">
        <v>15</v>
      </c>
      <c r="BU644">
        <v>105</v>
      </c>
      <c r="BV644">
        <v>1</v>
      </c>
      <c r="BW644">
        <v>0</v>
      </c>
      <c r="BX644">
        <v>0</v>
      </c>
      <c r="BY644">
        <v>0</v>
      </c>
      <c r="BZ644">
        <v>0</v>
      </c>
      <c r="CA644">
        <v>3</v>
      </c>
      <c r="CB644" s="367">
        <f>IFERROR(BO644/Instructions!$J$25,0)+BP644*Instructions!$J$27+BQ644*Instructions!$J$29+IFERROR(BR644/Instructions!$E$34,0)+BS644*Instructions!$E$36+Tier!BT645*Instructions!$E$25+IFERROR(BU644/Instructions!$E$27,0)+BV644*Instructions!$E$29+IFERROR((BW644+BY644)/Instructions!$J$32,0)+(BX644+BZ644)*Instructions!$J$34+Tier!CA644*-2</f>
        <v>127.6</v>
      </c>
      <c r="CC644" s="354"/>
      <c r="CD644" s="3">
        <v>2018</v>
      </c>
      <c r="CE644" t="s">
        <v>1794</v>
      </c>
      <c r="CF644" t="s">
        <v>155</v>
      </c>
      <c r="CG644" s="366" t="s">
        <v>6</v>
      </c>
      <c r="CH644">
        <v>0</v>
      </c>
      <c r="CI644">
        <v>0</v>
      </c>
      <c r="CJ644">
        <v>0</v>
      </c>
      <c r="CK644">
        <v>-2</v>
      </c>
      <c r="CL644">
        <v>0</v>
      </c>
      <c r="CM644">
        <v>27</v>
      </c>
      <c r="CN644">
        <v>467</v>
      </c>
      <c r="CO644">
        <v>5</v>
      </c>
      <c r="CP644">
        <v>0</v>
      </c>
      <c r="CQ644">
        <v>0</v>
      </c>
      <c r="CR644">
        <v>0</v>
      </c>
      <c r="CS644">
        <v>0</v>
      </c>
      <c r="CT644">
        <v>0</v>
      </c>
      <c r="CU644" s="367">
        <f>IFERROR(CH644/Instructions!$J$25,0)+CI644*Instructions!$J$27+CJ644*Instructions!$J$29+IFERROR(CK644/Instructions!$E$34,0)+CL644*Instructions!$E$36+Tier!CM644*Instructions!$E$25+IFERROR(CN644/Instructions!$E$27,0)+CO644*Instructions!$E$29+IFERROR((CP644+CR644)/Instructions!$J$32,0)+(CQ644+CS644)*Instructions!$J$34+Tier!CT644*-2</f>
        <v>103.5</v>
      </c>
      <c r="CV644" s="354"/>
      <c r="CW644"/>
      <c r="CX644"/>
      <c r="CY644"/>
      <c r="CZ644"/>
      <c r="DA644"/>
      <c r="DB644"/>
      <c r="DC644"/>
      <c r="DD644"/>
      <c r="DE644"/>
      <c r="DF644"/>
      <c r="DG644"/>
      <c r="DH644"/>
      <c r="DI644"/>
      <c r="DJ644"/>
      <c r="DK644"/>
      <c r="DL644"/>
      <c r="DM644"/>
      <c r="DN644"/>
    </row>
    <row r="645" spans="3:118" s="238" customFormat="1" ht="15.75" customHeight="1" x14ac:dyDescent="0.25">
      <c r="C645"/>
      <c r="D645"/>
      <c r="E645"/>
      <c r="F645"/>
      <c r="G645"/>
      <c r="H645"/>
      <c r="I645"/>
      <c r="J645"/>
      <c r="K645"/>
      <c r="L645"/>
      <c r="M645"/>
      <c r="N645"/>
      <c r="O645" s="366"/>
      <c r="P645" s="366">
        <v>2018</v>
      </c>
      <c r="Q645" s="367">
        <f>LARGE($CB$606:$CB$755,40)</f>
        <v>120.80000000000001</v>
      </c>
      <c r="R645" s="357">
        <f t="shared" si="157"/>
        <v>-75.799999999999983</v>
      </c>
      <c r="S645" s="356">
        <f t="shared" si="158"/>
        <v>5745.6399999999976</v>
      </c>
      <c r="U645" s="356">
        <f t="shared" si="159"/>
        <v>-4.7374999999999989</v>
      </c>
      <c r="V645" s="238">
        <f t="shared" si="163"/>
        <v>8</v>
      </c>
      <c r="W645" s="354"/>
      <c r="X645" s="366"/>
      <c r="Y645" s="366"/>
      <c r="Z645" s="238">
        <v>2018</v>
      </c>
      <c r="AA645" s="367">
        <f>LARGE($CU$606:$CU$755,40)</f>
        <v>113.1</v>
      </c>
      <c r="AB645" s="357">
        <f t="shared" si="160"/>
        <v>-77.800000000000011</v>
      </c>
      <c r="AC645" s="356">
        <f t="shared" si="162"/>
        <v>6052.840000000002</v>
      </c>
      <c r="AE645" s="356">
        <f t="shared" si="161"/>
        <v>-4.8625000000000007</v>
      </c>
      <c r="AF645" s="238">
        <f t="shared" si="164"/>
        <v>8</v>
      </c>
      <c r="AG645" s="354"/>
      <c r="AK645"/>
      <c r="AL645"/>
      <c r="AM645"/>
      <c r="AN645"/>
      <c r="AO645"/>
      <c r="AP645"/>
      <c r="BI645" s="360"/>
      <c r="BJ645" s="354"/>
      <c r="BK645" s="366">
        <v>2018</v>
      </c>
      <c r="BL645" t="s">
        <v>2</v>
      </c>
      <c r="BM645" t="s">
        <v>1942</v>
      </c>
      <c r="BN645" t="s">
        <v>3</v>
      </c>
      <c r="BO645">
        <v>0</v>
      </c>
      <c r="BP645">
        <v>0</v>
      </c>
      <c r="BQ645">
        <v>0</v>
      </c>
      <c r="BR645">
        <v>514</v>
      </c>
      <c r="BS645">
        <v>3</v>
      </c>
      <c r="BT645">
        <v>34</v>
      </c>
      <c r="BU645">
        <v>238</v>
      </c>
      <c r="BV645">
        <v>0</v>
      </c>
      <c r="BW645">
        <v>0</v>
      </c>
      <c r="BX645">
        <v>0</v>
      </c>
      <c r="BY645">
        <v>0</v>
      </c>
      <c r="BZ645">
        <v>0</v>
      </c>
      <c r="CA645">
        <v>0</v>
      </c>
      <c r="CB645" s="367">
        <f>IFERROR(BO645/Instructions!$J$25,0)+BP645*Instructions!$J$27+BQ645*Instructions!$J$29+IFERROR(BR645/Instructions!$E$34,0)+BS645*Instructions!$E$36+Tier!BT646*Instructions!$E$25+IFERROR(BU645/Instructions!$E$27,0)+BV645*Instructions!$E$29+IFERROR((BW645+BY645)/Instructions!$J$32,0)+(BX645+BZ645)*Instructions!$J$34+Tier!CA645*-2</f>
        <v>120.2</v>
      </c>
      <c r="CC645" s="354"/>
      <c r="CD645" s="3">
        <v>2018</v>
      </c>
      <c r="CE645" t="s">
        <v>1197</v>
      </c>
      <c r="CF645" t="s">
        <v>1932</v>
      </c>
      <c r="CG645" s="366" t="s">
        <v>6</v>
      </c>
      <c r="CH645">
        <v>0</v>
      </c>
      <c r="CI645">
        <v>0</v>
      </c>
      <c r="CJ645">
        <v>0</v>
      </c>
      <c r="CK645">
        <v>0</v>
      </c>
      <c r="CL645">
        <v>0</v>
      </c>
      <c r="CM645">
        <v>32</v>
      </c>
      <c r="CN645">
        <v>503</v>
      </c>
      <c r="CO645">
        <v>4</v>
      </c>
      <c r="CP645">
        <v>0</v>
      </c>
      <c r="CQ645">
        <v>0</v>
      </c>
      <c r="CR645">
        <v>0</v>
      </c>
      <c r="CS645">
        <v>0</v>
      </c>
      <c r="CT645">
        <v>1</v>
      </c>
      <c r="CU645" s="367">
        <f>IFERROR(CH645/Instructions!$J$25,0)+CI645*Instructions!$J$27+CJ645*Instructions!$J$29+IFERROR(CK645/Instructions!$E$34,0)+CL645*Instructions!$E$36+Tier!CM645*Instructions!$E$25+IFERROR(CN645/Instructions!$E$27,0)+CO645*Instructions!$E$29+IFERROR((CP645+CR645)/Instructions!$J$32,0)+(CQ645+CS645)*Instructions!$J$34+Tier!CT645*-2</f>
        <v>104.3</v>
      </c>
      <c r="CV645" s="354"/>
      <c r="CW645"/>
      <c r="CX645"/>
      <c r="CY645"/>
      <c r="CZ645"/>
      <c r="DA645"/>
      <c r="DB645"/>
      <c r="DC645"/>
      <c r="DD645"/>
      <c r="DE645"/>
      <c r="DF645"/>
      <c r="DG645"/>
      <c r="DH645"/>
      <c r="DI645"/>
      <c r="DJ645"/>
      <c r="DK645"/>
      <c r="DL645"/>
      <c r="DM645"/>
      <c r="DN645"/>
    </row>
    <row r="646" spans="3:118" s="238" customFormat="1" ht="15.75" customHeight="1" x14ac:dyDescent="0.25">
      <c r="C646"/>
      <c r="D646"/>
      <c r="E646"/>
      <c r="F646"/>
      <c r="G646"/>
      <c r="H646"/>
      <c r="I646"/>
      <c r="J646"/>
      <c r="K646"/>
      <c r="L646"/>
      <c r="M646"/>
      <c r="N646"/>
      <c r="O646" s="366"/>
      <c r="P646" s="366">
        <v>2018</v>
      </c>
      <c r="Q646" s="367">
        <f>LARGE($CB$606:$CB$755,41)</f>
        <v>120.2</v>
      </c>
      <c r="R646" s="357">
        <f t="shared" si="157"/>
        <v>-76.399999999999991</v>
      </c>
      <c r="S646" s="356">
        <f t="shared" si="158"/>
        <v>5836.9599999999991</v>
      </c>
      <c r="U646" s="356">
        <f t="shared" si="159"/>
        <v>-4.7749999999999995</v>
      </c>
      <c r="V646" s="238">
        <f t="shared" si="163"/>
        <v>8</v>
      </c>
      <c r="W646" s="354"/>
      <c r="X646" s="366"/>
      <c r="Y646" s="366"/>
      <c r="Z646" s="238">
        <v>2018</v>
      </c>
      <c r="AA646" s="367">
        <f>LARGE($CU$606:$CU$755,41)</f>
        <v>113.1</v>
      </c>
      <c r="AB646" s="357">
        <f t="shared" si="160"/>
        <v>-77.800000000000011</v>
      </c>
      <c r="AC646" s="356">
        <f t="shared" si="162"/>
        <v>6052.840000000002</v>
      </c>
      <c r="AE646" s="356">
        <f t="shared" si="161"/>
        <v>-4.8625000000000007</v>
      </c>
      <c r="AF646" s="238">
        <f t="shared" si="164"/>
        <v>8</v>
      </c>
      <c r="AG646" s="354"/>
      <c r="AK646"/>
      <c r="AL646"/>
      <c r="AM646"/>
      <c r="AN646"/>
      <c r="AO646"/>
      <c r="AP646"/>
      <c r="BI646" s="360"/>
      <c r="BJ646" s="354"/>
      <c r="BK646" s="366">
        <v>2018</v>
      </c>
      <c r="BL646" t="s">
        <v>1446</v>
      </c>
      <c r="BM646" t="s">
        <v>139</v>
      </c>
      <c r="BN646" t="s">
        <v>3</v>
      </c>
      <c r="BO646">
        <v>0</v>
      </c>
      <c r="BP646">
        <v>0</v>
      </c>
      <c r="BQ646">
        <v>0</v>
      </c>
      <c r="BR646">
        <v>464</v>
      </c>
      <c r="BS646">
        <v>3</v>
      </c>
      <c r="BT646">
        <v>27</v>
      </c>
      <c r="BU646">
        <v>210</v>
      </c>
      <c r="BV646">
        <v>0</v>
      </c>
      <c r="BW646">
        <v>0</v>
      </c>
      <c r="BX646">
        <v>0</v>
      </c>
      <c r="BY646">
        <v>95</v>
      </c>
      <c r="BZ646">
        <v>0</v>
      </c>
      <c r="CA646">
        <v>0</v>
      </c>
      <c r="CB646" s="367">
        <f>IFERROR(BO646/Instructions!$J$25,0)+BP646*Instructions!$J$27+BQ646*Instructions!$J$29+IFERROR(BR646/Instructions!$E$34,0)+BS646*Instructions!$E$36+Tier!BT647*Instructions!$E$25+IFERROR(BU646/Instructions!$E$27,0)+BV646*Instructions!$E$29+IFERROR((BW646+BY646)/Instructions!$J$32,0)+(BX646+BZ646)*Instructions!$J$34+Tier!CA646*-2</f>
        <v>113.4</v>
      </c>
      <c r="CC646" s="354"/>
      <c r="CD646" s="3">
        <v>2018</v>
      </c>
      <c r="CE646" t="s">
        <v>94</v>
      </c>
      <c r="CF646" t="s">
        <v>136</v>
      </c>
      <c r="CG646" s="366" t="s">
        <v>6</v>
      </c>
      <c r="CH646">
        <v>0</v>
      </c>
      <c r="CI646">
        <v>0</v>
      </c>
      <c r="CJ646">
        <v>0</v>
      </c>
      <c r="CK646">
        <v>52</v>
      </c>
      <c r="CL646">
        <v>0</v>
      </c>
      <c r="CM646">
        <v>40</v>
      </c>
      <c r="CN646">
        <v>519</v>
      </c>
      <c r="CO646">
        <v>3</v>
      </c>
      <c r="CP646">
        <v>0</v>
      </c>
      <c r="CQ646">
        <v>0</v>
      </c>
      <c r="CR646">
        <v>0</v>
      </c>
      <c r="CS646">
        <v>0</v>
      </c>
      <c r="CT646">
        <v>1</v>
      </c>
      <c r="CU646" s="367">
        <f>IFERROR(CH646/Instructions!$J$25,0)+CI646*Instructions!$J$27+CJ646*Instructions!$J$29+IFERROR(CK646/Instructions!$E$34,0)+CL646*Instructions!$E$36+Tier!CM646*Instructions!$E$25+IFERROR(CN646/Instructions!$E$27,0)+CO646*Instructions!$E$29+IFERROR((CP646+CR646)/Instructions!$J$32,0)+(CQ646+CS646)*Instructions!$J$34+Tier!CT646*-2</f>
        <v>113.1</v>
      </c>
      <c r="CV646" s="354"/>
      <c r="CW646"/>
      <c r="CX646"/>
      <c r="CY646"/>
      <c r="CZ646"/>
      <c r="DA646"/>
      <c r="DB646"/>
      <c r="DC646"/>
      <c r="DD646"/>
      <c r="DE646"/>
      <c r="DF646"/>
      <c r="DG646"/>
      <c r="DH646"/>
      <c r="DI646"/>
      <c r="DJ646"/>
      <c r="DK646"/>
      <c r="DL646"/>
      <c r="DM646"/>
      <c r="DN646"/>
    </row>
    <row r="647" spans="3:118" s="238" customFormat="1" ht="15.75" customHeight="1" x14ac:dyDescent="0.25">
      <c r="C647"/>
      <c r="D647"/>
      <c r="E647"/>
      <c r="F647"/>
      <c r="G647"/>
      <c r="H647"/>
      <c r="I647"/>
      <c r="J647"/>
      <c r="K647"/>
      <c r="L647"/>
      <c r="M647"/>
      <c r="N647"/>
      <c r="O647" s="366"/>
      <c r="P647" s="366">
        <v>2018</v>
      </c>
      <c r="Q647" s="367">
        <f>LARGE($CB$606:$CB$755,42)</f>
        <v>119.6</v>
      </c>
      <c r="R647" s="357">
        <f t="shared" si="157"/>
        <v>-77</v>
      </c>
      <c r="S647" s="356">
        <f t="shared" si="158"/>
        <v>5929</v>
      </c>
      <c r="U647" s="356">
        <f t="shared" si="159"/>
        <v>-4.8125</v>
      </c>
      <c r="V647" s="238">
        <f t="shared" si="163"/>
        <v>8</v>
      </c>
      <c r="W647" s="354"/>
      <c r="X647" s="366"/>
      <c r="Y647" s="366"/>
      <c r="Z647" s="238">
        <v>2018</v>
      </c>
      <c r="AA647" s="367">
        <f>LARGE($CU$606:$CU$755,42)</f>
        <v>111</v>
      </c>
      <c r="AB647" s="357">
        <f t="shared" si="160"/>
        <v>-79.900000000000006</v>
      </c>
      <c r="AC647" s="356">
        <f t="shared" si="162"/>
        <v>6384.0100000000011</v>
      </c>
      <c r="AE647" s="356">
        <f t="shared" si="161"/>
        <v>-4.9937500000000004</v>
      </c>
      <c r="AF647" s="238">
        <f t="shared" si="164"/>
        <v>8</v>
      </c>
      <c r="AG647" s="354"/>
      <c r="AK647"/>
      <c r="AL647"/>
      <c r="AM647"/>
      <c r="AN647"/>
      <c r="AO647"/>
      <c r="AP647"/>
      <c r="BI647" s="360"/>
      <c r="BJ647" s="354"/>
      <c r="BK647" s="366">
        <v>2018</v>
      </c>
      <c r="BL647" t="s">
        <v>1204</v>
      </c>
      <c r="BM647" t="s">
        <v>1943</v>
      </c>
      <c r="BN647" t="s">
        <v>3</v>
      </c>
      <c r="BO647">
        <v>0</v>
      </c>
      <c r="BP647">
        <v>0</v>
      </c>
      <c r="BQ647">
        <v>0</v>
      </c>
      <c r="BR647">
        <v>364</v>
      </c>
      <c r="BS647">
        <v>3</v>
      </c>
      <c r="BT647">
        <v>28</v>
      </c>
      <c r="BU647">
        <v>230</v>
      </c>
      <c r="BV647">
        <v>2</v>
      </c>
      <c r="BW647">
        <v>0</v>
      </c>
      <c r="BX647">
        <v>0</v>
      </c>
      <c r="BY647">
        <v>33</v>
      </c>
      <c r="BZ647">
        <v>0</v>
      </c>
      <c r="CA647">
        <v>1</v>
      </c>
      <c r="CB647" s="367">
        <f>IFERROR(BO647/Instructions!$J$25,0)+BP647*Instructions!$J$27+BQ647*Instructions!$J$29+IFERROR(BR647/Instructions!$E$34,0)+BS647*Instructions!$E$36+Tier!BT648*Instructions!$E$25+IFERROR(BU647/Instructions!$E$27,0)+BV647*Instructions!$E$29+IFERROR((BW647+BY647)/Instructions!$J$32,0)+(BX647+BZ647)*Instructions!$J$34+Tier!CA647*-2</f>
        <v>99.4</v>
      </c>
      <c r="CC647" s="354"/>
      <c r="CD647" s="3">
        <v>2018</v>
      </c>
      <c r="CE647" t="s">
        <v>1801</v>
      </c>
      <c r="CF647" t="s">
        <v>139</v>
      </c>
      <c r="CG647" s="366" t="s">
        <v>6</v>
      </c>
      <c r="CH647">
        <v>0</v>
      </c>
      <c r="CI647">
        <v>0</v>
      </c>
      <c r="CJ647">
        <v>0</v>
      </c>
      <c r="CK647">
        <v>29</v>
      </c>
      <c r="CL647">
        <v>0</v>
      </c>
      <c r="CM647">
        <v>38</v>
      </c>
      <c r="CN647">
        <v>581</v>
      </c>
      <c r="CO647">
        <v>2</v>
      </c>
      <c r="CP647">
        <v>0</v>
      </c>
      <c r="CQ647">
        <v>0</v>
      </c>
      <c r="CR647">
        <v>0</v>
      </c>
      <c r="CS647">
        <v>0</v>
      </c>
      <c r="CT647">
        <v>0</v>
      </c>
      <c r="CU647" s="367">
        <f>IFERROR(CH647/Instructions!$J$25,0)+CI647*Instructions!$J$27+CJ647*Instructions!$J$29+IFERROR(CK647/Instructions!$E$34,0)+CL647*Instructions!$E$36+Tier!CM647*Instructions!$E$25+IFERROR(CN647/Instructions!$E$27,0)+CO647*Instructions!$E$29+IFERROR((CP647+CR647)/Instructions!$J$32,0)+(CQ647+CS647)*Instructions!$J$34+Tier!CT647*-2</f>
        <v>111</v>
      </c>
      <c r="CV647" s="354"/>
      <c r="CW647"/>
      <c r="CX647"/>
      <c r="CY647"/>
      <c r="CZ647"/>
      <c r="DA647"/>
      <c r="DB647"/>
      <c r="DC647"/>
      <c r="DD647"/>
      <c r="DE647"/>
      <c r="DF647"/>
      <c r="DG647"/>
      <c r="DH647"/>
      <c r="DI647"/>
      <c r="DJ647"/>
      <c r="DK647"/>
      <c r="DL647"/>
      <c r="DM647"/>
      <c r="DN647"/>
    </row>
    <row r="648" spans="3:118" s="238" customFormat="1" ht="15.75" customHeight="1" x14ac:dyDescent="0.25">
      <c r="C648"/>
      <c r="D648"/>
      <c r="E648"/>
      <c r="F648"/>
      <c r="G648"/>
      <c r="H648"/>
      <c r="I648"/>
      <c r="J648"/>
      <c r="K648"/>
      <c r="L648"/>
      <c r="M648"/>
      <c r="N648"/>
      <c r="O648" s="366"/>
      <c r="P648" s="366">
        <v>2018</v>
      </c>
      <c r="Q648" s="367">
        <f>LARGE($CB$606:$CB$755,43)</f>
        <v>113.4</v>
      </c>
      <c r="R648" s="357">
        <f t="shared" si="157"/>
        <v>-83.199999999999989</v>
      </c>
      <c r="S648" s="356">
        <f t="shared" si="158"/>
        <v>6922.239999999998</v>
      </c>
      <c r="U648" s="356">
        <f t="shared" si="159"/>
        <v>-5.1999999999999993</v>
      </c>
      <c r="V648" s="238">
        <f t="shared" si="163"/>
        <v>8</v>
      </c>
      <c r="W648" s="354"/>
      <c r="X648" s="366"/>
      <c r="Y648" s="366"/>
      <c r="Z648" s="238">
        <v>2018</v>
      </c>
      <c r="AA648" s="367">
        <f>LARGE($CU$606:$CU$755,43)</f>
        <v>109.2</v>
      </c>
      <c r="AB648" s="357">
        <f t="shared" si="160"/>
        <v>-81.7</v>
      </c>
      <c r="AC648" s="356">
        <f t="shared" si="162"/>
        <v>6674.89</v>
      </c>
      <c r="AE648" s="356">
        <f t="shared" si="161"/>
        <v>-5.1062500000000002</v>
      </c>
      <c r="AF648" s="238">
        <f t="shared" si="164"/>
        <v>8</v>
      </c>
      <c r="AG648" s="354"/>
      <c r="AK648"/>
      <c r="AL648"/>
      <c r="AM648"/>
      <c r="AN648"/>
      <c r="AO648"/>
      <c r="AP648"/>
      <c r="BI648" s="360"/>
      <c r="BJ648" s="354"/>
      <c r="BK648" s="366">
        <v>2018</v>
      </c>
      <c r="BL648" t="s">
        <v>68</v>
      </c>
      <c r="BM648" t="s">
        <v>1942</v>
      </c>
      <c r="BN648" t="s">
        <v>3</v>
      </c>
      <c r="BO648">
        <v>0</v>
      </c>
      <c r="BP648">
        <v>0</v>
      </c>
      <c r="BQ648">
        <v>0</v>
      </c>
      <c r="BR648">
        <v>722</v>
      </c>
      <c r="BS648">
        <v>0</v>
      </c>
      <c r="BT648">
        <v>12</v>
      </c>
      <c r="BU648">
        <v>124</v>
      </c>
      <c r="BV648">
        <v>1</v>
      </c>
      <c r="BW648">
        <v>0</v>
      </c>
      <c r="BX648">
        <v>0</v>
      </c>
      <c r="BY648">
        <v>0</v>
      </c>
      <c r="BZ648">
        <v>0</v>
      </c>
      <c r="CA648">
        <v>0</v>
      </c>
      <c r="CB648" s="367">
        <f>IFERROR(BO648/Instructions!$J$25,0)+BP648*Instructions!$J$27+BQ648*Instructions!$J$29+IFERROR(BR648/Instructions!$E$34,0)+BS648*Instructions!$E$36+Tier!BT649*Instructions!$E$25+IFERROR(BU648/Instructions!$E$27,0)+BV648*Instructions!$E$29+IFERROR((BW648+BY648)/Instructions!$J$32,0)+(BX648+BZ648)*Instructions!$J$34+Tier!CA648*-2</f>
        <v>158.6</v>
      </c>
      <c r="CC648" s="354"/>
      <c r="CD648" s="3">
        <v>2018</v>
      </c>
      <c r="CE648" t="s">
        <v>1452</v>
      </c>
      <c r="CF648" t="s">
        <v>1933</v>
      </c>
      <c r="CG648" s="366" t="s">
        <v>6</v>
      </c>
      <c r="CH648">
        <v>0</v>
      </c>
      <c r="CI648">
        <v>0</v>
      </c>
      <c r="CJ648">
        <v>0</v>
      </c>
      <c r="CK648">
        <v>5</v>
      </c>
      <c r="CL648">
        <v>0</v>
      </c>
      <c r="CM648">
        <v>26</v>
      </c>
      <c r="CN648">
        <v>445</v>
      </c>
      <c r="CO648">
        <v>5</v>
      </c>
      <c r="CP648">
        <v>0</v>
      </c>
      <c r="CQ648">
        <v>0</v>
      </c>
      <c r="CR648">
        <v>0</v>
      </c>
      <c r="CS648">
        <v>0</v>
      </c>
      <c r="CT648">
        <v>0</v>
      </c>
      <c r="CU648" s="367">
        <f>IFERROR(CH648/Instructions!$J$25,0)+CI648*Instructions!$J$27+CJ648*Instructions!$J$29+IFERROR(CK648/Instructions!$E$34,0)+CL648*Instructions!$E$36+Tier!CM648*Instructions!$E$25+IFERROR(CN648/Instructions!$E$27,0)+CO648*Instructions!$E$29+IFERROR((CP648+CR648)/Instructions!$J$32,0)+(CQ648+CS648)*Instructions!$J$34+Tier!CT648*-2</f>
        <v>101</v>
      </c>
      <c r="CV648" s="354"/>
      <c r="CW648"/>
      <c r="CX648"/>
      <c r="CY648"/>
      <c r="CZ648"/>
      <c r="DA648"/>
      <c r="DB648"/>
      <c r="DC648"/>
      <c r="DD648"/>
      <c r="DE648"/>
      <c r="DF648"/>
      <c r="DG648"/>
      <c r="DH648"/>
      <c r="DI648"/>
      <c r="DJ648"/>
      <c r="DK648"/>
      <c r="DL648"/>
      <c r="DM648"/>
      <c r="DN648"/>
    </row>
    <row r="649" spans="3:118" s="238" customFormat="1" ht="15.75" customHeight="1" x14ac:dyDescent="0.25">
      <c r="C649"/>
      <c r="D649"/>
      <c r="E649"/>
      <c r="F649"/>
      <c r="G649"/>
      <c r="H649"/>
      <c r="I649"/>
      <c r="J649"/>
      <c r="K649"/>
      <c r="L649"/>
      <c r="M649"/>
      <c r="N649"/>
      <c r="O649" s="366"/>
      <c r="P649" s="366">
        <v>2018</v>
      </c>
      <c r="Q649" s="367">
        <f>LARGE($CB$606:$CB$755,44)</f>
        <v>112.9</v>
      </c>
      <c r="R649" s="357">
        <f t="shared" si="157"/>
        <v>-83.699999999999989</v>
      </c>
      <c r="S649" s="356">
        <f t="shared" si="158"/>
        <v>7005.6899999999978</v>
      </c>
      <c r="U649" s="356">
        <f t="shared" si="159"/>
        <v>-5.2312499999999993</v>
      </c>
      <c r="V649" s="238">
        <f t="shared" si="163"/>
        <v>8</v>
      </c>
      <c r="W649" s="354"/>
      <c r="X649" s="366"/>
      <c r="Y649" s="366"/>
      <c r="Z649" s="238">
        <v>2018</v>
      </c>
      <c r="AA649" s="367">
        <f>LARGE($CU$606:$CU$755,44)</f>
        <v>106.9</v>
      </c>
      <c r="AB649" s="357">
        <f t="shared" si="160"/>
        <v>-84</v>
      </c>
      <c r="AC649" s="356">
        <f t="shared" si="162"/>
        <v>7056</v>
      </c>
      <c r="AE649" s="356">
        <f t="shared" si="161"/>
        <v>-5.25</v>
      </c>
      <c r="AF649" s="238">
        <f t="shared" si="164"/>
        <v>8</v>
      </c>
      <c r="AG649" s="354"/>
      <c r="AK649"/>
      <c r="AL649"/>
      <c r="AM649"/>
      <c r="AN649"/>
      <c r="AO649"/>
      <c r="AP649"/>
      <c r="BI649" s="360"/>
      <c r="BJ649" s="354"/>
      <c r="BK649" s="366">
        <v>2018</v>
      </c>
      <c r="BL649" t="s">
        <v>1408</v>
      </c>
      <c r="BM649" t="s">
        <v>1941</v>
      </c>
      <c r="BN649" t="s">
        <v>3</v>
      </c>
      <c r="BO649">
        <v>0</v>
      </c>
      <c r="BP649">
        <v>0</v>
      </c>
      <c r="BQ649">
        <v>0</v>
      </c>
      <c r="BR649">
        <v>259</v>
      </c>
      <c r="BS649">
        <v>1</v>
      </c>
      <c r="BT649">
        <v>68</v>
      </c>
      <c r="BU649">
        <v>607</v>
      </c>
      <c r="BV649">
        <v>0</v>
      </c>
      <c r="BW649">
        <v>0</v>
      </c>
      <c r="BX649">
        <v>0</v>
      </c>
      <c r="BY649">
        <v>3</v>
      </c>
      <c r="BZ649">
        <v>0</v>
      </c>
      <c r="CA649">
        <v>2</v>
      </c>
      <c r="CB649" s="367">
        <f>IFERROR(BO649/Instructions!$J$25,0)+BP649*Instructions!$J$27+BQ649*Instructions!$J$29+IFERROR(BR649/Instructions!$E$34,0)+BS649*Instructions!$E$36+Tier!BT650*Instructions!$E$25+IFERROR(BU649/Instructions!$E$27,0)+BV649*Instructions!$E$29+IFERROR((BW649+BY649)/Instructions!$J$32,0)+(BX649+BZ649)*Instructions!$J$34+Tier!CA649*-2</f>
        <v>90.6</v>
      </c>
      <c r="CC649" s="354"/>
      <c r="CD649" s="3">
        <v>2018</v>
      </c>
      <c r="CE649" t="s">
        <v>1395</v>
      </c>
      <c r="CF649" t="s">
        <v>1931</v>
      </c>
      <c r="CG649" s="366" t="s">
        <v>6</v>
      </c>
      <c r="CH649">
        <v>0</v>
      </c>
      <c r="CI649">
        <v>0</v>
      </c>
      <c r="CJ649">
        <v>0</v>
      </c>
      <c r="CK649">
        <v>-4</v>
      </c>
      <c r="CL649">
        <v>0</v>
      </c>
      <c r="CM649">
        <v>53</v>
      </c>
      <c r="CN649">
        <v>485</v>
      </c>
      <c r="CO649">
        <v>2</v>
      </c>
      <c r="CP649">
        <v>0</v>
      </c>
      <c r="CQ649">
        <v>0</v>
      </c>
      <c r="CR649">
        <v>0</v>
      </c>
      <c r="CS649">
        <v>0</v>
      </c>
      <c r="CT649">
        <v>0</v>
      </c>
      <c r="CU649" s="367">
        <f>IFERROR(CH649/Instructions!$J$25,0)+CI649*Instructions!$J$27+CJ649*Instructions!$J$29+IFERROR(CK649/Instructions!$E$34,0)+CL649*Instructions!$E$36+Tier!CM649*Instructions!$E$25+IFERROR(CN649/Instructions!$E$27,0)+CO649*Instructions!$E$29+IFERROR((CP649+CR649)/Instructions!$J$32,0)+(CQ649+CS649)*Instructions!$J$34+Tier!CT649*-2</f>
        <v>113.1</v>
      </c>
      <c r="CV649" s="354"/>
      <c r="CW649"/>
      <c r="CX649"/>
      <c r="CY649"/>
      <c r="CZ649"/>
      <c r="DA649"/>
      <c r="DB649"/>
      <c r="DC649"/>
      <c r="DD649"/>
      <c r="DE649"/>
      <c r="DF649"/>
      <c r="DG649"/>
      <c r="DH649"/>
      <c r="DI649"/>
      <c r="DJ649"/>
      <c r="DK649"/>
      <c r="DL649"/>
      <c r="DM649"/>
      <c r="DN649"/>
    </row>
    <row r="650" spans="3:118" s="238" customFormat="1" ht="15.75" customHeight="1" x14ac:dyDescent="0.25">
      <c r="C650"/>
      <c r="D650"/>
      <c r="E650"/>
      <c r="F650"/>
      <c r="G650"/>
      <c r="H650"/>
      <c r="I650"/>
      <c r="J650"/>
      <c r="K650"/>
      <c r="L650"/>
      <c r="M650"/>
      <c r="N650"/>
      <c r="O650" s="366"/>
      <c r="P650" s="366">
        <v>2018</v>
      </c>
      <c r="Q650" s="367">
        <f>LARGE($CB$606:$CB$755,45)</f>
        <v>102.39999999999999</v>
      </c>
      <c r="R650" s="357">
        <f t="shared" si="157"/>
        <v>-94.2</v>
      </c>
      <c r="S650" s="356">
        <f t="shared" si="158"/>
        <v>8873.6400000000012</v>
      </c>
      <c r="U650" s="356">
        <f t="shared" si="159"/>
        <v>-5.8875000000000002</v>
      </c>
      <c r="V650" s="238">
        <f t="shared" si="163"/>
        <v>8</v>
      </c>
      <c r="W650" s="354"/>
      <c r="X650" s="366"/>
      <c r="Y650" s="366"/>
      <c r="Z650" s="238">
        <v>2018</v>
      </c>
      <c r="AA650" s="367">
        <f>LARGE($CU$606:$CU$755,45)</f>
        <v>106.2</v>
      </c>
      <c r="AB650" s="357">
        <f t="shared" si="160"/>
        <v>-84.7</v>
      </c>
      <c r="AC650" s="356">
        <f t="shared" si="162"/>
        <v>7174.09</v>
      </c>
      <c r="AE650" s="356">
        <f t="shared" si="161"/>
        <v>-5.2937500000000002</v>
      </c>
      <c r="AF650" s="238">
        <f t="shared" si="164"/>
        <v>8</v>
      </c>
      <c r="AG650" s="354"/>
      <c r="AK650"/>
      <c r="AL650"/>
      <c r="AM650"/>
      <c r="AN650"/>
      <c r="AO650"/>
      <c r="AP650"/>
      <c r="BI650" s="360"/>
      <c r="BJ650" s="354"/>
      <c r="BK650" s="366">
        <v>2018</v>
      </c>
      <c r="BL650" t="s">
        <v>1829</v>
      </c>
      <c r="BM650" t="s">
        <v>1947</v>
      </c>
      <c r="BN650" t="s">
        <v>3</v>
      </c>
      <c r="BO650">
        <v>0</v>
      </c>
      <c r="BP650">
        <v>0</v>
      </c>
      <c r="BQ650">
        <v>0</v>
      </c>
      <c r="BR650">
        <v>718</v>
      </c>
      <c r="BS650">
        <v>2</v>
      </c>
      <c r="BT650">
        <v>2</v>
      </c>
      <c r="BU650">
        <v>20</v>
      </c>
      <c r="BV650">
        <v>0</v>
      </c>
      <c r="BW650">
        <v>0</v>
      </c>
      <c r="BX650">
        <v>0</v>
      </c>
      <c r="BY650">
        <v>0</v>
      </c>
      <c r="BZ650">
        <v>0</v>
      </c>
      <c r="CA650">
        <v>0</v>
      </c>
      <c r="CB650" s="367">
        <f>IFERROR(BO650/Instructions!$J$25,0)+BP650*Instructions!$J$27+BQ650*Instructions!$J$29+IFERROR(BR650/Instructions!$E$34,0)+BS650*Instructions!$E$36+Tier!BT651*Instructions!$E$25+IFERROR(BU650/Instructions!$E$27,0)+BV650*Instructions!$E$29+IFERROR((BW650+BY650)/Instructions!$J$32,0)+(BX650+BZ650)*Instructions!$J$34+Tier!CA650*-2</f>
        <v>95.8</v>
      </c>
      <c r="CC650" s="354"/>
      <c r="CD650" s="3">
        <v>2018</v>
      </c>
      <c r="CE650" t="s">
        <v>1185</v>
      </c>
      <c r="CF650" t="s">
        <v>1947</v>
      </c>
      <c r="CG650" s="366" t="s">
        <v>6</v>
      </c>
      <c r="CH650">
        <v>0</v>
      </c>
      <c r="CI650">
        <v>0</v>
      </c>
      <c r="CJ650">
        <v>0</v>
      </c>
      <c r="CK650">
        <v>13</v>
      </c>
      <c r="CL650">
        <v>0</v>
      </c>
      <c r="CM650">
        <v>62</v>
      </c>
      <c r="CN650">
        <v>651</v>
      </c>
      <c r="CO650">
        <v>1</v>
      </c>
      <c r="CP650">
        <v>0</v>
      </c>
      <c r="CQ650">
        <v>0</v>
      </c>
      <c r="CR650">
        <v>0</v>
      </c>
      <c r="CS650">
        <v>0</v>
      </c>
      <c r="CT650">
        <v>0</v>
      </c>
      <c r="CU650" s="367">
        <f>IFERROR(CH650/Instructions!$J$25,0)+CI650*Instructions!$J$27+CJ650*Instructions!$J$29+IFERROR(CK650/Instructions!$E$34,0)+CL650*Instructions!$E$36+Tier!CM650*Instructions!$E$25+IFERROR(CN650/Instructions!$E$27,0)+CO650*Instructions!$E$29+IFERROR((CP650+CR650)/Instructions!$J$32,0)+(CQ650+CS650)*Instructions!$J$34+Tier!CT650*-2</f>
        <v>134.39999999999998</v>
      </c>
      <c r="CV650" s="354"/>
      <c r="CW650"/>
      <c r="CX650"/>
      <c r="CY650"/>
      <c r="CZ650"/>
      <c r="DA650"/>
      <c r="DB650"/>
      <c r="DC650"/>
      <c r="DD650"/>
      <c r="DE650"/>
      <c r="DF650"/>
      <c r="DG650"/>
      <c r="DH650"/>
      <c r="DI650"/>
      <c r="DJ650"/>
      <c r="DK650"/>
      <c r="DL650"/>
      <c r="DM650"/>
      <c r="DN650"/>
    </row>
    <row r="651" spans="3:118" s="238" customFormat="1" ht="15.75" customHeight="1" x14ac:dyDescent="0.25">
      <c r="C651"/>
      <c r="D651"/>
      <c r="E651"/>
      <c r="F651"/>
      <c r="G651"/>
      <c r="H651"/>
      <c r="I651"/>
      <c r="J651"/>
      <c r="K651"/>
      <c r="L651"/>
      <c r="M651"/>
      <c r="N651"/>
      <c r="O651" s="366"/>
      <c r="P651" s="366">
        <v>2018</v>
      </c>
      <c r="Q651" s="367">
        <f>LARGE($CB$606:$CB$755,46)</f>
        <v>101</v>
      </c>
      <c r="R651" s="357">
        <f t="shared" si="157"/>
        <v>-95.6</v>
      </c>
      <c r="S651" s="356">
        <f t="shared" si="158"/>
        <v>9139.3599999999988</v>
      </c>
      <c r="U651" s="356">
        <f t="shared" si="159"/>
        <v>-5.9749999999999996</v>
      </c>
      <c r="V651" s="238">
        <f t="shared" si="163"/>
        <v>8</v>
      </c>
      <c r="W651" s="354"/>
      <c r="X651" s="366"/>
      <c r="Y651" s="366"/>
      <c r="Z651" s="238">
        <v>2018</v>
      </c>
      <c r="AA651" s="367">
        <f>LARGE($CU$606:$CU$755,46)</f>
        <v>104.3</v>
      </c>
      <c r="AB651" s="357">
        <f t="shared" si="160"/>
        <v>-86.600000000000009</v>
      </c>
      <c r="AC651" s="356">
        <f t="shared" si="162"/>
        <v>7499.5600000000013</v>
      </c>
      <c r="AE651" s="356">
        <f t="shared" si="161"/>
        <v>-5.4125000000000005</v>
      </c>
      <c r="AF651" s="238">
        <f t="shared" si="164"/>
        <v>8</v>
      </c>
      <c r="AG651" s="354"/>
      <c r="AK651"/>
      <c r="AL651"/>
      <c r="AM651"/>
      <c r="AN651"/>
      <c r="AO651"/>
      <c r="AP651"/>
      <c r="BI651" s="360"/>
      <c r="BJ651" s="354"/>
      <c r="BK651" s="366">
        <v>2018</v>
      </c>
      <c r="BL651" t="s">
        <v>113</v>
      </c>
      <c r="BM651" t="s">
        <v>136</v>
      </c>
      <c r="BN651" t="s">
        <v>3</v>
      </c>
      <c r="BO651">
        <v>0</v>
      </c>
      <c r="BP651">
        <v>0</v>
      </c>
      <c r="BQ651">
        <v>0</v>
      </c>
      <c r="BR651">
        <v>571</v>
      </c>
      <c r="BS651">
        <v>5</v>
      </c>
      <c r="BT651">
        <v>10</v>
      </c>
      <c r="BU651">
        <v>33</v>
      </c>
      <c r="BV651">
        <v>0</v>
      </c>
      <c r="BW651">
        <v>0</v>
      </c>
      <c r="BX651">
        <v>0</v>
      </c>
      <c r="BY651">
        <v>0</v>
      </c>
      <c r="BZ651">
        <v>0</v>
      </c>
      <c r="CA651">
        <v>1</v>
      </c>
      <c r="CB651" s="367">
        <f>IFERROR(BO651/Instructions!$J$25,0)+BP651*Instructions!$J$27+BQ651*Instructions!$J$29+IFERROR(BR651/Instructions!$E$34,0)+BS651*Instructions!$E$36+Tier!BT652*Instructions!$E$25+IFERROR(BU651/Instructions!$E$27,0)+BV651*Instructions!$E$29+IFERROR((BW651+BY651)/Instructions!$J$32,0)+(BX651+BZ651)*Instructions!$J$34+Tier!CA651*-2</f>
        <v>102.39999999999999</v>
      </c>
      <c r="CC651" s="354"/>
      <c r="CD651" s="3">
        <v>2018</v>
      </c>
      <c r="CE651" t="s">
        <v>1965</v>
      </c>
      <c r="CF651" t="s">
        <v>143</v>
      </c>
      <c r="CG651" s="366" t="s">
        <v>6</v>
      </c>
      <c r="CH651">
        <v>0</v>
      </c>
      <c r="CI651">
        <v>0</v>
      </c>
      <c r="CJ651">
        <v>0</v>
      </c>
      <c r="CK651">
        <v>0</v>
      </c>
      <c r="CL651">
        <v>0</v>
      </c>
      <c r="CM651">
        <v>28</v>
      </c>
      <c r="CN651">
        <v>427</v>
      </c>
      <c r="CO651">
        <v>5</v>
      </c>
      <c r="CP651">
        <v>0</v>
      </c>
      <c r="CQ651">
        <v>0</v>
      </c>
      <c r="CR651">
        <v>0</v>
      </c>
      <c r="CS651">
        <v>0</v>
      </c>
      <c r="CT651">
        <v>0</v>
      </c>
      <c r="CU651" s="367">
        <f>IFERROR(CH651/Instructions!$J$25,0)+CI651*Instructions!$J$27+CJ651*Instructions!$J$29+IFERROR(CK651/Instructions!$E$34,0)+CL651*Instructions!$E$36+Tier!CM651*Instructions!$E$25+IFERROR(CN651/Instructions!$E$27,0)+CO651*Instructions!$E$29+IFERROR((CP651+CR651)/Instructions!$J$32,0)+(CQ651+CS651)*Instructions!$J$34+Tier!CT651*-2</f>
        <v>100.7</v>
      </c>
      <c r="CV651" s="354"/>
      <c r="CW651"/>
      <c r="CX651"/>
      <c r="CY651"/>
      <c r="CZ651"/>
      <c r="DA651"/>
      <c r="DB651"/>
      <c r="DC651"/>
      <c r="DD651"/>
      <c r="DE651"/>
      <c r="DF651"/>
      <c r="DG651"/>
      <c r="DH651"/>
      <c r="DI651"/>
      <c r="DJ651"/>
      <c r="DK651"/>
      <c r="DL651"/>
      <c r="DM651"/>
      <c r="DN651"/>
    </row>
    <row r="652" spans="3:118" s="238" customFormat="1" ht="15.75" customHeight="1" x14ac:dyDescent="0.25">
      <c r="C652"/>
      <c r="D652"/>
      <c r="E652"/>
      <c r="F652"/>
      <c r="G652"/>
      <c r="H652"/>
      <c r="I652"/>
      <c r="J652"/>
      <c r="K652"/>
      <c r="L652"/>
      <c r="M652"/>
      <c r="N652"/>
      <c r="O652" s="366"/>
      <c r="P652" s="366">
        <v>2018</v>
      </c>
      <c r="Q652" s="367">
        <f>LARGE($CB$606:$CB$755,47)</f>
        <v>100.30000000000001</v>
      </c>
      <c r="R652" s="357">
        <f t="shared" si="157"/>
        <v>-96.299999999999983</v>
      </c>
      <c r="S652" s="356">
        <f t="shared" si="158"/>
        <v>9273.6899999999969</v>
      </c>
      <c r="U652" s="356">
        <f t="shared" si="159"/>
        <v>-6.0187499999999989</v>
      </c>
      <c r="V652" s="238">
        <f t="shared" si="163"/>
        <v>8</v>
      </c>
      <c r="W652" s="354"/>
      <c r="X652" s="366"/>
      <c r="Y652" s="366"/>
      <c r="Z652" s="238">
        <v>2018</v>
      </c>
      <c r="AA652" s="367">
        <f>LARGE($CU$606:$CU$755,47)</f>
        <v>103.5</v>
      </c>
      <c r="AB652" s="357">
        <f t="shared" si="160"/>
        <v>-87.4</v>
      </c>
      <c r="AC652" s="356">
        <f t="shared" si="162"/>
        <v>7638.7600000000011</v>
      </c>
      <c r="AE652" s="356">
        <f t="shared" si="161"/>
        <v>-5.4625000000000004</v>
      </c>
      <c r="AF652" s="238">
        <f t="shared" si="164"/>
        <v>8</v>
      </c>
      <c r="AG652" s="354"/>
      <c r="AK652"/>
      <c r="AL652"/>
      <c r="AM652"/>
      <c r="AN652"/>
      <c r="AO652"/>
      <c r="AP652"/>
      <c r="BI652" s="360"/>
      <c r="BJ652" s="354"/>
      <c r="BK652" s="366">
        <v>2018</v>
      </c>
      <c r="BL652" t="s">
        <v>1768</v>
      </c>
      <c r="BM652" t="s">
        <v>1948</v>
      </c>
      <c r="BN652" t="s">
        <v>3</v>
      </c>
      <c r="BO652">
        <v>0</v>
      </c>
      <c r="BP652">
        <v>0</v>
      </c>
      <c r="BQ652">
        <v>0</v>
      </c>
      <c r="BR652">
        <v>521</v>
      </c>
      <c r="BS652">
        <v>5</v>
      </c>
      <c r="BT652">
        <v>14</v>
      </c>
      <c r="BU652">
        <v>72</v>
      </c>
      <c r="BV652">
        <v>0</v>
      </c>
      <c r="BW652">
        <v>0</v>
      </c>
      <c r="BX652">
        <v>0</v>
      </c>
      <c r="BY652">
        <v>0</v>
      </c>
      <c r="BZ652">
        <v>0</v>
      </c>
      <c r="CA652">
        <v>1</v>
      </c>
      <c r="CB652" s="367">
        <f>IFERROR(BO652/Instructions!$J$25,0)+BP652*Instructions!$J$27+BQ652*Instructions!$J$29+IFERROR(BR652/Instructions!$E$34,0)+BS652*Instructions!$E$36+Tier!BT653*Instructions!$E$25+IFERROR(BU652/Instructions!$E$27,0)+BV652*Instructions!$E$29+IFERROR((BW652+BY652)/Instructions!$J$32,0)+(BX652+BZ652)*Instructions!$J$34+Tier!CA652*-2</f>
        <v>134.29999999999998</v>
      </c>
      <c r="CC652" s="354"/>
      <c r="CD652" s="3">
        <v>2018</v>
      </c>
      <c r="CE652" t="s">
        <v>1832</v>
      </c>
      <c r="CF652" t="s">
        <v>1942</v>
      </c>
      <c r="CG652" s="366" t="s">
        <v>6</v>
      </c>
      <c r="CH652">
        <v>0</v>
      </c>
      <c r="CI652">
        <v>0</v>
      </c>
      <c r="CJ652">
        <v>0</v>
      </c>
      <c r="CK652">
        <v>0</v>
      </c>
      <c r="CL652">
        <v>0</v>
      </c>
      <c r="CM652">
        <v>27</v>
      </c>
      <c r="CN652">
        <v>541</v>
      </c>
      <c r="CO652">
        <v>3</v>
      </c>
      <c r="CP652">
        <v>0</v>
      </c>
      <c r="CQ652">
        <v>0</v>
      </c>
      <c r="CR652">
        <v>0</v>
      </c>
      <c r="CS652">
        <v>0</v>
      </c>
      <c r="CT652">
        <v>0</v>
      </c>
      <c r="CU652" s="367">
        <f>IFERROR(CH652/Instructions!$J$25,0)+CI652*Instructions!$J$27+CJ652*Instructions!$J$29+IFERROR(CK652/Instructions!$E$34,0)+CL652*Instructions!$E$36+Tier!CM652*Instructions!$E$25+IFERROR(CN652/Instructions!$E$27,0)+CO652*Instructions!$E$29+IFERROR((CP652+CR652)/Instructions!$J$32,0)+(CQ652+CS652)*Instructions!$J$34+Tier!CT652*-2</f>
        <v>99.1</v>
      </c>
      <c r="CV652" s="354"/>
      <c r="CW652"/>
      <c r="CX652"/>
      <c r="CY652"/>
      <c r="CZ652"/>
      <c r="DA652"/>
      <c r="DB652"/>
      <c r="DC652"/>
      <c r="DD652"/>
      <c r="DE652"/>
      <c r="DF652"/>
      <c r="DG652"/>
      <c r="DH652"/>
      <c r="DI652"/>
      <c r="DJ652"/>
      <c r="DK652"/>
      <c r="DL652"/>
      <c r="DM652"/>
      <c r="DN652"/>
    </row>
    <row r="653" spans="3:118" s="238" customFormat="1" ht="15.75" customHeight="1" x14ac:dyDescent="0.25">
      <c r="C653"/>
      <c r="D653"/>
      <c r="E653"/>
      <c r="F653"/>
      <c r="G653"/>
      <c r="H653"/>
      <c r="I653"/>
      <c r="J653"/>
      <c r="K653"/>
      <c r="L653"/>
      <c r="M653"/>
      <c r="N653"/>
      <c r="O653" s="366"/>
      <c r="P653" s="366">
        <v>2018</v>
      </c>
      <c r="Q653" s="367">
        <f>LARGE($CB$606:$CB$755,48)</f>
        <v>99.4</v>
      </c>
      <c r="R653" s="357">
        <f t="shared" si="157"/>
        <v>-97.199999999999989</v>
      </c>
      <c r="S653" s="356">
        <f t="shared" si="158"/>
        <v>9447.8399999999983</v>
      </c>
      <c r="U653" s="356">
        <f t="shared" si="159"/>
        <v>-6.0749999999999993</v>
      </c>
      <c r="V653" s="238">
        <f t="shared" si="163"/>
        <v>8</v>
      </c>
      <c r="W653" s="354"/>
      <c r="X653" s="366"/>
      <c r="Y653" s="366"/>
      <c r="Z653" s="238">
        <v>2018</v>
      </c>
      <c r="AA653" s="367">
        <f>LARGE($CU$606:$CU$755,48)</f>
        <v>101.7</v>
      </c>
      <c r="AB653" s="357">
        <f t="shared" si="160"/>
        <v>-89.2</v>
      </c>
      <c r="AC653" s="356">
        <f t="shared" si="162"/>
        <v>7956.64</v>
      </c>
      <c r="AE653" s="356">
        <f t="shared" si="161"/>
        <v>-5.5750000000000002</v>
      </c>
      <c r="AF653" s="238">
        <f t="shared" si="164"/>
        <v>8</v>
      </c>
      <c r="AG653" s="354"/>
      <c r="AK653"/>
      <c r="AL653"/>
      <c r="AM653"/>
      <c r="AN653"/>
      <c r="AO653"/>
      <c r="AP653"/>
      <c r="BI653" s="360"/>
      <c r="BJ653" s="354"/>
      <c r="BK653" s="366">
        <v>2018</v>
      </c>
      <c r="BL653" t="s">
        <v>1136</v>
      </c>
      <c r="BM653" t="s">
        <v>1938</v>
      </c>
      <c r="BN653" t="s">
        <v>3</v>
      </c>
      <c r="BO653">
        <v>0</v>
      </c>
      <c r="BP653">
        <v>0</v>
      </c>
      <c r="BQ653">
        <v>0</v>
      </c>
      <c r="BR653">
        <v>201</v>
      </c>
      <c r="BS653">
        <v>0</v>
      </c>
      <c r="BT653">
        <v>47</v>
      </c>
      <c r="BU653">
        <v>429</v>
      </c>
      <c r="BV653">
        <v>3</v>
      </c>
      <c r="BW653">
        <v>0</v>
      </c>
      <c r="BX653">
        <v>0</v>
      </c>
      <c r="BY653">
        <v>0</v>
      </c>
      <c r="BZ653">
        <v>0</v>
      </c>
      <c r="CA653">
        <v>0</v>
      </c>
      <c r="CB653" s="367">
        <f>IFERROR(BO653/Instructions!$J$25,0)+BP653*Instructions!$J$27+BQ653*Instructions!$J$29+IFERROR(BR653/Instructions!$E$34,0)+BS653*Instructions!$E$36+Tier!BT654*Instructions!$E$25+IFERROR(BU653/Instructions!$E$27,0)+BV653*Instructions!$E$29+IFERROR((BW653+BY653)/Instructions!$J$32,0)+(BX653+BZ653)*Instructions!$J$34+Tier!CA653*-2</f>
        <v>101</v>
      </c>
      <c r="CC653" s="354"/>
      <c r="CD653" s="3">
        <v>2018</v>
      </c>
      <c r="CE653" t="s">
        <v>1800</v>
      </c>
      <c r="CF653" t="s">
        <v>155</v>
      </c>
      <c r="CG653" s="366" t="s">
        <v>6</v>
      </c>
      <c r="CH653">
        <v>0</v>
      </c>
      <c r="CI653">
        <v>0</v>
      </c>
      <c r="CJ653">
        <v>0</v>
      </c>
      <c r="CK653">
        <v>0</v>
      </c>
      <c r="CL653">
        <v>0</v>
      </c>
      <c r="CM653">
        <v>42</v>
      </c>
      <c r="CN653">
        <v>487</v>
      </c>
      <c r="CO653">
        <v>4</v>
      </c>
      <c r="CP653">
        <v>0</v>
      </c>
      <c r="CQ653">
        <v>0</v>
      </c>
      <c r="CR653">
        <v>0</v>
      </c>
      <c r="CS653">
        <v>0</v>
      </c>
      <c r="CT653">
        <v>0</v>
      </c>
      <c r="CU653" s="367">
        <f>IFERROR(CH653/Instructions!$J$25,0)+CI653*Instructions!$J$27+CJ653*Instructions!$J$29+IFERROR(CK653/Instructions!$E$34,0)+CL653*Instructions!$E$36+Tier!CM653*Instructions!$E$25+IFERROR(CN653/Instructions!$E$27,0)+CO653*Instructions!$E$29+IFERROR((CP653+CR653)/Instructions!$J$32,0)+(CQ653+CS653)*Instructions!$J$34+Tier!CT653*-2</f>
        <v>114.7</v>
      </c>
      <c r="CV653" s="354"/>
      <c r="CW653"/>
      <c r="CX653"/>
      <c r="CY653"/>
      <c r="CZ653"/>
      <c r="DA653"/>
      <c r="DB653"/>
      <c r="DC653"/>
      <c r="DD653"/>
      <c r="DE653"/>
      <c r="DF653"/>
      <c r="DG653"/>
      <c r="DH653"/>
      <c r="DI653"/>
      <c r="DJ653"/>
      <c r="DK653"/>
      <c r="DL653"/>
      <c r="DM653"/>
      <c r="DN653"/>
    </row>
    <row r="654" spans="3:118" s="238" customFormat="1" ht="15.75" customHeight="1" x14ac:dyDescent="0.25">
      <c r="C654"/>
      <c r="D654"/>
      <c r="E654"/>
      <c r="F654"/>
      <c r="G654"/>
      <c r="H654"/>
      <c r="I654"/>
      <c r="J654"/>
      <c r="K654"/>
      <c r="L654"/>
      <c r="M654"/>
      <c r="N654"/>
      <c r="O654" s="366"/>
      <c r="P654" s="366">
        <v>2018</v>
      </c>
      <c r="Q654" s="367">
        <f>LARGE($CB$606:$CB$755,49)</f>
        <v>97.399999999999991</v>
      </c>
      <c r="R654" s="357">
        <f t="shared" si="157"/>
        <v>-99.2</v>
      </c>
      <c r="S654" s="356">
        <f t="shared" si="158"/>
        <v>9840.6400000000012</v>
      </c>
      <c r="U654" s="356">
        <f t="shared" si="159"/>
        <v>-6.2</v>
      </c>
      <c r="V654" s="238">
        <f t="shared" si="163"/>
        <v>8</v>
      </c>
      <c r="W654" s="354"/>
      <c r="X654" s="366"/>
      <c r="Y654" s="366"/>
      <c r="Z654" s="238">
        <v>2018</v>
      </c>
      <c r="AA654" s="367">
        <f>LARGE($CU$606:$CU$755,49)</f>
        <v>101</v>
      </c>
      <c r="AB654" s="357">
        <f t="shared" si="160"/>
        <v>-89.9</v>
      </c>
      <c r="AC654" s="356">
        <f t="shared" si="162"/>
        <v>8082.0100000000011</v>
      </c>
      <c r="AE654" s="356">
        <f t="shared" si="161"/>
        <v>-5.6187500000000004</v>
      </c>
      <c r="AF654" s="238">
        <f t="shared" si="164"/>
        <v>8</v>
      </c>
      <c r="AG654" s="354"/>
      <c r="AK654"/>
      <c r="AL654"/>
      <c r="AM654"/>
      <c r="AN654"/>
      <c r="AO654"/>
      <c r="AP654"/>
      <c r="BI654" s="360"/>
      <c r="BJ654" s="354"/>
      <c r="BK654" s="366">
        <v>2018</v>
      </c>
      <c r="BL654" t="s">
        <v>984</v>
      </c>
      <c r="BM654" t="s">
        <v>1950</v>
      </c>
      <c r="BN654" t="s">
        <v>3</v>
      </c>
      <c r="BO654">
        <v>0</v>
      </c>
      <c r="BP654">
        <v>0</v>
      </c>
      <c r="BQ654">
        <v>0</v>
      </c>
      <c r="BR654">
        <v>499</v>
      </c>
      <c r="BS654">
        <v>2</v>
      </c>
      <c r="BT654">
        <v>20</v>
      </c>
      <c r="BU654">
        <v>154</v>
      </c>
      <c r="BV654">
        <v>0</v>
      </c>
      <c r="BW654">
        <v>0</v>
      </c>
      <c r="BX654">
        <v>0</v>
      </c>
      <c r="BY654">
        <v>13</v>
      </c>
      <c r="BZ654">
        <v>0</v>
      </c>
      <c r="CA654">
        <v>0</v>
      </c>
      <c r="CB654" s="367">
        <f>IFERROR(BO654/Instructions!$J$25,0)+BP654*Instructions!$J$27+BQ654*Instructions!$J$29+IFERROR(BR654/Instructions!$E$34,0)+BS654*Instructions!$E$36+Tier!BT655*Instructions!$E$25+IFERROR(BU654/Instructions!$E$27,0)+BV654*Instructions!$E$29+IFERROR((BW654+BY654)/Instructions!$J$32,0)+(BX654+BZ654)*Instructions!$J$34+Tier!CA654*-2</f>
        <v>100.30000000000001</v>
      </c>
      <c r="CC654" s="354"/>
      <c r="CD654" s="3">
        <v>2018</v>
      </c>
      <c r="CE654" t="s">
        <v>219</v>
      </c>
      <c r="CF654" t="s">
        <v>1935</v>
      </c>
      <c r="CG654" s="366" t="s">
        <v>6</v>
      </c>
      <c r="CH654">
        <v>0</v>
      </c>
      <c r="CI654">
        <v>0</v>
      </c>
      <c r="CJ654">
        <v>0</v>
      </c>
      <c r="CK654">
        <v>0</v>
      </c>
      <c r="CL654">
        <v>0</v>
      </c>
      <c r="CM654">
        <v>35</v>
      </c>
      <c r="CN654">
        <v>532</v>
      </c>
      <c r="CO654">
        <v>3</v>
      </c>
      <c r="CP654">
        <v>0</v>
      </c>
      <c r="CQ654">
        <v>0</v>
      </c>
      <c r="CR654">
        <v>0</v>
      </c>
      <c r="CS654">
        <v>0</v>
      </c>
      <c r="CT654">
        <v>0</v>
      </c>
      <c r="CU654" s="367">
        <f>IFERROR(CH654/Instructions!$J$25,0)+CI654*Instructions!$J$27+CJ654*Instructions!$J$29+IFERROR(CK654/Instructions!$E$34,0)+CL654*Instructions!$E$36+Tier!CM654*Instructions!$E$25+IFERROR(CN654/Instructions!$E$27,0)+CO654*Instructions!$E$29+IFERROR((CP654+CR654)/Instructions!$J$32,0)+(CQ654+CS654)*Instructions!$J$34+Tier!CT654*-2</f>
        <v>106.2</v>
      </c>
      <c r="CV654" s="354"/>
      <c r="CW654"/>
      <c r="CX654"/>
      <c r="CY654"/>
      <c r="CZ654"/>
      <c r="DA654"/>
      <c r="DB654"/>
      <c r="DC654"/>
      <c r="DD654"/>
      <c r="DE654"/>
      <c r="DF654"/>
      <c r="DG654"/>
      <c r="DH654"/>
      <c r="DI654"/>
      <c r="DJ654"/>
      <c r="DK654"/>
      <c r="DL654"/>
      <c r="DM654"/>
      <c r="DN654"/>
    </row>
    <row r="655" spans="3:118" s="238" customFormat="1" ht="15.75" customHeight="1" x14ac:dyDescent="0.25">
      <c r="C655"/>
      <c r="D655"/>
      <c r="E655"/>
      <c r="F655"/>
      <c r="G655"/>
      <c r="H655"/>
      <c r="I655"/>
      <c r="J655"/>
      <c r="K655"/>
      <c r="L655"/>
      <c r="M655"/>
      <c r="N655"/>
      <c r="O655" s="366"/>
      <c r="P655" s="366">
        <v>2018</v>
      </c>
      <c r="Q655" s="367">
        <f>LARGE($CB$606:$CB$755,50)</f>
        <v>97</v>
      </c>
      <c r="R655" s="357">
        <f t="shared" si="157"/>
        <v>-99.6</v>
      </c>
      <c r="S655" s="356">
        <f t="shared" si="158"/>
        <v>9920.159999999998</v>
      </c>
      <c r="U655" s="356">
        <f t="shared" si="159"/>
        <v>-6.2249999999999996</v>
      </c>
      <c r="V655" s="238">
        <f t="shared" si="163"/>
        <v>8</v>
      </c>
      <c r="W655" s="354"/>
      <c r="X655" s="366"/>
      <c r="Y655" s="366"/>
      <c r="Z655" s="238">
        <v>2018</v>
      </c>
      <c r="AA655" s="367">
        <f>LARGE($CU$606:$CU$755,50)</f>
        <v>100.7</v>
      </c>
      <c r="AB655" s="357">
        <f t="shared" si="160"/>
        <v>-90.2</v>
      </c>
      <c r="AC655" s="356">
        <f t="shared" si="162"/>
        <v>8136.0400000000009</v>
      </c>
      <c r="AE655" s="356">
        <f t="shared" si="161"/>
        <v>-5.6375000000000002</v>
      </c>
      <c r="AF655" s="238">
        <f t="shared" si="164"/>
        <v>8</v>
      </c>
      <c r="AG655" s="354"/>
      <c r="AK655"/>
      <c r="AL655"/>
      <c r="AM655"/>
      <c r="AN655"/>
      <c r="AO655"/>
      <c r="AP655"/>
      <c r="BI655" s="360"/>
      <c r="BJ655" s="354"/>
      <c r="BK655" s="366">
        <v>2018</v>
      </c>
      <c r="BL655" t="s">
        <v>1149</v>
      </c>
      <c r="BM655" t="s">
        <v>136</v>
      </c>
      <c r="BN655" t="s">
        <v>3</v>
      </c>
      <c r="BO655">
        <v>0</v>
      </c>
      <c r="BP655">
        <v>0</v>
      </c>
      <c r="BQ655">
        <v>0</v>
      </c>
      <c r="BR655">
        <v>256</v>
      </c>
      <c r="BS655">
        <v>4</v>
      </c>
      <c r="BT655">
        <v>23</v>
      </c>
      <c r="BU655">
        <v>160</v>
      </c>
      <c r="BV655">
        <v>2</v>
      </c>
      <c r="BW655">
        <v>0</v>
      </c>
      <c r="BX655">
        <v>0</v>
      </c>
      <c r="BY655">
        <v>0</v>
      </c>
      <c r="BZ655">
        <v>0</v>
      </c>
      <c r="CA655">
        <v>1</v>
      </c>
      <c r="CB655" s="367">
        <f>IFERROR(BO655/Instructions!$J$25,0)+BP655*Instructions!$J$27+BQ655*Instructions!$J$29+IFERROR(BR655/Instructions!$E$34,0)+BS655*Instructions!$E$36+Tier!BT656*Instructions!$E$25+IFERROR(BU655/Instructions!$E$27,0)+BV655*Instructions!$E$29+IFERROR((BW655+BY655)/Instructions!$J$32,0)+(BX655+BZ655)*Instructions!$J$34+Tier!CA655*-2</f>
        <v>85.6</v>
      </c>
      <c r="CC655" s="354"/>
      <c r="CD655" s="3">
        <v>2018</v>
      </c>
      <c r="CE655" t="s">
        <v>1444</v>
      </c>
      <c r="CF655" t="s">
        <v>1389</v>
      </c>
      <c r="CG655" s="366" t="s">
        <v>6</v>
      </c>
      <c r="CH655">
        <v>0</v>
      </c>
      <c r="CI655">
        <v>0</v>
      </c>
      <c r="CJ655">
        <v>0</v>
      </c>
      <c r="CK655">
        <v>8</v>
      </c>
      <c r="CL655">
        <v>0</v>
      </c>
      <c r="CM655">
        <v>29</v>
      </c>
      <c r="CN655">
        <v>402</v>
      </c>
      <c r="CO655">
        <v>5</v>
      </c>
      <c r="CP655">
        <v>0</v>
      </c>
      <c r="CQ655">
        <v>0</v>
      </c>
      <c r="CR655">
        <v>0</v>
      </c>
      <c r="CS655">
        <v>0</v>
      </c>
      <c r="CT655">
        <v>0</v>
      </c>
      <c r="CU655" s="367">
        <f>IFERROR(CH655/Instructions!$J$25,0)+CI655*Instructions!$J$27+CJ655*Instructions!$J$29+IFERROR(CK655/Instructions!$E$34,0)+CL655*Instructions!$E$36+Tier!CM655*Instructions!$E$25+IFERROR(CN655/Instructions!$E$27,0)+CO655*Instructions!$E$29+IFERROR((CP655+CR655)/Instructions!$J$32,0)+(CQ655+CS655)*Instructions!$J$34+Tier!CT655*-2</f>
        <v>100</v>
      </c>
      <c r="CV655" s="354"/>
      <c r="CW655"/>
      <c r="CX655"/>
      <c r="CY655"/>
      <c r="CZ655"/>
      <c r="DA655"/>
      <c r="DB655"/>
      <c r="DC655"/>
      <c r="DD655"/>
      <c r="DE655"/>
      <c r="DF655"/>
      <c r="DG655"/>
      <c r="DH655"/>
      <c r="DI655"/>
      <c r="DJ655"/>
      <c r="DK655"/>
      <c r="DL655"/>
      <c r="DM655"/>
      <c r="DN655"/>
    </row>
    <row r="656" spans="3:118" s="238" customFormat="1" ht="15.75" customHeight="1" x14ac:dyDescent="0.25">
      <c r="C656"/>
      <c r="D656"/>
      <c r="E656"/>
      <c r="F656"/>
      <c r="G656"/>
      <c r="H656"/>
      <c r="I656"/>
      <c r="J656"/>
      <c r="K656"/>
      <c r="L656"/>
      <c r="M656"/>
      <c r="N656"/>
      <c r="O656" s="366"/>
      <c r="P656" s="366">
        <v>2018</v>
      </c>
      <c r="Q656" s="367">
        <f>LARGE($CB$606:$CB$755,51)</f>
        <v>95.8</v>
      </c>
      <c r="R656" s="357">
        <f t="shared" si="157"/>
        <v>-100.8</v>
      </c>
      <c r="S656" s="356">
        <f>R656^2</f>
        <v>10160.64</v>
      </c>
      <c r="T656" s="356"/>
      <c r="U656" s="356">
        <f t="shared" si="159"/>
        <v>-6.3</v>
      </c>
      <c r="V656" s="238">
        <f t="shared" si="163"/>
        <v>8</v>
      </c>
      <c r="W656" s="354"/>
      <c r="X656" s="366"/>
      <c r="Y656" s="366"/>
      <c r="Z656" s="238">
        <v>2018</v>
      </c>
      <c r="AA656" s="367">
        <f>LARGE($CU$606:$CU$755,51)</f>
        <v>100</v>
      </c>
      <c r="AB656" s="357">
        <f t="shared" si="160"/>
        <v>-90.9</v>
      </c>
      <c r="AC656" s="356">
        <f t="shared" si="162"/>
        <v>8262.8100000000013</v>
      </c>
      <c r="AE656" s="356">
        <f t="shared" si="161"/>
        <v>-5.6812500000000004</v>
      </c>
      <c r="AF656" s="238">
        <f t="shared" si="164"/>
        <v>8</v>
      </c>
      <c r="AG656" s="354"/>
      <c r="AK656"/>
      <c r="AL656"/>
      <c r="AM656"/>
      <c r="AN656"/>
      <c r="AO656"/>
      <c r="AP656"/>
      <c r="BI656" s="360"/>
      <c r="BJ656" s="354"/>
      <c r="BK656" s="366">
        <v>2018</v>
      </c>
      <c r="BL656" t="s">
        <v>109</v>
      </c>
      <c r="BM656" t="s">
        <v>1939</v>
      </c>
      <c r="BN656" t="s">
        <v>3</v>
      </c>
      <c r="BO656">
        <v>0</v>
      </c>
      <c r="BP656">
        <v>0</v>
      </c>
      <c r="BQ656">
        <v>0</v>
      </c>
      <c r="BR656">
        <v>418</v>
      </c>
      <c r="BS656">
        <v>5</v>
      </c>
      <c r="BT656">
        <v>10</v>
      </c>
      <c r="BU656">
        <v>67</v>
      </c>
      <c r="BV656">
        <v>0</v>
      </c>
      <c r="BW656">
        <v>0</v>
      </c>
      <c r="BX656">
        <v>0</v>
      </c>
      <c r="BY656">
        <v>0</v>
      </c>
      <c r="BZ656">
        <v>0</v>
      </c>
      <c r="CA656">
        <v>1</v>
      </c>
      <c r="CB656" s="367">
        <f>IFERROR(BO656/Instructions!$J$25,0)+BP656*Instructions!$J$27+BQ656*Instructions!$J$29+IFERROR(BR656/Instructions!$E$34,0)+BS656*Instructions!$E$36+Tier!BT657*Instructions!$E$25+IFERROR(BU656/Instructions!$E$27,0)+BV656*Instructions!$E$29+IFERROR((BW656+BY656)/Instructions!$J$32,0)+(BX656+BZ656)*Instructions!$J$34+Tier!CA656*-2</f>
        <v>83.5</v>
      </c>
      <c r="CC656" s="354"/>
      <c r="CD656" s="3">
        <v>2018</v>
      </c>
      <c r="CE656" t="s">
        <v>1110</v>
      </c>
      <c r="CF656" t="s">
        <v>1946</v>
      </c>
      <c r="CG656" s="366" t="s">
        <v>6</v>
      </c>
      <c r="CH656">
        <v>52</v>
      </c>
      <c r="CI656">
        <v>1</v>
      </c>
      <c r="CJ656">
        <v>0</v>
      </c>
      <c r="CK656">
        <v>16</v>
      </c>
      <c r="CL656">
        <v>0</v>
      </c>
      <c r="CM656">
        <v>26</v>
      </c>
      <c r="CN656">
        <v>391</v>
      </c>
      <c r="CO656">
        <v>4</v>
      </c>
      <c r="CP656">
        <v>0</v>
      </c>
      <c r="CQ656">
        <v>0</v>
      </c>
      <c r="CR656">
        <v>0</v>
      </c>
      <c r="CS656">
        <v>0</v>
      </c>
      <c r="CT656">
        <v>0</v>
      </c>
      <c r="CU656" s="367">
        <f>IFERROR(CH656/Instructions!$J$25,0)+CI656*Instructions!$J$27+CJ656*Instructions!$J$29+IFERROR(CK656/Instructions!$E$34,0)+CL656*Instructions!$E$36+Tier!CM656*Instructions!$E$25+IFERROR(CN656/Instructions!$E$27,0)+CO656*Instructions!$E$29+IFERROR((CP656+CR656)/Instructions!$J$32,0)+(CQ656+CS656)*Instructions!$J$34+Tier!CT656*-2</f>
        <v>96.78</v>
      </c>
      <c r="CV656" s="354"/>
      <c r="CW656"/>
      <c r="CX656"/>
      <c r="CY656"/>
      <c r="CZ656"/>
      <c r="DA656"/>
      <c r="DB656"/>
      <c r="DC656"/>
      <c r="DD656"/>
      <c r="DE656"/>
      <c r="DF656"/>
      <c r="DG656"/>
      <c r="DH656"/>
      <c r="DI656"/>
      <c r="DJ656"/>
      <c r="DK656"/>
      <c r="DL656"/>
      <c r="DM656"/>
      <c r="DN656"/>
    </row>
    <row r="657" spans="3:118" s="238" customFormat="1" ht="15.75" customHeight="1" x14ac:dyDescent="0.25">
      <c r="C657"/>
      <c r="D657"/>
      <c r="E657"/>
      <c r="F657"/>
      <c r="G657"/>
      <c r="H657"/>
      <c r="I657"/>
      <c r="J657"/>
      <c r="K657"/>
      <c r="L657"/>
      <c r="M657"/>
      <c r="N657"/>
      <c r="O657" s="366"/>
      <c r="P657" s="366">
        <v>2018</v>
      </c>
      <c r="Q657" s="367">
        <f>LARGE($CB$606:$CB$755,52)</f>
        <v>95.1</v>
      </c>
      <c r="R657" s="357">
        <f t="shared" si="157"/>
        <v>-101.5</v>
      </c>
      <c r="S657" s="356">
        <f t="shared" ref="S657:S720" si="165">R657^2</f>
        <v>10302.25</v>
      </c>
      <c r="T657" s="356"/>
      <c r="U657" s="356">
        <f t="shared" si="159"/>
        <v>-6.34375</v>
      </c>
      <c r="V657" s="238">
        <f t="shared" si="163"/>
        <v>8</v>
      </c>
      <c r="W657" s="354"/>
      <c r="X657" s="366"/>
      <c r="Y657" s="366"/>
      <c r="Z657" s="238">
        <v>2018</v>
      </c>
      <c r="AA657" s="367">
        <f>LARGE($CU$606:$CU$755,52)</f>
        <v>99.1</v>
      </c>
      <c r="AB657" s="357">
        <f t="shared" si="160"/>
        <v>-91.800000000000011</v>
      </c>
      <c r="AC657" s="356">
        <f t="shared" si="162"/>
        <v>8427.2400000000016</v>
      </c>
      <c r="AE657" s="356">
        <f t="shared" si="161"/>
        <v>-5.7375000000000007</v>
      </c>
      <c r="AF657" s="238">
        <f t="shared" si="164"/>
        <v>8</v>
      </c>
      <c r="AG657" s="354"/>
      <c r="AK657"/>
      <c r="AL657"/>
      <c r="AM657"/>
      <c r="AN657"/>
      <c r="AO657"/>
      <c r="AP657"/>
      <c r="BI657" s="360"/>
      <c r="BJ657" s="354"/>
      <c r="BK657" s="366">
        <v>2018</v>
      </c>
      <c r="BL657" t="s">
        <v>1785</v>
      </c>
      <c r="BM657" t="s">
        <v>1943</v>
      </c>
      <c r="BN657" t="s">
        <v>3</v>
      </c>
      <c r="BO657">
        <v>0</v>
      </c>
      <c r="BP657">
        <v>0</v>
      </c>
      <c r="BQ657">
        <v>0</v>
      </c>
      <c r="BR657">
        <v>511</v>
      </c>
      <c r="BS657">
        <v>3</v>
      </c>
      <c r="BT657">
        <v>7</v>
      </c>
      <c r="BU657">
        <v>58</v>
      </c>
      <c r="BV657">
        <v>0</v>
      </c>
      <c r="BW657">
        <v>0</v>
      </c>
      <c r="BX657">
        <v>0</v>
      </c>
      <c r="BY657">
        <v>0</v>
      </c>
      <c r="BZ657">
        <v>0</v>
      </c>
      <c r="CA657">
        <v>1</v>
      </c>
      <c r="CB657" s="367">
        <f>IFERROR(BO657/Instructions!$J$25,0)+BP657*Instructions!$J$27+BQ657*Instructions!$J$29+IFERROR(BR657/Instructions!$E$34,0)+BS657*Instructions!$E$36+Tier!BT658*Instructions!$E$25+IFERROR(BU657/Instructions!$E$27,0)+BV657*Instructions!$E$29+IFERROR((BW657+BY657)/Instructions!$J$32,0)+(BX657+BZ657)*Instructions!$J$34+Tier!CA657*-2</f>
        <v>94.899999999999991</v>
      </c>
      <c r="CC657" s="354"/>
      <c r="CD657" s="3">
        <v>2018</v>
      </c>
      <c r="CE657" t="s">
        <v>112</v>
      </c>
      <c r="CF657" t="s">
        <v>1939</v>
      </c>
      <c r="CG657" s="366" t="s">
        <v>6</v>
      </c>
      <c r="CH657">
        <v>28</v>
      </c>
      <c r="CI657">
        <v>1</v>
      </c>
      <c r="CJ657">
        <v>0</v>
      </c>
      <c r="CK657">
        <v>-2</v>
      </c>
      <c r="CL657">
        <v>0</v>
      </c>
      <c r="CM657">
        <v>59</v>
      </c>
      <c r="CN657">
        <v>575</v>
      </c>
      <c r="CO657">
        <v>1</v>
      </c>
      <c r="CP657">
        <v>0</v>
      </c>
      <c r="CQ657">
        <v>0</v>
      </c>
      <c r="CR657">
        <v>0</v>
      </c>
      <c r="CS657">
        <v>0</v>
      </c>
      <c r="CT657">
        <v>0</v>
      </c>
      <c r="CU657" s="367">
        <f>IFERROR(CH657/Instructions!$J$25,0)+CI657*Instructions!$J$27+CJ657*Instructions!$J$29+IFERROR(CK657/Instructions!$E$34,0)+CL657*Instructions!$E$36+Tier!CM657*Instructions!$E$25+IFERROR(CN657/Instructions!$E$27,0)+CO657*Instructions!$E$29+IFERROR((CP657+CR657)/Instructions!$J$32,0)+(CQ657+CS657)*Instructions!$J$34+Tier!CT657*-2</f>
        <v>127.42</v>
      </c>
      <c r="CV657" s="354"/>
      <c r="CW657"/>
      <c r="CX657"/>
      <c r="CY657"/>
      <c r="CZ657"/>
      <c r="DA657"/>
      <c r="DB657"/>
      <c r="DC657"/>
      <c r="DD657"/>
      <c r="DE657"/>
      <c r="DF657"/>
      <c r="DG657"/>
      <c r="DH657"/>
      <c r="DI657"/>
      <c r="DJ657"/>
      <c r="DK657"/>
      <c r="DL657"/>
      <c r="DM657"/>
      <c r="DN657"/>
    </row>
    <row r="658" spans="3:118" s="238" customFormat="1" ht="15.75" customHeight="1" x14ac:dyDescent="0.25">
      <c r="C658"/>
      <c r="D658"/>
      <c r="E658"/>
      <c r="F658"/>
      <c r="G658"/>
      <c r="H658"/>
      <c r="I658"/>
      <c r="J658"/>
      <c r="K658"/>
      <c r="L658"/>
      <c r="M658"/>
      <c r="N658"/>
      <c r="O658" s="366"/>
      <c r="P658" s="366">
        <v>2018</v>
      </c>
      <c r="Q658" s="367">
        <f>LARGE($CB$606:$CB$755,53)</f>
        <v>94.899999999999991</v>
      </c>
      <c r="R658" s="357">
        <f t="shared" si="157"/>
        <v>-101.7</v>
      </c>
      <c r="S658" s="356">
        <f t="shared" si="165"/>
        <v>10342.890000000001</v>
      </c>
      <c r="U658" s="356">
        <f t="shared" si="159"/>
        <v>-6.3562500000000002</v>
      </c>
      <c r="V658" s="238">
        <f t="shared" si="163"/>
        <v>8</v>
      </c>
      <c r="W658" s="354"/>
      <c r="X658" s="366"/>
      <c r="Y658" s="366"/>
      <c r="Z658" s="238">
        <v>2018</v>
      </c>
      <c r="AA658" s="367">
        <f>LARGE($CU$606:$CU$755,53)</f>
        <v>97.6</v>
      </c>
      <c r="AB658" s="357">
        <f t="shared" si="160"/>
        <v>-93.300000000000011</v>
      </c>
      <c r="AC658" s="356">
        <f t="shared" si="162"/>
        <v>8704.8900000000012</v>
      </c>
      <c r="AE658" s="356">
        <f t="shared" si="161"/>
        <v>-5.8312500000000007</v>
      </c>
      <c r="AF658" s="238">
        <f t="shared" si="164"/>
        <v>8</v>
      </c>
      <c r="AG658" s="354"/>
      <c r="AK658"/>
      <c r="AL658"/>
      <c r="AM658"/>
      <c r="AN658"/>
      <c r="AO658"/>
      <c r="AP658"/>
      <c r="BI658" s="360"/>
      <c r="BJ658" s="354"/>
      <c r="BK658" s="366">
        <v>2018</v>
      </c>
      <c r="BL658" t="s">
        <v>1749</v>
      </c>
      <c r="BM658" t="s">
        <v>1943</v>
      </c>
      <c r="BN658" t="s">
        <v>3</v>
      </c>
      <c r="BO658">
        <v>0</v>
      </c>
      <c r="BP658">
        <v>0</v>
      </c>
      <c r="BQ658">
        <v>0</v>
      </c>
      <c r="BR658">
        <v>259</v>
      </c>
      <c r="BS658">
        <v>2</v>
      </c>
      <c r="BT658">
        <v>22</v>
      </c>
      <c r="BU658">
        <v>192</v>
      </c>
      <c r="BV658">
        <v>0</v>
      </c>
      <c r="BW658">
        <v>0</v>
      </c>
      <c r="BX658">
        <v>0</v>
      </c>
      <c r="BY658">
        <v>350</v>
      </c>
      <c r="BZ658">
        <v>0</v>
      </c>
      <c r="CA658">
        <v>0</v>
      </c>
      <c r="CB658" s="367">
        <f>IFERROR(BO658/Instructions!$J$25,0)+BP658*Instructions!$J$27+BQ658*Instructions!$J$29+IFERROR(BR658/Instructions!$E$34,0)+BS658*Instructions!$E$36+Tier!BT659*Instructions!$E$25+IFERROR(BU658/Instructions!$E$27,0)+BV658*Instructions!$E$29+IFERROR((BW658+BY658)/Instructions!$J$32,0)+(BX658+BZ658)*Instructions!$J$34+Tier!CA658*-2</f>
        <v>84.100000000000009</v>
      </c>
      <c r="CC658" s="354"/>
      <c r="CD658" s="3">
        <v>2018</v>
      </c>
      <c r="CE658" t="s">
        <v>1401</v>
      </c>
      <c r="CF658" t="s">
        <v>1944</v>
      </c>
      <c r="CG658" s="366" t="s">
        <v>6</v>
      </c>
      <c r="CH658">
        <v>0</v>
      </c>
      <c r="CI658">
        <v>0</v>
      </c>
      <c r="CJ658">
        <v>0</v>
      </c>
      <c r="CK658">
        <v>22</v>
      </c>
      <c r="CL658">
        <v>0</v>
      </c>
      <c r="CM658">
        <v>20</v>
      </c>
      <c r="CN658">
        <v>167</v>
      </c>
      <c r="CO658">
        <v>0</v>
      </c>
      <c r="CP658">
        <v>0</v>
      </c>
      <c r="CQ658">
        <v>0</v>
      </c>
      <c r="CR658">
        <v>1</v>
      </c>
      <c r="CS658">
        <v>0</v>
      </c>
      <c r="CT658">
        <v>0</v>
      </c>
      <c r="CU658" s="367">
        <f>IFERROR(CH658/Instructions!$J$25,0)+CI658*Instructions!$J$27+CJ658*Instructions!$J$29+IFERROR(CK658/Instructions!$E$34,0)+CL658*Instructions!$E$36+Tier!CM658*Instructions!$E$25+IFERROR(CN658/Instructions!$E$27,0)+CO658*Instructions!$E$29+IFERROR((CP658+CR658)/Instructions!$J$32,0)+(CQ658+CS658)*Instructions!$J$34+Tier!CT658*-2</f>
        <v>38.9</v>
      </c>
      <c r="CV658" s="354"/>
      <c r="CW658"/>
      <c r="CX658"/>
      <c r="CY658"/>
      <c r="CZ658"/>
      <c r="DA658"/>
      <c r="DB658"/>
      <c r="DC658"/>
      <c r="DD658"/>
      <c r="DE658"/>
      <c r="DF658"/>
      <c r="DG658"/>
      <c r="DH658"/>
      <c r="DI658"/>
      <c r="DJ658"/>
      <c r="DK658"/>
      <c r="DL658"/>
      <c r="DM658"/>
      <c r="DN658"/>
    </row>
    <row r="659" spans="3:118" s="238" customFormat="1" ht="15.75" customHeight="1" x14ac:dyDescent="0.25">
      <c r="C659"/>
      <c r="D659"/>
      <c r="E659"/>
      <c r="F659"/>
      <c r="G659"/>
      <c r="H659"/>
      <c r="I659"/>
      <c r="J659"/>
      <c r="K659"/>
      <c r="L659"/>
      <c r="M659"/>
      <c r="N659"/>
      <c r="O659" s="366"/>
      <c r="P659" s="366">
        <v>2018</v>
      </c>
      <c r="Q659" s="367">
        <f>LARGE($CB$606:$CB$755,54)</f>
        <v>91.1</v>
      </c>
      <c r="R659" s="357">
        <f t="shared" si="157"/>
        <v>-105.5</v>
      </c>
      <c r="S659" s="356">
        <f t="shared" si="165"/>
        <v>11130.25</v>
      </c>
      <c r="U659" s="356">
        <f t="shared" si="159"/>
        <v>-6.59375</v>
      </c>
      <c r="V659" s="238">
        <f t="shared" si="163"/>
        <v>8</v>
      </c>
      <c r="W659" s="354"/>
      <c r="X659" s="366"/>
      <c r="Y659" s="366"/>
      <c r="Z659" s="238">
        <v>2018</v>
      </c>
      <c r="AA659" s="367">
        <f>LARGE($CU$606:$CU$755,54)</f>
        <v>96.78</v>
      </c>
      <c r="AB659" s="357">
        <f t="shared" si="160"/>
        <v>-94.12</v>
      </c>
      <c r="AC659" s="356">
        <f t="shared" si="162"/>
        <v>8858.5744000000013</v>
      </c>
      <c r="AE659" s="356">
        <f t="shared" si="161"/>
        <v>-5.8825000000000003</v>
      </c>
      <c r="AF659" s="238">
        <f t="shared" si="164"/>
        <v>8</v>
      </c>
      <c r="AG659" s="354"/>
      <c r="AK659"/>
      <c r="AL659"/>
      <c r="AM659"/>
      <c r="AN659"/>
      <c r="AO659"/>
      <c r="AP659"/>
      <c r="BI659" s="360"/>
      <c r="BJ659" s="354"/>
      <c r="BK659" s="366">
        <v>2018</v>
      </c>
      <c r="BL659" t="s">
        <v>1783</v>
      </c>
      <c r="BM659" t="s">
        <v>1929</v>
      </c>
      <c r="BN659" t="s">
        <v>3</v>
      </c>
      <c r="BO659">
        <v>0</v>
      </c>
      <c r="BP659">
        <v>0</v>
      </c>
      <c r="BQ659">
        <v>0</v>
      </c>
      <c r="BR659">
        <v>315</v>
      </c>
      <c r="BS659">
        <v>4</v>
      </c>
      <c r="BT659">
        <v>27</v>
      </c>
      <c r="BU659">
        <v>152</v>
      </c>
      <c r="BV659">
        <v>0</v>
      </c>
      <c r="BW659">
        <v>0</v>
      </c>
      <c r="BX659">
        <v>0</v>
      </c>
      <c r="BY659">
        <v>0</v>
      </c>
      <c r="BZ659">
        <v>0</v>
      </c>
      <c r="CA659">
        <v>0</v>
      </c>
      <c r="CB659" s="367">
        <f>IFERROR(BO659/Instructions!$J$25,0)+BP659*Instructions!$J$27+BQ659*Instructions!$J$29+IFERROR(BR659/Instructions!$E$34,0)+BS659*Instructions!$E$36+Tier!BT660*Instructions!$E$25+IFERROR(BU659/Instructions!$E$27,0)+BV659*Instructions!$E$29+IFERROR((BW659+BY659)/Instructions!$J$32,0)+(BX659+BZ659)*Instructions!$J$34+Tier!CA659*-2</f>
        <v>79.7</v>
      </c>
      <c r="CC659" s="354"/>
      <c r="CD659" s="3">
        <v>2018</v>
      </c>
      <c r="CE659" t="s">
        <v>1420</v>
      </c>
      <c r="CF659" t="s">
        <v>1930</v>
      </c>
      <c r="CG659" s="366" t="s">
        <v>6</v>
      </c>
      <c r="CH659">
        <v>0</v>
      </c>
      <c r="CI659">
        <v>0</v>
      </c>
      <c r="CJ659">
        <v>0</v>
      </c>
      <c r="CK659">
        <v>21</v>
      </c>
      <c r="CL659">
        <v>0</v>
      </c>
      <c r="CM659">
        <v>36</v>
      </c>
      <c r="CN659">
        <v>253</v>
      </c>
      <c r="CO659">
        <v>1</v>
      </c>
      <c r="CP659">
        <v>0</v>
      </c>
      <c r="CQ659">
        <v>0</v>
      </c>
      <c r="CR659">
        <v>0</v>
      </c>
      <c r="CS659">
        <v>0</v>
      </c>
      <c r="CT659">
        <v>0</v>
      </c>
      <c r="CU659" s="367">
        <f>IFERROR(CH659/Instructions!$J$25,0)+CI659*Instructions!$J$27+CJ659*Instructions!$J$29+IFERROR(CK659/Instructions!$E$34,0)+CL659*Instructions!$E$36+Tier!CM659*Instructions!$E$25+IFERROR(CN659/Instructions!$E$27,0)+CO659*Instructions!$E$29+IFERROR((CP659+CR659)/Instructions!$J$32,0)+(CQ659+CS659)*Instructions!$J$34+Tier!CT659*-2</f>
        <v>69.400000000000006</v>
      </c>
      <c r="CV659" s="354"/>
      <c r="CW659"/>
      <c r="CX659"/>
      <c r="CY659"/>
      <c r="CZ659"/>
      <c r="DA659"/>
      <c r="DB659"/>
      <c r="DC659"/>
      <c r="DD659"/>
      <c r="DE659"/>
      <c r="DF659"/>
      <c r="DG659"/>
      <c r="DH659"/>
      <c r="DI659"/>
      <c r="DJ659"/>
      <c r="DK659"/>
      <c r="DL659"/>
      <c r="DM659"/>
      <c r="DN659"/>
    </row>
    <row r="660" spans="3:118" s="238" customFormat="1" ht="15.75" customHeight="1" x14ac:dyDescent="0.25">
      <c r="C660"/>
      <c r="D660"/>
      <c r="E660"/>
      <c r="F660"/>
      <c r="G660"/>
      <c r="H660"/>
      <c r="I660"/>
      <c r="J660"/>
      <c r="K660"/>
      <c r="L660"/>
      <c r="M660"/>
      <c r="N660"/>
      <c r="O660" s="366"/>
      <c r="P660" s="366">
        <v>2018</v>
      </c>
      <c r="Q660" s="367">
        <f>LARGE($CB$606:$CB$755,55)</f>
        <v>90.6</v>
      </c>
      <c r="R660" s="357">
        <f t="shared" si="157"/>
        <v>-106</v>
      </c>
      <c r="S660" s="356">
        <f t="shared" si="165"/>
        <v>11236</v>
      </c>
      <c r="T660" s="356"/>
      <c r="U660" s="356">
        <f t="shared" si="159"/>
        <v>-6.625</v>
      </c>
      <c r="V660" s="238">
        <f t="shared" si="163"/>
        <v>8</v>
      </c>
      <c r="W660" s="354"/>
      <c r="X660" s="366"/>
      <c r="Y660" s="366"/>
      <c r="Z660" s="238">
        <v>2018</v>
      </c>
      <c r="AA660" s="367">
        <f>LARGE($CU$606:$CU$755,55)</f>
        <v>93.4</v>
      </c>
      <c r="AB660" s="357">
        <f t="shared" si="160"/>
        <v>-97.5</v>
      </c>
      <c r="AC660" s="356">
        <f t="shared" si="162"/>
        <v>9506.25</v>
      </c>
      <c r="AE660" s="356">
        <f t="shared" si="161"/>
        <v>-6.09375</v>
      </c>
      <c r="AF660" s="238">
        <f t="shared" si="164"/>
        <v>8</v>
      </c>
      <c r="AG660" s="354"/>
      <c r="AK660"/>
      <c r="AL660"/>
      <c r="AM660"/>
      <c r="AN660"/>
      <c r="AO660"/>
      <c r="AP660"/>
      <c r="BI660" s="360"/>
      <c r="BJ660" s="354"/>
      <c r="BK660" s="366">
        <v>2018</v>
      </c>
      <c r="BL660" t="s">
        <v>1767</v>
      </c>
      <c r="BM660" t="s">
        <v>1933</v>
      </c>
      <c r="BN660" t="s">
        <v>3</v>
      </c>
      <c r="BO660">
        <v>0</v>
      </c>
      <c r="BP660">
        <v>0</v>
      </c>
      <c r="BQ660">
        <v>0</v>
      </c>
      <c r="BR660">
        <v>419</v>
      </c>
      <c r="BS660">
        <v>2</v>
      </c>
      <c r="BT660">
        <v>9</v>
      </c>
      <c r="BU660">
        <v>75</v>
      </c>
      <c r="BV660">
        <v>0</v>
      </c>
      <c r="BW660">
        <v>0</v>
      </c>
      <c r="BX660">
        <v>0</v>
      </c>
      <c r="BY660">
        <v>140</v>
      </c>
      <c r="BZ660">
        <v>0</v>
      </c>
      <c r="CA660">
        <v>0</v>
      </c>
      <c r="CB660" s="367">
        <f>IFERROR(BO660/Instructions!$J$25,0)+BP660*Instructions!$J$27+BQ660*Instructions!$J$29+IFERROR(BR660/Instructions!$E$34,0)+BS660*Instructions!$E$36+Tier!BT661*Instructions!$E$25+IFERROR(BU660/Instructions!$E$27,0)+BV660*Instructions!$E$29+IFERROR((BW660+BY660)/Instructions!$J$32,0)+(BX660+BZ660)*Instructions!$J$34+Tier!CA660*-2</f>
        <v>80.400000000000006</v>
      </c>
      <c r="CC660" s="354"/>
      <c r="CD660" s="3">
        <v>2018</v>
      </c>
      <c r="CE660" t="s">
        <v>1186</v>
      </c>
      <c r="CF660" t="s">
        <v>1940</v>
      </c>
      <c r="CG660" s="366" t="s">
        <v>6</v>
      </c>
      <c r="CH660">
        <v>0</v>
      </c>
      <c r="CI660">
        <v>0</v>
      </c>
      <c r="CJ660">
        <v>0</v>
      </c>
      <c r="CK660">
        <v>0</v>
      </c>
      <c r="CL660">
        <v>0</v>
      </c>
      <c r="CM660">
        <v>44</v>
      </c>
      <c r="CN660">
        <v>532</v>
      </c>
      <c r="CO660">
        <v>2</v>
      </c>
      <c r="CP660">
        <v>0</v>
      </c>
      <c r="CQ660">
        <v>0</v>
      </c>
      <c r="CR660">
        <v>0</v>
      </c>
      <c r="CS660">
        <v>0</v>
      </c>
      <c r="CT660">
        <v>0</v>
      </c>
      <c r="CU660" s="367">
        <f>IFERROR(CH660/Instructions!$J$25,0)+CI660*Instructions!$J$27+CJ660*Instructions!$J$29+IFERROR(CK660/Instructions!$E$34,0)+CL660*Instructions!$E$36+Tier!CM660*Instructions!$E$25+IFERROR(CN660/Instructions!$E$27,0)+CO660*Instructions!$E$29+IFERROR((CP660+CR660)/Instructions!$J$32,0)+(CQ660+CS660)*Instructions!$J$34+Tier!CT660*-2</f>
        <v>109.2</v>
      </c>
      <c r="CV660" s="354"/>
      <c r="CW660"/>
      <c r="CX660"/>
      <c r="CY660"/>
      <c r="CZ660"/>
      <c r="DA660"/>
      <c r="DB660"/>
      <c r="DC660"/>
      <c r="DD660"/>
      <c r="DE660"/>
      <c r="DF660"/>
      <c r="DG660"/>
      <c r="DH660"/>
      <c r="DI660"/>
      <c r="DJ660"/>
      <c r="DK660"/>
      <c r="DL660"/>
      <c r="DM660"/>
      <c r="DN660"/>
    </row>
    <row r="661" spans="3:118" s="238" customFormat="1" ht="15.75" customHeight="1" x14ac:dyDescent="0.25">
      <c r="C661"/>
      <c r="D661"/>
      <c r="E661"/>
      <c r="F661"/>
      <c r="G661"/>
      <c r="H661"/>
      <c r="I661"/>
      <c r="J661"/>
      <c r="K661"/>
      <c r="L661"/>
      <c r="M661"/>
      <c r="N661"/>
      <c r="O661" s="366"/>
      <c r="P661" s="366">
        <v>2018</v>
      </c>
      <c r="Q661" s="367">
        <f>LARGE($CB$606:$CB$755,56)</f>
        <v>90</v>
      </c>
      <c r="R661" s="357">
        <f t="shared" si="157"/>
        <v>-106.6</v>
      </c>
      <c r="S661" s="356">
        <f t="shared" si="165"/>
        <v>11363.56</v>
      </c>
      <c r="T661" s="356"/>
      <c r="U661" s="356">
        <f t="shared" si="159"/>
        <v>-6.6624999999999996</v>
      </c>
      <c r="V661" s="238">
        <f t="shared" si="163"/>
        <v>8</v>
      </c>
      <c r="W661" s="354"/>
      <c r="X661" s="366"/>
      <c r="Y661" s="366"/>
      <c r="Z661" s="238">
        <v>2018</v>
      </c>
      <c r="AA661" s="367">
        <f>LARGE($CU$606:$CU$755,56)</f>
        <v>93.1</v>
      </c>
      <c r="AB661" s="357">
        <f t="shared" si="160"/>
        <v>-97.800000000000011</v>
      </c>
      <c r="AC661" s="356">
        <f t="shared" si="162"/>
        <v>9564.840000000002</v>
      </c>
      <c r="AE661" s="356">
        <f t="shared" si="161"/>
        <v>-6.1125000000000007</v>
      </c>
      <c r="AF661" s="238">
        <f t="shared" si="164"/>
        <v>8</v>
      </c>
      <c r="AG661" s="354"/>
      <c r="AK661"/>
      <c r="AL661"/>
      <c r="AM661"/>
      <c r="AN661"/>
      <c r="AO661"/>
      <c r="AP661"/>
      <c r="BI661" s="360"/>
      <c r="BJ661" s="354"/>
      <c r="BK661" s="366">
        <v>2018</v>
      </c>
      <c r="BL661" t="s">
        <v>1418</v>
      </c>
      <c r="BM661" t="s">
        <v>164</v>
      </c>
      <c r="BN661" t="s">
        <v>3</v>
      </c>
      <c r="BO661">
        <v>0</v>
      </c>
      <c r="BP661">
        <v>0</v>
      </c>
      <c r="BQ661">
        <v>0</v>
      </c>
      <c r="BR661">
        <v>276</v>
      </c>
      <c r="BS661">
        <v>3</v>
      </c>
      <c r="BT661">
        <v>19</v>
      </c>
      <c r="BU661">
        <v>193</v>
      </c>
      <c r="BV661">
        <v>1</v>
      </c>
      <c r="BW661">
        <v>0</v>
      </c>
      <c r="BX661">
        <v>0</v>
      </c>
      <c r="BY661">
        <v>0</v>
      </c>
      <c r="BZ661">
        <v>0</v>
      </c>
      <c r="CA661">
        <v>2</v>
      </c>
      <c r="CB661" s="367">
        <f>IFERROR(BO661/Instructions!$J$25,0)+BP661*Instructions!$J$27+BQ661*Instructions!$J$29+IFERROR(BR661/Instructions!$E$34,0)+BS661*Instructions!$E$36+Tier!BT662*Instructions!$E$25+IFERROR(BU661/Instructions!$E$27,0)+BV661*Instructions!$E$29+IFERROR((BW661+BY661)/Instructions!$J$32,0)+(BX661+BZ661)*Instructions!$J$34+Tier!CA661*-2</f>
        <v>79.900000000000006</v>
      </c>
      <c r="CC661" s="354"/>
      <c r="CD661" s="3">
        <v>2018</v>
      </c>
      <c r="CE661" t="s">
        <v>1788</v>
      </c>
      <c r="CF661" t="s">
        <v>1936</v>
      </c>
      <c r="CG661" s="366" t="s">
        <v>6</v>
      </c>
      <c r="CH661">
        <v>0</v>
      </c>
      <c r="CI661">
        <v>0</v>
      </c>
      <c r="CJ661">
        <v>0</v>
      </c>
      <c r="CK661">
        <v>0</v>
      </c>
      <c r="CL661">
        <v>0</v>
      </c>
      <c r="CM661">
        <v>33</v>
      </c>
      <c r="CN661">
        <v>507</v>
      </c>
      <c r="CO661">
        <v>2</v>
      </c>
      <c r="CP661">
        <v>0</v>
      </c>
      <c r="CQ661">
        <v>0</v>
      </c>
      <c r="CR661">
        <v>0</v>
      </c>
      <c r="CS661">
        <v>1</v>
      </c>
      <c r="CT661">
        <v>0</v>
      </c>
      <c r="CU661" s="367">
        <f>IFERROR(CH661/Instructions!$J$25,0)+CI661*Instructions!$J$27+CJ661*Instructions!$J$29+IFERROR(CK661/Instructions!$E$34,0)+CL661*Instructions!$E$36+Tier!CM661*Instructions!$E$25+IFERROR(CN661/Instructions!$E$27,0)+CO661*Instructions!$E$29+IFERROR((CP661+CR661)/Instructions!$J$32,0)+(CQ661+CS661)*Instructions!$J$34+Tier!CT661*-2</f>
        <v>101.7</v>
      </c>
      <c r="CV661" s="354"/>
      <c r="CW661"/>
      <c r="CX661"/>
      <c r="CY661"/>
      <c r="CZ661"/>
      <c r="DA661"/>
      <c r="DB661"/>
      <c r="DC661"/>
      <c r="DD661"/>
      <c r="DE661"/>
      <c r="DF661"/>
      <c r="DG661"/>
      <c r="DH661"/>
      <c r="DI661"/>
      <c r="DJ661"/>
      <c r="DK661"/>
      <c r="DL661"/>
      <c r="DM661"/>
      <c r="DN661"/>
    </row>
    <row r="662" spans="3:118" s="238" customFormat="1" ht="15.75" customHeight="1" x14ac:dyDescent="0.25">
      <c r="C662"/>
      <c r="D662"/>
      <c r="E662"/>
      <c r="F662"/>
      <c r="G662"/>
      <c r="H662"/>
      <c r="I662"/>
      <c r="J662"/>
      <c r="K662"/>
      <c r="L662"/>
      <c r="M662"/>
      <c r="N662"/>
      <c r="O662" s="366"/>
      <c r="P662" s="366">
        <v>2018</v>
      </c>
      <c r="Q662" s="367">
        <f>LARGE($CB$606:$CB$755,57)</f>
        <v>85.6</v>
      </c>
      <c r="R662" s="357">
        <f t="shared" si="157"/>
        <v>-111</v>
      </c>
      <c r="S662" s="356">
        <f t="shared" si="165"/>
        <v>12321</v>
      </c>
      <c r="T662" s="356"/>
      <c r="U662" s="356">
        <f t="shared" si="159"/>
        <v>-6.9375</v>
      </c>
      <c r="V662" s="238">
        <f t="shared" si="163"/>
        <v>8</v>
      </c>
      <c r="W662" s="354"/>
      <c r="X662" s="366"/>
      <c r="Y662" s="366"/>
      <c r="Z662" s="238">
        <v>2018</v>
      </c>
      <c r="AA662" s="367">
        <f>LARGE($CU$606:$CU$755,57)</f>
        <v>89.6</v>
      </c>
      <c r="AB662" s="357">
        <f t="shared" si="160"/>
        <v>-101.30000000000001</v>
      </c>
      <c r="AC662" s="356">
        <f t="shared" si="162"/>
        <v>10261.690000000002</v>
      </c>
      <c r="AE662" s="356">
        <f t="shared" si="161"/>
        <v>-6.3312500000000007</v>
      </c>
      <c r="AF662" s="238">
        <f t="shared" si="164"/>
        <v>8</v>
      </c>
      <c r="AG662" s="354"/>
      <c r="AK662"/>
      <c r="AL662"/>
      <c r="AM662"/>
      <c r="AN662"/>
      <c r="AO662"/>
      <c r="AP662"/>
      <c r="BI662" s="360"/>
      <c r="BJ662" s="354"/>
      <c r="BK662" s="366">
        <v>2018</v>
      </c>
      <c r="BL662" t="s">
        <v>1161</v>
      </c>
      <c r="BM662" t="s">
        <v>1942</v>
      </c>
      <c r="BN662" t="s">
        <v>3</v>
      </c>
      <c r="BO662">
        <v>0</v>
      </c>
      <c r="BP662">
        <v>0</v>
      </c>
      <c r="BQ662">
        <v>0</v>
      </c>
      <c r="BR662">
        <v>385</v>
      </c>
      <c r="BS662">
        <v>1</v>
      </c>
      <c r="BT662">
        <v>13</v>
      </c>
      <c r="BU662">
        <v>205</v>
      </c>
      <c r="BV662">
        <v>0</v>
      </c>
      <c r="BW662">
        <v>0</v>
      </c>
      <c r="BX662">
        <v>0</v>
      </c>
      <c r="BY662">
        <v>0</v>
      </c>
      <c r="BZ662">
        <v>0</v>
      </c>
      <c r="CA662">
        <v>0</v>
      </c>
      <c r="CB662" s="367">
        <f>IFERROR(BO662/Instructions!$J$25,0)+BP662*Instructions!$J$27+BQ662*Instructions!$J$29+IFERROR(BR662/Instructions!$E$34,0)+BS662*Instructions!$E$36+Tier!BT663*Instructions!$E$25+IFERROR(BU662/Instructions!$E$27,0)+BV662*Instructions!$E$29+IFERROR((BW662+BY662)/Instructions!$J$32,0)+(BX662+BZ662)*Instructions!$J$34+Tier!CA662*-2</f>
        <v>80</v>
      </c>
      <c r="CC662" s="354"/>
      <c r="CD662" s="3">
        <v>2018</v>
      </c>
      <c r="CE662" t="s">
        <v>1428</v>
      </c>
      <c r="CF662" t="s">
        <v>1944</v>
      </c>
      <c r="CG662" s="366" t="s">
        <v>6</v>
      </c>
      <c r="CH662">
        <v>0</v>
      </c>
      <c r="CI662">
        <v>0</v>
      </c>
      <c r="CJ662">
        <v>0</v>
      </c>
      <c r="CK662">
        <v>9</v>
      </c>
      <c r="CL662">
        <v>0</v>
      </c>
      <c r="CM662">
        <v>21</v>
      </c>
      <c r="CN662">
        <v>210</v>
      </c>
      <c r="CO662">
        <v>7</v>
      </c>
      <c r="CP662">
        <v>0</v>
      </c>
      <c r="CQ662">
        <v>0</v>
      </c>
      <c r="CR662">
        <v>0</v>
      </c>
      <c r="CS662">
        <v>0</v>
      </c>
      <c r="CT662">
        <v>0</v>
      </c>
      <c r="CU662" s="367">
        <f>IFERROR(CH662/Instructions!$J$25,0)+CI662*Instructions!$J$27+CJ662*Instructions!$J$29+IFERROR(CK662/Instructions!$E$34,0)+CL662*Instructions!$E$36+Tier!CM662*Instructions!$E$25+IFERROR(CN662/Instructions!$E$27,0)+CO662*Instructions!$E$29+IFERROR((CP662+CR662)/Instructions!$J$32,0)+(CQ662+CS662)*Instructions!$J$34+Tier!CT662*-2</f>
        <v>84.9</v>
      </c>
      <c r="CV662" s="354"/>
      <c r="CW662"/>
      <c r="CX662"/>
      <c r="CY662"/>
      <c r="CZ662"/>
      <c r="DA662"/>
      <c r="DB662"/>
      <c r="DC662"/>
      <c r="DD662"/>
      <c r="DE662"/>
      <c r="DF662"/>
      <c r="DG662"/>
      <c r="DH662"/>
      <c r="DI662"/>
      <c r="DJ662"/>
      <c r="DK662"/>
      <c r="DL662"/>
      <c r="DM662"/>
      <c r="DN662"/>
    </row>
    <row r="663" spans="3:118" s="238" customFormat="1" ht="15.75" customHeight="1" x14ac:dyDescent="0.25">
      <c r="C663"/>
      <c r="D663"/>
      <c r="E663"/>
      <c r="F663"/>
      <c r="G663"/>
      <c r="H663"/>
      <c r="I663"/>
      <c r="J663"/>
      <c r="K663"/>
      <c r="L663"/>
      <c r="M663"/>
      <c r="N663"/>
      <c r="O663" s="366"/>
      <c r="P663" s="366">
        <v>2018</v>
      </c>
      <c r="Q663" s="367">
        <f>LARGE($CB$606:$CB$755,58)</f>
        <v>84.100000000000009</v>
      </c>
      <c r="R663" s="357">
        <f t="shared" si="157"/>
        <v>-112.49999999999999</v>
      </c>
      <c r="S663" s="356">
        <f t="shared" si="165"/>
        <v>12656.249999999996</v>
      </c>
      <c r="T663" s="356"/>
      <c r="U663" s="356">
        <f t="shared" si="159"/>
        <v>-7.0312499999999991</v>
      </c>
      <c r="V663" s="238">
        <f t="shared" si="163"/>
        <v>8</v>
      </c>
      <c r="W663" s="354"/>
      <c r="X663" s="366"/>
      <c r="Y663" s="366"/>
      <c r="Z663" s="238">
        <v>2018</v>
      </c>
      <c r="AA663" s="367">
        <f>LARGE($CU$606:$CU$755,58)</f>
        <v>88.3</v>
      </c>
      <c r="AB663" s="357">
        <f t="shared" si="160"/>
        <v>-102.60000000000001</v>
      </c>
      <c r="AC663" s="356">
        <f t="shared" si="162"/>
        <v>10526.760000000002</v>
      </c>
      <c r="AE663" s="356">
        <f t="shared" si="161"/>
        <v>-6.4125000000000005</v>
      </c>
      <c r="AF663" s="238">
        <f t="shared" si="164"/>
        <v>8</v>
      </c>
      <c r="AG663" s="354"/>
      <c r="AK663"/>
      <c r="AL663"/>
      <c r="AM663"/>
      <c r="AN663"/>
      <c r="AO663"/>
      <c r="AP663"/>
      <c r="BI663" s="360"/>
      <c r="BJ663" s="354"/>
      <c r="BK663" s="366">
        <v>2018</v>
      </c>
      <c r="BL663" t="s">
        <v>10</v>
      </c>
      <c r="BM663" t="s">
        <v>1941</v>
      </c>
      <c r="BN663" t="s">
        <v>3</v>
      </c>
      <c r="BO663">
        <v>0</v>
      </c>
      <c r="BP663">
        <v>0</v>
      </c>
      <c r="BQ663">
        <v>0</v>
      </c>
      <c r="BR663">
        <v>376</v>
      </c>
      <c r="BS663">
        <v>3</v>
      </c>
      <c r="BT663">
        <v>15</v>
      </c>
      <c r="BU663">
        <v>84</v>
      </c>
      <c r="BV663">
        <v>0</v>
      </c>
      <c r="BW663">
        <v>0</v>
      </c>
      <c r="BX663">
        <v>0</v>
      </c>
      <c r="BY663">
        <v>0</v>
      </c>
      <c r="BZ663">
        <v>0</v>
      </c>
      <c r="CA663">
        <v>0</v>
      </c>
      <c r="CB663" s="367">
        <f>IFERROR(BO663/Instructions!$J$25,0)+BP663*Instructions!$J$27+BQ663*Instructions!$J$29+IFERROR(BR663/Instructions!$E$34,0)+BS663*Instructions!$E$36+Tier!BT664*Instructions!$E$25+IFERROR(BU663/Instructions!$E$27,0)+BV663*Instructions!$E$29+IFERROR((BW663+BY663)/Instructions!$J$32,0)+(BX663+BZ663)*Instructions!$J$34+Tier!CA663*-2</f>
        <v>90</v>
      </c>
      <c r="CC663" s="354"/>
      <c r="CD663" s="3">
        <v>2018</v>
      </c>
      <c r="CE663" t="s">
        <v>1247</v>
      </c>
      <c r="CF663" t="s">
        <v>155</v>
      </c>
      <c r="CG663" s="366" t="s">
        <v>6</v>
      </c>
      <c r="CH663">
        <v>0</v>
      </c>
      <c r="CI663">
        <v>0</v>
      </c>
      <c r="CJ663">
        <v>0</v>
      </c>
      <c r="CK663">
        <v>9</v>
      </c>
      <c r="CL663">
        <v>0</v>
      </c>
      <c r="CM663">
        <v>23</v>
      </c>
      <c r="CN663">
        <v>395</v>
      </c>
      <c r="CO663">
        <v>4</v>
      </c>
      <c r="CP663">
        <v>0</v>
      </c>
      <c r="CQ663">
        <v>0</v>
      </c>
      <c r="CR663">
        <v>0</v>
      </c>
      <c r="CS663">
        <v>0</v>
      </c>
      <c r="CT663">
        <v>0</v>
      </c>
      <c r="CU663" s="367">
        <f>IFERROR(CH663/Instructions!$J$25,0)+CI663*Instructions!$J$27+CJ663*Instructions!$J$29+IFERROR(CK663/Instructions!$E$34,0)+CL663*Instructions!$E$36+Tier!CM663*Instructions!$E$25+IFERROR(CN663/Instructions!$E$27,0)+CO663*Instructions!$E$29+IFERROR((CP663+CR663)/Instructions!$J$32,0)+(CQ663+CS663)*Instructions!$J$34+Tier!CT663*-2</f>
        <v>87.4</v>
      </c>
      <c r="CV663" s="354"/>
      <c r="CW663"/>
      <c r="CX663"/>
      <c r="CY663"/>
      <c r="CZ663"/>
      <c r="DA663"/>
      <c r="DB663"/>
      <c r="DC663"/>
      <c r="DD663"/>
      <c r="DE663"/>
      <c r="DF663"/>
      <c r="DG663"/>
      <c r="DH663"/>
      <c r="DI663"/>
      <c r="DJ663"/>
      <c r="DK663"/>
      <c r="DL663"/>
      <c r="DM663"/>
      <c r="DN663"/>
    </row>
    <row r="664" spans="3:118" s="238" customFormat="1" ht="15.75" customHeight="1" x14ac:dyDescent="0.25">
      <c r="C664"/>
      <c r="D664"/>
      <c r="E664"/>
      <c r="F664"/>
      <c r="G664"/>
      <c r="H664"/>
      <c r="I664"/>
      <c r="J664"/>
      <c r="K664"/>
      <c r="L664"/>
      <c r="M664"/>
      <c r="N664"/>
      <c r="O664" s="366"/>
      <c r="P664" s="366">
        <v>2018</v>
      </c>
      <c r="Q664" s="367">
        <f>LARGE($CB$606:$CB$755,59)</f>
        <v>83.8</v>
      </c>
      <c r="R664" s="357">
        <f t="shared" si="157"/>
        <v>-112.8</v>
      </c>
      <c r="S664" s="356">
        <f t="shared" si="165"/>
        <v>12723.84</v>
      </c>
      <c r="T664" s="356"/>
      <c r="U664" s="356">
        <f t="shared" si="159"/>
        <v>-7.05</v>
      </c>
      <c r="V664" s="238">
        <f t="shared" si="163"/>
        <v>8</v>
      </c>
      <c r="W664" s="354"/>
      <c r="X664" s="366"/>
      <c r="Y664" s="366"/>
      <c r="Z664" s="238">
        <v>2018</v>
      </c>
      <c r="AA664" s="367">
        <f>LARGE($CU$606:$CU$755,59)</f>
        <v>87.4</v>
      </c>
      <c r="AB664" s="357">
        <f t="shared" si="160"/>
        <v>-103.5</v>
      </c>
      <c r="AC664" s="356">
        <f t="shared" si="162"/>
        <v>10712.25</v>
      </c>
      <c r="AE664" s="356">
        <f t="shared" si="161"/>
        <v>-6.46875</v>
      </c>
      <c r="AF664" s="238">
        <f t="shared" si="164"/>
        <v>8</v>
      </c>
      <c r="AG664" s="354"/>
      <c r="AK664"/>
      <c r="AL664"/>
      <c r="AM664"/>
      <c r="AN664"/>
      <c r="AO664"/>
      <c r="AP664"/>
      <c r="BI664" s="360"/>
      <c r="BJ664" s="354"/>
      <c r="BK664" s="366">
        <v>2018</v>
      </c>
      <c r="BL664" t="s">
        <v>1782</v>
      </c>
      <c r="BM664" t="s">
        <v>1930</v>
      </c>
      <c r="BN664" t="s">
        <v>3</v>
      </c>
      <c r="BO664">
        <v>0</v>
      </c>
      <c r="BP664">
        <v>0</v>
      </c>
      <c r="BQ664">
        <v>0</v>
      </c>
      <c r="BR664">
        <v>256</v>
      </c>
      <c r="BS664">
        <v>0</v>
      </c>
      <c r="BT664">
        <v>26</v>
      </c>
      <c r="BU664">
        <v>199</v>
      </c>
      <c r="BV664">
        <v>3</v>
      </c>
      <c r="BW664">
        <v>0</v>
      </c>
      <c r="BX664">
        <v>0</v>
      </c>
      <c r="BY664">
        <v>0</v>
      </c>
      <c r="BZ664">
        <v>0</v>
      </c>
      <c r="CA664">
        <v>0</v>
      </c>
      <c r="CB664" s="367">
        <f>IFERROR(BO664/Instructions!$J$25,0)+BP664*Instructions!$J$27+BQ664*Instructions!$J$29+IFERROR(BR664/Instructions!$E$34,0)+BS664*Instructions!$E$36+Tier!BT665*Instructions!$E$25+IFERROR(BU664/Instructions!$E$27,0)+BV664*Instructions!$E$29+IFERROR((BW664+BY664)/Instructions!$J$32,0)+(BX664+BZ664)*Instructions!$J$34+Tier!CA664*-2</f>
        <v>68.5</v>
      </c>
      <c r="CC664" s="354"/>
      <c r="CD664" s="3">
        <v>2018</v>
      </c>
      <c r="CE664" t="s">
        <v>1207</v>
      </c>
      <c r="CF664" t="s">
        <v>1947</v>
      </c>
      <c r="CG664" s="366" t="s">
        <v>6</v>
      </c>
      <c r="CH664">
        <v>0</v>
      </c>
      <c r="CI664">
        <v>0</v>
      </c>
      <c r="CJ664">
        <v>0</v>
      </c>
      <c r="CK664">
        <v>5</v>
      </c>
      <c r="CL664">
        <v>0</v>
      </c>
      <c r="CM664">
        <v>45</v>
      </c>
      <c r="CN664">
        <v>494</v>
      </c>
      <c r="CO664">
        <v>2</v>
      </c>
      <c r="CP664">
        <v>0</v>
      </c>
      <c r="CQ664">
        <v>0</v>
      </c>
      <c r="CR664">
        <v>0</v>
      </c>
      <c r="CS664">
        <v>0</v>
      </c>
      <c r="CT664">
        <v>0</v>
      </c>
      <c r="CU664" s="367">
        <f>IFERROR(CH664/Instructions!$J$25,0)+CI664*Instructions!$J$27+CJ664*Instructions!$J$29+IFERROR(CK664/Instructions!$E$34,0)+CL664*Instructions!$E$36+Tier!CM664*Instructions!$E$25+IFERROR(CN664/Instructions!$E$27,0)+CO664*Instructions!$E$29+IFERROR((CP664+CR664)/Instructions!$J$32,0)+(CQ664+CS664)*Instructions!$J$34+Tier!CT664*-2</f>
        <v>106.9</v>
      </c>
      <c r="CV664" s="354"/>
      <c r="CW664"/>
      <c r="CX664"/>
      <c r="CY664"/>
      <c r="CZ664"/>
      <c r="DA664"/>
      <c r="DB664"/>
      <c r="DC664"/>
      <c r="DD664"/>
      <c r="DE664"/>
      <c r="DF664"/>
      <c r="DG664"/>
      <c r="DH664"/>
      <c r="DI664"/>
      <c r="DJ664"/>
      <c r="DK664"/>
      <c r="DL664"/>
      <c r="DM664"/>
      <c r="DN664"/>
    </row>
    <row r="665" spans="3:118" s="238" customFormat="1" ht="15.75" customHeight="1" x14ac:dyDescent="0.25">
      <c r="C665"/>
      <c r="D665"/>
      <c r="E665"/>
      <c r="F665"/>
      <c r="G665"/>
      <c r="H665"/>
      <c r="I665"/>
      <c r="J665"/>
      <c r="K665"/>
      <c r="L665"/>
      <c r="M665"/>
      <c r="N665"/>
      <c r="O665" s="366"/>
      <c r="P665" s="366">
        <v>2018</v>
      </c>
      <c r="Q665" s="367">
        <f>LARGE($CB$606:$CB$755,60)</f>
        <v>83.5</v>
      </c>
      <c r="R665" s="357">
        <f t="shared" si="157"/>
        <v>-113.1</v>
      </c>
      <c r="S665" s="356">
        <f t="shared" si="165"/>
        <v>12791.609999999999</v>
      </c>
      <c r="T665" s="356"/>
      <c r="U665" s="356">
        <f t="shared" si="159"/>
        <v>-7.0687499999999996</v>
      </c>
      <c r="V665" s="238">
        <f t="shared" si="163"/>
        <v>8</v>
      </c>
      <c r="W665" s="354"/>
      <c r="X665" s="366"/>
      <c r="Y665" s="366"/>
      <c r="Z665" s="238">
        <v>2018</v>
      </c>
      <c r="AA665" s="367">
        <f>LARGE($CU$606:$CU$755,60)</f>
        <v>84.9</v>
      </c>
      <c r="AB665" s="357">
        <f t="shared" si="160"/>
        <v>-106</v>
      </c>
      <c r="AC665" s="356">
        <f t="shared" si="162"/>
        <v>11236</v>
      </c>
      <c r="AE665" s="356">
        <f t="shared" si="161"/>
        <v>-6.625</v>
      </c>
      <c r="AF665" s="238">
        <f t="shared" si="164"/>
        <v>8</v>
      </c>
      <c r="AG665" s="354"/>
      <c r="AK665"/>
      <c r="AL665"/>
      <c r="AM665"/>
      <c r="AN665"/>
      <c r="AO665"/>
      <c r="AP665"/>
      <c r="BI665" s="360"/>
      <c r="BJ665" s="354"/>
      <c r="BK665" s="366">
        <v>2018</v>
      </c>
      <c r="BL665" t="s">
        <v>123</v>
      </c>
      <c r="BM665" t="s">
        <v>1939</v>
      </c>
      <c r="BN665" t="s">
        <v>3</v>
      </c>
      <c r="BO665">
        <v>0</v>
      </c>
      <c r="BP665">
        <v>0</v>
      </c>
      <c r="BQ665">
        <v>0</v>
      </c>
      <c r="BR665">
        <v>403</v>
      </c>
      <c r="BS665">
        <v>2</v>
      </c>
      <c r="BT665">
        <v>5</v>
      </c>
      <c r="BU665">
        <v>41</v>
      </c>
      <c r="BV665">
        <v>1</v>
      </c>
      <c r="BW665">
        <v>0</v>
      </c>
      <c r="BX665">
        <v>0</v>
      </c>
      <c r="BY665">
        <v>0</v>
      </c>
      <c r="BZ665">
        <v>0</v>
      </c>
      <c r="CA665">
        <v>0</v>
      </c>
      <c r="CB665" s="367">
        <f>IFERROR(BO665/Instructions!$J$25,0)+BP665*Instructions!$J$27+BQ665*Instructions!$J$29+IFERROR(BR665/Instructions!$E$34,0)+BS665*Instructions!$E$36+Tier!BT666*Instructions!$E$25+IFERROR(BU665/Instructions!$E$27,0)+BV665*Instructions!$E$29+IFERROR((BW665+BY665)/Instructions!$J$32,0)+(BX665+BZ665)*Instructions!$J$34+Tier!CA665*-2</f>
        <v>97.399999999999991</v>
      </c>
      <c r="CC665" s="354"/>
      <c r="CD665" s="3">
        <v>2018</v>
      </c>
      <c r="CE665" t="s">
        <v>1111</v>
      </c>
      <c r="CF665" t="s">
        <v>1950</v>
      </c>
      <c r="CG665" s="366" t="s">
        <v>6</v>
      </c>
      <c r="CH665">
        <v>0</v>
      </c>
      <c r="CI665">
        <v>0</v>
      </c>
      <c r="CJ665">
        <v>0</v>
      </c>
      <c r="CK665">
        <v>0</v>
      </c>
      <c r="CL665">
        <v>0</v>
      </c>
      <c r="CM665">
        <v>32</v>
      </c>
      <c r="CN665">
        <v>334</v>
      </c>
      <c r="CO665">
        <v>5</v>
      </c>
      <c r="CP665">
        <v>0</v>
      </c>
      <c r="CQ665">
        <v>0</v>
      </c>
      <c r="CR665">
        <v>2</v>
      </c>
      <c r="CS665">
        <v>0</v>
      </c>
      <c r="CT665">
        <v>1</v>
      </c>
      <c r="CU665" s="367">
        <f>IFERROR(CH665/Instructions!$J$25,0)+CI665*Instructions!$J$27+CJ665*Instructions!$J$29+IFERROR(CK665/Instructions!$E$34,0)+CL665*Instructions!$E$36+Tier!CM665*Instructions!$E$25+IFERROR(CN665/Instructions!$E$27,0)+CO665*Instructions!$E$29+IFERROR((CP665+CR665)/Instructions!$J$32,0)+(CQ665+CS665)*Instructions!$J$34+Tier!CT665*-2</f>
        <v>93.4</v>
      </c>
      <c r="CV665" s="354"/>
      <c r="CW665"/>
      <c r="CX665"/>
      <c r="CY665"/>
      <c r="CZ665"/>
      <c r="DA665"/>
      <c r="DB665"/>
      <c r="DC665"/>
      <c r="DD665"/>
      <c r="DE665"/>
      <c r="DF665"/>
      <c r="DG665"/>
      <c r="DH665"/>
      <c r="DI665"/>
      <c r="DJ665"/>
      <c r="DK665"/>
      <c r="DL665"/>
      <c r="DM665"/>
      <c r="DN665"/>
    </row>
    <row r="666" spans="3:118" s="238" customFormat="1" ht="15.75" customHeight="1" x14ac:dyDescent="0.25">
      <c r="C666"/>
      <c r="D666"/>
      <c r="E666"/>
      <c r="F666"/>
      <c r="G666"/>
      <c r="H666"/>
      <c r="I666"/>
      <c r="J666"/>
      <c r="K666"/>
      <c r="L666"/>
      <c r="M666"/>
      <c r="N666"/>
      <c r="O666" s="366"/>
      <c r="P666" s="366">
        <v>2018</v>
      </c>
      <c r="Q666" s="367">
        <f>LARGE($CB$606:$CB$755,61)</f>
        <v>80.900000000000006</v>
      </c>
      <c r="R666" s="357">
        <f t="shared" si="157"/>
        <v>-115.69999999999999</v>
      </c>
      <c r="S666" s="356">
        <f t="shared" si="165"/>
        <v>13386.489999999998</v>
      </c>
      <c r="T666" s="356"/>
      <c r="U666" s="356">
        <f t="shared" si="159"/>
        <v>-7.2312499999999993</v>
      </c>
      <c r="V666" s="238">
        <f t="shared" si="163"/>
        <v>8</v>
      </c>
      <c r="W666" s="354"/>
      <c r="X666" s="366"/>
      <c r="Y666" s="366"/>
      <c r="Z666" s="238">
        <v>2018</v>
      </c>
      <c r="AA666" s="367">
        <f>LARGE($CU$606:$CU$755,61)</f>
        <v>84.9</v>
      </c>
      <c r="AB666" s="357">
        <f t="shared" si="160"/>
        <v>-106</v>
      </c>
      <c r="AC666" s="356">
        <f t="shared" si="162"/>
        <v>11236</v>
      </c>
      <c r="AE666" s="356">
        <f t="shared" si="161"/>
        <v>-6.625</v>
      </c>
      <c r="AF666" s="238">
        <f t="shared" si="164"/>
        <v>8</v>
      </c>
      <c r="AG666" s="354"/>
      <c r="AK666"/>
      <c r="AL666"/>
      <c r="AM666"/>
      <c r="AN666"/>
      <c r="AO666"/>
      <c r="AP666"/>
      <c r="BI666" s="360"/>
      <c r="BJ666" s="354"/>
      <c r="BK666" s="366">
        <v>2018</v>
      </c>
      <c r="BL666" t="s">
        <v>46</v>
      </c>
      <c r="BM666" t="s">
        <v>1944</v>
      </c>
      <c r="BN666" t="s">
        <v>3</v>
      </c>
      <c r="BO666">
        <v>0</v>
      </c>
      <c r="BP666">
        <v>0</v>
      </c>
      <c r="BQ666">
        <v>0</v>
      </c>
      <c r="BR666">
        <v>211</v>
      </c>
      <c r="BS666">
        <v>3</v>
      </c>
      <c r="BT666">
        <v>35</v>
      </c>
      <c r="BU666">
        <v>218</v>
      </c>
      <c r="BV666">
        <v>0</v>
      </c>
      <c r="BW666">
        <v>0</v>
      </c>
      <c r="BX666">
        <v>0</v>
      </c>
      <c r="BY666">
        <v>25</v>
      </c>
      <c r="BZ666">
        <v>0</v>
      </c>
      <c r="CA666">
        <v>0</v>
      </c>
      <c r="CB666" s="367">
        <f>IFERROR(BO666/Instructions!$J$25,0)+BP666*Instructions!$J$27+BQ666*Instructions!$J$29+IFERROR(BR666/Instructions!$E$34,0)+BS666*Instructions!$E$36+Tier!BT667*Instructions!$E$25+IFERROR(BU666/Instructions!$E$27,0)+BV666*Instructions!$E$29+IFERROR((BW666+BY666)/Instructions!$J$32,0)+(BX666+BZ666)*Instructions!$J$34+Tier!CA666*-2</f>
        <v>80.900000000000006</v>
      </c>
      <c r="CC666" s="354"/>
      <c r="CD666" s="3">
        <v>2018</v>
      </c>
      <c r="CE666" t="s">
        <v>1122</v>
      </c>
      <c r="CF666" t="s">
        <v>164</v>
      </c>
      <c r="CG666" s="366" t="s">
        <v>6</v>
      </c>
      <c r="CH666">
        <v>0</v>
      </c>
      <c r="CI666">
        <v>0</v>
      </c>
      <c r="CJ666">
        <v>0</v>
      </c>
      <c r="CK666">
        <v>30</v>
      </c>
      <c r="CL666">
        <v>0</v>
      </c>
      <c r="CM666">
        <v>29</v>
      </c>
      <c r="CN666">
        <v>388</v>
      </c>
      <c r="CO666">
        <v>2</v>
      </c>
      <c r="CP666">
        <v>0</v>
      </c>
      <c r="CQ666">
        <v>0</v>
      </c>
      <c r="CR666">
        <v>0</v>
      </c>
      <c r="CS666">
        <v>0</v>
      </c>
      <c r="CT666">
        <v>0</v>
      </c>
      <c r="CU666" s="367">
        <f>IFERROR(CH666/Instructions!$J$25,0)+CI666*Instructions!$J$27+CJ666*Instructions!$J$29+IFERROR(CK666/Instructions!$E$34,0)+CL666*Instructions!$E$36+Tier!CM666*Instructions!$E$25+IFERROR(CN666/Instructions!$E$27,0)+CO666*Instructions!$E$29+IFERROR((CP666+CR666)/Instructions!$J$32,0)+(CQ666+CS666)*Instructions!$J$34+Tier!CT666*-2</f>
        <v>82.8</v>
      </c>
      <c r="CV666" s="354"/>
      <c r="CW666"/>
      <c r="CX666"/>
      <c r="CY666"/>
      <c r="CZ666"/>
      <c r="DA666"/>
      <c r="DB666"/>
      <c r="DC666"/>
      <c r="DD666"/>
      <c r="DE666"/>
      <c r="DF666"/>
      <c r="DG666"/>
      <c r="DH666"/>
      <c r="DI666"/>
      <c r="DJ666"/>
      <c r="DK666"/>
      <c r="DL666"/>
      <c r="DM666"/>
      <c r="DN666"/>
    </row>
    <row r="667" spans="3:118" s="238" customFormat="1" ht="15.75" customHeight="1" x14ac:dyDescent="0.25">
      <c r="C667"/>
      <c r="D667"/>
      <c r="E667"/>
      <c r="F667"/>
      <c r="G667"/>
      <c r="H667"/>
      <c r="I667"/>
      <c r="J667"/>
      <c r="K667"/>
      <c r="L667"/>
      <c r="M667"/>
      <c r="N667"/>
      <c r="O667" s="366"/>
      <c r="P667" s="366">
        <v>2018</v>
      </c>
      <c r="Q667" s="367">
        <f>LARGE($CB$606:$CB$755,62)</f>
        <v>80.5</v>
      </c>
      <c r="R667" s="357">
        <f t="shared" si="157"/>
        <v>-116.1</v>
      </c>
      <c r="S667" s="356">
        <f t="shared" si="165"/>
        <v>13479.21</v>
      </c>
      <c r="U667" s="356">
        <f t="shared" si="159"/>
        <v>-7.2562499999999996</v>
      </c>
      <c r="V667" s="238">
        <f t="shared" si="163"/>
        <v>8</v>
      </c>
      <c r="W667" s="354"/>
      <c r="X667" s="366"/>
      <c r="Y667" s="366"/>
      <c r="Z667" s="238">
        <v>2018</v>
      </c>
      <c r="AA667" s="367">
        <f>LARGE($CU$606:$CU$755,62)</f>
        <v>82.8</v>
      </c>
      <c r="AB667" s="357">
        <f t="shared" si="160"/>
        <v>-108.10000000000001</v>
      </c>
      <c r="AC667" s="356">
        <f t="shared" si="162"/>
        <v>11685.610000000002</v>
      </c>
      <c r="AE667" s="356">
        <f t="shared" si="161"/>
        <v>-6.7562500000000005</v>
      </c>
      <c r="AF667" s="238">
        <f t="shared" si="164"/>
        <v>8</v>
      </c>
      <c r="AG667" s="354"/>
      <c r="AK667"/>
      <c r="AL667"/>
      <c r="AM667"/>
      <c r="AN667"/>
      <c r="AO667"/>
      <c r="AP667"/>
      <c r="BI667" s="360"/>
      <c r="BJ667" s="354"/>
      <c r="BK667" s="366">
        <v>2018</v>
      </c>
      <c r="BL667" t="s">
        <v>1199</v>
      </c>
      <c r="BM667" t="s">
        <v>1931</v>
      </c>
      <c r="BN667" t="s">
        <v>3</v>
      </c>
      <c r="BO667">
        <v>0</v>
      </c>
      <c r="BP667">
        <v>0</v>
      </c>
      <c r="BQ667">
        <v>0</v>
      </c>
      <c r="BR667">
        <v>246</v>
      </c>
      <c r="BS667">
        <v>2</v>
      </c>
      <c r="BT667">
        <v>20</v>
      </c>
      <c r="BU667">
        <v>224</v>
      </c>
      <c r="BV667">
        <v>0</v>
      </c>
      <c r="BW667">
        <v>0</v>
      </c>
      <c r="BX667">
        <v>0</v>
      </c>
      <c r="BY667">
        <v>10</v>
      </c>
      <c r="BZ667">
        <v>0</v>
      </c>
      <c r="CA667">
        <v>0</v>
      </c>
      <c r="CB667" s="367">
        <f>IFERROR(BO667/Instructions!$J$25,0)+BP667*Instructions!$J$27+BQ667*Instructions!$J$29+IFERROR(BR667/Instructions!$E$34,0)+BS667*Instructions!$E$36+Tier!BT668*Instructions!$E$25+IFERROR(BU667/Instructions!$E$27,0)+BV667*Instructions!$E$29+IFERROR((BW667+BY667)/Instructions!$J$32,0)+(BX667+BZ667)*Instructions!$J$34+Tier!CA667*-2</f>
        <v>97</v>
      </c>
      <c r="CC667" s="354"/>
      <c r="CD667" s="3">
        <v>2018</v>
      </c>
      <c r="CE667" t="s">
        <v>1315</v>
      </c>
      <c r="CF667" t="s">
        <v>1935</v>
      </c>
      <c r="CG667" s="366" t="s">
        <v>6</v>
      </c>
      <c r="CH667">
        <v>0</v>
      </c>
      <c r="CI667">
        <v>0</v>
      </c>
      <c r="CJ667">
        <v>0</v>
      </c>
      <c r="CK667">
        <v>0</v>
      </c>
      <c r="CL667">
        <v>0</v>
      </c>
      <c r="CM667">
        <v>17</v>
      </c>
      <c r="CN667">
        <v>231</v>
      </c>
      <c r="CO667">
        <v>5</v>
      </c>
      <c r="CP667">
        <v>0</v>
      </c>
      <c r="CQ667">
        <v>0</v>
      </c>
      <c r="CR667">
        <v>0</v>
      </c>
      <c r="CS667">
        <v>0</v>
      </c>
      <c r="CT667">
        <v>0</v>
      </c>
      <c r="CU667" s="367">
        <f>IFERROR(CH667/Instructions!$J$25,0)+CI667*Instructions!$J$27+CJ667*Instructions!$J$29+IFERROR(CK667/Instructions!$E$34,0)+CL667*Instructions!$E$36+Tier!CM667*Instructions!$E$25+IFERROR(CN667/Instructions!$E$27,0)+CO667*Instructions!$E$29+IFERROR((CP667+CR667)/Instructions!$J$32,0)+(CQ667+CS667)*Instructions!$J$34+Tier!CT667*-2</f>
        <v>70.099999999999994</v>
      </c>
      <c r="CV667" s="354"/>
      <c r="CW667"/>
      <c r="CX667"/>
      <c r="CY667"/>
      <c r="CZ667"/>
      <c r="DA667"/>
      <c r="DB667"/>
      <c r="DC667"/>
      <c r="DD667"/>
      <c r="DE667"/>
      <c r="DF667"/>
      <c r="DG667"/>
      <c r="DH667"/>
      <c r="DI667"/>
      <c r="DJ667"/>
      <c r="DK667"/>
      <c r="DL667"/>
      <c r="DM667"/>
      <c r="DN667"/>
    </row>
    <row r="668" spans="3:118" s="238" customFormat="1" ht="15.75" customHeight="1" x14ac:dyDescent="0.25">
      <c r="C668"/>
      <c r="D668"/>
      <c r="E668"/>
      <c r="F668"/>
      <c r="G668"/>
      <c r="H668"/>
      <c r="I668"/>
      <c r="J668"/>
      <c r="K668"/>
      <c r="L668"/>
      <c r="M668"/>
      <c r="N668"/>
      <c r="O668" s="366"/>
      <c r="P668" s="366">
        <v>2018</v>
      </c>
      <c r="Q668" s="367">
        <f>LARGE($CB$606:$CB$755,63)</f>
        <v>80.400000000000006</v>
      </c>
      <c r="R668" s="357">
        <f t="shared" si="157"/>
        <v>-116.19999999999999</v>
      </c>
      <c r="S668" s="356">
        <f t="shared" si="165"/>
        <v>13502.439999999997</v>
      </c>
      <c r="U668" s="356">
        <f t="shared" si="159"/>
        <v>-7.2624999999999993</v>
      </c>
      <c r="V668" s="238">
        <f t="shared" si="163"/>
        <v>8</v>
      </c>
      <c r="W668" s="354"/>
      <c r="X668" s="366"/>
      <c r="Y668" s="366"/>
      <c r="Z668" s="238">
        <v>2018</v>
      </c>
      <c r="AA668" s="367">
        <f>LARGE($CU$606:$CU$755,63)</f>
        <v>81.900000000000006</v>
      </c>
      <c r="AB668" s="357">
        <f t="shared" si="160"/>
        <v>-109</v>
      </c>
      <c r="AC668" s="356">
        <f t="shared" si="162"/>
        <v>11881</v>
      </c>
      <c r="AE668" s="356">
        <f t="shared" si="161"/>
        <v>-6.8125</v>
      </c>
      <c r="AF668" s="238">
        <f t="shared" si="164"/>
        <v>8</v>
      </c>
      <c r="AG668" s="354"/>
      <c r="AK668"/>
      <c r="AL668"/>
      <c r="AM668"/>
      <c r="AN668"/>
      <c r="AO668"/>
      <c r="AP668"/>
      <c r="BI668" s="360"/>
      <c r="BJ668" s="354"/>
      <c r="BK668" s="366">
        <v>2018</v>
      </c>
      <c r="BL668" t="s">
        <v>1189</v>
      </c>
      <c r="BM668" t="s">
        <v>1948</v>
      </c>
      <c r="BN668" t="s">
        <v>3</v>
      </c>
      <c r="BO668">
        <v>0</v>
      </c>
      <c r="BP668">
        <v>0</v>
      </c>
      <c r="BQ668">
        <v>0</v>
      </c>
      <c r="BR668">
        <v>183</v>
      </c>
      <c r="BS668">
        <v>1</v>
      </c>
      <c r="BT668">
        <v>38</v>
      </c>
      <c r="BU668">
        <v>275</v>
      </c>
      <c r="BV668">
        <v>0</v>
      </c>
      <c r="BW668">
        <v>0</v>
      </c>
      <c r="BX668">
        <v>0</v>
      </c>
      <c r="BY668">
        <v>234</v>
      </c>
      <c r="BZ668">
        <v>0</v>
      </c>
      <c r="CA668">
        <v>1</v>
      </c>
      <c r="CB668" s="367">
        <f>IFERROR(BO668/Instructions!$J$25,0)+BP668*Instructions!$J$27+BQ668*Instructions!$J$29+IFERROR(BR668/Instructions!$E$34,0)+BS668*Instructions!$E$36+Tier!BT669*Instructions!$E$25+IFERROR(BU668/Instructions!$E$27,0)+BV668*Instructions!$E$29+IFERROR((BW668+BY668)/Instructions!$J$32,0)+(BX668+BZ668)*Instructions!$J$34+Tier!CA668*-2</f>
        <v>57.8</v>
      </c>
      <c r="CC668" s="354"/>
      <c r="CD668" s="3">
        <v>2018</v>
      </c>
      <c r="CE668" t="s">
        <v>1266</v>
      </c>
      <c r="CF668" t="s">
        <v>136</v>
      </c>
      <c r="CG668" s="366" t="s">
        <v>6</v>
      </c>
      <c r="CH668">
        <v>0</v>
      </c>
      <c r="CI668">
        <v>0</v>
      </c>
      <c r="CJ668">
        <v>0</v>
      </c>
      <c r="CK668">
        <v>0</v>
      </c>
      <c r="CL668">
        <v>0</v>
      </c>
      <c r="CM668">
        <v>22</v>
      </c>
      <c r="CN668">
        <v>288</v>
      </c>
      <c r="CO668">
        <v>4</v>
      </c>
      <c r="CP668">
        <v>0</v>
      </c>
      <c r="CQ668">
        <v>0</v>
      </c>
      <c r="CR668">
        <v>0</v>
      </c>
      <c r="CS668">
        <v>0</v>
      </c>
      <c r="CT668">
        <v>0</v>
      </c>
      <c r="CU668" s="367">
        <f>IFERROR(CH668/Instructions!$J$25,0)+CI668*Instructions!$J$27+CJ668*Instructions!$J$29+IFERROR(CK668/Instructions!$E$34,0)+CL668*Instructions!$E$36+Tier!CM668*Instructions!$E$25+IFERROR(CN668/Instructions!$E$27,0)+CO668*Instructions!$E$29+IFERROR((CP668+CR668)/Instructions!$J$32,0)+(CQ668+CS668)*Instructions!$J$34+Tier!CT668*-2</f>
        <v>74.8</v>
      </c>
      <c r="CV668" s="354"/>
      <c r="CW668"/>
      <c r="CX668"/>
      <c r="CY668"/>
      <c r="CZ668"/>
      <c r="DA668"/>
      <c r="DB668"/>
      <c r="DC668"/>
      <c r="DD668"/>
      <c r="DE668"/>
      <c r="DF668"/>
      <c r="DG668"/>
      <c r="DH668"/>
      <c r="DI668"/>
      <c r="DJ668"/>
      <c r="DK668"/>
      <c r="DL668"/>
      <c r="DM668"/>
      <c r="DN668"/>
    </row>
    <row r="669" spans="3:118" s="238" customFormat="1" ht="15.75" customHeight="1" x14ac:dyDescent="0.25">
      <c r="C669"/>
      <c r="D669"/>
      <c r="E669"/>
      <c r="F669"/>
      <c r="G669"/>
      <c r="H669"/>
      <c r="I669"/>
      <c r="J669"/>
      <c r="K669"/>
      <c r="L669"/>
      <c r="M669"/>
      <c r="N669"/>
      <c r="O669" s="366"/>
      <c r="P669" s="366">
        <v>2018</v>
      </c>
      <c r="Q669" s="367">
        <f>LARGE($CB$606:$CB$755,64)</f>
        <v>80</v>
      </c>
      <c r="R669" s="357">
        <f t="shared" si="157"/>
        <v>-116.6</v>
      </c>
      <c r="S669" s="356">
        <f t="shared" si="165"/>
        <v>13595.56</v>
      </c>
      <c r="U669" s="356">
        <f t="shared" si="159"/>
        <v>-7.2874999999999996</v>
      </c>
      <c r="V669" s="238">
        <f t="shared" si="163"/>
        <v>8</v>
      </c>
      <c r="W669" s="354"/>
      <c r="X669" s="366"/>
      <c r="Y669" s="366"/>
      <c r="Z669" s="238">
        <v>2018</v>
      </c>
      <c r="AA669" s="367">
        <f>LARGE($CU$606:$CU$755,64)</f>
        <v>80.099999999999994</v>
      </c>
      <c r="AB669" s="357">
        <f t="shared" si="160"/>
        <v>-110.80000000000001</v>
      </c>
      <c r="AC669" s="356">
        <f t="shared" si="162"/>
        <v>12276.640000000003</v>
      </c>
      <c r="AE669" s="356">
        <f t="shared" si="161"/>
        <v>-6.9250000000000007</v>
      </c>
      <c r="AF669" s="238">
        <f t="shared" si="164"/>
        <v>8</v>
      </c>
      <c r="AG669" s="354"/>
      <c r="AK669"/>
      <c r="AL669"/>
      <c r="AM669"/>
      <c r="AN669"/>
      <c r="AO669"/>
      <c r="AP669"/>
      <c r="BI669" s="360"/>
      <c r="BJ669" s="354"/>
      <c r="BK669" s="366">
        <v>2018</v>
      </c>
      <c r="BL669" t="s">
        <v>52</v>
      </c>
      <c r="BM669" t="s">
        <v>155</v>
      </c>
      <c r="BN669" t="s">
        <v>3</v>
      </c>
      <c r="BO669">
        <v>0</v>
      </c>
      <c r="BP669">
        <v>0</v>
      </c>
      <c r="BQ669">
        <v>0</v>
      </c>
      <c r="BR669">
        <v>428</v>
      </c>
      <c r="BS669">
        <v>2</v>
      </c>
      <c r="BT669">
        <v>8</v>
      </c>
      <c r="BU669">
        <v>73</v>
      </c>
      <c r="BV669">
        <v>0</v>
      </c>
      <c r="BW669">
        <v>0</v>
      </c>
      <c r="BX669">
        <v>0</v>
      </c>
      <c r="BY669">
        <v>0</v>
      </c>
      <c r="BZ669">
        <v>0</v>
      </c>
      <c r="CA669">
        <v>1</v>
      </c>
      <c r="CB669" s="367">
        <f>IFERROR(BO669/Instructions!$J$25,0)+BP669*Instructions!$J$27+BQ669*Instructions!$J$29+IFERROR(BR669/Instructions!$E$34,0)+BS669*Instructions!$E$36+Tier!BT670*Instructions!$E$25+IFERROR(BU669/Instructions!$E$27,0)+BV669*Instructions!$E$29+IFERROR((BW669+BY669)/Instructions!$J$32,0)+(BX669+BZ669)*Instructions!$J$34+Tier!CA669*-2</f>
        <v>95.1</v>
      </c>
      <c r="CC669" s="354"/>
      <c r="CD669" s="3">
        <v>2018</v>
      </c>
      <c r="CE669" t="s">
        <v>208</v>
      </c>
      <c r="CF669" t="s">
        <v>1935</v>
      </c>
      <c r="CG669" s="366" t="s">
        <v>6</v>
      </c>
      <c r="CH669">
        <v>0</v>
      </c>
      <c r="CI669">
        <v>0</v>
      </c>
      <c r="CJ669">
        <v>0</v>
      </c>
      <c r="CK669">
        <v>39</v>
      </c>
      <c r="CL669">
        <v>0</v>
      </c>
      <c r="CM669">
        <v>43</v>
      </c>
      <c r="CN669">
        <v>447</v>
      </c>
      <c r="CO669">
        <v>1</v>
      </c>
      <c r="CP669">
        <v>0</v>
      </c>
      <c r="CQ669">
        <v>0</v>
      </c>
      <c r="CR669">
        <v>1</v>
      </c>
      <c r="CS669">
        <v>0</v>
      </c>
      <c r="CT669">
        <v>0</v>
      </c>
      <c r="CU669" s="367">
        <f>IFERROR(CH669/Instructions!$J$25,0)+CI669*Instructions!$J$27+CJ669*Instructions!$J$29+IFERROR(CK669/Instructions!$E$34,0)+CL669*Instructions!$E$36+Tier!CM669*Instructions!$E$25+IFERROR(CN669/Instructions!$E$27,0)+CO669*Instructions!$E$29+IFERROR((CP669+CR669)/Instructions!$J$32,0)+(CQ669+CS669)*Instructions!$J$34+Tier!CT669*-2</f>
        <v>97.6</v>
      </c>
      <c r="CV669" s="354"/>
      <c r="CW669"/>
      <c r="CX669"/>
      <c r="CY669"/>
      <c r="CZ669"/>
      <c r="DA669"/>
      <c r="DB669"/>
      <c r="DC669"/>
      <c r="DD669"/>
      <c r="DE669"/>
      <c r="DF669"/>
      <c r="DG669"/>
      <c r="DH669"/>
      <c r="DI669"/>
      <c r="DJ669"/>
      <c r="DK669"/>
      <c r="DL669"/>
      <c r="DM669"/>
      <c r="DN669"/>
    </row>
    <row r="670" spans="3:118" s="238" customFormat="1" ht="15.75" customHeight="1" x14ac:dyDescent="0.25">
      <c r="C670"/>
      <c r="D670"/>
      <c r="E670"/>
      <c r="F670"/>
      <c r="G670"/>
      <c r="H670"/>
      <c r="I670"/>
      <c r="J670"/>
      <c r="K670"/>
      <c r="L670"/>
      <c r="M670"/>
      <c r="N670"/>
      <c r="O670" s="366"/>
      <c r="P670" s="366">
        <v>2018</v>
      </c>
      <c r="Q670" s="367">
        <f>LARGE($CB$606:$CB$755,65)</f>
        <v>79.900000000000006</v>
      </c>
      <c r="R670" s="357">
        <f t="shared" si="157"/>
        <v>-116.69999999999999</v>
      </c>
      <c r="S670" s="356">
        <f t="shared" si="165"/>
        <v>13618.889999999998</v>
      </c>
      <c r="U670" s="356">
        <f t="shared" si="159"/>
        <v>-7.2937499999999993</v>
      </c>
      <c r="V670" s="238">
        <f t="shared" si="163"/>
        <v>8</v>
      </c>
      <c r="W670" s="354"/>
      <c r="X670" s="366"/>
      <c r="Y670" s="366"/>
      <c r="Z670" s="238">
        <v>2018</v>
      </c>
      <c r="AA670" s="367">
        <f>LARGE($CU$606:$CU$755,65)</f>
        <v>76.400000000000006</v>
      </c>
      <c r="AB670" s="357">
        <f t="shared" si="160"/>
        <v>-114.5</v>
      </c>
      <c r="AC670" s="356">
        <f t="shared" si="162"/>
        <v>13110.25</v>
      </c>
      <c r="AE670" s="356">
        <f t="shared" si="161"/>
        <v>-7.15625</v>
      </c>
      <c r="AF670" s="238">
        <f t="shared" si="164"/>
        <v>8</v>
      </c>
      <c r="AG670" s="354"/>
      <c r="AK670"/>
      <c r="AL670"/>
      <c r="AM670"/>
      <c r="AN670"/>
      <c r="AO670"/>
      <c r="AP670"/>
      <c r="BI670" s="360"/>
      <c r="BJ670" s="354"/>
      <c r="BK670" s="366">
        <v>2018</v>
      </c>
      <c r="BL670" t="s">
        <v>1141</v>
      </c>
      <c r="BM670" t="s">
        <v>143</v>
      </c>
      <c r="BN670" t="s">
        <v>3</v>
      </c>
      <c r="BO670">
        <v>0</v>
      </c>
      <c r="BP670">
        <v>0</v>
      </c>
      <c r="BQ670">
        <v>0</v>
      </c>
      <c r="BR670">
        <v>110</v>
      </c>
      <c r="BS670">
        <v>3</v>
      </c>
      <c r="BT670">
        <v>35</v>
      </c>
      <c r="BU670">
        <v>196</v>
      </c>
      <c r="BV670">
        <v>2</v>
      </c>
      <c r="BW670">
        <v>0</v>
      </c>
      <c r="BX670">
        <v>0</v>
      </c>
      <c r="BY670">
        <v>0</v>
      </c>
      <c r="BZ670">
        <v>0</v>
      </c>
      <c r="CA670">
        <v>1</v>
      </c>
      <c r="CB670" s="367">
        <f>IFERROR(BO670/Instructions!$J$25,0)+BP670*Instructions!$J$27+BQ670*Instructions!$J$29+IFERROR(BR670/Instructions!$E$34,0)+BS670*Instructions!$E$36+Tier!BT671*Instructions!$E$25+IFERROR(BU670/Instructions!$E$27,0)+BV670*Instructions!$E$29+IFERROR((BW670+BY670)/Instructions!$J$32,0)+(BX670+BZ670)*Instructions!$J$34+Tier!CA670*-2</f>
        <v>119.6</v>
      </c>
      <c r="CC670" s="354"/>
      <c r="CD670" s="3">
        <v>2018</v>
      </c>
      <c r="CE670" t="s">
        <v>1833</v>
      </c>
      <c r="CF670" t="s">
        <v>1931</v>
      </c>
      <c r="CG670" s="366" t="s">
        <v>6</v>
      </c>
      <c r="CH670">
        <v>0</v>
      </c>
      <c r="CI670">
        <v>0</v>
      </c>
      <c r="CJ670">
        <v>0</v>
      </c>
      <c r="CK670">
        <v>10</v>
      </c>
      <c r="CL670">
        <v>0</v>
      </c>
      <c r="CM670">
        <v>27</v>
      </c>
      <c r="CN670">
        <v>268</v>
      </c>
      <c r="CO670">
        <v>2</v>
      </c>
      <c r="CP670">
        <v>0</v>
      </c>
      <c r="CQ670">
        <v>0</v>
      </c>
      <c r="CR670">
        <v>0</v>
      </c>
      <c r="CS670">
        <v>0</v>
      </c>
      <c r="CT670">
        <v>1</v>
      </c>
      <c r="CU670" s="367">
        <f>IFERROR(CH670/Instructions!$J$25,0)+CI670*Instructions!$J$27+CJ670*Instructions!$J$29+IFERROR(CK670/Instructions!$E$34,0)+CL670*Instructions!$E$36+Tier!CM670*Instructions!$E$25+IFERROR(CN670/Instructions!$E$27,0)+CO670*Instructions!$E$29+IFERROR((CP670+CR670)/Instructions!$J$32,0)+(CQ670+CS670)*Instructions!$J$34+Tier!CT670*-2</f>
        <v>64.8</v>
      </c>
      <c r="CV670" s="354"/>
      <c r="CW670"/>
      <c r="CX670"/>
      <c r="CY670"/>
      <c r="CZ670"/>
      <c r="DA670"/>
      <c r="DB670"/>
      <c r="DC670"/>
      <c r="DD670"/>
      <c r="DE670"/>
      <c r="DF670"/>
      <c r="DG670"/>
      <c r="DH670"/>
      <c r="DI670"/>
      <c r="DJ670"/>
      <c r="DK670"/>
      <c r="DL670"/>
      <c r="DM670"/>
      <c r="DN670"/>
    </row>
    <row r="671" spans="3:118" s="238" customFormat="1" ht="15.75" customHeight="1" x14ac:dyDescent="0.25">
      <c r="C671"/>
      <c r="D671"/>
      <c r="E671"/>
      <c r="F671"/>
      <c r="G671"/>
      <c r="H671"/>
      <c r="I671"/>
      <c r="J671"/>
      <c r="K671"/>
      <c r="L671"/>
      <c r="M671"/>
      <c r="N671"/>
      <c r="O671" s="366"/>
      <c r="P671" s="366">
        <v>2018</v>
      </c>
      <c r="Q671" s="367">
        <f>LARGE($CB$606:$CB$755,66)</f>
        <v>79.7</v>
      </c>
      <c r="R671" s="357">
        <f t="shared" ref="R671:R734" si="166">Q671-$T$161</f>
        <v>-116.89999999999999</v>
      </c>
      <c r="S671" s="356">
        <f t="shared" si="165"/>
        <v>13665.609999999999</v>
      </c>
      <c r="U671" s="356">
        <f t="shared" ref="U671:U734" si="167">R671/$T$606</f>
        <v>-7.3062499999999995</v>
      </c>
      <c r="V671" s="238">
        <f t="shared" si="163"/>
        <v>8</v>
      </c>
      <c r="W671" s="354"/>
      <c r="X671" s="366"/>
      <c r="Y671" s="366"/>
      <c r="Z671" s="238">
        <v>2018</v>
      </c>
      <c r="AA671" s="367">
        <f>LARGE($CU$606:$CU$755,66)</f>
        <v>74.8</v>
      </c>
      <c r="AB671" s="357">
        <f t="shared" ref="AB671:AB734" si="168">$AA671-$AD$616</f>
        <v>-116.10000000000001</v>
      </c>
      <c r="AC671" s="356">
        <f t="shared" si="162"/>
        <v>13479.210000000003</v>
      </c>
      <c r="AE671" s="356">
        <f t="shared" ref="AE671:AE734" si="169">AB671/$AD$606</f>
        <v>-7.2562500000000005</v>
      </c>
      <c r="AF671" s="238">
        <f t="shared" si="164"/>
        <v>8</v>
      </c>
      <c r="AG671" s="354"/>
      <c r="AK671"/>
      <c r="AL671"/>
      <c r="AM671"/>
      <c r="AN671"/>
      <c r="AO671"/>
      <c r="AP671"/>
      <c r="BI671" s="360"/>
      <c r="BJ671" s="354"/>
      <c r="BK671" s="366">
        <v>2018</v>
      </c>
      <c r="BL671" t="s">
        <v>981</v>
      </c>
      <c r="BM671" t="s">
        <v>1939</v>
      </c>
      <c r="BN671" t="s">
        <v>3</v>
      </c>
      <c r="BO671">
        <v>0</v>
      </c>
      <c r="BP671">
        <v>0</v>
      </c>
      <c r="BQ671">
        <v>0</v>
      </c>
      <c r="BR671">
        <v>171</v>
      </c>
      <c r="BS671">
        <v>0</v>
      </c>
      <c r="BT671">
        <v>61</v>
      </c>
      <c r="BU671">
        <v>384</v>
      </c>
      <c r="BV671">
        <v>0</v>
      </c>
      <c r="BW671">
        <v>0</v>
      </c>
      <c r="BX671">
        <v>0</v>
      </c>
      <c r="BY671">
        <v>0</v>
      </c>
      <c r="BZ671">
        <v>0</v>
      </c>
      <c r="CA671">
        <v>0</v>
      </c>
      <c r="CB671" s="367">
        <f>IFERROR(BO671/Instructions!$J$25,0)+BP671*Instructions!$J$27+BQ671*Instructions!$J$29+IFERROR(BR671/Instructions!$E$34,0)+BS671*Instructions!$E$36+Tier!BT672*Instructions!$E$25+IFERROR(BU671/Instructions!$E$27,0)+BV671*Instructions!$E$29+IFERROR((BW671+BY671)/Instructions!$J$32,0)+(BX671+BZ671)*Instructions!$J$34+Tier!CA671*-2</f>
        <v>80.5</v>
      </c>
      <c r="CC671" s="354"/>
      <c r="CD671" s="3">
        <v>2018</v>
      </c>
      <c r="CE671" t="s">
        <v>1790</v>
      </c>
      <c r="CF671" t="s">
        <v>1950</v>
      </c>
      <c r="CG671" s="366" t="s">
        <v>6</v>
      </c>
      <c r="CH671">
        <v>0</v>
      </c>
      <c r="CI671">
        <v>0</v>
      </c>
      <c r="CJ671">
        <v>0</v>
      </c>
      <c r="CK671">
        <v>0</v>
      </c>
      <c r="CL671">
        <v>0</v>
      </c>
      <c r="CM671">
        <v>38</v>
      </c>
      <c r="CN671">
        <v>491</v>
      </c>
      <c r="CO671">
        <v>1</v>
      </c>
      <c r="CP671">
        <v>0</v>
      </c>
      <c r="CQ671">
        <v>0</v>
      </c>
      <c r="CR671">
        <v>2</v>
      </c>
      <c r="CS671">
        <v>0</v>
      </c>
      <c r="CT671">
        <v>0</v>
      </c>
      <c r="CU671" s="367">
        <f>IFERROR(CH671/Instructions!$J$25,0)+CI671*Instructions!$J$27+CJ671*Instructions!$J$29+IFERROR(CK671/Instructions!$E$34,0)+CL671*Instructions!$E$36+Tier!CM671*Instructions!$E$25+IFERROR(CN671/Instructions!$E$27,0)+CO671*Instructions!$E$29+IFERROR((CP671+CR671)/Instructions!$J$32,0)+(CQ671+CS671)*Instructions!$J$34+Tier!CT671*-2</f>
        <v>93.1</v>
      </c>
      <c r="CV671" s="354"/>
      <c r="CW671"/>
      <c r="CX671"/>
      <c r="CY671"/>
      <c r="CZ671"/>
      <c r="DA671"/>
      <c r="DB671"/>
      <c r="DC671"/>
      <c r="DD671"/>
      <c r="DE671"/>
      <c r="DF671"/>
      <c r="DG671"/>
      <c r="DH671"/>
      <c r="DI671"/>
      <c r="DJ671"/>
      <c r="DK671"/>
      <c r="DL671"/>
      <c r="DM671"/>
      <c r="DN671"/>
    </row>
    <row r="672" spans="3:118" s="238" customFormat="1" ht="15.75" customHeight="1" x14ac:dyDescent="0.25">
      <c r="C672"/>
      <c r="D672"/>
      <c r="E672"/>
      <c r="F672"/>
      <c r="G672"/>
      <c r="H672"/>
      <c r="I672"/>
      <c r="J672"/>
      <c r="K672"/>
      <c r="L672"/>
      <c r="M672"/>
      <c r="N672"/>
      <c r="O672" s="366"/>
      <c r="P672" s="366">
        <v>2018</v>
      </c>
      <c r="Q672" s="367">
        <f>LARGE($CB$606:$CB$755,67)</f>
        <v>68.5</v>
      </c>
      <c r="R672" s="357">
        <f t="shared" si="166"/>
        <v>-128.1</v>
      </c>
      <c r="S672" s="356">
        <f t="shared" si="165"/>
        <v>16409.609999999997</v>
      </c>
      <c r="U672" s="356">
        <f t="shared" si="167"/>
        <v>-8.0062499999999996</v>
      </c>
      <c r="V672" s="238">
        <f t="shared" si="163"/>
        <v>8</v>
      </c>
      <c r="W672" s="354"/>
      <c r="X672" s="366"/>
      <c r="Y672" s="366"/>
      <c r="Z672" s="238">
        <v>2018</v>
      </c>
      <c r="AA672" s="367">
        <f>LARGE($CU$606:$CU$755,67)</f>
        <v>74.400000000000006</v>
      </c>
      <c r="AB672" s="357">
        <f t="shared" si="168"/>
        <v>-116.5</v>
      </c>
      <c r="AC672" s="356">
        <f t="shared" si="162"/>
        <v>13572.25</v>
      </c>
      <c r="AE672" s="356">
        <f t="shared" si="169"/>
        <v>-7.28125</v>
      </c>
      <c r="AF672" s="238">
        <f t="shared" si="164"/>
        <v>8</v>
      </c>
      <c r="AG672" s="354"/>
      <c r="AK672"/>
      <c r="AL672"/>
      <c r="AM672"/>
      <c r="AN672"/>
      <c r="AO672"/>
      <c r="AP672"/>
      <c r="BI672" s="360"/>
      <c r="BJ672" s="354"/>
      <c r="BK672" s="366">
        <v>2018</v>
      </c>
      <c r="BL672" t="s">
        <v>1114</v>
      </c>
      <c r="BM672" t="s">
        <v>164</v>
      </c>
      <c r="BN672" t="s">
        <v>3</v>
      </c>
      <c r="BO672">
        <v>0</v>
      </c>
      <c r="BP672">
        <v>0</v>
      </c>
      <c r="BQ672">
        <v>0</v>
      </c>
      <c r="BR672">
        <v>188</v>
      </c>
      <c r="BS672">
        <v>1</v>
      </c>
      <c r="BT672">
        <v>25</v>
      </c>
      <c r="BU672">
        <v>235</v>
      </c>
      <c r="BV672">
        <v>0</v>
      </c>
      <c r="BW672">
        <v>0</v>
      </c>
      <c r="BX672">
        <v>0</v>
      </c>
      <c r="BY672">
        <v>210</v>
      </c>
      <c r="BZ672">
        <v>0</v>
      </c>
      <c r="CA672">
        <v>1</v>
      </c>
      <c r="CB672" s="367">
        <f>IFERROR(BO672/Instructions!$J$25,0)+BP672*Instructions!$J$27+BQ672*Instructions!$J$29+IFERROR(BR672/Instructions!$E$34,0)+BS672*Instructions!$E$36+Tier!BT673*Instructions!$E$25+IFERROR(BU672/Instructions!$E$27,0)+BV672*Instructions!$E$29+IFERROR((BW672+BY672)/Instructions!$J$32,0)+(BX672+BZ672)*Instructions!$J$34+Tier!CA672*-2</f>
        <v>53.3</v>
      </c>
      <c r="CC672" s="354"/>
      <c r="CD672" s="3">
        <v>2018</v>
      </c>
      <c r="CE672" t="s">
        <v>1414</v>
      </c>
      <c r="CF672" t="s">
        <v>1945</v>
      </c>
      <c r="CG672" s="366" t="s">
        <v>6</v>
      </c>
      <c r="CH672">
        <v>0</v>
      </c>
      <c r="CI672">
        <v>0</v>
      </c>
      <c r="CJ672">
        <v>0</v>
      </c>
      <c r="CK672">
        <v>0</v>
      </c>
      <c r="CL672">
        <v>0</v>
      </c>
      <c r="CM672">
        <v>37</v>
      </c>
      <c r="CN672">
        <v>466</v>
      </c>
      <c r="CO672">
        <v>1</v>
      </c>
      <c r="CP672">
        <v>0</v>
      </c>
      <c r="CQ672">
        <v>0</v>
      </c>
      <c r="CR672">
        <v>1</v>
      </c>
      <c r="CS672">
        <v>0</v>
      </c>
      <c r="CT672">
        <v>0</v>
      </c>
      <c r="CU672" s="367">
        <f>IFERROR(CH672/Instructions!$J$25,0)+CI672*Instructions!$J$27+CJ672*Instructions!$J$29+IFERROR(CK672/Instructions!$E$34,0)+CL672*Instructions!$E$36+Tier!CM672*Instructions!$E$25+IFERROR(CN672/Instructions!$E$27,0)+CO672*Instructions!$E$29+IFERROR((CP672+CR672)/Instructions!$J$32,0)+(CQ672+CS672)*Instructions!$J$34+Tier!CT672*-2</f>
        <v>89.6</v>
      </c>
      <c r="CV672" s="354"/>
      <c r="CW672"/>
      <c r="CX672"/>
      <c r="CY672"/>
      <c r="CZ672"/>
      <c r="DA672"/>
      <c r="DB672"/>
      <c r="DC672"/>
      <c r="DD672"/>
      <c r="DE672"/>
      <c r="DF672"/>
      <c r="DG672"/>
      <c r="DH672"/>
      <c r="DI672"/>
      <c r="DJ672"/>
      <c r="DK672"/>
      <c r="DL672"/>
      <c r="DM672"/>
      <c r="DN672"/>
    </row>
    <row r="673" spans="3:118" s="238" customFormat="1" ht="15.75" customHeight="1" x14ac:dyDescent="0.25">
      <c r="C673"/>
      <c r="D673"/>
      <c r="E673"/>
      <c r="F673"/>
      <c r="G673"/>
      <c r="H673"/>
      <c r="I673"/>
      <c r="J673"/>
      <c r="K673"/>
      <c r="L673"/>
      <c r="M673"/>
      <c r="N673"/>
      <c r="O673" s="366"/>
      <c r="P673" s="366">
        <v>2018</v>
      </c>
      <c r="Q673" s="367">
        <f>LARGE($CB$606:$CB$755,68)</f>
        <v>66.400000000000006</v>
      </c>
      <c r="R673" s="357">
        <f t="shared" si="166"/>
        <v>-130.19999999999999</v>
      </c>
      <c r="S673" s="356">
        <f t="shared" si="165"/>
        <v>16952.039999999997</v>
      </c>
      <c r="U673" s="356">
        <f t="shared" si="167"/>
        <v>-8.1374999999999993</v>
      </c>
      <c r="V673" s="238">
        <f t="shared" si="163"/>
        <v>8</v>
      </c>
      <c r="W673" s="354"/>
      <c r="X673" s="366"/>
      <c r="Y673" s="366"/>
      <c r="Z673" s="238">
        <v>2018</v>
      </c>
      <c r="AA673" s="367">
        <f>LARGE($CU$606:$CU$755,68)</f>
        <v>71.2</v>
      </c>
      <c r="AB673" s="357">
        <f t="shared" si="168"/>
        <v>-119.7</v>
      </c>
      <c r="AC673" s="356">
        <f t="shared" si="162"/>
        <v>14328.09</v>
      </c>
      <c r="AE673" s="356">
        <f t="shared" si="169"/>
        <v>-7.4812500000000002</v>
      </c>
      <c r="AF673" s="238">
        <f t="shared" si="164"/>
        <v>8</v>
      </c>
      <c r="AG673" s="354"/>
      <c r="AK673"/>
      <c r="AL673"/>
      <c r="AM673"/>
      <c r="AN673"/>
      <c r="AO673"/>
      <c r="AP673"/>
      <c r="BI673" s="360"/>
      <c r="BJ673" s="354"/>
      <c r="BK673" s="366">
        <v>2018</v>
      </c>
      <c r="BL673" t="s">
        <v>1177</v>
      </c>
      <c r="BM673" t="s">
        <v>1939</v>
      </c>
      <c r="BN673" t="s">
        <v>3</v>
      </c>
      <c r="BO673">
        <v>0</v>
      </c>
      <c r="BP673">
        <v>0</v>
      </c>
      <c r="BQ673">
        <v>0</v>
      </c>
      <c r="BR673">
        <v>265</v>
      </c>
      <c r="BS673">
        <v>3</v>
      </c>
      <c r="BT673">
        <v>7</v>
      </c>
      <c r="BU673">
        <v>56</v>
      </c>
      <c r="BV673">
        <v>0</v>
      </c>
      <c r="BW673">
        <v>0</v>
      </c>
      <c r="BX673">
        <v>0</v>
      </c>
      <c r="BY673">
        <v>0</v>
      </c>
      <c r="BZ673">
        <v>0</v>
      </c>
      <c r="CA673">
        <v>0</v>
      </c>
      <c r="CB673" s="367">
        <f>IFERROR(BO673/Instructions!$J$25,0)+BP673*Instructions!$J$27+BQ673*Instructions!$J$29+IFERROR(BR673/Instructions!$E$34,0)+BS673*Instructions!$E$36+Tier!BT674*Instructions!$E$25+IFERROR(BU673/Instructions!$E$27,0)+BV673*Instructions!$E$29+IFERROR((BW673+BY673)/Instructions!$J$32,0)+(BX673+BZ673)*Instructions!$J$34+Tier!CA673*-2</f>
        <v>91.1</v>
      </c>
      <c r="CC673" s="354"/>
      <c r="CD673" s="3">
        <v>2018</v>
      </c>
      <c r="CE673" t="s">
        <v>1803</v>
      </c>
      <c r="CF673" t="s">
        <v>155</v>
      </c>
      <c r="CG673" s="366" t="s">
        <v>6</v>
      </c>
      <c r="CH673">
        <v>0</v>
      </c>
      <c r="CI673">
        <v>0</v>
      </c>
      <c r="CJ673">
        <v>0</v>
      </c>
      <c r="CK673">
        <v>0</v>
      </c>
      <c r="CL673">
        <v>0</v>
      </c>
      <c r="CM673">
        <v>9</v>
      </c>
      <c r="CN673">
        <v>130</v>
      </c>
      <c r="CO673">
        <v>1</v>
      </c>
      <c r="CP673">
        <v>0</v>
      </c>
      <c r="CQ673">
        <v>0</v>
      </c>
      <c r="CR673">
        <v>1</v>
      </c>
      <c r="CS673">
        <v>0</v>
      </c>
      <c r="CT673">
        <v>0</v>
      </c>
      <c r="CU673" s="367">
        <f>IFERROR(CH673/Instructions!$J$25,0)+CI673*Instructions!$J$27+CJ673*Instructions!$J$29+IFERROR(CK673/Instructions!$E$34,0)+CL673*Instructions!$E$36+Tier!CM673*Instructions!$E$25+IFERROR(CN673/Instructions!$E$27,0)+CO673*Instructions!$E$29+IFERROR((CP673+CR673)/Instructions!$J$32,0)+(CQ673+CS673)*Instructions!$J$34+Tier!CT673*-2</f>
        <v>28</v>
      </c>
      <c r="CV673" s="354"/>
      <c r="CW673"/>
      <c r="CX673"/>
      <c r="CY673"/>
      <c r="CZ673"/>
      <c r="DA673"/>
      <c r="DB673"/>
      <c r="DC673"/>
      <c r="DD673"/>
      <c r="DE673"/>
      <c r="DF673"/>
      <c r="DG673"/>
      <c r="DH673"/>
      <c r="DI673"/>
      <c r="DJ673"/>
      <c r="DK673"/>
      <c r="DL673"/>
      <c r="DM673"/>
      <c r="DN673"/>
    </row>
    <row r="674" spans="3:118" s="238" customFormat="1" ht="15.75" customHeight="1" x14ac:dyDescent="0.25">
      <c r="C674"/>
      <c r="D674"/>
      <c r="E674"/>
      <c r="F674"/>
      <c r="G674"/>
      <c r="H674"/>
      <c r="I674"/>
      <c r="J674"/>
      <c r="K674"/>
      <c r="L674"/>
      <c r="M674"/>
      <c r="N674"/>
      <c r="O674" s="366"/>
      <c r="P674" s="366">
        <v>2018</v>
      </c>
      <c r="Q674" s="367">
        <f>LARGE($CB$606:$CB$755,69)</f>
        <v>65.599999999999994</v>
      </c>
      <c r="R674" s="357">
        <f t="shared" si="166"/>
        <v>-131</v>
      </c>
      <c r="S674" s="356">
        <f t="shared" si="165"/>
        <v>17161</v>
      </c>
      <c r="U674" s="356">
        <f t="shared" si="167"/>
        <v>-8.1875</v>
      </c>
      <c r="V674" s="238">
        <f t="shared" si="163"/>
        <v>8</v>
      </c>
      <c r="W674" s="354"/>
      <c r="X674" s="366"/>
      <c r="Y674" s="366"/>
      <c r="Z674" s="238">
        <v>2018</v>
      </c>
      <c r="AA674" s="367">
        <f>LARGE($CU$606:$CU$755,69)</f>
        <v>71.2</v>
      </c>
      <c r="AB674" s="357">
        <f t="shared" si="168"/>
        <v>-119.7</v>
      </c>
      <c r="AC674" s="356">
        <f t="shared" si="162"/>
        <v>14328.09</v>
      </c>
      <c r="AE674" s="356">
        <f t="shared" si="169"/>
        <v>-7.4812500000000002</v>
      </c>
      <c r="AF674" s="238">
        <f t="shared" si="164"/>
        <v>8</v>
      </c>
      <c r="AG674" s="354"/>
      <c r="AK674"/>
      <c r="AL674"/>
      <c r="AM674"/>
      <c r="AN674"/>
      <c r="AO674"/>
      <c r="AP674"/>
      <c r="BI674" s="360"/>
      <c r="BJ674" s="354"/>
      <c r="BK674" s="366">
        <v>2018</v>
      </c>
      <c r="BL674" t="s">
        <v>990</v>
      </c>
      <c r="BM674" t="s">
        <v>1940</v>
      </c>
      <c r="BN674" t="s">
        <v>3</v>
      </c>
      <c r="BO674">
        <v>0</v>
      </c>
      <c r="BP674">
        <v>0</v>
      </c>
      <c r="BQ674">
        <v>0</v>
      </c>
      <c r="BR674">
        <v>178</v>
      </c>
      <c r="BS674">
        <v>0</v>
      </c>
      <c r="BT674">
        <v>41</v>
      </c>
      <c r="BU674">
        <v>268</v>
      </c>
      <c r="BV674">
        <v>1</v>
      </c>
      <c r="BW674">
        <v>0</v>
      </c>
      <c r="BX674">
        <v>0</v>
      </c>
      <c r="BY674">
        <v>0</v>
      </c>
      <c r="BZ674">
        <v>0</v>
      </c>
      <c r="CA674">
        <v>0</v>
      </c>
      <c r="CB674" s="367">
        <f>IFERROR(BO674/Instructions!$J$25,0)+BP674*Instructions!$J$27+BQ674*Instructions!$J$29+IFERROR(BR674/Instructions!$E$34,0)+BS674*Instructions!$E$36+Tier!BT675*Instructions!$E$25+IFERROR(BU674/Instructions!$E$27,0)+BV674*Instructions!$E$29+IFERROR((BW674+BY674)/Instructions!$J$32,0)+(BX674+BZ674)*Instructions!$J$34+Tier!CA674*-2</f>
        <v>65.599999999999994</v>
      </c>
      <c r="CC674" s="354"/>
      <c r="CD674" s="3">
        <v>2018</v>
      </c>
      <c r="CE674" t="s">
        <v>40</v>
      </c>
      <c r="CF674" t="s">
        <v>1936</v>
      </c>
      <c r="CG674" s="366" t="s">
        <v>6</v>
      </c>
      <c r="CH674">
        <v>0</v>
      </c>
      <c r="CI674">
        <v>0</v>
      </c>
      <c r="CJ674">
        <v>0</v>
      </c>
      <c r="CK674">
        <v>0</v>
      </c>
      <c r="CL674">
        <v>0</v>
      </c>
      <c r="CM674">
        <v>38</v>
      </c>
      <c r="CN674">
        <v>383</v>
      </c>
      <c r="CO674">
        <v>2</v>
      </c>
      <c r="CP674">
        <v>0</v>
      </c>
      <c r="CQ674">
        <v>0</v>
      </c>
      <c r="CR674">
        <v>1</v>
      </c>
      <c r="CS674">
        <v>0</v>
      </c>
      <c r="CT674">
        <v>0</v>
      </c>
      <c r="CU674" s="367">
        <f>IFERROR(CH674/Instructions!$J$25,0)+CI674*Instructions!$J$27+CJ674*Instructions!$J$29+IFERROR(CK674/Instructions!$E$34,0)+CL674*Instructions!$E$36+Tier!CM674*Instructions!$E$25+IFERROR(CN674/Instructions!$E$27,0)+CO674*Instructions!$E$29+IFERROR((CP674+CR674)/Instructions!$J$32,0)+(CQ674+CS674)*Instructions!$J$34+Tier!CT674*-2</f>
        <v>88.3</v>
      </c>
      <c r="CV674" s="354"/>
      <c r="CW674"/>
      <c r="CX674"/>
      <c r="CY674"/>
      <c r="CZ674"/>
      <c r="DA674"/>
      <c r="DB674"/>
      <c r="DC674"/>
      <c r="DD674"/>
      <c r="DE674"/>
      <c r="DF674"/>
      <c r="DG674"/>
      <c r="DH674"/>
      <c r="DI674"/>
      <c r="DJ674"/>
      <c r="DK674"/>
      <c r="DL674"/>
      <c r="DM674"/>
      <c r="DN674"/>
    </row>
    <row r="675" spans="3:118" s="238" customFormat="1" ht="15.75" customHeight="1" x14ac:dyDescent="0.25">
      <c r="C675"/>
      <c r="D675"/>
      <c r="E675"/>
      <c r="F675"/>
      <c r="G675"/>
      <c r="H675"/>
      <c r="I675"/>
      <c r="J675"/>
      <c r="K675"/>
      <c r="L675"/>
      <c r="M675"/>
      <c r="N675"/>
      <c r="O675" s="366"/>
      <c r="P675" s="366">
        <v>2018</v>
      </c>
      <c r="Q675" s="367">
        <f>LARGE($CB$606:$CB$755,70)</f>
        <v>64.399999999999991</v>
      </c>
      <c r="R675" s="357">
        <f t="shared" si="166"/>
        <v>-132.19999999999999</v>
      </c>
      <c r="S675" s="356">
        <f t="shared" si="165"/>
        <v>17476.839999999997</v>
      </c>
      <c r="U675" s="356">
        <f t="shared" si="167"/>
        <v>-8.2624999999999993</v>
      </c>
      <c r="V675" s="238">
        <f t="shared" si="163"/>
        <v>8</v>
      </c>
      <c r="W675" s="354"/>
      <c r="X675" s="366"/>
      <c r="Y675" s="366"/>
      <c r="Z675" s="238">
        <v>2018</v>
      </c>
      <c r="AA675" s="367">
        <f>LARGE($CU$606:$CU$755,70)</f>
        <v>70.099999999999994</v>
      </c>
      <c r="AB675" s="357">
        <f t="shared" si="168"/>
        <v>-120.80000000000001</v>
      </c>
      <c r="AC675" s="356">
        <f t="shared" si="162"/>
        <v>14592.640000000003</v>
      </c>
      <c r="AE675" s="356">
        <f t="shared" si="169"/>
        <v>-7.5500000000000007</v>
      </c>
      <c r="AF675" s="238">
        <f t="shared" si="164"/>
        <v>8</v>
      </c>
      <c r="AG675" s="354"/>
      <c r="AK675"/>
      <c r="AL675"/>
      <c r="AM675"/>
      <c r="AN675"/>
      <c r="AO675"/>
      <c r="AP675"/>
      <c r="BI675" s="360"/>
      <c r="BJ675" s="354"/>
      <c r="BK675" s="366">
        <v>2018</v>
      </c>
      <c r="BL675" t="s">
        <v>92</v>
      </c>
      <c r="BM675" t="s">
        <v>1943</v>
      </c>
      <c r="BN675" t="s">
        <v>3</v>
      </c>
      <c r="BO675">
        <v>0</v>
      </c>
      <c r="BP675">
        <v>0</v>
      </c>
      <c r="BQ675">
        <v>0</v>
      </c>
      <c r="BR675">
        <v>120</v>
      </c>
      <c r="BS675">
        <v>1</v>
      </c>
      <c r="BT675">
        <v>15</v>
      </c>
      <c r="BU675">
        <v>160</v>
      </c>
      <c r="BV675">
        <v>2</v>
      </c>
      <c r="BW675">
        <v>0</v>
      </c>
      <c r="BX675">
        <v>0</v>
      </c>
      <c r="BY675">
        <v>85</v>
      </c>
      <c r="BZ675">
        <v>0</v>
      </c>
      <c r="CA675">
        <v>0</v>
      </c>
      <c r="CB675" s="367">
        <f>IFERROR(BO675/Instructions!$J$25,0)+BP675*Instructions!$J$27+BQ675*Instructions!$J$29+IFERROR(BR675/Instructions!$E$34,0)+BS675*Instructions!$E$36+Tier!BT676*Instructions!$E$25+IFERROR(BU675/Instructions!$E$27,0)+BV675*Instructions!$E$29+IFERROR((BW675+BY675)/Instructions!$J$32,0)+(BX675+BZ675)*Instructions!$J$34+Tier!CA675*-2</f>
        <v>57</v>
      </c>
      <c r="CC675" s="354"/>
      <c r="CD675" s="3">
        <v>2018</v>
      </c>
      <c r="CE675" t="s">
        <v>1108</v>
      </c>
      <c r="CF675" t="s">
        <v>157</v>
      </c>
      <c r="CG675" s="366" t="s">
        <v>6</v>
      </c>
      <c r="CH675">
        <v>0</v>
      </c>
      <c r="CI675">
        <v>0</v>
      </c>
      <c r="CJ675">
        <v>0</v>
      </c>
      <c r="CK675">
        <v>29</v>
      </c>
      <c r="CL675">
        <v>0</v>
      </c>
      <c r="CM675">
        <v>32</v>
      </c>
      <c r="CN675">
        <v>290</v>
      </c>
      <c r="CO675">
        <v>3</v>
      </c>
      <c r="CP675">
        <v>0</v>
      </c>
      <c r="CQ675">
        <v>0</v>
      </c>
      <c r="CR675">
        <v>0</v>
      </c>
      <c r="CS675">
        <v>0</v>
      </c>
      <c r="CT675">
        <v>0</v>
      </c>
      <c r="CU675" s="367">
        <f>IFERROR(CH675/Instructions!$J$25,0)+CI675*Instructions!$J$27+CJ675*Instructions!$J$29+IFERROR(CK675/Instructions!$E$34,0)+CL675*Instructions!$E$36+Tier!CM675*Instructions!$E$25+IFERROR(CN675/Instructions!$E$27,0)+CO675*Instructions!$E$29+IFERROR((CP675+CR675)/Instructions!$J$32,0)+(CQ675+CS675)*Instructions!$J$34+Tier!CT675*-2</f>
        <v>81.900000000000006</v>
      </c>
      <c r="CV675" s="354"/>
      <c r="CW675"/>
      <c r="CX675"/>
      <c r="CY675"/>
      <c r="CZ675"/>
      <c r="DA675"/>
      <c r="DB675"/>
      <c r="DC675"/>
      <c r="DD675"/>
      <c r="DE675"/>
      <c r="DF675"/>
      <c r="DG675"/>
      <c r="DH675"/>
      <c r="DI675"/>
      <c r="DJ675"/>
      <c r="DK675"/>
      <c r="DL675"/>
      <c r="DM675"/>
      <c r="DN675"/>
    </row>
    <row r="676" spans="3:118" s="238" customFormat="1" ht="15.75" customHeight="1" x14ac:dyDescent="0.25">
      <c r="C676"/>
      <c r="D676"/>
      <c r="E676"/>
      <c r="F676"/>
      <c r="G676"/>
      <c r="H676"/>
      <c r="I676"/>
      <c r="J676"/>
      <c r="K676"/>
      <c r="L676"/>
      <c r="M676"/>
      <c r="N676"/>
      <c r="O676" s="366"/>
      <c r="P676" s="366">
        <v>2018</v>
      </c>
      <c r="Q676" s="367">
        <f>LARGE($CB$606:$CB$755,71)</f>
        <v>64.099999999999994</v>
      </c>
      <c r="R676" s="357">
        <f t="shared" si="166"/>
        <v>-132.5</v>
      </c>
      <c r="S676" s="356">
        <f t="shared" si="165"/>
        <v>17556.25</v>
      </c>
      <c r="U676" s="356">
        <f t="shared" si="167"/>
        <v>-8.28125</v>
      </c>
      <c r="V676" s="238">
        <f t="shared" si="163"/>
        <v>8</v>
      </c>
      <c r="W676" s="354"/>
      <c r="X676" s="366"/>
      <c r="Y676" s="366"/>
      <c r="Z676" s="238">
        <v>2018</v>
      </c>
      <c r="AA676" s="367">
        <f>LARGE($CU$606:$CU$755,71)</f>
        <v>69.400000000000006</v>
      </c>
      <c r="AB676" s="357">
        <f t="shared" si="168"/>
        <v>-121.5</v>
      </c>
      <c r="AC676" s="356">
        <f t="shared" si="162"/>
        <v>14762.25</v>
      </c>
      <c r="AE676" s="356">
        <f t="shared" si="169"/>
        <v>-7.59375</v>
      </c>
      <c r="AF676" s="238">
        <f t="shared" si="164"/>
        <v>8</v>
      </c>
      <c r="AG676" s="354"/>
      <c r="AK676"/>
      <c r="AL676"/>
      <c r="AM676"/>
      <c r="AN676"/>
      <c r="AO676"/>
      <c r="AP676"/>
      <c r="BI676" s="360"/>
      <c r="BJ676" s="354"/>
      <c r="BK676" s="366">
        <v>2018</v>
      </c>
      <c r="BL676" t="s">
        <v>978</v>
      </c>
      <c r="BM676" t="s">
        <v>164</v>
      </c>
      <c r="BN676" t="s">
        <v>3</v>
      </c>
      <c r="BO676">
        <v>0</v>
      </c>
      <c r="BP676">
        <v>0</v>
      </c>
      <c r="BQ676">
        <v>0</v>
      </c>
      <c r="BR676">
        <v>343</v>
      </c>
      <c r="BS676">
        <v>0</v>
      </c>
      <c r="BT676">
        <v>11</v>
      </c>
      <c r="BU676">
        <v>110</v>
      </c>
      <c r="BV676">
        <v>1</v>
      </c>
      <c r="BW676">
        <v>0</v>
      </c>
      <c r="BX676">
        <v>0</v>
      </c>
      <c r="BY676">
        <v>0</v>
      </c>
      <c r="BZ676">
        <v>0</v>
      </c>
      <c r="CA676">
        <v>1</v>
      </c>
      <c r="CB676" s="367">
        <f>IFERROR(BO676/Instructions!$J$25,0)+BP676*Instructions!$J$27+BQ676*Instructions!$J$29+IFERROR(BR676/Instructions!$E$34,0)+BS676*Instructions!$E$36+Tier!BT677*Instructions!$E$25+IFERROR(BU676/Instructions!$E$27,0)+BV676*Instructions!$E$29+IFERROR((BW676+BY676)/Instructions!$J$32,0)+(BX676+BZ676)*Instructions!$J$34+Tier!CA676*-2</f>
        <v>55.3</v>
      </c>
      <c r="CC676" s="354"/>
      <c r="CD676" s="3">
        <v>2018</v>
      </c>
      <c r="CE676" t="s">
        <v>1439</v>
      </c>
      <c r="CF676" t="s">
        <v>1942</v>
      </c>
      <c r="CG676" s="366" t="s">
        <v>6</v>
      </c>
      <c r="CH676">
        <v>0</v>
      </c>
      <c r="CI676">
        <v>0</v>
      </c>
      <c r="CJ676">
        <v>0</v>
      </c>
      <c r="CK676">
        <v>66</v>
      </c>
      <c r="CL676">
        <v>2</v>
      </c>
      <c r="CM676">
        <v>18</v>
      </c>
      <c r="CN676">
        <v>179</v>
      </c>
      <c r="CO676">
        <v>0</v>
      </c>
      <c r="CP676">
        <v>0</v>
      </c>
      <c r="CQ676">
        <v>0</v>
      </c>
      <c r="CR676">
        <v>1</v>
      </c>
      <c r="CS676">
        <v>0</v>
      </c>
      <c r="CT676">
        <v>0</v>
      </c>
      <c r="CU676" s="367">
        <f>IFERROR(CH676/Instructions!$J$25,0)+CI676*Instructions!$J$27+CJ676*Instructions!$J$29+IFERROR(CK676/Instructions!$E$34,0)+CL676*Instructions!$E$36+Tier!CM676*Instructions!$E$25+IFERROR(CN676/Instructions!$E$27,0)+CO676*Instructions!$E$29+IFERROR((CP676+CR676)/Instructions!$J$32,0)+(CQ676+CS676)*Instructions!$J$34+Tier!CT676*-2</f>
        <v>54.5</v>
      </c>
      <c r="CV676" s="354"/>
      <c r="CW676"/>
      <c r="CX676"/>
      <c r="CY676"/>
      <c r="CZ676"/>
      <c r="DA676"/>
      <c r="DB676"/>
      <c r="DC676"/>
      <c r="DD676"/>
      <c r="DE676"/>
      <c r="DF676"/>
      <c r="DG676"/>
      <c r="DH676"/>
      <c r="DI676"/>
      <c r="DJ676"/>
      <c r="DK676"/>
      <c r="DL676"/>
      <c r="DM676"/>
      <c r="DN676"/>
    </row>
    <row r="677" spans="3:118" s="238" customFormat="1" ht="15.75" customHeight="1" x14ac:dyDescent="0.25">
      <c r="C677"/>
      <c r="D677"/>
      <c r="E677"/>
      <c r="F677"/>
      <c r="G677"/>
      <c r="H677"/>
      <c r="I677"/>
      <c r="J677"/>
      <c r="K677"/>
      <c r="L677"/>
      <c r="M677"/>
      <c r="N677"/>
      <c r="O677" s="366"/>
      <c r="P677" s="366">
        <v>2018</v>
      </c>
      <c r="Q677" s="367">
        <f>LARGE($CB$606:$CB$755,72)</f>
        <v>62.1</v>
      </c>
      <c r="R677" s="357">
        <f t="shared" si="166"/>
        <v>-134.5</v>
      </c>
      <c r="S677" s="356">
        <f t="shared" si="165"/>
        <v>18090.25</v>
      </c>
      <c r="U677" s="356">
        <f t="shared" si="167"/>
        <v>-8.40625</v>
      </c>
      <c r="V677" s="238">
        <f t="shared" si="163"/>
        <v>8</v>
      </c>
      <c r="W677" s="354"/>
      <c r="X677" s="366"/>
      <c r="Y677" s="366"/>
      <c r="Z677" s="238">
        <v>2018</v>
      </c>
      <c r="AA677" s="367">
        <f>LARGE($CU$606:$CU$755,72)</f>
        <v>69</v>
      </c>
      <c r="AB677" s="357">
        <f t="shared" si="168"/>
        <v>-121.9</v>
      </c>
      <c r="AC677" s="356">
        <f t="shared" si="162"/>
        <v>14859.61</v>
      </c>
      <c r="AE677" s="356">
        <f t="shared" si="169"/>
        <v>-7.6187500000000004</v>
      </c>
      <c r="AF677" s="238">
        <f t="shared" si="164"/>
        <v>8</v>
      </c>
      <c r="AG677" s="354"/>
      <c r="AK677"/>
      <c r="AL677"/>
      <c r="AM677"/>
      <c r="AN677"/>
      <c r="AO677"/>
      <c r="AP677"/>
      <c r="BI677" s="360"/>
      <c r="BJ677" s="354"/>
      <c r="BK677" s="366">
        <v>2018</v>
      </c>
      <c r="BL677" t="s">
        <v>1187</v>
      </c>
      <c r="BM677" t="s">
        <v>1947</v>
      </c>
      <c r="BN677" t="s">
        <v>3</v>
      </c>
      <c r="BO677">
        <v>0</v>
      </c>
      <c r="BP677">
        <v>0</v>
      </c>
      <c r="BQ677">
        <v>0</v>
      </c>
      <c r="BR677">
        <v>333</v>
      </c>
      <c r="BS677">
        <v>2</v>
      </c>
      <c r="BT677">
        <v>6</v>
      </c>
      <c r="BU677">
        <v>51</v>
      </c>
      <c r="BV677">
        <v>0</v>
      </c>
      <c r="BW677">
        <v>0</v>
      </c>
      <c r="BX677">
        <v>0</v>
      </c>
      <c r="BY677">
        <v>0</v>
      </c>
      <c r="BZ677">
        <v>0</v>
      </c>
      <c r="CA677">
        <v>1</v>
      </c>
      <c r="CB677" s="367">
        <f>IFERROR(BO677/Instructions!$J$25,0)+BP677*Instructions!$J$27+BQ677*Instructions!$J$29+IFERROR(BR677/Instructions!$E$34,0)+BS677*Instructions!$E$36+Tier!BT678*Instructions!$E$25+IFERROR(BU677/Instructions!$E$27,0)+BV677*Instructions!$E$29+IFERROR((BW677+BY677)/Instructions!$J$32,0)+(BX677+BZ677)*Instructions!$J$34+Tier!CA677*-2</f>
        <v>64.399999999999991</v>
      </c>
      <c r="CC677" s="354"/>
      <c r="CD677" s="3">
        <v>2018</v>
      </c>
      <c r="CE677" t="s">
        <v>1112</v>
      </c>
      <c r="CF677" t="s">
        <v>157</v>
      </c>
      <c r="CG677" s="366" t="s">
        <v>6</v>
      </c>
      <c r="CH677">
        <v>0</v>
      </c>
      <c r="CI677">
        <v>0</v>
      </c>
      <c r="CJ677">
        <v>0</v>
      </c>
      <c r="CK677">
        <v>0</v>
      </c>
      <c r="CL677">
        <v>0</v>
      </c>
      <c r="CM677">
        <v>28</v>
      </c>
      <c r="CN677">
        <v>304</v>
      </c>
      <c r="CO677">
        <v>3</v>
      </c>
      <c r="CP677">
        <v>0</v>
      </c>
      <c r="CQ677">
        <v>0</v>
      </c>
      <c r="CR677">
        <v>0</v>
      </c>
      <c r="CS677">
        <v>0</v>
      </c>
      <c r="CT677">
        <v>0</v>
      </c>
      <c r="CU677" s="367">
        <f>IFERROR(CH677/Instructions!$J$25,0)+CI677*Instructions!$J$27+CJ677*Instructions!$J$29+IFERROR(CK677/Instructions!$E$34,0)+CL677*Instructions!$E$36+Tier!CM677*Instructions!$E$25+IFERROR(CN677/Instructions!$E$27,0)+CO677*Instructions!$E$29+IFERROR((CP677+CR677)/Instructions!$J$32,0)+(CQ677+CS677)*Instructions!$J$34+Tier!CT677*-2</f>
        <v>76.400000000000006</v>
      </c>
      <c r="CV677" s="354"/>
      <c r="CW677"/>
      <c r="CX677"/>
      <c r="CY677"/>
      <c r="CZ677"/>
      <c r="DA677"/>
      <c r="DB677"/>
      <c r="DC677"/>
      <c r="DD677"/>
      <c r="DE677"/>
      <c r="DF677"/>
      <c r="DG677"/>
      <c r="DH677"/>
      <c r="DI677"/>
      <c r="DJ677"/>
      <c r="DK677"/>
      <c r="DL677"/>
      <c r="DM677"/>
      <c r="DN677"/>
    </row>
    <row r="678" spans="3:118" s="238" customFormat="1" ht="15.75" customHeight="1" x14ac:dyDescent="0.25">
      <c r="C678"/>
      <c r="D678"/>
      <c r="E678"/>
      <c r="F678"/>
      <c r="G678"/>
      <c r="H678"/>
      <c r="I678"/>
      <c r="J678"/>
      <c r="K678"/>
      <c r="L678"/>
      <c r="M678"/>
      <c r="N678"/>
      <c r="O678" s="366"/>
      <c r="P678" s="366">
        <v>2018</v>
      </c>
      <c r="Q678" s="367">
        <f>LARGE($CB$606:$CB$755,73)</f>
        <v>60</v>
      </c>
      <c r="R678" s="357">
        <f t="shared" si="166"/>
        <v>-136.6</v>
      </c>
      <c r="S678" s="356">
        <f t="shared" si="165"/>
        <v>18659.559999999998</v>
      </c>
      <c r="U678" s="356">
        <f t="shared" si="167"/>
        <v>-8.5374999999999996</v>
      </c>
      <c r="V678" s="238">
        <f t="shared" si="163"/>
        <v>8</v>
      </c>
      <c r="W678" s="354"/>
      <c r="X678" s="366"/>
      <c r="Y678" s="366"/>
      <c r="Z678" s="238">
        <v>2018</v>
      </c>
      <c r="AA678" s="367">
        <f>LARGE($CU$606:$CU$755,73)</f>
        <v>66.3</v>
      </c>
      <c r="AB678" s="357">
        <f t="shared" si="168"/>
        <v>-124.60000000000001</v>
      </c>
      <c r="AC678" s="356">
        <f t="shared" si="162"/>
        <v>15525.160000000002</v>
      </c>
      <c r="AE678" s="356">
        <f t="shared" si="169"/>
        <v>-7.7875000000000005</v>
      </c>
      <c r="AF678" s="238">
        <f t="shared" si="164"/>
        <v>8</v>
      </c>
      <c r="AG678" s="354"/>
      <c r="AK678"/>
      <c r="AL678"/>
      <c r="AM678"/>
      <c r="AN678"/>
      <c r="AO678"/>
      <c r="AP678"/>
      <c r="BI678" s="360"/>
      <c r="BJ678" s="354"/>
      <c r="BK678" s="366">
        <v>2018</v>
      </c>
      <c r="BL678" t="s">
        <v>1330</v>
      </c>
      <c r="BM678" t="s">
        <v>139</v>
      </c>
      <c r="BN678" t="s">
        <v>3</v>
      </c>
      <c r="BO678">
        <v>0</v>
      </c>
      <c r="BP678">
        <v>0</v>
      </c>
      <c r="BQ678">
        <v>0</v>
      </c>
      <c r="BR678">
        <v>103</v>
      </c>
      <c r="BS678">
        <v>3</v>
      </c>
      <c r="BT678">
        <v>16</v>
      </c>
      <c r="BU678">
        <v>115</v>
      </c>
      <c r="BV678">
        <v>1</v>
      </c>
      <c r="BW678">
        <v>0</v>
      </c>
      <c r="BX678">
        <v>0</v>
      </c>
      <c r="BY678">
        <v>57</v>
      </c>
      <c r="BZ678">
        <v>0</v>
      </c>
      <c r="CA678">
        <v>0</v>
      </c>
      <c r="CB678" s="367">
        <f>IFERROR(BO678/Instructions!$J$25,0)+BP678*Instructions!$J$27+BQ678*Instructions!$J$29+IFERROR(BR678/Instructions!$E$34,0)+BS678*Instructions!$E$36+Tier!BT679*Instructions!$E$25+IFERROR(BU678/Instructions!$E$27,0)+BV678*Instructions!$E$29+IFERROR((BW678+BY678)/Instructions!$J$32,0)+(BX678+BZ678)*Instructions!$J$34+Tier!CA678*-2</f>
        <v>83.8</v>
      </c>
      <c r="CC678" s="354"/>
      <c r="CD678" s="3">
        <v>2018</v>
      </c>
      <c r="CE678" t="s">
        <v>218</v>
      </c>
      <c r="CF678" t="s">
        <v>1941</v>
      </c>
      <c r="CG678" s="366" t="s">
        <v>6</v>
      </c>
      <c r="CH678">
        <v>0</v>
      </c>
      <c r="CI678">
        <v>0</v>
      </c>
      <c r="CJ678">
        <v>0</v>
      </c>
      <c r="CK678">
        <v>12</v>
      </c>
      <c r="CL678">
        <v>0</v>
      </c>
      <c r="CM678">
        <v>6</v>
      </c>
      <c r="CN678">
        <v>40</v>
      </c>
      <c r="CO678">
        <v>0</v>
      </c>
      <c r="CP678">
        <v>0</v>
      </c>
      <c r="CQ678">
        <v>0</v>
      </c>
      <c r="CR678">
        <v>0</v>
      </c>
      <c r="CS678">
        <v>0</v>
      </c>
      <c r="CT678">
        <v>1</v>
      </c>
      <c r="CU678" s="367">
        <f>IFERROR(CH678/Instructions!$J$25,0)+CI678*Instructions!$J$27+CJ678*Instructions!$J$29+IFERROR(CK678/Instructions!$E$34,0)+CL678*Instructions!$E$36+Tier!CM678*Instructions!$E$25+IFERROR(CN678/Instructions!$E$27,0)+CO678*Instructions!$E$29+IFERROR((CP678+CR678)/Instructions!$J$32,0)+(CQ678+CS678)*Instructions!$J$34+Tier!CT678*-2</f>
        <v>9.1999999999999993</v>
      </c>
      <c r="CV678" s="354"/>
      <c r="CW678"/>
      <c r="CX678"/>
      <c r="CY678"/>
      <c r="CZ678"/>
      <c r="DA678"/>
      <c r="DB678"/>
      <c r="DC678"/>
      <c r="DD678"/>
      <c r="DE678"/>
      <c r="DF678"/>
      <c r="DG678"/>
      <c r="DH678"/>
      <c r="DI678"/>
      <c r="DJ678"/>
      <c r="DK678"/>
      <c r="DL678"/>
      <c r="DM678"/>
      <c r="DN678"/>
    </row>
    <row r="679" spans="3:118" s="238" customFormat="1" ht="15.75" customHeight="1" x14ac:dyDescent="0.25">
      <c r="C679"/>
      <c r="D679"/>
      <c r="E679"/>
      <c r="F679"/>
      <c r="G679"/>
      <c r="H679"/>
      <c r="I679"/>
      <c r="J679"/>
      <c r="K679"/>
      <c r="L679"/>
      <c r="M679"/>
      <c r="N679"/>
      <c r="O679" s="366"/>
      <c r="P679" s="366">
        <v>2018</v>
      </c>
      <c r="Q679" s="367">
        <f>LARGE($CB$606:$CB$755,74)</f>
        <v>57.8</v>
      </c>
      <c r="R679" s="357">
        <f t="shared" si="166"/>
        <v>-138.80000000000001</v>
      </c>
      <c r="S679" s="356">
        <f t="shared" si="165"/>
        <v>19265.440000000002</v>
      </c>
      <c r="U679" s="356">
        <f t="shared" si="167"/>
        <v>-8.6750000000000007</v>
      </c>
      <c r="V679" s="238">
        <f t="shared" si="163"/>
        <v>8</v>
      </c>
      <c r="W679" s="354"/>
      <c r="X679" s="366"/>
      <c r="Y679" s="366"/>
      <c r="Z679" s="238">
        <v>2018</v>
      </c>
      <c r="AA679" s="367">
        <f>LARGE($CU$606:$CU$755,74)</f>
        <v>64.8</v>
      </c>
      <c r="AB679" s="357">
        <f t="shared" si="168"/>
        <v>-126.10000000000001</v>
      </c>
      <c r="AC679" s="356">
        <f t="shared" si="162"/>
        <v>15901.210000000003</v>
      </c>
      <c r="AE679" s="356">
        <f t="shared" si="169"/>
        <v>-7.8812500000000005</v>
      </c>
      <c r="AF679" s="238">
        <f t="shared" si="164"/>
        <v>8</v>
      </c>
      <c r="AG679" s="354"/>
      <c r="AK679"/>
      <c r="AL679"/>
      <c r="AM679"/>
      <c r="AN679"/>
      <c r="AO679"/>
      <c r="AP679"/>
      <c r="BI679" s="360"/>
      <c r="BJ679" s="354"/>
      <c r="BK679" s="366">
        <v>2018</v>
      </c>
      <c r="BL679" t="s">
        <v>976</v>
      </c>
      <c r="BM679" t="s">
        <v>149</v>
      </c>
      <c r="BN679" t="s">
        <v>3</v>
      </c>
      <c r="BO679">
        <v>0</v>
      </c>
      <c r="BP679">
        <v>0</v>
      </c>
      <c r="BQ679">
        <v>0</v>
      </c>
      <c r="BR679">
        <v>106</v>
      </c>
      <c r="BS679">
        <v>1</v>
      </c>
      <c r="BT679">
        <v>38</v>
      </c>
      <c r="BU679">
        <v>304</v>
      </c>
      <c r="BV679">
        <v>0</v>
      </c>
      <c r="BW679">
        <v>0</v>
      </c>
      <c r="BX679">
        <v>0</v>
      </c>
      <c r="BY679">
        <v>52</v>
      </c>
      <c r="BZ679">
        <v>0</v>
      </c>
      <c r="CA679">
        <v>1</v>
      </c>
      <c r="CB679" s="367">
        <f>IFERROR(BO679/Instructions!$J$25,0)+BP679*Instructions!$J$27+BQ679*Instructions!$J$29+IFERROR(BR679/Instructions!$E$34,0)+BS679*Instructions!$E$36+Tier!BT680*Instructions!$E$25+IFERROR(BU679/Instructions!$E$27,0)+BV679*Instructions!$E$29+IFERROR((BW679+BY679)/Instructions!$J$32,0)+(BX679+BZ679)*Instructions!$J$34+Tier!CA679*-2</f>
        <v>60</v>
      </c>
      <c r="CC679" s="354"/>
      <c r="CD679" s="3">
        <v>2018</v>
      </c>
      <c r="CE679" t="s">
        <v>1265</v>
      </c>
      <c r="CF679" t="s">
        <v>164</v>
      </c>
      <c r="CG679" s="366" t="s">
        <v>6</v>
      </c>
      <c r="CH679">
        <v>0</v>
      </c>
      <c r="CI679">
        <v>0</v>
      </c>
      <c r="CJ679">
        <v>0</v>
      </c>
      <c r="CK679">
        <v>0</v>
      </c>
      <c r="CL679">
        <v>0</v>
      </c>
      <c r="CM679">
        <v>38</v>
      </c>
      <c r="CN679">
        <v>449</v>
      </c>
      <c r="CO679">
        <v>1</v>
      </c>
      <c r="CP679">
        <v>0</v>
      </c>
      <c r="CQ679">
        <v>0</v>
      </c>
      <c r="CR679">
        <v>1</v>
      </c>
      <c r="CS679">
        <v>0</v>
      </c>
      <c r="CT679">
        <v>2</v>
      </c>
      <c r="CU679" s="367">
        <f>IFERROR(CH679/Instructions!$J$25,0)+CI679*Instructions!$J$27+CJ679*Instructions!$J$29+IFERROR(CK679/Instructions!$E$34,0)+CL679*Instructions!$E$36+Tier!CM679*Instructions!$E$25+IFERROR(CN679/Instructions!$E$27,0)+CO679*Instructions!$E$29+IFERROR((CP679+CR679)/Instructions!$J$32,0)+(CQ679+CS679)*Instructions!$J$34+Tier!CT679*-2</f>
        <v>84.9</v>
      </c>
      <c r="CV679" s="354"/>
      <c r="CW679"/>
      <c r="CX679"/>
      <c r="CY679"/>
      <c r="CZ679"/>
      <c r="DA679"/>
      <c r="DB679"/>
      <c r="DC679"/>
      <c r="DD679"/>
      <c r="DE679"/>
      <c r="DF679"/>
      <c r="DG679"/>
      <c r="DH679"/>
      <c r="DI679"/>
      <c r="DJ679"/>
      <c r="DK679"/>
      <c r="DL679"/>
      <c r="DM679"/>
      <c r="DN679"/>
    </row>
    <row r="680" spans="3:118" s="238" customFormat="1" ht="15.75" customHeight="1" x14ac:dyDescent="0.25">
      <c r="C680"/>
      <c r="D680"/>
      <c r="E680"/>
      <c r="F680"/>
      <c r="G680"/>
      <c r="H680"/>
      <c r="I680"/>
      <c r="J680"/>
      <c r="K680"/>
      <c r="L680"/>
      <c r="M680"/>
      <c r="N680"/>
      <c r="O680" s="366"/>
      <c r="P680" s="366">
        <v>2018</v>
      </c>
      <c r="Q680" s="367">
        <f>LARGE($CB$606:$CB$755,75)</f>
        <v>57</v>
      </c>
      <c r="R680" s="357">
        <f t="shared" si="166"/>
        <v>-139.6</v>
      </c>
      <c r="S680" s="356">
        <f t="shared" si="165"/>
        <v>19488.16</v>
      </c>
      <c r="U680" s="356">
        <f t="shared" si="167"/>
        <v>-8.7249999999999996</v>
      </c>
      <c r="V680" s="238">
        <f t="shared" si="163"/>
        <v>8</v>
      </c>
      <c r="W680" s="354"/>
      <c r="X680" s="366"/>
      <c r="Y680" s="366"/>
      <c r="Z680" s="238">
        <v>2018</v>
      </c>
      <c r="AA680" s="367">
        <f>LARGE($CU$606:$CU$755,75)</f>
        <v>62.7</v>
      </c>
      <c r="AB680" s="357">
        <f t="shared" si="168"/>
        <v>-128.19999999999999</v>
      </c>
      <c r="AC680" s="356">
        <f t="shared" si="162"/>
        <v>16435.239999999998</v>
      </c>
      <c r="AE680" s="356">
        <f t="shared" si="169"/>
        <v>-8.0124999999999993</v>
      </c>
      <c r="AF680" s="238">
        <f t="shared" si="164"/>
        <v>8</v>
      </c>
      <c r="AG680" s="354"/>
      <c r="AK680"/>
      <c r="AL680"/>
      <c r="AM680"/>
      <c r="AN680"/>
      <c r="AO680"/>
      <c r="AP680"/>
      <c r="BI680" s="360"/>
      <c r="BJ680" s="354"/>
      <c r="BK680" s="366">
        <v>2018</v>
      </c>
      <c r="BL680" t="s">
        <v>1779</v>
      </c>
      <c r="BM680" t="s">
        <v>1388</v>
      </c>
      <c r="BN680" t="s">
        <v>3</v>
      </c>
      <c r="BO680">
        <v>0</v>
      </c>
      <c r="BP680">
        <v>0</v>
      </c>
      <c r="BQ680">
        <v>0</v>
      </c>
      <c r="BR680">
        <v>206</v>
      </c>
      <c r="BS680">
        <v>2</v>
      </c>
      <c r="BT680">
        <v>15</v>
      </c>
      <c r="BU680">
        <v>135</v>
      </c>
      <c r="BV680">
        <v>0</v>
      </c>
      <c r="BW680">
        <v>0</v>
      </c>
      <c r="BX680">
        <v>0</v>
      </c>
      <c r="BY680">
        <v>0</v>
      </c>
      <c r="BZ680">
        <v>0</v>
      </c>
      <c r="CA680">
        <v>0</v>
      </c>
      <c r="CB680" s="367">
        <f>IFERROR(BO680/Instructions!$J$25,0)+BP680*Instructions!$J$27+BQ680*Instructions!$J$29+IFERROR(BR680/Instructions!$E$34,0)+BS680*Instructions!$E$36+Tier!BT681*Instructions!$E$25+IFERROR(BU680/Instructions!$E$27,0)+BV680*Instructions!$E$29+IFERROR((BW680+BY680)/Instructions!$J$32,0)+(BX680+BZ680)*Instructions!$J$34+Tier!CA680*-2</f>
        <v>62.1</v>
      </c>
      <c r="CC680" s="354"/>
      <c r="CD680" s="3">
        <v>2018</v>
      </c>
      <c r="CE680" t="s">
        <v>1336</v>
      </c>
      <c r="CF680" t="s">
        <v>1932</v>
      </c>
      <c r="CG680" s="366" t="s">
        <v>6</v>
      </c>
      <c r="CH680">
        <v>0</v>
      </c>
      <c r="CI680">
        <v>0</v>
      </c>
      <c r="CJ680">
        <v>0</v>
      </c>
      <c r="CK680">
        <v>7</v>
      </c>
      <c r="CL680">
        <v>0</v>
      </c>
      <c r="CM680">
        <v>22</v>
      </c>
      <c r="CN680">
        <v>216</v>
      </c>
      <c r="CO680">
        <v>0</v>
      </c>
      <c r="CP680">
        <v>0</v>
      </c>
      <c r="CQ680">
        <v>0</v>
      </c>
      <c r="CR680">
        <v>1</v>
      </c>
      <c r="CS680">
        <v>0</v>
      </c>
      <c r="CT680">
        <v>0</v>
      </c>
      <c r="CU680" s="367">
        <f>IFERROR(CH680/Instructions!$J$25,0)+CI680*Instructions!$J$27+CJ680*Instructions!$J$29+IFERROR(CK680/Instructions!$E$34,0)+CL680*Instructions!$E$36+Tier!CM680*Instructions!$E$25+IFERROR(CN680/Instructions!$E$27,0)+CO680*Instructions!$E$29+IFERROR((CP680+CR680)/Instructions!$J$32,0)+(CQ680+CS680)*Instructions!$J$34+Tier!CT680*-2</f>
        <v>44.3</v>
      </c>
      <c r="CV680" s="354"/>
      <c r="CW680"/>
      <c r="CX680"/>
      <c r="CY680"/>
      <c r="CZ680"/>
      <c r="DA680"/>
      <c r="DB680"/>
      <c r="DC680"/>
      <c r="DD680"/>
      <c r="DE680"/>
      <c r="DF680"/>
      <c r="DG680"/>
      <c r="DH680"/>
      <c r="DI680"/>
      <c r="DJ680"/>
      <c r="DK680"/>
      <c r="DL680"/>
      <c r="DM680"/>
      <c r="DN680"/>
    </row>
    <row r="681" spans="3:118" s="238" customFormat="1" ht="15.75" customHeight="1" x14ac:dyDescent="0.25">
      <c r="C681"/>
      <c r="D681"/>
      <c r="E681"/>
      <c r="F681"/>
      <c r="G681"/>
      <c r="H681"/>
      <c r="I681"/>
      <c r="J681"/>
      <c r="K681"/>
      <c r="L681"/>
      <c r="M681"/>
      <c r="N681"/>
      <c r="O681" s="366"/>
      <c r="P681" s="366">
        <v>2018</v>
      </c>
      <c r="Q681" s="367">
        <f>LARGE($CB$606:$CB$755,76)</f>
        <v>55.3</v>
      </c>
      <c r="R681" s="357">
        <f t="shared" si="166"/>
        <v>-141.30000000000001</v>
      </c>
      <c r="S681" s="356">
        <f t="shared" si="165"/>
        <v>19965.690000000002</v>
      </c>
      <c r="U681" s="356">
        <f t="shared" si="167"/>
        <v>-8.8312500000000007</v>
      </c>
      <c r="V681" s="238">
        <f t="shared" si="163"/>
        <v>8</v>
      </c>
      <c r="W681" s="354"/>
      <c r="X681" s="366"/>
      <c r="Y681" s="366"/>
      <c r="Z681" s="238">
        <v>2018</v>
      </c>
      <c r="AA681" s="367">
        <f>LARGE($CU$606:$CU$755,76)</f>
        <v>62.3</v>
      </c>
      <c r="AB681" s="357">
        <f t="shared" si="168"/>
        <v>-128.60000000000002</v>
      </c>
      <c r="AC681" s="356">
        <f t="shared" si="162"/>
        <v>16537.960000000006</v>
      </c>
      <c r="AE681" s="356">
        <f t="shared" si="169"/>
        <v>-8.0375000000000014</v>
      </c>
      <c r="AF681" s="238">
        <f t="shared" si="164"/>
        <v>8</v>
      </c>
      <c r="AG681" s="354"/>
      <c r="AK681"/>
      <c r="AL681"/>
      <c r="AM681"/>
      <c r="AN681"/>
      <c r="AO681"/>
      <c r="AP681"/>
      <c r="BI681" s="360"/>
      <c r="BJ681" s="354"/>
      <c r="BK681" s="366">
        <v>2018</v>
      </c>
      <c r="BL681" t="s">
        <v>1775</v>
      </c>
      <c r="BM681" t="s">
        <v>1931</v>
      </c>
      <c r="BN681" t="s">
        <v>3</v>
      </c>
      <c r="BO681">
        <v>0</v>
      </c>
      <c r="BP681">
        <v>0</v>
      </c>
      <c r="BQ681">
        <v>0</v>
      </c>
      <c r="BR681">
        <v>336</v>
      </c>
      <c r="BS681">
        <v>1</v>
      </c>
      <c r="BT681">
        <v>16</v>
      </c>
      <c r="BU681">
        <v>85</v>
      </c>
      <c r="BV681">
        <v>0</v>
      </c>
      <c r="BW681">
        <v>0</v>
      </c>
      <c r="BX681">
        <v>0</v>
      </c>
      <c r="BY681">
        <v>7</v>
      </c>
      <c r="BZ681">
        <v>0</v>
      </c>
      <c r="CA681">
        <v>2</v>
      </c>
      <c r="CB681" s="367">
        <f>IFERROR(BO681/Instructions!$J$25,0)+BP681*Instructions!$J$27+BQ681*Instructions!$J$29+IFERROR(BR681/Instructions!$E$34,0)+BS681*Instructions!$E$36+Tier!BT682*Instructions!$E$25+IFERROR(BU681/Instructions!$E$27,0)+BV681*Instructions!$E$29+IFERROR((BW681+BY681)/Instructions!$J$32,0)+(BX681+BZ681)*Instructions!$J$34+Tier!CA681*-2</f>
        <v>64.099999999999994</v>
      </c>
      <c r="CC681" s="354"/>
      <c r="CD681" s="3">
        <v>2018</v>
      </c>
      <c r="CE681" t="s">
        <v>1274</v>
      </c>
      <c r="CF681" t="s">
        <v>1947</v>
      </c>
      <c r="CG681" s="366" t="s">
        <v>6</v>
      </c>
      <c r="CH681">
        <v>0</v>
      </c>
      <c r="CI681">
        <v>0</v>
      </c>
      <c r="CJ681">
        <v>0</v>
      </c>
      <c r="CK681">
        <v>17</v>
      </c>
      <c r="CL681">
        <v>0</v>
      </c>
      <c r="CM681">
        <v>19</v>
      </c>
      <c r="CN681">
        <v>196</v>
      </c>
      <c r="CO681">
        <v>1</v>
      </c>
      <c r="CP681">
        <v>0</v>
      </c>
      <c r="CQ681">
        <v>0</v>
      </c>
      <c r="CR681">
        <v>0</v>
      </c>
      <c r="CS681">
        <v>0</v>
      </c>
      <c r="CT681">
        <v>0</v>
      </c>
      <c r="CU681" s="367">
        <f>IFERROR(CH681/Instructions!$J$25,0)+CI681*Instructions!$J$27+CJ681*Instructions!$J$29+IFERROR(CK681/Instructions!$E$34,0)+CL681*Instructions!$E$36+Tier!CM681*Instructions!$E$25+IFERROR(CN681/Instructions!$E$27,0)+CO681*Instructions!$E$29+IFERROR((CP681+CR681)/Instructions!$J$32,0)+(CQ681+CS681)*Instructions!$J$34+Tier!CT681*-2</f>
        <v>46.3</v>
      </c>
      <c r="CV681" s="354"/>
      <c r="CW681"/>
      <c r="CX681"/>
      <c r="CY681"/>
      <c r="CZ681"/>
      <c r="DA681"/>
      <c r="DB681"/>
      <c r="DC681"/>
      <c r="DD681"/>
      <c r="DE681"/>
      <c r="DF681"/>
      <c r="DG681"/>
      <c r="DH681"/>
      <c r="DI681"/>
      <c r="DJ681"/>
      <c r="DK681"/>
      <c r="DL681"/>
      <c r="DM681"/>
      <c r="DN681"/>
    </row>
    <row r="682" spans="3:118" s="238" customFormat="1" ht="15.75" customHeight="1" x14ac:dyDescent="0.25">
      <c r="C682"/>
      <c r="D682"/>
      <c r="E682"/>
      <c r="F682"/>
      <c r="G682"/>
      <c r="H682"/>
      <c r="I682"/>
      <c r="J682"/>
      <c r="K682"/>
      <c r="L682"/>
      <c r="M682"/>
      <c r="N682"/>
      <c r="O682" s="366"/>
      <c r="P682" s="366">
        <v>2018</v>
      </c>
      <c r="Q682" s="367">
        <f>LARGE($CB$606:$CB$755,77)</f>
        <v>54.099999999999994</v>
      </c>
      <c r="R682" s="357">
        <f t="shared" si="166"/>
        <v>-142.5</v>
      </c>
      <c r="S682" s="356">
        <f t="shared" si="165"/>
        <v>20306.25</v>
      </c>
      <c r="U682" s="356">
        <f t="shared" si="167"/>
        <v>-8.90625</v>
      </c>
      <c r="V682" s="238">
        <f t="shared" si="163"/>
        <v>8</v>
      </c>
      <c r="W682" s="354"/>
      <c r="X682" s="366"/>
      <c r="Y682" s="366"/>
      <c r="Z682" s="238">
        <v>2018</v>
      </c>
      <c r="AA682" s="367">
        <f>LARGE($CU$606:$CU$755,77)</f>
        <v>62.2</v>
      </c>
      <c r="AB682" s="357">
        <f t="shared" si="168"/>
        <v>-128.69999999999999</v>
      </c>
      <c r="AC682" s="356">
        <f t="shared" si="162"/>
        <v>16563.689999999999</v>
      </c>
      <c r="AE682" s="356">
        <f t="shared" si="169"/>
        <v>-8.0437499999999993</v>
      </c>
      <c r="AF682" s="238">
        <f t="shared" si="164"/>
        <v>8</v>
      </c>
      <c r="AG682" s="354"/>
      <c r="AK682"/>
      <c r="AL682"/>
      <c r="AM682"/>
      <c r="AN682"/>
      <c r="AO682"/>
      <c r="AP682"/>
      <c r="BI682" s="360"/>
      <c r="BJ682" s="354"/>
      <c r="BK682" s="366">
        <v>2018</v>
      </c>
      <c r="BL682" t="s">
        <v>1774</v>
      </c>
      <c r="BM682" t="s">
        <v>1949</v>
      </c>
      <c r="BN682" t="s">
        <v>3</v>
      </c>
      <c r="BO682">
        <v>0</v>
      </c>
      <c r="BP682">
        <v>0</v>
      </c>
      <c r="BQ682">
        <v>0</v>
      </c>
      <c r="BR682">
        <v>208</v>
      </c>
      <c r="BS682">
        <v>2</v>
      </c>
      <c r="BT682">
        <v>20</v>
      </c>
      <c r="BU682">
        <v>103</v>
      </c>
      <c r="BV682">
        <v>0</v>
      </c>
      <c r="BW682">
        <v>0</v>
      </c>
      <c r="BX682">
        <v>0</v>
      </c>
      <c r="BY682">
        <v>48</v>
      </c>
      <c r="BZ682">
        <v>0</v>
      </c>
      <c r="CA682">
        <v>0</v>
      </c>
      <c r="CB682" s="367">
        <f>IFERROR(BO682/Instructions!$J$25,0)+BP682*Instructions!$J$27+BQ682*Instructions!$J$29+IFERROR(BR682/Instructions!$E$34,0)+BS682*Instructions!$E$36+Tier!BT683*Instructions!$E$25+IFERROR(BU682/Instructions!$E$27,0)+BV682*Instructions!$E$29+IFERROR((BW682+BY682)/Instructions!$J$32,0)+(BX682+BZ682)*Instructions!$J$34+Tier!CA682*-2</f>
        <v>54.099999999999994</v>
      </c>
      <c r="CC682" s="354"/>
      <c r="CD682" s="3">
        <v>2018</v>
      </c>
      <c r="CE682" t="s">
        <v>1083</v>
      </c>
      <c r="CF682" t="s">
        <v>1933</v>
      </c>
      <c r="CG682" s="366" t="s">
        <v>6</v>
      </c>
      <c r="CH682">
        <v>0</v>
      </c>
      <c r="CI682">
        <v>0</v>
      </c>
      <c r="CJ682">
        <v>0</v>
      </c>
      <c r="CK682">
        <v>0</v>
      </c>
      <c r="CL682">
        <v>0</v>
      </c>
      <c r="CM682">
        <v>14</v>
      </c>
      <c r="CN682">
        <v>166</v>
      </c>
      <c r="CO682">
        <v>5</v>
      </c>
      <c r="CP682">
        <v>0</v>
      </c>
      <c r="CQ682">
        <v>0</v>
      </c>
      <c r="CR682">
        <v>0</v>
      </c>
      <c r="CS682">
        <v>0</v>
      </c>
      <c r="CT682">
        <v>2</v>
      </c>
      <c r="CU682" s="367">
        <f>IFERROR(CH682/Instructions!$J$25,0)+CI682*Instructions!$J$27+CJ682*Instructions!$J$29+IFERROR(CK682/Instructions!$E$34,0)+CL682*Instructions!$E$36+Tier!CM682*Instructions!$E$25+IFERROR(CN682/Instructions!$E$27,0)+CO682*Instructions!$E$29+IFERROR((CP682+CR682)/Instructions!$J$32,0)+(CQ682+CS682)*Instructions!$J$34+Tier!CT682*-2</f>
        <v>56.6</v>
      </c>
      <c r="CV682" s="354"/>
      <c r="CW682"/>
      <c r="CX682"/>
      <c r="CY682"/>
      <c r="CZ682"/>
      <c r="DA682"/>
      <c r="DB682"/>
      <c r="DC682"/>
      <c r="DD682"/>
      <c r="DE682"/>
      <c r="DF682"/>
      <c r="DG682"/>
      <c r="DH682"/>
      <c r="DI682"/>
      <c r="DJ682"/>
      <c r="DK682"/>
      <c r="DL682"/>
      <c r="DM682"/>
      <c r="DN682"/>
    </row>
    <row r="683" spans="3:118" s="238" customFormat="1" ht="15.75" customHeight="1" x14ac:dyDescent="0.25">
      <c r="C683"/>
      <c r="D683"/>
      <c r="E683"/>
      <c r="F683"/>
      <c r="G683"/>
      <c r="H683"/>
      <c r="I683"/>
      <c r="J683"/>
      <c r="K683"/>
      <c r="L683"/>
      <c r="M683"/>
      <c r="N683"/>
      <c r="O683" s="366"/>
      <c r="P683" s="366">
        <v>2018</v>
      </c>
      <c r="Q683" s="367">
        <f>LARGE($CB$606:$CB$755,78)</f>
        <v>53.3</v>
      </c>
      <c r="R683" s="357">
        <f t="shared" si="166"/>
        <v>-143.30000000000001</v>
      </c>
      <c r="S683" s="356">
        <f t="shared" si="165"/>
        <v>20534.890000000003</v>
      </c>
      <c r="U683" s="356">
        <f t="shared" si="167"/>
        <v>-8.9562500000000007</v>
      </c>
      <c r="V683" s="238">
        <f t="shared" si="163"/>
        <v>8</v>
      </c>
      <c r="W683" s="354"/>
      <c r="X683" s="366"/>
      <c r="Y683" s="366"/>
      <c r="Z683" s="238">
        <v>2018</v>
      </c>
      <c r="AA683" s="367">
        <f>LARGE($CU$606:$CU$755,78)</f>
        <v>62.2</v>
      </c>
      <c r="AB683" s="357">
        <f t="shared" si="168"/>
        <v>-128.69999999999999</v>
      </c>
      <c r="AC683" s="356">
        <f t="shared" si="162"/>
        <v>16563.689999999999</v>
      </c>
      <c r="AE683" s="356">
        <f t="shared" si="169"/>
        <v>-8.0437499999999993</v>
      </c>
      <c r="AF683" s="238">
        <f t="shared" si="164"/>
        <v>8</v>
      </c>
      <c r="AG683" s="354"/>
      <c r="AK683"/>
      <c r="AL683"/>
      <c r="AM683"/>
      <c r="AN683"/>
      <c r="AO683"/>
      <c r="AP683"/>
      <c r="BI683" s="360"/>
      <c r="BJ683" s="354"/>
      <c r="BK683" s="366">
        <v>2018</v>
      </c>
      <c r="BL683" t="s">
        <v>1305</v>
      </c>
      <c r="BM683" t="s">
        <v>1942</v>
      </c>
      <c r="BN683" t="s">
        <v>3</v>
      </c>
      <c r="BO683">
        <v>0</v>
      </c>
      <c r="BP683">
        <v>0</v>
      </c>
      <c r="BQ683">
        <v>0</v>
      </c>
      <c r="BR683">
        <v>250</v>
      </c>
      <c r="BS683">
        <v>0</v>
      </c>
      <c r="BT683">
        <v>11</v>
      </c>
      <c r="BU683">
        <v>26</v>
      </c>
      <c r="BV683">
        <v>0</v>
      </c>
      <c r="BW683">
        <v>0</v>
      </c>
      <c r="BX683">
        <v>0</v>
      </c>
      <c r="BY683">
        <v>339</v>
      </c>
      <c r="BZ683">
        <v>0</v>
      </c>
      <c r="CA683">
        <v>0</v>
      </c>
      <c r="CB683" s="367">
        <f>IFERROR(BO683/Instructions!$J$25,0)+BP683*Instructions!$J$27+BQ683*Instructions!$J$29+IFERROR(BR683/Instructions!$E$34,0)+BS683*Instructions!$E$36+Tier!BT684*Instructions!$E$25+IFERROR(BU683/Instructions!$E$27,0)+BV683*Instructions!$E$29+IFERROR((BW683+BY683)/Instructions!$J$32,0)+(BX683+BZ683)*Instructions!$J$34+Tier!CA683*-2</f>
        <v>32.6</v>
      </c>
      <c r="CC683" s="354"/>
      <c r="CD683" s="3">
        <v>2018</v>
      </c>
      <c r="CE683" t="s">
        <v>1104</v>
      </c>
      <c r="CF683" t="s">
        <v>149</v>
      </c>
      <c r="CG683" s="366" t="s">
        <v>6</v>
      </c>
      <c r="CH683">
        <v>0</v>
      </c>
      <c r="CI683">
        <v>0</v>
      </c>
      <c r="CJ683">
        <v>0</v>
      </c>
      <c r="CK683">
        <v>2</v>
      </c>
      <c r="CL683">
        <v>0</v>
      </c>
      <c r="CM683">
        <v>16</v>
      </c>
      <c r="CN683">
        <v>340</v>
      </c>
      <c r="CO683">
        <v>2</v>
      </c>
      <c r="CP683">
        <v>0</v>
      </c>
      <c r="CQ683">
        <v>0</v>
      </c>
      <c r="CR683">
        <v>0</v>
      </c>
      <c r="CS683">
        <v>0</v>
      </c>
      <c r="CT683">
        <v>0</v>
      </c>
      <c r="CU683" s="367">
        <f>IFERROR(CH683/Instructions!$J$25,0)+CI683*Instructions!$J$27+CJ683*Instructions!$J$29+IFERROR(CK683/Instructions!$E$34,0)+CL683*Instructions!$E$36+Tier!CM683*Instructions!$E$25+IFERROR(CN683/Instructions!$E$27,0)+CO683*Instructions!$E$29+IFERROR((CP683+CR683)/Instructions!$J$32,0)+(CQ683+CS683)*Instructions!$J$34+Tier!CT683*-2</f>
        <v>62.2</v>
      </c>
      <c r="CV683" s="354"/>
      <c r="CW683"/>
      <c r="CX683"/>
      <c r="CY683"/>
      <c r="CZ683"/>
      <c r="DA683"/>
      <c r="DB683"/>
      <c r="DC683"/>
      <c r="DD683"/>
      <c r="DE683"/>
      <c r="DF683"/>
      <c r="DG683"/>
      <c r="DH683"/>
      <c r="DI683"/>
      <c r="DJ683"/>
      <c r="DK683"/>
      <c r="DL683"/>
      <c r="DM683"/>
      <c r="DN683"/>
    </row>
    <row r="684" spans="3:118" s="238" customFormat="1" ht="15.75" customHeight="1" x14ac:dyDescent="0.25">
      <c r="C684"/>
      <c r="D684"/>
      <c r="E684"/>
      <c r="F684"/>
      <c r="G684"/>
      <c r="H684"/>
      <c r="I684"/>
      <c r="J684"/>
      <c r="K684"/>
      <c r="L684"/>
      <c r="M684"/>
      <c r="N684"/>
      <c r="O684" s="366"/>
      <c r="P684" s="366">
        <v>2018</v>
      </c>
      <c r="Q684" s="367">
        <f>LARGE($CB$606:$CB$755,79)</f>
        <v>51.4</v>
      </c>
      <c r="R684" s="357">
        <f t="shared" si="166"/>
        <v>-145.19999999999999</v>
      </c>
      <c r="S684" s="356">
        <f t="shared" si="165"/>
        <v>21083.039999999997</v>
      </c>
      <c r="U684" s="356">
        <f t="shared" si="167"/>
        <v>-9.0749999999999993</v>
      </c>
      <c r="V684" s="238">
        <f t="shared" si="163"/>
        <v>8</v>
      </c>
      <c r="W684" s="354"/>
      <c r="X684" s="366"/>
      <c r="Y684" s="366"/>
      <c r="Z684" s="238">
        <v>2018</v>
      </c>
      <c r="AA684" s="367">
        <f>LARGE($CU$606:$CU$755,79)</f>
        <v>62</v>
      </c>
      <c r="AB684" s="357">
        <f t="shared" si="168"/>
        <v>-128.9</v>
      </c>
      <c r="AC684" s="356">
        <f t="shared" si="162"/>
        <v>16615.210000000003</v>
      </c>
      <c r="AE684" s="356">
        <f t="shared" si="169"/>
        <v>-8.0562500000000004</v>
      </c>
      <c r="AF684" s="238">
        <f t="shared" si="164"/>
        <v>8</v>
      </c>
      <c r="AG684" s="354"/>
      <c r="AK684"/>
      <c r="AL684"/>
      <c r="AM684"/>
      <c r="AN684"/>
      <c r="AO684"/>
      <c r="AP684"/>
      <c r="BI684" s="360"/>
      <c r="BJ684" s="354"/>
      <c r="BK684" s="366">
        <v>2018</v>
      </c>
      <c r="BL684" t="s">
        <v>1137</v>
      </c>
      <c r="BM684" t="s">
        <v>1943</v>
      </c>
      <c r="BN684" t="s">
        <v>3</v>
      </c>
      <c r="BO684">
        <v>0</v>
      </c>
      <c r="BP684">
        <v>0</v>
      </c>
      <c r="BQ684">
        <v>0</v>
      </c>
      <c r="BR684">
        <v>184</v>
      </c>
      <c r="BS684">
        <v>3</v>
      </c>
      <c r="BT684">
        <v>5</v>
      </c>
      <c r="BU684">
        <v>20</v>
      </c>
      <c r="BV684">
        <v>0</v>
      </c>
      <c r="BW684">
        <v>0</v>
      </c>
      <c r="BX684">
        <v>0</v>
      </c>
      <c r="BY684">
        <v>0</v>
      </c>
      <c r="BZ684">
        <v>0</v>
      </c>
      <c r="CA684">
        <v>1</v>
      </c>
      <c r="CB684" s="367">
        <f>IFERROR(BO684/Instructions!$J$25,0)+BP684*Instructions!$J$27+BQ684*Instructions!$J$29+IFERROR(BR684/Instructions!$E$34,0)+BS684*Instructions!$E$36+Tier!BT685*Instructions!$E$25+IFERROR(BU684/Instructions!$E$27,0)+BV684*Instructions!$E$29+IFERROR((BW684+BY684)/Instructions!$J$32,0)+(BX684+BZ684)*Instructions!$J$34+Tier!CA684*-2</f>
        <v>66.400000000000006</v>
      </c>
      <c r="CC684" s="354"/>
      <c r="CD684" s="3">
        <v>2018</v>
      </c>
      <c r="CE684" t="s">
        <v>1809</v>
      </c>
      <c r="CF684" t="s">
        <v>1937</v>
      </c>
      <c r="CG684" s="366" t="s">
        <v>6</v>
      </c>
      <c r="CH684">
        <v>0</v>
      </c>
      <c r="CI684">
        <v>0</v>
      </c>
      <c r="CJ684">
        <v>0</v>
      </c>
      <c r="CK684">
        <v>0</v>
      </c>
      <c r="CL684">
        <v>0</v>
      </c>
      <c r="CM684">
        <v>10</v>
      </c>
      <c r="CN684">
        <v>149</v>
      </c>
      <c r="CO684">
        <v>1</v>
      </c>
      <c r="CP684">
        <v>0</v>
      </c>
      <c r="CQ684">
        <v>0</v>
      </c>
      <c r="CR684">
        <v>0</v>
      </c>
      <c r="CS684">
        <v>0</v>
      </c>
      <c r="CT684">
        <v>0</v>
      </c>
      <c r="CU684" s="367">
        <f>IFERROR(CH684/Instructions!$J$25,0)+CI684*Instructions!$J$27+CJ684*Instructions!$J$29+IFERROR(CK684/Instructions!$E$34,0)+CL684*Instructions!$E$36+Tier!CM684*Instructions!$E$25+IFERROR(CN684/Instructions!$E$27,0)+CO684*Instructions!$E$29+IFERROR((CP684+CR684)/Instructions!$J$32,0)+(CQ684+CS684)*Instructions!$J$34+Tier!CT684*-2</f>
        <v>30.9</v>
      </c>
      <c r="CV684" s="354"/>
      <c r="CW684"/>
      <c r="CX684"/>
      <c r="CY684"/>
      <c r="CZ684"/>
      <c r="DA684"/>
      <c r="DB684"/>
      <c r="DC684"/>
      <c r="DD684"/>
      <c r="DE684"/>
      <c r="DF684"/>
      <c r="DG684"/>
      <c r="DH684"/>
      <c r="DI684"/>
      <c r="DJ684"/>
      <c r="DK684"/>
      <c r="DL684"/>
      <c r="DM684"/>
      <c r="DN684"/>
    </row>
    <row r="685" spans="3:118" s="238" customFormat="1" ht="15.75" customHeight="1" x14ac:dyDescent="0.25">
      <c r="C685"/>
      <c r="D685"/>
      <c r="E685"/>
      <c r="F685"/>
      <c r="G685"/>
      <c r="H685"/>
      <c r="I685"/>
      <c r="J685"/>
      <c r="K685"/>
      <c r="L685"/>
      <c r="M685"/>
      <c r="N685"/>
      <c r="O685" s="366"/>
      <c r="P685" s="366">
        <v>2018</v>
      </c>
      <c r="Q685" s="367">
        <f>LARGE($CB$606:$CB$755,80)</f>
        <v>49.6</v>
      </c>
      <c r="R685" s="357">
        <f t="shared" si="166"/>
        <v>-147</v>
      </c>
      <c r="S685" s="356">
        <f t="shared" si="165"/>
        <v>21609</v>
      </c>
      <c r="U685" s="356">
        <f t="shared" si="167"/>
        <v>-9.1875</v>
      </c>
      <c r="V685" s="238">
        <f t="shared" si="163"/>
        <v>8</v>
      </c>
      <c r="W685" s="354"/>
      <c r="X685" s="366"/>
      <c r="Y685" s="366"/>
      <c r="Z685" s="238">
        <v>2018</v>
      </c>
      <c r="AA685" s="367">
        <f>LARGE($CU$606:$CU$755,80)</f>
        <v>61.5</v>
      </c>
      <c r="AB685" s="357">
        <f t="shared" si="168"/>
        <v>-129.4</v>
      </c>
      <c r="AC685" s="356">
        <f t="shared" si="162"/>
        <v>16744.36</v>
      </c>
      <c r="AE685" s="356">
        <f t="shared" si="169"/>
        <v>-8.0875000000000004</v>
      </c>
      <c r="AF685" s="238">
        <f t="shared" si="164"/>
        <v>8</v>
      </c>
      <c r="AG685" s="354"/>
      <c r="AK685"/>
      <c r="AL685"/>
      <c r="AM685"/>
      <c r="AN685"/>
      <c r="AO685"/>
      <c r="AP685"/>
      <c r="BI685" s="360"/>
      <c r="BJ685" s="354"/>
      <c r="BK685" s="366">
        <v>2018</v>
      </c>
      <c r="BL685" t="s">
        <v>991</v>
      </c>
      <c r="BM685" t="s">
        <v>155</v>
      </c>
      <c r="BN685" t="s">
        <v>3</v>
      </c>
      <c r="BO685">
        <v>0</v>
      </c>
      <c r="BP685">
        <v>0</v>
      </c>
      <c r="BQ685">
        <v>0</v>
      </c>
      <c r="BR685">
        <v>30</v>
      </c>
      <c r="BS685">
        <v>0</v>
      </c>
      <c r="BT685">
        <v>30</v>
      </c>
      <c r="BU685">
        <v>324</v>
      </c>
      <c r="BV685">
        <v>1</v>
      </c>
      <c r="BW685">
        <v>0</v>
      </c>
      <c r="BX685">
        <v>0</v>
      </c>
      <c r="BY685">
        <v>0</v>
      </c>
      <c r="BZ685">
        <v>0</v>
      </c>
      <c r="CA685">
        <v>2</v>
      </c>
      <c r="CB685" s="367">
        <f>IFERROR(BO685/Instructions!$J$25,0)+BP685*Instructions!$J$27+BQ685*Instructions!$J$29+IFERROR(BR685/Instructions!$E$34,0)+BS685*Instructions!$E$36+Tier!BT686*Instructions!$E$25+IFERROR(BU685/Instructions!$E$27,0)+BV685*Instructions!$E$29+IFERROR((BW685+BY685)/Instructions!$J$32,0)+(BX685+BZ685)*Instructions!$J$34+Tier!CA685*-2</f>
        <v>51.4</v>
      </c>
      <c r="CC685" s="354"/>
      <c r="CD685" s="3">
        <v>2018</v>
      </c>
      <c r="CE685" t="s">
        <v>1218</v>
      </c>
      <c r="CF685" t="s">
        <v>1945</v>
      </c>
      <c r="CG685" s="366" t="s">
        <v>6</v>
      </c>
      <c r="CH685">
        <v>0</v>
      </c>
      <c r="CI685">
        <v>0</v>
      </c>
      <c r="CJ685">
        <v>0</v>
      </c>
      <c r="CK685">
        <v>16</v>
      </c>
      <c r="CL685">
        <v>0</v>
      </c>
      <c r="CM685">
        <v>26</v>
      </c>
      <c r="CN685">
        <v>316</v>
      </c>
      <c r="CO685">
        <v>2</v>
      </c>
      <c r="CP685">
        <v>0</v>
      </c>
      <c r="CQ685">
        <v>0</v>
      </c>
      <c r="CR685">
        <v>0</v>
      </c>
      <c r="CS685">
        <v>0</v>
      </c>
      <c r="CT685">
        <v>0</v>
      </c>
      <c r="CU685" s="367">
        <f>IFERROR(CH685/Instructions!$J$25,0)+CI685*Instructions!$J$27+CJ685*Instructions!$J$29+IFERROR(CK685/Instructions!$E$34,0)+CL685*Instructions!$E$36+Tier!CM685*Instructions!$E$25+IFERROR(CN685/Instructions!$E$27,0)+CO685*Instructions!$E$29+IFERROR((CP685+CR685)/Instructions!$J$32,0)+(CQ685+CS685)*Instructions!$J$34+Tier!CT685*-2</f>
        <v>71.2</v>
      </c>
      <c r="CV685" s="354"/>
      <c r="CW685"/>
      <c r="CX685"/>
      <c r="CY685"/>
      <c r="CZ685"/>
      <c r="DA685"/>
      <c r="DB685"/>
      <c r="DC685"/>
      <c r="DD685"/>
      <c r="DE685"/>
      <c r="DF685"/>
      <c r="DG685"/>
      <c r="DH685"/>
      <c r="DI685"/>
      <c r="DJ685"/>
      <c r="DK685"/>
      <c r="DL685"/>
      <c r="DM685"/>
      <c r="DN685"/>
    </row>
    <row r="686" spans="3:118" s="238" customFormat="1" ht="15.75" customHeight="1" x14ac:dyDescent="0.25">
      <c r="C686"/>
      <c r="D686"/>
      <c r="E686"/>
      <c r="F686"/>
      <c r="G686"/>
      <c r="H686"/>
      <c r="I686"/>
      <c r="J686"/>
      <c r="K686"/>
      <c r="L686"/>
      <c r="M686"/>
      <c r="N686"/>
      <c r="O686" s="366"/>
      <c r="P686" s="366">
        <v>2018</v>
      </c>
      <c r="Q686" s="367">
        <f>LARGE($CB$606:$CB$755,81)</f>
        <v>43.7</v>
      </c>
      <c r="R686" s="357">
        <f t="shared" si="166"/>
        <v>-152.89999999999998</v>
      </c>
      <c r="S686" s="356">
        <f t="shared" si="165"/>
        <v>23378.409999999993</v>
      </c>
      <c r="U686" s="356">
        <f t="shared" si="167"/>
        <v>-9.5562499999999986</v>
      </c>
      <c r="V686" s="238">
        <f t="shared" si="163"/>
        <v>8</v>
      </c>
      <c r="W686" s="354"/>
      <c r="X686" s="366"/>
      <c r="Y686" s="366"/>
      <c r="Z686" s="238">
        <v>2018</v>
      </c>
      <c r="AA686" s="367">
        <f>LARGE($CU$606:$CU$755,81)</f>
        <v>60.9</v>
      </c>
      <c r="AB686" s="357">
        <f t="shared" si="168"/>
        <v>-130</v>
      </c>
      <c r="AC686" s="356">
        <f t="shared" si="162"/>
        <v>16900</v>
      </c>
      <c r="AE686" s="356">
        <f t="shared" si="169"/>
        <v>-8.125</v>
      </c>
      <c r="AF686" s="238">
        <f t="shared" si="164"/>
        <v>8</v>
      </c>
      <c r="AG686" s="354"/>
      <c r="AK686"/>
      <c r="AL686"/>
      <c r="AM686"/>
      <c r="AN686"/>
      <c r="AO686"/>
      <c r="AP686"/>
      <c r="BI686" s="360"/>
      <c r="BJ686" s="354"/>
      <c r="BK686" s="366">
        <v>2018</v>
      </c>
      <c r="BL686" t="s">
        <v>1152</v>
      </c>
      <c r="BM686" t="s">
        <v>157</v>
      </c>
      <c r="BN686" t="s">
        <v>3</v>
      </c>
      <c r="BO686">
        <v>0</v>
      </c>
      <c r="BP686">
        <v>0</v>
      </c>
      <c r="BQ686">
        <v>0</v>
      </c>
      <c r="BR686">
        <v>186</v>
      </c>
      <c r="BS686">
        <v>0</v>
      </c>
      <c r="BT686">
        <v>14</v>
      </c>
      <c r="BU686">
        <v>131</v>
      </c>
      <c r="BV686">
        <v>1</v>
      </c>
      <c r="BW686">
        <v>0</v>
      </c>
      <c r="BX686">
        <v>0</v>
      </c>
      <c r="BY686">
        <v>0</v>
      </c>
      <c r="BZ686">
        <v>0</v>
      </c>
      <c r="CA686">
        <v>1</v>
      </c>
      <c r="CB686" s="367">
        <f>IFERROR(BO686/Instructions!$J$25,0)+BP686*Instructions!$J$27+BQ686*Instructions!$J$29+IFERROR(BR686/Instructions!$E$34,0)+BS686*Instructions!$E$36+Tier!BT687*Instructions!$E$25+IFERROR(BU686/Instructions!$E$27,0)+BV686*Instructions!$E$29+IFERROR((BW686+BY686)/Instructions!$J$32,0)+(BX686+BZ686)*Instructions!$J$34+Tier!CA686*-2</f>
        <v>40.700000000000003</v>
      </c>
      <c r="CC686" s="354"/>
      <c r="CD686" s="3">
        <v>2018</v>
      </c>
      <c r="CE686" t="s">
        <v>1966</v>
      </c>
      <c r="CF686" t="s">
        <v>1945</v>
      </c>
      <c r="CG686" s="366" t="s">
        <v>6</v>
      </c>
      <c r="CH686">
        <v>21</v>
      </c>
      <c r="CI686">
        <v>0</v>
      </c>
      <c r="CJ686">
        <v>0</v>
      </c>
      <c r="CK686">
        <v>2</v>
      </c>
      <c r="CL686">
        <v>0</v>
      </c>
      <c r="CM686">
        <v>11</v>
      </c>
      <c r="CN686">
        <v>101</v>
      </c>
      <c r="CO686">
        <v>0</v>
      </c>
      <c r="CP686">
        <v>0</v>
      </c>
      <c r="CQ686">
        <v>0</v>
      </c>
      <c r="CR686">
        <v>0</v>
      </c>
      <c r="CS686">
        <v>0</v>
      </c>
      <c r="CT686">
        <v>0</v>
      </c>
      <c r="CU686" s="367">
        <f>IFERROR(CH686/Instructions!$J$25,0)+CI686*Instructions!$J$27+CJ686*Instructions!$J$29+IFERROR(CK686/Instructions!$E$34,0)+CL686*Instructions!$E$36+Tier!CM686*Instructions!$E$25+IFERROR(CN686/Instructions!$E$27,0)+CO686*Instructions!$E$29+IFERROR((CP686+CR686)/Instructions!$J$32,0)+(CQ686+CS686)*Instructions!$J$34+Tier!CT686*-2</f>
        <v>22.14</v>
      </c>
      <c r="CV686" s="354"/>
      <c r="CW686"/>
      <c r="CX686"/>
      <c r="CY686"/>
      <c r="CZ686"/>
      <c r="DA686"/>
      <c r="DB686"/>
      <c r="DC686"/>
      <c r="DD686"/>
      <c r="DE686"/>
      <c r="DF686"/>
      <c r="DG686"/>
      <c r="DH686"/>
      <c r="DI686"/>
      <c r="DJ686"/>
      <c r="DK686"/>
      <c r="DL686"/>
      <c r="DM686"/>
      <c r="DN686"/>
    </row>
    <row r="687" spans="3:118" s="238" customFormat="1" ht="15.75" customHeight="1" x14ac:dyDescent="0.25">
      <c r="C687"/>
      <c r="D687"/>
      <c r="E687"/>
      <c r="F687"/>
      <c r="G687"/>
      <c r="H687"/>
      <c r="I687"/>
      <c r="J687"/>
      <c r="K687"/>
      <c r="L687"/>
      <c r="M687"/>
      <c r="N687"/>
      <c r="O687" s="366"/>
      <c r="P687" s="366">
        <v>2018</v>
      </c>
      <c r="Q687" s="367">
        <f>LARGE($CB$606:$CB$755,82)</f>
        <v>42.9</v>
      </c>
      <c r="R687" s="357">
        <f t="shared" si="166"/>
        <v>-153.69999999999999</v>
      </c>
      <c r="S687" s="356">
        <f t="shared" si="165"/>
        <v>23623.689999999995</v>
      </c>
      <c r="U687" s="356">
        <f t="shared" si="167"/>
        <v>-9.6062499999999993</v>
      </c>
      <c r="V687" s="238">
        <f t="shared" si="163"/>
        <v>8</v>
      </c>
      <c r="W687" s="354"/>
      <c r="X687" s="366"/>
      <c r="Y687" s="366"/>
      <c r="Z687" s="238">
        <v>2018</v>
      </c>
      <c r="AA687" s="367">
        <f>LARGE($CU$606:$CU$755,82)</f>
        <v>60.3</v>
      </c>
      <c r="AB687" s="357">
        <f t="shared" si="168"/>
        <v>-130.60000000000002</v>
      </c>
      <c r="AC687" s="356">
        <f t="shared" si="162"/>
        <v>17056.360000000004</v>
      </c>
      <c r="AE687" s="356">
        <f t="shared" si="169"/>
        <v>-8.1625000000000014</v>
      </c>
      <c r="AF687" s="238">
        <f t="shared" si="164"/>
        <v>8</v>
      </c>
      <c r="AG687" s="354"/>
      <c r="AK687"/>
      <c r="AL687"/>
      <c r="AM687"/>
      <c r="AN687"/>
      <c r="AO687"/>
      <c r="AP687"/>
      <c r="BI687" s="360"/>
      <c r="BJ687" s="354"/>
      <c r="BK687" s="366">
        <v>2018</v>
      </c>
      <c r="BL687" t="s">
        <v>1307</v>
      </c>
      <c r="BM687" t="s">
        <v>1389</v>
      </c>
      <c r="BN687" t="s">
        <v>3</v>
      </c>
      <c r="BO687">
        <v>0</v>
      </c>
      <c r="BP687">
        <v>0</v>
      </c>
      <c r="BQ687">
        <v>0</v>
      </c>
      <c r="BR687">
        <v>212</v>
      </c>
      <c r="BS687">
        <v>0</v>
      </c>
      <c r="BT687">
        <v>5</v>
      </c>
      <c r="BU687">
        <v>52</v>
      </c>
      <c r="BV687">
        <v>1</v>
      </c>
      <c r="BW687">
        <v>0</v>
      </c>
      <c r="BX687">
        <v>0</v>
      </c>
      <c r="BY687">
        <v>0</v>
      </c>
      <c r="BZ687">
        <v>0</v>
      </c>
      <c r="CA687">
        <v>0</v>
      </c>
      <c r="CB687" s="367">
        <f>IFERROR(BO687/Instructions!$J$25,0)+BP687*Instructions!$J$27+BQ687*Instructions!$J$29+IFERROR(BR687/Instructions!$E$34,0)+BS687*Instructions!$E$36+Tier!BT688*Instructions!$E$25+IFERROR(BU687/Instructions!$E$27,0)+BV687*Instructions!$E$29+IFERROR((BW687+BY687)/Instructions!$J$32,0)+(BX687+BZ687)*Instructions!$J$34+Tier!CA687*-2</f>
        <v>38.4</v>
      </c>
      <c r="CC687" s="354"/>
      <c r="CD687" s="3">
        <v>2018</v>
      </c>
      <c r="CE687" t="s">
        <v>116</v>
      </c>
      <c r="CF687" t="s">
        <v>136</v>
      </c>
      <c r="CG687" s="366" t="s">
        <v>6</v>
      </c>
      <c r="CH687">
        <v>0</v>
      </c>
      <c r="CI687">
        <v>0</v>
      </c>
      <c r="CJ687">
        <v>0</v>
      </c>
      <c r="CK687">
        <v>0</v>
      </c>
      <c r="CL687">
        <v>0</v>
      </c>
      <c r="CM687">
        <v>25</v>
      </c>
      <c r="CN687">
        <v>380</v>
      </c>
      <c r="CO687">
        <v>1</v>
      </c>
      <c r="CP687">
        <v>0</v>
      </c>
      <c r="CQ687">
        <v>0</v>
      </c>
      <c r="CR687">
        <v>0</v>
      </c>
      <c r="CS687">
        <v>0</v>
      </c>
      <c r="CT687">
        <v>0</v>
      </c>
      <c r="CU687" s="367">
        <f>IFERROR(CH687/Instructions!$J$25,0)+CI687*Instructions!$J$27+CJ687*Instructions!$J$29+IFERROR(CK687/Instructions!$E$34,0)+CL687*Instructions!$E$36+Tier!CM687*Instructions!$E$25+IFERROR(CN687/Instructions!$E$27,0)+CO687*Instructions!$E$29+IFERROR((CP687+CR687)/Instructions!$J$32,0)+(CQ687+CS687)*Instructions!$J$34+Tier!CT687*-2</f>
        <v>69</v>
      </c>
      <c r="CV687" s="354"/>
      <c r="CW687"/>
      <c r="CX687"/>
      <c r="CY687"/>
      <c r="CZ687"/>
      <c r="DA687"/>
      <c r="DB687"/>
      <c r="DC687"/>
      <c r="DD687"/>
      <c r="DE687"/>
      <c r="DF687"/>
      <c r="DG687"/>
      <c r="DH687"/>
      <c r="DI687"/>
      <c r="DJ687"/>
      <c r="DK687"/>
      <c r="DL687"/>
      <c r="DM687"/>
      <c r="DN687"/>
    </row>
    <row r="688" spans="3:118" s="238" customFormat="1" ht="15.75" customHeight="1" x14ac:dyDescent="0.25">
      <c r="C688"/>
      <c r="D688"/>
      <c r="E688"/>
      <c r="F688"/>
      <c r="G688"/>
      <c r="H688"/>
      <c r="I688"/>
      <c r="J688"/>
      <c r="K688"/>
      <c r="L688"/>
      <c r="M688"/>
      <c r="N688"/>
      <c r="O688" s="366"/>
      <c r="P688" s="366">
        <v>2018</v>
      </c>
      <c r="Q688" s="367">
        <f>LARGE($CB$606:$CB$755,83)</f>
        <v>42.7</v>
      </c>
      <c r="R688" s="357">
        <f t="shared" si="166"/>
        <v>-153.89999999999998</v>
      </c>
      <c r="S688" s="356">
        <f t="shared" si="165"/>
        <v>23685.209999999992</v>
      </c>
      <c r="U688" s="356">
        <f t="shared" si="167"/>
        <v>-9.6187499999999986</v>
      </c>
      <c r="V688" s="238">
        <f t="shared" si="163"/>
        <v>8</v>
      </c>
      <c r="W688" s="354"/>
      <c r="X688" s="366"/>
      <c r="Y688" s="366"/>
      <c r="Z688" s="238">
        <v>2018</v>
      </c>
      <c r="AA688" s="367">
        <f>LARGE($CU$606:$CU$755,83)</f>
        <v>59.599999999999994</v>
      </c>
      <c r="AB688" s="357">
        <f t="shared" si="168"/>
        <v>-131.30000000000001</v>
      </c>
      <c r="AC688" s="356">
        <f t="shared" si="162"/>
        <v>17239.690000000002</v>
      </c>
      <c r="AE688" s="356">
        <f t="shared" si="169"/>
        <v>-8.2062500000000007</v>
      </c>
      <c r="AF688" s="238">
        <f t="shared" si="164"/>
        <v>8</v>
      </c>
      <c r="AG688" s="354"/>
      <c r="AK688"/>
      <c r="AL688"/>
      <c r="AM688"/>
      <c r="AN688"/>
      <c r="AO688"/>
      <c r="AP688"/>
      <c r="BI688" s="360"/>
      <c r="BJ688" s="354"/>
      <c r="BK688" s="366">
        <v>2018</v>
      </c>
      <c r="BL688" t="s">
        <v>1280</v>
      </c>
      <c r="BM688" t="s">
        <v>155</v>
      </c>
      <c r="BN688" t="s">
        <v>3</v>
      </c>
      <c r="BO688">
        <v>0</v>
      </c>
      <c r="BP688">
        <v>0</v>
      </c>
      <c r="BQ688">
        <v>0</v>
      </c>
      <c r="BR688">
        <v>261</v>
      </c>
      <c r="BS688">
        <v>1</v>
      </c>
      <c r="BT688">
        <v>6</v>
      </c>
      <c r="BU688">
        <v>25</v>
      </c>
      <c r="BV688">
        <v>0</v>
      </c>
      <c r="BW688">
        <v>0</v>
      </c>
      <c r="BX688">
        <v>0</v>
      </c>
      <c r="BY688">
        <v>0</v>
      </c>
      <c r="BZ688">
        <v>0</v>
      </c>
      <c r="CA688">
        <v>1</v>
      </c>
      <c r="CB688" s="367">
        <f>IFERROR(BO688/Instructions!$J$25,0)+BP688*Instructions!$J$27+BQ688*Instructions!$J$29+IFERROR(BR688/Instructions!$E$34,0)+BS688*Instructions!$E$36+Tier!BT689*Instructions!$E$25+IFERROR(BU688/Instructions!$E$27,0)+BV688*Instructions!$E$29+IFERROR((BW688+BY688)/Instructions!$J$32,0)+(BX688+BZ688)*Instructions!$J$34+Tier!CA688*-2</f>
        <v>49.6</v>
      </c>
      <c r="CC688" s="354"/>
      <c r="CD688" s="3">
        <v>2018</v>
      </c>
      <c r="CE688" t="s">
        <v>204</v>
      </c>
      <c r="CF688" t="s">
        <v>1939</v>
      </c>
      <c r="CG688" s="366" t="s">
        <v>6</v>
      </c>
      <c r="CH688">
        <v>0</v>
      </c>
      <c r="CI688">
        <v>0</v>
      </c>
      <c r="CJ688">
        <v>0</v>
      </c>
      <c r="CK688">
        <v>0</v>
      </c>
      <c r="CL688">
        <v>0</v>
      </c>
      <c r="CM688">
        <v>37</v>
      </c>
      <c r="CN688">
        <v>371</v>
      </c>
      <c r="CO688">
        <v>1</v>
      </c>
      <c r="CP688">
        <v>0</v>
      </c>
      <c r="CQ688">
        <v>0</v>
      </c>
      <c r="CR688">
        <v>0</v>
      </c>
      <c r="CS688">
        <v>0</v>
      </c>
      <c r="CT688">
        <v>0</v>
      </c>
      <c r="CU688" s="367">
        <f>IFERROR(CH688/Instructions!$J$25,0)+CI688*Instructions!$J$27+CJ688*Instructions!$J$29+IFERROR(CK688/Instructions!$E$34,0)+CL688*Instructions!$E$36+Tier!CM688*Instructions!$E$25+IFERROR(CN688/Instructions!$E$27,0)+CO688*Instructions!$E$29+IFERROR((CP688+CR688)/Instructions!$J$32,0)+(CQ688+CS688)*Instructions!$J$34+Tier!CT688*-2</f>
        <v>80.099999999999994</v>
      </c>
      <c r="CV688" s="354"/>
      <c r="CW688"/>
      <c r="CX688"/>
      <c r="CY688"/>
      <c r="CZ688"/>
      <c r="DA688"/>
      <c r="DB688"/>
      <c r="DC688"/>
      <c r="DD688"/>
      <c r="DE688"/>
      <c r="DF688"/>
      <c r="DG688"/>
      <c r="DH688"/>
      <c r="DI688"/>
      <c r="DJ688"/>
      <c r="DK688"/>
      <c r="DL688"/>
      <c r="DM688"/>
      <c r="DN688"/>
    </row>
    <row r="689" spans="3:118" s="238" customFormat="1" ht="15.75" customHeight="1" x14ac:dyDescent="0.25">
      <c r="C689"/>
      <c r="D689"/>
      <c r="E689"/>
      <c r="F689"/>
      <c r="G689"/>
      <c r="H689"/>
      <c r="I689"/>
      <c r="J689"/>
      <c r="K689"/>
      <c r="L689"/>
      <c r="M689"/>
      <c r="N689"/>
      <c r="O689" s="366"/>
      <c r="P689" s="366">
        <v>2018</v>
      </c>
      <c r="Q689" s="367">
        <f>LARGE($CB$606:$CB$755,84)</f>
        <v>41.400000000000006</v>
      </c>
      <c r="R689" s="357">
        <f t="shared" si="166"/>
        <v>-155.19999999999999</v>
      </c>
      <c r="S689" s="356">
        <f t="shared" si="165"/>
        <v>24087.039999999997</v>
      </c>
      <c r="U689" s="356">
        <f t="shared" si="167"/>
        <v>-9.6999999999999993</v>
      </c>
      <c r="V689" s="238">
        <f t="shared" si="163"/>
        <v>8</v>
      </c>
      <c r="W689" s="354"/>
      <c r="X689" s="366"/>
      <c r="Y689" s="366"/>
      <c r="Z689" s="238">
        <v>2018</v>
      </c>
      <c r="AA689" s="367">
        <f>LARGE($CU$606:$CU$755,84)</f>
        <v>59.4</v>
      </c>
      <c r="AB689" s="357">
        <f t="shared" si="168"/>
        <v>-131.5</v>
      </c>
      <c r="AC689" s="356">
        <f t="shared" si="162"/>
        <v>17292.25</v>
      </c>
      <c r="AE689" s="356">
        <f t="shared" si="169"/>
        <v>-8.21875</v>
      </c>
      <c r="AF689" s="238">
        <f t="shared" si="164"/>
        <v>8</v>
      </c>
      <c r="AG689" s="354"/>
      <c r="AK689"/>
      <c r="AL689"/>
      <c r="AM689"/>
      <c r="AN689"/>
      <c r="AO689"/>
      <c r="AP689"/>
      <c r="BI689" s="360"/>
      <c r="BJ689" s="354"/>
      <c r="BK689" s="366">
        <v>2018</v>
      </c>
      <c r="BL689" t="s">
        <v>1786</v>
      </c>
      <c r="BM689" t="s">
        <v>164</v>
      </c>
      <c r="BN689" t="s">
        <v>3</v>
      </c>
      <c r="BO689">
        <v>0</v>
      </c>
      <c r="BP689">
        <v>0</v>
      </c>
      <c r="BQ689">
        <v>0</v>
      </c>
      <c r="BR689">
        <v>113</v>
      </c>
      <c r="BS689">
        <v>1</v>
      </c>
      <c r="BT689">
        <v>17</v>
      </c>
      <c r="BU689">
        <v>144</v>
      </c>
      <c r="BV689">
        <v>0</v>
      </c>
      <c r="BW689">
        <v>0</v>
      </c>
      <c r="BX689">
        <v>0</v>
      </c>
      <c r="BY689">
        <v>20</v>
      </c>
      <c r="BZ689">
        <v>0</v>
      </c>
      <c r="CA689">
        <v>0</v>
      </c>
      <c r="CB689" s="367">
        <f>IFERROR(BO689/Instructions!$J$25,0)+BP689*Instructions!$J$27+BQ689*Instructions!$J$29+IFERROR(BR689/Instructions!$E$34,0)+BS689*Instructions!$E$36+Tier!BT690*Instructions!$E$25+IFERROR(BU689/Instructions!$E$27,0)+BV689*Instructions!$E$29+IFERROR((BW689+BY689)/Instructions!$J$32,0)+(BX689+BZ689)*Instructions!$J$34+Tier!CA689*-2</f>
        <v>43.7</v>
      </c>
      <c r="CC689" s="354"/>
      <c r="CD689" s="3">
        <v>2018</v>
      </c>
      <c r="CE689" t="s">
        <v>124</v>
      </c>
      <c r="CF689" t="s">
        <v>155</v>
      </c>
      <c r="CG689" s="366" t="s">
        <v>6</v>
      </c>
      <c r="CH689">
        <v>0</v>
      </c>
      <c r="CI689">
        <v>0</v>
      </c>
      <c r="CJ689">
        <v>0</v>
      </c>
      <c r="CK689">
        <v>0</v>
      </c>
      <c r="CL689">
        <v>0</v>
      </c>
      <c r="CM689">
        <v>20</v>
      </c>
      <c r="CN689">
        <v>300</v>
      </c>
      <c r="CO689">
        <v>2</v>
      </c>
      <c r="CP689">
        <v>0</v>
      </c>
      <c r="CQ689">
        <v>0</v>
      </c>
      <c r="CR689">
        <v>0</v>
      </c>
      <c r="CS689">
        <v>0</v>
      </c>
      <c r="CT689">
        <v>0</v>
      </c>
      <c r="CU689" s="367">
        <f>IFERROR(CH689/Instructions!$J$25,0)+CI689*Instructions!$J$27+CJ689*Instructions!$J$29+IFERROR(CK689/Instructions!$E$34,0)+CL689*Instructions!$E$36+Tier!CM689*Instructions!$E$25+IFERROR(CN689/Instructions!$E$27,0)+CO689*Instructions!$E$29+IFERROR((CP689+CR689)/Instructions!$J$32,0)+(CQ689+CS689)*Instructions!$J$34+Tier!CT689*-2</f>
        <v>62</v>
      </c>
      <c r="CV689" s="354"/>
      <c r="CW689"/>
      <c r="CX689"/>
      <c r="CY689"/>
      <c r="CZ689"/>
      <c r="DA689"/>
      <c r="DB689"/>
      <c r="DC689"/>
      <c r="DD689"/>
      <c r="DE689"/>
      <c r="DF689"/>
      <c r="DG689"/>
      <c r="DH689"/>
      <c r="DI689"/>
      <c r="DJ689"/>
      <c r="DK689"/>
      <c r="DL689"/>
      <c r="DM689"/>
      <c r="DN689"/>
    </row>
    <row r="690" spans="3:118" s="238" customFormat="1" ht="15.75" customHeight="1" x14ac:dyDescent="0.25">
      <c r="C690"/>
      <c r="D690"/>
      <c r="E690"/>
      <c r="F690"/>
      <c r="G690"/>
      <c r="H690"/>
      <c r="I690"/>
      <c r="J690"/>
      <c r="K690"/>
      <c r="L690"/>
      <c r="M690"/>
      <c r="N690"/>
      <c r="O690" s="366"/>
      <c r="P690" s="366">
        <v>2018</v>
      </c>
      <c r="Q690" s="367">
        <f>LARGE($CB$606:$CB$755,85)</f>
        <v>40.700000000000003</v>
      </c>
      <c r="R690" s="357">
        <f t="shared" si="166"/>
        <v>-155.89999999999998</v>
      </c>
      <c r="S690" s="356">
        <f t="shared" si="165"/>
        <v>24304.809999999994</v>
      </c>
      <c r="U690" s="356">
        <f t="shared" si="167"/>
        <v>-9.7437499999999986</v>
      </c>
      <c r="V690" s="238">
        <f t="shared" si="163"/>
        <v>8</v>
      </c>
      <c r="W690" s="354"/>
      <c r="X690" s="366"/>
      <c r="Y690" s="366"/>
      <c r="Z690" s="238">
        <v>2018</v>
      </c>
      <c r="AA690" s="367">
        <f>LARGE($CU$606:$CU$755,85)</f>
        <v>59.099999999999994</v>
      </c>
      <c r="AB690" s="357">
        <f t="shared" si="168"/>
        <v>-131.80000000000001</v>
      </c>
      <c r="AC690" s="356">
        <f t="shared" si="162"/>
        <v>17371.240000000002</v>
      </c>
      <c r="AE690" s="356">
        <f t="shared" si="169"/>
        <v>-8.2375000000000007</v>
      </c>
      <c r="AF690" s="238">
        <f t="shared" si="164"/>
        <v>8</v>
      </c>
      <c r="AG690" s="354"/>
      <c r="AK690"/>
      <c r="AL690"/>
      <c r="AM690"/>
      <c r="AN690"/>
      <c r="AO690"/>
      <c r="AP690"/>
      <c r="BI690" s="360"/>
      <c r="BJ690" s="354"/>
      <c r="BK690" s="366">
        <v>2018</v>
      </c>
      <c r="BL690" t="s">
        <v>1233</v>
      </c>
      <c r="BM690" t="s">
        <v>157</v>
      </c>
      <c r="BN690" t="s">
        <v>3</v>
      </c>
      <c r="BO690">
        <v>0</v>
      </c>
      <c r="BP690">
        <v>0</v>
      </c>
      <c r="BQ690">
        <v>0</v>
      </c>
      <c r="BR690">
        <v>8</v>
      </c>
      <c r="BS690">
        <v>4</v>
      </c>
      <c r="BT690">
        <v>12</v>
      </c>
      <c r="BU690">
        <v>61</v>
      </c>
      <c r="BV690">
        <v>0</v>
      </c>
      <c r="BW690">
        <v>0</v>
      </c>
      <c r="BX690">
        <v>0</v>
      </c>
      <c r="BY690">
        <v>15</v>
      </c>
      <c r="BZ690">
        <v>0</v>
      </c>
      <c r="CA690">
        <v>0</v>
      </c>
      <c r="CB690" s="367">
        <f>IFERROR(BO690/Instructions!$J$25,0)+BP690*Instructions!$J$27+BQ690*Instructions!$J$29+IFERROR(BR690/Instructions!$E$34,0)+BS690*Instructions!$E$36+Tier!BT691*Instructions!$E$25+IFERROR(BU690/Instructions!$E$27,0)+BV690*Instructions!$E$29+IFERROR((BW690+BY690)/Instructions!$J$32,0)+(BX690+BZ690)*Instructions!$J$34+Tier!CA690*-2</f>
        <v>42.9</v>
      </c>
      <c r="CC690" s="354"/>
      <c r="CD690" s="3">
        <v>2018</v>
      </c>
      <c r="CE690" t="s">
        <v>1399</v>
      </c>
      <c r="CF690" t="s">
        <v>139</v>
      </c>
      <c r="CG690" s="366" t="s">
        <v>6</v>
      </c>
      <c r="CH690">
        <v>0</v>
      </c>
      <c r="CI690">
        <v>0</v>
      </c>
      <c r="CJ690">
        <v>0</v>
      </c>
      <c r="CK690">
        <v>0</v>
      </c>
      <c r="CL690">
        <v>0</v>
      </c>
      <c r="CM690">
        <v>20</v>
      </c>
      <c r="CN690">
        <v>303</v>
      </c>
      <c r="CO690">
        <v>2</v>
      </c>
      <c r="CP690">
        <v>0</v>
      </c>
      <c r="CQ690">
        <v>0</v>
      </c>
      <c r="CR690">
        <v>0</v>
      </c>
      <c r="CS690">
        <v>0</v>
      </c>
      <c r="CT690">
        <v>0</v>
      </c>
      <c r="CU690" s="367">
        <f>IFERROR(CH690/Instructions!$J$25,0)+CI690*Instructions!$J$27+CJ690*Instructions!$J$29+IFERROR(CK690/Instructions!$E$34,0)+CL690*Instructions!$E$36+Tier!CM690*Instructions!$E$25+IFERROR(CN690/Instructions!$E$27,0)+CO690*Instructions!$E$29+IFERROR((CP690+CR690)/Instructions!$J$32,0)+(CQ690+CS690)*Instructions!$J$34+Tier!CT690*-2</f>
        <v>62.3</v>
      </c>
      <c r="CV690" s="354"/>
      <c r="CW690"/>
      <c r="CX690"/>
      <c r="CY690"/>
      <c r="CZ690"/>
      <c r="DA690"/>
      <c r="DB690"/>
      <c r="DC690"/>
      <c r="DD690"/>
      <c r="DE690"/>
      <c r="DF690"/>
      <c r="DG690"/>
      <c r="DH690"/>
      <c r="DI690"/>
      <c r="DJ690"/>
      <c r="DK690"/>
      <c r="DL690"/>
      <c r="DM690"/>
      <c r="DN690"/>
    </row>
    <row r="691" spans="3:118" s="238" customFormat="1" ht="15.75" customHeight="1" x14ac:dyDescent="0.25">
      <c r="C691"/>
      <c r="D691"/>
      <c r="E691"/>
      <c r="F691"/>
      <c r="G691"/>
      <c r="H691"/>
      <c r="I691"/>
      <c r="J691"/>
      <c r="K691"/>
      <c r="L691"/>
      <c r="M691"/>
      <c r="N691"/>
      <c r="O691" s="366"/>
      <c r="P691" s="366">
        <v>2018</v>
      </c>
      <c r="Q691" s="367">
        <f>LARGE($CB$606:$CB$755,86)</f>
        <v>38.4</v>
      </c>
      <c r="R691" s="357">
        <f t="shared" si="166"/>
        <v>-158.19999999999999</v>
      </c>
      <c r="S691" s="356">
        <f t="shared" si="165"/>
        <v>25027.239999999998</v>
      </c>
      <c r="U691" s="356">
        <f t="shared" si="167"/>
        <v>-9.8874999999999993</v>
      </c>
      <c r="V691" s="238">
        <f t="shared" si="163"/>
        <v>8</v>
      </c>
      <c r="W691" s="354"/>
      <c r="X691" s="366"/>
      <c r="Y691" s="366"/>
      <c r="Z691" s="238">
        <v>2018</v>
      </c>
      <c r="AA691" s="367">
        <f>LARGE($CU$606:$CU$755,86)</f>
        <v>56.6</v>
      </c>
      <c r="AB691" s="357">
        <f t="shared" si="168"/>
        <v>-134.30000000000001</v>
      </c>
      <c r="AC691" s="356">
        <f t="shared" si="162"/>
        <v>18036.490000000002</v>
      </c>
      <c r="AE691" s="356">
        <f t="shared" si="169"/>
        <v>-8.3937500000000007</v>
      </c>
      <c r="AF691" s="238">
        <f t="shared" si="164"/>
        <v>8</v>
      </c>
      <c r="AG691" s="354"/>
      <c r="AK691"/>
      <c r="AL691"/>
      <c r="AM691"/>
      <c r="AN691"/>
      <c r="AO691"/>
      <c r="AP691"/>
      <c r="BI691" s="360"/>
      <c r="BJ691" s="354"/>
      <c r="BK691" s="366">
        <v>2018</v>
      </c>
      <c r="BL691" t="s">
        <v>1877</v>
      </c>
      <c r="BM691" t="s">
        <v>155</v>
      </c>
      <c r="BN691" t="s">
        <v>3</v>
      </c>
      <c r="BO691">
        <v>0</v>
      </c>
      <c r="BP691">
        <v>0</v>
      </c>
      <c r="BQ691">
        <v>0</v>
      </c>
      <c r="BR691">
        <v>266</v>
      </c>
      <c r="BS691">
        <v>0</v>
      </c>
      <c r="BT691">
        <v>12</v>
      </c>
      <c r="BU691">
        <v>98</v>
      </c>
      <c r="BV691">
        <v>0</v>
      </c>
      <c r="BW691">
        <v>0</v>
      </c>
      <c r="BX691">
        <v>0</v>
      </c>
      <c r="BY691">
        <v>0</v>
      </c>
      <c r="BZ691">
        <v>0</v>
      </c>
      <c r="CA691">
        <v>2</v>
      </c>
      <c r="CB691" s="367">
        <f>IFERROR(BO691/Instructions!$J$25,0)+BP691*Instructions!$J$27+BQ691*Instructions!$J$29+IFERROR(BR691/Instructions!$E$34,0)+BS691*Instructions!$E$36+Tier!BT692*Instructions!$E$25+IFERROR(BU691/Instructions!$E$27,0)+BV691*Instructions!$E$29+IFERROR((BW691+BY691)/Instructions!$J$32,0)+(BX691+BZ691)*Instructions!$J$34+Tier!CA691*-2</f>
        <v>41.400000000000006</v>
      </c>
      <c r="CC691" s="354"/>
      <c r="CD691" s="3">
        <v>2018</v>
      </c>
      <c r="CE691" t="s">
        <v>1082</v>
      </c>
      <c r="CF691" t="s">
        <v>1936</v>
      </c>
      <c r="CG691" s="366" t="s">
        <v>6</v>
      </c>
      <c r="CH691">
        <v>0</v>
      </c>
      <c r="CI691">
        <v>0</v>
      </c>
      <c r="CJ691">
        <v>0</v>
      </c>
      <c r="CK691">
        <v>0</v>
      </c>
      <c r="CL691">
        <v>0</v>
      </c>
      <c r="CM691">
        <v>20</v>
      </c>
      <c r="CN691">
        <v>295</v>
      </c>
      <c r="CO691">
        <v>2</v>
      </c>
      <c r="CP691">
        <v>0</v>
      </c>
      <c r="CQ691">
        <v>0</v>
      </c>
      <c r="CR691">
        <v>0</v>
      </c>
      <c r="CS691">
        <v>0</v>
      </c>
      <c r="CT691">
        <v>0</v>
      </c>
      <c r="CU691" s="367">
        <f>IFERROR(CH691/Instructions!$J$25,0)+CI691*Instructions!$J$27+CJ691*Instructions!$J$29+IFERROR(CK691/Instructions!$E$34,0)+CL691*Instructions!$E$36+Tier!CM691*Instructions!$E$25+IFERROR(CN691/Instructions!$E$27,0)+CO691*Instructions!$E$29+IFERROR((CP691+CR691)/Instructions!$J$32,0)+(CQ691+CS691)*Instructions!$J$34+Tier!CT691*-2</f>
        <v>61.5</v>
      </c>
      <c r="CV691" s="354"/>
      <c r="CW691"/>
      <c r="CX691"/>
      <c r="CY691"/>
      <c r="CZ691"/>
      <c r="DA691"/>
      <c r="DB691"/>
      <c r="DC691"/>
      <c r="DD691"/>
      <c r="DE691"/>
      <c r="DF691"/>
      <c r="DG691"/>
      <c r="DH691"/>
      <c r="DI691"/>
      <c r="DJ691"/>
      <c r="DK691"/>
      <c r="DL691"/>
      <c r="DM691"/>
      <c r="DN691"/>
    </row>
    <row r="692" spans="3:118" s="238" customFormat="1" ht="15.75" customHeight="1" x14ac:dyDescent="0.25">
      <c r="C692"/>
      <c r="D692"/>
      <c r="E692"/>
      <c r="F692"/>
      <c r="G692"/>
      <c r="H692"/>
      <c r="I692"/>
      <c r="J692"/>
      <c r="K692"/>
      <c r="L692"/>
      <c r="M692"/>
      <c r="N692"/>
      <c r="O692" s="366"/>
      <c r="P692" s="366">
        <v>2018</v>
      </c>
      <c r="Q692" s="367">
        <f>LARGE($CB$606:$CB$755,87)</f>
        <v>35.400000000000006</v>
      </c>
      <c r="R692" s="357">
        <f t="shared" si="166"/>
        <v>-161.19999999999999</v>
      </c>
      <c r="S692" s="356">
        <f t="shared" si="165"/>
        <v>25985.439999999995</v>
      </c>
      <c r="U692" s="356">
        <f t="shared" si="167"/>
        <v>-10.074999999999999</v>
      </c>
      <c r="V692" s="238">
        <f t="shared" si="163"/>
        <v>8</v>
      </c>
      <c r="W692" s="354"/>
      <c r="X692" s="366"/>
      <c r="Y692" s="366"/>
      <c r="Z692" s="238">
        <v>2018</v>
      </c>
      <c r="AA692" s="367">
        <f>LARGE($CU$606:$CU$755,87)</f>
        <v>54.6</v>
      </c>
      <c r="AB692" s="357">
        <f t="shared" si="168"/>
        <v>-136.30000000000001</v>
      </c>
      <c r="AC692" s="356">
        <f t="shared" si="162"/>
        <v>18577.690000000002</v>
      </c>
      <c r="AE692" s="356">
        <f t="shared" si="169"/>
        <v>-8.5187500000000007</v>
      </c>
      <c r="AF692" s="238">
        <f t="shared" si="164"/>
        <v>8</v>
      </c>
      <c r="AG692" s="354"/>
      <c r="AK692"/>
      <c r="AL692"/>
      <c r="AM692"/>
      <c r="AN692"/>
      <c r="AO692"/>
      <c r="AP692"/>
      <c r="BI692" s="360"/>
      <c r="BJ692" s="354"/>
      <c r="BK692" s="366">
        <v>2018</v>
      </c>
      <c r="BL692" t="s">
        <v>1777</v>
      </c>
      <c r="BM692" t="s">
        <v>1946</v>
      </c>
      <c r="BN692" t="s">
        <v>3</v>
      </c>
      <c r="BO692">
        <v>0</v>
      </c>
      <c r="BP692">
        <v>0</v>
      </c>
      <c r="BQ692">
        <v>0</v>
      </c>
      <c r="BR692">
        <v>191</v>
      </c>
      <c r="BS692">
        <v>1</v>
      </c>
      <c r="BT692">
        <v>9</v>
      </c>
      <c r="BU692">
        <v>56</v>
      </c>
      <c r="BV692">
        <v>0</v>
      </c>
      <c r="BW692">
        <v>0</v>
      </c>
      <c r="BX692">
        <v>0</v>
      </c>
      <c r="BY692">
        <v>26</v>
      </c>
      <c r="BZ692">
        <v>0</v>
      </c>
      <c r="CA692">
        <v>1</v>
      </c>
      <c r="CB692" s="367">
        <f>IFERROR(BO692/Instructions!$J$25,0)+BP692*Instructions!$J$27+BQ692*Instructions!$J$29+IFERROR(BR692/Instructions!$E$34,0)+BS692*Instructions!$E$36+Tier!BT693*Instructions!$E$25+IFERROR(BU692/Instructions!$E$27,0)+BV692*Instructions!$E$29+IFERROR((BW692+BY692)/Instructions!$J$32,0)+(BX692+BZ692)*Instructions!$J$34+Tier!CA692*-2</f>
        <v>42.7</v>
      </c>
      <c r="CC692" s="354"/>
      <c r="CD692" s="3">
        <v>2018</v>
      </c>
      <c r="CE692" t="s">
        <v>1123</v>
      </c>
      <c r="CF692" t="s">
        <v>1941</v>
      </c>
      <c r="CG692" s="366" t="s">
        <v>6</v>
      </c>
      <c r="CH692">
        <v>0</v>
      </c>
      <c r="CI692">
        <v>0</v>
      </c>
      <c r="CJ692">
        <v>0</v>
      </c>
      <c r="CK692">
        <v>0</v>
      </c>
      <c r="CL692">
        <v>0</v>
      </c>
      <c r="CM692">
        <v>35</v>
      </c>
      <c r="CN692">
        <v>334</v>
      </c>
      <c r="CO692">
        <v>1</v>
      </c>
      <c r="CP692">
        <v>0</v>
      </c>
      <c r="CQ692">
        <v>0</v>
      </c>
      <c r="CR692">
        <v>0</v>
      </c>
      <c r="CS692">
        <v>0</v>
      </c>
      <c r="CT692">
        <v>0</v>
      </c>
      <c r="CU692" s="367">
        <f>IFERROR(CH692/Instructions!$J$25,0)+CI692*Instructions!$J$27+CJ692*Instructions!$J$29+IFERROR(CK692/Instructions!$E$34,0)+CL692*Instructions!$E$36+Tier!CM692*Instructions!$E$25+IFERROR(CN692/Instructions!$E$27,0)+CO692*Instructions!$E$29+IFERROR((CP692+CR692)/Instructions!$J$32,0)+(CQ692+CS692)*Instructions!$J$34+Tier!CT692*-2</f>
        <v>74.400000000000006</v>
      </c>
      <c r="CV692" s="354"/>
      <c r="CW692"/>
      <c r="CX692"/>
      <c r="CY692"/>
      <c r="CZ692"/>
      <c r="DA692"/>
      <c r="DB692"/>
      <c r="DC692"/>
      <c r="DD692"/>
      <c r="DE692"/>
      <c r="DF692"/>
      <c r="DG692"/>
      <c r="DH692"/>
      <c r="DI692"/>
      <c r="DJ692"/>
      <c r="DK692"/>
      <c r="DL692"/>
      <c r="DM692"/>
      <c r="DN692"/>
    </row>
    <row r="693" spans="3:118" s="238" customFormat="1" ht="15.75" customHeight="1" x14ac:dyDescent="0.25">
      <c r="C693"/>
      <c r="D693"/>
      <c r="E693"/>
      <c r="F693"/>
      <c r="G693"/>
      <c r="H693"/>
      <c r="I693"/>
      <c r="J693"/>
      <c r="K693"/>
      <c r="L693"/>
      <c r="M693"/>
      <c r="N693"/>
      <c r="O693" s="366"/>
      <c r="P693" s="366">
        <v>2018</v>
      </c>
      <c r="Q693" s="367">
        <f>LARGE($CB$606:$CB$755,88)</f>
        <v>33.5</v>
      </c>
      <c r="R693" s="357">
        <f t="shared" si="166"/>
        <v>-163.1</v>
      </c>
      <c r="S693" s="356">
        <f t="shared" si="165"/>
        <v>26601.609999999997</v>
      </c>
      <c r="U693" s="356">
        <f t="shared" si="167"/>
        <v>-10.19375</v>
      </c>
      <c r="V693" s="238">
        <f t="shared" si="163"/>
        <v>8</v>
      </c>
      <c r="W693" s="354"/>
      <c r="X693" s="366"/>
      <c r="Y693" s="366"/>
      <c r="Z693" s="238">
        <v>2018</v>
      </c>
      <c r="AA693" s="367">
        <f>LARGE($CU$606:$CU$755,88)</f>
        <v>54.5</v>
      </c>
      <c r="AB693" s="357">
        <f t="shared" si="168"/>
        <v>-136.4</v>
      </c>
      <c r="AC693" s="356">
        <f t="shared" si="162"/>
        <v>18604.960000000003</v>
      </c>
      <c r="AE693" s="356">
        <f t="shared" si="169"/>
        <v>-8.5250000000000004</v>
      </c>
      <c r="AF693" s="238">
        <f t="shared" si="164"/>
        <v>8</v>
      </c>
      <c r="AG693" s="354"/>
      <c r="AK693"/>
      <c r="AL693"/>
      <c r="AM693"/>
      <c r="AN693"/>
      <c r="AO693"/>
      <c r="AP693"/>
      <c r="BI693" s="360"/>
      <c r="BJ693" s="354"/>
      <c r="BK693" s="366">
        <v>2018</v>
      </c>
      <c r="BL693" t="s">
        <v>1419</v>
      </c>
      <c r="BM693" t="s">
        <v>154</v>
      </c>
      <c r="BN693" t="s">
        <v>3</v>
      </c>
      <c r="BO693">
        <v>0</v>
      </c>
      <c r="BP693">
        <v>0</v>
      </c>
      <c r="BQ693">
        <v>0</v>
      </c>
      <c r="BR693">
        <v>176</v>
      </c>
      <c r="BS693">
        <v>1</v>
      </c>
      <c r="BT693">
        <v>14</v>
      </c>
      <c r="BU693">
        <v>89</v>
      </c>
      <c r="BV693">
        <v>0</v>
      </c>
      <c r="BW693">
        <v>0</v>
      </c>
      <c r="BX693">
        <v>0</v>
      </c>
      <c r="BY693">
        <v>0</v>
      </c>
      <c r="BZ693">
        <v>0</v>
      </c>
      <c r="CA693">
        <v>1</v>
      </c>
      <c r="CB693" s="367">
        <f>IFERROR(BO693/Instructions!$J$25,0)+BP693*Instructions!$J$27+BQ693*Instructions!$J$29+IFERROR(BR693/Instructions!$E$34,0)+BS693*Instructions!$E$36+Tier!BT694*Instructions!$E$25+IFERROR(BU693/Instructions!$E$27,0)+BV693*Instructions!$E$29+IFERROR((BW693+BY693)/Instructions!$J$32,0)+(BX693+BZ693)*Instructions!$J$34+Tier!CA693*-2</f>
        <v>33.5</v>
      </c>
      <c r="CC693" s="354"/>
      <c r="CD693" s="3">
        <v>2018</v>
      </c>
      <c r="CE693" t="s">
        <v>1250</v>
      </c>
      <c r="CF693" t="s">
        <v>1940</v>
      </c>
      <c r="CG693" s="366" t="s">
        <v>6</v>
      </c>
      <c r="CH693">
        <v>0</v>
      </c>
      <c r="CI693">
        <v>0</v>
      </c>
      <c r="CJ693">
        <v>0</v>
      </c>
      <c r="CK693">
        <v>9</v>
      </c>
      <c r="CL693">
        <v>0</v>
      </c>
      <c r="CM693">
        <v>20</v>
      </c>
      <c r="CN693">
        <v>262</v>
      </c>
      <c r="CO693">
        <v>2</v>
      </c>
      <c r="CP693">
        <v>0</v>
      </c>
      <c r="CQ693">
        <v>0</v>
      </c>
      <c r="CR693">
        <v>0</v>
      </c>
      <c r="CS693">
        <v>0</v>
      </c>
      <c r="CT693">
        <v>0</v>
      </c>
      <c r="CU693" s="367">
        <f>IFERROR(CH693/Instructions!$J$25,0)+CI693*Instructions!$J$27+CJ693*Instructions!$J$29+IFERROR(CK693/Instructions!$E$34,0)+CL693*Instructions!$E$36+Tier!CM693*Instructions!$E$25+IFERROR(CN693/Instructions!$E$27,0)+CO693*Instructions!$E$29+IFERROR((CP693+CR693)/Instructions!$J$32,0)+(CQ693+CS693)*Instructions!$J$34+Tier!CT693*-2</f>
        <v>59.099999999999994</v>
      </c>
      <c r="CV693" s="354"/>
      <c r="CW693"/>
      <c r="CX693"/>
      <c r="CY693"/>
      <c r="CZ693"/>
      <c r="DA693"/>
      <c r="DB693"/>
      <c r="DC693"/>
      <c r="DD693"/>
      <c r="DE693"/>
      <c r="DF693"/>
      <c r="DG693"/>
      <c r="DH693"/>
      <c r="DI693"/>
      <c r="DJ693"/>
      <c r="DK693"/>
      <c r="DL693"/>
      <c r="DM693"/>
      <c r="DN693"/>
    </row>
    <row r="694" spans="3:118" s="238" customFormat="1" ht="15.75" customHeight="1" x14ac:dyDescent="0.25">
      <c r="C694"/>
      <c r="D694"/>
      <c r="E694"/>
      <c r="F694"/>
      <c r="G694"/>
      <c r="H694"/>
      <c r="I694"/>
      <c r="J694"/>
      <c r="K694"/>
      <c r="L694"/>
      <c r="M694"/>
      <c r="N694"/>
      <c r="O694" s="366"/>
      <c r="P694" s="366">
        <v>2018</v>
      </c>
      <c r="Q694" s="367">
        <f>LARGE($CB$606:$CB$755,89)</f>
        <v>32.6</v>
      </c>
      <c r="R694" s="357">
        <f t="shared" si="166"/>
        <v>-164</v>
      </c>
      <c r="S694" s="356">
        <f t="shared" si="165"/>
        <v>26896</v>
      </c>
      <c r="U694" s="356">
        <f t="shared" si="167"/>
        <v>-10.25</v>
      </c>
      <c r="V694" s="238">
        <f t="shared" si="163"/>
        <v>8</v>
      </c>
      <c r="W694" s="354"/>
      <c r="X694" s="366"/>
      <c r="Y694" s="366"/>
      <c r="Z694" s="238">
        <v>2018</v>
      </c>
      <c r="AA694" s="367">
        <f>LARGE($CU$606:$CU$755,89)</f>
        <v>54.3</v>
      </c>
      <c r="AB694" s="357">
        <f t="shared" si="168"/>
        <v>-136.60000000000002</v>
      </c>
      <c r="AC694" s="356">
        <f t="shared" si="162"/>
        <v>18659.560000000005</v>
      </c>
      <c r="AE694" s="356">
        <f t="shared" si="169"/>
        <v>-8.5375000000000014</v>
      </c>
      <c r="AF694" s="238">
        <f t="shared" si="164"/>
        <v>8</v>
      </c>
      <c r="AG694" s="354"/>
      <c r="AK694"/>
      <c r="AL694"/>
      <c r="AM694"/>
      <c r="AN694"/>
      <c r="AO694"/>
      <c r="AP694"/>
      <c r="BI694" s="360"/>
      <c r="BJ694" s="354"/>
      <c r="BK694" s="366">
        <v>2018</v>
      </c>
      <c r="BL694" t="s">
        <v>980</v>
      </c>
      <c r="BM694" t="s">
        <v>157</v>
      </c>
      <c r="BN694" t="s">
        <v>3</v>
      </c>
      <c r="BO694">
        <v>0</v>
      </c>
      <c r="BP694">
        <v>0</v>
      </c>
      <c r="BQ694">
        <v>0</v>
      </c>
      <c r="BR694">
        <v>91</v>
      </c>
      <c r="BS694">
        <v>2</v>
      </c>
      <c r="BT694">
        <v>3</v>
      </c>
      <c r="BU694">
        <v>13</v>
      </c>
      <c r="BV694">
        <v>1</v>
      </c>
      <c r="BW694">
        <v>0</v>
      </c>
      <c r="BX694">
        <v>0</v>
      </c>
      <c r="BY694">
        <v>0</v>
      </c>
      <c r="BZ694">
        <v>0</v>
      </c>
      <c r="CA694">
        <v>1</v>
      </c>
      <c r="CB694" s="367">
        <f>IFERROR(BO694/Instructions!$J$25,0)+BP694*Instructions!$J$27+BQ694*Instructions!$J$29+IFERROR(BR694/Instructions!$E$34,0)+BS694*Instructions!$E$36+Tier!BT695*Instructions!$E$25+IFERROR(BU694/Instructions!$E$27,0)+BV694*Instructions!$E$29+IFERROR((BW694+BY694)/Instructions!$J$32,0)+(BX694+BZ694)*Instructions!$J$34+Tier!CA694*-2</f>
        <v>35.400000000000006</v>
      </c>
      <c r="CC694" s="354"/>
      <c r="CD694" s="3">
        <v>2018</v>
      </c>
      <c r="CE694" t="s">
        <v>1967</v>
      </c>
      <c r="CF694" t="s">
        <v>1939</v>
      </c>
      <c r="CG694" s="366" t="s">
        <v>6</v>
      </c>
      <c r="CH694">
        <v>0</v>
      </c>
      <c r="CI694">
        <v>0</v>
      </c>
      <c r="CJ694">
        <v>0</v>
      </c>
      <c r="CK694">
        <v>0</v>
      </c>
      <c r="CL694">
        <v>0</v>
      </c>
      <c r="CM694">
        <v>19</v>
      </c>
      <c r="CN694">
        <v>190</v>
      </c>
      <c r="CO694">
        <v>2</v>
      </c>
      <c r="CP694">
        <v>0</v>
      </c>
      <c r="CQ694">
        <v>0</v>
      </c>
      <c r="CR694">
        <v>0</v>
      </c>
      <c r="CS694">
        <v>0</v>
      </c>
      <c r="CT694">
        <v>1</v>
      </c>
      <c r="CU694" s="367">
        <f>IFERROR(CH694/Instructions!$J$25,0)+CI694*Instructions!$J$27+CJ694*Instructions!$J$29+IFERROR(CK694/Instructions!$E$34,0)+CL694*Instructions!$E$36+Tier!CM694*Instructions!$E$25+IFERROR(CN694/Instructions!$E$27,0)+CO694*Instructions!$E$29+IFERROR((CP694+CR694)/Instructions!$J$32,0)+(CQ694+CS694)*Instructions!$J$34+Tier!CT694*-2</f>
        <v>48</v>
      </c>
      <c r="CV694" s="354"/>
      <c r="CW694"/>
      <c r="CX694"/>
      <c r="CY694"/>
      <c r="CZ694"/>
      <c r="DA694"/>
      <c r="DB694"/>
      <c r="DC694"/>
      <c r="DD694"/>
      <c r="DE694"/>
      <c r="DF694"/>
      <c r="DG694"/>
      <c r="DH694"/>
      <c r="DI694"/>
      <c r="DJ694"/>
      <c r="DK694"/>
      <c r="DL694"/>
      <c r="DM694"/>
      <c r="DN694"/>
    </row>
    <row r="695" spans="3:118" s="238" customFormat="1" ht="15.75" customHeight="1" x14ac:dyDescent="0.25">
      <c r="C695"/>
      <c r="D695"/>
      <c r="E695"/>
      <c r="F695"/>
      <c r="G695"/>
      <c r="H695"/>
      <c r="I695"/>
      <c r="J695"/>
      <c r="K695"/>
      <c r="L695"/>
      <c r="M695"/>
      <c r="N695"/>
      <c r="O695" s="366"/>
      <c r="P695" s="366">
        <v>2018</v>
      </c>
      <c r="Q695" s="367">
        <f>LARGE($CB$606:$CB$755,90)</f>
        <v>27.7</v>
      </c>
      <c r="R695" s="357">
        <f t="shared" si="166"/>
        <v>-168.9</v>
      </c>
      <c r="S695" s="356">
        <f t="shared" si="165"/>
        <v>28527.210000000003</v>
      </c>
      <c r="U695" s="356">
        <f t="shared" si="167"/>
        <v>-10.55625</v>
      </c>
      <c r="V695" s="238">
        <f t="shared" si="163"/>
        <v>8</v>
      </c>
      <c r="W695" s="354"/>
      <c r="X695" s="366"/>
      <c r="Y695" s="366"/>
      <c r="Z695" s="238">
        <v>2018</v>
      </c>
      <c r="AA695" s="367">
        <f>LARGE($CU$606:$CU$755,90)</f>
        <v>53.5</v>
      </c>
      <c r="AB695" s="357">
        <f t="shared" si="168"/>
        <v>-137.4</v>
      </c>
      <c r="AC695" s="356">
        <f t="shared" si="162"/>
        <v>18878.760000000002</v>
      </c>
      <c r="AE695" s="356">
        <f t="shared" si="169"/>
        <v>-8.5875000000000004</v>
      </c>
      <c r="AF695" s="238">
        <f t="shared" si="164"/>
        <v>8</v>
      </c>
      <c r="AG695" s="354"/>
      <c r="AK695"/>
      <c r="AL695"/>
      <c r="AM695"/>
      <c r="AN695"/>
      <c r="AO695"/>
      <c r="AP695"/>
      <c r="BI695" s="360"/>
      <c r="BJ695" s="354"/>
      <c r="BK695" s="366">
        <v>2018</v>
      </c>
      <c r="BL695" t="s">
        <v>1340</v>
      </c>
      <c r="BM695" t="s">
        <v>154</v>
      </c>
      <c r="BN695" t="s">
        <v>3</v>
      </c>
      <c r="BO695">
        <v>0</v>
      </c>
      <c r="BP695">
        <v>0</v>
      </c>
      <c r="BQ695">
        <v>0</v>
      </c>
      <c r="BR695">
        <v>127</v>
      </c>
      <c r="BS695">
        <v>1</v>
      </c>
      <c r="BT695">
        <v>9</v>
      </c>
      <c r="BU695">
        <v>60</v>
      </c>
      <c r="BV695">
        <v>0</v>
      </c>
      <c r="BW695">
        <v>0</v>
      </c>
      <c r="BX695">
        <v>0</v>
      </c>
      <c r="BY695">
        <v>0</v>
      </c>
      <c r="BZ695">
        <v>0</v>
      </c>
      <c r="CA695">
        <v>0</v>
      </c>
      <c r="CB695" s="367">
        <f>IFERROR(BO695/Instructions!$J$25,0)+BP695*Instructions!$J$27+BQ695*Instructions!$J$29+IFERROR(BR695/Instructions!$E$34,0)+BS695*Instructions!$E$36+Tier!BT696*Instructions!$E$25+IFERROR(BU695/Instructions!$E$27,0)+BV695*Instructions!$E$29+IFERROR((BW695+BY695)/Instructions!$J$32,0)+(BX695+BZ695)*Instructions!$J$34+Tier!CA695*-2</f>
        <v>27.7</v>
      </c>
      <c r="CC695" s="354"/>
      <c r="CD695" s="3">
        <v>2018</v>
      </c>
      <c r="CE695" t="s">
        <v>1796</v>
      </c>
      <c r="CF695" t="s">
        <v>1948</v>
      </c>
      <c r="CG695" s="366" t="s">
        <v>6</v>
      </c>
      <c r="CH695">
        <v>0</v>
      </c>
      <c r="CI695">
        <v>0</v>
      </c>
      <c r="CJ695">
        <v>0</v>
      </c>
      <c r="CK695">
        <v>0</v>
      </c>
      <c r="CL695">
        <v>0</v>
      </c>
      <c r="CM695">
        <v>30</v>
      </c>
      <c r="CN695">
        <v>243</v>
      </c>
      <c r="CO695">
        <v>2</v>
      </c>
      <c r="CP695">
        <v>0</v>
      </c>
      <c r="CQ695">
        <v>0</v>
      </c>
      <c r="CR695">
        <v>0</v>
      </c>
      <c r="CS695">
        <v>0</v>
      </c>
      <c r="CT695">
        <v>0</v>
      </c>
      <c r="CU695" s="367">
        <f>IFERROR(CH695/Instructions!$J$25,0)+CI695*Instructions!$J$27+CJ695*Instructions!$J$29+IFERROR(CK695/Instructions!$E$34,0)+CL695*Instructions!$E$36+Tier!CM695*Instructions!$E$25+IFERROR(CN695/Instructions!$E$27,0)+CO695*Instructions!$E$29+IFERROR((CP695+CR695)/Instructions!$J$32,0)+(CQ695+CS695)*Instructions!$J$34+Tier!CT695*-2</f>
        <v>66.3</v>
      </c>
      <c r="CV695" s="354"/>
      <c r="CW695"/>
      <c r="CX695"/>
      <c r="CY695"/>
      <c r="CZ695"/>
      <c r="DA695"/>
      <c r="DB695"/>
      <c r="DC695"/>
      <c r="DD695"/>
      <c r="DE695"/>
      <c r="DF695"/>
      <c r="DG695"/>
      <c r="DH695"/>
      <c r="DI695"/>
      <c r="DJ695"/>
      <c r="DK695"/>
      <c r="DL695"/>
      <c r="DM695"/>
      <c r="DN695"/>
    </row>
    <row r="696" spans="3:118" s="238" customFormat="1" ht="15.75" customHeight="1" x14ac:dyDescent="0.25">
      <c r="C696"/>
      <c r="D696"/>
      <c r="E696"/>
      <c r="F696"/>
      <c r="G696"/>
      <c r="H696"/>
      <c r="I696"/>
      <c r="J696"/>
      <c r="K696"/>
      <c r="L696"/>
      <c r="M696"/>
      <c r="N696"/>
      <c r="O696" s="366"/>
      <c r="P696" s="366">
        <v>2018</v>
      </c>
      <c r="Q696" s="367">
        <f>LARGE($CB$606:$CB$755,91)</f>
        <v>25.5</v>
      </c>
      <c r="R696" s="357">
        <f t="shared" si="166"/>
        <v>-171.1</v>
      </c>
      <c r="S696" s="356">
        <f t="shared" si="165"/>
        <v>29275.21</v>
      </c>
      <c r="U696" s="356">
        <f t="shared" si="167"/>
        <v>-10.69375</v>
      </c>
      <c r="V696" s="238">
        <f t="shared" si="163"/>
        <v>8</v>
      </c>
      <c r="W696" s="354"/>
      <c r="X696" s="366"/>
      <c r="Y696" s="366"/>
      <c r="Z696" s="238">
        <v>2018</v>
      </c>
      <c r="AA696" s="367">
        <f>LARGE($CU$606:$CU$755,91)</f>
        <v>53.1</v>
      </c>
      <c r="AB696" s="357">
        <f t="shared" si="168"/>
        <v>-137.80000000000001</v>
      </c>
      <c r="AC696" s="356">
        <f t="shared" si="162"/>
        <v>18988.840000000004</v>
      </c>
      <c r="AE696" s="356">
        <f t="shared" si="169"/>
        <v>-8.6125000000000007</v>
      </c>
      <c r="AF696" s="238">
        <f t="shared" si="164"/>
        <v>8</v>
      </c>
      <c r="AG696" s="354"/>
      <c r="AK696"/>
      <c r="AL696"/>
      <c r="AM696"/>
      <c r="AN696"/>
      <c r="AO696"/>
      <c r="AP696"/>
      <c r="BI696" s="360"/>
      <c r="BJ696" s="354"/>
      <c r="BK696" s="366">
        <v>2018</v>
      </c>
      <c r="BL696" t="s">
        <v>1201</v>
      </c>
      <c r="BM696" t="s">
        <v>1947</v>
      </c>
      <c r="BN696" t="s">
        <v>3</v>
      </c>
      <c r="BO696">
        <v>0</v>
      </c>
      <c r="BP696">
        <v>0</v>
      </c>
      <c r="BQ696">
        <v>0</v>
      </c>
      <c r="BR696">
        <v>0</v>
      </c>
      <c r="BS696">
        <v>0</v>
      </c>
      <c r="BT696">
        <v>3</v>
      </c>
      <c r="BU696">
        <v>35</v>
      </c>
      <c r="BV696">
        <v>0</v>
      </c>
      <c r="BW696">
        <v>0</v>
      </c>
      <c r="BX696">
        <v>0</v>
      </c>
      <c r="BY696">
        <v>428</v>
      </c>
      <c r="BZ696">
        <v>0</v>
      </c>
      <c r="CA696">
        <v>0</v>
      </c>
      <c r="CB696" s="367">
        <f>IFERROR(BO696/Instructions!$J$25,0)+BP696*Instructions!$J$27+BQ696*Instructions!$J$29+IFERROR(BR696/Instructions!$E$34,0)+BS696*Instructions!$E$36+Tier!BT697*Instructions!$E$25+IFERROR(BU696/Instructions!$E$27,0)+BV696*Instructions!$E$29+IFERROR((BW696+BY696)/Instructions!$J$32,0)+(BX696+BZ696)*Instructions!$J$34+Tier!CA696*-2</f>
        <v>12.5</v>
      </c>
      <c r="CC696" s="354"/>
      <c r="CD696" s="3">
        <v>2018</v>
      </c>
      <c r="CE696" t="s">
        <v>1350</v>
      </c>
      <c r="CF696" t="s">
        <v>1950</v>
      </c>
      <c r="CG696" s="366" t="s">
        <v>6</v>
      </c>
      <c r="CH696">
        <v>0</v>
      </c>
      <c r="CI696">
        <v>0</v>
      </c>
      <c r="CJ696">
        <v>0</v>
      </c>
      <c r="CK696">
        <v>-1</v>
      </c>
      <c r="CL696">
        <v>0</v>
      </c>
      <c r="CM696">
        <v>16</v>
      </c>
      <c r="CN696">
        <v>252</v>
      </c>
      <c r="CO696">
        <v>2</v>
      </c>
      <c r="CP696">
        <v>0</v>
      </c>
      <c r="CQ696">
        <v>0</v>
      </c>
      <c r="CR696">
        <v>0</v>
      </c>
      <c r="CS696">
        <v>0</v>
      </c>
      <c r="CT696">
        <v>0</v>
      </c>
      <c r="CU696" s="367">
        <f>IFERROR(CH696/Instructions!$J$25,0)+CI696*Instructions!$J$27+CJ696*Instructions!$J$29+IFERROR(CK696/Instructions!$E$34,0)+CL696*Instructions!$E$36+Tier!CM696*Instructions!$E$25+IFERROR(CN696/Instructions!$E$27,0)+CO696*Instructions!$E$29+IFERROR((CP696+CR696)/Instructions!$J$32,0)+(CQ696+CS696)*Instructions!$J$34+Tier!CT696*-2</f>
        <v>53.1</v>
      </c>
      <c r="CV696" s="354"/>
      <c r="CW696"/>
      <c r="CX696"/>
      <c r="CY696"/>
      <c r="CZ696"/>
      <c r="DA696"/>
      <c r="DB696"/>
      <c r="DC696"/>
      <c r="DD696"/>
      <c r="DE696"/>
      <c r="DF696"/>
      <c r="DG696"/>
      <c r="DH696"/>
      <c r="DI696"/>
      <c r="DJ696"/>
      <c r="DK696"/>
      <c r="DL696"/>
      <c r="DM696"/>
      <c r="DN696"/>
    </row>
    <row r="697" spans="3:118" s="238" customFormat="1" ht="15.75" customHeight="1" x14ac:dyDescent="0.25">
      <c r="C697"/>
      <c r="D697"/>
      <c r="E697"/>
      <c r="F697"/>
      <c r="G697"/>
      <c r="H697"/>
      <c r="I697"/>
      <c r="J697"/>
      <c r="K697"/>
      <c r="L697"/>
      <c r="M697"/>
      <c r="N697"/>
      <c r="O697" s="366"/>
      <c r="P697" s="366">
        <v>2018</v>
      </c>
      <c r="Q697" s="367">
        <f>LARGE($CB$606:$CB$755,92)</f>
        <v>22.8</v>
      </c>
      <c r="R697" s="357">
        <f t="shared" si="166"/>
        <v>-173.79999999999998</v>
      </c>
      <c r="S697" s="356">
        <f t="shared" si="165"/>
        <v>30206.439999999995</v>
      </c>
      <c r="U697" s="356">
        <f t="shared" si="167"/>
        <v>-10.862499999999999</v>
      </c>
      <c r="V697" s="238">
        <f t="shared" si="163"/>
        <v>8</v>
      </c>
      <c r="W697" s="354"/>
      <c r="X697" s="366"/>
      <c r="Y697" s="366"/>
      <c r="Z697" s="238">
        <v>2018</v>
      </c>
      <c r="AA697" s="367">
        <f>LARGE($CU$606:$CU$755,92)</f>
        <v>52.5</v>
      </c>
      <c r="AB697" s="357">
        <f t="shared" si="168"/>
        <v>-138.4</v>
      </c>
      <c r="AC697" s="356">
        <f t="shared" si="162"/>
        <v>19154.560000000001</v>
      </c>
      <c r="AE697" s="356">
        <f t="shared" si="169"/>
        <v>-8.65</v>
      </c>
      <c r="AF697" s="238">
        <f t="shared" si="164"/>
        <v>8</v>
      </c>
      <c r="AG697" s="354"/>
      <c r="AK697"/>
      <c r="AL697"/>
      <c r="AM697"/>
      <c r="AN697"/>
      <c r="AO697"/>
      <c r="AP697"/>
      <c r="BI697" s="360"/>
      <c r="BJ697" s="354"/>
      <c r="BK697" s="366">
        <v>2018</v>
      </c>
      <c r="BL697" t="s">
        <v>1951</v>
      </c>
      <c r="BM697" t="s">
        <v>1938</v>
      </c>
      <c r="BN697" t="s">
        <v>3</v>
      </c>
      <c r="BO697">
        <v>0</v>
      </c>
      <c r="BP697">
        <v>0</v>
      </c>
      <c r="BQ697">
        <v>1</v>
      </c>
      <c r="BR697">
        <v>0</v>
      </c>
      <c r="BS697">
        <v>0</v>
      </c>
      <c r="BT697">
        <v>9</v>
      </c>
      <c r="BU697">
        <v>105</v>
      </c>
      <c r="BV697">
        <v>0</v>
      </c>
      <c r="BW697">
        <v>0</v>
      </c>
      <c r="BX697">
        <v>0</v>
      </c>
      <c r="BY697">
        <v>264</v>
      </c>
      <c r="BZ697">
        <v>0</v>
      </c>
      <c r="CA697">
        <v>0</v>
      </c>
      <c r="CB697" s="367">
        <f>IFERROR(BO697/Instructions!$J$25,0)+BP697*Instructions!$J$27+BQ697*Instructions!$J$29+IFERROR(BR697/Instructions!$E$34,0)+BS697*Instructions!$E$36+Tier!BT698*Instructions!$E$25+IFERROR(BU697/Instructions!$E$27,0)+BV697*Instructions!$E$29+IFERROR((BW697+BY697)/Instructions!$J$32,0)+(BX697+BZ697)*Instructions!$J$34+Tier!CA697*-2</f>
        <v>16.5</v>
      </c>
      <c r="CC697" s="354"/>
      <c r="CD697" s="3">
        <v>2018</v>
      </c>
      <c r="CE697" t="s">
        <v>1208</v>
      </c>
      <c r="CF697" t="s">
        <v>1946</v>
      </c>
      <c r="CG697" s="366" t="s">
        <v>6</v>
      </c>
      <c r="CH697">
        <v>0</v>
      </c>
      <c r="CI697">
        <v>0</v>
      </c>
      <c r="CJ697">
        <v>0</v>
      </c>
      <c r="CK697">
        <v>0</v>
      </c>
      <c r="CL697">
        <v>0</v>
      </c>
      <c r="CM697">
        <v>24</v>
      </c>
      <c r="CN697">
        <v>309</v>
      </c>
      <c r="CO697">
        <v>1</v>
      </c>
      <c r="CP697">
        <v>0</v>
      </c>
      <c r="CQ697">
        <v>0</v>
      </c>
      <c r="CR697">
        <v>0</v>
      </c>
      <c r="CS697">
        <v>0</v>
      </c>
      <c r="CT697">
        <v>0</v>
      </c>
      <c r="CU697" s="367">
        <f>IFERROR(CH697/Instructions!$J$25,0)+CI697*Instructions!$J$27+CJ697*Instructions!$J$29+IFERROR(CK697/Instructions!$E$34,0)+CL697*Instructions!$E$36+Tier!CM697*Instructions!$E$25+IFERROR(CN697/Instructions!$E$27,0)+CO697*Instructions!$E$29+IFERROR((CP697+CR697)/Instructions!$J$32,0)+(CQ697+CS697)*Instructions!$J$34+Tier!CT697*-2</f>
        <v>60.9</v>
      </c>
      <c r="CV697" s="354"/>
      <c r="CW697"/>
      <c r="CX697"/>
      <c r="CY697"/>
      <c r="CZ697"/>
      <c r="DA697"/>
      <c r="DB697"/>
      <c r="DC697"/>
      <c r="DD697"/>
      <c r="DE697"/>
      <c r="DF697"/>
      <c r="DG697"/>
      <c r="DH697"/>
      <c r="DI697"/>
      <c r="DJ697"/>
      <c r="DK697"/>
      <c r="DL697"/>
      <c r="DM697"/>
      <c r="DN697"/>
    </row>
    <row r="698" spans="3:118" s="238" customFormat="1" ht="15.75" customHeight="1" x14ac:dyDescent="0.25">
      <c r="C698"/>
      <c r="D698"/>
      <c r="E698"/>
      <c r="F698"/>
      <c r="G698"/>
      <c r="H698"/>
      <c r="I698"/>
      <c r="J698"/>
      <c r="K698"/>
      <c r="L698"/>
      <c r="M698"/>
      <c r="N698"/>
      <c r="O698" s="366"/>
      <c r="P698" s="366">
        <v>2018</v>
      </c>
      <c r="Q698" s="367">
        <f>LARGE($CB$606:$CB$755,93)</f>
        <v>21</v>
      </c>
      <c r="R698" s="357">
        <f t="shared" si="166"/>
        <v>-175.6</v>
      </c>
      <c r="S698" s="356">
        <f t="shared" si="165"/>
        <v>30835.359999999997</v>
      </c>
      <c r="U698" s="356">
        <f t="shared" si="167"/>
        <v>-10.975</v>
      </c>
      <c r="V698" s="238">
        <f t="shared" si="163"/>
        <v>8</v>
      </c>
      <c r="W698" s="354"/>
      <c r="X698" s="366"/>
      <c r="Y698" s="366"/>
      <c r="Z698" s="238">
        <v>2018</v>
      </c>
      <c r="AA698" s="367">
        <f>LARGE($CU$606:$CU$755,93)</f>
        <v>48</v>
      </c>
      <c r="AB698" s="357">
        <f t="shared" si="168"/>
        <v>-142.9</v>
      </c>
      <c r="AC698" s="356">
        <f t="shared" si="162"/>
        <v>20420.41</v>
      </c>
      <c r="AE698" s="356">
        <f t="shared" si="169"/>
        <v>-8.9312500000000004</v>
      </c>
      <c r="AF698" s="238">
        <f t="shared" si="164"/>
        <v>8</v>
      </c>
      <c r="AG698" s="354"/>
      <c r="AK698"/>
      <c r="AL698"/>
      <c r="AM698"/>
      <c r="AN698"/>
      <c r="AO698"/>
      <c r="AP698"/>
      <c r="BI698" s="360"/>
      <c r="BJ698" s="354"/>
      <c r="BK698" s="366">
        <v>2018</v>
      </c>
      <c r="BL698" t="s">
        <v>1952</v>
      </c>
      <c r="BM698" t="s">
        <v>1937</v>
      </c>
      <c r="BN698" t="s">
        <v>3</v>
      </c>
      <c r="BO698">
        <v>0</v>
      </c>
      <c r="BP698">
        <v>0</v>
      </c>
      <c r="BQ698">
        <v>0</v>
      </c>
      <c r="BR698">
        <v>16</v>
      </c>
      <c r="BS698">
        <v>0</v>
      </c>
      <c r="BT698">
        <v>8</v>
      </c>
      <c r="BU698">
        <v>78</v>
      </c>
      <c r="BV698">
        <v>1</v>
      </c>
      <c r="BW698">
        <v>0</v>
      </c>
      <c r="BX698">
        <v>0</v>
      </c>
      <c r="BY698">
        <v>106</v>
      </c>
      <c r="BZ698">
        <v>0</v>
      </c>
      <c r="CA698">
        <v>0</v>
      </c>
      <c r="CB698" s="367">
        <f>IFERROR(BO698/Instructions!$J$25,0)+BP698*Instructions!$J$27+BQ698*Instructions!$J$29+IFERROR(BR698/Instructions!$E$34,0)+BS698*Instructions!$E$36+Tier!BT699*Instructions!$E$25+IFERROR(BU698/Instructions!$E$27,0)+BV698*Instructions!$E$29+IFERROR((BW698+BY698)/Instructions!$J$32,0)+(BX698+BZ698)*Instructions!$J$34+Tier!CA698*-2</f>
        <v>20.399999999999999</v>
      </c>
      <c r="CC698" s="354"/>
      <c r="CD698" s="3">
        <v>2018</v>
      </c>
      <c r="CE698" t="s">
        <v>1968</v>
      </c>
      <c r="CF698" t="s">
        <v>1948</v>
      </c>
      <c r="CG698" s="366" t="s">
        <v>6</v>
      </c>
      <c r="CH698">
        <v>0</v>
      </c>
      <c r="CI698">
        <v>0</v>
      </c>
      <c r="CJ698">
        <v>0</v>
      </c>
      <c r="CK698">
        <v>17</v>
      </c>
      <c r="CL698">
        <v>0</v>
      </c>
      <c r="CM698">
        <v>23</v>
      </c>
      <c r="CN698">
        <v>315</v>
      </c>
      <c r="CO698">
        <v>1</v>
      </c>
      <c r="CP698">
        <v>0</v>
      </c>
      <c r="CQ698">
        <v>0</v>
      </c>
      <c r="CR698">
        <v>1</v>
      </c>
      <c r="CS698">
        <v>0</v>
      </c>
      <c r="CT698">
        <v>0</v>
      </c>
      <c r="CU698" s="367">
        <f>IFERROR(CH698/Instructions!$J$25,0)+CI698*Instructions!$J$27+CJ698*Instructions!$J$29+IFERROR(CK698/Instructions!$E$34,0)+CL698*Instructions!$E$36+Tier!CM698*Instructions!$E$25+IFERROR(CN698/Instructions!$E$27,0)+CO698*Instructions!$E$29+IFERROR((CP698+CR698)/Instructions!$J$32,0)+(CQ698+CS698)*Instructions!$J$34+Tier!CT698*-2</f>
        <v>62.2</v>
      </c>
      <c r="CV698" s="354"/>
      <c r="CW698"/>
      <c r="CX698"/>
      <c r="CY698"/>
      <c r="CZ698"/>
      <c r="DA698"/>
      <c r="DB698"/>
      <c r="DC698"/>
      <c r="DD698"/>
      <c r="DE698"/>
      <c r="DF698"/>
      <c r="DG698"/>
      <c r="DH698"/>
      <c r="DI698"/>
      <c r="DJ698"/>
      <c r="DK698"/>
      <c r="DL698"/>
      <c r="DM698"/>
      <c r="DN698"/>
    </row>
    <row r="699" spans="3:118" s="238" customFormat="1" ht="15.75" customHeight="1" x14ac:dyDescent="0.25">
      <c r="C699"/>
      <c r="D699"/>
      <c r="E699"/>
      <c r="F699"/>
      <c r="G699"/>
      <c r="H699"/>
      <c r="I699"/>
      <c r="J699"/>
      <c r="K699"/>
      <c r="L699"/>
      <c r="M699"/>
      <c r="N699"/>
      <c r="O699" s="366"/>
      <c r="P699" s="366">
        <v>2018</v>
      </c>
      <c r="Q699" s="367">
        <f>LARGE($CB$606:$CB$755,94)</f>
        <v>20.8</v>
      </c>
      <c r="R699" s="357">
        <f t="shared" si="166"/>
        <v>-175.79999999999998</v>
      </c>
      <c r="S699" s="356">
        <f t="shared" si="165"/>
        <v>30905.639999999996</v>
      </c>
      <c r="U699" s="356">
        <f t="shared" si="167"/>
        <v>-10.987499999999999</v>
      </c>
      <c r="V699" s="238">
        <f t="shared" si="163"/>
        <v>8</v>
      </c>
      <c r="W699" s="354"/>
      <c r="X699" s="366"/>
      <c r="Y699" s="366"/>
      <c r="Z699" s="238">
        <v>2018</v>
      </c>
      <c r="AA699" s="367">
        <f>LARGE($CU$606:$CU$755,94)</f>
        <v>48</v>
      </c>
      <c r="AB699" s="357">
        <f t="shared" si="168"/>
        <v>-142.9</v>
      </c>
      <c r="AC699" s="356">
        <f t="shared" si="162"/>
        <v>20420.41</v>
      </c>
      <c r="AE699" s="356">
        <f t="shared" si="169"/>
        <v>-8.9312500000000004</v>
      </c>
      <c r="AF699" s="238">
        <f t="shared" si="164"/>
        <v>8</v>
      </c>
      <c r="AG699" s="354"/>
      <c r="AK699"/>
      <c r="AL699"/>
      <c r="AM699"/>
      <c r="AN699"/>
      <c r="AO699"/>
      <c r="AP699"/>
      <c r="BI699" s="360"/>
      <c r="BJ699" s="354"/>
      <c r="BK699" s="366">
        <v>2018</v>
      </c>
      <c r="BL699" t="s">
        <v>1237</v>
      </c>
      <c r="BM699" t="s">
        <v>143</v>
      </c>
      <c r="BN699" t="s">
        <v>3</v>
      </c>
      <c r="BO699">
        <v>0</v>
      </c>
      <c r="BP699">
        <v>0</v>
      </c>
      <c r="BQ699">
        <v>0</v>
      </c>
      <c r="BR699">
        <v>41</v>
      </c>
      <c r="BS699">
        <v>0</v>
      </c>
      <c r="BT699">
        <v>5</v>
      </c>
      <c r="BU699">
        <v>14</v>
      </c>
      <c r="BV699">
        <v>2</v>
      </c>
      <c r="BW699">
        <v>0</v>
      </c>
      <c r="BX699">
        <v>0</v>
      </c>
      <c r="BY699">
        <v>16</v>
      </c>
      <c r="BZ699">
        <v>0</v>
      </c>
      <c r="CA699">
        <v>0</v>
      </c>
      <c r="CB699" s="367">
        <f>IFERROR(BO699/Instructions!$J$25,0)+BP699*Instructions!$J$27+BQ699*Instructions!$J$29+IFERROR(BR699/Instructions!$E$34,0)+BS699*Instructions!$E$36+Tier!BT700*Instructions!$E$25+IFERROR(BU699/Instructions!$E$27,0)+BV699*Instructions!$E$29+IFERROR((BW699+BY699)/Instructions!$J$32,0)+(BX699+BZ699)*Instructions!$J$34+Tier!CA699*-2</f>
        <v>25.5</v>
      </c>
      <c r="CC699" s="354"/>
      <c r="CD699" s="3">
        <v>2018</v>
      </c>
      <c r="CE699" t="s">
        <v>1181</v>
      </c>
      <c r="CF699" t="s">
        <v>1934</v>
      </c>
      <c r="CG699" s="366" t="s">
        <v>6</v>
      </c>
      <c r="CH699">
        <v>0</v>
      </c>
      <c r="CI699">
        <v>0</v>
      </c>
      <c r="CJ699">
        <v>0</v>
      </c>
      <c r="CK699">
        <v>0</v>
      </c>
      <c r="CL699">
        <v>0</v>
      </c>
      <c r="CM699">
        <v>35</v>
      </c>
      <c r="CN699">
        <v>302</v>
      </c>
      <c r="CO699">
        <v>1</v>
      </c>
      <c r="CP699">
        <v>0</v>
      </c>
      <c r="CQ699">
        <v>0</v>
      </c>
      <c r="CR699">
        <v>0</v>
      </c>
      <c r="CS699">
        <v>0</v>
      </c>
      <c r="CT699">
        <v>0</v>
      </c>
      <c r="CU699" s="367">
        <f>IFERROR(CH699/Instructions!$J$25,0)+CI699*Instructions!$J$27+CJ699*Instructions!$J$29+IFERROR(CK699/Instructions!$E$34,0)+CL699*Instructions!$E$36+Tier!CM699*Instructions!$E$25+IFERROR(CN699/Instructions!$E$27,0)+CO699*Instructions!$E$29+IFERROR((CP699+CR699)/Instructions!$J$32,0)+(CQ699+CS699)*Instructions!$J$34+Tier!CT699*-2</f>
        <v>71.2</v>
      </c>
      <c r="CV699" s="354"/>
      <c r="CW699"/>
      <c r="CX699"/>
      <c r="CY699"/>
      <c r="CZ699"/>
      <c r="DA699"/>
      <c r="DB699"/>
      <c r="DC699"/>
      <c r="DD699"/>
      <c r="DE699"/>
      <c r="DF699"/>
      <c r="DG699"/>
      <c r="DH699"/>
      <c r="DI699"/>
      <c r="DJ699"/>
      <c r="DK699"/>
      <c r="DL699"/>
      <c r="DM699"/>
      <c r="DN699"/>
    </row>
    <row r="700" spans="3:118" s="238" customFormat="1" ht="15.75" customHeight="1" x14ac:dyDescent="0.25">
      <c r="C700"/>
      <c r="D700"/>
      <c r="E700"/>
      <c r="F700"/>
      <c r="G700"/>
      <c r="H700"/>
      <c r="I700"/>
      <c r="J700"/>
      <c r="K700"/>
      <c r="L700"/>
      <c r="M700"/>
      <c r="N700"/>
      <c r="O700" s="366"/>
      <c r="P700" s="366">
        <v>2018</v>
      </c>
      <c r="Q700" s="367">
        <f>LARGE($CB$606:$CB$755,95)</f>
        <v>20.6</v>
      </c>
      <c r="R700" s="357">
        <f t="shared" si="166"/>
        <v>-176</v>
      </c>
      <c r="S700" s="356">
        <f t="shared" si="165"/>
        <v>30976</v>
      </c>
      <c r="U700" s="356">
        <f t="shared" si="167"/>
        <v>-11</v>
      </c>
      <c r="V700" s="238">
        <f t="shared" si="163"/>
        <v>8</v>
      </c>
      <c r="W700" s="354"/>
      <c r="X700" s="366"/>
      <c r="Y700" s="366"/>
      <c r="Z700" s="238">
        <v>2018</v>
      </c>
      <c r="AA700" s="367">
        <f>LARGE($CU$606:$CU$755,95)</f>
        <v>47.900000000000006</v>
      </c>
      <c r="AB700" s="357">
        <f t="shared" si="168"/>
        <v>-143</v>
      </c>
      <c r="AC700" s="356">
        <f t="shared" si="162"/>
        <v>20449</v>
      </c>
      <c r="AE700" s="356">
        <f t="shared" si="169"/>
        <v>-8.9375</v>
      </c>
      <c r="AF700" s="238">
        <f t="shared" si="164"/>
        <v>8</v>
      </c>
      <c r="AG700" s="354"/>
      <c r="AK700"/>
      <c r="AL700"/>
      <c r="AM700"/>
      <c r="AN700"/>
      <c r="AO700"/>
      <c r="AP700"/>
      <c r="BI700" s="360"/>
      <c r="BJ700" s="354"/>
      <c r="BK700" s="366">
        <v>2018</v>
      </c>
      <c r="BL700" t="s">
        <v>1394</v>
      </c>
      <c r="BM700" t="s">
        <v>1948</v>
      </c>
      <c r="BN700" t="s">
        <v>3</v>
      </c>
      <c r="BO700">
        <v>0</v>
      </c>
      <c r="BP700">
        <v>0</v>
      </c>
      <c r="BQ700">
        <v>0</v>
      </c>
      <c r="BR700">
        <v>5</v>
      </c>
      <c r="BS700">
        <v>0</v>
      </c>
      <c r="BT700">
        <v>8</v>
      </c>
      <c r="BU700">
        <v>112</v>
      </c>
      <c r="BV700">
        <v>1</v>
      </c>
      <c r="BW700">
        <v>0</v>
      </c>
      <c r="BX700">
        <v>0</v>
      </c>
      <c r="BY700">
        <v>8</v>
      </c>
      <c r="BZ700">
        <v>0</v>
      </c>
      <c r="CA700">
        <v>0</v>
      </c>
      <c r="CB700" s="367">
        <f>IFERROR(BO700/Instructions!$J$25,0)+BP700*Instructions!$J$27+BQ700*Instructions!$J$29+IFERROR(BR700/Instructions!$E$34,0)+BS700*Instructions!$E$36+Tier!BT701*Instructions!$E$25+IFERROR(BU700/Instructions!$E$27,0)+BV700*Instructions!$E$29+IFERROR((BW700+BY700)/Instructions!$J$32,0)+(BX700+BZ700)*Instructions!$J$34+Tier!CA700*-2</f>
        <v>18.7</v>
      </c>
      <c r="CC700" s="354"/>
      <c r="CD700" s="3">
        <v>2018</v>
      </c>
      <c r="CE700" t="s">
        <v>1121</v>
      </c>
      <c r="CF700" t="s">
        <v>143</v>
      </c>
      <c r="CG700" s="366" t="s">
        <v>6</v>
      </c>
      <c r="CH700">
        <v>0</v>
      </c>
      <c r="CI700">
        <v>0</v>
      </c>
      <c r="CJ700">
        <v>0</v>
      </c>
      <c r="CK700">
        <v>26</v>
      </c>
      <c r="CL700">
        <v>0</v>
      </c>
      <c r="CM700">
        <v>17</v>
      </c>
      <c r="CN700">
        <v>209</v>
      </c>
      <c r="CO700">
        <v>2</v>
      </c>
      <c r="CP700">
        <v>0</v>
      </c>
      <c r="CQ700">
        <v>0</v>
      </c>
      <c r="CR700">
        <v>1</v>
      </c>
      <c r="CS700">
        <v>0</v>
      </c>
      <c r="CT700">
        <v>0</v>
      </c>
      <c r="CU700" s="367">
        <f>IFERROR(CH700/Instructions!$J$25,0)+CI700*Instructions!$J$27+CJ700*Instructions!$J$29+IFERROR(CK700/Instructions!$E$34,0)+CL700*Instructions!$E$36+Tier!CM700*Instructions!$E$25+IFERROR(CN700/Instructions!$E$27,0)+CO700*Instructions!$E$29+IFERROR((CP700+CR700)/Instructions!$J$32,0)+(CQ700+CS700)*Instructions!$J$34+Tier!CT700*-2</f>
        <v>52.5</v>
      </c>
      <c r="CV700" s="354"/>
      <c r="CW700"/>
      <c r="CX700"/>
      <c r="CY700"/>
      <c r="CZ700"/>
      <c r="DA700"/>
      <c r="DB700"/>
      <c r="DC700"/>
      <c r="DD700"/>
      <c r="DE700"/>
      <c r="DF700"/>
      <c r="DG700"/>
      <c r="DH700"/>
      <c r="DI700"/>
      <c r="DJ700"/>
      <c r="DK700"/>
      <c r="DL700"/>
      <c r="DM700"/>
      <c r="DN700"/>
    </row>
    <row r="701" spans="3:118" s="238" customFormat="1" ht="15.75" customHeight="1" x14ac:dyDescent="0.25">
      <c r="C701"/>
      <c r="D701"/>
      <c r="E701"/>
      <c r="F701"/>
      <c r="G701"/>
      <c r="H701"/>
      <c r="I701"/>
      <c r="J701"/>
      <c r="K701"/>
      <c r="L701"/>
      <c r="M701"/>
      <c r="N701"/>
      <c r="O701" s="366"/>
      <c r="P701" s="366">
        <v>2018</v>
      </c>
      <c r="Q701" s="367">
        <f>LARGE($CB$606:$CB$755,96)</f>
        <v>20.399999999999999</v>
      </c>
      <c r="R701" s="357">
        <f t="shared" si="166"/>
        <v>-176.2</v>
      </c>
      <c r="S701" s="356">
        <f t="shared" si="165"/>
        <v>31046.439999999995</v>
      </c>
      <c r="U701" s="356">
        <f t="shared" si="167"/>
        <v>-11.012499999999999</v>
      </c>
      <c r="V701" s="238">
        <f t="shared" si="163"/>
        <v>8</v>
      </c>
      <c r="W701" s="354"/>
      <c r="X701" s="366"/>
      <c r="Y701" s="366"/>
      <c r="Z701" s="238">
        <v>2018</v>
      </c>
      <c r="AA701" s="367">
        <f>LARGE($CU$606:$CU$755,96)</f>
        <v>46.3</v>
      </c>
      <c r="AB701" s="357">
        <f t="shared" si="168"/>
        <v>-144.60000000000002</v>
      </c>
      <c r="AC701" s="356">
        <f t="shared" si="162"/>
        <v>20909.160000000007</v>
      </c>
      <c r="AE701" s="356">
        <f t="shared" si="169"/>
        <v>-9.0375000000000014</v>
      </c>
      <c r="AF701" s="238">
        <f t="shared" si="164"/>
        <v>8</v>
      </c>
      <c r="AG701" s="354"/>
      <c r="AK701"/>
      <c r="AL701"/>
      <c r="AM701"/>
      <c r="AN701"/>
      <c r="AO701"/>
      <c r="AP701"/>
      <c r="BI701" s="360"/>
      <c r="BJ701" s="354"/>
      <c r="BK701" s="366">
        <v>2018</v>
      </c>
      <c r="BL701" t="s">
        <v>1174</v>
      </c>
      <c r="BM701" t="s">
        <v>1929</v>
      </c>
      <c r="BN701" t="s">
        <v>3</v>
      </c>
      <c r="BO701">
        <v>0</v>
      </c>
      <c r="BP701">
        <v>0</v>
      </c>
      <c r="BQ701">
        <v>0</v>
      </c>
      <c r="BR701">
        <v>71</v>
      </c>
      <c r="BS701">
        <v>0</v>
      </c>
      <c r="BT701">
        <v>1</v>
      </c>
      <c r="BU701">
        <v>3</v>
      </c>
      <c r="BV701">
        <v>0</v>
      </c>
      <c r="BW701">
        <v>0</v>
      </c>
      <c r="BX701">
        <v>0</v>
      </c>
      <c r="BY701">
        <v>249</v>
      </c>
      <c r="BZ701">
        <v>0</v>
      </c>
      <c r="CA701">
        <v>0</v>
      </c>
      <c r="CB701" s="367">
        <f>IFERROR(BO701/Instructions!$J$25,0)+BP701*Instructions!$J$27+BQ701*Instructions!$J$29+IFERROR(BR701/Instructions!$E$34,0)+BS701*Instructions!$E$36+Tier!BT702*Instructions!$E$25+IFERROR(BU701/Instructions!$E$27,0)+BV701*Instructions!$E$29+IFERROR((BW701+BY701)/Instructions!$J$32,0)+(BX701+BZ701)*Instructions!$J$34+Tier!CA701*-2</f>
        <v>10.4</v>
      </c>
      <c r="CC701" s="354"/>
      <c r="CD701" s="3">
        <v>2018</v>
      </c>
      <c r="CE701" t="s">
        <v>1795</v>
      </c>
      <c r="CF701" t="s">
        <v>1932</v>
      </c>
      <c r="CG701" s="366" t="s">
        <v>6</v>
      </c>
      <c r="CH701">
        <v>0</v>
      </c>
      <c r="CI701">
        <v>0</v>
      </c>
      <c r="CJ701">
        <v>0</v>
      </c>
      <c r="CK701">
        <v>0</v>
      </c>
      <c r="CL701">
        <v>0</v>
      </c>
      <c r="CM701">
        <v>28</v>
      </c>
      <c r="CN701">
        <v>287</v>
      </c>
      <c r="CO701">
        <v>1</v>
      </c>
      <c r="CP701">
        <v>0</v>
      </c>
      <c r="CQ701">
        <v>0</v>
      </c>
      <c r="CR701">
        <v>0</v>
      </c>
      <c r="CS701">
        <v>0</v>
      </c>
      <c r="CT701">
        <v>0</v>
      </c>
      <c r="CU701" s="367">
        <f>IFERROR(CH701/Instructions!$J$25,0)+CI701*Instructions!$J$27+CJ701*Instructions!$J$29+IFERROR(CK701/Instructions!$E$34,0)+CL701*Instructions!$E$36+Tier!CM701*Instructions!$E$25+IFERROR(CN701/Instructions!$E$27,0)+CO701*Instructions!$E$29+IFERROR((CP701+CR701)/Instructions!$J$32,0)+(CQ701+CS701)*Instructions!$J$34+Tier!CT701*-2</f>
        <v>62.7</v>
      </c>
      <c r="CV701" s="354"/>
      <c r="CW701"/>
      <c r="CX701"/>
      <c r="CY701"/>
      <c r="CZ701"/>
      <c r="DA701"/>
      <c r="DB701"/>
      <c r="DC701"/>
      <c r="DD701"/>
      <c r="DE701"/>
      <c r="DF701"/>
      <c r="DG701"/>
      <c r="DH701"/>
      <c r="DI701"/>
      <c r="DJ701"/>
      <c r="DK701"/>
      <c r="DL701"/>
      <c r="DM701"/>
      <c r="DN701"/>
    </row>
    <row r="702" spans="3:118" s="238" customFormat="1" ht="15.75" customHeight="1" x14ac:dyDescent="0.25">
      <c r="C702"/>
      <c r="D702"/>
      <c r="E702"/>
      <c r="F702"/>
      <c r="G702"/>
      <c r="H702"/>
      <c r="I702"/>
      <c r="J702"/>
      <c r="K702"/>
      <c r="L702"/>
      <c r="M702"/>
      <c r="N702"/>
      <c r="O702" s="366"/>
      <c r="P702" s="366">
        <v>2018</v>
      </c>
      <c r="Q702" s="367">
        <f>LARGE($CB$606:$CB$755,97)</f>
        <v>18.7</v>
      </c>
      <c r="R702" s="357">
        <f t="shared" si="166"/>
        <v>-177.9</v>
      </c>
      <c r="S702" s="356">
        <f t="shared" si="165"/>
        <v>31648.410000000003</v>
      </c>
      <c r="U702" s="356">
        <f t="shared" si="167"/>
        <v>-11.11875</v>
      </c>
      <c r="V702" s="238">
        <f t="shared" si="163"/>
        <v>8</v>
      </c>
      <c r="W702" s="354"/>
      <c r="X702" s="366"/>
      <c r="Y702" s="366"/>
      <c r="Z702" s="238">
        <v>2018</v>
      </c>
      <c r="AA702" s="367">
        <f>LARGE($CU$606:$CU$755,97)</f>
        <v>46</v>
      </c>
      <c r="AB702" s="357">
        <f t="shared" si="168"/>
        <v>-144.9</v>
      </c>
      <c r="AC702" s="356">
        <f t="shared" si="162"/>
        <v>20996.010000000002</v>
      </c>
      <c r="AE702" s="356">
        <f t="shared" si="169"/>
        <v>-9.0562500000000004</v>
      </c>
      <c r="AF702" s="238">
        <f t="shared" si="164"/>
        <v>8</v>
      </c>
      <c r="AG702" s="354"/>
      <c r="AK702"/>
      <c r="AL702"/>
      <c r="AM702"/>
      <c r="AN702"/>
      <c r="AO702"/>
      <c r="AP702"/>
      <c r="BI702" s="360"/>
      <c r="BJ702" s="354"/>
      <c r="BK702" s="366">
        <v>2018</v>
      </c>
      <c r="BL702" t="s">
        <v>1130</v>
      </c>
      <c r="BM702" t="s">
        <v>1934</v>
      </c>
      <c r="BN702" t="s">
        <v>3</v>
      </c>
      <c r="BO702">
        <v>0</v>
      </c>
      <c r="BP702">
        <v>0</v>
      </c>
      <c r="BQ702">
        <v>0</v>
      </c>
      <c r="BR702">
        <v>1</v>
      </c>
      <c r="BS702">
        <v>0</v>
      </c>
      <c r="BT702">
        <v>3</v>
      </c>
      <c r="BU702">
        <v>28</v>
      </c>
      <c r="BV702">
        <v>0</v>
      </c>
      <c r="BW702">
        <v>0</v>
      </c>
      <c r="BX702">
        <v>0</v>
      </c>
      <c r="BY702">
        <v>365</v>
      </c>
      <c r="BZ702">
        <v>0</v>
      </c>
      <c r="CA702">
        <v>1</v>
      </c>
      <c r="CB702" s="367">
        <f>IFERROR(BO702/Instructions!$J$25,0)+BP702*Instructions!$J$27+BQ702*Instructions!$J$29+IFERROR(BR702/Instructions!$E$34,0)+BS702*Instructions!$E$36+Tier!BT703*Instructions!$E$25+IFERROR(BU702/Instructions!$E$27,0)+BV702*Instructions!$E$29+IFERROR((BW702+BY702)/Instructions!$J$32,0)+(BX702+BZ702)*Instructions!$J$34+Tier!CA702*-2</f>
        <v>8.8999999999999986</v>
      </c>
      <c r="CC702" s="354"/>
      <c r="CD702" s="3">
        <v>2018</v>
      </c>
      <c r="CE702" t="s">
        <v>57</v>
      </c>
      <c r="CF702" t="s">
        <v>155</v>
      </c>
      <c r="CG702" s="366" t="s">
        <v>6</v>
      </c>
      <c r="CH702">
        <v>0</v>
      </c>
      <c r="CI702">
        <v>0</v>
      </c>
      <c r="CJ702">
        <v>0</v>
      </c>
      <c r="CK702">
        <v>0</v>
      </c>
      <c r="CL702">
        <v>0</v>
      </c>
      <c r="CM702">
        <v>24</v>
      </c>
      <c r="CN702">
        <v>286</v>
      </c>
      <c r="CO702">
        <v>1</v>
      </c>
      <c r="CP702">
        <v>0</v>
      </c>
      <c r="CQ702">
        <v>0</v>
      </c>
      <c r="CR702">
        <v>0</v>
      </c>
      <c r="CS702">
        <v>0</v>
      </c>
      <c r="CT702">
        <v>2</v>
      </c>
      <c r="CU702" s="367">
        <f>IFERROR(CH702/Instructions!$J$25,0)+CI702*Instructions!$J$27+CJ702*Instructions!$J$29+IFERROR(CK702/Instructions!$E$34,0)+CL702*Instructions!$E$36+Tier!CM702*Instructions!$E$25+IFERROR(CN702/Instructions!$E$27,0)+CO702*Instructions!$E$29+IFERROR((CP702+CR702)/Instructions!$J$32,0)+(CQ702+CS702)*Instructions!$J$34+Tier!CT702*-2</f>
        <v>54.6</v>
      </c>
      <c r="CV702" s="354"/>
      <c r="CW702"/>
      <c r="CX702"/>
      <c r="CY702"/>
      <c r="CZ702"/>
      <c r="DA702"/>
      <c r="DB702"/>
      <c r="DC702"/>
      <c r="DD702"/>
      <c r="DE702"/>
      <c r="DF702"/>
      <c r="DG702"/>
      <c r="DH702"/>
      <c r="DI702"/>
      <c r="DJ702"/>
      <c r="DK702"/>
      <c r="DL702"/>
      <c r="DM702"/>
      <c r="DN702"/>
    </row>
    <row r="703" spans="3:118" s="238" customFormat="1" ht="15.75" customHeight="1" x14ac:dyDescent="0.25">
      <c r="C703"/>
      <c r="D703"/>
      <c r="E703"/>
      <c r="F703"/>
      <c r="G703"/>
      <c r="H703"/>
      <c r="I703"/>
      <c r="J703"/>
      <c r="K703"/>
      <c r="L703"/>
      <c r="M703"/>
      <c r="N703"/>
      <c r="O703" s="366"/>
      <c r="P703" s="366">
        <v>2018</v>
      </c>
      <c r="Q703" s="367">
        <f>LARGE($CB$606:$CB$755,98)</f>
        <v>17.599999999999998</v>
      </c>
      <c r="R703" s="357">
        <f t="shared" si="166"/>
        <v>-179</v>
      </c>
      <c r="S703" s="356">
        <f t="shared" si="165"/>
        <v>32041</v>
      </c>
      <c r="U703" s="356">
        <f t="shared" si="167"/>
        <v>-11.1875</v>
      </c>
      <c r="V703" s="238">
        <f t="shared" si="163"/>
        <v>8</v>
      </c>
      <c r="W703" s="354"/>
      <c r="X703" s="366"/>
      <c r="Y703" s="366"/>
      <c r="Z703" s="238">
        <v>2018</v>
      </c>
      <c r="AA703" s="367">
        <f>LARGE($CU$606:$CU$755,98)</f>
        <v>45.9</v>
      </c>
      <c r="AB703" s="357">
        <f t="shared" si="168"/>
        <v>-145</v>
      </c>
      <c r="AC703" s="356">
        <f t="shared" si="162"/>
        <v>21025</v>
      </c>
      <c r="AE703" s="356">
        <f t="shared" si="169"/>
        <v>-9.0625</v>
      </c>
      <c r="AF703" s="238">
        <f t="shared" si="164"/>
        <v>8</v>
      </c>
      <c r="AG703" s="354"/>
      <c r="AK703"/>
      <c r="AL703"/>
      <c r="AM703"/>
      <c r="AN703"/>
      <c r="AO703"/>
      <c r="AP703"/>
      <c r="BI703" s="360"/>
      <c r="BJ703" s="354"/>
      <c r="BK703" s="366">
        <v>2018</v>
      </c>
      <c r="BL703" t="s">
        <v>1230</v>
      </c>
      <c r="BM703" t="s">
        <v>136</v>
      </c>
      <c r="BN703" t="s">
        <v>3</v>
      </c>
      <c r="BO703">
        <v>0</v>
      </c>
      <c r="BP703">
        <v>0</v>
      </c>
      <c r="BQ703">
        <v>0</v>
      </c>
      <c r="BR703">
        <v>2</v>
      </c>
      <c r="BS703">
        <v>0</v>
      </c>
      <c r="BT703">
        <v>8</v>
      </c>
      <c r="BU703">
        <v>96</v>
      </c>
      <c r="BV703">
        <v>1</v>
      </c>
      <c r="BW703">
        <v>0</v>
      </c>
      <c r="BX703">
        <v>0</v>
      </c>
      <c r="BY703">
        <v>5</v>
      </c>
      <c r="BZ703">
        <v>0</v>
      </c>
      <c r="CA703">
        <v>0</v>
      </c>
      <c r="CB703" s="367">
        <f>IFERROR(BO703/Instructions!$J$25,0)+BP703*Instructions!$J$27+BQ703*Instructions!$J$29+IFERROR(BR703/Instructions!$E$34,0)+BS703*Instructions!$E$36+Tier!BT704*Instructions!$E$25+IFERROR(BU703/Instructions!$E$27,0)+BV703*Instructions!$E$29+IFERROR((BW703+BY703)/Instructions!$J$32,0)+(BX703+BZ703)*Instructions!$J$34+Tier!CA703*-2</f>
        <v>22.8</v>
      </c>
      <c r="CC703" s="354"/>
      <c r="CD703" s="3">
        <v>2018</v>
      </c>
      <c r="CE703" t="s">
        <v>111</v>
      </c>
      <c r="CF703" t="s">
        <v>1936</v>
      </c>
      <c r="CG703" s="366" t="s">
        <v>6</v>
      </c>
      <c r="CH703">
        <v>0</v>
      </c>
      <c r="CI703">
        <v>0</v>
      </c>
      <c r="CJ703">
        <v>0</v>
      </c>
      <c r="CK703">
        <v>55</v>
      </c>
      <c r="CL703">
        <v>0</v>
      </c>
      <c r="CM703">
        <v>8</v>
      </c>
      <c r="CN703">
        <v>140</v>
      </c>
      <c r="CO703">
        <v>2</v>
      </c>
      <c r="CP703">
        <v>0</v>
      </c>
      <c r="CQ703">
        <v>0</v>
      </c>
      <c r="CR703">
        <v>0</v>
      </c>
      <c r="CS703">
        <v>0</v>
      </c>
      <c r="CT703">
        <v>0</v>
      </c>
      <c r="CU703" s="367">
        <f>IFERROR(CH703/Instructions!$J$25,0)+CI703*Instructions!$J$27+CJ703*Instructions!$J$29+IFERROR(CK703/Instructions!$E$34,0)+CL703*Instructions!$E$36+Tier!CM703*Instructions!$E$25+IFERROR(CN703/Instructions!$E$27,0)+CO703*Instructions!$E$29+IFERROR((CP703+CR703)/Instructions!$J$32,0)+(CQ703+CS703)*Instructions!$J$34+Tier!CT703*-2</f>
        <v>39.5</v>
      </c>
      <c r="CV703" s="354"/>
      <c r="CW703"/>
      <c r="CX703"/>
      <c r="CY703"/>
      <c r="CZ703"/>
      <c r="DA703"/>
      <c r="DB703"/>
      <c r="DC703"/>
      <c r="DD703"/>
      <c r="DE703"/>
      <c r="DF703"/>
      <c r="DG703"/>
      <c r="DH703"/>
      <c r="DI703"/>
      <c r="DJ703"/>
      <c r="DK703"/>
      <c r="DL703"/>
      <c r="DM703"/>
      <c r="DN703"/>
    </row>
    <row r="704" spans="3:118" s="238" customFormat="1" ht="15.75" customHeight="1" x14ac:dyDescent="0.25">
      <c r="C704"/>
      <c r="D704"/>
      <c r="E704"/>
      <c r="F704"/>
      <c r="G704"/>
      <c r="H704"/>
      <c r="I704"/>
      <c r="J704"/>
      <c r="K704"/>
      <c r="L704"/>
      <c r="M704"/>
      <c r="N704"/>
      <c r="O704" s="366"/>
      <c r="P704" s="366">
        <v>2018</v>
      </c>
      <c r="Q704" s="367">
        <f>LARGE($CB$606:$CB$755,99)</f>
        <v>16.7</v>
      </c>
      <c r="R704" s="357">
        <f t="shared" si="166"/>
        <v>-179.9</v>
      </c>
      <c r="S704" s="356">
        <f t="shared" si="165"/>
        <v>32364.010000000002</v>
      </c>
      <c r="U704" s="356">
        <f t="shared" si="167"/>
        <v>-11.24375</v>
      </c>
      <c r="V704" s="238">
        <f t="shared" si="163"/>
        <v>8</v>
      </c>
      <c r="W704" s="354"/>
      <c r="X704" s="366"/>
      <c r="Y704" s="366"/>
      <c r="Z704" s="238">
        <v>2018</v>
      </c>
      <c r="AA704" s="367">
        <f>LARGE($CU$606:$CU$755,99)</f>
        <v>44.3</v>
      </c>
      <c r="AB704" s="357">
        <f t="shared" si="168"/>
        <v>-146.60000000000002</v>
      </c>
      <c r="AC704" s="356">
        <f t="shared" si="162"/>
        <v>21491.560000000005</v>
      </c>
      <c r="AE704" s="356">
        <f t="shared" si="169"/>
        <v>-9.1625000000000014</v>
      </c>
      <c r="AF704" s="238">
        <f t="shared" si="164"/>
        <v>8</v>
      </c>
      <c r="AG704" s="354"/>
      <c r="AK704"/>
      <c r="AL704"/>
      <c r="AM704"/>
      <c r="AN704"/>
      <c r="AO704"/>
      <c r="AP704"/>
      <c r="BI704" s="360"/>
      <c r="BJ704" s="354"/>
      <c r="BK704" s="366">
        <v>2018</v>
      </c>
      <c r="BL704" t="s">
        <v>1953</v>
      </c>
      <c r="BM704" t="s">
        <v>1949</v>
      </c>
      <c r="BN704" t="s">
        <v>3</v>
      </c>
      <c r="BO704">
        <v>0</v>
      </c>
      <c r="BP704">
        <v>0</v>
      </c>
      <c r="BQ704">
        <v>0</v>
      </c>
      <c r="BR704">
        <v>2</v>
      </c>
      <c r="BS704">
        <v>0</v>
      </c>
      <c r="BT704">
        <v>7</v>
      </c>
      <c r="BU704">
        <v>37</v>
      </c>
      <c r="BV704">
        <v>0</v>
      </c>
      <c r="BW704">
        <v>0</v>
      </c>
      <c r="BX704">
        <v>0</v>
      </c>
      <c r="BY704">
        <v>296</v>
      </c>
      <c r="BZ704">
        <v>0</v>
      </c>
      <c r="CA704">
        <v>0</v>
      </c>
      <c r="CB704" s="367">
        <f>IFERROR(BO704/Instructions!$J$25,0)+BP704*Instructions!$J$27+BQ704*Instructions!$J$29+IFERROR(BR704/Instructions!$E$34,0)+BS704*Instructions!$E$36+Tier!BT705*Instructions!$E$25+IFERROR(BU704/Instructions!$E$27,0)+BV704*Instructions!$E$29+IFERROR((BW704+BY704)/Instructions!$J$32,0)+(BX704+BZ704)*Instructions!$J$34+Tier!CA704*-2</f>
        <v>3.9000000000000004</v>
      </c>
      <c r="CC704" s="354"/>
      <c r="CD704" s="3">
        <v>2018</v>
      </c>
      <c r="CE704" t="s">
        <v>1969</v>
      </c>
      <c r="CF704" t="s">
        <v>139</v>
      </c>
      <c r="CG704" s="366" t="s">
        <v>6</v>
      </c>
      <c r="CH704">
        <v>0</v>
      </c>
      <c r="CI704">
        <v>0</v>
      </c>
      <c r="CJ704">
        <v>0</v>
      </c>
      <c r="CK704">
        <v>5</v>
      </c>
      <c r="CL704">
        <v>0</v>
      </c>
      <c r="CM704">
        <v>21</v>
      </c>
      <c r="CN704">
        <v>328</v>
      </c>
      <c r="CO704">
        <v>0</v>
      </c>
      <c r="CP704">
        <v>0</v>
      </c>
      <c r="CQ704">
        <v>0</v>
      </c>
      <c r="CR704">
        <v>0</v>
      </c>
      <c r="CS704">
        <v>0</v>
      </c>
      <c r="CT704">
        <v>0</v>
      </c>
      <c r="CU704" s="367">
        <f>IFERROR(CH704/Instructions!$J$25,0)+CI704*Instructions!$J$27+CJ704*Instructions!$J$29+IFERROR(CK704/Instructions!$E$34,0)+CL704*Instructions!$E$36+Tier!CM704*Instructions!$E$25+IFERROR(CN704/Instructions!$E$27,0)+CO704*Instructions!$E$29+IFERROR((CP704+CR704)/Instructions!$J$32,0)+(CQ704+CS704)*Instructions!$J$34+Tier!CT704*-2</f>
        <v>54.3</v>
      </c>
      <c r="CV704" s="354"/>
      <c r="CW704"/>
      <c r="CX704"/>
      <c r="CY704"/>
      <c r="CZ704"/>
      <c r="DA704"/>
      <c r="DB704"/>
      <c r="DC704"/>
      <c r="DD704"/>
      <c r="DE704"/>
      <c r="DF704"/>
      <c r="DG704"/>
      <c r="DH704"/>
      <c r="DI704"/>
      <c r="DJ704"/>
      <c r="DK704"/>
      <c r="DL704"/>
      <c r="DM704"/>
      <c r="DN704"/>
    </row>
    <row r="705" spans="3:118" s="238" customFormat="1" ht="15.75" customHeight="1" x14ac:dyDescent="0.25">
      <c r="C705"/>
      <c r="D705"/>
      <c r="E705"/>
      <c r="F705"/>
      <c r="G705"/>
      <c r="H705"/>
      <c r="I705"/>
      <c r="J705"/>
      <c r="K705"/>
      <c r="L705"/>
      <c r="M705"/>
      <c r="N705"/>
      <c r="O705" s="366"/>
      <c r="P705" s="366">
        <v>2018</v>
      </c>
      <c r="Q705" s="367">
        <f>LARGE($CB$606:$CB$755,100)</f>
        <v>16.5</v>
      </c>
      <c r="R705" s="357">
        <f t="shared" si="166"/>
        <v>-180.1</v>
      </c>
      <c r="S705" s="356">
        <f t="shared" si="165"/>
        <v>32436.01</v>
      </c>
      <c r="U705" s="356">
        <f t="shared" si="167"/>
        <v>-11.25625</v>
      </c>
      <c r="V705" s="238">
        <f t="shared" si="163"/>
        <v>8</v>
      </c>
      <c r="W705" s="354"/>
      <c r="X705" s="366"/>
      <c r="Y705" s="366"/>
      <c r="Z705" s="238">
        <v>2018</v>
      </c>
      <c r="AA705" s="367">
        <f>LARGE($CU$606:$CU$755,100)</f>
        <v>43.7</v>
      </c>
      <c r="AB705" s="357">
        <f t="shared" si="168"/>
        <v>-147.19999999999999</v>
      </c>
      <c r="AC705" s="356">
        <f t="shared" si="162"/>
        <v>21667.839999999997</v>
      </c>
      <c r="AE705" s="356">
        <f t="shared" si="169"/>
        <v>-9.1999999999999993</v>
      </c>
      <c r="AF705" s="238">
        <f t="shared" si="164"/>
        <v>8</v>
      </c>
      <c r="AG705" s="354"/>
      <c r="AK705"/>
      <c r="AL705"/>
      <c r="AM705"/>
      <c r="AN705"/>
      <c r="AO705"/>
      <c r="AP705"/>
      <c r="BI705" s="360"/>
      <c r="BJ705" s="354"/>
      <c r="BK705" s="366">
        <v>2018</v>
      </c>
      <c r="BL705" t="s">
        <v>1345</v>
      </c>
      <c r="BM705" t="s">
        <v>143</v>
      </c>
      <c r="BN705" t="s">
        <v>3</v>
      </c>
      <c r="BO705">
        <v>0</v>
      </c>
      <c r="BP705">
        <v>0</v>
      </c>
      <c r="BQ705">
        <v>0</v>
      </c>
      <c r="BR705">
        <v>154</v>
      </c>
      <c r="BS705">
        <v>0</v>
      </c>
      <c r="BT705">
        <v>0</v>
      </c>
      <c r="BU705">
        <v>0</v>
      </c>
      <c r="BV705">
        <v>0</v>
      </c>
      <c r="BW705">
        <v>0</v>
      </c>
      <c r="BX705">
        <v>0</v>
      </c>
      <c r="BY705">
        <v>0</v>
      </c>
      <c r="BZ705">
        <v>0</v>
      </c>
      <c r="CA705">
        <v>0</v>
      </c>
      <c r="CB705" s="367">
        <f>IFERROR(BO705/Instructions!$J$25,0)+BP705*Instructions!$J$27+BQ705*Instructions!$J$29+IFERROR(BR705/Instructions!$E$34,0)+BS705*Instructions!$E$36+Tier!BT706*Instructions!$E$25+IFERROR(BU705/Instructions!$E$27,0)+BV705*Instructions!$E$29+IFERROR((BW705+BY705)/Instructions!$J$32,0)+(BX705+BZ705)*Instructions!$J$34+Tier!CA705*-2</f>
        <v>16.399999999999999</v>
      </c>
      <c r="CC705" s="354"/>
      <c r="CD705" s="3">
        <v>2018</v>
      </c>
      <c r="CE705" t="s">
        <v>1445</v>
      </c>
      <c r="CF705" t="s">
        <v>155</v>
      </c>
      <c r="CG705" s="366" t="s">
        <v>6</v>
      </c>
      <c r="CH705">
        <v>0</v>
      </c>
      <c r="CI705">
        <v>0</v>
      </c>
      <c r="CJ705">
        <v>0</v>
      </c>
      <c r="CK705">
        <v>0</v>
      </c>
      <c r="CL705">
        <v>0</v>
      </c>
      <c r="CM705">
        <v>26</v>
      </c>
      <c r="CN705">
        <v>215</v>
      </c>
      <c r="CO705">
        <v>1</v>
      </c>
      <c r="CP705">
        <v>0</v>
      </c>
      <c r="CQ705">
        <v>0</v>
      </c>
      <c r="CR705">
        <v>0</v>
      </c>
      <c r="CS705">
        <v>0</v>
      </c>
      <c r="CT705">
        <v>0</v>
      </c>
      <c r="CU705" s="367">
        <f>IFERROR(CH705/Instructions!$J$25,0)+CI705*Instructions!$J$27+CJ705*Instructions!$J$29+IFERROR(CK705/Instructions!$E$34,0)+CL705*Instructions!$E$36+Tier!CM705*Instructions!$E$25+IFERROR(CN705/Instructions!$E$27,0)+CO705*Instructions!$E$29+IFERROR((CP705+CR705)/Instructions!$J$32,0)+(CQ705+CS705)*Instructions!$J$34+Tier!CT705*-2</f>
        <v>53.5</v>
      </c>
      <c r="CV705" s="354"/>
      <c r="CW705"/>
      <c r="CX705"/>
      <c r="CY705"/>
      <c r="CZ705"/>
      <c r="DA705"/>
      <c r="DB705"/>
      <c r="DC705"/>
      <c r="DD705"/>
      <c r="DE705"/>
      <c r="DF705"/>
      <c r="DG705"/>
      <c r="DH705"/>
      <c r="DI705"/>
      <c r="DJ705"/>
      <c r="DK705"/>
      <c r="DL705"/>
      <c r="DM705"/>
      <c r="DN705"/>
    </row>
    <row r="706" spans="3:118" s="238" customFormat="1" ht="15.75" customHeight="1" x14ac:dyDescent="0.25">
      <c r="C706"/>
      <c r="D706"/>
      <c r="E706"/>
      <c r="F706"/>
      <c r="G706"/>
      <c r="H706"/>
      <c r="I706"/>
      <c r="J706"/>
      <c r="K706"/>
      <c r="L706"/>
      <c r="M706"/>
      <c r="N706"/>
      <c r="O706" s="366"/>
      <c r="P706" s="366">
        <v>2018</v>
      </c>
      <c r="Q706" s="367">
        <f>LARGE($CB$606:$CB$755,101)</f>
        <v>16.399999999999999</v>
      </c>
      <c r="R706" s="357">
        <f t="shared" si="166"/>
        <v>-180.2</v>
      </c>
      <c r="S706" s="356">
        <f t="shared" si="165"/>
        <v>32472.039999999997</v>
      </c>
      <c r="T706" s="356"/>
      <c r="U706" s="356">
        <f t="shared" si="167"/>
        <v>-11.262499999999999</v>
      </c>
      <c r="V706" s="238">
        <f t="shared" si="163"/>
        <v>8</v>
      </c>
      <c r="W706" s="354"/>
      <c r="X706" s="366"/>
      <c r="Y706" s="366"/>
      <c r="Z706" s="238">
        <v>2018</v>
      </c>
      <c r="AA706" s="367">
        <f>LARGE($CU$606:$CU$755,101)</f>
        <v>42.4</v>
      </c>
      <c r="AB706" s="357">
        <f t="shared" si="168"/>
        <v>-148.5</v>
      </c>
      <c r="AC706" s="356">
        <f t="shared" ref="AC706:AC755" si="170">AB706^2</f>
        <v>22052.25</v>
      </c>
      <c r="AE706" s="356">
        <f t="shared" si="169"/>
        <v>-9.28125</v>
      </c>
      <c r="AF706" s="238">
        <f t="shared" si="164"/>
        <v>8</v>
      </c>
      <c r="AG706" s="354"/>
      <c r="AK706"/>
      <c r="AL706"/>
      <c r="AM706"/>
      <c r="AN706"/>
      <c r="AO706"/>
      <c r="AP706"/>
      <c r="BI706" s="360"/>
      <c r="BJ706" s="354"/>
      <c r="BK706" s="366">
        <v>2018</v>
      </c>
      <c r="BL706" t="s">
        <v>1435</v>
      </c>
      <c r="BM706" t="s">
        <v>1929</v>
      </c>
      <c r="BN706" t="s">
        <v>3</v>
      </c>
      <c r="BO706">
        <v>0</v>
      </c>
      <c r="BP706">
        <v>0</v>
      </c>
      <c r="BQ706">
        <v>0</v>
      </c>
      <c r="BR706">
        <v>157</v>
      </c>
      <c r="BS706">
        <v>0</v>
      </c>
      <c r="BT706">
        <v>1</v>
      </c>
      <c r="BU706">
        <v>9</v>
      </c>
      <c r="BV706">
        <v>0</v>
      </c>
      <c r="BW706">
        <v>0</v>
      </c>
      <c r="BX706">
        <v>0</v>
      </c>
      <c r="BY706">
        <v>16</v>
      </c>
      <c r="BZ706">
        <v>0</v>
      </c>
      <c r="CA706">
        <v>1</v>
      </c>
      <c r="CB706" s="367">
        <f>IFERROR(BO706/Instructions!$J$25,0)+BP706*Instructions!$J$27+BQ706*Instructions!$J$29+IFERROR(BR706/Instructions!$E$34,0)+BS706*Instructions!$E$36+Tier!BT707*Instructions!$E$25+IFERROR(BU706/Instructions!$E$27,0)+BV706*Instructions!$E$29+IFERROR((BW706+BY706)/Instructions!$J$32,0)+(BX706+BZ706)*Instructions!$J$34+Tier!CA706*-2</f>
        <v>17.599999999999998</v>
      </c>
      <c r="CC706" s="354"/>
      <c r="CD706" s="3">
        <v>2018</v>
      </c>
      <c r="CE706" t="s">
        <v>83</v>
      </c>
      <c r="CF706" t="s">
        <v>1935</v>
      </c>
      <c r="CG706" s="366" t="s">
        <v>6</v>
      </c>
      <c r="CH706">
        <v>0</v>
      </c>
      <c r="CI706">
        <v>0</v>
      </c>
      <c r="CJ706">
        <v>0</v>
      </c>
      <c r="CK706">
        <v>0</v>
      </c>
      <c r="CL706">
        <v>0</v>
      </c>
      <c r="CM706">
        <v>17</v>
      </c>
      <c r="CN706">
        <v>190</v>
      </c>
      <c r="CO706">
        <v>2</v>
      </c>
      <c r="CP706">
        <v>0</v>
      </c>
      <c r="CQ706">
        <v>0</v>
      </c>
      <c r="CR706">
        <v>0</v>
      </c>
      <c r="CS706">
        <v>0</v>
      </c>
      <c r="CT706">
        <v>0</v>
      </c>
      <c r="CU706" s="367">
        <f>IFERROR(CH706/Instructions!$J$25,0)+CI706*Instructions!$J$27+CJ706*Instructions!$J$29+IFERROR(CK706/Instructions!$E$34,0)+CL706*Instructions!$E$36+Tier!CM706*Instructions!$E$25+IFERROR(CN706/Instructions!$E$27,0)+CO706*Instructions!$E$29+IFERROR((CP706+CR706)/Instructions!$J$32,0)+(CQ706+CS706)*Instructions!$J$34+Tier!CT706*-2</f>
        <v>48</v>
      </c>
      <c r="CV706" s="354"/>
      <c r="CW706"/>
      <c r="CX706"/>
      <c r="CY706"/>
      <c r="CZ706"/>
      <c r="DA706"/>
      <c r="DB706"/>
      <c r="DC706"/>
      <c r="DD706"/>
      <c r="DE706"/>
      <c r="DF706"/>
      <c r="DG706"/>
      <c r="DH706"/>
      <c r="DI706"/>
      <c r="DJ706"/>
      <c r="DK706"/>
      <c r="DL706"/>
      <c r="DM706"/>
      <c r="DN706"/>
    </row>
    <row r="707" spans="3:118" s="238" customFormat="1" ht="15.75" customHeight="1" x14ac:dyDescent="0.25">
      <c r="C707"/>
      <c r="D707"/>
      <c r="E707"/>
      <c r="F707"/>
      <c r="G707"/>
      <c r="H707"/>
      <c r="I707"/>
      <c r="J707"/>
      <c r="K707"/>
      <c r="L707"/>
      <c r="M707"/>
      <c r="N707"/>
      <c r="O707" s="366"/>
      <c r="P707" s="366">
        <v>2018</v>
      </c>
      <c r="Q707" s="367">
        <f>LARGE($CB$606:$CB$755,102)</f>
        <v>16.100000000000001</v>
      </c>
      <c r="R707" s="357">
        <f t="shared" si="166"/>
        <v>-180.5</v>
      </c>
      <c r="S707" s="356">
        <f t="shared" si="165"/>
        <v>32580.25</v>
      </c>
      <c r="T707" s="356"/>
      <c r="U707" s="356">
        <f t="shared" si="167"/>
        <v>-11.28125</v>
      </c>
      <c r="V707" s="238">
        <f t="shared" ref="V707:V755" si="171">IF(U707&gt;6,0,
IF(AND(U707&lt;=6,U707&gt;5),1,
IF(AND(U707&lt;=5,U707&gt;4),2,
IF(AND(U707&lt;=4,U707&gt;3),3,
IF(AND(U707&lt;=3,U707&gt;2),4,
IF(AND(U707&lt;=2,U707&gt;1),5,
IF(AND(U707&lt;=1,U707&gt;0),6,
IF(AND(U707&lt;=0,U707&gt;-1),7,
8))))))))</f>
        <v>8</v>
      </c>
      <c r="W707" s="354"/>
      <c r="X707" s="366"/>
      <c r="Y707" s="366"/>
      <c r="Z707" s="238">
        <v>2018</v>
      </c>
      <c r="AA707" s="367">
        <f>LARGE($CU$606:$CU$755,102)</f>
        <v>41.9</v>
      </c>
      <c r="AB707" s="357">
        <f t="shared" si="168"/>
        <v>-149</v>
      </c>
      <c r="AC707" s="356">
        <f t="shared" si="170"/>
        <v>22201</v>
      </c>
      <c r="AE707" s="356">
        <f t="shared" si="169"/>
        <v>-9.3125</v>
      </c>
      <c r="AF707" s="238">
        <f t="shared" ref="AF707:AF755" si="172">IF(AE707&gt;6,0,
IF(AND(AE707&lt;=6,AE707&gt;5),1,
IF(AND(AE707&lt;=5,AE707&gt;4),2,
IF(AND(AE707&lt;=4,AE707&gt;3),3,
IF(AND(AE707&lt;=3,AE707&gt;2),4,
IF(AND(AE707&lt;=2,AE707&gt;1),5,
IF(AND(AE707&lt;=1,AE707&gt;0),6,
IF(AND(AE707&lt;=0,AE707&gt;-1),7,
8))))))))</f>
        <v>8</v>
      </c>
      <c r="AG707" s="354"/>
      <c r="AK707"/>
      <c r="AL707"/>
      <c r="AM707"/>
      <c r="AN707"/>
      <c r="AO707"/>
      <c r="AP707"/>
      <c r="BI707" s="360"/>
      <c r="BJ707" s="354"/>
      <c r="BK707" s="366">
        <v>2018</v>
      </c>
      <c r="BL707" t="s">
        <v>1140</v>
      </c>
      <c r="BM707" t="s">
        <v>1935</v>
      </c>
      <c r="BN707" t="s">
        <v>3</v>
      </c>
      <c r="BO707">
        <v>0</v>
      </c>
      <c r="BP707">
        <v>0</v>
      </c>
      <c r="BQ707">
        <v>0</v>
      </c>
      <c r="BR707">
        <v>69</v>
      </c>
      <c r="BS707">
        <v>1</v>
      </c>
      <c r="BT707">
        <v>3</v>
      </c>
      <c r="BU707">
        <v>15</v>
      </c>
      <c r="BV707">
        <v>0</v>
      </c>
      <c r="BW707">
        <v>0</v>
      </c>
      <c r="BX707">
        <v>0</v>
      </c>
      <c r="BY707">
        <v>0</v>
      </c>
      <c r="BZ707">
        <v>0</v>
      </c>
      <c r="CA707">
        <v>0</v>
      </c>
      <c r="CB707" s="367">
        <f>IFERROR(BO707/Instructions!$J$25,0)+BP707*Instructions!$J$27+BQ707*Instructions!$J$29+IFERROR(BR707/Instructions!$E$34,0)+BS707*Instructions!$E$36+Tier!BT708*Instructions!$E$25+IFERROR(BU707/Instructions!$E$27,0)+BV707*Instructions!$E$29+IFERROR((BW707+BY707)/Instructions!$J$32,0)+(BX707+BZ707)*Instructions!$J$34+Tier!CA707*-2</f>
        <v>15.4</v>
      </c>
      <c r="CC707" s="354"/>
      <c r="CD707" s="3">
        <v>2018</v>
      </c>
      <c r="CE707" t="s">
        <v>1874</v>
      </c>
      <c r="CF707" t="s">
        <v>143</v>
      </c>
      <c r="CG707" s="366" t="s">
        <v>6</v>
      </c>
      <c r="CH707">
        <v>0</v>
      </c>
      <c r="CI707">
        <v>0</v>
      </c>
      <c r="CJ707">
        <v>0</v>
      </c>
      <c r="CK707">
        <v>0</v>
      </c>
      <c r="CL707">
        <v>0</v>
      </c>
      <c r="CM707">
        <v>13</v>
      </c>
      <c r="CN707">
        <v>209</v>
      </c>
      <c r="CO707">
        <v>2</v>
      </c>
      <c r="CP707">
        <v>0</v>
      </c>
      <c r="CQ707">
        <v>0</v>
      </c>
      <c r="CR707">
        <v>0</v>
      </c>
      <c r="CS707">
        <v>0</v>
      </c>
      <c r="CT707">
        <v>0</v>
      </c>
      <c r="CU707" s="367">
        <f>IFERROR(CH707/Instructions!$J$25,0)+CI707*Instructions!$J$27+CJ707*Instructions!$J$29+IFERROR(CK707/Instructions!$E$34,0)+CL707*Instructions!$E$36+Tier!CM707*Instructions!$E$25+IFERROR(CN707/Instructions!$E$27,0)+CO707*Instructions!$E$29+IFERROR((CP707+CR707)/Instructions!$J$32,0)+(CQ707+CS707)*Instructions!$J$34+Tier!CT707*-2</f>
        <v>45.9</v>
      </c>
      <c r="CV707" s="354"/>
      <c r="CW707"/>
      <c r="CX707"/>
      <c r="CY707"/>
      <c r="CZ707"/>
      <c r="DA707"/>
      <c r="DB707"/>
      <c r="DC707"/>
      <c r="DD707"/>
      <c r="DE707"/>
      <c r="DF707"/>
      <c r="DG707"/>
      <c r="DH707"/>
      <c r="DI707"/>
      <c r="DJ707"/>
      <c r="DK707"/>
      <c r="DL707"/>
      <c r="DM707"/>
      <c r="DN707"/>
    </row>
    <row r="708" spans="3:118" s="238" customFormat="1" ht="15.75" customHeight="1" x14ac:dyDescent="0.25">
      <c r="C708"/>
      <c r="D708"/>
      <c r="E708"/>
      <c r="F708"/>
      <c r="G708"/>
      <c r="H708"/>
      <c r="I708"/>
      <c r="J708"/>
      <c r="K708"/>
      <c r="L708"/>
      <c r="M708"/>
      <c r="N708"/>
      <c r="O708" s="366"/>
      <c r="P708" s="366">
        <v>2018</v>
      </c>
      <c r="Q708" s="367">
        <f>LARGE($CB$606:$CB$755,103)</f>
        <v>15.5</v>
      </c>
      <c r="R708" s="357">
        <f t="shared" si="166"/>
        <v>-181.1</v>
      </c>
      <c r="S708" s="356">
        <f t="shared" si="165"/>
        <v>32797.21</v>
      </c>
      <c r="U708" s="356">
        <f t="shared" si="167"/>
        <v>-11.31875</v>
      </c>
      <c r="V708" s="238">
        <f t="shared" si="171"/>
        <v>8</v>
      </c>
      <c r="W708" s="354"/>
      <c r="X708" s="366"/>
      <c r="Y708" s="366"/>
      <c r="Z708" s="238">
        <v>2018</v>
      </c>
      <c r="AA708" s="367">
        <f>LARGE($CU$606:$CU$755,103)</f>
        <v>41</v>
      </c>
      <c r="AB708" s="357">
        <f t="shared" si="168"/>
        <v>-149.9</v>
      </c>
      <c r="AC708" s="356">
        <f t="shared" si="170"/>
        <v>22470.010000000002</v>
      </c>
      <c r="AE708" s="356">
        <f t="shared" si="169"/>
        <v>-9.3687500000000004</v>
      </c>
      <c r="AF708" s="238">
        <f t="shared" si="172"/>
        <v>8</v>
      </c>
      <c r="AG708" s="354"/>
      <c r="AK708"/>
      <c r="AL708"/>
      <c r="AM708"/>
      <c r="AN708"/>
      <c r="AO708"/>
      <c r="AP708"/>
      <c r="BI708" s="360"/>
      <c r="BJ708" s="354"/>
      <c r="BK708" s="366">
        <v>2018</v>
      </c>
      <c r="BL708" t="s">
        <v>1954</v>
      </c>
      <c r="BM708" t="s">
        <v>1935</v>
      </c>
      <c r="BN708" t="s">
        <v>3</v>
      </c>
      <c r="BO708">
        <v>0</v>
      </c>
      <c r="BP708">
        <v>0</v>
      </c>
      <c r="BQ708">
        <v>0</v>
      </c>
      <c r="BR708">
        <v>15</v>
      </c>
      <c r="BS708">
        <v>2</v>
      </c>
      <c r="BT708">
        <v>1</v>
      </c>
      <c r="BU708">
        <v>5</v>
      </c>
      <c r="BV708">
        <v>0</v>
      </c>
      <c r="BW708">
        <v>0</v>
      </c>
      <c r="BX708">
        <v>0</v>
      </c>
      <c r="BY708">
        <v>0</v>
      </c>
      <c r="BZ708">
        <v>0</v>
      </c>
      <c r="CA708">
        <v>0</v>
      </c>
      <c r="CB708" s="367">
        <f>IFERROR(BO708/Instructions!$J$25,0)+BP708*Instructions!$J$27+BQ708*Instructions!$J$29+IFERROR(BR708/Instructions!$E$34,0)+BS708*Instructions!$E$36+Tier!BT709*Instructions!$E$25+IFERROR(BU708/Instructions!$E$27,0)+BV708*Instructions!$E$29+IFERROR((BW708+BY708)/Instructions!$J$32,0)+(BX708+BZ708)*Instructions!$J$34+Tier!CA708*-2</f>
        <v>21</v>
      </c>
      <c r="CC708" s="354"/>
      <c r="CD708" s="3">
        <v>2018</v>
      </c>
      <c r="CE708" t="s">
        <v>1184</v>
      </c>
      <c r="CF708" t="s">
        <v>154</v>
      </c>
      <c r="CG708" s="366" t="s">
        <v>6</v>
      </c>
      <c r="CH708">
        <v>0</v>
      </c>
      <c r="CI708">
        <v>0</v>
      </c>
      <c r="CJ708">
        <v>0</v>
      </c>
      <c r="CK708">
        <v>5</v>
      </c>
      <c r="CL708">
        <v>0</v>
      </c>
      <c r="CM708">
        <v>5</v>
      </c>
      <c r="CN708">
        <v>71</v>
      </c>
      <c r="CO708">
        <v>0</v>
      </c>
      <c r="CP708">
        <v>0</v>
      </c>
      <c r="CQ708">
        <v>0</v>
      </c>
      <c r="CR708">
        <v>0</v>
      </c>
      <c r="CS708">
        <v>0</v>
      </c>
      <c r="CT708">
        <v>0</v>
      </c>
      <c r="CU708" s="367">
        <f>IFERROR(CH708/Instructions!$J$25,0)+CI708*Instructions!$J$27+CJ708*Instructions!$J$29+IFERROR(CK708/Instructions!$E$34,0)+CL708*Instructions!$E$36+Tier!CM708*Instructions!$E$25+IFERROR(CN708/Instructions!$E$27,0)+CO708*Instructions!$E$29+IFERROR((CP708+CR708)/Instructions!$J$32,0)+(CQ708+CS708)*Instructions!$J$34+Tier!CT708*-2</f>
        <v>12.6</v>
      </c>
      <c r="CV708" s="354"/>
      <c r="CW708"/>
      <c r="CX708"/>
      <c r="CY708"/>
      <c r="CZ708"/>
      <c r="DA708"/>
      <c r="DB708"/>
      <c r="DC708"/>
      <c r="DD708"/>
      <c r="DE708"/>
      <c r="DF708"/>
      <c r="DG708"/>
      <c r="DH708"/>
      <c r="DI708"/>
      <c r="DJ708"/>
      <c r="DK708"/>
      <c r="DL708"/>
      <c r="DM708"/>
      <c r="DN708"/>
    </row>
    <row r="709" spans="3:118" s="238" customFormat="1" ht="15.75" customHeight="1" x14ac:dyDescent="0.25">
      <c r="C709"/>
      <c r="D709"/>
      <c r="E709"/>
      <c r="F709"/>
      <c r="G709"/>
      <c r="H709"/>
      <c r="I709"/>
      <c r="J709"/>
      <c r="K709"/>
      <c r="L709"/>
      <c r="M709"/>
      <c r="N709"/>
      <c r="O709" s="366"/>
      <c r="P709" s="366">
        <v>2018</v>
      </c>
      <c r="Q709" s="367">
        <f>LARGE($CB$606:$CB$755,104)</f>
        <v>15.4</v>
      </c>
      <c r="R709" s="357">
        <f t="shared" si="166"/>
        <v>-181.2</v>
      </c>
      <c r="S709" s="356">
        <f t="shared" si="165"/>
        <v>32833.439999999995</v>
      </c>
      <c r="U709" s="356">
        <f t="shared" si="167"/>
        <v>-11.324999999999999</v>
      </c>
      <c r="V709" s="238">
        <f t="shared" si="171"/>
        <v>8</v>
      </c>
      <c r="W709" s="354"/>
      <c r="X709" s="366"/>
      <c r="Y709" s="366"/>
      <c r="Z709" s="238">
        <v>2018</v>
      </c>
      <c r="AA709" s="367">
        <f>LARGE($CU$606:$CU$755,104)</f>
        <v>40.799999999999997</v>
      </c>
      <c r="AB709" s="357">
        <f t="shared" si="168"/>
        <v>-150.10000000000002</v>
      </c>
      <c r="AC709" s="356">
        <f t="shared" si="170"/>
        <v>22530.010000000006</v>
      </c>
      <c r="AE709" s="356">
        <f t="shared" si="169"/>
        <v>-9.3812500000000014</v>
      </c>
      <c r="AF709" s="238">
        <f t="shared" si="172"/>
        <v>8</v>
      </c>
      <c r="AG709" s="354"/>
      <c r="AK709"/>
      <c r="AL709"/>
      <c r="AM709"/>
      <c r="AN709"/>
      <c r="AO709"/>
      <c r="AP709"/>
      <c r="BI709" s="360"/>
      <c r="BJ709" s="354"/>
      <c r="BK709" s="366">
        <v>2018</v>
      </c>
      <c r="BL709" t="s">
        <v>1955</v>
      </c>
      <c r="BM709" t="s">
        <v>149</v>
      </c>
      <c r="BN709" t="s">
        <v>3</v>
      </c>
      <c r="BO709">
        <v>0</v>
      </c>
      <c r="BP709">
        <v>0</v>
      </c>
      <c r="BQ709">
        <v>0</v>
      </c>
      <c r="BR709">
        <v>44</v>
      </c>
      <c r="BS709">
        <v>1</v>
      </c>
      <c r="BT709">
        <v>7</v>
      </c>
      <c r="BU709">
        <v>33</v>
      </c>
      <c r="BV709">
        <v>0</v>
      </c>
      <c r="BW709">
        <v>0</v>
      </c>
      <c r="BX709">
        <v>0</v>
      </c>
      <c r="BY709">
        <v>0</v>
      </c>
      <c r="BZ709">
        <v>0</v>
      </c>
      <c r="CA709">
        <v>0</v>
      </c>
      <c r="CB709" s="367">
        <f>IFERROR(BO709/Instructions!$J$25,0)+BP709*Instructions!$J$27+BQ709*Instructions!$J$29+IFERROR(BR709/Instructions!$E$34,0)+BS709*Instructions!$E$36+Tier!BT710*Instructions!$E$25+IFERROR(BU709/Instructions!$E$27,0)+BV709*Instructions!$E$29+IFERROR((BW709+BY709)/Instructions!$J$32,0)+(BX709+BZ709)*Instructions!$J$34+Tier!CA709*-2</f>
        <v>16.7</v>
      </c>
      <c r="CC709" s="354"/>
      <c r="CD709" s="3">
        <v>2018</v>
      </c>
      <c r="CE709" t="s">
        <v>1396</v>
      </c>
      <c r="CF709" t="s">
        <v>157</v>
      </c>
      <c r="CG709" s="366" t="s">
        <v>6</v>
      </c>
      <c r="CH709">
        <v>0</v>
      </c>
      <c r="CI709">
        <v>0</v>
      </c>
      <c r="CJ709">
        <v>0</v>
      </c>
      <c r="CK709">
        <v>10</v>
      </c>
      <c r="CL709">
        <v>0</v>
      </c>
      <c r="CM709">
        <v>28</v>
      </c>
      <c r="CN709">
        <v>304</v>
      </c>
      <c r="CO709">
        <v>0</v>
      </c>
      <c r="CP709">
        <v>0</v>
      </c>
      <c r="CQ709">
        <v>0</v>
      </c>
      <c r="CR709">
        <v>0</v>
      </c>
      <c r="CS709">
        <v>0</v>
      </c>
      <c r="CT709">
        <v>0</v>
      </c>
      <c r="CU709" s="367">
        <f>IFERROR(CH709/Instructions!$J$25,0)+CI709*Instructions!$J$27+CJ709*Instructions!$J$29+IFERROR(CK709/Instructions!$E$34,0)+CL709*Instructions!$E$36+Tier!CM709*Instructions!$E$25+IFERROR(CN709/Instructions!$E$27,0)+CO709*Instructions!$E$29+IFERROR((CP709+CR709)/Instructions!$J$32,0)+(CQ709+CS709)*Instructions!$J$34+Tier!CT709*-2</f>
        <v>59.4</v>
      </c>
      <c r="CV709" s="354"/>
      <c r="CW709"/>
      <c r="CX709"/>
      <c r="CY709"/>
      <c r="CZ709"/>
      <c r="DA709"/>
      <c r="DB709"/>
      <c r="DC709"/>
      <c r="DD709"/>
      <c r="DE709"/>
      <c r="DF709"/>
      <c r="DG709"/>
      <c r="DH709"/>
      <c r="DI709"/>
      <c r="DJ709"/>
      <c r="DK709"/>
      <c r="DL709"/>
      <c r="DM709"/>
      <c r="DN709"/>
    </row>
    <row r="710" spans="3:118" s="238" customFormat="1" ht="15.75" customHeight="1" x14ac:dyDescent="0.25">
      <c r="C710"/>
      <c r="D710"/>
      <c r="E710"/>
      <c r="F710"/>
      <c r="G710"/>
      <c r="H710"/>
      <c r="I710"/>
      <c r="J710"/>
      <c r="K710"/>
      <c r="L710"/>
      <c r="M710"/>
      <c r="N710"/>
      <c r="O710" s="366"/>
      <c r="P710" s="366">
        <v>2018</v>
      </c>
      <c r="Q710" s="367">
        <f>LARGE($CB$606:$CB$755,105)</f>
        <v>14.3</v>
      </c>
      <c r="R710" s="357">
        <f t="shared" si="166"/>
        <v>-182.29999999999998</v>
      </c>
      <c r="S710" s="356">
        <f t="shared" si="165"/>
        <v>33233.289999999994</v>
      </c>
      <c r="T710" s="356"/>
      <c r="U710" s="356">
        <f t="shared" si="167"/>
        <v>-11.393749999999999</v>
      </c>
      <c r="V710" s="238">
        <f t="shared" si="171"/>
        <v>8</v>
      </c>
      <c r="W710" s="354"/>
      <c r="X710" s="366"/>
      <c r="Y710" s="366"/>
      <c r="Z710" s="238">
        <v>2018</v>
      </c>
      <c r="AA710" s="367">
        <f>LARGE($CU$606:$CU$755,105)</f>
        <v>40.700000000000003</v>
      </c>
      <c r="AB710" s="357">
        <f t="shared" si="168"/>
        <v>-150.19999999999999</v>
      </c>
      <c r="AC710" s="356">
        <f t="shared" si="170"/>
        <v>22560.039999999997</v>
      </c>
      <c r="AE710" s="356">
        <f t="shared" si="169"/>
        <v>-9.3874999999999993</v>
      </c>
      <c r="AF710" s="238">
        <f t="shared" si="172"/>
        <v>8</v>
      </c>
      <c r="AG710" s="354"/>
      <c r="AK710"/>
      <c r="AL710"/>
      <c r="AM710"/>
      <c r="AN710"/>
      <c r="AO710"/>
      <c r="AP710"/>
      <c r="BI710" s="360"/>
      <c r="BJ710" s="354"/>
      <c r="BK710" s="366">
        <v>2018</v>
      </c>
      <c r="BL710" t="s">
        <v>1831</v>
      </c>
      <c r="BM710" t="s">
        <v>136</v>
      </c>
      <c r="BN710" t="s">
        <v>3</v>
      </c>
      <c r="BO710">
        <v>0</v>
      </c>
      <c r="BP710">
        <v>0</v>
      </c>
      <c r="BQ710">
        <v>0</v>
      </c>
      <c r="BR710">
        <v>44</v>
      </c>
      <c r="BS710">
        <v>0</v>
      </c>
      <c r="BT710">
        <v>3</v>
      </c>
      <c r="BU710">
        <v>27</v>
      </c>
      <c r="BV710">
        <v>1</v>
      </c>
      <c r="BW710">
        <v>0</v>
      </c>
      <c r="BX710">
        <v>0</v>
      </c>
      <c r="BY710">
        <v>0</v>
      </c>
      <c r="BZ710">
        <v>0</v>
      </c>
      <c r="CA710">
        <v>0</v>
      </c>
      <c r="CB710" s="367">
        <f>IFERROR(BO710/Instructions!$J$25,0)+BP710*Instructions!$J$27+BQ710*Instructions!$J$29+IFERROR(BR710/Instructions!$E$34,0)+BS710*Instructions!$E$36+Tier!BT711*Instructions!$E$25+IFERROR(BU710/Instructions!$E$27,0)+BV710*Instructions!$E$29+IFERROR((BW710+BY710)/Instructions!$J$32,0)+(BX710+BZ710)*Instructions!$J$34+Tier!CA710*-2</f>
        <v>16.100000000000001</v>
      </c>
      <c r="CC710" s="354"/>
      <c r="CD710" s="3">
        <v>2018</v>
      </c>
      <c r="CE710" t="s">
        <v>1116</v>
      </c>
      <c r="CF710" t="s">
        <v>1929</v>
      </c>
      <c r="CG710" s="366" t="s">
        <v>6</v>
      </c>
      <c r="CH710">
        <v>0</v>
      </c>
      <c r="CI710">
        <v>0</v>
      </c>
      <c r="CJ710">
        <v>0</v>
      </c>
      <c r="CK710">
        <v>0</v>
      </c>
      <c r="CL710">
        <v>0</v>
      </c>
      <c r="CM710">
        <v>14</v>
      </c>
      <c r="CN710">
        <v>133</v>
      </c>
      <c r="CO710">
        <v>2</v>
      </c>
      <c r="CP710">
        <v>0</v>
      </c>
      <c r="CQ710">
        <v>0</v>
      </c>
      <c r="CR710">
        <v>0</v>
      </c>
      <c r="CS710">
        <v>0</v>
      </c>
      <c r="CT710">
        <v>0</v>
      </c>
      <c r="CU710" s="367">
        <f>IFERROR(CH710/Instructions!$J$25,0)+CI710*Instructions!$J$27+CJ710*Instructions!$J$29+IFERROR(CK710/Instructions!$E$34,0)+CL710*Instructions!$E$36+Tier!CM710*Instructions!$E$25+IFERROR(CN710/Instructions!$E$27,0)+CO710*Instructions!$E$29+IFERROR((CP710+CR710)/Instructions!$J$32,0)+(CQ710+CS710)*Instructions!$J$34+Tier!CT710*-2</f>
        <v>39.299999999999997</v>
      </c>
      <c r="CV710" s="354"/>
      <c r="CW710"/>
      <c r="CX710"/>
      <c r="CY710"/>
      <c r="CZ710"/>
      <c r="DA710"/>
      <c r="DB710"/>
      <c r="DC710"/>
      <c r="DD710"/>
      <c r="DE710"/>
      <c r="DF710"/>
      <c r="DG710"/>
      <c r="DH710"/>
      <c r="DI710"/>
      <c r="DJ710"/>
      <c r="DK710"/>
      <c r="DL710"/>
      <c r="DM710"/>
      <c r="DN710"/>
    </row>
    <row r="711" spans="3:118" s="238" customFormat="1" ht="15.75" customHeight="1" x14ac:dyDescent="0.25">
      <c r="C711"/>
      <c r="D711"/>
      <c r="E711"/>
      <c r="F711"/>
      <c r="G711"/>
      <c r="H711"/>
      <c r="I711"/>
      <c r="J711"/>
      <c r="K711"/>
      <c r="L711"/>
      <c r="M711"/>
      <c r="N711"/>
      <c r="O711" s="366"/>
      <c r="P711" s="366">
        <v>2018</v>
      </c>
      <c r="Q711" s="367">
        <f>LARGE($CB$606:$CB$755,106)</f>
        <v>13.7</v>
      </c>
      <c r="R711" s="357">
        <f t="shared" si="166"/>
        <v>-182.9</v>
      </c>
      <c r="S711" s="356">
        <f t="shared" si="165"/>
        <v>33452.410000000003</v>
      </c>
      <c r="T711" s="356"/>
      <c r="U711" s="356">
        <f t="shared" si="167"/>
        <v>-11.43125</v>
      </c>
      <c r="V711" s="238">
        <f t="shared" si="171"/>
        <v>8</v>
      </c>
      <c r="W711" s="354"/>
      <c r="X711" s="366"/>
      <c r="Y711" s="366"/>
      <c r="Z711" s="238">
        <v>2018</v>
      </c>
      <c r="AA711" s="367">
        <f>LARGE($CU$606:$CU$755,106)</f>
        <v>39.5</v>
      </c>
      <c r="AB711" s="357">
        <f t="shared" si="168"/>
        <v>-151.4</v>
      </c>
      <c r="AC711" s="356">
        <f t="shared" si="170"/>
        <v>22921.960000000003</v>
      </c>
      <c r="AE711" s="356">
        <f t="shared" si="169"/>
        <v>-9.4625000000000004</v>
      </c>
      <c r="AF711" s="238">
        <f t="shared" si="172"/>
        <v>8</v>
      </c>
      <c r="AG711" s="354"/>
      <c r="AK711"/>
      <c r="AL711"/>
      <c r="AM711"/>
      <c r="AN711"/>
      <c r="AO711"/>
      <c r="AP711"/>
      <c r="BI711" s="360"/>
      <c r="BJ711" s="354"/>
      <c r="BK711" s="366">
        <v>2018</v>
      </c>
      <c r="BL711" t="s">
        <v>1663</v>
      </c>
      <c r="BM711" t="s">
        <v>1930</v>
      </c>
      <c r="BN711" t="s">
        <v>3</v>
      </c>
      <c r="BO711">
        <v>0</v>
      </c>
      <c r="BP711">
        <v>0</v>
      </c>
      <c r="BQ711">
        <v>0</v>
      </c>
      <c r="BR711">
        <v>80</v>
      </c>
      <c r="BS711">
        <v>1</v>
      </c>
      <c r="BT711">
        <v>3</v>
      </c>
      <c r="BU711">
        <v>18</v>
      </c>
      <c r="BV711">
        <v>0</v>
      </c>
      <c r="BW711">
        <v>0</v>
      </c>
      <c r="BX711">
        <v>0</v>
      </c>
      <c r="BY711">
        <v>0</v>
      </c>
      <c r="BZ711">
        <v>0</v>
      </c>
      <c r="CA711">
        <v>2</v>
      </c>
      <c r="CB711" s="367">
        <f>IFERROR(BO711/Instructions!$J$25,0)+BP711*Instructions!$J$27+BQ711*Instructions!$J$29+IFERROR(BR711/Instructions!$E$34,0)+BS711*Instructions!$E$36+Tier!BT712*Instructions!$E$25+IFERROR(BU711/Instructions!$E$27,0)+BV711*Instructions!$E$29+IFERROR((BW711+BY711)/Instructions!$J$32,0)+(BX711+BZ711)*Instructions!$J$34+Tier!CA711*-2</f>
        <v>20.8</v>
      </c>
      <c r="CC711" s="354"/>
      <c r="CD711" s="3">
        <v>2018</v>
      </c>
      <c r="CE711" t="s">
        <v>1308</v>
      </c>
      <c r="CF711" t="s">
        <v>154</v>
      </c>
      <c r="CG711" s="366" t="s">
        <v>6</v>
      </c>
      <c r="CH711">
        <v>0</v>
      </c>
      <c r="CI711">
        <v>0</v>
      </c>
      <c r="CJ711">
        <v>0</v>
      </c>
      <c r="CK711">
        <v>0</v>
      </c>
      <c r="CL711">
        <v>0</v>
      </c>
      <c r="CM711">
        <v>10</v>
      </c>
      <c r="CN711">
        <v>188</v>
      </c>
      <c r="CO711">
        <v>2</v>
      </c>
      <c r="CP711">
        <v>0</v>
      </c>
      <c r="CQ711">
        <v>0</v>
      </c>
      <c r="CR711">
        <v>0</v>
      </c>
      <c r="CS711">
        <v>0</v>
      </c>
      <c r="CT711">
        <v>0</v>
      </c>
      <c r="CU711" s="367">
        <f>IFERROR(CH711/Instructions!$J$25,0)+CI711*Instructions!$J$27+CJ711*Instructions!$J$29+IFERROR(CK711/Instructions!$E$34,0)+CL711*Instructions!$E$36+Tier!CM711*Instructions!$E$25+IFERROR(CN711/Instructions!$E$27,0)+CO711*Instructions!$E$29+IFERROR((CP711+CR711)/Instructions!$J$32,0)+(CQ711+CS711)*Instructions!$J$34+Tier!CT711*-2</f>
        <v>40.799999999999997</v>
      </c>
      <c r="CV711" s="354"/>
      <c r="CW711"/>
      <c r="CX711"/>
      <c r="CY711"/>
      <c r="CZ711"/>
      <c r="DA711"/>
      <c r="DB711"/>
      <c r="DC711"/>
      <c r="DD711"/>
      <c r="DE711"/>
      <c r="DF711"/>
      <c r="DG711"/>
      <c r="DH711"/>
      <c r="DI711"/>
      <c r="DJ711"/>
      <c r="DK711"/>
      <c r="DL711"/>
      <c r="DM711"/>
      <c r="DN711"/>
    </row>
    <row r="712" spans="3:118" s="238" customFormat="1" ht="15.75" customHeight="1" x14ac:dyDescent="0.25">
      <c r="C712"/>
      <c r="D712"/>
      <c r="E712"/>
      <c r="F712"/>
      <c r="G712"/>
      <c r="H712"/>
      <c r="I712"/>
      <c r="J712"/>
      <c r="K712"/>
      <c r="L712"/>
      <c r="M712"/>
      <c r="N712"/>
      <c r="O712" s="366"/>
      <c r="P712" s="366">
        <v>2018</v>
      </c>
      <c r="Q712" s="367">
        <f>LARGE($CB$606:$CB$755,107)</f>
        <v>13.100000000000001</v>
      </c>
      <c r="R712" s="357">
        <f t="shared" si="166"/>
        <v>-183.5</v>
      </c>
      <c r="S712" s="356">
        <f t="shared" si="165"/>
        <v>33672.25</v>
      </c>
      <c r="T712" s="356"/>
      <c r="U712" s="356">
        <f t="shared" si="167"/>
        <v>-11.46875</v>
      </c>
      <c r="V712" s="238">
        <f t="shared" si="171"/>
        <v>8</v>
      </c>
      <c r="W712" s="354"/>
      <c r="X712" s="366"/>
      <c r="Y712" s="366"/>
      <c r="Z712" s="238">
        <v>2018</v>
      </c>
      <c r="AA712" s="367">
        <f>LARGE($CU$606:$CU$755,107)</f>
        <v>39.299999999999997</v>
      </c>
      <c r="AB712" s="357">
        <f t="shared" si="168"/>
        <v>-151.60000000000002</v>
      </c>
      <c r="AC712" s="356">
        <f t="shared" si="170"/>
        <v>22982.560000000009</v>
      </c>
      <c r="AE712" s="356">
        <f t="shared" si="169"/>
        <v>-9.4750000000000014</v>
      </c>
      <c r="AF712" s="238">
        <f t="shared" si="172"/>
        <v>8</v>
      </c>
      <c r="AG712" s="354"/>
      <c r="AK712"/>
      <c r="AL712"/>
      <c r="AM712"/>
      <c r="AN712"/>
      <c r="AO712"/>
      <c r="AP712"/>
      <c r="BI712" s="360"/>
      <c r="BJ712" s="354"/>
      <c r="BK712" s="366">
        <v>2018</v>
      </c>
      <c r="BL712" t="s">
        <v>1313</v>
      </c>
      <c r="BM712" t="s">
        <v>1950</v>
      </c>
      <c r="BN712" t="s">
        <v>3</v>
      </c>
      <c r="BO712">
        <v>0</v>
      </c>
      <c r="BP712">
        <v>0</v>
      </c>
      <c r="BQ712">
        <v>0</v>
      </c>
      <c r="BR712">
        <v>40</v>
      </c>
      <c r="BS712">
        <v>0</v>
      </c>
      <c r="BT712">
        <v>9</v>
      </c>
      <c r="BU712">
        <v>67</v>
      </c>
      <c r="BV712">
        <v>0</v>
      </c>
      <c r="BW712">
        <v>0</v>
      </c>
      <c r="BX712">
        <v>0</v>
      </c>
      <c r="BY712">
        <v>6</v>
      </c>
      <c r="BZ712">
        <v>0</v>
      </c>
      <c r="CA712">
        <v>0</v>
      </c>
      <c r="CB712" s="367">
        <f>IFERROR(BO712/Instructions!$J$25,0)+BP712*Instructions!$J$27+BQ712*Instructions!$J$29+IFERROR(BR712/Instructions!$E$34,0)+BS712*Instructions!$E$36+Tier!BT713*Instructions!$E$25+IFERROR(BU712/Instructions!$E$27,0)+BV712*Instructions!$E$29+IFERROR((BW712+BY712)/Instructions!$J$32,0)+(BX712+BZ712)*Instructions!$J$34+Tier!CA712*-2</f>
        <v>11.7</v>
      </c>
      <c r="CC712" s="354"/>
      <c r="CD712" s="3">
        <v>2018</v>
      </c>
      <c r="CE712" t="s">
        <v>209</v>
      </c>
      <c r="CF712" t="s">
        <v>1388</v>
      </c>
      <c r="CG712" s="366" t="s">
        <v>6</v>
      </c>
      <c r="CH712">
        <v>0</v>
      </c>
      <c r="CI712">
        <v>0</v>
      </c>
      <c r="CJ712">
        <v>0</v>
      </c>
      <c r="CK712">
        <v>41</v>
      </c>
      <c r="CL712">
        <v>0</v>
      </c>
      <c r="CM712">
        <v>12</v>
      </c>
      <c r="CN712">
        <v>186</v>
      </c>
      <c r="CO712">
        <v>1</v>
      </c>
      <c r="CP712">
        <v>0</v>
      </c>
      <c r="CQ712">
        <v>0</v>
      </c>
      <c r="CR712">
        <v>0</v>
      </c>
      <c r="CS712">
        <v>0</v>
      </c>
      <c r="CT712">
        <v>0</v>
      </c>
      <c r="CU712" s="367">
        <f>IFERROR(CH712/Instructions!$J$25,0)+CI712*Instructions!$J$27+CJ712*Instructions!$J$29+IFERROR(CK712/Instructions!$E$34,0)+CL712*Instructions!$E$36+Tier!CM712*Instructions!$E$25+IFERROR(CN712/Instructions!$E$27,0)+CO712*Instructions!$E$29+IFERROR((CP712+CR712)/Instructions!$J$32,0)+(CQ712+CS712)*Instructions!$J$34+Tier!CT712*-2</f>
        <v>40.700000000000003</v>
      </c>
      <c r="CV712" s="354"/>
      <c r="CW712"/>
      <c r="CX712"/>
      <c r="CY712"/>
      <c r="CZ712"/>
      <c r="DA712"/>
      <c r="DB712"/>
      <c r="DC712"/>
      <c r="DD712"/>
      <c r="DE712"/>
      <c r="DF712"/>
      <c r="DG712"/>
      <c r="DH712"/>
      <c r="DI712"/>
      <c r="DJ712"/>
      <c r="DK712"/>
      <c r="DL712"/>
      <c r="DM712"/>
      <c r="DN712"/>
    </row>
    <row r="713" spans="3:118" s="238" customFormat="1" ht="15.75" customHeight="1" x14ac:dyDescent="0.25">
      <c r="C713"/>
      <c r="D713"/>
      <c r="E713"/>
      <c r="F713"/>
      <c r="G713"/>
      <c r="H713"/>
      <c r="I713"/>
      <c r="J713"/>
      <c r="K713"/>
      <c r="L713"/>
      <c r="M713"/>
      <c r="N713"/>
      <c r="O713" s="366"/>
      <c r="P713" s="366">
        <v>2018</v>
      </c>
      <c r="Q713" s="367">
        <f>LARGE($CB$606:$CB$755,108)</f>
        <v>13.100000000000001</v>
      </c>
      <c r="R713" s="357">
        <f t="shared" si="166"/>
        <v>-183.5</v>
      </c>
      <c r="S713" s="356">
        <f t="shared" si="165"/>
        <v>33672.25</v>
      </c>
      <c r="T713" s="356"/>
      <c r="U713" s="356">
        <f t="shared" si="167"/>
        <v>-11.46875</v>
      </c>
      <c r="V713" s="238">
        <f t="shared" si="171"/>
        <v>8</v>
      </c>
      <c r="W713" s="354"/>
      <c r="X713" s="366"/>
      <c r="Y713" s="366"/>
      <c r="Z713" s="238">
        <v>2018</v>
      </c>
      <c r="AA713" s="367">
        <f>LARGE($CU$606:$CU$755,108)</f>
        <v>38.9</v>
      </c>
      <c r="AB713" s="357">
        <f t="shared" si="168"/>
        <v>-152</v>
      </c>
      <c r="AC713" s="356">
        <f t="shared" si="170"/>
        <v>23104</v>
      </c>
      <c r="AE713" s="356">
        <f t="shared" si="169"/>
        <v>-9.5</v>
      </c>
      <c r="AF713" s="238">
        <f t="shared" si="172"/>
        <v>8</v>
      </c>
      <c r="AG713" s="354"/>
      <c r="AK713"/>
      <c r="AL713"/>
      <c r="AM713"/>
      <c r="AN713"/>
      <c r="AO713"/>
      <c r="AP713"/>
      <c r="BI713" s="360"/>
      <c r="BJ713" s="354"/>
      <c r="BK713" s="366">
        <v>2018</v>
      </c>
      <c r="BL713" t="s">
        <v>1195</v>
      </c>
      <c r="BM713" t="s">
        <v>1941</v>
      </c>
      <c r="BN713" t="s">
        <v>3</v>
      </c>
      <c r="BO713">
        <v>0</v>
      </c>
      <c r="BP713">
        <v>0</v>
      </c>
      <c r="BQ713">
        <v>0</v>
      </c>
      <c r="BR713">
        <v>115</v>
      </c>
      <c r="BS713">
        <v>0</v>
      </c>
      <c r="BT713">
        <v>1</v>
      </c>
      <c r="BU713">
        <v>9</v>
      </c>
      <c r="BV713">
        <v>0</v>
      </c>
      <c r="BW713">
        <v>0</v>
      </c>
      <c r="BX713">
        <v>0</v>
      </c>
      <c r="BY713">
        <v>0</v>
      </c>
      <c r="BZ713">
        <v>0</v>
      </c>
      <c r="CA713">
        <v>1</v>
      </c>
      <c r="CB713" s="367">
        <f>IFERROR(BO713/Instructions!$J$25,0)+BP713*Instructions!$J$27+BQ713*Instructions!$J$29+IFERROR(BR713/Instructions!$E$34,0)+BS713*Instructions!$E$36+Tier!BT714*Instructions!$E$25+IFERROR(BU713/Instructions!$E$27,0)+BV713*Instructions!$E$29+IFERROR((BW713+BY713)/Instructions!$J$32,0)+(BX713+BZ713)*Instructions!$J$34+Tier!CA713*-2</f>
        <v>12.4</v>
      </c>
      <c r="CC713" s="354"/>
      <c r="CD713" s="3">
        <v>2018</v>
      </c>
      <c r="CE713" t="s">
        <v>210</v>
      </c>
      <c r="CF713" t="s">
        <v>154</v>
      </c>
      <c r="CG713" s="366" t="s">
        <v>6</v>
      </c>
      <c r="CH713">
        <v>0</v>
      </c>
      <c r="CI713">
        <v>0</v>
      </c>
      <c r="CJ713">
        <v>0</v>
      </c>
      <c r="CK713">
        <v>0</v>
      </c>
      <c r="CL713">
        <v>0</v>
      </c>
      <c r="CM713">
        <v>11</v>
      </c>
      <c r="CN713">
        <v>190</v>
      </c>
      <c r="CO713">
        <v>1</v>
      </c>
      <c r="CP713">
        <v>0</v>
      </c>
      <c r="CQ713">
        <v>0</v>
      </c>
      <c r="CR713">
        <v>0</v>
      </c>
      <c r="CS713">
        <v>0</v>
      </c>
      <c r="CT713">
        <v>0</v>
      </c>
      <c r="CU713" s="367">
        <f>IFERROR(CH713/Instructions!$J$25,0)+CI713*Instructions!$J$27+CJ713*Instructions!$J$29+IFERROR(CK713/Instructions!$E$34,0)+CL713*Instructions!$E$36+Tier!CM713*Instructions!$E$25+IFERROR(CN713/Instructions!$E$27,0)+CO713*Instructions!$E$29+IFERROR((CP713+CR713)/Instructions!$J$32,0)+(CQ713+CS713)*Instructions!$J$34+Tier!CT713*-2</f>
        <v>36</v>
      </c>
      <c r="CV713" s="354"/>
      <c r="CW713"/>
      <c r="CX713"/>
      <c r="CY713"/>
      <c r="CZ713"/>
      <c r="DA713"/>
      <c r="DB713"/>
      <c r="DC713"/>
      <c r="DD713"/>
      <c r="DE713"/>
      <c r="DF713"/>
      <c r="DG713"/>
      <c r="DH713"/>
      <c r="DI713"/>
      <c r="DJ713"/>
      <c r="DK713"/>
      <c r="DL713"/>
      <c r="DM713"/>
      <c r="DN713"/>
    </row>
    <row r="714" spans="3:118" s="238" customFormat="1" ht="15.75" customHeight="1" x14ac:dyDescent="0.25">
      <c r="C714"/>
      <c r="D714"/>
      <c r="E714"/>
      <c r="F714"/>
      <c r="G714"/>
      <c r="H714"/>
      <c r="I714"/>
      <c r="J714"/>
      <c r="K714"/>
      <c r="L714"/>
      <c r="M714"/>
      <c r="N714"/>
      <c r="O714" s="366"/>
      <c r="P714" s="366">
        <v>2018</v>
      </c>
      <c r="Q714" s="367">
        <f>LARGE($CB$606:$CB$755,109)</f>
        <v>12.5</v>
      </c>
      <c r="R714" s="357">
        <f t="shared" si="166"/>
        <v>-184.1</v>
      </c>
      <c r="S714" s="356">
        <f t="shared" si="165"/>
        <v>33892.81</v>
      </c>
      <c r="T714" s="356"/>
      <c r="U714" s="356">
        <f t="shared" si="167"/>
        <v>-11.50625</v>
      </c>
      <c r="V714" s="238">
        <f t="shared" si="171"/>
        <v>8</v>
      </c>
      <c r="W714" s="354"/>
      <c r="X714" s="366"/>
      <c r="Y714" s="366"/>
      <c r="Z714" s="238">
        <v>2018</v>
      </c>
      <c r="AA714" s="367">
        <f>LARGE($CU$606:$CU$755,109)</f>
        <v>37.5</v>
      </c>
      <c r="AB714" s="357">
        <f t="shared" si="168"/>
        <v>-153.4</v>
      </c>
      <c r="AC714" s="356">
        <f t="shared" si="170"/>
        <v>23531.56</v>
      </c>
      <c r="AE714" s="356">
        <f t="shared" si="169"/>
        <v>-9.5875000000000004</v>
      </c>
      <c r="AF714" s="238">
        <f t="shared" si="172"/>
        <v>8</v>
      </c>
      <c r="AG714" s="354"/>
      <c r="AK714"/>
      <c r="AL714"/>
      <c r="AM714"/>
      <c r="AN714"/>
      <c r="AO714"/>
      <c r="AP714"/>
      <c r="BI714" s="360"/>
      <c r="BJ714" s="354"/>
      <c r="BK714" s="366">
        <v>2018</v>
      </c>
      <c r="BL714" t="s">
        <v>1778</v>
      </c>
      <c r="BM714" t="s">
        <v>1389</v>
      </c>
      <c r="BN714" t="s">
        <v>3</v>
      </c>
      <c r="BO714">
        <v>0</v>
      </c>
      <c r="BP714">
        <v>0</v>
      </c>
      <c r="BQ714">
        <v>0</v>
      </c>
      <c r="BR714">
        <v>74</v>
      </c>
      <c r="BS714">
        <v>0</v>
      </c>
      <c r="BT714">
        <v>2</v>
      </c>
      <c r="BU714">
        <v>27</v>
      </c>
      <c r="BV714">
        <v>0</v>
      </c>
      <c r="BW714">
        <v>0</v>
      </c>
      <c r="BX714">
        <v>0</v>
      </c>
      <c r="BY714">
        <v>0</v>
      </c>
      <c r="BZ714">
        <v>0</v>
      </c>
      <c r="CA714">
        <v>0</v>
      </c>
      <c r="CB714" s="367">
        <f>IFERROR(BO714/Instructions!$J$25,0)+BP714*Instructions!$J$27+BQ714*Instructions!$J$29+IFERROR(BR714/Instructions!$E$34,0)+BS714*Instructions!$E$36+Tier!BT715*Instructions!$E$25+IFERROR(BU714/Instructions!$E$27,0)+BV714*Instructions!$E$29+IFERROR((BW714+BY714)/Instructions!$J$32,0)+(BX714+BZ714)*Instructions!$J$34+Tier!CA714*-2</f>
        <v>13.100000000000001</v>
      </c>
      <c r="CC714" s="354"/>
      <c r="CD714" s="3">
        <v>2018</v>
      </c>
      <c r="CE714" t="s">
        <v>215</v>
      </c>
      <c r="CF714" t="s">
        <v>157</v>
      </c>
      <c r="CG714" s="366" t="s">
        <v>6</v>
      </c>
      <c r="CH714">
        <v>0</v>
      </c>
      <c r="CI714">
        <v>0</v>
      </c>
      <c r="CJ714">
        <v>0</v>
      </c>
      <c r="CK714">
        <v>2</v>
      </c>
      <c r="CL714">
        <v>0</v>
      </c>
      <c r="CM714">
        <v>31</v>
      </c>
      <c r="CN714">
        <v>224</v>
      </c>
      <c r="CO714">
        <v>1</v>
      </c>
      <c r="CP714">
        <v>0</v>
      </c>
      <c r="CQ714">
        <v>0</v>
      </c>
      <c r="CR714">
        <v>0</v>
      </c>
      <c r="CS714">
        <v>0</v>
      </c>
      <c r="CT714">
        <v>0</v>
      </c>
      <c r="CU714" s="367">
        <f>IFERROR(CH714/Instructions!$J$25,0)+CI714*Instructions!$J$27+CJ714*Instructions!$J$29+IFERROR(CK714/Instructions!$E$34,0)+CL714*Instructions!$E$36+Tier!CM714*Instructions!$E$25+IFERROR(CN714/Instructions!$E$27,0)+CO714*Instructions!$E$29+IFERROR((CP714+CR714)/Instructions!$J$32,0)+(CQ714+CS714)*Instructions!$J$34+Tier!CT714*-2</f>
        <v>59.599999999999994</v>
      </c>
      <c r="CV714" s="354"/>
      <c r="CW714"/>
      <c r="CX714"/>
      <c r="CY714"/>
      <c r="CZ714"/>
      <c r="DA714"/>
      <c r="DB714"/>
      <c r="DC714"/>
      <c r="DD714"/>
      <c r="DE714"/>
      <c r="DF714"/>
      <c r="DG714"/>
      <c r="DH714"/>
      <c r="DI714"/>
      <c r="DJ714"/>
      <c r="DK714"/>
      <c r="DL714"/>
      <c r="DM714"/>
      <c r="DN714"/>
    </row>
    <row r="715" spans="3:118" s="238" customFormat="1" ht="15.75" customHeight="1" x14ac:dyDescent="0.25">
      <c r="C715"/>
      <c r="D715"/>
      <c r="E715"/>
      <c r="F715"/>
      <c r="G715"/>
      <c r="H715"/>
      <c r="I715"/>
      <c r="J715"/>
      <c r="K715"/>
      <c r="L715"/>
      <c r="M715"/>
      <c r="N715"/>
      <c r="O715" s="366"/>
      <c r="P715" s="366">
        <v>2018</v>
      </c>
      <c r="Q715" s="367">
        <f>LARGE($CB$606:$CB$755,110)</f>
        <v>12.4</v>
      </c>
      <c r="R715" s="357">
        <f t="shared" si="166"/>
        <v>-184.2</v>
      </c>
      <c r="S715" s="356">
        <f t="shared" si="165"/>
        <v>33929.64</v>
      </c>
      <c r="T715" s="356"/>
      <c r="U715" s="356">
        <f t="shared" si="167"/>
        <v>-11.512499999999999</v>
      </c>
      <c r="V715" s="238">
        <f t="shared" si="171"/>
        <v>8</v>
      </c>
      <c r="W715" s="354"/>
      <c r="X715" s="366"/>
      <c r="Y715" s="366"/>
      <c r="Z715" s="238">
        <v>2018</v>
      </c>
      <c r="AA715" s="367">
        <f>LARGE($CU$606:$CU$755,110)</f>
        <v>36</v>
      </c>
      <c r="AB715" s="357">
        <f t="shared" si="168"/>
        <v>-154.9</v>
      </c>
      <c r="AC715" s="356">
        <f t="shared" si="170"/>
        <v>23994.010000000002</v>
      </c>
      <c r="AE715" s="356">
        <f t="shared" si="169"/>
        <v>-9.6812500000000004</v>
      </c>
      <c r="AF715" s="238">
        <f t="shared" si="172"/>
        <v>8</v>
      </c>
      <c r="AG715" s="354"/>
      <c r="AK715"/>
      <c r="AL715"/>
      <c r="AM715"/>
      <c r="AN715"/>
      <c r="AO715"/>
      <c r="AP715"/>
      <c r="BI715" s="360"/>
      <c r="BJ715" s="354"/>
      <c r="BK715" s="366">
        <v>2018</v>
      </c>
      <c r="BL715" t="s">
        <v>1956</v>
      </c>
      <c r="BM715" t="s">
        <v>1942</v>
      </c>
      <c r="BN715" t="s">
        <v>3</v>
      </c>
      <c r="BO715">
        <v>0</v>
      </c>
      <c r="BP715">
        <v>0</v>
      </c>
      <c r="BQ715">
        <v>0</v>
      </c>
      <c r="BR715">
        <v>79</v>
      </c>
      <c r="BS715">
        <v>0</v>
      </c>
      <c r="BT715">
        <v>3</v>
      </c>
      <c r="BU715">
        <v>21</v>
      </c>
      <c r="BV715">
        <v>0</v>
      </c>
      <c r="BW715">
        <v>0</v>
      </c>
      <c r="BX715">
        <v>0</v>
      </c>
      <c r="BY715">
        <v>0</v>
      </c>
      <c r="BZ715">
        <v>0</v>
      </c>
      <c r="CA715">
        <v>0</v>
      </c>
      <c r="CB715" s="367">
        <f>IFERROR(BO715/Instructions!$J$25,0)+BP715*Instructions!$J$27+BQ715*Instructions!$J$29+IFERROR(BR715/Instructions!$E$34,0)+BS715*Instructions!$E$36+Tier!BT716*Instructions!$E$25+IFERROR(BU715/Instructions!$E$27,0)+BV715*Instructions!$E$29+IFERROR((BW715+BY715)/Instructions!$J$32,0)+(BX715+BZ715)*Instructions!$J$34+Tier!CA715*-2</f>
        <v>11</v>
      </c>
      <c r="CC715" s="354"/>
      <c r="CD715" s="3">
        <v>2018</v>
      </c>
      <c r="CE715" t="s">
        <v>1793</v>
      </c>
      <c r="CF715" t="s">
        <v>1930</v>
      </c>
      <c r="CG715" s="366" t="s">
        <v>6</v>
      </c>
      <c r="CH715">
        <v>0</v>
      </c>
      <c r="CI715">
        <v>0</v>
      </c>
      <c r="CJ715">
        <v>0</v>
      </c>
      <c r="CK715">
        <v>0</v>
      </c>
      <c r="CL715">
        <v>0</v>
      </c>
      <c r="CM715">
        <v>16</v>
      </c>
      <c r="CN715">
        <v>217</v>
      </c>
      <c r="CO715">
        <v>1</v>
      </c>
      <c r="CP715">
        <v>0</v>
      </c>
      <c r="CQ715">
        <v>0</v>
      </c>
      <c r="CR715">
        <v>0</v>
      </c>
      <c r="CS715">
        <v>0</v>
      </c>
      <c r="CT715">
        <v>0</v>
      </c>
      <c r="CU715" s="367">
        <f>IFERROR(CH715/Instructions!$J$25,0)+CI715*Instructions!$J$27+CJ715*Instructions!$J$29+IFERROR(CK715/Instructions!$E$34,0)+CL715*Instructions!$E$36+Tier!CM715*Instructions!$E$25+IFERROR(CN715/Instructions!$E$27,0)+CO715*Instructions!$E$29+IFERROR((CP715+CR715)/Instructions!$J$32,0)+(CQ715+CS715)*Instructions!$J$34+Tier!CT715*-2</f>
        <v>43.7</v>
      </c>
      <c r="CV715" s="354"/>
      <c r="CW715"/>
      <c r="CX715"/>
      <c r="CY715"/>
      <c r="CZ715"/>
      <c r="DA715"/>
      <c r="DB715"/>
      <c r="DC715"/>
      <c r="DD715"/>
      <c r="DE715"/>
      <c r="DF715"/>
      <c r="DG715"/>
      <c r="DH715"/>
      <c r="DI715"/>
      <c r="DJ715"/>
      <c r="DK715"/>
      <c r="DL715"/>
      <c r="DM715"/>
      <c r="DN715"/>
    </row>
    <row r="716" spans="3:118" s="238" customFormat="1" ht="15.75" customHeight="1" x14ac:dyDescent="0.25">
      <c r="C716"/>
      <c r="D716"/>
      <c r="E716"/>
      <c r="F716"/>
      <c r="G716"/>
      <c r="H716"/>
      <c r="I716"/>
      <c r="J716"/>
      <c r="K716"/>
      <c r="L716"/>
      <c r="M716"/>
      <c r="N716"/>
      <c r="O716" s="366"/>
      <c r="P716" s="366">
        <v>2018</v>
      </c>
      <c r="Q716" s="367">
        <f>LARGE($CB$606:$CB$755,111)</f>
        <v>11.7</v>
      </c>
      <c r="R716" s="357">
        <f t="shared" si="166"/>
        <v>-184.9</v>
      </c>
      <c r="S716" s="356">
        <f t="shared" si="165"/>
        <v>34188.01</v>
      </c>
      <c r="T716" s="356"/>
      <c r="U716" s="356">
        <f t="shared" si="167"/>
        <v>-11.55625</v>
      </c>
      <c r="V716" s="238">
        <f t="shared" si="171"/>
        <v>8</v>
      </c>
      <c r="W716" s="354"/>
      <c r="X716" s="366"/>
      <c r="Y716" s="366"/>
      <c r="Z716" s="238">
        <v>2018</v>
      </c>
      <c r="AA716" s="367">
        <f>LARGE($CU$606:$CU$755,111)</f>
        <v>35</v>
      </c>
      <c r="AB716" s="357">
        <f t="shared" si="168"/>
        <v>-155.9</v>
      </c>
      <c r="AC716" s="356">
        <f t="shared" si="170"/>
        <v>24304.81</v>
      </c>
      <c r="AE716" s="356">
        <f t="shared" si="169"/>
        <v>-9.7437500000000004</v>
      </c>
      <c r="AF716" s="238">
        <f t="shared" si="172"/>
        <v>8</v>
      </c>
      <c r="AG716" s="354"/>
      <c r="AK716"/>
      <c r="AL716"/>
      <c r="AM716"/>
      <c r="AN716"/>
      <c r="AO716"/>
      <c r="AP716"/>
      <c r="BI716" s="360"/>
      <c r="BJ716" s="354"/>
      <c r="BK716" s="366">
        <v>2018</v>
      </c>
      <c r="BL716" t="s">
        <v>985</v>
      </c>
      <c r="BM716" t="s">
        <v>1950</v>
      </c>
      <c r="BN716" t="s">
        <v>3</v>
      </c>
      <c r="BO716">
        <v>0</v>
      </c>
      <c r="BP716">
        <v>0</v>
      </c>
      <c r="BQ716">
        <v>0</v>
      </c>
      <c r="BR716">
        <v>20</v>
      </c>
      <c r="BS716">
        <v>0</v>
      </c>
      <c r="BT716">
        <v>1</v>
      </c>
      <c r="BU716">
        <v>9</v>
      </c>
      <c r="BV716">
        <v>0</v>
      </c>
      <c r="BW716">
        <v>0</v>
      </c>
      <c r="BX716">
        <v>0</v>
      </c>
      <c r="BY716">
        <v>173</v>
      </c>
      <c r="BZ716">
        <v>0</v>
      </c>
      <c r="CA716">
        <v>0</v>
      </c>
      <c r="CB716" s="367">
        <f>IFERROR(BO716/Instructions!$J$25,0)+BP716*Instructions!$J$27+BQ716*Instructions!$J$29+IFERROR(BR716/Instructions!$E$34,0)+BS716*Instructions!$E$36+Tier!BT717*Instructions!$E$25+IFERROR(BU716/Instructions!$E$27,0)+BV716*Instructions!$E$29+IFERROR((BW716+BY716)/Instructions!$J$32,0)+(BX716+BZ716)*Instructions!$J$34+Tier!CA716*-2</f>
        <v>4.9000000000000004</v>
      </c>
      <c r="CC716" s="354"/>
      <c r="CD716" s="3">
        <v>2018</v>
      </c>
      <c r="CE716" t="s">
        <v>1970</v>
      </c>
      <c r="CF716" t="s">
        <v>1949</v>
      </c>
      <c r="CG716" s="366" t="s">
        <v>6</v>
      </c>
      <c r="CH716">
        <v>0</v>
      </c>
      <c r="CI716">
        <v>0</v>
      </c>
      <c r="CJ716">
        <v>0</v>
      </c>
      <c r="CK716">
        <v>0</v>
      </c>
      <c r="CL716">
        <v>0</v>
      </c>
      <c r="CM716">
        <v>19</v>
      </c>
      <c r="CN716">
        <v>210</v>
      </c>
      <c r="CO716">
        <v>1</v>
      </c>
      <c r="CP716">
        <v>0</v>
      </c>
      <c r="CQ716">
        <v>0</v>
      </c>
      <c r="CR716">
        <v>0</v>
      </c>
      <c r="CS716">
        <v>0</v>
      </c>
      <c r="CT716">
        <v>0</v>
      </c>
      <c r="CU716" s="367">
        <f>IFERROR(CH716/Instructions!$J$25,0)+CI716*Instructions!$J$27+CJ716*Instructions!$J$29+IFERROR(CK716/Instructions!$E$34,0)+CL716*Instructions!$E$36+Tier!CM716*Instructions!$E$25+IFERROR(CN716/Instructions!$E$27,0)+CO716*Instructions!$E$29+IFERROR((CP716+CR716)/Instructions!$J$32,0)+(CQ716+CS716)*Instructions!$J$34+Tier!CT716*-2</f>
        <v>46</v>
      </c>
      <c r="CV716" s="354"/>
      <c r="CW716"/>
      <c r="CX716"/>
      <c r="CY716"/>
      <c r="CZ716"/>
      <c r="DA716"/>
      <c r="DB716"/>
      <c r="DC716"/>
      <c r="DD716"/>
      <c r="DE716"/>
      <c r="DF716"/>
      <c r="DG716"/>
      <c r="DH716"/>
      <c r="DI716"/>
      <c r="DJ716"/>
      <c r="DK716"/>
      <c r="DL716"/>
      <c r="DM716"/>
      <c r="DN716"/>
    </row>
    <row r="717" spans="3:118" s="238" customFormat="1" ht="15.75" customHeight="1" x14ac:dyDescent="0.25">
      <c r="C717"/>
      <c r="D717"/>
      <c r="E717"/>
      <c r="F717"/>
      <c r="G717"/>
      <c r="H717"/>
      <c r="I717"/>
      <c r="J717"/>
      <c r="K717"/>
      <c r="L717"/>
      <c r="M717"/>
      <c r="N717"/>
      <c r="O717" s="366"/>
      <c r="P717" s="366">
        <v>2018</v>
      </c>
      <c r="Q717" s="367">
        <f>LARGE($CB$606:$CB$755,112)</f>
        <v>11</v>
      </c>
      <c r="R717" s="357">
        <f t="shared" si="166"/>
        <v>-185.6</v>
      </c>
      <c r="S717" s="356">
        <f t="shared" si="165"/>
        <v>34447.360000000001</v>
      </c>
      <c r="U717" s="356">
        <f t="shared" si="167"/>
        <v>-11.6</v>
      </c>
      <c r="V717" s="238">
        <f t="shared" si="171"/>
        <v>8</v>
      </c>
      <c r="W717" s="354"/>
      <c r="X717" s="366"/>
      <c r="Y717" s="366"/>
      <c r="Z717" s="238">
        <v>2018</v>
      </c>
      <c r="AA717" s="367">
        <f>LARGE($CU$606:$CU$755,112)</f>
        <v>33.1</v>
      </c>
      <c r="AB717" s="357">
        <f t="shared" si="168"/>
        <v>-157.80000000000001</v>
      </c>
      <c r="AC717" s="356">
        <f t="shared" si="170"/>
        <v>24900.840000000004</v>
      </c>
      <c r="AE717" s="356">
        <f t="shared" si="169"/>
        <v>-9.8625000000000007</v>
      </c>
      <c r="AF717" s="238">
        <f t="shared" si="172"/>
        <v>8</v>
      </c>
      <c r="AG717" s="354"/>
      <c r="AK717"/>
      <c r="AL717"/>
      <c r="AM717"/>
      <c r="AN717"/>
      <c r="AO717"/>
      <c r="AP717"/>
      <c r="BI717" s="360"/>
      <c r="BJ717" s="354"/>
      <c r="BK717" s="366">
        <v>2018</v>
      </c>
      <c r="BL717" t="s">
        <v>1175</v>
      </c>
      <c r="BM717" t="s">
        <v>136</v>
      </c>
      <c r="BN717" t="s">
        <v>3</v>
      </c>
      <c r="BO717">
        <v>0</v>
      </c>
      <c r="BP717">
        <v>0</v>
      </c>
      <c r="BQ717">
        <v>0</v>
      </c>
      <c r="BR717">
        <v>-1</v>
      </c>
      <c r="BS717">
        <v>0</v>
      </c>
      <c r="BT717">
        <v>2</v>
      </c>
      <c r="BU717">
        <v>37</v>
      </c>
      <c r="BV717">
        <v>1</v>
      </c>
      <c r="BW717">
        <v>0</v>
      </c>
      <c r="BX717">
        <v>0</v>
      </c>
      <c r="BY717">
        <v>0</v>
      </c>
      <c r="BZ717">
        <v>0</v>
      </c>
      <c r="CA717">
        <v>0</v>
      </c>
      <c r="CB717" s="367">
        <f>IFERROR(BO717/Instructions!$J$25,0)+BP717*Instructions!$J$27+BQ717*Instructions!$J$29+IFERROR(BR717/Instructions!$E$34,0)+BS717*Instructions!$E$36+Tier!BT718*Instructions!$E$25+IFERROR(BU717/Instructions!$E$27,0)+BV717*Instructions!$E$29+IFERROR((BW717+BY717)/Instructions!$J$32,0)+(BX717+BZ717)*Instructions!$J$34+Tier!CA717*-2</f>
        <v>20.6</v>
      </c>
      <c r="CC717" s="354"/>
      <c r="CD717" s="3">
        <v>2018</v>
      </c>
      <c r="CE717" t="s">
        <v>194</v>
      </c>
      <c r="CF717" t="s">
        <v>1941</v>
      </c>
      <c r="CG717" s="366" t="s">
        <v>6</v>
      </c>
      <c r="CH717">
        <v>0</v>
      </c>
      <c r="CI717">
        <v>0</v>
      </c>
      <c r="CJ717">
        <v>0</v>
      </c>
      <c r="CK717">
        <v>23</v>
      </c>
      <c r="CL717">
        <v>0</v>
      </c>
      <c r="CM717">
        <v>19</v>
      </c>
      <c r="CN717">
        <v>266</v>
      </c>
      <c r="CO717">
        <v>0</v>
      </c>
      <c r="CP717">
        <v>0</v>
      </c>
      <c r="CQ717">
        <v>0</v>
      </c>
      <c r="CR717">
        <v>1</v>
      </c>
      <c r="CS717">
        <v>0</v>
      </c>
      <c r="CT717">
        <v>0</v>
      </c>
      <c r="CU717" s="367">
        <f>IFERROR(CH717/Instructions!$J$25,0)+CI717*Instructions!$J$27+CJ717*Instructions!$J$29+IFERROR(CK717/Instructions!$E$34,0)+CL717*Instructions!$E$36+Tier!CM717*Instructions!$E$25+IFERROR(CN717/Instructions!$E$27,0)+CO717*Instructions!$E$29+IFERROR((CP717+CR717)/Instructions!$J$32,0)+(CQ717+CS717)*Instructions!$J$34+Tier!CT717*-2</f>
        <v>47.900000000000006</v>
      </c>
      <c r="CV717" s="354"/>
      <c r="CW717"/>
      <c r="CX717"/>
      <c r="CY717"/>
      <c r="CZ717"/>
      <c r="DA717"/>
      <c r="DB717"/>
      <c r="DC717"/>
      <c r="DD717"/>
      <c r="DE717"/>
      <c r="DF717"/>
      <c r="DG717"/>
      <c r="DH717"/>
      <c r="DI717"/>
      <c r="DJ717"/>
      <c r="DK717"/>
      <c r="DL717"/>
      <c r="DM717"/>
      <c r="DN717"/>
    </row>
    <row r="718" spans="3:118" s="238" customFormat="1" ht="15.75" customHeight="1" x14ac:dyDescent="0.25">
      <c r="C718"/>
      <c r="D718"/>
      <c r="E718"/>
      <c r="F718"/>
      <c r="G718"/>
      <c r="H718"/>
      <c r="I718"/>
      <c r="J718"/>
      <c r="K718"/>
      <c r="L718"/>
      <c r="M718"/>
      <c r="N718"/>
      <c r="O718" s="366"/>
      <c r="P718" s="366">
        <v>2018</v>
      </c>
      <c r="Q718" s="367">
        <f>LARGE($CB$606:$CB$755,113)</f>
        <v>10.5</v>
      </c>
      <c r="R718" s="357">
        <f t="shared" si="166"/>
        <v>-186.1</v>
      </c>
      <c r="S718" s="356">
        <f t="shared" si="165"/>
        <v>34633.21</v>
      </c>
      <c r="U718" s="356">
        <f t="shared" si="167"/>
        <v>-11.63125</v>
      </c>
      <c r="V718" s="238">
        <f t="shared" si="171"/>
        <v>8</v>
      </c>
      <c r="W718" s="354"/>
      <c r="X718" s="366"/>
      <c r="Y718" s="366"/>
      <c r="Z718" s="238">
        <v>2018</v>
      </c>
      <c r="AA718" s="367">
        <f>LARGE($CU$606:$CU$755,113)</f>
        <v>31.7</v>
      </c>
      <c r="AB718" s="357">
        <f t="shared" si="168"/>
        <v>-159.20000000000002</v>
      </c>
      <c r="AC718" s="356">
        <f t="shared" si="170"/>
        <v>25344.640000000007</v>
      </c>
      <c r="AE718" s="356">
        <f t="shared" si="169"/>
        <v>-9.9500000000000011</v>
      </c>
      <c r="AF718" s="238">
        <f t="shared" si="172"/>
        <v>8</v>
      </c>
      <c r="AG718" s="354"/>
      <c r="AK718"/>
      <c r="AL718"/>
      <c r="AM718"/>
      <c r="AN718"/>
      <c r="AO718"/>
      <c r="AP718"/>
      <c r="BI718" s="360"/>
      <c r="BJ718" s="354"/>
      <c r="BK718" s="366">
        <v>2018</v>
      </c>
      <c r="BL718" t="s">
        <v>1610</v>
      </c>
      <c r="BM718" t="s">
        <v>1934</v>
      </c>
      <c r="BN718" t="s">
        <v>3</v>
      </c>
      <c r="BO718">
        <v>0</v>
      </c>
      <c r="BP718">
        <v>0</v>
      </c>
      <c r="BQ718">
        <v>0</v>
      </c>
      <c r="BR718">
        <v>8</v>
      </c>
      <c r="BS718">
        <v>0</v>
      </c>
      <c r="BT718">
        <v>11</v>
      </c>
      <c r="BU718">
        <v>85</v>
      </c>
      <c r="BV718">
        <v>0</v>
      </c>
      <c r="BW718">
        <v>0</v>
      </c>
      <c r="BX718">
        <v>0</v>
      </c>
      <c r="BY718">
        <v>0</v>
      </c>
      <c r="BZ718">
        <v>0</v>
      </c>
      <c r="CA718">
        <v>0</v>
      </c>
      <c r="CB718" s="367">
        <f>IFERROR(BO718/Instructions!$J$25,0)+BP718*Instructions!$J$27+BQ718*Instructions!$J$29+IFERROR(BR718/Instructions!$E$34,0)+BS718*Instructions!$E$36+Tier!BT719*Instructions!$E$25+IFERROR(BU718/Instructions!$E$27,0)+BV718*Instructions!$E$29+IFERROR((BW718+BY718)/Instructions!$J$32,0)+(BX718+BZ718)*Instructions!$J$34+Tier!CA718*-2</f>
        <v>14.3</v>
      </c>
      <c r="CC718" s="354"/>
      <c r="CD718" s="3">
        <v>2018</v>
      </c>
      <c r="CE718" t="s">
        <v>132</v>
      </c>
      <c r="CF718" t="s">
        <v>1941</v>
      </c>
      <c r="CG718" s="366" t="s">
        <v>6</v>
      </c>
      <c r="CH718">
        <v>0</v>
      </c>
      <c r="CI718">
        <v>0</v>
      </c>
      <c r="CJ718">
        <v>0</v>
      </c>
      <c r="CK718">
        <v>0</v>
      </c>
      <c r="CL718">
        <v>0</v>
      </c>
      <c r="CM718">
        <v>12</v>
      </c>
      <c r="CN718">
        <v>135</v>
      </c>
      <c r="CO718">
        <v>2</v>
      </c>
      <c r="CP718">
        <v>0</v>
      </c>
      <c r="CQ718">
        <v>0</v>
      </c>
      <c r="CR718">
        <v>0</v>
      </c>
      <c r="CS718">
        <v>0</v>
      </c>
      <c r="CT718">
        <v>0</v>
      </c>
      <c r="CU718" s="367">
        <f>IFERROR(CH718/Instructions!$J$25,0)+CI718*Instructions!$J$27+CJ718*Instructions!$J$29+IFERROR(CK718/Instructions!$E$34,0)+CL718*Instructions!$E$36+Tier!CM718*Instructions!$E$25+IFERROR(CN718/Instructions!$E$27,0)+CO718*Instructions!$E$29+IFERROR((CP718+CR718)/Instructions!$J$32,0)+(CQ718+CS718)*Instructions!$J$34+Tier!CT718*-2</f>
        <v>37.5</v>
      </c>
      <c r="CV718" s="354"/>
      <c r="CW718"/>
      <c r="CX718"/>
      <c r="CY718"/>
      <c r="CZ718"/>
      <c r="DA718"/>
      <c r="DB718"/>
      <c r="DC718"/>
      <c r="DD718"/>
      <c r="DE718"/>
      <c r="DF718"/>
      <c r="DG718"/>
      <c r="DH718"/>
      <c r="DI718"/>
      <c r="DJ718"/>
      <c r="DK718"/>
      <c r="DL718"/>
      <c r="DM718"/>
      <c r="DN718"/>
    </row>
    <row r="719" spans="3:118" s="238" customFormat="1" ht="15.75" customHeight="1" x14ac:dyDescent="0.25">
      <c r="C719"/>
      <c r="D719"/>
      <c r="E719"/>
      <c r="F719"/>
      <c r="G719"/>
      <c r="H719"/>
      <c r="I719"/>
      <c r="J719"/>
      <c r="K719"/>
      <c r="L719"/>
      <c r="M719"/>
      <c r="N719"/>
      <c r="O719" s="366"/>
      <c r="P719" s="366">
        <v>2018</v>
      </c>
      <c r="Q719" s="367">
        <f>LARGE($CB$606:$CB$755,114)</f>
        <v>10.4</v>
      </c>
      <c r="R719" s="357">
        <f t="shared" si="166"/>
        <v>-186.2</v>
      </c>
      <c r="S719" s="356">
        <f t="shared" si="165"/>
        <v>34670.439999999995</v>
      </c>
      <c r="U719" s="356">
        <f t="shared" si="167"/>
        <v>-11.637499999999999</v>
      </c>
      <c r="V719" s="238">
        <f t="shared" si="171"/>
        <v>8</v>
      </c>
      <c r="W719" s="354"/>
      <c r="X719" s="366"/>
      <c r="Y719" s="366"/>
      <c r="Z719" s="238">
        <v>2018</v>
      </c>
      <c r="AA719" s="367">
        <f>LARGE($CU$606:$CU$755,114)</f>
        <v>31.4</v>
      </c>
      <c r="AB719" s="357">
        <f t="shared" si="168"/>
        <v>-159.5</v>
      </c>
      <c r="AC719" s="356">
        <f t="shared" si="170"/>
        <v>25440.25</v>
      </c>
      <c r="AE719" s="356">
        <f t="shared" si="169"/>
        <v>-9.96875</v>
      </c>
      <c r="AF719" s="238">
        <f t="shared" si="172"/>
        <v>8</v>
      </c>
      <c r="AG719" s="354"/>
      <c r="AK719"/>
      <c r="AL719"/>
      <c r="AM719"/>
      <c r="AN719"/>
      <c r="AO719"/>
      <c r="AP719"/>
      <c r="BI719" s="360"/>
      <c r="BJ719" s="354"/>
      <c r="BK719" s="366">
        <v>2018</v>
      </c>
      <c r="BL719" t="s">
        <v>117</v>
      </c>
      <c r="BM719" t="s">
        <v>1929</v>
      </c>
      <c r="BN719" t="s">
        <v>3</v>
      </c>
      <c r="BO719">
        <v>0</v>
      </c>
      <c r="BP719">
        <v>0</v>
      </c>
      <c r="BQ719">
        <v>0</v>
      </c>
      <c r="BR719">
        <v>68</v>
      </c>
      <c r="BS719">
        <v>0</v>
      </c>
      <c r="BT719">
        <v>5</v>
      </c>
      <c r="BU719">
        <v>23</v>
      </c>
      <c r="BV719">
        <v>0</v>
      </c>
      <c r="BW719">
        <v>0</v>
      </c>
      <c r="BX719">
        <v>0</v>
      </c>
      <c r="BY719">
        <v>0</v>
      </c>
      <c r="BZ719">
        <v>0</v>
      </c>
      <c r="CA719">
        <v>0</v>
      </c>
      <c r="CB719" s="367">
        <f>IFERROR(BO719/Instructions!$J$25,0)+BP719*Instructions!$J$27+BQ719*Instructions!$J$29+IFERROR(BR719/Instructions!$E$34,0)+BS719*Instructions!$E$36+Tier!BT720*Instructions!$E$25+IFERROR(BU719/Instructions!$E$27,0)+BV719*Instructions!$E$29+IFERROR((BW719+BY719)/Instructions!$J$32,0)+(BX719+BZ719)*Instructions!$J$34+Tier!CA719*-2</f>
        <v>13.100000000000001</v>
      </c>
      <c r="CC719" s="354"/>
      <c r="CD719" s="3">
        <v>2018</v>
      </c>
      <c r="CE719" t="s">
        <v>1272</v>
      </c>
      <c r="CF719" t="s">
        <v>154</v>
      </c>
      <c r="CG719" s="366" t="s">
        <v>6</v>
      </c>
      <c r="CH719">
        <v>0</v>
      </c>
      <c r="CI719">
        <v>0</v>
      </c>
      <c r="CJ719">
        <v>0</v>
      </c>
      <c r="CK719">
        <v>0</v>
      </c>
      <c r="CL719">
        <v>0</v>
      </c>
      <c r="CM719">
        <v>16</v>
      </c>
      <c r="CN719">
        <v>199</v>
      </c>
      <c r="CO719">
        <v>1</v>
      </c>
      <c r="CP719">
        <v>0</v>
      </c>
      <c r="CQ719">
        <v>0</v>
      </c>
      <c r="CR719">
        <v>0</v>
      </c>
      <c r="CS719">
        <v>0</v>
      </c>
      <c r="CT719">
        <v>0</v>
      </c>
      <c r="CU719" s="367">
        <f>IFERROR(CH719/Instructions!$J$25,0)+CI719*Instructions!$J$27+CJ719*Instructions!$J$29+IFERROR(CK719/Instructions!$E$34,0)+CL719*Instructions!$E$36+Tier!CM719*Instructions!$E$25+IFERROR(CN719/Instructions!$E$27,0)+CO719*Instructions!$E$29+IFERROR((CP719+CR719)/Instructions!$J$32,0)+(CQ719+CS719)*Instructions!$J$34+Tier!CT719*-2</f>
        <v>41.9</v>
      </c>
      <c r="CV719" s="354"/>
      <c r="CW719"/>
      <c r="CX719"/>
      <c r="CY719"/>
      <c r="CZ719"/>
      <c r="DA719"/>
      <c r="DB719"/>
      <c r="DC719"/>
      <c r="DD719"/>
      <c r="DE719"/>
      <c r="DF719"/>
      <c r="DG719"/>
      <c r="DH719"/>
      <c r="DI719"/>
      <c r="DJ719"/>
      <c r="DK719"/>
      <c r="DL719"/>
      <c r="DM719"/>
      <c r="DN719"/>
    </row>
    <row r="720" spans="3:118" s="238" customFormat="1" ht="15.75" customHeight="1" x14ac:dyDescent="0.25">
      <c r="C720"/>
      <c r="D720"/>
      <c r="E720"/>
      <c r="F720"/>
      <c r="G720"/>
      <c r="H720"/>
      <c r="I720"/>
      <c r="J720"/>
      <c r="K720"/>
      <c r="L720"/>
      <c r="M720"/>
      <c r="N720"/>
      <c r="O720" s="366"/>
      <c r="P720" s="366">
        <v>2018</v>
      </c>
      <c r="Q720" s="367">
        <f>LARGE($CB$606:$CB$755,115)</f>
        <v>9.1</v>
      </c>
      <c r="R720" s="357">
        <f t="shared" si="166"/>
        <v>-187.5</v>
      </c>
      <c r="S720" s="356">
        <f t="shared" si="165"/>
        <v>35156.25</v>
      </c>
      <c r="U720" s="356">
        <f t="shared" si="167"/>
        <v>-11.71875</v>
      </c>
      <c r="V720" s="238">
        <f t="shared" si="171"/>
        <v>8</v>
      </c>
      <c r="W720" s="354"/>
      <c r="X720" s="366"/>
      <c r="Y720" s="366"/>
      <c r="Z720" s="238">
        <v>2018</v>
      </c>
      <c r="AA720" s="367">
        <f>LARGE($CU$606:$CU$755,115)</f>
        <v>30.9</v>
      </c>
      <c r="AB720" s="357">
        <f t="shared" si="168"/>
        <v>-160</v>
      </c>
      <c r="AC720" s="356">
        <f t="shared" si="170"/>
        <v>25600</v>
      </c>
      <c r="AE720" s="356">
        <f t="shared" si="169"/>
        <v>-10</v>
      </c>
      <c r="AF720" s="238">
        <f t="shared" si="172"/>
        <v>8</v>
      </c>
      <c r="AG720" s="354"/>
      <c r="AK720"/>
      <c r="AL720"/>
      <c r="AM720"/>
      <c r="AN720"/>
      <c r="AO720"/>
      <c r="AP720"/>
      <c r="BI720" s="360"/>
      <c r="BJ720" s="354"/>
      <c r="BK720" s="366">
        <v>2018</v>
      </c>
      <c r="BL720" t="s">
        <v>1635</v>
      </c>
      <c r="BM720" t="s">
        <v>1940</v>
      </c>
      <c r="BN720" t="s">
        <v>3</v>
      </c>
      <c r="BO720">
        <v>0</v>
      </c>
      <c r="BP720">
        <v>0</v>
      </c>
      <c r="BQ720">
        <v>0</v>
      </c>
      <c r="BR720">
        <v>9</v>
      </c>
      <c r="BS720">
        <v>0</v>
      </c>
      <c r="BT720">
        <v>4</v>
      </c>
      <c r="BU720">
        <v>30</v>
      </c>
      <c r="BV720">
        <v>0</v>
      </c>
      <c r="BW720">
        <v>0</v>
      </c>
      <c r="BX720">
        <v>0</v>
      </c>
      <c r="BY720">
        <v>114</v>
      </c>
      <c r="BZ720">
        <v>0</v>
      </c>
      <c r="CA720">
        <v>0</v>
      </c>
      <c r="CB720" s="367">
        <f>IFERROR(BO720/Instructions!$J$25,0)+BP720*Instructions!$J$27+BQ720*Instructions!$J$29+IFERROR(BR720/Instructions!$E$34,0)+BS720*Instructions!$E$36+Tier!BT721*Instructions!$E$25+IFERROR(BU720/Instructions!$E$27,0)+BV720*Instructions!$E$29+IFERROR((BW720+BY720)/Instructions!$J$32,0)+(BX720+BZ720)*Instructions!$J$34+Tier!CA720*-2</f>
        <v>6.9</v>
      </c>
      <c r="CC720" s="354"/>
      <c r="CD720" s="3">
        <v>2018</v>
      </c>
      <c r="CE720" t="s">
        <v>1448</v>
      </c>
      <c r="CF720" t="s">
        <v>1949</v>
      </c>
      <c r="CG720" s="366" t="s">
        <v>6</v>
      </c>
      <c r="CH720">
        <v>0</v>
      </c>
      <c r="CI720">
        <v>0</v>
      </c>
      <c r="CJ720">
        <v>0</v>
      </c>
      <c r="CK720">
        <v>9</v>
      </c>
      <c r="CL720">
        <v>0</v>
      </c>
      <c r="CM720">
        <v>17</v>
      </c>
      <c r="CN720">
        <v>171</v>
      </c>
      <c r="CO720">
        <v>1</v>
      </c>
      <c r="CP720">
        <v>0</v>
      </c>
      <c r="CQ720">
        <v>0</v>
      </c>
      <c r="CR720">
        <v>0</v>
      </c>
      <c r="CS720">
        <v>0</v>
      </c>
      <c r="CT720">
        <v>0</v>
      </c>
      <c r="CU720" s="367">
        <f>IFERROR(CH720/Instructions!$J$25,0)+CI720*Instructions!$J$27+CJ720*Instructions!$J$29+IFERROR(CK720/Instructions!$E$34,0)+CL720*Instructions!$E$36+Tier!CM720*Instructions!$E$25+IFERROR(CN720/Instructions!$E$27,0)+CO720*Instructions!$E$29+IFERROR((CP720+CR720)/Instructions!$J$32,0)+(CQ720+CS720)*Instructions!$J$34+Tier!CT720*-2</f>
        <v>41</v>
      </c>
      <c r="CV720" s="354"/>
      <c r="CW720"/>
      <c r="CX720"/>
      <c r="CY720"/>
      <c r="CZ720"/>
      <c r="DA720"/>
      <c r="DB720"/>
      <c r="DC720"/>
      <c r="DD720"/>
      <c r="DE720"/>
      <c r="DF720"/>
      <c r="DG720"/>
      <c r="DH720"/>
      <c r="DI720"/>
      <c r="DJ720"/>
      <c r="DK720"/>
      <c r="DL720"/>
      <c r="DM720"/>
      <c r="DN720"/>
    </row>
    <row r="721" spans="3:118" s="238" customFormat="1" ht="15.75" customHeight="1" x14ac:dyDescent="0.25">
      <c r="C721"/>
      <c r="D721"/>
      <c r="E721"/>
      <c r="F721"/>
      <c r="G721"/>
      <c r="H721"/>
      <c r="I721"/>
      <c r="J721"/>
      <c r="K721"/>
      <c r="L721"/>
      <c r="M721"/>
      <c r="N721"/>
      <c r="O721" s="366"/>
      <c r="P721" s="366">
        <v>2018</v>
      </c>
      <c r="Q721" s="367">
        <f>LARGE($CB$606:$CB$755,116)</f>
        <v>8.8999999999999986</v>
      </c>
      <c r="R721" s="357">
        <f t="shared" si="166"/>
        <v>-187.7</v>
      </c>
      <c r="S721" s="356">
        <f t="shared" ref="S721:S755" si="173">R721^2</f>
        <v>35231.289999999994</v>
      </c>
      <c r="U721" s="356">
        <f t="shared" si="167"/>
        <v>-11.731249999999999</v>
      </c>
      <c r="V721" s="238">
        <f t="shared" si="171"/>
        <v>8</v>
      </c>
      <c r="W721" s="354"/>
      <c r="X721" s="366"/>
      <c r="Y721" s="366"/>
      <c r="Z721" s="238">
        <v>2018</v>
      </c>
      <c r="AA721" s="367">
        <f>LARGE($CU$606:$CU$755,116)</f>
        <v>30.7</v>
      </c>
      <c r="AB721" s="357">
        <f t="shared" si="168"/>
        <v>-160.20000000000002</v>
      </c>
      <c r="AC721" s="356">
        <f t="shared" si="170"/>
        <v>25664.040000000005</v>
      </c>
      <c r="AE721" s="356">
        <f t="shared" si="169"/>
        <v>-10.012500000000001</v>
      </c>
      <c r="AF721" s="238">
        <f t="shared" si="172"/>
        <v>8</v>
      </c>
      <c r="AG721" s="354"/>
      <c r="AK721"/>
      <c r="AL721"/>
      <c r="AM721"/>
      <c r="AN721"/>
      <c r="AO721"/>
      <c r="AP721"/>
      <c r="BI721" s="360"/>
      <c r="BJ721" s="354"/>
      <c r="BK721" s="366">
        <v>2018</v>
      </c>
      <c r="BL721" t="s">
        <v>1836</v>
      </c>
      <c r="BM721" t="s">
        <v>149</v>
      </c>
      <c r="BN721" t="s">
        <v>3</v>
      </c>
      <c r="BO721">
        <v>0</v>
      </c>
      <c r="BP721">
        <v>0</v>
      </c>
      <c r="BQ721">
        <v>0</v>
      </c>
      <c r="BR721">
        <v>29</v>
      </c>
      <c r="BS721">
        <v>0</v>
      </c>
      <c r="BT721">
        <v>3</v>
      </c>
      <c r="BU721">
        <v>5</v>
      </c>
      <c r="BV721">
        <v>0</v>
      </c>
      <c r="BW721">
        <v>0</v>
      </c>
      <c r="BX721">
        <v>0</v>
      </c>
      <c r="BY721">
        <v>122</v>
      </c>
      <c r="BZ721">
        <v>0</v>
      </c>
      <c r="CA721">
        <v>0</v>
      </c>
      <c r="CB721" s="367">
        <f>IFERROR(BO721/Instructions!$J$25,0)+BP721*Instructions!$J$27+BQ721*Instructions!$J$29+IFERROR(BR721/Instructions!$E$34,0)+BS721*Instructions!$E$36+Tier!BT722*Instructions!$E$25+IFERROR(BU721/Instructions!$E$27,0)+BV721*Instructions!$E$29+IFERROR((BW721+BY721)/Instructions!$J$32,0)+(BX721+BZ721)*Instructions!$J$34+Tier!CA721*-2</f>
        <v>5.4</v>
      </c>
      <c r="CC721" s="354"/>
      <c r="CD721" s="3">
        <v>2018</v>
      </c>
      <c r="CE721" t="s">
        <v>1343</v>
      </c>
      <c r="CF721" t="s">
        <v>1944</v>
      </c>
      <c r="CG721" s="366" t="s">
        <v>6</v>
      </c>
      <c r="CH721">
        <v>0</v>
      </c>
      <c r="CI721">
        <v>0</v>
      </c>
      <c r="CJ721">
        <v>0</v>
      </c>
      <c r="CK721">
        <v>0</v>
      </c>
      <c r="CL721">
        <v>0</v>
      </c>
      <c r="CM721">
        <v>13</v>
      </c>
      <c r="CN721">
        <v>160</v>
      </c>
      <c r="CO721">
        <v>1</v>
      </c>
      <c r="CP721">
        <v>0</v>
      </c>
      <c r="CQ721">
        <v>0</v>
      </c>
      <c r="CR721">
        <v>0</v>
      </c>
      <c r="CS721">
        <v>0</v>
      </c>
      <c r="CT721">
        <v>0</v>
      </c>
      <c r="CU721" s="367">
        <f>IFERROR(CH721/Instructions!$J$25,0)+CI721*Instructions!$J$27+CJ721*Instructions!$J$29+IFERROR(CK721/Instructions!$E$34,0)+CL721*Instructions!$E$36+Tier!CM721*Instructions!$E$25+IFERROR(CN721/Instructions!$E$27,0)+CO721*Instructions!$E$29+IFERROR((CP721+CR721)/Instructions!$J$32,0)+(CQ721+CS721)*Instructions!$J$34+Tier!CT721*-2</f>
        <v>35</v>
      </c>
      <c r="CV721" s="354"/>
      <c r="CW721"/>
      <c r="CX721"/>
      <c r="CY721"/>
      <c r="CZ721"/>
      <c r="DA721"/>
      <c r="DB721"/>
      <c r="DC721"/>
      <c r="DD721"/>
      <c r="DE721"/>
      <c r="DF721"/>
      <c r="DG721"/>
      <c r="DH721"/>
      <c r="DI721"/>
      <c r="DJ721"/>
      <c r="DK721"/>
      <c r="DL721"/>
      <c r="DM721"/>
      <c r="DN721"/>
    </row>
    <row r="722" spans="3:118" s="238" customFormat="1" ht="15.75" customHeight="1" x14ac:dyDescent="0.25">
      <c r="C722"/>
      <c r="D722"/>
      <c r="E722"/>
      <c r="F722"/>
      <c r="G722"/>
      <c r="H722"/>
      <c r="I722"/>
      <c r="J722"/>
      <c r="K722"/>
      <c r="L722"/>
      <c r="M722"/>
      <c r="N722"/>
      <c r="O722" s="366"/>
      <c r="P722" s="366">
        <v>2018</v>
      </c>
      <c r="Q722" s="367">
        <f>LARGE($CB$606:$CB$755,117)</f>
        <v>8.7999999999999989</v>
      </c>
      <c r="R722" s="357">
        <f t="shared" si="166"/>
        <v>-187.79999999999998</v>
      </c>
      <c r="S722" s="356">
        <f t="shared" si="173"/>
        <v>35268.839999999997</v>
      </c>
      <c r="U722" s="356">
        <f t="shared" si="167"/>
        <v>-11.737499999999999</v>
      </c>
      <c r="V722" s="238">
        <f t="shared" si="171"/>
        <v>8</v>
      </c>
      <c r="W722" s="354"/>
      <c r="X722" s="366"/>
      <c r="Y722" s="366"/>
      <c r="Z722" s="238">
        <v>2018</v>
      </c>
      <c r="AA722" s="367">
        <f>LARGE($CU$606:$CU$755,117)</f>
        <v>29.2</v>
      </c>
      <c r="AB722" s="357">
        <f t="shared" si="168"/>
        <v>-161.70000000000002</v>
      </c>
      <c r="AC722" s="356">
        <f t="shared" si="170"/>
        <v>26146.890000000007</v>
      </c>
      <c r="AE722" s="356">
        <f t="shared" si="169"/>
        <v>-10.106250000000001</v>
      </c>
      <c r="AF722" s="238">
        <f t="shared" si="172"/>
        <v>8</v>
      </c>
      <c r="AG722" s="354"/>
      <c r="AK722"/>
      <c r="AL722"/>
      <c r="AM722"/>
      <c r="AN722"/>
      <c r="AO722"/>
      <c r="AP722"/>
      <c r="BI722" s="360"/>
      <c r="BJ722" s="354"/>
      <c r="BK722" s="366">
        <v>2018</v>
      </c>
      <c r="BL722" t="s">
        <v>1771</v>
      </c>
      <c r="BM722" t="s">
        <v>1932</v>
      </c>
      <c r="BN722" t="s">
        <v>3</v>
      </c>
      <c r="BO722">
        <v>0</v>
      </c>
      <c r="BP722">
        <v>0</v>
      </c>
      <c r="BQ722">
        <v>0</v>
      </c>
      <c r="BR722">
        <v>-1</v>
      </c>
      <c r="BS722">
        <v>0</v>
      </c>
      <c r="BT722">
        <v>2</v>
      </c>
      <c r="BU722">
        <v>28</v>
      </c>
      <c r="BV722">
        <v>1</v>
      </c>
      <c r="BW722">
        <v>0</v>
      </c>
      <c r="BX722">
        <v>0</v>
      </c>
      <c r="BY722">
        <v>0</v>
      </c>
      <c r="BZ722">
        <v>0</v>
      </c>
      <c r="CA722">
        <v>0</v>
      </c>
      <c r="CB722" s="367">
        <f>IFERROR(BO722/Instructions!$J$25,0)+BP722*Instructions!$J$27+BQ722*Instructions!$J$29+IFERROR(BR722/Instructions!$E$34,0)+BS722*Instructions!$E$36+Tier!BT723*Instructions!$E$25+IFERROR(BU722/Instructions!$E$27,0)+BV722*Instructions!$E$29+IFERROR((BW722+BY722)/Instructions!$J$32,0)+(BX722+BZ722)*Instructions!$J$34+Tier!CA722*-2</f>
        <v>13.7</v>
      </c>
      <c r="CC722" s="354"/>
      <c r="CD722" s="3">
        <v>2018</v>
      </c>
      <c r="CE722" t="s">
        <v>1971</v>
      </c>
      <c r="CF722" t="s">
        <v>1950</v>
      </c>
      <c r="CG722" s="366" t="s">
        <v>6</v>
      </c>
      <c r="CH722">
        <v>0</v>
      </c>
      <c r="CI722">
        <v>0</v>
      </c>
      <c r="CJ722">
        <v>0</v>
      </c>
      <c r="CK722">
        <v>0</v>
      </c>
      <c r="CL722">
        <v>0</v>
      </c>
      <c r="CM722">
        <v>14</v>
      </c>
      <c r="CN722">
        <v>174</v>
      </c>
      <c r="CO722">
        <v>0</v>
      </c>
      <c r="CP722">
        <v>0</v>
      </c>
      <c r="CQ722">
        <v>0</v>
      </c>
      <c r="CR722">
        <v>1</v>
      </c>
      <c r="CS722">
        <v>0</v>
      </c>
      <c r="CT722">
        <v>0</v>
      </c>
      <c r="CU722" s="367">
        <f>IFERROR(CH722/Instructions!$J$25,0)+CI722*Instructions!$J$27+CJ722*Instructions!$J$29+IFERROR(CK722/Instructions!$E$34,0)+CL722*Instructions!$E$36+Tier!CM722*Instructions!$E$25+IFERROR(CN722/Instructions!$E$27,0)+CO722*Instructions!$E$29+IFERROR((CP722+CR722)/Instructions!$J$32,0)+(CQ722+CS722)*Instructions!$J$34+Tier!CT722*-2</f>
        <v>31.4</v>
      </c>
      <c r="CV722" s="354"/>
      <c r="CW722"/>
      <c r="CX722"/>
      <c r="CY722"/>
      <c r="CZ722"/>
      <c r="DA722"/>
      <c r="DB722"/>
      <c r="DC722"/>
      <c r="DD722"/>
      <c r="DE722"/>
      <c r="DF722"/>
      <c r="DG722"/>
      <c r="DH722"/>
      <c r="DI722"/>
      <c r="DJ722"/>
      <c r="DK722"/>
      <c r="DL722"/>
      <c r="DM722"/>
      <c r="DN722"/>
    </row>
    <row r="723" spans="3:118" s="238" customFormat="1" ht="15.75" customHeight="1" x14ac:dyDescent="0.25">
      <c r="C723"/>
      <c r="D723"/>
      <c r="E723"/>
      <c r="F723"/>
      <c r="G723"/>
      <c r="H723"/>
      <c r="I723"/>
      <c r="J723"/>
      <c r="K723"/>
      <c r="L723"/>
      <c r="M723"/>
      <c r="N723"/>
      <c r="O723" s="366"/>
      <c r="P723" s="366">
        <v>2018</v>
      </c>
      <c r="Q723" s="367">
        <f>LARGE($CB$606:$CB$755,118)</f>
        <v>7.6</v>
      </c>
      <c r="R723" s="357">
        <f t="shared" si="166"/>
        <v>-189</v>
      </c>
      <c r="S723" s="356">
        <f t="shared" si="173"/>
        <v>35721</v>
      </c>
      <c r="U723" s="356">
        <f t="shared" si="167"/>
        <v>-11.8125</v>
      </c>
      <c r="V723" s="238">
        <f t="shared" si="171"/>
        <v>8</v>
      </c>
      <c r="W723" s="354"/>
      <c r="X723" s="366"/>
      <c r="Y723" s="366"/>
      <c r="Z723" s="238">
        <v>2018</v>
      </c>
      <c r="AA723" s="367">
        <f>LARGE($CU$606:$CU$755,118)</f>
        <v>28</v>
      </c>
      <c r="AB723" s="357">
        <f t="shared" si="168"/>
        <v>-162.9</v>
      </c>
      <c r="AC723" s="356">
        <f t="shared" si="170"/>
        <v>26536.410000000003</v>
      </c>
      <c r="AE723" s="356">
        <f t="shared" si="169"/>
        <v>-10.18125</v>
      </c>
      <c r="AF723" s="238">
        <f t="shared" si="172"/>
        <v>8</v>
      </c>
      <c r="AG723" s="354"/>
      <c r="AK723"/>
      <c r="AL723"/>
      <c r="AM723"/>
      <c r="AN723"/>
      <c r="AO723"/>
      <c r="AP723"/>
      <c r="BI723" s="360"/>
      <c r="BJ723" s="354"/>
      <c r="BK723" s="366">
        <v>2018</v>
      </c>
      <c r="BL723" t="s">
        <v>1781</v>
      </c>
      <c r="BM723" t="s">
        <v>1946</v>
      </c>
      <c r="BN723" t="s">
        <v>3</v>
      </c>
      <c r="BO723">
        <v>0</v>
      </c>
      <c r="BP723">
        <v>0</v>
      </c>
      <c r="BQ723">
        <v>0</v>
      </c>
      <c r="BR723">
        <v>34</v>
      </c>
      <c r="BS723">
        <v>0</v>
      </c>
      <c r="BT723">
        <v>5</v>
      </c>
      <c r="BU723">
        <v>41</v>
      </c>
      <c r="BV723">
        <v>0</v>
      </c>
      <c r="BW723">
        <v>0</v>
      </c>
      <c r="BX723">
        <v>0</v>
      </c>
      <c r="BY723">
        <v>0</v>
      </c>
      <c r="BZ723">
        <v>0</v>
      </c>
      <c r="CA723">
        <v>0</v>
      </c>
      <c r="CB723" s="367">
        <f>IFERROR(BO723/Instructions!$J$25,0)+BP723*Instructions!$J$27+BQ723*Instructions!$J$29+IFERROR(BR723/Instructions!$E$34,0)+BS723*Instructions!$E$36+Tier!BT724*Instructions!$E$25+IFERROR(BU723/Instructions!$E$27,0)+BV723*Instructions!$E$29+IFERROR((BW723+BY723)/Instructions!$J$32,0)+(BX723+BZ723)*Instructions!$J$34+Tier!CA723*-2</f>
        <v>15.5</v>
      </c>
      <c r="CC723" s="354"/>
      <c r="CD723" s="3">
        <v>2018</v>
      </c>
      <c r="CE723" t="s">
        <v>1259</v>
      </c>
      <c r="CF723" t="s">
        <v>164</v>
      </c>
      <c r="CG723" s="366" t="s">
        <v>6</v>
      </c>
      <c r="CH723">
        <v>0</v>
      </c>
      <c r="CI723">
        <v>0</v>
      </c>
      <c r="CJ723">
        <v>0</v>
      </c>
      <c r="CK723">
        <v>0</v>
      </c>
      <c r="CL723">
        <v>0</v>
      </c>
      <c r="CM723">
        <v>17</v>
      </c>
      <c r="CN723">
        <v>161</v>
      </c>
      <c r="CO723">
        <v>0</v>
      </c>
      <c r="CP723">
        <v>0</v>
      </c>
      <c r="CQ723">
        <v>0</v>
      </c>
      <c r="CR723">
        <v>0</v>
      </c>
      <c r="CS723">
        <v>0</v>
      </c>
      <c r="CT723">
        <v>0</v>
      </c>
      <c r="CU723" s="367">
        <f>IFERROR(CH723/Instructions!$J$25,0)+CI723*Instructions!$J$27+CJ723*Instructions!$J$29+IFERROR(CK723/Instructions!$E$34,0)+CL723*Instructions!$E$36+Tier!CM723*Instructions!$E$25+IFERROR(CN723/Instructions!$E$27,0)+CO723*Instructions!$E$29+IFERROR((CP723+CR723)/Instructions!$J$32,0)+(CQ723+CS723)*Instructions!$J$34+Tier!CT723*-2</f>
        <v>33.1</v>
      </c>
      <c r="CV723" s="354"/>
      <c r="CW723"/>
      <c r="CX723"/>
      <c r="CY723"/>
      <c r="CZ723"/>
      <c r="DA723"/>
      <c r="DB723"/>
      <c r="DC723"/>
      <c r="DD723"/>
      <c r="DE723"/>
      <c r="DF723"/>
      <c r="DG723"/>
      <c r="DH723"/>
      <c r="DI723"/>
      <c r="DJ723"/>
      <c r="DK723"/>
      <c r="DL723"/>
      <c r="DM723"/>
      <c r="DN723"/>
    </row>
    <row r="724" spans="3:118" s="238" customFormat="1" ht="15.75" customHeight="1" x14ac:dyDescent="0.25">
      <c r="C724"/>
      <c r="D724"/>
      <c r="E724"/>
      <c r="F724"/>
      <c r="G724"/>
      <c r="H724"/>
      <c r="I724"/>
      <c r="J724"/>
      <c r="K724"/>
      <c r="L724"/>
      <c r="M724"/>
      <c r="N724"/>
      <c r="O724" s="366"/>
      <c r="P724" s="366">
        <v>2018</v>
      </c>
      <c r="Q724" s="367">
        <f>LARGE($CB$606:$CB$755,119)</f>
        <v>7.5</v>
      </c>
      <c r="R724" s="357">
        <f t="shared" si="166"/>
        <v>-189.1</v>
      </c>
      <c r="S724" s="356">
        <f t="shared" si="173"/>
        <v>35758.81</v>
      </c>
      <c r="U724" s="356">
        <f t="shared" si="167"/>
        <v>-11.81875</v>
      </c>
      <c r="V724" s="238">
        <f t="shared" si="171"/>
        <v>8</v>
      </c>
      <c r="W724" s="354"/>
      <c r="X724" s="366"/>
      <c r="Y724" s="366"/>
      <c r="Z724" s="238">
        <v>2018</v>
      </c>
      <c r="AA724" s="367">
        <f>LARGE($CU$606:$CU$755,119)</f>
        <v>27.4</v>
      </c>
      <c r="AB724" s="357">
        <f t="shared" si="168"/>
        <v>-163.5</v>
      </c>
      <c r="AC724" s="356">
        <f t="shared" si="170"/>
        <v>26732.25</v>
      </c>
      <c r="AE724" s="356">
        <f t="shared" si="169"/>
        <v>-10.21875</v>
      </c>
      <c r="AF724" s="238">
        <f t="shared" si="172"/>
        <v>8</v>
      </c>
      <c r="AG724" s="354"/>
      <c r="AK724"/>
      <c r="AL724"/>
      <c r="AM724"/>
      <c r="AN724"/>
      <c r="AO724"/>
      <c r="AP724"/>
      <c r="BI724" s="360"/>
      <c r="BJ724" s="354"/>
      <c r="BK724" s="366">
        <v>2018</v>
      </c>
      <c r="BL724" t="s">
        <v>1752</v>
      </c>
      <c r="BM724" t="s">
        <v>154</v>
      </c>
      <c r="BN724" t="s">
        <v>3</v>
      </c>
      <c r="BO724">
        <v>0</v>
      </c>
      <c r="BP724">
        <v>0</v>
      </c>
      <c r="BQ724">
        <v>0</v>
      </c>
      <c r="BR724">
        <v>25</v>
      </c>
      <c r="BS724">
        <v>0</v>
      </c>
      <c r="BT724">
        <v>8</v>
      </c>
      <c r="BU724">
        <v>50</v>
      </c>
      <c r="BV724">
        <v>0</v>
      </c>
      <c r="BW724">
        <v>0</v>
      </c>
      <c r="BX724">
        <v>0</v>
      </c>
      <c r="BY724">
        <v>-3</v>
      </c>
      <c r="BZ724">
        <v>0</v>
      </c>
      <c r="CA724">
        <v>0</v>
      </c>
      <c r="CB724" s="367">
        <f>IFERROR(BO724/Instructions!$J$25,0)+BP724*Instructions!$J$27+BQ724*Instructions!$J$29+IFERROR(BR724/Instructions!$E$34,0)+BS724*Instructions!$E$36+Tier!BT725*Instructions!$E$25+IFERROR(BU724/Instructions!$E$27,0)+BV724*Instructions!$E$29+IFERROR((BW724+BY724)/Instructions!$J$32,0)+(BX724+BZ724)*Instructions!$J$34+Tier!CA724*-2</f>
        <v>10.5</v>
      </c>
      <c r="CC724" s="354"/>
      <c r="CD724" s="3">
        <v>2018</v>
      </c>
      <c r="CE724" t="s">
        <v>1755</v>
      </c>
      <c r="CF724" t="s">
        <v>143</v>
      </c>
      <c r="CG724" s="366" t="s">
        <v>6</v>
      </c>
      <c r="CH724">
        <v>0</v>
      </c>
      <c r="CI724">
        <v>0</v>
      </c>
      <c r="CJ724">
        <v>0</v>
      </c>
      <c r="CK724">
        <v>0</v>
      </c>
      <c r="CL724">
        <v>0</v>
      </c>
      <c r="CM724">
        <v>9</v>
      </c>
      <c r="CN724">
        <v>97</v>
      </c>
      <c r="CO724">
        <v>2</v>
      </c>
      <c r="CP724">
        <v>0</v>
      </c>
      <c r="CQ724">
        <v>0</v>
      </c>
      <c r="CR724">
        <v>0</v>
      </c>
      <c r="CS724">
        <v>0</v>
      </c>
      <c r="CT724">
        <v>0</v>
      </c>
      <c r="CU724" s="367">
        <f>IFERROR(CH724/Instructions!$J$25,0)+CI724*Instructions!$J$27+CJ724*Instructions!$J$29+IFERROR(CK724/Instructions!$E$34,0)+CL724*Instructions!$E$36+Tier!CM724*Instructions!$E$25+IFERROR(CN724/Instructions!$E$27,0)+CO724*Instructions!$E$29+IFERROR((CP724+CR724)/Instructions!$J$32,0)+(CQ724+CS724)*Instructions!$J$34+Tier!CT724*-2</f>
        <v>30.7</v>
      </c>
      <c r="CV724" s="354"/>
      <c r="CW724"/>
      <c r="CX724"/>
      <c r="CY724"/>
      <c r="CZ724"/>
      <c r="DA724"/>
      <c r="DB724"/>
      <c r="DC724"/>
      <c r="DD724"/>
      <c r="DE724"/>
      <c r="DF724"/>
      <c r="DG724"/>
      <c r="DH724"/>
      <c r="DI724"/>
      <c r="DJ724"/>
      <c r="DK724"/>
      <c r="DL724"/>
      <c r="DM724"/>
      <c r="DN724"/>
    </row>
    <row r="725" spans="3:118" s="238" customFormat="1" ht="15.75" customHeight="1" x14ac:dyDescent="0.25">
      <c r="C725"/>
      <c r="D725"/>
      <c r="E725"/>
      <c r="F725"/>
      <c r="G725"/>
      <c r="H725"/>
      <c r="I725"/>
      <c r="J725"/>
      <c r="K725"/>
      <c r="L725"/>
      <c r="M725"/>
      <c r="N725"/>
      <c r="O725" s="366"/>
      <c r="P725" s="366">
        <v>2018</v>
      </c>
      <c r="Q725" s="367">
        <f>LARGE($CB$606:$CB$755,120)</f>
        <v>6.9</v>
      </c>
      <c r="R725" s="357">
        <f t="shared" si="166"/>
        <v>-189.7</v>
      </c>
      <c r="S725" s="356">
        <f t="shared" si="173"/>
        <v>35986.089999999997</v>
      </c>
      <c r="U725" s="356">
        <f t="shared" si="167"/>
        <v>-11.856249999999999</v>
      </c>
      <c r="V725" s="238">
        <f t="shared" si="171"/>
        <v>8</v>
      </c>
      <c r="W725" s="354"/>
      <c r="X725" s="366"/>
      <c r="Y725" s="366"/>
      <c r="Z725" s="238">
        <v>2018</v>
      </c>
      <c r="AA725" s="367">
        <f>LARGE($CU$606:$CU$755,120)</f>
        <v>26.4</v>
      </c>
      <c r="AB725" s="357">
        <f t="shared" si="168"/>
        <v>-164.5</v>
      </c>
      <c r="AC725" s="356">
        <f t="shared" si="170"/>
        <v>27060.25</v>
      </c>
      <c r="AE725" s="356">
        <f t="shared" si="169"/>
        <v>-10.28125</v>
      </c>
      <c r="AF725" s="238">
        <f t="shared" si="172"/>
        <v>8</v>
      </c>
      <c r="AG725" s="354"/>
      <c r="AK725"/>
      <c r="AL725"/>
      <c r="AM725"/>
      <c r="AN725"/>
      <c r="AO725"/>
      <c r="AP725"/>
      <c r="BI725" s="360"/>
      <c r="BJ725" s="354"/>
      <c r="BK725" s="366">
        <v>2018</v>
      </c>
      <c r="BL725" t="s">
        <v>1234</v>
      </c>
      <c r="BM725" t="s">
        <v>1942</v>
      </c>
      <c r="BN725" t="s">
        <v>3</v>
      </c>
      <c r="BO725">
        <v>0</v>
      </c>
      <c r="BP725">
        <v>0</v>
      </c>
      <c r="BQ725">
        <v>0</v>
      </c>
      <c r="BR725">
        <v>9</v>
      </c>
      <c r="BS725">
        <v>0</v>
      </c>
      <c r="BT725">
        <v>3</v>
      </c>
      <c r="BU725">
        <v>62</v>
      </c>
      <c r="BV725">
        <v>0</v>
      </c>
      <c r="BW725">
        <v>0</v>
      </c>
      <c r="BX725">
        <v>0</v>
      </c>
      <c r="BY725">
        <v>0</v>
      </c>
      <c r="BZ725">
        <v>0</v>
      </c>
      <c r="CA725">
        <v>0</v>
      </c>
      <c r="CB725" s="367">
        <f>IFERROR(BO725/Instructions!$J$25,0)+BP725*Instructions!$J$27+BQ725*Instructions!$J$29+IFERROR(BR725/Instructions!$E$34,0)+BS725*Instructions!$E$36+Tier!BT726*Instructions!$E$25+IFERROR(BU725/Instructions!$E$27,0)+BV725*Instructions!$E$29+IFERROR((BW725+BY725)/Instructions!$J$32,0)+(BX725+BZ725)*Instructions!$J$34+Tier!CA725*-2</f>
        <v>9.1</v>
      </c>
      <c r="CC725" s="354"/>
      <c r="CD725" s="3">
        <v>2018</v>
      </c>
      <c r="CE725" t="s">
        <v>1808</v>
      </c>
      <c r="CF725" t="s">
        <v>1941</v>
      </c>
      <c r="CG725" s="366" t="s">
        <v>6</v>
      </c>
      <c r="CH725">
        <v>0</v>
      </c>
      <c r="CI725">
        <v>0</v>
      </c>
      <c r="CJ725">
        <v>0</v>
      </c>
      <c r="CK725">
        <v>0</v>
      </c>
      <c r="CL725">
        <v>0</v>
      </c>
      <c r="CM725">
        <v>15</v>
      </c>
      <c r="CN725">
        <v>154</v>
      </c>
      <c r="CO725">
        <v>1</v>
      </c>
      <c r="CP725">
        <v>0</v>
      </c>
      <c r="CQ725">
        <v>0</v>
      </c>
      <c r="CR725">
        <v>0</v>
      </c>
      <c r="CS725">
        <v>1</v>
      </c>
      <c r="CT725">
        <v>0</v>
      </c>
      <c r="CU725" s="367">
        <f>IFERROR(CH725/Instructions!$J$25,0)+CI725*Instructions!$J$27+CJ725*Instructions!$J$29+IFERROR(CK725/Instructions!$E$34,0)+CL725*Instructions!$E$36+Tier!CM725*Instructions!$E$25+IFERROR(CN725/Instructions!$E$27,0)+CO725*Instructions!$E$29+IFERROR((CP725+CR725)/Instructions!$J$32,0)+(CQ725+CS725)*Instructions!$J$34+Tier!CT725*-2</f>
        <v>42.4</v>
      </c>
      <c r="CV725" s="354"/>
      <c r="CW725"/>
      <c r="CX725"/>
      <c r="CY725"/>
      <c r="CZ725"/>
      <c r="DA725"/>
      <c r="DB725"/>
      <c r="DC725"/>
      <c r="DD725"/>
      <c r="DE725"/>
      <c r="DF725"/>
      <c r="DG725"/>
      <c r="DH725"/>
      <c r="DI725"/>
      <c r="DJ725"/>
      <c r="DK725"/>
      <c r="DL725"/>
      <c r="DM725"/>
      <c r="DN725"/>
    </row>
    <row r="726" spans="3:118" s="238" customFormat="1" ht="15.75" customHeight="1" x14ac:dyDescent="0.25">
      <c r="C726"/>
      <c r="D726"/>
      <c r="E726"/>
      <c r="F726"/>
      <c r="G726"/>
      <c r="H726"/>
      <c r="I726"/>
      <c r="J726"/>
      <c r="K726"/>
      <c r="L726"/>
      <c r="M726"/>
      <c r="N726"/>
      <c r="O726" s="366"/>
      <c r="P726" s="366">
        <v>2018</v>
      </c>
      <c r="Q726" s="367">
        <f>LARGE($CB$606:$CB$755,121)</f>
        <v>6.8000000000000007</v>
      </c>
      <c r="R726" s="357">
        <f t="shared" si="166"/>
        <v>-189.79999999999998</v>
      </c>
      <c r="S726" s="356">
        <f t="shared" si="173"/>
        <v>36024.039999999994</v>
      </c>
      <c r="U726" s="356">
        <f t="shared" si="167"/>
        <v>-11.862499999999999</v>
      </c>
      <c r="V726" s="238">
        <f t="shared" si="171"/>
        <v>8</v>
      </c>
      <c r="W726" s="354"/>
      <c r="X726" s="366"/>
      <c r="Y726" s="366"/>
      <c r="Z726" s="238">
        <v>2018</v>
      </c>
      <c r="AA726" s="367">
        <f>LARGE($CU$606:$CU$755,121)</f>
        <v>26</v>
      </c>
      <c r="AB726" s="357">
        <f t="shared" si="168"/>
        <v>-164.9</v>
      </c>
      <c r="AC726" s="356">
        <f t="shared" si="170"/>
        <v>27192.010000000002</v>
      </c>
      <c r="AE726" s="356">
        <f t="shared" si="169"/>
        <v>-10.30625</v>
      </c>
      <c r="AF726" s="238">
        <f t="shared" si="172"/>
        <v>8</v>
      </c>
      <c r="AG726" s="354"/>
      <c r="AK726"/>
      <c r="AL726"/>
      <c r="AM726"/>
      <c r="AN726"/>
      <c r="AO726"/>
      <c r="AP726"/>
      <c r="BI726" s="360"/>
      <c r="BJ726" s="354"/>
      <c r="BK726" s="366">
        <v>2018</v>
      </c>
      <c r="BL726" t="s">
        <v>1957</v>
      </c>
      <c r="BM726" t="s">
        <v>1388</v>
      </c>
      <c r="BN726" t="s">
        <v>3</v>
      </c>
      <c r="BO726">
        <v>0</v>
      </c>
      <c r="BP726">
        <v>0</v>
      </c>
      <c r="BQ726">
        <v>0</v>
      </c>
      <c r="BR726">
        <v>49</v>
      </c>
      <c r="BS726">
        <v>0</v>
      </c>
      <c r="BT726">
        <v>2</v>
      </c>
      <c r="BU726">
        <v>19</v>
      </c>
      <c r="BV726">
        <v>0</v>
      </c>
      <c r="BW726">
        <v>0</v>
      </c>
      <c r="BX726">
        <v>0</v>
      </c>
      <c r="BY726">
        <v>0</v>
      </c>
      <c r="BZ726">
        <v>0</v>
      </c>
      <c r="CA726">
        <v>0</v>
      </c>
      <c r="CB726" s="367">
        <f>IFERROR(BO726/Instructions!$J$25,0)+BP726*Instructions!$J$27+BQ726*Instructions!$J$29+IFERROR(BR726/Instructions!$E$34,0)+BS726*Instructions!$E$36+Tier!BT727*Instructions!$E$25+IFERROR(BU726/Instructions!$E$27,0)+BV726*Instructions!$E$29+IFERROR((BW726+BY726)/Instructions!$J$32,0)+(BX726+BZ726)*Instructions!$J$34+Tier!CA726*-2</f>
        <v>6.8000000000000007</v>
      </c>
      <c r="CC726" s="354"/>
      <c r="CD726" s="3">
        <v>2018</v>
      </c>
      <c r="CE726" t="s">
        <v>1258</v>
      </c>
      <c r="CF726" t="s">
        <v>164</v>
      </c>
      <c r="CG726" s="366" t="s">
        <v>6</v>
      </c>
      <c r="CH726">
        <v>0</v>
      </c>
      <c r="CI726">
        <v>0</v>
      </c>
      <c r="CJ726">
        <v>0</v>
      </c>
      <c r="CK726">
        <v>0</v>
      </c>
      <c r="CL726">
        <v>0</v>
      </c>
      <c r="CM726">
        <v>14</v>
      </c>
      <c r="CN726">
        <v>117</v>
      </c>
      <c r="CO726">
        <v>1</v>
      </c>
      <c r="CP726">
        <v>0</v>
      </c>
      <c r="CQ726">
        <v>0</v>
      </c>
      <c r="CR726">
        <v>0</v>
      </c>
      <c r="CS726">
        <v>0</v>
      </c>
      <c r="CT726">
        <v>0</v>
      </c>
      <c r="CU726" s="367">
        <f>IFERROR(CH726/Instructions!$J$25,0)+CI726*Instructions!$J$27+CJ726*Instructions!$J$29+IFERROR(CK726/Instructions!$E$34,0)+CL726*Instructions!$E$36+Tier!CM726*Instructions!$E$25+IFERROR(CN726/Instructions!$E$27,0)+CO726*Instructions!$E$29+IFERROR((CP726+CR726)/Instructions!$J$32,0)+(CQ726+CS726)*Instructions!$J$34+Tier!CT726*-2</f>
        <v>31.7</v>
      </c>
      <c r="CV726" s="354"/>
      <c r="CW726"/>
      <c r="CX726"/>
      <c r="CY726"/>
      <c r="CZ726"/>
      <c r="DA726"/>
      <c r="DB726"/>
      <c r="DC726"/>
      <c r="DD726"/>
      <c r="DE726"/>
      <c r="DF726"/>
      <c r="DG726"/>
      <c r="DH726"/>
      <c r="DI726"/>
      <c r="DJ726"/>
      <c r="DK726"/>
      <c r="DL726"/>
      <c r="DM726"/>
      <c r="DN726"/>
    </row>
    <row r="727" spans="3:118" s="238" customFormat="1" ht="15.75" customHeight="1" x14ac:dyDescent="0.25">
      <c r="C727"/>
      <c r="D727"/>
      <c r="E727"/>
      <c r="F727"/>
      <c r="G727"/>
      <c r="H727"/>
      <c r="I727"/>
      <c r="J727"/>
      <c r="K727"/>
      <c r="L727"/>
      <c r="M727"/>
      <c r="N727"/>
      <c r="O727" s="366"/>
      <c r="P727" s="366">
        <v>2018</v>
      </c>
      <c r="Q727" s="367">
        <f>LARGE($CB$606:$CB$755,122)</f>
        <v>6.8</v>
      </c>
      <c r="R727" s="357">
        <f t="shared" si="166"/>
        <v>-189.79999999999998</v>
      </c>
      <c r="S727" s="356">
        <f t="shared" si="173"/>
        <v>36024.039999999994</v>
      </c>
      <c r="U727" s="356">
        <f t="shared" si="167"/>
        <v>-11.862499999999999</v>
      </c>
      <c r="V727" s="238">
        <f t="shared" si="171"/>
        <v>8</v>
      </c>
      <c r="W727" s="354"/>
      <c r="X727" s="366"/>
      <c r="Y727" s="366"/>
      <c r="Z727" s="238">
        <v>2018</v>
      </c>
      <c r="AA727" s="367">
        <f>LARGE($CU$606:$CU$755,122)</f>
        <v>25.9</v>
      </c>
      <c r="AB727" s="357">
        <f t="shared" si="168"/>
        <v>-165</v>
      </c>
      <c r="AC727" s="356">
        <f t="shared" si="170"/>
        <v>27225</v>
      </c>
      <c r="AE727" s="356">
        <f t="shared" si="169"/>
        <v>-10.3125</v>
      </c>
      <c r="AF727" s="238">
        <f t="shared" si="172"/>
        <v>8</v>
      </c>
      <c r="AG727" s="354"/>
      <c r="AK727"/>
      <c r="AL727"/>
      <c r="AM727"/>
      <c r="AN727"/>
      <c r="AO727"/>
      <c r="AP727"/>
      <c r="BI727" s="360"/>
      <c r="BJ727" s="354"/>
      <c r="BK727" s="366">
        <v>2018</v>
      </c>
      <c r="BL727" t="s">
        <v>1332</v>
      </c>
      <c r="BM727" t="s">
        <v>1942</v>
      </c>
      <c r="BN727" t="s">
        <v>3</v>
      </c>
      <c r="BO727">
        <v>0</v>
      </c>
      <c r="BP727">
        <v>0</v>
      </c>
      <c r="BQ727">
        <v>0</v>
      </c>
      <c r="BR727">
        <v>0</v>
      </c>
      <c r="BS727">
        <v>0</v>
      </c>
      <c r="BT727">
        <v>0</v>
      </c>
      <c r="BU727">
        <v>0</v>
      </c>
      <c r="BV727">
        <v>0</v>
      </c>
      <c r="BW727">
        <v>0</v>
      </c>
      <c r="BX727">
        <v>0</v>
      </c>
      <c r="BY727">
        <v>164</v>
      </c>
      <c r="BZ727">
        <v>0</v>
      </c>
      <c r="CA727">
        <v>0</v>
      </c>
      <c r="CB727" s="367">
        <f>IFERROR(BO727/Instructions!$J$25,0)+BP727*Instructions!$J$27+BQ727*Instructions!$J$29+IFERROR(BR727/Instructions!$E$34,0)+BS727*Instructions!$E$36+Tier!BT728*Instructions!$E$25+IFERROR(BU727/Instructions!$E$27,0)+BV727*Instructions!$E$29+IFERROR((BW727+BY727)/Instructions!$J$32,0)+(BX727+BZ727)*Instructions!$J$34+Tier!CA727*-2</f>
        <v>2</v>
      </c>
      <c r="CC727" s="354"/>
      <c r="CD727" s="3">
        <v>2018</v>
      </c>
      <c r="CE727" t="s">
        <v>80</v>
      </c>
      <c r="CF727" t="s">
        <v>1947</v>
      </c>
      <c r="CG727" s="366" t="s">
        <v>6</v>
      </c>
      <c r="CH727">
        <v>0</v>
      </c>
      <c r="CI727">
        <v>0</v>
      </c>
      <c r="CJ727">
        <v>0</v>
      </c>
      <c r="CK727">
        <v>0</v>
      </c>
      <c r="CL727">
        <v>0</v>
      </c>
      <c r="CM727">
        <v>10</v>
      </c>
      <c r="CN727">
        <v>100</v>
      </c>
      <c r="CO727">
        <v>1</v>
      </c>
      <c r="CP727">
        <v>0</v>
      </c>
      <c r="CQ727">
        <v>0</v>
      </c>
      <c r="CR727">
        <v>0</v>
      </c>
      <c r="CS727">
        <v>0</v>
      </c>
      <c r="CT727">
        <v>0</v>
      </c>
      <c r="CU727" s="367">
        <f>IFERROR(CH727/Instructions!$J$25,0)+CI727*Instructions!$J$27+CJ727*Instructions!$J$29+IFERROR(CK727/Instructions!$E$34,0)+CL727*Instructions!$E$36+Tier!CM727*Instructions!$E$25+IFERROR(CN727/Instructions!$E$27,0)+CO727*Instructions!$E$29+IFERROR((CP727+CR727)/Instructions!$J$32,0)+(CQ727+CS727)*Instructions!$J$34+Tier!CT727*-2</f>
        <v>26</v>
      </c>
      <c r="CV727" s="354"/>
      <c r="CW727"/>
      <c r="CX727"/>
      <c r="CY727"/>
      <c r="CZ727"/>
      <c r="DA727"/>
      <c r="DB727"/>
      <c r="DC727"/>
      <c r="DD727"/>
      <c r="DE727"/>
      <c r="DF727"/>
      <c r="DG727"/>
      <c r="DH727"/>
      <c r="DI727"/>
      <c r="DJ727"/>
      <c r="DK727"/>
      <c r="DL727"/>
      <c r="DM727"/>
      <c r="DN727"/>
    </row>
    <row r="728" spans="3:118" s="238" customFormat="1" ht="15.75" customHeight="1" x14ac:dyDescent="0.25">
      <c r="C728"/>
      <c r="D728"/>
      <c r="E728"/>
      <c r="F728"/>
      <c r="G728"/>
      <c r="H728"/>
      <c r="I728"/>
      <c r="J728"/>
      <c r="K728"/>
      <c r="L728"/>
      <c r="M728"/>
      <c r="N728"/>
      <c r="O728" s="366"/>
      <c r="P728" s="366">
        <v>2018</v>
      </c>
      <c r="Q728" s="367">
        <f>LARGE($CB$606:$CB$755,123)</f>
        <v>6.1</v>
      </c>
      <c r="R728" s="357">
        <f t="shared" si="166"/>
        <v>-190.5</v>
      </c>
      <c r="S728" s="356">
        <f t="shared" si="173"/>
        <v>36290.25</v>
      </c>
      <c r="U728" s="356">
        <f t="shared" si="167"/>
        <v>-11.90625</v>
      </c>
      <c r="V728" s="238">
        <f t="shared" si="171"/>
        <v>8</v>
      </c>
      <c r="W728" s="354"/>
      <c r="X728" s="366"/>
      <c r="Y728" s="366"/>
      <c r="Z728" s="238">
        <v>2018</v>
      </c>
      <c r="AA728" s="367">
        <f>LARGE($CU$606:$CU$755,123)</f>
        <v>25</v>
      </c>
      <c r="AB728" s="357">
        <f t="shared" si="168"/>
        <v>-165.9</v>
      </c>
      <c r="AC728" s="356">
        <f t="shared" si="170"/>
        <v>27522.81</v>
      </c>
      <c r="AE728" s="356">
        <f t="shared" si="169"/>
        <v>-10.36875</v>
      </c>
      <c r="AF728" s="238">
        <f t="shared" si="172"/>
        <v>8</v>
      </c>
      <c r="AG728" s="354"/>
      <c r="AK728"/>
      <c r="AL728"/>
      <c r="AM728"/>
      <c r="AN728"/>
      <c r="AO728"/>
      <c r="AP728"/>
      <c r="BI728" s="360"/>
      <c r="BJ728" s="354"/>
      <c r="BK728" s="366">
        <v>2018</v>
      </c>
      <c r="BL728" t="s">
        <v>1958</v>
      </c>
      <c r="BM728" t="s">
        <v>1934</v>
      </c>
      <c r="BN728" t="s">
        <v>3</v>
      </c>
      <c r="BO728">
        <v>0</v>
      </c>
      <c r="BP728">
        <v>0</v>
      </c>
      <c r="BQ728">
        <v>0</v>
      </c>
      <c r="BR728">
        <v>30</v>
      </c>
      <c r="BS728">
        <v>0</v>
      </c>
      <c r="BT728">
        <v>2</v>
      </c>
      <c r="BU728">
        <v>21</v>
      </c>
      <c r="BV728">
        <v>0</v>
      </c>
      <c r="BW728">
        <v>0</v>
      </c>
      <c r="BX728">
        <v>0</v>
      </c>
      <c r="BY728">
        <v>20</v>
      </c>
      <c r="BZ728">
        <v>0</v>
      </c>
      <c r="CA728">
        <v>0</v>
      </c>
      <c r="CB728" s="367">
        <f>IFERROR(BO728/Instructions!$J$25,0)+BP728*Instructions!$J$27+BQ728*Instructions!$J$29+IFERROR(BR728/Instructions!$E$34,0)+BS728*Instructions!$E$36+Tier!BT729*Instructions!$E$25+IFERROR(BU728/Instructions!$E$27,0)+BV728*Instructions!$E$29+IFERROR((BW728+BY728)/Instructions!$J$32,0)+(BX728+BZ728)*Instructions!$J$34+Tier!CA728*-2</f>
        <v>5.0999999999999996</v>
      </c>
      <c r="CC728" s="354"/>
      <c r="CD728" s="3">
        <v>2018</v>
      </c>
      <c r="CE728" t="s">
        <v>1972</v>
      </c>
      <c r="CF728" t="s">
        <v>1931</v>
      </c>
      <c r="CG728" s="366" t="s">
        <v>6</v>
      </c>
      <c r="CH728">
        <v>0</v>
      </c>
      <c r="CI728">
        <v>0</v>
      </c>
      <c r="CJ728">
        <v>0</v>
      </c>
      <c r="CK728">
        <v>-2</v>
      </c>
      <c r="CL728">
        <v>0</v>
      </c>
      <c r="CM728">
        <v>6</v>
      </c>
      <c r="CN728">
        <v>102</v>
      </c>
      <c r="CO728">
        <v>1</v>
      </c>
      <c r="CP728">
        <v>0</v>
      </c>
      <c r="CQ728">
        <v>0</v>
      </c>
      <c r="CR728">
        <v>0</v>
      </c>
      <c r="CS728">
        <v>0</v>
      </c>
      <c r="CT728">
        <v>0</v>
      </c>
      <c r="CU728" s="367">
        <f>IFERROR(CH728/Instructions!$J$25,0)+CI728*Instructions!$J$27+CJ728*Instructions!$J$29+IFERROR(CK728/Instructions!$E$34,0)+CL728*Instructions!$E$36+Tier!CM728*Instructions!$E$25+IFERROR(CN728/Instructions!$E$27,0)+CO728*Instructions!$E$29+IFERROR((CP728+CR728)/Instructions!$J$32,0)+(CQ728+CS728)*Instructions!$J$34+Tier!CT728*-2</f>
        <v>22</v>
      </c>
      <c r="CV728" s="354"/>
      <c r="CW728"/>
      <c r="CX728"/>
      <c r="CY728"/>
      <c r="CZ728"/>
      <c r="DA728"/>
      <c r="DB728"/>
      <c r="DC728"/>
      <c r="DD728"/>
      <c r="DE728"/>
      <c r="DF728"/>
      <c r="DG728"/>
      <c r="DH728"/>
      <c r="DI728"/>
      <c r="DJ728"/>
      <c r="DK728"/>
      <c r="DL728"/>
      <c r="DM728"/>
      <c r="DN728"/>
    </row>
    <row r="729" spans="3:118" s="238" customFormat="1" ht="15.75" customHeight="1" x14ac:dyDescent="0.25">
      <c r="C729"/>
      <c r="D729"/>
      <c r="E729"/>
      <c r="F729"/>
      <c r="G729"/>
      <c r="H729"/>
      <c r="I729"/>
      <c r="J729"/>
      <c r="K729"/>
      <c r="L729"/>
      <c r="M729"/>
      <c r="N729"/>
      <c r="O729" s="366"/>
      <c r="P729" s="366">
        <v>2018</v>
      </c>
      <c r="Q729" s="367">
        <f>LARGE($CB$606:$CB$755,124)</f>
        <v>5.4</v>
      </c>
      <c r="R729" s="357">
        <f t="shared" si="166"/>
        <v>-191.2</v>
      </c>
      <c r="S729" s="356">
        <f t="shared" si="173"/>
        <v>36557.439999999995</v>
      </c>
      <c r="U729" s="356">
        <f t="shared" si="167"/>
        <v>-11.95</v>
      </c>
      <c r="V729" s="238">
        <f t="shared" si="171"/>
        <v>8</v>
      </c>
      <c r="W729" s="354"/>
      <c r="X729" s="366"/>
      <c r="Y729" s="366"/>
      <c r="Z729" s="238">
        <v>2018</v>
      </c>
      <c r="AA729" s="367">
        <f>LARGE($CU$606:$CU$755,124)</f>
        <v>24.3</v>
      </c>
      <c r="AB729" s="357">
        <f t="shared" si="168"/>
        <v>-166.6</v>
      </c>
      <c r="AC729" s="356">
        <f t="shared" si="170"/>
        <v>27755.559999999998</v>
      </c>
      <c r="AE729" s="356">
        <f t="shared" si="169"/>
        <v>-10.4125</v>
      </c>
      <c r="AF729" s="238">
        <f t="shared" si="172"/>
        <v>8</v>
      </c>
      <c r="AG729" s="354"/>
      <c r="AK729"/>
      <c r="AL729"/>
      <c r="AM729"/>
      <c r="AN729"/>
      <c r="AO729"/>
      <c r="AP729"/>
      <c r="BI729" s="360"/>
      <c r="BJ729" s="354"/>
      <c r="BK729" s="366">
        <v>2018</v>
      </c>
      <c r="BL729" t="s">
        <v>1959</v>
      </c>
      <c r="BM729" t="s">
        <v>149</v>
      </c>
      <c r="BN729" t="s">
        <v>3</v>
      </c>
      <c r="BO729">
        <v>0</v>
      </c>
      <c r="BP729">
        <v>0</v>
      </c>
      <c r="BQ729">
        <v>0</v>
      </c>
      <c r="BR729">
        <v>0</v>
      </c>
      <c r="BS729">
        <v>0</v>
      </c>
      <c r="BT729">
        <v>0</v>
      </c>
      <c r="BU729">
        <v>0</v>
      </c>
      <c r="BV729">
        <v>0</v>
      </c>
      <c r="BW729">
        <v>0</v>
      </c>
      <c r="BX729">
        <v>0</v>
      </c>
      <c r="BY729">
        <v>137</v>
      </c>
      <c r="BZ729">
        <v>0</v>
      </c>
      <c r="CA729">
        <v>0</v>
      </c>
      <c r="CB729" s="367">
        <f>IFERROR(BO729/Instructions!$J$25,0)+BP729*Instructions!$J$27+BQ729*Instructions!$J$29+IFERROR(BR729/Instructions!$E$34,0)+BS729*Instructions!$E$36+Tier!BT730*Instructions!$E$25+IFERROR(BU729/Instructions!$E$27,0)+BV729*Instructions!$E$29+IFERROR((BW729+BY729)/Instructions!$J$32,0)+(BX729+BZ729)*Instructions!$J$34+Tier!CA729*-2</f>
        <v>0</v>
      </c>
      <c r="CC729" s="354"/>
      <c r="CD729" s="3">
        <v>2018</v>
      </c>
      <c r="CE729" t="s">
        <v>1973</v>
      </c>
      <c r="CF729" t="s">
        <v>1946</v>
      </c>
      <c r="CG729" s="366" t="s">
        <v>6</v>
      </c>
      <c r="CH729">
        <v>0</v>
      </c>
      <c r="CI729">
        <v>0</v>
      </c>
      <c r="CJ729">
        <v>0</v>
      </c>
      <c r="CK729">
        <v>14</v>
      </c>
      <c r="CL729">
        <v>0</v>
      </c>
      <c r="CM729">
        <v>2</v>
      </c>
      <c r="CN729">
        <v>94</v>
      </c>
      <c r="CO729">
        <v>1</v>
      </c>
      <c r="CP729">
        <v>0</v>
      </c>
      <c r="CQ729">
        <v>0</v>
      </c>
      <c r="CR729">
        <v>0</v>
      </c>
      <c r="CS729">
        <v>0</v>
      </c>
      <c r="CT729">
        <v>0</v>
      </c>
      <c r="CU729" s="367">
        <f>IFERROR(CH729/Instructions!$J$25,0)+CI729*Instructions!$J$27+CJ729*Instructions!$J$29+IFERROR(CK729/Instructions!$E$34,0)+CL729*Instructions!$E$36+Tier!CM729*Instructions!$E$25+IFERROR(CN729/Instructions!$E$27,0)+CO729*Instructions!$E$29+IFERROR((CP729+CR729)/Instructions!$J$32,0)+(CQ729+CS729)*Instructions!$J$34+Tier!CT729*-2</f>
        <v>18.8</v>
      </c>
      <c r="CV729" s="354"/>
      <c r="CW729"/>
      <c r="CX729"/>
      <c r="CY729"/>
      <c r="CZ729"/>
      <c r="DA729"/>
      <c r="DB729"/>
      <c r="DC729"/>
      <c r="DD729"/>
      <c r="DE729"/>
      <c r="DF729"/>
      <c r="DG729"/>
      <c r="DH729"/>
      <c r="DI729"/>
      <c r="DJ729"/>
      <c r="DK729"/>
      <c r="DL729"/>
      <c r="DM729"/>
      <c r="DN729"/>
    </row>
    <row r="730" spans="3:118" s="238" customFormat="1" ht="15.75" customHeight="1" x14ac:dyDescent="0.25">
      <c r="C730"/>
      <c r="D730"/>
      <c r="E730"/>
      <c r="F730"/>
      <c r="G730"/>
      <c r="H730"/>
      <c r="I730"/>
      <c r="J730"/>
      <c r="K730"/>
      <c r="L730"/>
      <c r="M730"/>
      <c r="N730"/>
      <c r="O730" s="366"/>
      <c r="P730" s="366">
        <v>2018</v>
      </c>
      <c r="Q730" s="367">
        <f>LARGE($CB$606:$CB$755,125)</f>
        <v>5.0999999999999996</v>
      </c>
      <c r="R730" s="357">
        <f t="shared" si="166"/>
        <v>-191.5</v>
      </c>
      <c r="S730" s="356">
        <f t="shared" si="173"/>
        <v>36672.25</v>
      </c>
      <c r="U730" s="356">
        <f t="shared" si="167"/>
        <v>-11.96875</v>
      </c>
      <c r="V730" s="238">
        <f t="shared" si="171"/>
        <v>8</v>
      </c>
      <c r="W730" s="354"/>
      <c r="X730" s="366"/>
      <c r="Y730" s="366"/>
      <c r="Z730" s="238">
        <v>2018</v>
      </c>
      <c r="AA730" s="367">
        <f>LARGE($CU$606:$CU$755,125)</f>
        <v>24.3</v>
      </c>
      <c r="AB730" s="357">
        <f t="shared" si="168"/>
        <v>-166.6</v>
      </c>
      <c r="AC730" s="356">
        <f t="shared" si="170"/>
        <v>27755.559999999998</v>
      </c>
      <c r="AE730" s="356">
        <f t="shared" si="169"/>
        <v>-10.4125</v>
      </c>
      <c r="AF730" s="238">
        <f t="shared" si="172"/>
        <v>8</v>
      </c>
      <c r="AG730" s="354"/>
      <c r="AK730"/>
      <c r="AL730"/>
      <c r="AM730"/>
      <c r="AN730"/>
      <c r="AO730"/>
      <c r="AP730"/>
      <c r="BI730" s="360"/>
      <c r="BJ730" s="354"/>
      <c r="BK730" s="366">
        <v>2018</v>
      </c>
      <c r="BL730" t="s">
        <v>1387</v>
      </c>
      <c r="BM730" t="s">
        <v>1936</v>
      </c>
      <c r="BN730" t="s">
        <v>3</v>
      </c>
      <c r="BO730">
        <v>0</v>
      </c>
      <c r="BP730">
        <v>0</v>
      </c>
      <c r="BQ730">
        <v>0</v>
      </c>
      <c r="BR730">
        <v>16</v>
      </c>
      <c r="BS730">
        <v>0</v>
      </c>
      <c r="BT730">
        <v>0</v>
      </c>
      <c r="BU730">
        <v>0</v>
      </c>
      <c r="BV730">
        <v>0</v>
      </c>
      <c r="BW730">
        <v>0</v>
      </c>
      <c r="BX730">
        <v>0</v>
      </c>
      <c r="BY730">
        <v>90</v>
      </c>
      <c r="BZ730">
        <v>0</v>
      </c>
      <c r="CA730">
        <v>0</v>
      </c>
      <c r="CB730" s="367">
        <f>IFERROR(BO730/Instructions!$J$25,0)+BP730*Instructions!$J$27+BQ730*Instructions!$J$29+IFERROR(BR730/Instructions!$E$34,0)+BS730*Instructions!$E$36+Tier!BT731*Instructions!$E$25+IFERROR(BU730/Instructions!$E$27,0)+BV730*Instructions!$E$29+IFERROR((BW730+BY730)/Instructions!$J$32,0)+(BX730+BZ730)*Instructions!$J$34+Tier!CA730*-2</f>
        <v>7.6</v>
      </c>
      <c r="CC730" s="354"/>
      <c r="CD730" s="3">
        <v>2018</v>
      </c>
      <c r="CE730" t="s">
        <v>1799</v>
      </c>
      <c r="CF730" t="s">
        <v>149</v>
      </c>
      <c r="CG730" s="366" t="s">
        <v>6</v>
      </c>
      <c r="CH730">
        <v>0</v>
      </c>
      <c r="CI730">
        <v>0</v>
      </c>
      <c r="CJ730">
        <v>0</v>
      </c>
      <c r="CK730">
        <v>0</v>
      </c>
      <c r="CL730">
        <v>0</v>
      </c>
      <c r="CM730">
        <v>4</v>
      </c>
      <c r="CN730">
        <v>52</v>
      </c>
      <c r="CO730">
        <v>0</v>
      </c>
      <c r="CP730">
        <v>0</v>
      </c>
      <c r="CQ730">
        <v>0</v>
      </c>
      <c r="CR730">
        <v>0</v>
      </c>
      <c r="CS730">
        <v>0</v>
      </c>
      <c r="CT730">
        <v>0</v>
      </c>
      <c r="CU730" s="367">
        <f>IFERROR(CH730/Instructions!$J$25,0)+CI730*Instructions!$J$27+CJ730*Instructions!$J$29+IFERROR(CK730/Instructions!$E$34,0)+CL730*Instructions!$E$36+Tier!CM730*Instructions!$E$25+IFERROR(CN730/Instructions!$E$27,0)+CO730*Instructions!$E$29+IFERROR((CP730+CR730)/Instructions!$J$32,0)+(CQ730+CS730)*Instructions!$J$34+Tier!CT730*-2</f>
        <v>9.1999999999999993</v>
      </c>
      <c r="CV730" s="354"/>
      <c r="CW730"/>
      <c r="CX730"/>
      <c r="CY730"/>
      <c r="CZ730"/>
      <c r="DA730"/>
      <c r="DB730"/>
      <c r="DC730"/>
      <c r="DD730"/>
      <c r="DE730"/>
      <c r="DF730"/>
      <c r="DG730"/>
      <c r="DH730"/>
      <c r="DI730"/>
      <c r="DJ730"/>
      <c r="DK730"/>
      <c r="DL730"/>
      <c r="DM730"/>
      <c r="DN730"/>
    </row>
    <row r="731" spans="3:118" s="238" customFormat="1" ht="15.75" customHeight="1" x14ac:dyDescent="0.25">
      <c r="C731"/>
      <c r="D731"/>
      <c r="E731"/>
      <c r="F731"/>
      <c r="G731"/>
      <c r="H731"/>
      <c r="I731"/>
      <c r="J731"/>
      <c r="K731"/>
      <c r="L731"/>
      <c r="M731"/>
      <c r="N731"/>
      <c r="O731" s="366"/>
      <c r="P731" s="366">
        <v>2018</v>
      </c>
      <c r="Q731" s="367">
        <f>LARGE($CB$606:$CB$755,126)</f>
        <v>5</v>
      </c>
      <c r="R731" s="357">
        <f t="shared" si="166"/>
        <v>-191.6</v>
      </c>
      <c r="S731" s="356">
        <f t="shared" si="173"/>
        <v>36710.559999999998</v>
      </c>
      <c r="U731" s="356">
        <f t="shared" si="167"/>
        <v>-11.975</v>
      </c>
      <c r="V731" s="238">
        <f t="shared" si="171"/>
        <v>8</v>
      </c>
      <c r="W731" s="354"/>
      <c r="X731" s="366"/>
      <c r="Y731" s="366"/>
      <c r="Z731" s="238">
        <v>2018</v>
      </c>
      <c r="AA731" s="367">
        <f>LARGE($CU$606:$CU$755,126)</f>
        <v>24.3</v>
      </c>
      <c r="AB731" s="357">
        <f t="shared" si="168"/>
        <v>-166.6</v>
      </c>
      <c r="AC731" s="356">
        <f t="shared" si="170"/>
        <v>27755.559999999998</v>
      </c>
      <c r="AE731" s="356">
        <f t="shared" si="169"/>
        <v>-10.4125</v>
      </c>
      <c r="AF731" s="238">
        <f t="shared" si="172"/>
        <v>8</v>
      </c>
      <c r="AG731" s="354"/>
      <c r="AK731"/>
      <c r="AL731"/>
      <c r="AM731"/>
      <c r="AN731"/>
      <c r="AO731"/>
      <c r="AP731"/>
      <c r="BI731" s="360"/>
      <c r="BJ731" s="354"/>
      <c r="BK731" s="366">
        <v>2018</v>
      </c>
      <c r="BL731" t="s">
        <v>1606</v>
      </c>
      <c r="BM731" t="s">
        <v>1950</v>
      </c>
      <c r="BN731" t="s">
        <v>3</v>
      </c>
      <c r="BO731">
        <v>0</v>
      </c>
      <c r="BP731">
        <v>0</v>
      </c>
      <c r="BQ731">
        <v>0</v>
      </c>
      <c r="BR731">
        <v>0</v>
      </c>
      <c r="BS731">
        <v>0</v>
      </c>
      <c r="BT731">
        <v>6</v>
      </c>
      <c r="BU731">
        <v>41</v>
      </c>
      <c r="BV731">
        <v>0</v>
      </c>
      <c r="BW731">
        <v>0</v>
      </c>
      <c r="BX731">
        <v>0</v>
      </c>
      <c r="BY731">
        <v>25</v>
      </c>
      <c r="BZ731">
        <v>0</v>
      </c>
      <c r="CA731">
        <v>0</v>
      </c>
      <c r="CB731" s="367">
        <f>IFERROR(BO731/Instructions!$J$25,0)+BP731*Instructions!$J$27+BQ731*Instructions!$J$29+IFERROR(BR731/Instructions!$E$34,0)+BS731*Instructions!$E$36+Tier!BT732*Instructions!$E$25+IFERROR(BU731/Instructions!$E$27,0)+BV731*Instructions!$E$29+IFERROR((BW731+BY731)/Instructions!$J$32,0)+(BX731+BZ731)*Instructions!$J$34+Tier!CA731*-2</f>
        <v>6.1</v>
      </c>
      <c r="CC731" s="354"/>
      <c r="CD731" s="3">
        <v>2018</v>
      </c>
      <c r="CE731" t="s">
        <v>1200</v>
      </c>
      <c r="CF731" t="s">
        <v>1949</v>
      </c>
      <c r="CG731" s="366" t="s">
        <v>6</v>
      </c>
      <c r="CH731">
        <v>0</v>
      </c>
      <c r="CI731">
        <v>0</v>
      </c>
      <c r="CJ731">
        <v>0</v>
      </c>
      <c r="CK731">
        <v>0</v>
      </c>
      <c r="CL731">
        <v>0</v>
      </c>
      <c r="CM731">
        <v>0</v>
      </c>
      <c r="CN731">
        <v>0</v>
      </c>
      <c r="CO731">
        <v>0</v>
      </c>
      <c r="CP731">
        <v>0</v>
      </c>
      <c r="CQ731">
        <v>0</v>
      </c>
      <c r="CR731">
        <v>0</v>
      </c>
      <c r="CS731">
        <v>0</v>
      </c>
      <c r="CT731">
        <v>0</v>
      </c>
      <c r="CU731" s="367">
        <f>IFERROR(CH731/Instructions!$J$25,0)+CI731*Instructions!$J$27+CJ731*Instructions!$J$29+IFERROR(CK731/Instructions!$E$34,0)+CL731*Instructions!$E$36+Tier!CM731*Instructions!$E$25+IFERROR(CN731/Instructions!$E$27,0)+CO731*Instructions!$E$29+IFERROR((CP731+CR731)/Instructions!$J$32,0)+(CQ731+CS731)*Instructions!$J$34+Tier!CT731*-2</f>
        <v>0</v>
      </c>
      <c r="CV731" s="354"/>
      <c r="CW731"/>
      <c r="CX731"/>
      <c r="CY731"/>
      <c r="CZ731"/>
      <c r="DA731"/>
      <c r="DB731"/>
      <c r="DC731"/>
      <c r="DD731"/>
      <c r="DE731"/>
      <c r="DF731"/>
      <c r="DG731"/>
      <c r="DH731"/>
      <c r="DI731"/>
      <c r="DJ731"/>
      <c r="DK731"/>
      <c r="DL731"/>
      <c r="DM731"/>
      <c r="DN731"/>
    </row>
    <row r="732" spans="3:118" s="238" customFormat="1" ht="15.75" customHeight="1" x14ac:dyDescent="0.25">
      <c r="C732"/>
      <c r="D732"/>
      <c r="E732"/>
      <c r="F732"/>
      <c r="G732"/>
      <c r="H732"/>
      <c r="I732"/>
      <c r="J732"/>
      <c r="K732"/>
      <c r="L732"/>
      <c r="M732"/>
      <c r="N732"/>
      <c r="O732" s="366"/>
      <c r="P732" s="366">
        <v>2018</v>
      </c>
      <c r="Q732" s="367">
        <f>LARGE($CB$606:$CB$755,127)</f>
        <v>4.9000000000000004</v>
      </c>
      <c r="R732" s="357">
        <f t="shared" si="166"/>
        <v>-191.7</v>
      </c>
      <c r="S732" s="356">
        <f t="shared" si="173"/>
        <v>36748.889999999992</v>
      </c>
      <c r="U732" s="356">
        <f t="shared" si="167"/>
        <v>-11.981249999999999</v>
      </c>
      <c r="V732" s="238">
        <f t="shared" si="171"/>
        <v>8</v>
      </c>
      <c r="W732" s="354"/>
      <c r="X732" s="366"/>
      <c r="Y732" s="366"/>
      <c r="Z732" s="238">
        <v>2018</v>
      </c>
      <c r="AA732" s="367">
        <f>LARGE($CU$606:$CU$755,127)</f>
        <v>22.5</v>
      </c>
      <c r="AB732" s="357">
        <f t="shared" si="168"/>
        <v>-168.4</v>
      </c>
      <c r="AC732" s="356">
        <f t="shared" si="170"/>
        <v>28358.560000000001</v>
      </c>
      <c r="AE732" s="356">
        <f t="shared" si="169"/>
        <v>-10.525</v>
      </c>
      <c r="AF732" s="238">
        <f t="shared" si="172"/>
        <v>8</v>
      </c>
      <c r="AG732" s="354"/>
      <c r="AK732"/>
      <c r="AL732"/>
      <c r="AM732"/>
      <c r="AN732"/>
      <c r="AO732"/>
      <c r="AP732"/>
      <c r="BI732" s="360"/>
      <c r="BJ732" s="354"/>
      <c r="BK732" s="366">
        <v>2018</v>
      </c>
      <c r="BL732" t="s">
        <v>1835</v>
      </c>
      <c r="BM732" t="s">
        <v>1934</v>
      </c>
      <c r="BN732" t="s">
        <v>3</v>
      </c>
      <c r="BO732">
        <v>0</v>
      </c>
      <c r="BP732">
        <v>0</v>
      </c>
      <c r="BQ732">
        <v>0</v>
      </c>
      <c r="BR732">
        <v>47</v>
      </c>
      <c r="BS732">
        <v>0</v>
      </c>
      <c r="BT732">
        <v>2</v>
      </c>
      <c r="BU732">
        <v>1</v>
      </c>
      <c r="BV732">
        <v>0</v>
      </c>
      <c r="BW732">
        <v>0</v>
      </c>
      <c r="BX732">
        <v>0</v>
      </c>
      <c r="BY732">
        <v>0</v>
      </c>
      <c r="BZ732">
        <v>0</v>
      </c>
      <c r="CA732">
        <v>0</v>
      </c>
      <c r="CB732" s="367">
        <f>IFERROR(BO732/Instructions!$J$25,0)+BP732*Instructions!$J$27+BQ732*Instructions!$J$29+IFERROR(BR732/Instructions!$E$34,0)+BS732*Instructions!$E$36+Tier!BT733*Instructions!$E$25+IFERROR(BU732/Instructions!$E$27,0)+BV732*Instructions!$E$29+IFERROR((BW732+BY732)/Instructions!$J$32,0)+(BX732+BZ732)*Instructions!$J$34+Tier!CA732*-2</f>
        <v>8.7999999999999989</v>
      </c>
      <c r="CC732" s="354"/>
      <c r="CD732" s="3">
        <v>2018</v>
      </c>
      <c r="CE732" t="s">
        <v>1643</v>
      </c>
      <c r="CF732" t="s">
        <v>136</v>
      </c>
      <c r="CG732" s="366" t="s">
        <v>6</v>
      </c>
      <c r="CH732">
        <v>0</v>
      </c>
      <c r="CI732">
        <v>0</v>
      </c>
      <c r="CJ732">
        <v>0</v>
      </c>
      <c r="CK732">
        <v>6</v>
      </c>
      <c r="CL732">
        <v>0</v>
      </c>
      <c r="CM732">
        <v>3</v>
      </c>
      <c r="CN732">
        <v>29</v>
      </c>
      <c r="CO732">
        <v>1</v>
      </c>
      <c r="CP732">
        <v>0</v>
      </c>
      <c r="CQ732">
        <v>0</v>
      </c>
      <c r="CR732">
        <v>0</v>
      </c>
      <c r="CS732">
        <v>0</v>
      </c>
      <c r="CT732">
        <v>0</v>
      </c>
      <c r="CU732" s="367">
        <f>IFERROR(CH732/Instructions!$J$25,0)+CI732*Instructions!$J$27+CJ732*Instructions!$J$29+IFERROR(CK732/Instructions!$E$34,0)+CL732*Instructions!$E$36+Tier!CM732*Instructions!$E$25+IFERROR(CN732/Instructions!$E$27,0)+CO732*Instructions!$E$29+IFERROR((CP732+CR732)/Instructions!$J$32,0)+(CQ732+CS732)*Instructions!$J$34+Tier!CT732*-2</f>
        <v>12.5</v>
      </c>
      <c r="CV732" s="354"/>
      <c r="CW732"/>
      <c r="CX732"/>
      <c r="CY732"/>
      <c r="CZ732"/>
      <c r="DA732"/>
      <c r="DB732"/>
      <c r="DC732"/>
      <c r="DD732"/>
      <c r="DE732"/>
      <c r="DF732"/>
      <c r="DG732"/>
      <c r="DH732"/>
      <c r="DI732"/>
      <c r="DJ732"/>
      <c r="DK732"/>
      <c r="DL732"/>
      <c r="DM732"/>
      <c r="DN732"/>
    </row>
    <row r="733" spans="3:118" s="238" customFormat="1" ht="15.75" customHeight="1" x14ac:dyDescent="0.25">
      <c r="C733"/>
      <c r="D733"/>
      <c r="E733"/>
      <c r="F733"/>
      <c r="G733"/>
      <c r="H733"/>
      <c r="I733"/>
      <c r="J733"/>
      <c r="K733"/>
      <c r="L733"/>
      <c r="M733"/>
      <c r="N733"/>
      <c r="O733" s="366"/>
      <c r="P733" s="366">
        <v>2018</v>
      </c>
      <c r="Q733" s="367">
        <f>LARGE($CB$606:$CB$755,128)</f>
        <v>4.8</v>
      </c>
      <c r="R733" s="357">
        <f t="shared" si="166"/>
        <v>-191.79999999999998</v>
      </c>
      <c r="S733" s="356">
        <f t="shared" si="173"/>
        <v>36787.239999999991</v>
      </c>
      <c r="U733" s="356">
        <f t="shared" si="167"/>
        <v>-11.987499999999999</v>
      </c>
      <c r="V733" s="238">
        <f t="shared" si="171"/>
        <v>8</v>
      </c>
      <c r="W733" s="354"/>
      <c r="X733" s="366"/>
      <c r="Y733" s="366"/>
      <c r="Z733" s="238">
        <v>2018</v>
      </c>
      <c r="AA733" s="367">
        <f>LARGE($CU$606:$CU$755,128)</f>
        <v>22.14</v>
      </c>
      <c r="AB733" s="357">
        <f t="shared" si="168"/>
        <v>-168.76</v>
      </c>
      <c r="AC733" s="356">
        <f t="shared" si="170"/>
        <v>28479.937599999997</v>
      </c>
      <c r="AE733" s="356">
        <f t="shared" si="169"/>
        <v>-10.547499999999999</v>
      </c>
      <c r="AF733" s="238">
        <f t="shared" si="172"/>
        <v>8</v>
      </c>
      <c r="AG733" s="354"/>
      <c r="AK733"/>
      <c r="AL733"/>
      <c r="AM733"/>
      <c r="AN733"/>
      <c r="AO733"/>
      <c r="AP733"/>
      <c r="BI733" s="360"/>
      <c r="BJ733" s="354"/>
      <c r="BK733" s="366">
        <v>2018</v>
      </c>
      <c r="BL733" t="s">
        <v>1327</v>
      </c>
      <c r="BM733" t="s">
        <v>1930</v>
      </c>
      <c r="BN733" t="s">
        <v>3</v>
      </c>
      <c r="BO733">
        <v>0</v>
      </c>
      <c r="BP733">
        <v>0</v>
      </c>
      <c r="BQ733">
        <v>0</v>
      </c>
      <c r="BR733">
        <v>4</v>
      </c>
      <c r="BS733">
        <v>0</v>
      </c>
      <c r="BT733">
        <v>4</v>
      </c>
      <c r="BU733">
        <v>38</v>
      </c>
      <c r="BV733">
        <v>0</v>
      </c>
      <c r="BW733">
        <v>0</v>
      </c>
      <c r="BX733">
        <v>0</v>
      </c>
      <c r="BY733">
        <v>12</v>
      </c>
      <c r="BZ733">
        <v>0</v>
      </c>
      <c r="CA733">
        <v>0</v>
      </c>
      <c r="CB733" s="367">
        <f>IFERROR(BO733/Instructions!$J$25,0)+BP733*Instructions!$J$27+BQ733*Instructions!$J$29+IFERROR(BR733/Instructions!$E$34,0)+BS733*Instructions!$E$36+Tier!BT734*Instructions!$E$25+IFERROR(BU733/Instructions!$E$27,0)+BV733*Instructions!$E$29+IFERROR((BW733+BY733)/Instructions!$J$32,0)+(BX733+BZ733)*Instructions!$J$34+Tier!CA733*-2</f>
        <v>4.2</v>
      </c>
      <c r="CC733" s="354"/>
      <c r="CD733" s="3">
        <v>2018</v>
      </c>
      <c r="CE733" t="s">
        <v>1102</v>
      </c>
      <c r="CF733" t="s">
        <v>1949</v>
      </c>
      <c r="CG733" s="366" t="s">
        <v>6</v>
      </c>
      <c r="CH733">
        <v>0</v>
      </c>
      <c r="CI733">
        <v>0</v>
      </c>
      <c r="CJ733">
        <v>0</v>
      </c>
      <c r="CK733">
        <v>0</v>
      </c>
      <c r="CL733">
        <v>0</v>
      </c>
      <c r="CM733">
        <v>4</v>
      </c>
      <c r="CN733">
        <v>92</v>
      </c>
      <c r="CO733">
        <v>0</v>
      </c>
      <c r="CP733">
        <v>0</v>
      </c>
      <c r="CQ733">
        <v>0</v>
      </c>
      <c r="CR733">
        <v>0</v>
      </c>
      <c r="CS733">
        <v>0</v>
      </c>
      <c r="CT733">
        <v>0</v>
      </c>
      <c r="CU733" s="367">
        <f>IFERROR(CH733/Instructions!$J$25,0)+CI733*Instructions!$J$27+CJ733*Instructions!$J$29+IFERROR(CK733/Instructions!$E$34,0)+CL733*Instructions!$E$36+Tier!CM733*Instructions!$E$25+IFERROR(CN733/Instructions!$E$27,0)+CO733*Instructions!$E$29+IFERROR((CP733+CR733)/Instructions!$J$32,0)+(CQ733+CS733)*Instructions!$J$34+Tier!CT733*-2</f>
        <v>13.2</v>
      </c>
      <c r="CV733" s="354"/>
      <c r="CW733"/>
      <c r="CX733"/>
      <c r="CY733"/>
      <c r="CZ733"/>
      <c r="DA733"/>
      <c r="DB733"/>
      <c r="DC733"/>
      <c r="DD733"/>
      <c r="DE733"/>
      <c r="DF733"/>
      <c r="DG733"/>
      <c r="DH733"/>
      <c r="DI733"/>
      <c r="DJ733"/>
      <c r="DK733"/>
      <c r="DL733"/>
      <c r="DM733"/>
      <c r="DN733"/>
    </row>
    <row r="734" spans="3:118" s="238" customFormat="1" ht="15.75" customHeight="1" x14ac:dyDescent="0.25">
      <c r="C734"/>
      <c r="D734"/>
      <c r="E734"/>
      <c r="F734"/>
      <c r="G734"/>
      <c r="H734"/>
      <c r="I734"/>
      <c r="J734"/>
      <c r="K734"/>
      <c r="L734"/>
      <c r="M734"/>
      <c r="N734"/>
      <c r="O734" s="366"/>
      <c r="P734" s="366">
        <v>2018</v>
      </c>
      <c r="Q734" s="367">
        <f>LARGE($CB$606:$CB$755,129)</f>
        <v>4.3</v>
      </c>
      <c r="R734" s="357">
        <f t="shared" si="166"/>
        <v>-192.29999999999998</v>
      </c>
      <c r="S734" s="356">
        <f t="shared" si="173"/>
        <v>36979.289999999994</v>
      </c>
      <c r="U734" s="356">
        <f t="shared" si="167"/>
        <v>-12.018749999999999</v>
      </c>
      <c r="V734" s="238">
        <f t="shared" si="171"/>
        <v>8</v>
      </c>
      <c r="W734" s="354"/>
      <c r="X734" s="366"/>
      <c r="Y734" s="366"/>
      <c r="Z734" s="238">
        <v>2018</v>
      </c>
      <c r="AA734" s="367">
        <f>LARGE($CU$606:$CU$755,129)</f>
        <v>22</v>
      </c>
      <c r="AB734" s="357">
        <f t="shared" si="168"/>
        <v>-168.9</v>
      </c>
      <c r="AC734" s="356">
        <f t="shared" si="170"/>
        <v>28527.210000000003</v>
      </c>
      <c r="AE734" s="356">
        <f t="shared" si="169"/>
        <v>-10.55625</v>
      </c>
      <c r="AF734" s="238">
        <f t="shared" si="172"/>
        <v>8</v>
      </c>
      <c r="AG734" s="354"/>
      <c r="AK734"/>
      <c r="AL734"/>
      <c r="AM734"/>
      <c r="AN734"/>
      <c r="AO734"/>
      <c r="AP734"/>
      <c r="BI734" s="360"/>
      <c r="BJ734" s="354"/>
      <c r="BK734" s="366">
        <v>2018</v>
      </c>
      <c r="BL734" t="s">
        <v>1780</v>
      </c>
      <c r="BM734" t="s">
        <v>1943</v>
      </c>
      <c r="BN734" t="s">
        <v>3</v>
      </c>
      <c r="BO734">
        <v>0</v>
      </c>
      <c r="BP734">
        <v>0</v>
      </c>
      <c r="BQ734">
        <v>0</v>
      </c>
      <c r="BR734">
        <v>0</v>
      </c>
      <c r="BS734">
        <v>0</v>
      </c>
      <c r="BT734">
        <v>0</v>
      </c>
      <c r="BU734">
        <v>0</v>
      </c>
      <c r="BV734">
        <v>0</v>
      </c>
      <c r="BW734">
        <v>0</v>
      </c>
      <c r="BX734">
        <v>0</v>
      </c>
      <c r="BY734">
        <v>96</v>
      </c>
      <c r="BZ734">
        <v>0</v>
      </c>
      <c r="CA734">
        <v>0</v>
      </c>
      <c r="CB734" s="367">
        <f>IFERROR(BO734/Instructions!$J$25,0)+BP734*Instructions!$J$27+BQ734*Instructions!$J$29+IFERROR(BR734/Instructions!$E$34,0)+BS734*Instructions!$E$36+Tier!BT735*Instructions!$E$25+IFERROR(BU734/Instructions!$E$27,0)+BV734*Instructions!$E$29+IFERROR((BW734+BY734)/Instructions!$J$32,0)+(BX734+BZ734)*Instructions!$J$34+Tier!CA734*-2</f>
        <v>2</v>
      </c>
      <c r="CC734" s="354"/>
      <c r="CD734" s="3">
        <v>2018</v>
      </c>
      <c r="CE734" t="s">
        <v>1337</v>
      </c>
      <c r="CF734" t="s">
        <v>139</v>
      </c>
      <c r="CG734" s="366" t="s">
        <v>6</v>
      </c>
      <c r="CH734">
        <v>0</v>
      </c>
      <c r="CI734">
        <v>0</v>
      </c>
      <c r="CJ734">
        <v>0</v>
      </c>
      <c r="CK734">
        <v>0</v>
      </c>
      <c r="CL734">
        <v>0</v>
      </c>
      <c r="CM734">
        <v>8</v>
      </c>
      <c r="CN734">
        <v>103</v>
      </c>
      <c r="CO734">
        <v>1</v>
      </c>
      <c r="CP734">
        <v>0</v>
      </c>
      <c r="CQ734">
        <v>0</v>
      </c>
      <c r="CR734">
        <v>0</v>
      </c>
      <c r="CS734">
        <v>0</v>
      </c>
      <c r="CT734">
        <v>0</v>
      </c>
      <c r="CU734" s="367">
        <f>IFERROR(CH734/Instructions!$J$25,0)+CI734*Instructions!$J$27+CJ734*Instructions!$J$29+IFERROR(CK734/Instructions!$E$34,0)+CL734*Instructions!$E$36+Tier!CM734*Instructions!$E$25+IFERROR(CN734/Instructions!$E$27,0)+CO734*Instructions!$E$29+IFERROR((CP734+CR734)/Instructions!$J$32,0)+(CQ734+CS734)*Instructions!$J$34+Tier!CT734*-2</f>
        <v>24.3</v>
      </c>
      <c r="CV734" s="354"/>
      <c r="CW734"/>
      <c r="CX734"/>
      <c r="CY734"/>
      <c r="CZ734"/>
      <c r="DA734"/>
      <c r="DB734"/>
      <c r="DC734"/>
      <c r="DD734"/>
      <c r="DE734"/>
      <c r="DF734"/>
      <c r="DG734"/>
      <c r="DH734"/>
      <c r="DI734"/>
      <c r="DJ734"/>
      <c r="DK734"/>
      <c r="DL734"/>
      <c r="DM734"/>
      <c r="DN734"/>
    </row>
    <row r="735" spans="3:118" s="238" customFormat="1" ht="15.75" customHeight="1" x14ac:dyDescent="0.25">
      <c r="C735"/>
      <c r="D735"/>
      <c r="E735"/>
      <c r="F735"/>
      <c r="G735"/>
      <c r="H735"/>
      <c r="I735"/>
      <c r="J735"/>
      <c r="K735"/>
      <c r="L735"/>
      <c r="M735"/>
      <c r="N735"/>
      <c r="O735" s="366"/>
      <c r="P735" s="366">
        <v>2018</v>
      </c>
      <c r="Q735" s="367">
        <f>LARGE($CB$606:$CB$755,130)</f>
        <v>4.2</v>
      </c>
      <c r="R735" s="357">
        <f t="shared" ref="R735:R755" si="174">Q735-$T$161</f>
        <v>-192.4</v>
      </c>
      <c r="S735" s="356">
        <f t="shared" si="173"/>
        <v>37017.760000000002</v>
      </c>
      <c r="U735" s="356">
        <f t="shared" ref="U735:U755" si="175">R735/$T$606</f>
        <v>-12.025</v>
      </c>
      <c r="V735" s="238">
        <f t="shared" si="171"/>
        <v>8</v>
      </c>
      <c r="W735" s="354"/>
      <c r="X735" s="366"/>
      <c r="Y735" s="366"/>
      <c r="Z735" s="238">
        <v>2018</v>
      </c>
      <c r="AA735" s="367">
        <f>LARGE($CU$606:$CU$755,130)</f>
        <v>20.100000000000001</v>
      </c>
      <c r="AB735" s="357">
        <f t="shared" ref="AB735:AB755" si="176">$AA735-$AD$616</f>
        <v>-170.8</v>
      </c>
      <c r="AC735" s="356">
        <f t="shared" si="170"/>
        <v>29172.640000000003</v>
      </c>
      <c r="AE735" s="356">
        <f t="shared" ref="AE735:AE755" si="177">AB735/$AD$606</f>
        <v>-10.675000000000001</v>
      </c>
      <c r="AF735" s="238">
        <f t="shared" si="172"/>
        <v>8</v>
      </c>
      <c r="AG735" s="354"/>
      <c r="AK735"/>
      <c r="AL735"/>
      <c r="AM735"/>
      <c r="AN735"/>
      <c r="AO735"/>
      <c r="AP735"/>
      <c r="BI735" s="360"/>
      <c r="BJ735" s="354"/>
      <c r="BK735" s="366">
        <v>2018</v>
      </c>
      <c r="BL735" t="s">
        <v>1609</v>
      </c>
      <c r="BM735" t="s">
        <v>1933</v>
      </c>
      <c r="BN735" t="s">
        <v>3</v>
      </c>
      <c r="BO735">
        <v>0</v>
      </c>
      <c r="BP735">
        <v>0</v>
      </c>
      <c r="BQ735">
        <v>0</v>
      </c>
      <c r="BR735">
        <v>3</v>
      </c>
      <c r="BS735">
        <v>0</v>
      </c>
      <c r="BT735">
        <v>2</v>
      </c>
      <c r="BU735">
        <v>35</v>
      </c>
      <c r="BV735">
        <v>0</v>
      </c>
      <c r="BW735">
        <v>0</v>
      </c>
      <c r="BX735">
        <v>0</v>
      </c>
      <c r="BY735">
        <v>0</v>
      </c>
      <c r="BZ735">
        <v>0</v>
      </c>
      <c r="CA735">
        <v>0</v>
      </c>
      <c r="CB735" s="367">
        <f>IFERROR(BO735/Instructions!$J$25,0)+BP735*Instructions!$J$27+BQ735*Instructions!$J$29+IFERROR(BR735/Instructions!$E$34,0)+BS735*Instructions!$E$36+Tier!BT736*Instructions!$E$25+IFERROR(BU735/Instructions!$E$27,0)+BV735*Instructions!$E$29+IFERROR((BW735+BY735)/Instructions!$J$32,0)+(BX735+BZ735)*Instructions!$J$34+Tier!CA735*-2</f>
        <v>6.8</v>
      </c>
      <c r="CC735" s="354"/>
      <c r="CD735" s="3">
        <v>2018</v>
      </c>
      <c r="CE735" t="s">
        <v>1974</v>
      </c>
      <c r="CF735" t="s">
        <v>139</v>
      </c>
      <c r="CG735" s="366" t="s">
        <v>6</v>
      </c>
      <c r="CH735">
        <v>0</v>
      </c>
      <c r="CI735">
        <v>0</v>
      </c>
      <c r="CJ735">
        <v>0</v>
      </c>
      <c r="CK735">
        <v>0</v>
      </c>
      <c r="CL735">
        <v>0</v>
      </c>
      <c r="CM735">
        <v>4</v>
      </c>
      <c r="CN735">
        <v>40</v>
      </c>
      <c r="CO735">
        <v>0</v>
      </c>
      <c r="CP735">
        <v>0</v>
      </c>
      <c r="CQ735">
        <v>0</v>
      </c>
      <c r="CR735">
        <v>0</v>
      </c>
      <c r="CS735">
        <v>0</v>
      </c>
      <c r="CT735">
        <v>0</v>
      </c>
      <c r="CU735" s="367">
        <f>IFERROR(CH735/Instructions!$J$25,0)+CI735*Instructions!$J$27+CJ735*Instructions!$J$29+IFERROR(CK735/Instructions!$E$34,0)+CL735*Instructions!$E$36+Tier!CM735*Instructions!$E$25+IFERROR(CN735/Instructions!$E$27,0)+CO735*Instructions!$E$29+IFERROR((CP735+CR735)/Instructions!$J$32,0)+(CQ735+CS735)*Instructions!$J$34+Tier!CT735*-2</f>
        <v>8</v>
      </c>
      <c r="CV735" s="354"/>
      <c r="CW735"/>
      <c r="CX735"/>
      <c r="CY735"/>
      <c r="CZ735"/>
      <c r="DA735"/>
      <c r="DB735"/>
      <c r="DC735"/>
      <c r="DD735"/>
      <c r="DE735"/>
      <c r="DF735"/>
      <c r="DG735"/>
      <c r="DH735"/>
      <c r="DI735"/>
      <c r="DJ735"/>
      <c r="DK735"/>
      <c r="DL735"/>
      <c r="DM735"/>
      <c r="DN735"/>
    </row>
    <row r="736" spans="3:118" s="238" customFormat="1" ht="15.75" customHeight="1" x14ac:dyDescent="0.25">
      <c r="C736"/>
      <c r="D736"/>
      <c r="E736"/>
      <c r="F736"/>
      <c r="G736"/>
      <c r="H736"/>
      <c r="I736"/>
      <c r="J736"/>
      <c r="K736"/>
      <c r="L736"/>
      <c r="M736"/>
      <c r="N736"/>
      <c r="O736" s="366"/>
      <c r="P736" s="366">
        <v>2018</v>
      </c>
      <c r="Q736" s="367">
        <f>LARGE($CB$606:$CB$755,131)</f>
        <v>4.2</v>
      </c>
      <c r="R736" s="357">
        <f t="shared" si="174"/>
        <v>-192.4</v>
      </c>
      <c r="S736" s="356">
        <f t="shared" si="173"/>
        <v>37017.760000000002</v>
      </c>
      <c r="U736" s="356">
        <f t="shared" si="175"/>
        <v>-12.025</v>
      </c>
      <c r="V736" s="238">
        <f t="shared" si="171"/>
        <v>8</v>
      </c>
      <c r="W736" s="354"/>
      <c r="X736" s="366"/>
      <c r="Y736" s="366"/>
      <c r="Z736" s="238">
        <v>2018</v>
      </c>
      <c r="AA736" s="367">
        <f>LARGE($CU$606:$CU$755,131)</f>
        <v>19.5</v>
      </c>
      <c r="AB736" s="357">
        <f t="shared" si="176"/>
        <v>-171.4</v>
      </c>
      <c r="AC736" s="356">
        <f t="shared" si="170"/>
        <v>29377.960000000003</v>
      </c>
      <c r="AE736" s="356">
        <f t="shared" si="177"/>
        <v>-10.7125</v>
      </c>
      <c r="AF736" s="238">
        <f t="shared" si="172"/>
        <v>8</v>
      </c>
      <c r="AG736" s="354"/>
      <c r="AK736"/>
      <c r="AL736"/>
      <c r="AM736"/>
      <c r="AN736"/>
      <c r="AO736"/>
      <c r="AP736"/>
      <c r="BI736" s="360"/>
      <c r="BJ736" s="354"/>
      <c r="BK736" s="366">
        <v>2018</v>
      </c>
      <c r="BL736" t="s">
        <v>1440</v>
      </c>
      <c r="BM736" t="s">
        <v>1940</v>
      </c>
      <c r="BN736" t="s">
        <v>3</v>
      </c>
      <c r="BO736">
        <v>0</v>
      </c>
      <c r="BP736">
        <v>0</v>
      </c>
      <c r="BQ736">
        <v>0</v>
      </c>
      <c r="BR736">
        <v>32</v>
      </c>
      <c r="BS736">
        <v>0</v>
      </c>
      <c r="BT736">
        <v>3</v>
      </c>
      <c r="BU736">
        <v>5</v>
      </c>
      <c r="BV736">
        <v>0</v>
      </c>
      <c r="BW736">
        <v>0</v>
      </c>
      <c r="BX736">
        <v>0</v>
      </c>
      <c r="BY736">
        <v>0</v>
      </c>
      <c r="BZ736">
        <v>0</v>
      </c>
      <c r="CA736">
        <v>0</v>
      </c>
      <c r="CB736" s="367">
        <f>IFERROR(BO736/Instructions!$J$25,0)+BP736*Instructions!$J$27+BQ736*Instructions!$J$29+IFERROR(BR736/Instructions!$E$34,0)+BS736*Instructions!$E$36+Tier!BT737*Instructions!$E$25+IFERROR(BU736/Instructions!$E$27,0)+BV736*Instructions!$E$29+IFERROR((BW736+BY736)/Instructions!$J$32,0)+(BX736+BZ736)*Instructions!$J$34+Tier!CA736*-2</f>
        <v>3.7</v>
      </c>
      <c r="CC736" s="354"/>
      <c r="CD736" s="3">
        <v>2018</v>
      </c>
      <c r="CE736" t="s">
        <v>1975</v>
      </c>
      <c r="CF736" t="s">
        <v>1945</v>
      </c>
      <c r="CG736" s="366" t="s">
        <v>6</v>
      </c>
      <c r="CH736">
        <v>0</v>
      </c>
      <c r="CI736">
        <v>0</v>
      </c>
      <c r="CJ736">
        <v>0</v>
      </c>
      <c r="CK736">
        <v>1</v>
      </c>
      <c r="CL736">
        <v>0</v>
      </c>
      <c r="CM736">
        <v>8</v>
      </c>
      <c r="CN736">
        <v>82</v>
      </c>
      <c r="CO736">
        <v>0</v>
      </c>
      <c r="CP736">
        <v>0</v>
      </c>
      <c r="CQ736">
        <v>0</v>
      </c>
      <c r="CR736">
        <v>0</v>
      </c>
      <c r="CS736">
        <v>0</v>
      </c>
      <c r="CT736">
        <v>0</v>
      </c>
      <c r="CU736" s="367">
        <f>IFERROR(CH736/Instructions!$J$25,0)+CI736*Instructions!$J$27+CJ736*Instructions!$J$29+IFERROR(CK736/Instructions!$E$34,0)+CL736*Instructions!$E$36+Tier!CM736*Instructions!$E$25+IFERROR(CN736/Instructions!$E$27,0)+CO736*Instructions!$E$29+IFERROR((CP736+CR736)/Instructions!$J$32,0)+(CQ736+CS736)*Instructions!$J$34+Tier!CT736*-2</f>
        <v>16.299999999999997</v>
      </c>
      <c r="CV736" s="354"/>
      <c r="CW736"/>
      <c r="CX736"/>
      <c r="CY736"/>
      <c r="CZ736"/>
      <c r="DA736"/>
      <c r="DB736"/>
      <c r="DC736"/>
      <c r="DD736"/>
      <c r="DE736"/>
      <c r="DF736"/>
      <c r="DG736"/>
      <c r="DH736"/>
      <c r="DI736"/>
      <c r="DJ736"/>
      <c r="DK736"/>
      <c r="DL736"/>
      <c r="DM736"/>
      <c r="DN736"/>
    </row>
    <row r="737" spans="3:118" s="238" customFormat="1" ht="15.75" customHeight="1" x14ac:dyDescent="0.25">
      <c r="C737"/>
      <c r="D737"/>
      <c r="E737"/>
      <c r="F737"/>
      <c r="G737"/>
      <c r="H737"/>
      <c r="I737"/>
      <c r="J737"/>
      <c r="K737"/>
      <c r="L737"/>
      <c r="M737"/>
      <c r="N737"/>
      <c r="O737" s="366"/>
      <c r="P737" s="366">
        <v>2018</v>
      </c>
      <c r="Q737" s="367">
        <f>LARGE($CB$606:$CB$755,132)</f>
        <v>4.0999999999999996</v>
      </c>
      <c r="R737" s="357">
        <f t="shared" si="174"/>
        <v>-192.5</v>
      </c>
      <c r="S737" s="356">
        <f t="shared" si="173"/>
        <v>37056.25</v>
      </c>
      <c r="U737" s="356">
        <f t="shared" si="175"/>
        <v>-12.03125</v>
      </c>
      <c r="V737" s="238">
        <f t="shared" si="171"/>
        <v>8</v>
      </c>
      <c r="W737" s="354"/>
      <c r="X737" s="366"/>
      <c r="Y737" s="366"/>
      <c r="Z737" s="238">
        <v>2018</v>
      </c>
      <c r="AA737" s="367">
        <f>LARGE($CU$606:$CU$755,132)</f>
        <v>18.8</v>
      </c>
      <c r="AB737" s="357">
        <f t="shared" si="176"/>
        <v>-172.1</v>
      </c>
      <c r="AC737" s="356">
        <f t="shared" si="170"/>
        <v>29618.41</v>
      </c>
      <c r="AE737" s="356">
        <f t="shared" si="177"/>
        <v>-10.75625</v>
      </c>
      <c r="AF737" s="238">
        <f t="shared" si="172"/>
        <v>8</v>
      </c>
      <c r="AG737" s="354"/>
      <c r="AK737"/>
      <c r="AL737"/>
      <c r="AM737"/>
      <c r="AN737"/>
      <c r="AO737"/>
      <c r="AP737"/>
      <c r="BI737" s="360"/>
      <c r="BJ737" s="354"/>
      <c r="BK737" s="366">
        <v>2018</v>
      </c>
      <c r="BL737" t="s">
        <v>1960</v>
      </c>
      <c r="BM737" t="s">
        <v>1950</v>
      </c>
      <c r="BN737" t="s">
        <v>3</v>
      </c>
      <c r="BO737">
        <v>0</v>
      </c>
      <c r="BP737">
        <v>0</v>
      </c>
      <c r="BQ737">
        <v>0</v>
      </c>
      <c r="BR737">
        <v>36</v>
      </c>
      <c r="BS737">
        <v>0</v>
      </c>
      <c r="BT737">
        <v>0</v>
      </c>
      <c r="BU737">
        <v>0</v>
      </c>
      <c r="BV737">
        <v>0</v>
      </c>
      <c r="BW737">
        <v>0</v>
      </c>
      <c r="BX737">
        <v>0</v>
      </c>
      <c r="BY737">
        <v>0</v>
      </c>
      <c r="BZ737">
        <v>0</v>
      </c>
      <c r="CA737">
        <v>0</v>
      </c>
      <c r="CB737" s="367">
        <f>IFERROR(BO737/Instructions!$J$25,0)+BP737*Instructions!$J$27+BQ737*Instructions!$J$29+IFERROR(BR737/Instructions!$E$34,0)+BS737*Instructions!$E$36+Tier!BT738*Instructions!$E$25+IFERROR(BU737/Instructions!$E$27,0)+BV737*Instructions!$E$29+IFERROR((BW737+BY737)/Instructions!$J$32,0)+(BX737+BZ737)*Instructions!$J$34+Tier!CA737*-2</f>
        <v>3.6</v>
      </c>
      <c r="CC737" s="354"/>
      <c r="CD737" s="3">
        <v>2018</v>
      </c>
      <c r="CE737" t="s">
        <v>203</v>
      </c>
      <c r="CF737" t="s">
        <v>1948</v>
      </c>
      <c r="CG737" s="366" t="s">
        <v>6</v>
      </c>
      <c r="CH737">
        <v>0</v>
      </c>
      <c r="CI737">
        <v>0</v>
      </c>
      <c r="CJ737">
        <v>0</v>
      </c>
      <c r="CK737">
        <v>0</v>
      </c>
      <c r="CL737">
        <v>0</v>
      </c>
      <c r="CM737">
        <v>13</v>
      </c>
      <c r="CN737">
        <v>162</v>
      </c>
      <c r="CO737">
        <v>0</v>
      </c>
      <c r="CP737">
        <v>0</v>
      </c>
      <c r="CQ737">
        <v>0</v>
      </c>
      <c r="CR737">
        <v>0</v>
      </c>
      <c r="CS737">
        <v>0</v>
      </c>
      <c r="CT737">
        <v>0</v>
      </c>
      <c r="CU737" s="367">
        <f>IFERROR(CH737/Instructions!$J$25,0)+CI737*Instructions!$J$27+CJ737*Instructions!$J$29+IFERROR(CK737/Instructions!$E$34,0)+CL737*Instructions!$E$36+Tier!CM737*Instructions!$E$25+IFERROR(CN737/Instructions!$E$27,0)+CO737*Instructions!$E$29+IFERROR((CP737+CR737)/Instructions!$J$32,0)+(CQ737+CS737)*Instructions!$J$34+Tier!CT737*-2</f>
        <v>29.2</v>
      </c>
      <c r="CV737" s="354"/>
      <c r="CW737"/>
      <c r="CX737"/>
      <c r="CY737"/>
      <c r="CZ737"/>
      <c r="DA737"/>
      <c r="DB737"/>
      <c r="DC737"/>
      <c r="DD737"/>
      <c r="DE737"/>
      <c r="DF737"/>
      <c r="DG737"/>
      <c r="DH737"/>
      <c r="DI737"/>
      <c r="DJ737"/>
      <c r="DK737"/>
      <c r="DL737"/>
      <c r="DM737"/>
      <c r="DN737"/>
    </row>
    <row r="738" spans="3:118" s="238" customFormat="1" ht="15.75" customHeight="1" x14ac:dyDescent="0.25">
      <c r="C738"/>
      <c r="D738"/>
      <c r="E738"/>
      <c r="F738"/>
      <c r="G738"/>
      <c r="H738"/>
      <c r="I738"/>
      <c r="J738"/>
      <c r="K738"/>
      <c r="L738"/>
      <c r="M738"/>
      <c r="N738"/>
      <c r="O738" s="366"/>
      <c r="P738" s="366">
        <v>2018</v>
      </c>
      <c r="Q738" s="367">
        <f>LARGE($CB$606:$CB$755,133)</f>
        <v>3.9000000000000004</v>
      </c>
      <c r="R738" s="357">
        <f t="shared" si="174"/>
        <v>-192.7</v>
      </c>
      <c r="S738" s="356">
        <f t="shared" si="173"/>
        <v>37133.289999999994</v>
      </c>
      <c r="U738" s="356">
        <f t="shared" si="175"/>
        <v>-12.043749999999999</v>
      </c>
      <c r="V738" s="238">
        <f t="shared" si="171"/>
        <v>8</v>
      </c>
      <c r="W738" s="354"/>
      <c r="X738" s="366"/>
      <c r="Y738" s="366"/>
      <c r="Z738" s="238">
        <v>2018</v>
      </c>
      <c r="AA738" s="367">
        <f>LARGE($CU$606:$CU$755,133)</f>
        <v>18</v>
      </c>
      <c r="AB738" s="357">
        <f t="shared" si="176"/>
        <v>-172.9</v>
      </c>
      <c r="AC738" s="356">
        <f t="shared" si="170"/>
        <v>29894.410000000003</v>
      </c>
      <c r="AE738" s="356">
        <f t="shared" si="177"/>
        <v>-10.80625</v>
      </c>
      <c r="AF738" s="238">
        <f t="shared" si="172"/>
        <v>8</v>
      </c>
      <c r="AG738" s="354"/>
      <c r="AK738"/>
      <c r="AL738"/>
      <c r="AM738"/>
      <c r="AN738"/>
      <c r="AO738"/>
      <c r="AP738"/>
      <c r="BI738" s="360"/>
      <c r="BJ738" s="354"/>
      <c r="BK738" s="366">
        <v>2018</v>
      </c>
      <c r="BL738" t="s">
        <v>1231</v>
      </c>
      <c r="BM738" t="s">
        <v>1932</v>
      </c>
      <c r="BN738" t="s">
        <v>3</v>
      </c>
      <c r="BO738">
        <v>0</v>
      </c>
      <c r="BP738">
        <v>0</v>
      </c>
      <c r="BQ738">
        <v>0</v>
      </c>
      <c r="BR738">
        <v>0</v>
      </c>
      <c r="BS738">
        <v>0</v>
      </c>
      <c r="BT738">
        <v>0</v>
      </c>
      <c r="BU738">
        <v>0</v>
      </c>
      <c r="BV738">
        <v>0</v>
      </c>
      <c r="BW738">
        <v>0</v>
      </c>
      <c r="BX738">
        <v>0</v>
      </c>
      <c r="BY738">
        <v>89</v>
      </c>
      <c r="BZ738">
        <v>0</v>
      </c>
      <c r="CA738">
        <v>0</v>
      </c>
      <c r="CB738" s="367">
        <f>IFERROR(BO738/Instructions!$J$25,0)+BP738*Instructions!$J$27+BQ738*Instructions!$J$29+IFERROR(BR738/Instructions!$E$34,0)+BS738*Instructions!$E$36+Tier!BT739*Instructions!$E$25+IFERROR(BU738/Instructions!$E$27,0)+BV738*Instructions!$E$29+IFERROR((BW738+BY738)/Instructions!$J$32,0)+(BX738+BZ738)*Instructions!$J$34+Tier!CA738*-2</f>
        <v>1</v>
      </c>
      <c r="CC738" s="354"/>
      <c r="CD738" s="3">
        <v>2018</v>
      </c>
      <c r="CE738" t="s">
        <v>1805</v>
      </c>
      <c r="CF738" t="s">
        <v>1940</v>
      </c>
      <c r="CG738" s="366" t="s">
        <v>6</v>
      </c>
      <c r="CH738">
        <v>0</v>
      </c>
      <c r="CI738">
        <v>0</v>
      </c>
      <c r="CJ738">
        <v>0</v>
      </c>
      <c r="CK738">
        <v>0</v>
      </c>
      <c r="CL738">
        <v>0</v>
      </c>
      <c r="CM738">
        <v>9</v>
      </c>
      <c r="CN738">
        <v>75</v>
      </c>
      <c r="CO738">
        <v>1</v>
      </c>
      <c r="CP738">
        <v>0</v>
      </c>
      <c r="CQ738">
        <v>0</v>
      </c>
      <c r="CR738">
        <v>0</v>
      </c>
      <c r="CS738">
        <v>0</v>
      </c>
      <c r="CT738">
        <v>0</v>
      </c>
      <c r="CU738" s="367">
        <f>IFERROR(CH738/Instructions!$J$25,0)+CI738*Instructions!$J$27+CJ738*Instructions!$J$29+IFERROR(CK738/Instructions!$E$34,0)+CL738*Instructions!$E$36+Tier!CM738*Instructions!$E$25+IFERROR(CN738/Instructions!$E$27,0)+CO738*Instructions!$E$29+IFERROR((CP738+CR738)/Instructions!$J$32,0)+(CQ738+CS738)*Instructions!$J$34+Tier!CT738*-2</f>
        <v>22.5</v>
      </c>
      <c r="CV738" s="354"/>
      <c r="CW738"/>
      <c r="CX738"/>
      <c r="CY738"/>
      <c r="CZ738"/>
      <c r="DA738"/>
      <c r="DB738"/>
      <c r="DC738"/>
      <c r="DD738"/>
      <c r="DE738"/>
      <c r="DF738"/>
      <c r="DG738"/>
      <c r="DH738"/>
      <c r="DI738"/>
      <c r="DJ738"/>
      <c r="DK738"/>
      <c r="DL738"/>
      <c r="DM738"/>
      <c r="DN738"/>
    </row>
    <row r="739" spans="3:118" s="238" customFormat="1" ht="15.75" customHeight="1" x14ac:dyDescent="0.25">
      <c r="C739"/>
      <c r="D739"/>
      <c r="E739"/>
      <c r="F739"/>
      <c r="G739"/>
      <c r="H739"/>
      <c r="I739"/>
      <c r="J739"/>
      <c r="K739"/>
      <c r="L739"/>
      <c r="M739"/>
      <c r="N739"/>
      <c r="O739" s="366"/>
      <c r="P739" s="366">
        <v>2018</v>
      </c>
      <c r="Q739" s="367">
        <f>LARGE($CB$606:$CB$755,134)</f>
        <v>3.7</v>
      </c>
      <c r="R739" s="357">
        <f t="shared" si="174"/>
        <v>-192.9</v>
      </c>
      <c r="S739" s="356">
        <f t="shared" si="173"/>
        <v>37210.410000000003</v>
      </c>
      <c r="U739" s="356">
        <f t="shared" si="175"/>
        <v>-12.05625</v>
      </c>
      <c r="V739" s="238">
        <f t="shared" si="171"/>
        <v>8</v>
      </c>
      <c r="W739" s="354"/>
      <c r="X739" s="366"/>
      <c r="Y739" s="366"/>
      <c r="Z739" s="238">
        <v>2018</v>
      </c>
      <c r="AA739" s="367">
        <f>LARGE($CU$606:$CU$755,134)</f>
        <v>16.299999999999997</v>
      </c>
      <c r="AB739" s="357">
        <f t="shared" si="176"/>
        <v>-174.60000000000002</v>
      </c>
      <c r="AC739" s="356">
        <f t="shared" si="170"/>
        <v>30485.160000000007</v>
      </c>
      <c r="AE739" s="356">
        <f t="shared" si="177"/>
        <v>-10.912500000000001</v>
      </c>
      <c r="AF739" s="238">
        <f t="shared" si="172"/>
        <v>8</v>
      </c>
      <c r="AG739" s="354"/>
      <c r="AK739"/>
      <c r="AL739"/>
      <c r="AM739"/>
      <c r="AN739"/>
      <c r="AO739"/>
      <c r="AP739"/>
      <c r="BI739" s="360"/>
      <c r="BJ739" s="354"/>
      <c r="BK739" s="366">
        <v>2018</v>
      </c>
      <c r="BL739" t="s">
        <v>106</v>
      </c>
      <c r="BM739" t="s">
        <v>157</v>
      </c>
      <c r="BN739" t="s">
        <v>3</v>
      </c>
      <c r="BO739">
        <v>0</v>
      </c>
      <c r="BP739">
        <v>0</v>
      </c>
      <c r="BQ739">
        <v>0</v>
      </c>
      <c r="BR739">
        <v>25</v>
      </c>
      <c r="BS739">
        <v>0</v>
      </c>
      <c r="BT739">
        <v>1</v>
      </c>
      <c r="BU739">
        <v>6</v>
      </c>
      <c r="BV739">
        <v>0</v>
      </c>
      <c r="BW739">
        <v>0</v>
      </c>
      <c r="BX739">
        <v>0</v>
      </c>
      <c r="BY739">
        <v>0</v>
      </c>
      <c r="BZ739">
        <v>0</v>
      </c>
      <c r="CA739">
        <v>0</v>
      </c>
      <c r="CB739" s="367">
        <f>IFERROR(BO739/Instructions!$J$25,0)+BP739*Instructions!$J$27+BQ739*Instructions!$J$29+IFERROR(BR739/Instructions!$E$34,0)+BS739*Instructions!$E$36+Tier!BT740*Instructions!$E$25+IFERROR(BU739/Instructions!$E$27,0)+BV739*Instructions!$E$29+IFERROR((BW739+BY739)/Instructions!$J$32,0)+(BX739+BZ739)*Instructions!$J$34+Tier!CA739*-2</f>
        <v>3.1</v>
      </c>
      <c r="CC739" s="354"/>
      <c r="CD739" s="3">
        <v>2018</v>
      </c>
      <c r="CE739" t="s">
        <v>1896</v>
      </c>
      <c r="CF739" t="s">
        <v>1932</v>
      </c>
      <c r="CG739" s="366" t="s">
        <v>6</v>
      </c>
      <c r="CH739">
        <v>0</v>
      </c>
      <c r="CI739">
        <v>0</v>
      </c>
      <c r="CJ739">
        <v>0</v>
      </c>
      <c r="CK739">
        <v>0</v>
      </c>
      <c r="CL739">
        <v>0</v>
      </c>
      <c r="CM739">
        <v>5</v>
      </c>
      <c r="CN739">
        <v>91</v>
      </c>
      <c r="CO739">
        <v>1</v>
      </c>
      <c r="CP739">
        <v>0</v>
      </c>
      <c r="CQ739">
        <v>0</v>
      </c>
      <c r="CR739">
        <v>0</v>
      </c>
      <c r="CS739">
        <v>0</v>
      </c>
      <c r="CT739">
        <v>0</v>
      </c>
      <c r="CU739" s="367">
        <f>IFERROR(CH739/Instructions!$J$25,0)+CI739*Instructions!$J$27+CJ739*Instructions!$J$29+IFERROR(CK739/Instructions!$E$34,0)+CL739*Instructions!$E$36+Tier!CM739*Instructions!$E$25+IFERROR(CN739/Instructions!$E$27,0)+CO739*Instructions!$E$29+IFERROR((CP739+CR739)/Instructions!$J$32,0)+(CQ739+CS739)*Instructions!$J$34+Tier!CT739*-2</f>
        <v>20.100000000000001</v>
      </c>
      <c r="CV739" s="354"/>
      <c r="CW739"/>
      <c r="CX739"/>
      <c r="CY739"/>
      <c r="CZ739"/>
      <c r="DA739"/>
      <c r="DB739"/>
      <c r="DC739"/>
      <c r="DD739"/>
      <c r="DE739"/>
      <c r="DF739"/>
      <c r="DG739"/>
      <c r="DH739"/>
      <c r="DI739"/>
      <c r="DJ739"/>
      <c r="DK739"/>
      <c r="DL739"/>
      <c r="DM739"/>
      <c r="DN739"/>
    </row>
    <row r="740" spans="3:118" s="238" customFormat="1" ht="15.75" customHeight="1" x14ac:dyDescent="0.25">
      <c r="C740"/>
      <c r="D740"/>
      <c r="E740"/>
      <c r="F740"/>
      <c r="G740"/>
      <c r="H740"/>
      <c r="I740"/>
      <c r="J740"/>
      <c r="K740"/>
      <c r="L740"/>
      <c r="M740"/>
      <c r="N740"/>
      <c r="O740" s="366"/>
      <c r="P740" s="366">
        <v>2018</v>
      </c>
      <c r="Q740" s="367">
        <f>LARGE($CB$606:$CB$755,135)</f>
        <v>3.6</v>
      </c>
      <c r="R740" s="357">
        <f t="shared" si="174"/>
        <v>-193</v>
      </c>
      <c r="S740" s="356">
        <f t="shared" si="173"/>
        <v>37249</v>
      </c>
      <c r="U740" s="356">
        <f t="shared" si="175"/>
        <v>-12.0625</v>
      </c>
      <c r="V740" s="238">
        <f t="shared" si="171"/>
        <v>8</v>
      </c>
      <c r="W740" s="354"/>
      <c r="X740" s="366"/>
      <c r="Y740" s="366"/>
      <c r="Z740" s="238">
        <v>2018</v>
      </c>
      <c r="AA740" s="367">
        <f>LARGE($CU$606:$CU$755,135)</f>
        <v>16</v>
      </c>
      <c r="AB740" s="357">
        <f t="shared" si="176"/>
        <v>-174.9</v>
      </c>
      <c r="AC740" s="356">
        <f t="shared" si="170"/>
        <v>30590.010000000002</v>
      </c>
      <c r="AE740" s="356">
        <f t="shared" si="177"/>
        <v>-10.93125</v>
      </c>
      <c r="AF740" s="238">
        <f t="shared" si="172"/>
        <v>8</v>
      </c>
      <c r="AG740" s="354"/>
      <c r="AK740"/>
      <c r="AL740"/>
      <c r="AM740"/>
      <c r="AN740"/>
      <c r="AO740"/>
      <c r="AP740"/>
      <c r="BI740" s="360"/>
      <c r="BJ740" s="354"/>
      <c r="BK740" s="366">
        <v>2018</v>
      </c>
      <c r="BL740" t="s">
        <v>1143</v>
      </c>
      <c r="BM740" t="s">
        <v>1929</v>
      </c>
      <c r="BN740" t="s">
        <v>3</v>
      </c>
      <c r="BO740">
        <v>0</v>
      </c>
      <c r="BP740">
        <v>0</v>
      </c>
      <c r="BQ740">
        <v>0</v>
      </c>
      <c r="BR740">
        <v>25</v>
      </c>
      <c r="BS740">
        <v>0</v>
      </c>
      <c r="BT740">
        <v>0</v>
      </c>
      <c r="BU740">
        <v>0</v>
      </c>
      <c r="BV740">
        <v>0</v>
      </c>
      <c r="BW740">
        <v>0</v>
      </c>
      <c r="BX740">
        <v>0</v>
      </c>
      <c r="BY740">
        <v>0</v>
      </c>
      <c r="BZ740">
        <v>0</v>
      </c>
      <c r="CA740">
        <v>0</v>
      </c>
      <c r="CB740" s="367">
        <f>IFERROR(BO740/Instructions!$J$25,0)+BP740*Instructions!$J$27+BQ740*Instructions!$J$29+IFERROR(BR740/Instructions!$E$34,0)+BS740*Instructions!$E$36+Tier!BT741*Instructions!$E$25+IFERROR(BU740/Instructions!$E$27,0)+BV740*Instructions!$E$29+IFERROR((BW740+BY740)/Instructions!$J$32,0)+(BX740+BZ740)*Instructions!$J$34+Tier!CA740*-2</f>
        <v>7.5</v>
      </c>
      <c r="CC740" s="354"/>
      <c r="CD740" s="3">
        <v>2018</v>
      </c>
      <c r="CE740" t="s">
        <v>1802</v>
      </c>
      <c r="CF740" t="s">
        <v>1950</v>
      </c>
      <c r="CG740" s="366" t="s">
        <v>6</v>
      </c>
      <c r="CH740">
        <v>0</v>
      </c>
      <c r="CI740">
        <v>0</v>
      </c>
      <c r="CJ740">
        <v>0</v>
      </c>
      <c r="CK740">
        <v>0</v>
      </c>
      <c r="CL740">
        <v>0</v>
      </c>
      <c r="CM740">
        <v>0</v>
      </c>
      <c r="CN740">
        <v>0</v>
      </c>
      <c r="CO740">
        <v>0</v>
      </c>
      <c r="CP740">
        <v>0</v>
      </c>
      <c r="CQ740">
        <v>0</v>
      </c>
      <c r="CR740">
        <v>0</v>
      </c>
      <c r="CS740">
        <v>0</v>
      </c>
      <c r="CT740">
        <v>0</v>
      </c>
      <c r="CU740" s="367">
        <f>IFERROR(CH740/Instructions!$J$25,0)+CI740*Instructions!$J$27+CJ740*Instructions!$J$29+IFERROR(CK740/Instructions!$E$34,0)+CL740*Instructions!$E$36+Tier!CM740*Instructions!$E$25+IFERROR(CN740/Instructions!$E$27,0)+CO740*Instructions!$E$29+IFERROR((CP740+CR740)/Instructions!$J$32,0)+(CQ740+CS740)*Instructions!$J$34+Tier!CT740*-2</f>
        <v>0</v>
      </c>
      <c r="CV740" s="354"/>
      <c r="CW740"/>
      <c r="CX740"/>
      <c r="CY740"/>
      <c r="CZ740"/>
      <c r="DA740"/>
      <c r="DB740"/>
      <c r="DC740"/>
      <c r="DD740"/>
      <c r="DE740"/>
      <c r="DF740"/>
      <c r="DG740"/>
      <c r="DH740"/>
      <c r="DI740"/>
      <c r="DJ740"/>
      <c r="DK740"/>
      <c r="DL740"/>
      <c r="DM740"/>
      <c r="DN740"/>
    </row>
    <row r="741" spans="3:118" s="238" customFormat="1" ht="15.75" customHeight="1" x14ac:dyDescent="0.25">
      <c r="C741"/>
      <c r="D741"/>
      <c r="E741"/>
      <c r="F741"/>
      <c r="G741"/>
      <c r="H741"/>
      <c r="I741"/>
      <c r="J741"/>
      <c r="K741"/>
      <c r="L741"/>
      <c r="M741"/>
      <c r="N741"/>
      <c r="O741" s="366"/>
      <c r="P741" s="366">
        <v>2018</v>
      </c>
      <c r="Q741" s="367">
        <f>LARGE($CB$606:$CB$755,136)</f>
        <v>3.5</v>
      </c>
      <c r="R741" s="357">
        <f t="shared" si="174"/>
        <v>-193.1</v>
      </c>
      <c r="S741" s="356">
        <f t="shared" si="173"/>
        <v>37287.61</v>
      </c>
      <c r="U741" s="356">
        <f t="shared" si="175"/>
        <v>-12.06875</v>
      </c>
      <c r="V741" s="238">
        <f t="shared" si="171"/>
        <v>8</v>
      </c>
      <c r="W741" s="354"/>
      <c r="X741" s="366"/>
      <c r="Y741" s="366"/>
      <c r="Z741" s="238">
        <v>2018</v>
      </c>
      <c r="AA741" s="367">
        <f>LARGE($CU$606:$CU$755,136)</f>
        <v>13.4</v>
      </c>
      <c r="AB741" s="357">
        <f t="shared" si="176"/>
        <v>-177.5</v>
      </c>
      <c r="AC741" s="356">
        <f t="shared" si="170"/>
        <v>31506.25</v>
      </c>
      <c r="AE741" s="356">
        <f t="shared" si="177"/>
        <v>-11.09375</v>
      </c>
      <c r="AF741" s="238">
        <f t="shared" si="172"/>
        <v>8</v>
      </c>
      <c r="AG741" s="354"/>
      <c r="AK741"/>
      <c r="AL741"/>
      <c r="AM741"/>
      <c r="AN741"/>
      <c r="AO741"/>
      <c r="AP741"/>
      <c r="BI741" s="360"/>
      <c r="BJ741" s="354"/>
      <c r="BK741" s="366">
        <v>2018</v>
      </c>
      <c r="BL741" t="s">
        <v>1390</v>
      </c>
      <c r="BM741" t="s">
        <v>1941</v>
      </c>
      <c r="BN741" t="s">
        <v>3</v>
      </c>
      <c r="BO741">
        <v>0</v>
      </c>
      <c r="BP741">
        <v>0</v>
      </c>
      <c r="BQ741">
        <v>0</v>
      </c>
      <c r="BR741">
        <v>0</v>
      </c>
      <c r="BS741">
        <v>0</v>
      </c>
      <c r="BT741">
        <v>5</v>
      </c>
      <c r="BU741">
        <v>23</v>
      </c>
      <c r="BV741">
        <v>0</v>
      </c>
      <c r="BW741">
        <v>0</v>
      </c>
      <c r="BX741">
        <v>0</v>
      </c>
      <c r="BY741">
        <v>0</v>
      </c>
      <c r="BZ741">
        <v>0</v>
      </c>
      <c r="CA741">
        <v>0</v>
      </c>
      <c r="CB741" s="367">
        <f>IFERROR(BO741/Instructions!$J$25,0)+BP741*Instructions!$J$27+BQ741*Instructions!$J$29+IFERROR(BR741/Instructions!$E$34,0)+BS741*Instructions!$E$36+Tier!BT742*Instructions!$E$25+IFERROR(BU741/Instructions!$E$27,0)+BV741*Instructions!$E$29+IFERROR((BW741+BY741)/Instructions!$J$32,0)+(BX741+BZ741)*Instructions!$J$34+Tier!CA741*-2</f>
        <v>3.3</v>
      </c>
      <c r="CC741" s="354"/>
      <c r="CD741" s="3">
        <v>2018</v>
      </c>
      <c r="CE741" t="s">
        <v>1268</v>
      </c>
      <c r="CF741"/>
      <c r="CG741" s="366" t="s">
        <v>6</v>
      </c>
      <c r="CH741">
        <v>0</v>
      </c>
      <c r="CI741">
        <v>0</v>
      </c>
      <c r="CJ741">
        <v>0</v>
      </c>
      <c r="CK741">
        <v>0</v>
      </c>
      <c r="CL741">
        <v>0</v>
      </c>
      <c r="CM741">
        <v>6</v>
      </c>
      <c r="CN741">
        <v>60</v>
      </c>
      <c r="CO741">
        <v>0</v>
      </c>
      <c r="CP741">
        <v>0</v>
      </c>
      <c r="CQ741">
        <v>0</v>
      </c>
      <c r="CR741">
        <v>1</v>
      </c>
      <c r="CS741">
        <v>0</v>
      </c>
      <c r="CT741">
        <v>0</v>
      </c>
      <c r="CU741" s="367">
        <f>IFERROR(CH741/Instructions!$J$25,0)+CI741*Instructions!$J$27+CJ741*Instructions!$J$29+IFERROR(CK741/Instructions!$E$34,0)+CL741*Instructions!$E$36+Tier!CM741*Instructions!$E$25+IFERROR(CN741/Instructions!$E$27,0)+CO741*Instructions!$E$29+IFERROR((CP741+CR741)/Instructions!$J$32,0)+(CQ741+CS741)*Instructions!$J$34+Tier!CT741*-2</f>
        <v>12</v>
      </c>
      <c r="CV741" s="354"/>
      <c r="CW741"/>
      <c r="CX741"/>
      <c r="CY741"/>
      <c r="CZ741"/>
      <c r="DA741"/>
      <c r="DB741"/>
      <c r="DC741"/>
      <c r="DD741"/>
      <c r="DE741"/>
      <c r="DF741"/>
      <c r="DG741"/>
      <c r="DH741"/>
      <c r="DI741"/>
      <c r="DJ741"/>
      <c r="DK741"/>
      <c r="DL741"/>
      <c r="DM741"/>
      <c r="DN741"/>
    </row>
    <row r="742" spans="3:118" s="238" customFormat="1" ht="15.75" customHeight="1" x14ac:dyDescent="0.25">
      <c r="C742"/>
      <c r="D742"/>
      <c r="E742"/>
      <c r="F742"/>
      <c r="G742"/>
      <c r="H742"/>
      <c r="I742"/>
      <c r="J742"/>
      <c r="K742"/>
      <c r="L742"/>
      <c r="M742"/>
      <c r="N742"/>
      <c r="O742" s="366"/>
      <c r="P742" s="366">
        <v>2018</v>
      </c>
      <c r="Q742" s="367">
        <f>LARGE($CB$606:$CB$755,137)</f>
        <v>3.3</v>
      </c>
      <c r="R742" s="357">
        <f t="shared" si="174"/>
        <v>-193.29999999999998</v>
      </c>
      <c r="S742" s="356">
        <f t="shared" si="173"/>
        <v>37364.889999999992</v>
      </c>
      <c r="U742" s="356">
        <f t="shared" si="175"/>
        <v>-12.081249999999999</v>
      </c>
      <c r="V742" s="238">
        <f t="shared" si="171"/>
        <v>8</v>
      </c>
      <c r="W742" s="354"/>
      <c r="X742" s="366"/>
      <c r="Y742" s="366"/>
      <c r="Z742" s="238">
        <v>2018</v>
      </c>
      <c r="AA742" s="367">
        <f>LARGE($CU$606:$CU$755,137)</f>
        <v>13.2</v>
      </c>
      <c r="AB742" s="357">
        <f t="shared" si="176"/>
        <v>-177.70000000000002</v>
      </c>
      <c r="AC742" s="356">
        <f t="shared" si="170"/>
        <v>31577.290000000005</v>
      </c>
      <c r="AE742" s="356">
        <f t="shared" si="177"/>
        <v>-11.106250000000001</v>
      </c>
      <c r="AF742" s="238">
        <f t="shared" si="172"/>
        <v>8</v>
      </c>
      <c r="AG742" s="354"/>
      <c r="AK742"/>
      <c r="AL742"/>
      <c r="AM742"/>
      <c r="AN742"/>
      <c r="AO742"/>
      <c r="AP742"/>
      <c r="BI742" s="360"/>
      <c r="BJ742" s="354"/>
      <c r="BK742" s="366">
        <v>2018</v>
      </c>
      <c r="BL742" t="s">
        <v>982</v>
      </c>
      <c r="BM742" t="s">
        <v>1935</v>
      </c>
      <c r="BN742" t="s">
        <v>3</v>
      </c>
      <c r="BO742">
        <v>0</v>
      </c>
      <c r="BP742">
        <v>0</v>
      </c>
      <c r="BQ742">
        <v>0</v>
      </c>
      <c r="BR742">
        <v>17</v>
      </c>
      <c r="BS742">
        <v>0</v>
      </c>
      <c r="BT742">
        <v>1</v>
      </c>
      <c r="BU742">
        <v>5</v>
      </c>
      <c r="BV742">
        <v>0</v>
      </c>
      <c r="BW742">
        <v>0</v>
      </c>
      <c r="BX742">
        <v>0</v>
      </c>
      <c r="BY742">
        <v>0</v>
      </c>
      <c r="BZ742">
        <v>0</v>
      </c>
      <c r="CA742">
        <v>0</v>
      </c>
      <c r="CB742" s="367">
        <f>IFERROR(BO742/Instructions!$J$25,0)+BP742*Instructions!$J$27+BQ742*Instructions!$J$29+IFERROR(BR742/Instructions!$E$34,0)+BS742*Instructions!$E$36+Tier!BT743*Instructions!$E$25+IFERROR(BU742/Instructions!$E$27,0)+BV742*Instructions!$E$29+IFERROR((BW742+BY742)/Instructions!$J$32,0)+(BX742+BZ742)*Instructions!$J$34+Tier!CA742*-2</f>
        <v>4.2</v>
      </c>
      <c r="CC742" s="354"/>
      <c r="CD742" s="3">
        <v>2018</v>
      </c>
      <c r="CE742" t="s">
        <v>1976</v>
      </c>
      <c r="CF742" t="s">
        <v>1943</v>
      </c>
      <c r="CG742" s="366" t="s">
        <v>6</v>
      </c>
      <c r="CH742">
        <v>0</v>
      </c>
      <c r="CI742">
        <v>0</v>
      </c>
      <c r="CJ742">
        <v>0</v>
      </c>
      <c r="CK742">
        <v>0</v>
      </c>
      <c r="CL742">
        <v>0</v>
      </c>
      <c r="CM742">
        <v>1</v>
      </c>
      <c r="CN742">
        <v>48</v>
      </c>
      <c r="CO742">
        <v>0</v>
      </c>
      <c r="CP742">
        <v>0</v>
      </c>
      <c r="CQ742">
        <v>0</v>
      </c>
      <c r="CR742">
        <v>0</v>
      </c>
      <c r="CS742">
        <v>0</v>
      </c>
      <c r="CT742">
        <v>0</v>
      </c>
      <c r="CU742" s="367">
        <f>IFERROR(CH742/Instructions!$J$25,0)+CI742*Instructions!$J$27+CJ742*Instructions!$J$29+IFERROR(CK742/Instructions!$E$34,0)+CL742*Instructions!$E$36+Tier!CM742*Instructions!$E$25+IFERROR(CN742/Instructions!$E$27,0)+CO742*Instructions!$E$29+IFERROR((CP742+CR742)/Instructions!$J$32,0)+(CQ742+CS742)*Instructions!$J$34+Tier!CT742*-2</f>
        <v>5.8</v>
      </c>
      <c r="CV742" s="354"/>
      <c r="CW742"/>
      <c r="CX742"/>
      <c r="CY742"/>
      <c r="CZ742"/>
      <c r="DA742"/>
      <c r="DB742"/>
      <c r="DC742"/>
      <c r="DD742"/>
      <c r="DE742"/>
      <c r="DF742"/>
      <c r="DG742"/>
      <c r="DH742"/>
      <c r="DI742"/>
      <c r="DJ742"/>
      <c r="DK742"/>
      <c r="DL742"/>
      <c r="DM742"/>
      <c r="DN742"/>
    </row>
    <row r="743" spans="3:118" s="238" customFormat="1" ht="15.75" customHeight="1" x14ac:dyDescent="0.25">
      <c r="C743"/>
      <c r="D743"/>
      <c r="E743"/>
      <c r="F743"/>
      <c r="G743"/>
      <c r="H743"/>
      <c r="I743"/>
      <c r="J743"/>
      <c r="K743"/>
      <c r="L743"/>
      <c r="M743"/>
      <c r="N743"/>
      <c r="O743" s="366"/>
      <c r="P743" s="366">
        <v>2018</v>
      </c>
      <c r="Q743" s="367">
        <f>LARGE($CB$606:$CB$755,138)</f>
        <v>3.1</v>
      </c>
      <c r="R743" s="357">
        <f t="shared" si="174"/>
        <v>-193.5</v>
      </c>
      <c r="S743" s="356">
        <f t="shared" si="173"/>
        <v>37442.25</v>
      </c>
      <c r="U743" s="356">
        <f t="shared" si="175"/>
        <v>-12.09375</v>
      </c>
      <c r="V743" s="238">
        <f t="shared" si="171"/>
        <v>8</v>
      </c>
      <c r="W743" s="354"/>
      <c r="X743" s="366"/>
      <c r="Y743" s="366"/>
      <c r="Z743" s="238">
        <v>2018</v>
      </c>
      <c r="AA743" s="367">
        <f>LARGE($CU$606:$CU$755,138)</f>
        <v>12.6</v>
      </c>
      <c r="AB743" s="357">
        <f t="shared" si="176"/>
        <v>-178.3</v>
      </c>
      <c r="AC743" s="356">
        <f t="shared" si="170"/>
        <v>31790.890000000003</v>
      </c>
      <c r="AE743" s="356">
        <f t="shared" si="177"/>
        <v>-11.143750000000001</v>
      </c>
      <c r="AF743" s="238">
        <f t="shared" si="172"/>
        <v>8</v>
      </c>
      <c r="AG743" s="354"/>
      <c r="AK743"/>
      <c r="AL743"/>
      <c r="AM743"/>
      <c r="AN743"/>
      <c r="AO743"/>
      <c r="AP743"/>
      <c r="BI743" s="360"/>
      <c r="BJ743" s="354"/>
      <c r="BK743" s="366">
        <v>2018</v>
      </c>
      <c r="BL743" t="s">
        <v>1961</v>
      </c>
      <c r="BM743" t="s">
        <v>1947</v>
      </c>
      <c r="BN743" t="s">
        <v>3</v>
      </c>
      <c r="BO743">
        <v>0</v>
      </c>
      <c r="BP743">
        <v>0</v>
      </c>
      <c r="BQ743">
        <v>0</v>
      </c>
      <c r="BR743">
        <v>4</v>
      </c>
      <c r="BS743">
        <v>0</v>
      </c>
      <c r="BT743">
        <v>2</v>
      </c>
      <c r="BU743">
        <v>17</v>
      </c>
      <c r="BV743">
        <v>0</v>
      </c>
      <c r="BW743">
        <v>0</v>
      </c>
      <c r="BX743">
        <v>0</v>
      </c>
      <c r="BY743">
        <v>0</v>
      </c>
      <c r="BZ743">
        <v>0</v>
      </c>
      <c r="CA743">
        <v>0</v>
      </c>
      <c r="CB743" s="367">
        <f>IFERROR(BO743/Instructions!$J$25,0)+BP743*Instructions!$J$27+BQ743*Instructions!$J$29+IFERROR(BR743/Instructions!$E$34,0)+BS743*Instructions!$E$36+Tier!BT744*Instructions!$E$25+IFERROR(BU743/Instructions!$E$27,0)+BV743*Instructions!$E$29+IFERROR((BW743+BY743)/Instructions!$J$32,0)+(BX743+BZ743)*Instructions!$J$34+Tier!CA743*-2</f>
        <v>4.0999999999999996</v>
      </c>
      <c r="CC743" s="354"/>
      <c r="CD743" s="3">
        <v>2018</v>
      </c>
      <c r="CE743" t="s">
        <v>1977</v>
      </c>
      <c r="CF743" t="s">
        <v>1948</v>
      </c>
      <c r="CG743" s="366" t="s">
        <v>6</v>
      </c>
      <c r="CH743">
        <v>0</v>
      </c>
      <c r="CI743">
        <v>0</v>
      </c>
      <c r="CJ743">
        <v>0</v>
      </c>
      <c r="CK743">
        <v>0</v>
      </c>
      <c r="CL743">
        <v>0</v>
      </c>
      <c r="CM743">
        <v>1</v>
      </c>
      <c r="CN743">
        <v>44</v>
      </c>
      <c r="CO743">
        <v>0</v>
      </c>
      <c r="CP743">
        <v>0</v>
      </c>
      <c r="CQ743">
        <v>0</v>
      </c>
      <c r="CR743">
        <v>1</v>
      </c>
      <c r="CS743">
        <v>0</v>
      </c>
      <c r="CT743">
        <v>0</v>
      </c>
      <c r="CU743" s="367">
        <f>IFERROR(CH743/Instructions!$J$25,0)+CI743*Instructions!$J$27+CJ743*Instructions!$J$29+IFERROR(CK743/Instructions!$E$34,0)+CL743*Instructions!$E$36+Tier!CM743*Instructions!$E$25+IFERROR(CN743/Instructions!$E$27,0)+CO743*Instructions!$E$29+IFERROR((CP743+CR743)/Instructions!$J$32,0)+(CQ743+CS743)*Instructions!$J$34+Tier!CT743*-2</f>
        <v>5.4</v>
      </c>
      <c r="CV743" s="354"/>
      <c r="CW743"/>
      <c r="CX743"/>
      <c r="CY743"/>
      <c r="CZ743"/>
      <c r="DA743"/>
      <c r="DB743"/>
      <c r="DC743"/>
      <c r="DD743"/>
      <c r="DE743"/>
      <c r="DF743"/>
      <c r="DG743"/>
      <c r="DH743"/>
      <c r="DI743"/>
      <c r="DJ743"/>
      <c r="DK743"/>
      <c r="DL743"/>
      <c r="DM743"/>
      <c r="DN743"/>
    </row>
    <row r="744" spans="3:118" s="238" customFormat="1" ht="15.75" customHeight="1" x14ac:dyDescent="0.25">
      <c r="C744"/>
      <c r="D744"/>
      <c r="E744"/>
      <c r="F744"/>
      <c r="G744"/>
      <c r="H744"/>
      <c r="I744"/>
      <c r="J744"/>
      <c r="K744"/>
      <c r="L744"/>
      <c r="M744"/>
      <c r="N744"/>
      <c r="O744" s="366"/>
      <c r="P744" s="366">
        <v>2018</v>
      </c>
      <c r="Q744" s="367">
        <f>LARGE($CB$606:$CB$755,139)</f>
        <v>2.2999999999999998</v>
      </c>
      <c r="R744" s="357">
        <f t="shared" si="174"/>
        <v>-194.29999999999998</v>
      </c>
      <c r="S744" s="356">
        <f t="shared" si="173"/>
        <v>37752.489999999991</v>
      </c>
      <c r="U744" s="356">
        <f t="shared" si="175"/>
        <v>-12.143749999999999</v>
      </c>
      <c r="V744" s="238">
        <f t="shared" si="171"/>
        <v>8</v>
      </c>
      <c r="W744" s="354"/>
      <c r="X744" s="366"/>
      <c r="Y744" s="366"/>
      <c r="Z744" s="238">
        <v>2018</v>
      </c>
      <c r="AA744" s="367">
        <f>LARGE($CU$606:$CU$755,139)</f>
        <v>12.5</v>
      </c>
      <c r="AB744" s="357">
        <f t="shared" si="176"/>
        <v>-178.4</v>
      </c>
      <c r="AC744" s="356">
        <f t="shared" si="170"/>
        <v>31826.560000000001</v>
      </c>
      <c r="AE744" s="356">
        <f t="shared" si="177"/>
        <v>-11.15</v>
      </c>
      <c r="AF744" s="238">
        <f t="shared" si="172"/>
        <v>8</v>
      </c>
      <c r="AG744" s="354"/>
      <c r="AK744"/>
      <c r="AL744"/>
      <c r="AM744"/>
      <c r="AN744"/>
      <c r="AO744"/>
      <c r="AP744"/>
      <c r="BI744" s="360"/>
      <c r="BJ744" s="354"/>
      <c r="BK744" s="366">
        <v>2018</v>
      </c>
      <c r="BL744" t="s">
        <v>1604</v>
      </c>
      <c r="BM744" t="s">
        <v>1949</v>
      </c>
      <c r="BN744" t="s">
        <v>3</v>
      </c>
      <c r="BO744">
        <v>0</v>
      </c>
      <c r="BP744">
        <v>0</v>
      </c>
      <c r="BQ744">
        <v>0</v>
      </c>
      <c r="BR744">
        <v>3</v>
      </c>
      <c r="BS744">
        <v>0</v>
      </c>
      <c r="BT744">
        <v>2</v>
      </c>
      <c r="BU744">
        <v>17</v>
      </c>
      <c r="BV744">
        <v>0</v>
      </c>
      <c r="BW744">
        <v>0</v>
      </c>
      <c r="BX744">
        <v>0</v>
      </c>
      <c r="BY744">
        <v>0</v>
      </c>
      <c r="BZ744">
        <v>0</v>
      </c>
      <c r="CA744">
        <v>0</v>
      </c>
      <c r="CB744" s="367">
        <f>IFERROR(BO744/Instructions!$J$25,0)+BP744*Instructions!$J$27+BQ744*Instructions!$J$29+IFERROR(BR744/Instructions!$E$34,0)+BS744*Instructions!$E$36+Tier!BT745*Instructions!$E$25+IFERROR(BU744/Instructions!$E$27,0)+BV744*Instructions!$E$29+IFERROR((BW744+BY744)/Instructions!$J$32,0)+(BX744+BZ744)*Instructions!$J$34+Tier!CA744*-2</f>
        <v>5</v>
      </c>
      <c r="CC744" s="354"/>
      <c r="CD744" s="3">
        <v>2018</v>
      </c>
      <c r="CE744" t="s">
        <v>1278</v>
      </c>
      <c r="CF744" t="s">
        <v>143</v>
      </c>
      <c r="CG744" s="366" t="s">
        <v>6</v>
      </c>
      <c r="CH744">
        <v>0</v>
      </c>
      <c r="CI744">
        <v>0</v>
      </c>
      <c r="CJ744">
        <v>0</v>
      </c>
      <c r="CK744">
        <v>0</v>
      </c>
      <c r="CL744">
        <v>0</v>
      </c>
      <c r="CM744">
        <v>9</v>
      </c>
      <c r="CN744">
        <v>114</v>
      </c>
      <c r="CO744">
        <v>1</v>
      </c>
      <c r="CP744">
        <v>0</v>
      </c>
      <c r="CQ744">
        <v>0</v>
      </c>
      <c r="CR744">
        <v>1</v>
      </c>
      <c r="CS744">
        <v>0</v>
      </c>
      <c r="CT744">
        <v>0</v>
      </c>
      <c r="CU744" s="367">
        <f>IFERROR(CH744/Instructions!$J$25,0)+CI744*Instructions!$J$27+CJ744*Instructions!$J$29+IFERROR(CK744/Instructions!$E$34,0)+CL744*Instructions!$E$36+Tier!CM744*Instructions!$E$25+IFERROR(CN744/Instructions!$E$27,0)+CO744*Instructions!$E$29+IFERROR((CP744+CR744)/Instructions!$J$32,0)+(CQ744+CS744)*Instructions!$J$34+Tier!CT744*-2</f>
        <v>26.4</v>
      </c>
      <c r="CV744" s="354"/>
      <c r="CW744"/>
      <c r="CX744"/>
      <c r="CY744"/>
      <c r="CZ744"/>
      <c r="DA744"/>
      <c r="DB744"/>
      <c r="DC744"/>
      <c r="DD744"/>
      <c r="DE744"/>
      <c r="DF744"/>
      <c r="DG744"/>
      <c r="DH744"/>
      <c r="DI744"/>
      <c r="DJ744"/>
      <c r="DK744"/>
      <c r="DL744"/>
      <c r="DM744"/>
      <c r="DN744"/>
    </row>
    <row r="745" spans="3:118" s="238" customFormat="1" ht="15.75" customHeight="1" x14ac:dyDescent="0.25">
      <c r="C745"/>
      <c r="D745"/>
      <c r="E745"/>
      <c r="F745"/>
      <c r="G745"/>
      <c r="H745"/>
      <c r="I745"/>
      <c r="J745"/>
      <c r="K745"/>
      <c r="L745"/>
      <c r="M745"/>
      <c r="N745"/>
      <c r="O745" s="366"/>
      <c r="P745" s="366">
        <v>2018</v>
      </c>
      <c r="Q745" s="367">
        <f>LARGE($CB$606:$CB$755,140)</f>
        <v>2</v>
      </c>
      <c r="R745" s="357">
        <f t="shared" si="174"/>
        <v>-194.6</v>
      </c>
      <c r="S745" s="356">
        <f t="shared" si="173"/>
        <v>37869.159999999996</v>
      </c>
      <c r="U745" s="356">
        <f t="shared" si="175"/>
        <v>-12.1625</v>
      </c>
      <c r="V745" s="238">
        <f t="shared" si="171"/>
        <v>8</v>
      </c>
      <c r="W745" s="354"/>
      <c r="X745" s="366"/>
      <c r="Y745" s="366"/>
      <c r="Z745" s="238">
        <v>2018</v>
      </c>
      <c r="AA745" s="367">
        <f>LARGE($CU$606:$CU$755,140)</f>
        <v>12</v>
      </c>
      <c r="AB745" s="357">
        <f t="shared" si="176"/>
        <v>-178.9</v>
      </c>
      <c r="AC745" s="356">
        <f t="shared" si="170"/>
        <v>32005.210000000003</v>
      </c>
      <c r="AE745" s="356">
        <f t="shared" si="177"/>
        <v>-11.18125</v>
      </c>
      <c r="AF745" s="238">
        <f t="shared" si="172"/>
        <v>8</v>
      </c>
      <c r="AG745" s="354"/>
      <c r="AK745"/>
      <c r="AL745"/>
      <c r="AM745"/>
      <c r="AN745"/>
      <c r="AO745"/>
      <c r="AP745"/>
      <c r="BI745" s="360"/>
      <c r="BJ745" s="354"/>
      <c r="BK745" s="366">
        <v>2018</v>
      </c>
      <c r="BL745" t="s">
        <v>1190</v>
      </c>
      <c r="BM745" t="s">
        <v>1933</v>
      </c>
      <c r="BN745" t="s">
        <v>3</v>
      </c>
      <c r="BO745">
        <v>0</v>
      </c>
      <c r="BP745">
        <v>0</v>
      </c>
      <c r="BQ745">
        <v>0</v>
      </c>
      <c r="BR745">
        <v>-3</v>
      </c>
      <c r="BS745">
        <v>0</v>
      </c>
      <c r="BT745">
        <v>3</v>
      </c>
      <c r="BU745">
        <v>22</v>
      </c>
      <c r="BV745">
        <v>0</v>
      </c>
      <c r="BW745">
        <v>0</v>
      </c>
      <c r="BX745">
        <v>0</v>
      </c>
      <c r="BY745">
        <v>0</v>
      </c>
      <c r="BZ745">
        <v>0</v>
      </c>
      <c r="CA745">
        <v>0</v>
      </c>
      <c r="CB745" s="367">
        <f>IFERROR(BO745/Instructions!$J$25,0)+BP745*Instructions!$J$27+BQ745*Instructions!$J$29+IFERROR(BR745/Instructions!$E$34,0)+BS745*Instructions!$E$36+Tier!BT746*Instructions!$E$25+IFERROR(BU745/Instructions!$E$27,0)+BV745*Instructions!$E$29+IFERROR((BW745+BY745)/Instructions!$J$32,0)+(BX745+BZ745)*Instructions!$J$34+Tier!CA745*-2</f>
        <v>1.9000000000000001</v>
      </c>
      <c r="CC745" s="354"/>
      <c r="CD745" s="3">
        <v>2018</v>
      </c>
      <c r="CE745" t="s">
        <v>1978</v>
      </c>
      <c r="CF745" t="s">
        <v>1389</v>
      </c>
      <c r="CG745" s="366" t="s">
        <v>6</v>
      </c>
      <c r="CH745">
        <v>0</v>
      </c>
      <c r="CI745">
        <v>0</v>
      </c>
      <c r="CJ745">
        <v>0</v>
      </c>
      <c r="CK745">
        <v>0</v>
      </c>
      <c r="CL745">
        <v>0</v>
      </c>
      <c r="CM745">
        <v>0</v>
      </c>
      <c r="CN745">
        <v>0</v>
      </c>
      <c r="CO745">
        <v>0</v>
      </c>
      <c r="CP745">
        <v>0</v>
      </c>
      <c r="CQ745">
        <v>0</v>
      </c>
      <c r="CR745">
        <v>1</v>
      </c>
      <c r="CS745">
        <v>0</v>
      </c>
      <c r="CT745">
        <v>0</v>
      </c>
      <c r="CU745" s="367">
        <f>IFERROR(CH745/Instructions!$J$25,0)+CI745*Instructions!$J$27+CJ745*Instructions!$J$29+IFERROR(CK745/Instructions!$E$34,0)+CL745*Instructions!$E$36+Tier!CM745*Instructions!$E$25+IFERROR(CN745/Instructions!$E$27,0)+CO745*Instructions!$E$29+IFERROR((CP745+CR745)/Instructions!$J$32,0)+(CQ745+CS745)*Instructions!$J$34+Tier!CT745*-2</f>
        <v>0</v>
      </c>
      <c r="CV745" s="354"/>
      <c r="CW745"/>
      <c r="CX745"/>
      <c r="CY745"/>
      <c r="CZ745"/>
      <c r="DA745"/>
      <c r="DB745"/>
      <c r="DC745"/>
      <c r="DD745"/>
      <c r="DE745"/>
      <c r="DF745"/>
      <c r="DG745"/>
      <c r="DH745"/>
      <c r="DI745"/>
      <c r="DJ745"/>
      <c r="DK745"/>
      <c r="DL745"/>
      <c r="DM745"/>
      <c r="DN745"/>
    </row>
    <row r="746" spans="3:118" s="238" customFormat="1" ht="15.75" customHeight="1" x14ac:dyDescent="0.25">
      <c r="C746"/>
      <c r="D746"/>
      <c r="E746"/>
      <c r="F746"/>
      <c r="G746"/>
      <c r="H746"/>
      <c r="I746"/>
      <c r="J746"/>
      <c r="K746"/>
      <c r="L746"/>
      <c r="M746"/>
      <c r="N746"/>
      <c r="O746" s="366"/>
      <c r="P746" s="366">
        <v>2018</v>
      </c>
      <c r="Q746" s="367">
        <f>LARGE($CB$606:$CB$755,141)</f>
        <v>2</v>
      </c>
      <c r="R746" s="357">
        <f t="shared" si="174"/>
        <v>-194.6</v>
      </c>
      <c r="S746" s="356">
        <f t="shared" si="173"/>
        <v>37869.159999999996</v>
      </c>
      <c r="U746" s="356">
        <f t="shared" si="175"/>
        <v>-12.1625</v>
      </c>
      <c r="V746" s="238">
        <f t="shared" si="171"/>
        <v>8</v>
      </c>
      <c r="W746" s="354"/>
      <c r="X746" s="366"/>
      <c r="Y746" s="366"/>
      <c r="Z746" s="238">
        <v>2018</v>
      </c>
      <c r="AA746" s="367">
        <f>LARGE($CU$606:$CU$755,141)</f>
        <v>9.1999999999999993</v>
      </c>
      <c r="AB746" s="357">
        <f t="shared" si="176"/>
        <v>-181.70000000000002</v>
      </c>
      <c r="AC746" s="356">
        <f t="shared" si="170"/>
        <v>33014.890000000007</v>
      </c>
      <c r="AE746" s="356">
        <f t="shared" si="177"/>
        <v>-11.356250000000001</v>
      </c>
      <c r="AF746" s="238">
        <f t="shared" si="172"/>
        <v>8</v>
      </c>
      <c r="AG746" s="354"/>
      <c r="AK746"/>
      <c r="AL746"/>
      <c r="AM746"/>
      <c r="AN746"/>
      <c r="AO746"/>
      <c r="AP746"/>
      <c r="BI746" s="360"/>
      <c r="BJ746" s="354"/>
      <c r="BK746" s="366">
        <v>2018</v>
      </c>
      <c r="BL746" t="s">
        <v>1962</v>
      </c>
      <c r="BM746" t="s">
        <v>1389</v>
      </c>
      <c r="BN746" t="s">
        <v>3</v>
      </c>
      <c r="BO746">
        <v>0</v>
      </c>
      <c r="BP746">
        <v>0</v>
      </c>
      <c r="BQ746">
        <v>0</v>
      </c>
      <c r="BR746">
        <v>19</v>
      </c>
      <c r="BS746">
        <v>0</v>
      </c>
      <c r="BT746">
        <v>0</v>
      </c>
      <c r="BU746">
        <v>0</v>
      </c>
      <c r="BV746">
        <v>0</v>
      </c>
      <c r="BW746">
        <v>0</v>
      </c>
      <c r="BX746">
        <v>0</v>
      </c>
      <c r="BY746">
        <v>0</v>
      </c>
      <c r="BZ746">
        <v>0</v>
      </c>
      <c r="CA746">
        <v>0</v>
      </c>
      <c r="CB746" s="367">
        <f>IFERROR(BO746/Instructions!$J$25,0)+BP746*Instructions!$J$27+BQ746*Instructions!$J$29+IFERROR(BR746/Instructions!$E$34,0)+BS746*Instructions!$E$36+Tier!BT747*Instructions!$E$25+IFERROR(BU746/Instructions!$E$27,0)+BV746*Instructions!$E$29+IFERROR((BW746+BY746)/Instructions!$J$32,0)+(BX746+BZ746)*Instructions!$J$34+Tier!CA746*-2</f>
        <v>1.9</v>
      </c>
      <c r="CC746" s="354"/>
      <c r="CD746" s="3">
        <v>2018</v>
      </c>
      <c r="CE746" t="s">
        <v>1807</v>
      </c>
      <c r="CF746" t="s">
        <v>1938</v>
      </c>
      <c r="CG746" s="366" t="s">
        <v>6</v>
      </c>
      <c r="CH746">
        <v>0</v>
      </c>
      <c r="CI746">
        <v>0</v>
      </c>
      <c r="CJ746">
        <v>0</v>
      </c>
      <c r="CK746">
        <v>0</v>
      </c>
      <c r="CL746">
        <v>0</v>
      </c>
      <c r="CM746">
        <v>13</v>
      </c>
      <c r="CN746">
        <v>144</v>
      </c>
      <c r="CO746">
        <v>0</v>
      </c>
      <c r="CP746">
        <v>0</v>
      </c>
      <c r="CQ746">
        <v>0</v>
      </c>
      <c r="CR746">
        <v>0</v>
      </c>
      <c r="CS746">
        <v>0</v>
      </c>
      <c r="CT746">
        <v>0</v>
      </c>
      <c r="CU746" s="367">
        <f>IFERROR(CH746/Instructions!$J$25,0)+CI746*Instructions!$J$27+CJ746*Instructions!$J$29+IFERROR(CK746/Instructions!$E$34,0)+CL746*Instructions!$E$36+Tier!CM746*Instructions!$E$25+IFERROR(CN746/Instructions!$E$27,0)+CO746*Instructions!$E$29+IFERROR((CP746+CR746)/Instructions!$J$32,0)+(CQ746+CS746)*Instructions!$J$34+Tier!CT746*-2</f>
        <v>27.4</v>
      </c>
      <c r="CV746" s="354"/>
      <c r="CW746"/>
      <c r="CX746"/>
      <c r="CY746"/>
      <c r="CZ746"/>
      <c r="DA746"/>
      <c r="DB746"/>
      <c r="DC746"/>
      <c r="DD746"/>
      <c r="DE746"/>
      <c r="DF746"/>
      <c r="DG746"/>
      <c r="DH746"/>
      <c r="DI746"/>
      <c r="DJ746"/>
      <c r="DK746"/>
      <c r="DL746"/>
      <c r="DM746"/>
      <c r="DN746"/>
    </row>
    <row r="747" spans="3:118" s="238" customFormat="1" ht="15.75" customHeight="1" x14ac:dyDescent="0.25">
      <c r="C747"/>
      <c r="D747"/>
      <c r="E747"/>
      <c r="F747"/>
      <c r="G747"/>
      <c r="H747"/>
      <c r="I747"/>
      <c r="J747"/>
      <c r="K747"/>
      <c r="L747"/>
      <c r="M747"/>
      <c r="N747"/>
      <c r="O747" s="366"/>
      <c r="P747" s="366">
        <v>2018</v>
      </c>
      <c r="Q747" s="367">
        <f>LARGE($CB$606:$CB$755,142)</f>
        <v>1.9000000000000001</v>
      </c>
      <c r="R747" s="357">
        <f t="shared" si="174"/>
        <v>-194.7</v>
      </c>
      <c r="S747" s="356">
        <f t="shared" si="173"/>
        <v>37908.089999999997</v>
      </c>
      <c r="U747" s="356">
        <f t="shared" si="175"/>
        <v>-12.168749999999999</v>
      </c>
      <c r="V747" s="238">
        <f t="shared" si="171"/>
        <v>8</v>
      </c>
      <c r="W747" s="354"/>
      <c r="X747" s="366"/>
      <c r="Y747" s="366"/>
      <c r="Z747" s="238">
        <v>2018</v>
      </c>
      <c r="AA747" s="367">
        <f>LARGE($CU$606:$CU$755,142)</f>
        <v>9.1999999999999993</v>
      </c>
      <c r="AB747" s="357">
        <f t="shared" si="176"/>
        <v>-181.70000000000002</v>
      </c>
      <c r="AC747" s="356">
        <f t="shared" si="170"/>
        <v>33014.890000000007</v>
      </c>
      <c r="AE747" s="356">
        <f t="shared" si="177"/>
        <v>-11.356250000000001</v>
      </c>
      <c r="AF747" s="238">
        <f t="shared" si="172"/>
        <v>8</v>
      </c>
      <c r="AG747" s="354"/>
      <c r="AK747"/>
      <c r="AL747"/>
      <c r="AM747"/>
      <c r="AN747"/>
      <c r="AO747"/>
      <c r="AP747"/>
      <c r="BI747" s="360"/>
      <c r="BJ747" s="354"/>
      <c r="BK747" s="366">
        <v>2018</v>
      </c>
      <c r="BL747" t="s">
        <v>120</v>
      </c>
      <c r="BM747" t="s">
        <v>1935</v>
      </c>
      <c r="BN747" t="s">
        <v>3</v>
      </c>
      <c r="BO747">
        <v>0</v>
      </c>
      <c r="BP747">
        <v>0</v>
      </c>
      <c r="BQ747">
        <v>0</v>
      </c>
      <c r="BR747">
        <v>17</v>
      </c>
      <c r="BS747">
        <v>0</v>
      </c>
      <c r="BT747">
        <v>0</v>
      </c>
      <c r="BU747">
        <v>0</v>
      </c>
      <c r="BV747">
        <v>0</v>
      </c>
      <c r="BW747">
        <v>0</v>
      </c>
      <c r="BX747">
        <v>0</v>
      </c>
      <c r="BY747">
        <v>0</v>
      </c>
      <c r="BZ747">
        <v>0</v>
      </c>
      <c r="CA747">
        <v>0</v>
      </c>
      <c r="CB747" s="367">
        <f>IFERROR(BO747/Instructions!$J$25,0)+BP747*Instructions!$J$27+BQ747*Instructions!$J$29+IFERROR(BR747/Instructions!$E$34,0)+BS747*Instructions!$E$36+Tier!BT748*Instructions!$E$25+IFERROR(BU747/Instructions!$E$27,0)+BV747*Instructions!$E$29+IFERROR((BW747+BY747)/Instructions!$J$32,0)+(BX747+BZ747)*Instructions!$J$34+Tier!CA747*-2</f>
        <v>1.7</v>
      </c>
      <c r="CC747" s="354"/>
      <c r="CD747" s="3">
        <v>2018</v>
      </c>
      <c r="CE747" t="s">
        <v>1339</v>
      </c>
      <c r="CF747" t="s">
        <v>1930</v>
      </c>
      <c r="CG747" s="366" t="s">
        <v>6</v>
      </c>
      <c r="CH747">
        <v>0</v>
      </c>
      <c r="CI747">
        <v>0</v>
      </c>
      <c r="CJ747">
        <v>0</v>
      </c>
      <c r="CK747">
        <v>-4</v>
      </c>
      <c r="CL747">
        <v>0</v>
      </c>
      <c r="CM747">
        <v>12</v>
      </c>
      <c r="CN747">
        <v>79</v>
      </c>
      <c r="CO747">
        <v>0</v>
      </c>
      <c r="CP747">
        <v>0</v>
      </c>
      <c r="CQ747">
        <v>0</v>
      </c>
      <c r="CR747">
        <v>0</v>
      </c>
      <c r="CS747">
        <v>0</v>
      </c>
      <c r="CT747">
        <v>0</v>
      </c>
      <c r="CU747" s="367">
        <f>IFERROR(CH747/Instructions!$J$25,0)+CI747*Instructions!$J$27+CJ747*Instructions!$J$29+IFERROR(CK747/Instructions!$E$34,0)+CL747*Instructions!$E$36+Tier!CM747*Instructions!$E$25+IFERROR(CN747/Instructions!$E$27,0)+CO747*Instructions!$E$29+IFERROR((CP747+CR747)/Instructions!$J$32,0)+(CQ747+CS747)*Instructions!$J$34+Tier!CT747*-2</f>
        <v>19.5</v>
      </c>
      <c r="CV747" s="354"/>
      <c r="CW747"/>
      <c r="CX747"/>
      <c r="CY747"/>
      <c r="CZ747"/>
      <c r="DA747"/>
      <c r="DB747"/>
      <c r="DC747"/>
      <c r="DD747"/>
      <c r="DE747"/>
      <c r="DF747"/>
      <c r="DG747"/>
      <c r="DH747"/>
      <c r="DI747"/>
      <c r="DJ747"/>
      <c r="DK747"/>
      <c r="DL747"/>
      <c r="DM747"/>
      <c r="DN747"/>
    </row>
    <row r="748" spans="3:118" s="238" customFormat="1" ht="15.75" customHeight="1" x14ac:dyDescent="0.25">
      <c r="C748"/>
      <c r="D748"/>
      <c r="E748"/>
      <c r="F748"/>
      <c r="G748"/>
      <c r="H748"/>
      <c r="I748"/>
      <c r="J748"/>
      <c r="K748"/>
      <c r="L748"/>
      <c r="M748"/>
      <c r="N748"/>
      <c r="O748" s="366"/>
      <c r="P748" s="366">
        <v>2018</v>
      </c>
      <c r="Q748" s="367">
        <f>LARGE($CB$606:$CB$755,143)</f>
        <v>1.9</v>
      </c>
      <c r="R748" s="357">
        <f t="shared" si="174"/>
        <v>-194.7</v>
      </c>
      <c r="S748" s="356">
        <f t="shared" si="173"/>
        <v>37908.089999999997</v>
      </c>
      <c r="U748" s="356">
        <f t="shared" si="175"/>
        <v>-12.168749999999999</v>
      </c>
      <c r="V748" s="238">
        <f t="shared" si="171"/>
        <v>8</v>
      </c>
      <c r="W748" s="354"/>
      <c r="X748" s="366"/>
      <c r="Y748" s="366"/>
      <c r="Z748" s="238">
        <v>2018</v>
      </c>
      <c r="AA748" s="367">
        <f>LARGE($CU$606:$CU$755,143)</f>
        <v>8</v>
      </c>
      <c r="AB748" s="357">
        <f t="shared" si="176"/>
        <v>-182.9</v>
      </c>
      <c r="AC748" s="356">
        <f t="shared" si="170"/>
        <v>33452.410000000003</v>
      </c>
      <c r="AE748" s="356">
        <f t="shared" si="177"/>
        <v>-11.43125</v>
      </c>
      <c r="AF748" s="238">
        <f t="shared" si="172"/>
        <v>8</v>
      </c>
      <c r="AG748" s="354"/>
      <c r="AK748"/>
      <c r="AL748"/>
      <c r="AM748"/>
      <c r="AN748"/>
      <c r="AO748"/>
      <c r="AP748"/>
      <c r="BI748" s="360"/>
      <c r="BJ748" s="354"/>
      <c r="BK748" s="366">
        <v>2018</v>
      </c>
      <c r="BL748" t="s">
        <v>1760</v>
      </c>
      <c r="BM748" t="s">
        <v>1945</v>
      </c>
      <c r="BN748" t="s">
        <v>3</v>
      </c>
      <c r="BO748">
        <v>0</v>
      </c>
      <c r="BP748">
        <v>0</v>
      </c>
      <c r="BQ748">
        <v>0</v>
      </c>
      <c r="BR748">
        <v>16</v>
      </c>
      <c r="BS748">
        <v>0</v>
      </c>
      <c r="BT748">
        <v>0</v>
      </c>
      <c r="BU748">
        <v>0</v>
      </c>
      <c r="BV748">
        <v>0</v>
      </c>
      <c r="BW748">
        <v>0</v>
      </c>
      <c r="BX748">
        <v>0</v>
      </c>
      <c r="BY748">
        <v>0</v>
      </c>
      <c r="BZ748">
        <v>0</v>
      </c>
      <c r="CA748">
        <v>0</v>
      </c>
      <c r="CB748" s="367">
        <f>IFERROR(BO748/Instructions!$J$25,0)+BP748*Instructions!$J$27+BQ748*Instructions!$J$29+IFERROR(BR748/Instructions!$E$34,0)+BS748*Instructions!$E$36+Tier!BT749*Instructions!$E$25+IFERROR(BU748/Instructions!$E$27,0)+BV748*Instructions!$E$29+IFERROR((BW748+BY748)/Instructions!$J$32,0)+(BX748+BZ748)*Instructions!$J$34+Tier!CA748*-2</f>
        <v>1.6</v>
      </c>
      <c r="CC748" s="354"/>
      <c r="CD748" s="3">
        <v>2018</v>
      </c>
      <c r="CE748" t="s">
        <v>1125</v>
      </c>
      <c r="CF748" t="s">
        <v>1941</v>
      </c>
      <c r="CG748" s="366" t="s">
        <v>6</v>
      </c>
      <c r="CH748">
        <v>0</v>
      </c>
      <c r="CI748">
        <v>0</v>
      </c>
      <c r="CJ748">
        <v>0</v>
      </c>
      <c r="CK748">
        <v>0</v>
      </c>
      <c r="CL748">
        <v>0</v>
      </c>
      <c r="CM748">
        <v>7</v>
      </c>
      <c r="CN748">
        <v>64</v>
      </c>
      <c r="CO748">
        <v>0</v>
      </c>
      <c r="CP748">
        <v>0</v>
      </c>
      <c r="CQ748">
        <v>0</v>
      </c>
      <c r="CR748">
        <v>0</v>
      </c>
      <c r="CS748">
        <v>0</v>
      </c>
      <c r="CT748">
        <v>0</v>
      </c>
      <c r="CU748" s="367">
        <f>IFERROR(CH748/Instructions!$J$25,0)+CI748*Instructions!$J$27+CJ748*Instructions!$J$29+IFERROR(CK748/Instructions!$E$34,0)+CL748*Instructions!$E$36+Tier!CM748*Instructions!$E$25+IFERROR(CN748/Instructions!$E$27,0)+CO748*Instructions!$E$29+IFERROR((CP748+CR748)/Instructions!$J$32,0)+(CQ748+CS748)*Instructions!$J$34+Tier!CT748*-2</f>
        <v>13.4</v>
      </c>
      <c r="CV748" s="354"/>
      <c r="CW748"/>
      <c r="CX748"/>
      <c r="CY748"/>
      <c r="CZ748"/>
      <c r="DA748"/>
      <c r="DB748"/>
      <c r="DC748"/>
      <c r="DD748"/>
      <c r="DE748"/>
      <c r="DF748"/>
      <c r="DG748"/>
      <c r="DH748"/>
      <c r="DI748"/>
      <c r="DJ748"/>
      <c r="DK748"/>
      <c r="DL748"/>
      <c r="DM748"/>
      <c r="DN748"/>
    </row>
    <row r="749" spans="3:118" s="238" customFormat="1" ht="15.75" customHeight="1" x14ac:dyDescent="0.25">
      <c r="C749"/>
      <c r="D749"/>
      <c r="E749"/>
      <c r="F749"/>
      <c r="G749"/>
      <c r="H749"/>
      <c r="I749"/>
      <c r="J749"/>
      <c r="K749"/>
      <c r="L749"/>
      <c r="M749"/>
      <c r="N749"/>
      <c r="O749" s="366"/>
      <c r="P749" s="366">
        <v>2018</v>
      </c>
      <c r="Q749" s="367">
        <f>LARGE($CB$606:$CB$755,144)</f>
        <v>1.7</v>
      </c>
      <c r="R749" s="357">
        <f t="shared" si="174"/>
        <v>-194.9</v>
      </c>
      <c r="S749" s="356">
        <f t="shared" si="173"/>
        <v>37986.01</v>
      </c>
      <c r="U749" s="356">
        <f t="shared" si="175"/>
        <v>-12.18125</v>
      </c>
      <c r="V749" s="238">
        <f t="shared" si="171"/>
        <v>8</v>
      </c>
      <c r="W749" s="354"/>
      <c r="X749" s="366"/>
      <c r="Y749" s="366"/>
      <c r="Z749" s="238">
        <v>2018</v>
      </c>
      <c r="AA749" s="367">
        <f>LARGE($CU$606:$CU$755,144)</f>
        <v>5.8</v>
      </c>
      <c r="AB749" s="357">
        <f t="shared" si="176"/>
        <v>-185.1</v>
      </c>
      <c r="AC749" s="356">
        <f t="shared" si="170"/>
        <v>34262.009999999995</v>
      </c>
      <c r="AE749" s="356">
        <f t="shared" si="177"/>
        <v>-11.56875</v>
      </c>
      <c r="AF749" s="238">
        <f t="shared" si="172"/>
        <v>8</v>
      </c>
      <c r="AG749" s="354"/>
      <c r="AK749"/>
      <c r="AL749"/>
      <c r="AM749"/>
      <c r="AN749"/>
      <c r="AO749"/>
      <c r="AP749"/>
      <c r="BI749" s="360"/>
      <c r="BJ749" s="354"/>
      <c r="BK749" s="366">
        <v>2018</v>
      </c>
      <c r="BL749" t="s">
        <v>1608</v>
      </c>
      <c r="BM749" t="s">
        <v>1933</v>
      </c>
      <c r="BN749" t="s">
        <v>3</v>
      </c>
      <c r="BO749">
        <v>0</v>
      </c>
      <c r="BP749">
        <v>0</v>
      </c>
      <c r="BQ749">
        <v>0</v>
      </c>
      <c r="BR749">
        <v>8</v>
      </c>
      <c r="BS749">
        <v>0</v>
      </c>
      <c r="BT749">
        <v>0</v>
      </c>
      <c r="BU749">
        <v>0</v>
      </c>
      <c r="BV749">
        <v>0</v>
      </c>
      <c r="BW749">
        <v>0</v>
      </c>
      <c r="BX749">
        <v>0</v>
      </c>
      <c r="BY749">
        <v>18</v>
      </c>
      <c r="BZ749">
        <v>0</v>
      </c>
      <c r="CA749">
        <v>0</v>
      </c>
      <c r="CB749" s="367">
        <f>IFERROR(BO749/Instructions!$J$25,0)+BP749*Instructions!$J$27+BQ749*Instructions!$J$29+IFERROR(BR749/Instructions!$E$34,0)+BS749*Instructions!$E$36+Tier!BT750*Instructions!$E$25+IFERROR(BU749/Instructions!$E$27,0)+BV749*Instructions!$E$29+IFERROR((BW749+BY749)/Instructions!$J$32,0)+(BX749+BZ749)*Instructions!$J$34+Tier!CA749*-2</f>
        <v>4.8</v>
      </c>
      <c r="CC749" s="354"/>
      <c r="CD749" s="3">
        <v>2018</v>
      </c>
      <c r="CE749" t="s">
        <v>1405</v>
      </c>
      <c r="CF749" t="s">
        <v>1939</v>
      </c>
      <c r="CG749" s="366" t="s">
        <v>6</v>
      </c>
      <c r="CH749">
        <v>0</v>
      </c>
      <c r="CI749">
        <v>0</v>
      </c>
      <c r="CJ749">
        <v>0</v>
      </c>
      <c r="CK749">
        <v>10</v>
      </c>
      <c r="CL749">
        <v>0</v>
      </c>
      <c r="CM749">
        <v>3</v>
      </c>
      <c r="CN749">
        <v>60</v>
      </c>
      <c r="CO749">
        <v>1</v>
      </c>
      <c r="CP749">
        <v>0</v>
      </c>
      <c r="CQ749">
        <v>0</v>
      </c>
      <c r="CR749">
        <v>1</v>
      </c>
      <c r="CS749">
        <v>0</v>
      </c>
      <c r="CT749">
        <v>0</v>
      </c>
      <c r="CU749" s="367">
        <f>IFERROR(CH749/Instructions!$J$25,0)+CI749*Instructions!$J$27+CJ749*Instructions!$J$29+IFERROR(CK749/Instructions!$E$34,0)+CL749*Instructions!$E$36+Tier!CM749*Instructions!$E$25+IFERROR(CN749/Instructions!$E$27,0)+CO749*Instructions!$E$29+IFERROR((CP749+CR749)/Instructions!$J$32,0)+(CQ749+CS749)*Instructions!$J$34+Tier!CT749*-2</f>
        <v>16</v>
      </c>
      <c r="CV749" s="354"/>
      <c r="CW749"/>
      <c r="CX749"/>
      <c r="CY749"/>
      <c r="CZ749"/>
      <c r="DA749"/>
      <c r="DB749"/>
      <c r="DC749"/>
      <c r="DD749"/>
      <c r="DE749"/>
      <c r="DF749"/>
      <c r="DG749"/>
      <c r="DH749"/>
      <c r="DI749"/>
      <c r="DJ749"/>
      <c r="DK749"/>
      <c r="DL749"/>
      <c r="DM749"/>
      <c r="DN749"/>
    </row>
    <row r="750" spans="3:118" s="238" customFormat="1" ht="15.75" customHeight="1" x14ac:dyDescent="0.25">
      <c r="C750"/>
      <c r="D750"/>
      <c r="E750"/>
      <c r="F750"/>
      <c r="G750"/>
      <c r="H750"/>
      <c r="I750"/>
      <c r="J750"/>
      <c r="K750"/>
      <c r="L750"/>
      <c r="M750"/>
      <c r="N750"/>
      <c r="O750" s="366"/>
      <c r="P750" s="366">
        <v>2018</v>
      </c>
      <c r="Q750" s="367">
        <f>LARGE($CB$606:$CB$755,145)</f>
        <v>1.6</v>
      </c>
      <c r="R750" s="357">
        <f t="shared" si="174"/>
        <v>-195</v>
      </c>
      <c r="S750" s="356">
        <f t="shared" si="173"/>
        <v>38025</v>
      </c>
      <c r="U750" s="356">
        <f t="shared" si="175"/>
        <v>-12.1875</v>
      </c>
      <c r="V750" s="238">
        <f t="shared" si="171"/>
        <v>8</v>
      </c>
      <c r="W750" s="354"/>
      <c r="X750" s="366"/>
      <c r="Y750" s="366"/>
      <c r="Z750" s="238">
        <v>2018</v>
      </c>
      <c r="AA750" s="367">
        <f>LARGE($CU$606:$CU$755,145)</f>
        <v>5.4</v>
      </c>
      <c r="AB750" s="357">
        <f t="shared" si="176"/>
        <v>-185.5</v>
      </c>
      <c r="AC750" s="356">
        <f t="shared" si="170"/>
        <v>34410.25</v>
      </c>
      <c r="AE750" s="356">
        <f t="shared" si="177"/>
        <v>-11.59375</v>
      </c>
      <c r="AF750" s="238">
        <f t="shared" si="172"/>
        <v>8</v>
      </c>
      <c r="AG750" s="354"/>
      <c r="AK750"/>
      <c r="AL750"/>
      <c r="AM750"/>
      <c r="AN750"/>
      <c r="AO750"/>
      <c r="AP750"/>
      <c r="BI750" s="360"/>
      <c r="BJ750" s="354"/>
      <c r="BK750" s="366">
        <v>2018</v>
      </c>
      <c r="BL750" t="s">
        <v>1963</v>
      </c>
      <c r="BM750" t="s">
        <v>1933</v>
      </c>
      <c r="BN750" t="s">
        <v>3</v>
      </c>
      <c r="BO750">
        <v>0</v>
      </c>
      <c r="BP750">
        <v>0</v>
      </c>
      <c r="BQ750">
        <v>0</v>
      </c>
      <c r="BR750">
        <v>0</v>
      </c>
      <c r="BS750">
        <v>0</v>
      </c>
      <c r="BT750">
        <v>4</v>
      </c>
      <c r="BU750">
        <v>15</v>
      </c>
      <c r="BV750">
        <v>0</v>
      </c>
      <c r="BW750">
        <v>0</v>
      </c>
      <c r="BX750">
        <v>0</v>
      </c>
      <c r="BY750">
        <v>0</v>
      </c>
      <c r="BZ750">
        <v>0</v>
      </c>
      <c r="CA750">
        <v>0</v>
      </c>
      <c r="CB750" s="367">
        <f>IFERROR(BO750/Instructions!$J$25,0)+BP750*Instructions!$J$27+BQ750*Instructions!$J$29+IFERROR(BR750/Instructions!$E$34,0)+BS750*Instructions!$E$36+Tier!BT751*Instructions!$E$25+IFERROR(BU750/Instructions!$E$27,0)+BV750*Instructions!$E$29+IFERROR((BW750+BY750)/Instructions!$J$32,0)+(BX750+BZ750)*Instructions!$J$34+Tier!CA750*-2</f>
        <v>1.5</v>
      </c>
      <c r="CC750" s="354"/>
      <c r="CD750" s="3">
        <v>2018</v>
      </c>
      <c r="CE750" t="s">
        <v>1893</v>
      </c>
      <c r="CF750" t="s">
        <v>1939</v>
      </c>
      <c r="CG750" s="366" t="s">
        <v>6</v>
      </c>
      <c r="CH750">
        <v>0</v>
      </c>
      <c r="CI750">
        <v>0</v>
      </c>
      <c r="CJ750">
        <v>0</v>
      </c>
      <c r="CK750">
        <v>4</v>
      </c>
      <c r="CL750">
        <v>0</v>
      </c>
      <c r="CM750">
        <v>11</v>
      </c>
      <c r="CN750">
        <v>129</v>
      </c>
      <c r="CO750">
        <v>0</v>
      </c>
      <c r="CP750">
        <v>0</v>
      </c>
      <c r="CQ750">
        <v>0</v>
      </c>
      <c r="CR750">
        <v>0</v>
      </c>
      <c r="CS750">
        <v>0</v>
      </c>
      <c r="CT750">
        <v>0</v>
      </c>
      <c r="CU750" s="367">
        <f>IFERROR(CH750/Instructions!$J$25,0)+CI750*Instructions!$J$27+CJ750*Instructions!$J$29+IFERROR(CK750/Instructions!$E$34,0)+CL750*Instructions!$E$36+Tier!CM750*Instructions!$E$25+IFERROR(CN750/Instructions!$E$27,0)+CO750*Instructions!$E$29+IFERROR((CP750+CR750)/Instructions!$J$32,0)+(CQ750+CS750)*Instructions!$J$34+Tier!CT750*-2</f>
        <v>24.3</v>
      </c>
      <c r="CV750" s="354"/>
      <c r="CW750"/>
      <c r="CX750"/>
      <c r="CY750"/>
      <c r="CZ750"/>
      <c r="DA750"/>
      <c r="DB750"/>
      <c r="DC750"/>
      <c r="DD750"/>
      <c r="DE750"/>
      <c r="DF750"/>
      <c r="DG750"/>
      <c r="DH750"/>
      <c r="DI750"/>
      <c r="DJ750"/>
      <c r="DK750"/>
      <c r="DL750"/>
      <c r="DM750"/>
      <c r="DN750"/>
    </row>
    <row r="751" spans="3:118" s="238" customFormat="1" ht="15.75" customHeight="1" x14ac:dyDescent="0.25">
      <c r="C751"/>
      <c r="D751"/>
      <c r="E751"/>
      <c r="F751"/>
      <c r="G751"/>
      <c r="H751"/>
      <c r="I751"/>
      <c r="J751"/>
      <c r="K751"/>
      <c r="L751"/>
      <c r="M751"/>
      <c r="N751"/>
      <c r="O751" s="366"/>
      <c r="P751" s="366">
        <v>2018</v>
      </c>
      <c r="Q751" s="367">
        <f>LARGE($CB$606:$CB$755,146)</f>
        <v>1.5</v>
      </c>
      <c r="R751" s="357">
        <f t="shared" si="174"/>
        <v>-195.1</v>
      </c>
      <c r="S751" s="356">
        <f t="shared" si="173"/>
        <v>38064.009999999995</v>
      </c>
      <c r="U751" s="356">
        <f t="shared" si="175"/>
        <v>-12.19375</v>
      </c>
      <c r="V751" s="238">
        <f t="shared" si="171"/>
        <v>8</v>
      </c>
      <c r="W751" s="354"/>
      <c r="X751" s="366"/>
      <c r="Y751" s="366"/>
      <c r="Z751" s="238">
        <v>2018</v>
      </c>
      <c r="AA751" s="367">
        <f>LARGE($CU$606:$CU$755,146)</f>
        <v>2.4</v>
      </c>
      <c r="AB751" s="357">
        <f t="shared" si="176"/>
        <v>-188.5</v>
      </c>
      <c r="AC751" s="356">
        <f t="shared" si="170"/>
        <v>35532.25</v>
      </c>
      <c r="AE751" s="356">
        <f t="shared" si="177"/>
        <v>-11.78125</v>
      </c>
      <c r="AF751" s="238">
        <f t="shared" si="172"/>
        <v>8</v>
      </c>
      <c r="AG751" s="354"/>
      <c r="AK751"/>
      <c r="AL751"/>
      <c r="AM751"/>
      <c r="AN751"/>
      <c r="AO751"/>
      <c r="AP751"/>
      <c r="BI751" s="360"/>
      <c r="BJ751" s="354"/>
      <c r="BK751" s="366">
        <v>2018</v>
      </c>
      <c r="BL751" t="s">
        <v>1398</v>
      </c>
      <c r="BM751" t="s">
        <v>1949</v>
      </c>
      <c r="BN751" t="s">
        <v>3</v>
      </c>
      <c r="BO751">
        <v>0</v>
      </c>
      <c r="BP751">
        <v>0</v>
      </c>
      <c r="BQ751">
        <v>0</v>
      </c>
      <c r="BR751">
        <v>15</v>
      </c>
      <c r="BS751">
        <v>0</v>
      </c>
      <c r="BT751">
        <v>0</v>
      </c>
      <c r="BU751">
        <v>0</v>
      </c>
      <c r="BV751">
        <v>0</v>
      </c>
      <c r="BW751">
        <v>0</v>
      </c>
      <c r="BX751">
        <v>0</v>
      </c>
      <c r="BY751">
        <v>0</v>
      </c>
      <c r="BZ751">
        <v>0</v>
      </c>
      <c r="CA751">
        <v>0</v>
      </c>
      <c r="CB751" s="367">
        <f>IFERROR(BO751/Instructions!$J$25,0)+BP751*Instructions!$J$27+BQ751*Instructions!$J$29+IFERROR(BR751/Instructions!$E$34,0)+BS751*Instructions!$E$36+Tier!BT752*Instructions!$E$25+IFERROR(BU751/Instructions!$E$27,0)+BV751*Instructions!$E$29+IFERROR((BW751+BY751)/Instructions!$J$32,0)+(BX751+BZ751)*Instructions!$J$34+Tier!CA751*-2</f>
        <v>3.5</v>
      </c>
      <c r="CC751" s="354"/>
      <c r="CD751" s="3">
        <v>2018</v>
      </c>
      <c r="CE751" t="s">
        <v>1979</v>
      </c>
      <c r="CF751" t="s">
        <v>1939</v>
      </c>
      <c r="CG751" s="366" t="s">
        <v>6</v>
      </c>
      <c r="CH751">
        <v>0</v>
      </c>
      <c r="CI751">
        <v>0</v>
      </c>
      <c r="CJ751">
        <v>0</v>
      </c>
      <c r="CK751">
        <v>0</v>
      </c>
      <c r="CL751">
        <v>0</v>
      </c>
      <c r="CM751">
        <v>11</v>
      </c>
      <c r="CN751">
        <v>80</v>
      </c>
      <c r="CO751">
        <v>1</v>
      </c>
      <c r="CP751">
        <v>0</v>
      </c>
      <c r="CQ751">
        <v>0</v>
      </c>
      <c r="CR751">
        <v>0</v>
      </c>
      <c r="CS751">
        <v>0</v>
      </c>
      <c r="CT751">
        <v>0</v>
      </c>
      <c r="CU751" s="367">
        <f>IFERROR(CH751/Instructions!$J$25,0)+CI751*Instructions!$J$27+CJ751*Instructions!$J$29+IFERROR(CK751/Instructions!$E$34,0)+CL751*Instructions!$E$36+Tier!CM751*Instructions!$E$25+IFERROR(CN751/Instructions!$E$27,0)+CO751*Instructions!$E$29+IFERROR((CP751+CR751)/Instructions!$J$32,0)+(CQ751+CS751)*Instructions!$J$34+Tier!CT751*-2</f>
        <v>25</v>
      </c>
      <c r="CV751" s="354"/>
      <c r="CW751"/>
      <c r="CX751"/>
      <c r="CY751"/>
      <c r="CZ751"/>
      <c r="DA751"/>
      <c r="DB751"/>
      <c r="DC751"/>
      <c r="DD751"/>
      <c r="DE751"/>
      <c r="DF751"/>
      <c r="DG751"/>
      <c r="DH751"/>
      <c r="DI751"/>
      <c r="DJ751"/>
      <c r="DK751"/>
      <c r="DL751"/>
      <c r="DM751"/>
      <c r="DN751"/>
    </row>
    <row r="752" spans="3:118" s="238" customFormat="1" ht="15.75" customHeight="1" x14ac:dyDescent="0.25">
      <c r="C752"/>
      <c r="D752"/>
      <c r="E752"/>
      <c r="F752"/>
      <c r="G752"/>
      <c r="H752"/>
      <c r="I752"/>
      <c r="J752"/>
      <c r="K752"/>
      <c r="L752"/>
      <c r="M752"/>
      <c r="N752"/>
      <c r="O752" s="366"/>
      <c r="P752" s="366">
        <v>2018</v>
      </c>
      <c r="Q752" s="367">
        <f>LARGE($CB$606:$CB$755,147)</f>
        <v>1.1000000000000001</v>
      </c>
      <c r="R752" s="357">
        <f t="shared" si="174"/>
        <v>-195.5</v>
      </c>
      <c r="S752" s="356">
        <f t="shared" si="173"/>
        <v>38220.25</v>
      </c>
      <c r="U752" s="356">
        <f t="shared" si="175"/>
        <v>-12.21875</v>
      </c>
      <c r="V752" s="238">
        <f t="shared" si="171"/>
        <v>8</v>
      </c>
      <c r="W752" s="354"/>
      <c r="X752" s="366"/>
      <c r="Y752" s="366"/>
      <c r="Z752" s="238">
        <v>2018</v>
      </c>
      <c r="AA752" s="367">
        <f>LARGE($CU$606:$CU$755,147)</f>
        <v>0</v>
      </c>
      <c r="AB752" s="357">
        <f t="shared" si="176"/>
        <v>-190.9</v>
      </c>
      <c r="AC752" s="356">
        <f t="shared" si="170"/>
        <v>36442.810000000005</v>
      </c>
      <c r="AE752" s="356">
        <f t="shared" si="177"/>
        <v>-11.93125</v>
      </c>
      <c r="AF752" s="238">
        <f t="shared" si="172"/>
        <v>8</v>
      </c>
      <c r="AG752" s="354"/>
      <c r="AK752"/>
      <c r="AL752"/>
      <c r="AM752"/>
      <c r="AN752"/>
      <c r="AO752"/>
      <c r="AP752"/>
      <c r="BI752" s="360"/>
      <c r="BJ752" s="354"/>
      <c r="BK752" s="366">
        <v>2018</v>
      </c>
      <c r="BL752" t="s">
        <v>1236</v>
      </c>
      <c r="BM752" t="s">
        <v>1936</v>
      </c>
      <c r="BN752" t="s">
        <v>3</v>
      </c>
      <c r="BO752">
        <v>0</v>
      </c>
      <c r="BP752">
        <v>0</v>
      </c>
      <c r="BQ752">
        <v>0</v>
      </c>
      <c r="BR752">
        <v>0</v>
      </c>
      <c r="BS752">
        <v>0</v>
      </c>
      <c r="BT752">
        <v>2</v>
      </c>
      <c r="BU752">
        <v>13</v>
      </c>
      <c r="BV752">
        <v>0</v>
      </c>
      <c r="BW752">
        <v>0</v>
      </c>
      <c r="BX752">
        <v>0</v>
      </c>
      <c r="BY752">
        <v>0</v>
      </c>
      <c r="BZ752">
        <v>0</v>
      </c>
      <c r="CA752">
        <v>0</v>
      </c>
      <c r="CB752" s="367">
        <f>IFERROR(BO752/Instructions!$J$25,0)+BP752*Instructions!$J$27+BQ752*Instructions!$J$29+IFERROR(BR752/Instructions!$E$34,0)+BS752*Instructions!$E$36+Tier!BT753*Instructions!$E$25+IFERROR(BU752/Instructions!$E$27,0)+BV752*Instructions!$E$29+IFERROR((BW752+BY752)/Instructions!$J$32,0)+(BX752+BZ752)*Instructions!$J$34+Tier!CA752*-2</f>
        <v>2.2999999999999998</v>
      </c>
      <c r="CC752" s="354"/>
      <c r="CD752" s="3">
        <v>2018</v>
      </c>
      <c r="CE752" t="s">
        <v>214</v>
      </c>
      <c r="CF752" t="s">
        <v>1946</v>
      </c>
      <c r="CG752" s="366" t="s">
        <v>6</v>
      </c>
      <c r="CH752">
        <v>0</v>
      </c>
      <c r="CI752">
        <v>0</v>
      </c>
      <c r="CJ752">
        <v>0</v>
      </c>
      <c r="CK752">
        <v>0</v>
      </c>
      <c r="CL752">
        <v>0</v>
      </c>
      <c r="CM752">
        <v>6</v>
      </c>
      <c r="CN752">
        <v>60</v>
      </c>
      <c r="CO752">
        <v>1</v>
      </c>
      <c r="CP752">
        <v>0</v>
      </c>
      <c r="CQ752">
        <v>0</v>
      </c>
      <c r="CR752">
        <v>0</v>
      </c>
      <c r="CS752">
        <v>0</v>
      </c>
      <c r="CT752">
        <v>0</v>
      </c>
      <c r="CU752" s="367">
        <f>IFERROR(CH752/Instructions!$J$25,0)+CI752*Instructions!$J$27+CJ752*Instructions!$J$29+IFERROR(CK752/Instructions!$E$34,0)+CL752*Instructions!$E$36+Tier!CM752*Instructions!$E$25+IFERROR(CN752/Instructions!$E$27,0)+CO752*Instructions!$E$29+IFERROR((CP752+CR752)/Instructions!$J$32,0)+(CQ752+CS752)*Instructions!$J$34+Tier!CT752*-2</f>
        <v>18</v>
      </c>
      <c r="CV752" s="354"/>
      <c r="CW752"/>
      <c r="CX752"/>
      <c r="CY752"/>
      <c r="CZ752"/>
      <c r="DA752"/>
      <c r="DB752"/>
      <c r="DC752"/>
      <c r="DD752"/>
      <c r="DE752"/>
      <c r="DF752"/>
      <c r="DG752"/>
      <c r="DH752"/>
      <c r="DI752"/>
      <c r="DJ752"/>
      <c r="DK752"/>
      <c r="DL752"/>
      <c r="DM752"/>
      <c r="DN752"/>
    </row>
    <row r="753" spans="3:118" s="238" customFormat="1" ht="15.75" customHeight="1" x14ac:dyDescent="0.25">
      <c r="C753"/>
      <c r="D753"/>
      <c r="E753"/>
      <c r="F753"/>
      <c r="G753"/>
      <c r="H753"/>
      <c r="I753"/>
      <c r="J753"/>
      <c r="K753"/>
      <c r="L753"/>
      <c r="M753"/>
      <c r="N753"/>
      <c r="O753" s="366"/>
      <c r="P753" s="366">
        <v>2018</v>
      </c>
      <c r="Q753" s="367">
        <f>LARGE($CB$606:$CB$755,148)</f>
        <v>1</v>
      </c>
      <c r="R753" s="357">
        <f t="shared" si="174"/>
        <v>-195.6</v>
      </c>
      <c r="S753" s="356">
        <f t="shared" si="173"/>
        <v>38259.360000000001</v>
      </c>
      <c r="U753" s="356">
        <f t="shared" si="175"/>
        <v>-12.225</v>
      </c>
      <c r="V753" s="238">
        <f t="shared" si="171"/>
        <v>8</v>
      </c>
      <c r="W753" s="354"/>
      <c r="X753" s="366"/>
      <c r="Y753" s="366"/>
      <c r="Z753" s="238">
        <v>2018</v>
      </c>
      <c r="AA753" s="367">
        <f>LARGE($CU$606:$CU$755,148)</f>
        <v>0</v>
      </c>
      <c r="AB753" s="357">
        <f t="shared" si="176"/>
        <v>-190.9</v>
      </c>
      <c r="AC753" s="356">
        <f t="shared" si="170"/>
        <v>36442.810000000005</v>
      </c>
      <c r="AE753" s="356">
        <f t="shared" si="177"/>
        <v>-11.93125</v>
      </c>
      <c r="AF753" s="238">
        <f t="shared" si="172"/>
        <v>8</v>
      </c>
      <c r="AG753" s="354"/>
      <c r="AK753"/>
      <c r="AL753"/>
      <c r="AM753"/>
      <c r="AN753"/>
      <c r="AO753"/>
      <c r="AP753"/>
      <c r="BI753" s="360"/>
      <c r="BJ753" s="354"/>
      <c r="BK753" s="366">
        <v>2018</v>
      </c>
      <c r="BL753" t="s">
        <v>1393</v>
      </c>
      <c r="BM753" t="s">
        <v>1388</v>
      </c>
      <c r="BN753" t="s">
        <v>3</v>
      </c>
      <c r="BO753">
        <v>0</v>
      </c>
      <c r="BP753">
        <v>0</v>
      </c>
      <c r="BQ753">
        <v>0</v>
      </c>
      <c r="BR753">
        <v>11</v>
      </c>
      <c r="BS753">
        <v>0</v>
      </c>
      <c r="BT753">
        <v>1</v>
      </c>
      <c r="BU753">
        <v>2</v>
      </c>
      <c r="BV753">
        <v>0</v>
      </c>
      <c r="BW753">
        <v>0</v>
      </c>
      <c r="BX753">
        <v>0</v>
      </c>
      <c r="BY753">
        <v>0</v>
      </c>
      <c r="BZ753">
        <v>0</v>
      </c>
      <c r="CA753">
        <v>0</v>
      </c>
      <c r="CB753" s="367">
        <f>IFERROR(BO753/Instructions!$J$25,0)+BP753*Instructions!$J$27+BQ753*Instructions!$J$29+IFERROR(BR753/Instructions!$E$34,0)+BS753*Instructions!$E$36+Tier!BT754*Instructions!$E$25+IFERROR(BU753/Instructions!$E$27,0)+BV753*Instructions!$E$29+IFERROR((BW753+BY753)/Instructions!$J$32,0)+(BX753+BZ753)*Instructions!$J$34+Tier!CA753*-2</f>
        <v>4.3</v>
      </c>
      <c r="CC753" s="354"/>
      <c r="CD753" s="3">
        <v>2018</v>
      </c>
      <c r="CE753" t="s">
        <v>1834</v>
      </c>
      <c r="CF753" t="s">
        <v>164</v>
      </c>
      <c r="CG753" s="366" t="s">
        <v>6</v>
      </c>
      <c r="CH753">
        <v>0</v>
      </c>
      <c r="CI753">
        <v>0</v>
      </c>
      <c r="CJ753">
        <v>0</v>
      </c>
      <c r="CK753">
        <v>0</v>
      </c>
      <c r="CL753">
        <v>0</v>
      </c>
      <c r="CM753">
        <v>10</v>
      </c>
      <c r="CN753">
        <v>143</v>
      </c>
      <c r="CO753">
        <v>0</v>
      </c>
      <c r="CP753">
        <v>0</v>
      </c>
      <c r="CQ753">
        <v>0</v>
      </c>
      <c r="CR753">
        <v>0</v>
      </c>
      <c r="CS753">
        <v>0</v>
      </c>
      <c r="CT753">
        <v>0</v>
      </c>
      <c r="CU753" s="367">
        <f>IFERROR(CH753/Instructions!$J$25,0)+CI753*Instructions!$J$27+CJ753*Instructions!$J$29+IFERROR(CK753/Instructions!$E$34,0)+CL753*Instructions!$E$36+Tier!CM753*Instructions!$E$25+IFERROR(CN753/Instructions!$E$27,0)+CO753*Instructions!$E$29+IFERROR((CP753+CR753)/Instructions!$J$32,0)+(CQ753+CS753)*Instructions!$J$34+Tier!CT753*-2</f>
        <v>24.3</v>
      </c>
      <c r="CV753" s="354"/>
      <c r="CW753"/>
      <c r="CX753"/>
      <c r="CY753"/>
      <c r="CZ753"/>
      <c r="DA753"/>
      <c r="DB753"/>
      <c r="DC753"/>
      <c r="DD753"/>
      <c r="DE753"/>
      <c r="DF753"/>
      <c r="DG753"/>
      <c r="DH753"/>
      <c r="DI753"/>
      <c r="DJ753"/>
      <c r="DK753"/>
      <c r="DL753"/>
      <c r="DM753"/>
      <c r="DN753"/>
    </row>
    <row r="754" spans="3:118" s="238" customFormat="1" ht="15.75" customHeight="1" x14ac:dyDescent="0.25">
      <c r="C754"/>
      <c r="D754"/>
      <c r="E754"/>
      <c r="F754"/>
      <c r="G754"/>
      <c r="H754"/>
      <c r="I754"/>
      <c r="J754"/>
      <c r="K754"/>
      <c r="L754"/>
      <c r="M754"/>
      <c r="N754"/>
      <c r="O754" s="354"/>
      <c r="P754" s="366">
        <v>2018</v>
      </c>
      <c r="Q754" s="367">
        <f>LARGE($CB$606:$CB$755,149)</f>
        <v>0.8</v>
      </c>
      <c r="R754" s="357">
        <f t="shared" si="174"/>
        <v>-195.79999999999998</v>
      </c>
      <c r="S754" s="356">
        <f t="shared" si="173"/>
        <v>38337.639999999992</v>
      </c>
      <c r="U754" s="356">
        <f t="shared" si="175"/>
        <v>-12.237499999999999</v>
      </c>
      <c r="V754" s="238">
        <f t="shared" si="171"/>
        <v>8</v>
      </c>
      <c r="W754" s="354"/>
      <c r="X754" s="366"/>
      <c r="Y754" s="366"/>
      <c r="Z754" s="238">
        <v>2018</v>
      </c>
      <c r="AA754" s="367">
        <f>LARGE($CU$606:$CU$755,149)</f>
        <v>0</v>
      </c>
      <c r="AB754" s="357">
        <f t="shared" si="176"/>
        <v>-190.9</v>
      </c>
      <c r="AC754" s="356">
        <f t="shared" si="170"/>
        <v>36442.810000000005</v>
      </c>
      <c r="AE754" s="356">
        <f t="shared" si="177"/>
        <v>-11.93125</v>
      </c>
      <c r="AF754" s="238">
        <f t="shared" si="172"/>
        <v>8</v>
      </c>
      <c r="AG754" s="354"/>
      <c r="AK754"/>
      <c r="AL754"/>
      <c r="AM754"/>
      <c r="AN754"/>
      <c r="AO754"/>
      <c r="AP754"/>
      <c r="BI754" s="360"/>
      <c r="BJ754" s="354"/>
      <c r="BK754" s="366">
        <v>2018</v>
      </c>
      <c r="BL754" t="s">
        <v>1964</v>
      </c>
      <c r="BM754" t="s">
        <v>1929</v>
      </c>
      <c r="BN754" t="s">
        <v>3</v>
      </c>
      <c r="BO754">
        <v>0</v>
      </c>
      <c r="BP754">
        <v>0</v>
      </c>
      <c r="BQ754">
        <v>0</v>
      </c>
      <c r="BR754">
        <v>0</v>
      </c>
      <c r="BS754">
        <v>0</v>
      </c>
      <c r="BT754">
        <v>3</v>
      </c>
      <c r="BU754">
        <v>11</v>
      </c>
      <c r="BV754">
        <v>0</v>
      </c>
      <c r="BW754">
        <v>0</v>
      </c>
      <c r="BX754">
        <v>0</v>
      </c>
      <c r="BY754">
        <v>0</v>
      </c>
      <c r="BZ754">
        <v>0</v>
      </c>
      <c r="CA754">
        <v>0</v>
      </c>
      <c r="CB754" s="367">
        <f>IFERROR(BO754/Instructions!$J$25,0)+BP754*Instructions!$J$27+BQ754*Instructions!$J$29+IFERROR(BR754/Instructions!$E$34,0)+BS754*Instructions!$E$36+Tier!BT755*Instructions!$E$25+IFERROR(BU754/Instructions!$E$27,0)+BV754*Instructions!$E$29+IFERROR((BW754+BY754)/Instructions!$J$32,0)+(BX754+BZ754)*Instructions!$J$34+Tier!CA754*-2</f>
        <v>1.1000000000000001</v>
      </c>
      <c r="CC754" s="354"/>
      <c r="CD754" s="3">
        <v>2018</v>
      </c>
      <c r="CE754" t="s">
        <v>1980</v>
      </c>
      <c r="CF754" t="s">
        <v>164</v>
      </c>
      <c r="CG754" s="366" t="s">
        <v>6</v>
      </c>
      <c r="CH754">
        <v>0</v>
      </c>
      <c r="CI754">
        <v>0</v>
      </c>
      <c r="CJ754">
        <v>0</v>
      </c>
      <c r="CK754">
        <v>0</v>
      </c>
      <c r="CL754">
        <v>0</v>
      </c>
      <c r="CM754">
        <v>1</v>
      </c>
      <c r="CN754">
        <v>14</v>
      </c>
      <c r="CO754">
        <v>0</v>
      </c>
      <c r="CP754">
        <v>0</v>
      </c>
      <c r="CQ754">
        <v>0</v>
      </c>
      <c r="CR754">
        <v>0</v>
      </c>
      <c r="CS754">
        <v>0</v>
      </c>
      <c r="CT754">
        <v>0</v>
      </c>
      <c r="CU754" s="367">
        <f>IFERROR(CH754/Instructions!$J$25,0)+CI754*Instructions!$J$27+CJ754*Instructions!$J$29+IFERROR(CK754/Instructions!$E$34,0)+CL754*Instructions!$E$36+Tier!CM754*Instructions!$E$25+IFERROR(CN754/Instructions!$E$27,0)+CO754*Instructions!$E$29+IFERROR((CP754+CR754)/Instructions!$J$32,0)+(CQ754+CS754)*Instructions!$J$34+Tier!CT754*-2</f>
        <v>2.4</v>
      </c>
      <c r="CV754" s="354"/>
      <c r="CW754"/>
      <c r="CX754"/>
      <c r="CY754"/>
      <c r="CZ754"/>
      <c r="DA754"/>
      <c r="DB754"/>
      <c r="DC754"/>
      <c r="DD754"/>
      <c r="DE754"/>
      <c r="DF754"/>
      <c r="DG754"/>
      <c r="DH754"/>
      <c r="DI754"/>
      <c r="DJ754"/>
      <c r="DK754"/>
      <c r="DL754"/>
      <c r="DM754"/>
      <c r="DN754"/>
    </row>
    <row r="755" spans="3:118" s="238" customFormat="1" ht="15.75" customHeight="1" x14ac:dyDescent="0.25">
      <c r="C755"/>
      <c r="D755"/>
      <c r="E755"/>
      <c r="F755"/>
      <c r="G755"/>
      <c r="H755"/>
      <c r="I755"/>
      <c r="J755"/>
      <c r="K755"/>
      <c r="L755"/>
      <c r="M755"/>
      <c r="N755"/>
      <c r="O755"/>
      <c r="P755" s="366">
        <v>2018</v>
      </c>
      <c r="Q755" s="367">
        <f>LARGE($CB$606:$CB$755,150)</f>
        <v>0</v>
      </c>
      <c r="R755" s="357">
        <f t="shared" si="174"/>
        <v>-196.6</v>
      </c>
      <c r="S755" s="356">
        <f t="shared" si="173"/>
        <v>38651.56</v>
      </c>
      <c r="U755" s="356">
        <f t="shared" si="175"/>
        <v>-12.2875</v>
      </c>
      <c r="V755" s="238">
        <f t="shared" si="171"/>
        <v>8</v>
      </c>
      <c r="W755" s="354"/>
      <c r="X755" s="366"/>
      <c r="Y755" s="366"/>
      <c r="Z755" s="238">
        <v>2018</v>
      </c>
      <c r="AA755" s="367">
        <f>LARGE($CU$606:$CU$755,150)</f>
        <v>0</v>
      </c>
      <c r="AB755" s="357">
        <f t="shared" si="176"/>
        <v>-190.9</v>
      </c>
      <c r="AC755" s="356">
        <f t="shared" si="170"/>
        <v>36442.810000000005</v>
      </c>
      <c r="AE755" s="356">
        <f t="shared" si="177"/>
        <v>-11.93125</v>
      </c>
      <c r="AF755" s="238">
        <f t="shared" si="172"/>
        <v>8</v>
      </c>
      <c r="AG755" s="354"/>
      <c r="AK755"/>
      <c r="AL755"/>
      <c r="AM755"/>
      <c r="AN755"/>
      <c r="AO755"/>
      <c r="AP755"/>
      <c r="BI755" s="360"/>
      <c r="BJ755" s="354"/>
      <c r="BK755" s="366">
        <v>2018</v>
      </c>
      <c r="BL755" t="s">
        <v>1397</v>
      </c>
      <c r="BM755" t="s">
        <v>1940</v>
      </c>
      <c r="BN755" t="s">
        <v>3</v>
      </c>
      <c r="BO755">
        <v>0</v>
      </c>
      <c r="BP755">
        <v>0</v>
      </c>
      <c r="BQ755">
        <v>0</v>
      </c>
      <c r="BR755">
        <v>8</v>
      </c>
      <c r="BS755">
        <v>0</v>
      </c>
      <c r="BT755">
        <v>0</v>
      </c>
      <c r="BU755">
        <v>0</v>
      </c>
      <c r="BV755">
        <v>0</v>
      </c>
      <c r="BW755">
        <v>0</v>
      </c>
      <c r="BX755">
        <v>0</v>
      </c>
      <c r="BY755">
        <v>0</v>
      </c>
      <c r="BZ755">
        <v>0</v>
      </c>
      <c r="CA755">
        <v>0</v>
      </c>
      <c r="CB755" s="367">
        <f>IFERROR(BO755/Instructions!$J$25,0)+BP755*Instructions!$J$27+BQ755*Instructions!$J$29+IFERROR(BR755/Instructions!$E$34,0)+BS755*Instructions!$E$36+Tier!BT756*Instructions!$E$25+IFERROR(BU755/Instructions!$E$27,0)+BV755*Instructions!$E$29+IFERROR((BW755+BY755)/Instructions!$J$32,0)+(BX755+BZ755)*Instructions!$J$34+Tier!CA755*-2</f>
        <v>0.8</v>
      </c>
      <c r="CC755" s="354"/>
      <c r="CD755" s="3">
        <v>2018</v>
      </c>
      <c r="CE755" t="s">
        <v>1981</v>
      </c>
      <c r="CF755" t="s">
        <v>164</v>
      </c>
      <c r="CG755" s="366" t="s">
        <v>6</v>
      </c>
      <c r="CH755">
        <v>0</v>
      </c>
      <c r="CI755">
        <v>0</v>
      </c>
      <c r="CJ755">
        <v>0</v>
      </c>
      <c r="CK755">
        <v>0</v>
      </c>
      <c r="CL755">
        <v>0</v>
      </c>
      <c r="CM755">
        <v>0</v>
      </c>
      <c r="CN755">
        <v>0</v>
      </c>
      <c r="CO755">
        <v>0</v>
      </c>
      <c r="CP755">
        <v>0</v>
      </c>
      <c r="CQ755">
        <v>0</v>
      </c>
      <c r="CR755">
        <v>0</v>
      </c>
      <c r="CS755">
        <v>0</v>
      </c>
      <c r="CT755">
        <v>0</v>
      </c>
      <c r="CU755" s="367">
        <f>IFERROR(CH755/Instructions!$J$25,0)+CI755*Instructions!$J$27+CJ755*Instructions!$J$29+IFERROR(CK755/Instructions!$E$34,0)+CL755*Instructions!$E$36+Tier!CM755*Instructions!$E$25+IFERROR(CN755/Instructions!$E$27,0)+CO755*Instructions!$E$29+IFERROR((CP755+CR755)/Instructions!$J$32,0)+(CQ755+CS755)*Instructions!$J$34+Tier!CT755*-2</f>
        <v>0</v>
      </c>
      <c r="CV755" s="354"/>
      <c r="CW755"/>
      <c r="CX755"/>
      <c r="CY755"/>
      <c r="CZ755"/>
      <c r="DA755"/>
      <c r="DB755"/>
      <c r="DC755"/>
      <c r="DD755"/>
      <c r="DE755"/>
      <c r="DF755"/>
      <c r="DG755"/>
      <c r="DH755"/>
      <c r="DI755"/>
      <c r="DJ755"/>
      <c r="DK755"/>
      <c r="DL755"/>
      <c r="DM755"/>
      <c r="DN755"/>
    </row>
    <row r="756" spans="3:118" s="238" customFormat="1" ht="15.75" customHeight="1" x14ac:dyDescent="0.25">
      <c r="C756"/>
      <c r="D756"/>
      <c r="E756"/>
      <c r="F756"/>
      <c r="G756"/>
      <c r="H756"/>
      <c r="I756"/>
      <c r="J756"/>
      <c r="K756"/>
      <c r="L756"/>
      <c r="M756"/>
      <c r="N756"/>
      <c r="O756"/>
      <c r="P756" s="354"/>
      <c r="Q756" s="376"/>
      <c r="R756" s="376"/>
      <c r="S756" s="376"/>
      <c r="T756" s="376"/>
      <c r="U756" s="376"/>
      <c r="V756" s="376"/>
      <c r="W756" s="354"/>
      <c r="X756" s="354"/>
      <c r="Y756" s="354"/>
      <c r="Z756" s="354"/>
      <c r="AA756" s="376"/>
      <c r="AB756" s="376"/>
      <c r="AC756" s="376"/>
      <c r="AD756" s="376"/>
      <c r="AE756" s="376"/>
      <c r="AF756" s="376"/>
      <c r="AG756" s="354"/>
      <c r="AK756"/>
      <c r="AL756"/>
      <c r="AM756"/>
      <c r="AN756"/>
      <c r="AO756"/>
      <c r="AP756"/>
      <c r="BI756" s="360"/>
      <c r="BJ756" s="354"/>
      <c r="BK756" s="354"/>
      <c r="BL756" s="375"/>
      <c r="BM756" s="354"/>
      <c r="BN756" s="354"/>
      <c r="BO756" s="354"/>
      <c r="BP756" s="354"/>
      <c r="BQ756" s="354"/>
      <c r="BR756" s="354"/>
      <c r="BS756" s="354"/>
      <c r="BT756" s="354"/>
      <c r="BU756" s="354"/>
      <c r="BV756" s="354"/>
      <c r="BW756" s="354"/>
      <c r="BX756" s="354"/>
      <c r="BY756" s="354"/>
      <c r="BZ756" s="354"/>
      <c r="CA756" s="354"/>
      <c r="CB756" s="379"/>
      <c r="CC756" s="354"/>
      <c r="CD756" s="354"/>
      <c r="CE756" s="375"/>
      <c r="CF756" s="354"/>
      <c r="CG756" s="354"/>
      <c r="CH756" s="354"/>
      <c r="CI756" s="354"/>
      <c r="CJ756" s="354"/>
      <c r="CK756" s="354"/>
      <c r="CL756" s="354"/>
      <c r="CM756" s="354"/>
      <c r="CN756" s="354"/>
      <c r="CO756" s="354"/>
      <c r="CP756" s="354"/>
      <c r="CQ756" s="354"/>
      <c r="CR756" s="354"/>
      <c r="CS756" s="354"/>
      <c r="CT756" s="354"/>
      <c r="CU756" s="354"/>
      <c r="CV756" s="354"/>
      <c r="CW756"/>
      <c r="CX756"/>
      <c r="CY756"/>
      <c r="CZ756"/>
      <c r="DA756"/>
      <c r="DB756"/>
      <c r="DC756"/>
      <c r="DD756"/>
      <c r="DE756"/>
      <c r="DF756"/>
      <c r="DG756"/>
      <c r="DH756"/>
      <c r="DI756"/>
      <c r="DJ756"/>
      <c r="DK756"/>
      <c r="DL756"/>
      <c r="DM756"/>
      <c r="DN756"/>
    </row>
    <row r="757" spans="3:118" ht="15.75" customHeight="1" x14ac:dyDescent="0.25">
      <c r="CD757" s="3"/>
      <c r="CG757" s="366"/>
      <c r="CN757" s="418"/>
    </row>
    <row r="758" spans="3:118" ht="15.75" customHeight="1" x14ac:dyDescent="0.25">
      <c r="CD758" s="3"/>
      <c r="CG758" s="366"/>
      <c r="CN758" s="418"/>
    </row>
    <row r="759" spans="3:118" ht="15.75" customHeight="1" x14ac:dyDescent="0.25">
      <c r="CD759" s="3"/>
      <c r="CG759" s="366"/>
      <c r="CN759" s="418"/>
    </row>
    <row r="760" spans="3:118" ht="15.75" customHeight="1" x14ac:dyDescent="0.25">
      <c r="CD760" s="3"/>
      <c r="CG760" s="366"/>
      <c r="CN760" s="418"/>
    </row>
    <row r="761" spans="3:118" ht="15.75" customHeight="1" x14ac:dyDescent="0.25">
      <c r="CD761" s="3"/>
      <c r="CG761" s="366"/>
      <c r="CN761" s="418"/>
    </row>
    <row r="762" spans="3:118" ht="15.75" customHeight="1" x14ac:dyDescent="0.25">
      <c r="CD762" s="3"/>
      <c r="CG762" s="366"/>
      <c r="CN762" s="418"/>
    </row>
    <row r="763" spans="3:118" ht="15.75" customHeight="1" x14ac:dyDescent="0.25">
      <c r="CD763" s="3"/>
      <c r="CG763" s="366"/>
      <c r="CN763" s="418"/>
    </row>
    <row r="764" spans="3:118" ht="15.75" customHeight="1" x14ac:dyDescent="0.25">
      <c r="CD764" s="3"/>
      <c r="CG764" s="366"/>
      <c r="CN764" s="418"/>
    </row>
    <row r="765" spans="3:118" ht="15.75" customHeight="1" x14ac:dyDescent="0.25">
      <c r="CD765" s="3"/>
      <c r="CG765" s="366"/>
      <c r="CN765" s="418"/>
    </row>
    <row r="766" spans="3:118" ht="15.75" customHeight="1" x14ac:dyDescent="0.25">
      <c r="CD766" s="3"/>
      <c r="CG766" s="366"/>
      <c r="CN766" s="418"/>
    </row>
    <row r="767" spans="3:118" ht="15.75" customHeight="1" x14ac:dyDescent="0.25">
      <c r="CD767" s="3"/>
      <c r="CG767" s="366"/>
    </row>
    <row r="768" spans="3:118" ht="15.75" customHeight="1" x14ac:dyDescent="0.25">
      <c r="CD768" s="3"/>
      <c r="CG768" s="366"/>
      <c r="CN768" s="418"/>
    </row>
    <row r="769" spans="82:92" ht="15.75" customHeight="1" x14ac:dyDescent="0.25">
      <c r="CD769" s="3"/>
      <c r="CG769" s="366"/>
    </row>
    <row r="770" spans="82:92" ht="15.75" customHeight="1" x14ac:dyDescent="0.25">
      <c r="CD770" s="3"/>
      <c r="CG770" s="366"/>
    </row>
    <row r="771" spans="82:92" ht="15.75" customHeight="1" x14ac:dyDescent="0.25">
      <c r="CD771" s="3"/>
      <c r="CG771" s="366"/>
    </row>
    <row r="772" spans="82:92" ht="15.75" customHeight="1" x14ac:dyDescent="0.25">
      <c r="CD772" s="3"/>
      <c r="CG772" s="366"/>
    </row>
    <row r="773" spans="82:92" ht="15.75" customHeight="1" x14ac:dyDescent="0.25">
      <c r="CD773" s="3"/>
      <c r="CG773" s="366"/>
    </row>
    <row r="774" spans="82:92" ht="15.75" customHeight="1" x14ac:dyDescent="0.25">
      <c r="CD774" s="3"/>
      <c r="CG774" s="366"/>
    </row>
    <row r="775" spans="82:92" ht="15.75" customHeight="1" x14ac:dyDescent="0.25">
      <c r="CD775" s="3"/>
      <c r="CG775" s="366"/>
      <c r="CN775" s="418"/>
    </row>
    <row r="776" spans="82:92" ht="15.75" customHeight="1" x14ac:dyDescent="0.25">
      <c r="CD776" s="3"/>
      <c r="CG776" s="366"/>
    </row>
    <row r="777" spans="82:92" ht="15.75" customHeight="1" x14ac:dyDescent="0.25">
      <c r="CD777" s="3"/>
      <c r="CG777" s="366"/>
    </row>
    <row r="778" spans="82:92" ht="15.75" customHeight="1" x14ac:dyDescent="0.25">
      <c r="CD778" s="3"/>
      <c r="CG778" s="366"/>
      <c r="CN778" s="418"/>
    </row>
    <row r="779" spans="82:92" ht="15.75" customHeight="1" x14ac:dyDescent="0.25">
      <c r="CD779" s="3"/>
      <c r="CG779" s="366"/>
    </row>
    <row r="780" spans="82:92" ht="15.75" customHeight="1" x14ac:dyDescent="0.25">
      <c r="CD780" s="3"/>
      <c r="CG780" s="366"/>
    </row>
    <row r="781" spans="82:92" ht="15.75" customHeight="1" x14ac:dyDescent="0.25">
      <c r="CD781" s="3"/>
      <c r="CG781" s="366"/>
    </row>
    <row r="782" spans="82:92" ht="15.75" customHeight="1" x14ac:dyDescent="0.25">
      <c r="CD782" s="3"/>
      <c r="CG782" s="366"/>
    </row>
    <row r="783" spans="82:92" ht="15.75" customHeight="1" x14ac:dyDescent="0.25">
      <c r="CD783" s="3"/>
      <c r="CG783" s="366"/>
    </row>
    <row r="784" spans="82:92" ht="15.75" customHeight="1" x14ac:dyDescent="0.25">
      <c r="CD784" s="3"/>
      <c r="CG784" s="366"/>
    </row>
    <row r="785" spans="82:85" ht="15.75" customHeight="1" x14ac:dyDescent="0.25">
      <c r="CD785" s="3"/>
      <c r="CG785" s="366"/>
    </row>
    <row r="786" spans="82:85" ht="15.75" customHeight="1" x14ac:dyDescent="0.25">
      <c r="CD786" s="3"/>
      <c r="CG786" s="366"/>
    </row>
    <row r="787" spans="82:85" ht="15.75" customHeight="1" x14ac:dyDescent="0.25">
      <c r="CD787" s="3"/>
      <c r="CG787" s="366"/>
    </row>
    <row r="788" spans="82:85" ht="15.75" customHeight="1" x14ac:dyDescent="0.25">
      <c r="CD788" s="3"/>
      <c r="CG788" s="366"/>
    </row>
    <row r="789" spans="82:85" ht="15.75" customHeight="1" x14ac:dyDescent="0.25">
      <c r="CD789" s="3"/>
      <c r="CG789" s="366"/>
    </row>
    <row r="790" spans="82:85" ht="15.75" customHeight="1" x14ac:dyDescent="0.25">
      <c r="CD790" s="3"/>
      <c r="CG790" s="366"/>
    </row>
    <row r="791" spans="82:85" ht="15.75" customHeight="1" x14ac:dyDescent="0.25">
      <c r="CD791" s="3"/>
      <c r="CG791" s="366"/>
    </row>
    <row r="792" spans="82:85" ht="15.75" customHeight="1" x14ac:dyDescent="0.25">
      <c r="CD792" s="3"/>
      <c r="CG792" s="366"/>
    </row>
    <row r="793" spans="82:85" ht="15.75" customHeight="1" x14ac:dyDescent="0.25">
      <c r="CD793" s="3"/>
      <c r="CG793" s="366"/>
    </row>
    <row r="794" spans="82:85" ht="15.75" customHeight="1" x14ac:dyDescent="0.25">
      <c r="CD794" s="3"/>
      <c r="CG794" s="366"/>
    </row>
    <row r="795" spans="82:85" ht="15.75" customHeight="1" x14ac:dyDescent="0.25">
      <c r="CD795" s="3"/>
      <c r="CG795" s="366"/>
    </row>
    <row r="796" spans="82:85" ht="15.75" customHeight="1" x14ac:dyDescent="0.25">
      <c r="CD796" s="3"/>
      <c r="CG796" s="366"/>
    </row>
    <row r="797" spans="82:85" ht="15.75" customHeight="1" x14ac:dyDescent="0.25">
      <c r="CD797" s="3"/>
      <c r="CG797" s="366"/>
    </row>
    <row r="798" spans="82:85" ht="15.75" customHeight="1" x14ac:dyDescent="0.25">
      <c r="CD798" s="3"/>
      <c r="CG798" s="366"/>
    </row>
    <row r="799" spans="82:85" ht="15.75" customHeight="1" x14ac:dyDescent="0.25">
      <c r="CD799" s="3"/>
      <c r="CG799" s="366"/>
    </row>
    <row r="800" spans="82:85" ht="15.75" customHeight="1" x14ac:dyDescent="0.25">
      <c r="CD800" s="3"/>
      <c r="CG800" s="366"/>
    </row>
    <row r="801" spans="82:85" ht="15.75" customHeight="1" x14ac:dyDescent="0.25">
      <c r="CD801" s="3"/>
      <c r="CG801" s="366"/>
    </row>
    <row r="802" spans="82:85" ht="15.75" customHeight="1" x14ac:dyDescent="0.25">
      <c r="CD802" s="3"/>
      <c r="CG802" s="366"/>
    </row>
    <row r="803" spans="82:85" ht="15.75" customHeight="1" x14ac:dyDescent="0.25">
      <c r="CD803" s="3"/>
      <c r="CG803" s="366"/>
    </row>
    <row r="804" spans="82:85" ht="15.75" customHeight="1" x14ac:dyDescent="0.25">
      <c r="CD804" s="3"/>
      <c r="CG804" s="366"/>
    </row>
    <row r="805" spans="82:85" ht="15.75" customHeight="1" x14ac:dyDescent="0.25">
      <c r="CD805" s="3"/>
      <c r="CG805" s="366"/>
    </row>
    <row r="806" spans="82:85" ht="15.75" customHeight="1" x14ac:dyDescent="0.25">
      <c r="CD806" s="3"/>
      <c r="CG806" s="366"/>
    </row>
    <row r="807" spans="82:85" ht="15.75" customHeight="1" x14ac:dyDescent="0.25">
      <c r="CD807" s="3"/>
      <c r="CG807" s="366"/>
    </row>
    <row r="808" spans="82:85" ht="15.75" customHeight="1" x14ac:dyDescent="0.25">
      <c r="CD808" s="3"/>
      <c r="CG808" s="366"/>
    </row>
    <row r="809" spans="82:85" ht="15.75" customHeight="1" x14ac:dyDescent="0.25">
      <c r="CD809" s="3"/>
      <c r="CG809" s="366"/>
    </row>
    <row r="810" spans="82:85" ht="15.75" customHeight="1" x14ac:dyDescent="0.25">
      <c r="CD810" s="3"/>
      <c r="CG810" s="366"/>
    </row>
    <row r="811" spans="82:85" ht="15.75" customHeight="1" x14ac:dyDescent="0.25">
      <c r="CD811" s="3"/>
      <c r="CG811" s="366"/>
    </row>
    <row r="812" spans="82:85" ht="15.75" customHeight="1" x14ac:dyDescent="0.25">
      <c r="CD812" s="3"/>
      <c r="CG812" s="366"/>
    </row>
    <row r="813" spans="82:85" ht="15.75" customHeight="1" x14ac:dyDescent="0.25">
      <c r="CD813" s="3"/>
      <c r="CG813" s="366"/>
    </row>
    <row r="814" spans="82:85" ht="15.75" customHeight="1" x14ac:dyDescent="0.25">
      <c r="CD814" s="3"/>
      <c r="CG814" s="366"/>
    </row>
    <row r="815" spans="82:85" ht="15.75" customHeight="1" x14ac:dyDescent="0.25">
      <c r="CD815" s="3"/>
      <c r="CG815" s="366"/>
    </row>
    <row r="816" spans="82:85" ht="15.75" customHeight="1" x14ac:dyDescent="0.25">
      <c r="CD816" s="3"/>
      <c r="CG816" s="366"/>
    </row>
    <row r="817" spans="82:85" ht="15.75" customHeight="1" x14ac:dyDescent="0.25">
      <c r="CD817" s="3"/>
      <c r="CG817" s="366"/>
    </row>
    <row r="818" spans="82:85" ht="15.75" customHeight="1" x14ac:dyDescent="0.25">
      <c r="CD818" s="3"/>
      <c r="CG818" s="366"/>
    </row>
    <row r="819" spans="82:85" ht="15.75" customHeight="1" x14ac:dyDescent="0.25">
      <c r="CD819" s="3"/>
      <c r="CG819" s="366"/>
    </row>
    <row r="820" spans="82:85" ht="15.75" customHeight="1" x14ac:dyDescent="0.25">
      <c r="CD820" s="3"/>
      <c r="CG820" s="366"/>
    </row>
    <row r="821" spans="82:85" ht="15.75" customHeight="1" x14ac:dyDescent="0.25">
      <c r="CD821" s="3"/>
      <c r="CG821" s="366"/>
    </row>
    <row r="822" spans="82:85" ht="15.75" customHeight="1" x14ac:dyDescent="0.25">
      <c r="CD822" s="3"/>
      <c r="CG822" s="366"/>
    </row>
    <row r="823" spans="82:85" ht="15.75" customHeight="1" x14ac:dyDescent="0.25">
      <c r="CD823" s="3"/>
      <c r="CG823" s="366"/>
    </row>
    <row r="824" spans="82:85" ht="15.75" customHeight="1" x14ac:dyDescent="0.25">
      <c r="CD824" s="3"/>
      <c r="CG824" s="366"/>
    </row>
    <row r="825" spans="82:85" ht="15.75" customHeight="1" x14ac:dyDescent="0.25">
      <c r="CD825" s="3"/>
      <c r="CG825" s="366"/>
    </row>
    <row r="826" spans="82:85" ht="15.75" customHeight="1" x14ac:dyDescent="0.25">
      <c r="CD826" s="3"/>
      <c r="CG826" s="366"/>
    </row>
    <row r="827" spans="82:85" ht="15.75" customHeight="1" x14ac:dyDescent="0.25">
      <c r="CD827" s="3"/>
      <c r="CG827" s="366"/>
    </row>
    <row r="828" spans="82:85" ht="15.75" customHeight="1" x14ac:dyDescent="0.25">
      <c r="CD828" s="3"/>
      <c r="CG828" s="366"/>
    </row>
    <row r="829" spans="82:85" ht="15.75" customHeight="1" x14ac:dyDescent="0.25">
      <c r="CD829" s="3"/>
      <c r="CG829" s="366"/>
    </row>
    <row r="830" spans="82:85" ht="15.75" customHeight="1" x14ac:dyDescent="0.25">
      <c r="CD830" s="3"/>
      <c r="CG830" s="366"/>
    </row>
    <row r="831" spans="82:85" ht="15.75" customHeight="1" x14ac:dyDescent="0.25">
      <c r="CD831" s="3"/>
      <c r="CG831" s="366"/>
    </row>
    <row r="832" spans="82:85" ht="15.75" customHeight="1" x14ac:dyDescent="0.25">
      <c r="CD832" s="3"/>
      <c r="CG832" s="366"/>
    </row>
    <row r="833" spans="82:85" ht="15.75" customHeight="1" x14ac:dyDescent="0.25">
      <c r="CD833" s="3"/>
      <c r="CG833" s="366"/>
    </row>
    <row r="834" spans="82:85" ht="15.75" customHeight="1" x14ac:dyDescent="0.25">
      <c r="CD834" s="3"/>
      <c r="CG834" s="366"/>
    </row>
    <row r="835" spans="82:85" ht="15.75" customHeight="1" x14ac:dyDescent="0.25">
      <c r="CD835" s="3"/>
      <c r="CG835" s="366"/>
    </row>
    <row r="836" spans="82:85" ht="15.75" customHeight="1" x14ac:dyDescent="0.25">
      <c r="CD836" s="3"/>
      <c r="CG836" s="366"/>
    </row>
    <row r="837" spans="82:85" ht="15.75" customHeight="1" x14ac:dyDescent="0.25">
      <c r="CD837" s="3"/>
      <c r="CG837" s="366"/>
    </row>
    <row r="838" spans="82:85" ht="15.75" customHeight="1" x14ac:dyDescent="0.25">
      <c r="CD838" s="3"/>
      <c r="CG838" s="366"/>
    </row>
    <row r="839" spans="82:85" ht="15.75" customHeight="1" x14ac:dyDescent="0.25">
      <c r="CD839" s="3"/>
      <c r="CG839" s="366"/>
    </row>
    <row r="840" spans="82:85" ht="15.75" customHeight="1" x14ac:dyDescent="0.25">
      <c r="CD840" s="3"/>
      <c r="CG840" s="366"/>
    </row>
    <row r="841" spans="82:85" ht="15.75" customHeight="1" x14ac:dyDescent="0.25">
      <c r="CD841" s="3"/>
      <c r="CG841" s="366"/>
    </row>
    <row r="842" spans="82:85" ht="15.75" customHeight="1" x14ac:dyDescent="0.25">
      <c r="CD842" s="3"/>
      <c r="CG842" s="366"/>
    </row>
    <row r="843" spans="82:85" ht="15.75" customHeight="1" x14ac:dyDescent="0.25">
      <c r="CD843" s="3"/>
      <c r="CG843" s="366"/>
    </row>
    <row r="844" spans="82:85" ht="15.75" customHeight="1" x14ac:dyDescent="0.25">
      <c r="CD844" s="3"/>
      <c r="CG844" s="366"/>
    </row>
    <row r="845" spans="82:85" ht="15.75" customHeight="1" x14ac:dyDescent="0.25">
      <c r="CD845" s="3"/>
      <c r="CG845" s="366"/>
    </row>
    <row r="846" spans="82:85" ht="15.75" customHeight="1" x14ac:dyDescent="0.25">
      <c r="CD846" s="3"/>
      <c r="CG846" s="366"/>
    </row>
    <row r="847" spans="82:85" ht="15.75" customHeight="1" x14ac:dyDescent="0.25">
      <c r="CD847" s="3"/>
      <c r="CG847" s="366"/>
    </row>
    <row r="848" spans="82:85" ht="15.75" customHeight="1" x14ac:dyDescent="0.25">
      <c r="CD848" s="3"/>
      <c r="CG848" s="366"/>
    </row>
    <row r="849" spans="82:85" ht="15.75" customHeight="1" x14ac:dyDescent="0.25">
      <c r="CD849" s="3"/>
      <c r="CG849" s="366"/>
    </row>
    <row r="850" spans="82:85" ht="15.75" customHeight="1" x14ac:dyDescent="0.25">
      <c r="CD850" s="3"/>
      <c r="CG850" s="366"/>
    </row>
    <row r="851" spans="82:85" ht="15.75" customHeight="1" x14ac:dyDescent="0.25">
      <c r="CD851" s="3"/>
      <c r="CG851" s="366"/>
    </row>
    <row r="852" spans="82:85" ht="15.75" customHeight="1" x14ac:dyDescent="0.25">
      <c r="CD852" s="3"/>
      <c r="CG852" s="366"/>
    </row>
    <row r="853" spans="82:85" ht="15.75" customHeight="1" x14ac:dyDescent="0.25">
      <c r="CD853" s="3"/>
      <c r="CG853" s="366"/>
    </row>
    <row r="854" spans="82:85" ht="15.75" customHeight="1" x14ac:dyDescent="0.25">
      <c r="CD854" s="3"/>
      <c r="CG854" s="366"/>
    </row>
    <row r="855" spans="82:85" ht="15.75" customHeight="1" x14ac:dyDescent="0.25">
      <c r="CD855" s="3"/>
      <c r="CG855" s="366"/>
    </row>
    <row r="856" spans="82:85" ht="15.75" customHeight="1" x14ac:dyDescent="0.25">
      <c r="CD856" s="3"/>
      <c r="CG856" s="366"/>
    </row>
    <row r="857" spans="82:85" ht="15.75" customHeight="1" x14ac:dyDescent="0.25">
      <c r="CD857" s="3"/>
      <c r="CG857" s="366"/>
    </row>
    <row r="858" spans="82:85" ht="15.75" customHeight="1" x14ac:dyDescent="0.25">
      <c r="CD858" s="3"/>
      <c r="CG858" s="366"/>
    </row>
    <row r="859" spans="82:85" ht="15.75" customHeight="1" x14ac:dyDescent="0.25">
      <c r="CD859" s="3"/>
      <c r="CG859" s="366"/>
    </row>
    <row r="860" spans="82:85" ht="15.75" customHeight="1" x14ac:dyDescent="0.25">
      <c r="CD860" s="3"/>
      <c r="CG860" s="366"/>
    </row>
    <row r="861" spans="82:85" ht="15.75" customHeight="1" x14ac:dyDescent="0.25">
      <c r="CD861" s="3"/>
      <c r="CG861" s="366"/>
    </row>
    <row r="862" spans="82:85" ht="15.75" customHeight="1" x14ac:dyDescent="0.25">
      <c r="CD862" s="3"/>
      <c r="CG862" s="366"/>
    </row>
    <row r="863" spans="82:85" ht="15.75" customHeight="1" x14ac:dyDescent="0.25">
      <c r="CD863" s="3"/>
      <c r="CG863" s="366"/>
    </row>
    <row r="864" spans="82:85" ht="15.75" customHeight="1" x14ac:dyDescent="0.25">
      <c r="CD864" s="3"/>
      <c r="CG864" s="366"/>
    </row>
    <row r="865" spans="82:85" ht="15.75" customHeight="1" x14ac:dyDescent="0.25">
      <c r="CD865" s="3"/>
      <c r="CG865" s="366"/>
    </row>
    <row r="866" spans="82:85" ht="15.75" customHeight="1" x14ac:dyDescent="0.25">
      <c r="CD866" s="3"/>
      <c r="CG866" s="366"/>
    </row>
    <row r="867" spans="82:85" ht="15.75" customHeight="1" x14ac:dyDescent="0.25">
      <c r="CD867" s="3"/>
      <c r="CG867" s="366"/>
    </row>
    <row r="868" spans="82:85" ht="15.75" customHeight="1" x14ac:dyDescent="0.25">
      <c r="CD868" s="3"/>
      <c r="CG868" s="366"/>
    </row>
    <row r="869" spans="82:85" ht="15.75" customHeight="1" x14ac:dyDescent="0.25">
      <c r="CD869" s="3"/>
      <c r="CG869" s="366"/>
    </row>
    <row r="870" spans="82:85" ht="15.75" customHeight="1" x14ac:dyDescent="0.25">
      <c r="CD870" s="3"/>
      <c r="CG870" s="366"/>
    </row>
    <row r="871" spans="82:85" ht="15.75" customHeight="1" x14ac:dyDescent="0.25">
      <c r="CD871" s="3"/>
      <c r="CG871" s="366"/>
    </row>
    <row r="872" spans="82:85" ht="15.75" customHeight="1" x14ac:dyDescent="0.25">
      <c r="CD872" s="3"/>
      <c r="CG872" s="366"/>
    </row>
    <row r="873" spans="82:85" ht="15.75" customHeight="1" x14ac:dyDescent="0.25">
      <c r="CD873" s="3"/>
      <c r="CG873" s="366"/>
    </row>
    <row r="874" spans="82:85" ht="15.75" customHeight="1" x14ac:dyDescent="0.25">
      <c r="CD874" s="3"/>
      <c r="CG874" s="366"/>
    </row>
    <row r="875" spans="82:85" ht="15.75" customHeight="1" x14ac:dyDescent="0.25">
      <c r="CD875" s="3"/>
      <c r="CG875" s="366"/>
    </row>
    <row r="876" spans="82:85" ht="15.75" customHeight="1" x14ac:dyDescent="0.25">
      <c r="CD876" s="3"/>
      <c r="CG876" s="366"/>
    </row>
    <row r="877" spans="82:85" ht="15.75" customHeight="1" x14ac:dyDescent="0.25">
      <c r="CD877" s="3"/>
      <c r="CG877" s="366"/>
    </row>
    <row r="878" spans="82:85" ht="15.75" customHeight="1" x14ac:dyDescent="0.25">
      <c r="CD878" s="3"/>
      <c r="CG878" s="366"/>
    </row>
    <row r="879" spans="82:85" ht="15.75" customHeight="1" x14ac:dyDescent="0.25">
      <c r="CD879" s="3"/>
      <c r="CG879" s="366"/>
    </row>
    <row r="880" spans="82:85" ht="15.75" customHeight="1" x14ac:dyDescent="0.25">
      <c r="CD880" s="3"/>
      <c r="CG880" s="366"/>
    </row>
    <row r="881" spans="82:85" ht="15.75" customHeight="1" x14ac:dyDescent="0.25">
      <c r="CD881" s="3"/>
      <c r="CG881" s="366"/>
    </row>
    <row r="882" spans="82:85" ht="15.75" customHeight="1" x14ac:dyDescent="0.25">
      <c r="CD882" s="3"/>
      <c r="CG882" s="366"/>
    </row>
    <row r="883" spans="82:85" ht="15.75" customHeight="1" x14ac:dyDescent="0.25">
      <c r="CD883" s="3"/>
      <c r="CG883" s="366"/>
    </row>
    <row r="884" spans="82:85" ht="15.75" customHeight="1" x14ac:dyDescent="0.25">
      <c r="CD884" s="3"/>
      <c r="CG884" s="366"/>
    </row>
    <row r="885" spans="82:85" ht="15.75" customHeight="1" x14ac:dyDescent="0.25">
      <c r="CD885" s="3"/>
      <c r="CG885" s="366"/>
    </row>
    <row r="886" spans="82:85" ht="15.75" customHeight="1" x14ac:dyDescent="0.25">
      <c r="CD886" s="3"/>
      <c r="CG886" s="366"/>
    </row>
    <row r="887" spans="82:85" ht="15.75" customHeight="1" x14ac:dyDescent="0.25">
      <c r="CD887" s="3"/>
      <c r="CG887" s="366"/>
    </row>
    <row r="888" spans="82:85" ht="15.75" customHeight="1" x14ac:dyDescent="0.25">
      <c r="CD888" s="3"/>
      <c r="CG888" s="366"/>
    </row>
    <row r="889" spans="82:85" ht="15.75" customHeight="1" x14ac:dyDescent="0.25">
      <c r="CD889" s="3"/>
      <c r="CG889" s="366"/>
    </row>
    <row r="890" spans="82:85" ht="15.75" customHeight="1" x14ac:dyDescent="0.25">
      <c r="CD890" s="3"/>
      <c r="CG890" s="366"/>
    </row>
    <row r="891" spans="82:85" ht="15.75" customHeight="1" x14ac:dyDescent="0.25">
      <c r="CD891" s="3"/>
      <c r="CG891" s="366"/>
    </row>
    <row r="892" spans="82:85" ht="15.75" customHeight="1" x14ac:dyDescent="0.25">
      <c r="CD892" s="3"/>
      <c r="CG892" s="366"/>
    </row>
    <row r="893" spans="82:85" ht="15.75" customHeight="1" x14ac:dyDescent="0.25">
      <c r="CD893" s="3"/>
      <c r="CG893" s="366"/>
    </row>
    <row r="894" spans="82:85" ht="15.75" customHeight="1" x14ac:dyDescent="0.25">
      <c r="CD894" s="3"/>
      <c r="CG894" s="366"/>
    </row>
    <row r="895" spans="82:85" ht="15.75" customHeight="1" x14ac:dyDescent="0.25">
      <c r="CD895" s="3"/>
      <c r="CG895" s="366"/>
    </row>
    <row r="896" spans="82:85" ht="15.75" customHeight="1" x14ac:dyDescent="0.25">
      <c r="CD896" s="3"/>
      <c r="CG896" s="366"/>
    </row>
    <row r="897" spans="82:85" ht="15.75" customHeight="1" x14ac:dyDescent="0.25">
      <c r="CD897" s="3"/>
      <c r="CG897" s="366"/>
    </row>
    <row r="898" spans="82:85" ht="15.75" customHeight="1" x14ac:dyDescent="0.25">
      <c r="CD898" s="3"/>
      <c r="CG898" s="366"/>
    </row>
    <row r="899" spans="82:85" ht="15.75" customHeight="1" x14ac:dyDescent="0.25">
      <c r="CD899" s="3"/>
      <c r="CG899" s="366"/>
    </row>
    <row r="900" spans="82:85" ht="15.75" customHeight="1" x14ac:dyDescent="0.25">
      <c r="CD900" s="3"/>
      <c r="CG900" s="366"/>
    </row>
    <row r="901" spans="82:85" ht="15.75" customHeight="1" x14ac:dyDescent="0.25">
      <c r="CD901" s="3"/>
      <c r="CG901" s="366"/>
    </row>
    <row r="902" spans="82:85" ht="15.75" customHeight="1" x14ac:dyDescent="0.25">
      <c r="CD902" s="3"/>
      <c r="CG902" s="366"/>
    </row>
    <row r="903" spans="82:85" ht="15.75" customHeight="1" x14ac:dyDescent="0.25">
      <c r="CD903" s="3"/>
      <c r="CG903" s="366"/>
    </row>
    <row r="904" spans="82:85" ht="15.75" customHeight="1" x14ac:dyDescent="0.25">
      <c r="CD904" s="3"/>
      <c r="CG904" s="366"/>
    </row>
    <row r="905" spans="82:85" ht="15.75" customHeight="1" x14ac:dyDescent="0.25">
      <c r="CD905" s="3"/>
      <c r="CG905" s="366"/>
    </row>
    <row r="906" spans="82:85" ht="15.75" customHeight="1" x14ac:dyDescent="0.25">
      <c r="CD906" s="3"/>
      <c r="CG906" s="366"/>
    </row>
  </sheetData>
  <sheetProtection sheet="1" objects="1" scenarios="1"/>
  <sortState xmlns:xlrd2="http://schemas.microsoft.com/office/spreadsheetml/2017/richdata2" ref="AH134:AY165">
    <sortCondition descending="1" ref="AK134:AK16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64</vt:i4>
      </vt:variant>
    </vt:vector>
  </HeadingPairs>
  <TitlesOfParts>
    <vt:vector size="81" baseType="lpstr">
      <vt:lpstr>Logo</vt:lpstr>
      <vt:lpstr>Instructions</vt:lpstr>
      <vt:lpstr>Draft</vt:lpstr>
      <vt:lpstr>Draft Slayer Classic</vt:lpstr>
      <vt:lpstr>Teams</vt:lpstr>
      <vt:lpstr>ADP</vt:lpstr>
      <vt:lpstr>Draft Pick Order</vt:lpstr>
      <vt:lpstr>QBproj</vt:lpstr>
      <vt:lpstr>RBproj</vt:lpstr>
      <vt:lpstr>WRproj</vt:lpstr>
      <vt:lpstr>TEproj</vt:lpstr>
      <vt:lpstr>DEFproj</vt:lpstr>
      <vt:lpstr>Kproj</vt:lpstr>
      <vt:lpstr>Beersheet</vt:lpstr>
      <vt:lpstr>FFARawStatProjections</vt:lpstr>
      <vt:lpstr>ADP_Import</vt:lpstr>
      <vt:lpstr>Tier</vt:lpstr>
      <vt:lpstr>Draft!Draft_Bye_Offset</vt:lpstr>
      <vt:lpstr>Draft_Names_Master</vt:lpstr>
      <vt:lpstr>Draft!Draft_Player_Names</vt:lpstr>
      <vt:lpstr>Draft!Draft_Risk_Offset</vt:lpstr>
      <vt:lpstr>Draft_Slayer_Names</vt:lpstr>
      <vt:lpstr>Draft_Slayer_Names_All</vt:lpstr>
      <vt:lpstr>Draft_Slayer_NamesMaster</vt:lpstr>
      <vt:lpstr>Draft_Slayer_Team</vt:lpstr>
      <vt:lpstr>Draft!Draft_Team_Offset</vt:lpstr>
      <vt:lpstr>Draft!Draft_Tier_Offset</vt:lpstr>
      <vt:lpstr>Draft!Draft_Val_Offset</vt:lpstr>
      <vt:lpstr>dstBlk</vt:lpstr>
      <vt:lpstr>dstFumlRec</vt:lpstr>
      <vt:lpstr>dstInt</vt:lpstr>
      <vt:lpstr>dstPtsAllow</vt:lpstr>
      <vt:lpstr>dstRetTd</vt:lpstr>
      <vt:lpstr>dstSack</vt:lpstr>
      <vt:lpstr>dstSafety</vt:lpstr>
      <vt:lpstr>dstTd</vt:lpstr>
      <vt:lpstr>fg</vt:lpstr>
      <vt:lpstr>fg_0019</vt:lpstr>
      <vt:lpstr>fg_2029</vt:lpstr>
      <vt:lpstr>fg_3039</vt:lpstr>
      <vt:lpstr>fg_4049</vt:lpstr>
      <vt:lpstr>fg_50</vt:lpstr>
      <vt:lpstr>Fumbles</vt:lpstr>
      <vt:lpstr>Keeper_10</vt:lpstr>
      <vt:lpstr>Keeper_12</vt:lpstr>
      <vt:lpstr>Keeper_14</vt:lpstr>
      <vt:lpstr>Keeper_8</vt:lpstr>
      <vt:lpstr>Keepers</vt:lpstr>
      <vt:lpstr>passInt</vt:lpstr>
      <vt:lpstr>passTds</vt:lpstr>
      <vt:lpstr>passYds</vt:lpstr>
      <vt:lpstr>Tier!players?status_A_pos_QB_cut_type_9_stat1_S_S_2013_myteam_0_sort_PTS_sdir_1</vt:lpstr>
      <vt:lpstr>Tier!players?status_A_pos_QB_cut_type_9_stat1_S_S_2013_myteam_0_sort_PTS_sdir_1_1</vt:lpstr>
      <vt:lpstr>Tier!players?status_A_pos_QB_cut_type_9_stat1_S_S_2013_myteam_0_sort_PTS_sdir_1_2</vt:lpstr>
      <vt:lpstr>Tier!players?status_A_pos_QB_cut_type_9_stat1_S_S_2013_myteam_0_sort_PTS_sdir_1_3</vt:lpstr>
      <vt:lpstr>QB_Score</vt:lpstr>
      <vt:lpstr>RB_Score</vt:lpstr>
      <vt:lpstr>rec</vt:lpstr>
      <vt:lpstr>recTds</vt:lpstr>
      <vt:lpstr>recYds</vt:lpstr>
      <vt:lpstr>returnTds</vt:lpstr>
      <vt:lpstr>returnYds</vt:lpstr>
      <vt:lpstr>rushAtt</vt:lpstr>
      <vt:lpstr>rushTds</vt:lpstr>
      <vt:lpstr>rushYds</vt:lpstr>
      <vt:lpstr>sacks</vt:lpstr>
      <vt:lpstr>TE_SCORE</vt:lpstr>
      <vt:lpstr>TeamName_10</vt:lpstr>
      <vt:lpstr>TeamName_12</vt:lpstr>
      <vt:lpstr>TeamName_14</vt:lpstr>
      <vt:lpstr>TeamName_16</vt:lpstr>
      <vt:lpstr>TeamName_8</vt:lpstr>
      <vt:lpstr>Teams_10</vt:lpstr>
      <vt:lpstr>Teams_12</vt:lpstr>
      <vt:lpstr>Teams_14</vt:lpstr>
      <vt:lpstr>Teams_16</vt:lpstr>
      <vt:lpstr>Teams_8</vt:lpstr>
      <vt:lpstr>twoPts</vt:lpstr>
      <vt:lpstr>WR_Score</vt:lpstr>
      <vt:lpstr>xp</vt:lpstr>
      <vt:lpstr>ZoomRange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Derek</dc:creator>
  <cp:lastModifiedBy>Camden Mason</cp:lastModifiedBy>
  <cp:lastPrinted>2016-08-28T22:42:48Z</cp:lastPrinted>
  <dcterms:created xsi:type="dcterms:W3CDTF">2014-07-12T05:31:24Z</dcterms:created>
  <dcterms:modified xsi:type="dcterms:W3CDTF">2023-08-25T21:51:35Z</dcterms:modified>
</cp:coreProperties>
</file>